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ecbzh-my.sharepoint.com/personal/mathieu_breger_enseignement-catholique_bzh/Documents/teste et améiore ta forme Appli/"/>
    </mc:Choice>
  </mc:AlternateContent>
  <xr:revisionPtr revIDLastSave="11" documentId="13_ncr:1_{152752C0-2CFC-45DC-AC86-2EAB72FBC444}" xr6:coauthVersionLast="47" xr6:coauthVersionMax="47" xr10:uidLastSave="{B1E4969E-497D-4F47-BD03-13B14BC309FB}"/>
  <bookViews>
    <workbookView xWindow="-108" yWindow="-108" windowWidth="23256" windowHeight="12456" tabRatio="500" activeTab="2" xr2:uid="{00000000-000D-0000-FFFF-FFFF00000000}"/>
  </bookViews>
  <sheets>
    <sheet name="ACCUEIL" sheetId="1" r:id="rId1"/>
    <sheet name="AIDE" sheetId="2" r:id="rId2"/>
    <sheet name="SAISIE" sheetId="3" r:id="rId3"/>
    <sheet name="PROFIL ELEVE" sheetId="4" r:id="rId4"/>
    <sheet name="FICHE PARENTS" sheetId="5" r:id="rId5"/>
    <sheet name="STATS NIVEAU" sheetId="6" r:id="rId6"/>
    <sheet name="STATS ECOLE" sheetId="7" r:id="rId7"/>
    <sheet name="SUIVI LONGITUDINAL" sheetId="8" r:id="rId8"/>
    <sheet name="COHORTE" sheetId="9" r:id="rId9"/>
    <sheet name="EXPORT UGSEL" sheetId="10" r:id="rId10"/>
    <sheet name="EXPORT BRUT" sheetId="11" r:id="rId11"/>
    <sheet name="PARAMETRES" sheetId="12" r:id="rId12"/>
    <sheet name="DONNEES" sheetId="13" state="hidden" r:id="rId13"/>
    <sheet name="RESSOURCES" sheetId="14" r:id="rId14"/>
  </sheets>
  <definedNames>
    <definedName name="_xlnm._FilterDatabase" localSheetId="10" hidden="1">'EXPORT BRUT'!$A$1:$Z$1201</definedName>
    <definedName name="ANNEE_ACTIVE">PARAMETRES!$C$6</definedName>
    <definedName name="ANNEES_VERROU">PARAMETRES!$D$70:$D$77</definedName>
    <definedName name="D_AD_NIV">DONNEES!$W$2:$W$1201</definedName>
    <definedName name="D_AD_PERF">DONNEES!$O$2:$O$1201</definedName>
    <definedName name="D_ANNEE">DONNEES!$A$2:$A$1201</definedName>
    <definedName name="D_CO_NIV">DONNEES!$U$2:$U$1201</definedName>
    <definedName name="D_CO_PERF">DONNEES!$M$2:$M$1201</definedName>
    <definedName name="D_COMPLET">DONNEES!$BB$2:$BB$1201</definedName>
    <definedName name="D_CYCLE">DONNEES!$Z$2:$Z$1201</definedName>
    <definedName name="D_EN_NIV">DONNEES!$T$2:$T$1201</definedName>
    <definedName name="D_EN_PERF">DONNEES!$L$2:$L$1201</definedName>
    <definedName name="D_EQ_NIV">DONNEES!$Q$2:$Q$1201</definedName>
    <definedName name="D_EQ_PERF">DONNEES!$I$2:$I$1201</definedName>
    <definedName name="D_FO_NIV">DONNEES!$X$2:$X$1201</definedName>
    <definedName name="D_FO_PERF">DONNEES!$P$2:$P$1201</definedName>
    <definedName name="D_GA_NIV">DONNEES!$V$2:$V$1201</definedName>
    <definedName name="D_GA_PERF">DONNEES!$N$2:$N$1201</definedName>
    <definedName name="D_ID">DONNEES!$D$2:$D$1201</definedName>
    <definedName name="D_IDUNIQUE">DONNEES!$AB$2:$AB$1201</definedName>
    <definedName name="D_KEY">DONNEES!$AA$2:$AA$1201</definedName>
    <definedName name="D_KEY_DOUBLON">DONNEES!$AS$2:$AS$1201</definedName>
    <definedName name="D_KEY_NIVSES">DONNEES!$AU$2:$AU$1201</definedName>
    <definedName name="D_KEY_STATUT">DONNEES!$AT$2:$AT$1201</definedName>
    <definedName name="D_MOYNIV">DONNEES!$Y$2:$Y$1201</definedName>
    <definedName name="D_NAISS">DONNEES!$H$2:$H$1201</definedName>
    <definedName name="D_NB_PROG">DONNEES!$AX$2:$AX$1201</definedName>
    <definedName name="D_NB_REG">DONNEES!$AZ$2:$AZ$1201</definedName>
    <definedName name="D_NB_STAB">DONNEES!$AY$2:$AY$1201</definedName>
    <definedName name="D_NBTESTS">DONNEES!$BA$2:$BA$1201</definedName>
    <definedName name="D_NIVEAU">DONNEES!$B$2:$B$1201</definedName>
    <definedName name="D_NIVEAU_ACTUEL">DONNEES!$AF$2:$AF$1201</definedName>
    <definedName name="D_NOM">DONNEES!$E$2:$E$1201</definedName>
    <definedName name="D_PRENOM">DONNEES!$F$2:$F$1201</definedName>
    <definedName name="D_PROG_AD">DONNEES!$AN$2:$AN$1201</definedName>
    <definedName name="D_PROG_CO">DONNEES!$AL$2:$AL$1201</definedName>
    <definedName name="D_PROG_EN">DONNEES!$AK$2:$AK$1201</definedName>
    <definedName name="D_PROG_EQ">DONNEES!$AH$2:$AH$1201</definedName>
    <definedName name="D_PROG_FO">DONNEES!$AO$2:$AO$1201</definedName>
    <definedName name="D_PROG_GA">DONNEES!$AM$2:$AM$1201</definedName>
    <definedName name="D_PROG_SO">DONNEES!$AI$2:$AI$1201</definedName>
    <definedName name="D_PROG_VI">DONNEES!$AJ$2:$AJ$1201</definedName>
    <definedName name="D_RANG_PROFIL">DONNEES!$AV$2:$AV$1201</definedName>
    <definedName name="D_RANG_RECUP">DONNEES!$AR$2:$AR$1201</definedName>
    <definedName name="D_RANG_SUIVI">DONNEES!$AW$2:$AW$1201</definedName>
    <definedName name="D_S2ROW">DONNEES!$AG$2:$AG$1201</definedName>
    <definedName name="D_SESSION">DONNEES!$C$2:$C$1201</definedName>
    <definedName name="D_SEXE">DONNEES!$G$2:$G$1201</definedName>
    <definedName name="D_SO_NIV">DONNEES!$R$2:$R$1201</definedName>
    <definedName name="D_SO_PERF">DONNEES!$J$2:$J$1201</definedName>
    <definedName name="D_STATUT">DONNEES!$AQ$2:$AQ$1201</definedName>
    <definedName name="D_VI_NIV">DONNEES!$S$2:$S$1201</definedName>
    <definedName name="D_VI_PERF">DONNEES!$K$2:$K$1201</definedName>
    <definedName name="ETABLISSEMENT_NOM">PARAMETRES!$C$4</definedName>
    <definedName name="GR_CAT" localSheetId="4">'FICHE PARENTS'!$A$9:INDEX('FICHE PARENTS'!$A$9:$A$16,'PROFIL ELEVE'!$X$4)</definedName>
    <definedName name="GR_CAT" localSheetId="3">'PROFIL ELEVE'!$B$30:INDEX('PROFIL ELEVE'!$B$30:$B$37,'PROFIL ELEVE'!$X$4)</definedName>
    <definedName name="GR_CAT" localSheetId="5">'STATS NIVEAU'!$A$8:INDEX('STATS NIVEAU'!$A$8:$A$15,'STATS NIVEAU'!$Q$1)</definedName>
    <definedName name="GR_LBL" localSheetId="3">'PROFIL ELEVE'!$F$30:INDEX('PROFIL ELEVE'!$F$30:$F$37,'PROFIL ELEVE'!$X$4)</definedName>
    <definedName name="GR_LBL" localSheetId="5">'STATS NIVEAU'!$S$8:INDEX('STATS NIVEAU'!$S$8:$S$15,'STATS NIVEAU'!$Q$1)</definedName>
    <definedName name="GR_MOY" localSheetId="4">'PROFIL ELEVE'!$E$30:INDEX('PROFIL ELEVE'!$E$30:$E$37,'PROFIL ELEVE'!$X$4)</definedName>
    <definedName name="GR_MOY" localSheetId="3">'PROFIL ELEVE'!$E$30:INDEX('PROFIL ELEVE'!$E$30:$E$37,'PROFIL ELEVE'!$X$4)</definedName>
    <definedName name="GR_S1" localSheetId="4">'PROFIL ELEVE'!$C$30:INDEX('PROFIL ELEVE'!$C$30:$C$37,'PROFIL ELEVE'!$X$4)</definedName>
    <definedName name="GR_S1" localSheetId="3">'PROFIL ELEVE'!$C$30:INDEX('PROFIL ELEVE'!$C$30:$C$37,'PROFIL ELEVE'!$X$4)</definedName>
    <definedName name="GR_S1" localSheetId="5">'STATS NIVEAU'!$L$8:INDEX('STATS NIVEAU'!$L$8:$L$15,'STATS NIVEAU'!$Q$1)</definedName>
    <definedName name="GR_S2" localSheetId="4">'PROFIL ELEVE'!$D$30:INDEX('PROFIL ELEVE'!$D$30:$D$37,'PROFIL ELEVE'!$X$4)</definedName>
    <definedName name="GR_S2" localSheetId="3">'PROFIL ELEVE'!$D$30:INDEX('PROFIL ELEVE'!$D$30:$D$37,'PROFIL ELEVE'!$X$4)</definedName>
    <definedName name="GR_S2" localSheetId="5">'STATS NIVEAU'!$M$8:INDEX('STATS NIVEAU'!$M$8:$M$15,'STATS NIVEAU'!$Q$1)</definedName>
    <definedName name="_xlnm.Print_Titles" localSheetId="10">'EXPORT BRUT'!$1:$1</definedName>
    <definedName name="_xlnm.Print_Titles" localSheetId="9">'EXPORT UGSEL'!$7:$7</definedName>
    <definedName name="LISTE_ANNEES">PARAMETRES!$B$10:$B$17</definedName>
    <definedName name="LISTE_ELEVES_PROFIL">'PROFIL ELEVE'!$Z$2:INDEX('PROFIL ELEVE'!$Z$2:$Z$1201,MAX(1,COUNTIF('PROFIL ELEVE'!$Y$2:$Y$1201,"?*")))</definedName>
    <definedName name="LISTE_ELEVES_SUIVI">'SUIVI LONGITUDINAL'!$T$2:INDEX('SUIVI LONGITUDINAL'!$T$2:$T$1201,MAX(1,COUNTIF('SUIVI LONGITUDINAL'!$S$2:$S$1201,"?*")))</definedName>
    <definedName name="LISTE_NAISSANCE">PARAMETRES!$H$10:$H$18</definedName>
    <definedName name="LISTE_NIVEAUX">PARAMETRES!$C$10:$C$14</definedName>
    <definedName name="LISTE_SESSIONS">PARAMETRES!$E$10:$E$11</definedName>
    <definedName name="LISTE_SEXE">PARAMETRES!$F$10:$F$11</definedName>
    <definedName name="LISTE_STATUTS">PARAMETRES!$G$10:$G$11</definedName>
    <definedName name="PE_RADAR_CAT">'PROFIL ELEVE'!$B$30:INDEX('PROFIL ELEVE'!$B$30:$B$37,IF(IFERROR(VLOOKUP('PROFIL ELEVE'!$M$6,TABLE_CYCLE,2,0),3)=2,5,8))</definedName>
    <definedName name="PE_RADAR_MOY">'PROFIL ELEVE'!$E$30:INDEX('PROFIL ELEVE'!$E$30:$E$37,IF(IFERROR(VLOOKUP('PROFIL ELEVE'!$M$6,TABLE_CYCLE,2,0),3)=2,5,8))</definedName>
    <definedName name="PE_RADAR_S1">'PROFIL ELEVE'!$C$30:INDEX('PROFIL ELEVE'!$C$30:$C$37,IF(IFERROR(VLOOKUP('PROFIL ELEVE'!$M$6,TABLE_CYCLE,2,0),3)=2,5,8))</definedName>
    <definedName name="PE_RADAR_S2">'PROFIL ELEVE'!$D$30:INDEX('PROFIL ELEVE'!$D$30:$D$37,IF(IFERROR(VLOOKUP('PROFIL ELEVE'!$M$6,TABLE_CYCLE,2,0),3)=2,5,8))</definedName>
    <definedName name="SE_RADAR_CAT">'STATS ECOLE'!$A$20:INDEX('STATS ECOLE'!$A$20:$A$27,IF(COUNTIFS(D_ANNEE,'STATS ECOLE'!$C$4,D_CYCLE,3)&gt;0,8,5))</definedName>
    <definedName name="SE_RADAR_NIV_S1">'STATS ECOLE'!$L$20:INDEX('STATS ECOLE'!$L$20:$L$27,IF(COUNTIFS(D_ANNEE,'STATS ECOLE'!$C$4,D_CYCLE,3)&gt;0,8,5))</definedName>
    <definedName name="SE_RADAR_NIV_S2">'STATS ECOLE'!$M$20:INDEX('STATS ECOLE'!$M$20:$M$27,IF(COUNTIFS(D_ANNEE,'STATS ECOLE'!$C$4,D_CYCLE,3)&gt;0,8,5))</definedName>
    <definedName name="SEUIL_AD">PARAMETRES!$D$36:$G$36</definedName>
    <definedName name="SEUIL_CO">PARAMETRES!$D$34:$G$34</definedName>
    <definedName name="SEUIL_EN">PARAMETRES!$D$33:$G$33</definedName>
    <definedName name="SEUIL_EQ">PARAMETRES!$D$29:$G$29</definedName>
    <definedName name="SEUIL_FO">PARAMETRES!$D$37:$G$37</definedName>
    <definedName name="SEUIL_GA">PARAMETRES!$D$35:$G$35</definedName>
    <definedName name="SEUIL_VI_C2">PARAMETRES!$D$31:$G$31</definedName>
    <definedName name="SEUIL_VI_C3">PARAMETRES!$D$32:$G$32</definedName>
    <definedName name="SL_EVO_CAT">INDEX('SUIVI LONGITUDINAL'!$B$11:$B$18,'SUIVI LONGITUDINAL'!$P$11):INDEX('SUIVI LONGITUDINAL'!$B$11:$B$18,'SUIVI LONGITUDINAL'!$P$11+'SUIVI LONGITUDINAL'!$P$12-1)</definedName>
    <definedName name="SL_EVO_NS1">INDEX('SUIVI LONGITUDINAL'!$N$11:$N$18,'SUIVI LONGITUDINAL'!$P$11):INDEX('SUIVI LONGITUDINAL'!$N$11:$N$18,'SUIVI LONGITUDINAL'!$P$11+'SUIVI LONGITUDINAL'!$P$12-1)</definedName>
    <definedName name="SL_EVO_NS2">INDEX('SUIVI LONGITUDINAL'!$O$11:$O$18,'SUIVI LONGITUDINAL'!$P$11):INDEX('SUIVI LONGITUDINAL'!$O$11:$O$18,'SUIVI LONGITUDINAL'!$P$11+'SUIVI LONGITUDINAL'!$P$12-1)</definedName>
    <definedName name="SL_EVO_PS1">INDEX('SUIVI LONGITUDINAL'!$L$11:$L$18,'SUIVI LONGITUDINAL'!$P$11):INDEX('SUIVI LONGITUDINAL'!$L$11:$L$18,'SUIVI LONGITUDINAL'!$P$11+'SUIVI LONGITUDINAL'!$P$12-1)</definedName>
    <definedName name="SL_EVO_PS2">INDEX('SUIVI LONGITUDINAL'!$M$11:$M$18,'SUIVI LONGITUDINAL'!$P$11):INDEX('SUIVI LONGITUDINAL'!$M$11:$M$18,'SUIVI LONGITUDINAL'!$P$11+'SUIVI LONGITUDINAL'!$P$12-1)</definedName>
    <definedName name="SN_RADAR_CAT">'STATS NIVEAU'!$A$8:INDEX('STATS NIVEAU'!$A$8:$A$15,IF('STATS NIVEAU'!$N$1=2,5,8))</definedName>
    <definedName name="SN_RADAR_NIV_S1">'STATS NIVEAU'!$L$8:INDEX('STATS NIVEAU'!$L$8:$L$15,IF('STATS NIVEAU'!$N$1=2,5,8))</definedName>
    <definedName name="SN_RADAR_NIV_S2">'STATS NIVEAU'!$M$8:INDEX('STATS NIVEAU'!$M$8:$M$15,IF('STATS NIVEAU'!$N$1=2,5,8))</definedName>
    <definedName name="TABLE_CYCLE">PARAMETRES!$C$10:$D$14</definedName>
    <definedName name="_xlnm.Print_Area" localSheetId="0">ACCUEIL!$A$1:$M$61</definedName>
    <definedName name="_xlnm.Print_Area" localSheetId="1">AIDE!$A$1:$B$91</definedName>
    <definedName name="_xlnm.Print_Area" localSheetId="8">COHORTE!$A$1:$G$12</definedName>
    <definedName name="_xlnm.Print_Area" localSheetId="10">'EXPORT BRUT'!$A$1:$Z$1</definedName>
    <definedName name="_xlnm.Print_Area" localSheetId="9">'EXPORT UGSEL'!$A$1:$X$19</definedName>
    <definedName name="_xlnm.Print_Area" localSheetId="4">'FICHE PARENTS'!$A$1:$J$46</definedName>
    <definedName name="_xlnm.Print_Area" localSheetId="11">PARAMETRES!$A$1:$J$63</definedName>
    <definedName name="_xlnm.Print_Area" localSheetId="3">'PROFIL ELEVE'!$A$1:$Q$61</definedName>
    <definedName name="_xlnm.Print_Area" localSheetId="13">RESSOURCES!$A$1:$H$22</definedName>
    <definedName name="_xlnm.Print_Area" localSheetId="2">SAISIE!$A$1:$R$60</definedName>
    <definedName name="_xlnm.Print_Area" localSheetId="6">'STATS ECOLE'!$A$1:$O$145</definedName>
    <definedName name="_xlnm.Print_Area" localSheetId="5">'STATS NIVEAU'!$A$1:$P$120</definedName>
    <definedName name="_xlnm.Print_Area" localSheetId="7">'SUIVI LONGITUDINAL'!$A$1:$O$62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" i="3" l="1"/>
  <c r="B20" i="14"/>
  <c r="C17" i="14"/>
  <c r="C16" i="14"/>
  <c r="C15" i="14"/>
  <c r="C14" i="14"/>
  <c r="C13" i="14"/>
  <c r="C12" i="14"/>
  <c r="C11" i="14"/>
  <c r="C10" i="14"/>
  <c r="B7" i="14"/>
  <c r="B6" i="14"/>
  <c r="B5" i="14"/>
  <c r="H2" i="14"/>
  <c r="AQ1201" i="13"/>
  <c r="P1201" i="13"/>
  <c r="X1201" i="13" s="1"/>
  <c r="O1201" i="13"/>
  <c r="W1201" i="13" s="1"/>
  <c r="N1201" i="13"/>
  <c r="V1201" i="13" s="1"/>
  <c r="M1201" i="13"/>
  <c r="U1201" i="13" s="1"/>
  <c r="L1201" i="13"/>
  <c r="T1201" i="13" s="1"/>
  <c r="K1201" i="13"/>
  <c r="S1201" i="13" s="1"/>
  <c r="J1201" i="13"/>
  <c r="R1201" i="13" s="1"/>
  <c r="I1201" i="13"/>
  <c r="Q1201" i="13" s="1"/>
  <c r="H1201" i="13"/>
  <c r="G1201" i="13"/>
  <c r="F1201" i="13"/>
  <c r="E1201" i="13"/>
  <c r="BB1201" i="13" s="1"/>
  <c r="C1201" i="13"/>
  <c r="AG1201" i="13" s="1"/>
  <c r="B1201" i="13"/>
  <c r="Z1201" i="13" s="1"/>
  <c r="A1201" i="13"/>
  <c r="AU1201" i="13" s="1"/>
  <c r="AQ1200" i="13"/>
  <c r="AG1200" i="13"/>
  <c r="P1200" i="13"/>
  <c r="X1200" i="13" s="1"/>
  <c r="O1200" i="13"/>
  <c r="W1200" i="13" s="1"/>
  <c r="N1200" i="13"/>
  <c r="V1200" i="13" s="1"/>
  <c r="M1200" i="13"/>
  <c r="U1200" i="13" s="1"/>
  <c r="L1200" i="13"/>
  <c r="T1200" i="13" s="1"/>
  <c r="K1200" i="13"/>
  <c r="S1200" i="13" s="1"/>
  <c r="J1200" i="13"/>
  <c r="R1200" i="13" s="1"/>
  <c r="I1200" i="13"/>
  <c r="Q1200" i="13" s="1"/>
  <c r="H1200" i="13"/>
  <c r="G1200" i="13"/>
  <c r="F1200" i="13"/>
  <c r="E1200" i="13"/>
  <c r="BB1200" i="13" s="1"/>
  <c r="C1200" i="13"/>
  <c r="B1200" i="13"/>
  <c r="Z1200" i="13" s="1"/>
  <c r="A1200" i="13"/>
  <c r="BB1199" i="13"/>
  <c r="AQ1199" i="13"/>
  <c r="P1199" i="13"/>
  <c r="X1199" i="13" s="1"/>
  <c r="O1199" i="13"/>
  <c r="W1199" i="13" s="1"/>
  <c r="N1199" i="13"/>
  <c r="V1199" i="13" s="1"/>
  <c r="M1199" i="13"/>
  <c r="U1199" i="13" s="1"/>
  <c r="L1199" i="13"/>
  <c r="T1199" i="13" s="1"/>
  <c r="K1199" i="13"/>
  <c r="S1199" i="13" s="1"/>
  <c r="J1199" i="13"/>
  <c r="R1199" i="13" s="1"/>
  <c r="I1199" i="13"/>
  <c r="Q1199" i="13" s="1"/>
  <c r="H1199" i="13"/>
  <c r="G1199" i="13"/>
  <c r="F1199" i="13"/>
  <c r="E1199" i="13"/>
  <c r="BA1199" i="13" s="1"/>
  <c r="C1199" i="13"/>
  <c r="AG1199" i="13" s="1"/>
  <c r="B1199" i="13"/>
  <c r="Z1199" i="13" s="1"/>
  <c r="A1199" i="13"/>
  <c r="AC1199" i="13" s="1"/>
  <c r="AQ1198" i="13"/>
  <c r="P1198" i="13"/>
  <c r="X1198" i="13" s="1"/>
  <c r="O1198" i="13"/>
  <c r="W1198" i="13" s="1"/>
  <c r="N1198" i="13"/>
  <c r="V1198" i="13" s="1"/>
  <c r="M1198" i="13"/>
  <c r="U1198" i="13" s="1"/>
  <c r="L1198" i="13"/>
  <c r="T1198" i="13" s="1"/>
  <c r="K1198" i="13"/>
  <c r="S1198" i="13" s="1"/>
  <c r="J1198" i="13"/>
  <c r="R1198" i="13" s="1"/>
  <c r="I1198" i="13"/>
  <c r="Q1198" i="13" s="1"/>
  <c r="H1198" i="13"/>
  <c r="G1198" i="13"/>
  <c r="F1198" i="13"/>
  <c r="E1198" i="13"/>
  <c r="BB1198" i="13" s="1"/>
  <c r="C1198" i="13"/>
  <c r="AG1198" i="13" s="1"/>
  <c r="AK1198" i="13" s="1"/>
  <c r="B1198" i="13"/>
  <c r="Z1198" i="13" s="1"/>
  <c r="A1198" i="13"/>
  <c r="AC1198" i="13" s="1"/>
  <c r="AQ1197" i="13"/>
  <c r="P1197" i="13"/>
  <c r="X1197" i="13" s="1"/>
  <c r="O1197" i="13"/>
  <c r="W1197" i="13" s="1"/>
  <c r="N1197" i="13"/>
  <c r="V1197" i="13" s="1"/>
  <c r="M1197" i="13"/>
  <c r="U1197" i="13" s="1"/>
  <c r="L1197" i="13"/>
  <c r="T1197" i="13" s="1"/>
  <c r="K1197" i="13"/>
  <c r="S1197" i="13" s="1"/>
  <c r="J1197" i="13"/>
  <c r="R1197" i="13" s="1"/>
  <c r="I1197" i="13"/>
  <c r="Q1197" i="13" s="1"/>
  <c r="H1197" i="13"/>
  <c r="G1197" i="13"/>
  <c r="F1197" i="13"/>
  <c r="E1197" i="13"/>
  <c r="BB1197" i="13" s="1"/>
  <c r="C1197" i="13"/>
  <c r="AG1197" i="13" s="1"/>
  <c r="B1197" i="13"/>
  <c r="Z1197" i="13" s="1"/>
  <c r="A1197" i="13"/>
  <c r="AQ1196" i="13"/>
  <c r="P1196" i="13"/>
  <c r="X1196" i="13" s="1"/>
  <c r="O1196" i="13"/>
  <c r="W1196" i="13" s="1"/>
  <c r="N1196" i="13"/>
  <c r="V1196" i="13" s="1"/>
  <c r="M1196" i="13"/>
  <c r="U1196" i="13" s="1"/>
  <c r="L1196" i="13"/>
  <c r="T1196" i="13" s="1"/>
  <c r="K1196" i="13"/>
  <c r="S1196" i="13" s="1"/>
  <c r="J1196" i="13"/>
  <c r="R1196" i="13" s="1"/>
  <c r="I1196" i="13"/>
  <c r="Q1196" i="13" s="1"/>
  <c r="H1196" i="13"/>
  <c r="G1196" i="13"/>
  <c r="F1196" i="13"/>
  <c r="E1196" i="13"/>
  <c r="BB1196" i="13" s="1"/>
  <c r="C1196" i="13"/>
  <c r="AG1196" i="13" s="1"/>
  <c r="B1196" i="13"/>
  <c r="Z1196" i="13" s="1"/>
  <c r="A1196" i="13"/>
  <c r="AU1196" i="13" s="1"/>
  <c r="AQ1195" i="13"/>
  <c r="P1195" i="13"/>
  <c r="X1195" i="13" s="1"/>
  <c r="O1195" i="13"/>
  <c r="W1195" i="13" s="1"/>
  <c r="N1195" i="13"/>
  <c r="V1195" i="13" s="1"/>
  <c r="M1195" i="13"/>
  <c r="U1195" i="13" s="1"/>
  <c r="L1195" i="13"/>
  <c r="T1195" i="13" s="1"/>
  <c r="K1195" i="13"/>
  <c r="S1195" i="13" s="1"/>
  <c r="J1195" i="13"/>
  <c r="R1195" i="13" s="1"/>
  <c r="I1195" i="13"/>
  <c r="Q1195" i="13" s="1"/>
  <c r="H1195" i="13"/>
  <c r="G1195" i="13"/>
  <c r="F1195" i="13"/>
  <c r="E1195" i="13"/>
  <c r="C1195" i="13"/>
  <c r="AG1195" i="13" s="1"/>
  <c r="B1195" i="13"/>
  <c r="Z1195" i="13" s="1"/>
  <c r="A1195" i="13"/>
  <c r="AR1195" i="13" s="1"/>
  <c r="AQ1194" i="13"/>
  <c r="P1194" i="13"/>
  <c r="X1194" i="13" s="1"/>
  <c r="O1194" i="13"/>
  <c r="W1194" i="13" s="1"/>
  <c r="N1194" i="13"/>
  <c r="V1194" i="13" s="1"/>
  <c r="M1194" i="13"/>
  <c r="U1194" i="13" s="1"/>
  <c r="L1194" i="13"/>
  <c r="T1194" i="13" s="1"/>
  <c r="K1194" i="13"/>
  <c r="S1194" i="13" s="1"/>
  <c r="J1194" i="13"/>
  <c r="R1194" i="13" s="1"/>
  <c r="I1194" i="13"/>
  <c r="Q1194" i="13" s="1"/>
  <c r="H1194" i="13"/>
  <c r="G1194" i="13"/>
  <c r="F1194" i="13"/>
  <c r="E1194" i="13"/>
  <c r="BB1194" i="13" s="1"/>
  <c r="C1194" i="13"/>
  <c r="AG1194" i="13" s="1"/>
  <c r="AK1194" i="13" s="1"/>
  <c r="B1194" i="13"/>
  <c r="Z1194" i="13" s="1"/>
  <c r="A1194" i="13"/>
  <c r="AQ1193" i="13"/>
  <c r="P1193" i="13"/>
  <c r="X1193" i="13" s="1"/>
  <c r="O1193" i="13"/>
  <c r="W1193" i="13" s="1"/>
  <c r="N1193" i="13"/>
  <c r="V1193" i="13" s="1"/>
  <c r="M1193" i="13"/>
  <c r="U1193" i="13" s="1"/>
  <c r="L1193" i="13"/>
  <c r="T1193" i="13" s="1"/>
  <c r="K1193" i="13"/>
  <c r="S1193" i="13" s="1"/>
  <c r="J1193" i="13"/>
  <c r="R1193" i="13" s="1"/>
  <c r="I1193" i="13"/>
  <c r="Q1193" i="13" s="1"/>
  <c r="H1193" i="13"/>
  <c r="G1193" i="13"/>
  <c r="F1193" i="13"/>
  <c r="E1193" i="13"/>
  <c r="BB1193" i="13" s="1"/>
  <c r="C1193" i="13"/>
  <c r="AG1193" i="13" s="1"/>
  <c r="B1193" i="13"/>
  <c r="Z1193" i="13" s="1"/>
  <c r="A1193" i="13"/>
  <c r="AQ1192" i="13"/>
  <c r="P1192" i="13"/>
  <c r="X1192" i="13" s="1"/>
  <c r="O1192" i="13"/>
  <c r="W1192" i="13" s="1"/>
  <c r="N1192" i="13"/>
  <c r="V1192" i="13" s="1"/>
  <c r="M1192" i="13"/>
  <c r="U1192" i="13" s="1"/>
  <c r="L1192" i="13"/>
  <c r="T1192" i="13" s="1"/>
  <c r="K1192" i="13"/>
  <c r="S1192" i="13" s="1"/>
  <c r="J1192" i="13"/>
  <c r="R1192" i="13" s="1"/>
  <c r="I1192" i="13"/>
  <c r="Q1192" i="13" s="1"/>
  <c r="H1192" i="13"/>
  <c r="G1192" i="13"/>
  <c r="F1192" i="13"/>
  <c r="E1192" i="13"/>
  <c r="BB1192" i="13" s="1"/>
  <c r="C1192" i="13"/>
  <c r="AG1192" i="13" s="1"/>
  <c r="B1192" i="13"/>
  <c r="Z1192" i="13" s="1"/>
  <c r="A1192" i="13"/>
  <c r="AQ1191" i="13"/>
  <c r="P1191" i="13"/>
  <c r="X1191" i="13" s="1"/>
  <c r="O1191" i="13"/>
  <c r="W1191" i="13" s="1"/>
  <c r="N1191" i="13"/>
  <c r="V1191" i="13" s="1"/>
  <c r="M1191" i="13"/>
  <c r="U1191" i="13" s="1"/>
  <c r="L1191" i="13"/>
  <c r="T1191" i="13" s="1"/>
  <c r="K1191" i="13"/>
  <c r="S1191" i="13" s="1"/>
  <c r="J1191" i="13"/>
  <c r="R1191" i="13" s="1"/>
  <c r="I1191" i="13"/>
  <c r="Q1191" i="13" s="1"/>
  <c r="H1191" i="13"/>
  <c r="G1191" i="13"/>
  <c r="F1191" i="13"/>
  <c r="E1191" i="13"/>
  <c r="BB1191" i="13" s="1"/>
  <c r="C1191" i="13"/>
  <c r="AG1191" i="13" s="1"/>
  <c r="B1191" i="13"/>
  <c r="Z1191" i="13" s="1"/>
  <c r="A1191" i="13"/>
  <c r="AC1191" i="13" s="1"/>
  <c r="AQ1190" i="13"/>
  <c r="P1190" i="13"/>
  <c r="X1190" i="13" s="1"/>
  <c r="O1190" i="13"/>
  <c r="W1190" i="13" s="1"/>
  <c r="N1190" i="13"/>
  <c r="V1190" i="13" s="1"/>
  <c r="M1190" i="13"/>
  <c r="U1190" i="13" s="1"/>
  <c r="L1190" i="13"/>
  <c r="T1190" i="13" s="1"/>
  <c r="K1190" i="13"/>
  <c r="S1190" i="13" s="1"/>
  <c r="J1190" i="13"/>
  <c r="R1190" i="13" s="1"/>
  <c r="I1190" i="13"/>
  <c r="Q1190" i="13" s="1"/>
  <c r="H1190" i="13"/>
  <c r="G1190" i="13"/>
  <c r="F1190" i="13"/>
  <c r="E1190" i="13"/>
  <c r="S1190" i="11" s="1"/>
  <c r="C1190" i="13"/>
  <c r="AG1190" i="13" s="1"/>
  <c r="B1190" i="13"/>
  <c r="Z1190" i="13" s="1"/>
  <c r="A1190" i="13"/>
  <c r="AR1190" i="13" s="1"/>
  <c r="AQ1189" i="13"/>
  <c r="U1189" i="13"/>
  <c r="P1189" i="13"/>
  <c r="X1189" i="13" s="1"/>
  <c r="O1189" i="13"/>
  <c r="W1189" i="13" s="1"/>
  <c r="N1189" i="13"/>
  <c r="V1189" i="13" s="1"/>
  <c r="M1189" i="13"/>
  <c r="L1189" i="13"/>
  <c r="T1189" i="13" s="1"/>
  <c r="K1189" i="13"/>
  <c r="S1189" i="13" s="1"/>
  <c r="J1189" i="13"/>
  <c r="R1189" i="13" s="1"/>
  <c r="I1189" i="13"/>
  <c r="Q1189" i="13" s="1"/>
  <c r="H1189" i="13"/>
  <c r="G1189" i="13"/>
  <c r="F1189" i="13"/>
  <c r="E1189" i="13"/>
  <c r="C1189" i="13"/>
  <c r="AG1189" i="13" s="1"/>
  <c r="B1189" i="13"/>
  <c r="Z1189" i="13" s="1"/>
  <c r="A1189" i="13"/>
  <c r="AU1189" i="13" s="1"/>
  <c r="AQ1188" i="13"/>
  <c r="P1188" i="13"/>
  <c r="X1188" i="13" s="1"/>
  <c r="O1188" i="13"/>
  <c r="W1188" i="13" s="1"/>
  <c r="N1188" i="13"/>
  <c r="V1188" i="13" s="1"/>
  <c r="M1188" i="13"/>
  <c r="U1188" i="13" s="1"/>
  <c r="L1188" i="13"/>
  <c r="T1188" i="13" s="1"/>
  <c r="K1188" i="13"/>
  <c r="S1188" i="13" s="1"/>
  <c r="J1188" i="13"/>
  <c r="R1188" i="13" s="1"/>
  <c r="I1188" i="13"/>
  <c r="Q1188" i="13" s="1"/>
  <c r="H1188" i="13"/>
  <c r="G1188" i="13"/>
  <c r="F1188" i="13"/>
  <c r="E1188" i="13"/>
  <c r="C1188" i="13"/>
  <c r="AG1188" i="13" s="1"/>
  <c r="B1188" i="13"/>
  <c r="Z1188" i="13" s="1"/>
  <c r="A1188" i="13"/>
  <c r="AQ1187" i="13"/>
  <c r="P1187" i="13"/>
  <c r="X1187" i="13" s="1"/>
  <c r="O1187" i="13"/>
  <c r="W1187" i="13" s="1"/>
  <c r="N1187" i="13"/>
  <c r="V1187" i="13" s="1"/>
  <c r="M1187" i="13"/>
  <c r="U1187" i="13" s="1"/>
  <c r="L1187" i="13"/>
  <c r="T1187" i="13" s="1"/>
  <c r="K1187" i="13"/>
  <c r="S1187" i="13" s="1"/>
  <c r="J1187" i="13"/>
  <c r="R1187" i="13" s="1"/>
  <c r="I1187" i="13"/>
  <c r="Q1187" i="13" s="1"/>
  <c r="H1187" i="13"/>
  <c r="G1187" i="13"/>
  <c r="F1187" i="13"/>
  <c r="E1187" i="13"/>
  <c r="C1187" i="13"/>
  <c r="AG1187" i="13" s="1"/>
  <c r="AK1187" i="13" s="1"/>
  <c r="B1187" i="13"/>
  <c r="Z1187" i="13" s="1"/>
  <c r="A1187" i="13"/>
  <c r="AC1187" i="13" s="1"/>
  <c r="AQ1186" i="13"/>
  <c r="P1186" i="13"/>
  <c r="X1186" i="13" s="1"/>
  <c r="O1186" i="13"/>
  <c r="W1186" i="13" s="1"/>
  <c r="N1186" i="13"/>
  <c r="V1186" i="13" s="1"/>
  <c r="M1186" i="13"/>
  <c r="U1186" i="13" s="1"/>
  <c r="L1186" i="13"/>
  <c r="T1186" i="13" s="1"/>
  <c r="K1186" i="13"/>
  <c r="S1186" i="13" s="1"/>
  <c r="J1186" i="13"/>
  <c r="R1186" i="13" s="1"/>
  <c r="I1186" i="13"/>
  <c r="Q1186" i="13" s="1"/>
  <c r="H1186" i="13"/>
  <c r="G1186" i="13"/>
  <c r="F1186" i="13"/>
  <c r="E1186" i="13"/>
  <c r="BB1186" i="13" s="1"/>
  <c r="C1186" i="13"/>
  <c r="AG1186" i="13" s="1"/>
  <c r="B1186" i="13"/>
  <c r="Z1186" i="13" s="1"/>
  <c r="A1186" i="13"/>
  <c r="AQ1185" i="13"/>
  <c r="P1185" i="13"/>
  <c r="X1185" i="13" s="1"/>
  <c r="O1185" i="13"/>
  <c r="W1185" i="13" s="1"/>
  <c r="N1185" i="13"/>
  <c r="V1185" i="13" s="1"/>
  <c r="M1185" i="13"/>
  <c r="U1185" i="13" s="1"/>
  <c r="L1185" i="13"/>
  <c r="T1185" i="13" s="1"/>
  <c r="K1185" i="13"/>
  <c r="S1185" i="13" s="1"/>
  <c r="J1185" i="13"/>
  <c r="R1185" i="13" s="1"/>
  <c r="I1185" i="13"/>
  <c r="Q1185" i="13" s="1"/>
  <c r="H1185" i="13"/>
  <c r="G1185" i="13"/>
  <c r="F1185" i="13"/>
  <c r="E1185" i="13"/>
  <c r="BB1185" i="13" s="1"/>
  <c r="C1185" i="13"/>
  <c r="AG1185" i="13" s="1"/>
  <c r="B1185" i="13"/>
  <c r="Z1185" i="13" s="1"/>
  <c r="A1185" i="13"/>
  <c r="AQ1184" i="13"/>
  <c r="AG1184" i="13"/>
  <c r="P1184" i="13"/>
  <c r="X1184" i="13" s="1"/>
  <c r="O1184" i="13"/>
  <c r="W1184" i="13" s="1"/>
  <c r="N1184" i="13"/>
  <c r="V1184" i="13" s="1"/>
  <c r="M1184" i="13"/>
  <c r="U1184" i="13" s="1"/>
  <c r="L1184" i="13"/>
  <c r="T1184" i="13" s="1"/>
  <c r="K1184" i="13"/>
  <c r="S1184" i="13" s="1"/>
  <c r="J1184" i="13"/>
  <c r="R1184" i="13" s="1"/>
  <c r="I1184" i="13"/>
  <c r="Q1184" i="13" s="1"/>
  <c r="H1184" i="13"/>
  <c r="G1184" i="13"/>
  <c r="F1184" i="13"/>
  <c r="E1184" i="13"/>
  <c r="BA1184" i="13" s="1"/>
  <c r="C1184" i="13"/>
  <c r="B1184" i="13"/>
  <c r="Z1184" i="13" s="1"/>
  <c r="A1184" i="13"/>
  <c r="AC1184" i="13" s="1"/>
  <c r="AU1183" i="13"/>
  <c r="AQ1183" i="13"/>
  <c r="R1183" i="13"/>
  <c r="P1183" i="13"/>
  <c r="X1183" i="13" s="1"/>
  <c r="O1183" i="13"/>
  <c r="W1183" i="13" s="1"/>
  <c r="N1183" i="13"/>
  <c r="V1183" i="13" s="1"/>
  <c r="M1183" i="13"/>
  <c r="U1183" i="13" s="1"/>
  <c r="L1183" i="13"/>
  <c r="T1183" i="13" s="1"/>
  <c r="K1183" i="13"/>
  <c r="S1183" i="13" s="1"/>
  <c r="J1183" i="13"/>
  <c r="I1183" i="13"/>
  <c r="Q1183" i="13" s="1"/>
  <c r="H1183" i="13"/>
  <c r="G1183" i="13"/>
  <c r="F1183" i="13"/>
  <c r="E1183" i="13"/>
  <c r="BB1183" i="13" s="1"/>
  <c r="C1183" i="13"/>
  <c r="AG1183" i="13" s="1"/>
  <c r="B1183" i="13"/>
  <c r="AR1183" i="13" s="1"/>
  <c r="A1183" i="13"/>
  <c r="AC1183" i="13" s="1"/>
  <c r="AQ1182" i="13"/>
  <c r="P1182" i="13"/>
  <c r="X1182" i="13" s="1"/>
  <c r="O1182" i="13"/>
  <c r="W1182" i="13" s="1"/>
  <c r="N1182" i="13"/>
  <c r="V1182" i="13" s="1"/>
  <c r="M1182" i="13"/>
  <c r="U1182" i="13" s="1"/>
  <c r="L1182" i="13"/>
  <c r="T1182" i="13" s="1"/>
  <c r="K1182" i="13"/>
  <c r="S1182" i="13" s="1"/>
  <c r="J1182" i="13"/>
  <c r="R1182" i="13" s="1"/>
  <c r="I1182" i="13"/>
  <c r="Q1182" i="13" s="1"/>
  <c r="H1182" i="13"/>
  <c r="G1182" i="13"/>
  <c r="F1182" i="13"/>
  <c r="E1182" i="13"/>
  <c r="BA1182" i="13" s="1"/>
  <c r="C1182" i="13"/>
  <c r="AG1182" i="13" s="1"/>
  <c r="AK1182" i="13" s="1"/>
  <c r="B1182" i="13"/>
  <c r="Z1182" i="13" s="1"/>
  <c r="A1182" i="13"/>
  <c r="AU1182" i="13" s="1"/>
  <c r="AQ1181" i="13"/>
  <c r="P1181" i="13"/>
  <c r="X1181" i="13" s="1"/>
  <c r="O1181" i="13"/>
  <c r="W1181" i="13" s="1"/>
  <c r="N1181" i="13"/>
  <c r="V1181" i="13" s="1"/>
  <c r="M1181" i="13"/>
  <c r="U1181" i="13" s="1"/>
  <c r="L1181" i="13"/>
  <c r="T1181" i="13" s="1"/>
  <c r="K1181" i="13"/>
  <c r="S1181" i="13" s="1"/>
  <c r="J1181" i="13"/>
  <c r="R1181" i="13" s="1"/>
  <c r="I1181" i="13"/>
  <c r="Q1181" i="13" s="1"/>
  <c r="H1181" i="13"/>
  <c r="G1181" i="13"/>
  <c r="F1181" i="13"/>
  <c r="E1181" i="13"/>
  <c r="C1181" i="13"/>
  <c r="AG1181" i="13" s="1"/>
  <c r="B1181" i="13"/>
  <c r="Z1181" i="13" s="1"/>
  <c r="A1181" i="13"/>
  <c r="AQ1180" i="13"/>
  <c r="AG1180" i="13"/>
  <c r="T1180" i="13"/>
  <c r="P1180" i="13"/>
  <c r="X1180" i="13" s="1"/>
  <c r="AO1180" i="13" s="1"/>
  <c r="O1180" i="13"/>
  <c r="W1180" i="13" s="1"/>
  <c r="N1180" i="13"/>
  <c r="V1180" i="13" s="1"/>
  <c r="M1180" i="13"/>
  <c r="U1180" i="13" s="1"/>
  <c r="L1180" i="13"/>
  <c r="K1180" i="13"/>
  <c r="S1180" i="13" s="1"/>
  <c r="AJ1180" i="13" s="1"/>
  <c r="J1180" i="13"/>
  <c r="R1180" i="13" s="1"/>
  <c r="I1180" i="13"/>
  <c r="Q1180" i="13" s="1"/>
  <c r="H1180" i="13"/>
  <c r="G1180" i="13"/>
  <c r="F1180" i="13"/>
  <c r="E1180" i="13"/>
  <c r="BA1180" i="13" s="1"/>
  <c r="C1180" i="13"/>
  <c r="B1180" i="13"/>
  <c r="Z1180" i="13" s="1"/>
  <c r="A1180" i="13"/>
  <c r="BA1179" i="13"/>
  <c r="AU1179" i="13"/>
  <c r="AR1179" i="13"/>
  <c r="AQ1179" i="13"/>
  <c r="P1179" i="13"/>
  <c r="X1179" i="13" s="1"/>
  <c r="O1179" i="13"/>
  <c r="W1179" i="13" s="1"/>
  <c r="N1179" i="13"/>
  <c r="V1179" i="13" s="1"/>
  <c r="M1179" i="13"/>
  <c r="U1179" i="13" s="1"/>
  <c r="L1179" i="13"/>
  <c r="T1179" i="13" s="1"/>
  <c r="K1179" i="13"/>
  <c r="S1179" i="13" s="1"/>
  <c r="J1179" i="13"/>
  <c r="R1179" i="13" s="1"/>
  <c r="I1179" i="13"/>
  <c r="Q1179" i="13" s="1"/>
  <c r="H1179" i="13"/>
  <c r="G1179" i="13"/>
  <c r="F1179" i="13"/>
  <c r="E1179" i="13"/>
  <c r="BB1179" i="13" s="1"/>
  <c r="C1179" i="13"/>
  <c r="AG1179" i="13" s="1"/>
  <c r="B1179" i="13"/>
  <c r="Z1179" i="13" s="1"/>
  <c r="A1179" i="13"/>
  <c r="AC1179" i="13" s="1"/>
  <c r="AQ1178" i="13"/>
  <c r="P1178" i="13"/>
  <c r="X1178" i="13" s="1"/>
  <c r="O1178" i="13"/>
  <c r="W1178" i="13" s="1"/>
  <c r="N1178" i="13"/>
  <c r="V1178" i="13" s="1"/>
  <c r="M1178" i="13"/>
  <c r="U1178" i="13" s="1"/>
  <c r="L1178" i="13"/>
  <c r="T1178" i="13" s="1"/>
  <c r="K1178" i="13"/>
  <c r="S1178" i="13" s="1"/>
  <c r="J1178" i="13"/>
  <c r="R1178" i="13" s="1"/>
  <c r="I1178" i="13"/>
  <c r="Q1178" i="13" s="1"/>
  <c r="H1178" i="13"/>
  <c r="G1178" i="13"/>
  <c r="F1178" i="13"/>
  <c r="E1178" i="13"/>
  <c r="BB1178" i="13" s="1"/>
  <c r="C1178" i="13"/>
  <c r="AG1178" i="13" s="1"/>
  <c r="AN1178" i="13" s="1"/>
  <c r="B1178" i="13"/>
  <c r="Z1178" i="13" s="1"/>
  <c r="A1178" i="13"/>
  <c r="AU1178" i="13" s="1"/>
  <c r="AQ1177" i="13"/>
  <c r="T1177" i="13"/>
  <c r="P1177" i="13"/>
  <c r="X1177" i="13" s="1"/>
  <c r="O1177" i="13"/>
  <c r="W1177" i="13" s="1"/>
  <c r="N1177" i="13"/>
  <c r="V1177" i="13" s="1"/>
  <c r="M1177" i="13"/>
  <c r="U1177" i="13" s="1"/>
  <c r="L1177" i="13"/>
  <c r="K1177" i="13"/>
  <c r="S1177" i="13" s="1"/>
  <c r="J1177" i="13"/>
  <c r="R1177" i="13" s="1"/>
  <c r="I1177" i="13"/>
  <c r="Q1177" i="13" s="1"/>
  <c r="H1177" i="13"/>
  <c r="G1177" i="13"/>
  <c r="F1177" i="13"/>
  <c r="E1177" i="13"/>
  <c r="BA1177" i="13" s="1"/>
  <c r="C1177" i="13"/>
  <c r="B1177" i="13"/>
  <c r="Z1177" i="13" s="1"/>
  <c r="A1177" i="13"/>
  <c r="AU1176" i="13"/>
  <c r="AR1176" i="13"/>
  <c r="AQ1176" i="13"/>
  <c r="AG1176" i="13"/>
  <c r="P1176" i="13"/>
  <c r="X1176" i="13" s="1"/>
  <c r="O1176" i="13"/>
  <c r="W1176" i="13" s="1"/>
  <c r="N1176" i="13"/>
  <c r="V1176" i="13" s="1"/>
  <c r="M1176" i="13"/>
  <c r="U1176" i="13" s="1"/>
  <c r="L1176" i="13"/>
  <c r="T1176" i="13" s="1"/>
  <c r="K1176" i="13"/>
  <c r="S1176" i="13" s="1"/>
  <c r="J1176" i="13"/>
  <c r="R1176" i="13" s="1"/>
  <c r="I1176" i="13"/>
  <c r="Q1176" i="13" s="1"/>
  <c r="H1176" i="13"/>
  <c r="G1176" i="13"/>
  <c r="F1176" i="13"/>
  <c r="E1176" i="13"/>
  <c r="BA1176" i="13" s="1"/>
  <c r="C1176" i="13"/>
  <c r="B1176" i="13"/>
  <c r="Z1176" i="13" s="1"/>
  <c r="A1176" i="13"/>
  <c r="AC1176" i="13" s="1"/>
  <c r="AQ1175" i="13"/>
  <c r="P1175" i="13"/>
  <c r="X1175" i="13" s="1"/>
  <c r="O1175" i="13"/>
  <c r="W1175" i="13" s="1"/>
  <c r="N1175" i="13"/>
  <c r="V1175" i="13" s="1"/>
  <c r="M1175" i="13"/>
  <c r="U1175" i="13" s="1"/>
  <c r="L1175" i="13"/>
  <c r="T1175" i="13" s="1"/>
  <c r="K1175" i="13"/>
  <c r="S1175" i="13" s="1"/>
  <c r="J1175" i="13"/>
  <c r="R1175" i="13" s="1"/>
  <c r="I1175" i="13"/>
  <c r="Q1175" i="13" s="1"/>
  <c r="H1175" i="13"/>
  <c r="G1175" i="13"/>
  <c r="F1175" i="13"/>
  <c r="E1175" i="13"/>
  <c r="BB1175" i="13" s="1"/>
  <c r="C1175" i="13"/>
  <c r="AG1175" i="13" s="1"/>
  <c r="B1175" i="13"/>
  <c r="Z1175" i="13" s="1"/>
  <c r="A1175" i="13"/>
  <c r="AQ1174" i="13"/>
  <c r="P1174" i="13"/>
  <c r="X1174" i="13" s="1"/>
  <c r="O1174" i="13"/>
  <c r="W1174" i="13" s="1"/>
  <c r="N1174" i="13"/>
  <c r="V1174" i="13" s="1"/>
  <c r="M1174" i="13"/>
  <c r="U1174" i="13" s="1"/>
  <c r="L1174" i="13"/>
  <c r="T1174" i="13" s="1"/>
  <c r="K1174" i="13"/>
  <c r="S1174" i="13" s="1"/>
  <c r="J1174" i="13"/>
  <c r="R1174" i="13" s="1"/>
  <c r="I1174" i="13"/>
  <c r="Q1174" i="13" s="1"/>
  <c r="H1174" i="13"/>
  <c r="G1174" i="13"/>
  <c r="F1174" i="13"/>
  <c r="E1174" i="13"/>
  <c r="C1174" i="13"/>
  <c r="AG1174" i="13" s="1"/>
  <c r="B1174" i="13"/>
  <c r="Z1174" i="13" s="1"/>
  <c r="A1174" i="13"/>
  <c r="AC1174" i="13" s="1"/>
  <c r="AQ1173" i="13"/>
  <c r="U1173" i="13"/>
  <c r="P1173" i="13"/>
  <c r="X1173" i="13" s="1"/>
  <c r="O1173" i="13"/>
  <c r="W1173" i="13" s="1"/>
  <c r="N1173" i="13"/>
  <c r="V1173" i="13" s="1"/>
  <c r="M1173" i="13"/>
  <c r="L1173" i="13"/>
  <c r="T1173" i="13" s="1"/>
  <c r="K1173" i="13"/>
  <c r="S1173" i="13" s="1"/>
  <c r="J1173" i="13"/>
  <c r="R1173" i="13" s="1"/>
  <c r="I1173" i="13"/>
  <c r="Q1173" i="13" s="1"/>
  <c r="H1173" i="13"/>
  <c r="G1173" i="13"/>
  <c r="F1173" i="13"/>
  <c r="E1173" i="13"/>
  <c r="C1173" i="13"/>
  <c r="AG1173" i="13" s="1"/>
  <c r="B1173" i="13"/>
  <c r="Z1173" i="13" s="1"/>
  <c r="A1173" i="13"/>
  <c r="BB1172" i="13"/>
  <c r="AQ1172" i="13"/>
  <c r="P1172" i="13"/>
  <c r="X1172" i="13" s="1"/>
  <c r="O1172" i="13"/>
  <c r="W1172" i="13" s="1"/>
  <c r="N1172" i="13"/>
  <c r="V1172" i="13" s="1"/>
  <c r="M1172" i="13"/>
  <c r="U1172" i="13" s="1"/>
  <c r="L1172" i="13"/>
  <c r="T1172" i="13" s="1"/>
  <c r="K1172" i="13"/>
  <c r="S1172" i="13" s="1"/>
  <c r="J1172" i="13"/>
  <c r="R1172" i="13" s="1"/>
  <c r="I1172" i="13"/>
  <c r="Q1172" i="13" s="1"/>
  <c r="H1172" i="13"/>
  <c r="G1172" i="13"/>
  <c r="F1172" i="13"/>
  <c r="E1172" i="13"/>
  <c r="BA1172" i="13" s="1"/>
  <c r="C1172" i="13"/>
  <c r="AG1172" i="13" s="1"/>
  <c r="AL1172" i="13" s="1"/>
  <c r="B1172" i="13"/>
  <c r="Z1172" i="13" s="1"/>
  <c r="A1172" i="13"/>
  <c r="AU1172" i="13" s="1"/>
  <c r="AQ1171" i="13"/>
  <c r="P1171" i="13"/>
  <c r="X1171" i="13" s="1"/>
  <c r="O1171" i="13"/>
  <c r="W1171" i="13" s="1"/>
  <c r="N1171" i="13"/>
  <c r="V1171" i="13" s="1"/>
  <c r="M1171" i="13"/>
  <c r="U1171" i="13" s="1"/>
  <c r="L1171" i="13"/>
  <c r="T1171" i="13" s="1"/>
  <c r="K1171" i="13"/>
  <c r="S1171" i="13" s="1"/>
  <c r="J1171" i="13"/>
  <c r="R1171" i="13" s="1"/>
  <c r="I1171" i="13"/>
  <c r="Q1171" i="13" s="1"/>
  <c r="H1171" i="13"/>
  <c r="G1171" i="13"/>
  <c r="F1171" i="13"/>
  <c r="E1171" i="13"/>
  <c r="BA1171" i="13" s="1"/>
  <c r="C1171" i="13"/>
  <c r="AG1171" i="13" s="1"/>
  <c r="B1171" i="13"/>
  <c r="Z1171" i="13" s="1"/>
  <c r="A1171" i="13"/>
  <c r="AQ1170" i="13"/>
  <c r="P1170" i="13"/>
  <c r="X1170" i="13" s="1"/>
  <c r="O1170" i="13"/>
  <c r="W1170" i="13" s="1"/>
  <c r="N1170" i="13"/>
  <c r="V1170" i="13" s="1"/>
  <c r="M1170" i="13"/>
  <c r="U1170" i="13" s="1"/>
  <c r="L1170" i="13"/>
  <c r="T1170" i="13" s="1"/>
  <c r="K1170" i="13"/>
  <c r="S1170" i="13" s="1"/>
  <c r="J1170" i="13"/>
  <c r="R1170" i="13" s="1"/>
  <c r="I1170" i="13"/>
  <c r="Q1170" i="13" s="1"/>
  <c r="H1170" i="13"/>
  <c r="G1170" i="13"/>
  <c r="F1170" i="13"/>
  <c r="E1170" i="13"/>
  <c r="C1170" i="13"/>
  <c r="AG1170" i="13" s="1"/>
  <c r="B1170" i="13"/>
  <c r="A1170" i="13"/>
  <c r="AU1170" i="13" s="1"/>
  <c r="AQ1169" i="13"/>
  <c r="U1169" i="13"/>
  <c r="P1169" i="13"/>
  <c r="X1169" i="13" s="1"/>
  <c r="O1169" i="13"/>
  <c r="W1169" i="13" s="1"/>
  <c r="N1169" i="13"/>
  <c r="V1169" i="13" s="1"/>
  <c r="M1169" i="13"/>
  <c r="L1169" i="13"/>
  <c r="T1169" i="13" s="1"/>
  <c r="K1169" i="13"/>
  <c r="S1169" i="13" s="1"/>
  <c r="J1169" i="13"/>
  <c r="R1169" i="13" s="1"/>
  <c r="I1169" i="13"/>
  <c r="Q1169" i="13" s="1"/>
  <c r="H1169" i="13"/>
  <c r="G1169" i="13"/>
  <c r="F1169" i="13"/>
  <c r="E1169" i="13"/>
  <c r="BB1169" i="13" s="1"/>
  <c r="C1169" i="13"/>
  <c r="AG1169" i="13" s="1"/>
  <c r="AK1169" i="13" s="1"/>
  <c r="B1169" i="13"/>
  <c r="A1169" i="13"/>
  <c r="AQ1168" i="13"/>
  <c r="P1168" i="13"/>
  <c r="X1168" i="13" s="1"/>
  <c r="O1168" i="13"/>
  <c r="W1168" i="13" s="1"/>
  <c r="N1168" i="13"/>
  <c r="V1168" i="13" s="1"/>
  <c r="M1168" i="13"/>
  <c r="U1168" i="13" s="1"/>
  <c r="L1168" i="13"/>
  <c r="T1168" i="13" s="1"/>
  <c r="K1168" i="13"/>
  <c r="S1168" i="13" s="1"/>
  <c r="J1168" i="13"/>
  <c r="R1168" i="13" s="1"/>
  <c r="I1168" i="13"/>
  <c r="Q1168" i="13" s="1"/>
  <c r="H1168" i="13"/>
  <c r="G1168" i="13"/>
  <c r="F1168" i="13"/>
  <c r="E1168" i="13"/>
  <c r="BA1168" i="13" s="1"/>
  <c r="C1168" i="13"/>
  <c r="AG1168" i="13" s="1"/>
  <c r="B1168" i="13"/>
  <c r="Z1168" i="13" s="1"/>
  <c r="A1168" i="13"/>
  <c r="AR1167" i="13"/>
  <c r="AQ1167" i="13"/>
  <c r="P1167" i="13"/>
  <c r="X1167" i="13" s="1"/>
  <c r="O1167" i="13"/>
  <c r="W1167" i="13" s="1"/>
  <c r="N1167" i="13"/>
  <c r="V1167" i="13" s="1"/>
  <c r="M1167" i="13"/>
  <c r="U1167" i="13" s="1"/>
  <c r="L1167" i="13"/>
  <c r="T1167" i="13" s="1"/>
  <c r="K1167" i="13"/>
  <c r="S1167" i="13" s="1"/>
  <c r="J1167" i="13"/>
  <c r="R1167" i="13" s="1"/>
  <c r="I1167" i="13"/>
  <c r="Q1167" i="13" s="1"/>
  <c r="H1167" i="13"/>
  <c r="G1167" i="13"/>
  <c r="F1167" i="13"/>
  <c r="E1167" i="13"/>
  <c r="C1167" i="13"/>
  <c r="AG1167" i="13" s="1"/>
  <c r="B1167" i="13"/>
  <c r="Z1167" i="13" s="1"/>
  <c r="A1167" i="13"/>
  <c r="AC1167" i="13" s="1"/>
  <c r="AQ1166" i="13"/>
  <c r="P1166" i="13"/>
  <c r="X1166" i="13" s="1"/>
  <c r="O1166" i="13"/>
  <c r="W1166" i="13" s="1"/>
  <c r="N1166" i="13"/>
  <c r="V1166" i="13" s="1"/>
  <c r="M1166" i="13"/>
  <c r="U1166" i="13" s="1"/>
  <c r="L1166" i="13"/>
  <c r="T1166" i="13" s="1"/>
  <c r="K1166" i="13"/>
  <c r="S1166" i="13" s="1"/>
  <c r="J1166" i="13"/>
  <c r="R1166" i="13" s="1"/>
  <c r="I1166" i="13"/>
  <c r="Q1166" i="13" s="1"/>
  <c r="H1166" i="13"/>
  <c r="G1166" i="13"/>
  <c r="F1166" i="13"/>
  <c r="E1166" i="13"/>
  <c r="C1166" i="13"/>
  <c r="AG1166" i="13" s="1"/>
  <c r="B1166" i="13"/>
  <c r="Z1166" i="13" s="1"/>
  <c r="A1166" i="13"/>
  <c r="AU1166" i="13" s="1"/>
  <c r="AQ1165" i="13"/>
  <c r="P1165" i="13"/>
  <c r="X1165" i="13" s="1"/>
  <c r="O1165" i="13"/>
  <c r="W1165" i="13" s="1"/>
  <c r="N1165" i="13"/>
  <c r="V1165" i="13" s="1"/>
  <c r="M1165" i="13"/>
  <c r="U1165" i="13" s="1"/>
  <c r="L1165" i="13"/>
  <c r="T1165" i="13" s="1"/>
  <c r="K1165" i="13"/>
  <c r="S1165" i="13" s="1"/>
  <c r="J1165" i="13"/>
  <c r="R1165" i="13" s="1"/>
  <c r="I1165" i="13"/>
  <c r="Q1165" i="13" s="1"/>
  <c r="H1165" i="13"/>
  <c r="G1165" i="13"/>
  <c r="F1165" i="13"/>
  <c r="E1165" i="13"/>
  <c r="C1165" i="13"/>
  <c r="AG1165" i="13" s="1"/>
  <c r="B1165" i="13"/>
  <c r="Z1165" i="13" s="1"/>
  <c r="A1165" i="13"/>
  <c r="AQ1164" i="13"/>
  <c r="P1164" i="13"/>
  <c r="X1164" i="13" s="1"/>
  <c r="O1164" i="13"/>
  <c r="W1164" i="13" s="1"/>
  <c r="N1164" i="13"/>
  <c r="V1164" i="13" s="1"/>
  <c r="M1164" i="13"/>
  <c r="U1164" i="13" s="1"/>
  <c r="L1164" i="13"/>
  <c r="T1164" i="13" s="1"/>
  <c r="K1164" i="13"/>
  <c r="S1164" i="13" s="1"/>
  <c r="J1164" i="13"/>
  <c r="R1164" i="13" s="1"/>
  <c r="I1164" i="13"/>
  <c r="Q1164" i="13" s="1"/>
  <c r="H1164" i="13"/>
  <c r="G1164" i="13"/>
  <c r="F1164" i="13"/>
  <c r="E1164" i="13"/>
  <c r="BB1164" i="13" s="1"/>
  <c r="C1164" i="13"/>
  <c r="AG1164" i="13" s="1"/>
  <c r="B1164" i="13"/>
  <c r="Z1164" i="13" s="1"/>
  <c r="A1164" i="13"/>
  <c r="AQ1163" i="13"/>
  <c r="P1163" i="13"/>
  <c r="X1163" i="13" s="1"/>
  <c r="O1163" i="13"/>
  <c r="W1163" i="13" s="1"/>
  <c r="N1163" i="13"/>
  <c r="V1163" i="13" s="1"/>
  <c r="M1163" i="13"/>
  <c r="U1163" i="13" s="1"/>
  <c r="L1163" i="13"/>
  <c r="T1163" i="13" s="1"/>
  <c r="K1163" i="13"/>
  <c r="S1163" i="13" s="1"/>
  <c r="J1163" i="13"/>
  <c r="R1163" i="13" s="1"/>
  <c r="I1163" i="13"/>
  <c r="Q1163" i="13" s="1"/>
  <c r="H1163" i="13"/>
  <c r="G1163" i="13"/>
  <c r="F1163" i="13"/>
  <c r="E1163" i="13"/>
  <c r="BB1163" i="13" s="1"/>
  <c r="C1163" i="13"/>
  <c r="AG1163" i="13" s="1"/>
  <c r="B1163" i="13"/>
  <c r="Z1163" i="13" s="1"/>
  <c r="A1163" i="13"/>
  <c r="AU1163" i="13" s="1"/>
  <c r="AQ1162" i="13"/>
  <c r="P1162" i="13"/>
  <c r="X1162" i="13" s="1"/>
  <c r="O1162" i="13"/>
  <c r="W1162" i="13" s="1"/>
  <c r="N1162" i="13"/>
  <c r="V1162" i="13" s="1"/>
  <c r="M1162" i="13"/>
  <c r="U1162" i="13" s="1"/>
  <c r="L1162" i="13"/>
  <c r="T1162" i="13" s="1"/>
  <c r="K1162" i="13"/>
  <c r="S1162" i="13" s="1"/>
  <c r="J1162" i="13"/>
  <c r="R1162" i="13" s="1"/>
  <c r="I1162" i="13"/>
  <c r="Q1162" i="13" s="1"/>
  <c r="H1162" i="13"/>
  <c r="G1162" i="13"/>
  <c r="F1162" i="13"/>
  <c r="E1162" i="13"/>
  <c r="C1162" i="13"/>
  <c r="AG1162" i="13" s="1"/>
  <c r="AK1162" i="13" s="1"/>
  <c r="B1162" i="13"/>
  <c r="Z1162" i="13" s="1"/>
  <c r="A1162" i="13"/>
  <c r="AC1162" i="13" s="1"/>
  <c r="AQ1161" i="13"/>
  <c r="P1161" i="13"/>
  <c r="X1161" i="13" s="1"/>
  <c r="O1161" i="13"/>
  <c r="W1161" i="13" s="1"/>
  <c r="N1161" i="13"/>
  <c r="V1161" i="13" s="1"/>
  <c r="M1161" i="13"/>
  <c r="U1161" i="13" s="1"/>
  <c r="L1161" i="13"/>
  <c r="T1161" i="13" s="1"/>
  <c r="K1161" i="13"/>
  <c r="S1161" i="13" s="1"/>
  <c r="J1161" i="13"/>
  <c r="R1161" i="13" s="1"/>
  <c r="I1161" i="13"/>
  <c r="Q1161" i="13" s="1"/>
  <c r="H1161" i="13"/>
  <c r="G1161" i="13"/>
  <c r="F1161" i="13"/>
  <c r="E1161" i="13"/>
  <c r="C1161" i="13"/>
  <c r="AG1161" i="13" s="1"/>
  <c r="B1161" i="13"/>
  <c r="Z1161" i="13" s="1"/>
  <c r="A1161" i="13"/>
  <c r="AQ1160" i="13"/>
  <c r="P1160" i="13"/>
  <c r="X1160" i="13" s="1"/>
  <c r="O1160" i="13"/>
  <c r="W1160" i="13" s="1"/>
  <c r="N1160" i="13"/>
  <c r="V1160" i="13" s="1"/>
  <c r="M1160" i="13"/>
  <c r="U1160" i="13" s="1"/>
  <c r="L1160" i="13"/>
  <c r="T1160" i="13" s="1"/>
  <c r="K1160" i="13"/>
  <c r="S1160" i="13" s="1"/>
  <c r="J1160" i="13"/>
  <c r="R1160" i="13" s="1"/>
  <c r="I1160" i="13"/>
  <c r="Q1160" i="13" s="1"/>
  <c r="H1160" i="13"/>
  <c r="G1160" i="13"/>
  <c r="F1160" i="13"/>
  <c r="E1160" i="13"/>
  <c r="BB1160" i="13" s="1"/>
  <c r="C1160" i="13"/>
  <c r="AG1160" i="13" s="1"/>
  <c r="B1160" i="13"/>
  <c r="Z1160" i="13" s="1"/>
  <c r="A1160" i="13"/>
  <c r="AQ1159" i="13"/>
  <c r="P1159" i="13"/>
  <c r="X1159" i="13" s="1"/>
  <c r="O1159" i="13"/>
  <c r="W1159" i="13" s="1"/>
  <c r="N1159" i="13"/>
  <c r="V1159" i="13" s="1"/>
  <c r="M1159" i="13"/>
  <c r="U1159" i="13" s="1"/>
  <c r="L1159" i="13"/>
  <c r="T1159" i="13" s="1"/>
  <c r="K1159" i="13"/>
  <c r="S1159" i="13" s="1"/>
  <c r="J1159" i="13"/>
  <c r="R1159" i="13" s="1"/>
  <c r="I1159" i="13"/>
  <c r="Q1159" i="13" s="1"/>
  <c r="H1159" i="13"/>
  <c r="G1159" i="13"/>
  <c r="F1159" i="13"/>
  <c r="E1159" i="13"/>
  <c r="BB1159" i="13" s="1"/>
  <c r="C1159" i="13"/>
  <c r="AG1159" i="13" s="1"/>
  <c r="B1159" i="13"/>
  <c r="Z1159" i="13" s="1"/>
  <c r="A1159" i="13"/>
  <c r="AQ1158" i="13"/>
  <c r="W1158" i="13"/>
  <c r="P1158" i="13"/>
  <c r="X1158" i="13" s="1"/>
  <c r="O1158" i="13"/>
  <c r="N1158" i="13"/>
  <c r="V1158" i="13" s="1"/>
  <c r="M1158" i="13"/>
  <c r="U1158" i="13" s="1"/>
  <c r="L1158" i="13"/>
  <c r="T1158" i="13" s="1"/>
  <c r="K1158" i="13"/>
  <c r="S1158" i="13" s="1"/>
  <c r="J1158" i="13"/>
  <c r="R1158" i="13" s="1"/>
  <c r="I1158" i="13"/>
  <c r="Q1158" i="13" s="1"/>
  <c r="H1158" i="13"/>
  <c r="G1158" i="13"/>
  <c r="F1158" i="13"/>
  <c r="E1158" i="13"/>
  <c r="C1158" i="13"/>
  <c r="AG1158" i="13" s="1"/>
  <c r="B1158" i="13"/>
  <c r="Z1158" i="13" s="1"/>
  <c r="A1158" i="13"/>
  <c r="BB1157" i="13"/>
  <c r="AQ1157" i="13"/>
  <c r="V1157" i="13"/>
  <c r="P1157" i="13"/>
  <c r="X1157" i="13" s="1"/>
  <c r="O1157" i="13"/>
  <c r="W1157" i="13" s="1"/>
  <c r="N1157" i="13"/>
  <c r="M1157" i="13"/>
  <c r="U1157" i="13" s="1"/>
  <c r="L1157" i="13"/>
  <c r="T1157" i="13" s="1"/>
  <c r="K1157" i="13"/>
  <c r="S1157" i="13" s="1"/>
  <c r="J1157" i="13"/>
  <c r="R1157" i="13" s="1"/>
  <c r="I1157" i="13"/>
  <c r="Q1157" i="13" s="1"/>
  <c r="H1157" i="13"/>
  <c r="G1157" i="13"/>
  <c r="F1157" i="13"/>
  <c r="E1157" i="13"/>
  <c r="BA1157" i="13" s="1"/>
  <c r="C1157" i="13"/>
  <c r="AG1157" i="13" s="1"/>
  <c r="B1157" i="13"/>
  <c r="Z1157" i="13" s="1"/>
  <c r="A1157" i="13"/>
  <c r="AQ1156" i="13"/>
  <c r="S1156" i="13"/>
  <c r="P1156" i="13"/>
  <c r="X1156" i="13" s="1"/>
  <c r="O1156" i="13"/>
  <c r="W1156" i="13" s="1"/>
  <c r="N1156" i="13"/>
  <c r="V1156" i="13" s="1"/>
  <c r="M1156" i="13"/>
  <c r="U1156" i="13" s="1"/>
  <c r="L1156" i="13"/>
  <c r="T1156" i="13" s="1"/>
  <c r="K1156" i="13"/>
  <c r="J1156" i="13"/>
  <c r="R1156" i="13" s="1"/>
  <c r="I1156" i="13"/>
  <c r="Q1156" i="13" s="1"/>
  <c r="H1156" i="13"/>
  <c r="G1156" i="13"/>
  <c r="F1156" i="13"/>
  <c r="E1156" i="13"/>
  <c r="C1156" i="13"/>
  <c r="AG1156" i="13" s="1"/>
  <c r="B1156" i="13"/>
  <c r="Z1156" i="13" s="1"/>
  <c r="A1156" i="13"/>
  <c r="AC1156" i="13" s="1"/>
  <c r="AQ1155" i="13"/>
  <c r="P1155" i="13"/>
  <c r="X1155" i="13" s="1"/>
  <c r="O1155" i="13"/>
  <c r="W1155" i="13" s="1"/>
  <c r="N1155" i="13"/>
  <c r="V1155" i="13" s="1"/>
  <c r="M1155" i="13"/>
  <c r="U1155" i="13" s="1"/>
  <c r="L1155" i="13"/>
  <c r="T1155" i="13" s="1"/>
  <c r="K1155" i="13"/>
  <c r="S1155" i="13" s="1"/>
  <c r="J1155" i="13"/>
  <c r="R1155" i="13" s="1"/>
  <c r="I1155" i="13"/>
  <c r="Q1155" i="13" s="1"/>
  <c r="H1155" i="13"/>
  <c r="G1155" i="13"/>
  <c r="F1155" i="13"/>
  <c r="E1155" i="13"/>
  <c r="C1155" i="13"/>
  <c r="AG1155" i="13" s="1"/>
  <c r="B1155" i="13"/>
  <c r="Z1155" i="13" s="1"/>
  <c r="A1155" i="13"/>
  <c r="AQ1154" i="13"/>
  <c r="U1154" i="13"/>
  <c r="P1154" i="13"/>
  <c r="X1154" i="13" s="1"/>
  <c r="O1154" i="13"/>
  <c r="W1154" i="13" s="1"/>
  <c r="N1154" i="13"/>
  <c r="V1154" i="13" s="1"/>
  <c r="M1154" i="13"/>
  <c r="L1154" i="13"/>
  <c r="T1154" i="13" s="1"/>
  <c r="K1154" i="13"/>
  <c r="S1154" i="13" s="1"/>
  <c r="J1154" i="13"/>
  <c r="R1154" i="13" s="1"/>
  <c r="I1154" i="13"/>
  <c r="Q1154" i="13" s="1"/>
  <c r="H1154" i="13"/>
  <c r="G1154" i="13"/>
  <c r="F1154" i="13"/>
  <c r="E1154" i="13"/>
  <c r="BB1154" i="13" s="1"/>
  <c r="C1154" i="13"/>
  <c r="AG1154" i="13" s="1"/>
  <c r="B1154" i="13"/>
  <c r="Z1154" i="13" s="1"/>
  <c r="A1154" i="13"/>
  <c r="AQ1153" i="13"/>
  <c r="P1153" i="13"/>
  <c r="X1153" i="13" s="1"/>
  <c r="O1153" i="13"/>
  <c r="W1153" i="13" s="1"/>
  <c r="N1153" i="13"/>
  <c r="V1153" i="13" s="1"/>
  <c r="M1153" i="13"/>
  <c r="U1153" i="13" s="1"/>
  <c r="L1153" i="13"/>
  <c r="T1153" i="13" s="1"/>
  <c r="K1153" i="13"/>
  <c r="S1153" i="13" s="1"/>
  <c r="J1153" i="13"/>
  <c r="R1153" i="13" s="1"/>
  <c r="I1153" i="13"/>
  <c r="Q1153" i="13" s="1"/>
  <c r="H1153" i="13"/>
  <c r="G1153" i="13"/>
  <c r="F1153" i="13"/>
  <c r="E1153" i="13"/>
  <c r="BB1153" i="13" s="1"/>
  <c r="C1153" i="13"/>
  <c r="AG1153" i="13" s="1"/>
  <c r="AN1153" i="13" s="1"/>
  <c r="B1153" i="13"/>
  <c r="Z1153" i="13" s="1"/>
  <c r="A1153" i="13"/>
  <c r="AQ1152" i="13"/>
  <c r="P1152" i="13"/>
  <c r="X1152" i="13" s="1"/>
  <c r="O1152" i="13"/>
  <c r="W1152" i="13" s="1"/>
  <c r="N1152" i="13"/>
  <c r="V1152" i="13" s="1"/>
  <c r="M1152" i="13"/>
  <c r="U1152" i="13" s="1"/>
  <c r="L1152" i="13"/>
  <c r="T1152" i="13" s="1"/>
  <c r="K1152" i="13"/>
  <c r="S1152" i="13" s="1"/>
  <c r="J1152" i="13"/>
  <c r="R1152" i="13" s="1"/>
  <c r="I1152" i="13"/>
  <c r="Q1152" i="13" s="1"/>
  <c r="H1152" i="13"/>
  <c r="G1152" i="13"/>
  <c r="F1152" i="13"/>
  <c r="E1152" i="13"/>
  <c r="BA1152" i="13" s="1"/>
  <c r="C1152" i="13"/>
  <c r="AG1152" i="13" s="1"/>
  <c r="B1152" i="13"/>
  <c r="Z1152" i="13" s="1"/>
  <c r="A1152" i="13"/>
  <c r="AU1152" i="13" s="1"/>
  <c r="AQ1151" i="13"/>
  <c r="P1151" i="13"/>
  <c r="X1151" i="13" s="1"/>
  <c r="O1151" i="13"/>
  <c r="W1151" i="13" s="1"/>
  <c r="N1151" i="13"/>
  <c r="V1151" i="13" s="1"/>
  <c r="M1151" i="13"/>
  <c r="U1151" i="13" s="1"/>
  <c r="L1151" i="13"/>
  <c r="T1151" i="13" s="1"/>
  <c r="K1151" i="13"/>
  <c r="S1151" i="13" s="1"/>
  <c r="J1151" i="13"/>
  <c r="R1151" i="13" s="1"/>
  <c r="I1151" i="13"/>
  <c r="Q1151" i="13" s="1"/>
  <c r="H1151" i="13"/>
  <c r="G1151" i="13"/>
  <c r="F1151" i="13"/>
  <c r="E1151" i="13"/>
  <c r="BA1151" i="13" s="1"/>
  <c r="C1151" i="13"/>
  <c r="B1151" i="13"/>
  <c r="Z1151" i="13" s="1"/>
  <c r="A1151" i="13"/>
  <c r="AU1151" i="13" s="1"/>
  <c r="AQ1150" i="13"/>
  <c r="Z1150" i="13"/>
  <c r="P1150" i="13"/>
  <c r="X1150" i="13" s="1"/>
  <c r="O1150" i="13"/>
  <c r="W1150" i="13" s="1"/>
  <c r="N1150" i="13"/>
  <c r="V1150" i="13" s="1"/>
  <c r="M1150" i="13"/>
  <c r="U1150" i="13" s="1"/>
  <c r="L1150" i="13"/>
  <c r="T1150" i="13" s="1"/>
  <c r="K1150" i="13"/>
  <c r="S1150" i="13" s="1"/>
  <c r="J1150" i="13"/>
  <c r="R1150" i="13" s="1"/>
  <c r="I1150" i="13"/>
  <c r="Q1150" i="13" s="1"/>
  <c r="H1150" i="13"/>
  <c r="G1150" i="13"/>
  <c r="F1150" i="13"/>
  <c r="E1150" i="13"/>
  <c r="BB1150" i="13" s="1"/>
  <c r="C1150" i="13"/>
  <c r="AG1150" i="13" s="1"/>
  <c r="B1150" i="13"/>
  <c r="A1150" i="13"/>
  <c r="AQ1149" i="13"/>
  <c r="P1149" i="13"/>
  <c r="X1149" i="13" s="1"/>
  <c r="O1149" i="13"/>
  <c r="W1149" i="13" s="1"/>
  <c r="N1149" i="13"/>
  <c r="V1149" i="13" s="1"/>
  <c r="M1149" i="13"/>
  <c r="U1149" i="13" s="1"/>
  <c r="L1149" i="13"/>
  <c r="T1149" i="13" s="1"/>
  <c r="K1149" i="13"/>
  <c r="S1149" i="13" s="1"/>
  <c r="J1149" i="13"/>
  <c r="R1149" i="13" s="1"/>
  <c r="I1149" i="13"/>
  <c r="Q1149" i="13" s="1"/>
  <c r="H1149" i="13"/>
  <c r="G1149" i="13"/>
  <c r="F1149" i="13"/>
  <c r="E1149" i="13"/>
  <c r="BB1149" i="13" s="1"/>
  <c r="C1149" i="13"/>
  <c r="AG1149" i="13" s="1"/>
  <c r="AO1149" i="13" s="1"/>
  <c r="B1149" i="13"/>
  <c r="Z1149" i="13" s="1"/>
  <c r="A1149" i="13"/>
  <c r="AU1149" i="13" s="1"/>
  <c r="AQ1148" i="13"/>
  <c r="AG1148" i="13"/>
  <c r="U1148" i="13"/>
  <c r="P1148" i="13"/>
  <c r="X1148" i="13" s="1"/>
  <c r="O1148" i="13"/>
  <c r="W1148" i="13" s="1"/>
  <c r="N1148" i="13"/>
  <c r="V1148" i="13" s="1"/>
  <c r="M1148" i="13"/>
  <c r="L1148" i="13"/>
  <c r="T1148" i="13" s="1"/>
  <c r="K1148" i="13"/>
  <c r="S1148" i="13" s="1"/>
  <c r="J1148" i="13"/>
  <c r="R1148" i="13" s="1"/>
  <c r="I1148" i="13"/>
  <c r="Q1148" i="13" s="1"/>
  <c r="H1148" i="13"/>
  <c r="G1148" i="13"/>
  <c r="F1148" i="13"/>
  <c r="E1148" i="13"/>
  <c r="BB1148" i="13" s="1"/>
  <c r="C1148" i="13"/>
  <c r="B1148" i="13"/>
  <c r="Z1148" i="13" s="1"/>
  <c r="A1148" i="13"/>
  <c r="AQ1147" i="13"/>
  <c r="P1147" i="13"/>
  <c r="X1147" i="13" s="1"/>
  <c r="O1147" i="13"/>
  <c r="W1147" i="13" s="1"/>
  <c r="N1147" i="13"/>
  <c r="V1147" i="13" s="1"/>
  <c r="M1147" i="13"/>
  <c r="U1147" i="13" s="1"/>
  <c r="L1147" i="13"/>
  <c r="T1147" i="13" s="1"/>
  <c r="K1147" i="13"/>
  <c r="S1147" i="13" s="1"/>
  <c r="J1147" i="13"/>
  <c r="R1147" i="13" s="1"/>
  <c r="I1147" i="13"/>
  <c r="Q1147" i="13" s="1"/>
  <c r="H1147" i="13"/>
  <c r="G1147" i="13"/>
  <c r="F1147" i="13"/>
  <c r="E1147" i="13"/>
  <c r="C1147" i="13"/>
  <c r="AG1147" i="13" s="1"/>
  <c r="B1147" i="13"/>
  <c r="Z1147" i="13" s="1"/>
  <c r="A1147" i="13"/>
  <c r="AQ1146" i="13"/>
  <c r="P1146" i="13"/>
  <c r="X1146" i="13" s="1"/>
  <c r="O1146" i="13"/>
  <c r="W1146" i="13" s="1"/>
  <c r="N1146" i="13"/>
  <c r="V1146" i="13" s="1"/>
  <c r="M1146" i="13"/>
  <c r="U1146" i="13" s="1"/>
  <c r="L1146" i="13"/>
  <c r="T1146" i="13" s="1"/>
  <c r="K1146" i="13"/>
  <c r="S1146" i="13" s="1"/>
  <c r="J1146" i="13"/>
  <c r="R1146" i="13" s="1"/>
  <c r="I1146" i="13"/>
  <c r="Q1146" i="13" s="1"/>
  <c r="H1146" i="13"/>
  <c r="G1146" i="13"/>
  <c r="F1146" i="13"/>
  <c r="E1146" i="13"/>
  <c r="BA1146" i="13" s="1"/>
  <c r="C1146" i="13"/>
  <c r="AG1146" i="13" s="1"/>
  <c r="B1146" i="13"/>
  <c r="Z1146" i="13" s="1"/>
  <c r="A1146" i="13"/>
  <c r="AQ1145" i="13"/>
  <c r="P1145" i="13"/>
  <c r="X1145" i="13" s="1"/>
  <c r="O1145" i="13"/>
  <c r="W1145" i="13" s="1"/>
  <c r="N1145" i="13"/>
  <c r="V1145" i="13" s="1"/>
  <c r="M1145" i="13"/>
  <c r="U1145" i="13" s="1"/>
  <c r="L1145" i="13"/>
  <c r="T1145" i="13" s="1"/>
  <c r="K1145" i="13"/>
  <c r="S1145" i="13" s="1"/>
  <c r="J1145" i="13"/>
  <c r="R1145" i="13" s="1"/>
  <c r="I1145" i="13"/>
  <c r="Q1145" i="13" s="1"/>
  <c r="H1145" i="13"/>
  <c r="G1145" i="13"/>
  <c r="F1145" i="13"/>
  <c r="E1145" i="13"/>
  <c r="BA1145" i="13" s="1"/>
  <c r="C1145" i="13"/>
  <c r="AG1145" i="13" s="1"/>
  <c r="B1145" i="13"/>
  <c r="Z1145" i="13" s="1"/>
  <c r="A1145" i="13"/>
  <c r="AC1145" i="13" s="1"/>
  <c r="AQ1144" i="13"/>
  <c r="P1144" i="13"/>
  <c r="X1144" i="13" s="1"/>
  <c r="O1144" i="13"/>
  <c r="W1144" i="13" s="1"/>
  <c r="N1144" i="13"/>
  <c r="V1144" i="13" s="1"/>
  <c r="M1144" i="13"/>
  <c r="U1144" i="13" s="1"/>
  <c r="L1144" i="13"/>
  <c r="T1144" i="13" s="1"/>
  <c r="K1144" i="13"/>
  <c r="S1144" i="13" s="1"/>
  <c r="J1144" i="13"/>
  <c r="R1144" i="13" s="1"/>
  <c r="I1144" i="13"/>
  <c r="Q1144" i="13" s="1"/>
  <c r="H1144" i="13"/>
  <c r="G1144" i="13"/>
  <c r="F1144" i="13"/>
  <c r="E1144" i="13"/>
  <c r="BB1144" i="13" s="1"/>
  <c r="C1144" i="13"/>
  <c r="AG1144" i="13" s="1"/>
  <c r="B1144" i="13"/>
  <c r="A1144" i="13"/>
  <c r="BB1143" i="13"/>
  <c r="AR1143" i="13"/>
  <c r="AQ1143" i="13"/>
  <c r="S1143" i="13"/>
  <c r="P1143" i="13"/>
  <c r="X1143" i="13" s="1"/>
  <c r="O1143" i="13"/>
  <c r="W1143" i="13" s="1"/>
  <c r="N1143" i="13"/>
  <c r="V1143" i="13" s="1"/>
  <c r="M1143" i="13"/>
  <c r="U1143" i="13" s="1"/>
  <c r="L1143" i="13"/>
  <c r="T1143" i="13" s="1"/>
  <c r="K1143" i="13"/>
  <c r="J1143" i="13"/>
  <c r="R1143" i="13" s="1"/>
  <c r="I1143" i="13"/>
  <c r="Q1143" i="13" s="1"/>
  <c r="H1143" i="13"/>
  <c r="G1143" i="13"/>
  <c r="F1143" i="13"/>
  <c r="E1143" i="13"/>
  <c r="BA1143" i="13" s="1"/>
  <c r="C1143" i="13"/>
  <c r="AG1143" i="13" s="1"/>
  <c r="AI1143" i="13" s="1"/>
  <c r="B1143" i="13"/>
  <c r="Z1143" i="13" s="1"/>
  <c r="A1143" i="13"/>
  <c r="AQ1142" i="13"/>
  <c r="AG1142" i="13"/>
  <c r="P1142" i="13"/>
  <c r="X1142" i="13" s="1"/>
  <c r="O1142" i="13"/>
  <c r="W1142" i="13" s="1"/>
  <c r="N1142" i="13"/>
  <c r="V1142" i="13" s="1"/>
  <c r="M1142" i="13"/>
  <c r="U1142" i="13" s="1"/>
  <c r="L1142" i="13"/>
  <c r="T1142" i="13" s="1"/>
  <c r="K1142" i="13"/>
  <c r="S1142" i="13" s="1"/>
  <c r="J1142" i="13"/>
  <c r="R1142" i="13" s="1"/>
  <c r="I1142" i="13"/>
  <c r="Q1142" i="13" s="1"/>
  <c r="H1142" i="13"/>
  <c r="G1142" i="13"/>
  <c r="F1142" i="13"/>
  <c r="E1142" i="13"/>
  <c r="BA1142" i="13" s="1"/>
  <c r="C1142" i="13"/>
  <c r="B1142" i="13"/>
  <c r="Z1142" i="13" s="1"/>
  <c r="A1142" i="13"/>
  <c r="AU1141" i="13"/>
  <c r="AQ1141" i="13"/>
  <c r="P1141" i="13"/>
  <c r="X1141" i="13" s="1"/>
  <c r="O1141" i="13"/>
  <c r="W1141" i="13" s="1"/>
  <c r="N1141" i="13"/>
  <c r="V1141" i="13" s="1"/>
  <c r="M1141" i="13"/>
  <c r="U1141" i="13" s="1"/>
  <c r="L1141" i="13"/>
  <c r="T1141" i="13" s="1"/>
  <c r="K1141" i="13"/>
  <c r="S1141" i="13" s="1"/>
  <c r="J1141" i="13"/>
  <c r="R1141" i="13" s="1"/>
  <c r="I1141" i="13"/>
  <c r="Q1141" i="13" s="1"/>
  <c r="H1141" i="13"/>
  <c r="G1141" i="13"/>
  <c r="F1141" i="13"/>
  <c r="E1141" i="13"/>
  <c r="C1141" i="13"/>
  <c r="AG1141" i="13" s="1"/>
  <c r="B1141" i="13"/>
  <c r="Z1141" i="13" s="1"/>
  <c r="A1141" i="13"/>
  <c r="AC1141" i="13" s="1"/>
  <c r="AQ1140" i="13"/>
  <c r="P1140" i="13"/>
  <c r="X1140" i="13" s="1"/>
  <c r="O1140" i="13"/>
  <c r="W1140" i="13" s="1"/>
  <c r="N1140" i="13"/>
  <c r="V1140" i="13" s="1"/>
  <c r="M1140" i="13"/>
  <c r="U1140" i="13" s="1"/>
  <c r="L1140" i="13"/>
  <c r="T1140" i="13" s="1"/>
  <c r="K1140" i="13"/>
  <c r="S1140" i="13" s="1"/>
  <c r="J1140" i="13"/>
  <c r="R1140" i="13" s="1"/>
  <c r="I1140" i="13"/>
  <c r="Q1140" i="13" s="1"/>
  <c r="H1140" i="13"/>
  <c r="G1140" i="13"/>
  <c r="F1140" i="13"/>
  <c r="E1140" i="13"/>
  <c r="BA1140" i="13" s="1"/>
  <c r="C1140" i="13"/>
  <c r="AG1140" i="13" s="1"/>
  <c r="B1140" i="13"/>
  <c r="A1140" i="13"/>
  <c r="BA1139" i="13"/>
  <c r="AQ1139" i="13"/>
  <c r="T1139" i="13"/>
  <c r="P1139" i="13"/>
  <c r="X1139" i="13" s="1"/>
  <c r="O1139" i="13"/>
  <c r="W1139" i="13" s="1"/>
  <c r="N1139" i="13"/>
  <c r="V1139" i="13" s="1"/>
  <c r="M1139" i="13"/>
  <c r="U1139" i="13" s="1"/>
  <c r="L1139" i="13"/>
  <c r="K1139" i="13"/>
  <c r="S1139" i="13" s="1"/>
  <c r="J1139" i="13"/>
  <c r="R1139" i="13" s="1"/>
  <c r="I1139" i="13"/>
  <c r="Q1139" i="13" s="1"/>
  <c r="H1139" i="13"/>
  <c r="G1139" i="13"/>
  <c r="F1139" i="13"/>
  <c r="E1139" i="13"/>
  <c r="BB1139" i="13" s="1"/>
  <c r="C1139" i="13"/>
  <c r="B1139" i="13"/>
  <c r="Z1139" i="13" s="1"/>
  <c r="A1139" i="13"/>
  <c r="AQ1138" i="13"/>
  <c r="P1138" i="13"/>
  <c r="X1138" i="13" s="1"/>
  <c r="O1138" i="13"/>
  <c r="W1138" i="13" s="1"/>
  <c r="N1138" i="13"/>
  <c r="V1138" i="13" s="1"/>
  <c r="M1138" i="13"/>
  <c r="U1138" i="13" s="1"/>
  <c r="L1138" i="13"/>
  <c r="T1138" i="13" s="1"/>
  <c r="K1138" i="13"/>
  <c r="S1138" i="13" s="1"/>
  <c r="J1138" i="13"/>
  <c r="R1138" i="13" s="1"/>
  <c r="I1138" i="13"/>
  <c r="Q1138" i="13" s="1"/>
  <c r="H1138" i="13"/>
  <c r="G1138" i="13"/>
  <c r="F1138" i="13"/>
  <c r="E1138" i="13"/>
  <c r="BA1138" i="13" s="1"/>
  <c r="C1138" i="13"/>
  <c r="AG1138" i="13" s="1"/>
  <c r="B1138" i="13"/>
  <c r="Z1138" i="13" s="1"/>
  <c r="A1138" i="13"/>
  <c r="AQ1137" i="13"/>
  <c r="P1137" i="13"/>
  <c r="X1137" i="13" s="1"/>
  <c r="O1137" i="13"/>
  <c r="W1137" i="13" s="1"/>
  <c r="N1137" i="13"/>
  <c r="V1137" i="13" s="1"/>
  <c r="M1137" i="13"/>
  <c r="U1137" i="13" s="1"/>
  <c r="L1137" i="13"/>
  <c r="T1137" i="13" s="1"/>
  <c r="K1137" i="13"/>
  <c r="S1137" i="13" s="1"/>
  <c r="J1137" i="13"/>
  <c r="R1137" i="13" s="1"/>
  <c r="I1137" i="13"/>
  <c r="Q1137" i="13" s="1"/>
  <c r="H1137" i="13"/>
  <c r="G1137" i="13"/>
  <c r="F1137" i="13"/>
  <c r="E1137" i="13"/>
  <c r="C1137" i="13"/>
  <c r="AG1137" i="13" s="1"/>
  <c r="B1137" i="13"/>
  <c r="Z1137" i="13" s="1"/>
  <c r="A1137" i="13"/>
  <c r="AU1137" i="13" s="1"/>
  <c r="AQ1136" i="13"/>
  <c r="X1136" i="13"/>
  <c r="P1136" i="13"/>
  <c r="O1136" i="13"/>
  <c r="W1136" i="13" s="1"/>
  <c r="N1136" i="13"/>
  <c r="V1136" i="13" s="1"/>
  <c r="M1136" i="13"/>
  <c r="U1136" i="13" s="1"/>
  <c r="L1136" i="13"/>
  <c r="T1136" i="13" s="1"/>
  <c r="K1136" i="13"/>
  <c r="S1136" i="13" s="1"/>
  <c r="J1136" i="13"/>
  <c r="R1136" i="13" s="1"/>
  <c r="I1136" i="13"/>
  <c r="Q1136" i="13" s="1"/>
  <c r="H1136" i="13"/>
  <c r="G1136" i="13"/>
  <c r="F1136" i="13"/>
  <c r="E1136" i="13"/>
  <c r="C1136" i="13"/>
  <c r="AG1136" i="13" s="1"/>
  <c r="B1136" i="13"/>
  <c r="Z1136" i="13" s="1"/>
  <c r="A1136" i="13"/>
  <c r="AR1135" i="13"/>
  <c r="AQ1135" i="13"/>
  <c r="P1135" i="13"/>
  <c r="X1135" i="13" s="1"/>
  <c r="O1135" i="13"/>
  <c r="W1135" i="13" s="1"/>
  <c r="N1135" i="13"/>
  <c r="V1135" i="13" s="1"/>
  <c r="M1135" i="13"/>
  <c r="U1135" i="13" s="1"/>
  <c r="L1135" i="13"/>
  <c r="T1135" i="13" s="1"/>
  <c r="K1135" i="13"/>
  <c r="S1135" i="13" s="1"/>
  <c r="J1135" i="13"/>
  <c r="R1135" i="13" s="1"/>
  <c r="I1135" i="13"/>
  <c r="Q1135" i="13" s="1"/>
  <c r="H1135" i="13"/>
  <c r="G1135" i="13"/>
  <c r="F1135" i="13"/>
  <c r="E1135" i="13"/>
  <c r="C1135" i="13"/>
  <c r="AG1135" i="13" s="1"/>
  <c r="AI1135" i="13" s="1"/>
  <c r="B1135" i="13"/>
  <c r="Z1135" i="13" s="1"/>
  <c r="A1135" i="13"/>
  <c r="AU1135" i="13" s="1"/>
  <c r="AQ1134" i="13"/>
  <c r="P1134" i="13"/>
  <c r="X1134" i="13" s="1"/>
  <c r="O1134" i="13"/>
  <c r="W1134" i="13" s="1"/>
  <c r="N1134" i="13"/>
  <c r="V1134" i="13" s="1"/>
  <c r="M1134" i="13"/>
  <c r="U1134" i="13" s="1"/>
  <c r="L1134" i="13"/>
  <c r="T1134" i="13" s="1"/>
  <c r="K1134" i="13"/>
  <c r="S1134" i="13" s="1"/>
  <c r="J1134" i="13"/>
  <c r="R1134" i="13" s="1"/>
  <c r="I1134" i="13"/>
  <c r="Q1134" i="13" s="1"/>
  <c r="H1134" i="13"/>
  <c r="G1134" i="13"/>
  <c r="F1134" i="13"/>
  <c r="E1134" i="13"/>
  <c r="C1134" i="13"/>
  <c r="AG1134" i="13" s="1"/>
  <c r="B1134" i="13"/>
  <c r="Z1134" i="13" s="1"/>
  <c r="A1134" i="13"/>
  <c r="AQ1133" i="13"/>
  <c r="P1133" i="13"/>
  <c r="X1133" i="13" s="1"/>
  <c r="O1133" i="13"/>
  <c r="W1133" i="13" s="1"/>
  <c r="N1133" i="13"/>
  <c r="V1133" i="13" s="1"/>
  <c r="M1133" i="13"/>
  <c r="U1133" i="13" s="1"/>
  <c r="L1133" i="13"/>
  <c r="T1133" i="13" s="1"/>
  <c r="K1133" i="13"/>
  <c r="S1133" i="13" s="1"/>
  <c r="J1133" i="13"/>
  <c r="R1133" i="13" s="1"/>
  <c r="I1133" i="13"/>
  <c r="Q1133" i="13" s="1"/>
  <c r="H1133" i="13"/>
  <c r="G1133" i="13"/>
  <c r="F1133" i="13"/>
  <c r="E1133" i="13"/>
  <c r="BB1133" i="13" s="1"/>
  <c r="C1133" i="13"/>
  <c r="AG1133" i="13" s="1"/>
  <c r="B1133" i="13"/>
  <c r="Z1133" i="13" s="1"/>
  <c r="A1133" i="13"/>
  <c r="AQ1132" i="13"/>
  <c r="R1132" i="13"/>
  <c r="P1132" i="13"/>
  <c r="X1132" i="13" s="1"/>
  <c r="O1132" i="13"/>
  <c r="W1132" i="13" s="1"/>
  <c r="N1132" i="13"/>
  <c r="V1132" i="13" s="1"/>
  <c r="M1132" i="13"/>
  <c r="U1132" i="13" s="1"/>
  <c r="L1132" i="13"/>
  <c r="T1132" i="13" s="1"/>
  <c r="K1132" i="13"/>
  <c r="S1132" i="13" s="1"/>
  <c r="J1132" i="13"/>
  <c r="I1132" i="13"/>
  <c r="Q1132" i="13" s="1"/>
  <c r="H1132" i="13"/>
  <c r="G1132" i="13"/>
  <c r="F1132" i="13"/>
  <c r="E1132" i="13"/>
  <c r="BB1132" i="13" s="1"/>
  <c r="C1132" i="13"/>
  <c r="AG1132" i="13" s="1"/>
  <c r="B1132" i="13"/>
  <c r="A1132" i="13"/>
  <c r="AC1132" i="13" s="1"/>
  <c r="BA1131" i="13"/>
  <c r="AQ1131" i="13"/>
  <c r="P1131" i="13"/>
  <c r="X1131" i="13" s="1"/>
  <c r="O1131" i="13"/>
  <c r="W1131" i="13" s="1"/>
  <c r="N1131" i="13"/>
  <c r="V1131" i="13" s="1"/>
  <c r="M1131" i="13"/>
  <c r="U1131" i="13" s="1"/>
  <c r="L1131" i="13"/>
  <c r="T1131" i="13" s="1"/>
  <c r="K1131" i="13"/>
  <c r="S1131" i="13" s="1"/>
  <c r="J1131" i="13"/>
  <c r="R1131" i="13" s="1"/>
  <c r="I1131" i="13"/>
  <c r="Q1131" i="13" s="1"/>
  <c r="H1131" i="13"/>
  <c r="G1131" i="13"/>
  <c r="F1131" i="13"/>
  <c r="E1131" i="13"/>
  <c r="BB1131" i="13" s="1"/>
  <c r="C1131" i="13"/>
  <c r="B1131" i="13"/>
  <c r="Z1131" i="13" s="1"/>
  <c r="A1131" i="13"/>
  <c r="AU1131" i="13" s="1"/>
  <c r="AQ1130" i="13"/>
  <c r="AG1130" i="13"/>
  <c r="P1130" i="13"/>
  <c r="X1130" i="13" s="1"/>
  <c r="O1130" i="13"/>
  <c r="W1130" i="13" s="1"/>
  <c r="N1130" i="13"/>
  <c r="V1130" i="13" s="1"/>
  <c r="M1130" i="13"/>
  <c r="U1130" i="13" s="1"/>
  <c r="L1130" i="13"/>
  <c r="T1130" i="13" s="1"/>
  <c r="K1130" i="13"/>
  <c r="S1130" i="13" s="1"/>
  <c r="J1130" i="13"/>
  <c r="R1130" i="13" s="1"/>
  <c r="I1130" i="13"/>
  <c r="Q1130" i="13" s="1"/>
  <c r="H1130" i="13"/>
  <c r="G1130" i="13"/>
  <c r="F1130" i="13"/>
  <c r="E1130" i="13"/>
  <c r="BA1130" i="13" s="1"/>
  <c r="C1130" i="13"/>
  <c r="B1130" i="13"/>
  <c r="Z1130" i="13" s="1"/>
  <c r="A1130" i="13"/>
  <c r="AQ1129" i="13"/>
  <c r="AG1129" i="13"/>
  <c r="AJ1129" i="13" s="1"/>
  <c r="P1129" i="13"/>
  <c r="X1129" i="13" s="1"/>
  <c r="O1129" i="13"/>
  <c r="W1129" i="13" s="1"/>
  <c r="N1129" i="13"/>
  <c r="V1129" i="13" s="1"/>
  <c r="M1129" i="13"/>
  <c r="U1129" i="13" s="1"/>
  <c r="L1129" i="13"/>
  <c r="T1129" i="13" s="1"/>
  <c r="K1129" i="13"/>
  <c r="S1129" i="13" s="1"/>
  <c r="J1129" i="13"/>
  <c r="R1129" i="13" s="1"/>
  <c r="I1129" i="13"/>
  <c r="Q1129" i="13" s="1"/>
  <c r="H1129" i="13"/>
  <c r="G1129" i="13"/>
  <c r="F1129" i="13"/>
  <c r="E1129" i="13"/>
  <c r="BB1129" i="13" s="1"/>
  <c r="C1129" i="13"/>
  <c r="B1129" i="13"/>
  <c r="Z1129" i="13" s="1"/>
  <c r="A1129" i="13"/>
  <c r="AQ1128" i="13"/>
  <c r="P1128" i="13"/>
  <c r="X1128" i="13" s="1"/>
  <c r="O1128" i="13"/>
  <c r="W1128" i="13" s="1"/>
  <c r="N1128" i="13"/>
  <c r="V1128" i="13" s="1"/>
  <c r="M1128" i="13"/>
  <c r="U1128" i="13" s="1"/>
  <c r="L1128" i="13"/>
  <c r="T1128" i="13" s="1"/>
  <c r="K1128" i="13"/>
  <c r="S1128" i="13" s="1"/>
  <c r="J1128" i="13"/>
  <c r="R1128" i="13" s="1"/>
  <c r="I1128" i="13"/>
  <c r="Q1128" i="13" s="1"/>
  <c r="H1128" i="13"/>
  <c r="G1128" i="13"/>
  <c r="F1128" i="13"/>
  <c r="E1128" i="13"/>
  <c r="BA1128" i="13" s="1"/>
  <c r="C1128" i="13"/>
  <c r="AG1128" i="13" s="1"/>
  <c r="B1128" i="13"/>
  <c r="Z1128" i="13" s="1"/>
  <c r="A1128" i="13"/>
  <c r="AQ1127" i="13"/>
  <c r="X1127" i="13"/>
  <c r="P1127" i="13"/>
  <c r="O1127" i="13"/>
  <c r="W1127" i="13" s="1"/>
  <c r="N1127" i="13"/>
  <c r="V1127" i="13" s="1"/>
  <c r="M1127" i="13"/>
  <c r="U1127" i="13" s="1"/>
  <c r="L1127" i="13"/>
  <c r="T1127" i="13" s="1"/>
  <c r="K1127" i="13"/>
  <c r="S1127" i="13" s="1"/>
  <c r="J1127" i="13"/>
  <c r="R1127" i="13" s="1"/>
  <c r="I1127" i="13"/>
  <c r="Q1127" i="13" s="1"/>
  <c r="H1127" i="13"/>
  <c r="G1127" i="13"/>
  <c r="F1127" i="13"/>
  <c r="E1127" i="13"/>
  <c r="BB1127" i="13" s="1"/>
  <c r="C1127" i="13"/>
  <c r="B1127" i="13"/>
  <c r="Z1127" i="13" s="1"/>
  <c r="A1127" i="13"/>
  <c r="AU1127" i="13" s="1"/>
  <c r="AQ1126" i="13"/>
  <c r="P1126" i="13"/>
  <c r="X1126" i="13" s="1"/>
  <c r="O1126" i="13"/>
  <c r="W1126" i="13" s="1"/>
  <c r="N1126" i="13"/>
  <c r="V1126" i="13" s="1"/>
  <c r="M1126" i="13"/>
  <c r="U1126" i="13" s="1"/>
  <c r="L1126" i="13"/>
  <c r="T1126" i="13" s="1"/>
  <c r="K1126" i="13"/>
  <c r="S1126" i="13" s="1"/>
  <c r="J1126" i="13"/>
  <c r="R1126" i="13" s="1"/>
  <c r="I1126" i="13"/>
  <c r="Q1126" i="13" s="1"/>
  <c r="H1126" i="13"/>
  <c r="G1126" i="13"/>
  <c r="F1126" i="13"/>
  <c r="E1126" i="13"/>
  <c r="BA1126" i="13" s="1"/>
  <c r="C1126" i="13"/>
  <c r="AG1126" i="13" s="1"/>
  <c r="AI1126" i="13" s="1"/>
  <c r="B1126" i="13"/>
  <c r="Z1126" i="13" s="1"/>
  <c r="A1126" i="13"/>
  <c r="AQ1125" i="13"/>
  <c r="P1125" i="13"/>
  <c r="X1125" i="13" s="1"/>
  <c r="O1125" i="13"/>
  <c r="W1125" i="13" s="1"/>
  <c r="N1125" i="13"/>
  <c r="V1125" i="13" s="1"/>
  <c r="M1125" i="13"/>
  <c r="U1125" i="13" s="1"/>
  <c r="L1125" i="13"/>
  <c r="T1125" i="13" s="1"/>
  <c r="K1125" i="13"/>
  <c r="S1125" i="13" s="1"/>
  <c r="J1125" i="13"/>
  <c r="R1125" i="13" s="1"/>
  <c r="I1125" i="13"/>
  <c r="Q1125" i="13" s="1"/>
  <c r="H1125" i="13"/>
  <c r="G1125" i="13"/>
  <c r="F1125" i="13"/>
  <c r="E1125" i="13"/>
  <c r="BB1125" i="13" s="1"/>
  <c r="C1125" i="13"/>
  <c r="AG1125" i="13" s="1"/>
  <c r="AM1125" i="13" s="1"/>
  <c r="B1125" i="13"/>
  <c r="Z1125" i="13" s="1"/>
  <c r="A1125" i="13"/>
  <c r="AQ1124" i="13"/>
  <c r="P1124" i="13"/>
  <c r="X1124" i="13" s="1"/>
  <c r="O1124" i="13"/>
  <c r="W1124" i="13" s="1"/>
  <c r="N1124" i="13"/>
  <c r="V1124" i="13" s="1"/>
  <c r="M1124" i="13"/>
  <c r="U1124" i="13" s="1"/>
  <c r="L1124" i="13"/>
  <c r="T1124" i="13" s="1"/>
  <c r="K1124" i="13"/>
  <c r="S1124" i="13" s="1"/>
  <c r="J1124" i="13"/>
  <c r="R1124" i="13" s="1"/>
  <c r="I1124" i="13"/>
  <c r="Q1124" i="13" s="1"/>
  <c r="H1124" i="13"/>
  <c r="G1124" i="13"/>
  <c r="F1124" i="13"/>
  <c r="E1124" i="13"/>
  <c r="C1124" i="13"/>
  <c r="AG1124" i="13" s="1"/>
  <c r="AK1124" i="13" s="1"/>
  <c r="B1124" i="13"/>
  <c r="Z1124" i="13" s="1"/>
  <c r="A1124" i="13"/>
  <c r="AU1124" i="13" s="1"/>
  <c r="AQ1123" i="13"/>
  <c r="P1123" i="13"/>
  <c r="X1123" i="13" s="1"/>
  <c r="O1123" i="13"/>
  <c r="W1123" i="13" s="1"/>
  <c r="N1123" i="13"/>
  <c r="V1123" i="13" s="1"/>
  <c r="M1123" i="13"/>
  <c r="U1123" i="13" s="1"/>
  <c r="L1123" i="13"/>
  <c r="T1123" i="13" s="1"/>
  <c r="K1123" i="13"/>
  <c r="S1123" i="13" s="1"/>
  <c r="J1123" i="13"/>
  <c r="R1123" i="13" s="1"/>
  <c r="I1123" i="13"/>
  <c r="Q1123" i="13" s="1"/>
  <c r="H1123" i="13"/>
  <c r="G1123" i="13"/>
  <c r="F1123" i="13"/>
  <c r="E1123" i="13"/>
  <c r="BB1123" i="13" s="1"/>
  <c r="C1123" i="13"/>
  <c r="B1123" i="13"/>
  <c r="Z1123" i="13" s="1"/>
  <c r="A1123" i="13"/>
  <c r="AU1123" i="13" s="1"/>
  <c r="AQ1122" i="13"/>
  <c r="P1122" i="13"/>
  <c r="X1122" i="13" s="1"/>
  <c r="O1122" i="13"/>
  <c r="W1122" i="13" s="1"/>
  <c r="N1122" i="13"/>
  <c r="V1122" i="13" s="1"/>
  <c r="M1122" i="13"/>
  <c r="U1122" i="13" s="1"/>
  <c r="L1122" i="13"/>
  <c r="T1122" i="13" s="1"/>
  <c r="K1122" i="13"/>
  <c r="S1122" i="13" s="1"/>
  <c r="J1122" i="13"/>
  <c r="R1122" i="13" s="1"/>
  <c r="I1122" i="13"/>
  <c r="Q1122" i="13" s="1"/>
  <c r="H1122" i="13"/>
  <c r="G1122" i="13"/>
  <c r="F1122" i="13"/>
  <c r="E1122" i="13"/>
  <c r="BA1122" i="13" s="1"/>
  <c r="C1122" i="13"/>
  <c r="AG1122" i="13" s="1"/>
  <c r="B1122" i="13"/>
  <c r="Z1122" i="13" s="1"/>
  <c r="A1122" i="13"/>
  <c r="AQ1121" i="13"/>
  <c r="X1121" i="13"/>
  <c r="P1121" i="13"/>
  <c r="O1121" i="13"/>
  <c r="W1121" i="13" s="1"/>
  <c r="N1121" i="13"/>
  <c r="V1121" i="13" s="1"/>
  <c r="M1121" i="13"/>
  <c r="U1121" i="13" s="1"/>
  <c r="L1121" i="13"/>
  <c r="T1121" i="13" s="1"/>
  <c r="K1121" i="13"/>
  <c r="S1121" i="13" s="1"/>
  <c r="J1121" i="13"/>
  <c r="R1121" i="13" s="1"/>
  <c r="I1121" i="13"/>
  <c r="Q1121" i="13" s="1"/>
  <c r="H1121" i="13"/>
  <c r="G1121" i="13"/>
  <c r="F1121" i="13"/>
  <c r="E1121" i="13"/>
  <c r="BB1121" i="13" s="1"/>
  <c r="C1121" i="13"/>
  <c r="AG1121" i="13" s="1"/>
  <c r="B1121" i="13"/>
  <c r="Z1121" i="13" s="1"/>
  <c r="A1121" i="13"/>
  <c r="AU1120" i="13"/>
  <c r="AQ1120" i="13"/>
  <c r="P1120" i="13"/>
  <c r="X1120" i="13" s="1"/>
  <c r="O1120" i="13"/>
  <c r="W1120" i="13" s="1"/>
  <c r="N1120" i="13"/>
  <c r="V1120" i="13" s="1"/>
  <c r="M1120" i="13"/>
  <c r="U1120" i="13" s="1"/>
  <c r="L1120" i="13"/>
  <c r="T1120" i="13" s="1"/>
  <c r="K1120" i="13"/>
  <c r="S1120" i="13" s="1"/>
  <c r="J1120" i="13"/>
  <c r="R1120" i="13" s="1"/>
  <c r="I1120" i="13"/>
  <c r="Q1120" i="13" s="1"/>
  <c r="H1120" i="13"/>
  <c r="G1120" i="13"/>
  <c r="F1120" i="13"/>
  <c r="E1120" i="13"/>
  <c r="C1120" i="13"/>
  <c r="AG1120" i="13" s="1"/>
  <c r="B1120" i="13"/>
  <c r="Z1120" i="13" s="1"/>
  <c r="A1120" i="13"/>
  <c r="AC1120" i="13" s="1"/>
  <c r="AQ1119" i="13"/>
  <c r="P1119" i="13"/>
  <c r="X1119" i="13" s="1"/>
  <c r="O1119" i="13"/>
  <c r="W1119" i="13" s="1"/>
  <c r="N1119" i="13"/>
  <c r="V1119" i="13" s="1"/>
  <c r="M1119" i="13"/>
  <c r="U1119" i="13" s="1"/>
  <c r="L1119" i="13"/>
  <c r="T1119" i="13" s="1"/>
  <c r="K1119" i="13"/>
  <c r="S1119" i="13" s="1"/>
  <c r="J1119" i="13"/>
  <c r="R1119" i="13" s="1"/>
  <c r="I1119" i="13"/>
  <c r="Q1119" i="13" s="1"/>
  <c r="H1119" i="13"/>
  <c r="G1119" i="13"/>
  <c r="F1119" i="13"/>
  <c r="E1119" i="13"/>
  <c r="BB1119" i="13" s="1"/>
  <c r="C1119" i="13"/>
  <c r="B1119" i="13"/>
  <c r="Z1119" i="13" s="1"/>
  <c r="A1119" i="13"/>
  <c r="AU1119" i="13" s="1"/>
  <c r="AQ1118" i="13"/>
  <c r="Z1118" i="13"/>
  <c r="V1118" i="13"/>
  <c r="P1118" i="13"/>
  <c r="X1118" i="13" s="1"/>
  <c r="O1118" i="13"/>
  <c r="W1118" i="13" s="1"/>
  <c r="N1118" i="13"/>
  <c r="M1118" i="13"/>
  <c r="U1118" i="13" s="1"/>
  <c r="L1118" i="13"/>
  <c r="T1118" i="13" s="1"/>
  <c r="K1118" i="13"/>
  <c r="S1118" i="13" s="1"/>
  <c r="J1118" i="13"/>
  <c r="R1118" i="13" s="1"/>
  <c r="I1118" i="13"/>
  <c r="Q1118" i="13" s="1"/>
  <c r="H1118" i="13"/>
  <c r="G1118" i="13"/>
  <c r="F1118" i="13"/>
  <c r="E1118" i="13"/>
  <c r="C1118" i="13"/>
  <c r="AG1118" i="13" s="1"/>
  <c r="B1118" i="13"/>
  <c r="A1118" i="13"/>
  <c r="AQ1117" i="13"/>
  <c r="P1117" i="13"/>
  <c r="X1117" i="13" s="1"/>
  <c r="O1117" i="13"/>
  <c r="W1117" i="13" s="1"/>
  <c r="N1117" i="13"/>
  <c r="V1117" i="13" s="1"/>
  <c r="M1117" i="13"/>
  <c r="U1117" i="13" s="1"/>
  <c r="L1117" i="13"/>
  <c r="T1117" i="13" s="1"/>
  <c r="K1117" i="13"/>
  <c r="S1117" i="13" s="1"/>
  <c r="J1117" i="13"/>
  <c r="R1117" i="13" s="1"/>
  <c r="I1117" i="13"/>
  <c r="Q1117" i="13" s="1"/>
  <c r="H1117" i="13"/>
  <c r="G1117" i="13"/>
  <c r="F1117" i="13"/>
  <c r="E1117" i="13"/>
  <c r="BB1117" i="13" s="1"/>
  <c r="C1117" i="13"/>
  <c r="AG1117" i="13" s="1"/>
  <c r="B1117" i="13"/>
  <c r="Z1117" i="13" s="1"/>
  <c r="A1117" i="13"/>
  <c r="AU1117" i="13" s="1"/>
  <c r="AQ1116" i="13"/>
  <c r="W1116" i="13"/>
  <c r="P1116" i="13"/>
  <c r="X1116" i="13" s="1"/>
  <c r="O1116" i="13"/>
  <c r="N1116" i="13"/>
  <c r="V1116" i="13" s="1"/>
  <c r="M1116" i="13"/>
  <c r="U1116" i="13" s="1"/>
  <c r="L1116" i="13"/>
  <c r="T1116" i="13" s="1"/>
  <c r="K1116" i="13"/>
  <c r="S1116" i="13" s="1"/>
  <c r="J1116" i="13"/>
  <c r="R1116" i="13" s="1"/>
  <c r="I1116" i="13"/>
  <c r="Q1116" i="13" s="1"/>
  <c r="H1116" i="13"/>
  <c r="G1116" i="13"/>
  <c r="F1116" i="13"/>
  <c r="E1116" i="13"/>
  <c r="BB1116" i="13" s="1"/>
  <c r="C1116" i="13"/>
  <c r="AG1116" i="13" s="1"/>
  <c r="AK1116" i="13" s="1"/>
  <c r="B1116" i="13"/>
  <c r="Z1116" i="13" s="1"/>
  <c r="A1116" i="13"/>
  <c r="AQ1115" i="13"/>
  <c r="P1115" i="13"/>
  <c r="X1115" i="13" s="1"/>
  <c r="O1115" i="13"/>
  <c r="W1115" i="13" s="1"/>
  <c r="N1115" i="13"/>
  <c r="V1115" i="13" s="1"/>
  <c r="M1115" i="13"/>
  <c r="U1115" i="13" s="1"/>
  <c r="L1115" i="13"/>
  <c r="T1115" i="13" s="1"/>
  <c r="K1115" i="13"/>
  <c r="S1115" i="13" s="1"/>
  <c r="J1115" i="13"/>
  <c r="R1115" i="13" s="1"/>
  <c r="I1115" i="13"/>
  <c r="Q1115" i="13" s="1"/>
  <c r="H1115" i="13"/>
  <c r="G1115" i="13"/>
  <c r="F1115" i="13"/>
  <c r="E1115" i="13"/>
  <c r="BA1115" i="13" s="1"/>
  <c r="C1115" i="13"/>
  <c r="B1115" i="13"/>
  <c r="Z1115" i="13" s="1"/>
  <c r="A1115" i="13"/>
  <c r="AU1115" i="13" s="1"/>
  <c r="AQ1114" i="13"/>
  <c r="P1114" i="13"/>
  <c r="X1114" i="13" s="1"/>
  <c r="O1114" i="13"/>
  <c r="W1114" i="13" s="1"/>
  <c r="N1114" i="13"/>
  <c r="V1114" i="13" s="1"/>
  <c r="M1114" i="13"/>
  <c r="U1114" i="13" s="1"/>
  <c r="L1114" i="13"/>
  <c r="T1114" i="13" s="1"/>
  <c r="K1114" i="13"/>
  <c r="S1114" i="13" s="1"/>
  <c r="J1114" i="13"/>
  <c r="R1114" i="13" s="1"/>
  <c r="I1114" i="13"/>
  <c r="Q1114" i="13" s="1"/>
  <c r="H1114" i="13"/>
  <c r="G1114" i="13"/>
  <c r="F1114" i="13"/>
  <c r="E1114" i="13"/>
  <c r="BA1114" i="13" s="1"/>
  <c r="C1114" i="13"/>
  <c r="AG1114" i="13" s="1"/>
  <c r="B1114" i="13"/>
  <c r="Z1114" i="13" s="1"/>
  <c r="A1114" i="13"/>
  <c r="AQ1113" i="13"/>
  <c r="P1113" i="13"/>
  <c r="X1113" i="13" s="1"/>
  <c r="O1113" i="13"/>
  <c r="W1113" i="13" s="1"/>
  <c r="N1113" i="13"/>
  <c r="V1113" i="13" s="1"/>
  <c r="M1113" i="13"/>
  <c r="U1113" i="13" s="1"/>
  <c r="L1113" i="13"/>
  <c r="T1113" i="13" s="1"/>
  <c r="K1113" i="13"/>
  <c r="S1113" i="13" s="1"/>
  <c r="J1113" i="13"/>
  <c r="R1113" i="13" s="1"/>
  <c r="I1113" i="13"/>
  <c r="Q1113" i="13" s="1"/>
  <c r="H1113" i="13"/>
  <c r="G1113" i="13"/>
  <c r="F1113" i="13"/>
  <c r="E1113" i="13"/>
  <c r="BB1113" i="13" s="1"/>
  <c r="C1113" i="13"/>
  <c r="AG1113" i="13" s="1"/>
  <c r="B1113" i="13"/>
  <c r="Z1113" i="13" s="1"/>
  <c r="A1113" i="13"/>
  <c r="AQ1112" i="13"/>
  <c r="P1112" i="13"/>
  <c r="X1112" i="13" s="1"/>
  <c r="O1112" i="13"/>
  <c r="W1112" i="13" s="1"/>
  <c r="N1112" i="13"/>
  <c r="V1112" i="13" s="1"/>
  <c r="M1112" i="13"/>
  <c r="U1112" i="13" s="1"/>
  <c r="L1112" i="13"/>
  <c r="T1112" i="13" s="1"/>
  <c r="K1112" i="13"/>
  <c r="S1112" i="13" s="1"/>
  <c r="J1112" i="13"/>
  <c r="R1112" i="13" s="1"/>
  <c r="I1112" i="13"/>
  <c r="Q1112" i="13" s="1"/>
  <c r="H1112" i="13"/>
  <c r="G1112" i="13"/>
  <c r="F1112" i="13"/>
  <c r="E1112" i="13"/>
  <c r="C1112" i="13"/>
  <c r="AG1112" i="13" s="1"/>
  <c r="B1112" i="13"/>
  <c r="Z1112" i="13" s="1"/>
  <c r="A1112" i="13"/>
  <c r="AU1112" i="13" s="1"/>
  <c r="AQ1111" i="13"/>
  <c r="P1111" i="13"/>
  <c r="X1111" i="13" s="1"/>
  <c r="O1111" i="13"/>
  <c r="W1111" i="13" s="1"/>
  <c r="N1111" i="13"/>
  <c r="V1111" i="13" s="1"/>
  <c r="M1111" i="13"/>
  <c r="U1111" i="13" s="1"/>
  <c r="L1111" i="13"/>
  <c r="T1111" i="13" s="1"/>
  <c r="K1111" i="13"/>
  <c r="S1111" i="13" s="1"/>
  <c r="J1111" i="13"/>
  <c r="R1111" i="13" s="1"/>
  <c r="I1111" i="13"/>
  <c r="Q1111" i="13" s="1"/>
  <c r="H1111" i="13"/>
  <c r="G1111" i="13"/>
  <c r="F1111" i="13"/>
  <c r="E1111" i="13"/>
  <c r="C1111" i="13"/>
  <c r="AG1111" i="13" s="1"/>
  <c r="AK1111" i="13" s="1"/>
  <c r="B1111" i="13"/>
  <c r="Z1111" i="13" s="1"/>
  <c r="A1111" i="13"/>
  <c r="BB1110" i="13"/>
  <c r="AU1110" i="13"/>
  <c r="AQ1110" i="13"/>
  <c r="P1110" i="13"/>
  <c r="X1110" i="13" s="1"/>
  <c r="O1110" i="13"/>
  <c r="W1110" i="13" s="1"/>
  <c r="N1110" i="13"/>
  <c r="V1110" i="13" s="1"/>
  <c r="M1110" i="13"/>
  <c r="U1110" i="13" s="1"/>
  <c r="L1110" i="13"/>
  <c r="T1110" i="13" s="1"/>
  <c r="K1110" i="13"/>
  <c r="S1110" i="13" s="1"/>
  <c r="J1110" i="13"/>
  <c r="R1110" i="13" s="1"/>
  <c r="I1110" i="13"/>
  <c r="Q1110" i="13" s="1"/>
  <c r="H1110" i="13"/>
  <c r="G1110" i="13"/>
  <c r="F1110" i="13"/>
  <c r="E1110" i="13"/>
  <c r="BA1110" i="13" s="1"/>
  <c r="C1110" i="13"/>
  <c r="AG1110" i="13" s="1"/>
  <c r="B1110" i="13"/>
  <c r="Z1110" i="13" s="1"/>
  <c r="A1110" i="13"/>
  <c r="AQ1109" i="13"/>
  <c r="P1109" i="13"/>
  <c r="X1109" i="13" s="1"/>
  <c r="O1109" i="13"/>
  <c r="W1109" i="13" s="1"/>
  <c r="N1109" i="13"/>
  <c r="V1109" i="13" s="1"/>
  <c r="M1109" i="13"/>
  <c r="U1109" i="13" s="1"/>
  <c r="L1109" i="13"/>
  <c r="T1109" i="13" s="1"/>
  <c r="K1109" i="13"/>
  <c r="S1109" i="13" s="1"/>
  <c r="J1109" i="13"/>
  <c r="R1109" i="13" s="1"/>
  <c r="I1109" i="13"/>
  <c r="Q1109" i="13" s="1"/>
  <c r="H1109" i="13"/>
  <c r="G1109" i="13"/>
  <c r="F1109" i="13"/>
  <c r="E1109" i="13"/>
  <c r="BB1109" i="13" s="1"/>
  <c r="C1109" i="13"/>
  <c r="AG1109" i="13" s="1"/>
  <c r="AK1109" i="13" s="1"/>
  <c r="B1109" i="13"/>
  <c r="Z1109" i="13" s="1"/>
  <c r="A1109" i="13"/>
  <c r="AQ1108" i="13"/>
  <c r="P1108" i="13"/>
  <c r="X1108" i="13" s="1"/>
  <c r="O1108" i="13"/>
  <c r="W1108" i="13" s="1"/>
  <c r="N1108" i="13"/>
  <c r="V1108" i="13" s="1"/>
  <c r="M1108" i="13"/>
  <c r="U1108" i="13" s="1"/>
  <c r="L1108" i="13"/>
  <c r="T1108" i="13" s="1"/>
  <c r="K1108" i="13"/>
  <c r="S1108" i="13" s="1"/>
  <c r="J1108" i="13"/>
  <c r="R1108" i="13" s="1"/>
  <c r="I1108" i="13"/>
  <c r="Q1108" i="13" s="1"/>
  <c r="H1108" i="13"/>
  <c r="G1108" i="13"/>
  <c r="F1108" i="13"/>
  <c r="E1108" i="13"/>
  <c r="BA1108" i="13" s="1"/>
  <c r="C1108" i="13"/>
  <c r="AG1108" i="13" s="1"/>
  <c r="B1108" i="13"/>
  <c r="Z1108" i="13" s="1"/>
  <c r="A1108" i="13"/>
  <c r="AU1108" i="13" s="1"/>
  <c r="AQ1107" i="13"/>
  <c r="P1107" i="13"/>
  <c r="X1107" i="13" s="1"/>
  <c r="O1107" i="13"/>
  <c r="W1107" i="13" s="1"/>
  <c r="N1107" i="13"/>
  <c r="V1107" i="13" s="1"/>
  <c r="M1107" i="13"/>
  <c r="U1107" i="13" s="1"/>
  <c r="L1107" i="13"/>
  <c r="T1107" i="13" s="1"/>
  <c r="K1107" i="13"/>
  <c r="S1107" i="13" s="1"/>
  <c r="J1107" i="13"/>
  <c r="R1107" i="13" s="1"/>
  <c r="I1107" i="13"/>
  <c r="Q1107" i="13" s="1"/>
  <c r="H1107" i="13"/>
  <c r="G1107" i="13"/>
  <c r="F1107" i="13"/>
  <c r="E1107" i="13"/>
  <c r="BB1107" i="13" s="1"/>
  <c r="C1107" i="13"/>
  <c r="AG1107" i="13" s="1"/>
  <c r="B1107" i="13"/>
  <c r="Z1107" i="13" s="1"/>
  <c r="A1107" i="13"/>
  <c r="AC1107" i="13" s="1"/>
  <c r="AQ1106" i="13"/>
  <c r="P1106" i="13"/>
  <c r="X1106" i="13" s="1"/>
  <c r="O1106" i="13"/>
  <c r="W1106" i="13" s="1"/>
  <c r="N1106" i="13"/>
  <c r="V1106" i="13" s="1"/>
  <c r="M1106" i="13"/>
  <c r="U1106" i="13" s="1"/>
  <c r="L1106" i="13"/>
  <c r="T1106" i="13" s="1"/>
  <c r="K1106" i="13"/>
  <c r="S1106" i="13" s="1"/>
  <c r="J1106" i="13"/>
  <c r="R1106" i="13" s="1"/>
  <c r="I1106" i="13"/>
  <c r="Q1106" i="13" s="1"/>
  <c r="H1106" i="13"/>
  <c r="G1106" i="13"/>
  <c r="F1106" i="13"/>
  <c r="E1106" i="13"/>
  <c r="C1106" i="13"/>
  <c r="AG1106" i="13" s="1"/>
  <c r="AI1106" i="13" s="1"/>
  <c r="B1106" i="13"/>
  <c r="A1106" i="13"/>
  <c r="AU1106" i="13" s="1"/>
  <c r="AQ1105" i="13"/>
  <c r="X1105" i="13"/>
  <c r="P1105" i="13"/>
  <c r="O1105" i="13"/>
  <c r="W1105" i="13" s="1"/>
  <c r="N1105" i="13"/>
  <c r="V1105" i="13" s="1"/>
  <c r="M1105" i="13"/>
  <c r="U1105" i="13" s="1"/>
  <c r="L1105" i="13"/>
  <c r="T1105" i="13" s="1"/>
  <c r="K1105" i="13"/>
  <c r="S1105" i="13" s="1"/>
  <c r="J1105" i="13"/>
  <c r="R1105" i="13" s="1"/>
  <c r="I1105" i="13"/>
  <c r="Q1105" i="13" s="1"/>
  <c r="H1105" i="13"/>
  <c r="G1105" i="13"/>
  <c r="F1105" i="13"/>
  <c r="E1105" i="13"/>
  <c r="BB1105" i="13" s="1"/>
  <c r="C1105" i="13"/>
  <c r="AG1105" i="13" s="1"/>
  <c r="B1105" i="13"/>
  <c r="Z1105" i="13" s="1"/>
  <c r="A1105" i="13"/>
  <c r="AQ1104" i="13"/>
  <c r="P1104" i="13"/>
  <c r="X1104" i="13" s="1"/>
  <c r="O1104" i="13"/>
  <c r="W1104" i="13" s="1"/>
  <c r="N1104" i="13"/>
  <c r="V1104" i="13" s="1"/>
  <c r="M1104" i="13"/>
  <c r="U1104" i="13" s="1"/>
  <c r="L1104" i="13"/>
  <c r="T1104" i="13" s="1"/>
  <c r="K1104" i="13"/>
  <c r="S1104" i="13" s="1"/>
  <c r="J1104" i="13"/>
  <c r="R1104" i="13" s="1"/>
  <c r="I1104" i="13"/>
  <c r="Q1104" i="13" s="1"/>
  <c r="H1104" i="13"/>
  <c r="G1104" i="13"/>
  <c r="F1104" i="13"/>
  <c r="E1104" i="13"/>
  <c r="BA1104" i="13" s="1"/>
  <c r="C1104" i="13"/>
  <c r="AG1104" i="13" s="1"/>
  <c r="B1104" i="13"/>
  <c r="Z1104" i="13" s="1"/>
  <c r="A1104" i="13"/>
  <c r="AU1104" i="13" s="1"/>
  <c r="AQ1103" i="13"/>
  <c r="P1103" i="13"/>
  <c r="X1103" i="13" s="1"/>
  <c r="O1103" i="13"/>
  <c r="W1103" i="13" s="1"/>
  <c r="N1103" i="13"/>
  <c r="V1103" i="13" s="1"/>
  <c r="M1103" i="13"/>
  <c r="U1103" i="13" s="1"/>
  <c r="L1103" i="13"/>
  <c r="T1103" i="13" s="1"/>
  <c r="K1103" i="13"/>
  <c r="S1103" i="13" s="1"/>
  <c r="J1103" i="13"/>
  <c r="R1103" i="13" s="1"/>
  <c r="I1103" i="13"/>
  <c r="Q1103" i="13" s="1"/>
  <c r="H1103" i="13"/>
  <c r="G1103" i="13"/>
  <c r="F1103" i="13"/>
  <c r="E1103" i="13"/>
  <c r="BB1103" i="13" s="1"/>
  <c r="C1103" i="13"/>
  <c r="AG1103" i="13" s="1"/>
  <c r="B1103" i="13"/>
  <c r="Z1103" i="13" s="1"/>
  <c r="A1103" i="13"/>
  <c r="AQ1102" i="13"/>
  <c r="U1102" i="13"/>
  <c r="P1102" i="13"/>
  <c r="X1102" i="13" s="1"/>
  <c r="O1102" i="13"/>
  <c r="W1102" i="13" s="1"/>
  <c r="N1102" i="13"/>
  <c r="V1102" i="13" s="1"/>
  <c r="M1102" i="13"/>
  <c r="L1102" i="13"/>
  <c r="T1102" i="13" s="1"/>
  <c r="K1102" i="13"/>
  <c r="S1102" i="13" s="1"/>
  <c r="J1102" i="13"/>
  <c r="R1102" i="13" s="1"/>
  <c r="I1102" i="13"/>
  <c r="Q1102" i="13" s="1"/>
  <c r="H1102" i="13"/>
  <c r="G1102" i="13"/>
  <c r="F1102" i="13"/>
  <c r="E1102" i="13"/>
  <c r="BB1102" i="13" s="1"/>
  <c r="C1102" i="13"/>
  <c r="AG1102" i="13" s="1"/>
  <c r="AK1102" i="13" s="1"/>
  <c r="B1102" i="13"/>
  <c r="Z1102" i="13" s="1"/>
  <c r="A1102" i="13"/>
  <c r="AC1102" i="13" s="1"/>
  <c r="AQ1101" i="13"/>
  <c r="AC1101" i="13"/>
  <c r="P1101" i="13"/>
  <c r="X1101" i="13" s="1"/>
  <c r="O1101" i="13"/>
  <c r="W1101" i="13" s="1"/>
  <c r="N1101" i="13"/>
  <c r="V1101" i="13" s="1"/>
  <c r="M1101" i="13"/>
  <c r="U1101" i="13" s="1"/>
  <c r="L1101" i="13"/>
  <c r="T1101" i="13" s="1"/>
  <c r="K1101" i="13"/>
  <c r="S1101" i="13" s="1"/>
  <c r="J1101" i="13"/>
  <c r="R1101" i="13" s="1"/>
  <c r="I1101" i="13"/>
  <c r="Q1101" i="13" s="1"/>
  <c r="H1101" i="13"/>
  <c r="G1101" i="13"/>
  <c r="F1101" i="13"/>
  <c r="E1101" i="13"/>
  <c r="BB1101" i="13" s="1"/>
  <c r="C1101" i="13"/>
  <c r="B1101" i="13"/>
  <c r="Z1101" i="13" s="1"/>
  <c r="A1101" i="13"/>
  <c r="AU1101" i="13" s="1"/>
  <c r="AQ1100" i="13"/>
  <c r="P1100" i="13"/>
  <c r="X1100" i="13" s="1"/>
  <c r="O1100" i="13"/>
  <c r="W1100" i="13" s="1"/>
  <c r="N1100" i="13"/>
  <c r="V1100" i="13" s="1"/>
  <c r="M1100" i="13"/>
  <c r="U1100" i="13" s="1"/>
  <c r="L1100" i="13"/>
  <c r="T1100" i="13" s="1"/>
  <c r="K1100" i="13"/>
  <c r="S1100" i="13" s="1"/>
  <c r="J1100" i="13"/>
  <c r="R1100" i="13" s="1"/>
  <c r="I1100" i="13"/>
  <c r="Q1100" i="13" s="1"/>
  <c r="H1100" i="13"/>
  <c r="G1100" i="13"/>
  <c r="F1100" i="13"/>
  <c r="E1100" i="13"/>
  <c r="C1100" i="13"/>
  <c r="AG1100" i="13" s="1"/>
  <c r="AN1100" i="13" s="1"/>
  <c r="B1100" i="13"/>
  <c r="Z1100" i="13" s="1"/>
  <c r="A1100" i="13"/>
  <c r="AR1099" i="13"/>
  <c r="AQ1099" i="13"/>
  <c r="P1099" i="13"/>
  <c r="X1099" i="13" s="1"/>
  <c r="O1099" i="13"/>
  <c r="W1099" i="13" s="1"/>
  <c r="N1099" i="13"/>
  <c r="V1099" i="13" s="1"/>
  <c r="M1099" i="13"/>
  <c r="U1099" i="13" s="1"/>
  <c r="L1099" i="13"/>
  <c r="T1099" i="13" s="1"/>
  <c r="K1099" i="13"/>
  <c r="S1099" i="13" s="1"/>
  <c r="J1099" i="13"/>
  <c r="R1099" i="13" s="1"/>
  <c r="I1099" i="13"/>
  <c r="Q1099" i="13" s="1"/>
  <c r="H1099" i="13"/>
  <c r="G1099" i="13"/>
  <c r="F1099" i="13"/>
  <c r="E1099" i="13"/>
  <c r="C1099" i="13"/>
  <c r="AG1099" i="13" s="1"/>
  <c r="B1099" i="13"/>
  <c r="Z1099" i="13" s="1"/>
  <c r="A1099" i="13"/>
  <c r="AC1099" i="13" s="1"/>
  <c r="AQ1098" i="13"/>
  <c r="P1098" i="13"/>
  <c r="X1098" i="13" s="1"/>
  <c r="O1098" i="13"/>
  <c r="W1098" i="13" s="1"/>
  <c r="N1098" i="13"/>
  <c r="V1098" i="13" s="1"/>
  <c r="M1098" i="13"/>
  <c r="U1098" i="13" s="1"/>
  <c r="L1098" i="13"/>
  <c r="T1098" i="13" s="1"/>
  <c r="K1098" i="13"/>
  <c r="S1098" i="13" s="1"/>
  <c r="J1098" i="13"/>
  <c r="R1098" i="13" s="1"/>
  <c r="I1098" i="13"/>
  <c r="Q1098" i="13" s="1"/>
  <c r="H1098" i="13"/>
  <c r="G1098" i="13"/>
  <c r="F1098" i="13"/>
  <c r="E1098" i="13"/>
  <c r="BB1098" i="13" s="1"/>
  <c r="C1098" i="13"/>
  <c r="AG1098" i="13" s="1"/>
  <c r="AM1098" i="13" s="1"/>
  <c r="B1098" i="13"/>
  <c r="A1098" i="13"/>
  <c r="AQ1097" i="13"/>
  <c r="P1097" i="13"/>
  <c r="X1097" i="13" s="1"/>
  <c r="O1097" i="13"/>
  <c r="W1097" i="13" s="1"/>
  <c r="N1097" i="13"/>
  <c r="V1097" i="13" s="1"/>
  <c r="M1097" i="13"/>
  <c r="U1097" i="13" s="1"/>
  <c r="L1097" i="13"/>
  <c r="T1097" i="13" s="1"/>
  <c r="K1097" i="13"/>
  <c r="S1097" i="13" s="1"/>
  <c r="J1097" i="13"/>
  <c r="R1097" i="13" s="1"/>
  <c r="I1097" i="13"/>
  <c r="Q1097" i="13" s="1"/>
  <c r="H1097" i="13"/>
  <c r="G1097" i="13"/>
  <c r="F1097" i="13"/>
  <c r="E1097" i="13"/>
  <c r="BB1097" i="13" s="1"/>
  <c r="C1097" i="13"/>
  <c r="AG1097" i="13" s="1"/>
  <c r="B1097" i="13"/>
  <c r="Z1097" i="13" s="1"/>
  <c r="A1097" i="13"/>
  <c r="AU1097" i="13" s="1"/>
  <c r="AQ1096" i="13"/>
  <c r="P1096" i="13"/>
  <c r="X1096" i="13" s="1"/>
  <c r="O1096" i="13"/>
  <c r="W1096" i="13" s="1"/>
  <c r="N1096" i="13"/>
  <c r="V1096" i="13" s="1"/>
  <c r="M1096" i="13"/>
  <c r="U1096" i="13" s="1"/>
  <c r="L1096" i="13"/>
  <c r="T1096" i="13" s="1"/>
  <c r="K1096" i="13"/>
  <c r="S1096" i="13" s="1"/>
  <c r="J1096" i="13"/>
  <c r="R1096" i="13" s="1"/>
  <c r="I1096" i="13"/>
  <c r="Q1096" i="13" s="1"/>
  <c r="H1096" i="13"/>
  <c r="G1096" i="13"/>
  <c r="F1096" i="13"/>
  <c r="E1096" i="13"/>
  <c r="C1096" i="13"/>
  <c r="AG1096" i="13" s="1"/>
  <c r="B1096" i="13"/>
  <c r="Z1096" i="13" s="1"/>
  <c r="A1096" i="13"/>
  <c r="AU1096" i="13" s="1"/>
  <c r="AQ1095" i="13"/>
  <c r="P1095" i="13"/>
  <c r="X1095" i="13" s="1"/>
  <c r="O1095" i="13"/>
  <c r="W1095" i="13" s="1"/>
  <c r="N1095" i="13"/>
  <c r="V1095" i="13" s="1"/>
  <c r="M1095" i="13"/>
  <c r="U1095" i="13" s="1"/>
  <c r="L1095" i="13"/>
  <c r="T1095" i="13" s="1"/>
  <c r="K1095" i="13"/>
  <c r="S1095" i="13" s="1"/>
  <c r="J1095" i="13"/>
  <c r="R1095" i="13" s="1"/>
  <c r="I1095" i="13"/>
  <c r="Q1095" i="13" s="1"/>
  <c r="H1095" i="13"/>
  <c r="G1095" i="13"/>
  <c r="F1095" i="13"/>
  <c r="E1095" i="13"/>
  <c r="BA1095" i="13" s="1"/>
  <c r="C1095" i="13"/>
  <c r="AG1095" i="13" s="1"/>
  <c r="B1095" i="13"/>
  <c r="Z1095" i="13" s="1"/>
  <c r="A1095" i="13"/>
  <c r="AC1095" i="13" s="1"/>
  <c r="AQ1094" i="13"/>
  <c r="Z1094" i="13"/>
  <c r="P1094" i="13"/>
  <c r="X1094" i="13" s="1"/>
  <c r="O1094" i="13"/>
  <c r="W1094" i="13" s="1"/>
  <c r="N1094" i="13"/>
  <c r="V1094" i="13" s="1"/>
  <c r="M1094" i="13"/>
  <c r="U1094" i="13" s="1"/>
  <c r="L1094" i="13"/>
  <c r="T1094" i="13" s="1"/>
  <c r="K1094" i="13"/>
  <c r="S1094" i="13" s="1"/>
  <c r="J1094" i="13"/>
  <c r="R1094" i="13" s="1"/>
  <c r="I1094" i="13"/>
  <c r="Q1094" i="13" s="1"/>
  <c r="H1094" i="13"/>
  <c r="G1094" i="13"/>
  <c r="F1094" i="13"/>
  <c r="E1094" i="13"/>
  <c r="BA1094" i="13" s="1"/>
  <c r="C1094" i="13"/>
  <c r="AG1094" i="13" s="1"/>
  <c r="AJ1094" i="13" s="1"/>
  <c r="B1094" i="13"/>
  <c r="AR1094" i="13" s="1"/>
  <c r="A1094" i="13"/>
  <c r="AC1094" i="13" s="1"/>
  <c r="AQ1093" i="13"/>
  <c r="V1093" i="13"/>
  <c r="S1093" i="13"/>
  <c r="P1093" i="13"/>
  <c r="X1093" i="13" s="1"/>
  <c r="O1093" i="13"/>
  <c r="W1093" i="13" s="1"/>
  <c r="N1093" i="13"/>
  <c r="M1093" i="13"/>
  <c r="U1093" i="13" s="1"/>
  <c r="L1093" i="13"/>
  <c r="T1093" i="13" s="1"/>
  <c r="K1093" i="13"/>
  <c r="J1093" i="13"/>
  <c r="R1093" i="13" s="1"/>
  <c r="I1093" i="13"/>
  <c r="Q1093" i="13" s="1"/>
  <c r="H1093" i="13"/>
  <c r="G1093" i="13"/>
  <c r="F1093" i="13"/>
  <c r="E1093" i="13"/>
  <c r="C1093" i="13"/>
  <c r="AG1093" i="13" s="1"/>
  <c r="B1093" i="13"/>
  <c r="Z1093" i="13" s="1"/>
  <c r="A1093" i="13"/>
  <c r="AQ1092" i="13"/>
  <c r="P1092" i="13"/>
  <c r="X1092" i="13" s="1"/>
  <c r="O1092" i="13"/>
  <c r="W1092" i="13" s="1"/>
  <c r="N1092" i="13"/>
  <c r="V1092" i="13" s="1"/>
  <c r="M1092" i="13"/>
  <c r="U1092" i="13" s="1"/>
  <c r="L1092" i="13"/>
  <c r="T1092" i="13" s="1"/>
  <c r="K1092" i="13"/>
  <c r="S1092" i="13" s="1"/>
  <c r="J1092" i="13"/>
  <c r="R1092" i="13" s="1"/>
  <c r="I1092" i="13"/>
  <c r="Q1092" i="13" s="1"/>
  <c r="H1092" i="13"/>
  <c r="G1092" i="13"/>
  <c r="F1092" i="13"/>
  <c r="E1092" i="13"/>
  <c r="BB1092" i="13" s="1"/>
  <c r="C1092" i="13"/>
  <c r="AG1092" i="13" s="1"/>
  <c r="B1092" i="13"/>
  <c r="Z1092" i="13" s="1"/>
  <c r="A1092" i="13"/>
  <c r="AQ1091" i="13"/>
  <c r="P1091" i="13"/>
  <c r="X1091" i="13" s="1"/>
  <c r="O1091" i="13"/>
  <c r="W1091" i="13" s="1"/>
  <c r="N1091" i="13"/>
  <c r="V1091" i="13" s="1"/>
  <c r="M1091" i="13"/>
  <c r="U1091" i="13" s="1"/>
  <c r="L1091" i="13"/>
  <c r="T1091" i="13" s="1"/>
  <c r="K1091" i="13"/>
  <c r="S1091" i="13" s="1"/>
  <c r="J1091" i="13"/>
  <c r="R1091" i="13" s="1"/>
  <c r="I1091" i="13"/>
  <c r="Q1091" i="13" s="1"/>
  <c r="H1091" i="13"/>
  <c r="G1091" i="13"/>
  <c r="F1091" i="13"/>
  <c r="E1091" i="13"/>
  <c r="BB1091" i="13" s="1"/>
  <c r="C1091" i="13"/>
  <c r="AG1091" i="13" s="1"/>
  <c r="AM1091" i="13" s="1"/>
  <c r="B1091" i="13"/>
  <c r="Z1091" i="13" s="1"/>
  <c r="A1091" i="13"/>
  <c r="AU1090" i="13"/>
  <c r="AQ1090" i="13"/>
  <c r="P1090" i="13"/>
  <c r="X1090" i="13" s="1"/>
  <c r="O1090" i="13"/>
  <c r="W1090" i="13" s="1"/>
  <c r="N1090" i="13"/>
  <c r="V1090" i="13" s="1"/>
  <c r="M1090" i="13"/>
  <c r="U1090" i="13" s="1"/>
  <c r="L1090" i="13"/>
  <c r="T1090" i="13" s="1"/>
  <c r="K1090" i="13"/>
  <c r="S1090" i="13" s="1"/>
  <c r="J1090" i="13"/>
  <c r="R1090" i="13" s="1"/>
  <c r="I1090" i="13"/>
  <c r="Q1090" i="13" s="1"/>
  <c r="H1090" i="13"/>
  <c r="G1090" i="13"/>
  <c r="F1090" i="13"/>
  <c r="E1090" i="13"/>
  <c r="BB1090" i="13" s="1"/>
  <c r="C1090" i="13"/>
  <c r="AG1090" i="13" s="1"/>
  <c r="B1090" i="13"/>
  <c r="Z1090" i="13" s="1"/>
  <c r="A1090" i="13"/>
  <c r="AC1090" i="13" s="1"/>
  <c r="AQ1089" i="13"/>
  <c r="P1089" i="13"/>
  <c r="X1089" i="13" s="1"/>
  <c r="O1089" i="13"/>
  <c r="W1089" i="13" s="1"/>
  <c r="N1089" i="13"/>
  <c r="V1089" i="13" s="1"/>
  <c r="M1089" i="13"/>
  <c r="U1089" i="13" s="1"/>
  <c r="L1089" i="13"/>
  <c r="T1089" i="13" s="1"/>
  <c r="K1089" i="13"/>
  <c r="S1089" i="13" s="1"/>
  <c r="J1089" i="13"/>
  <c r="R1089" i="13" s="1"/>
  <c r="I1089" i="13"/>
  <c r="Q1089" i="13" s="1"/>
  <c r="H1089" i="13"/>
  <c r="G1089" i="13"/>
  <c r="F1089" i="13"/>
  <c r="E1089" i="13"/>
  <c r="C1089" i="13"/>
  <c r="AG1089" i="13" s="1"/>
  <c r="B1089" i="13"/>
  <c r="Z1089" i="13" s="1"/>
  <c r="A1089" i="13"/>
  <c r="AQ1088" i="13"/>
  <c r="P1088" i="13"/>
  <c r="X1088" i="13" s="1"/>
  <c r="O1088" i="13"/>
  <c r="W1088" i="13" s="1"/>
  <c r="N1088" i="13"/>
  <c r="V1088" i="13" s="1"/>
  <c r="M1088" i="13"/>
  <c r="U1088" i="13" s="1"/>
  <c r="L1088" i="13"/>
  <c r="T1088" i="13" s="1"/>
  <c r="K1088" i="13"/>
  <c r="S1088" i="13" s="1"/>
  <c r="J1088" i="13"/>
  <c r="R1088" i="13" s="1"/>
  <c r="I1088" i="13"/>
  <c r="Q1088" i="13" s="1"/>
  <c r="H1088" i="13"/>
  <c r="G1088" i="13"/>
  <c r="F1088" i="13"/>
  <c r="E1088" i="13"/>
  <c r="BB1088" i="13" s="1"/>
  <c r="C1088" i="13"/>
  <c r="AG1088" i="13" s="1"/>
  <c r="B1088" i="13"/>
  <c r="Z1088" i="13" s="1"/>
  <c r="A1088" i="13"/>
  <c r="AU1088" i="13" s="1"/>
  <c r="AQ1087" i="13"/>
  <c r="P1087" i="13"/>
  <c r="X1087" i="13" s="1"/>
  <c r="O1087" i="13"/>
  <c r="W1087" i="13" s="1"/>
  <c r="N1087" i="13"/>
  <c r="V1087" i="13" s="1"/>
  <c r="M1087" i="13"/>
  <c r="U1087" i="13" s="1"/>
  <c r="L1087" i="13"/>
  <c r="T1087" i="13" s="1"/>
  <c r="K1087" i="13"/>
  <c r="S1087" i="13" s="1"/>
  <c r="J1087" i="13"/>
  <c r="R1087" i="13" s="1"/>
  <c r="I1087" i="13"/>
  <c r="Q1087" i="13" s="1"/>
  <c r="H1087" i="13"/>
  <c r="G1087" i="13"/>
  <c r="F1087" i="13"/>
  <c r="E1087" i="13"/>
  <c r="BB1087" i="13" s="1"/>
  <c r="C1087" i="13"/>
  <c r="AG1087" i="13" s="1"/>
  <c r="B1087" i="13"/>
  <c r="A1087" i="13"/>
  <c r="AC1087" i="13" s="1"/>
  <c r="AQ1086" i="13"/>
  <c r="P1086" i="13"/>
  <c r="X1086" i="13" s="1"/>
  <c r="O1086" i="13"/>
  <c r="W1086" i="13" s="1"/>
  <c r="N1086" i="13"/>
  <c r="V1086" i="13" s="1"/>
  <c r="M1086" i="13"/>
  <c r="U1086" i="13" s="1"/>
  <c r="L1086" i="13"/>
  <c r="T1086" i="13" s="1"/>
  <c r="K1086" i="13"/>
  <c r="S1086" i="13" s="1"/>
  <c r="J1086" i="13"/>
  <c r="R1086" i="13" s="1"/>
  <c r="I1086" i="13"/>
  <c r="Q1086" i="13" s="1"/>
  <c r="H1086" i="13"/>
  <c r="G1086" i="13"/>
  <c r="F1086" i="13"/>
  <c r="E1086" i="13"/>
  <c r="C1086" i="13"/>
  <c r="AG1086" i="13" s="1"/>
  <c r="B1086" i="13"/>
  <c r="Z1086" i="13" s="1"/>
  <c r="A1086" i="13"/>
  <c r="AC1086" i="13" s="1"/>
  <c r="AQ1085" i="13"/>
  <c r="P1085" i="13"/>
  <c r="X1085" i="13" s="1"/>
  <c r="O1085" i="13"/>
  <c r="W1085" i="13" s="1"/>
  <c r="N1085" i="13"/>
  <c r="V1085" i="13" s="1"/>
  <c r="M1085" i="13"/>
  <c r="U1085" i="13" s="1"/>
  <c r="L1085" i="13"/>
  <c r="T1085" i="13" s="1"/>
  <c r="K1085" i="13"/>
  <c r="S1085" i="13" s="1"/>
  <c r="J1085" i="13"/>
  <c r="R1085" i="13" s="1"/>
  <c r="I1085" i="13"/>
  <c r="Q1085" i="13" s="1"/>
  <c r="H1085" i="13"/>
  <c r="G1085" i="13"/>
  <c r="F1085" i="13"/>
  <c r="E1085" i="13"/>
  <c r="BB1085" i="13" s="1"/>
  <c r="C1085" i="13"/>
  <c r="AG1085" i="13" s="1"/>
  <c r="B1085" i="13"/>
  <c r="Z1085" i="13" s="1"/>
  <c r="A1085" i="13"/>
  <c r="AQ1084" i="13"/>
  <c r="P1084" i="13"/>
  <c r="X1084" i="13" s="1"/>
  <c r="O1084" i="13"/>
  <c r="W1084" i="13" s="1"/>
  <c r="N1084" i="13"/>
  <c r="V1084" i="13" s="1"/>
  <c r="M1084" i="13"/>
  <c r="U1084" i="13" s="1"/>
  <c r="L1084" i="13"/>
  <c r="T1084" i="13" s="1"/>
  <c r="K1084" i="13"/>
  <c r="S1084" i="13" s="1"/>
  <c r="J1084" i="13"/>
  <c r="R1084" i="13" s="1"/>
  <c r="I1084" i="13"/>
  <c r="Q1084" i="13" s="1"/>
  <c r="H1084" i="13"/>
  <c r="G1084" i="13"/>
  <c r="F1084" i="13"/>
  <c r="E1084" i="13"/>
  <c r="C1084" i="13"/>
  <c r="AG1084" i="13" s="1"/>
  <c r="B1084" i="13"/>
  <c r="A1084" i="13"/>
  <c r="AQ1083" i="13"/>
  <c r="P1083" i="13"/>
  <c r="X1083" i="13" s="1"/>
  <c r="O1083" i="13"/>
  <c r="W1083" i="13" s="1"/>
  <c r="N1083" i="13"/>
  <c r="V1083" i="13" s="1"/>
  <c r="M1083" i="13"/>
  <c r="U1083" i="13" s="1"/>
  <c r="L1083" i="13"/>
  <c r="T1083" i="13" s="1"/>
  <c r="K1083" i="13"/>
  <c r="S1083" i="13" s="1"/>
  <c r="J1083" i="13"/>
  <c r="R1083" i="13" s="1"/>
  <c r="I1083" i="13"/>
  <c r="Q1083" i="13" s="1"/>
  <c r="H1083" i="13"/>
  <c r="G1083" i="13"/>
  <c r="F1083" i="13"/>
  <c r="E1083" i="13"/>
  <c r="BB1083" i="13" s="1"/>
  <c r="C1083" i="13"/>
  <c r="AG1083" i="13" s="1"/>
  <c r="B1083" i="13"/>
  <c r="A1083" i="13"/>
  <c r="AC1083" i="13" s="1"/>
  <c r="AQ1082" i="13"/>
  <c r="P1082" i="13"/>
  <c r="X1082" i="13" s="1"/>
  <c r="O1082" i="13"/>
  <c r="W1082" i="13" s="1"/>
  <c r="N1082" i="13"/>
  <c r="V1082" i="13" s="1"/>
  <c r="M1082" i="13"/>
  <c r="U1082" i="13" s="1"/>
  <c r="L1082" i="13"/>
  <c r="T1082" i="13" s="1"/>
  <c r="K1082" i="13"/>
  <c r="S1082" i="13" s="1"/>
  <c r="J1082" i="13"/>
  <c r="R1082" i="13" s="1"/>
  <c r="I1082" i="13"/>
  <c r="Q1082" i="13" s="1"/>
  <c r="H1082" i="13"/>
  <c r="G1082" i="13"/>
  <c r="F1082" i="13"/>
  <c r="E1082" i="13"/>
  <c r="BA1082" i="13" s="1"/>
  <c r="C1082" i="13"/>
  <c r="AG1082" i="13" s="1"/>
  <c r="B1082" i="13"/>
  <c r="Z1082" i="13" s="1"/>
  <c r="A1082" i="13"/>
  <c r="AQ1081" i="13"/>
  <c r="AC1081" i="13"/>
  <c r="P1081" i="13"/>
  <c r="X1081" i="13" s="1"/>
  <c r="O1081" i="13"/>
  <c r="W1081" i="13" s="1"/>
  <c r="N1081" i="13"/>
  <c r="V1081" i="13" s="1"/>
  <c r="M1081" i="13"/>
  <c r="U1081" i="13" s="1"/>
  <c r="L1081" i="13"/>
  <c r="T1081" i="13" s="1"/>
  <c r="K1081" i="13"/>
  <c r="S1081" i="13" s="1"/>
  <c r="J1081" i="13"/>
  <c r="R1081" i="13" s="1"/>
  <c r="I1081" i="13"/>
  <c r="Q1081" i="13" s="1"/>
  <c r="H1081" i="13"/>
  <c r="G1081" i="13"/>
  <c r="F1081" i="13"/>
  <c r="E1081" i="13"/>
  <c r="C1081" i="13"/>
  <c r="AG1081" i="13" s="1"/>
  <c r="B1081" i="13"/>
  <c r="Z1081" i="13" s="1"/>
  <c r="A1081" i="13"/>
  <c r="AU1081" i="13" s="1"/>
  <c r="AQ1080" i="13"/>
  <c r="P1080" i="13"/>
  <c r="X1080" i="13" s="1"/>
  <c r="O1080" i="13"/>
  <c r="W1080" i="13" s="1"/>
  <c r="N1080" i="13"/>
  <c r="V1080" i="13" s="1"/>
  <c r="M1080" i="13"/>
  <c r="U1080" i="13" s="1"/>
  <c r="L1080" i="13"/>
  <c r="T1080" i="13" s="1"/>
  <c r="K1080" i="13"/>
  <c r="S1080" i="13" s="1"/>
  <c r="J1080" i="13"/>
  <c r="R1080" i="13" s="1"/>
  <c r="I1080" i="13"/>
  <c r="Q1080" i="13" s="1"/>
  <c r="H1080" i="13"/>
  <c r="G1080" i="13"/>
  <c r="F1080" i="13"/>
  <c r="E1080" i="13"/>
  <c r="C1080" i="13"/>
  <c r="AG1080" i="13" s="1"/>
  <c r="B1080" i="13"/>
  <c r="A1080" i="13"/>
  <c r="AQ1079" i="13"/>
  <c r="P1079" i="13"/>
  <c r="X1079" i="13" s="1"/>
  <c r="O1079" i="13"/>
  <c r="W1079" i="13" s="1"/>
  <c r="N1079" i="13"/>
  <c r="V1079" i="13" s="1"/>
  <c r="M1079" i="13"/>
  <c r="U1079" i="13" s="1"/>
  <c r="L1079" i="13"/>
  <c r="T1079" i="13" s="1"/>
  <c r="K1079" i="13"/>
  <c r="S1079" i="13" s="1"/>
  <c r="J1079" i="13"/>
  <c r="R1079" i="13" s="1"/>
  <c r="I1079" i="13"/>
  <c r="Q1079" i="13" s="1"/>
  <c r="H1079" i="13"/>
  <c r="G1079" i="13"/>
  <c r="F1079" i="13"/>
  <c r="E1079" i="13"/>
  <c r="BB1079" i="13" s="1"/>
  <c r="C1079" i="13"/>
  <c r="AG1079" i="13" s="1"/>
  <c r="B1079" i="13"/>
  <c r="Z1079" i="13" s="1"/>
  <c r="A1079" i="13"/>
  <c r="AU1079" i="13" s="1"/>
  <c r="AQ1078" i="13"/>
  <c r="X1078" i="13"/>
  <c r="P1078" i="13"/>
  <c r="O1078" i="13"/>
  <c r="W1078" i="13" s="1"/>
  <c r="N1078" i="13"/>
  <c r="V1078" i="13" s="1"/>
  <c r="M1078" i="13"/>
  <c r="U1078" i="13" s="1"/>
  <c r="L1078" i="13"/>
  <c r="T1078" i="13" s="1"/>
  <c r="K1078" i="13"/>
  <c r="S1078" i="13" s="1"/>
  <c r="J1078" i="13"/>
  <c r="R1078" i="13" s="1"/>
  <c r="I1078" i="13"/>
  <c r="Q1078" i="13" s="1"/>
  <c r="H1078" i="13"/>
  <c r="G1078" i="13"/>
  <c r="F1078" i="13"/>
  <c r="E1078" i="13"/>
  <c r="BA1078" i="13" s="1"/>
  <c r="C1078" i="13"/>
  <c r="AG1078" i="13" s="1"/>
  <c r="AN1078" i="13" s="1"/>
  <c r="B1078" i="13"/>
  <c r="Z1078" i="13" s="1"/>
  <c r="A1078" i="13"/>
  <c r="AQ1077" i="13"/>
  <c r="P1077" i="13"/>
  <c r="X1077" i="13" s="1"/>
  <c r="O1077" i="13"/>
  <c r="W1077" i="13" s="1"/>
  <c r="N1077" i="13"/>
  <c r="V1077" i="13" s="1"/>
  <c r="M1077" i="13"/>
  <c r="U1077" i="13" s="1"/>
  <c r="L1077" i="13"/>
  <c r="T1077" i="13" s="1"/>
  <c r="K1077" i="13"/>
  <c r="S1077" i="13" s="1"/>
  <c r="J1077" i="13"/>
  <c r="R1077" i="13" s="1"/>
  <c r="I1077" i="13"/>
  <c r="Q1077" i="13" s="1"/>
  <c r="H1077" i="13"/>
  <c r="G1077" i="13"/>
  <c r="F1077" i="13"/>
  <c r="E1077" i="13"/>
  <c r="C1077" i="13"/>
  <c r="AG1077" i="13" s="1"/>
  <c r="B1077" i="13"/>
  <c r="Z1077" i="13" s="1"/>
  <c r="A1077" i="13"/>
  <c r="AC1077" i="13" s="1"/>
  <c r="AQ1076" i="13"/>
  <c r="P1076" i="13"/>
  <c r="X1076" i="13" s="1"/>
  <c r="O1076" i="13"/>
  <c r="W1076" i="13" s="1"/>
  <c r="N1076" i="13"/>
  <c r="V1076" i="13" s="1"/>
  <c r="M1076" i="13"/>
  <c r="U1076" i="13" s="1"/>
  <c r="L1076" i="13"/>
  <c r="T1076" i="13" s="1"/>
  <c r="K1076" i="13"/>
  <c r="S1076" i="13" s="1"/>
  <c r="J1076" i="13"/>
  <c r="R1076" i="13" s="1"/>
  <c r="I1076" i="13"/>
  <c r="Q1076" i="13" s="1"/>
  <c r="H1076" i="13"/>
  <c r="G1076" i="13"/>
  <c r="F1076" i="13"/>
  <c r="E1076" i="13"/>
  <c r="BB1076" i="13" s="1"/>
  <c r="C1076" i="13"/>
  <c r="AG1076" i="13" s="1"/>
  <c r="B1076" i="13"/>
  <c r="Z1076" i="13" s="1"/>
  <c r="A1076" i="13"/>
  <c r="AQ1075" i="13"/>
  <c r="P1075" i="13"/>
  <c r="X1075" i="13" s="1"/>
  <c r="O1075" i="13"/>
  <c r="W1075" i="13" s="1"/>
  <c r="N1075" i="13"/>
  <c r="V1075" i="13" s="1"/>
  <c r="M1075" i="13"/>
  <c r="U1075" i="13" s="1"/>
  <c r="L1075" i="13"/>
  <c r="T1075" i="13" s="1"/>
  <c r="K1075" i="13"/>
  <c r="S1075" i="13" s="1"/>
  <c r="J1075" i="13"/>
  <c r="R1075" i="13" s="1"/>
  <c r="I1075" i="13"/>
  <c r="Q1075" i="13" s="1"/>
  <c r="H1075" i="13"/>
  <c r="G1075" i="13"/>
  <c r="F1075" i="13"/>
  <c r="E1075" i="13"/>
  <c r="BB1075" i="13" s="1"/>
  <c r="C1075" i="13"/>
  <c r="AG1075" i="13" s="1"/>
  <c r="B1075" i="13"/>
  <c r="Z1075" i="13" s="1"/>
  <c r="A1075" i="13"/>
  <c r="AC1075" i="13" s="1"/>
  <c r="BA1074" i="13"/>
  <c r="AQ1074" i="13"/>
  <c r="AG1074" i="13"/>
  <c r="P1074" i="13"/>
  <c r="X1074" i="13" s="1"/>
  <c r="O1074" i="13"/>
  <c r="W1074" i="13" s="1"/>
  <c r="N1074" i="13"/>
  <c r="V1074" i="13" s="1"/>
  <c r="M1074" i="13"/>
  <c r="U1074" i="13" s="1"/>
  <c r="L1074" i="13"/>
  <c r="T1074" i="13" s="1"/>
  <c r="K1074" i="13"/>
  <c r="S1074" i="13" s="1"/>
  <c r="J1074" i="13"/>
  <c r="R1074" i="13" s="1"/>
  <c r="I1074" i="13"/>
  <c r="Q1074" i="13" s="1"/>
  <c r="H1074" i="13"/>
  <c r="G1074" i="13"/>
  <c r="F1074" i="13"/>
  <c r="E1074" i="13"/>
  <c r="BB1074" i="13" s="1"/>
  <c r="C1074" i="13"/>
  <c r="B1074" i="13"/>
  <c r="Z1074" i="13" s="1"/>
  <c r="A1074" i="13"/>
  <c r="AQ1073" i="13"/>
  <c r="X1073" i="13"/>
  <c r="P1073" i="13"/>
  <c r="O1073" i="13"/>
  <c r="W1073" i="13" s="1"/>
  <c r="N1073" i="13"/>
  <c r="V1073" i="13" s="1"/>
  <c r="M1073" i="13"/>
  <c r="U1073" i="13" s="1"/>
  <c r="L1073" i="13"/>
  <c r="T1073" i="13" s="1"/>
  <c r="K1073" i="13"/>
  <c r="S1073" i="13" s="1"/>
  <c r="J1073" i="13"/>
  <c r="R1073" i="13" s="1"/>
  <c r="I1073" i="13"/>
  <c r="Q1073" i="13" s="1"/>
  <c r="H1073" i="13"/>
  <c r="G1073" i="13"/>
  <c r="F1073" i="13"/>
  <c r="E1073" i="13"/>
  <c r="BA1073" i="13" s="1"/>
  <c r="C1073" i="13"/>
  <c r="AG1073" i="13" s="1"/>
  <c r="B1073" i="13"/>
  <c r="A1073" i="13"/>
  <c r="AQ1072" i="13"/>
  <c r="P1072" i="13"/>
  <c r="X1072" i="13" s="1"/>
  <c r="O1072" i="13"/>
  <c r="W1072" i="13" s="1"/>
  <c r="N1072" i="13"/>
  <c r="V1072" i="13" s="1"/>
  <c r="M1072" i="13"/>
  <c r="U1072" i="13" s="1"/>
  <c r="L1072" i="13"/>
  <c r="T1072" i="13" s="1"/>
  <c r="K1072" i="13"/>
  <c r="S1072" i="13" s="1"/>
  <c r="J1072" i="13"/>
  <c r="R1072" i="13" s="1"/>
  <c r="I1072" i="13"/>
  <c r="Q1072" i="13" s="1"/>
  <c r="H1072" i="13"/>
  <c r="G1072" i="13"/>
  <c r="F1072" i="13"/>
  <c r="E1072" i="13"/>
  <c r="BB1072" i="13" s="1"/>
  <c r="C1072" i="13"/>
  <c r="AG1072" i="13" s="1"/>
  <c r="B1072" i="13"/>
  <c r="Z1072" i="13" s="1"/>
  <c r="A1072" i="13"/>
  <c r="AR1071" i="13"/>
  <c r="AQ1071" i="13"/>
  <c r="P1071" i="13"/>
  <c r="X1071" i="13" s="1"/>
  <c r="O1071" i="13"/>
  <c r="W1071" i="13" s="1"/>
  <c r="N1071" i="13"/>
  <c r="V1071" i="13" s="1"/>
  <c r="M1071" i="13"/>
  <c r="U1071" i="13" s="1"/>
  <c r="L1071" i="13"/>
  <c r="T1071" i="13" s="1"/>
  <c r="K1071" i="13"/>
  <c r="S1071" i="13" s="1"/>
  <c r="J1071" i="13"/>
  <c r="R1071" i="13" s="1"/>
  <c r="I1071" i="13"/>
  <c r="Q1071" i="13" s="1"/>
  <c r="H1071" i="13"/>
  <c r="G1071" i="13"/>
  <c r="F1071" i="13"/>
  <c r="E1071" i="13"/>
  <c r="BB1071" i="13" s="1"/>
  <c r="C1071" i="13"/>
  <c r="AG1071" i="13" s="1"/>
  <c r="B1071" i="13"/>
  <c r="Z1071" i="13" s="1"/>
  <c r="A1071" i="13"/>
  <c r="AC1071" i="13" s="1"/>
  <c r="AQ1070" i="13"/>
  <c r="P1070" i="13"/>
  <c r="X1070" i="13" s="1"/>
  <c r="O1070" i="13"/>
  <c r="W1070" i="13" s="1"/>
  <c r="N1070" i="13"/>
  <c r="V1070" i="13" s="1"/>
  <c r="M1070" i="13"/>
  <c r="U1070" i="13" s="1"/>
  <c r="L1070" i="13"/>
  <c r="T1070" i="13" s="1"/>
  <c r="K1070" i="13"/>
  <c r="S1070" i="13" s="1"/>
  <c r="J1070" i="13"/>
  <c r="R1070" i="13" s="1"/>
  <c r="I1070" i="13"/>
  <c r="Q1070" i="13" s="1"/>
  <c r="H1070" i="13"/>
  <c r="G1070" i="13"/>
  <c r="F1070" i="13"/>
  <c r="E1070" i="13"/>
  <c r="BB1070" i="13" s="1"/>
  <c r="C1070" i="13"/>
  <c r="AG1070" i="13" s="1"/>
  <c r="B1070" i="13"/>
  <c r="Z1070" i="13" s="1"/>
  <c r="A1070" i="13"/>
  <c r="AC1070" i="13" s="1"/>
  <c r="AQ1069" i="13"/>
  <c r="P1069" i="13"/>
  <c r="X1069" i="13" s="1"/>
  <c r="O1069" i="13"/>
  <c r="W1069" i="13" s="1"/>
  <c r="N1069" i="13"/>
  <c r="V1069" i="13" s="1"/>
  <c r="M1069" i="13"/>
  <c r="U1069" i="13" s="1"/>
  <c r="L1069" i="13"/>
  <c r="T1069" i="13" s="1"/>
  <c r="K1069" i="13"/>
  <c r="S1069" i="13" s="1"/>
  <c r="J1069" i="13"/>
  <c r="R1069" i="13" s="1"/>
  <c r="I1069" i="13"/>
  <c r="Q1069" i="13" s="1"/>
  <c r="H1069" i="13"/>
  <c r="G1069" i="13"/>
  <c r="F1069" i="13"/>
  <c r="E1069" i="13"/>
  <c r="BA1069" i="13" s="1"/>
  <c r="C1069" i="13"/>
  <c r="AG1069" i="13" s="1"/>
  <c r="B1069" i="13"/>
  <c r="A1069" i="13"/>
  <c r="AU1069" i="13" s="1"/>
  <c r="AQ1068" i="13"/>
  <c r="U1068" i="13"/>
  <c r="T1068" i="13"/>
  <c r="P1068" i="13"/>
  <c r="X1068" i="13" s="1"/>
  <c r="O1068" i="13"/>
  <c r="W1068" i="13" s="1"/>
  <c r="N1068" i="13"/>
  <c r="V1068" i="13" s="1"/>
  <c r="M1068" i="13"/>
  <c r="L1068" i="13"/>
  <c r="K1068" i="13"/>
  <c r="S1068" i="13" s="1"/>
  <c r="J1068" i="13"/>
  <c r="R1068" i="13" s="1"/>
  <c r="I1068" i="13"/>
  <c r="Q1068" i="13" s="1"/>
  <c r="H1068" i="13"/>
  <c r="G1068" i="13"/>
  <c r="F1068" i="13"/>
  <c r="E1068" i="13"/>
  <c r="BB1068" i="13" s="1"/>
  <c r="C1068" i="13"/>
  <c r="AG1068" i="13" s="1"/>
  <c r="B1068" i="13"/>
  <c r="Z1068" i="13" s="1"/>
  <c r="A1068" i="13"/>
  <c r="AQ1067" i="13"/>
  <c r="P1067" i="13"/>
  <c r="X1067" i="13" s="1"/>
  <c r="O1067" i="13"/>
  <c r="W1067" i="13" s="1"/>
  <c r="N1067" i="13"/>
  <c r="V1067" i="13" s="1"/>
  <c r="M1067" i="13"/>
  <c r="U1067" i="13" s="1"/>
  <c r="L1067" i="13"/>
  <c r="T1067" i="13" s="1"/>
  <c r="K1067" i="13"/>
  <c r="S1067" i="13" s="1"/>
  <c r="J1067" i="13"/>
  <c r="R1067" i="13" s="1"/>
  <c r="I1067" i="13"/>
  <c r="Q1067" i="13" s="1"/>
  <c r="H1067" i="13"/>
  <c r="G1067" i="13"/>
  <c r="F1067" i="13"/>
  <c r="E1067" i="13"/>
  <c r="BB1067" i="13" s="1"/>
  <c r="C1067" i="13"/>
  <c r="AG1067" i="13" s="1"/>
  <c r="B1067" i="13"/>
  <c r="Z1067" i="13" s="1"/>
  <c r="A1067" i="13"/>
  <c r="AR1067" i="13" s="1"/>
  <c r="AQ1066" i="13"/>
  <c r="P1066" i="13"/>
  <c r="X1066" i="13" s="1"/>
  <c r="O1066" i="13"/>
  <c r="W1066" i="13" s="1"/>
  <c r="N1066" i="13"/>
  <c r="V1066" i="13" s="1"/>
  <c r="M1066" i="13"/>
  <c r="U1066" i="13" s="1"/>
  <c r="L1066" i="13"/>
  <c r="T1066" i="13" s="1"/>
  <c r="K1066" i="13"/>
  <c r="S1066" i="13" s="1"/>
  <c r="J1066" i="13"/>
  <c r="R1066" i="13" s="1"/>
  <c r="I1066" i="13"/>
  <c r="Q1066" i="13" s="1"/>
  <c r="H1066" i="13"/>
  <c r="G1066" i="13"/>
  <c r="F1066" i="13"/>
  <c r="E1066" i="13"/>
  <c r="BA1066" i="13" s="1"/>
  <c r="C1066" i="13"/>
  <c r="AG1066" i="13" s="1"/>
  <c r="AK1066" i="13" s="1"/>
  <c r="B1066" i="13"/>
  <c r="Z1066" i="13" s="1"/>
  <c r="A1066" i="13"/>
  <c r="AU1066" i="13" s="1"/>
  <c r="AQ1065" i="13"/>
  <c r="W1065" i="13"/>
  <c r="P1065" i="13"/>
  <c r="X1065" i="13" s="1"/>
  <c r="O1065" i="13"/>
  <c r="N1065" i="13"/>
  <c r="V1065" i="13" s="1"/>
  <c r="M1065" i="13"/>
  <c r="U1065" i="13" s="1"/>
  <c r="L1065" i="13"/>
  <c r="T1065" i="13" s="1"/>
  <c r="K1065" i="13"/>
  <c r="S1065" i="13" s="1"/>
  <c r="J1065" i="13"/>
  <c r="R1065" i="13" s="1"/>
  <c r="I1065" i="13"/>
  <c r="Q1065" i="13" s="1"/>
  <c r="H1065" i="13"/>
  <c r="G1065" i="13"/>
  <c r="F1065" i="13"/>
  <c r="E1065" i="13"/>
  <c r="BB1065" i="13" s="1"/>
  <c r="C1065" i="13"/>
  <c r="B1065" i="13"/>
  <c r="Z1065" i="13" s="1"/>
  <c r="A1065" i="13"/>
  <c r="AQ1064" i="13"/>
  <c r="P1064" i="13"/>
  <c r="X1064" i="13" s="1"/>
  <c r="O1064" i="13"/>
  <c r="W1064" i="13" s="1"/>
  <c r="N1064" i="13"/>
  <c r="V1064" i="13" s="1"/>
  <c r="M1064" i="13"/>
  <c r="U1064" i="13" s="1"/>
  <c r="L1064" i="13"/>
  <c r="T1064" i="13" s="1"/>
  <c r="K1064" i="13"/>
  <c r="S1064" i="13" s="1"/>
  <c r="J1064" i="13"/>
  <c r="R1064" i="13" s="1"/>
  <c r="I1064" i="13"/>
  <c r="Q1064" i="13" s="1"/>
  <c r="H1064" i="13"/>
  <c r="G1064" i="13"/>
  <c r="F1064" i="13"/>
  <c r="E1064" i="13"/>
  <c r="BA1064" i="13" s="1"/>
  <c r="C1064" i="13"/>
  <c r="AG1064" i="13" s="1"/>
  <c r="B1064" i="13"/>
  <c r="Z1064" i="13" s="1"/>
  <c r="A1064" i="13"/>
  <c r="AQ1063" i="13"/>
  <c r="P1063" i="13"/>
  <c r="X1063" i="13" s="1"/>
  <c r="O1063" i="13"/>
  <c r="W1063" i="13" s="1"/>
  <c r="N1063" i="13"/>
  <c r="V1063" i="13" s="1"/>
  <c r="M1063" i="13"/>
  <c r="U1063" i="13" s="1"/>
  <c r="L1063" i="13"/>
  <c r="T1063" i="13" s="1"/>
  <c r="K1063" i="13"/>
  <c r="S1063" i="13" s="1"/>
  <c r="J1063" i="13"/>
  <c r="R1063" i="13" s="1"/>
  <c r="I1063" i="13"/>
  <c r="Q1063" i="13" s="1"/>
  <c r="H1063" i="13"/>
  <c r="G1063" i="13"/>
  <c r="F1063" i="13"/>
  <c r="E1063" i="13"/>
  <c r="C1063" i="13"/>
  <c r="AG1063" i="13" s="1"/>
  <c r="B1063" i="13"/>
  <c r="Z1063" i="13" s="1"/>
  <c r="A1063" i="13"/>
  <c r="AU1063" i="13" s="1"/>
  <c r="AQ1062" i="13"/>
  <c r="P1062" i="13"/>
  <c r="X1062" i="13" s="1"/>
  <c r="O1062" i="13"/>
  <c r="W1062" i="13" s="1"/>
  <c r="N1062" i="13"/>
  <c r="V1062" i="13" s="1"/>
  <c r="M1062" i="13"/>
  <c r="U1062" i="13" s="1"/>
  <c r="L1062" i="13"/>
  <c r="T1062" i="13" s="1"/>
  <c r="K1062" i="13"/>
  <c r="S1062" i="13" s="1"/>
  <c r="J1062" i="13"/>
  <c r="R1062" i="13" s="1"/>
  <c r="I1062" i="13"/>
  <c r="Q1062" i="13" s="1"/>
  <c r="H1062" i="13"/>
  <c r="G1062" i="13"/>
  <c r="F1062" i="13"/>
  <c r="E1062" i="13"/>
  <c r="BA1062" i="13" s="1"/>
  <c r="C1062" i="13"/>
  <c r="AG1062" i="13" s="1"/>
  <c r="B1062" i="13"/>
  <c r="Z1062" i="13" s="1"/>
  <c r="A1062" i="13"/>
  <c r="AC1062" i="13" s="1"/>
  <c r="AQ1061" i="13"/>
  <c r="P1061" i="13"/>
  <c r="X1061" i="13" s="1"/>
  <c r="O1061" i="13"/>
  <c r="W1061" i="13" s="1"/>
  <c r="N1061" i="13"/>
  <c r="V1061" i="13" s="1"/>
  <c r="M1061" i="13"/>
  <c r="U1061" i="13" s="1"/>
  <c r="L1061" i="13"/>
  <c r="T1061" i="13" s="1"/>
  <c r="K1061" i="13"/>
  <c r="S1061" i="13" s="1"/>
  <c r="J1061" i="13"/>
  <c r="R1061" i="13" s="1"/>
  <c r="I1061" i="13"/>
  <c r="Q1061" i="13" s="1"/>
  <c r="H1061" i="13"/>
  <c r="G1061" i="13"/>
  <c r="F1061" i="13"/>
  <c r="E1061" i="13"/>
  <c r="C1061" i="13"/>
  <c r="AG1061" i="13" s="1"/>
  <c r="B1061" i="13"/>
  <c r="Z1061" i="13" s="1"/>
  <c r="A1061" i="13"/>
  <c r="AQ1060" i="13"/>
  <c r="AG1060" i="13"/>
  <c r="AO1060" i="13" s="1"/>
  <c r="W1060" i="13"/>
  <c r="P1060" i="13"/>
  <c r="X1060" i="13" s="1"/>
  <c r="O1060" i="13"/>
  <c r="N1060" i="13"/>
  <c r="V1060" i="13" s="1"/>
  <c r="M1060" i="13"/>
  <c r="U1060" i="13" s="1"/>
  <c r="L1060" i="13"/>
  <c r="T1060" i="13" s="1"/>
  <c r="K1060" i="13"/>
  <c r="S1060" i="13" s="1"/>
  <c r="J1060" i="13"/>
  <c r="R1060" i="13" s="1"/>
  <c r="I1060" i="13"/>
  <c r="Q1060" i="13" s="1"/>
  <c r="H1060" i="13"/>
  <c r="G1060" i="13"/>
  <c r="F1060" i="13"/>
  <c r="E1060" i="13"/>
  <c r="BA1060" i="13" s="1"/>
  <c r="C1060" i="13"/>
  <c r="B1060" i="13"/>
  <c r="Z1060" i="13" s="1"/>
  <c r="A1060" i="13"/>
  <c r="AC1060" i="13" s="1"/>
  <c r="AU1059" i="13"/>
  <c r="AQ1059" i="13"/>
  <c r="P1059" i="13"/>
  <c r="X1059" i="13" s="1"/>
  <c r="O1059" i="13"/>
  <c r="W1059" i="13" s="1"/>
  <c r="N1059" i="13"/>
  <c r="V1059" i="13" s="1"/>
  <c r="M1059" i="13"/>
  <c r="U1059" i="13" s="1"/>
  <c r="L1059" i="13"/>
  <c r="T1059" i="13" s="1"/>
  <c r="K1059" i="13"/>
  <c r="S1059" i="13" s="1"/>
  <c r="J1059" i="13"/>
  <c r="R1059" i="13" s="1"/>
  <c r="I1059" i="13"/>
  <c r="Q1059" i="13" s="1"/>
  <c r="H1059" i="13"/>
  <c r="G1059" i="13"/>
  <c r="F1059" i="13"/>
  <c r="E1059" i="13"/>
  <c r="BB1059" i="13" s="1"/>
  <c r="C1059" i="13"/>
  <c r="AG1059" i="13" s="1"/>
  <c r="B1059" i="13"/>
  <c r="A1059" i="13"/>
  <c r="AC1059" i="13" s="1"/>
  <c r="AQ1058" i="13"/>
  <c r="P1058" i="13"/>
  <c r="X1058" i="13" s="1"/>
  <c r="O1058" i="13"/>
  <c r="W1058" i="13" s="1"/>
  <c r="N1058" i="13"/>
  <c r="V1058" i="13" s="1"/>
  <c r="M1058" i="13"/>
  <c r="U1058" i="13" s="1"/>
  <c r="L1058" i="13"/>
  <c r="T1058" i="13" s="1"/>
  <c r="K1058" i="13"/>
  <c r="S1058" i="13" s="1"/>
  <c r="J1058" i="13"/>
  <c r="R1058" i="13" s="1"/>
  <c r="I1058" i="13"/>
  <c r="Q1058" i="13" s="1"/>
  <c r="H1058" i="13"/>
  <c r="G1058" i="13"/>
  <c r="F1058" i="13"/>
  <c r="E1058" i="13"/>
  <c r="BB1058" i="13" s="1"/>
  <c r="C1058" i="13"/>
  <c r="AG1058" i="13" s="1"/>
  <c r="B1058" i="13"/>
  <c r="Z1058" i="13" s="1"/>
  <c r="A1058" i="13"/>
  <c r="AU1058" i="13" s="1"/>
  <c r="AQ1057" i="13"/>
  <c r="P1057" i="13"/>
  <c r="X1057" i="13" s="1"/>
  <c r="O1057" i="13"/>
  <c r="W1057" i="13" s="1"/>
  <c r="N1057" i="13"/>
  <c r="V1057" i="13" s="1"/>
  <c r="M1057" i="13"/>
  <c r="U1057" i="13" s="1"/>
  <c r="L1057" i="13"/>
  <c r="T1057" i="13" s="1"/>
  <c r="K1057" i="13"/>
  <c r="S1057" i="13" s="1"/>
  <c r="J1057" i="13"/>
  <c r="R1057" i="13" s="1"/>
  <c r="I1057" i="13"/>
  <c r="Q1057" i="13" s="1"/>
  <c r="H1057" i="13"/>
  <c r="G1057" i="13"/>
  <c r="F1057" i="13"/>
  <c r="E1057" i="13"/>
  <c r="C1057" i="13"/>
  <c r="AG1057" i="13" s="1"/>
  <c r="B1057" i="13"/>
  <c r="Z1057" i="13" s="1"/>
  <c r="A1057" i="13"/>
  <c r="AQ1056" i="13"/>
  <c r="P1056" i="13"/>
  <c r="X1056" i="13" s="1"/>
  <c r="O1056" i="13"/>
  <c r="W1056" i="13" s="1"/>
  <c r="N1056" i="13"/>
  <c r="V1056" i="13" s="1"/>
  <c r="M1056" i="13"/>
  <c r="U1056" i="13" s="1"/>
  <c r="L1056" i="13"/>
  <c r="T1056" i="13" s="1"/>
  <c r="K1056" i="13"/>
  <c r="S1056" i="13" s="1"/>
  <c r="J1056" i="13"/>
  <c r="R1056" i="13" s="1"/>
  <c r="I1056" i="13"/>
  <c r="Q1056" i="13" s="1"/>
  <c r="H1056" i="13"/>
  <c r="G1056" i="13"/>
  <c r="F1056" i="13"/>
  <c r="E1056" i="13"/>
  <c r="BA1056" i="13" s="1"/>
  <c r="C1056" i="13"/>
  <c r="AG1056" i="13" s="1"/>
  <c r="B1056" i="13"/>
  <c r="Z1056" i="13" s="1"/>
  <c r="A1056" i="13"/>
  <c r="AQ1055" i="13"/>
  <c r="P1055" i="13"/>
  <c r="X1055" i="13" s="1"/>
  <c r="O1055" i="13"/>
  <c r="W1055" i="13" s="1"/>
  <c r="N1055" i="13"/>
  <c r="V1055" i="13" s="1"/>
  <c r="M1055" i="13"/>
  <c r="U1055" i="13" s="1"/>
  <c r="L1055" i="13"/>
  <c r="T1055" i="13" s="1"/>
  <c r="K1055" i="13"/>
  <c r="S1055" i="13" s="1"/>
  <c r="J1055" i="13"/>
  <c r="R1055" i="13" s="1"/>
  <c r="I1055" i="13"/>
  <c r="Q1055" i="13" s="1"/>
  <c r="H1055" i="13"/>
  <c r="G1055" i="13"/>
  <c r="F1055" i="13"/>
  <c r="E1055" i="13"/>
  <c r="C1055" i="13"/>
  <c r="AG1055" i="13" s="1"/>
  <c r="B1055" i="13"/>
  <c r="Z1055" i="13" s="1"/>
  <c r="A1055" i="13"/>
  <c r="AQ1054" i="13"/>
  <c r="AC1054" i="13"/>
  <c r="P1054" i="13"/>
  <c r="X1054" i="13" s="1"/>
  <c r="O1054" i="13"/>
  <c r="W1054" i="13" s="1"/>
  <c r="N1054" i="13"/>
  <c r="V1054" i="13" s="1"/>
  <c r="M1054" i="13"/>
  <c r="U1054" i="13" s="1"/>
  <c r="L1054" i="13"/>
  <c r="T1054" i="13" s="1"/>
  <c r="K1054" i="13"/>
  <c r="S1054" i="13" s="1"/>
  <c r="J1054" i="13"/>
  <c r="R1054" i="13" s="1"/>
  <c r="I1054" i="13"/>
  <c r="Q1054" i="13" s="1"/>
  <c r="H1054" i="13"/>
  <c r="G1054" i="13"/>
  <c r="F1054" i="13"/>
  <c r="E1054" i="13"/>
  <c r="BB1054" i="13" s="1"/>
  <c r="C1054" i="13"/>
  <c r="AG1054" i="13" s="1"/>
  <c r="AK1054" i="13" s="1"/>
  <c r="B1054" i="13"/>
  <c r="Z1054" i="13" s="1"/>
  <c r="A1054" i="13"/>
  <c r="AU1054" i="13" s="1"/>
  <c r="AQ1053" i="13"/>
  <c r="P1053" i="13"/>
  <c r="X1053" i="13" s="1"/>
  <c r="O1053" i="13"/>
  <c r="W1053" i="13" s="1"/>
  <c r="N1053" i="13"/>
  <c r="V1053" i="13" s="1"/>
  <c r="M1053" i="13"/>
  <c r="U1053" i="13" s="1"/>
  <c r="L1053" i="13"/>
  <c r="T1053" i="13" s="1"/>
  <c r="K1053" i="13"/>
  <c r="S1053" i="13" s="1"/>
  <c r="J1053" i="13"/>
  <c r="R1053" i="13" s="1"/>
  <c r="I1053" i="13"/>
  <c r="Q1053" i="13" s="1"/>
  <c r="H1053" i="13"/>
  <c r="G1053" i="13"/>
  <c r="F1053" i="13"/>
  <c r="E1053" i="13"/>
  <c r="C1053" i="13"/>
  <c r="AG1053" i="13" s="1"/>
  <c r="B1053" i="13"/>
  <c r="Z1053" i="13" s="1"/>
  <c r="A1053" i="13"/>
  <c r="AQ1052" i="13"/>
  <c r="P1052" i="13"/>
  <c r="X1052" i="13" s="1"/>
  <c r="O1052" i="13"/>
  <c r="W1052" i="13" s="1"/>
  <c r="N1052" i="13"/>
  <c r="V1052" i="13" s="1"/>
  <c r="M1052" i="13"/>
  <c r="U1052" i="13" s="1"/>
  <c r="L1052" i="13"/>
  <c r="T1052" i="13" s="1"/>
  <c r="K1052" i="13"/>
  <c r="S1052" i="13" s="1"/>
  <c r="J1052" i="13"/>
  <c r="R1052" i="13" s="1"/>
  <c r="I1052" i="13"/>
  <c r="Q1052" i="13" s="1"/>
  <c r="H1052" i="13"/>
  <c r="G1052" i="13"/>
  <c r="F1052" i="13"/>
  <c r="E1052" i="13"/>
  <c r="BA1052" i="13" s="1"/>
  <c r="C1052" i="13"/>
  <c r="AG1052" i="13" s="1"/>
  <c r="B1052" i="13"/>
  <c r="Z1052" i="13" s="1"/>
  <c r="A1052" i="13"/>
  <c r="AC1052" i="13" s="1"/>
  <c r="AQ1051" i="13"/>
  <c r="T1051" i="13"/>
  <c r="P1051" i="13"/>
  <c r="X1051" i="13" s="1"/>
  <c r="O1051" i="13"/>
  <c r="W1051" i="13" s="1"/>
  <c r="N1051" i="13"/>
  <c r="V1051" i="13" s="1"/>
  <c r="M1051" i="13"/>
  <c r="U1051" i="13" s="1"/>
  <c r="L1051" i="13"/>
  <c r="K1051" i="13"/>
  <c r="S1051" i="13" s="1"/>
  <c r="J1051" i="13"/>
  <c r="R1051" i="13" s="1"/>
  <c r="I1051" i="13"/>
  <c r="Q1051" i="13" s="1"/>
  <c r="H1051" i="13"/>
  <c r="G1051" i="13"/>
  <c r="F1051" i="13"/>
  <c r="E1051" i="13"/>
  <c r="BB1051" i="13" s="1"/>
  <c r="C1051" i="13"/>
  <c r="AG1051" i="13" s="1"/>
  <c r="B1051" i="13"/>
  <c r="A1051" i="13"/>
  <c r="AQ1050" i="13"/>
  <c r="P1050" i="13"/>
  <c r="X1050" i="13" s="1"/>
  <c r="O1050" i="13"/>
  <c r="W1050" i="13" s="1"/>
  <c r="N1050" i="13"/>
  <c r="V1050" i="13" s="1"/>
  <c r="M1050" i="13"/>
  <c r="U1050" i="13" s="1"/>
  <c r="L1050" i="13"/>
  <c r="T1050" i="13" s="1"/>
  <c r="K1050" i="13"/>
  <c r="S1050" i="13" s="1"/>
  <c r="J1050" i="13"/>
  <c r="R1050" i="13" s="1"/>
  <c r="I1050" i="13"/>
  <c r="Q1050" i="13" s="1"/>
  <c r="H1050" i="13"/>
  <c r="G1050" i="13"/>
  <c r="F1050" i="13"/>
  <c r="E1050" i="13"/>
  <c r="BB1050" i="13" s="1"/>
  <c r="C1050" i="13"/>
  <c r="AG1050" i="13" s="1"/>
  <c r="B1050" i="13"/>
  <c r="Z1050" i="13" s="1"/>
  <c r="A1050" i="13"/>
  <c r="AU1050" i="13" s="1"/>
  <c r="AQ1049" i="13"/>
  <c r="P1049" i="13"/>
  <c r="X1049" i="13" s="1"/>
  <c r="O1049" i="13"/>
  <c r="W1049" i="13" s="1"/>
  <c r="N1049" i="13"/>
  <c r="V1049" i="13" s="1"/>
  <c r="M1049" i="13"/>
  <c r="U1049" i="13" s="1"/>
  <c r="L1049" i="13"/>
  <c r="T1049" i="13" s="1"/>
  <c r="K1049" i="13"/>
  <c r="S1049" i="13" s="1"/>
  <c r="J1049" i="13"/>
  <c r="R1049" i="13" s="1"/>
  <c r="I1049" i="13"/>
  <c r="Q1049" i="13" s="1"/>
  <c r="H1049" i="13"/>
  <c r="G1049" i="13"/>
  <c r="F1049" i="13"/>
  <c r="E1049" i="13"/>
  <c r="BA1049" i="13" s="1"/>
  <c r="C1049" i="13"/>
  <c r="AG1049" i="13" s="1"/>
  <c r="B1049" i="13"/>
  <c r="Z1049" i="13" s="1"/>
  <c r="A1049" i="13"/>
  <c r="AQ1048" i="13"/>
  <c r="T1048" i="13"/>
  <c r="P1048" i="13"/>
  <c r="X1048" i="13" s="1"/>
  <c r="O1048" i="13"/>
  <c r="W1048" i="13" s="1"/>
  <c r="N1048" i="13"/>
  <c r="V1048" i="13" s="1"/>
  <c r="M1048" i="13"/>
  <c r="U1048" i="13" s="1"/>
  <c r="L1048" i="13"/>
  <c r="K1048" i="13"/>
  <c r="S1048" i="13" s="1"/>
  <c r="J1048" i="13"/>
  <c r="R1048" i="13" s="1"/>
  <c r="I1048" i="13"/>
  <c r="Q1048" i="13" s="1"/>
  <c r="H1048" i="13"/>
  <c r="G1048" i="13"/>
  <c r="F1048" i="13"/>
  <c r="E1048" i="13"/>
  <c r="BA1048" i="13" s="1"/>
  <c r="C1048" i="13"/>
  <c r="AG1048" i="13" s="1"/>
  <c r="B1048" i="13"/>
  <c r="Z1048" i="13" s="1"/>
  <c r="A1048" i="13"/>
  <c r="AU1048" i="13" s="1"/>
  <c r="AQ1047" i="13"/>
  <c r="P1047" i="13"/>
  <c r="X1047" i="13" s="1"/>
  <c r="O1047" i="13"/>
  <c r="W1047" i="13" s="1"/>
  <c r="N1047" i="13"/>
  <c r="V1047" i="13" s="1"/>
  <c r="M1047" i="13"/>
  <c r="U1047" i="13" s="1"/>
  <c r="L1047" i="13"/>
  <c r="T1047" i="13" s="1"/>
  <c r="K1047" i="13"/>
  <c r="S1047" i="13" s="1"/>
  <c r="J1047" i="13"/>
  <c r="R1047" i="13" s="1"/>
  <c r="I1047" i="13"/>
  <c r="Q1047" i="13" s="1"/>
  <c r="H1047" i="13"/>
  <c r="G1047" i="13"/>
  <c r="F1047" i="13"/>
  <c r="E1047" i="13"/>
  <c r="C1047" i="13"/>
  <c r="AG1047" i="13" s="1"/>
  <c r="B1047" i="13"/>
  <c r="Z1047" i="13" s="1"/>
  <c r="A1047" i="13"/>
  <c r="AC1047" i="13" s="1"/>
  <c r="AQ1046" i="13"/>
  <c r="P1046" i="13"/>
  <c r="X1046" i="13" s="1"/>
  <c r="O1046" i="13"/>
  <c r="W1046" i="13" s="1"/>
  <c r="N1046" i="13"/>
  <c r="V1046" i="13" s="1"/>
  <c r="M1046" i="13"/>
  <c r="U1046" i="13" s="1"/>
  <c r="L1046" i="13"/>
  <c r="T1046" i="13" s="1"/>
  <c r="K1046" i="13"/>
  <c r="S1046" i="13" s="1"/>
  <c r="J1046" i="13"/>
  <c r="R1046" i="13" s="1"/>
  <c r="I1046" i="13"/>
  <c r="Q1046" i="13" s="1"/>
  <c r="H1046" i="13"/>
  <c r="G1046" i="13"/>
  <c r="F1046" i="13"/>
  <c r="E1046" i="13"/>
  <c r="BB1046" i="13" s="1"/>
  <c r="C1046" i="13"/>
  <c r="AG1046" i="13" s="1"/>
  <c r="AK1046" i="13" s="1"/>
  <c r="B1046" i="13"/>
  <c r="Z1046" i="13" s="1"/>
  <c r="A1046" i="13"/>
  <c r="AQ1045" i="13"/>
  <c r="P1045" i="13"/>
  <c r="X1045" i="13" s="1"/>
  <c r="O1045" i="13"/>
  <c r="W1045" i="13" s="1"/>
  <c r="N1045" i="13"/>
  <c r="V1045" i="13" s="1"/>
  <c r="M1045" i="13"/>
  <c r="U1045" i="13" s="1"/>
  <c r="L1045" i="13"/>
  <c r="T1045" i="13" s="1"/>
  <c r="K1045" i="13"/>
  <c r="S1045" i="13" s="1"/>
  <c r="J1045" i="13"/>
  <c r="R1045" i="13" s="1"/>
  <c r="I1045" i="13"/>
  <c r="Q1045" i="13" s="1"/>
  <c r="H1045" i="13"/>
  <c r="G1045" i="13"/>
  <c r="F1045" i="13"/>
  <c r="E1045" i="13"/>
  <c r="C1045" i="13"/>
  <c r="AG1045" i="13" s="1"/>
  <c r="AI1045" i="13" s="1"/>
  <c r="B1045" i="13"/>
  <c r="Z1045" i="13" s="1"/>
  <c r="A1045" i="13"/>
  <c r="AQ1044" i="13"/>
  <c r="P1044" i="13"/>
  <c r="X1044" i="13" s="1"/>
  <c r="O1044" i="13"/>
  <c r="W1044" i="13" s="1"/>
  <c r="N1044" i="13"/>
  <c r="V1044" i="13" s="1"/>
  <c r="M1044" i="13"/>
  <c r="U1044" i="13" s="1"/>
  <c r="L1044" i="13"/>
  <c r="T1044" i="13" s="1"/>
  <c r="K1044" i="13"/>
  <c r="S1044" i="13" s="1"/>
  <c r="J1044" i="13"/>
  <c r="R1044" i="13" s="1"/>
  <c r="I1044" i="13"/>
  <c r="Q1044" i="13" s="1"/>
  <c r="H1044" i="13"/>
  <c r="G1044" i="13"/>
  <c r="F1044" i="13"/>
  <c r="E1044" i="13"/>
  <c r="C1044" i="13"/>
  <c r="AG1044" i="13" s="1"/>
  <c r="B1044" i="13"/>
  <c r="Z1044" i="13" s="1"/>
  <c r="A1044" i="13"/>
  <c r="AC1044" i="13" s="1"/>
  <c r="AQ1043" i="13"/>
  <c r="P1043" i="13"/>
  <c r="X1043" i="13" s="1"/>
  <c r="O1043" i="13"/>
  <c r="W1043" i="13" s="1"/>
  <c r="N1043" i="13"/>
  <c r="V1043" i="13" s="1"/>
  <c r="M1043" i="13"/>
  <c r="U1043" i="13" s="1"/>
  <c r="L1043" i="13"/>
  <c r="T1043" i="13" s="1"/>
  <c r="K1043" i="13"/>
  <c r="S1043" i="13" s="1"/>
  <c r="J1043" i="13"/>
  <c r="R1043" i="13" s="1"/>
  <c r="I1043" i="13"/>
  <c r="Q1043" i="13" s="1"/>
  <c r="H1043" i="13"/>
  <c r="G1043" i="13"/>
  <c r="F1043" i="13"/>
  <c r="E1043" i="13"/>
  <c r="BB1043" i="13" s="1"/>
  <c r="C1043" i="13"/>
  <c r="AG1043" i="13" s="1"/>
  <c r="B1043" i="13"/>
  <c r="AR1043" i="13" s="1"/>
  <c r="A1043" i="13"/>
  <c r="AU1043" i="13" s="1"/>
  <c r="AQ1042" i="13"/>
  <c r="P1042" i="13"/>
  <c r="X1042" i="13" s="1"/>
  <c r="O1042" i="13"/>
  <c r="W1042" i="13" s="1"/>
  <c r="N1042" i="13"/>
  <c r="V1042" i="13" s="1"/>
  <c r="M1042" i="13"/>
  <c r="U1042" i="13" s="1"/>
  <c r="L1042" i="13"/>
  <c r="T1042" i="13" s="1"/>
  <c r="K1042" i="13"/>
  <c r="S1042" i="13" s="1"/>
  <c r="J1042" i="13"/>
  <c r="R1042" i="13" s="1"/>
  <c r="I1042" i="13"/>
  <c r="Q1042" i="13" s="1"/>
  <c r="H1042" i="13"/>
  <c r="G1042" i="13"/>
  <c r="F1042" i="13"/>
  <c r="E1042" i="13"/>
  <c r="BB1042" i="13" s="1"/>
  <c r="C1042" i="13"/>
  <c r="AG1042" i="13" s="1"/>
  <c r="B1042" i="13"/>
  <c r="Z1042" i="13" s="1"/>
  <c r="A1042" i="13"/>
  <c r="AR1041" i="13"/>
  <c r="AQ1041" i="13"/>
  <c r="P1041" i="13"/>
  <c r="X1041" i="13" s="1"/>
  <c r="O1041" i="13"/>
  <c r="W1041" i="13" s="1"/>
  <c r="N1041" i="13"/>
  <c r="V1041" i="13" s="1"/>
  <c r="M1041" i="13"/>
  <c r="U1041" i="13" s="1"/>
  <c r="L1041" i="13"/>
  <c r="T1041" i="13" s="1"/>
  <c r="K1041" i="13"/>
  <c r="S1041" i="13" s="1"/>
  <c r="J1041" i="13"/>
  <c r="R1041" i="13" s="1"/>
  <c r="I1041" i="13"/>
  <c r="Q1041" i="13" s="1"/>
  <c r="H1041" i="13"/>
  <c r="G1041" i="13"/>
  <c r="F1041" i="13"/>
  <c r="E1041" i="13"/>
  <c r="BA1041" i="13" s="1"/>
  <c r="C1041" i="13"/>
  <c r="AG1041" i="13" s="1"/>
  <c r="B1041" i="13"/>
  <c r="Z1041" i="13" s="1"/>
  <c r="A1041" i="13"/>
  <c r="AC1041" i="13" s="1"/>
  <c r="AQ1040" i="13"/>
  <c r="P1040" i="13"/>
  <c r="X1040" i="13" s="1"/>
  <c r="O1040" i="13"/>
  <c r="W1040" i="13" s="1"/>
  <c r="N1040" i="13"/>
  <c r="V1040" i="13" s="1"/>
  <c r="M1040" i="13"/>
  <c r="U1040" i="13" s="1"/>
  <c r="L1040" i="13"/>
  <c r="T1040" i="13" s="1"/>
  <c r="K1040" i="13"/>
  <c r="S1040" i="13" s="1"/>
  <c r="J1040" i="13"/>
  <c r="R1040" i="13" s="1"/>
  <c r="I1040" i="13"/>
  <c r="Q1040" i="13" s="1"/>
  <c r="H1040" i="13"/>
  <c r="G1040" i="13"/>
  <c r="F1040" i="13"/>
  <c r="E1040" i="13"/>
  <c r="BB1040" i="13" s="1"/>
  <c r="C1040" i="13"/>
  <c r="AG1040" i="13" s="1"/>
  <c r="B1040" i="13"/>
  <c r="Z1040" i="13" s="1"/>
  <c r="A1040" i="13"/>
  <c r="AQ1039" i="13"/>
  <c r="P1039" i="13"/>
  <c r="X1039" i="13" s="1"/>
  <c r="O1039" i="13"/>
  <c r="W1039" i="13" s="1"/>
  <c r="N1039" i="13"/>
  <c r="V1039" i="13" s="1"/>
  <c r="M1039" i="13"/>
  <c r="U1039" i="13" s="1"/>
  <c r="L1039" i="13"/>
  <c r="T1039" i="13" s="1"/>
  <c r="K1039" i="13"/>
  <c r="S1039" i="13" s="1"/>
  <c r="J1039" i="13"/>
  <c r="R1039" i="13" s="1"/>
  <c r="I1039" i="13"/>
  <c r="Q1039" i="13" s="1"/>
  <c r="H1039" i="13"/>
  <c r="G1039" i="13"/>
  <c r="F1039" i="13"/>
  <c r="E1039" i="13"/>
  <c r="BB1039" i="13" s="1"/>
  <c r="C1039" i="13"/>
  <c r="AG1039" i="13" s="1"/>
  <c r="B1039" i="13"/>
  <c r="Z1039" i="13" s="1"/>
  <c r="A1039" i="13"/>
  <c r="AQ1038" i="13"/>
  <c r="P1038" i="13"/>
  <c r="X1038" i="13" s="1"/>
  <c r="O1038" i="13"/>
  <c r="W1038" i="13" s="1"/>
  <c r="N1038" i="13"/>
  <c r="V1038" i="13" s="1"/>
  <c r="M1038" i="13"/>
  <c r="U1038" i="13" s="1"/>
  <c r="L1038" i="13"/>
  <c r="T1038" i="13" s="1"/>
  <c r="K1038" i="13"/>
  <c r="S1038" i="13" s="1"/>
  <c r="J1038" i="13"/>
  <c r="R1038" i="13" s="1"/>
  <c r="I1038" i="13"/>
  <c r="Q1038" i="13" s="1"/>
  <c r="H1038" i="13"/>
  <c r="G1038" i="13"/>
  <c r="F1038" i="13"/>
  <c r="E1038" i="13"/>
  <c r="C1038" i="13"/>
  <c r="AG1038" i="13" s="1"/>
  <c r="B1038" i="13"/>
  <c r="Z1038" i="13" s="1"/>
  <c r="A1038" i="13"/>
  <c r="AC1038" i="13" s="1"/>
  <c r="BB1037" i="13"/>
  <c r="AQ1037" i="13"/>
  <c r="P1037" i="13"/>
  <c r="X1037" i="13" s="1"/>
  <c r="O1037" i="13"/>
  <c r="W1037" i="13" s="1"/>
  <c r="N1037" i="13"/>
  <c r="V1037" i="13" s="1"/>
  <c r="M1037" i="13"/>
  <c r="U1037" i="13" s="1"/>
  <c r="L1037" i="13"/>
  <c r="T1037" i="13" s="1"/>
  <c r="K1037" i="13"/>
  <c r="S1037" i="13" s="1"/>
  <c r="J1037" i="13"/>
  <c r="R1037" i="13" s="1"/>
  <c r="I1037" i="13"/>
  <c r="Q1037" i="13" s="1"/>
  <c r="H1037" i="13"/>
  <c r="G1037" i="13"/>
  <c r="F1037" i="13"/>
  <c r="E1037" i="13"/>
  <c r="BA1037" i="13" s="1"/>
  <c r="C1037" i="13"/>
  <c r="AG1037" i="13" s="1"/>
  <c r="AL1037" i="13" s="1"/>
  <c r="B1037" i="13"/>
  <c r="Z1037" i="13" s="1"/>
  <c r="A1037" i="13"/>
  <c r="AU1037" i="13" s="1"/>
  <c r="AQ1036" i="13"/>
  <c r="P1036" i="13"/>
  <c r="X1036" i="13" s="1"/>
  <c r="O1036" i="13"/>
  <c r="W1036" i="13" s="1"/>
  <c r="N1036" i="13"/>
  <c r="V1036" i="13" s="1"/>
  <c r="M1036" i="13"/>
  <c r="U1036" i="13" s="1"/>
  <c r="L1036" i="13"/>
  <c r="T1036" i="13" s="1"/>
  <c r="K1036" i="13"/>
  <c r="S1036" i="13" s="1"/>
  <c r="J1036" i="13"/>
  <c r="R1036" i="13" s="1"/>
  <c r="I1036" i="13"/>
  <c r="Q1036" i="13" s="1"/>
  <c r="H1036" i="13"/>
  <c r="G1036" i="13"/>
  <c r="F1036" i="13"/>
  <c r="E1036" i="13"/>
  <c r="BB1036" i="13" s="1"/>
  <c r="C1036" i="13"/>
  <c r="AG1036" i="13" s="1"/>
  <c r="B1036" i="13"/>
  <c r="Z1036" i="13" s="1"/>
  <c r="A1036" i="13"/>
  <c r="BB1035" i="13"/>
  <c r="AQ1035" i="13"/>
  <c r="P1035" i="13"/>
  <c r="X1035" i="13" s="1"/>
  <c r="O1035" i="13"/>
  <c r="W1035" i="13" s="1"/>
  <c r="N1035" i="13"/>
  <c r="V1035" i="13" s="1"/>
  <c r="M1035" i="13"/>
  <c r="U1035" i="13" s="1"/>
  <c r="L1035" i="13"/>
  <c r="T1035" i="13" s="1"/>
  <c r="K1035" i="13"/>
  <c r="S1035" i="13" s="1"/>
  <c r="J1035" i="13"/>
  <c r="R1035" i="13" s="1"/>
  <c r="I1035" i="13"/>
  <c r="Q1035" i="13" s="1"/>
  <c r="H1035" i="13"/>
  <c r="G1035" i="13"/>
  <c r="F1035" i="13"/>
  <c r="E1035" i="13"/>
  <c r="BA1035" i="13" s="1"/>
  <c r="C1035" i="13"/>
  <c r="AG1035" i="13" s="1"/>
  <c r="B1035" i="13"/>
  <c r="Z1035" i="13" s="1"/>
  <c r="A1035" i="13"/>
  <c r="AR1035" i="13" s="1"/>
  <c r="AR1034" i="13"/>
  <c r="AQ1034" i="13"/>
  <c r="P1034" i="13"/>
  <c r="X1034" i="13" s="1"/>
  <c r="O1034" i="13"/>
  <c r="W1034" i="13" s="1"/>
  <c r="N1034" i="13"/>
  <c r="V1034" i="13" s="1"/>
  <c r="M1034" i="13"/>
  <c r="U1034" i="13" s="1"/>
  <c r="L1034" i="13"/>
  <c r="T1034" i="13" s="1"/>
  <c r="K1034" i="13"/>
  <c r="S1034" i="13" s="1"/>
  <c r="J1034" i="13"/>
  <c r="R1034" i="13" s="1"/>
  <c r="I1034" i="13"/>
  <c r="Q1034" i="13" s="1"/>
  <c r="H1034" i="13"/>
  <c r="G1034" i="13"/>
  <c r="F1034" i="13"/>
  <c r="E1034" i="13"/>
  <c r="C1034" i="13"/>
  <c r="AG1034" i="13" s="1"/>
  <c r="AH1034" i="13" s="1"/>
  <c r="B1034" i="13"/>
  <c r="Z1034" i="13" s="1"/>
  <c r="A1034" i="13"/>
  <c r="AU1034" i="13" s="1"/>
  <c r="AQ1033" i="13"/>
  <c r="P1033" i="13"/>
  <c r="X1033" i="13" s="1"/>
  <c r="O1033" i="13"/>
  <c r="W1033" i="13" s="1"/>
  <c r="N1033" i="13"/>
  <c r="V1033" i="13" s="1"/>
  <c r="M1033" i="13"/>
  <c r="U1033" i="13" s="1"/>
  <c r="L1033" i="13"/>
  <c r="T1033" i="13" s="1"/>
  <c r="K1033" i="13"/>
  <c r="S1033" i="13" s="1"/>
  <c r="J1033" i="13"/>
  <c r="R1033" i="13" s="1"/>
  <c r="I1033" i="13"/>
  <c r="Q1033" i="13" s="1"/>
  <c r="H1033" i="13"/>
  <c r="G1033" i="13"/>
  <c r="F1033" i="13"/>
  <c r="E1033" i="13"/>
  <c r="BA1033" i="13" s="1"/>
  <c r="C1033" i="13"/>
  <c r="AG1033" i="13" s="1"/>
  <c r="B1033" i="13"/>
  <c r="Z1033" i="13" s="1"/>
  <c r="A1033" i="13"/>
  <c r="AC1033" i="13" s="1"/>
  <c r="AQ1032" i="13"/>
  <c r="P1032" i="13"/>
  <c r="X1032" i="13" s="1"/>
  <c r="O1032" i="13"/>
  <c r="W1032" i="13" s="1"/>
  <c r="N1032" i="13"/>
  <c r="V1032" i="13" s="1"/>
  <c r="M1032" i="13"/>
  <c r="U1032" i="13" s="1"/>
  <c r="L1032" i="13"/>
  <c r="T1032" i="13" s="1"/>
  <c r="K1032" i="13"/>
  <c r="S1032" i="13" s="1"/>
  <c r="J1032" i="13"/>
  <c r="R1032" i="13" s="1"/>
  <c r="I1032" i="13"/>
  <c r="Q1032" i="13" s="1"/>
  <c r="H1032" i="13"/>
  <c r="G1032" i="13"/>
  <c r="F1032" i="13"/>
  <c r="E1032" i="13"/>
  <c r="U1032" i="11" s="1"/>
  <c r="C1032" i="13"/>
  <c r="AG1032" i="13" s="1"/>
  <c r="B1032" i="13"/>
  <c r="Z1032" i="13" s="1"/>
  <c r="A1032" i="13"/>
  <c r="AQ1031" i="13"/>
  <c r="P1031" i="13"/>
  <c r="X1031" i="13" s="1"/>
  <c r="O1031" i="13"/>
  <c r="W1031" i="13" s="1"/>
  <c r="N1031" i="13"/>
  <c r="V1031" i="13" s="1"/>
  <c r="M1031" i="13"/>
  <c r="U1031" i="13" s="1"/>
  <c r="L1031" i="13"/>
  <c r="T1031" i="13" s="1"/>
  <c r="K1031" i="13"/>
  <c r="S1031" i="13" s="1"/>
  <c r="J1031" i="13"/>
  <c r="R1031" i="13" s="1"/>
  <c r="I1031" i="13"/>
  <c r="Q1031" i="13" s="1"/>
  <c r="H1031" i="13"/>
  <c r="G1031" i="13"/>
  <c r="F1031" i="13"/>
  <c r="E1031" i="13"/>
  <c r="C1031" i="13"/>
  <c r="AG1031" i="13" s="1"/>
  <c r="B1031" i="13"/>
  <c r="Z1031" i="13" s="1"/>
  <c r="A1031" i="13"/>
  <c r="AQ1030" i="13"/>
  <c r="P1030" i="13"/>
  <c r="X1030" i="13" s="1"/>
  <c r="O1030" i="13"/>
  <c r="W1030" i="13" s="1"/>
  <c r="N1030" i="13"/>
  <c r="V1030" i="13" s="1"/>
  <c r="M1030" i="13"/>
  <c r="U1030" i="13" s="1"/>
  <c r="L1030" i="13"/>
  <c r="T1030" i="13" s="1"/>
  <c r="K1030" i="13"/>
  <c r="S1030" i="13" s="1"/>
  <c r="J1030" i="13"/>
  <c r="R1030" i="13" s="1"/>
  <c r="I1030" i="13"/>
  <c r="Q1030" i="13" s="1"/>
  <c r="H1030" i="13"/>
  <c r="G1030" i="13"/>
  <c r="F1030" i="13"/>
  <c r="E1030" i="13"/>
  <c r="BB1030" i="13" s="1"/>
  <c r="C1030" i="13"/>
  <c r="AG1030" i="13" s="1"/>
  <c r="B1030" i="13"/>
  <c r="A1030" i="13"/>
  <c r="AU1030" i="13" s="1"/>
  <c r="AQ1029" i="13"/>
  <c r="P1029" i="13"/>
  <c r="X1029" i="13" s="1"/>
  <c r="O1029" i="13"/>
  <c r="W1029" i="13" s="1"/>
  <c r="N1029" i="13"/>
  <c r="V1029" i="13" s="1"/>
  <c r="M1029" i="13"/>
  <c r="U1029" i="13" s="1"/>
  <c r="L1029" i="13"/>
  <c r="T1029" i="13" s="1"/>
  <c r="K1029" i="13"/>
  <c r="S1029" i="13" s="1"/>
  <c r="J1029" i="13"/>
  <c r="R1029" i="13" s="1"/>
  <c r="I1029" i="13"/>
  <c r="Q1029" i="13" s="1"/>
  <c r="H1029" i="13"/>
  <c r="G1029" i="13"/>
  <c r="F1029" i="13"/>
  <c r="E1029" i="13"/>
  <c r="BA1029" i="13" s="1"/>
  <c r="C1029" i="13"/>
  <c r="AG1029" i="13" s="1"/>
  <c r="B1029" i="13"/>
  <c r="A1029" i="13"/>
  <c r="AQ1028" i="13"/>
  <c r="P1028" i="13"/>
  <c r="X1028" i="13" s="1"/>
  <c r="O1028" i="13"/>
  <c r="W1028" i="13" s="1"/>
  <c r="N1028" i="13"/>
  <c r="V1028" i="13" s="1"/>
  <c r="M1028" i="13"/>
  <c r="U1028" i="13" s="1"/>
  <c r="L1028" i="13"/>
  <c r="T1028" i="13" s="1"/>
  <c r="K1028" i="13"/>
  <c r="S1028" i="13" s="1"/>
  <c r="J1028" i="13"/>
  <c r="R1028" i="13" s="1"/>
  <c r="I1028" i="13"/>
  <c r="Q1028" i="13" s="1"/>
  <c r="H1028" i="13"/>
  <c r="G1028" i="13"/>
  <c r="F1028" i="13"/>
  <c r="E1028" i="13"/>
  <c r="BA1028" i="13" s="1"/>
  <c r="C1028" i="13"/>
  <c r="AG1028" i="13" s="1"/>
  <c r="B1028" i="13"/>
  <c r="Z1028" i="13" s="1"/>
  <c r="A1028" i="13"/>
  <c r="AR1027" i="13"/>
  <c r="AQ1027" i="13"/>
  <c r="T1027" i="13"/>
  <c r="P1027" i="13"/>
  <c r="X1027" i="13" s="1"/>
  <c r="O1027" i="13"/>
  <c r="W1027" i="13" s="1"/>
  <c r="N1027" i="13"/>
  <c r="V1027" i="13" s="1"/>
  <c r="M1027" i="13"/>
  <c r="U1027" i="13" s="1"/>
  <c r="L1027" i="13"/>
  <c r="K1027" i="13"/>
  <c r="S1027" i="13" s="1"/>
  <c r="J1027" i="13"/>
  <c r="R1027" i="13" s="1"/>
  <c r="I1027" i="13"/>
  <c r="Q1027" i="13" s="1"/>
  <c r="H1027" i="13"/>
  <c r="G1027" i="13"/>
  <c r="F1027" i="13"/>
  <c r="E1027" i="13"/>
  <c r="C1027" i="13"/>
  <c r="AG1027" i="13" s="1"/>
  <c r="B1027" i="13"/>
  <c r="Z1027" i="13" s="1"/>
  <c r="A1027" i="13"/>
  <c r="AU1027" i="13" s="1"/>
  <c r="AQ1026" i="13"/>
  <c r="P1026" i="13"/>
  <c r="X1026" i="13" s="1"/>
  <c r="O1026" i="13"/>
  <c r="W1026" i="13" s="1"/>
  <c r="N1026" i="13"/>
  <c r="V1026" i="13" s="1"/>
  <c r="M1026" i="13"/>
  <c r="U1026" i="13" s="1"/>
  <c r="L1026" i="13"/>
  <c r="T1026" i="13" s="1"/>
  <c r="K1026" i="13"/>
  <c r="S1026" i="13" s="1"/>
  <c r="J1026" i="13"/>
  <c r="R1026" i="13" s="1"/>
  <c r="I1026" i="13"/>
  <c r="Q1026" i="13" s="1"/>
  <c r="H1026" i="13"/>
  <c r="G1026" i="13"/>
  <c r="F1026" i="13"/>
  <c r="E1026" i="13"/>
  <c r="C1026" i="13"/>
  <c r="AG1026" i="13" s="1"/>
  <c r="B1026" i="13"/>
  <c r="A1026" i="13"/>
  <c r="AU1026" i="13" s="1"/>
  <c r="AQ1025" i="13"/>
  <c r="P1025" i="13"/>
  <c r="X1025" i="13" s="1"/>
  <c r="O1025" i="13"/>
  <c r="W1025" i="13" s="1"/>
  <c r="N1025" i="13"/>
  <c r="V1025" i="13" s="1"/>
  <c r="M1025" i="13"/>
  <c r="U1025" i="13" s="1"/>
  <c r="L1025" i="13"/>
  <c r="T1025" i="13" s="1"/>
  <c r="K1025" i="13"/>
  <c r="S1025" i="13" s="1"/>
  <c r="J1025" i="13"/>
  <c r="R1025" i="13" s="1"/>
  <c r="I1025" i="13"/>
  <c r="Q1025" i="13" s="1"/>
  <c r="H1025" i="13"/>
  <c r="G1025" i="13"/>
  <c r="F1025" i="13"/>
  <c r="E1025" i="13"/>
  <c r="BA1025" i="13" s="1"/>
  <c r="C1025" i="13"/>
  <c r="AG1025" i="13" s="1"/>
  <c r="AI1025" i="13" s="1"/>
  <c r="B1025" i="13"/>
  <c r="A1025" i="13"/>
  <c r="AQ1024" i="13"/>
  <c r="P1024" i="13"/>
  <c r="X1024" i="13" s="1"/>
  <c r="O1024" i="13"/>
  <c r="W1024" i="13" s="1"/>
  <c r="N1024" i="13"/>
  <c r="V1024" i="13" s="1"/>
  <c r="M1024" i="13"/>
  <c r="U1024" i="13" s="1"/>
  <c r="L1024" i="13"/>
  <c r="T1024" i="13" s="1"/>
  <c r="K1024" i="13"/>
  <c r="S1024" i="13" s="1"/>
  <c r="J1024" i="13"/>
  <c r="R1024" i="13" s="1"/>
  <c r="I1024" i="13"/>
  <c r="Q1024" i="13" s="1"/>
  <c r="H1024" i="13"/>
  <c r="G1024" i="13"/>
  <c r="F1024" i="13"/>
  <c r="E1024" i="13"/>
  <c r="BA1024" i="13" s="1"/>
  <c r="C1024" i="13"/>
  <c r="AG1024" i="13" s="1"/>
  <c r="B1024" i="13"/>
  <c r="Z1024" i="13" s="1"/>
  <c r="A1024" i="13"/>
  <c r="AQ1023" i="13"/>
  <c r="S1023" i="13"/>
  <c r="P1023" i="13"/>
  <c r="X1023" i="13" s="1"/>
  <c r="O1023" i="13"/>
  <c r="W1023" i="13" s="1"/>
  <c r="N1023" i="13"/>
  <c r="V1023" i="13" s="1"/>
  <c r="M1023" i="13"/>
  <c r="U1023" i="13" s="1"/>
  <c r="L1023" i="13"/>
  <c r="T1023" i="13" s="1"/>
  <c r="K1023" i="13"/>
  <c r="J1023" i="13"/>
  <c r="R1023" i="13" s="1"/>
  <c r="I1023" i="13"/>
  <c r="Q1023" i="13" s="1"/>
  <c r="H1023" i="13"/>
  <c r="G1023" i="13"/>
  <c r="F1023" i="13"/>
  <c r="E1023" i="13"/>
  <c r="C1023" i="13"/>
  <c r="AG1023" i="13" s="1"/>
  <c r="B1023" i="13"/>
  <c r="Z1023" i="13" s="1"/>
  <c r="A1023" i="13"/>
  <c r="AC1023" i="13" s="1"/>
  <c r="AR1022" i="13"/>
  <c r="AQ1022" i="13"/>
  <c r="P1022" i="13"/>
  <c r="X1022" i="13" s="1"/>
  <c r="O1022" i="13"/>
  <c r="W1022" i="13" s="1"/>
  <c r="N1022" i="13"/>
  <c r="V1022" i="13" s="1"/>
  <c r="M1022" i="13"/>
  <c r="U1022" i="13" s="1"/>
  <c r="L1022" i="13"/>
  <c r="T1022" i="13" s="1"/>
  <c r="K1022" i="13"/>
  <c r="S1022" i="13" s="1"/>
  <c r="J1022" i="13"/>
  <c r="R1022" i="13" s="1"/>
  <c r="I1022" i="13"/>
  <c r="Q1022" i="13" s="1"/>
  <c r="H1022" i="13"/>
  <c r="G1022" i="13"/>
  <c r="F1022" i="13"/>
  <c r="E1022" i="13"/>
  <c r="C1022" i="13"/>
  <c r="AG1022" i="13" s="1"/>
  <c r="B1022" i="13"/>
  <c r="Z1022" i="13" s="1"/>
  <c r="A1022" i="13"/>
  <c r="AU1022" i="13" s="1"/>
  <c r="AQ1021" i="13"/>
  <c r="P1021" i="13"/>
  <c r="X1021" i="13" s="1"/>
  <c r="O1021" i="13"/>
  <c r="W1021" i="13" s="1"/>
  <c r="N1021" i="13"/>
  <c r="V1021" i="13" s="1"/>
  <c r="M1021" i="13"/>
  <c r="U1021" i="13" s="1"/>
  <c r="L1021" i="13"/>
  <c r="T1021" i="13" s="1"/>
  <c r="K1021" i="13"/>
  <c r="S1021" i="13" s="1"/>
  <c r="J1021" i="13"/>
  <c r="R1021" i="13" s="1"/>
  <c r="I1021" i="13"/>
  <c r="Q1021" i="13" s="1"/>
  <c r="H1021" i="13"/>
  <c r="G1021" i="13"/>
  <c r="F1021" i="13"/>
  <c r="E1021" i="13"/>
  <c r="BA1021" i="13" s="1"/>
  <c r="C1021" i="13"/>
  <c r="AG1021" i="13" s="1"/>
  <c r="B1021" i="13"/>
  <c r="A1021" i="13"/>
  <c r="AQ1020" i="13"/>
  <c r="P1020" i="13"/>
  <c r="X1020" i="13" s="1"/>
  <c r="O1020" i="13"/>
  <c r="W1020" i="13" s="1"/>
  <c r="N1020" i="13"/>
  <c r="V1020" i="13" s="1"/>
  <c r="M1020" i="13"/>
  <c r="U1020" i="13" s="1"/>
  <c r="L1020" i="13"/>
  <c r="T1020" i="13" s="1"/>
  <c r="K1020" i="13"/>
  <c r="S1020" i="13" s="1"/>
  <c r="J1020" i="13"/>
  <c r="R1020" i="13" s="1"/>
  <c r="I1020" i="13"/>
  <c r="Q1020" i="13" s="1"/>
  <c r="H1020" i="13"/>
  <c r="G1020" i="13"/>
  <c r="F1020" i="13"/>
  <c r="E1020" i="13"/>
  <c r="C1020" i="13"/>
  <c r="AG1020" i="13" s="1"/>
  <c r="B1020" i="13"/>
  <c r="Z1020" i="13" s="1"/>
  <c r="A1020" i="13"/>
  <c r="AU1020" i="13" s="1"/>
  <c r="AU1019" i="13"/>
  <c r="AQ1019" i="13"/>
  <c r="P1019" i="13"/>
  <c r="X1019" i="13" s="1"/>
  <c r="O1019" i="13"/>
  <c r="W1019" i="13" s="1"/>
  <c r="N1019" i="13"/>
  <c r="V1019" i="13" s="1"/>
  <c r="M1019" i="13"/>
  <c r="U1019" i="13" s="1"/>
  <c r="L1019" i="13"/>
  <c r="T1019" i="13" s="1"/>
  <c r="K1019" i="13"/>
  <c r="S1019" i="13" s="1"/>
  <c r="J1019" i="13"/>
  <c r="R1019" i="13" s="1"/>
  <c r="I1019" i="13"/>
  <c r="Q1019" i="13" s="1"/>
  <c r="H1019" i="13"/>
  <c r="G1019" i="13"/>
  <c r="F1019" i="13"/>
  <c r="E1019" i="13"/>
  <c r="Y1019" i="11" s="1"/>
  <c r="C1019" i="13"/>
  <c r="AG1019" i="13" s="1"/>
  <c r="AH1019" i="13" s="1"/>
  <c r="B1019" i="13"/>
  <c r="A1019" i="13"/>
  <c r="AC1019" i="13" s="1"/>
  <c r="AQ1018" i="13"/>
  <c r="T1018" i="13"/>
  <c r="P1018" i="13"/>
  <c r="X1018" i="13" s="1"/>
  <c r="O1018" i="13"/>
  <c r="W1018" i="13" s="1"/>
  <c r="N1018" i="13"/>
  <c r="V1018" i="13" s="1"/>
  <c r="M1018" i="13"/>
  <c r="U1018" i="13" s="1"/>
  <c r="L1018" i="13"/>
  <c r="K1018" i="13"/>
  <c r="S1018" i="13" s="1"/>
  <c r="J1018" i="13"/>
  <c r="R1018" i="13" s="1"/>
  <c r="I1018" i="13"/>
  <c r="Q1018" i="13" s="1"/>
  <c r="H1018" i="13"/>
  <c r="G1018" i="13"/>
  <c r="F1018" i="13"/>
  <c r="E1018" i="13"/>
  <c r="C1018" i="13"/>
  <c r="AG1018" i="13" s="1"/>
  <c r="B1018" i="13"/>
  <c r="Z1018" i="13" s="1"/>
  <c r="A1018" i="13"/>
  <c r="AQ1017" i="13"/>
  <c r="P1017" i="13"/>
  <c r="X1017" i="13" s="1"/>
  <c r="O1017" i="13"/>
  <c r="W1017" i="13" s="1"/>
  <c r="N1017" i="13"/>
  <c r="V1017" i="13" s="1"/>
  <c r="M1017" i="13"/>
  <c r="U1017" i="13" s="1"/>
  <c r="L1017" i="13"/>
  <c r="T1017" i="13" s="1"/>
  <c r="K1017" i="13"/>
  <c r="S1017" i="13" s="1"/>
  <c r="J1017" i="13"/>
  <c r="R1017" i="13" s="1"/>
  <c r="I1017" i="13"/>
  <c r="Q1017" i="13" s="1"/>
  <c r="H1017" i="13"/>
  <c r="G1017" i="13"/>
  <c r="F1017" i="13"/>
  <c r="E1017" i="13"/>
  <c r="C1017" i="13"/>
  <c r="AG1017" i="13" s="1"/>
  <c r="B1017" i="13"/>
  <c r="AR1017" i="13" s="1"/>
  <c r="A1017" i="13"/>
  <c r="AC1017" i="13" s="1"/>
  <c r="AQ1016" i="13"/>
  <c r="AC1016" i="13"/>
  <c r="P1016" i="13"/>
  <c r="X1016" i="13" s="1"/>
  <c r="O1016" i="13"/>
  <c r="W1016" i="13" s="1"/>
  <c r="N1016" i="13"/>
  <c r="V1016" i="13" s="1"/>
  <c r="M1016" i="13"/>
  <c r="U1016" i="13" s="1"/>
  <c r="L1016" i="13"/>
  <c r="T1016" i="13" s="1"/>
  <c r="K1016" i="13"/>
  <c r="S1016" i="13" s="1"/>
  <c r="J1016" i="13"/>
  <c r="R1016" i="13" s="1"/>
  <c r="I1016" i="13"/>
  <c r="Q1016" i="13" s="1"/>
  <c r="H1016" i="13"/>
  <c r="G1016" i="13"/>
  <c r="F1016" i="13"/>
  <c r="E1016" i="13"/>
  <c r="C1016" i="13"/>
  <c r="AG1016" i="13" s="1"/>
  <c r="B1016" i="13"/>
  <c r="Z1016" i="13" s="1"/>
  <c r="A1016" i="13"/>
  <c r="AU1016" i="13" s="1"/>
  <c r="AQ1015" i="13"/>
  <c r="AG1015" i="13"/>
  <c r="P1015" i="13"/>
  <c r="X1015" i="13" s="1"/>
  <c r="O1015" i="13"/>
  <c r="W1015" i="13" s="1"/>
  <c r="N1015" i="13"/>
  <c r="V1015" i="13" s="1"/>
  <c r="M1015" i="13"/>
  <c r="U1015" i="13" s="1"/>
  <c r="L1015" i="13"/>
  <c r="T1015" i="13" s="1"/>
  <c r="K1015" i="13"/>
  <c r="S1015" i="13" s="1"/>
  <c r="J1015" i="13"/>
  <c r="R1015" i="13" s="1"/>
  <c r="I1015" i="13"/>
  <c r="Q1015" i="13" s="1"/>
  <c r="H1015" i="13"/>
  <c r="G1015" i="13"/>
  <c r="F1015" i="13"/>
  <c r="E1015" i="13"/>
  <c r="BA1015" i="13" s="1"/>
  <c r="C1015" i="13"/>
  <c r="B1015" i="13"/>
  <c r="Z1015" i="13" s="1"/>
  <c r="A1015" i="13"/>
  <c r="AQ1014" i="13"/>
  <c r="P1014" i="13"/>
  <c r="X1014" i="13" s="1"/>
  <c r="O1014" i="13"/>
  <c r="W1014" i="13" s="1"/>
  <c r="N1014" i="13"/>
  <c r="V1014" i="13" s="1"/>
  <c r="M1014" i="13"/>
  <c r="U1014" i="13" s="1"/>
  <c r="L1014" i="13"/>
  <c r="T1014" i="13" s="1"/>
  <c r="K1014" i="13"/>
  <c r="S1014" i="13" s="1"/>
  <c r="J1014" i="13"/>
  <c r="R1014" i="13" s="1"/>
  <c r="I1014" i="13"/>
  <c r="Q1014" i="13" s="1"/>
  <c r="H1014" i="13"/>
  <c r="G1014" i="13"/>
  <c r="F1014" i="13"/>
  <c r="E1014" i="13"/>
  <c r="BB1014" i="13" s="1"/>
  <c r="C1014" i="13"/>
  <c r="AG1014" i="13" s="1"/>
  <c r="B1014" i="13"/>
  <c r="Z1014" i="13" s="1"/>
  <c r="A1014" i="13"/>
  <c r="AQ1013" i="13"/>
  <c r="P1013" i="13"/>
  <c r="X1013" i="13" s="1"/>
  <c r="O1013" i="13"/>
  <c r="W1013" i="13" s="1"/>
  <c r="N1013" i="13"/>
  <c r="V1013" i="13" s="1"/>
  <c r="M1013" i="13"/>
  <c r="U1013" i="13" s="1"/>
  <c r="L1013" i="13"/>
  <c r="T1013" i="13" s="1"/>
  <c r="K1013" i="13"/>
  <c r="S1013" i="13" s="1"/>
  <c r="J1013" i="13"/>
  <c r="R1013" i="13" s="1"/>
  <c r="I1013" i="13"/>
  <c r="Q1013" i="13" s="1"/>
  <c r="H1013" i="13"/>
  <c r="G1013" i="13"/>
  <c r="F1013" i="13"/>
  <c r="E1013" i="13"/>
  <c r="BB1013" i="13" s="1"/>
  <c r="C1013" i="13"/>
  <c r="B1013" i="13"/>
  <c r="Z1013" i="13" s="1"/>
  <c r="A1013" i="13"/>
  <c r="AU1013" i="13" s="1"/>
  <c r="AQ1012" i="13"/>
  <c r="P1012" i="13"/>
  <c r="X1012" i="13" s="1"/>
  <c r="O1012" i="13"/>
  <c r="W1012" i="13" s="1"/>
  <c r="N1012" i="13"/>
  <c r="V1012" i="13" s="1"/>
  <c r="M1012" i="13"/>
  <c r="U1012" i="13" s="1"/>
  <c r="L1012" i="13"/>
  <c r="T1012" i="13" s="1"/>
  <c r="K1012" i="13"/>
  <c r="S1012" i="13" s="1"/>
  <c r="J1012" i="13"/>
  <c r="R1012" i="13" s="1"/>
  <c r="I1012" i="13"/>
  <c r="Q1012" i="13" s="1"/>
  <c r="H1012" i="13"/>
  <c r="G1012" i="13"/>
  <c r="F1012" i="13"/>
  <c r="E1012" i="13"/>
  <c r="C1012" i="13"/>
  <c r="AG1012" i="13" s="1"/>
  <c r="B1012" i="13"/>
  <c r="Z1012" i="13" s="1"/>
  <c r="A1012" i="13"/>
  <c r="AQ1011" i="13"/>
  <c r="P1011" i="13"/>
  <c r="X1011" i="13" s="1"/>
  <c r="O1011" i="13"/>
  <c r="W1011" i="13" s="1"/>
  <c r="N1011" i="13"/>
  <c r="V1011" i="13" s="1"/>
  <c r="M1011" i="13"/>
  <c r="U1011" i="13" s="1"/>
  <c r="L1011" i="13"/>
  <c r="T1011" i="13" s="1"/>
  <c r="K1011" i="13"/>
  <c r="S1011" i="13" s="1"/>
  <c r="J1011" i="13"/>
  <c r="R1011" i="13" s="1"/>
  <c r="I1011" i="13"/>
  <c r="Q1011" i="13" s="1"/>
  <c r="H1011" i="13"/>
  <c r="G1011" i="13"/>
  <c r="F1011" i="13"/>
  <c r="E1011" i="13"/>
  <c r="BB1011" i="13" s="1"/>
  <c r="C1011" i="13"/>
  <c r="AG1011" i="13" s="1"/>
  <c r="B1011" i="13"/>
  <c r="Z1011" i="13" s="1"/>
  <c r="A1011" i="13"/>
  <c r="AU1011" i="13" s="1"/>
  <c r="AQ1010" i="13"/>
  <c r="P1010" i="13"/>
  <c r="X1010" i="13" s="1"/>
  <c r="O1010" i="13"/>
  <c r="W1010" i="13" s="1"/>
  <c r="N1010" i="13"/>
  <c r="V1010" i="13" s="1"/>
  <c r="M1010" i="13"/>
  <c r="U1010" i="13" s="1"/>
  <c r="L1010" i="13"/>
  <c r="T1010" i="13" s="1"/>
  <c r="K1010" i="13"/>
  <c r="S1010" i="13" s="1"/>
  <c r="J1010" i="13"/>
  <c r="R1010" i="13" s="1"/>
  <c r="I1010" i="13"/>
  <c r="Q1010" i="13" s="1"/>
  <c r="H1010" i="13"/>
  <c r="G1010" i="13"/>
  <c r="F1010" i="13"/>
  <c r="E1010" i="13"/>
  <c r="BB1010" i="13" s="1"/>
  <c r="C1010" i="13"/>
  <c r="AG1010" i="13" s="1"/>
  <c r="B1010" i="13"/>
  <c r="Z1010" i="13" s="1"/>
  <c r="A1010" i="13"/>
  <c r="BA1009" i="13"/>
  <c r="AQ1009" i="13"/>
  <c r="P1009" i="13"/>
  <c r="X1009" i="13" s="1"/>
  <c r="O1009" i="13"/>
  <c r="W1009" i="13" s="1"/>
  <c r="N1009" i="13"/>
  <c r="V1009" i="13" s="1"/>
  <c r="M1009" i="13"/>
  <c r="U1009" i="13" s="1"/>
  <c r="L1009" i="13"/>
  <c r="T1009" i="13" s="1"/>
  <c r="K1009" i="13"/>
  <c r="S1009" i="13" s="1"/>
  <c r="J1009" i="13"/>
  <c r="R1009" i="13" s="1"/>
  <c r="I1009" i="13"/>
  <c r="Q1009" i="13" s="1"/>
  <c r="H1009" i="13"/>
  <c r="G1009" i="13"/>
  <c r="F1009" i="13"/>
  <c r="E1009" i="13"/>
  <c r="BB1009" i="13" s="1"/>
  <c r="C1009" i="13"/>
  <c r="B1009" i="13"/>
  <c r="Z1009" i="13" s="1"/>
  <c r="A1009" i="13"/>
  <c r="AU1009" i="13" s="1"/>
  <c r="AQ1008" i="13"/>
  <c r="P1008" i="13"/>
  <c r="X1008" i="13" s="1"/>
  <c r="O1008" i="13"/>
  <c r="W1008" i="13" s="1"/>
  <c r="N1008" i="13"/>
  <c r="V1008" i="13" s="1"/>
  <c r="M1008" i="13"/>
  <c r="U1008" i="13" s="1"/>
  <c r="L1008" i="13"/>
  <c r="T1008" i="13" s="1"/>
  <c r="K1008" i="13"/>
  <c r="S1008" i="13" s="1"/>
  <c r="J1008" i="13"/>
  <c r="R1008" i="13" s="1"/>
  <c r="I1008" i="13"/>
  <c r="Q1008" i="13" s="1"/>
  <c r="H1008" i="13"/>
  <c r="G1008" i="13"/>
  <c r="F1008" i="13"/>
  <c r="E1008" i="13"/>
  <c r="C1008" i="13"/>
  <c r="AG1008" i="13" s="1"/>
  <c r="AO1008" i="13" s="1"/>
  <c r="B1008" i="13"/>
  <c r="Z1008" i="13" s="1"/>
  <c r="A1008" i="13"/>
  <c r="AQ1007" i="13"/>
  <c r="P1007" i="13"/>
  <c r="X1007" i="13" s="1"/>
  <c r="O1007" i="13"/>
  <c r="W1007" i="13" s="1"/>
  <c r="N1007" i="13"/>
  <c r="V1007" i="13" s="1"/>
  <c r="M1007" i="13"/>
  <c r="U1007" i="13" s="1"/>
  <c r="L1007" i="13"/>
  <c r="T1007" i="13" s="1"/>
  <c r="K1007" i="13"/>
  <c r="S1007" i="13" s="1"/>
  <c r="J1007" i="13"/>
  <c r="R1007" i="13" s="1"/>
  <c r="I1007" i="13"/>
  <c r="Q1007" i="13" s="1"/>
  <c r="H1007" i="13"/>
  <c r="G1007" i="13"/>
  <c r="F1007" i="13"/>
  <c r="E1007" i="13"/>
  <c r="BB1007" i="13" s="1"/>
  <c r="C1007" i="13"/>
  <c r="AG1007" i="13" s="1"/>
  <c r="B1007" i="13"/>
  <c r="Z1007" i="13" s="1"/>
  <c r="A1007" i="13"/>
  <c r="AC1007" i="13" s="1"/>
  <c r="AQ1006" i="13"/>
  <c r="P1006" i="13"/>
  <c r="X1006" i="13" s="1"/>
  <c r="O1006" i="13"/>
  <c r="W1006" i="13" s="1"/>
  <c r="N1006" i="13"/>
  <c r="V1006" i="13" s="1"/>
  <c r="M1006" i="13"/>
  <c r="U1006" i="13" s="1"/>
  <c r="L1006" i="13"/>
  <c r="T1006" i="13" s="1"/>
  <c r="K1006" i="13"/>
  <c r="S1006" i="13" s="1"/>
  <c r="J1006" i="13"/>
  <c r="R1006" i="13" s="1"/>
  <c r="I1006" i="13"/>
  <c r="Q1006" i="13" s="1"/>
  <c r="H1006" i="13"/>
  <c r="G1006" i="13"/>
  <c r="F1006" i="13"/>
  <c r="E1006" i="13"/>
  <c r="C1006" i="13"/>
  <c r="AG1006" i="13" s="1"/>
  <c r="B1006" i="13"/>
  <c r="Z1006" i="13" s="1"/>
  <c r="A1006" i="13"/>
  <c r="AC1006" i="13" s="1"/>
  <c r="AQ1005" i="13"/>
  <c r="P1005" i="13"/>
  <c r="X1005" i="13" s="1"/>
  <c r="O1005" i="13"/>
  <c r="W1005" i="13" s="1"/>
  <c r="N1005" i="13"/>
  <c r="V1005" i="13" s="1"/>
  <c r="M1005" i="13"/>
  <c r="U1005" i="13" s="1"/>
  <c r="L1005" i="13"/>
  <c r="T1005" i="13" s="1"/>
  <c r="K1005" i="13"/>
  <c r="S1005" i="13" s="1"/>
  <c r="J1005" i="13"/>
  <c r="R1005" i="13" s="1"/>
  <c r="I1005" i="13"/>
  <c r="Q1005" i="13" s="1"/>
  <c r="H1005" i="13"/>
  <c r="G1005" i="13"/>
  <c r="F1005" i="13"/>
  <c r="E1005" i="13"/>
  <c r="C1005" i="13"/>
  <c r="B1005" i="13"/>
  <c r="Z1005" i="13" s="1"/>
  <c r="A1005" i="13"/>
  <c r="AU1005" i="13" s="1"/>
  <c r="AQ1004" i="13"/>
  <c r="P1004" i="13"/>
  <c r="X1004" i="13" s="1"/>
  <c r="O1004" i="13"/>
  <c r="W1004" i="13" s="1"/>
  <c r="N1004" i="13"/>
  <c r="V1004" i="13" s="1"/>
  <c r="M1004" i="13"/>
  <c r="U1004" i="13" s="1"/>
  <c r="L1004" i="13"/>
  <c r="T1004" i="13" s="1"/>
  <c r="K1004" i="13"/>
  <c r="S1004" i="13" s="1"/>
  <c r="J1004" i="13"/>
  <c r="R1004" i="13" s="1"/>
  <c r="I1004" i="13"/>
  <c r="Q1004" i="13" s="1"/>
  <c r="H1004" i="13"/>
  <c r="G1004" i="13"/>
  <c r="F1004" i="13"/>
  <c r="E1004" i="13"/>
  <c r="C1004" i="13"/>
  <c r="AG1004" i="13" s="1"/>
  <c r="AO1004" i="13" s="1"/>
  <c r="B1004" i="13"/>
  <c r="Z1004" i="13" s="1"/>
  <c r="A1004" i="13"/>
  <c r="AQ1003" i="13"/>
  <c r="P1003" i="13"/>
  <c r="X1003" i="13" s="1"/>
  <c r="O1003" i="13"/>
  <c r="W1003" i="13" s="1"/>
  <c r="N1003" i="13"/>
  <c r="V1003" i="13" s="1"/>
  <c r="M1003" i="13"/>
  <c r="U1003" i="13" s="1"/>
  <c r="L1003" i="13"/>
  <c r="T1003" i="13" s="1"/>
  <c r="K1003" i="13"/>
  <c r="S1003" i="13" s="1"/>
  <c r="J1003" i="13"/>
  <c r="R1003" i="13" s="1"/>
  <c r="I1003" i="13"/>
  <c r="Q1003" i="13" s="1"/>
  <c r="H1003" i="13"/>
  <c r="G1003" i="13"/>
  <c r="F1003" i="13"/>
  <c r="E1003" i="13"/>
  <c r="BB1003" i="13" s="1"/>
  <c r="C1003" i="13"/>
  <c r="AG1003" i="13" s="1"/>
  <c r="B1003" i="13"/>
  <c r="Z1003" i="13" s="1"/>
  <c r="A1003" i="13"/>
  <c r="AC1003" i="13" s="1"/>
  <c r="AQ1002" i="13"/>
  <c r="P1002" i="13"/>
  <c r="X1002" i="13" s="1"/>
  <c r="O1002" i="13"/>
  <c r="W1002" i="13" s="1"/>
  <c r="N1002" i="13"/>
  <c r="V1002" i="13" s="1"/>
  <c r="M1002" i="13"/>
  <c r="U1002" i="13" s="1"/>
  <c r="L1002" i="13"/>
  <c r="T1002" i="13" s="1"/>
  <c r="K1002" i="13"/>
  <c r="S1002" i="13" s="1"/>
  <c r="J1002" i="13"/>
  <c r="R1002" i="13" s="1"/>
  <c r="I1002" i="13"/>
  <c r="Q1002" i="13" s="1"/>
  <c r="H1002" i="13"/>
  <c r="G1002" i="13"/>
  <c r="F1002" i="13"/>
  <c r="E1002" i="13"/>
  <c r="BB1002" i="13" s="1"/>
  <c r="C1002" i="13"/>
  <c r="AG1002" i="13" s="1"/>
  <c r="AM1002" i="13" s="1"/>
  <c r="B1002" i="13"/>
  <c r="Z1002" i="13" s="1"/>
  <c r="A1002" i="13"/>
  <c r="AQ1001" i="13"/>
  <c r="P1001" i="13"/>
  <c r="X1001" i="13" s="1"/>
  <c r="O1001" i="13"/>
  <c r="W1001" i="13" s="1"/>
  <c r="N1001" i="13"/>
  <c r="V1001" i="13" s="1"/>
  <c r="M1001" i="13"/>
  <c r="U1001" i="13" s="1"/>
  <c r="L1001" i="13"/>
  <c r="T1001" i="13" s="1"/>
  <c r="K1001" i="13"/>
  <c r="S1001" i="13" s="1"/>
  <c r="J1001" i="13"/>
  <c r="R1001" i="13" s="1"/>
  <c r="I1001" i="13"/>
  <c r="Q1001" i="13" s="1"/>
  <c r="H1001" i="13"/>
  <c r="G1001" i="13"/>
  <c r="F1001" i="13"/>
  <c r="E1001" i="13"/>
  <c r="C1001" i="13"/>
  <c r="B1001" i="13"/>
  <c r="Z1001" i="13" s="1"/>
  <c r="A1001" i="13"/>
  <c r="AQ1000" i="13"/>
  <c r="P1000" i="13"/>
  <c r="X1000" i="13" s="1"/>
  <c r="O1000" i="13"/>
  <c r="W1000" i="13" s="1"/>
  <c r="N1000" i="13"/>
  <c r="V1000" i="13" s="1"/>
  <c r="M1000" i="13"/>
  <c r="U1000" i="13" s="1"/>
  <c r="L1000" i="13"/>
  <c r="T1000" i="13" s="1"/>
  <c r="K1000" i="13"/>
  <c r="S1000" i="13" s="1"/>
  <c r="J1000" i="13"/>
  <c r="R1000" i="13" s="1"/>
  <c r="I1000" i="13"/>
  <c r="Q1000" i="13" s="1"/>
  <c r="H1000" i="13"/>
  <c r="G1000" i="13"/>
  <c r="F1000" i="13"/>
  <c r="E1000" i="13"/>
  <c r="BA1000" i="13" s="1"/>
  <c r="C1000" i="13"/>
  <c r="AG1000" i="13" s="1"/>
  <c r="AO1000" i="13" s="1"/>
  <c r="B1000" i="13"/>
  <c r="Z1000" i="13" s="1"/>
  <c r="A1000" i="13"/>
  <c r="AR1000" i="13" s="1"/>
  <c r="AQ999" i="13"/>
  <c r="P999" i="13"/>
  <c r="X999" i="13" s="1"/>
  <c r="O999" i="13"/>
  <c r="W999" i="13" s="1"/>
  <c r="N999" i="13"/>
  <c r="V999" i="13" s="1"/>
  <c r="M999" i="13"/>
  <c r="U999" i="13" s="1"/>
  <c r="L999" i="13"/>
  <c r="T999" i="13" s="1"/>
  <c r="K999" i="13"/>
  <c r="S999" i="13" s="1"/>
  <c r="J999" i="13"/>
  <c r="R999" i="13" s="1"/>
  <c r="I999" i="13"/>
  <c r="Q999" i="13" s="1"/>
  <c r="H999" i="13"/>
  <c r="G999" i="13"/>
  <c r="F999" i="13"/>
  <c r="E999" i="13"/>
  <c r="BB999" i="13" s="1"/>
  <c r="C999" i="13"/>
  <c r="AG999" i="13" s="1"/>
  <c r="B999" i="13"/>
  <c r="Z999" i="13" s="1"/>
  <c r="A999" i="13"/>
  <c r="AC999" i="13" s="1"/>
  <c r="AQ998" i="13"/>
  <c r="W998" i="13"/>
  <c r="P998" i="13"/>
  <c r="X998" i="13" s="1"/>
  <c r="O998" i="13"/>
  <c r="N998" i="13"/>
  <c r="V998" i="13" s="1"/>
  <c r="M998" i="13"/>
  <c r="U998" i="13" s="1"/>
  <c r="L998" i="13"/>
  <c r="T998" i="13" s="1"/>
  <c r="K998" i="13"/>
  <c r="S998" i="13" s="1"/>
  <c r="J998" i="13"/>
  <c r="R998" i="13" s="1"/>
  <c r="I998" i="13"/>
  <c r="Q998" i="13" s="1"/>
  <c r="H998" i="13"/>
  <c r="G998" i="13"/>
  <c r="F998" i="13"/>
  <c r="E998" i="13"/>
  <c r="C998" i="13"/>
  <c r="AG998" i="13" s="1"/>
  <c r="B998" i="13"/>
  <c r="Z998" i="13" s="1"/>
  <c r="A998" i="13"/>
  <c r="AU998" i="13" s="1"/>
  <c r="AQ997" i="13"/>
  <c r="P997" i="13"/>
  <c r="X997" i="13" s="1"/>
  <c r="O997" i="13"/>
  <c r="W997" i="13" s="1"/>
  <c r="N997" i="13"/>
  <c r="V997" i="13" s="1"/>
  <c r="M997" i="13"/>
  <c r="U997" i="13" s="1"/>
  <c r="L997" i="13"/>
  <c r="T997" i="13" s="1"/>
  <c r="K997" i="13"/>
  <c r="S997" i="13" s="1"/>
  <c r="J997" i="13"/>
  <c r="R997" i="13" s="1"/>
  <c r="I997" i="13"/>
  <c r="Q997" i="13" s="1"/>
  <c r="H997" i="13"/>
  <c r="G997" i="13"/>
  <c r="F997" i="13"/>
  <c r="E997" i="13"/>
  <c r="C997" i="13"/>
  <c r="B997" i="13"/>
  <c r="Z997" i="13" s="1"/>
  <c r="A997" i="13"/>
  <c r="AU997" i="13" s="1"/>
  <c r="AQ996" i="13"/>
  <c r="P996" i="13"/>
  <c r="X996" i="13" s="1"/>
  <c r="O996" i="13"/>
  <c r="W996" i="13" s="1"/>
  <c r="N996" i="13"/>
  <c r="V996" i="13" s="1"/>
  <c r="M996" i="13"/>
  <c r="U996" i="13" s="1"/>
  <c r="L996" i="13"/>
  <c r="T996" i="13" s="1"/>
  <c r="K996" i="13"/>
  <c r="S996" i="13" s="1"/>
  <c r="J996" i="13"/>
  <c r="R996" i="13" s="1"/>
  <c r="I996" i="13"/>
  <c r="Q996" i="13" s="1"/>
  <c r="H996" i="13"/>
  <c r="G996" i="13"/>
  <c r="F996" i="13"/>
  <c r="E996" i="13"/>
  <c r="C996" i="13"/>
  <c r="AG996" i="13" s="1"/>
  <c r="B996" i="13"/>
  <c r="Z996" i="13" s="1"/>
  <c r="A996" i="13"/>
  <c r="AQ995" i="13"/>
  <c r="P995" i="13"/>
  <c r="X995" i="13" s="1"/>
  <c r="O995" i="13"/>
  <c r="W995" i="13" s="1"/>
  <c r="N995" i="13"/>
  <c r="V995" i="13" s="1"/>
  <c r="M995" i="13"/>
  <c r="U995" i="13" s="1"/>
  <c r="L995" i="13"/>
  <c r="T995" i="13" s="1"/>
  <c r="K995" i="13"/>
  <c r="S995" i="13" s="1"/>
  <c r="J995" i="13"/>
  <c r="R995" i="13" s="1"/>
  <c r="I995" i="13"/>
  <c r="Q995" i="13" s="1"/>
  <c r="H995" i="13"/>
  <c r="G995" i="13"/>
  <c r="F995" i="13"/>
  <c r="E995" i="13"/>
  <c r="BB995" i="13" s="1"/>
  <c r="C995" i="13"/>
  <c r="AG995" i="13" s="1"/>
  <c r="B995" i="13"/>
  <c r="Z995" i="13" s="1"/>
  <c r="A995" i="13"/>
  <c r="AC995" i="13" s="1"/>
  <c r="AQ994" i="13"/>
  <c r="R994" i="13"/>
  <c r="P994" i="13"/>
  <c r="X994" i="13" s="1"/>
  <c r="O994" i="13"/>
  <c r="W994" i="13" s="1"/>
  <c r="N994" i="13"/>
  <c r="V994" i="13" s="1"/>
  <c r="M994" i="13"/>
  <c r="U994" i="13" s="1"/>
  <c r="L994" i="13"/>
  <c r="T994" i="13" s="1"/>
  <c r="K994" i="13"/>
  <c r="S994" i="13" s="1"/>
  <c r="J994" i="13"/>
  <c r="I994" i="13"/>
  <c r="Q994" i="13" s="1"/>
  <c r="H994" i="13"/>
  <c r="G994" i="13"/>
  <c r="F994" i="13"/>
  <c r="E994" i="13"/>
  <c r="BB994" i="13" s="1"/>
  <c r="C994" i="13"/>
  <c r="AG994" i="13" s="1"/>
  <c r="B994" i="13"/>
  <c r="Z994" i="13" s="1"/>
  <c r="A994" i="13"/>
  <c r="AC994" i="13" s="1"/>
  <c r="BB993" i="13"/>
  <c r="AQ993" i="13"/>
  <c r="U993" i="13"/>
  <c r="P993" i="13"/>
  <c r="X993" i="13" s="1"/>
  <c r="O993" i="13"/>
  <c r="W993" i="13" s="1"/>
  <c r="N993" i="13"/>
  <c r="V993" i="13" s="1"/>
  <c r="M993" i="13"/>
  <c r="L993" i="13"/>
  <c r="T993" i="13" s="1"/>
  <c r="K993" i="13"/>
  <c r="S993" i="13" s="1"/>
  <c r="J993" i="13"/>
  <c r="R993" i="13" s="1"/>
  <c r="I993" i="13"/>
  <c r="Q993" i="13" s="1"/>
  <c r="H993" i="13"/>
  <c r="G993" i="13"/>
  <c r="F993" i="13"/>
  <c r="E993" i="13"/>
  <c r="BA993" i="13" s="1"/>
  <c r="C993" i="13"/>
  <c r="B993" i="13"/>
  <c r="Z993" i="13" s="1"/>
  <c r="A993" i="13"/>
  <c r="AU993" i="13" s="1"/>
  <c r="AQ992" i="13"/>
  <c r="P992" i="13"/>
  <c r="X992" i="13" s="1"/>
  <c r="O992" i="13"/>
  <c r="W992" i="13" s="1"/>
  <c r="N992" i="13"/>
  <c r="V992" i="13" s="1"/>
  <c r="M992" i="13"/>
  <c r="U992" i="13" s="1"/>
  <c r="L992" i="13"/>
  <c r="T992" i="13" s="1"/>
  <c r="K992" i="13"/>
  <c r="S992" i="13" s="1"/>
  <c r="J992" i="13"/>
  <c r="R992" i="13" s="1"/>
  <c r="I992" i="13"/>
  <c r="Q992" i="13" s="1"/>
  <c r="H992" i="13"/>
  <c r="G992" i="13"/>
  <c r="F992" i="13"/>
  <c r="E992" i="13"/>
  <c r="BA992" i="13" s="1"/>
  <c r="C992" i="13"/>
  <c r="AG992" i="13" s="1"/>
  <c r="B992" i="13"/>
  <c r="Z992" i="13" s="1"/>
  <c r="A992" i="13"/>
  <c r="AR992" i="13" s="1"/>
  <c r="AQ991" i="13"/>
  <c r="P991" i="13"/>
  <c r="X991" i="13" s="1"/>
  <c r="O991" i="13"/>
  <c r="W991" i="13" s="1"/>
  <c r="N991" i="13"/>
  <c r="V991" i="13" s="1"/>
  <c r="M991" i="13"/>
  <c r="U991" i="13" s="1"/>
  <c r="L991" i="13"/>
  <c r="T991" i="13" s="1"/>
  <c r="K991" i="13"/>
  <c r="S991" i="13" s="1"/>
  <c r="J991" i="13"/>
  <c r="R991" i="13" s="1"/>
  <c r="I991" i="13"/>
  <c r="Q991" i="13" s="1"/>
  <c r="H991" i="13"/>
  <c r="G991" i="13"/>
  <c r="F991" i="13"/>
  <c r="E991" i="13"/>
  <c r="BB991" i="13" s="1"/>
  <c r="C991" i="13"/>
  <c r="AG991" i="13" s="1"/>
  <c r="B991" i="13"/>
  <c r="Z991" i="13" s="1"/>
  <c r="A991" i="13"/>
  <c r="AC991" i="13" s="1"/>
  <c r="AQ990" i="13"/>
  <c r="P990" i="13"/>
  <c r="X990" i="13" s="1"/>
  <c r="O990" i="13"/>
  <c r="W990" i="13" s="1"/>
  <c r="N990" i="13"/>
  <c r="V990" i="13" s="1"/>
  <c r="M990" i="13"/>
  <c r="U990" i="13" s="1"/>
  <c r="L990" i="13"/>
  <c r="T990" i="13" s="1"/>
  <c r="K990" i="13"/>
  <c r="S990" i="13" s="1"/>
  <c r="J990" i="13"/>
  <c r="R990" i="13" s="1"/>
  <c r="I990" i="13"/>
  <c r="Q990" i="13" s="1"/>
  <c r="H990" i="13"/>
  <c r="G990" i="13"/>
  <c r="F990" i="13"/>
  <c r="E990" i="13"/>
  <c r="BB990" i="13" s="1"/>
  <c r="C990" i="13"/>
  <c r="AG990" i="13" s="1"/>
  <c r="B990" i="13"/>
  <c r="Z990" i="13" s="1"/>
  <c r="A990" i="13"/>
  <c r="AU990" i="13" s="1"/>
  <c r="AQ989" i="13"/>
  <c r="P989" i="13"/>
  <c r="X989" i="13" s="1"/>
  <c r="O989" i="13"/>
  <c r="W989" i="13" s="1"/>
  <c r="N989" i="13"/>
  <c r="V989" i="13" s="1"/>
  <c r="M989" i="13"/>
  <c r="U989" i="13" s="1"/>
  <c r="L989" i="13"/>
  <c r="T989" i="13" s="1"/>
  <c r="K989" i="13"/>
  <c r="S989" i="13" s="1"/>
  <c r="J989" i="13"/>
  <c r="R989" i="13" s="1"/>
  <c r="I989" i="13"/>
  <c r="Q989" i="13" s="1"/>
  <c r="H989" i="13"/>
  <c r="G989" i="13"/>
  <c r="F989" i="13"/>
  <c r="E989" i="13"/>
  <c r="BB989" i="13" s="1"/>
  <c r="C989" i="13"/>
  <c r="AG989" i="13" s="1"/>
  <c r="AO989" i="13" s="1"/>
  <c r="B989" i="13"/>
  <c r="Z989" i="13" s="1"/>
  <c r="A989" i="13"/>
  <c r="AQ988" i="13"/>
  <c r="P988" i="13"/>
  <c r="X988" i="13" s="1"/>
  <c r="O988" i="13"/>
  <c r="W988" i="13" s="1"/>
  <c r="N988" i="13"/>
  <c r="V988" i="13" s="1"/>
  <c r="M988" i="13"/>
  <c r="U988" i="13" s="1"/>
  <c r="L988" i="13"/>
  <c r="T988" i="13" s="1"/>
  <c r="K988" i="13"/>
  <c r="S988" i="13" s="1"/>
  <c r="J988" i="13"/>
  <c r="R988" i="13" s="1"/>
  <c r="I988" i="13"/>
  <c r="Q988" i="13" s="1"/>
  <c r="H988" i="13"/>
  <c r="G988" i="13"/>
  <c r="F988" i="13"/>
  <c r="E988" i="13"/>
  <c r="C988" i="13"/>
  <c r="AG988" i="13" s="1"/>
  <c r="B988" i="13"/>
  <c r="Z988" i="13" s="1"/>
  <c r="A988" i="13"/>
  <c r="AC988" i="13" s="1"/>
  <c r="AQ987" i="13"/>
  <c r="P987" i="13"/>
  <c r="X987" i="13" s="1"/>
  <c r="O987" i="13"/>
  <c r="W987" i="13" s="1"/>
  <c r="N987" i="13"/>
  <c r="V987" i="13" s="1"/>
  <c r="M987" i="13"/>
  <c r="U987" i="13" s="1"/>
  <c r="L987" i="13"/>
  <c r="T987" i="13" s="1"/>
  <c r="K987" i="13"/>
  <c r="S987" i="13" s="1"/>
  <c r="J987" i="13"/>
  <c r="R987" i="13" s="1"/>
  <c r="I987" i="13"/>
  <c r="Q987" i="13" s="1"/>
  <c r="H987" i="13"/>
  <c r="G987" i="13"/>
  <c r="F987" i="13"/>
  <c r="E987" i="13"/>
  <c r="BB987" i="13" s="1"/>
  <c r="C987" i="13"/>
  <c r="AG987" i="13" s="1"/>
  <c r="B987" i="13"/>
  <c r="Z987" i="13" s="1"/>
  <c r="A987" i="13"/>
  <c r="AC987" i="13" s="1"/>
  <c r="AQ986" i="13"/>
  <c r="P986" i="13"/>
  <c r="X986" i="13" s="1"/>
  <c r="O986" i="13"/>
  <c r="W986" i="13" s="1"/>
  <c r="N986" i="13"/>
  <c r="V986" i="13" s="1"/>
  <c r="M986" i="13"/>
  <c r="U986" i="13" s="1"/>
  <c r="L986" i="13"/>
  <c r="T986" i="13" s="1"/>
  <c r="K986" i="13"/>
  <c r="S986" i="13" s="1"/>
  <c r="J986" i="13"/>
  <c r="R986" i="13" s="1"/>
  <c r="I986" i="13"/>
  <c r="Q986" i="13" s="1"/>
  <c r="H986" i="13"/>
  <c r="G986" i="13"/>
  <c r="F986" i="13"/>
  <c r="E986" i="13"/>
  <c r="BB986" i="13" s="1"/>
  <c r="C986" i="13"/>
  <c r="AG986" i="13" s="1"/>
  <c r="B986" i="13"/>
  <c r="Z986" i="13" s="1"/>
  <c r="A986" i="13"/>
  <c r="AC986" i="13" s="1"/>
  <c r="AQ985" i="13"/>
  <c r="P985" i="13"/>
  <c r="X985" i="13" s="1"/>
  <c r="O985" i="13"/>
  <c r="W985" i="13" s="1"/>
  <c r="N985" i="13"/>
  <c r="V985" i="13" s="1"/>
  <c r="M985" i="13"/>
  <c r="U985" i="13" s="1"/>
  <c r="L985" i="13"/>
  <c r="T985" i="13" s="1"/>
  <c r="K985" i="13"/>
  <c r="S985" i="13" s="1"/>
  <c r="J985" i="13"/>
  <c r="R985" i="13" s="1"/>
  <c r="I985" i="13"/>
  <c r="Q985" i="13" s="1"/>
  <c r="H985" i="13"/>
  <c r="G985" i="13"/>
  <c r="F985" i="13"/>
  <c r="E985" i="13"/>
  <c r="C985" i="13"/>
  <c r="B985" i="13"/>
  <c r="Z985" i="13" s="1"/>
  <c r="A985" i="13"/>
  <c r="AU985" i="13" s="1"/>
  <c r="AQ984" i="13"/>
  <c r="V984" i="13"/>
  <c r="P984" i="13"/>
  <c r="X984" i="13" s="1"/>
  <c r="O984" i="13"/>
  <c r="W984" i="13" s="1"/>
  <c r="N984" i="13"/>
  <c r="M984" i="13"/>
  <c r="U984" i="13" s="1"/>
  <c r="L984" i="13"/>
  <c r="T984" i="13" s="1"/>
  <c r="K984" i="13"/>
  <c r="S984" i="13" s="1"/>
  <c r="J984" i="13"/>
  <c r="R984" i="13" s="1"/>
  <c r="I984" i="13"/>
  <c r="Q984" i="13" s="1"/>
  <c r="H984" i="13"/>
  <c r="G984" i="13"/>
  <c r="F984" i="13"/>
  <c r="E984" i="13"/>
  <c r="BA984" i="13" s="1"/>
  <c r="C984" i="13"/>
  <c r="AG984" i="13" s="1"/>
  <c r="B984" i="13"/>
  <c r="Z984" i="13" s="1"/>
  <c r="A984" i="13"/>
  <c r="AQ983" i="13"/>
  <c r="AG983" i="13"/>
  <c r="W983" i="13"/>
  <c r="P983" i="13"/>
  <c r="X983" i="13" s="1"/>
  <c r="O983" i="13"/>
  <c r="N983" i="13"/>
  <c r="V983" i="13" s="1"/>
  <c r="M983" i="13"/>
  <c r="U983" i="13" s="1"/>
  <c r="L983" i="13"/>
  <c r="T983" i="13" s="1"/>
  <c r="K983" i="13"/>
  <c r="S983" i="13" s="1"/>
  <c r="J983" i="13"/>
  <c r="R983" i="13" s="1"/>
  <c r="I983" i="13"/>
  <c r="Q983" i="13" s="1"/>
  <c r="H983" i="13"/>
  <c r="G983" i="13"/>
  <c r="F983" i="13"/>
  <c r="E983" i="13"/>
  <c r="BB983" i="13" s="1"/>
  <c r="C983" i="13"/>
  <c r="AR983" i="13" s="1"/>
  <c r="B983" i="13"/>
  <c r="Z983" i="13" s="1"/>
  <c r="A983" i="13"/>
  <c r="AU983" i="13" s="1"/>
  <c r="AQ982" i="13"/>
  <c r="P982" i="13"/>
  <c r="X982" i="13" s="1"/>
  <c r="O982" i="13"/>
  <c r="W982" i="13" s="1"/>
  <c r="N982" i="13"/>
  <c r="V982" i="13" s="1"/>
  <c r="M982" i="13"/>
  <c r="U982" i="13" s="1"/>
  <c r="L982" i="13"/>
  <c r="T982" i="13" s="1"/>
  <c r="K982" i="13"/>
  <c r="S982" i="13" s="1"/>
  <c r="J982" i="13"/>
  <c r="R982" i="13" s="1"/>
  <c r="I982" i="13"/>
  <c r="Q982" i="13" s="1"/>
  <c r="H982" i="13"/>
  <c r="G982" i="13"/>
  <c r="F982" i="13"/>
  <c r="E982" i="13"/>
  <c r="BB982" i="13" s="1"/>
  <c r="C982" i="13"/>
  <c r="AG982" i="13" s="1"/>
  <c r="AN982" i="13" s="1"/>
  <c r="B982" i="13"/>
  <c r="Z982" i="13" s="1"/>
  <c r="A982" i="13"/>
  <c r="AC982" i="13" s="1"/>
  <c r="AQ981" i="13"/>
  <c r="P981" i="13"/>
  <c r="X981" i="13" s="1"/>
  <c r="O981" i="13"/>
  <c r="W981" i="13" s="1"/>
  <c r="N981" i="13"/>
  <c r="V981" i="13" s="1"/>
  <c r="M981" i="13"/>
  <c r="U981" i="13" s="1"/>
  <c r="L981" i="13"/>
  <c r="T981" i="13" s="1"/>
  <c r="K981" i="13"/>
  <c r="S981" i="13" s="1"/>
  <c r="J981" i="13"/>
  <c r="R981" i="13" s="1"/>
  <c r="I981" i="13"/>
  <c r="Q981" i="13" s="1"/>
  <c r="H981" i="13"/>
  <c r="G981" i="13"/>
  <c r="F981" i="13"/>
  <c r="E981" i="13"/>
  <c r="C981" i="13"/>
  <c r="AG981" i="13" s="1"/>
  <c r="AI981" i="13" s="1"/>
  <c r="B981" i="13"/>
  <c r="Z981" i="13" s="1"/>
  <c r="A981" i="13"/>
  <c r="BA980" i="13"/>
  <c r="AQ980" i="13"/>
  <c r="P980" i="13"/>
  <c r="X980" i="13" s="1"/>
  <c r="O980" i="13"/>
  <c r="W980" i="13" s="1"/>
  <c r="N980" i="13"/>
  <c r="V980" i="13" s="1"/>
  <c r="M980" i="13"/>
  <c r="U980" i="13" s="1"/>
  <c r="L980" i="13"/>
  <c r="T980" i="13" s="1"/>
  <c r="K980" i="13"/>
  <c r="S980" i="13" s="1"/>
  <c r="J980" i="13"/>
  <c r="R980" i="13" s="1"/>
  <c r="I980" i="13"/>
  <c r="Q980" i="13" s="1"/>
  <c r="H980" i="13"/>
  <c r="G980" i="13"/>
  <c r="F980" i="13"/>
  <c r="E980" i="13"/>
  <c r="BB980" i="13" s="1"/>
  <c r="C980" i="13"/>
  <c r="AG980" i="13" s="1"/>
  <c r="AK980" i="13" s="1"/>
  <c r="B980" i="13"/>
  <c r="Z980" i="13" s="1"/>
  <c r="A980" i="13"/>
  <c r="AQ979" i="13"/>
  <c r="P979" i="13"/>
  <c r="X979" i="13" s="1"/>
  <c r="O979" i="13"/>
  <c r="W979" i="13" s="1"/>
  <c r="N979" i="13"/>
  <c r="V979" i="13" s="1"/>
  <c r="M979" i="13"/>
  <c r="U979" i="13" s="1"/>
  <c r="L979" i="13"/>
  <c r="T979" i="13" s="1"/>
  <c r="K979" i="13"/>
  <c r="S979" i="13" s="1"/>
  <c r="J979" i="13"/>
  <c r="R979" i="13" s="1"/>
  <c r="I979" i="13"/>
  <c r="Q979" i="13" s="1"/>
  <c r="H979" i="13"/>
  <c r="G979" i="13"/>
  <c r="F979" i="13"/>
  <c r="E979" i="13"/>
  <c r="BB979" i="13" s="1"/>
  <c r="C979" i="13"/>
  <c r="AG979" i="13" s="1"/>
  <c r="B979" i="13"/>
  <c r="Z979" i="13" s="1"/>
  <c r="A979" i="13"/>
  <c r="AQ978" i="13"/>
  <c r="P978" i="13"/>
  <c r="X978" i="13" s="1"/>
  <c r="O978" i="13"/>
  <c r="W978" i="13" s="1"/>
  <c r="N978" i="13"/>
  <c r="V978" i="13" s="1"/>
  <c r="M978" i="13"/>
  <c r="U978" i="13" s="1"/>
  <c r="L978" i="13"/>
  <c r="T978" i="13" s="1"/>
  <c r="K978" i="13"/>
  <c r="S978" i="13" s="1"/>
  <c r="J978" i="13"/>
  <c r="R978" i="13" s="1"/>
  <c r="I978" i="13"/>
  <c r="Q978" i="13" s="1"/>
  <c r="H978" i="13"/>
  <c r="G978" i="13"/>
  <c r="F978" i="13"/>
  <c r="E978" i="13"/>
  <c r="C978" i="13"/>
  <c r="AG978" i="13" s="1"/>
  <c r="B978" i="13"/>
  <c r="Z978" i="13" s="1"/>
  <c r="A978" i="13"/>
  <c r="AQ977" i="13"/>
  <c r="P977" i="13"/>
  <c r="X977" i="13" s="1"/>
  <c r="O977" i="13"/>
  <c r="W977" i="13" s="1"/>
  <c r="N977" i="13"/>
  <c r="V977" i="13" s="1"/>
  <c r="M977" i="13"/>
  <c r="U977" i="13" s="1"/>
  <c r="L977" i="13"/>
  <c r="T977" i="13" s="1"/>
  <c r="K977" i="13"/>
  <c r="S977" i="13" s="1"/>
  <c r="J977" i="13"/>
  <c r="R977" i="13" s="1"/>
  <c r="I977" i="13"/>
  <c r="Q977" i="13" s="1"/>
  <c r="H977" i="13"/>
  <c r="G977" i="13"/>
  <c r="F977" i="13"/>
  <c r="E977" i="13"/>
  <c r="C977" i="13"/>
  <c r="AG977" i="13" s="1"/>
  <c r="B977" i="13"/>
  <c r="Z977" i="13" s="1"/>
  <c r="A977" i="13"/>
  <c r="AQ976" i="13"/>
  <c r="P976" i="13"/>
  <c r="X976" i="13" s="1"/>
  <c r="O976" i="13"/>
  <c r="W976" i="13" s="1"/>
  <c r="N976" i="13"/>
  <c r="V976" i="13" s="1"/>
  <c r="M976" i="13"/>
  <c r="U976" i="13" s="1"/>
  <c r="L976" i="13"/>
  <c r="T976" i="13" s="1"/>
  <c r="K976" i="13"/>
  <c r="S976" i="13" s="1"/>
  <c r="J976" i="13"/>
  <c r="R976" i="13" s="1"/>
  <c r="I976" i="13"/>
  <c r="Q976" i="13" s="1"/>
  <c r="H976" i="13"/>
  <c r="G976" i="13"/>
  <c r="F976" i="13"/>
  <c r="E976" i="13"/>
  <c r="C976" i="13"/>
  <c r="AG976" i="13" s="1"/>
  <c r="B976" i="13"/>
  <c r="Z976" i="13" s="1"/>
  <c r="A976" i="13"/>
  <c r="AC976" i="13" s="1"/>
  <c r="AQ975" i="13"/>
  <c r="AG975" i="13"/>
  <c r="P975" i="13"/>
  <c r="X975" i="13" s="1"/>
  <c r="O975" i="13"/>
  <c r="W975" i="13" s="1"/>
  <c r="N975" i="13"/>
  <c r="V975" i="13" s="1"/>
  <c r="M975" i="13"/>
  <c r="U975" i="13" s="1"/>
  <c r="L975" i="13"/>
  <c r="T975" i="13" s="1"/>
  <c r="K975" i="13"/>
  <c r="S975" i="13" s="1"/>
  <c r="J975" i="13"/>
  <c r="R975" i="13" s="1"/>
  <c r="I975" i="13"/>
  <c r="Q975" i="13" s="1"/>
  <c r="H975" i="13"/>
  <c r="G975" i="13"/>
  <c r="F975" i="13"/>
  <c r="E975" i="13"/>
  <c r="BB975" i="13" s="1"/>
  <c r="C975" i="13"/>
  <c r="B975" i="13"/>
  <c r="Z975" i="13" s="1"/>
  <c r="A975" i="13"/>
  <c r="AQ974" i="13"/>
  <c r="P974" i="13"/>
  <c r="X974" i="13" s="1"/>
  <c r="O974" i="13"/>
  <c r="W974" i="13" s="1"/>
  <c r="N974" i="13"/>
  <c r="V974" i="13" s="1"/>
  <c r="M974" i="13"/>
  <c r="U974" i="13" s="1"/>
  <c r="L974" i="13"/>
  <c r="T974" i="13" s="1"/>
  <c r="K974" i="13"/>
  <c r="S974" i="13" s="1"/>
  <c r="J974" i="13"/>
  <c r="R974" i="13" s="1"/>
  <c r="I974" i="13"/>
  <c r="Q974" i="13" s="1"/>
  <c r="H974" i="13"/>
  <c r="G974" i="13"/>
  <c r="F974" i="13"/>
  <c r="E974" i="13"/>
  <c r="C974" i="13"/>
  <c r="AG974" i="13" s="1"/>
  <c r="B974" i="13"/>
  <c r="Z974" i="13" s="1"/>
  <c r="A974" i="13"/>
  <c r="AU974" i="13" s="1"/>
  <c r="AQ973" i="13"/>
  <c r="P973" i="13"/>
  <c r="X973" i="13" s="1"/>
  <c r="O973" i="13"/>
  <c r="W973" i="13" s="1"/>
  <c r="N973" i="13"/>
  <c r="V973" i="13" s="1"/>
  <c r="M973" i="13"/>
  <c r="U973" i="13" s="1"/>
  <c r="L973" i="13"/>
  <c r="T973" i="13" s="1"/>
  <c r="K973" i="13"/>
  <c r="S973" i="13" s="1"/>
  <c r="J973" i="13"/>
  <c r="R973" i="13" s="1"/>
  <c r="I973" i="13"/>
  <c r="Q973" i="13" s="1"/>
  <c r="H973" i="13"/>
  <c r="G973" i="13"/>
  <c r="F973" i="13"/>
  <c r="E973" i="13"/>
  <c r="BB973" i="13" s="1"/>
  <c r="C973" i="13"/>
  <c r="AG973" i="13" s="1"/>
  <c r="B973" i="13"/>
  <c r="Z973" i="13" s="1"/>
  <c r="A973" i="13"/>
  <c r="AQ972" i="13"/>
  <c r="P972" i="13"/>
  <c r="X972" i="13" s="1"/>
  <c r="O972" i="13"/>
  <c r="W972" i="13" s="1"/>
  <c r="N972" i="13"/>
  <c r="V972" i="13" s="1"/>
  <c r="M972" i="13"/>
  <c r="U972" i="13" s="1"/>
  <c r="L972" i="13"/>
  <c r="T972" i="13" s="1"/>
  <c r="K972" i="13"/>
  <c r="S972" i="13" s="1"/>
  <c r="J972" i="13"/>
  <c r="R972" i="13" s="1"/>
  <c r="I972" i="13"/>
  <c r="Q972" i="13" s="1"/>
  <c r="H972" i="13"/>
  <c r="G972" i="13"/>
  <c r="F972" i="13"/>
  <c r="E972" i="13"/>
  <c r="C972" i="13"/>
  <c r="AG972" i="13" s="1"/>
  <c r="B972" i="13"/>
  <c r="Z972" i="13" s="1"/>
  <c r="A972" i="13"/>
  <c r="AC972" i="13" s="1"/>
  <c r="AQ971" i="13"/>
  <c r="P971" i="13"/>
  <c r="X971" i="13" s="1"/>
  <c r="O971" i="13"/>
  <c r="W971" i="13" s="1"/>
  <c r="N971" i="13"/>
  <c r="V971" i="13" s="1"/>
  <c r="M971" i="13"/>
  <c r="U971" i="13" s="1"/>
  <c r="L971" i="13"/>
  <c r="T971" i="13" s="1"/>
  <c r="K971" i="13"/>
  <c r="S971" i="13" s="1"/>
  <c r="J971" i="13"/>
  <c r="R971" i="13" s="1"/>
  <c r="I971" i="13"/>
  <c r="Q971" i="13" s="1"/>
  <c r="H971" i="13"/>
  <c r="G971" i="13"/>
  <c r="F971" i="13"/>
  <c r="E971" i="13"/>
  <c r="BB971" i="13" s="1"/>
  <c r="C971" i="13"/>
  <c r="AG971" i="13" s="1"/>
  <c r="B971" i="13"/>
  <c r="Z971" i="13" s="1"/>
  <c r="A971" i="13"/>
  <c r="AQ970" i="13"/>
  <c r="P970" i="13"/>
  <c r="X970" i="13" s="1"/>
  <c r="O970" i="13"/>
  <c r="W970" i="13" s="1"/>
  <c r="N970" i="13"/>
  <c r="V970" i="13" s="1"/>
  <c r="M970" i="13"/>
  <c r="U970" i="13" s="1"/>
  <c r="L970" i="13"/>
  <c r="T970" i="13" s="1"/>
  <c r="K970" i="13"/>
  <c r="S970" i="13" s="1"/>
  <c r="J970" i="13"/>
  <c r="R970" i="13" s="1"/>
  <c r="I970" i="13"/>
  <c r="Q970" i="13" s="1"/>
  <c r="H970" i="13"/>
  <c r="G970" i="13"/>
  <c r="F970" i="13"/>
  <c r="E970" i="13"/>
  <c r="BA970" i="13" s="1"/>
  <c r="C970" i="13"/>
  <c r="AG970" i="13" s="1"/>
  <c r="B970" i="13"/>
  <c r="Z970" i="13" s="1"/>
  <c r="A970" i="13"/>
  <c r="AU970" i="13" s="1"/>
  <c r="AQ969" i="13"/>
  <c r="P969" i="13"/>
  <c r="X969" i="13" s="1"/>
  <c r="O969" i="13"/>
  <c r="W969" i="13" s="1"/>
  <c r="N969" i="13"/>
  <c r="V969" i="13" s="1"/>
  <c r="M969" i="13"/>
  <c r="U969" i="13" s="1"/>
  <c r="L969" i="13"/>
  <c r="T969" i="13" s="1"/>
  <c r="K969" i="13"/>
  <c r="S969" i="13" s="1"/>
  <c r="J969" i="13"/>
  <c r="R969" i="13" s="1"/>
  <c r="I969" i="13"/>
  <c r="Q969" i="13" s="1"/>
  <c r="H969" i="13"/>
  <c r="G969" i="13"/>
  <c r="F969" i="13"/>
  <c r="E969" i="13"/>
  <c r="BB969" i="13" s="1"/>
  <c r="C969" i="13"/>
  <c r="AG969" i="13" s="1"/>
  <c r="B969" i="13"/>
  <c r="Z969" i="13" s="1"/>
  <c r="A969" i="13"/>
  <c r="BB968" i="13"/>
  <c r="AQ968" i="13"/>
  <c r="P968" i="13"/>
  <c r="X968" i="13" s="1"/>
  <c r="O968" i="13"/>
  <c r="W968" i="13" s="1"/>
  <c r="N968" i="13"/>
  <c r="V968" i="13" s="1"/>
  <c r="M968" i="13"/>
  <c r="U968" i="13" s="1"/>
  <c r="L968" i="13"/>
  <c r="T968" i="13" s="1"/>
  <c r="K968" i="13"/>
  <c r="S968" i="13" s="1"/>
  <c r="J968" i="13"/>
  <c r="R968" i="13" s="1"/>
  <c r="I968" i="13"/>
  <c r="Q968" i="13" s="1"/>
  <c r="H968" i="13"/>
  <c r="G968" i="13"/>
  <c r="F968" i="13"/>
  <c r="E968" i="13"/>
  <c r="BA968" i="13" s="1"/>
  <c r="C968" i="13"/>
  <c r="AG968" i="13" s="1"/>
  <c r="B968" i="13"/>
  <c r="Z968" i="13" s="1"/>
  <c r="A968" i="13"/>
  <c r="AQ967" i="13"/>
  <c r="P967" i="13"/>
  <c r="X967" i="13" s="1"/>
  <c r="O967" i="13"/>
  <c r="W967" i="13" s="1"/>
  <c r="N967" i="13"/>
  <c r="V967" i="13" s="1"/>
  <c r="M967" i="13"/>
  <c r="U967" i="13" s="1"/>
  <c r="L967" i="13"/>
  <c r="T967" i="13" s="1"/>
  <c r="K967" i="13"/>
  <c r="S967" i="13" s="1"/>
  <c r="J967" i="13"/>
  <c r="R967" i="13" s="1"/>
  <c r="I967" i="13"/>
  <c r="Q967" i="13" s="1"/>
  <c r="H967" i="13"/>
  <c r="G967" i="13"/>
  <c r="F967" i="13"/>
  <c r="E967" i="13"/>
  <c r="C967" i="13"/>
  <c r="AG967" i="13" s="1"/>
  <c r="B967" i="13"/>
  <c r="Z967" i="13" s="1"/>
  <c r="A967" i="13"/>
  <c r="AQ966" i="13"/>
  <c r="P966" i="13"/>
  <c r="X966" i="13" s="1"/>
  <c r="O966" i="13"/>
  <c r="W966" i="13" s="1"/>
  <c r="N966" i="13"/>
  <c r="V966" i="13" s="1"/>
  <c r="M966" i="13"/>
  <c r="U966" i="13" s="1"/>
  <c r="L966" i="13"/>
  <c r="T966" i="13" s="1"/>
  <c r="K966" i="13"/>
  <c r="S966" i="13" s="1"/>
  <c r="J966" i="13"/>
  <c r="R966" i="13" s="1"/>
  <c r="I966" i="13"/>
  <c r="Q966" i="13" s="1"/>
  <c r="H966" i="13"/>
  <c r="G966" i="13"/>
  <c r="F966" i="13"/>
  <c r="E966" i="13"/>
  <c r="BB966" i="13" s="1"/>
  <c r="C966" i="13"/>
  <c r="AG966" i="13" s="1"/>
  <c r="AI966" i="13" s="1"/>
  <c r="B966" i="13"/>
  <c r="Z966" i="13" s="1"/>
  <c r="A966" i="13"/>
  <c r="AU966" i="13" s="1"/>
  <c r="AR965" i="13"/>
  <c r="AQ965" i="13"/>
  <c r="S965" i="13"/>
  <c r="P965" i="13"/>
  <c r="X965" i="13" s="1"/>
  <c r="O965" i="13"/>
  <c r="W965" i="13" s="1"/>
  <c r="N965" i="13"/>
  <c r="V965" i="13" s="1"/>
  <c r="M965" i="13"/>
  <c r="U965" i="13" s="1"/>
  <c r="L965" i="13"/>
  <c r="T965" i="13" s="1"/>
  <c r="K965" i="13"/>
  <c r="J965" i="13"/>
  <c r="R965" i="13" s="1"/>
  <c r="I965" i="13"/>
  <c r="Q965" i="13" s="1"/>
  <c r="H965" i="13"/>
  <c r="G965" i="13"/>
  <c r="F965" i="13"/>
  <c r="E965" i="13"/>
  <c r="C965" i="13"/>
  <c r="AG965" i="13" s="1"/>
  <c r="B965" i="13"/>
  <c r="Z965" i="13" s="1"/>
  <c r="A965" i="13"/>
  <c r="AU965" i="13" s="1"/>
  <c r="AQ964" i="13"/>
  <c r="P964" i="13"/>
  <c r="X964" i="13" s="1"/>
  <c r="O964" i="13"/>
  <c r="W964" i="13" s="1"/>
  <c r="N964" i="13"/>
  <c r="V964" i="13" s="1"/>
  <c r="M964" i="13"/>
  <c r="U964" i="13" s="1"/>
  <c r="L964" i="13"/>
  <c r="T964" i="13" s="1"/>
  <c r="K964" i="13"/>
  <c r="S964" i="13" s="1"/>
  <c r="J964" i="13"/>
  <c r="R964" i="13" s="1"/>
  <c r="I964" i="13"/>
  <c r="Q964" i="13" s="1"/>
  <c r="H964" i="13"/>
  <c r="G964" i="13"/>
  <c r="F964" i="13"/>
  <c r="E964" i="13"/>
  <c r="BA964" i="13" s="1"/>
  <c r="C964" i="13"/>
  <c r="AG964" i="13" s="1"/>
  <c r="B964" i="13"/>
  <c r="Z964" i="13" s="1"/>
  <c r="A964" i="13"/>
  <c r="AC964" i="13" s="1"/>
  <c r="AQ963" i="13"/>
  <c r="Z963" i="13"/>
  <c r="U963" i="13"/>
  <c r="P963" i="13"/>
  <c r="X963" i="13" s="1"/>
  <c r="O963" i="13"/>
  <c r="W963" i="13" s="1"/>
  <c r="N963" i="13"/>
  <c r="V963" i="13" s="1"/>
  <c r="M963" i="13"/>
  <c r="L963" i="13"/>
  <c r="T963" i="13" s="1"/>
  <c r="K963" i="13"/>
  <c r="S963" i="13" s="1"/>
  <c r="J963" i="13"/>
  <c r="R963" i="13" s="1"/>
  <c r="I963" i="13"/>
  <c r="Q963" i="13" s="1"/>
  <c r="H963" i="13"/>
  <c r="G963" i="13"/>
  <c r="F963" i="13"/>
  <c r="E963" i="13"/>
  <c r="BB963" i="13" s="1"/>
  <c r="C963" i="13"/>
  <c r="AG963" i="13" s="1"/>
  <c r="AM963" i="13" s="1"/>
  <c r="B963" i="13"/>
  <c r="A963" i="13"/>
  <c r="AQ962" i="13"/>
  <c r="P962" i="13"/>
  <c r="X962" i="13" s="1"/>
  <c r="O962" i="13"/>
  <c r="W962" i="13" s="1"/>
  <c r="N962" i="13"/>
  <c r="V962" i="13" s="1"/>
  <c r="M962" i="13"/>
  <c r="U962" i="13" s="1"/>
  <c r="L962" i="13"/>
  <c r="T962" i="13" s="1"/>
  <c r="K962" i="13"/>
  <c r="S962" i="13" s="1"/>
  <c r="J962" i="13"/>
  <c r="R962" i="13" s="1"/>
  <c r="I962" i="13"/>
  <c r="Q962" i="13" s="1"/>
  <c r="H962" i="13"/>
  <c r="G962" i="13"/>
  <c r="F962" i="13"/>
  <c r="E962" i="13"/>
  <c r="C962" i="13"/>
  <c r="AG962" i="13" s="1"/>
  <c r="B962" i="13"/>
  <c r="Z962" i="13" s="1"/>
  <c r="A962" i="13"/>
  <c r="AC962" i="13" s="1"/>
  <c r="AQ961" i="13"/>
  <c r="P961" i="13"/>
  <c r="X961" i="13" s="1"/>
  <c r="O961" i="13"/>
  <c r="W961" i="13" s="1"/>
  <c r="N961" i="13"/>
  <c r="V961" i="13" s="1"/>
  <c r="M961" i="13"/>
  <c r="U961" i="13" s="1"/>
  <c r="L961" i="13"/>
  <c r="T961" i="13" s="1"/>
  <c r="K961" i="13"/>
  <c r="S961" i="13" s="1"/>
  <c r="J961" i="13"/>
  <c r="R961" i="13" s="1"/>
  <c r="I961" i="13"/>
  <c r="Q961" i="13" s="1"/>
  <c r="H961" i="13"/>
  <c r="G961" i="13"/>
  <c r="F961" i="13"/>
  <c r="E961" i="13"/>
  <c r="C961" i="13"/>
  <c r="AG961" i="13" s="1"/>
  <c r="AI961" i="13" s="1"/>
  <c r="B961" i="13"/>
  <c r="Z961" i="13" s="1"/>
  <c r="A961" i="13"/>
  <c r="AQ960" i="13"/>
  <c r="P960" i="13"/>
  <c r="X960" i="13" s="1"/>
  <c r="O960" i="13"/>
  <c r="W960" i="13" s="1"/>
  <c r="N960" i="13"/>
  <c r="V960" i="13" s="1"/>
  <c r="M960" i="13"/>
  <c r="U960" i="13" s="1"/>
  <c r="L960" i="13"/>
  <c r="T960" i="13" s="1"/>
  <c r="K960" i="13"/>
  <c r="S960" i="13" s="1"/>
  <c r="J960" i="13"/>
  <c r="R960" i="13" s="1"/>
  <c r="I960" i="13"/>
  <c r="Q960" i="13" s="1"/>
  <c r="H960" i="13"/>
  <c r="G960" i="13"/>
  <c r="F960" i="13"/>
  <c r="E960" i="13"/>
  <c r="C960" i="13"/>
  <c r="AG960" i="13" s="1"/>
  <c r="B960" i="13"/>
  <c r="Z960" i="13" s="1"/>
  <c r="A960" i="13"/>
  <c r="AQ959" i="13"/>
  <c r="X959" i="13"/>
  <c r="P959" i="13"/>
  <c r="O959" i="13"/>
  <c r="W959" i="13" s="1"/>
  <c r="N959" i="13"/>
  <c r="V959" i="13" s="1"/>
  <c r="M959" i="13"/>
  <c r="U959" i="13" s="1"/>
  <c r="L959" i="13"/>
  <c r="T959" i="13" s="1"/>
  <c r="K959" i="13"/>
  <c r="S959" i="13" s="1"/>
  <c r="J959" i="13"/>
  <c r="R959" i="13" s="1"/>
  <c r="I959" i="13"/>
  <c r="Q959" i="13" s="1"/>
  <c r="H959" i="13"/>
  <c r="G959" i="13"/>
  <c r="F959" i="13"/>
  <c r="E959" i="13"/>
  <c r="BB959" i="13" s="1"/>
  <c r="C959" i="13"/>
  <c r="AG959" i="13" s="1"/>
  <c r="B959" i="13"/>
  <c r="A959" i="13"/>
  <c r="AU959" i="13" s="1"/>
  <c r="AQ958" i="13"/>
  <c r="P958" i="13"/>
  <c r="X958" i="13" s="1"/>
  <c r="O958" i="13"/>
  <c r="W958" i="13" s="1"/>
  <c r="N958" i="13"/>
  <c r="V958" i="13" s="1"/>
  <c r="M958" i="13"/>
  <c r="U958" i="13" s="1"/>
  <c r="L958" i="13"/>
  <c r="T958" i="13" s="1"/>
  <c r="K958" i="13"/>
  <c r="S958" i="13" s="1"/>
  <c r="J958" i="13"/>
  <c r="R958" i="13" s="1"/>
  <c r="I958" i="13"/>
  <c r="Q958" i="13" s="1"/>
  <c r="H958" i="13"/>
  <c r="G958" i="13"/>
  <c r="F958" i="13"/>
  <c r="E958" i="13"/>
  <c r="BA958" i="13" s="1"/>
  <c r="C958" i="13"/>
  <c r="AG958" i="13" s="1"/>
  <c r="AK958" i="13" s="1"/>
  <c r="B958" i="13"/>
  <c r="Z958" i="13" s="1"/>
  <c r="A958" i="13"/>
  <c r="AQ957" i="13"/>
  <c r="X957" i="13"/>
  <c r="P957" i="13"/>
  <c r="O957" i="13"/>
  <c r="W957" i="13" s="1"/>
  <c r="N957" i="13"/>
  <c r="V957" i="13" s="1"/>
  <c r="M957" i="13"/>
  <c r="U957" i="13" s="1"/>
  <c r="L957" i="13"/>
  <c r="T957" i="13" s="1"/>
  <c r="K957" i="13"/>
  <c r="S957" i="13" s="1"/>
  <c r="J957" i="13"/>
  <c r="R957" i="13" s="1"/>
  <c r="I957" i="13"/>
  <c r="Q957" i="13" s="1"/>
  <c r="H957" i="13"/>
  <c r="G957" i="13"/>
  <c r="F957" i="13"/>
  <c r="E957" i="13"/>
  <c r="BB957" i="13" s="1"/>
  <c r="C957" i="13"/>
  <c r="AG957" i="13" s="1"/>
  <c r="B957" i="13"/>
  <c r="Z957" i="13" s="1"/>
  <c r="A957" i="13"/>
  <c r="AU957" i="13" s="1"/>
  <c r="AQ956" i="13"/>
  <c r="P956" i="13"/>
  <c r="X956" i="13" s="1"/>
  <c r="O956" i="13"/>
  <c r="W956" i="13" s="1"/>
  <c r="N956" i="13"/>
  <c r="V956" i="13" s="1"/>
  <c r="M956" i="13"/>
  <c r="U956" i="13" s="1"/>
  <c r="L956" i="13"/>
  <c r="T956" i="13" s="1"/>
  <c r="K956" i="13"/>
  <c r="S956" i="13" s="1"/>
  <c r="J956" i="13"/>
  <c r="R956" i="13" s="1"/>
  <c r="I956" i="13"/>
  <c r="Q956" i="13" s="1"/>
  <c r="H956" i="13"/>
  <c r="G956" i="13"/>
  <c r="F956" i="13"/>
  <c r="E956" i="13"/>
  <c r="BA956" i="13" s="1"/>
  <c r="C956" i="13"/>
  <c r="AG956" i="13" s="1"/>
  <c r="B956" i="13"/>
  <c r="Z956" i="13" s="1"/>
  <c r="A956" i="13"/>
  <c r="AC956" i="13" s="1"/>
  <c r="AQ955" i="13"/>
  <c r="P955" i="13"/>
  <c r="X955" i="13" s="1"/>
  <c r="O955" i="13"/>
  <c r="W955" i="13" s="1"/>
  <c r="N955" i="13"/>
  <c r="V955" i="13" s="1"/>
  <c r="M955" i="13"/>
  <c r="U955" i="13" s="1"/>
  <c r="L955" i="13"/>
  <c r="T955" i="13" s="1"/>
  <c r="K955" i="13"/>
  <c r="S955" i="13" s="1"/>
  <c r="J955" i="13"/>
  <c r="R955" i="13" s="1"/>
  <c r="I955" i="13"/>
  <c r="Q955" i="13" s="1"/>
  <c r="H955" i="13"/>
  <c r="G955" i="13"/>
  <c r="F955" i="13"/>
  <c r="E955" i="13"/>
  <c r="BB955" i="13" s="1"/>
  <c r="C955" i="13"/>
  <c r="AG955" i="13" s="1"/>
  <c r="B955" i="13"/>
  <c r="Z955" i="13" s="1"/>
  <c r="A955" i="13"/>
  <c r="AR955" i="13" s="1"/>
  <c r="AQ954" i="13"/>
  <c r="P954" i="13"/>
  <c r="X954" i="13" s="1"/>
  <c r="O954" i="13"/>
  <c r="W954" i="13" s="1"/>
  <c r="N954" i="13"/>
  <c r="V954" i="13" s="1"/>
  <c r="M954" i="13"/>
  <c r="U954" i="13" s="1"/>
  <c r="L954" i="13"/>
  <c r="T954" i="13" s="1"/>
  <c r="K954" i="13"/>
  <c r="S954" i="13" s="1"/>
  <c r="J954" i="13"/>
  <c r="R954" i="13" s="1"/>
  <c r="I954" i="13"/>
  <c r="Q954" i="13" s="1"/>
  <c r="H954" i="13"/>
  <c r="G954" i="13"/>
  <c r="F954" i="13"/>
  <c r="E954" i="13"/>
  <c r="BA954" i="13" s="1"/>
  <c r="C954" i="13"/>
  <c r="AG954" i="13" s="1"/>
  <c r="B954" i="13"/>
  <c r="Z954" i="13" s="1"/>
  <c r="A954" i="13"/>
  <c r="AC954" i="13" s="1"/>
  <c r="AQ953" i="13"/>
  <c r="AG953" i="13"/>
  <c r="P953" i="13"/>
  <c r="X953" i="13" s="1"/>
  <c r="O953" i="13"/>
  <c r="W953" i="13" s="1"/>
  <c r="N953" i="13"/>
  <c r="V953" i="13" s="1"/>
  <c r="M953" i="13"/>
  <c r="U953" i="13" s="1"/>
  <c r="L953" i="13"/>
  <c r="T953" i="13" s="1"/>
  <c r="K953" i="13"/>
  <c r="S953" i="13" s="1"/>
  <c r="J953" i="13"/>
  <c r="R953" i="13" s="1"/>
  <c r="I953" i="13"/>
  <c r="Q953" i="13" s="1"/>
  <c r="H953" i="13"/>
  <c r="G953" i="13"/>
  <c r="F953" i="13"/>
  <c r="E953" i="13"/>
  <c r="BB953" i="13" s="1"/>
  <c r="C953" i="13"/>
  <c r="B953" i="13"/>
  <c r="Z953" i="13" s="1"/>
  <c r="A953" i="13"/>
  <c r="AQ952" i="13"/>
  <c r="P952" i="13"/>
  <c r="X952" i="13" s="1"/>
  <c r="O952" i="13"/>
  <c r="W952" i="13" s="1"/>
  <c r="N952" i="13"/>
  <c r="V952" i="13" s="1"/>
  <c r="M952" i="13"/>
  <c r="U952" i="13" s="1"/>
  <c r="L952" i="13"/>
  <c r="T952" i="13" s="1"/>
  <c r="K952" i="13"/>
  <c r="S952" i="13" s="1"/>
  <c r="J952" i="13"/>
  <c r="R952" i="13" s="1"/>
  <c r="I952" i="13"/>
  <c r="Q952" i="13" s="1"/>
  <c r="H952" i="13"/>
  <c r="G952" i="13"/>
  <c r="F952" i="13"/>
  <c r="E952" i="13"/>
  <c r="BB952" i="13" s="1"/>
  <c r="C952" i="13"/>
  <c r="AG952" i="13" s="1"/>
  <c r="B952" i="13"/>
  <c r="A952" i="13"/>
  <c r="AU952" i="13" s="1"/>
  <c r="AQ951" i="13"/>
  <c r="P951" i="13"/>
  <c r="X951" i="13" s="1"/>
  <c r="O951" i="13"/>
  <c r="W951" i="13" s="1"/>
  <c r="N951" i="13"/>
  <c r="V951" i="13" s="1"/>
  <c r="M951" i="13"/>
  <c r="U951" i="13" s="1"/>
  <c r="L951" i="13"/>
  <c r="T951" i="13" s="1"/>
  <c r="K951" i="13"/>
  <c r="S951" i="13" s="1"/>
  <c r="J951" i="13"/>
  <c r="R951" i="13" s="1"/>
  <c r="I951" i="13"/>
  <c r="Q951" i="13" s="1"/>
  <c r="H951" i="13"/>
  <c r="G951" i="13"/>
  <c r="F951" i="13"/>
  <c r="E951" i="13"/>
  <c r="BB951" i="13" s="1"/>
  <c r="C951" i="13"/>
  <c r="AG951" i="13" s="1"/>
  <c r="B951" i="13"/>
  <c r="Z951" i="13" s="1"/>
  <c r="A951" i="13"/>
  <c r="AC951" i="13" s="1"/>
  <c r="AQ950" i="13"/>
  <c r="T950" i="13"/>
  <c r="P950" i="13"/>
  <c r="X950" i="13" s="1"/>
  <c r="O950" i="13"/>
  <c r="W950" i="13" s="1"/>
  <c r="N950" i="13"/>
  <c r="V950" i="13" s="1"/>
  <c r="M950" i="13"/>
  <c r="U950" i="13" s="1"/>
  <c r="L950" i="13"/>
  <c r="K950" i="13"/>
  <c r="S950" i="13" s="1"/>
  <c r="J950" i="13"/>
  <c r="R950" i="13" s="1"/>
  <c r="I950" i="13"/>
  <c r="Q950" i="13" s="1"/>
  <c r="H950" i="13"/>
  <c r="G950" i="13"/>
  <c r="F950" i="13"/>
  <c r="E950" i="13"/>
  <c r="C950" i="13"/>
  <c r="B950" i="13"/>
  <c r="Z950" i="13" s="1"/>
  <c r="A950" i="13"/>
  <c r="AC950" i="13" s="1"/>
  <c r="AQ949" i="13"/>
  <c r="Z949" i="13"/>
  <c r="P949" i="13"/>
  <c r="X949" i="13" s="1"/>
  <c r="O949" i="13"/>
  <c r="W949" i="13" s="1"/>
  <c r="N949" i="13"/>
  <c r="V949" i="13" s="1"/>
  <c r="M949" i="13"/>
  <c r="U949" i="13" s="1"/>
  <c r="L949" i="13"/>
  <c r="T949" i="13" s="1"/>
  <c r="K949" i="13"/>
  <c r="S949" i="13" s="1"/>
  <c r="J949" i="13"/>
  <c r="R949" i="13" s="1"/>
  <c r="I949" i="13"/>
  <c r="Q949" i="13" s="1"/>
  <c r="H949" i="13"/>
  <c r="G949" i="13"/>
  <c r="F949" i="13"/>
  <c r="E949" i="13"/>
  <c r="BB949" i="13" s="1"/>
  <c r="C949" i="13"/>
  <c r="AG949" i="13" s="1"/>
  <c r="B949" i="13"/>
  <c r="A949" i="13"/>
  <c r="AU948" i="13"/>
  <c r="AQ948" i="13"/>
  <c r="X948" i="13"/>
  <c r="P948" i="13"/>
  <c r="O948" i="13"/>
  <c r="W948" i="13" s="1"/>
  <c r="N948" i="13"/>
  <c r="V948" i="13" s="1"/>
  <c r="M948" i="13"/>
  <c r="U948" i="13" s="1"/>
  <c r="L948" i="13"/>
  <c r="T948" i="13" s="1"/>
  <c r="K948" i="13"/>
  <c r="S948" i="13" s="1"/>
  <c r="J948" i="13"/>
  <c r="R948" i="13" s="1"/>
  <c r="I948" i="13"/>
  <c r="Q948" i="13" s="1"/>
  <c r="H948" i="13"/>
  <c r="G948" i="13"/>
  <c r="F948" i="13"/>
  <c r="E948" i="13"/>
  <c r="BB948" i="13" s="1"/>
  <c r="C948" i="13"/>
  <c r="AG948" i="13" s="1"/>
  <c r="B948" i="13"/>
  <c r="A948" i="13"/>
  <c r="AC948" i="13" s="1"/>
  <c r="AQ947" i="13"/>
  <c r="P947" i="13"/>
  <c r="X947" i="13" s="1"/>
  <c r="O947" i="13"/>
  <c r="W947" i="13" s="1"/>
  <c r="N947" i="13"/>
  <c r="V947" i="13" s="1"/>
  <c r="M947" i="13"/>
  <c r="U947" i="13" s="1"/>
  <c r="L947" i="13"/>
  <c r="T947" i="13" s="1"/>
  <c r="K947" i="13"/>
  <c r="S947" i="13" s="1"/>
  <c r="J947" i="13"/>
  <c r="R947" i="13" s="1"/>
  <c r="I947" i="13"/>
  <c r="Q947" i="13" s="1"/>
  <c r="H947" i="13"/>
  <c r="G947" i="13"/>
  <c r="F947" i="13"/>
  <c r="E947" i="13"/>
  <c r="BB947" i="13" s="1"/>
  <c r="C947" i="13"/>
  <c r="AG947" i="13" s="1"/>
  <c r="B947" i="13"/>
  <c r="Z947" i="13" s="1"/>
  <c r="A947" i="13"/>
  <c r="AQ946" i="13"/>
  <c r="P946" i="13"/>
  <c r="X946" i="13" s="1"/>
  <c r="O946" i="13"/>
  <c r="W946" i="13" s="1"/>
  <c r="N946" i="13"/>
  <c r="V946" i="13" s="1"/>
  <c r="M946" i="13"/>
  <c r="U946" i="13" s="1"/>
  <c r="L946" i="13"/>
  <c r="T946" i="13" s="1"/>
  <c r="K946" i="13"/>
  <c r="S946" i="13" s="1"/>
  <c r="J946" i="13"/>
  <c r="R946" i="13" s="1"/>
  <c r="I946" i="13"/>
  <c r="Q946" i="13" s="1"/>
  <c r="H946" i="13"/>
  <c r="G946" i="13"/>
  <c r="F946" i="13"/>
  <c r="E946" i="13"/>
  <c r="C946" i="13"/>
  <c r="AG946" i="13" s="1"/>
  <c r="B946" i="13"/>
  <c r="Z946" i="13" s="1"/>
  <c r="A946" i="13"/>
  <c r="AC946" i="13" s="1"/>
  <c r="AQ945" i="13"/>
  <c r="P945" i="13"/>
  <c r="X945" i="13" s="1"/>
  <c r="O945" i="13"/>
  <c r="W945" i="13" s="1"/>
  <c r="N945" i="13"/>
  <c r="V945" i="13" s="1"/>
  <c r="M945" i="13"/>
  <c r="U945" i="13" s="1"/>
  <c r="L945" i="13"/>
  <c r="T945" i="13" s="1"/>
  <c r="K945" i="13"/>
  <c r="S945" i="13" s="1"/>
  <c r="J945" i="13"/>
  <c r="R945" i="13" s="1"/>
  <c r="I945" i="13"/>
  <c r="Q945" i="13" s="1"/>
  <c r="H945" i="13"/>
  <c r="G945" i="13"/>
  <c r="F945" i="13"/>
  <c r="E945" i="13"/>
  <c r="BB945" i="13" s="1"/>
  <c r="C945" i="13"/>
  <c r="AG945" i="13" s="1"/>
  <c r="B945" i="13"/>
  <c r="Z945" i="13" s="1"/>
  <c r="A945" i="13"/>
  <c r="AQ944" i="13"/>
  <c r="P944" i="13"/>
  <c r="X944" i="13" s="1"/>
  <c r="O944" i="13"/>
  <c r="W944" i="13" s="1"/>
  <c r="N944" i="13"/>
  <c r="V944" i="13" s="1"/>
  <c r="M944" i="13"/>
  <c r="U944" i="13" s="1"/>
  <c r="L944" i="13"/>
  <c r="T944" i="13" s="1"/>
  <c r="K944" i="13"/>
  <c r="S944" i="13" s="1"/>
  <c r="J944" i="13"/>
  <c r="R944" i="13" s="1"/>
  <c r="I944" i="13"/>
  <c r="Q944" i="13" s="1"/>
  <c r="H944" i="13"/>
  <c r="G944" i="13"/>
  <c r="F944" i="13"/>
  <c r="E944" i="13"/>
  <c r="BB944" i="13" s="1"/>
  <c r="C944" i="13"/>
  <c r="AG944" i="13" s="1"/>
  <c r="B944" i="13"/>
  <c r="A944" i="13"/>
  <c r="AC944" i="13" s="1"/>
  <c r="AQ943" i="13"/>
  <c r="P943" i="13"/>
  <c r="X943" i="13" s="1"/>
  <c r="O943" i="13"/>
  <c r="W943" i="13" s="1"/>
  <c r="N943" i="13"/>
  <c r="V943" i="13" s="1"/>
  <c r="M943" i="13"/>
  <c r="U943" i="13" s="1"/>
  <c r="L943" i="13"/>
  <c r="T943" i="13" s="1"/>
  <c r="K943" i="13"/>
  <c r="S943" i="13" s="1"/>
  <c r="J943" i="13"/>
  <c r="R943" i="13" s="1"/>
  <c r="I943" i="13"/>
  <c r="Q943" i="13" s="1"/>
  <c r="H943" i="13"/>
  <c r="G943" i="13"/>
  <c r="F943" i="13"/>
  <c r="E943" i="13"/>
  <c r="BA943" i="13" s="1"/>
  <c r="C943" i="13"/>
  <c r="AG943" i="13" s="1"/>
  <c r="B943" i="13"/>
  <c r="Z943" i="13" s="1"/>
  <c r="A943" i="13"/>
  <c r="AR943" i="13" s="1"/>
  <c r="AQ942" i="13"/>
  <c r="P942" i="13"/>
  <c r="X942" i="13" s="1"/>
  <c r="O942" i="13"/>
  <c r="W942" i="13" s="1"/>
  <c r="N942" i="13"/>
  <c r="V942" i="13" s="1"/>
  <c r="M942" i="13"/>
  <c r="U942" i="13" s="1"/>
  <c r="L942" i="13"/>
  <c r="T942" i="13" s="1"/>
  <c r="K942" i="13"/>
  <c r="S942" i="13" s="1"/>
  <c r="J942" i="13"/>
  <c r="R942" i="13" s="1"/>
  <c r="I942" i="13"/>
  <c r="Q942" i="13" s="1"/>
  <c r="H942" i="13"/>
  <c r="G942" i="13"/>
  <c r="F942" i="13"/>
  <c r="E942" i="13"/>
  <c r="C942" i="13"/>
  <c r="AG942" i="13" s="1"/>
  <c r="B942" i="13"/>
  <c r="Z942" i="13" s="1"/>
  <c r="A942" i="13"/>
  <c r="AC942" i="13" s="1"/>
  <c r="AQ941" i="13"/>
  <c r="P941" i="13"/>
  <c r="X941" i="13" s="1"/>
  <c r="O941" i="13"/>
  <c r="W941" i="13" s="1"/>
  <c r="N941" i="13"/>
  <c r="V941" i="13" s="1"/>
  <c r="M941" i="13"/>
  <c r="U941" i="13" s="1"/>
  <c r="L941" i="13"/>
  <c r="T941" i="13" s="1"/>
  <c r="K941" i="13"/>
  <c r="S941" i="13" s="1"/>
  <c r="J941" i="13"/>
  <c r="R941" i="13" s="1"/>
  <c r="I941" i="13"/>
  <c r="Q941" i="13" s="1"/>
  <c r="H941" i="13"/>
  <c r="G941" i="13"/>
  <c r="F941" i="13"/>
  <c r="E941" i="13"/>
  <c r="BB941" i="13" s="1"/>
  <c r="C941" i="13"/>
  <c r="AG941" i="13" s="1"/>
  <c r="B941" i="13"/>
  <c r="Z941" i="13" s="1"/>
  <c r="A941" i="13"/>
  <c r="AQ940" i="13"/>
  <c r="P940" i="13"/>
  <c r="X940" i="13" s="1"/>
  <c r="O940" i="13"/>
  <c r="W940" i="13" s="1"/>
  <c r="N940" i="13"/>
  <c r="V940" i="13" s="1"/>
  <c r="M940" i="13"/>
  <c r="U940" i="13" s="1"/>
  <c r="L940" i="13"/>
  <c r="T940" i="13" s="1"/>
  <c r="K940" i="13"/>
  <c r="S940" i="13" s="1"/>
  <c r="J940" i="13"/>
  <c r="R940" i="13" s="1"/>
  <c r="I940" i="13"/>
  <c r="Q940" i="13" s="1"/>
  <c r="H940" i="13"/>
  <c r="G940" i="13"/>
  <c r="F940" i="13"/>
  <c r="E940" i="13"/>
  <c r="BB940" i="13" s="1"/>
  <c r="C940" i="13"/>
  <c r="AG940" i="13" s="1"/>
  <c r="B940" i="13"/>
  <c r="A940" i="13"/>
  <c r="AQ939" i="13"/>
  <c r="P939" i="13"/>
  <c r="X939" i="13" s="1"/>
  <c r="O939" i="13"/>
  <c r="W939" i="13" s="1"/>
  <c r="N939" i="13"/>
  <c r="V939" i="13" s="1"/>
  <c r="M939" i="13"/>
  <c r="U939" i="13" s="1"/>
  <c r="L939" i="13"/>
  <c r="T939" i="13" s="1"/>
  <c r="K939" i="13"/>
  <c r="S939" i="13" s="1"/>
  <c r="J939" i="13"/>
  <c r="R939" i="13" s="1"/>
  <c r="I939" i="13"/>
  <c r="Q939" i="13" s="1"/>
  <c r="H939" i="13"/>
  <c r="G939" i="13"/>
  <c r="F939" i="13"/>
  <c r="E939" i="13"/>
  <c r="BB939" i="13" s="1"/>
  <c r="C939" i="13"/>
  <c r="AG939" i="13" s="1"/>
  <c r="B939" i="13"/>
  <c r="Z939" i="13" s="1"/>
  <c r="A939" i="13"/>
  <c r="AQ938" i="13"/>
  <c r="P938" i="13"/>
  <c r="X938" i="13" s="1"/>
  <c r="O938" i="13"/>
  <c r="W938" i="13" s="1"/>
  <c r="N938" i="13"/>
  <c r="V938" i="13" s="1"/>
  <c r="M938" i="13"/>
  <c r="U938" i="13" s="1"/>
  <c r="L938" i="13"/>
  <c r="T938" i="13" s="1"/>
  <c r="K938" i="13"/>
  <c r="S938" i="13" s="1"/>
  <c r="J938" i="13"/>
  <c r="R938" i="13" s="1"/>
  <c r="I938" i="13"/>
  <c r="Q938" i="13" s="1"/>
  <c r="H938" i="13"/>
  <c r="G938" i="13"/>
  <c r="F938" i="13"/>
  <c r="E938" i="13"/>
  <c r="C938" i="13"/>
  <c r="AG938" i="13" s="1"/>
  <c r="B938" i="13"/>
  <c r="Z938" i="13" s="1"/>
  <c r="A938" i="13"/>
  <c r="AQ937" i="13"/>
  <c r="P937" i="13"/>
  <c r="X937" i="13" s="1"/>
  <c r="O937" i="13"/>
  <c r="W937" i="13" s="1"/>
  <c r="N937" i="13"/>
  <c r="V937" i="13" s="1"/>
  <c r="M937" i="13"/>
  <c r="U937" i="13" s="1"/>
  <c r="L937" i="13"/>
  <c r="T937" i="13" s="1"/>
  <c r="K937" i="13"/>
  <c r="S937" i="13" s="1"/>
  <c r="J937" i="13"/>
  <c r="R937" i="13" s="1"/>
  <c r="I937" i="13"/>
  <c r="Q937" i="13" s="1"/>
  <c r="H937" i="13"/>
  <c r="G937" i="13"/>
  <c r="F937" i="13"/>
  <c r="E937" i="13"/>
  <c r="BB937" i="13" s="1"/>
  <c r="C937" i="13"/>
  <c r="AG937" i="13" s="1"/>
  <c r="AO937" i="13" s="1"/>
  <c r="B937" i="13"/>
  <c r="Z937" i="13" s="1"/>
  <c r="A937" i="13"/>
  <c r="AQ936" i="13"/>
  <c r="P936" i="13"/>
  <c r="X936" i="13" s="1"/>
  <c r="O936" i="13"/>
  <c r="W936" i="13" s="1"/>
  <c r="N936" i="13"/>
  <c r="V936" i="13" s="1"/>
  <c r="M936" i="13"/>
  <c r="U936" i="13" s="1"/>
  <c r="L936" i="13"/>
  <c r="T936" i="13" s="1"/>
  <c r="K936" i="13"/>
  <c r="S936" i="13" s="1"/>
  <c r="J936" i="13"/>
  <c r="R936" i="13" s="1"/>
  <c r="I936" i="13"/>
  <c r="Q936" i="13" s="1"/>
  <c r="H936" i="13"/>
  <c r="G936" i="13"/>
  <c r="F936" i="13"/>
  <c r="E936" i="13"/>
  <c r="BB936" i="13" s="1"/>
  <c r="C936" i="13"/>
  <c r="AG936" i="13" s="1"/>
  <c r="B936" i="13"/>
  <c r="AR936" i="13" s="1"/>
  <c r="A936" i="13"/>
  <c r="AC936" i="13" s="1"/>
  <c r="AQ935" i="13"/>
  <c r="P935" i="13"/>
  <c r="X935" i="13" s="1"/>
  <c r="O935" i="13"/>
  <c r="W935" i="13" s="1"/>
  <c r="N935" i="13"/>
  <c r="V935" i="13" s="1"/>
  <c r="M935" i="13"/>
  <c r="U935" i="13" s="1"/>
  <c r="L935" i="13"/>
  <c r="T935" i="13" s="1"/>
  <c r="K935" i="13"/>
  <c r="S935" i="13" s="1"/>
  <c r="J935" i="13"/>
  <c r="R935" i="13" s="1"/>
  <c r="I935" i="13"/>
  <c r="Q935" i="13" s="1"/>
  <c r="H935" i="13"/>
  <c r="G935" i="13"/>
  <c r="F935" i="13"/>
  <c r="E935" i="13"/>
  <c r="BB935" i="13" s="1"/>
  <c r="C935" i="13"/>
  <c r="AG935" i="13" s="1"/>
  <c r="B935" i="13"/>
  <c r="Z935" i="13" s="1"/>
  <c r="A935" i="13"/>
  <c r="AC935" i="13" s="1"/>
  <c r="BB934" i="13"/>
  <c r="AQ934" i="13"/>
  <c r="P934" i="13"/>
  <c r="X934" i="13" s="1"/>
  <c r="O934" i="13"/>
  <c r="W934" i="13" s="1"/>
  <c r="N934" i="13"/>
  <c r="V934" i="13" s="1"/>
  <c r="M934" i="13"/>
  <c r="U934" i="13" s="1"/>
  <c r="L934" i="13"/>
  <c r="T934" i="13" s="1"/>
  <c r="K934" i="13"/>
  <c r="S934" i="13" s="1"/>
  <c r="J934" i="13"/>
  <c r="R934" i="13" s="1"/>
  <c r="I934" i="13"/>
  <c r="Q934" i="13" s="1"/>
  <c r="H934" i="13"/>
  <c r="G934" i="13"/>
  <c r="F934" i="13"/>
  <c r="E934" i="13"/>
  <c r="BA934" i="13" s="1"/>
  <c r="C934" i="13"/>
  <c r="B934" i="13"/>
  <c r="Z934" i="13" s="1"/>
  <c r="A934" i="13"/>
  <c r="AQ933" i="13"/>
  <c r="P933" i="13"/>
  <c r="X933" i="13" s="1"/>
  <c r="O933" i="13"/>
  <c r="W933" i="13" s="1"/>
  <c r="N933" i="13"/>
  <c r="V933" i="13" s="1"/>
  <c r="M933" i="13"/>
  <c r="U933" i="13" s="1"/>
  <c r="L933" i="13"/>
  <c r="T933" i="13" s="1"/>
  <c r="K933" i="13"/>
  <c r="S933" i="13" s="1"/>
  <c r="J933" i="13"/>
  <c r="R933" i="13" s="1"/>
  <c r="I933" i="13"/>
  <c r="Q933" i="13" s="1"/>
  <c r="H933" i="13"/>
  <c r="G933" i="13"/>
  <c r="F933" i="13"/>
  <c r="E933" i="13"/>
  <c r="C933" i="13"/>
  <c r="AG933" i="13" s="1"/>
  <c r="B933" i="13"/>
  <c r="Z933" i="13" s="1"/>
  <c r="A933" i="13"/>
  <c r="AQ932" i="13"/>
  <c r="P932" i="13"/>
  <c r="X932" i="13" s="1"/>
  <c r="O932" i="13"/>
  <c r="W932" i="13" s="1"/>
  <c r="N932" i="13"/>
  <c r="V932" i="13" s="1"/>
  <c r="M932" i="13"/>
  <c r="U932" i="13" s="1"/>
  <c r="L932" i="13"/>
  <c r="T932" i="13" s="1"/>
  <c r="K932" i="13"/>
  <c r="S932" i="13" s="1"/>
  <c r="J932" i="13"/>
  <c r="R932" i="13" s="1"/>
  <c r="I932" i="13"/>
  <c r="Q932" i="13" s="1"/>
  <c r="H932" i="13"/>
  <c r="G932" i="13"/>
  <c r="F932" i="13"/>
  <c r="E932" i="13"/>
  <c r="BB932" i="13" s="1"/>
  <c r="C932" i="13"/>
  <c r="AG932" i="13" s="1"/>
  <c r="B932" i="13"/>
  <c r="Z932" i="13" s="1"/>
  <c r="A932" i="13"/>
  <c r="AQ931" i="13"/>
  <c r="U931" i="13"/>
  <c r="P931" i="13"/>
  <c r="X931" i="13" s="1"/>
  <c r="O931" i="13"/>
  <c r="W931" i="13" s="1"/>
  <c r="N931" i="13"/>
  <c r="V931" i="13" s="1"/>
  <c r="M931" i="13"/>
  <c r="L931" i="13"/>
  <c r="T931" i="13" s="1"/>
  <c r="K931" i="13"/>
  <c r="S931" i="13" s="1"/>
  <c r="J931" i="13"/>
  <c r="R931" i="13" s="1"/>
  <c r="I931" i="13"/>
  <c r="Q931" i="13" s="1"/>
  <c r="H931" i="13"/>
  <c r="G931" i="13"/>
  <c r="F931" i="13"/>
  <c r="E931" i="13"/>
  <c r="BB931" i="13" s="1"/>
  <c r="C931" i="13"/>
  <c r="AG931" i="13" s="1"/>
  <c r="B931" i="13"/>
  <c r="Z931" i="13" s="1"/>
  <c r="A931" i="13"/>
  <c r="AC931" i="13" s="1"/>
  <c r="AQ930" i="13"/>
  <c r="P930" i="13"/>
  <c r="X930" i="13" s="1"/>
  <c r="O930" i="13"/>
  <c r="W930" i="13" s="1"/>
  <c r="N930" i="13"/>
  <c r="V930" i="13" s="1"/>
  <c r="M930" i="13"/>
  <c r="U930" i="13" s="1"/>
  <c r="L930" i="13"/>
  <c r="T930" i="13" s="1"/>
  <c r="K930" i="13"/>
  <c r="S930" i="13" s="1"/>
  <c r="J930" i="13"/>
  <c r="R930" i="13" s="1"/>
  <c r="I930" i="13"/>
  <c r="Q930" i="13" s="1"/>
  <c r="H930" i="13"/>
  <c r="G930" i="13"/>
  <c r="F930" i="13"/>
  <c r="E930" i="13"/>
  <c r="BA930" i="13" s="1"/>
  <c r="C930" i="13"/>
  <c r="AG930" i="13" s="1"/>
  <c r="B930" i="13"/>
  <c r="Z930" i="13" s="1"/>
  <c r="A930" i="13"/>
  <c r="AC930" i="13" s="1"/>
  <c r="AQ929" i="13"/>
  <c r="P929" i="13"/>
  <c r="X929" i="13" s="1"/>
  <c r="O929" i="13"/>
  <c r="W929" i="13" s="1"/>
  <c r="N929" i="13"/>
  <c r="V929" i="13" s="1"/>
  <c r="M929" i="13"/>
  <c r="U929" i="13" s="1"/>
  <c r="L929" i="13"/>
  <c r="T929" i="13" s="1"/>
  <c r="K929" i="13"/>
  <c r="S929" i="13" s="1"/>
  <c r="J929" i="13"/>
  <c r="R929" i="13" s="1"/>
  <c r="I929" i="13"/>
  <c r="Q929" i="13" s="1"/>
  <c r="H929" i="13"/>
  <c r="G929" i="13"/>
  <c r="F929" i="13"/>
  <c r="E929" i="13"/>
  <c r="C929" i="13"/>
  <c r="AG929" i="13" s="1"/>
  <c r="B929" i="13"/>
  <c r="Z929" i="13" s="1"/>
  <c r="A929" i="13"/>
  <c r="AQ928" i="13"/>
  <c r="P928" i="13"/>
  <c r="X928" i="13" s="1"/>
  <c r="O928" i="13"/>
  <c r="W928" i="13" s="1"/>
  <c r="N928" i="13"/>
  <c r="V928" i="13" s="1"/>
  <c r="M928" i="13"/>
  <c r="U928" i="13" s="1"/>
  <c r="L928" i="13"/>
  <c r="T928" i="13" s="1"/>
  <c r="K928" i="13"/>
  <c r="S928" i="13" s="1"/>
  <c r="J928" i="13"/>
  <c r="R928" i="13" s="1"/>
  <c r="I928" i="13"/>
  <c r="Q928" i="13" s="1"/>
  <c r="H928" i="13"/>
  <c r="G928" i="13"/>
  <c r="F928" i="13"/>
  <c r="E928" i="13"/>
  <c r="BB928" i="13" s="1"/>
  <c r="C928" i="13"/>
  <c r="AG928" i="13" s="1"/>
  <c r="B928" i="13"/>
  <c r="Z928" i="13" s="1"/>
  <c r="A928" i="13"/>
  <c r="AQ927" i="13"/>
  <c r="P927" i="13"/>
  <c r="X927" i="13" s="1"/>
  <c r="O927" i="13"/>
  <c r="W927" i="13" s="1"/>
  <c r="N927" i="13"/>
  <c r="V927" i="13" s="1"/>
  <c r="M927" i="13"/>
  <c r="U927" i="13" s="1"/>
  <c r="L927" i="13"/>
  <c r="T927" i="13" s="1"/>
  <c r="K927" i="13"/>
  <c r="S927" i="13" s="1"/>
  <c r="J927" i="13"/>
  <c r="R927" i="13" s="1"/>
  <c r="I927" i="13"/>
  <c r="Q927" i="13" s="1"/>
  <c r="H927" i="13"/>
  <c r="G927" i="13"/>
  <c r="F927" i="13"/>
  <c r="E927" i="13"/>
  <c r="BB927" i="13" s="1"/>
  <c r="C927" i="13"/>
  <c r="AG927" i="13" s="1"/>
  <c r="AJ927" i="13" s="1"/>
  <c r="B927" i="13"/>
  <c r="Z927" i="13" s="1"/>
  <c r="A927" i="13"/>
  <c r="AQ926" i="13"/>
  <c r="P926" i="13"/>
  <c r="X926" i="13" s="1"/>
  <c r="O926" i="13"/>
  <c r="W926" i="13" s="1"/>
  <c r="N926" i="13"/>
  <c r="V926" i="13" s="1"/>
  <c r="M926" i="13"/>
  <c r="U926" i="13" s="1"/>
  <c r="L926" i="13"/>
  <c r="T926" i="13" s="1"/>
  <c r="K926" i="13"/>
  <c r="S926" i="13" s="1"/>
  <c r="J926" i="13"/>
  <c r="R926" i="13" s="1"/>
  <c r="I926" i="13"/>
  <c r="Q926" i="13" s="1"/>
  <c r="H926" i="13"/>
  <c r="G926" i="13"/>
  <c r="F926" i="13"/>
  <c r="E926" i="13"/>
  <c r="X926" i="11" s="1"/>
  <c r="C926" i="13"/>
  <c r="AG926" i="13" s="1"/>
  <c r="B926" i="13"/>
  <c r="Z926" i="13" s="1"/>
  <c r="A926" i="13"/>
  <c r="AQ925" i="13"/>
  <c r="P925" i="13"/>
  <c r="X925" i="13" s="1"/>
  <c r="O925" i="13"/>
  <c r="W925" i="13" s="1"/>
  <c r="N925" i="13"/>
  <c r="V925" i="13" s="1"/>
  <c r="M925" i="13"/>
  <c r="U925" i="13" s="1"/>
  <c r="L925" i="13"/>
  <c r="T925" i="13" s="1"/>
  <c r="K925" i="13"/>
  <c r="S925" i="13" s="1"/>
  <c r="J925" i="13"/>
  <c r="R925" i="13" s="1"/>
  <c r="I925" i="13"/>
  <c r="Q925" i="13" s="1"/>
  <c r="H925" i="13"/>
  <c r="G925" i="13"/>
  <c r="F925" i="13"/>
  <c r="E925" i="13"/>
  <c r="Z925" i="11" s="1"/>
  <c r="C925" i="13"/>
  <c r="AG925" i="13" s="1"/>
  <c r="B925" i="13"/>
  <c r="Z925" i="13" s="1"/>
  <c r="A925" i="13"/>
  <c r="AQ924" i="13"/>
  <c r="P924" i="13"/>
  <c r="X924" i="13" s="1"/>
  <c r="O924" i="13"/>
  <c r="W924" i="13" s="1"/>
  <c r="N924" i="13"/>
  <c r="V924" i="13" s="1"/>
  <c r="M924" i="13"/>
  <c r="U924" i="13" s="1"/>
  <c r="L924" i="13"/>
  <c r="T924" i="13" s="1"/>
  <c r="K924" i="13"/>
  <c r="S924" i="13" s="1"/>
  <c r="J924" i="13"/>
  <c r="R924" i="13" s="1"/>
  <c r="I924" i="13"/>
  <c r="Q924" i="13" s="1"/>
  <c r="H924" i="13"/>
  <c r="G924" i="13"/>
  <c r="F924" i="13"/>
  <c r="E924" i="13"/>
  <c r="V924" i="11" s="1"/>
  <c r="C924" i="13"/>
  <c r="AG924" i="13" s="1"/>
  <c r="B924" i="13"/>
  <c r="A924" i="13"/>
  <c r="AU924" i="13" s="1"/>
  <c r="AQ923" i="13"/>
  <c r="Z923" i="13"/>
  <c r="P923" i="13"/>
  <c r="X923" i="13" s="1"/>
  <c r="O923" i="13"/>
  <c r="W923" i="13" s="1"/>
  <c r="N923" i="13"/>
  <c r="V923" i="13" s="1"/>
  <c r="M923" i="13"/>
  <c r="U923" i="13" s="1"/>
  <c r="L923" i="13"/>
  <c r="T923" i="13" s="1"/>
  <c r="K923" i="13"/>
  <c r="S923" i="13" s="1"/>
  <c r="J923" i="13"/>
  <c r="R923" i="13" s="1"/>
  <c r="I923" i="13"/>
  <c r="Q923" i="13" s="1"/>
  <c r="H923" i="13"/>
  <c r="G923" i="13"/>
  <c r="F923" i="13"/>
  <c r="E923" i="13"/>
  <c r="BB923" i="13" s="1"/>
  <c r="C923" i="13"/>
  <c r="AG923" i="13" s="1"/>
  <c r="B923" i="13"/>
  <c r="A923" i="13"/>
  <c r="AC923" i="13" s="1"/>
  <c r="AQ922" i="13"/>
  <c r="P922" i="13"/>
  <c r="X922" i="13" s="1"/>
  <c r="O922" i="13"/>
  <c r="W922" i="13" s="1"/>
  <c r="N922" i="13"/>
  <c r="V922" i="13" s="1"/>
  <c r="M922" i="13"/>
  <c r="U922" i="13" s="1"/>
  <c r="L922" i="13"/>
  <c r="T922" i="13" s="1"/>
  <c r="K922" i="13"/>
  <c r="S922" i="13" s="1"/>
  <c r="J922" i="13"/>
  <c r="R922" i="13" s="1"/>
  <c r="I922" i="13"/>
  <c r="Q922" i="13" s="1"/>
  <c r="H922" i="13"/>
  <c r="G922" i="13"/>
  <c r="F922" i="13"/>
  <c r="E922" i="13"/>
  <c r="C922" i="13"/>
  <c r="AG922" i="13" s="1"/>
  <c r="B922" i="13"/>
  <c r="Z922" i="13" s="1"/>
  <c r="A922" i="13"/>
  <c r="AQ921" i="13"/>
  <c r="P921" i="13"/>
  <c r="X921" i="13" s="1"/>
  <c r="O921" i="13"/>
  <c r="W921" i="13" s="1"/>
  <c r="N921" i="13"/>
  <c r="V921" i="13" s="1"/>
  <c r="M921" i="13"/>
  <c r="U921" i="13" s="1"/>
  <c r="L921" i="13"/>
  <c r="T921" i="13" s="1"/>
  <c r="K921" i="13"/>
  <c r="S921" i="13" s="1"/>
  <c r="J921" i="13"/>
  <c r="R921" i="13" s="1"/>
  <c r="I921" i="13"/>
  <c r="Q921" i="13" s="1"/>
  <c r="H921" i="13"/>
  <c r="G921" i="13"/>
  <c r="F921" i="13"/>
  <c r="E921" i="13"/>
  <c r="C921" i="13"/>
  <c r="AG921" i="13" s="1"/>
  <c r="B921" i="13"/>
  <c r="Z921" i="13" s="1"/>
  <c r="A921" i="13"/>
  <c r="AQ920" i="13"/>
  <c r="P920" i="13"/>
  <c r="X920" i="13" s="1"/>
  <c r="O920" i="13"/>
  <c r="W920" i="13" s="1"/>
  <c r="N920" i="13"/>
  <c r="V920" i="13" s="1"/>
  <c r="M920" i="13"/>
  <c r="U920" i="13" s="1"/>
  <c r="L920" i="13"/>
  <c r="T920" i="13" s="1"/>
  <c r="K920" i="13"/>
  <c r="S920" i="13" s="1"/>
  <c r="J920" i="13"/>
  <c r="R920" i="13" s="1"/>
  <c r="I920" i="13"/>
  <c r="Q920" i="13" s="1"/>
  <c r="H920" i="13"/>
  <c r="G920" i="13"/>
  <c r="F920" i="13"/>
  <c r="E920" i="13"/>
  <c r="BB920" i="13" s="1"/>
  <c r="C920" i="13"/>
  <c r="AG920" i="13" s="1"/>
  <c r="B920" i="13"/>
  <c r="A920" i="13"/>
  <c r="AC920" i="13" s="1"/>
  <c r="AQ919" i="13"/>
  <c r="Z919" i="13"/>
  <c r="P919" i="13"/>
  <c r="X919" i="13" s="1"/>
  <c r="O919" i="13"/>
  <c r="W919" i="13" s="1"/>
  <c r="N919" i="13"/>
  <c r="V919" i="13" s="1"/>
  <c r="M919" i="13"/>
  <c r="U919" i="13" s="1"/>
  <c r="L919" i="13"/>
  <c r="T919" i="13" s="1"/>
  <c r="K919" i="13"/>
  <c r="S919" i="13" s="1"/>
  <c r="J919" i="13"/>
  <c r="R919" i="13" s="1"/>
  <c r="I919" i="13"/>
  <c r="Q919" i="13" s="1"/>
  <c r="H919" i="13"/>
  <c r="G919" i="13"/>
  <c r="F919" i="13"/>
  <c r="E919" i="13"/>
  <c r="C919" i="13"/>
  <c r="AG919" i="13" s="1"/>
  <c r="B919" i="13"/>
  <c r="A919" i="13"/>
  <c r="AC919" i="13" s="1"/>
  <c r="AQ918" i="13"/>
  <c r="P918" i="13"/>
  <c r="X918" i="13" s="1"/>
  <c r="O918" i="13"/>
  <c r="W918" i="13" s="1"/>
  <c r="N918" i="13"/>
  <c r="V918" i="13" s="1"/>
  <c r="M918" i="13"/>
  <c r="U918" i="13" s="1"/>
  <c r="L918" i="13"/>
  <c r="T918" i="13" s="1"/>
  <c r="K918" i="13"/>
  <c r="S918" i="13" s="1"/>
  <c r="J918" i="13"/>
  <c r="R918" i="13" s="1"/>
  <c r="I918" i="13"/>
  <c r="Q918" i="13" s="1"/>
  <c r="H918" i="13"/>
  <c r="G918" i="13"/>
  <c r="F918" i="13"/>
  <c r="E918" i="13"/>
  <c r="BA918" i="13" s="1"/>
  <c r="C918" i="13"/>
  <c r="AG918" i="13" s="1"/>
  <c r="B918" i="13"/>
  <c r="Z918" i="13" s="1"/>
  <c r="A918" i="13"/>
  <c r="AC918" i="13" s="1"/>
  <c r="AQ917" i="13"/>
  <c r="P917" i="13"/>
  <c r="X917" i="13" s="1"/>
  <c r="O917" i="13"/>
  <c r="W917" i="13" s="1"/>
  <c r="N917" i="13"/>
  <c r="V917" i="13" s="1"/>
  <c r="M917" i="13"/>
  <c r="U917" i="13" s="1"/>
  <c r="L917" i="13"/>
  <c r="T917" i="13" s="1"/>
  <c r="K917" i="13"/>
  <c r="S917" i="13" s="1"/>
  <c r="J917" i="13"/>
  <c r="R917" i="13" s="1"/>
  <c r="I917" i="13"/>
  <c r="Q917" i="13" s="1"/>
  <c r="H917" i="13"/>
  <c r="G917" i="13"/>
  <c r="F917" i="13"/>
  <c r="E917" i="13"/>
  <c r="BB917" i="13" s="1"/>
  <c r="C917" i="13"/>
  <c r="AG917" i="13" s="1"/>
  <c r="AK917" i="13" s="1"/>
  <c r="B917" i="13"/>
  <c r="Z917" i="13" s="1"/>
  <c r="A917" i="13"/>
  <c r="AU917" i="13" s="1"/>
  <c r="AQ916" i="13"/>
  <c r="P916" i="13"/>
  <c r="X916" i="13" s="1"/>
  <c r="O916" i="13"/>
  <c r="W916" i="13" s="1"/>
  <c r="N916" i="13"/>
  <c r="V916" i="13" s="1"/>
  <c r="M916" i="13"/>
  <c r="U916" i="13" s="1"/>
  <c r="L916" i="13"/>
  <c r="T916" i="13" s="1"/>
  <c r="K916" i="13"/>
  <c r="S916" i="13" s="1"/>
  <c r="J916" i="13"/>
  <c r="R916" i="13" s="1"/>
  <c r="I916" i="13"/>
  <c r="Q916" i="13" s="1"/>
  <c r="H916" i="13"/>
  <c r="G916" i="13"/>
  <c r="F916" i="13"/>
  <c r="E916" i="13"/>
  <c r="C916" i="13"/>
  <c r="AG916" i="13" s="1"/>
  <c r="B916" i="13"/>
  <c r="Z916" i="13" s="1"/>
  <c r="A916" i="13"/>
  <c r="AU916" i="13" s="1"/>
  <c r="AQ915" i="13"/>
  <c r="P915" i="13"/>
  <c r="X915" i="13" s="1"/>
  <c r="O915" i="13"/>
  <c r="W915" i="13" s="1"/>
  <c r="N915" i="13"/>
  <c r="V915" i="13" s="1"/>
  <c r="M915" i="13"/>
  <c r="U915" i="13" s="1"/>
  <c r="L915" i="13"/>
  <c r="T915" i="13" s="1"/>
  <c r="K915" i="13"/>
  <c r="S915" i="13" s="1"/>
  <c r="J915" i="13"/>
  <c r="R915" i="13" s="1"/>
  <c r="I915" i="13"/>
  <c r="Q915" i="13" s="1"/>
  <c r="H915" i="13"/>
  <c r="G915" i="13"/>
  <c r="F915" i="13"/>
  <c r="E915" i="13"/>
  <c r="BB915" i="13" s="1"/>
  <c r="C915" i="13"/>
  <c r="AG915" i="13" s="1"/>
  <c r="AK915" i="13" s="1"/>
  <c r="B915" i="13"/>
  <c r="Z915" i="13" s="1"/>
  <c r="A915" i="13"/>
  <c r="AC915" i="13" s="1"/>
  <c r="AQ914" i="13"/>
  <c r="P914" i="13"/>
  <c r="X914" i="13" s="1"/>
  <c r="O914" i="13"/>
  <c r="W914" i="13" s="1"/>
  <c r="N914" i="13"/>
  <c r="V914" i="13" s="1"/>
  <c r="M914" i="13"/>
  <c r="U914" i="13" s="1"/>
  <c r="L914" i="13"/>
  <c r="T914" i="13" s="1"/>
  <c r="K914" i="13"/>
  <c r="S914" i="13" s="1"/>
  <c r="J914" i="13"/>
  <c r="R914" i="13" s="1"/>
  <c r="I914" i="13"/>
  <c r="Q914" i="13" s="1"/>
  <c r="H914" i="13"/>
  <c r="G914" i="13"/>
  <c r="F914" i="13"/>
  <c r="E914" i="13"/>
  <c r="BA914" i="13" s="1"/>
  <c r="C914" i="13"/>
  <c r="AG914" i="13" s="1"/>
  <c r="B914" i="13"/>
  <c r="Z914" i="13" s="1"/>
  <c r="A914" i="13"/>
  <c r="AC914" i="13" s="1"/>
  <c r="AQ913" i="13"/>
  <c r="P913" i="13"/>
  <c r="X913" i="13" s="1"/>
  <c r="O913" i="13"/>
  <c r="W913" i="13" s="1"/>
  <c r="N913" i="13"/>
  <c r="V913" i="13" s="1"/>
  <c r="M913" i="13"/>
  <c r="U913" i="13" s="1"/>
  <c r="L913" i="13"/>
  <c r="T913" i="13" s="1"/>
  <c r="K913" i="13"/>
  <c r="S913" i="13" s="1"/>
  <c r="J913" i="13"/>
  <c r="R913" i="13" s="1"/>
  <c r="I913" i="13"/>
  <c r="Q913" i="13" s="1"/>
  <c r="H913" i="13"/>
  <c r="G913" i="13"/>
  <c r="F913" i="13"/>
  <c r="E913" i="13"/>
  <c r="BB913" i="13" s="1"/>
  <c r="C913" i="13"/>
  <c r="AG913" i="13" s="1"/>
  <c r="B913" i="13"/>
  <c r="Z913" i="13" s="1"/>
  <c r="A913" i="13"/>
  <c r="AU913" i="13" s="1"/>
  <c r="AQ912" i="13"/>
  <c r="P912" i="13"/>
  <c r="X912" i="13" s="1"/>
  <c r="O912" i="13"/>
  <c r="W912" i="13" s="1"/>
  <c r="N912" i="13"/>
  <c r="V912" i="13" s="1"/>
  <c r="M912" i="13"/>
  <c r="U912" i="13" s="1"/>
  <c r="L912" i="13"/>
  <c r="T912" i="13" s="1"/>
  <c r="K912" i="13"/>
  <c r="S912" i="13" s="1"/>
  <c r="J912" i="13"/>
  <c r="R912" i="13" s="1"/>
  <c r="I912" i="13"/>
  <c r="Q912" i="13" s="1"/>
  <c r="H912" i="13"/>
  <c r="G912" i="13"/>
  <c r="F912" i="13"/>
  <c r="E912" i="13"/>
  <c r="C912" i="13"/>
  <c r="AG912" i="13" s="1"/>
  <c r="AN912" i="13" s="1"/>
  <c r="B912" i="13"/>
  <c r="Z912" i="13" s="1"/>
  <c r="A912" i="13"/>
  <c r="AC912" i="13" s="1"/>
  <c r="AQ911" i="13"/>
  <c r="P911" i="13"/>
  <c r="X911" i="13" s="1"/>
  <c r="O911" i="13"/>
  <c r="W911" i="13" s="1"/>
  <c r="N911" i="13"/>
  <c r="V911" i="13" s="1"/>
  <c r="M911" i="13"/>
  <c r="U911" i="13" s="1"/>
  <c r="L911" i="13"/>
  <c r="T911" i="13" s="1"/>
  <c r="K911" i="13"/>
  <c r="S911" i="13" s="1"/>
  <c r="J911" i="13"/>
  <c r="R911" i="13" s="1"/>
  <c r="I911" i="13"/>
  <c r="Q911" i="13" s="1"/>
  <c r="H911" i="13"/>
  <c r="G911" i="13"/>
  <c r="F911" i="13"/>
  <c r="E911" i="13"/>
  <c r="C911" i="13"/>
  <c r="AG911" i="13" s="1"/>
  <c r="AI911" i="13" s="1"/>
  <c r="B911" i="13"/>
  <c r="Z911" i="13" s="1"/>
  <c r="A911" i="13"/>
  <c r="AC911" i="13" s="1"/>
  <c r="AQ910" i="13"/>
  <c r="P910" i="13"/>
  <c r="X910" i="13" s="1"/>
  <c r="O910" i="13"/>
  <c r="W910" i="13" s="1"/>
  <c r="N910" i="13"/>
  <c r="V910" i="13" s="1"/>
  <c r="M910" i="13"/>
  <c r="U910" i="13" s="1"/>
  <c r="L910" i="13"/>
  <c r="T910" i="13" s="1"/>
  <c r="K910" i="13"/>
  <c r="S910" i="13" s="1"/>
  <c r="J910" i="13"/>
  <c r="R910" i="13" s="1"/>
  <c r="I910" i="13"/>
  <c r="Q910" i="13" s="1"/>
  <c r="H910" i="13"/>
  <c r="G910" i="13"/>
  <c r="F910" i="13"/>
  <c r="E910" i="13"/>
  <c r="C910" i="13"/>
  <c r="AG910" i="13" s="1"/>
  <c r="B910" i="13"/>
  <c r="Z910" i="13" s="1"/>
  <c r="A910" i="13"/>
  <c r="AQ909" i="13"/>
  <c r="P909" i="13"/>
  <c r="X909" i="13" s="1"/>
  <c r="O909" i="13"/>
  <c r="W909" i="13" s="1"/>
  <c r="N909" i="13"/>
  <c r="V909" i="13" s="1"/>
  <c r="M909" i="13"/>
  <c r="U909" i="13" s="1"/>
  <c r="L909" i="13"/>
  <c r="T909" i="13" s="1"/>
  <c r="K909" i="13"/>
  <c r="S909" i="13" s="1"/>
  <c r="J909" i="13"/>
  <c r="R909" i="13" s="1"/>
  <c r="I909" i="13"/>
  <c r="Q909" i="13" s="1"/>
  <c r="H909" i="13"/>
  <c r="G909" i="13"/>
  <c r="F909" i="13"/>
  <c r="E909" i="13"/>
  <c r="C909" i="13"/>
  <c r="AG909" i="13" s="1"/>
  <c r="B909" i="13"/>
  <c r="Z909" i="13" s="1"/>
  <c r="A909" i="13"/>
  <c r="AQ908" i="13"/>
  <c r="P908" i="13"/>
  <c r="X908" i="13" s="1"/>
  <c r="O908" i="13"/>
  <c r="W908" i="13" s="1"/>
  <c r="N908" i="13"/>
  <c r="V908" i="13" s="1"/>
  <c r="M908" i="13"/>
  <c r="U908" i="13" s="1"/>
  <c r="L908" i="13"/>
  <c r="T908" i="13" s="1"/>
  <c r="K908" i="13"/>
  <c r="S908" i="13" s="1"/>
  <c r="J908" i="13"/>
  <c r="R908" i="13" s="1"/>
  <c r="I908" i="13"/>
  <c r="Q908" i="13" s="1"/>
  <c r="H908" i="13"/>
  <c r="G908" i="13"/>
  <c r="F908" i="13"/>
  <c r="E908" i="13"/>
  <c r="BB908" i="13" s="1"/>
  <c r="C908" i="13"/>
  <c r="B908" i="13"/>
  <c r="Z908" i="13" s="1"/>
  <c r="A908" i="13"/>
  <c r="AU908" i="13" s="1"/>
  <c r="AQ907" i="13"/>
  <c r="P907" i="13"/>
  <c r="X907" i="13" s="1"/>
  <c r="O907" i="13"/>
  <c r="W907" i="13" s="1"/>
  <c r="N907" i="13"/>
  <c r="V907" i="13" s="1"/>
  <c r="M907" i="13"/>
  <c r="U907" i="13" s="1"/>
  <c r="L907" i="13"/>
  <c r="T907" i="13" s="1"/>
  <c r="K907" i="13"/>
  <c r="S907" i="13" s="1"/>
  <c r="J907" i="13"/>
  <c r="R907" i="13" s="1"/>
  <c r="I907" i="13"/>
  <c r="Q907" i="13" s="1"/>
  <c r="H907" i="13"/>
  <c r="G907" i="13"/>
  <c r="F907" i="13"/>
  <c r="E907" i="13"/>
  <c r="BA907" i="13" s="1"/>
  <c r="C907" i="13"/>
  <c r="AG907" i="13" s="1"/>
  <c r="AH907" i="13" s="1"/>
  <c r="B907" i="13"/>
  <c r="Z907" i="13" s="1"/>
  <c r="A907" i="13"/>
  <c r="AC907" i="13" s="1"/>
  <c r="AQ906" i="13"/>
  <c r="T906" i="13"/>
  <c r="P906" i="13"/>
  <c r="X906" i="13" s="1"/>
  <c r="O906" i="13"/>
  <c r="W906" i="13" s="1"/>
  <c r="N906" i="13"/>
  <c r="V906" i="13" s="1"/>
  <c r="M906" i="13"/>
  <c r="U906" i="13" s="1"/>
  <c r="L906" i="13"/>
  <c r="K906" i="13"/>
  <c r="S906" i="13" s="1"/>
  <c r="J906" i="13"/>
  <c r="R906" i="13" s="1"/>
  <c r="I906" i="13"/>
  <c r="Q906" i="13" s="1"/>
  <c r="H906" i="13"/>
  <c r="G906" i="13"/>
  <c r="F906" i="13"/>
  <c r="E906" i="13"/>
  <c r="C906" i="13"/>
  <c r="AG906" i="13" s="1"/>
  <c r="B906" i="13"/>
  <c r="Z906" i="13" s="1"/>
  <c r="A906" i="13"/>
  <c r="AC906" i="13" s="1"/>
  <c r="AQ905" i="13"/>
  <c r="AG905" i="13"/>
  <c r="U905" i="13"/>
  <c r="P905" i="13"/>
  <c r="X905" i="13" s="1"/>
  <c r="O905" i="13"/>
  <c r="W905" i="13" s="1"/>
  <c r="N905" i="13"/>
  <c r="V905" i="13" s="1"/>
  <c r="M905" i="13"/>
  <c r="L905" i="13"/>
  <c r="T905" i="13" s="1"/>
  <c r="K905" i="13"/>
  <c r="S905" i="13" s="1"/>
  <c r="J905" i="13"/>
  <c r="R905" i="13" s="1"/>
  <c r="I905" i="13"/>
  <c r="Q905" i="13" s="1"/>
  <c r="H905" i="13"/>
  <c r="G905" i="13"/>
  <c r="F905" i="13"/>
  <c r="E905" i="13"/>
  <c r="BA905" i="13" s="1"/>
  <c r="C905" i="13"/>
  <c r="B905" i="13"/>
  <c r="Z905" i="13" s="1"/>
  <c r="A905" i="13"/>
  <c r="AC905" i="13" s="1"/>
  <c r="BA904" i="13"/>
  <c r="AQ904" i="13"/>
  <c r="P904" i="13"/>
  <c r="X904" i="13" s="1"/>
  <c r="O904" i="13"/>
  <c r="W904" i="13" s="1"/>
  <c r="N904" i="13"/>
  <c r="V904" i="13" s="1"/>
  <c r="M904" i="13"/>
  <c r="U904" i="13" s="1"/>
  <c r="L904" i="13"/>
  <c r="T904" i="13" s="1"/>
  <c r="K904" i="13"/>
  <c r="S904" i="13" s="1"/>
  <c r="J904" i="13"/>
  <c r="R904" i="13" s="1"/>
  <c r="I904" i="13"/>
  <c r="Q904" i="13" s="1"/>
  <c r="H904" i="13"/>
  <c r="G904" i="13"/>
  <c r="F904" i="13"/>
  <c r="E904" i="13"/>
  <c r="BB904" i="13" s="1"/>
  <c r="C904" i="13"/>
  <c r="AG904" i="13" s="1"/>
  <c r="B904" i="13"/>
  <c r="Z904" i="13" s="1"/>
  <c r="A904" i="13"/>
  <c r="AU904" i="13" s="1"/>
  <c r="AQ903" i="13"/>
  <c r="AG903" i="13"/>
  <c r="P903" i="13"/>
  <c r="X903" i="13" s="1"/>
  <c r="O903" i="13"/>
  <c r="W903" i="13" s="1"/>
  <c r="N903" i="13"/>
  <c r="V903" i="13" s="1"/>
  <c r="M903" i="13"/>
  <c r="U903" i="13" s="1"/>
  <c r="L903" i="13"/>
  <c r="T903" i="13" s="1"/>
  <c r="K903" i="13"/>
  <c r="S903" i="13" s="1"/>
  <c r="J903" i="13"/>
  <c r="R903" i="13" s="1"/>
  <c r="I903" i="13"/>
  <c r="Q903" i="13" s="1"/>
  <c r="H903" i="13"/>
  <c r="G903" i="13"/>
  <c r="F903" i="13"/>
  <c r="E903" i="13"/>
  <c r="BA903" i="13" s="1"/>
  <c r="C903" i="13"/>
  <c r="B903" i="13"/>
  <c r="Z903" i="13" s="1"/>
  <c r="A903" i="13"/>
  <c r="AC903" i="13" s="1"/>
  <c r="AQ902" i="13"/>
  <c r="P902" i="13"/>
  <c r="X902" i="13" s="1"/>
  <c r="O902" i="13"/>
  <c r="W902" i="13" s="1"/>
  <c r="N902" i="13"/>
  <c r="V902" i="13" s="1"/>
  <c r="M902" i="13"/>
  <c r="U902" i="13" s="1"/>
  <c r="L902" i="13"/>
  <c r="T902" i="13" s="1"/>
  <c r="K902" i="13"/>
  <c r="S902" i="13" s="1"/>
  <c r="J902" i="13"/>
  <c r="R902" i="13" s="1"/>
  <c r="I902" i="13"/>
  <c r="Q902" i="13" s="1"/>
  <c r="H902" i="13"/>
  <c r="G902" i="13"/>
  <c r="F902" i="13"/>
  <c r="E902" i="13"/>
  <c r="BA902" i="13" s="1"/>
  <c r="C902" i="13"/>
  <c r="AG902" i="13" s="1"/>
  <c r="B902" i="13"/>
  <c r="A902" i="13"/>
  <c r="AC902" i="13" s="1"/>
  <c r="AQ901" i="13"/>
  <c r="U901" i="13"/>
  <c r="P901" i="13"/>
  <c r="X901" i="13" s="1"/>
  <c r="O901" i="13"/>
  <c r="W901" i="13" s="1"/>
  <c r="N901" i="13"/>
  <c r="V901" i="13" s="1"/>
  <c r="M901" i="13"/>
  <c r="L901" i="13"/>
  <c r="T901" i="13" s="1"/>
  <c r="K901" i="13"/>
  <c r="S901" i="13" s="1"/>
  <c r="J901" i="13"/>
  <c r="R901" i="13" s="1"/>
  <c r="I901" i="13"/>
  <c r="Q901" i="13" s="1"/>
  <c r="H901" i="13"/>
  <c r="G901" i="13"/>
  <c r="F901" i="13"/>
  <c r="E901" i="13"/>
  <c r="BB901" i="13" s="1"/>
  <c r="C901" i="13"/>
  <c r="AG901" i="13" s="1"/>
  <c r="B901" i="13"/>
  <c r="Z901" i="13" s="1"/>
  <c r="A901" i="13"/>
  <c r="AC901" i="13" s="1"/>
  <c r="AQ900" i="13"/>
  <c r="P900" i="13"/>
  <c r="X900" i="13" s="1"/>
  <c r="O900" i="13"/>
  <c r="W900" i="13" s="1"/>
  <c r="N900" i="13"/>
  <c r="V900" i="13" s="1"/>
  <c r="M900" i="13"/>
  <c r="U900" i="13" s="1"/>
  <c r="L900" i="13"/>
  <c r="T900" i="13" s="1"/>
  <c r="K900" i="13"/>
  <c r="S900" i="13" s="1"/>
  <c r="J900" i="13"/>
  <c r="R900" i="13" s="1"/>
  <c r="I900" i="13"/>
  <c r="Q900" i="13" s="1"/>
  <c r="H900" i="13"/>
  <c r="G900" i="13"/>
  <c r="F900" i="13"/>
  <c r="E900" i="13"/>
  <c r="BB900" i="13" s="1"/>
  <c r="C900" i="13"/>
  <c r="AG900" i="13" s="1"/>
  <c r="B900" i="13"/>
  <c r="Z900" i="13" s="1"/>
  <c r="A900" i="13"/>
  <c r="AQ899" i="13"/>
  <c r="P899" i="13"/>
  <c r="X899" i="13" s="1"/>
  <c r="O899" i="13"/>
  <c r="W899" i="13" s="1"/>
  <c r="N899" i="13"/>
  <c r="V899" i="13" s="1"/>
  <c r="M899" i="13"/>
  <c r="U899" i="13" s="1"/>
  <c r="L899" i="13"/>
  <c r="T899" i="13" s="1"/>
  <c r="K899" i="13"/>
  <c r="S899" i="13" s="1"/>
  <c r="J899" i="13"/>
  <c r="R899" i="13" s="1"/>
  <c r="I899" i="13"/>
  <c r="Q899" i="13" s="1"/>
  <c r="H899" i="13"/>
  <c r="G899" i="13"/>
  <c r="F899" i="13"/>
  <c r="E899" i="13"/>
  <c r="C899" i="13"/>
  <c r="AG899" i="13" s="1"/>
  <c r="B899" i="13"/>
  <c r="Z899" i="13" s="1"/>
  <c r="A899" i="13"/>
  <c r="AC899" i="13" s="1"/>
  <c r="AQ898" i="13"/>
  <c r="P898" i="13"/>
  <c r="X898" i="13" s="1"/>
  <c r="O898" i="13"/>
  <c r="W898" i="13" s="1"/>
  <c r="N898" i="13"/>
  <c r="V898" i="13" s="1"/>
  <c r="M898" i="13"/>
  <c r="U898" i="13" s="1"/>
  <c r="L898" i="13"/>
  <c r="T898" i="13" s="1"/>
  <c r="K898" i="13"/>
  <c r="S898" i="13" s="1"/>
  <c r="J898" i="13"/>
  <c r="R898" i="13" s="1"/>
  <c r="I898" i="13"/>
  <c r="Q898" i="13" s="1"/>
  <c r="H898" i="13"/>
  <c r="G898" i="13"/>
  <c r="F898" i="13"/>
  <c r="E898" i="13"/>
  <c r="BA898" i="13" s="1"/>
  <c r="C898" i="13"/>
  <c r="AG898" i="13" s="1"/>
  <c r="B898" i="13"/>
  <c r="Z898" i="13" s="1"/>
  <c r="A898" i="13"/>
  <c r="AC898" i="13" s="1"/>
  <c r="AQ897" i="13"/>
  <c r="P897" i="13"/>
  <c r="X897" i="13" s="1"/>
  <c r="O897" i="13"/>
  <c r="W897" i="13" s="1"/>
  <c r="N897" i="13"/>
  <c r="V897" i="13" s="1"/>
  <c r="M897" i="13"/>
  <c r="U897" i="13" s="1"/>
  <c r="L897" i="13"/>
  <c r="T897" i="13" s="1"/>
  <c r="K897" i="13"/>
  <c r="S897" i="13" s="1"/>
  <c r="J897" i="13"/>
  <c r="R897" i="13" s="1"/>
  <c r="I897" i="13"/>
  <c r="Q897" i="13" s="1"/>
  <c r="H897" i="13"/>
  <c r="G897" i="13"/>
  <c r="F897" i="13"/>
  <c r="E897" i="13"/>
  <c r="BB897" i="13" s="1"/>
  <c r="C897" i="13"/>
  <c r="AG897" i="13" s="1"/>
  <c r="B897" i="13"/>
  <c r="Z897" i="13" s="1"/>
  <c r="A897" i="13"/>
  <c r="AR897" i="13" s="1"/>
  <c r="AQ896" i="13"/>
  <c r="P896" i="13"/>
  <c r="X896" i="13" s="1"/>
  <c r="O896" i="13"/>
  <c r="W896" i="13" s="1"/>
  <c r="N896" i="13"/>
  <c r="V896" i="13" s="1"/>
  <c r="M896" i="13"/>
  <c r="U896" i="13" s="1"/>
  <c r="L896" i="13"/>
  <c r="T896" i="13" s="1"/>
  <c r="K896" i="13"/>
  <c r="S896" i="13" s="1"/>
  <c r="J896" i="13"/>
  <c r="R896" i="13" s="1"/>
  <c r="I896" i="13"/>
  <c r="Q896" i="13" s="1"/>
  <c r="H896" i="13"/>
  <c r="G896" i="13"/>
  <c r="F896" i="13"/>
  <c r="E896" i="13"/>
  <c r="C896" i="13"/>
  <c r="AG896" i="13" s="1"/>
  <c r="B896" i="13"/>
  <c r="Z896" i="13" s="1"/>
  <c r="A896" i="13"/>
  <c r="BB895" i="13"/>
  <c r="AQ895" i="13"/>
  <c r="P895" i="13"/>
  <c r="X895" i="13" s="1"/>
  <c r="O895" i="13"/>
  <c r="W895" i="13" s="1"/>
  <c r="N895" i="13"/>
  <c r="V895" i="13" s="1"/>
  <c r="M895" i="13"/>
  <c r="U895" i="13" s="1"/>
  <c r="L895" i="13"/>
  <c r="T895" i="13" s="1"/>
  <c r="K895" i="13"/>
  <c r="S895" i="13" s="1"/>
  <c r="J895" i="13"/>
  <c r="R895" i="13" s="1"/>
  <c r="I895" i="13"/>
  <c r="Q895" i="13" s="1"/>
  <c r="H895" i="13"/>
  <c r="G895" i="13"/>
  <c r="F895" i="13"/>
  <c r="E895" i="13"/>
  <c r="BA895" i="13" s="1"/>
  <c r="C895" i="13"/>
  <c r="AG895" i="13" s="1"/>
  <c r="B895" i="13"/>
  <c r="Z895" i="13" s="1"/>
  <c r="A895" i="13"/>
  <c r="AU895" i="13" s="1"/>
  <c r="AQ894" i="13"/>
  <c r="P894" i="13"/>
  <c r="X894" i="13" s="1"/>
  <c r="O894" i="13"/>
  <c r="W894" i="13" s="1"/>
  <c r="N894" i="13"/>
  <c r="V894" i="13" s="1"/>
  <c r="M894" i="13"/>
  <c r="U894" i="13" s="1"/>
  <c r="L894" i="13"/>
  <c r="T894" i="13" s="1"/>
  <c r="K894" i="13"/>
  <c r="S894" i="13" s="1"/>
  <c r="J894" i="13"/>
  <c r="R894" i="13" s="1"/>
  <c r="I894" i="13"/>
  <c r="Q894" i="13" s="1"/>
  <c r="H894" i="13"/>
  <c r="G894" i="13"/>
  <c r="F894" i="13"/>
  <c r="E894" i="13"/>
  <c r="BB894" i="13" s="1"/>
  <c r="C894" i="13"/>
  <c r="AG894" i="13" s="1"/>
  <c r="B894" i="13"/>
  <c r="Z894" i="13" s="1"/>
  <c r="A894" i="13"/>
  <c r="AU894" i="13" s="1"/>
  <c r="AQ893" i="13"/>
  <c r="AC893" i="13"/>
  <c r="P893" i="13"/>
  <c r="X893" i="13" s="1"/>
  <c r="O893" i="13"/>
  <c r="W893" i="13" s="1"/>
  <c r="N893" i="13"/>
  <c r="V893" i="13" s="1"/>
  <c r="M893" i="13"/>
  <c r="U893" i="13" s="1"/>
  <c r="L893" i="13"/>
  <c r="T893" i="13" s="1"/>
  <c r="K893" i="13"/>
  <c r="S893" i="13" s="1"/>
  <c r="J893" i="13"/>
  <c r="R893" i="13" s="1"/>
  <c r="I893" i="13"/>
  <c r="Q893" i="13" s="1"/>
  <c r="H893" i="13"/>
  <c r="G893" i="13"/>
  <c r="F893" i="13"/>
  <c r="E893" i="13"/>
  <c r="C893" i="13"/>
  <c r="B893" i="13"/>
  <c r="Z893" i="13" s="1"/>
  <c r="A893" i="13"/>
  <c r="AU893" i="13" s="1"/>
  <c r="AQ892" i="13"/>
  <c r="P892" i="13"/>
  <c r="X892" i="13" s="1"/>
  <c r="O892" i="13"/>
  <c r="W892" i="13" s="1"/>
  <c r="N892" i="13"/>
  <c r="V892" i="13" s="1"/>
  <c r="M892" i="13"/>
  <c r="U892" i="13" s="1"/>
  <c r="L892" i="13"/>
  <c r="T892" i="13" s="1"/>
  <c r="K892" i="13"/>
  <c r="S892" i="13" s="1"/>
  <c r="J892" i="13"/>
  <c r="R892" i="13" s="1"/>
  <c r="I892" i="13"/>
  <c r="Q892" i="13" s="1"/>
  <c r="H892" i="13"/>
  <c r="G892" i="13"/>
  <c r="F892" i="13"/>
  <c r="E892" i="13"/>
  <c r="BA892" i="13" s="1"/>
  <c r="C892" i="13"/>
  <c r="AG892" i="13" s="1"/>
  <c r="B892" i="13"/>
  <c r="Z892" i="13" s="1"/>
  <c r="A892" i="13"/>
  <c r="AU892" i="13" s="1"/>
  <c r="AQ891" i="13"/>
  <c r="P891" i="13"/>
  <c r="X891" i="13" s="1"/>
  <c r="O891" i="13"/>
  <c r="W891" i="13" s="1"/>
  <c r="N891" i="13"/>
  <c r="V891" i="13" s="1"/>
  <c r="M891" i="13"/>
  <c r="U891" i="13" s="1"/>
  <c r="L891" i="13"/>
  <c r="T891" i="13" s="1"/>
  <c r="K891" i="13"/>
  <c r="S891" i="13" s="1"/>
  <c r="J891" i="13"/>
  <c r="R891" i="13" s="1"/>
  <c r="I891" i="13"/>
  <c r="Q891" i="13" s="1"/>
  <c r="H891" i="13"/>
  <c r="G891" i="13"/>
  <c r="F891" i="13"/>
  <c r="E891" i="13"/>
  <c r="BA891" i="13" s="1"/>
  <c r="C891" i="13"/>
  <c r="AG891" i="13" s="1"/>
  <c r="B891" i="13"/>
  <c r="Z891" i="13" s="1"/>
  <c r="A891" i="13"/>
  <c r="AQ890" i="13"/>
  <c r="P890" i="13"/>
  <c r="X890" i="13" s="1"/>
  <c r="O890" i="13"/>
  <c r="W890" i="13" s="1"/>
  <c r="N890" i="13"/>
  <c r="V890" i="13" s="1"/>
  <c r="M890" i="13"/>
  <c r="U890" i="13" s="1"/>
  <c r="L890" i="13"/>
  <c r="T890" i="13" s="1"/>
  <c r="K890" i="13"/>
  <c r="S890" i="13" s="1"/>
  <c r="J890" i="13"/>
  <c r="R890" i="13" s="1"/>
  <c r="I890" i="13"/>
  <c r="Q890" i="13" s="1"/>
  <c r="H890" i="13"/>
  <c r="G890" i="13"/>
  <c r="F890" i="13"/>
  <c r="E890" i="13"/>
  <c r="BB890" i="13" s="1"/>
  <c r="C890" i="13"/>
  <c r="AG890" i="13" s="1"/>
  <c r="B890" i="13"/>
  <c r="Z890" i="13" s="1"/>
  <c r="A890" i="13"/>
  <c r="AU890" i="13" s="1"/>
  <c r="AQ889" i="13"/>
  <c r="P889" i="13"/>
  <c r="X889" i="13" s="1"/>
  <c r="O889" i="13"/>
  <c r="W889" i="13" s="1"/>
  <c r="N889" i="13"/>
  <c r="V889" i="13" s="1"/>
  <c r="M889" i="13"/>
  <c r="U889" i="13" s="1"/>
  <c r="L889" i="13"/>
  <c r="T889" i="13" s="1"/>
  <c r="K889" i="13"/>
  <c r="S889" i="13" s="1"/>
  <c r="J889" i="13"/>
  <c r="R889" i="13" s="1"/>
  <c r="I889" i="13"/>
  <c r="Q889" i="13" s="1"/>
  <c r="H889" i="13"/>
  <c r="G889" i="13"/>
  <c r="F889" i="13"/>
  <c r="E889" i="13"/>
  <c r="C889" i="13"/>
  <c r="B889" i="13"/>
  <c r="Z889" i="13" s="1"/>
  <c r="A889" i="13"/>
  <c r="AQ888" i="13"/>
  <c r="P888" i="13"/>
  <c r="X888" i="13" s="1"/>
  <c r="O888" i="13"/>
  <c r="W888" i="13" s="1"/>
  <c r="N888" i="13"/>
  <c r="V888" i="13" s="1"/>
  <c r="M888" i="13"/>
  <c r="U888" i="13" s="1"/>
  <c r="L888" i="13"/>
  <c r="T888" i="13" s="1"/>
  <c r="K888" i="13"/>
  <c r="S888" i="13" s="1"/>
  <c r="J888" i="13"/>
  <c r="R888" i="13" s="1"/>
  <c r="I888" i="13"/>
  <c r="Q888" i="13" s="1"/>
  <c r="H888" i="13"/>
  <c r="G888" i="13"/>
  <c r="F888" i="13"/>
  <c r="E888" i="13"/>
  <c r="BA888" i="13" s="1"/>
  <c r="C888" i="13"/>
  <c r="AG888" i="13" s="1"/>
  <c r="B888" i="13"/>
  <c r="Z888" i="13" s="1"/>
  <c r="A888" i="13"/>
  <c r="AU888" i="13" s="1"/>
  <c r="BB887" i="13"/>
  <c r="AQ887" i="13"/>
  <c r="P887" i="13"/>
  <c r="X887" i="13" s="1"/>
  <c r="O887" i="13"/>
  <c r="W887" i="13" s="1"/>
  <c r="N887" i="13"/>
  <c r="V887" i="13" s="1"/>
  <c r="M887" i="13"/>
  <c r="U887" i="13" s="1"/>
  <c r="L887" i="13"/>
  <c r="T887" i="13" s="1"/>
  <c r="K887" i="13"/>
  <c r="S887" i="13" s="1"/>
  <c r="J887" i="13"/>
  <c r="R887" i="13" s="1"/>
  <c r="I887" i="13"/>
  <c r="Q887" i="13" s="1"/>
  <c r="H887" i="13"/>
  <c r="G887" i="13"/>
  <c r="F887" i="13"/>
  <c r="E887" i="13"/>
  <c r="BA887" i="13" s="1"/>
  <c r="C887" i="13"/>
  <c r="AG887" i="13" s="1"/>
  <c r="B887" i="13"/>
  <c r="Z887" i="13" s="1"/>
  <c r="A887" i="13"/>
  <c r="AC887" i="13" s="1"/>
  <c r="AQ886" i="13"/>
  <c r="AG886" i="13"/>
  <c r="P886" i="13"/>
  <c r="X886" i="13" s="1"/>
  <c r="O886" i="13"/>
  <c r="W886" i="13" s="1"/>
  <c r="N886" i="13"/>
  <c r="V886" i="13" s="1"/>
  <c r="M886" i="13"/>
  <c r="U886" i="13" s="1"/>
  <c r="L886" i="13"/>
  <c r="T886" i="13" s="1"/>
  <c r="K886" i="13"/>
  <c r="S886" i="13" s="1"/>
  <c r="J886" i="13"/>
  <c r="R886" i="13" s="1"/>
  <c r="I886" i="13"/>
  <c r="Q886" i="13" s="1"/>
  <c r="H886" i="13"/>
  <c r="G886" i="13"/>
  <c r="F886" i="13"/>
  <c r="E886" i="13"/>
  <c r="BB886" i="13" s="1"/>
  <c r="C886" i="13"/>
  <c r="B886" i="13"/>
  <c r="Z886" i="13" s="1"/>
  <c r="A886" i="13"/>
  <c r="AU886" i="13" s="1"/>
  <c r="AQ885" i="13"/>
  <c r="P885" i="13"/>
  <c r="X885" i="13" s="1"/>
  <c r="O885" i="13"/>
  <c r="W885" i="13" s="1"/>
  <c r="N885" i="13"/>
  <c r="V885" i="13" s="1"/>
  <c r="M885" i="13"/>
  <c r="U885" i="13" s="1"/>
  <c r="L885" i="13"/>
  <c r="T885" i="13" s="1"/>
  <c r="K885" i="13"/>
  <c r="S885" i="13" s="1"/>
  <c r="J885" i="13"/>
  <c r="R885" i="13" s="1"/>
  <c r="I885" i="13"/>
  <c r="Q885" i="13" s="1"/>
  <c r="H885" i="13"/>
  <c r="G885" i="13"/>
  <c r="F885" i="13"/>
  <c r="E885" i="13"/>
  <c r="C885" i="13"/>
  <c r="AR885" i="13" s="1"/>
  <c r="B885" i="13"/>
  <c r="Z885" i="13" s="1"/>
  <c r="A885" i="13"/>
  <c r="AC885" i="13" s="1"/>
  <c r="BB884" i="13"/>
  <c r="AQ884" i="13"/>
  <c r="P884" i="13"/>
  <c r="X884" i="13" s="1"/>
  <c r="O884" i="13"/>
  <c r="W884" i="13" s="1"/>
  <c r="N884" i="13"/>
  <c r="V884" i="13" s="1"/>
  <c r="M884" i="13"/>
  <c r="U884" i="13" s="1"/>
  <c r="L884" i="13"/>
  <c r="T884" i="13" s="1"/>
  <c r="K884" i="13"/>
  <c r="S884" i="13" s="1"/>
  <c r="J884" i="13"/>
  <c r="R884" i="13" s="1"/>
  <c r="I884" i="13"/>
  <c r="Q884" i="13" s="1"/>
  <c r="H884" i="13"/>
  <c r="G884" i="13"/>
  <c r="F884" i="13"/>
  <c r="E884" i="13"/>
  <c r="BA884" i="13" s="1"/>
  <c r="C884" i="13"/>
  <c r="AG884" i="13" s="1"/>
  <c r="B884" i="13"/>
  <c r="Z884" i="13" s="1"/>
  <c r="A884" i="13"/>
  <c r="AQ883" i="13"/>
  <c r="P883" i="13"/>
  <c r="X883" i="13" s="1"/>
  <c r="O883" i="13"/>
  <c r="W883" i="13" s="1"/>
  <c r="N883" i="13"/>
  <c r="V883" i="13" s="1"/>
  <c r="M883" i="13"/>
  <c r="U883" i="13" s="1"/>
  <c r="L883" i="13"/>
  <c r="T883" i="13" s="1"/>
  <c r="K883" i="13"/>
  <c r="S883" i="13" s="1"/>
  <c r="J883" i="13"/>
  <c r="R883" i="13" s="1"/>
  <c r="I883" i="13"/>
  <c r="Q883" i="13" s="1"/>
  <c r="H883" i="13"/>
  <c r="G883" i="13"/>
  <c r="F883" i="13"/>
  <c r="E883" i="13"/>
  <c r="BA883" i="13" s="1"/>
  <c r="C883" i="13"/>
  <c r="AG883" i="13" s="1"/>
  <c r="B883" i="13"/>
  <c r="Z883" i="13" s="1"/>
  <c r="A883" i="13"/>
  <c r="AC883" i="13" s="1"/>
  <c r="AQ882" i="13"/>
  <c r="Z882" i="13"/>
  <c r="P882" i="13"/>
  <c r="X882" i="13" s="1"/>
  <c r="O882" i="13"/>
  <c r="W882" i="13" s="1"/>
  <c r="N882" i="13"/>
  <c r="V882" i="13" s="1"/>
  <c r="M882" i="13"/>
  <c r="U882" i="13" s="1"/>
  <c r="L882" i="13"/>
  <c r="T882" i="13" s="1"/>
  <c r="K882" i="13"/>
  <c r="S882" i="13" s="1"/>
  <c r="J882" i="13"/>
  <c r="R882" i="13" s="1"/>
  <c r="I882" i="13"/>
  <c r="Q882" i="13" s="1"/>
  <c r="H882" i="13"/>
  <c r="G882" i="13"/>
  <c r="F882" i="13"/>
  <c r="E882" i="13"/>
  <c r="BB882" i="13" s="1"/>
  <c r="C882" i="13"/>
  <c r="AG882" i="13" s="1"/>
  <c r="B882" i="13"/>
  <c r="A882" i="13"/>
  <c r="AU882" i="13" s="1"/>
  <c r="AQ881" i="13"/>
  <c r="X881" i="13"/>
  <c r="P881" i="13"/>
  <c r="O881" i="13"/>
  <c r="W881" i="13" s="1"/>
  <c r="N881" i="13"/>
  <c r="V881" i="13" s="1"/>
  <c r="M881" i="13"/>
  <c r="U881" i="13" s="1"/>
  <c r="L881" i="13"/>
  <c r="T881" i="13" s="1"/>
  <c r="K881" i="13"/>
  <c r="S881" i="13" s="1"/>
  <c r="J881" i="13"/>
  <c r="R881" i="13" s="1"/>
  <c r="I881" i="13"/>
  <c r="Q881" i="13" s="1"/>
  <c r="H881" i="13"/>
  <c r="G881" i="13"/>
  <c r="F881" i="13"/>
  <c r="E881" i="13"/>
  <c r="BA881" i="13" s="1"/>
  <c r="C881" i="13"/>
  <c r="AG881" i="13" s="1"/>
  <c r="B881" i="13"/>
  <c r="AR881" i="13" s="1"/>
  <c r="A881" i="13"/>
  <c r="AU881" i="13" s="1"/>
  <c r="AQ880" i="13"/>
  <c r="P880" i="13"/>
  <c r="X880" i="13" s="1"/>
  <c r="O880" i="13"/>
  <c r="W880" i="13" s="1"/>
  <c r="N880" i="13"/>
  <c r="V880" i="13" s="1"/>
  <c r="M880" i="13"/>
  <c r="U880" i="13" s="1"/>
  <c r="L880" i="13"/>
  <c r="T880" i="13" s="1"/>
  <c r="K880" i="13"/>
  <c r="S880" i="13" s="1"/>
  <c r="J880" i="13"/>
  <c r="R880" i="13" s="1"/>
  <c r="I880" i="13"/>
  <c r="Q880" i="13" s="1"/>
  <c r="H880" i="13"/>
  <c r="G880" i="13"/>
  <c r="F880" i="13"/>
  <c r="E880" i="13"/>
  <c r="C880" i="13"/>
  <c r="AG880" i="13" s="1"/>
  <c r="AI880" i="13" s="1"/>
  <c r="B880" i="13"/>
  <c r="Z880" i="13" s="1"/>
  <c r="A880" i="13"/>
  <c r="AQ879" i="13"/>
  <c r="P879" i="13"/>
  <c r="X879" i="13" s="1"/>
  <c r="O879" i="13"/>
  <c r="W879" i="13" s="1"/>
  <c r="N879" i="13"/>
  <c r="V879" i="13" s="1"/>
  <c r="M879" i="13"/>
  <c r="U879" i="13" s="1"/>
  <c r="L879" i="13"/>
  <c r="T879" i="13" s="1"/>
  <c r="K879" i="13"/>
  <c r="S879" i="13" s="1"/>
  <c r="J879" i="13"/>
  <c r="R879" i="13" s="1"/>
  <c r="I879" i="13"/>
  <c r="Q879" i="13" s="1"/>
  <c r="H879" i="13"/>
  <c r="G879" i="13"/>
  <c r="F879" i="13"/>
  <c r="E879" i="13"/>
  <c r="BA879" i="13" s="1"/>
  <c r="C879" i="13"/>
  <c r="AG879" i="13" s="1"/>
  <c r="B879" i="13"/>
  <c r="Z879" i="13" s="1"/>
  <c r="A879" i="13"/>
  <c r="AC879" i="13" s="1"/>
  <c r="AQ878" i="13"/>
  <c r="R878" i="13"/>
  <c r="P878" i="13"/>
  <c r="X878" i="13" s="1"/>
  <c r="O878" i="13"/>
  <c r="W878" i="13" s="1"/>
  <c r="N878" i="13"/>
  <c r="V878" i="13" s="1"/>
  <c r="M878" i="13"/>
  <c r="U878" i="13" s="1"/>
  <c r="L878" i="13"/>
  <c r="T878" i="13" s="1"/>
  <c r="K878" i="13"/>
  <c r="S878" i="13" s="1"/>
  <c r="J878" i="13"/>
  <c r="I878" i="13"/>
  <c r="Q878" i="13" s="1"/>
  <c r="H878" i="13"/>
  <c r="G878" i="13"/>
  <c r="F878" i="13"/>
  <c r="E878" i="13"/>
  <c r="BB878" i="13" s="1"/>
  <c r="C878" i="13"/>
  <c r="AG878" i="13" s="1"/>
  <c r="AO878" i="13" s="1"/>
  <c r="B878" i="13"/>
  <c r="Z878" i="13" s="1"/>
  <c r="A878" i="13"/>
  <c r="BB877" i="13"/>
  <c r="AQ877" i="13"/>
  <c r="P877" i="13"/>
  <c r="X877" i="13" s="1"/>
  <c r="O877" i="13"/>
  <c r="W877" i="13" s="1"/>
  <c r="N877" i="13"/>
  <c r="V877" i="13" s="1"/>
  <c r="M877" i="13"/>
  <c r="U877" i="13" s="1"/>
  <c r="L877" i="13"/>
  <c r="T877" i="13" s="1"/>
  <c r="K877" i="13"/>
  <c r="S877" i="13" s="1"/>
  <c r="J877" i="13"/>
  <c r="R877" i="13" s="1"/>
  <c r="I877" i="13"/>
  <c r="Q877" i="13" s="1"/>
  <c r="H877" i="13"/>
  <c r="G877" i="13"/>
  <c r="F877" i="13"/>
  <c r="E877" i="13"/>
  <c r="BA877" i="13" s="1"/>
  <c r="C877" i="13"/>
  <c r="AG877" i="13" s="1"/>
  <c r="B877" i="13"/>
  <c r="A877" i="13"/>
  <c r="AU877" i="13" s="1"/>
  <c r="BA876" i="13"/>
  <c r="AQ876" i="13"/>
  <c r="V876" i="13"/>
  <c r="P876" i="13"/>
  <c r="X876" i="13" s="1"/>
  <c r="O876" i="13"/>
  <c r="W876" i="13" s="1"/>
  <c r="N876" i="13"/>
  <c r="M876" i="13"/>
  <c r="U876" i="13" s="1"/>
  <c r="L876" i="13"/>
  <c r="T876" i="13" s="1"/>
  <c r="K876" i="13"/>
  <c r="S876" i="13" s="1"/>
  <c r="J876" i="13"/>
  <c r="R876" i="13" s="1"/>
  <c r="I876" i="13"/>
  <c r="Q876" i="13" s="1"/>
  <c r="H876" i="13"/>
  <c r="G876" i="13"/>
  <c r="F876" i="13"/>
  <c r="E876" i="13"/>
  <c r="BB876" i="13" s="1"/>
  <c r="C876" i="13"/>
  <c r="AG876" i="13" s="1"/>
  <c r="AI876" i="13" s="1"/>
  <c r="B876" i="13"/>
  <c r="Z876" i="13" s="1"/>
  <c r="A876" i="13"/>
  <c r="AQ875" i="13"/>
  <c r="P875" i="13"/>
  <c r="X875" i="13" s="1"/>
  <c r="O875" i="13"/>
  <c r="W875" i="13" s="1"/>
  <c r="N875" i="13"/>
  <c r="V875" i="13" s="1"/>
  <c r="M875" i="13"/>
  <c r="U875" i="13" s="1"/>
  <c r="L875" i="13"/>
  <c r="T875" i="13" s="1"/>
  <c r="K875" i="13"/>
  <c r="S875" i="13" s="1"/>
  <c r="J875" i="13"/>
  <c r="R875" i="13" s="1"/>
  <c r="I875" i="13"/>
  <c r="Q875" i="13" s="1"/>
  <c r="H875" i="13"/>
  <c r="G875" i="13"/>
  <c r="F875" i="13"/>
  <c r="E875" i="13"/>
  <c r="BA875" i="13" s="1"/>
  <c r="C875" i="13"/>
  <c r="AG875" i="13" s="1"/>
  <c r="B875" i="13"/>
  <c r="A875" i="13"/>
  <c r="AC875" i="13" s="1"/>
  <c r="AQ874" i="13"/>
  <c r="P874" i="13"/>
  <c r="X874" i="13" s="1"/>
  <c r="O874" i="13"/>
  <c r="W874" i="13" s="1"/>
  <c r="N874" i="13"/>
  <c r="V874" i="13" s="1"/>
  <c r="M874" i="13"/>
  <c r="U874" i="13" s="1"/>
  <c r="L874" i="13"/>
  <c r="T874" i="13" s="1"/>
  <c r="K874" i="13"/>
  <c r="S874" i="13" s="1"/>
  <c r="J874" i="13"/>
  <c r="R874" i="13" s="1"/>
  <c r="I874" i="13"/>
  <c r="Q874" i="13" s="1"/>
  <c r="H874" i="13"/>
  <c r="G874" i="13"/>
  <c r="F874" i="13"/>
  <c r="E874" i="13"/>
  <c r="BB874" i="13" s="1"/>
  <c r="C874" i="13"/>
  <c r="AG874" i="13" s="1"/>
  <c r="AN874" i="13" s="1"/>
  <c r="B874" i="13"/>
  <c r="Z874" i="13" s="1"/>
  <c r="A874" i="13"/>
  <c r="AQ873" i="13"/>
  <c r="P873" i="13"/>
  <c r="X873" i="13" s="1"/>
  <c r="O873" i="13"/>
  <c r="W873" i="13" s="1"/>
  <c r="N873" i="13"/>
  <c r="V873" i="13" s="1"/>
  <c r="M873" i="13"/>
  <c r="U873" i="13" s="1"/>
  <c r="L873" i="13"/>
  <c r="T873" i="13" s="1"/>
  <c r="K873" i="13"/>
  <c r="S873" i="13" s="1"/>
  <c r="J873" i="13"/>
  <c r="R873" i="13" s="1"/>
  <c r="I873" i="13"/>
  <c r="Q873" i="13" s="1"/>
  <c r="H873" i="13"/>
  <c r="G873" i="13"/>
  <c r="F873" i="13"/>
  <c r="E873" i="13"/>
  <c r="BA873" i="13" s="1"/>
  <c r="C873" i="13"/>
  <c r="AG873" i="13" s="1"/>
  <c r="B873" i="13"/>
  <c r="AR873" i="13" s="1"/>
  <c r="A873" i="13"/>
  <c r="AU873" i="13" s="1"/>
  <c r="AQ872" i="13"/>
  <c r="P872" i="13"/>
  <c r="X872" i="13" s="1"/>
  <c r="O872" i="13"/>
  <c r="W872" i="13" s="1"/>
  <c r="N872" i="13"/>
  <c r="V872" i="13" s="1"/>
  <c r="M872" i="13"/>
  <c r="U872" i="13" s="1"/>
  <c r="L872" i="13"/>
  <c r="T872" i="13" s="1"/>
  <c r="K872" i="13"/>
  <c r="S872" i="13" s="1"/>
  <c r="J872" i="13"/>
  <c r="R872" i="13" s="1"/>
  <c r="I872" i="13"/>
  <c r="Q872" i="13" s="1"/>
  <c r="H872" i="13"/>
  <c r="G872" i="13"/>
  <c r="F872" i="13"/>
  <c r="E872" i="13"/>
  <c r="BB872" i="13" s="1"/>
  <c r="C872" i="13"/>
  <c r="AG872" i="13" s="1"/>
  <c r="B872" i="13"/>
  <c r="Z872" i="13" s="1"/>
  <c r="A872" i="13"/>
  <c r="AQ871" i="13"/>
  <c r="P871" i="13"/>
  <c r="X871" i="13" s="1"/>
  <c r="O871" i="13"/>
  <c r="W871" i="13" s="1"/>
  <c r="N871" i="13"/>
  <c r="V871" i="13" s="1"/>
  <c r="M871" i="13"/>
  <c r="U871" i="13" s="1"/>
  <c r="L871" i="13"/>
  <c r="T871" i="13" s="1"/>
  <c r="K871" i="13"/>
  <c r="S871" i="13" s="1"/>
  <c r="J871" i="13"/>
  <c r="R871" i="13" s="1"/>
  <c r="I871" i="13"/>
  <c r="Q871" i="13" s="1"/>
  <c r="H871" i="13"/>
  <c r="G871" i="13"/>
  <c r="F871" i="13"/>
  <c r="E871" i="13"/>
  <c r="BB871" i="13" s="1"/>
  <c r="C871" i="13"/>
  <c r="AG871" i="13" s="1"/>
  <c r="B871" i="13"/>
  <c r="A871" i="13"/>
  <c r="AC871" i="13" s="1"/>
  <c r="AQ870" i="13"/>
  <c r="P870" i="13"/>
  <c r="X870" i="13" s="1"/>
  <c r="O870" i="13"/>
  <c r="W870" i="13" s="1"/>
  <c r="N870" i="13"/>
  <c r="V870" i="13" s="1"/>
  <c r="M870" i="13"/>
  <c r="U870" i="13" s="1"/>
  <c r="L870" i="13"/>
  <c r="T870" i="13" s="1"/>
  <c r="K870" i="13"/>
  <c r="S870" i="13" s="1"/>
  <c r="J870" i="13"/>
  <c r="R870" i="13" s="1"/>
  <c r="I870" i="13"/>
  <c r="Q870" i="13" s="1"/>
  <c r="H870" i="13"/>
  <c r="G870" i="13"/>
  <c r="F870" i="13"/>
  <c r="E870" i="13"/>
  <c r="BB870" i="13" s="1"/>
  <c r="C870" i="13"/>
  <c r="AG870" i="13" s="1"/>
  <c r="B870" i="13"/>
  <c r="Z870" i="13" s="1"/>
  <c r="A870" i="13"/>
  <c r="AQ869" i="13"/>
  <c r="P869" i="13"/>
  <c r="X869" i="13" s="1"/>
  <c r="O869" i="13"/>
  <c r="W869" i="13" s="1"/>
  <c r="N869" i="13"/>
  <c r="V869" i="13" s="1"/>
  <c r="M869" i="13"/>
  <c r="U869" i="13" s="1"/>
  <c r="L869" i="13"/>
  <c r="T869" i="13" s="1"/>
  <c r="K869" i="13"/>
  <c r="S869" i="13" s="1"/>
  <c r="J869" i="13"/>
  <c r="R869" i="13" s="1"/>
  <c r="I869" i="13"/>
  <c r="Q869" i="13" s="1"/>
  <c r="H869" i="13"/>
  <c r="G869" i="13"/>
  <c r="F869" i="13"/>
  <c r="E869" i="13"/>
  <c r="BA869" i="13" s="1"/>
  <c r="C869" i="13"/>
  <c r="AG869" i="13" s="1"/>
  <c r="AL869" i="13" s="1"/>
  <c r="B869" i="13"/>
  <c r="Z869" i="13" s="1"/>
  <c r="A869" i="13"/>
  <c r="AC869" i="13" s="1"/>
  <c r="AR868" i="13"/>
  <c r="AQ868" i="13"/>
  <c r="P868" i="13"/>
  <c r="X868" i="13" s="1"/>
  <c r="O868" i="13"/>
  <c r="W868" i="13" s="1"/>
  <c r="N868" i="13"/>
  <c r="V868" i="13" s="1"/>
  <c r="M868" i="13"/>
  <c r="U868" i="13" s="1"/>
  <c r="L868" i="13"/>
  <c r="T868" i="13" s="1"/>
  <c r="K868" i="13"/>
  <c r="S868" i="13" s="1"/>
  <c r="J868" i="13"/>
  <c r="R868" i="13" s="1"/>
  <c r="I868" i="13"/>
  <c r="Q868" i="13" s="1"/>
  <c r="H868" i="13"/>
  <c r="G868" i="13"/>
  <c r="F868" i="13"/>
  <c r="E868" i="13"/>
  <c r="C868" i="13"/>
  <c r="AG868" i="13" s="1"/>
  <c r="B868" i="13"/>
  <c r="Z868" i="13" s="1"/>
  <c r="A868" i="13"/>
  <c r="AU868" i="13" s="1"/>
  <c r="AQ867" i="13"/>
  <c r="P867" i="13"/>
  <c r="X867" i="13" s="1"/>
  <c r="O867" i="13"/>
  <c r="W867" i="13" s="1"/>
  <c r="N867" i="13"/>
  <c r="V867" i="13" s="1"/>
  <c r="M867" i="13"/>
  <c r="U867" i="13" s="1"/>
  <c r="L867" i="13"/>
  <c r="T867" i="13" s="1"/>
  <c r="K867" i="13"/>
  <c r="S867" i="13" s="1"/>
  <c r="J867" i="13"/>
  <c r="R867" i="13" s="1"/>
  <c r="I867" i="13"/>
  <c r="Q867" i="13" s="1"/>
  <c r="H867" i="13"/>
  <c r="G867" i="13"/>
  <c r="F867" i="13"/>
  <c r="E867" i="13"/>
  <c r="BB867" i="13" s="1"/>
  <c r="C867" i="13"/>
  <c r="AG867" i="13" s="1"/>
  <c r="B867" i="13"/>
  <c r="A867" i="13"/>
  <c r="AC867" i="13" s="1"/>
  <c r="AQ866" i="13"/>
  <c r="P866" i="13"/>
  <c r="X866" i="13" s="1"/>
  <c r="O866" i="13"/>
  <c r="W866" i="13" s="1"/>
  <c r="N866" i="13"/>
  <c r="V866" i="13" s="1"/>
  <c r="M866" i="13"/>
  <c r="U866" i="13" s="1"/>
  <c r="L866" i="13"/>
  <c r="T866" i="13" s="1"/>
  <c r="K866" i="13"/>
  <c r="S866" i="13" s="1"/>
  <c r="J866" i="13"/>
  <c r="R866" i="13" s="1"/>
  <c r="I866" i="13"/>
  <c r="Q866" i="13" s="1"/>
  <c r="H866" i="13"/>
  <c r="G866" i="13"/>
  <c r="F866" i="13"/>
  <c r="E866" i="13"/>
  <c r="BB866" i="13" s="1"/>
  <c r="C866" i="13"/>
  <c r="AG866" i="13" s="1"/>
  <c r="B866" i="13"/>
  <c r="Z866" i="13" s="1"/>
  <c r="A866" i="13"/>
  <c r="AQ865" i="13"/>
  <c r="P865" i="13"/>
  <c r="X865" i="13" s="1"/>
  <c r="O865" i="13"/>
  <c r="W865" i="13" s="1"/>
  <c r="N865" i="13"/>
  <c r="V865" i="13" s="1"/>
  <c r="M865" i="13"/>
  <c r="U865" i="13" s="1"/>
  <c r="L865" i="13"/>
  <c r="T865" i="13" s="1"/>
  <c r="K865" i="13"/>
  <c r="S865" i="13" s="1"/>
  <c r="J865" i="13"/>
  <c r="R865" i="13" s="1"/>
  <c r="I865" i="13"/>
  <c r="Q865" i="13" s="1"/>
  <c r="H865" i="13"/>
  <c r="G865" i="13"/>
  <c r="F865" i="13"/>
  <c r="E865" i="13"/>
  <c r="C865" i="13"/>
  <c r="AG865" i="13" s="1"/>
  <c r="B865" i="13"/>
  <c r="Z865" i="13" s="1"/>
  <c r="A865" i="13"/>
  <c r="AQ864" i="13"/>
  <c r="P864" i="13"/>
  <c r="X864" i="13" s="1"/>
  <c r="O864" i="13"/>
  <c r="W864" i="13" s="1"/>
  <c r="N864" i="13"/>
  <c r="V864" i="13" s="1"/>
  <c r="M864" i="13"/>
  <c r="U864" i="13" s="1"/>
  <c r="L864" i="13"/>
  <c r="T864" i="13" s="1"/>
  <c r="K864" i="13"/>
  <c r="S864" i="13" s="1"/>
  <c r="J864" i="13"/>
  <c r="R864" i="13" s="1"/>
  <c r="I864" i="13"/>
  <c r="Q864" i="13" s="1"/>
  <c r="H864" i="13"/>
  <c r="G864" i="13"/>
  <c r="F864" i="13"/>
  <c r="E864" i="13"/>
  <c r="BB864" i="13" s="1"/>
  <c r="C864" i="13"/>
  <c r="AG864" i="13" s="1"/>
  <c r="AL864" i="13" s="1"/>
  <c r="B864" i="13"/>
  <c r="Z864" i="13" s="1"/>
  <c r="A864" i="13"/>
  <c r="AC864" i="13" s="1"/>
  <c r="AQ863" i="13"/>
  <c r="P863" i="13"/>
  <c r="X863" i="13" s="1"/>
  <c r="O863" i="13"/>
  <c r="W863" i="13" s="1"/>
  <c r="N863" i="13"/>
  <c r="V863" i="13" s="1"/>
  <c r="M863" i="13"/>
  <c r="U863" i="13" s="1"/>
  <c r="L863" i="13"/>
  <c r="T863" i="13" s="1"/>
  <c r="K863" i="13"/>
  <c r="S863" i="13" s="1"/>
  <c r="J863" i="13"/>
  <c r="R863" i="13" s="1"/>
  <c r="I863" i="13"/>
  <c r="Q863" i="13" s="1"/>
  <c r="H863" i="13"/>
  <c r="G863" i="13"/>
  <c r="F863" i="13"/>
  <c r="E863" i="13"/>
  <c r="BB863" i="13" s="1"/>
  <c r="C863" i="13"/>
  <c r="AG863" i="13" s="1"/>
  <c r="B863" i="13"/>
  <c r="A863" i="13"/>
  <c r="AC863" i="13" s="1"/>
  <c r="AQ862" i="13"/>
  <c r="P862" i="13"/>
  <c r="X862" i="13" s="1"/>
  <c r="O862" i="13"/>
  <c r="W862" i="13" s="1"/>
  <c r="N862" i="13"/>
  <c r="V862" i="13" s="1"/>
  <c r="M862" i="13"/>
  <c r="U862" i="13" s="1"/>
  <c r="L862" i="13"/>
  <c r="T862" i="13" s="1"/>
  <c r="K862" i="13"/>
  <c r="S862" i="13" s="1"/>
  <c r="J862" i="13"/>
  <c r="R862" i="13" s="1"/>
  <c r="I862" i="13"/>
  <c r="Q862" i="13" s="1"/>
  <c r="H862" i="13"/>
  <c r="G862" i="13"/>
  <c r="F862" i="13"/>
  <c r="E862" i="13"/>
  <c r="BB862" i="13" s="1"/>
  <c r="C862" i="13"/>
  <c r="AG862" i="13" s="1"/>
  <c r="AN862" i="13" s="1"/>
  <c r="B862" i="13"/>
  <c r="Z862" i="13" s="1"/>
  <c r="A862" i="13"/>
  <c r="AQ861" i="13"/>
  <c r="P861" i="13"/>
  <c r="X861" i="13" s="1"/>
  <c r="O861" i="13"/>
  <c r="W861" i="13" s="1"/>
  <c r="N861" i="13"/>
  <c r="V861" i="13" s="1"/>
  <c r="M861" i="13"/>
  <c r="U861" i="13" s="1"/>
  <c r="L861" i="13"/>
  <c r="T861" i="13" s="1"/>
  <c r="K861" i="13"/>
  <c r="S861" i="13" s="1"/>
  <c r="J861" i="13"/>
  <c r="R861" i="13" s="1"/>
  <c r="I861" i="13"/>
  <c r="Q861" i="13" s="1"/>
  <c r="H861" i="13"/>
  <c r="G861" i="13"/>
  <c r="F861" i="13"/>
  <c r="E861" i="13"/>
  <c r="C861" i="13"/>
  <c r="AG861" i="13" s="1"/>
  <c r="B861" i="13"/>
  <c r="Z861" i="13" s="1"/>
  <c r="A861" i="13"/>
  <c r="AC861" i="13" s="1"/>
  <c r="AQ860" i="13"/>
  <c r="P860" i="13"/>
  <c r="X860" i="13" s="1"/>
  <c r="O860" i="13"/>
  <c r="W860" i="13" s="1"/>
  <c r="N860" i="13"/>
  <c r="V860" i="13" s="1"/>
  <c r="M860" i="13"/>
  <c r="U860" i="13" s="1"/>
  <c r="L860" i="13"/>
  <c r="T860" i="13" s="1"/>
  <c r="K860" i="13"/>
  <c r="S860" i="13" s="1"/>
  <c r="J860" i="13"/>
  <c r="R860" i="13" s="1"/>
  <c r="I860" i="13"/>
  <c r="Q860" i="13" s="1"/>
  <c r="H860" i="13"/>
  <c r="G860" i="13"/>
  <c r="F860" i="13"/>
  <c r="E860" i="13"/>
  <c r="BA860" i="13" s="1"/>
  <c r="C860" i="13"/>
  <c r="AR860" i="13" s="1"/>
  <c r="B860" i="13"/>
  <c r="Z860" i="13" s="1"/>
  <c r="A860" i="13"/>
  <c r="AU860" i="13" s="1"/>
  <c r="AQ859" i="13"/>
  <c r="P859" i="13"/>
  <c r="X859" i="13" s="1"/>
  <c r="O859" i="13"/>
  <c r="W859" i="13" s="1"/>
  <c r="N859" i="13"/>
  <c r="V859" i="13" s="1"/>
  <c r="M859" i="13"/>
  <c r="U859" i="13" s="1"/>
  <c r="L859" i="13"/>
  <c r="T859" i="13" s="1"/>
  <c r="K859" i="13"/>
  <c r="S859" i="13" s="1"/>
  <c r="J859" i="13"/>
  <c r="R859" i="13" s="1"/>
  <c r="I859" i="13"/>
  <c r="Q859" i="13" s="1"/>
  <c r="H859" i="13"/>
  <c r="G859" i="13"/>
  <c r="F859" i="13"/>
  <c r="E859" i="13"/>
  <c r="BB859" i="13" s="1"/>
  <c r="C859" i="13"/>
  <c r="AG859" i="13" s="1"/>
  <c r="B859" i="13"/>
  <c r="A859" i="13"/>
  <c r="AC859" i="13" s="1"/>
  <c r="AQ858" i="13"/>
  <c r="P858" i="13"/>
  <c r="X858" i="13" s="1"/>
  <c r="O858" i="13"/>
  <c r="W858" i="13" s="1"/>
  <c r="N858" i="13"/>
  <c r="V858" i="13" s="1"/>
  <c r="M858" i="13"/>
  <c r="U858" i="13" s="1"/>
  <c r="L858" i="13"/>
  <c r="T858" i="13" s="1"/>
  <c r="K858" i="13"/>
  <c r="S858" i="13" s="1"/>
  <c r="J858" i="13"/>
  <c r="R858" i="13" s="1"/>
  <c r="I858" i="13"/>
  <c r="Q858" i="13" s="1"/>
  <c r="H858" i="13"/>
  <c r="G858" i="13"/>
  <c r="F858" i="13"/>
  <c r="E858" i="13"/>
  <c r="BB858" i="13" s="1"/>
  <c r="C858" i="13"/>
  <c r="AG858" i="13" s="1"/>
  <c r="B858" i="13"/>
  <c r="Z858" i="13" s="1"/>
  <c r="A858" i="13"/>
  <c r="AQ857" i="13"/>
  <c r="W857" i="13"/>
  <c r="P857" i="13"/>
  <c r="X857" i="13" s="1"/>
  <c r="O857" i="13"/>
  <c r="N857" i="13"/>
  <c r="V857" i="13" s="1"/>
  <c r="M857" i="13"/>
  <c r="U857" i="13" s="1"/>
  <c r="L857" i="13"/>
  <c r="T857" i="13" s="1"/>
  <c r="K857" i="13"/>
  <c r="S857" i="13" s="1"/>
  <c r="J857" i="13"/>
  <c r="R857" i="13" s="1"/>
  <c r="I857" i="13"/>
  <c r="Q857" i="13" s="1"/>
  <c r="H857" i="13"/>
  <c r="G857" i="13"/>
  <c r="F857" i="13"/>
  <c r="E857" i="13"/>
  <c r="BA857" i="13" s="1"/>
  <c r="C857" i="13"/>
  <c r="AG857" i="13" s="1"/>
  <c r="AL857" i="13" s="1"/>
  <c r="B857" i="13"/>
  <c r="Z857" i="13" s="1"/>
  <c r="A857" i="13"/>
  <c r="AC857" i="13" s="1"/>
  <c r="AQ856" i="13"/>
  <c r="P856" i="13"/>
  <c r="X856" i="13" s="1"/>
  <c r="O856" i="13"/>
  <c r="W856" i="13" s="1"/>
  <c r="N856" i="13"/>
  <c r="V856" i="13" s="1"/>
  <c r="M856" i="13"/>
  <c r="U856" i="13" s="1"/>
  <c r="L856" i="13"/>
  <c r="T856" i="13" s="1"/>
  <c r="K856" i="13"/>
  <c r="S856" i="13" s="1"/>
  <c r="J856" i="13"/>
  <c r="R856" i="13" s="1"/>
  <c r="I856" i="13"/>
  <c r="Q856" i="13" s="1"/>
  <c r="H856" i="13"/>
  <c r="G856" i="13"/>
  <c r="F856" i="13"/>
  <c r="E856" i="13"/>
  <c r="BB856" i="13" s="1"/>
  <c r="C856" i="13"/>
  <c r="AG856" i="13" s="1"/>
  <c r="B856" i="13"/>
  <c r="Z856" i="13" s="1"/>
  <c r="A856" i="13"/>
  <c r="AU856" i="13" s="1"/>
  <c r="AQ855" i="13"/>
  <c r="T855" i="13"/>
  <c r="P855" i="13"/>
  <c r="X855" i="13" s="1"/>
  <c r="O855" i="13"/>
  <c r="W855" i="13" s="1"/>
  <c r="N855" i="13"/>
  <c r="V855" i="13" s="1"/>
  <c r="M855" i="13"/>
  <c r="U855" i="13" s="1"/>
  <c r="L855" i="13"/>
  <c r="K855" i="13"/>
  <c r="S855" i="13" s="1"/>
  <c r="J855" i="13"/>
  <c r="R855" i="13" s="1"/>
  <c r="I855" i="13"/>
  <c r="Q855" i="13" s="1"/>
  <c r="H855" i="13"/>
  <c r="G855" i="13"/>
  <c r="F855" i="13"/>
  <c r="E855" i="13"/>
  <c r="C855" i="13"/>
  <c r="AG855" i="13" s="1"/>
  <c r="B855" i="13"/>
  <c r="Z855" i="13" s="1"/>
  <c r="A855" i="13"/>
  <c r="AC855" i="13" s="1"/>
  <c r="AQ854" i="13"/>
  <c r="P854" i="13"/>
  <c r="X854" i="13" s="1"/>
  <c r="O854" i="13"/>
  <c r="W854" i="13" s="1"/>
  <c r="N854" i="13"/>
  <c r="V854" i="13" s="1"/>
  <c r="M854" i="13"/>
  <c r="U854" i="13" s="1"/>
  <c r="L854" i="13"/>
  <c r="T854" i="13" s="1"/>
  <c r="K854" i="13"/>
  <c r="S854" i="13" s="1"/>
  <c r="J854" i="13"/>
  <c r="R854" i="13" s="1"/>
  <c r="I854" i="13"/>
  <c r="Q854" i="13" s="1"/>
  <c r="H854" i="13"/>
  <c r="G854" i="13"/>
  <c r="F854" i="13"/>
  <c r="E854" i="13"/>
  <c r="BA854" i="13" s="1"/>
  <c r="C854" i="13"/>
  <c r="AG854" i="13" s="1"/>
  <c r="B854" i="13"/>
  <c r="Z854" i="13" s="1"/>
  <c r="A854" i="13"/>
  <c r="AU854" i="13" s="1"/>
  <c r="AQ853" i="13"/>
  <c r="P853" i="13"/>
  <c r="X853" i="13" s="1"/>
  <c r="O853" i="13"/>
  <c r="W853" i="13" s="1"/>
  <c r="N853" i="13"/>
  <c r="V853" i="13" s="1"/>
  <c r="M853" i="13"/>
  <c r="U853" i="13" s="1"/>
  <c r="L853" i="13"/>
  <c r="T853" i="13" s="1"/>
  <c r="K853" i="13"/>
  <c r="S853" i="13" s="1"/>
  <c r="J853" i="13"/>
  <c r="R853" i="13" s="1"/>
  <c r="I853" i="13"/>
  <c r="Q853" i="13" s="1"/>
  <c r="H853" i="13"/>
  <c r="G853" i="13"/>
  <c r="F853" i="13"/>
  <c r="E853" i="13"/>
  <c r="BB853" i="13" s="1"/>
  <c r="C853" i="13"/>
  <c r="B853" i="13"/>
  <c r="Z853" i="13" s="1"/>
  <c r="A853" i="13"/>
  <c r="AU853" i="13" s="1"/>
  <c r="AQ852" i="13"/>
  <c r="P852" i="13"/>
  <c r="X852" i="13" s="1"/>
  <c r="O852" i="13"/>
  <c r="W852" i="13" s="1"/>
  <c r="N852" i="13"/>
  <c r="V852" i="13" s="1"/>
  <c r="M852" i="13"/>
  <c r="U852" i="13" s="1"/>
  <c r="L852" i="13"/>
  <c r="T852" i="13" s="1"/>
  <c r="K852" i="13"/>
  <c r="S852" i="13" s="1"/>
  <c r="J852" i="13"/>
  <c r="R852" i="13" s="1"/>
  <c r="I852" i="13"/>
  <c r="Q852" i="13" s="1"/>
  <c r="H852" i="13"/>
  <c r="G852" i="13"/>
  <c r="F852" i="13"/>
  <c r="E852" i="13"/>
  <c r="BA852" i="13" s="1"/>
  <c r="C852" i="13"/>
  <c r="AG852" i="13" s="1"/>
  <c r="B852" i="13"/>
  <c r="Z852" i="13" s="1"/>
  <c r="A852" i="13"/>
  <c r="AU852" i="13" s="1"/>
  <c r="AQ851" i="13"/>
  <c r="P851" i="13"/>
  <c r="X851" i="13" s="1"/>
  <c r="O851" i="13"/>
  <c r="W851" i="13" s="1"/>
  <c r="N851" i="13"/>
  <c r="V851" i="13" s="1"/>
  <c r="M851" i="13"/>
  <c r="U851" i="13" s="1"/>
  <c r="L851" i="13"/>
  <c r="T851" i="13" s="1"/>
  <c r="K851" i="13"/>
  <c r="S851" i="13" s="1"/>
  <c r="J851" i="13"/>
  <c r="R851" i="13" s="1"/>
  <c r="I851" i="13"/>
  <c r="Q851" i="13" s="1"/>
  <c r="H851" i="13"/>
  <c r="G851" i="13"/>
  <c r="F851" i="13"/>
  <c r="E851" i="13"/>
  <c r="BB851" i="13" s="1"/>
  <c r="C851" i="13"/>
  <c r="AG851" i="13" s="1"/>
  <c r="AO851" i="13" s="1"/>
  <c r="B851" i="13"/>
  <c r="Z851" i="13" s="1"/>
  <c r="A851" i="13"/>
  <c r="AQ850" i="13"/>
  <c r="P850" i="13"/>
  <c r="X850" i="13" s="1"/>
  <c r="O850" i="13"/>
  <c r="W850" i="13" s="1"/>
  <c r="N850" i="13"/>
  <c r="V850" i="13" s="1"/>
  <c r="M850" i="13"/>
  <c r="U850" i="13" s="1"/>
  <c r="L850" i="13"/>
  <c r="T850" i="13" s="1"/>
  <c r="K850" i="13"/>
  <c r="S850" i="13" s="1"/>
  <c r="J850" i="13"/>
  <c r="R850" i="13" s="1"/>
  <c r="I850" i="13"/>
  <c r="Q850" i="13" s="1"/>
  <c r="H850" i="13"/>
  <c r="G850" i="13"/>
  <c r="F850" i="13"/>
  <c r="E850" i="13"/>
  <c r="C850" i="13"/>
  <c r="AG850" i="13" s="1"/>
  <c r="B850" i="13"/>
  <c r="Z850" i="13" s="1"/>
  <c r="A850" i="13"/>
  <c r="AQ849" i="13"/>
  <c r="P849" i="13"/>
  <c r="X849" i="13" s="1"/>
  <c r="O849" i="13"/>
  <c r="W849" i="13" s="1"/>
  <c r="N849" i="13"/>
  <c r="V849" i="13" s="1"/>
  <c r="M849" i="13"/>
  <c r="U849" i="13" s="1"/>
  <c r="L849" i="13"/>
  <c r="T849" i="13" s="1"/>
  <c r="K849" i="13"/>
  <c r="S849" i="13" s="1"/>
  <c r="J849" i="13"/>
  <c r="R849" i="13" s="1"/>
  <c r="I849" i="13"/>
  <c r="Q849" i="13" s="1"/>
  <c r="H849" i="13"/>
  <c r="G849" i="13"/>
  <c r="F849" i="13"/>
  <c r="E849" i="13"/>
  <c r="BB849" i="13" s="1"/>
  <c r="C849" i="13"/>
  <c r="AG849" i="13" s="1"/>
  <c r="B849" i="13"/>
  <c r="Z849" i="13" s="1"/>
  <c r="A849" i="13"/>
  <c r="AU849" i="13" s="1"/>
  <c r="AQ848" i="13"/>
  <c r="P848" i="13"/>
  <c r="X848" i="13" s="1"/>
  <c r="O848" i="13"/>
  <c r="W848" i="13" s="1"/>
  <c r="N848" i="13"/>
  <c r="V848" i="13" s="1"/>
  <c r="M848" i="13"/>
  <c r="U848" i="13" s="1"/>
  <c r="L848" i="13"/>
  <c r="T848" i="13" s="1"/>
  <c r="K848" i="13"/>
  <c r="S848" i="13" s="1"/>
  <c r="J848" i="13"/>
  <c r="R848" i="13" s="1"/>
  <c r="I848" i="13"/>
  <c r="Q848" i="13" s="1"/>
  <c r="H848" i="13"/>
  <c r="G848" i="13"/>
  <c r="F848" i="13"/>
  <c r="E848" i="13"/>
  <c r="BA848" i="13" s="1"/>
  <c r="C848" i="13"/>
  <c r="AG848" i="13" s="1"/>
  <c r="AL848" i="13" s="1"/>
  <c r="B848" i="13"/>
  <c r="Z848" i="13" s="1"/>
  <c r="A848" i="13"/>
  <c r="AU848" i="13" s="1"/>
  <c r="AQ847" i="13"/>
  <c r="P847" i="13"/>
  <c r="X847" i="13" s="1"/>
  <c r="O847" i="13"/>
  <c r="W847" i="13" s="1"/>
  <c r="N847" i="13"/>
  <c r="V847" i="13" s="1"/>
  <c r="M847" i="13"/>
  <c r="U847" i="13" s="1"/>
  <c r="L847" i="13"/>
  <c r="T847" i="13" s="1"/>
  <c r="K847" i="13"/>
  <c r="S847" i="13" s="1"/>
  <c r="J847" i="13"/>
  <c r="R847" i="13" s="1"/>
  <c r="I847" i="13"/>
  <c r="Q847" i="13" s="1"/>
  <c r="H847" i="13"/>
  <c r="G847" i="13"/>
  <c r="F847" i="13"/>
  <c r="E847" i="13"/>
  <c r="C847" i="13"/>
  <c r="AG847" i="13" s="1"/>
  <c r="B847" i="13"/>
  <c r="Z847" i="13" s="1"/>
  <c r="A847" i="13"/>
  <c r="AQ846" i="13"/>
  <c r="P846" i="13"/>
  <c r="X846" i="13" s="1"/>
  <c r="O846" i="13"/>
  <c r="W846" i="13" s="1"/>
  <c r="N846" i="13"/>
  <c r="V846" i="13" s="1"/>
  <c r="M846" i="13"/>
  <c r="U846" i="13" s="1"/>
  <c r="L846" i="13"/>
  <c r="T846" i="13" s="1"/>
  <c r="K846" i="13"/>
  <c r="S846" i="13" s="1"/>
  <c r="J846" i="13"/>
  <c r="R846" i="13" s="1"/>
  <c r="I846" i="13"/>
  <c r="Q846" i="13" s="1"/>
  <c r="H846" i="13"/>
  <c r="G846" i="13"/>
  <c r="F846" i="13"/>
  <c r="E846" i="13"/>
  <c r="BA846" i="13" s="1"/>
  <c r="C846" i="13"/>
  <c r="AG846" i="13" s="1"/>
  <c r="B846" i="13"/>
  <c r="Z846" i="13" s="1"/>
  <c r="A846" i="13"/>
  <c r="AR845" i="13"/>
  <c r="AQ845" i="13"/>
  <c r="P845" i="13"/>
  <c r="X845" i="13" s="1"/>
  <c r="O845" i="13"/>
  <c r="W845" i="13" s="1"/>
  <c r="N845" i="13"/>
  <c r="V845" i="13" s="1"/>
  <c r="M845" i="13"/>
  <c r="U845" i="13" s="1"/>
  <c r="L845" i="13"/>
  <c r="T845" i="13" s="1"/>
  <c r="K845" i="13"/>
  <c r="S845" i="13" s="1"/>
  <c r="J845" i="13"/>
  <c r="R845" i="13" s="1"/>
  <c r="I845" i="13"/>
  <c r="Q845" i="13" s="1"/>
  <c r="H845" i="13"/>
  <c r="G845" i="13"/>
  <c r="F845" i="13"/>
  <c r="E845" i="13"/>
  <c r="C845" i="13"/>
  <c r="AG845" i="13" s="1"/>
  <c r="AK845" i="13" s="1"/>
  <c r="B845" i="13"/>
  <c r="Z845" i="13" s="1"/>
  <c r="A845" i="13"/>
  <c r="AU845" i="13" s="1"/>
  <c r="AQ844" i="13"/>
  <c r="V844" i="13"/>
  <c r="P844" i="13"/>
  <c r="X844" i="13" s="1"/>
  <c r="O844" i="13"/>
  <c r="W844" i="13" s="1"/>
  <c r="N844" i="13"/>
  <c r="M844" i="13"/>
  <c r="U844" i="13" s="1"/>
  <c r="L844" i="13"/>
  <c r="T844" i="13" s="1"/>
  <c r="K844" i="13"/>
  <c r="S844" i="13" s="1"/>
  <c r="J844" i="13"/>
  <c r="R844" i="13" s="1"/>
  <c r="I844" i="13"/>
  <c r="Q844" i="13" s="1"/>
  <c r="H844" i="13"/>
  <c r="G844" i="13"/>
  <c r="F844" i="13"/>
  <c r="E844" i="13"/>
  <c r="BA844" i="13" s="1"/>
  <c r="C844" i="13"/>
  <c r="AG844" i="13" s="1"/>
  <c r="B844" i="13"/>
  <c r="Z844" i="13" s="1"/>
  <c r="A844" i="13"/>
  <c r="AU844" i="13" s="1"/>
  <c r="AQ843" i="13"/>
  <c r="AG843" i="13"/>
  <c r="P843" i="13"/>
  <c r="X843" i="13" s="1"/>
  <c r="O843" i="13"/>
  <c r="W843" i="13" s="1"/>
  <c r="N843" i="13"/>
  <c r="V843" i="13" s="1"/>
  <c r="M843" i="13"/>
  <c r="U843" i="13" s="1"/>
  <c r="L843" i="13"/>
  <c r="T843" i="13" s="1"/>
  <c r="K843" i="13"/>
  <c r="S843" i="13" s="1"/>
  <c r="J843" i="13"/>
  <c r="R843" i="13" s="1"/>
  <c r="I843" i="13"/>
  <c r="Q843" i="13" s="1"/>
  <c r="H843" i="13"/>
  <c r="G843" i="13"/>
  <c r="F843" i="13"/>
  <c r="E843" i="13"/>
  <c r="BB843" i="13" s="1"/>
  <c r="C843" i="13"/>
  <c r="B843" i="13"/>
  <c r="Z843" i="13" s="1"/>
  <c r="A843" i="13"/>
  <c r="AQ842" i="13"/>
  <c r="P842" i="13"/>
  <c r="X842" i="13" s="1"/>
  <c r="O842" i="13"/>
  <c r="W842" i="13" s="1"/>
  <c r="N842" i="13"/>
  <c r="V842" i="13" s="1"/>
  <c r="M842" i="13"/>
  <c r="U842" i="13" s="1"/>
  <c r="L842" i="13"/>
  <c r="T842" i="13" s="1"/>
  <c r="K842" i="13"/>
  <c r="S842" i="13" s="1"/>
  <c r="J842" i="13"/>
  <c r="R842" i="13" s="1"/>
  <c r="I842" i="13"/>
  <c r="Q842" i="13" s="1"/>
  <c r="H842" i="13"/>
  <c r="G842" i="13"/>
  <c r="F842" i="13"/>
  <c r="E842" i="13"/>
  <c r="C842" i="13"/>
  <c r="AG842" i="13" s="1"/>
  <c r="B842" i="13"/>
  <c r="Z842" i="13" s="1"/>
  <c r="A842" i="13"/>
  <c r="AU842" i="13" s="1"/>
  <c r="AQ841" i="13"/>
  <c r="P841" i="13"/>
  <c r="X841" i="13" s="1"/>
  <c r="O841" i="13"/>
  <c r="W841" i="13" s="1"/>
  <c r="N841" i="13"/>
  <c r="V841" i="13" s="1"/>
  <c r="M841" i="13"/>
  <c r="U841" i="13" s="1"/>
  <c r="L841" i="13"/>
  <c r="T841" i="13" s="1"/>
  <c r="K841" i="13"/>
  <c r="S841" i="13" s="1"/>
  <c r="J841" i="13"/>
  <c r="R841" i="13" s="1"/>
  <c r="I841" i="13"/>
  <c r="Q841" i="13" s="1"/>
  <c r="H841" i="13"/>
  <c r="G841" i="13"/>
  <c r="F841" i="13"/>
  <c r="E841" i="13"/>
  <c r="BB841" i="13" s="1"/>
  <c r="C841" i="13"/>
  <c r="AG841" i="13" s="1"/>
  <c r="B841" i="13"/>
  <c r="Z841" i="13" s="1"/>
  <c r="A841" i="13"/>
  <c r="AQ840" i="13"/>
  <c r="P840" i="13"/>
  <c r="X840" i="13" s="1"/>
  <c r="O840" i="13"/>
  <c r="W840" i="13" s="1"/>
  <c r="N840" i="13"/>
  <c r="V840" i="13" s="1"/>
  <c r="M840" i="13"/>
  <c r="U840" i="13" s="1"/>
  <c r="L840" i="13"/>
  <c r="T840" i="13" s="1"/>
  <c r="K840" i="13"/>
  <c r="S840" i="13" s="1"/>
  <c r="J840" i="13"/>
  <c r="R840" i="13" s="1"/>
  <c r="I840" i="13"/>
  <c r="Q840" i="13" s="1"/>
  <c r="H840" i="13"/>
  <c r="G840" i="13"/>
  <c r="F840" i="13"/>
  <c r="E840" i="13"/>
  <c r="BA840" i="13" s="1"/>
  <c r="C840" i="13"/>
  <c r="AG840" i="13" s="1"/>
  <c r="AL840" i="13" s="1"/>
  <c r="B840" i="13"/>
  <c r="Z840" i="13" s="1"/>
  <c r="A840" i="13"/>
  <c r="AU840" i="13" s="1"/>
  <c r="AQ839" i="13"/>
  <c r="P839" i="13"/>
  <c r="X839" i="13" s="1"/>
  <c r="O839" i="13"/>
  <c r="W839" i="13" s="1"/>
  <c r="N839" i="13"/>
  <c r="V839" i="13" s="1"/>
  <c r="M839" i="13"/>
  <c r="U839" i="13" s="1"/>
  <c r="L839" i="13"/>
  <c r="T839" i="13" s="1"/>
  <c r="K839" i="13"/>
  <c r="S839" i="13" s="1"/>
  <c r="J839" i="13"/>
  <c r="R839" i="13" s="1"/>
  <c r="I839" i="13"/>
  <c r="Q839" i="13" s="1"/>
  <c r="H839" i="13"/>
  <c r="G839" i="13"/>
  <c r="F839" i="13"/>
  <c r="E839" i="13"/>
  <c r="BB839" i="13" s="1"/>
  <c r="C839" i="13"/>
  <c r="AG839" i="13" s="1"/>
  <c r="AN839" i="13" s="1"/>
  <c r="B839" i="13"/>
  <c r="A839" i="13"/>
  <c r="AQ838" i="13"/>
  <c r="P838" i="13"/>
  <c r="X838" i="13" s="1"/>
  <c r="O838" i="13"/>
  <c r="W838" i="13" s="1"/>
  <c r="N838" i="13"/>
  <c r="V838" i="13" s="1"/>
  <c r="M838" i="13"/>
  <c r="U838" i="13" s="1"/>
  <c r="L838" i="13"/>
  <c r="T838" i="13" s="1"/>
  <c r="K838" i="13"/>
  <c r="S838" i="13" s="1"/>
  <c r="J838" i="13"/>
  <c r="R838" i="13" s="1"/>
  <c r="I838" i="13"/>
  <c r="Q838" i="13" s="1"/>
  <c r="H838" i="13"/>
  <c r="G838" i="13"/>
  <c r="F838" i="13"/>
  <c r="E838" i="13"/>
  <c r="BA838" i="13" s="1"/>
  <c r="C838" i="13"/>
  <c r="AG838" i="13" s="1"/>
  <c r="B838" i="13"/>
  <c r="Z838" i="13" s="1"/>
  <c r="A838" i="13"/>
  <c r="AQ837" i="13"/>
  <c r="P837" i="13"/>
  <c r="X837" i="13" s="1"/>
  <c r="O837" i="13"/>
  <c r="W837" i="13" s="1"/>
  <c r="N837" i="13"/>
  <c r="V837" i="13" s="1"/>
  <c r="M837" i="13"/>
  <c r="U837" i="13" s="1"/>
  <c r="L837" i="13"/>
  <c r="T837" i="13" s="1"/>
  <c r="K837" i="13"/>
  <c r="S837" i="13" s="1"/>
  <c r="J837" i="13"/>
  <c r="R837" i="13" s="1"/>
  <c r="I837" i="13"/>
  <c r="Q837" i="13" s="1"/>
  <c r="H837" i="13"/>
  <c r="G837" i="13"/>
  <c r="F837" i="13"/>
  <c r="E837" i="13"/>
  <c r="C837" i="13"/>
  <c r="AG837" i="13" s="1"/>
  <c r="B837" i="13"/>
  <c r="A837" i="13"/>
  <c r="AU837" i="13" s="1"/>
  <c r="AQ836" i="13"/>
  <c r="P836" i="13"/>
  <c r="X836" i="13" s="1"/>
  <c r="O836" i="13"/>
  <c r="W836" i="13" s="1"/>
  <c r="N836" i="13"/>
  <c r="V836" i="13" s="1"/>
  <c r="M836" i="13"/>
  <c r="U836" i="13" s="1"/>
  <c r="L836" i="13"/>
  <c r="T836" i="13" s="1"/>
  <c r="K836" i="13"/>
  <c r="S836" i="13" s="1"/>
  <c r="J836" i="13"/>
  <c r="R836" i="13" s="1"/>
  <c r="I836" i="13"/>
  <c r="Q836" i="13" s="1"/>
  <c r="H836" i="13"/>
  <c r="G836" i="13"/>
  <c r="F836" i="13"/>
  <c r="E836" i="13"/>
  <c r="BA836" i="13" s="1"/>
  <c r="C836" i="13"/>
  <c r="AG836" i="13" s="1"/>
  <c r="B836" i="13"/>
  <c r="Z836" i="13" s="1"/>
  <c r="A836" i="13"/>
  <c r="AU836" i="13" s="1"/>
  <c r="AQ835" i="13"/>
  <c r="P835" i="13"/>
  <c r="X835" i="13" s="1"/>
  <c r="O835" i="13"/>
  <c r="W835" i="13" s="1"/>
  <c r="N835" i="13"/>
  <c r="V835" i="13" s="1"/>
  <c r="M835" i="13"/>
  <c r="U835" i="13" s="1"/>
  <c r="L835" i="13"/>
  <c r="T835" i="13" s="1"/>
  <c r="K835" i="13"/>
  <c r="S835" i="13" s="1"/>
  <c r="J835" i="13"/>
  <c r="R835" i="13" s="1"/>
  <c r="I835" i="13"/>
  <c r="Q835" i="13" s="1"/>
  <c r="H835" i="13"/>
  <c r="G835" i="13"/>
  <c r="F835" i="13"/>
  <c r="E835" i="13"/>
  <c r="BB835" i="13" s="1"/>
  <c r="C835" i="13"/>
  <c r="AG835" i="13" s="1"/>
  <c r="B835" i="13"/>
  <c r="Z835" i="13" s="1"/>
  <c r="A835" i="13"/>
  <c r="AQ834" i="13"/>
  <c r="P834" i="13"/>
  <c r="X834" i="13" s="1"/>
  <c r="O834" i="13"/>
  <c r="W834" i="13" s="1"/>
  <c r="N834" i="13"/>
  <c r="V834" i="13" s="1"/>
  <c r="M834" i="13"/>
  <c r="U834" i="13" s="1"/>
  <c r="L834" i="13"/>
  <c r="T834" i="13" s="1"/>
  <c r="K834" i="13"/>
  <c r="S834" i="13" s="1"/>
  <c r="J834" i="13"/>
  <c r="R834" i="13" s="1"/>
  <c r="I834" i="13"/>
  <c r="Q834" i="13" s="1"/>
  <c r="H834" i="13"/>
  <c r="G834" i="13"/>
  <c r="F834" i="13"/>
  <c r="E834" i="13"/>
  <c r="BA834" i="13" s="1"/>
  <c r="C834" i="13"/>
  <c r="AG834" i="13" s="1"/>
  <c r="B834" i="13"/>
  <c r="Z834" i="13" s="1"/>
  <c r="A834" i="13"/>
  <c r="AQ833" i="13"/>
  <c r="P833" i="13"/>
  <c r="X833" i="13" s="1"/>
  <c r="O833" i="13"/>
  <c r="W833" i="13" s="1"/>
  <c r="N833" i="13"/>
  <c r="V833" i="13" s="1"/>
  <c r="M833" i="13"/>
  <c r="U833" i="13" s="1"/>
  <c r="L833" i="13"/>
  <c r="T833" i="13" s="1"/>
  <c r="K833" i="13"/>
  <c r="S833" i="13" s="1"/>
  <c r="J833" i="13"/>
  <c r="R833" i="13" s="1"/>
  <c r="I833" i="13"/>
  <c r="Q833" i="13" s="1"/>
  <c r="H833" i="13"/>
  <c r="G833" i="13"/>
  <c r="F833" i="13"/>
  <c r="E833" i="13"/>
  <c r="BB833" i="13" s="1"/>
  <c r="C833" i="13"/>
  <c r="AG833" i="13" s="1"/>
  <c r="AN833" i="13" s="1"/>
  <c r="B833" i="13"/>
  <c r="Z833" i="13" s="1"/>
  <c r="A833" i="13"/>
  <c r="AU833" i="13" s="1"/>
  <c r="AQ832" i="13"/>
  <c r="P832" i="13"/>
  <c r="X832" i="13" s="1"/>
  <c r="O832" i="13"/>
  <c r="W832" i="13" s="1"/>
  <c r="N832" i="13"/>
  <c r="V832" i="13" s="1"/>
  <c r="M832" i="13"/>
  <c r="U832" i="13" s="1"/>
  <c r="L832" i="13"/>
  <c r="T832" i="13" s="1"/>
  <c r="K832" i="13"/>
  <c r="S832" i="13" s="1"/>
  <c r="J832" i="13"/>
  <c r="R832" i="13" s="1"/>
  <c r="I832" i="13"/>
  <c r="Q832" i="13" s="1"/>
  <c r="H832" i="13"/>
  <c r="G832" i="13"/>
  <c r="F832" i="13"/>
  <c r="E832" i="13"/>
  <c r="BA832" i="13" s="1"/>
  <c r="C832" i="13"/>
  <c r="AG832" i="13" s="1"/>
  <c r="B832" i="13"/>
  <c r="Z832" i="13" s="1"/>
  <c r="A832" i="13"/>
  <c r="AQ831" i="13"/>
  <c r="W831" i="13"/>
  <c r="P831" i="13"/>
  <c r="X831" i="13" s="1"/>
  <c r="O831" i="13"/>
  <c r="N831" i="13"/>
  <c r="V831" i="13" s="1"/>
  <c r="M831" i="13"/>
  <c r="U831" i="13" s="1"/>
  <c r="L831" i="13"/>
  <c r="T831" i="13" s="1"/>
  <c r="K831" i="13"/>
  <c r="S831" i="13" s="1"/>
  <c r="J831" i="13"/>
  <c r="R831" i="13" s="1"/>
  <c r="I831" i="13"/>
  <c r="Q831" i="13" s="1"/>
  <c r="H831" i="13"/>
  <c r="G831" i="13"/>
  <c r="F831" i="13"/>
  <c r="E831" i="13"/>
  <c r="BB831" i="13" s="1"/>
  <c r="C831" i="13"/>
  <c r="AG831" i="13" s="1"/>
  <c r="B831" i="13"/>
  <c r="Z831" i="13" s="1"/>
  <c r="A831" i="13"/>
  <c r="AQ830" i="13"/>
  <c r="P830" i="13"/>
  <c r="X830" i="13" s="1"/>
  <c r="O830" i="13"/>
  <c r="W830" i="13" s="1"/>
  <c r="N830" i="13"/>
  <c r="V830" i="13" s="1"/>
  <c r="M830" i="13"/>
  <c r="U830" i="13" s="1"/>
  <c r="L830" i="13"/>
  <c r="T830" i="13" s="1"/>
  <c r="K830" i="13"/>
  <c r="S830" i="13" s="1"/>
  <c r="J830" i="13"/>
  <c r="R830" i="13" s="1"/>
  <c r="I830" i="13"/>
  <c r="Q830" i="13" s="1"/>
  <c r="H830" i="13"/>
  <c r="G830" i="13"/>
  <c r="F830" i="13"/>
  <c r="E830" i="13"/>
  <c r="BB830" i="13" s="1"/>
  <c r="C830" i="13"/>
  <c r="AG830" i="13" s="1"/>
  <c r="B830" i="13"/>
  <c r="Z830" i="13" s="1"/>
  <c r="A830" i="13"/>
  <c r="AU830" i="13" s="1"/>
  <c r="AQ829" i="13"/>
  <c r="P829" i="13"/>
  <c r="X829" i="13" s="1"/>
  <c r="O829" i="13"/>
  <c r="W829" i="13" s="1"/>
  <c r="N829" i="13"/>
  <c r="V829" i="13" s="1"/>
  <c r="M829" i="13"/>
  <c r="U829" i="13" s="1"/>
  <c r="L829" i="13"/>
  <c r="T829" i="13" s="1"/>
  <c r="K829" i="13"/>
  <c r="S829" i="13" s="1"/>
  <c r="J829" i="13"/>
  <c r="R829" i="13" s="1"/>
  <c r="I829" i="13"/>
  <c r="Q829" i="13" s="1"/>
  <c r="H829" i="13"/>
  <c r="G829" i="13"/>
  <c r="F829" i="13"/>
  <c r="E829" i="13"/>
  <c r="BB829" i="13" s="1"/>
  <c r="C829" i="13"/>
  <c r="B829" i="13"/>
  <c r="Z829" i="13" s="1"/>
  <c r="A829" i="13"/>
  <c r="AU829" i="13" s="1"/>
  <c r="AQ828" i="13"/>
  <c r="Z828" i="13"/>
  <c r="P828" i="13"/>
  <c r="X828" i="13" s="1"/>
  <c r="O828" i="13"/>
  <c r="W828" i="13" s="1"/>
  <c r="N828" i="13"/>
  <c r="V828" i="13" s="1"/>
  <c r="M828" i="13"/>
  <c r="U828" i="13" s="1"/>
  <c r="L828" i="13"/>
  <c r="T828" i="13" s="1"/>
  <c r="K828" i="13"/>
  <c r="S828" i="13" s="1"/>
  <c r="J828" i="13"/>
  <c r="R828" i="13" s="1"/>
  <c r="I828" i="13"/>
  <c r="Q828" i="13" s="1"/>
  <c r="H828" i="13"/>
  <c r="G828" i="13"/>
  <c r="F828" i="13"/>
  <c r="E828" i="13"/>
  <c r="BA828" i="13" s="1"/>
  <c r="C828" i="13"/>
  <c r="AG828" i="13" s="1"/>
  <c r="B828" i="13"/>
  <c r="A828" i="13"/>
  <c r="AU827" i="13"/>
  <c r="AR827" i="13"/>
  <c r="AQ827" i="13"/>
  <c r="P827" i="13"/>
  <c r="X827" i="13" s="1"/>
  <c r="O827" i="13"/>
  <c r="W827" i="13" s="1"/>
  <c r="N827" i="13"/>
  <c r="V827" i="13" s="1"/>
  <c r="M827" i="13"/>
  <c r="U827" i="13" s="1"/>
  <c r="L827" i="13"/>
  <c r="T827" i="13" s="1"/>
  <c r="K827" i="13"/>
  <c r="S827" i="13" s="1"/>
  <c r="J827" i="13"/>
  <c r="R827" i="13" s="1"/>
  <c r="I827" i="13"/>
  <c r="Q827" i="13" s="1"/>
  <c r="H827" i="13"/>
  <c r="G827" i="13"/>
  <c r="F827" i="13"/>
  <c r="E827" i="13"/>
  <c r="BB827" i="13" s="1"/>
  <c r="C827" i="13"/>
  <c r="AG827" i="13" s="1"/>
  <c r="B827" i="13"/>
  <c r="Z827" i="13" s="1"/>
  <c r="A827" i="13"/>
  <c r="AC827" i="13" s="1"/>
  <c r="AQ826" i="13"/>
  <c r="P826" i="13"/>
  <c r="X826" i="13" s="1"/>
  <c r="O826" i="13"/>
  <c r="W826" i="13" s="1"/>
  <c r="N826" i="13"/>
  <c r="V826" i="13" s="1"/>
  <c r="M826" i="13"/>
  <c r="U826" i="13" s="1"/>
  <c r="L826" i="13"/>
  <c r="T826" i="13" s="1"/>
  <c r="K826" i="13"/>
  <c r="S826" i="13" s="1"/>
  <c r="J826" i="13"/>
  <c r="R826" i="13" s="1"/>
  <c r="I826" i="13"/>
  <c r="Q826" i="13" s="1"/>
  <c r="H826" i="13"/>
  <c r="G826" i="13"/>
  <c r="F826" i="13"/>
  <c r="E826" i="13"/>
  <c r="BB826" i="13" s="1"/>
  <c r="C826" i="13"/>
  <c r="AG826" i="13" s="1"/>
  <c r="B826" i="13"/>
  <c r="Z826" i="13" s="1"/>
  <c r="A826" i="13"/>
  <c r="AQ825" i="13"/>
  <c r="P825" i="13"/>
  <c r="X825" i="13" s="1"/>
  <c r="O825" i="13"/>
  <c r="W825" i="13" s="1"/>
  <c r="N825" i="13"/>
  <c r="V825" i="13" s="1"/>
  <c r="M825" i="13"/>
  <c r="U825" i="13" s="1"/>
  <c r="L825" i="13"/>
  <c r="T825" i="13" s="1"/>
  <c r="K825" i="13"/>
  <c r="S825" i="13" s="1"/>
  <c r="J825" i="13"/>
  <c r="R825" i="13" s="1"/>
  <c r="I825" i="13"/>
  <c r="Q825" i="13" s="1"/>
  <c r="H825" i="13"/>
  <c r="G825" i="13"/>
  <c r="F825" i="13"/>
  <c r="E825" i="13"/>
  <c r="BB825" i="13" s="1"/>
  <c r="C825" i="13"/>
  <c r="B825" i="13"/>
  <c r="Z825" i="13" s="1"/>
  <c r="A825" i="13"/>
  <c r="AU825" i="13" s="1"/>
  <c r="AQ824" i="13"/>
  <c r="P824" i="13"/>
  <c r="X824" i="13" s="1"/>
  <c r="O824" i="13"/>
  <c r="W824" i="13" s="1"/>
  <c r="N824" i="13"/>
  <c r="V824" i="13" s="1"/>
  <c r="M824" i="13"/>
  <c r="U824" i="13" s="1"/>
  <c r="L824" i="13"/>
  <c r="T824" i="13" s="1"/>
  <c r="K824" i="13"/>
  <c r="S824" i="13" s="1"/>
  <c r="J824" i="13"/>
  <c r="R824" i="13" s="1"/>
  <c r="I824" i="13"/>
  <c r="Q824" i="13" s="1"/>
  <c r="H824" i="13"/>
  <c r="G824" i="13"/>
  <c r="F824" i="13"/>
  <c r="E824" i="13"/>
  <c r="C824" i="13"/>
  <c r="AG824" i="13" s="1"/>
  <c r="B824" i="13"/>
  <c r="Z824" i="13" s="1"/>
  <c r="A824" i="13"/>
  <c r="AQ823" i="13"/>
  <c r="AG823" i="13"/>
  <c r="W823" i="13"/>
  <c r="P823" i="13"/>
  <c r="X823" i="13" s="1"/>
  <c r="O823" i="13"/>
  <c r="N823" i="13"/>
  <c r="V823" i="13" s="1"/>
  <c r="M823" i="13"/>
  <c r="U823" i="13" s="1"/>
  <c r="L823" i="13"/>
  <c r="T823" i="13" s="1"/>
  <c r="K823" i="13"/>
  <c r="S823" i="13" s="1"/>
  <c r="J823" i="13"/>
  <c r="R823" i="13" s="1"/>
  <c r="I823" i="13"/>
  <c r="Q823" i="13" s="1"/>
  <c r="H823" i="13"/>
  <c r="G823" i="13"/>
  <c r="F823" i="13"/>
  <c r="E823" i="13"/>
  <c r="BB823" i="13" s="1"/>
  <c r="C823" i="13"/>
  <c r="B823" i="13"/>
  <c r="Z823" i="13" s="1"/>
  <c r="A823" i="13"/>
  <c r="BB822" i="13"/>
  <c r="AQ822" i="13"/>
  <c r="P822" i="13"/>
  <c r="X822" i="13" s="1"/>
  <c r="O822" i="13"/>
  <c r="W822" i="13" s="1"/>
  <c r="N822" i="13"/>
  <c r="V822" i="13" s="1"/>
  <c r="M822" i="13"/>
  <c r="U822" i="13" s="1"/>
  <c r="L822" i="13"/>
  <c r="T822" i="13" s="1"/>
  <c r="K822" i="13"/>
  <c r="S822" i="13" s="1"/>
  <c r="J822" i="13"/>
  <c r="R822" i="13" s="1"/>
  <c r="I822" i="13"/>
  <c r="Q822" i="13" s="1"/>
  <c r="H822" i="13"/>
  <c r="G822" i="13"/>
  <c r="F822" i="13"/>
  <c r="E822" i="13"/>
  <c r="BA822" i="13" s="1"/>
  <c r="C822" i="13"/>
  <c r="AG822" i="13" s="1"/>
  <c r="B822" i="13"/>
  <c r="Z822" i="13" s="1"/>
  <c r="A822" i="13"/>
  <c r="AR821" i="13"/>
  <c r="AQ821" i="13"/>
  <c r="P821" i="13"/>
  <c r="X821" i="13" s="1"/>
  <c r="O821" i="13"/>
  <c r="W821" i="13" s="1"/>
  <c r="N821" i="13"/>
  <c r="V821" i="13" s="1"/>
  <c r="M821" i="13"/>
  <c r="U821" i="13" s="1"/>
  <c r="L821" i="13"/>
  <c r="T821" i="13" s="1"/>
  <c r="K821" i="13"/>
  <c r="S821" i="13" s="1"/>
  <c r="J821" i="13"/>
  <c r="R821" i="13" s="1"/>
  <c r="I821" i="13"/>
  <c r="Q821" i="13" s="1"/>
  <c r="H821" i="13"/>
  <c r="G821" i="13"/>
  <c r="F821" i="13"/>
  <c r="E821" i="13"/>
  <c r="BB821" i="13" s="1"/>
  <c r="C821" i="13"/>
  <c r="AG821" i="13" s="1"/>
  <c r="B821" i="13"/>
  <c r="Z821" i="13" s="1"/>
  <c r="A821" i="13"/>
  <c r="AU821" i="13" s="1"/>
  <c r="AQ820" i="13"/>
  <c r="P820" i="13"/>
  <c r="X820" i="13" s="1"/>
  <c r="O820" i="13"/>
  <c r="W820" i="13" s="1"/>
  <c r="N820" i="13"/>
  <c r="V820" i="13" s="1"/>
  <c r="M820" i="13"/>
  <c r="U820" i="13" s="1"/>
  <c r="L820" i="13"/>
  <c r="T820" i="13" s="1"/>
  <c r="K820" i="13"/>
  <c r="S820" i="13" s="1"/>
  <c r="J820" i="13"/>
  <c r="R820" i="13" s="1"/>
  <c r="I820" i="13"/>
  <c r="Q820" i="13" s="1"/>
  <c r="H820" i="13"/>
  <c r="G820" i="13"/>
  <c r="F820" i="13"/>
  <c r="E820" i="13"/>
  <c r="BA820" i="13" s="1"/>
  <c r="C820" i="13"/>
  <c r="AG820" i="13" s="1"/>
  <c r="B820" i="13"/>
  <c r="Z820" i="13" s="1"/>
  <c r="A820" i="13"/>
  <c r="AQ819" i="13"/>
  <c r="AG819" i="13"/>
  <c r="P819" i="13"/>
  <c r="X819" i="13" s="1"/>
  <c r="O819" i="13"/>
  <c r="W819" i="13" s="1"/>
  <c r="N819" i="13"/>
  <c r="V819" i="13" s="1"/>
  <c r="M819" i="13"/>
  <c r="U819" i="13" s="1"/>
  <c r="L819" i="13"/>
  <c r="T819" i="13" s="1"/>
  <c r="K819" i="13"/>
  <c r="S819" i="13" s="1"/>
  <c r="J819" i="13"/>
  <c r="R819" i="13" s="1"/>
  <c r="I819" i="13"/>
  <c r="Q819" i="13" s="1"/>
  <c r="H819" i="13"/>
  <c r="G819" i="13"/>
  <c r="F819" i="13"/>
  <c r="E819" i="13"/>
  <c r="BB819" i="13" s="1"/>
  <c r="C819" i="13"/>
  <c r="B819" i="13"/>
  <c r="Z819" i="13" s="1"/>
  <c r="A819" i="13"/>
  <c r="BA818" i="13"/>
  <c r="AQ818" i="13"/>
  <c r="P818" i="13"/>
  <c r="X818" i="13" s="1"/>
  <c r="O818" i="13"/>
  <c r="W818" i="13" s="1"/>
  <c r="N818" i="13"/>
  <c r="V818" i="13" s="1"/>
  <c r="M818" i="13"/>
  <c r="U818" i="13" s="1"/>
  <c r="L818" i="13"/>
  <c r="T818" i="13" s="1"/>
  <c r="K818" i="13"/>
  <c r="S818" i="13" s="1"/>
  <c r="J818" i="13"/>
  <c r="R818" i="13" s="1"/>
  <c r="I818" i="13"/>
  <c r="Q818" i="13" s="1"/>
  <c r="H818" i="13"/>
  <c r="G818" i="13"/>
  <c r="F818" i="13"/>
  <c r="E818" i="13"/>
  <c r="BB818" i="13" s="1"/>
  <c r="C818" i="13"/>
  <c r="AG818" i="13" s="1"/>
  <c r="AK818" i="13" s="1"/>
  <c r="B818" i="13"/>
  <c r="Z818" i="13" s="1"/>
  <c r="A818" i="13"/>
  <c r="AC818" i="13" s="1"/>
  <c r="AQ817" i="13"/>
  <c r="P817" i="13"/>
  <c r="X817" i="13" s="1"/>
  <c r="O817" i="13"/>
  <c r="W817" i="13" s="1"/>
  <c r="N817" i="13"/>
  <c r="V817" i="13" s="1"/>
  <c r="M817" i="13"/>
  <c r="U817" i="13" s="1"/>
  <c r="L817" i="13"/>
  <c r="T817" i="13" s="1"/>
  <c r="K817" i="13"/>
  <c r="S817" i="13" s="1"/>
  <c r="J817" i="13"/>
  <c r="R817" i="13" s="1"/>
  <c r="I817" i="13"/>
  <c r="Q817" i="13" s="1"/>
  <c r="H817" i="13"/>
  <c r="G817" i="13"/>
  <c r="F817" i="13"/>
  <c r="E817" i="13"/>
  <c r="BB817" i="13" s="1"/>
  <c r="C817" i="13"/>
  <c r="B817" i="13"/>
  <c r="Z817" i="13" s="1"/>
  <c r="A817" i="13"/>
  <c r="AU817" i="13" s="1"/>
  <c r="AQ816" i="13"/>
  <c r="P816" i="13"/>
  <c r="X816" i="13" s="1"/>
  <c r="O816" i="13"/>
  <c r="W816" i="13" s="1"/>
  <c r="N816" i="13"/>
  <c r="V816" i="13" s="1"/>
  <c r="M816" i="13"/>
  <c r="U816" i="13" s="1"/>
  <c r="L816" i="13"/>
  <c r="T816" i="13" s="1"/>
  <c r="K816" i="13"/>
  <c r="S816" i="13" s="1"/>
  <c r="J816" i="13"/>
  <c r="R816" i="13" s="1"/>
  <c r="I816" i="13"/>
  <c r="Q816" i="13" s="1"/>
  <c r="H816" i="13"/>
  <c r="G816" i="13"/>
  <c r="F816" i="13"/>
  <c r="E816" i="13"/>
  <c r="BA816" i="13" s="1"/>
  <c r="C816" i="13"/>
  <c r="AG816" i="13" s="1"/>
  <c r="B816" i="13"/>
  <c r="Z816" i="13" s="1"/>
  <c r="A816" i="13"/>
  <c r="AQ815" i="13"/>
  <c r="AG815" i="13"/>
  <c r="P815" i="13"/>
  <c r="X815" i="13" s="1"/>
  <c r="O815" i="13"/>
  <c r="W815" i="13" s="1"/>
  <c r="N815" i="13"/>
  <c r="V815" i="13" s="1"/>
  <c r="M815" i="13"/>
  <c r="U815" i="13" s="1"/>
  <c r="L815" i="13"/>
  <c r="T815" i="13" s="1"/>
  <c r="K815" i="13"/>
  <c r="S815" i="13" s="1"/>
  <c r="J815" i="13"/>
  <c r="R815" i="13" s="1"/>
  <c r="I815" i="13"/>
  <c r="Q815" i="13" s="1"/>
  <c r="H815" i="13"/>
  <c r="G815" i="13"/>
  <c r="F815" i="13"/>
  <c r="E815" i="13"/>
  <c r="BB815" i="13" s="1"/>
  <c r="C815" i="13"/>
  <c r="B815" i="13"/>
  <c r="Z815" i="13" s="1"/>
  <c r="A815" i="13"/>
  <c r="AC815" i="13" s="1"/>
  <c r="BB814" i="13"/>
  <c r="AQ814" i="13"/>
  <c r="P814" i="13"/>
  <c r="X814" i="13" s="1"/>
  <c r="O814" i="13"/>
  <c r="W814" i="13" s="1"/>
  <c r="N814" i="13"/>
  <c r="V814" i="13" s="1"/>
  <c r="M814" i="13"/>
  <c r="U814" i="13" s="1"/>
  <c r="L814" i="13"/>
  <c r="T814" i="13" s="1"/>
  <c r="K814" i="13"/>
  <c r="S814" i="13" s="1"/>
  <c r="J814" i="13"/>
  <c r="R814" i="13" s="1"/>
  <c r="I814" i="13"/>
  <c r="Q814" i="13" s="1"/>
  <c r="H814" i="13"/>
  <c r="G814" i="13"/>
  <c r="F814" i="13"/>
  <c r="E814" i="13"/>
  <c r="BA814" i="13" s="1"/>
  <c r="C814" i="13"/>
  <c r="AG814" i="13" s="1"/>
  <c r="B814" i="13"/>
  <c r="Z814" i="13" s="1"/>
  <c r="A814" i="13"/>
  <c r="AR814" i="13" s="1"/>
  <c r="AQ813" i="13"/>
  <c r="S813" i="13"/>
  <c r="P813" i="13"/>
  <c r="X813" i="13" s="1"/>
  <c r="O813" i="13"/>
  <c r="W813" i="13" s="1"/>
  <c r="N813" i="13"/>
  <c r="V813" i="13" s="1"/>
  <c r="M813" i="13"/>
  <c r="U813" i="13" s="1"/>
  <c r="L813" i="13"/>
  <c r="T813" i="13" s="1"/>
  <c r="K813" i="13"/>
  <c r="J813" i="13"/>
  <c r="R813" i="13" s="1"/>
  <c r="I813" i="13"/>
  <c r="Q813" i="13" s="1"/>
  <c r="H813" i="13"/>
  <c r="G813" i="13"/>
  <c r="F813" i="13"/>
  <c r="E813" i="13"/>
  <c r="BB813" i="13" s="1"/>
  <c r="C813" i="13"/>
  <c r="AG813" i="13" s="1"/>
  <c r="B813" i="13"/>
  <c r="Z813" i="13" s="1"/>
  <c r="A813" i="13"/>
  <c r="BB812" i="13"/>
  <c r="AQ812" i="13"/>
  <c r="P812" i="13"/>
  <c r="X812" i="13" s="1"/>
  <c r="O812" i="13"/>
  <c r="W812" i="13" s="1"/>
  <c r="N812" i="13"/>
  <c r="V812" i="13" s="1"/>
  <c r="M812" i="13"/>
  <c r="U812" i="13" s="1"/>
  <c r="L812" i="13"/>
  <c r="T812" i="13" s="1"/>
  <c r="K812" i="13"/>
  <c r="S812" i="13" s="1"/>
  <c r="J812" i="13"/>
  <c r="R812" i="13" s="1"/>
  <c r="I812" i="13"/>
  <c r="Q812" i="13" s="1"/>
  <c r="H812" i="13"/>
  <c r="G812" i="13"/>
  <c r="F812" i="13"/>
  <c r="E812" i="13"/>
  <c r="BA812" i="13" s="1"/>
  <c r="C812" i="13"/>
  <c r="AG812" i="13" s="1"/>
  <c r="B812" i="13"/>
  <c r="Z812" i="13" s="1"/>
  <c r="A812" i="13"/>
  <c r="AQ811" i="13"/>
  <c r="P811" i="13"/>
  <c r="X811" i="13" s="1"/>
  <c r="O811" i="13"/>
  <c r="W811" i="13" s="1"/>
  <c r="N811" i="13"/>
  <c r="V811" i="13" s="1"/>
  <c r="M811" i="13"/>
  <c r="U811" i="13" s="1"/>
  <c r="L811" i="13"/>
  <c r="T811" i="13" s="1"/>
  <c r="K811" i="13"/>
  <c r="S811" i="13" s="1"/>
  <c r="J811" i="13"/>
  <c r="R811" i="13" s="1"/>
  <c r="I811" i="13"/>
  <c r="Q811" i="13" s="1"/>
  <c r="H811" i="13"/>
  <c r="G811" i="13"/>
  <c r="F811" i="13"/>
  <c r="E811" i="13"/>
  <c r="BB811" i="13" s="1"/>
  <c r="C811" i="13"/>
  <c r="AG811" i="13" s="1"/>
  <c r="B811" i="13"/>
  <c r="Z811" i="13" s="1"/>
  <c r="A811" i="13"/>
  <c r="AQ810" i="13"/>
  <c r="P810" i="13"/>
  <c r="X810" i="13" s="1"/>
  <c r="O810" i="13"/>
  <c r="W810" i="13" s="1"/>
  <c r="N810" i="13"/>
  <c r="V810" i="13" s="1"/>
  <c r="M810" i="13"/>
  <c r="U810" i="13" s="1"/>
  <c r="L810" i="13"/>
  <c r="T810" i="13" s="1"/>
  <c r="K810" i="13"/>
  <c r="S810" i="13" s="1"/>
  <c r="J810" i="13"/>
  <c r="R810" i="13" s="1"/>
  <c r="I810" i="13"/>
  <c r="Q810" i="13" s="1"/>
  <c r="H810" i="13"/>
  <c r="G810" i="13"/>
  <c r="F810" i="13"/>
  <c r="E810" i="13"/>
  <c r="BB810" i="13" s="1"/>
  <c r="C810" i="13"/>
  <c r="AG810" i="13" s="1"/>
  <c r="B810" i="13"/>
  <c r="Z810" i="13" s="1"/>
  <c r="A810" i="13"/>
  <c r="AU810" i="13" s="1"/>
  <c r="AQ809" i="13"/>
  <c r="P809" i="13"/>
  <c r="X809" i="13" s="1"/>
  <c r="O809" i="13"/>
  <c r="W809" i="13" s="1"/>
  <c r="N809" i="13"/>
  <c r="V809" i="13" s="1"/>
  <c r="M809" i="13"/>
  <c r="U809" i="13" s="1"/>
  <c r="L809" i="13"/>
  <c r="T809" i="13" s="1"/>
  <c r="K809" i="13"/>
  <c r="S809" i="13" s="1"/>
  <c r="J809" i="13"/>
  <c r="R809" i="13" s="1"/>
  <c r="I809" i="13"/>
  <c r="Q809" i="13" s="1"/>
  <c r="H809" i="13"/>
  <c r="G809" i="13"/>
  <c r="F809" i="13"/>
  <c r="E809" i="13"/>
  <c r="C809" i="13"/>
  <c r="AG809" i="13" s="1"/>
  <c r="B809" i="13"/>
  <c r="Z809" i="13" s="1"/>
  <c r="A809" i="13"/>
  <c r="AQ808" i="13"/>
  <c r="P808" i="13"/>
  <c r="X808" i="13" s="1"/>
  <c r="O808" i="13"/>
  <c r="W808" i="13" s="1"/>
  <c r="N808" i="13"/>
  <c r="V808" i="13" s="1"/>
  <c r="M808" i="13"/>
  <c r="U808" i="13" s="1"/>
  <c r="L808" i="13"/>
  <c r="T808" i="13" s="1"/>
  <c r="K808" i="13"/>
  <c r="S808" i="13" s="1"/>
  <c r="J808" i="13"/>
  <c r="R808" i="13" s="1"/>
  <c r="I808" i="13"/>
  <c r="Q808" i="13" s="1"/>
  <c r="H808" i="13"/>
  <c r="G808" i="13"/>
  <c r="F808" i="13"/>
  <c r="E808" i="13"/>
  <c r="C808" i="13"/>
  <c r="AG808" i="13" s="1"/>
  <c r="B808" i="13"/>
  <c r="Z808" i="13" s="1"/>
  <c r="A808" i="13"/>
  <c r="AQ807" i="13"/>
  <c r="AG807" i="13"/>
  <c r="P807" i="13"/>
  <c r="X807" i="13" s="1"/>
  <c r="O807" i="13"/>
  <c r="W807" i="13" s="1"/>
  <c r="N807" i="13"/>
  <c r="V807" i="13" s="1"/>
  <c r="M807" i="13"/>
  <c r="U807" i="13" s="1"/>
  <c r="L807" i="13"/>
  <c r="T807" i="13" s="1"/>
  <c r="K807" i="13"/>
  <c r="S807" i="13" s="1"/>
  <c r="J807" i="13"/>
  <c r="R807" i="13" s="1"/>
  <c r="I807" i="13"/>
  <c r="Q807" i="13" s="1"/>
  <c r="H807" i="13"/>
  <c r="G807" i="13"/>
  <c r="F807" i="13"/>
  <c r="E807" i="13"/>
  <c r="BB807" i="13" s="1"/>
  <c r="C807" i="13"/>
  <c r="B807" i="13"/>
  <c r="Z807" i="13" s="1"/>
  <c r="A807" i="13"/>
  <c r="AC807" i="13" s="1"/>
  <c r="AQ806" i="13"/>
  <c r="P806" i="13"/>
  <c r="X806" i="13" s="1"/>
  <c r="O806" i="13"/>
  <c r="W806" i="13" s="1"/>
  <c r="N806" i="13"/>
  <c r="V806" i="13" s="1"/>
  <c r="M806" i="13"/>
  <c r="U806" i="13" s="1"/>
  <c r="L806" i="13"/>
  <c r="T806" i="13" s="1"/>
  <c r="K806" i="13"/>
  <c r="S806" i="13" s="1"/>
  <c r="J806" i="13"/>
  <c r="R806" i="13" s="1"/>
  <c r="I806" i="13"/>
  <c r="Q806" i="13" s="1"/>
  <c r="H806" i="13"/>
  <c r="G806" i="13"/>
  <c r="F806" i="13"/>
  <c r="E806" i="13"/>
  <c r="BB806" i="13" s="1"/>
  <c r="C806" i="13"/>
  <c r="AG806" i="13" s="1"/>
  <c r="B806" i="13"/>
  <c r="Z806" i="13" s="1"/>
  <c r="A806" i="13"/>
  <c r="AU806" i="13" s="1"/>
  <c r="AQ805" i="13"/>
  <c r="P805" i="13"/>
  <c r="X805" i="13" s="1"/>
  <c r="O805" i="13"/>
  <c r="W805" i="13" s="1"/>
  <c r="N805" i="13"/>
  <c r="V805" i="13" s="1"/>
  <c r="M805" i="13"/>
  <c r="U805" i="13" s="1"/>
  <c r="L805" i="13"/>
  <c r="T805" i="13" s="1"/>
  <c r="K805" i="13"/>
  <c r="S805" i="13" s="1"/>
  <c r="J805" i="13"/>
  <c r="R805" i="13" s="1"/>
  <c r="I805" i="13"/>
  <c r="Q805" i="13" s="1"/>
  <c r="H805" i="13"/>
  <c r="G805" i="13"/>
  <c r="F805" i="13"/>
  <c r="E805" i="13"/>
  <c r="BB805" i="13" s="1"/>
  <c r="C805" i="13"/>
  <c r="B805" i="13"/>
  <c r="Z805" i="13" s="1"/>
  <c r="A805" i="13"/>
  <c r="AU805" i="13" s="1"/>
  <c r="AQ804" i="13"/>
  <c r="P804" i="13"/>
  <c r="X804" i="13" s="1"/>
  <c r="O804" i="13"/>
  <c r="W804" i="13" s="1"/>
  <c r="N804" i="13"/>
  <c r="V804" i="13" s="1"/>
  <c r="M804" i="13"/>
  <c r="U804" i="13" s="1"/>
  <c r="L804" i="13"/>
  <c r="T804" i="13" s="1"/>
  <c r="K804" i="13"/>
  <c r="S804" i="13" s="1"/>
  <c r="J804" i="13"/>
  <c r="R804" i="13" s="1"/>
  <c r="I804" i="13"/>
  <c r="Q804" i="13" s="1"/>
  <c r="H804" i="13"/>
  <c r="G804" i="13"/>
  <c r="F804" i="13"/>
  <c r="E804" i="13"/>
  <c r="C804" i="13"/>
  <c r="AG804" i="13" s="1"/>
  <c r="B804" i="13"/>
  <c r="Z804" i="13" s="1"/>
  <c r="A804" i="13"/>
  <c r="AQ803" i="13"/>
  <c r="P803" i="13"/>
  <c r="X803" i="13" s="1"/>
  <c r="O803" i="13"/>
  <c r="W803" i="13" s="1"/>
  <c r="N803" i="13"/>
  <c r="V803" i="13" s="1"/>
  <c r="M803" i="13"/>
  <c r="U803" i="13" s="1"/>
  <c r="L803" i="13"/>
  <c r="T803" i="13" s="1"/>
  <c r="K803" i="13"/>
  <c r="S803" i="13" s="1"/>
  <c r="J803" i="13"/>
  <c r="R803" i="13" s="1"/>
  <c r="I803" i="13"/>
  <c r="Q803" i="13" s="1"/>
  <c r="H803" i="13"/>
  <c r="G803" i="13"/>
  <c r="F803" i="13"/>
  <c r="E803" i="13"/>
  <c r="BB803" i="13" s="1"/>
  <c r="C803" i="13"/>
  <c r="AG803" i="13" s="1"/>
  <c r="B803" i="13"/>
  <c r="Z803" i="13" s="1"/>
  <c r="A803" i="13"/>
  <c r="AC803" i="13" s="1"/>
  <c r="AQ802" i="13"/>
  <c r="P802" i="13"/>
  <c r="X802" i="13" s="1"/>
  <c r="O802" i="13"/>
  <c r="W802" i="13" s="1"/>
  <c r="N802" i="13"/>
  <c r="V802" i="13" s="1"/>
  <c r="M802" i="13"/>
  <c r="U802" i="13" s="1"/>
  <c r="L802" i="13"/>
  <c r="T802" i="13" s="1"/>
  <c r="K802" i="13"/>
  <c r="S802" i="13" s="1"/>
  <c r="J802" i="13"/>
  <c r="R802" i="13" s="1"/>
  <c r="I802" i="13"/>
  <c r="Q802" i="13" s="1"/>
  <c r="H802" i="13"/>
  <c r="G802" i="13"/>
  <c r="F802" i="13"/>
  <c r="E802" i="13"/>
  <c r="C802" i="13"/>
  <c r="AG802" i="13" s="1"/>
  <c r="B802" i="13"/>
  <c r="Z802" i="13" s="1"/>
  <c r="A802" i="13"/>
  <c r="AR802" i="13" s="1"/>
  <c r="AQ801" i="13"/>
  <c r="P801" i="13"/>
  <c r="X801" i="13" s="1"/>
  <c r="O801" i="13"/>
  <c r="W801" i="13" s="1"/>
  <c r="N801" i="13"/>
  <c r="V801" i="13" s="1"/>
  <c r="M801" i="13"/>
  <c r="U801" i="13" s="1"/>
  <c r="L801" i="13"/>
  <c r="T801" i="13" s="1"/>
  <c r="K801" i="13"/>
  <c r="S801" i="13" s="1"/>
  <c r="J801" i="13"/>
  <c r="R801" i="13" s="1"/>
  <c r="I801" i="13"/>
  <c r="Q801" i="13" s="1"/>
  <c r="H801" i="13"/>
  <c r="G801" i="13"/>
  <c r="F801" i="13"/>
  <c r="E801" i="13"/>
  <c r="BB801" i="13" s="1"/>
  <c r="C801" i="13"/>
  <c r="AG801" i="13" s="1"/>
  <c r="AK801" i="13" s="1"/>
  <c r="B801" i="13"/>
  <c r="A801" i="13"/>
  <c r="AC801" i="13" s="1"/>
  <c r="AQ800" i="13"/>
  <c r="P800" i="13"/>
  <c r="X800" i="13" s="1"/>
  <c r="O800" i="13"/>
  <c r="W800" i="13" s="1"/>
  <c r="N800" i="13"/>
  <c r="V800" i="13" s="1"/>
  <c r="M800" i="13"/>
  <c r="U800" i="13" s="1"/>
  <c r="L800" i="13"/>
  <c r="T800" i="13" s="1"/>
  <c r="K800" i="13"/>
  <c r="S800" i="13" s="1"/>
  <c r="J800" i="13"/>
  <c r="R800" i="13" s="1"/>
  <c r="I800" i="13"/>
  <c r="Q800" i="13" s="1"/>
  <c r="H800" i="13"/>
  <c r="G800" i="13"/>
  <c r="F800" i="13"/>
  <c r="E800" i="13"/>
  <c r="BB800" i="13" s="1"/>
  <c r="C800" i="13"/>
  <c r="B800" i="13"/>
  <c r="Z800" i="13" s="1"/>
  <c r="A800" i="13"/>
  <c r="AU800" i="13" s="1"/>
  <c r="AQ799" i="13"/>
  <c r="P799" i="13"/>
  <c r="X799" i="13" s="1"/>
  <c r="O799" i="13"/>
  <c r="W799" i="13" s="1"/>
  <c r="N799" i="13"/>
  <c r="V799" i="13" s="1"/>
  <c r="M799" i="13"/>
  <c r="U799" i="13" s="1"/>
  <c r="L799" i="13"/>
  <c r="T799" i="13" s="1"/>
  <c r="K799" i="13"/>
  <c r="S799" i="13" s="1"/>
  <c r="J799" i="13"/>
  <c r="R799" i="13" s="1"/>
  <c r="I799" i="13"/>
  <c r="Q799" i="13" s="1"/>
  <c r="H799" i="13"/>
  <c r="G799" i="13"/>
  <c r="F799" i="13"/>
  <c r="E799" i="13"/>
  <c r="C799" i="13"/>
  <c r="AG799" i="13" s="1"/>
  <c r="B799" i="13"/>
  <c r="Z799" i="13" s="1"/>
  <c r="A799" i="13"/>
  <c r="AQ798" i="13"/>
  <c r="P798" i="13"/>
  <c r="X798" i="13" s="1"/>
  <c r="O798" i="13"/>
  <c r="W798" i="13" s="1"/>
  <c r="N798" i="13"/>
  <c r="V798" i="13" s="1"/>
  <c r="M798" i="13"/>
  <c r="U798" i="13" s="1"/>
  <c r="L798" i="13"/>
  <c r="T798" i="13" s="1"/>
  <c r="K798" i="13"/>
  <c r="S798" i="13" s="1"/>
  <c r="J798" i="13"/>
  <c r="R798" i="13" s="1"/>
  <c r="I798" i="13"/>
  <c r="Q798" i="13" s="1"/>
  <c r="H798" i="13"/>
  <c r="G798" i="13"/>
  <c r="F798" i="13"/>
  <c r="E798" i="13"/>
  <c r="BB798" i="13" s="1"/>
  <c r="C798" i="13"/>
  <c r="AG798" i="13" s="1"/>
  <c r="B798" i="13"/>
  <c r="Z798" i="13" s="1"/>
  <c r="A798" i="13"/>
  <c r="AC798" i="13" s="1"/>
  <c r="AQ797" i="13"/>
  <c r="P797" i="13"/>
  <c r="X797" i="13" s="1"/>
  <c r="O797" i="13"/>
  <c r="W797" i="13" s="1"/>
  <c r="N797" i="13"/>
  <c r="V797" i="13" s="1"/>
  <c r="M797" i="13"/>
  <c r="U797" i="13" s="1"/>
  <c r="L797" i="13"/>
  <c r="T797" i="13" s="1"/>
  <c r="K797" i="13"/>
  <c r="S797" i="13" s="1"/>
  <c r="J797" i="13"/>
  <c r="R797" i="13" s="1"/>
  <c r="I797" i="13"/>
  <c r="Q797" i="13" s="1"/>
  <c r="H797" i="13"/>
  <c r="G797" i="13"/>
  <c r="F797" i="13"/>
  <c r="E797" i="13"/>
  <c r="BB797" i="13" s="1"/>
  <c r="C797" i="13"/>
  <c r="AG797" i="13" s="1"/>
  <c r="B797" i="13"/>
  <c r="Z797" i="13" s="1"/>
  <c r="A797" i="13"/>
  <c r="AR797" i="13" s="1"/>
  <c r="AQ796" i="13"/>
  <c r="P796" i="13"/>
  <c r="X796" i="13" s="1"/>
  <c r="O796" i="13"/>
  <c r="W796" i="13" s="1"/>
  <c r="N796" i="13"/>
  <c r="V796" i="13" s="1"/>
  <c r="M796" i="13"/>
  <c r="U796" i="13" s="1"/>
  <c r="L796" i="13"/>
  <c r="T796" i="13" s="1"/>
  <c r="K796" i="13"/>
  <c r="S796" i="13" s="1"/>
  <c r="J796" i="13"/>
  <c r="R796" i="13" s="1"/>
  <c r="I796" i="13"/>
  <c r="Q796" i="13" s="1"/>
  <c r="H796" i="13"/>
  <c r="G796" i="13"/>
  <c r="F796" i="13"/>
  <c r="E796" i="13"/>
  <c r="BB796" i="13" s="1"/>
  <c r="C796" i="13"/>
  <c r="B796" i="13"/>
  <c r="Z796" i="13" s="1"/>
  <c r="A796" i="13"/>
  <c r="AU796" i="13" s="1"/>
  <c r="AQ795" i="13"/>
  <c r="P795" i="13"/>
  <c r="X795" i="13" s="1"/>
  <c r="O795" i="13"/>
  <c r="W795" i="13" s="1"/>
  <c r="N795" i="13"/>
  <c r="V795" i="13" s="1"/>
  <c r="M795" i="13"/>
  <c r="U795" i="13" s="1"/>
  <c r="L795" i="13"/>
  <c r="T795" i="13" s="1"/>
  <c r="K795" i="13"/>
  <c r="S795" i="13" s="1"/>
  <c r="J795" i="13"/>
  <c r="R795" i="13" s="1"/>
  <c r="I795" i="13"/>
  <c r="Q795" i="13" s="1"/>
  <c r="H795" i="13"/>
  <c r="G795" i="13"/>
  <c r="F795" i="13"/>
  <c r="E795" i="13"/>
  <c r="BA795" i="13" s="1"/>
  <c r="C795" i="13"/>
  <c r="AG795" i="13" s="1"/>
  <c r="B795" i="13"/>
  <c r="Z795" i="13" s="1"/>
  <c r="A795" i="13"/>
  <c r="AQ794" i="13"/>
  <c r="T794" i="13"/>
  <c r="P794" i="13"/>
  <c r="X794" i="13" s="1"/>
  <c r="O794" i="13"/>
  <c r="W794" i="13" s="1"/>
  <c r="N794" i="13"/>
  <c r="V794" i="13" s="1"/>
  <c r="M794" i="13"/>
  <c r="U794" i="13" s="1"/>
  <c r="L794" i="13"/>
  <c r="K794" i="13"/>
  <c r="S794" i="13" s="1"/>
  <c r="J794" i="13"/>
  <c r="R794" i="13" s="1"/>
  <c r="I794" i="13"/>
  <c r="Q794" i="13" s="1"/>
  <c r="Y794" i="13" s="1"/>
  <c r="H794" i="13"/>
  <c r="G794" i="13"/>
  <c r="F794" i="13"/>
  <c r="E794" i="13"/>
  <c r="BB794" i="13" s="1"/>
  <c r="C794" i="13"/>
  <c r="AG794" i="13" s="1"/>
  <c r="B794" i="13"/>
  <c r="Z794" i="13" s="1"/>
  <c r="A794" i="13"/>
  <c r="AC794" i="13" s="1"/>
  <c r="AQ793" i="13"/>
  <c r="P793" i="13"/>
  <c r="X793" i="13" s="1"/>
  <c r="O793" i="13"/>
  <c r="W793" i="13" s="1"/>
  <c r="N793" i="13"/>
  <c r="V793" i="13" s="1"/>
  <c r="M793" i="13"/>
  <c r="U793" i="13" s="1"/>
  <c r="L793" i="13"/>
  <c r="T793" i="13" s="1"/>
  <c r="K793" i="13"/>
  <c r="S793" i="13" s="1"/>
  <c r="J793" i="13"/>
  <c r="R793" i="13" s="1"/>
  <c r="I793" i="13"/>
  <c r="Q793" i="13" s="1"/>
  <c r="H793" i="13"/>
  <c r="G793" i="13"/>
  <c r="F793" i="13"/>
  <c r="E793" i="13"/>
  <c r="BB793" i="13" s="1"/>
  <c r="C793" i="13"/>
  <c r="AG793" i="13" s="1"/>
  <c r="B793" i="13"/>
  <c r="Z793" i="13" s="1"/>
  <c r="A793" i="13"/>
  <c r="AC793" i="13" s="1"/>
  <c r="AQ792" i="13"/>
  <c r="P792" i="13"/>
  <c r="X792" i="13" s="1"/>
  <c r="O792" i="13"/>
  <c r="W792" i="13" s="1"/>
  <c r="N792" i="13"/>
  <c r="V792" i="13" s="1"/>
  <c r="M792" i="13"/>
  <c r="U792" i="13" s="1"/>
  <c r="L792" i="13"/>
  <c r="T792" i="13" s="1"/>
  <c r="K792" i="13"/>
  <c r="S792" i="13" s="1"/>
  <c r="J792" i="13"/>
  <c r="R792" i="13" s="1"/>
  <c r="I792" i="13"/>
  <c r="Q792" i="13" s="1"/>
  <c r="H792" i="13"/>
  <c r="G792" i="13"/>
  <c r="F792" i="13"/>
  <c r="E792" i="13"/>
  <c r="BB792" i="13" s="1"/>
  <c r="C792" i="13"/>
  <c r="B792" i="13"/>
  <c r="Z792" i="13" s="1"/>
  <c r="A792" i="13"/>
  <c r="AQ791" i="13"/>
  <c r="P791" i="13"/>
  <c r="X791" i="13" s="1"/>
  <c r="O791" i="13"/>
  <c r="W791" i="13" s="1"/>
  <c r="N791" i="13"/>
  <c r="V791" i="13" s="1"/>
  <c r="M791" i="13"/>
  <c r="U791" i="13" s="1"/>
  <c r="L791" i="13"/>
  <c r="T791" i="13" s="1"/>
  <c r="K791" i="13"/>
  <c r="S791" i="13" s="1"/>
  <c r="J791" i="13"/>
  <c r="R791" i="13" s="1"/>
  <c r="I791" i="13"/>
  <c r="Q791" i="13" s="1"/>
  <c r="H791" i="13"/>
  <c r="G791" i="13"/>
  <c r="F791" i="13"/>
  <c r="E791" i="13"/>
  <c r="BA791" i="13" s="1"/>
  <c r="C791" i="13"/>
  <c r="AG791" i="13" s="1"/>
  <c r="B791" i="13"/>
  <c r="Z791" i="13" s="1"/>
  <c r="A791" i="13"/>
  <c r="AQ790" i="13"/>
  <c r="P790" i="13"/>
  <c r="X790" i="13" s="1"/>
  <c r="O790" i="13"/>
  <c r="W790" i="13" s="1"/>
  <c r="N790" i="13"/>
  <c r="V790" i="13" s="1"/>
  <c r="M790" i="13"/>
  <c r="U790" i="13" s="1"/>
  <c r="L790" i="13"/>
  <c r="T790" i="13" s="1"/>
  <c r="K790" i="13"/>
  <c r="S790" i="13" s="1"/>
  <c r="J790" i="13"/>
  <c r="R790" i="13" s="1"/>
  <c r="I790" i="13"/>
  <c r="Q790" i="13" s="1"/>
  <c r="H790" i="13"/>
  <c r="G790" i="13"/>
  <c r="F790" i="13"/>
  <c r="E790" i="13"/>
  <c r="BB790" i="13" s="1"/>
  <c r="C790" i="13"/>
  <c r="AG790" i="13" s="1"/>
  <c r="AO790" i="13" s="1"/>
  <c r="B790" i="13"/>
  <c r="Z790" i="13" s="1"/>
  <c r="A790" i="13"/>
  <c r="AC790" i="13" s="1"/>
  <c r="AQ789" i="13"/>
  <c r="P789" i="13"/>
  <c r="X789" i="13" s="1"/>
  <c r="O789" i="13"/>
  <c r="W789" i="13" s="1"/>
  <c r="N789" i="13"/>
  <c r="V789" i="13" s="1"/>
  <c r="M789" i="13"/>
  <c r="U789" i="13" s="1"/>
  <c r="L789" i="13"/>
  <c r="T789" i="13" s="1"/>
  <c r="K789" i="13"/>
  <c r="S789" i="13" s="1"/>
  <c r="J789" i="13"/>
  <c r="R789" i="13" s="1"/>
  <c r="I789" i="13"/>
  <c r="Q789" i="13" s="1"/>
  <c r="H789" i="13"/>
  <c r="G789" i="13"/>
  <c r="F789" i="13"/>
  <c r="E789" i="13"/>
  <c r="BB789" i="13" s="1"/>
  <c r="C789" i="13"/>
  <c r="AG789" i="13" s="1"/>
  <c r="AK789" i="13" s="1"/>
  <c r="B789" i="13"/>
  <c r="Z789" i="13" s="1"/>
  <c r="A789" i="13"/>
  <c r="AQ788" i="13"/>
  <c r="P788" i="13"/>
  <c r="X788" i="13" s="1"/>
  <c r="O788" i="13"/>
  <c r="W788" i="13" s="1"/>
  <c r="N788" i="13"/>
  <c r="V788" i="13" s="1"/>
  <c r="M788" i="13"/>
  <c r="U788" i="13" s="1"/>
  <c r="L788" i="13"/>
  <c r="T788" i="13" s="1"/>
  <c r="K788" i="13"/>
  <c r="S788" i="13" s="1"/>
  <c r="J788" i="13"/>
  <c r="R788" i="13" s="1"/>
  <c r="I788" i="13"/>
  <c r="Q788" i="13" s="1"/>
  <c r="H788" i="13"/>
  <c r="G788" i="13"/>
  <c r="F788" i="13"/>
  <c r="E788" i="13"/>
  <c r="BB788" i="13" s="1"/>
  <c r="C788" i="13"/>
  <c r="B788" i="13"/>
  <c r="Z788" i="13" s="1"/>
  <c r="A788" i="13"/>
  <c r="AU788" i="13" s="1"/>
  <c r="AQ787" i="13"/>
  <c r="P787" i="13"/>
  <c r="X787" i="13" s="1"/>
  <c r="O787" i="13"/>
  <c r="W787" i="13" s="1"/>
  <c r="N787" i="13"/>
  <c r="V787" i="13" s="1"/>
  <c r="M787" i="13"/>
  <c r="U787" i="13" s="1"/>
  <c r="L787" i="13"/>
  <c r="T787" i="13" s="1"/>
  <c r="K787" i="13"/>
  <c r="S787" i="13" s="1"/>
  <c r="J787" i="13"/>
  <c r="R787" i="13" s="1"/>
  <c r="I787" i="13"/>
  <c r="Q787" i="13" s="1"/>
  <c r="H787" i="13"/>
  <c r="G787" i="13"/>
  <c r="F787" i="13"/>
  <c r="E787" i="13"/>
  <c r="C787" i="13"/>
  <c r="AG787" i="13" s="1"/>
  <c r="B787" i="13"/>
  <c r="Z787" i="13" s="1"/>
  <c r="A787" i="13"/>
  <c r="AQ786" i="13"/>
  <c r="P786" i="13"/>
  <c r="X786" i="13" s="1"/>
  <c r="O786" i="13"/>
  <c r="W786" i="13" s="1"/>
  <c r="N786" i="13"/>
  <c r="V786" i="13" s="1"/>
  <c r="M786" i="13"/>
  <c r="U786" i="13" s="1"/>
  <c r="L786" i="13"/>
  <c r="T786" i="13" s="1"/>
  <c r="K786" i="13"/>
  <c r="S786" i="13" s="1"/>
  <c r="J786" i="13"/>
  <c r="R786" i="13" s="1"/>
  <c r="I786" i="13"/>
  <c r="Q786" i="13" s="1"/>
  <c r="H786" i="13"/>
  <c r="G786" i="13"/>
  <c r="F786" i="13"/>
  <c r="E786" i="13"/>
  <c r="BB786" i="13" s="1"/>
  <c r="C786" i="13"/>
  <c r="AG786" i="13" s="1"/>
  <c r="B786" i="13"/>
  <c r="Z786" i="13" s="1"/>
  <c r="A786" i="13"/>
  <c r="AC786" i="13" s="1"/>
  <c r="AQ785" i="13"/>
  <c r="P785" i="13"/>
  <c r="X785" i="13" s="1"/>
  <c r="O785" i="13"/>
  <c r="W785" i="13" s="1"/>
  <c r="N785" i="13"/>
  <c r="V785" i="13" s="1"/>
  <c r="M785" i="13"/>
  <c r="U785" i="13" s="1"/>
  <c r="L785" i="13"/>
  <c r="T785" i="13" s="1"/>
  <c r="K785" i="13"/>
  <c r="S785" i="13" s="1"/>
  <c r="J785" i="13"/>
  <c r="R785" i="13" s="1"/>
  <c r="I785" i="13"/>
  <c r="Q785" i="13" s="1"/>
  <c r="H785" i="13"/>
  <c r="G785" i="13"/>
  <c r="F785" i="13"/>
  <c r="E785" i="13"/>
  <c r="BB785" i="13" s="1"/>
  <c r="C785" i="13"/>
  <c r="AG785" i="13" s="1"/>
  <c r="B785" i="13"/>
  <c r="Z785" i="13" s="1"/>
  <c r="A785" i="13"/>
  <c r="AQ784" i="13"/>
  <c r="P784" i="13"/>
  <c r="X784" i="13" s="1"/>
  <c r="O784" i="13"/>
  <c r="W784" i="13" s="1"/>
  <c r="N784" i="13"/>
  <c r="V784" i="13" s="1"/>
  <c r="M784" i="13"/>
  <c r="U784" i="13" s="1"/>
  <c r="L784" i="13"/>
  <c r="T784" i="13" s="1"/>
  <c r="K784" i="13"/>
  <c r="S784" i="13" s="1"/>
  <c r="J784" i="13"/>
  <c r="R784" i="13" s="1"/>
  <c r="I784" i="13"/>
  <c r="Q784" i="13" s="1"/>
  <c r="H784" i="13"/>
  <c r="G784" i="13"/>
  <c r="F784" i="13"/>
  <c r="E784" i="13"/>
  <c r="BB784" i="13" s="1"/>
  <c r="C784" i="13"/>
  <c r="B784" i="13"/>
  <c r="Z784" i="13" s="1"/>
  <c r="A784" i="13"/>
  <c r="AU784" i="13" s="1"/>
  <c r="AQ783" i="13"/>
  <c r="P783" i="13"/>
  <c r="X783" i="13" s="1"/>
  <c r="O783" i="13"/>
  <c r="W783" i="13" s="1"/>
  <c r="N783" i="13"/>
  <c r="V783" i="13" s="1"/>
  <c r="M783" i="13"/>
  <c r="U783" i="13" s="1"/>
  <c r="L783" i="13"/>
  <c r="T783" i="13" s="1"/>
  <c r="K783" i="13"/>
  <c r="S783" i="13" s="1"/>
  <c r="J783" i="13"/>
  <c r="R783" i="13" s="1"/>
  <c r="I783" i="13"/>
  <c r="Q783" i="13" s="1"/>
  <c r="H783" i="13"/>
  <c r="G783" i="13"/>
  <c r="F783" i="13"/>
  <c r="E783" i="13"/>
  <c r="C783" i="13"/>
  <c r="AG783" i="13" s="1"/>
  <c r="B783" i="13"/>
  <c r="Z783" i="13" s="1"/>
  <c r="A783" i="13"/>
  <c r="AQ782" i="13"/>
  <c r="T782" i="13"/>
  <c r="P782" i="13"/>
  <c r="X782" i="13" s="1"/>
  <c r="O782" i="13"/>
  <c r="W782" i="13" s="1"/>
  <c r="N782" i="13"/>
  <c r="V782" i="13" s="1"/>
  <c r="M782" i="13"/>
  <c r="U782" i="13" s="1"/>
  <c r="L782" i="13"/>
  <c r="K782" i="13"/>
  <c r="S782" i="13" s="1"/>
  <c r="J782" i="13"/>
  <c r="R782" i="13" s="1"/>
  <c r="I782" i="13"/>
  <c r="Q782" i="13" s="1"/>
  <c r="H782" i="13"/>
  <c r="G782" i="13"/>
  <c r="F782" i="13"/>
  <c r="E782" i="13"/>
  <c r="BB782" i="13" s="1"/>
  <c r="C782" i="13"/>
  <c r="AG782" i="13" s="1"/>
  <c r="B782" i="13"/>
  <c r="Z782" i="13" s="1"/>
  <c r="A782" i="13"/>
  <c r="AC782" i="13" s="1"/>
  <c r="AU781" i="13"/>
  <c r="AQ781" i="13"/>
  <c r="U781" i="13"/>
  <c r="P781" i="13"/>
  <c r="X781" i="13" s="1"/>
  <c r="O781" i="13"/>
  <c r="W781" i="13" s="1"/>
  <c r="N781" i="13"/>
  <c r="V781" i="13" s="1"/>
  <c r="M781" i="13"/>
  <c r="L781" i="13"/>
  <c r="T781" i="13" s="1"/>
  <c r="K781" i="13"/>
  <c r="S781" i="13" s="1"/>
  <c r="J781" i="13"/>
  <c r="R781" i="13" s="1"/>
  <c r="I781" i="13"/>
  <c r="Q781" i="13" s="1"/>
  <c r="H781" i="13"/>
  <c r="G781" i="13"/>
  <c r="F781" i="13"/>
  <c r="E781" i="13"/>
  <c r="BB781" i="13" s="1"/>
  <c r="C781" i="13"/>
  <c r="AG781" i="13" s="1"/>
  <c r="AK781" i="13" s="1"/>
  <c r="B781" i="13"/>
  <c r="Z781" i="13" s="1"/>
  <c r="A781" i="13"/>
  <c r="AC781" i="13" s="1"/>
  <c r="AQ780" i="13"/>
  <c r="AC780" i="13"/>
  <c r="P780" i="13"/>
  <c r="X780" i="13" s="1"/>
  <c r="O780" i="13"/>
  <c r="W780" i="13" s="1"/>
  <c r="N780" i="13"/>
  <c r="V780" i="13" s="1"/>
  <c r="M780" i="13"/>
  <c r="U780" i="13" s="1"/>
  <c r="L780" i="13"/>
  <c r="T780" i="13" s="1"/>
  <c r="K780" i="13"/>
  <c r="S780" i="13" s="1"/>
  <c r="J780" i="13"/>
  <c r="R780" i="13" s="1"/>
  <c r="I780" i="13"/>
  <c r="Q780" i="13" s="1"/>
  <c r="H780" i="13"/>
  <c r="G780" i="13"/>
  <c r="F780" i="13"/>
  <c r="E780" i="13"/>
  <c r="BB780" i="13" s="1"/>
  <c r="C780" i="13"/>
  <c r="B780" i="13"/>
  <c r="Z780" i="13" s="1"/>
  <c r="A780" i="13"/>
  <c r="AU780" i="13" s="1"/>
  <c r="BB779" i="13"/>
  <c r="AQ779" i="13"/>
  <c r="P779" i="13"/>
  <c r="X779" i="13" s="1"/>
  <c r="O779" i="13"/>
  <c r="W779" i="13" s="1"/>
  <c r="N779" i="13"/>
  <c r="V779" i="13" s="1"/>
  <c r="M779" i="13"/>
  <c r="U779" i="13" s="1"/>
  <c r="L779" i="13"/>
  <c r="T779" i="13" s="1"/>
  <c r="K779" i="13"/>
  <c r="S779" i="13" s="1"/>
  <c r="J779" i="13"/>
  <c r="R779" i="13" s="1"/>
  <c r="I779" i="13"/>
  <c r="Q779" i="13" s="1"/>
  <c r="H779" i="13"/>
  <c r="G779" i="13"/>
  <c r="F779" i="13"/>
  <c r="E779" i="13"/>
  <c r="BA779" i="13" s="1"/>
  <c r="C779" i="13"/>
  <c r="AG779" i="13" s="1"/>
  <c r="B779" i="13"/>
  <c r="Z779" i="13" s="1"/>
  <c r="A779" i="13"/>
  <c r="AQ778" i="13"/>
  <c r="X778" i="13"/>
  <c r="P778" i="13"/>
  <c r="O778" i="13"/>
  <c r="W778" i="13" s="1"/>
  <c r="N778" i="13"/>
  <c r="V778" i="13" s="1"/>
  <c r="M778" i="13"/>
  <c r="U778" i="13" s="1"/>
  <c r="L778" i="13"/>
  <c r="T778" i="13" s="1"/>
  <c r="K778" i="13"/>
  <c r="S778" i="13" s="1"/>
  <c r="J778" i="13"/>
  <c r="R778" i="13" s="1"/>
  <c r="I778" i="13"/>
  <c r="Q778" i="13" s="1"/>
  <c r="H778" i="13"/>
  <c r="G778" i="13"/>
  <c r="F778" i="13"/>
  <c r="E778" i="13"/>
  <c r="BB778" i="13" s="1"/>
  <c r="C778" i="13"/>
  <c r="AG778" i="13" s="1"/>
  <c r="B778" i="13"/>
  <c r="Z778" i="13" s="1"/>
  <c r="A778" i="13"/>
  <c r="AQ777" i="13"/>
  <c r="P777" i="13"/>
  <c r="X777" i="13" s="1"/>
  <c r="O777" i="13"/>
  <c r="W777" i="13" s="1"/>
  <c r="N777" i="13"/>
  <c r="V777" i="13" s="1"/>
  <c r="M777" i="13"/>
  <c r="U777" i="13" s="1"/>
  <c r="L777" i="13"/>
  <c r="T777" i="13" s="1"/>
  <c r="K777" i="13"/>
  <c r="S777" i="13" s="1"/>
  <c r="J777" i="13"/>
  <c r="R777" i="13" s="1"/>
  <c r="I777" i="13"/>
  <c r="Q777" i="13" s="1"/>
  <c r="H777" i="13"/>
  <c r="G777" i="13"/>
  <c r="F777" i="13"/>
  <c r="E777" i="13"/>
  <c r="C777" i="13"/>
  <c r="AG777" i="13" s="1"/>
  <c r="B777" i="13"/>
  <c r="Z777" i="13" s="1"/>
  <c r="A777" i="13"/>
  <c r="AU777" i="13" s="1"/>
  <c r="AQ776" i="13"/>
  <c r="P776" i="13"/>
  <c r="X776" i="13" s="1"/>
  <c r="O776" i="13"/>
  <c r="W776" i="13" s="1"/>
  <c r="N776" i="13"/>
  <c r="V776" i="13" s="1"/>
  <c r="M776" i="13"/>
  <c r="U776" i="13" s="1"/>
  <c r="L776" i="13"/>
  <c r="T776" i="13" s="1"/>
  <c r="K776" i="13"/>
  <c r="S776" i="13" s="1"/>
  <c r="J776" i="13"/>
  <c r="R776" i="13" s="1"/>
  <c r="I776" i="13"/>
  <c r="Q776" i="13" s="1"/>
  <c r="H776" i="13"/>
  <c r="G776" i="13"/>
  <c r="F776" i="13"/>
  <c r="E776" i="13"/>
  <c r="BB776" i="13" s="1"/>
  <c r="C776" i="13"/>
  <c r="B776" i="13"/>
  <c r="Z776" i="13" s="1"/>
  <c r="A776" i="13"/>
  <c r="AU776" i="13" s="1"/>
  <c r="AQ775" i="13"/>
  <c r="P775" i="13"/>
  <c r="X775" i="13" s="1"/>
  <c r="O775" i="13"/>
  <c r="W775" i="13" s="1"/>
  <c r="N775" i="13"/>
  <c r="V775" i="13" s="1"/>
  <c r="M775" i="13"/>
  <c r="U775" i="13" s="1"/>
  <c r="L775" i="13"/>
  <c r="T775" i="13" s="1"/>
  <c r="K775" i="13"/>
  <c r="S775" i="13" s="1"/>
  <c r="J775" i="13"/>
  <c r="R775" i="13" s="1"/>
  <c r="I775" i="13"/>
  <c r="Q775" i="13" s="1"/>
  <c r="H775" i="13"/>
  <c r="G775" i="13"/>
  <c r="F775" i="13"/>
  <c r="E775" i="13"/>
  <c r="C775" i="13"/>
  <c r="AG775" i="13" s="1"/>
  <c r="B775" i="13"/>
  <c r="Z775" i="13" s="1"/>
  <c r="A775" i="13"/>
  <c r="AQ774" i="13"/>
  <c r="P774" i="13"/>
  <c r="X774" i="13" s="1"/>
  <c r="O774" i="13"/>
  <c r="W774" i="13" s="1"/>
  <c r="N774" i="13"/>
  <c r="V774" i="13" s="1"/>
  <c r="M774" i="13"/>
  <c r="U774" i="13" s="1"/>
  <c r="L774" i="13"/>
  <c r="T774" i="13" s="1"/>
  <c r="K774" i="13"/>
  <c r="S774" i="13" s="1"/>
  <c r="J774" i="13"/>
  <c r="R774" i="13" s="1"/>
  <c r="I774" i="13"/>
  <c r="Q774" i="13" s="1"/>
  <c r="H774" i="13"/>
  <c r="G774" i="13"/>
  <c r="F774" i="13"/>
  <c r="E774" i="13"/>
  <c r="BB774" i="13" s="1"/>
  <c r="C774" i="13"/>
  <c r="AG774" i="13" s="1"/>
  <c r="AK774" i="13" s="1"/>
  <c r="B774" i="13"/>
  <c r="Z774" i="13" s="1"/>
  <c r="A774" i="13"/>
  <c r="AQ773" i="13"/>
  <c r="AG773" i="13"/>
  <c r="P773" i="13"/>
  <c r="X773" i="13" s="1"/>
  <c r="O773" i="13"/>
  <c r="W773" i="13" s="1"/>
  <c r="N773" i="13"/>
  <c r="V773" i="13" s="1"/>
  <c r="M773" i="13"/>
  <c r="U773" i="13" s="1"/>
  <c r="L773" i="13"/>
  <c r="T773" i="13" s="1"/>
  <c r="K773" i="13"/>
  <c r="S773" i="13" s="1"/>
  <c r="J773" i="13"/>
  <c r="R773" i="13" s="1"/>
  <c r="I773" i="13"/>
  <c r="Q773" i="13" s="1"/>
  <c r="H773" i="13"/>
  <c r="G773" i="13"/>
  <c r="F773" i="13"/>
  <c r="E773" i="13"/>
  <c r="BB773" i="13" s="1"/>
  <c r="C773" i="13"/>
  <c r="B773" i="13"/>
  <c r="Z773" i="13" s="1"/>
  <c r="A773" i="13"/>
  <c r="AR773" i="13" s="1"/>
  <c r="AQ772" i="13"/>
  <c r="P772" i="13"/>
  <c r="X772" i="13" s="1"/>
  <c r="O772" i="13"/>
  <c r="W772" i="13" s="1"/>
  <c r="N772" i="13"/>
  <c r="V772" i="13" s="1"/>
  <c r="M772" i="13"/>
  <c r="U772" i="13" s="1"/>
  <c r="L772" i="13"/>
  <c r="T772" i="13" s="1"/>
  <c r="K772" i="13"/>
  <c r="S772" i="13" s="1"/>
  <c r="J772" i="13"/>
  <c r="R772" i="13" s="1"/>
  <c r="I772" i="13"/>
  <c r="Q772" i="13" s="1"/>
  <c r="H772" i="13"/>
  <c r="G772" i="13"/>
  <c r="F772" i="13"/>
  <c r="E772" i="13"/>
  <c r="BB772" i="13" s="1"/>
  <c r="C772" i="13"/>
  <c r="AG772" i="13" s="1"/>
  <c r="B772" i="13"/>
  <c r="Z772" i="13" s="1"/>
  <c r="A772" i="13"/>
  <c r="AQ771" i="13"/>
  <c r="V771" i="13"/>
  <c r="P771" i="13"/>
  <c r="X771" i="13" s="1"/>
  <c r="O771" i="13"/>
  <c r="W771" i="13" s="1"/>
  <c r="N771" i="13"/>
  <c r="M771" i="13"/>
  <c r="U771" i="13" s="1"/>
  <c r="L771" i="13"/>
  <c r="T771" i="13" s="1"/>
  <c r="K771" i="13"/>
  <c r="S771" i="13" s="1"/>
  <c r="J771" i="13"/>
  <c r="R771" i="13" s="1"/>
  <c r="I771" i="13"/>
  <c r="Q771" i="13" s="1"/>
  <c r="H771" i="13"/>
  <c r="G771" i="13"/>
  <c r="F771" i="13"/>
  <c r="E771" i="13"/>
  <c r="BB771" i="13" s="1"/>
  <c r="C771" i="13"/>
  <c r="AG771" i="13" s="1"/>
  <c r="AO771" i="13" s="1"/>
  <c r="B771" i="13"/>
  <c r="Z771" i="13" s="1"/>
  <c r="A771" i="13"/>
  <c r="AQ770" i="13"/>
  <c r="P770" i="13"/>
  <c r="X770" i="13" s="1"/>
  <c r="O770" i="13"/>
  <c r="W770" i="13" s="1"/>
  <c r="N770" i="13"/>
  <c r="V770" i="13" s="1"/>
  <c r="M770" i="13"/>
  <c r="U770" i="13" s="1"/>
  <c r="L770" i="13"/>
  <c r="T770" i="13" s="1"/>
  <c r="K770" i="13"/>
  <c r="S770" i="13" s="1"/>
  <c r="J770" i="13"/>
  <c r="R770" i="13" s="1"/>
  <c r="I770" i="13"/>
  <c r="Q770" i="13" s="1"/>
  <c r="H770" i="13"/>
  <c r="G770" i="13"/>
  <c r="F770" i="13"/>
  <c r="E770" i="13"/>
  <c r="BB770" i="13" s="1"/>
  <c r="C770" i="13"/>
  <c r="AG770" i="13" s="1"/>
  <c r="B770" i="13"/>
  <c r="Z770" i="13" s="1"/>
  <c r="A770" i="13"/>
  <c r="AQ769" i="13"/>
  <c r="P769" i="13"/>
  <c r="X769" i="13" s="1"/>
  <c r="O769" i="13"/>
  <c r="W769" i="13" s="1"/>
  <c r="N769" i="13"/>
  <c r="V769" i="13" s="1"/>
  <c r="M769" i="13"/>
  <c r="U769" i="13" s="1"/>
  <c r="L769" i="13"/>
  <c r="T769" i="13" s="1"/>
  <c r="K769" i="13"/>
  <c r="S769" i="13" s="1"/>
  <c r="J769" i="13"/>
  <c r="R769" i="13" s="1"/>
  <c r="I769" i="13"/>
  <c r="Q769" i="13" s="1"/>
  <c r="H769" i="13"/>
  <c r="G769" i="13"/>
  <c r="F769" i="13"/>
  <c r="E769" i="13"/>
  <c r="BB769" i="13" s="1"/>
  <c r="C769" i="13"/>
  <c r="AG769" i="13" s="1"/>
  <c r="B769" i="13"/>
  <c r="Z769" i="13" s="1"/>
  <c r="A769" i="13"/>
  <c r="AR769" i="13" s="1"/>
  <c r="AQ768" i="13"/>
  <c r="P768" i="13"/>
  <c r="X768" i="13" s="1"/>
  <c r="O768" i="13"/>
  <c r="W768" i="13" s="1"/>
  <c r="N768" i="13"/>
  <c r="V768" i="13" s="1"/>
  <c r="M768" i="13"/>
  <c r="U768" i="13" s="1"/>
  <c r="L768" i="13"/>
  <c r="T768" i="13" s="1"/>
  <c r="K768" i="13"/>
  <c r="S768" i="13" s="1"/>
  <c r="J768" i="13"/>
  <c r="R768" i="13" s="1"/>
  <c r="I768" i="13"/>
  <c r="Q768" i="13" s="1"/>
  <c r="H768" i="13"/>
  <c r="G768" i="13"/>
  <c r="F768" i="13"/>
  <c r="E768" i="13"/>
  <c r="BB768" i="13" s="1"/>
  <c r="C768" i="13"/>
  <c r="AG768" i="13" s="1"/>
  <c r="AM768" i="13" s="1"/>
  <c r="B768" i="13"/>
  <c r="Z768" i="13" s="1"/>
  <c r="A768" i="13"/>
  <c r="AQ767" i="13"/>
  <c r="P767" i="13"/>
  <c r="X767" i="13" s="1"/>
  <c r="O767" i="13"/>
  <c r="W767" i="13" s="1"/>
  <c r="N767" i="13"/>
  <c r="V767" i="13" s="1"/>
  <c r="M767" i="13"/>
  <c r="U767" i="13" s="1"/>
  <c r="L767" i="13"/>
  <c r="T767" i="13" s="1"/>
  <c r="K767" i="13"/>
  <c r="S767" i="13" s="1"/>
  <c r="J767" i="13"/>
  <c r="R767" i="13" s="1"/>
  <c r="I767" i="13"/>
  <c r="Q767" i="13" s="1"/>
  <c r="H767" i="13"/>
  <c r="G767" i="13"/>
  <c r="F767" i="13"/>
  <c r="E767" i="13"/>
  <c r="BB767" i="13" s="1"/>
  <c r="C767" i="13"/>
  <c r="AG767" i="13" s="1"/>
  <c r="AO767" i="13" s="1"/>
  <c r="B767" i="13"/>
  <c r="Z767" i="13" s="1"/>
  <c r="A767" i="13"/>
  <c r="AR767" i="13" s="1"/>
  <c r="AQ766" i="13"/>
  <c r="P766" i="13"/>
  <c r="X766" i="13" s="1"/>
  <c r="O766" i="13"/>
  <c r="W766" i="13" s="1"/>
  <c r="N766" i="13"/>
  <c r="V766" i="13" s="1"/>
  <c r="M766" i="13"/>
  <c r="U766" i="13" s="1"/>
  <c r="L766" i="13"/>
  <c r="T766" i="13" s="1"/>
  <c r="K766" i="13"/>
  <c r="S766" i="13" s="1"/>
  <c r="J766" i="13"/>
  <c r="R766" i="13" s="1"/>
  <c r="I766" i="13"/>
  <c r="Q766" i="13" s="1"/>
  <c r="H766" i="13"/>
  <c r="G766" i="13"/>
  <c r="F766" i="13"/>
  <c r="E766" i="13"/>
  <c r="BB766" i="13" s="1"/>
  <c r="C766" i="13"/>
  <c r="AG766" i="13" s="1"/>
  <c r="B766" i="13"/>
  <c r="Z766" i="13" s="1"/>
  <c r="A766" i="13"/>
  <c r="AQ765" i="13"/>
  <c r="P765" i="13"/>
  <c r="X765" i="13" s="1"/>
  <c r="O765" i="13"/>
  <c r="W765" i="13" s="1"/>
  <c r="N765" i="13"/>
  <c r="V765" i="13" s="1"/>
  <c r="M765" i="13"/>
  <c r="U765" i="13" s="1"/>
  <c r="L765" i="13"/>
  <c r="T765" i="13" s="1"/>
  <c r="K765" i="13"/>
  <c r="S765" i="13" s="1"/>
  <c r="J765" i="13"/>
  <c r="R765" i="13" s="1"/>
  <c r="I765" i="13"/>
  <c r="Q765" i="13" s="1"/>
  <c r="H765" i="13"/>
  <c r="G765" i="13"/>
  <c r="F765" i="13"/>
  <c r="E765" i="13"/>
  <c r="BB765" i="13" s="1"/>
  <c r="C765" i="13"/>
  <c r="AG765" i="13" s="1"/>
  <c r="B765" i="13"/>
  <c r="Z765" i="13" s="1"/>
  <c r="A765" i="13"/>
  <c r="AR765" i="13" s="1"/>
  <c r="AQ764" i="13"/>
  <c r="P764" i="13"/>
  <c r="X764" i="13" s="1"/>
  <c r="O764" i="13"/>
  <c r="W764" i="13" s="1"/>
  <c r="N764" i="13"/>
  <c r="V764" i="13" s="1"/>
  <c r="M764" i="13"/>
  <c r="U764" i="13" s="1"/>
  <c r="L764" i="13"/>
  <c r="T764" i="13" s="1"/>
  <c r="K764" i="13"/>
  <c r="S764" i="13" s="1"/>
  <c r="J764" i="13"/>
  <c r="R764" i="13" s="1"/>
  <c r="I764" i="13"/>
  <c r="Q764" i="13" s="1"/>
  <c r="H764" i="13"/>
  <c r="G764" i="13"/>
  <c r="F764" i="13"/>
  <c r="E764" i="13"/>
  <c r="BB764" i="13" s="1"/>
  <c r="C764" i="13"/>
  <c r="AG764" i="13" s="1"/>
  <c r="B764" i="13"/>
  <c r="Z764" i="13" s="1"/>
  <c r="A764" i="13"/>
  <c r="AQ763" i="13"/>
  <c r="P763" i="13"/>
  <c r="X763" i="13" s="1"/>
  <c r="O763" i="13"/>
  <c r="W763" i="13" s="1"/>
  <c r="N763" i="13"/>
  <c r="V763" i="13" s="1"/>
  <c r="M763" i="13"/>
  <c r="U763" i="13" s="1"/>
  <c r="L763" i="13"/>
  <c r="T763" i="13" s="1"/>
  <c r="K763" i="13"/>
  <c r="S763" i="13" s="1"/>
  <c r="J763" i="13"/>
  <c r="R763" i="13" s="1"/>
  <c r="I763" i="13"/>
  <c r="Q763" i="13" s="1"/>
  <c r="H763" i="13"/>
  <c r="G763" i="13"/>
  <c r="F763" i="13"/>
  <c r="E763" i="13"/>
  <c r="BB763" i="13" s="1"/>
  <c r="C763" i="13"/>
  <c r="AG763" i="13" s="1"/>
  <c r="B763" i="13"/>
  <c r="Z763" i="13" s="1"/>
  <c r="A763" i="13"/>
  <c r="AQ762" i="13"/>
  <c r="P762" i="13"/>
  <c r="X762" i="13" s="1"/>
  <c r="O762" i="13"/>
  <c r="W762" i="13" s="1"/>
  <c r="N762" i="13"/>
  <c r="V762" i="13" s="1"/>
  <c r="M762" i="13"/>
  <c r="U762" i="13" s="1"/>
  <c r="L762" i="13"/>
  <c r="T762" i="13" s="1"/>
  <c r="K762" i="13"/>
  <c r="S762" i="13" s="1"/>
  <c r="J762" i="13"/>
  <c r="R762" i="13" s="1"/>
  <c r="I762" i="13"/>
  <c r="Q762" i="13" s="1"/>
  <c r="H762" i="13"/>
  <c r="G762" i="13"/>
  <c r="F762" i="13"/>
  <c r="E762" i="13"/>
  <c r="BB762" i="13" s="1"/>
  <c r="C762" i="13"/>
  <c r="AG762" i="13" s="1"/>
  <c r="B762" i="13"/>
  <c r="Z762" i="13" s="1"/>
  <c r="A762" i="13"/>
  <c r="AU762" i="13" s="1"/>
  <c r="AQ761" i="13"/>
  <c r="P761" i="13"/>
  <c r="X761" i="13" s="1"/>
  <c r="O761" i="13"/>
  <c r="W761" i="13" s="1"/>
  <c r="N761" i="13"/>
  <c r="V761" i="13" s="1"/>
  <c r="M761" i="13"/>
  <c r="U761" i="13" s="1"/>
  <c r="L761" i="13"/>
  <c r="T761" i="13" s="1"/>
  <c r="K761" i="13"/>
  <c r="S761" i="13" s="1"/>
  <c r="J761" i="13"/>
  <c r="R761" i="13" s="1"/>
  <c r="I761" i="13"/>
  <c r="Q761" i="13" s="1"/>
  <c r="H761" i="13"/>
  <c r="G761" i="13"/>
  <c r="F761" i="13"/>
  <c r="E761" i="13"/>
  <c r="BB761" i="13" s="1"/>
  <c r="C761" i="13"/>
  <c r="AG761" i="13" s="1"/>
  <c r="B761" i="13"/>
  <c r="Z761" i="13" s="1"/>
  <c r="A761" i="13"/>
  <c r="AR761" i="13" s="1"/>
  <c r="AQ760" i="13"/>
  <c r="P760" i="13"/>
  <c r="X760" i="13" s="1"/>
  <c r="O760" i="13"/>
  <c r="W760" i="13" s="1"/>
  <c r="N760" i="13"/>
  <c r="V760" i="13" s="1"/>
  <c r="M760" i="13"/>
  <c r="U760" i="13" s="1"/>
  <c r="L760" i="13"/>
  <c r="T760" i="13" s="1"/>
  <c r="K760" i="13"/>
  <c r="S760" i="13" s="1"/>
  <c r="J760" i="13"/>
  <c r="R760" i="13" s="1"/>
  <c r="I760" i="13"/>
  <c r="Q760" i="13" s="1"/>
  <c r="H760" i="13"/>
  <c r="G760" i="13"/>
  <c r="F760" i="13"/>
  <c r="E760" i="13"/>
  <c r="BB760" i="13" s="1"/>
  <c r="C760" i="13"/>
  <c r="AG760" i="13" s="1"/>
  <c r="B760" i="13"/>
  <c r="Z760" i="13" s="1"/>
  <c r="A760" i="13"/>
  <c r="AQ759" i="13"/>
  <c r="AG759" i="13"/>
  <c r="AO759" i="13" s="1"/>
  <c r="P759" i="13"/>
  <c r="X759" i="13" s="1"/>
  <c r="O759" i="13"/>
  <c r="W759" i="13" s="1"/>
  <c r="N759" i="13"/>
  <c r="V759" i="13" s="1"/>
  <c r="M759" i="13"/>
  <c r="U759" i="13" s="1"/>
  <c r="L759" i="13"/>
  <c r="T759" i="13" s="1"/>
  <c r="K759" i="13"/>
  <c r="S759" i="13" s="1"/>
  <c r="J759" i="13"/>
  <c r="R759" i="13" s="1"/>
  <c r="I759" i="13"/>
  <c r="Q759" i="13" s="1"/>
  <c r="H759" i="13"/>
  <c r="G759" i="13"/>
  <c r="F759" i="13"/>
  <c r="E759" i="13"/>
  <c r="BB759" i="13" s="1"/>
  <c r="C759" i="13"/>
  <c r="B759" i="13"/>
  <c r="Z759" i="13" s="1"/>
  <c r="A759" i="13"/>
  <c r="AR759" i="13" s="1"/>
  <c r="AQ758" i="13"/>
  <c r="W758" i="13"/>
  <c r="P758" i="13"/>
  <c r="X758" i="13" s="1"/>
  <c r="O758" i="13"/>
  <c r="N758" i="13"/>
  <c r="V758" i="13" s="1"/>
  <c r="M758" i="13"/>
  <c r="U758" i="13" s="1"/>
  <c r="L758" i="13"/>
  <c r="T758" i="13" s="1"/>
  <c r="K758" i="13"/>
  <c r="S758" i="13" s="1"/>
  <c r="J758" i="13"/>
  <c r="R758" i="13" s="1"/>
  <c r="I758" i="13"/>
  <c r="Q758" i="13" s="1"/>
  <c r="H758" i="13"/>
  <c r="G758" i="13"/>
  <c r="F758" i="13"/>
  <c r="E758" i="13"/>
  <c r="BB758" i="13" s="1"/>
  <c r="C758" i="13"/>
  <c r="AG758" i="13" s="1"/>
  <c r="B758" i="13"/>
  <c r="Z758" i="13" s="1"/>
  <c r="A758" i="13"/>
  <c r="AU758" i="13" s="1"/>
  <c r="AQ757" i="13"/>
  <c r="P757" i="13"/>
  <c r="X757" i="13" s="1"/>
  <c r="O757" i="13"/>
  <c r="W757" i="13" s="1"/>
  <c r="N757" i="13"/>
  <c r="V757" i="13" s="1"/>
  <c r="M757" i="13"/>
  <c r="U757" i="13" s="1"/>
  <c r="L757" i="13"/>
  <c r="T757" i="13" s="1"/>
  <c r="K757" i="13"/>
  <c r="S757" i="13" s="1"/>
  <c r="J757" i="13"/>
  <c r="R757" i="13" s="1"/>
  <c r="I757" i="13"/>
  <c r="Q757" i="13" s="1"/>
  <c r="H757" i="13"/>
  <c r="G757" i="13"/>
  <c r="F757" i="13"/>
  <c r="E757" i="13"/>
  <c r="BB757" i="13" s="1"/>
  <c r="C757" i="13"/>
  <c r="AG757" i="13" s="1"/>
  <c r="B757" i="13"/>
  <c r="Z757" i="13" s="1"/>
  <c r="A757" i="13"/>
  <c r="AQ756" i="13"/>
  <c r="P756" i="13"/>
  <c r="X756" i="13" s="1"/>
  <c r="O756" i="13"/>
  <c r="W756" i="13" s="1"/>
  <c r="N756" i="13"/>
  <c r="V756" i="13" s="1"/>
  <c r="M756" i="13"/>
  <c r="U756" i="13" s="1"/>
  <c r="L756" i="13"/>
  <c r="T756" i="13" s="1"/>
  <c r="K756" i="13"/>
  <c r="S756" i="13" s="1"/>
  <c r="J756" i="13"/>
  <c r="R756" i="13" s="1"/>
  <c r="I756" i="13"/>
  <c r="Q756" i="13" s="1"/>
  <c r="H756" i="13"/>
  <c r="G756" i="13"/>
  <c r="F756" i="13"/>
  <c r="E756" i="13"/>
  <c r="BB756" i="13" s="1"/>
  <c r="C756" i="13"/>
  <c r="AG756" i="13" s="1"/>
  <c r="B756" i="13"/>
  <c r="AR756" i="13" s="1"/>
  <c r="A756" i="13"/>
  <c r="AU756" i="13" s="1"/>
  <c r="AQ755" i="13"/>
  <c r="P755" i="13"/>
  <c r="X755" i="13" s="1"/>
  <c r="O755" i="13"/>
  <c r="W755" i="13" s="1"/>
  <c r="N755" i="13"/>
  <c r="V755" i="13" s="1"/>
  <c r="M755" i="13"/>
  <c r="U755" i="13" s="1"/>
  <c r="L755" i="13"/>
  <c r="T755" i="13" s="1"/>
  <c r="K755" i="13"/>
  <c r="S755" i="13" s="1"/>
  <c r="J755" i="13"/>
  <c r="R755" i="13" s="1"/>
  <c r="I755" i="13"/>
  <c r="Q755" i="13" s="1"/>
  <c r="H755" i="13"/>
  <c r="G755" i="13"/>
  <c r="F755" i="13"/>
  <c r="E755" i="13"/>
  <c r="BB755" i="13" s="1"/>
  <c r="C755" i="13"/>
  <c r="B755" i="13"/>
  <c r="Z755" i="13" s="1"/>
  <c r="A755" i="13"/>
  <c r="AU755" i="13" s="1"/>
  <c r="AQ754" i="13"/>
  <c r="P754" i="13"/>
  <c r="X754" i="13" s="1"/>
  <c r="O754" i="13"/>
  <c r="W754" i="13" s="1"/>
  <c r="N754" i="13"/>
  <c r="V754" i="13" s="1"/>
  <c r="M754" i="13"/>
  <c r="U754" i="13" s="1"/>
  <c r="L754" i="13"/>
  <c r="T754" i="13" s="1"/>
  <c r="K754" i="13"/>
  <c r="S754" i="13" s="1"/>
  <c r="J754" i="13"/>
  <c r="R754" i="13" s="1"/>
  <c r="I754" i="13"/>
  <c r="Q754" i="13" s="1"/>
  <c r="H754" i="13"/>
  <c r="G754" i="13"/>
  <c r="F754" i="13"/>
  <c r="E754" i="13"/>
  <c r="BA754" i="13" s="1"/>
  <c r="C754" i="13"/>
  <c r="AG754" i="13" s="1"/>
  <c r="B754" i="13"/>
  <c r="Z754" i="13" s="1"/>
  <c r="A754" i="13"/>
  <c r="AQ753" i="13"/>
  <c r="P753" i="13"/>
  <c r="X753" i="13" s="1"/>
  <c r="O753" i="13"/>
  <c r="W753" i="13" s="1"/>
  <c r="N753" i="13"/>
  <c r="V753" i="13" s="1"/>
  <c r="M753" i="13"/>
  <c r="U753" i="13" s="1"/>
  <c r="L753" i="13"/>
  <c r="T753" i="13" s="1"/>
  <c r="K753" i="13"/>
  <c r="S753" i="13" s="1"/>
  <c r="J753" i="13"/>
  <c r="R753" i="13" s="1"/>
  <c r="I753" i="13"/>
  <c r="Q753" i="13" s="1"/>
  <c r="H753" i="13"/>
  <c r="G753" i="13"/>
  <c r="F753" i="13"/>
  <c r="E753" i="13"/>
  <c r="BB753" i="13" s="1"/>
  <c r="C753" i="13"/>
  <c r="AG753" i="13" s="1"/>
  <c r="B753" i="13"/>
  <c r="Z753" i="13" s="1"/>
  <c r="A753" i="13"/>
  <c r="AU753" i="13" s="1"/>
  <c r="AQ752" i="13"/>
  <c r="W752" i="13"/>
  <c r="P752" i="13"/>
  <c r="X752" i="13" s="1"/>
  <c r="O752" i="13"/>
  <c r="N752" i="13"/>
  <c r="V752" i="13" s="1"/>
  <c r="M752" i="13"/>
  <c r="U752" i="13" s="1"/>
  <c r="L752" i="13"/>
  <c r="T752" i="13" s="1"/>
  <c r="K752" i="13"/>
  <c r="S752" i="13" s="1"/>
  <c r="J752" i="13"/>
  <c r="R752" i="13" s="1"/>
  <c r="I752" i="13"/>
  <c r="Q752" i="13" s="1"/>
  <c r="H752" i="13"/>
  <c r="G752" i="13"/>
  <c r="F752" i="13"/>
  <c r="E752" i="13"/>
  <c r="BB752" i="13" s="1"/>
  <c r="C752" i="13"/>
  <c r="AG752" i="13" s="1"/>
  <c r="B752" i="13"/>
  <c r="Z752" i="13" s="1"/>
  <c r="A752" i="13"/>
  <c r="AQ751" i="13"/>
  <c r="P751" i="13"/>
  <c r="X751" i="13" s="1"/>
  <c r="O751" i="13"/>
  <c r="W751" i="13" s="1"/>
  <c r="N751" i="13"/>
  <c r="V751" i="13" s="1"/>
  <c r="M751" i="13"/>
  <c r="U751" i="13" s="1"/>
  <c r="L751" i="13"/>
  <c r="T751" i="13" s="1"/>
  <c r="K751" i="13"/>
  <c r="S751" i="13" s="1"/>
  <c r="J751" i="13"/>
  <c r="R751" i="13" s="1"/>
  <c r="I751" i="13"/>
  <c r="Q751" i="13" s="1"/>
  <c r="H751" i="13"/>
  <c r="G751" i="13"/>
  <c r="F751" i="13"/>
  <c r="E751" i="13"/>
  <c r="C751" i="13"/>
  <c r="B751" i="13"/>
  <c r="Z751" i="13" s="1"/>
  <c r="A751" i="13"/>
  <c r="AU751" i="13" s="1"/>
  <c r="AQ750" i="13"/>
  <c r="P750" i="13"/>
  <c r="X750" i="13" s="1"/>
  <c r="O750" i="13"/>
  <c r="W750" i="13" s="1"/>
  <c r="N750" i="13"/>
  <c r="V750" i="13" s="1"/>
  <c r="M750" i="13"/>
  <c r="U750" i="13" s="1"/>
  <c r="L750" i="13"/>
  <c r="T750" i="13" s="1"/>
  <c r="K750" i="13"/>
  <c r="S750" i="13" s="1"/>
  <c r="J750" i="13"/>
  <c r="R750" i="13" s="1"/>
  <c r="I750" i="13"/>
  <c r="Q750" i="13" s="1"/>
  <c r="H750" i="13"/>
  <c r="G750" i="13"/>
  <c r="F750" i="13"/>
  <c r="E750" i="13"/>
  <c r="C750" i="13"/>
  <c r="AG750" i="13" s="1"/>
  <c r="B750" i="13"/>
  <c r="Z750" i="13" s="1"/>
  <c r="A750" i="13"/>
  <c r="AQ749" i="13"/>
  <c r="P749" i="13"/>
  <c r="X749" i="13" s="1"/>
  <c r="O749" i="13"/>
  <c r="W749" i="13" s="1"/>
  <c r="N749" i="13"/>
  <c r="V749" i="13" s="1"/>
  <c r="M749" i="13"/>
  <c r="U749" i="13" s="1"/>
  <c r="L749" i="13"/>
  <c r="T749" i="13" s="1"/>
  <c r="K749" i="13"/>
  <c r="S749" i="13" s="1"/>
  <c r="J749" i="13"/>
  <c r="R749" i="13" s="1"/>
  <c r="I749" i="13"/>
  <c r="Q749" i="13" s="1"/>
  <c r="H749" i="13"/>
  <c r="G749" i="13"/>
  <c r="F749" i="13"/>
  <c r="E749" i="13"/>
  <c r="BB749" i="13" s="1"/>
  <c r="C749" i="13"/>
  <c r="AG749" i="13" s="1"/>
  <c r="B749" i="13"/>
  <c r="Z749" i="13" s="1"/>
  <c r="A749" i="13"/>
  <c r="AU749" i="13" s="1"/>
  <c r="BA748" i="13"/>
  <c r="AQ748" i="13"/>
  <c r="V748" i="13"/>
  <c r="U748" i="13"/>
  <c r="P748" i="13"/>
  <c r="X748" i="13" s="1"/>
  <c r="O748" i="13"/>
  <c r="W748" i="13" s="1"/>
  <c r="N748" i="13"/>
  <c r="M748" i="13"/>
  <c r="L748" i="13"/>
  <c r="T748" i="13" s="1"/>
  <c r="K748" i="13"/>
  <c r="S748" i="13" s="1"/>
  <c r="J748" i="13"/>
  <c r="R748" i="13" s="1"/>
  <c r="I748" i="13"/>
  <c r="Q748" i="13" s="1"/>
  <c r="H748" i="13"/>
  <c r="G748" i="13"/>
  <c r="F748" i="13"/>
  <c r="E748" i="13"/>
  <c r="BB748" i="13" s="1"/>
  <c r="C748" i="13"/>
  <c r="AG748" i="13" s="1"/>
  <c r="B748" i="13"/>
  <c r="Z748" i="13" s="1"/>
  <c r="A748" i="13"/>
  <c r="AQ747" i="13"/>
  <c r="S747" i="13"/>
  <c r="P747" i="13"/>
  <c r="X747" i="13" s="1"/>
  <c r="O747" i="13"/>
  <c r="W747" i="13" s="1"/>
  <c r="N747" i="13"/>
  <c r="V747" i="13" s="1"/>
  <c r="M747" i="13"/>
  <c r="U747" i="13" s="1"/>
  <c r="L747" i="13"/>
  <c r="T747" i="13" s="1"/>
  <c r="K747" i="13"/>
  <c r="J747" i="13"/>
  <c r="R747" i="13" s="1"/>
  <c r="I747" i="13"/>
  <c r="Q747" i="13" s="1"/>
  <c r="H747" i="13"/>
  <c r="G747" i="13"/>
  <c r="F747" i="13"/>
  <c r="E747" i="13"/>
  <c r="BB747" i="13" s="1"/>
  <c r="C747" i="13"/>
  <c r="AG747" i="13" s="1"/>
  <c r="B747" i="13"/>
  <c r="Z747" i="13" s="1"/>
  <c r="A747" i="13"/>
  <c r="AU747" i="13" s="1"/>
  <c r="AQ746" i="13"/>
  <c r="P746" i="13"/>
  <c r="X746" i="13" s="1"/>
  <c r="O746" i="13"/>
  <c r="W746" i="13" s="1"/>
  <c r="N746" i="13"/>
  <c r="V746" i="13" s="1"/>
  <c r="M746" i="13"/>
  <c r="U746" i="13" s="1"/>
  <c r="L746" i="13"/>
  <c r="T746" i="13" s="1"/>
  <c r="K746" i="13"/>
  <c r="S746" i="13" s="1"/>
  <c r="J746" i="13"/>
  <c r="R746" i="13" s="1"/>
  <c r="I746" i="13"/>
  <c r="Q746" i="13" s="1"/>
  <c r="H746" i="13"/>
  <c r="G746" i="13"/>
  <c r="F746" i="13"/>
  <c r="E746" i="13"/>
  <c r="BA746" i="13" s="1"/>
  <c r="C746" i="13"/>
  <c r="AG746" i="13" s="1"/>
  <c r="B746" i="13"/>
  <c r="Z746" i="13" s="1"/>
  <c r="A746" i="13"/>
  <c r="AQ745" i="13"/>
  <c r="X745" i="13"/>
  <c r="P745" i="13"/>
  <c r="O745" i="13"/>
  <c r="W745" i="13" s="1"/>
  <c r="N745" i="13"/>
  <c r="V745" i="13" s="1"/>
  <c r="M745" i="13"/>
  <c r="U745" i="13" s="1"/>
  <c r="L745" i="13"/>
  <c r="T745" i="13" s="1"/>
  <c r="K745" i="13"/>
  <c r="S745" i="13" s="1"/>
  <c r="J745" i="13"/>
  <c r="R745" i="13" s="1"/>
  <c r="I745" i="13"/>
  <c r="Q745" i="13" s="1"/>
  <c r="H745" i="13"/>
  <c r="G745" i="13"/>
  <c r="F745" i="13"/>
  <c r="E745" i="13"/>
  <c r="BB745" i="13" s="1"/>
  <c r="C745" i="13"/>
  <c r="AG745" i="13" s="1"/>
  <c r="B745" i="13"/>
  <c r="Z745" i="13" s="1"/>
  <c r="A745" i="13"/>
  <c r="AQ744" i="13"/>
  <c r="P744" i="13"/>
  <c r="X744" i="13" s="1"/>
  <c r="O744" i="13"/>
  <c r="W744" i="13" s="1"/>
  <c r="N744" i="13"/>
  <c r="V744" i="13" s="1"/>
  <c r="M744" i="13"/>
  <c r="U744" i="13" s="1"/>
  <c r="L744" i="13"/>
  <c r="T744" i="13" s="1"/>
  <c r="K744" i="13"/>
  <c r="S744" i="13" s="1"/>
  <c r="J744" i="13"/>
  <c r="R744" i="13" s="1"/>
  <c r="I744" i="13"/>
  <c r="Q744" i="13" s="1"/>
  <c r="H744" i="13"/>
  <c r="G744" i="13"/>
  <c r="F744" i="13"/>
  <c r="E744" i="13"/>
  <c r="C744" i="13"/>
  <c r="AG744" i="13" s="1"/>
  <c r="B744" i="13"/>
  <c r="Z744" i="13" s="1"/>
  <c r="A744" i="13"/>
  <c r="AC744" i="13" s="1"/>
  <c r="AQ743" i="13"/>
  <c r="P743" i="13"/>
  <c r="X743" i="13" s="1"/>
  <c r="O743" i="13"/>
  <c r="W743" i="13" s="1"/>
  <c r="N743" i="13"/>
  <c r="V743" i="13" s="1"/>
  <c r="M743" i="13"/>
  <c r="U743" i="13" s="1"/>
  <c r="L743" i="13"/>
  <c r="T743" i="13" s="1"/>
  <c r="K743" i="13"/>
  <c r="S743" i="13" s="1"/>
  <c r="J743" i="13"/>
  <c r="R743" i="13" s="1"/>
  <c r="I743" i="13"/>
  <c r="Q743" i="13" s="1"/>
  <c r="H743" i="13"/>
  <c r="G743" i="13"/>
  <c r="F743" i="13"/>
  <c r="E743" i="13"/>
  <c r="C743" i="13"/>
  <c r="AG743" i="13" s="1"/>
  <c r="B743" i="13"/>
  <c r="Z743" i="13" s="1"/>
  <c r="A743" i="13"/>
  <c r="AC743" i="13" s="1"/>
  <c r="AQ742" i="13"/>
  <c r="P742" i="13"/>
  <c r="X742" i="13" s="1"/>
  <c r="O742" i="13"/>
  <c r="W742" i="13" s="1"/>
  <c r="N742" i="13"/>
  <c r="V742" i="13" s="1"/>
  <c r="M742" i="13"/>
  <c r="U742" i="13" s="1"/>
  <c r="L742" i="13"/>
  <c r="T742" i="13" s="1"/>
  <c r="K742" i="13"/>
  <c r="S742" i="13" s="1"/>
  <c r="J742" i="13"/>
  <c r="R742" i="13" s="1"/>
  <c r="I742" i="13"/>
  <c r="Q742" i="13" s="1"/>
  <c r="H742" i="13"/>
  <c r="G742" i="13"/>
  <c r="F742" i="13"/>
  <c r="E742" i="13"/>
  <c r="C742" i="13"/>
  <c r="AG742" i="13" s="1"/>
  <c r="B742" i="13"/>
  <c r="Z742" i="13" s="1"/>
  <c r="A742" i="13"/>
  <c r="AQ741" i="13"/>
  <c r="P741" i="13"/>
  <c r="X741" i="13" s="1"/>
  <c r="O741" i="13"/>
  <c r="W741" i="13" s="1"/>
  <c r="N741" i="13"/>
  <c r="V741" i="13" s="1"/>
  <c r="M741" i="13"/>
  <c r="U741" i="13" s="1"/>
  <c r="L741" i="13"/>
  <c r="T741" i="13" s="1"/>
  <c r="K741" i="13"/>
  <c r="S741" i="13" s="1"/>
  <c r="J741" i="13"/>
  <c r="R741" i="13" s="1"/>
  <c r="I741" i="13"/>
  <c r="Q741" i="13" s="1"/>
  <c r="H741" i="13"/>
  <c r="G741" i="13"/>
  <c r="F741" i="13"/>
  <c r="E741" i="13"/>
  <c r="BB741" i="13" s="1"/>
  <c r="C741" i="13"/>
  <c r="AG741" i="13" s="1"/>
  <c r="B741" i="13"/>
  <c r="Z741" i="13" s="1"/>
  <c r="A741" i="13"/>
  <c r="AU741" i="13" s="1"/>
  <c r="AQ740" i="13"/>
  <c r="AC740" i="13"/>
  <c r="P740" i="13"/>
  <c r="X740" i="13" s="1"/>
  <c r="O740" i="13"/>
  <c r="W740" i="13" s="1"/>
  <c r="N740" i="13"/>
  <c r="V740" i="13" s="1"/>
  <c r="M740" i="13"/>
  <c r="U740" i="13" s="1"/>
  <c r="L740" i="13"/>
  <c r="T740" i="13" s="1"/>
  <c r="K740" i="13"/>
  <c r="S740" i="13" s="1"/>
  <c r="J740" i="13"/>
  <c r="R740" i="13" s="1"/>
  <c r="I740" i="13"/>
  <c r="Q740" i="13" s="1"/>
  <c r="H740" i="13"/>
  <c r="G740" i="13"/>
  <c r="F740" i="13"/>
  <c r="E740" i="13"/>
  <c r="BB740" i="13" s="1"/>
  <c r="C740" i="13"/>
  <c r="AG740" i="13" s="1"/>
  <c r="B740" i="13"/>
  <c r="Z740" i="13" s="1"/>
  <c r="A740" i="13"/>
  <c r="AQ739" i="13"/>
  <c r="U739" i="13"/>
  <c r="P739" i="13"/>
  <c r="X739" i="13" s="1"/>
  <c r="O739" i="13"/>
  <c r="W739" i="13" s="1"/>
  <c r="N739" i="13"/>
  <c r="V739" i="13" s="1"/>
  <c r="M739" i="13"/>
  <c r="L739" i="13"/>
  <c r="T739" i="13" s="1"/>
  <c r="K739" i="13"/>
  <c r="S739" i="13" s="1"/>
  <c r="J739" i="13"/>
  <c r="R739" i="13" s="1"/>
  <c r="I739" i="13"/>
  <c r="Q739" i="13" s="1"/>
  <c r="H739" i="13"/>
  <c r="G739" i="13"/>
  <c r="F739" i="13"/>
  <c r="E739" i="13"/>
  <c r="C739" i="13"/>
  <c r="AG739" i="13" s="1"/>
  <c r="AK739" i="13" s="1"/>
  <c r="B739" i="13"/>
  <c r="Z739" i="13" s="1"/>
  <c r="A739" i="13"/>
  <c r="AU739" i="13" s="1"/>
  <c r="BB738" i="13"/>
  <c r="AQ738" i="13"/>
  <c r="P738" i="13"/>
  <c r="X738" i="13" s="1"/>
  <c r="O738" i="13"/>
  <c r="W738" i="13" s="1"/>
  <c r="N738" i="13"/>
  <c r="V738" i="13" s="1"/>
  <c r="M738" i="13"/>
  <c r="U738" i="13" s="1"/>
  <c r="L738" i="13"/>
  <c r="T738" i="13" s="1"/>
  <c r="K738" i="13"/>
  <c r="S738" i="13" s="1"/>
  <c r="J738" i="13"/>
  <c r="R738" i="13" s="1"/>
  <c r="I738" i="13"/>
  <c r="Q738" i="13" s="1"/>
  <c r="H738" i="13"/>
  <c r="G738" i="13"/>
  <c r="F738" i="13"/>
  <c r="E738" i="13"/>
  <c r="BA738" i="13" s="1"/>
  <c r="C738" i="13"/>
  <c r="AG738" i="13" s="1"/>
  <c r="B738" i="13"/>
  <c r="Z738" i="13" s="1"/>
  <c r="A738" i="13"/>
  <c r="AQ737" i="13"/>
  <c r="P737" i="13"/>
  <c r="X737" i="13" s="1"/>
  <c r="O737" i="13"/>
  <c r="W737" i="13" s="1"/>
  <c r="N737" i="13"/>
  <c r="V737" i="13" s="1"/>
  <c r="M737" i="13"/>
  <c r="U737" i="13" s="1"/>
  <c r="L737" i="13"/>
  <c r="T737" i="13" s="1"/>
  <c r="K737" i="13"/>
  <c r="S737" i="13" s="1"/>
  <c r="J737" i="13"/>
  <c r="R737" i="13" s="1"/>
  <c r="I737" i="13"/>
  <c r="Q737" i="13" s="1"/>
  <c r="H737" i="13"/>
  <c r="G737" i="13"/>
  <c r="F737" i="13"/>
  <c r="E737" i="13"/>
  <c r="BB737" i="13" s="1"/>
  <c r="C737" i="13"/>
  <c r="AG737" i="13" s="1"/>
  <c r="B737" i="13"/>
  <c r="Z737" i="13" s="1"/>
  <c r="A737" i="13"/>
  <c r="AU737" i="13" s="1"/>
  <c r="AU736" i="13"/>
  <c r="AQ736" i="13"/>
  <c r="P736" i="13"/>
  <c r="X736" i="13" s="1"/>
  <c r="O736" i="13"/>
  <c r="W736" i="13" s="1"/>
  <c r="N736" i="13"/>
  <c r="V736" i="13" s="1"/>
  <c r="M736" i="13"/>
  <c r="U736" i="13" s="1"/>
  <c r="L736" i="13"/>
  <c r="T736" i="13" s="1"/>
  <c r="K736" i="13"/>
  <c r="S736" i="13" s="1"/>
  <c r="J736" i="13"/>
  <c r="R736" i="13" s="1"/>
  <c r="I736" i="13"/>
  <c r="Q736" i="13" s="1"/>
  <c r="H736" i="13"/>
  <c r="G736" i="13"/>
  <c r="F736" i="13"/>
  <c r="E736" i="13"/>
  <c r="BA736" i="13" s="1"/>
  <c r="C736" i="13"/>
  <c r="AG736" i="13" s="1"/>
  <c r="AK736" i="13" s="1"/>
  <c r="B736" i="13"/>
  <c r="Z736" i="13" s="1"/>
  <c r="A736" i="13"/>
  <c r="AC736" i="13" s="1"/>
  <c r="AQ735" i="13"/>
  <c r="P735" i="13"/>
  <c r="X735" i="13" s="1"/>
  <c r="O735" i="13"/>
  <c r="W735" i="13" s="1"/>
  <c r="N735" i="13"/>
  <c r="V735" i="13" s="1"/>
  <c r="M735" i="13"/>
  <c r="U735" i="13" s="1"/>
  <c r="L735" i="13"/>
  <c r="T735" i="13" s="1"/>
  <c r="K735" i="13"/>
  <c r="S735" i="13" s="1"/>
  <c r="J735" i="13"/>
  <c r="R735" i="13" s="1"/>
  <c r="I735" i="13"/>
  <c r="Q735" i="13" s="1"/>
  <c r="H735" i="13"/>
  <c r="G735" i="13"/>
  <c r="F735" i="13"/>
  <c r="E735" i="13"/>
  <c r="C735" i="13"/>
  <c r="AG735" i="13" s="1"/>
  <c r="B735" i="13"/>
  <c r="Z735" i="13" s="1"/>
  <c r="A735" i="13"/>
  <c r="AU735" i="13" s="1"/>
  <c r="AQ734" i="13"/>
  <c r="P734" i="13"/>
  <c r="X734" i="13" s="1"/>
  <c r="O734" i="13"/>
  <c r="W734" i="13" s="1"/>
  <c r="N734" i="13"/>
  <c r="V734" i="13" s="1"/>
  <c r="M734" i="13"/>
  <c r="U734" i="13" s="1"/>
  <c r="L734" i="13"/>
  <c r="T734" i="13" s="1"/>
  <c r="K734" i="13"/>
  <c r="S734" i="13" s="1"/>
  <c r="J734" i="13"/>
  <c r="R734" i="13" s="1"/>
  <c r="I734" i="13"/>
  <c r="Q734" i="13" s="1"/>
  <c r="H734" i="13"/>
  <c r="G734" i="13"/>
  <c r="F734" i="13"/>
  <c r="E734" i="13"/>
  <c r="C734" i="13"/>
  <c r="AG734" i="13" s="1"/>
  <c r="B734" i="13"/>
  <c r="Z734" i="13" s="1"/>
  <c r="A734" i="13"/>
  <c r="AQ733" i="13"/>
  <c r="P733" i="13"/>
  <c r="X733" i="13" s="1"/>
  <c r="O733" i="13"/>
  <c r="W733" i="13" s="1"/>
  <c r="N733" i="13"/>
  <c r="V733" i="13" s="1"/>
  <c r="M733" i="13"/>
  <c r="U733" i="13" s="1"/>
  <c r="L733" i="13"/>
  <c r="T733" i="13" s="1"/>
  <c r="K733" i="13"/>
  <c r="S733" i="13" s="1"/>
  <c r="J733" i="13"/>
  <c r="R733" i="13" s="1"/>
  <c r="I733" i="13"/>
  <c r="Q733" i="13" s="1"/>
  <c r="H733" i="13"/>
  <c r="G733" i="13"/>
  <c r="F733" i="13"/>
  <c r="E733" i="13"/>
  <c r="BB733" i="13" s="1"/>
  <c r="C733" i="13"/>
  <c r="AG733" i="13" s="1"/>
  <c r="B733" i="13"/>
  <c r="Z733" i="13" s="1"/>
  <c r="A733" i="13"/>
  <c r="AQ732" i="13"/>
  <c r="P732" i="13"/>
  <c r="X732" i="13" s="1"/>
  <c r="O732" i="13"/>
  <c r="W732" i="13" s="1"/>
  <c r="N732" i="13"/>
  <c r="V732" i="13" s="1"/>
  <c r="M732" i="13"/>
  <c r="U732" i="13" s="1"/>
  <c r="L732" i="13"/>
  <c r="T732" i="13" s="1"/>
  <c r="K732" i="13"/>
  <c r="S732" i="13" s="1"/>
  <c r="J732" i="13"/>
  <c r="R732" i="13" s="1"/>
  <c r="I732" i="13"/>
  <c r="Q732" i="13" s="1"/>
  <c r="H732" i="13"/>
  <c r="G732" i="13"/>
  <c r="F732" i="13"/>
  <c r="E732" i="13"/>
  <c r="BB732" i="13" s="1"/>
  <c r="C732" i="13"/>
  <c r="AG732" i="13" s="1"/>
  <c r="AM732" i="13" s="1"/>
  <c r="B732" i="13"/>
  <c r="Z732" i="13" s="1"/>
  <c r="A732" i="13"/>
  <c r="AC732" i="13" s="1"/>
  <c r="AQ731" i="13"/>
  <c r="P731" i="13"/>
  <c r="X731" i="13" s="1"/>
  <c r="O731" i="13"/>
  <c r="W731" i="13" s="1"/>
  <c r="N731" i="13"/>
  <c r="V731" i="13" s="1"/>
  <c r="M731" i="13"/>
  <c r="U731" i="13" s="1"/>
  <c r="L731" i="13"/>
  <c r="T731" i="13" s="1"/>
  <c r="K731" i="13"/>
  <c r="S731" i="13" s="1"/>
  <c r="J731" i="13"/>
  <c r="R731" i="13" s="1"/>
  <c r="I731" i="13"/>
  <c r="Q731" i="13" s="1"/>
  <c r="H731" i="13"/>
  <c r="G731" i="13"/>
  <c r="F731" i="13"/>
  <c r="E731" i="13"/>
  <c r="BB731" i="13" s="1"/>
  <c r="C731" i="13"/>
  <c r="AG731" i="13" s="1"/>
  <c r="B731" i="13"/>
  <c r="Z731" i="13" s="1"/>
  <c r="A731" i="13"/>
  <c r="AQ730" i="13"/>
  <c r="Z730" i="13"/>
  <c r="P730" i="13"/>
  <c r="X730" i="13" s="1"/>
  <c r="O730" i="13"/>
  <c r="W730" i="13" s="1"/>
  <c r="N730" i="13"/>
  <c r="V730" i="13" s="1"/>
  <c r="M730" i="13"/>
  <c r="U730" i="13" s="1"/>
  <c r="L730" i="13"/>
  <c r="T730" i="13" s="1"/>
  <c r="K730" i="13"/>
  <c r="S730" i="13" s="1"/>
  <c r="J730" i="13"/>
  <c r="R730" i="13" s="1"/>
  <c r="I730" i="13"/>
  <c r="Q730" i="13" s="1"/>
  <c r="H730" i="13"/>
  <c r="G730" i="13"/>
  <c r="F730" i="13"/>
  <c r="E730" i="13"/>
  <c r="BA730" i="13" s="1"/>
  <c r="C730" i="13"/>
  <c r="AG730" i="13" s="1"/>
  <c r="B730" i="13"/>
  <c r="A730" i="13"/>
  <c r="BB729" i="13"/>
  <c r="AQ729" i="13"/>
  <c r="P729" i="13"/>
  <c r="X729" i="13" s="1"/>
  <c r="O729" i="13"/>
  <c r="W729" i="13" s="1"/>
  <c r="N729" i="13"/>
  <c r="V729" i="13" s="1"/>
  <c r="M729" i="13"/>
  <c r="U729" i="13" s="1"/>
  <c r="L729" i="13"/>
  <c r="T729" i="13" s="1"/>
  <c r="K729" i="13"/>
  <c r="S729" i="13" s="1"/>
  <c r="J729" i="13"/>
  <c r="R729" i="13" s="1"/>
  <c r="I729" i="13"/>
  <c r="Q729" i="13" s="1"/>
  <c r="H729" i="13"/>
  <c r="G729" i="13"/>
  <c r="F729" i="13"/>
  <c r="E729" i="13"/>
  <c r="BA729" i="13" s="1"/>
  <c r="C729" i="13"/>
  <c r="AG729" i="13" s="1"/>
  <c r="B729" i="13"/>
  <c r="Z729" i="13" s="1"/>
  <c r="A729" i="13"/>
  <c r="AU729" i="13" s="1"/>
  <c r="AQ728" i="13"/>
  <c r="AC728" i="13"/>
  <c r="P728" i="13"/>
  <c r="X728" i="13" s="1"/>
  <c r="O728" i="13"/>
  <c r="W728" i="13" s="1"/>
  <c r="N728" i="13"/>
  <c r="V728" i="13" s="1"/>
  <c r="M728" i="13"/>
  <c r="U728" i="13" s="1"/>
  <c r="L728" i="13"/>
  <c r="T728" i="13" s="1"/>
  <c r="K728" i="13"/>
  <c r="S728" i="13" s="1"/>
  <c r="J728" i="13"/>
  <c r="R728" i="13" s="1"/>
  <c r="I728" i="13"/>
  <c r="Q728" i="13" s="1"/>
  <c r="H728" i="13"/>
  <c r="G728" i="13"/>
  <c r="F728" i="13"/>
  <c r="E728" i="13"/>
  <c r="C728" i="13"/>
  <c r="AG728" i="13" s="1"/>
  <c r="B728" i="13"/>
  <c r="Z728" i="13" s="1"/>
  <c r="A728" i="13"/>
  <c r="AU728" i="13" s="1"/>
  <c r="AQ727" i="13"/>
  <c r="P727" i="13"/>
  <c r="X727" i="13" s="1"/>
  <c r="O727" i="13"/>
  <c r="W727" i="13" s="1"/>
  <c r="N727" i="13"/>
  <c r="V727" i="13" s="1"/>
  <c r="M727" i="13"/>
  <c r="U727" i="13" s="1"/>
  <c r="L727" i="13"/>
  <c r="T727" i="13" s="1"/>
  <c r="K727" i="13"/>
  <c r="S727" i="13" s="1"/>
  <c r="J727" i="13"/>
  <c r="R727" i="13" s="1"/>
  <c r="I727" i="13"/>
  <c r="Q727" i="13" s="1"/>
  <c r="H727" i="13"/>
  <c r="G727" i="13"/>
  <c r="F727" i="13"/>
  <c r="E727" i="13"/>
  <c r="BB727" i="13" s="1"/>
  <c r="C727" i="13"/>
  <c r="AG727" i="13" s="1"/>
  <c r="B727" i="13"/>
  <c r="Z727" i="13" s="1"/>
  <c r="A727" i="13"/>
  <c r="AQ726" i="13"/>
  <c r="P726" i="13"/>
  <c r="X726" i="13" s="1"/>
  <c r="O726" i="13"/>
  <c r="W726" i="13" s="1"/>
  <c r="N726" i="13"/>
  <c r="V726" i="13" s="1"/>
  <c r="M726" i="13"/>
  <c r="U726" i="13" s="1"/>
  <c r="L726" i="13"/>
  <c r="T726" i="13" s="1"/>
  <c r="K726" i="13"/>
  <c r="S726" i="13" s="1"/>
  <c r="J726" i="13"/>
  <c r="R726" i="13" s="1"/>
  <c r="I726" i="13"/>
  <c r="Q726" i="13" s="1"/>
  <c r="H726" i="13"/>
  <c r="G726" i="13"/>
  <c r="F726" i="13"/>
  <c r="E726" i="13"/>
  <c r="C726" i="13"/>
  <c r="AG726" i="13" s="1"/>
  <c r="B726" i="13"/>
  <c r="Z726" i="13" s="1"/>
  <c r="A726" i="13"/>
  <c r="AQ725" i="13"/>
  <c r="P725" i="13"/>
  <c r="X725" i="13" s="1"/>
  <c r="O725" i="13"/>
  <c r="W725" i="13" s="1"/>
  <c r="N725" i="13"/>
  <c r="V725" i="13" s="1"/>
  <c r="M725" i="13"/>
  <c r="U725" i="13" s="1"/>
  <c r="L725" i="13"/>
  <c r="T725" i="13" s="1"/>
  <c r="K725" i="13"/>
  <c r="S725" i="13" s="1"/>
  <c r="J725" i="13"/>
  <c r="R725" i="13" s="1"/>
  <c r="I725" i="13"/>
  <c r="Q725" i="13" s="1"/>
  <c r="H725" i="13"/>
  <c r="G725" i="13"/>
  <c r="F725" i="13"/>
  <c r="E725" i="13"/>
  <c r="BB725" i="13" s="1"/>
  <c r="C725" i="13"/>
  <c r="AG725" i="13" s="1"/>
  <c r="B725" i="13"/>
  <c r="Z725" i="13" s="1"/>
  <c r="A725" i="13"/>
  <c r="AQ724" i="13"/>
  <c r="P724" i="13"/>
  <c r="X724" i="13" s="1"/>
  <c r="O724" i="13"/>
  <c r="W724" i="13" s="1"/>
  <c r="N724" i="13"/>
  <c r="V724" i="13" s="1"/>
  <c r="M724" i="13"/>
  <c r="U724" i="13" s="1"/>
  <c r="L724" i="13"/>
  <c r="T724" i="13" s="1"/>
  <c r="K724" i="13"/>
  <c r="S724" i="13" s="1"/>
  <c r="J724" i="13"/>
  <c r="R724" i="13" s="1"/>
  <c r="I724" i="13"/>
  <c r="Q724" i="13" s="1"/>
  <c r="H724" i="13"/>
  <c r="G724" i="13"/>
  <c r="F724" i="13"/>
  <c r="E724" i="13"/>
  <c r="BB724" i="13" s="1"/>
  <c r="C724" i="13"/>
  <c r="AG724" i="13" s="1"/>
  <c r="AK724" i="13" s="1"/>
  <c r="B724" i="13"/>
  <c r="Z724" i="13" s="1"/>
  <c r="A724" i="13"/>
  <c r="AQ723" i="13"/>
  <c r="P723" i="13"/>
  <c r="X723" i="13" s="1"/>
  <c r="O723" i="13"/>
  <c r="W723" i="13" s="1"/>
  <c r="N723" i="13"/>
  <c r="V723" i="13" s="1"/>
  <c r="M723" i="13"/>
  <c r="U723" i="13" s="1"/>
  <c r="L723" i="13"/>
  <c r="T723" i="13" s="1"/>
  <c r="K723" i="13"/>
  <c r="S723" i="13" s="1"/>
  <c r="J723" i="13"/>
  <c r="R723" i="13" s="1"/>
  <c r="I723" i="13"/>
  <c r="Q723" i="13" s="1"/>
  <c r="H723" i="13"/>
  <c r="G723" i="13"/>
  <c r="F723" i="13"/>
  <c r="E723" i="13"/>
  <c r="BB723" i="13" s="1"/>
  <c r="C723" i="13"/>
  <c r="AG723" i="13" s="1"/>
  <c r="AN723" i="13" s="1"/>
  <c r="B723" i="13"/>
  <c r="Z723" i="13" s="1"/>
  <c r="A723" i="13"/>
  <c r="AQ722" i="13"/>
  <c r="P722" i="13"/>
  <c r="X722" i="13" s="1"/>
  <c r="O722" i="13"/>
  <c r="W722" i="13" s="1"/>
  <c r="N722" i="13"/>
  <c r="V722" i="13" s="1"/>
  <c r="M722" i="13"/>
  <c r="U722" i="13" s="1"/>
  <c r="L722" i="13"/>
  <c r="T722" i="13" s="1"/>
  <c r="K722" i="13"/>
  <c r="S722" i="13" s="1"/>
  <c r="J722" i="13"/>
  <c r="R722" i="13" s="1"/>
  <c r="I722" i="13"/>
  <c r="Q722" i="13" s="1"/>
  <c r="H722" i="13"/>
  <c r="G722" i="13"/>
  <c r="F722" i="13"/>
  <c r="E722" i="13"/>
  <c r="C722" i="13"/>
  <c r="AG722" i="13" s="1"/>
  <c r="B722" i="13"/>
  <c r="Z722" i="13" s="1"/>
  <c r="A722" i="13"/>
  <c r="AQ721" i="13"/>
  <c r="P721" i="13"/>
  <c r="X721" i="13" s="1"/>
  <c r="O721" i="13"/>
  <c r="W721" i="13" s="1"/>
  <c r="N721" i="13"/>
  <c r="V721" i="13" s="1"/>
  <c r="M721" i="13"/>
  <c r="U721" i="13" s="1"/>
  <c r="L721" i="13"/>
  <c r="T721" i="13" s="1"/>
  <c r="K721" i="13"/>
  <c r="S721" i="13" s="1"/>
  <c r="J721" i="13"/>
  <c r="R721" i="13" s="1"/>
  <c r="I721" i="13"/>
  <c r="Q721" i="13" s="1"/>
  <c r="H721" i="13"/>
  <c r="G721" i="13"/>
  <c r="F721" i="13"/>
  <c r="E721" i="13"/>
  <c r="BB721" i="13" s="1"/>
  <c r="C721" i="13"/>
  <c r="AG721" i="13" s="1"/>
  <c r="B721" i="13"/>
  <c r="Z721" i="13" s="1"/>
  <c r="A721" i="13"/>
  <c r="AC721" i="13" s="1"/>
  <c r="AQ720" i="13"/>
  <c r="P720" i="13"/>
  <c r="X720" i="13" s="1"/>
  <c r="O720" i="13"/>
  <c r="W720" i="13" s="1"/>
  <c r="N720" i="13"/>
  <c r="V720" i="13" s="1"/>
  <c r="M720" i="13"/>
  <c r="U720" i="13" s="1"/>
  <c r="L720" i="13"/>
  <c r="T720" i="13" s="1"/>
  <c r="K720" i="13"/>
  <c r="S720" i="13" s="1"/>
  <c r="J720" i="13"/>
  <c r="R720" i="13" s="1"/>
  <c r="I720" i="13"/>
  <c r="Q720" i="13" s="1"/>
  <c r="H720" i="13"/>
  <c r="G720" i="13"/>
  <c r="F720" i="13"/>
  <c r="E720" i="13"/>
  <c r="BB720" i="13" s="1"/>
  <c r="C720" i="13"/>
  <c r="AG720" i="13" s="1"/>
  <c r="B720" i="13"/>
  <c r="Z720" i="13" s="1"/>
  <c r="A720" i="13"/>
  <c r="AC720" i="13" s="1"/>
  <c r="BA719" i="13"/>
  <c r="AQ719" i="13"/>
  <c r="P719" i="13"/>
  <c r="X719" i="13" s="1"/>
  <c r="O719" i="13"/>
  <c r="W719" i="13" s="1"/>
  <c r="N719" i="13"/>
  <c r="V719" i="13" s="1"/>
  <c r="M719" i="13"/>
  <c r="U719" i="13" s="1"/>
  <c r="L719" i="13"/>
  <c r="T719" i="13" s="1"/>
  <c r="K719" i="13"/>
  <c r="S719" i="13" s="1"/>
  <c r="J719" i="13"/>
  <c r="R719" i="13" s="1"/>
  <c r="I719" i="13"/>
  <c r="Q719" i="13" s="1"/>
  <c r="H719" i="13"/>
  <c r="G719" i="13"/>
  <c r="F719" i="13"/>
  <c r="E719" i="13"/>
  <c r="BB719" i="13" s="1"/>
  <c r="C719" i="13"/>
  <c r="AG719" i="13" s="1"/>
  <c r="B719" i="13"/>
  <c r="Z719" i="13" s="1"/>
  <c r="A719" i="13"/>
  <c r="AQ718" i="13"/>
  <c r="V718" i="13"/>
  <c r="P718" i="13"/>
  <c r="X718" i="13" s="1"/>
  <c r="O718" i="13"/>
  <c r="W718" i="13" s="1"/>
  <c r="N718" i="13"/>
  <c r="M718" i="13"/>
  <c r="U718" i="13" s="1"/>
  <c r="L718" i="13"/>
  <c r="T718" i="13" s="1"/>
  <c r="K718" i="13"/>
  <c r="S718" i="13" s="1"/>
  <c r="J718" i="13"/>
  <c r="R718" i="13" s="1"/>
  <c r="I718" i="13"/>
  <c r="Q718" i="13" s="1"/>
  <c r="H718" i="13"/>
  <c r="G718" i="13"/>
  <c r="F718" i="13"/>
  <c r="E718" i="13"/>
  <c r="C718" i="13"/>
  <c r="AG718" i="13" s="1"/>
  <c r="B718" i="13"/>
  <c r="Z718" i="13" s="1"/>
  <c r="A718" i="13"/>
  <c r="AQ717" i="13"/>
  <c r="AG717" i="13"/>
  <c r="T717" i="13"/>
  <c r="P717" i="13"/>
  <c r="X717" i="13" s="1"/>
  <c r="O717" i="13"/>
  <c r="W717" i="13" s="1"/>
  <c r="N717" i="13"/>
  <c r="V717" i="13" s="1"/>
  <c r="M717" i="13"/>
  <c r="U717" i="13" s="1"/>
  <c r="L717" i="13"/>
  <c r="K717" i="13"/>
  <c r="S717" i="13" s="1"/>
  <c r="J717" i="13"/>
  <c r="R717" i="13" s="1"/>
  <c r="I717" i="13"/>
  <c r="Q717" i="13" s="1"/>
  <c r="H717" i="13"/>
  <c r="G717" i="13"/>
  <c r="F717" i="13"/>
  <c r="E717" i="13"/>
  <c r="BB717" i="13" s="1"/>
  <c r="C717" i="13"/>
  <c r="B717" i="13"/>
  <c r="A717" i="13"/>
  <c r="AC717" i="13" s="1"/>
  <c r="AQ716" i="13"/>
  <c r="P716" i="13"/>
  <c r="X716" i="13" s="1"/>
  <c r="O716" i="13"/>
  <c r="W716" i="13" s="1"/>
  <c r="N716" i="13"/>
  <c r="V716" i="13" s="1"/>
  <c r="M716" i="13"/>
  <c r="U716" i="13" s="1"/>
  <c r="L716" i="13"/>
  <c r="T716" i="13" s="1"/>
  <c r="K716" i="13"/>
  <c r="S716" i="13" s="1"/>
  <c r="J716" i="13"/>
  <c r="R716" i="13" s="1"/>
  <c r="I716" i="13"/>
  <c r="Q716" i="13" s="1"/>
  <c r="H716" i="13"/>
  <c r="G716" i="13"/>
  <c r="F716" i="13"/>
  <c r="E716" i="13"/>
  <c r="BB716" i="13" s="1"/>
  <c r="C716" i="13"/>
  <c r="AG716" i="13" s="1"/>
  <c r="AK716" i="13" s="1"/>
  <c r="B716" i="13"/>
  <c r="Z716" i="13" s="1"/>
  <c r="A716" i="13"/>
  <c r="AU716" i="13" s="1"/>
  <c r="AQ715" i="13"/>
  <c r="P715" i="13"/>
  <c r="X715" i="13" s="1"/>
  <c r="O715" i="13"/>
  <c r="W715" i="13" s="1"/>
  <c r="N715" i="13"/>
  <c r="V715" i="13" s="1"/>
  <c r="M715" i="13"/>
  <c r="U715" i="13" s="1"/>
  <c r="L715" i="13"/>
  <c r="T715" i="13" s="1"/>
  <c r="K715" i="13"/>
  <c r="S715" i="13" s="1"/>
  <c r="J715" i="13"/>
  <c r="R715" i="13" s="1"/>
  <c r="I715" i="13"/>
  <c r="Q715" i="13" s="1"/>
  <c r="H715" i="13"/>
  <c r="G715" i="13"/>
  <c r="F715" i="13"/>
  <c r="E715" i="13"/>
  <c r="BB715" i="13" s="1"/>
  <c r="C715" i="13"/>
  <c r="AG715" i="13" s="1"/>
  <c r="AN715" i="13" s="1"/>
  <c r="B715" i="13"/>
  <c r="Z715" i="13" s="1"/>
  <c r="A715" i="13"/>
  <c r="AQ714" i="13"/>
  <c r="P714" i="13"/>
  <c r="X714" i="13" s="1"/>
  <c r="O714" i="13"/>
  <c r="W714" i="13" s="1"/>
  <c r="N714" i="13"/>
  <c r="V714" i="13" s="1"/>
  <c r="M714" i="13"/>
  <c r="U714" i="13" s="1"/>
  <c r="L714" i="13"/>
  <c r="T714" i="13" s="1"/>
  <c r="K714" i="13"/>
  <c r="S714" i="13" s="1"/>
  <c r="J714" i="13"/>
  <c r="R714" i="13" s="1"/>
  <c r="I714" i="13"/>
  <c r="Q714" i="13" s="1"/>
  <c r="H714" i="13"/>
  <c r="G714" i="13"/>
  <c r="F714" i="13"/>
  <c r="E714" i="13"/>
  <c r="C714" i="13"/>
  <c r="AG714" i="13" s="1"/>
  <c r="B714" i="13"/>
  <c r="Z714" i="13" s="1"/>
  <c r="A714" i="13"/>
  <c r="AQ713" i="13"/>
  <c r="P713" i="13"/>
  <c r="X713" i="13" s="1"/>
  <c r="O713" i="13"/>
  <c r="W713" i="13" s="1"/>
  <c r="N713" i="13"/>
  <c r="V713" i="13" s="1"/>
  <c r="M713" i="13"/>
  <c r="U713" i="13" s="1"/>
  <c r="L713" i="13"/>
  <c r="T713" i="13" s="1"/>
  <c r="K713" i="13"/>
  <c r="S713" i="13" s="1"/>
  <c r="J713" i="13"/>
  <c r="R713" i="13" s="1"/>
  <c r="I713" i="13"/>
  <c r="Q713" i="13" s="1"/>
  <c r="H713" i="13"/>
  <c r="G713" i="13"/>
  <c r="F713" i="13"/>
  <c r="E713" i="13"/>
  <c r="BB713" i="13" s="1"/>
  <c r="C713" i="13"/>
  <c r="AG713" i="13" s="1"/>
  <c r="B713" i="13"/>
  <c r="Z713" i="13" s="1"/>
  <c r="A713" i="13"/>
  <c r="AC713" i="13" s="1"/>
  <c r="AQ712" i="13"/>
  <c r="P712" i="13"/>
  <c r="X712" i="13" s="1"/>
  <c r="O712" i="13"/>
  <c r="W712" i="13" s="1"/>
  <c r="N712" i="13"/>
  <c r="V712" i="13" s="1"/>
  <c r="M712" i="13"/>
  <c r="U712" i="13" s="1"/>
  <c r="L712" i="13"/>
  <c r="T712" i="13" s="1"/>
  <c r="K712" i="13"/>
  <c r="S712" i="13" s="1"/>
  <c r="J712" i="13"/>
  <c r="R712" i="13" s="1"/>
  <c r="I712" i="13"/>
  <c r="Q712" i="13" s="1"/>
  <c r="H712" i="13"/>
  <c r="G712" i="13"/>
  <c r="F712" i="13"/>
  <c r="E712" i="13"/>
  <c r="C712" i="13"/>
  <c r="AG712" i="13" s="1"/>
  <c r="B712" i="13"/>
  <c r="Z712" i="13" s="1"/>
  <c r="A712" i="13"/>
  <c r="AU712" i="13" s="1"/>
  <c r="AQ711" i="13"/>
  <c r="P711" i="13"/>
  <c r="X711" i="13" s="1"/>
  <c r="O711" i="13"/>
  <c r="W711" i="13" s="1"/>
  <c r="N711" i="13"/>
  <c r="V711" i="13" s="1"/>
  <c r="M711" i="13"/>
  <c r="U711" i="13" s="1"/>
  <c r="L711" i="13"/>
  <c r="T711" i="13" s="1"/>
  <c r="K711" i="13"/>
  <c r="S711" i="13" s="1"/>
  <c r="J711" i="13"/>
  <c r="R711" i="13" s="1"/>
  <c r="I711" i="13"/>
  <c r="Q711" i="13" s="1"/>
  <c r="H711" i="13"/>
  <c r="G711" i="13"/>
  <c r="F711" i="13"/>
  <c r="E711" i="13"/>
  <c r="BA711" i="13" s="1"/>
  <c r="C711" i="13"/>
  <c r="AG711" i="13" s="1"/>
  <c r="AH711" i="13" s="1"/>
  <c r="B711" i="13"/>
  <c r="Z711" i="13" s="1"/>
  <c r="A711" i="13"/>
  <c r="AU711" i="13" s="1"/>
  <c r="AQ710" i="13"/>
  <c r="P710" i="13"/>
  <c r="X710" i="13" s="1"/>
  <c r="O710" i="13"/>
  <c r="W710" i="13" s="1"/>
  <c r="N710" i="13"/>
  <c r="V710" i="13" s="1"/>
  <c r="M710" i="13"/>
  <c r="U710" i="13" s="1"/>
  <c r="L710" i="13"/>
  <c r="T710" i="13" s="1"/>
  <c r="K710" i="13"/>
  <c r="S710" i="13" s="1"/>
  <c r="J710" i="13"/>
  <c r="R710" i="13" s="1"/>
  <c r="I710" i="13"/>
  <c r="Q710" i="13" s="1"/>
  <c r="H710" i="13"/>
  <c r="G710" i="13"/>
  <c r="F710" i="13"/>
  <c r="E710" i="13"/>
  <c r="C710" i="13"/>
  <c r="AG710" i="13" s="1"/>
  <c r="AM710" i="13" s="1"/>
  <c r="B710" i="13"/>
  <c r="Z710" i="13" s="1"/>
  <c r="A710" i="13"/>
  <c r="AU710" i="13" s="1"/>
  <c r="AQ709" i="13"/>
  <c r="P709" i="13"/>
  <c r="X709" i="13" s="1"/>
  <c r="O709" i="13"/>
  <c r="W709" i="13" s="1"/>
  <c r="N709" i="13"/>
  <c r="V709" i="13" s="1"/>
  <c r="M709" i="13"/>
  <c r="U709" i="13" s="1"/>
  <c r="L709" i="13"/>
  <c r="T709" i="13" s="1"/>
  <c r="K709" i="13"/>
  <c r="S709" i="13" s="1"/>
  <c r="J709" i="13"/>
  <c r="R709" i="13" s="1"/>
  <c r="I709" i="13"/>
  <c r="Q709" i="13" s="1"/>
  <c r="H709" i="13"/>
  <c r="G709" i="13"/>
  <c r="F709" i="13"/>
  <c r="E709" i="13"/>
  <c r="BA709" i="13" s="1"/>
  <c r="C709" i="13"/>
  <c r="AG709" i="13" s="1"/>
  <c r="B709" i="13"/>
  <c r="AR709" i="13" s="1"/>
  <c r="A709" i="13"/>
  <c r="AC709" i="13" s="1"/>
  <c r="AQ708" i="13"/>
  <c r="P708" i="13"/>
  <c r="X708" i="13" s="1"/>
  <c r="O708" i="13"/>
  <c r="W708" i="13" s="1"/>
  <c r="N708" i="13"/>
  <c r="V708" i="13" s="1"/>
  <c r="M708" i="13"/>
  <c r="U708" i="13" s="1"/>
  <c r="L708" i="13"/>
  <c r="T708" i="13" s="1"/>
  <c r="K708" i="13"/>
  <c r="S708" i="13" s="1"/>
  <c r="J708" i="13"/>
  <c r="R708" i="13" s="1"/>
  <c r="I708" i="13"/>
  <c r="Q708" i="13" s="1"/>
  <c r="H708" i="13"/>
  <c r="G708" i="13"/>
  <c r="F708" i="13"/>
  <c r="E708" i="13"/>
  <c r="BB708" i="13" s="1"/>
  <c r="C708" i="13"/>
  <c r="AG708" i="13" s="1"/>
  <c r="AJ708" i="13" s="1"/>
  <c r="B708" i="13"/>
  <c r="A708" i="13"/>
  <c r="AC708" i="13" s="1"/>
  <c r="AQ707" i="13"/>
  <c r="P707" i="13"/>
  <c r="X707" i="13" s="1"/>
  <c r="O707" i="13"/>
  <c r="W707" i="13" s="1"/>
  <c r="N707" i="13"/>
  <c r="V707" i="13" s="1"/>
  <c r="M707" i="13"/>
  <c r="U707" i="13" s="1"/>
  <c r="L707" i="13"/>
  <c r="T707" i="13" s="1"/>
  <c r="K707" i="13"/>
  <c r="S707" i="13" s="1"/>
  <c r="J707" i="13"/>
  <c r="R707" i="13" s="1"/>
  <c r="I707" i="13"/>
  <c r="Q707" i="13" s="1"/>
  <c r="H707" i="13"/>
  <c r="G707" i="13"/>
  <c r="F707" i="13"/>
  <c r="E707" i="13"/>
  <c r="C707" i="13"/>
  <c r="AG707" i="13" s="1"/>
  <c r="B707" i="13"/>
  <c r="Z707" i="13" s="1"/>
  <c r="A707" i="13"/>
  <c r="AU707" i="13" s="1"/>
  <c r="AQ706" i="13"/>
  <c r="P706" i="13"/>
  <c r="X706" i="13" s="1"/>
  <c r="O706" i="13"/>
  <c r="W706" i="13" s="1"/>
  <c r="N706" i="13"/>
  <c r="V706" i="13" s="1"/>
  <c r="M706" i="13"/>
  <c r="U706" i="13" s="1"/>
  <c r="L706" i="13"/>
  <c r="T706" i="13" s="1"/>
  <c r="K706" i="13"/>
  <c r="S706" i="13" s="1"/>
  <c r="J706" i="13"/>
  <c r="R706" i="13" s="1"/>
  <c r="I706" i="13"/>
  <c r="Q706" i="13" s="1"/>
  <c r="H706" i="13"/>
  <c r="G706" i="13"/>
  <c r="F706" i="13"/>
  <c r="E706" i="13"/>
  <c r="BA706" i="13" s="1"/>
  <c r="C706" i="13"/>
  <c r="AG706" i="13" s="1"/>
  <c r="B706" i="13"/>
  <c r="Z706" i="13" s="1"/>
  <c r="A706" i="13"/>
  <c r="AU706" i="13" s="1"/>
  <c r="BB705" i="13"/>
  <c r="AQ705" i="13"/>
  <c r="P705" i="13"/>
  <c r="X705" i="13" s="1"/>
  <c r="O705" i="13"/>
  <c r="W705" i="13" s="1"/>
  <c r="N705" i="13"/>
  <c r="V705" i="13" s="1"/>
  <c r="M705" i="13"/>
  <c r="U705" i="13" s="1"/>
  <c r="L705" i="13"/>
  <c r="T705" i="13" s="1"/>
  <c r="K705" i="13"/>
  <c r="S705" i="13" s="1"/>
  <c r="J705" i="13"/>
  <c r="R705" i="13" s="1"/>
  <c r="I705" i="13"/>
  <c r="Q705" i="13" s="1"/>
  <c r="H705" i="13"/>
  <c r="G705" i="13"/>
  <c r="F705" i="13"/>
  <c r="E705" i="13"/>
  <c r="BA705" i="13" s="1"/>
  <c r="C705" i="13"/>
  <c r="AG705" i="13" s="1"/>
  <c r="AL705" i="13" s="1"/>
  <c r="B705" i="13"/>
  <c r="A705" i="13"/>
  <c r="AU705" i="13" s="1"/>
  <c r="AQ704" i="13"/>
  <c r="P704" i="13"/>
  <c r="X704" i="13" s="1"/>
  <c r="O704" i="13"/>
  <c r="W704" i="13" s="1"/>
  <c r="N704" i="13"/>
  <c r="V704" i="13" s="1"/>
  <c r="M704" i="13"/>
  <c r="U704" i="13" s="1"/>
  <c r="L704" i="13"/>
  <c r="T704" i="13" s="1"/>
  <c r="K704" i="13"/>
  <c r="S704" i="13" s="1"/>
  <c r="J704" i="13"/>
  <c r="R704" i="13" s="1"/>
  <c r="I704" i="13"/>
  <c r="Q704" i="13" s="1"/>
  <c r="H704" i="13"/>
  <c r="G704" i="13"/>
  <c r="F704" i="13"/>
  <c r="E704" i="13"/>
  <c r="BB704" i="13" s="1"/>
  <c r="C704" i="13"/>
  <c r="AG704" i="13" s="1"/>
  <c r="B704" i="13"/>
  <c r="Z704" i="13" s="1"/>
  <c r="A704" i="13"/>
  <c r="AQ703" i="13"/>
  <c r="P703" i="13"/>
  <c r="X703" i="13" s="1"/>
  <c r="O703" i="13"/>
  <c r="W703" i="13" s="1"/>
  <c r="N703" i="13"/>
  <c r="V703" i="13" s="1"/>
  <c r="M703" i="13"/>
  <c r="U703" i="13" s="1"/>
  <c r="L703" i="13"/>
  <c r="T703" i="13" s="1"/>
  <c r="K703" i="13"/>
  <c r="S703" i="13" s="1"/>
  <c r="J703" i="13"/>
  <c r="R703" i="13" s="1"/>
  <c r="I703" i="13"/>
  <c r="Q703" i="13" s="1"/>
  <c r="H703" i="13"/>
  <c r="G703" i="13"/>
  <c r="F703" i="13"/>
  <c r="E703" i="13"/>
  <c r="C703" i="13"/>
  <c r="AG703" i="13" s="1"/>
  <c r="B703" i="13"/>
  <c r="Z703" i="13" s="1"/>
  <c r="A703" i="13"/>
  <c r="AU703" i="13" s="1"/>
  <c r="AQ702" i="13"/>
  <c r="P702" i="13"/>
  <c r="X702" i="13" s="1"/>
  <c r="O702" i="13"/>
  <c r="W702" i="13" s="1"/>
  <c r="N702" i="13"/>
  <c r="V702" i="13" s="1"/>
  <c r="M702" i="13"/>
  <c r="U702" i="13" s="1"/>
  <c r="L702" i="13"/>
  <c r="T702" i="13" s="1"/>
  <c r="K702" i="13"/>
  <c r="S702" i="13" s="1"/>
  <c r="J702" i="13"/>
  <c r="R702" i="13" s="1"/>
  <c r="I702" i="13"/>
  <c r="Q702" i="13" s="1"/>
  <c r="H702" i="13"/>
  <c r="G702" i="13"/>
  <c r="F702" i="13"/>
  <c r="E702" i="13"/>
  <c r="BA702" i="13" s="1"/>
  <c r="C702" i="13"/>
  <c r="AG702" i="13" s="1"/>
  <c r="B702" i="13"/>
  <c r="A702" i="13"/>
  <c r="AU702" i="13" s="1"/>
  <c r="AQ701" i="13"/>
  <c r="P701" i="13"/>
  <c r="X701" i="13" s="1"/>
  <c r="O701" i="13"/>
  <c r="W701" i="13" s="1"/>
  <c r="N701" i="13"/>
  <c r="V701" i="13" s="1"/>
  <c r="M701" i="13"/>
  <c r="U701" i="13" s="1"/>
  <c r="L701" i="13"/>
  <c r="T701" i="13" s="1"/>
  <c r="K701" i="13"/>
  <c r="S701" i="13" s="1"/>
  <c r="J701" i="13"/>
  <c r="R701" i="13" s="1"/>
  <c r="I701" i="13"/>
  <c r="Q701" i="13" s="1"/>
  <c r="H701" i="13"/>
  <c r="G701" i="13"/>
  <c r="F701" i="13"/>
  <c r="E701" i="13"/>
  <c r="C701" i="13"/>
  <c r="AG701" i="13" s="1"/>
  <c r="B701" i="13"/>
  <c r="A701" i="13"/>
  <c r="AC701" i="13" s="1"/>
  <c r="AQ700" i="13"/>
  <c r="P700" i="13"/>
  <c r="X700" i="13" s="1"/>
  <c r="O700" i="13"/>
  <c r="W700" i="13" s="1"/>
  <c r="N700" i="13"/>
  <c r="V700" i="13" s="1"/>
  <c r="M700" i="13"/>
  <c r="U700" i="13" s="1"/>
  <c r="L700" i="13"/>
  <c r="T700" i="13" s="1"/>
  <c r="K700" i="13"/>
  <c r="S700" i="13" s="1"/>
  <c r="J700" i="13"/>
  <c r="R700" i="13" s="1"/>
  <c r="I700" i="13"/>
  <c r="Q700" i="13" s="1"/>
  <c r="H700" i="13"/>
  <c r="G700" i="13"/>
  <c r="F700" i="13"/>
  <c r="E700" i="13"/>
  <c r="BB700" i="13" s="1"/>
  <c r="C700" i="13"/>
  <c r="AG700" i="13" s="1"/>
  <c r="B700" i="13"/>
  <c r="A700" i="13"/>
  <c r="AU700" i="13" s="1"/>
  <c r="AQ699" i="13"/>
  <c r="P699" i="13"/>
  <c r="X699" i="13" s="1"/>
  <c r="O699" i="13"/>
  <c r="W699" i="13" s="1"/>
  <c r="N699" i="13"/>
  <c r="V699" i="13" s="1"/>
  <c r="M699" i="13"/>
  <c r="U699" i="13" s="1"/>
  <c r="L699" i="13"/>
  <c r="T699" i="13" s="1"/>
  <c r="K699" i="13"/>
  <c r="S699" i="13" s="1"/>
  <c r="J699" i="13"/>
  <c r="R699" i="13" s="1"/>
  <c r="I699" i="13"/>
  <c r="Q699" i="13" s="1"/>
  <c r="H699" i="13"/>
  <c r="G699" i="13"/>
  <c r="F699" i="13"/>
  <c r="E699" i="13"/>
  <c r="C699" i="13"/>
  <c r="AG699" i="13" s="1"/>
  <c r="B699" i="13"/>
  <c r="Z699" i="13" s="1"/>
  <c r="A699" i="13"/>
  <c r="AU699" i="13" s="1"/>
  <c r="AR698" i="13"/>
  <c r="AQ698" i="13"/>
  <c r="P698" i="13"/>
  <c r="X698" i="13" s="1"/>
  <c r="O698" i="13"/>
  <c r="W698" i="13" s="1"/>
  <c r="N698" i="13"/>
  <c r="V698" i="13" s="1"/>
  <c r="M698" i="13"/>
  <c r="U698" i="13" s="1"/>
  <c r="L698" i="13"/>
  <c r="T698" i="13" s="1"/>
  <c r="K698" i="13"/>
  <c r="S698" i="13" s="1"/>
  <c r="J698" i="13"/>
  <c r="R698" i="13" s="1"/>
  <c r="I698" i="13"/>
  <c r="Q698" i="13" s="1"/>
  <c r="H698" i="13"/>
  <c r="G698" i="13"/>
  <c r="F698" i="13"/>
  <c r="E698" i="13"/>
  <c r="C698" i="13"/>
  <c r="AG698" i="13" s="1"/>
  <c r="B698" i="13"/>
  <c r="Z698" i="13" s="1"/>
  <c r="A698" i="13"/>
  <c r="AU698" i="13" s="1"/>
  <c r="AU697" i="13"/>
  <c r="AQ697" i="13"/>
  <c r="R697" i="13"/>
  <c r="P697" i="13"/>
  <c r="X697" i="13" s="1"/>
  <c r="O697" i="13"/>
  <c r="W697" i="13" s="1"/>
  <c r="N697" i="13"/>
  <c r="V697" i="13" s="1"/>
  <c r="M697" i="13"/>
  <c r="U697" i="13" s="1"/>
  <c r="L697" i="13"/>
  <c r="T697" i="13" s="1"/>
  <c r="K697" i="13"/>
  <c r="S697" i="13" s="1"/>
  <c r="J697" i="13"/>
  <c r="I697" i="13"/>
  <c r="Q697" i="13" s="1"/>
  <c r="H697" i="13"/>
  <c r="G697" i="13"/>
  <c r="F697" i="13"/>
  <c r="E697" i="13"/>
  <c r="BA697" i="13" s="1"/>
  <c r="C697" i="13"/>
  <c r="AG697" i="13" s="1"/>
  <c r="B697" i="13"/>
  <c r="A697" i="13"/>
  <c r="AC697" i="13" s="1"/>
  <c r="AQ696" i="13"/>
  <c r="X696" i="13"/>
  <c r="P696" i="13"/>
  <c r="O696" i="13"/>
  <c r="W696" i="13" s="1"/>
  <c r="N696" i="13"/>
  <c r="V696" i="13" s="1"/>
  <c r="M696" i="13"/>
  <c r="U696" i="13" s="1"/>
  <c r="L696" i="13"/>
  <c r="T696" i="13" s="1"/>
  <c r="K696" i="13"/>
  <c r="S696" i="13" s="1"/>
  <c r="J696" i="13"/>
  <c r="R696" i="13" s="1"/>
  <c r="I696" i="13"/>
  <c r="Q696" i="13" s="1"/>
  <c r="H696" i="13"/>
  <c r="G696" i="13"/>
  <c r="F696" i="13"/>
  <c r="E696" i="13"/>
  <c r="BB696" i="13" s="1"/>
  <c r="C696" i="13"/>
  <c r="B696" i="13"/>
  <c r="Z696" i="13" s="1"/>
  <c r="A696" i="13"/>
  <c r="AQ695" i="13"/>
  <c r="P695" i="13"/>
  <c r="X695" i="13" s="1"/>
  <c r="O695" i="13"/>
  <c r="W695" i="13" s="1"/>
  <c r="N695" i="13"/>
  <c r="V695" i="13" s="1"/>
  <c r="M695" i="13"/>
  <c r="U695" i="13" s="1"/>
  <c r="L695" i="13"/>
  <c r="T695" i="13" s="1"/>
  <c r="K695" i="13"/>
  <c r="S695" i="13" s="1"/>
  <c r="J695" i="13"/>
  <c r="R695" i="13" s="1"/>
  <c r="I695" i="13"/>
  <c r="Q695" i="13" s="1"/>
  <c r="H695" i="13"/>
  <c r="G695" i="13"/>
  <c r="F695" i="13"/>
  <c r="E695" i="13"/>
  <c r="C695" i="13"/>
  <c r="AG695" i="13" s="1"/>
  <c r="B695" i="13"/>
  <c r="Z695" i="13" s="1"/>
  <c r="A695" i="13"/>
  <c r="AU695" i="13" s="1"/>
  <c r="AQ694" i="13"/>
  <c r="P694" i="13"/>
  <c r="X694" i="13" s="1"/>
  <c r="O694" i="13"/>
  <c r="W694" i="13" s="1"/>
  <c r="N694" i="13"/>
  <c r="V694" i="13" s="1"/>
  <c r="M694" i="13"/>
  <c r="U694" i="13" s="1"/>
  <c r="L694" i="13"/>
  <c r="T694" i="13" s="1"/>
  <c r="K694" i="13"/>
  <c r="S694" i="13" s="1"/>
  <c r="J694" i="13"/>
  <c r="R694" i="13" s="1"/>
  <c r="I694" i="13"/>
  <c r="Q694" i="13" s="1"/>
  <c r="H694" i="13"/>
  <c r="G694" i="13"/>
  <c r="F694" i="13"/>
  <c r="E694" i="13"/>
  <c r="BA694" i="13" s="1"/>
  <c r="C694" i="13"/>
  <c r="AG694" i="13" s="1"/>
  <c r="AJ694" i="13" s="1"/>
  <c r="B694" i="13"/>
  <c r="Z694" i="13" s="1"/>
  <c r="A694" i="13"/>
  <c r="AQ693" i="13"/>
  <c r="P693" i="13"/>
  <c r="X693" i="13" s="1"/>
  <c r="O693" i="13"/>
  <c r="W693" i="13" s="1"/>
  <c r="N693" i="13"/>
  <c r="V693" i="13" s="1"/>
  <c r="M693" i="13"/>
  <c r="U693" i="13" s="1"/>
  <c r="L693" i="13"/>
  <c r="T693" i="13" s="1"/>
  <c r="K693" i="13"/>
  <c r="S693" i="13" s="1"/>
  <c r="J693" i="13"/>
  <c r="R693" i="13" s="1"/>
  <c r="I693" i="13"/>
  <c r="Q693" i="13" s="1"/>
  <c r="H693" i="13"/>
  <c r="G693" i="13"/>
  <c r="F693" i="13"/>
  <c r="E693" i="13"/>
  <c r="C693" i="13"/>
  <c r="AG693" i="13" s="1"/>
  <c r="B693" i="13"/>
  <c r="A693" i="13"/>
  <c r="AU693" i="13" s="1"/>
  <c r="AQ692" i="13"/>
  <c r="T692" i="13"/>
  <c r="P692" i="13"/>
  <c r="X692" i="13" s="1"/>
  <c r="O692" i="13"/>
  <c r="W692" i="13" s="1"/>
  <c r="N692" i="13"/>
  <c r="V692" i="13" s="1"/>
  <c r="M692" i="13"/>
  <c r="U692" i="13" s="1"/>
  <c r="L692" i="13"/>
  <c r="K692" i="13"/>
  <c r="S692" i="13" s="1"/>
  <c r="J692" i="13"/>
  <c r="R692" i="13" s="1"/>
  <c r="I692" i="13"/>
  <c r="Q692" i="13" s="1"/>
  <c r="H692" i="13"/>
  <c r="G692" i="13"/>
  <c r="F692" i="13"/>
  <c r="E692" i="13"/>
  <c r="BB692" i="13" s="1"/>
  <c r="C692" i="13"/>
  <c r="AG692" i="13" s="1"/>
  <c r="B692" i="13"/>
  <c r="Z692" i="13" s="1"/>
  <c r="A692" i="13"/>
  <c r="BB691" i="13"/>
  <c r="AQ691" i="13"/>
  <c r="P691" i="13"/>
  <c r="X691" i="13" s="1"/>
  <c r="O691" i="13"/>
  <c r="W691" i="13" s="1"/>
  <c r="N691" i="13"/>
  <c r="V691" i="13" s="1"/>
  <c r="M691" i="13"/>
  <c r="U691" i="13" s="1"/>
  <c r="L691" i="13"/>
  <c r="T691" i="13" s="1"/>
  <c r="K691" i="13"/>
  <c r="S691" i="13" s="1"/>
  <c r="J691" i="13"/>
  <c r="R691" i="13" s="1"/>
  <c r="I691" i="13"/>
  <c r="Q691" i="13" s="1"/>
  <c r="H691" i="13"/>
  <c r="G691" i="13"/>
  <c r="F691" i="13"/>
  <c r="E691" i="13"/>
  <c r="BA691" i="13" s="1"/>
  <c r="C691" i="13"/>
  <c r="AG691" i="13" s="1"/>
  <c r="B691" i="13"/>
  <c r="Z691" i="13" s="1"/>
  <c r="A691" i="13"/>
  <c r="AU691" i="13" s="1"/>
  <c r="AR690" i="13"/>
  <c r="AQ690" i="13"/>
  <c r="P690" i="13"/>
  <c r="X690" i="13" s="1"/>
  <c r="O690" i="13"/>
  <c r="W690" i="13" s="1"/>
  <c r="N690" i="13"/>
  <c r="V690" i="13" s="1"/>
  <c r="M690" i="13"/>
  <c r="U690" i="13" s="1"/>
  <c r="L690" i="13"/>
  <c r="T690" i="13" s="1"/>
  <c r="K690" i="13"/>
  <c r="S690" i="13" s="1"/>
  <c r="J690" i="13"/>
  <c r="R690" i="13" s="1"/>
  <c r="I690" i="13"/>
  <c r="Q690" i="13" s="1"/>
  <c r="H690" i="13"/>
  <c r="G690" i="13"/>
  <c r="F690" i="13"/>
  <c r="E690" i="13"/>
  <c r="BA690" i="13" s="1"/>
  <c r="C690" i="13"/>
  <c r="AG690" i="13" s="1"/>
  <c r="B690" i="13"/>
  <c r="Z690" i="13" s="1"/>
  <c r="A690" i="13"/>
  <c r="AU690" i="13" s="1"/>
  <c r="AQ689" i="13"/>
  <c r="P689" i="13"/>
  <c r="X689" i="13" s="1"/>
  <c r="O689" i="13"/>
  <c r="W689" i="13" s="1"/>
  <c r="N689" i="13"/>
  <c r="V689" i="13" s="1"/>
  <c r="M689" i="13"/>
  <c r="U689" i="13" s="1"/>
  <c r="L689" i="13"/>
  <c r="T689" i="13" s="1"/>
  <c r="K689" i="13"/>
  <c r="S689" i="13" s="1"/>
  <c r="J689" i="13"/>
  <c r="R689" i="13" s="1"/>
  <c r="I689" i="13"/>
  <c r="Q689" i="13" s="1"/>
  <c r="H689" i="13"/>
  <c r="G689" i="13"/>
  <c r="F689" i="13"/>
  <c r="E689" i="13"/>
  <c r="BA689" i="13" s="1"/>
  <c r="C689" i="13"/>
  <c r="AG689" i="13" s="1"/>
  <c r="AH689" i="13" s="1"/>
  <c r="B689" i="13"/>
  <c r="A689" i="13"/>
  <c r="AQ688" i="13"/>
  <c r="P688" i="13"/>
  <c r="X688" i="13" s="1"/>
  <c r="O688" i="13"/>
  <c r="W688" i="13" s="1"/>
  <c r="N688" i="13"/>
  <c r="V688" i="13" s="1"/>
  <c r="M688" i="13"/>
  <c r="U688" i="13" s="1"/>
  <c r="L688" i="13"/>
  <c r="T688" i="13" s="1"/>
  <c r="K688" i="13"/>
  <c r="S688" i="13" s="1"/>
  <c r="J688" i="13"/>
  <c r="R688" i="13" s="1"/>
  <c r="I688" i="13"/>
  <c r="Q688" i="13" s="1"/>
  <c r="H688" i="13"/>
  <c r="G688" i="13"/>
  <c r="F688" i="13"/>
  <c r="E688" i="13"/>
  <c r="BB688" i="13" s="1"/>
  <c r="C688" i="13"/>
  <c r="AG688" i="13" s="1"/>
  <c r="B688" i="13"/>
  <c r="A688" i="13"/>
  <c r="AU688" i="13" s="1"/>
  <c r="AQ687" i="13"/>
  <c r="P687" i="13"/>
  <c r="X687" i="13" s="1"/>
  <c r="O687" i="13"/>
  <c r="W687" i="13" s="1"/>
  <c r="N687" i="13"/>
  <c r="V687" i="13" s="1"/>
  <c r="M687" i="13"/>
  <c r="U687" i="13" s="1"/>
  <c r="L687" i="13"/>
  <c r="T687" i="13" s="1"/>
  <c r="K687" i="13"/>
  <c r="S687" i="13" s="1"/>
  <c r="J687" i="13"/>
  <c r="R687" i="13" s="1"/>
  <c r="I687" i="13"/>
  <c r="Q687" i="13" s="1"/>
  <c r="H687" i="13"/>
  <c r="G687" i="13"/>
  <c r="F687" i="13"/>
  <c r="E687" i="13"/>
  <c r="BA687" i="13" s="1"/>
  <c r="C687" i="13"/>
  <c r="AG687" i="13" s="1"/>
  <c r="B687" i="13"/>
  <c r="Z687" i="13" s="1"/>
  <c r="A687" i="13"/>
  <c r="AU687" i="13" s="1"/>
  <c r="AQ686" i="13"/>
  <c r="AG686" i="13"/>
  <c r="P686" i="13"/>
  <c r="X686" i="13" s="1"/>
  <c r="O686" i="13"/>
  <c r="W686" i="13" s="1"/>
  <c r="N686" i="13"/>
  <c r="V686" i="13" s="1"/>
  <c r="M686" i="13"/>
  <c r="U686" i="13" s="1"/>
  <c r="L686" i="13"/>
  <c r="T686" i="13" s="1"/>
  <c r="K686" i="13"/>
  <c r="S686" i="13" s="1"/>
  <c r="J686" i="13"/>
  <c r="R686" i="13" s="1"/>
  <c r="I686" i="13"/>
  <c r="Q686" i="13" s="1"/>
  <c r="H686" i="13"/>
  <c r="G686" i="13"/>
  <c r="F686" i="13"/>
  <c r="E686" i="13"/>
  <c r="BA686" i="13" s="1"/>
  <c r="C686" i="13"/>
  <c r="B686" i="13"/>
  <c r="Z686" i="13" s="1"/>
  <c r="A686" i="13"/>
  <c r="AU686" i="13" s="1"/>
  <c r="AQ685" i="13"/>
  <c r="P685" i="13"/>
  <c r="X685" i="13" s="1"/>
  <c r="O685" i="13"/>
  <c r="W685" i="13" s="1"/>
  <c r="N685" i="13"/>
  <c r="V685" i="13" s="1"/>
  <c r="M685" i="13"/>
  <c r="U685" i="13" s="1"/>
  <c r="L685" i="13"/>
  <c r="T685" i="13" s="1"/>
  <c r="K685" i="13"/>
  <c r="S685" i="13" s="1"/>
  <c r="J685" i="13"/>
  <c r="R685" i="13" s="1"/>
  <c r="I685" i="13"/>
  <c r="Q685" i="13" s="1"/>
  <c r="H685" i="13"/>
  <c r="G685" i="13"/>
  <c r="F685" i="13"/>
  <c r="E685" i="13"/>
  <c r="C685" i="13"/>
  <c r="AG685" i="13" s="1"/>
  <c r="B685" i="13"/>
  <c r="A685" i="13"/>
  <c r="AU685" i="13" s="1"/>
  <c r="AQ684" i="13"/>
  <c r="P684" i="13"/>
  <c r="X684" i="13" s="1"/>
  <c r="O684" i="13"/>
  <c r="W684" i="13" s="1"/>
  <c r="N684" i="13"/>
  <c r="V684" i="13" s="1"/>
  <c r="M684" i="13"/>
  <c r="U684" i="13" s="1"/>
  <c r="L684" i="13"/>
  <c r="T684" i="13" s="1"/>
  <c r="K684" i="13"/>
  <c r="S684" i="13" s="1"/>
  <c r="J684" i="13"/>
  <c r="R684" i="13" s="1"/>
  <c r="I684" i="13"/>
  <c r="Q684" i="13" s="1"/>
  <c r="H684" i="13"/>
  <c r="G684" i="13"/>
  <c r="F684" i="13"/>
  <c r="E684" i="13"/>
  <c r="BB684" i="13" s="1"/>
  <c r="C684" i="13"/>
  <c r="AG684" i="13" s="1"/>
  <c r="B684" i="13"/>
  <c r="Z684" i="13" s="1"/>
  <c r="A684" i="13"/>
  <c r="AC684" i="13" s="1"/>
  <c r="AQ683" i="13"/>
  <c r="P683" i="13"/>
  <c r="X683" i="13" s="1"/>
  <c r="O683" i="13"/>
  <c r="W683" i="13" s="1"/>
  <c r="N683" i="13"/>
  <c r="V683" i="13" s="1"/>
  <c r="M683" i="13"/>
  <c r="U683" i="13" s="1"/>
  <c r="L683" i="13"/>
  <c r="T683" i="13" s="1"/>
  <c r="K683" i="13"/>
  <c r="S683" i="13" s="1"/>
  <c r="J683" i="13"/>
  <c r="R683" i="13" s="1"/>
  <c r="I683" i="13"/>
  <c r="Q683" i="13" s="1"/>
  <c r="H683" i="13"/>
  <c r="G683" i="13"/>
  <c r="F683" i="13"/>
  <c r="E683" i="13"/>
  <c r="BA683" i="13" s="1"/>
  <c r="C683" i="13"/>
  <c r="AG683" i="13" s="1"/>
  <c r="B683" i="13"/>
  <c r="Z683" i="13" s="1"/>
  <c r="A683" i="13"/>
  <c r="AU683" i="13" s="1"/>
  <c r="AQ682" i="13"/>
  <c r="X682" i="13"/>
  <c r="P682" i="13"/>
  <c r="O682" i="13"/>
  <c r="W682" i="13" s="1"/>
  <c r="N682" i="13"/>
  <c r="V682" i="13" s="1"/>
  <c r="M682" i="13"/>
  <c r="U682" i="13" s="1"/>
  <c r="L682" i="13"/>
  <c r="T682" i="13" s="1"/>
  <c r="K682" i="13"/>
  <c r="S682" i="13" s="1"/>
  <c r="J682" i="13"/>
  <c r="R682" i="13" s="1"/>
  <c r="I682" i="13"/>
  <c r="Q682" i="13" s="1"/>
  <c r="H682" i="13"/>
  <c r="G682" i="13"/>
  <c r="F682" i="13"/>
  <c r="E682" i="13"/>
  <c r="BA682" i="13" s="1"/>
  <c r="C682" i="13"/>
  <c r="AG682" i="13" s="1"/>
  <c r="B682" i="13"/>
  <c r="Z682" i="13" s="1"/>
  <c r="A682" i="13"/>
  <c r="AU682" i="13" s="1"/>
  <c r="BB681" i="13"/>
  <c r="AQ681" i="13"/>
  <c r="P681" i="13"/>
  <c r="X681" i="13" s="1"/>
  <c r="O681" i="13"/>
  <c r="W681" i="13" s="1"/>
  <c r="N681" i="13"/>
  <c r="V681" i="13" s="1"/>
  <c r="M681" i="13"/>
  <c r="U681" i="13" s="1"/>
  <c r="L681" i="13"/>
  <c r="T681" i="13" s="1"/>
  <c r="K681" i="13"/>
  <c r="S681" i="13" s="1"/>
  <c r="J681" i="13"/>
  <c r="R681" i="13" s="1"/>
  <c r="I681" i="13"/>
  <c r="Q681" i="13" s="1"/>
  <c r="H681" i="13"/>
  <c r="G681" i="13"/>
  <c r="F681" i="13"/>
  <c r="E681" i="13"/>
  <c r="BA681" i="13" s="1"/>
  <c r="C681" i="13"/>
  <c r="AG681" i="13" s="1"/>
  <c r="B681" i="13"/>
  <c r="A681" i="13"/>
  <c r="AU681" i="13" s="1"/>
  <c r="AQ680" i="13"/>
  <c r="P680" i="13"/>
  <c r="X680" i="13" s="1"/>
  <c r="O680" i="13"/>
  <c r="W680" i="13" s="1"/>
  <c r="N680" i="13"/>
  <c r="V680" i="13" s="1"/>
  <c r="M680" i="13"/>
  <c r="U680" i="13" s="1"/>
  <c r="L680" i="13"/>
  <c r="T680" i="13" s="1"/>
  <c r="K680" i="13"/>
  <c r="S680" i="13" s="1"/>
  <c r="J680" i="13"/>
  <c r="R680" i="13" s="1"/>
  <c r="I680" i="13"/>
  <c r="Q680" i="13" s="1"/>
  <c r="H680" i="13"/>
  <c r="G680" i="13"/>
  <c r="F680" i="13"/>
  <c r="E680" i="13"/>
  <c r="BB680" i="13" s="1"/>
  <c r="C680" i="13"/>
  <c r="AG680" i="13" s="1"/>
  <c r="B680" i="13"/>
  <c r="Z680" i="13" s="1"/>
  <c r="A680" i="13"/>
  <c r="AQ679" i="13"/>
  <c r="P679" i="13"/>
  <c r="X679" i="13" s="1"/>
  <c r="O679" i="13"/>
  <c r="W679" i="13" s="1"/>
  <c r="N679" i="13"/>
  <c r="V679" i="13" s="1"/>
  <c r="M679" i="13"/>
  <c r="U679" i="13" s="1"/>
  <c r="L679" i="13"/>
  <c r="T679" i="13" s="1"/>
  <c r="K679" i="13"/>
  <c r="S679" i="13" s="1"/>
  <c r="J679" i="13"/>
  <c r="R679" i="13" s="1"/>
  <c r="I679" i="13"/>
  <c r="Q679" i="13" s="1"/>
  <c r="H679" i="13"/>
  <c r="G679" i="13"/>
  <c r="F679" i="13"/>
  <c r="E679" i="13"/>
  <c r="BA679" i="13" s="1"/>
  <c r="C679" i="13"/>
  <c r="AG679" i="13" s="1"/>
  <c r="B679" i="13"/>
  <c r="Z679" i="13" s="1"/>
  <c r="A679" i="13"/>
  <c r="AU679" i="13" s="1"/>
  <c r="AQ678" i="13"/>
  <c r="P678" i="13"/>
  <c r="X678" i="13" s="1"/>
  <c r="O678" i="13"/>
  <c r="W678" i="13" s="1"/>
  <c r="N678" i="13"/>
  <c r="V678" i="13" s="1"/>
  <c r="M678" i="13"/>
  <c r="U678" i="13" s="1"/>
  <c r="L678" i="13"/>
  <c r="T678" i="13" s="1"/>
  <c r="K678" i="13"/>
  <c r="S678" i="13" s="1"/>
  <c r="J678" i="13"/>
  <c r="R678" i="13" s="1"/>
  <c r="I678" i="13"/>
  <c r="Q678" i="13" s="1"/>
  <c r="H678" i="13"/>
  <c r="G678" i="13"/>
  <c r="F678" i="13"/>
  <c r="E678" i="13"/>
  <c r="BA678" i="13" s="1"/>
  <c r="C678" i="13"/>
  <c r="AG678" i="13" s="1"/>
  <c r="AJ678" i="13" s="1"/>
  <c r="B678" i="13"/>
  <c r="Z678" i="13" s="1"/>
  <c r="A678" i="13"/>
  <c r="AR678" i="13" s="1"/>
  <c r="AQ677" i="13"/>
  <c r="P677" i="13"/>
  <c r="X677" i="13" s="1"/>
  <c r="O677" i="13"/>
  <c r="W677" i="13" s="1"/>
  <c r="N677" i="13"/>
  <c r="V677" i="13" s="1"/>
  <c r="M677" i="13"/>
  <c r="U677" i="13" s="1"/>
  <c r="L677" i="13"/>
  <c r="T677" i="13" s="1"/>
  <c r="K677" i="13"/>
  <c r="S677" i="13" s="1"/>
  <c r="J677" i="13"/>
  <c r="R677" i="13" s="1"/>
  <c r="I677" i="13"/>
  <c r="Q677" i="13" s="1"/>
  <c r="H677" i="13"/>
  <c r="G677" i="13"/>
  <c r="F677" i="13"/>
  <c r="E677" i="13"/>
  <c r="BA677" i="13" s="1"/>
  <c r="C677" i="13"/>
  <c r="AG677" i="13" s="1"/>
  <c r="B677" i="13"/>
  <c r="AR677" i="13" s="1"/>
  <c r="A677" i="13"/>
  <c r="AU677" i="13" s="1"/>
  <c r="AQ676" i="13"/>
  <c r="P676" i="13"/>
  <c r="X676" i="13" s="1"/>
  <c r="O676" i="13"/>
  <c r="W676" i="13" s="1"/>
  <c r="N676" i="13"/>
  <c r="V676" i="13" s="1"/>
  <c r="M676" i="13"/>
  <c r="U676" i="13" s="1"/>
  <c r="L676" i="13"/>
  <c r="T676" i="13" s="1"/>
  <c r="K676" i="13"/>
  <c r="S676" i="13" s="1"/>
  <c r="J676" i="13"/>
  <c r="R676" i="13" s="1"/>
  <c r="I676" i="13"/>
  <c r="Q676" i="13" s="1"/>
  <c r="H676" i="13"/>
  <c r="G676" i="13"/>
  <c r="F676" i="13"/>
  <c r="E676" i="13"/>
  <c r="C676" i="13"/>
  <c r="AG676" i="13" s="1"/>
  <c r="AJ676" i="13" s="1"/>
  <c r="B676" i="13"/>
  <c r="A676" i="13"/>
  <c r="AC676" i="13" s="1"/>
  <c r="AQ675" i="13"/>
  <c r="P675" i="13"/>
  <c r="X675" i="13" s="1"/>
  <c r="O675" i="13"/>
  <c r="W675" i="13" s="1"/>
  <c r="N675" i="13"/>
  <c r="V675" i="13" s="1"/>
  <c r="M675" i="13"/>
  <c r="U675" i="13" s="1"/>
  <c r="L675" i="13"/>
  <c r="T675" i="13" s="1"/>
  <c r="K675" i="13"/>
  <c r="S675" i="13" s="1"/>
  <c r="J675" i="13"/>
  <c r="R675" i="13" s="1"/>
  <c r="I675" i="13"/>
  <c r="Q675" i="13" s="1"/>
  <c r="H675" i="13"/>
  <c r="G675" i="13"/>
  <c r="F675" i="13"/>
  <c r="E675" i="13"/>
  <c r="BA675" i="13" s="1"/>
  <c r="C675" i="13"/>
  <c r="AG675" i="13" s="1"/>
  <c r="B675" i="13"/>
  <c r="Z675" i="13" s="1"/>
  <c r="A675" i="13"/>
  <c r="AU675" i="13" s="1"/>
  <c r="AQ674" i="13"/>
  <c r="P674" i="13"/>
  <c r="X674" i="13" s="1"/>
  <c r="O674" i="13"/>
  <c r="W674" i="13" s="1"/>
  <c r="N674" i="13"/>
  <c r="V674" i="13" s="1"/>
  <c r="M674" i="13"/>
  <c r="U674" i="13" s="1"/>
  <c r="L674" i="13"/>
  <c r="T674" i="13" s="1"/>
  <c r="K674" i="13"/>
  <c r="S674" i="13" s="1"/>
  <c r="J674" i="13"/>
  <c r="R674" i="13" s="1"/>
  <c r="I674" i="13"/>
  <c r="Q674" i="13" s="1"/>
  <c r="H674" i="13"/>
  <c r="G674" i="13"/>
  <c r="F674" i="13"/>
  <c r="E674" i="13"/>
  <c r="C674" i="13"/>
  <c r="AG674" i="13" s="1"/>
  <c r="AJ674" i="13" s="1"/>
  <c r="B674" i="13"/>
  <c r="Z674" i="13" s="1"/>
  <c r="A674" i="13"/>
  <c r="AQ673" i="13"/>
  <c r="P673" i="13"/>
  <c r="X673" i="13" s="1"/>
  <c r="O673" i="13"/>
  <c r="W673" i="13" s="1"/>
  <c r="N673" i="13"/>
  <c r="V673" i="13" s="1"/>
  <c r="M673" i="13"/>
  <c r="U673" i="13" s="1"/>
  <c r="L673" i="13"/>
  <c r="T673" i="13" s="1"/>
  <c r="K673" i="13"/>
  <c r="S673" i="13" s="1"/>
  <c r="J673" i="13"/>
  <c r="R673" i="13" s="1"/>
  <c r="I673" i="13"/>
  <c r="Q673" i="13" s="1"/>
  <c r="H673" i="13"/>
  <c r="G673" i="13"/>
  <c r="F673" i="13"/>
  <c r="E673" i="13"/>
  <c r="C673" i="13"/>
  <c r="AG673" i="13" s="1"/>
  <c r="B673" i="13"/>
  <c r="A673" i="13"/>
  <c r="AC673" i="13" s="1"/>
  <c r="AR672" i="13"/>
  <c r="AQ672" i="13"/>
  <c r="P672" i="13"/>
  <c r="X672" i="13" s="1"/>
  <c r="O672" i="13"/>
  <c r="W672" i="13" s="1"/>
  <c r="N672" i="13"/>
  <c r="V672" i="13" s="1"/>
  <c r="M672" i="13"/>
  <c r="U672" i="13" s="1"/>
  <c r="L672" i="13"/>
  <c r="T672" i="13" s="1"/>
  <c r="K672" i="13"/>
  <c r="S672" i="13" s="1"/>
  <c r="J672" i="13"/>
  <c r="R672" i="13" s="1"/>
  <c r="I672" i="13"/>
  <c r="Q672" i="13" s="1"/>
  <c r="H672" i="13"/>
  <c r="G672" i="13"/>
  <c r="F672" i="13"/>
  <c r="E672" i="13"/>
  <c r="C672" i="13"/>
  <c r="AG672" i="13" s="1"/>
  <c r="AN672" i="13" s="1"/>
  <c r="B672" i="13"/>
  <c r="Z672" i="13" s="1"/>
  <c r="A672" i="13"/>
  <c r="AC672" i="13" s="1"/>
  <c r="AQ671" i="13"/>
  <c r="P671" i="13"/>
  <c r="X671" i="13" s="1"/>
  <c r="O671" i="13"/>
  <c r="W671" i="13" s="1"/>
  <c r="N671" i="13"/>
  <c r="V671" i="13" s="1"/>
  <c r="M671" i="13"/>
  <c r="U671" i="13" s="1"/>
  <c r="L671" i="13"/>
  <c r="T671" i="13" s="1"/>
  <c r="K671" i="13"/>
  <c r="S671" i="13" s="1"/>
  <c r="J671" i="13"/>
  <c r="R671" i="13" s="1"/>
  <c r="I671" i="13"/>
  <c r="Q671" i="13" s="1"/>
  <c r="H671" i="13"/>
  <c r="G671" i="13"/>
  <c r="F671" i="13"/>
  <c r="E671" i="13"/>
  <c r="C671" i="13"/>
  <c r="AG671" i="13" s="1"/>
  <c r="B671" i="13"/>
  <c r="Z671" i="13" s="1"/>
  <c r="A671" i="13"/>
  <c r="AU671" i="13" s="1"/>
  <c r="AQ670" i="13"/>
  <c r="AG670" i="13"/>
  <c r="P670" i="13"/>
  <c r="X670" i="13" s="1"/>
  <c r="O670" i="13"/>
  <c r="W670" i="13" s="1"/>
  <c r="N670" i="13"/>
  <c r="V670" i="13" s="1"/>
  <c r="M670" i="13"/>
  <c r="U670" i="13" s="1"/>
  <c r="L670" i="13"/>
  <c r="T670" i="13" s="1"/>
  <c r="K670" i="13"/>
  <c r="S670" i="13" s="1"/>
  <c r="J670" i="13"/>
  <c r="R670" i="13" s="1"/>
  <c r="I670" i="13"/>
  <c r="Q670" i="13" s="1"/>
  <c r="H670" i="13"/>
  <c r="G670" i="13"/>
  <c r="F670" i="13"/>
  <c r="E670" i="13"/>
  <c r="C670" i="13"/>
  <c r="B670" i="13"/>
  <c r="Z670" i="13" s="1"/>
  <c r="A670" i="13"/>
  <c r="AR670" i="13" s="1"/>
  <c r="AQ669" i="13"/>
  <c r="P669" i="13"/>
  <c r="X669" i="13" s="1"/>
  <c r="O669" i="13"/>
  <c r="W669" i="13" s="1"/>
  <c r="N669" i="13"/>
  <c r="V669" i="13" s="1"/>
  <c r="M669" i="13"/>
  <c r="U669" i="13" s="1"/>
  <c r="L669" i="13"/>
  <c r="T669" i="13" s="1"/>
  <c r="K669" i="13"/>
  <c r="S669" i="13" s="1"/>
  <c r="J669" i="13"/>
  <c r="R669" i="13" s="1"/>
  <c r="I669" i="13"/>
  <c r="Q669" i="13" s="1"/>
  <c r="H669" i="13"/>
  <c r="G669" i="13"/>
  <c r="F669" i="13"/>
  <c r="E669" i="13"/>
  <c r="BA669" i="13" s="1"/>
  <c r="C669" i="13"/>
  <c r="AG669" i="13" s="1"/>
  <c r="B669" i="13"/>
  <c r="A669" i="13"/>
  <c r="AU669" i="13" s="1"/>
  <c r="AQ668" i="13"/>
  <c r="X668" i="13"/>
  <c r="P668" i="13"/>
  <c r="O668" i="13"/>
  <c r="W668" i="13" s="1"/>
  <c r="N668" i="13"/>
  <c r="V668" i="13" s="1"/>
  <c r="M668" i="13"/>
  <c r="U668" i="13" s="1"/>
  <c r="L668" i="13"/>
  <c r="T668" i="13" s="1"/>
  <c r="K668" i="13"/>
  <c r="S668" i="13" s="1"/>
  <c r="J668" i="13"/>
  <c r="R668" i="13" s="1"/>
  <c r="I668" i="13"/>
  <c r="Q668" i="13" s="1"/>
  <c r="H668" i="13"/>
  <c r="G668" i="13"/>
  <c r="F668" i="13"/>
  <c r="E668" i="13"/>
  <c r="BB668" i="13" s="1"/>
  <c r="C668" i="13"/>
  <c r="AG668" i="13" s="1"/>
  <c r="B668" i="13"/>
  <c r="Z668" i="13" s="1"/>
  <c r="A668" i="13"/>
  <c r="AC668" i="13" s="1"/>
  <c r="AQ667" i="13"/>
  <c r="S667" i="13"/>
  <c r="P667" i="13"/>
  <c r="X667" i="13" s="1"/>
  <c r="O667" i="13"/>
  <c r="W667" i="13" s="1"/>
  <c r="N667" i="13"/>
  <c r="V667" i="13" s="1"/>
  <c r="M667" i="13"/>
  <c r="U667" i="13" s="1"/>
  <c r="L667" i="13"/>
  <c r="T667" i="13" s="1"/>
  <c r="K667" i="13"/>
  <c r="J667" i="13"/>
  <c r="R667" i="13" s="1"/>
  <c r="I667" i="13"/>
  <c r="Q667" i="13" s="1"/>
  <c r="H667" i="13"/>
  <c r="G667" i="13"/>
  <c r="F667" i="13"/>
  <c r="E667" i="13"/>
  <c r="BA667" i="13" s="1"/>
  <c r="C667" i="13"/>
  <c r="AG667" i="13" s="1"/>
  <c r="B667" i="13"/>
  <c r="Z667" i="13" s="1"/>
  <c r="A667" i="13"/>
  <c r="AU667" i="13" s="1"/>
  <c r="BB666" i="13"/>
  <c r="AQ666" i="13"/>
  <c r="P666" i="13"/>
  <c r="X666" i="13" s="1"/>
  <c r="O666" i="13"/>
  <c r="W666" i="13" s="1"/>
  <c r="N666" i="13"/>
  <c r="V666" i="13" s="1"/>
  <c r="M666" i="13"/>
  <c r="U666" i="13" s="1"/>
  <c r="L666" i="13"/>
  <c r="T666" i="13" s="1"/>
  <c r="K666" i="13"/>
  <c r="S666" i="13" s="1"/>
  <c r="J666" i="13"/>
  <c r="R666" i="13" s="1"/>
  <c r="I666" i="13"/>
  <c r="Q666" i="13" s="1"/>
  <c r="H666" i="13"/>
  <c r="G666" i="13"/>
  <c r="F666" i="13"/>
  <c r="E666" i="13"/>
  <c r="BA666" i="13" s="1"/>
  <c r="C666" i="13"/>
  <c r="AG666" i="13" s="1"/>
  <c r="B666" i="13"/>
  <c r="Z666" i="13" s="1"/>
  <c r="A666" i="13"/>
  <c r="AR666" i="13" s="1"/>
  <c r="AQ665" i="13"/>
  <c r="P665" i="13"/>
  <c r="X665" i="13" s="1"/>
  <c r="O665" i="13"/>
  <c r="W665" i="13" s="1"/>
  <c r="N665" i="13"/>
  <c r="V665" i="13" s="1"/>
  <c r="M665" i="13"/>
  <c r="U665" i="13" s="1"/>
  <c r="L665" i="13"/>
  <c r="T665" i="13" s="1"/>
  <c r="K665" i="13"/>
  <c r="S665" i="13" s="1"/>
  <c r="J665" i="13"/>
  <c r="R665" i="13" s="1"/>
  <c r="I665" i="13"/>
  <c r="Q665" i="13" s="1"/>
  <c r="H665" i="13"/>
  <c r="G665" i="13"/>
  <c r="F665" i="13"/>
  <c r="E665" i="13"/>
  <c r="C665" i="13"/>
  <c r="AG665" i="13" s="1"/>
  <c r="B665" i="13"/>
  <c r="A665" i="13"/>
  <c r="AQ664" i="13"/>
  <c r="T664" i="13"/>
  <c r="P664" i="13"/>
  <c r="X664" i="13" s="1"/>
  <c r="O664" i="13"/>
  <c r="W664" i="13" s="1"/>
  <c r="N664" i="13"/>
  <c r="V664" i="13" s="1"/>
  <c r="M664" i="13"/>
  <c r="U664" i="13" s="1"/>
  <c r="L664" i="13"/>
  <c r="K664" i="13"/>
  <c r="S664" i="13" s="1"/>
  <c r="J664" i="13"/>
  <c r="R664" i="13" s="1"/>
  <c r="I664" i="13"/>
  <c r="Q664" i="13" s="1"/>
  <c r="H664" i="13"/>
  <c r="G664" i="13"/>
  <c r="F664" i="13"/>
  <c r="E664" i="13"/>
  <c r="BB664" i="13" s="1"/>
  <c r="C664" i="13"/>
  <c r="AG664" i="13" s="1"/>
  <c r="B664" i="13"/>
  <c r="Z664" i="13" s="1"/>
  <c r="A664" i="13"/>
  <c r="AQ663" i="13"/>
  <c r="P663" i="13"/>
  <c r="X663" i="13" s="1"/>
  <c r="O663" i="13"/>
  <c r="W663" i="13" s="1"/>
  <c r="N663" i="13"/>
  <c r="V663" i="13" s="1"/>
  <c r="M663" i="13"/>
  <c r="U663" i="13" s="1"/>
  <c r="L663" i="13"/>
  <c r="T663" i="13" s="1"/>
  <c r="K663" i="13"/>
  <c r="S663" i="13" s="1"/>
  <c r="J663" i="13"/>
  <c r="R663" i="13" s="1"/>
  <c r="I663" i="13"/>
  <c r="Q663" i="13" s="1"/>
  <c r="H663" i="13"/>
  <c r="G663" i="13"/>
  <c r="F663" i="13"/>
  <c r="E663" i="13"/>
  <c r="C663" i="13"/>
  <c r="AG663" i="13" s="1"/>
  <c r="AL663" i="13" s="1"/>
  <c r="B663" i="13"/>
  <c r="Z663" i="13" s="1"/>
  <c r="A663" i="13"/>
  <c r="AU663" i="13" s="1"/>
  <c r="AQ662" i="13"/>
  <c r="P662" i="13"/>
  <c r="X662" i="13" s="1"/>
  <c r="O662" i="13"/>
  <c r="W662" i="13" s="1"/>
  <c r="N662" i="13"/>
  <c r="V662" i="13" s="1"/>
  <c r="M662" i="13"/>
  <c r="U662" i="13" s="1"/>
  <c r="L662" i="13"/>
  <c r="T662" i="13" s="1"/>
  <c r="K662" i="13"/>
  <c r="S662" i="13" s="1"/>
  <c r="J662" i="13"/>
  <c r="R662" i="13" s="1"/>
  <c r="I662" i="13"/>
  <c r="Q662" i="13" s="1"/>
  <c r="H662" i="13"/>
  <c r="G662" i="13"/>
  <c r="F662" i="13"/>
  <c r="E662" i="13"/>
  <c r="BA662" i="13" s="1"/>
  <c r="C662" i="13"/>
  <c r="AG662" i="13" s="1"/>
  <c r="B662" i="13"/>
  <c r="Z662" i="13" s="1"/>
  <c r="A662" i="13"/>
  <c r="AQ661" i="13"/>
  <c r="AG661" i="13"/>
  <c r="P661" i="13"/>
  <c r="X661" i="13" s="1"/>
  <c r="O661" i="13"/>
  <c r="W661" i="13" s="1"/>
  <c r="N661" i="13"/>
  <c r="V661" i="13" s="1"/>
  <c r="M661" i="13"/>
  <c r="U661" i="13" s="1"/>
  <c r="L661" i="13"/>
  <c r="T661" i="13" s="1"/>
  <c r="K661" i="13"/>
  <c r="S661" i="13" s="1"/>
  <c r="J661" i="13"/>
  <c r="R661" i="13" s="1"/>
  <c r="I661" i="13"/>
  <c r="Q661" i="13" s="1"/>
  <c r="H661" i="13"/>
  <c r="G661" i="13"/>
  <c r="F661" i="13"/>
  <c r="E661" i="13"/>
  <c r="BB661" i="13" s="1"/>
  <c r="C661" i="13"/>
  <c r="B661" i="13"/>
  <c r="Z661" i="13" s="1"/>
  <c r="A661" i="13"/>
  <c r="AQ660" i="13"/>
  <c r="P660" i="13"/>
  <c r="X660" i="13" s="1"/>
  <c r="O660" i="13"/>
  <c r="W660" i="13" s="1"/>
  <c r="N660" i="13"/>
  <c r="V660" i="13" s="1"/>
  <c r="M660" i="13"/>
  <c r="U660" i="13" s="1"/>
  <c r="L660" i="13"/>
  <c r="T660" i="13" s="1"/>
  <c r="K660" i="13"/>
  <c r="S660" i="13" s="1"/>
  <c r="J660" i="13"/>
  <c r="R660" i="13" s="1"/>
  <c r="I660" i="13"/>
  <c r="Q660" i="13" s="1"/>
  <c r="H660" i="13"/>
  <c r="G660" i="13"/>
  <c r="F660" i="13"/>
  <c r="E660" i="13"/>
  <c r="BB660" i="13" s="1"/>
  <c r="C660" i="13"/>
  <c r="AG660" i="13" s="1"/>
  <c r="AK660" i="13" s="1"/>
  <c r="B660" i="13"/>
  <c r="A660" i="13"/>
  <c r="AU660" i="13" s="1"/>
  <c r="AQ659" i="13"/>
  <c r="P659" i="13"/>
  <c r="X659" i="13" s="1"/>
  <c r="O659" i="13"/>
  <c r="W659" i="13" s="1"/>
  <c r="N659" i="13"/>
  <c r="V659" i="13" s="1"/>
  <c r="M659" i="13"/>
  <c r="U659" i="13" s="1"/>
  <c r="L659" i="13"/>
  <c r="T659" i="13" s="1"/>
  <c r="K659" i="13"/>
  <c r="S659" i="13" s="1"/>
  <c r="J659" i="13"/>
  <c r="R659" i="13" s="1"/>
  <c r="I659" i="13"/>
  <c r="Q659" i="13" s="1"/>
  <c r="H659" i="13"/>
  <c r="G659" i="13"/>
  <c r="F659" i="13"/>
  <c r="E659" i="13"/>
  <c r="BA659" i="13" s="1"/>
  <c r="C659" i="13"/>
  <c r="AG659" i="13" s="1"/>
  <c r="AL659" i="13" s="1"/>
  <c r="B659" i="13"/>
  <c r="Z659" i="13" s="1"/>
  <c r="A659" i="13"/>
  <c r="AR658" i="13"/>
  <c r="AQ658" i="13"/>
  <c r="AG658" i="13"/>
  <c r="P658" i="13"/>
  <c r="X658" i="13" s="1"/>
  <c r="O658" i="13"/>
  <c r="W658" i="13" s="1"/>
  <c r="N658" i="13"/>
  <c r="V658" i="13" s="1"/>
  <c r="M658" i="13"/>
  <c r="U658" i="13" s="1"/>
  <c r="L658" i="13"/>
  <c r="T658" i="13" s="1"/>
  <c r="K658" i="13"/>
  <c r="S658" i="13" s="1"/>
  <c r="J658" i="13"/>
  <c r="R658" i="13" s="1"/>
  <c r="I658" i="13"/>
  <c r="Q658" i="13" s="1"/>
  <c r="H658" i="13"/>
  <c r="G658" i="13"/>
  <c r="F658" i="13"/>
  <c r="E658" i="13"/>
  <c r="C658" i="13"/>
  <c r="B658" i="13"/>
  <c r="Z658" i="13" s="1"/>
  <c r="A658" i="13"/>
  <c r="AC658" i="13" s="1"/>
  <c r="AQ657" i="13"/>
  <c r="AC657" i="13"/>
  <c r="P657" i="13"/>
  <c r="X657" i="13" s="1"/>
  <c r="O657" i="13"/>
  <c r="W657" i="13" s="1"/>
  <c r="N657" i="13"/>
  <c r="V657" i="13" s="1"/>
  <c r="M657" i="13"/>
  <c r="U657" i="13" s="1"/>
  <c r="L657" i="13"/>
  <c r="T657" i="13" s="1"/>
  <c r="K657" i="13"/>
  <c r="S657" i="13" s="1"/>
  <c r="J657" i="13"/>
  <c r="R657" i="13" s="1"/>
  <c r="I657" i="13"/>
  <c r="Q657" i="13" s="1"/>
  <c r="H657" i="13"/>
  <c r="G657" i="13"/>
  <c r="F657" i="13"/>
  <c r="E657" i="13"/>
  <c r="BA657" i="13" s="1"/>
  <c r="C657" i="13"/>
  <c r="AG657" i="13" s="1"/>
  <c r="B657" i="13"/>
  <c r="A657" i="13"/>
  <c r="AU657" i="13" s="1"/>
  <c r="AQ656" i="13"/>
  <c r="P656" i="13"/>
  <c r="X656" i="13" s="1"/>
  <c r="O656" i="13"/>
  <c r="W656" i="13" s="1"/>
  <c r="N656" i="13"/>
  <c r="V656" i="13" s="1"/>
  <c r="M656" i="13"/>
  <c r="U656" i="13" s="1"/>
  <c r="L656" i="13"/>
  <c r="T656" i="13" s="1"/>
  <c r="K656" i="13"/>
  <c r="S656" i="13" s="1"/>
  <c r="J656" i="13"/>
  <c r="R656" i="13" s="1"/>
  <c r="I656" i="13"/>
  <c r="Q656" i="13" s="1"/>
  <c r="H656" i="13"/>
  <c r="G656" i="13"/>
  <c r="F656" i="13"/>
  <c r="E656" i="13"/>
  <c r="BB656" i="13" s="1"/>
  <c r="C656" i="13"/>
  <c r="AG656" i="13" s="1"/>
  <c r="B656" i="13"/>
  <c r="A656" i="13"/>
  <c r="AQ655" i="13"/>
  <c r="R655" i="13"/>
  <c r="P655" i="13"/>
  <c r="X655" i="13" s="1"/>
  <c r="O655" i="13"/>
  <c r="W655" i="13" s="1"/>
  <c r="N655" i="13"/>
  <c r="V655" i="13" s="1"/>
  <c r="M655" i="13"/>
  <c r="U655" i="13" s="1"/>
  <c r="L655" i="13"/>
  <c r="T655" i="13" s="1"/>
  <c r="K655" i="13"/>
  <c r="S655" i="13" s="1"/>
  <c r="J655" i="13"/>
  <c r="I655" i="13"/>
  <c r="Q655" i="13" s="1"/>
  <c r="H655" i="13"/>
  <c r="G655" i="13"/>
  <c r="F655" i="13"/>
  <c r="E655" i="13"/>
  <c r="BA655" i="13" s="1"/>
  <c r="C655" i="13"/>
  <c r="AG655" i="13" s="1"/>
  <c r="B655" i="13"/>
  <c r="Z655" i="13" s="1"/>
  <c r="A655" i="13"/>
  <c r="AQ654" i="13"/>
  <c r="P654" i="13"/>
  <c r="X654" i="13" s="1"/>
  <c r="O654" i="13"/>
  <c r="W654" i="13" s="1"/>
  <c r="N654" i="13"/>
  <c r="V654" i="13" s="1"/>
  <c r="M654" i="13"/>
  <c r="U654" i="13" s="1"/>
  <c r="L654" i="13"/>
  <c r="T654" i="13" s="1"/>
  <c r="K654" i="13"/>
  <c r="S654" i="13" s="1"/>
  <c r="J654" i="13"/>
  <c r="R654" i="13" s="1"/>
  <c r="I654" i="13"/>
  <c r="Q654" i="13" s="1"/>
  <c r="H654" i="13"/>
  <c r="G654" i="13"/>
  <c r="F654" i="13"/>
  <c r="E654" i="13"/>
  <c r="C654" i="13"/>
  <c r="AG654" i="13" s="1"/>
  <c r="B654" i="13"/>
  <c r="Z654" i="13" s="1"/>
  <c r="A654" i="13"/>
  <c r="AR654" i="13" s="1"/>
  <c r="AQ653" i="13"/>
  <c r="P653" i="13"/>
  <c r="X653" i="13" s="1"/>
  <c r="O653" i="13"/>
  <c r="W653" i="13" s="1"/>
  <c r="N653" i="13"/>
  <c r="V653" i="13" s="1"/>
  <c r="M653" i="13"/>
  <c r="U653" i="13" s="1"/>
  <c r="L653" i="13"/>
  <c r="T653" i="13" s="1"/>
  <c r="K653" i="13"/>
  <c r="S653" i="13" s="1"/>
  <c r="J653" i="13"/>
  <c r="R653" i="13" s="1"/>
  <c r="I653" i="13"/>
  <c r="Q653" i="13" s="1"/>
  <c r="H653" i="13"/>
  <c r="G653" i="13"/>
  <c r="F653" i="13"/>
  <c r="E653" i="13"/>
  <c r="BB653" i="13" s="1"/>
  <c r="C653" i="13"/>
  <c r="AG653" i="13" s="1"/>
  <c r="B653" i="13"/>
  <c r="Z653" i="13" s="1"/>
  <c r="A653" i="13"/>
  <c r="AU652" i="13"/>
  <c r="AQ652" i="13"/>
  <c r="P652" i="13"/>
  <c r="X652" i="13" s="1"/>
  <c r="O652" i="13"/>
  <c r="W652" i="13" s="1"/>
  <c r="N652" i="13"/>
  <c r="V652" i="13" s="1"/>
  <c r="M652" i="13"/>
  <c r="U652" i="13" s="1"/>
  <c r="L652" i="13"/>
  <c r="T652" i="13" s="1"/>
  <c r="K652" i="13"/>
  <c r="S652" i="13" s="1"/>
  <c r="J652" i="13"/>
  <c r="R652" i="13" s="1"/>
  <c r="I652" i="13"/>
  <c r="Q652" i="13" s="1"/>
  <c r="H652" i="13"/>
  <c r="G652" i="13"/>
  <c r="F652" i="13"/>
  <c r="E652" i="13"/>
  <c r="C652" i="13"/>
  <c r="AG652" i="13" s="1"/>
  <c r="B652" i="13"/>
  <c r="A652" i="13"/>
  <c r="AC652" i="13" s="1"/>
  <c r="AQ651" i="13"/>
  <c r="P651" i="13"/>
  <c r="X651" i="13" s="1"/>
  <c r="O651" i="13"/>
  <c r="W651" i="13" s="1"/>
  <c r="N651" i="13"/>
  <c r="V651" i="13" s="1"/>
  <c r="M651" i="13"/>
  <c r="U651" i="13" s="1"/>
  <c r="L651" i="13"/>
  <c r="T651" i="13" s="1"/>
  <c r="K651" i="13"/>
  <c r="S651" i="13" s="1"/>
  <c r="J651" i="13"/>
  <c r="R651" i="13" s="1"/>
  <c r="I651" i="13"/>
  <c r="Q651" i="13" s="1"/>
  <c r="H651" i="13"/>
  <c r="G651" i="13"/>
  <c r="F651" i="13"/>
  <c r="E651" i="13"/>
  <c r="BA651" i="13" s="1"/>
  <c r="C651" i="13"/>
  <c r="AG651" i="13" s="1"/>
  <c r="B651" i="13"/>
  <c r="Z651" i="13" s="1"/>
  <c r="A651" i="13"/>
  <c r="AQ650" i="13"/>
  <c r="P650" i="13"/>
  <c r="X650" i="13" s="1"/>
  <c r="O650" i="13"/>
  <c r="W650" i="13" s="1"/>
  <c r="N650" i="13"/>
  <c r="V650" i="13" s="1"/>
  <c r="M650" i="13"/>
  <c r="U650" i="13" s="1"/>
  <c r="L650" i="13"/>
  <c r="T650" i="13" s="1"/>
  <c r="K650" i="13"/>
  <c r="S650" i="13" s="1"/>
  <c r="J650" i="13"/>
  <c r="R650" i="13" s="1"/>
  <c r="I650" i="13"/>
  <c r="Q650" i="13" s="1"/>
  <c r="H650" i="13"/>
  <c r="G650" i="13"/>
  <c r="F650" i="13"/>
  <c r="E650" i="13"/>
  <c r="BA650" i="13" s="1"/>
  <c r="C650" i="13"/>
  <c r="AG650" i="13" s="1"/>
  <c r="B650" i="13"/>
  <c r="Z650" i="13" s="1"/>
  <c r="A650" i="13"/>
  <c r="AC650" i="13" s="1"/>
  <c r="AQ649" i="13"/>
  <c r="P649" i="13"/>
  <c r="X649" i="13" s="1"/>
  <c r="O649" i="13"/>
  <c r="W649" i="13" s="1"/>
  <c r="N649" i="13"/>
  <c r="V649" i="13" s="1"/>
  <c r="M649" i="13"/>
  <c r="U649" i="13" s="1"/>
  <c r="L649" i="13"/>
  <c r="T649" i="13" s="1"/>
  <c r="K649" i="13"/>
  <c r="S649" i="13" s="1"/>
  <c r="J649" i="13"/>
  <c r="R649" i="13" s="1"/>
  <c r="I649" i="13"/>
  <c r="Q649" i="13" s="1"/>
  <c r="H649" i="13"/>
  <c r="G649" i="13"/>
  <c r="F649" i="13"/>
  <c r="E649" i="13"/>
  <c r="C649" i="13"/>
  <c r="B649" i="13"/>
  <c r="Z649" i="13" s="1"/>
  <c r="A649" i="13"/>
  <c r="AU649" i="13" s="1"/>
  <c r="AQ648" i="13"/>
  <c r="P648" i="13"/>
  <c r="X648" i="13" s="1"/>
  <c r="O648" i="13"/>
  <c r="W648" i="13" s="1"/>
  <c r="N648" i="13"/>
  <c r="V648" i="13" s="1"/>
  <c r="M648" i="13"/>
  <c r="U648" i="13" s="1"/>
  <c r="L648" i="13"/>
  <c r="T648" i="13" s="1"/>
  <c r="K648" i="13"/>
  <c r="S648" i="13" s="1"/>
  <c r="J648" i="13"/>
  <c r="R648" i="13" s="1"/>
  <c r="I648" i="13"/>
  <c r="Q648" i="13" s="1"/>
  <c r="H648" i="13"/>
  <c r="G648" i="13"/>
  <c r="F648" i="13"/>
  <c r="E648" i="13"/>
  <c r="BB648" i="13" s="1"/>
  <c r="C648" i="13"/>
  <c r="AG648" i="13" s="1"/>
  <c r="B648" i="13"/>
  <c r="Z648" i="13" s="1"/>
  <c r="A648" i="13"/>
  <c r="AU648" i="13" s="1"/>
  <c r="AQ647" i="13"/>
  <c r="S647" i="13"/>
  <c r="P647" i="13"/>
  <c r="X647" i="13" s="1"/>
  <c r="O647" i="13"/>
  <c r="W647" i="13" s="1"/>
  <c r="N647" i="13"/>
  <c r="V647" i="13" s="1"/>
  <c r="M647" i="13"/>
  <c r="U647" i="13" s="1"/>
  <c r="L647" i="13"/>
  <c r="T647" i="13" s="1"/>
  <c r="K647" i="13"/>
  <c r="J647" i="13"/>
  <c r="R647" i="13" s="1"/>
  <c r="I647" i="13"/>
  <c r="Q647" i="13" s="1"/>
  <c r="H647" i="13"/>
  <c r="G647" i="13"/>
  <c r="F647" i="13"/>
  <c r="E647" i="13"/>
  <c r="BA647" i="13" s="1"/>
  <c r="C647" i="13"/>
  <c r="AG647" i="13" s="1"/>
  <c r="B647" i="13"/>
  <c r="Z647" i="13" s="1"/>
  <c r="A647" i="13"/>
  <c r="BB646" i="13"/>
  <c r="AQ646" i="13"/>
  <c r="P646" i="13"/>
  <c r="X646" i="13" s="1"/>
  <c r="O646" i="13"/>
  <c r="W646" i="13" s="1"/>
  <c r="N646" i="13"/>
  <c r="V646" i="13" s="1"/>
  <c r="M646" i="13"/>
  <c r="U646" i="13" s="1"/>
  <c r="L646" i="13"/>
  <c r="T646" i="13" s="1"/>
  <c r="K646" i="13"/>
  <c r="S646" i="13" s="1"/>
  <c r="J646" i="13"/>
  <c r="R646" i="13" s="1"/>
  <c r="I646" i="13"/>
  <c r="Q646" i="13" s="1"/>
  <c r="H646" i="13"/>
  <c r="G646" i="13"/>
  <c r="F646" i="13"/>
  <c r="E646" i="13"/>
  <c r="BA646" i="13" s="1"/>
  <c r="C646" i="13"/>
  <c r="B646" i="13"/>
  <c r="Z646" i="13" s="1"/>
  <c r="A646" i="13"/>
  <c r="AC646" i="13" s="1"/>
  <c r="AR645" i="13"/>
  <c r="AQ645" i="13"/>
  <c r="P645" i="13"/>
  <c r="X645" i="13" s="1"/>
  <c r="O645" i="13"/>
  <c r="W645" i="13" s="1"/>
  <c r="N645" i="13"/>
  <c r="V645" i="13" s="1"/>
  <c r="M645" i="13"/>
  <c r="U645" i="13" s="1"/>
  <c r="L645" i="13"/>
  <c r="T645" i="13" s="1"/>
  <c r="K645" i="13"/>
  <c r="S645" i="13" s="1"/>
  <c r="J645" i="13"/>
  <c r="R645" i="13" s="1"/>
  <c r="I645" i="13"/>
  <c r="Q645" i="13" s="1"/>
  <c r="H645" i="13"/>
  <c r="G645" i="13"/>
  <c r="F645" i="13"/>
  <c r="E645" i="13"/>
  <c r="BA645" i="13" s="1"/>
  <c r="C645" i="13"/>
  <c r="AG645" i="13" s="1"/>
  <c r="B645" i="13"/>
  <c r="Z645" i="13" s="1"/>
  <c r="A645" i="13"/>
  <c r="AC645" i="13" s="1"/>
  <c r="AQ644" i="13"/>
  <c r="P644" i="13"/>
  <c r="X644" i="13" s="1"/>
  <c r="O644" i="13"/>
  <c r="W644" i="13" s="1"/>
  <c r="N644" i="13"/>
  <c r="V644" i="13" s="1"/>
  <c r="M644" i="13"/>
  <c r="U644" i="13" s="1"/>
  <c r="L644" i="13"/>
  <c r="T644" i="13" s="1"/>
  <c r="K644" i="13"/>
  <c r="S644" i="13" s="1"/>
  <c r="J644" i="13"/>
  <c r="R644" i="13" s="1"/>
  <c r="I644" i="13"/>
  <c r="Q644" i="13" s="1"/>
  <c r="H644" i="13"/>
  <c r="G644" i="13"/>
  <c r="F644" i="13"/>
  <c r="E644" i="13"/>
  <c r="BB644" i="13" s="1"/>
  <c r="C644" i="13"/>
  <c r="AG644" i="13" s="1"/>
  <c r="AM644" i="13" s="1"/>
  <c r="B644" i="13"/>
  <c r="A644" i="13"/>
  <c r="AQ643" i="13"/>
  <c r="P643" i="13"/>
  <c r="X643" i="13" s="1"/>
  <c r="O643" i="13"/>
  <c r="W643" i="13" s="1"/>
  <c r="N643" i="13"/>
  <c r="V643" i="13" s="1"/>
  <c r="M643" i="13"/>
  <c r="U643" i="13" s="1"/>
  <c r="L643" i="13"/>
  <c r="T643" i="13" s="1"/>
  <c r="K643" i="13"/>
  <c r="S643" i="13" s="1"/>
  <c r="J643" i="13"/>
  <c r="R643" i="13" s="1"/>
  <c r="I643" i="13"/>
  <c r="Q643" i="13" s="1"/>
  <c r="H643" i="13"/>
  <c r="G643" i="13"/>
  <c r="F643" i="13"/>
  <c r="E643" i="13"/>
  <c r="BB643" i="13" s="1"/>
  <c r="C643" i="13"/>
  <c r="AG643" i="13" s="1"/>
  <c r="B643" i="13"/>
  <c r="Z643" i="13" s="1"/>
  <c r="A643" i="13"/>
  <c r="AQ642" i="13"/>
  <c r="P642" i="13"/>
  <c r="X642" i="13" s="1"/>
  <c r="O642" i="13"/>
  <c r="W642" i="13" s="1"/>
  <c r="N642" i="13"/>
  <c r="V642" i="13" s="1"/>
  <c r="M642" i="13"/>
  <c r="U642" i="13" s="1"/>
  <c r="L642" i="13"/>
  <c r="T642" i="13" s="1"/>
  <c r="K642" i="13"/>
  <c r="S642" i="13" s="1"/>
  <c r="J642" i="13"/>
  <c r="R642" i="13" s="1"/>
  <c r="I642" i="13"/>
  <c r="Q642" i="13" s="1"/>
  <c r="H642" i="13"/>
  <c r="G642" i="13"/>
  <c r="F642" i="13"/>
  <c r="E642" i="13"/>
  <c r="BA642" i="13" s="1"/>
  <c r="C642" i="13"/>
  <c r="AG642" i="13" s="1"/>
  <c r="B642" i="13"/>
  <c r="Z642" i="13" s="1"/>
  <c r="A642" i="13"/>
  <c r="AC642" i="13" s="1"/>
  <c r="AR641" i="13"/>
  <c r="AQ641" i="13"/>
  <c r="T641" i="13"/>
  <c r="P641" i="13"/>
  <c r="X641" i="13" s="1"/>
  <c r="O641" i="13"/>
  <c r="W641" i="13" s="1"/>
  <c r="N641" i="13"/>
  <c r="V641" i="13" s="1"/>
  <c r="M641" i="13"/>
  <c r="U641" i="13" s="1"/>
  <c r="L641" i="13"/>
  <c r="K641" i="13"/>
  <c r="S641" i="13" s="1"/>
  <c r="J641" i="13"/>
  <c r="R641" i="13" s="1"/>
  <c r="I641" i="13"/>
  <c r="Q641" i="13" s="1"/>
  <c r="H641" i="13"/>
  <c r="G641" i="13"/>
  <c r="F641" i="13"/>
  <c r="E641" i="13"/>
  <c r="BB641" i="13" s="1"/>
  <c r="C641" i="13"/>
  <c r="AG641" i="13" s="1"/>
  <c r="B641" i="13"/>
  <c r="Z641" i="13" s="1"/>
  <c r="A641" i="13"/>
  <c r="AU641" i="13" s="1"/>
  <c r="BA640" i="13"/>
  <c r="AQ640" i="13"/>
  <c r="P640" i="13"/>
  <c r="X640" i="13" s="1"/>
  <c r="O640" i="13"/>
  <c r="W640" i="13" s="1"/>
  <c r="N640" i="13"/>
  <c r="V640" i="13" s="1"/>
  <c r="M640" i="13"/>
  <c r="U640" i="13" s="1"/>
  <c r="L640" i="13"/>
  <c r="T640" i="13" s="1"/>
  <c r="K640" i="13"/>
  <c r="S640" i="13" s="1"/>
  <c r="J640" i="13"/>
  <c r="R640" i="13" s="1"/>
  <c r="I640" i="13"/>
  <c r="Q640" i="13" s="1"/>
  <c r="H640" i="13"/>
  <c r="G640" i="13"/>
  <c r="F640" i="13"/>
  <c r="E640" i="13"/>
  <c r="BB640" i="13" s="1"/>
  <c r="C640" i="13"/>
  <c r="AG640" i="13" s="1"/>
  <c r="AN640" i="13" s="1"/>
  <c r="B640" i="13"/>
  <c r="A640" i="13"/>
  <c r="AC640" i="13" s="1"/>
  <c r="AQ639" i="13"/>
  <c r="P639" i="13"/>
  <c r="X639" i="13" s="1"/>
  <c r="O639" i="13"/>
  <c r="W639" i="13" s="1"/>
  <c r="N639" i="13"/>
  <c r="V639" i="13" s="1"/>
  <c r="M639" i="13"/>
  <c r="U639" i="13" s="1"/>
  <c r="L639" i="13"/>
  <c r="T639" i="13" s="1"/>
  <c r="K639" i="13"/>
  <c r="S639" i="13" s="1"/>
  <c r="J639" i="13"/>
  <c r="R639" i="13" s="1"/>
  <c r="I639" i="13"/>
  <c r="Q639" i="13" s="1"/>
  <c r="H639" i="13"/>
  <c r="G639" i="13"/>
  <c r="F639" i="13"/>
  <c r="E639" i="13"/>
  <c r="BB639" i="13" s="1"/>
  <c r="C639" i="13"/>
  <c r="AG639" i="13" s="1"/>
  <c r="B639" i="13"/>
  <c r="Z639" i="13" s="1"/>
  <c r="A639" i="13"/>
  <c r="AQ638" i="13"/>
  <c r="X638" i="13"/>
  <c r="P638" i="13"/>
  <c r="O638" i="13"/>
  <c r="W638" i="13" s="1"/>
  <c r="N638" i="13"/>
  <c r="V638" i="13" s="1"/>
  <c r="M638" i="13"/>
  <c r="U638" i="13" s="1"/>
  <c r="L638" i="13"/>
  <c r="T638" i="13" s="1"/>
  <c r="K638" i="13"/>
  <c r="S638" i="13" s="1"/>
  <c r="J638" i="13"/>
  <c r="R638" i="13" s="1"/>
  <c r="I638" i="13"/>
  <c r="Q638" i="13" s="1"/>
  <c r="H638" i="13"/>
  <c r="G638" i="13"/>
  <c r="F638" i="13"/>
  <c r="E638" i="13"/>
  <c r="BA638" i="13" s="1"/>
  <c r="C638" i="13"/>
  <c r="AG638" i="13" s="1"/>
  <c r="B638" i="13"/>
  <c r="Z638" i="13" s="1"/>
  <c r="A638" i="13"/>
  <c r="AQ637" i="13"/>
  <c r="P637" i="13"/>
  <c r="X637" i="13" s="1"/>
  <c r="O637" i="13"/>
  <c r="W637" i="13" s="1"/>
  <c r="N637" i="13"/>
  <c r="V637" i="13" s="1"/>
  <c r="M637" i="13"/>
  <c r="U637" i="13" s="1"/>
  <c r="L637" i="13"/>
  <c r="T637" i="13" s="1"/>
  <c r="K637" i="13"/>
  <c r="S637" i="13" s="1"/>
  <c r="J637" i="13"/>
  <c r="R637" i="13" s="1"/>
  <c r="I637" i="13"/>
  <c r="Q637" i="13" s="1"/>
  <c r="H637" i="13"/>
  <c r="G637" i="13"/>
  <c r="F637" i="13"/>
  <c r="E637" i="13"/>
  <c r="BB637" i="13" s="1"/>
  <c r="C637" i="13"/>
  <c r="AG637" i="13" s="1"/>
  <c r="B637" i="13"/>
  <c r="Z637" i="13" s="1"/>
  <c r="A637" i="13"/>
  <c r="AQ636" i="13"/>
  <c r="P636" i="13"/>
  <c r="X636" i="13" s="1"/>
  <c r="O636" i="13"/>
  <c r="W636" i="13" s="1"/>
  <c r="N636" i="13"/>
  <c r="V636" i="13" s="1"/>
  <c r="M636" i="13"/>
  <c r="U636" i="13" s="1"/>
  <c r="L636" i="13"/>
  <c r="T636" i="13" s="1"/>
  <c r="K636" i="13"/>
  <c r="S636" i="13" s="1"/>
  <c r="J636" i="13"/>
  <c r="R636" i="13" s="1"/>
  <c r="I636" i="13"/>
  <c r="Q636" i="13" s="1"/>
  <c r="H636" i="13"/>
  <c r="G636" i="13"/>
  <c r="F636" i="13"/>
  <c r="E636" i="13"/>
  <c r="BB636" i="13" s="1"/>
  <c r="C636" i="13"/>
  <c r="B636" i="13"/>
  <c r="Z636" i="13" s="1"/>
  <c r="A636" i="13"/>
  <c r="AU636" i="13" s="1"/>
  <c r="AQ635" i="13"/>
  <c r="Z635" i="13"/>
  <c r="P635" i="13"/>
  <c r="X635" i="13" s="1"/>
  <c r="O635" i="13"/>
  <c r="W635" i="13" s="1"/>
  <c r="N635" i="13"/>
  <c r="V635" i="13" s="1"/>
  <c r="M635" i="13"/>
  <c r="U635" i="13" s="1"/>
  <c r="L635" i="13"/>
  <c r="T635" i="13" s="1"/>
  <c r="K635" i="13"/>
  <c r="S635" i="13" s="1"/>
  <c r="J635" i="13"/>
  <c r="R635" i="13" s="1"/>
  <c r="I635" i="13"/>
  <c r="Q635" i="13" s="1"/>
  <c r="H635" i="13"/>
  <c r="G635" i="13"/>
  <c r="F635" i="13"/>
  <c r="E635" i="13"/>
  <c r="BB635" i="13" s="1"/>
  <c r="C635" i="13"/>
  <c r="AG635" i="13" s="1"/>
  <c r="B635" i="13"/>
  <c r="A635" i="13"/>
  <c r="AQ634" i="13"/>
  <c r="P634" i="13"/>
  <c r="X634" i="13" s="1"/>
  <c r="O634" i="13"/>
  <c r="W634" i="13" s="1"/>
  <c r="N634" i="13"/>
  <c r="V634" i="13" s="1"/>
  <c r="M634" i="13"/>
  <c r="U634" i="13" s="1"/>
  <c r="L634" i="13"/>
  <c r="T634" i="13" s="1"/>
  <c r="K634" i="13"/>
  <c r="S634" i="13" s="1"/>
  <c r="J634" i="13"/>
  <c r="R634" i="13" s="1"/>
  <c r="I634" i="13"/>
  <c r="Q634" i="13" s="1"/>
  <c r="H634" i="13"/>
  <c r="G634" i="13"/>
  <c r="F634" i="13"/>
  <c r="E634" i="13"/>
  <c r="BA634" i="13" s="1"/>
  <c r="C634" i="13"/>
  <c r="AG634" i="13" s="1"/>
  <c r="B634" i="13"/>
  <c r="Z634" i="13" s="1"/>
  <c r="A634" i="13"/>
  <c r="AQ633" i="13"/>
  <c r="P633" i="13"/>
  <c r="X633" i="13" s="1"/>
  <c r="O633" i="13"/>
  <c r="W633" i="13" s="1"/>
  <c r="N633" i="13"/>
  <c r="V633" i="13" s="1"/>
  <c r="M633" i="13"/>
  <c r="U633" i="13" s="1"/>
  <c r="L633" i="13"/>
  <c r="T633" i="13" s="1"/>
  <c r="K633" i="13"/>
  <c r="S633" i="13" s="1"/>
  <c r="J633" i="13"/>
  <c r="R633" i="13" s="1"/>
  <c r="I633" i="13"/>
  <c r="Q633" i="13" s="1"/>
  <c r="H633" i="13"/>
  <c r="G633" i="13"/>
  <c r="F633" i="13"/>
  <c r="E633" i="13"/>
  <c r="C633" i="13"/>
  <c r="AG633" i="13" s="1"/>
  <c r="AJ633" i="13" s="1"/>
  <c r="B633" i="13"/>
  <c r="Z633" i="13" s="1"/>
  <c r="A633" i="13"/>
  <c r="AQ632" i="13"/>
  <c r="W632" i="13"/>
  <c r="T632" i="13"/>
  <c r="P632" i="13"/>
  <c r="X632" i="13" s="1"/>
  <c r="O632" i="13"/>
  <c r="N632" i="13"/>
  <c r="V632" i="13" s="1"/>
  <c r="M632" i="13"/>
  <c r="U632" i="13" s="1"/>
  <c r="L632" i="13"/>
  <c r="K632" i="13"/>
  <c r="S632" i="13" s="1"/>
  <c r="J632" i="13"/>
  <c r="R632" i="13" s="1"/>
  <c r="I632" i="13"/>
  <c r="Q632" i="13" s="1"/>
  <c r="H632" i="13"/>
  <c r="G632" i="13"/>
  <c r="F632" i="13"/>
  <c r="E632" i="13"/>
  <c r="C632" i="13"/>
  <c r="AG632" i="13" s="1"/>
  <c r="AI632" i="13" s="1"/>
  <c r="B632" i="13"/>
  <c r="Z632" i="13" s="1"/>
  <c r="A632" i="13"/>
  <c r="AC632" i="13" s="1"/>
  <c r="AQ631" i="13"/>
  <c r="P631" i="13"/>
  <c r="X631" i="13" s="1"/>
  <c r="O631" i="13"/>
  <c r="W631" i="13" s="1"/>
  <c r="N631" i="13"/>
  <c r="V631" i="13" s="1"/>
  <c r="M631" i="13"/>
  <c r="U631" i="13" s="1"/>
  <c r="L631" i="13"/>
  <c r="T631" i="13" s="1"/>
  <c r="K631" i="13"/>
  <c r="S631" i="13" s="1"/>
  <c r="J631" i="13"/>
  <c r="R631" i="13" s="1"/>
  <c r="I631" i="13"/>
  <c r="Q631" i="13" s="1"/>
  <c r="H631" i="13"/>
  <c r="G631" i="13"/>
  <c r="F631" i="13"/>
  <c r="E631" i="13"/>
  <c r="BB631" i="13" s="1"/>
  <c r="C631" i="13"/>
  <c r="AG631" i="13" s="1"/>
  <c r="B631" i="13"/>
  <c r="Z631" i="13" s="1"/>
  <c r="A631" i="13"/>
  <c r="AQ630" i="13"/>
  <c r="W630" i="13"/>
  <c r="P630" i="13"/>
  <c r="X630" i="13" s="1"/>
  <c r="O630" i="13"/>
  <c r="N630" i="13"/>
  <c r="V630" i="13" s="1"/>
  <c r="M630" i="13"/>
  <c r="U630" i="13" s="1"/>
  <c r="L630" i="13"/>
  <c r="T630" i="13" s="1"/>
  <c r="K630" i="13"/>
  <c r="S630" i="13" s="1"/>
  <c r="J630" i="13"/>
  <c r="R630" i="13" s="1"/>
  <c r="I630" i="13"/>
  <c r="Q630" i="13" s="1"/>
  <c r="H630" i="13"/>
  <c r="G630" i="13"/>
  <c r="F630" i="13"/>
  <c r="E630" i="13"/>
  <c r="C630" i="13"/>
  <c r="AG630" i="13" s="1"/>
  <c r="B630" i="13"/>
  <c r="Z630" i="13" s="1"/>
  <c r="A630" i="13"/>
  <c r="AC630" i="13" s="1"/>
  <c r="AQ629" i="13"/>
  <c r="P629" i="13"/>
  <c r="X629" i="13" s="1"/>
  <c r="O629" i="13"/>
  <c r="W629" i="13" s="1"/>
  <c r="N629" i="13"/>
  <c r="V629" i="13" s="1"/>
  <c r="M629" i="13"/>
  <c r="U629" i="13" s="1"/>
  <c r="L629" i="13"/>
  <c r="T629" i="13" s="1"/>
  <c r="K629" i="13"/>
  <c r="S629" i="13" s="1"/>
  <c r="J629" i="13"/>
  <c r="R629" i="13" s="1"/>
  <c r="I629" i="13"/>
  <c r="Q629" i="13" s="1"/>
  <c r="H629" i="13"/>
  <c r="G629" i="13"/>
  <c r="F629" i="13"/>
  <c r="E629" i="13"/>
  <c r="BA629" i="13" s="1"/>
  <c r="C629" i="13"/>
  <c r="AG629" i="13" s="1"/>
  <c r="B629" i="13"/>
  <c r="Z629" i="13" s="1"/>
  <c r="A629" i="13"/>
  <c r="AU629" i="13" s="1"/>
  <c r="AQ628" i="13"/>
  <c r="P628" i="13"/>
  <c r="X628" i="13" s="1"/>
  <c r="O628" i="13"/>
  <c r="W628" i="13" s="1"/>
  <c r="N628" i="13"/>
  <c r="V628" i="13" s="1"/>
  <c r="M628" i="13"/>
  <c r="U628" i="13" s="1"/>
  <c r="L628" i="13"/>
  <c r="T628" i="13" s="1"/>
  <c r="K628" i="13"/>
  <c r="S628" i="13" s="1"/>
  <c r="J628" i="13"/>
  <c r="R628" i="13" s="1"/>
  <c r="I628" i="13"/>
  <c r="Q628" i="13" s="1"/>
  <c r="H628" i="13"/>
  <c r="G628" i="13"/>
  <c r="F628" i="13"/>
  <c r="E628" i="13"/>
  <c r="C628" i="13"/>
  <c r="AG628" i="13" s="1"/>
  <c r="B628" i="13"/>
  <c r="Z628" i="13" s="1"/>
  <c r="A628" i="13"/>
  <c r="AU628" i="13" s="1"/>
  <c r="AQ627" i="13"/>
  <c r="P627" i="13"/>
  <c r="X627" i="13" s="1"/>
  <c r="O627" i="13"/>
  <c r="W627" i="13" s="1"/>
  <c r="N627" i="13"/>
  <c r="V627" i="13" s="1"/>
  <c r="M627" i="13"/>
  <c r="U627" i="13" s="1"/>
  <c r="L627" i="13"/>
  <c r="T627" i="13" s="1"/>
  <c r="K627" i="13"/>
  <c r="S627" i="13" s="1"/>
  <c r="J627" i="13"/>
  <c r="R627" i="13" s="1"/>
  <c r="I627" i="13"/>
  <c r="Q627" i="13" s="1"/>
  <c r="H627" i="13"/>
  <c r="G627" i="13"/>
  <c r="F627" i="13"/>
  <c r="E627" i="13"/>
  <c r="BB627" i="13" s="1"/>
  <c r="C627" i="13"/>
  <c r="AG627" i="13" s="1"/>
  <c r="B627" i="13"/>
  <c r="A627" i="13"/>
  <c r="AC627" i="13" s="1"/>
  <c r="AQ626" i="13"/>
  <c r="P626" i="13"/>
  <c r="X626" i="13" s="1"/>
  <c r="O626" i="13"/>
  <c r="W626" i="13" s="1"/>
  <c r="N626" i="13"/>
  <c r="V626" i="13" s="1"/>
  <c r="M626" i="13"/>
  <c r="U626" i="13" s="1"/>
  <c r="L626" i="13"/>
  <c r="T626" i="13" s="1"/>
  <c r="K626" i="13"/>
  <c r="S626" i="13" s="1"/>
  <c r="J626" i="13"/>
  <c r="R626" i="13" s="1"/>
  <c r="I626" i="13"/>
  <c r="Q626" i="13" s="1"/>
  <c r="H626" i="13"/>
  <c r="G626" i="13"/>
  <c r="F626" i="13"/>
  <c r="E626" i="13"/>
  <c r="BA626" i="13" s="1"/>
  <c r="C626" i="13"/>
  <c r="AG626" i="13" s="1"/>
  <c r="AK626" i="13" s="1"/>
  <c r="B626" i="13"/>
  <c r="Z626" i="13" s="1"/>
  <c r="A626" i="13"/>
  <c r="AR626" i="13" s="1"/>
  <c r="AQ625" i="13"/>
  <c r="AG625" i="13"/>
  <c r="P625" i="13"/>
  <c r="X625" i="13" s="1"/>
  <c r="O625" i="13"/>
  <c r="W625" i="13" s="1"/>
  <c r="N625" i="13"/>
  <c r="V625" i="13" s="1"/>
  <c r="M625" i="13"/>
  <c r="U625" i="13" s="1"/>
  <c r="L625" i="13"/>
  <c r="T625" i="13" s="1"/>
  <c r="K625" i="13"/>
  <c r="S625" i="13" s="1"/>
  <c r="J625" i="13"/>
  <c r="R625" i="13" s="1"/>
  <c r="I625" i="13"/>
  <c r="Q625" i="13" s="1"/>
  <c r="H625" i="13"/>
  <c r="G625" i="13"/>
  <c r="F625" i="13"/>
  <c r="E625" i="13"/>
  <c r="BA625" i="13" s="1"/>
  <c r="C625" i="13"/>
  <c r="B625" i="13"/>
  <c r="Z625" i="13" s="1"/>
  <c r="A625" i="13"/>
  <c r="AQ624" i="13"/>
  <c r="P624" i="13"/>
  <c r="X624" i="13" s="1"/>
  <c r="O624" i="13"/>
  <c r="W624" i="13" s="1"/>
  <c r="N624" i="13"/>
  <c r="V624" i="13" s="1"/>
  <c r="M624" i="13"/>
  <c r="U624" i="13" s="1"/>
  <c r="L624" i="13"/>
  <c r="T624" i="13" s="1"/>
  <c r="K624" i="13"/>
  <c r="S624" i="13" s="1"/>
  <c r="J624" i="13"/>
  <c r="R624" i="13" s="1"/>
  <c r="I624" i="13"/>
  <c r="Q624" i="13" s="1"/>
  <c r="H624" i="13"/>
  <c r="G624" i="13"/>
  <c r="F624" i="13"/>
  <c r="E624" i="13"/>
  <c r="C624" i="13"/>
  <c r="AG624" i="13" s="1"/>
  <c r="B624" i="13"/>
  <c r="Z624" i="13" s="1"/>
  <c r="A624" i="13"/>
  <c r="AU624" i="13" s="1"/>
  <c r="AQ623" i="13"/>
  <c r="P623" i="13"/>
  <c r="X623" i="13" s="1"/>
  <c r="O623" i="13"/>
  <c r="W623" i="13" s="1"/>
  <c r="N623" i="13"/>
  <c r="V623" i="13" s="1"/>
  <c r="M623" i="13"/>
  <c r="U623" i="13" s="1"/>
  <c r="L623" i="13"/>
  <c r="T623" i="13" s="1"/>
  <c r="K623" i="13"/>
  <c r="S623" i="13" s="1"/>
  <c r="J623" i="13"/>
  <c r="R623" i="13" s="1"/>
  <c r="I623" i="13"/>
  <c r="Q623" i="13" s="1"/>
  <c r="H623" i="13"/>
  <c r="G623" i="13"/>
  <c r="F623" i="13"/>
  <c r="E623" i="13"/>
  <c r="BB623" i="13" s="1"/>
  <c r="C623" i="13"/>
  <c r="AG623" i="13" s="1"/>
  <c r="AK623" i="13" s="1"/>
  <c r="B623" i="13"/>
  <c r="AR623" i="13" s="1"/>
  <c r="A623" i="13"/>
  <c r="AC623" i="13" s="1"/>
  <c r="AQ622" i="13"/>
  <c r="P622" i="13"/>
  <c r="X622" i="13" s="1"/>
  <c r="O622" i="13"/>
  <c r="W622" i="13" s="1"/>
  <c r="N622" i="13"/>
  <c r="V622" i="13" s="1"/>
  <c r="M622" i="13"/>
  <c r="U622" i="13" s="1"/>
  <c r="L622" i="13"/>
  <c r="T622" i="13" s="1"/>
  <c r="K622" i="13"/>
  <c r="S622" i="13" s="1"/>
  <c r="J622" i="13"/>
  <c r="R622" i="13" s="1"/>
  <c r="I622" i="13"/>
  <c r="Q622" i="13" s="1"/>
  <c r="H622" i="13"/>
  <c r="G622" i="13"/>
  <c r="F622" i="13"/>
  <c r="E622" i="13"/>
  <c r="BB622" i="13" s="1"/>
  <c r="C622" i="13"/>
  <c r="AG622" i="13" s="1"/>
  <c r="B622" i="13"/>
  <c r="Z622" i="13" s="1"/>
  <c r="A622" i="13"/>
  <c r="AC622" i="13" s="1"/>
  <c r="AQ621" i="13"/>
  <c r="P621" i="13"/>
  <c r="X621" i="13" s="1"/>
  <c r="O621" i="13"/>
  <c r="W621" i="13" s="1"/>
  <c r="N621" i="13"/>
  <c r="V621" i="13" s="1"/>
  <c r="M621" i="13"/>
  <c r="U621" i="13" s="1"/>
  <c r="L621" i="13"/>
  <c r="T621" i="13" s="1"/>
  <c r="K621" i="13"/>
  <c r="S621" i="13" s="1"/>
  <c r="J621" i="13"/>
  <c r="R621" i="13" s="1"/>
  <c r="I621" i="13"/>
  <c r="Q621" i="13" s="1"/>
  <c r="H621" i="13"/>
  <c r="G621" i="13"/>
  <c r="F621" i="13"/>
  <c r="E621" i="13"/>
  <c r="BA621" i="13" s="1"/>
  <c r="C621" i="13"/>
  <c r="AG621" i="13" s="1"/>
  <c r="B621" i="13"/>
  <c r="Z621" i="13" s="1"/>
  <c r="A621" i="13"/>
  <c r="AQ620" i="13"/>
  <c r="P620" i="13"/>
  <c r="X620" i="13" s="1"/>
  <c r="O620" i="13"/>
  <c r="W620" i="13" s="1"/>
  <c r="N620" i="13"/>
  <c r="V620" i="13" s="1"/>
  <c r="M620" i="13"/>
  <c r="U620" i="13" s="1"/>
  <c r="L620" i="13"/>
  <c r="T620" i="13" s="1"/>
  <c r="K620" i="13"/>
  <c r="S620" i="13" s="1"/>
  <c r="J620" i="13"/>
  <c r="R620" i="13" s="1"/>
  <c r="I620" i="13"/>
  <c r="Q620" i="13" s="1"/>
  <c r="H620" i="13"/>
  <c r="G620" i="13"/>
  <c r="F620" i="13"/>
  <c r="E620" i="13"/>
  <c r="C620" i="13"/>
  <c r="AG620" i="13" s="1"/>
  <c r="B620" i="13"/>
  <c r="Z620" i="13" s="1"/>
  <c r="A620" i="13"/>
  <c r="AU620" i="13" s="1"/>
  <c r="AQ619" i="13"/>
  <c r="P619" i="13"/>
  <c r="X619" i="13" s="1"/>
  <c r="O619" i="13"/>
  <c r="W619" i="13" s="1"/>
  <c r="N619" i="13"/>
  <c r="V619" i="13" s="1"/>
  <c r="M619" i="13"/>
  <c r="U619" i="13" s="1"/>
  <c r="L619" i="13"/>
  <c r="T619" i="13" s="1"/>
  <c r="K619" i="13"/>
  <c r="S619" i="13" s="1"/>
  <c r="J619" i="13"/>
  <c r="R619" i="13" s="1"/>
  <c r="I619" i="13"/>
  <c r="Q619" i="13" s="1"/>
  <c r="H619" i="13"/>
  <c r="G619" i="13"/>
  <c r="F619" i="13"/>
  <c r="E619" i="13"/>
  <c r="BB619" i="13" s="1"/>
  <c r="C619" i="13"/>
  <c r="AG619" i="13" s="1"/>
  <c r="AM619" i="13" s="1"/>
  <c r="B619" i="13"/>
  <c r="AR619" i="13" s="1"/>
  <c r="A619" i="13"/>
  <c r="AQ618" i="13"/>
  <c r="P618" i="13"/>
  <c r="X618" i="13" s="1"/>
  <c r="O618" i="13"/>
  <c r="W618" i="13" s="1"/>
  <c r="N618" i="13"/>
  <c r="V618" i="13" s="1"/>
  <c r="M618" i="13"/>
  <c r="U618" i="13" s="1"/>
  <c r="L618" i="13"/>
  <c r="T618" i="13" s="1"/>
  <c r="K618" i="13"/>
  <c r="S618" i="13" s="1"/>
  <c r="J618" i="13"/>
  <c r="R618" i="13" s="1"/>
  <c r="I618" i="13"/>
  <c r="Q618" i="13" s="1"/>
  <c r="H618" i="13"/>
  <c r="G618" i="13"/>
  <c r="F618" i="13"/>
  <c r="E618" i="13"/>
  <c r="BA618" i="13" s="1"/>
  <c r="C618" i="13"/>
  <c r="AG618" i="13" s="1"/>
  <c r="AK618" i="13" s="1"/>
  <c r="B618" i="13"/>
  <c r="Z618" i="13" s="1"/>
  <c r="A618" i="13"/>
  <c r="AU618" i="13" s="1"/>
  <c r="AQ617" i="13"/>
  <c r="P617" i="13"/>
  <c r="X617" i="13" s="1"/>
  <c r="O617" i="13"/>
  <c r="W617" i="13" s="1"/>
  <c r="N617" i="13"/>
  <c r="V617" i="13" s="1"/>
  <c r="M617" i="13"/>
  <c r="U617" i="13" s="1"/>
  <c r="L617" i="13"/>
  <c r="T617" i="13" s="1"/>
  <c r="K617" i="13"/>
  <c r="S617" i="13" s="1"/>
  <c r="J617" i="13"/>
  <c r="R617" i="13" s="1"/>
  <c r="I617" i="13"/>
  <c r="Q617" i="13" s="1"/>
  <c r="H617" i="13"/>
  <c r="G617" i="13"/>
  <c r="F617" i="13"/>
  <c r="E617" i="13"/>
  <c r="BA617" i="13" s="1"/>
  <c r="C617" i="13"/>
  <c r="AG617" i="13" s="1"/>
  <c r="B617" i="13"/>
  <c r="Z617" i="13" s="1"/>
  <c r="A617" i="13"/>
  <c r="AQ616" i="13"/>
  <c r="P616" i="13"/>
  <c r="X616" i="13" s="1"/>
  <c r="O616" i="13"/>
  <c r="W616" i="13" s="1"/>
  <c r="N616" i="13"/>
  <c r="V616" i="13" s="1"/>
  <c r="M616" i="13"/>
  <c r="U616" i="13" s="1"/>
  <c r="L616" i="13"/>
  <c r="T616" i="13" s="1"/>
  <c r="K616" i="13"/>
  <c r="S616" i="13" s="1"/>
  <c r="J616" i="13"/>
  <c r="R616" i="13" s="1"/>
  <c r="I616" i="13"/>
  <c r="Q616" i="13" s="1"/>
  <c r="H616" i="13"/>
  <c r="G616" i="13"/>
  <c r="F616" i="13"/>
  <c r="E616" i="13"/>
  <c r="BA616" i="13" s="1"/>
  <c r="C616" i="13"/>
  <c r="AG616" i="13" s="1"/>
  <c r="B616" i="13"/>
  <c r="Z616" i="13" s="1"/>
  <c r="A616" i="13"/>
  <c r="AU616" i="13" s="1"/>
  <c r="AQ615" i="13"/>
  <c r="P615" i="13"/>
  <c r="X615" i="13" s="1"/>
  <c r="O615" i="13"/>
  <c r="W615" i="13" s="1"/>
  <c r="N615" i="13"/>
  <c r="V615" i="13" s="1"/>
  <c r="M615" i="13"/>
  <c r="U615" i="13" s="1"/>
  <c r="L615" i="13"/>
  <c r="T615" i="13" s="1"/>
  <c r="K615" i="13"/>
  <c r="S615" i="13" s="1"/>
  <c r="J615" i="13"/>
  <c r="R615" i="13" s="1"/>
  <c r="I615" i="13"/>
  <c r="Q615" i="13" s="1"/>
  <c r="H615" i="13"/>
  <c r="G615" i="13"/>
  <c r="F615" i="13"/>
  <c r="E615" i="13"/>
  <c r="BB615" i="13" s="1"/>
  <c r="C615" i="13"/>
  <c r="AG615" i="13" s="1"/>
  <c r="B615" i="13"/>
  <c r="AR615" i="13" s="1"/>
  <c r="A615" i="13"/>
  <c r="AU615" i="13" s="1"/>
  <c r="AQ614" i="13"/>
  <c r="U614" i="13"/>
  <c r="P614" i="13"/>
  <c r="X614" i="13" s="1"/>
  <c r="O614" i="13"/>
  <c r="W614" i="13" s="1"/>
  <c r="N614" i="13"/>
  <c r="V614" i="13" s="1"/>
  <c r="M614" i="13"/>
  <c r="L614" i="13"/>
  <c r="T614" i="13" s="1"/>
  <c r="K614" i="13"/>
  <c r="S614" i="13" s="1"/>
  <c r="J614" i="13"/>
  <c r="R614" i="13" s="1"/>
  <c r="I614" i="13"/>
  <c r="Q614" i="13" s="1"/>
  <c r="H614" i="13"/>
  <c r="G614" i="13"/>
  <c r="F614" i="13"/>
  <c r="E614" i="13"/>
  <c r="BB614" i="13" s="1"/>
  <c r="C614" i="13"/>
  <c r="AG614" i="13" s="1"/>
  <c r="B614" i="13"/>
  <c r="Z614" i="13" s="1"/>
  <c r="A614" i="13"/>
  <c r="AR614" i="13" s="1"/>
  <c r="AQ613" i="13"/>
  <c r="P613" i="13"/>
  <c r="X613" i="13" s="1"/>
  <c r="O613" i="13"/>
  <c r="W613" i="13" s="1"/>
  <c r="N613" i="13"/>
  <c r="V613" i="13" s="1"/>
  <c r="M613" i="13"/>
  <c r="U613" i="13" s="1"/>
  <c r="L613" i="13"/>
  <c r="T613" i="13" s="1"/>
  <c r="K613" i="13"/>
  <c r="S613" i="13" s="1"/>
  <c r="J613" i="13"/>
  <c r="R613" i="13" s="1"/>
  <c r="I613" i="13"/>
  <c r="Q613" i="13" s="1"/>
  <c r="H613" i="13"/>
  <c r="G613" i="13"/>
  <c r="F613" i="13"/>
  <c r="E613" i="13"/>
  <c r="C613" i="13"/>
  <c r="AG613" i="13" s="1"/>
  <c r="B613" i="13"/>
  <c r="Z613" i="13" s="1"/>
  <c r="A613" i="13"/>
  <c r="AQ612" i="13"/>
  <c r="W612" i="13"/>
  <c r="P612" i="13"/>
  <c r="X612" i="13" s="1"/>
  <c r="O612" i="13"/>
  <c r="N612" i="13"/>
  <c r="V612" i="13" s="1"/>
  <c r="M612" i="13"/>
  <c r="U612" i="13" s="1"/>
  <c r="L612" i="13"/>
  <c r="T612" i="13" s="1"/>
  <c r="K612" i="13"/>
  <c r="S612" i="13" s="1"/>
  <c r="J612" i="13"/>
  <c r="R612" i="13" s="1"/>
  <c r="I612" i="13"/>
  <c r="Q612" i="13" s="1"/>
  <c r="H612" i="13"/>
  <c r="G612" i="13"/>
  <c r="F612" i="13"/>
  <c r="E612" i="13"/>
  <c r="BA612" i="13" s="1"/>
  <c r="C612" i="13"/>
  <c r="AG612" i="13" s="1"/>
  <c r="B612" i="13"/>
  <c r="Z612" i="13" s="1"/>
  <c r="A612" i="13"/>
  <c r="AU612" i="13" s="1"/>
  <c r="AQ611" i="13"/>
  <c r="P611" i="13"/>
  <c r="X611" i="13" s="1"/>
  <c r="O611" i="13"/>
  <c r="W611" i="13" s="1"/>
  <c r="N611" i="13"/>
  <c r="V611" i="13" s="1"/>
  <c r="M611" i="13"/>
  <c r="U611" i="13" s="1"/>
  <c r="L611" i="13"/>
  <c r="T611" i="13" s="1"/>
  <c r="K611" i="13"/>
  <c r="S611" i="13" s="1"/>
  <c r="J611" i="13"/>
  <c r="R611" i="13" s="1"/>
  <c r="I611" i="13"/>
  <c r="Q611" i="13" s="1"/>
  <c r="H611" i="13"/>
  <c r="G611" i="13"/>
  <c r="F611" i="13"/>
  <c r="E611" i="13"/>
  <c r="C611" i="13"/>
  <c r="AG611" i="13" s="1"/>
  <c r="AM611" i="13" s="1"/>
  <c r="B611" i="13"/>
  <c r="Z611" i="13" s="1"/>
  <c r="A611" i="13"/>
  <c r="AR611" i="13" s="1"/>
  <c r="AQ610" i="13"/>
  <c r="P610" i="13"/>
  <c r="X610" i="13" s="1"/>
  <c r="O610" i="13"/>
  <c r="W610" i="13" s="1"/>
  <c r="N610" i="13"/>
  <c r="V610" i="13" s="1"/>
  <c r="M610" i="13"/>
  <c r="U610" i="13" s="1"/>
  <c r="L610" i="13"/>
  <c r="T610" i="13" s="1"/>
  <c r="K610" i="13"/>
  <c r="S610" i="13" s="1"/>
  <c r="J610" i="13"/>
  <c r="R610" i="13" s="1"/>
  <c r="I610" i="13"/>
  <c r="Q610" i="13" s="1"/>
  <c r="H610" i="13"/>
  <c r="G610" i="13"/>
  <c r="F610" i="13"/>
  <c r="E610" i="13"/>
  <c r="BA610" i="13" s="1"/>
  <c r="C610" i="13"/>
  <c r="AG610" i="13" s="1"/>
  <c r="AK610" i="13" s="1"/>
  <c r="B610" i="13"/>
  <c r="Z610" i="13" s="1"/>
  <c r="A610" i="13"/>
  <c r="AC610" i="13" s="1"/>
  <c r="AQ609" i="13"/>
  <c r="P609" i="13"/>
  <c r="X609" i="13" s="1"/>
  <c r="O609" i="13"/>
  <c r="W609" i="13" s="1"/>
  <c r="N609" i="13"/>
  <c r="V609" i="13" s="1"/>
  <c r="M609" i="13"/>
  <c r="U609" i="13" s="1"/>
  <c r="L609" i="13"/>
  <c r="T609" i="13" s="1"/>
  <c r="K609" i="13"/>
  <c r="S609" i="13" s="1"/>
  <c r="J609" i="13"/>
  <c r="R609" i="13" s="1"/>
  <c r="I609" i="13"/>
  <c r="Q609" i="13" s="1"/>
  <c r="H609" i="13"/>
  <c r="G609" i="13"/>
  <c r="F609" i="13"/>
  <c r="E609" i="13"/>
  <c r="BA609" i="13" s="1"/>
  <c r="C609" i="13"/>
  <c r="AG609" i="13" s="1"/>
  <c r="B609" i="13"/>
  <c r="Z609" i="13" s="1"/>
  <c r="A609" i="13"/>
  <c r="AQ608" i="13"/>
  <c r="P608" i="13"/>
  <c r="X608" i="13" s="1"/>
  <c r="O608" i="13"/>
  <c r="W608" i="13" s="1"/>
  <c r="N608" i="13"/>
  <c r="V608" i="13" s="1"/>
  <c r="M608" i="13"/>
  <c r="U608" i="13" s="1"/>
  <c r="L608" i="13"/>
  <c r="T608" i="13" s="1"/>
  <c r="K608" i="13"/>
  <c r="S608" i="13" s="1"/>
  <c r="J608" i="13"/>
  <c r="R608" i="13" s="1"/>
  <c r="I608" i="13"/>
  <c r="Q608" i="13" s="1"/>
  <c r="H608" i="13"/>
  <c r="G608" i="13"/>
  <c r="F608" i="13"/>
  <c r="E608" i="13"/>
  <c r="BA608" i="13" s="1"/>
  <c r="C608" i="13"/>
  <c r="AG608" i="13" s="1"/>
  <c r="B608" i="13"/>
  <c r="Z608" i="13" s="1"/>
  <c r="A608" i="13"/>
  <c r="AU608" i="13" s="1"/>
  <c r="AQ607" i="13"/>
  <c r="P607" i="13"/>
  <c r="X607" i="13" s="1"/>
  <c r="O607" i="13"/>
  <c r="W607" i="13" s="1"/>
  <c r="N607" i="13"/>
  <c r="V607" i="13" s="1"/>
  <c r="M607" i="13"/>
  <c r="U607" i="13" s="1"/>
  <c r="L607" i="13"/>
  <c r="T607" i="13" s="1"/>
  <c r="K607" i="13"/>
  <c r="S607" i="13" s="1"/>
  <c r="J607" i="13"/>
  <c r="R607" i="13" s="1"/>
  <c r="I607" i="13"/>
  <c r="Q607" i="13" s="1"/>
  <c r="H607" i="13"/>
  <c r="G607" i="13"/>
  <c r="F607" i="13"/>
  <c r="E607" i="13"/>
  <c r="BB607" i="13" s="1"/>
  <c r="C607" i="13"/>
  <c r="AG607" i="13" s="1"/>
  <c r="B607" i="13"/>
  <c r="Z607" i="13" s="1"/>
  <c r="A607" i="13"/>
  <c r="AC607" i="13" s="1"/>
  <c r="AQ606" i="13"/>
  <c r="P606" i="13"/>
  <c r="X606" i="13" s="1"/>
  <c r="O606" i="13"/>
  <c r="W606" i="13" s="1"/>
  <c r="N606" i="13"/>
  <c r="V606" i="13" s="1"/>
  <c r="M606" i="13"/>
  <c r="U606" i="13" s="1"/>
  <c r="L606" i="13"/>
  <c r="T606" i="13" s="1"/>
  <c r="K606" i="13"/>
  <c r="S606" i="13" s="1"/>
  <c r="J606" i="13"/>
  <c r="R606" i="13" s="1"/>
  <c r="I606" i="13"/>
  <c r="Q606" i="13" s="1"/>
  <c r="H606" i="13"/>
  <c r="G606" i="13"/>
  <c r="F606" i="13"/>
  <c r="E606" i="13"/>
  <c r="BB606" i="13" s="1"/>
  <c r="C606" i="13"/>
  <c r="AG606" i="13" s="1"/>
  <c r="B606" i="13"/>
  <c r="Z606" i="13" s="1"/>
  <c r="A606" i="13"/>
  <c r="AQ605" i="13"/>
  <c r="P605" i="13"/>
  <c r="X605" i="13" s="1"/>
  <c r="O605" i="13"/>
  <c r="W605" i="13" s="1"/>
  <c r="N605" i="13"/>
  <c r="V605" i="13" s="1"/>
  <c r="M605" i="13"/>
  <c r="U605" i="13" s="1"/>
  <c r="L605" i="13"/>
  <c r="T605" i="13" s="1"/>
  <c r="K605" i="13"/>
  <c r="S605" i="13" s="1"/>
  <c r="J605" i="13"/>
  <c r="R605" i="13" s="1"/>
  <c r="I605" i="13"/>
  <c r="Q605" i="13" s="1"/>
  <c r="H605" i="13"/>
  <c r="G605" i="13"/>
  <c r="F605" i="13"/>
  <c r="E605" i="13"/>
  <c r="BA605" i="13" s="1"/>
  <c r="C605" i="13"/>
  <c r="AG605" i="13" s="1"/>
  <c r="B605" i="13"/>
  <c r="Z605" i="13" s="1"/>
  <c r="A605" i="13"/>
  <c r="AQ604" i="13"/>
  <c r="P604" i="13"/>
  <c r="X604" i="13" s="1"/>
  <c r="O604" i="13"/>
  <c r="W604" i="13" s="1"/>
  <c r="N604" i="13"/>
  <c r="V604" i="13" s="1"/>
  <c r="M604" i="13"/>
  <c r="U604" i="13" s="1"/>
  <c r="L604" i="13"/>
  <c r="T604" i="13" s="1"/>
  <c r="K604" i="13"/>
  <c r="S604" i="13" s="1"/>
  <c r="J604" i="13"/>
  <c r="R604" i="13" s="1"/>
  <c r="I604" i="13"/>
  <c r="Q604" i="13" s="1"/>
  <c r="H604" i="13"/>
  <c r="G604" i="13"/>
  <c r="F604" i="13"/>
  <c r="E604" i="13"/>
  <c r="BA604" i="13" s="1"/>
  <c r="C604" i="13"/>
  <c r="AG604" i="13" s="1"/>
  <c r="B604" i="13"/>
  <c r="Z604" i="13" s="1"/>
  <c r="A604" i="13"/>
  <c r="AU604" i="13" s="1"/>
  <c r="AQ603" i="13"/>
  <c r="P603" i="13"/>
  <c r="X603" i="13" s="1"/>
  <c r="O603" i="13"/>
  <c r="W603" i="13" s="1"/>
  <c r="N603" i="13"/>
  <c r="V603" i="13" s="1"/>
  <c r="M603" i="13"/>
  <c r="U603" i="13" s="1"/>
  <c r="L603" i="13"/>
  <c r="T603" i="13" s="1"/>
  <c r="K603" i="13"/>
  <c r="S603" i="13" s="1"/>
  <c r="J603" i="13"/>
  <c r="R603" i="13" s="1"/>
  <c r="I603" i="13"/>
  <c r="Q603" i="13" s="1"/>
  <c r="H603" i="13"/>
  <c r="G603" i="13"/>
  <c r="F603" i="13"/>
  <c r="E603" i="13"/>
  <c r="BB603" i="13" s="1"/>
  <c r="C603" i="13"/>
  <c r="AG603" i="13" s="1"/>
  <c r="B603" i="13"/>
  <c r="Z603" i="13" s="1"/>
  <c r="A603" i="13"/>
  <c r="AR603" i="13" s="1"/>
  <c r="AQ602" i="13"/>
  <c r="P602" i="13"/>
  <c r="X602" i="13" s="1"/>
  <c r="O602" i="13"/>
  <c r="W602" i="13" s="1"/>
  <c r="N602" i="13"/>
  <c r="V602" i="13" s="1"/>
  <c r="M602" i="13"/>
  <c r="U602" i="13" s="1"/>
  <c r="L602" i="13"/>
  <c r="T602" i="13" s="1"/>
  <c r="K602" i="13"/>
  <c r="S602" i="13" s="1"/>
  <c r="J602" i="13"/>
  <c r="R602" i="13" s="1"/>
  <c r="I602" i="13"/>
  <c r="Q602" i="13" s="1"/>
  <c r="H602" i="13"/>
  <c r="G602" i="13"/>
  <c r="F602" i="13"/>
  <c r="E602" i="13"/>
  <c r="BA602" i="13" s="1"/>
  <c r="C602" i="13"/>
  <c r="AG602" i="13" s="1"/>
  <c r="AK602" i="13" s="1"/>
  <c r="B602" i="13"/>
  <c r="Z602" i="13" s="1"/>
  <c r="A602" i="13"/>
  <c r="AU602" i="13" s="1"/>
  <c r="AQ601" i="13"/>
  <c r="P601" i="13"/>
  <c r="X601" i="13" s="1"/>
  <c r="O601" i="13"/>
  <c r="W601" i="13" s="1"/>
  <c r="N601" i="13"/>
  <c r="V601" i="13" s="1"/>
  <c r="M601" i="13"/>
  <c r="U601" i="13" s="1"/>
  <c r="L601" i="13"/>
  <c r="T601" i="13" s="1"/>
  <c r="K601" i="13"/>
  <c r="S601" i="13" s="1"/>
  <c r="J601" i="13"/>
  <c r="R601" i="13" s="1"/>
  <c r="I601" i="13"/>
  <c r="Q601" i="13" s="1"/>
  <c r="H601" i="13"/>
  <c r="G601" i="13"/>
  <c r="F601" i="13"/>
  <c r="E601" i="13"/>
  <c r="BA601" i="13" s="1"/>
  <c r="C601" i="13"/>
  <c r="AG601" i="13" s="1"/>
  <c r="B601" i="13"/>
  <c r="Z601" i="13" s="1"/>
  <c r="A601" i="13"/>
  <c r="AQ600" i="13"/>
  <c r="P600" i="13"/>
  <c r="X600" i="13" s="1"/>
  <c r="O600" i="13"/>
  <c r="W600" i="13" s="1"/>
  <c r="N600" i="13"/>
  <c r="V600" i="13" s="1"/>
  <c r="M600" i="13"/>
  <c r="U600" i="13" s="1"/>
  <c r="L600" i="13"/>
  <c r="T600" i="13" s="1"/>
  <c r="K600" i="13"/>
  <c r="S600" i="13" s="1"/>
  <c r="J600" i="13"/>
  <c r="R600" i="13" s="1"/>
  <c r="I600" i="13"/>
  <c r="Q600" i="13" s="1"/>
  <c r="H600" i="13"/>
  <c r="G600" i="13"/>
  <c r="F600" i="13"/>
  <c r="E600" i="13"/>
  <c r="C600" i="13"/>
  <c r="AG600" i="13" s="1"/>
  <c r="B600" i="13"/>
  <c r="Z600" i="13" s="1"/>
  <c r="A600" i="13"/>
  <c r="AU600" i="13" s="1"/>
  <c r="AQ599" i="13"/>
  <c r="P599" i="13"/>
  <c r="X599" i="13" s="1"/>
  <c r="O599" i="13"/>
  <c r="W599" i="13" s="1"/>
  <c r="N599" i="13"/>
  <c r="V599" i="13" s="1"/>
  <c r="M599" i="13"/>
  <c r="U599" i="13" s="1"/>
  <c r="L599" i="13"/>
  <c r="T599" i="13" s="1"/>
  <c r="K599" i="13"/>
  <c r="S599" i="13" s="1"/>
  <c r="J599" i="13"/>
  <c r="R599" i="13" s="1"/>
  <c r="I599" i="13"/>
  <c r="Q599" i="13" s="1"/>
  <c r="H599" i="13"/>
  <c r="G599" i="13"/>
  <c r="F599" i="13"/>
  <c r="E599" i="13"/>
  <c r="BB599" i="13" s="1"/>
  <c r="C599" i="13"/>
  <c r="AG599" i="13" s="1"/>
  <c r="AK599" i="13" s="1"/>
  <c r="B599" i="13"/>
  <c r="Z599" i="13" s="1"/>
  <c r="A599" i="13"/>
  <c r="AU599" i="13" s="1"/>
  <c r="AQ598" i="13"/>
  <c r="P598" i="13"/>
  <c r="X598" i="13" s="1"/>
  <c r="O598" i="13"/>
  <c r="W598" i="13" s="1"/>
  <c r="N598" i="13"/>
  <c r="V598" i="13" s="1"/>
  <c r="M598" i="13"/>
  <c r="U598" i="13" s="1"/>
  <c r="L598" i="13"/>
  <c r="T598" i="13" s="1"/>
  <c r="K598" i="13"/>
  <c r="S598" i="13" s="1"/>
  <c r="J598" i="13"/>
  <c r="R598" i="13" s="1"/>
  <c r="I598" i="13"/>
  <c r="Q598" i="13" s="1"/>
  <c r="H598" i="13"/>
  <c r="G598" i="13"/>
  <c r="F598" i="13"/>
  <c r="E598" i="13"/>
  <c r="BB598" i="13" s="1"/>
  <c r="C598" i="13"/>
  <c r="AG598" i="13" s="1"/>
  <c r="B598" i="13"/>
  <c r="Z598" i="13" s="1"/>
  <c r="A598" i="13"/>
  <c r="AQ597" i="13"/>
  <c r="P597" i="13"/>
  <c r="X597" i="13" s="1"/>
  <c r="O597" i="13"/>
  <c r="W597" i="13" s="1"/>
  <c r="N597" i="13"/>
  <c r="V597" i="13" s="1"/>
  <c r="M597" i="13"/>
  <c r="U597" i="13" s="1"/>
  <c r="L597" i="13"/>
  <c r="T597" i="13" s="1"/>
  <c r="K597" i="13"/>
  <c r="S597" i="13" s="1"/>
  <c r="J597" i="13"/>
  <c r="R597" i="13" s="1"/>
  <c r="I597" i="13"/>
  <c r="Q597" i="13" s="1"/>
  <c r="H597" i="13"/>
  <c r="G597" i="13"/>
  <c r="F597" i="13"/>
  <c r="E597" i="13"/>
  <c r="BA597" i="13" s="1"/>
  <c r="C597" i="13"/>
  <c r="AG597" i="13" s="1"/>
  <c r="B597" i="13"/>
  <c r="Z597" i="13" s="1"/>
  <c r="A597" i="13"/>
  <c r="AQ596" i="13"/>
  <c r="AG596" i="13"/>
  <c r="AM596" i="13" s="1"/>
  <c r="P596" i="13"/>
  <c r="X596" i="13" s="1"/>
  <c r="O596" i="13"/>
  <c r="W596" i="13" s="1"/>
  <c r="N596" i="13"/>
  <c r="V596" i="13" s="1"/>
  <c r="M596" i="13"/>
  <c r="U596" i="13" s="1"/>
  <c r="L596" i="13"/>
  <c r="T596" i="13" s="1"/>
  <c r="K596" i="13"/>
  <c r="S596" i="13" s="1"/>
  <c r="J596" i="13"/>
  <c r="R596" i="13" s="1"/>
  <c r="I596" i="13"/>
  <c r="Q596" i="13" s="1"/>
  <c r="H596" i="13"/>
  <c r="G596" i="13"/>
  <c r="F596" i="13"/>
  <c r="E596" i="13"/>
  <c r="BA596" i="13" s="1"/>
  <c r="C596" i="13"/>
  <c r="B596" i="13"/>
  <c r="Z596" i="13" s="1"/>
  <c r="A596" i="13"/>
  <c r="AU596" i="13" s="1"/>
  <c r="AQ595" i="13"/>
  <c r="U595" i="13"/>
  <c r="P595" i="13"/>
  <c r="X595" i="13" s="1"/>
  <c r="O595" i="13"/>
  <c r="W595" i="13" s="1"/>
  <c r="N595" i="13"/>
  <c r="V595" i="13" s="1"/>
  <c r="M595" i="13"/>
  <c r="L595" i="13"/>
  <c r="T595" i="13" s="1"/>
  <c r="K595" i="13"/>
  <c r="S595" i="13" s="1"/>
  <c r="J595" i="13"/>
  <c r="R595" i="13" s="1"/>
  <c r="I595" i="13"/>
  <c r="Q595" i="13" s="1"/>
  <c r="H595" i="13"/>
  <c r="G595" i="13"/>
  <c r="F595" i="13"/>
  <c r="E595" i="13"/>
  <c r="BB595" i="13" s="1"/>
  <c r="C595" i="13"/>
  <c r="AG595" i="13" s="1"/>
  <c r="B595" i="13"/>
  <c r="Z595" i="13" s="1"/>
  <c r="A595" i="13"/>
  <c r="AQ594" i="13"/>
  <c r="P594" i="13"/>
  <c r="X594" i="13" s="1"/>
  <c r="O594" i="13"/>
  <c r="W594" i="13" s="1"/>
  <c r="N594" i="13"/>
  <c r="V594" i="13" s="1"/>
  <c r="M594" i="13"/>
  <c r="U594" i="13" s="1"/>
  <c r="L594" i="13"/>
  <c r="T594" i="13" s="1"/>
  <c r="K594" i="13"/>
  <c r="S594" i="13" s="1"/>
  <c r="J594" i="13"/>
  <c r="R594" i="13" s="1"/>
  <c r="I594" i="13"/>
  <c r="Q594" i="13" s="1"/>
  <c r="H594" i="13"/>
  <c r="G594" i="13"/>
  <c r="F594" i="13"/>
  <c r="E594" i="13"/>
  <c r="BA594" i="13" s="1"/>
  <c r="C594" i="13"/>
  <c r="AG594" i="13" s="1"/>
  <c r="AK594" i="13" s="1"/>
  <c r="B594" i="13"/>
  <c r="Z594" i="13" s="1"/>
  <c r="A594" i="13"/>
  <c r="AR594" i="13" s="1"/>
  <c r="AQ593" i="13"/>
  <c r="P593" i="13"/>
  <c r="X593" i="13" s="1"/>
  <c r="O593" i="13"/>
  <c r="W593" i="13" s="1"/>
  <c r="N593" i="13"/>
  <c r="V593" i="13" s="1"/>
  <c r="M593" i="13"/>
  <c r="U593" i="13" s="1"/>
  <c r="L593" i="13"/>
  <c r="T593" i="13" s="1"/>
  <c r="K593" i="13"/>
  <c r="S593" i="13" s="1"/>
  <c r="J593" i="13"/>
  <c r="R593" i="13" s="1"/>
  <c r="I593" i="13"/>
  <c r="Q593" i="13" s="1"/>
  <c r="H593" i="13"/>
  <c r="G593" i="13"/>
  <c r="F593" i="13"/>
  <c r="E593" i="13"/>
  <c r="BA593" i="13" s="1"/>
  <c r="C593" i="13"/>
  <c r="AG593" i="13" s="1"/>
  <c r="B593" i="13"/>
  <c r="Z593" i="13" s="1"/>
  <c r="A593" i="13"/>
  <c r="AQ592" i="13"/>
  <c r="P592" i="13"/>
  <c r="X592" i="13" s="1"/>
  <c r="O592" i="13"/>
  <c r="W592" i="13" s="1"/>
  <c r="N592" i="13"/>
  <c r="V592" i="13" s="1"/>
  <c r="M592" i="13"/>
  <c r="U592" i="13" s="1"/>
  <c r="L592" i="13"/>
  <c r="T592" i="13" s="1"/>
  <c r="K592" i="13"/>
  <c r="S592" i="13" s="1"/>
  <c r="J592" i="13"/>
  <c r="R592" i="13" s="1"/>
  <c r="I592" i="13"/>
  <c r="Q592" i="13" s="1"/>
  <c r="H592" i="13"/>
  <c r="G592" i="13"/>
  <c r="F592" i="13"/>
  <c r="E592" i="13"/>
  <c r="BA592" i="13" s="1"/>
  <c r="C592" i="13"/>
  <c r="AG592" i="13" s="1"/>
  <c r="B592" i="13"/>
  <c r="Z592" i="13" s="1"/>
  <c r="A592" i="13"/>
  <c r="AU592" i="13" s="1"/>
  <c r="AQ591" i="13"/>
  <c r="P591" i="13"/>
  <c r="X591" i="13" s="1"/>
  <c r="O591" i="13"/>
  <c r="W591" i="13" s="1"/>
  <c r="N591" i="13"/>
  <c r="V591" i="13" s="1"/>
  <c r="M591" i="13"/>
  <c r="U591" i="13" s="1"/>
  <c r="L591" i="13"/>
  <c r="T591" i="13" s="1"/>
  <c r="K591" i="13"/>
  <c r="S591" i="13" s="1"/>
  <c r="J591" i="13"/>
  <c r="R591" i="13" s="1"/>
  <c r="I591" i="13"/>
  <c r="Q591" i="13" s="1"/>
  <c r="H591" i="13"/>
  <c r="G591" i="13"/>
  <c r="F591" i="13"/>
  <c r="E591" i="13"/>
  <c r="BB591" i="13" s="1"/>
  <c r="C591" i="13"/>
  <c r="AG591" i="13" s="1"/>
  <c r="AL591" i="13" s="1"/>
  <c r="B591" i="13"/>
  <c r="Z591" i="13" s="1"/>
  <c r="A591" i="13"/>
  <c r="AR591" i="13" s="1"/>
  <c r="AQ590" i="13"/>
  <c r="S590" i="13"/>
  <c r="P590" i="13"/>
  <c r="X590" i="13" s="1"/>
  <c r="O590" i="13"/>
  <c r="W590" i="13" s="1"/>
  <c r="N590" i="13"/>
  <c r="V590" i="13" s="1"/>
  <c r="M590" i="13"/>
  <c r="U590" i="13" s="1"/>
  <c r="L590" i="13"/>
  <c r="T590" i="13" s="1"/>
  <c r="K590" i="13"/>
  <c r="J590" i="13"/>
  <c r="R590" i="13" s="1"/>
  <c r="I590" i="13"/>
  <c r="Q590" i="13" s="1"/>
  <c r="H590" i="13"/>
  <c r="G590" i="13"/>
  <c r="F590" i="13"/>
  <c r="E590" i="13"/>
  <c r="BA590" i="13" s="1"/>
  <c r="C590" i="13"/>
  <c r="AG590" i="13" s="1"/>
  <c r="B590" i="13"/>
  <c r="Z590" i="13" s="1"/>
  <c r="A590" i="13"/>
  <c r="AU590" i="13" s="1"/>
  <c r="BB589" i="13"/>
  <c r="AQ589" i="13"/>
  <c r="T589" i="13"/>
  <c r="P589" i="13"/>
  <c r="X589" i="13" s="1"/>
  <c r="O589" i="13"/>
  <c r="W589" i="13" s="1"/>
  <c r="N589" i="13"/>
  <c r="V589" i="13" s="1"/>
  <c r="M589" i="13"/>
  <c r="U589" i="13" s="1"/>
  <c r="L589" i="13"/>
  <c r="K589" i="13"/>
  <c r="S589" i="13" s="1"/>
  <c r="J589" i="13"/>
  <c r="R589" i="13" s="1"/>
  <c r="I589" i="13"/>
  <c r="Q589" i="13" s="1"/>
  <c r="H589" i="13"/>
  <c r="G589" i="13"/>
  <c r="F589" i="13"/>
  <c r="E589" i="13"/>
  <c r="BA589" i="13" s="1"/>
  <c r="C589" i="13"/>
  <c r="AG589" i="13" s="1"/>
  <c r="B589" i="13"/>
  <c r="Z589" i="13" s="1"/>
  <c r="A589" i="13"/>
  <c r="BB588" i="13"/>
  <c r="AQ588" i="13"/>
  <c r="P588" i="13"/>
  <c r="X588" i="13" s="1"/>
  <c r="O588" i="13"/>
  <c r="W588" i="13" s="1"/>
  <c r="N588" i="13"/>
  <c r="V588" i="13" s="1"/>
  <c r="M588" i="13"/>
  <c r="U588" i="13" s="1"/>
  <c r="L588" i="13"/>
  <c r="T588" i="13" s="1"/>
  <c r="K588" i="13"/>
  <c r="S588" i="13" s="1"/>
  <c r="J588" i="13"/>
  <c r="R588" i="13" s="1"/>
  <c r="I588" i="13"/>
  <c r="Q588" i="13" s="1"/>
  <c r="H588" i="13"/>
  <c r="G588" i="13"/>
  <c r="F588" i="13"/>
  <c r="E588" i="13"/>
  <c r="BA588" i="13" s="1"/>
  <c r="C588" i="13"/>
  <c r="AG588" i="13" s="1"/>
  <c r="AM588" i="13" s="1"/>
  <c r="B588" i="13"/>
  <c r="Z588" i="13" s="1"/>
  <c r="A588" i="13"/>
  <c r="AU588" i="13" s="1"/>
  <c r="AQ587" i="13"/>
  <c r="P587" i="13"/>
  <c r="X587" i="13" s="1"/>
  <c r="O587" i="13"/>
  <c r="W587" i="13" s="1"/>
  <c r="N587" i="13"/>
  <c r="V587" i="13" s="1"/>
  <c r="M587" i="13"/>
  <c r="U587" i="13" s="1"/>
  <c r="L587" i="13"/>
  <c r="T587" i="13" s="1"/>
  <c r="K587" i="13"/>
  <c r="S587" i="13" s="1"/>
  <c r="J587" i="13"/>
  <c r="R587" i="13" s="1"/>
  <c r="I587" i="13"/>
  <c r="Q587" i="13" s="1"/>
  <c r="H587" i="13"/>
  <c r="G587" i="13"/>
  <c r="F587" i="13"/>
  <c r="E587" i="13"/>
  <c r="BB587" i="13" s="1"/>
  <c r="C587" i="13"/>
  <c r="AG587" i="13" s="1"/>
  <c r="B587" i="13"/>
  <c r="Z587" i="13" s="1"/>
  <c r="A587" i="13"/>
  <c r="AU587" i="13" s="1"/>
  <c r="AQ586" i="13"/>
  <c r="P586" i="13"/>
  <c r="X586" i="13" s="1"/>
  <c r="O586" i="13"/>
  <c r="W586" i="13" s="1"/>
  <c r="N586" i="13"/>
  <c r="V586" i="13" s="1"/>
  <c r="M586" i="13"/>
  <c r="U586" i="13" s="1"/>
  <c r="L586" i="13"/>
  <c r="T586" i="13" s="1"/>
  <c r="K586" i="13"/>
  <c r="S586" i="13" s="1"/>
  <c r="J586" i="13"/>
  <c r="R586" i="13" s="1"/>
  <c r="I586" i="13"/>
  <c r="Q586" i="13" s="1"/>
  <c r="H586" i="13"/>
  <c r="G586" i="13"/>
  <c r="F586" i="13"/>
  <c r="E586" i="13"/>
  <c r="BA586" i="13" s="1"/>
  <c r="C586" i="13"/>
  <c r="AG586" i="13" s="1"/>
  <c r="AK586" i="13" s="1"/>
  <c r="B586" i="13"/>
  <c r="Z586" i="13" s="1"/>
  <c r="A586" i="13"/>
  <c r="AU586" i="13" s="1"/>
  <c r="AQ585" i="13"/>
  <c r="P585" i="13"/>
  <c r="X585" i="13" s="1"/>
  <c r="O585" i="13"/>
  <c r="W585" i="13" s="1"/>
  <c r="N585" i="13"/>
  <c r="V585" i="13" s="1"/>
  <c r="M585" i="13"/>
  <c r="U585" i="13" s="1"/>
  <c r="L585" i="13"/>
  <c r="T585" i="13" s="1"/>
  <c r="K585" i="13"/>
  <c r="S585" i="13" s="1"/>
  <c r="J585" i="13"/>
  <c r="R585" i="13" s="1"/>
  <c r="I585" i="13"/>
  <c r="Q585" i="13" s="1"/>
  <c r="H585" i="13"/>
  <c r="G585" i="13"/>
  <c r="F585" i="13"/>
  <c r="E585" i="13"/>
  <c r="BA585" i="13" s="1"/>
  <c r="C585" i="13"/>
  <c r="AG585" i="13" s="1"/>
  <c r="B585" i="13"/>
  <c r="Z585" i="13" s="1"/>
  <c r="A585" i="13"/>
  <c r="AQ584" i="13"/>
  <c r="P584" i="13"/>
  <c r="X584" i="13" s="1"/>
  <c r="O584" i="13"/>
  <c r="W584" i="13" s="1"/>
  <c r="N584" i="13"/>
  <c r="V584" i="13" s="1"/>
  <c r="M584" i="13"/>
  <c r="U584" i="13" s="1"/>
  <c r="L584" i="13"/>
  <c r="T584" i="13" s="1"/>
  <c r="K584" i="13"/>
  <c r="S584" i="13" s="1"/>
  <c r="J584" i="13"/>
  <c r="R584" i="13" s="1"/>
  <c r="I584" i="13"/>
  <c r="Q584" i="13" s="1"/>
  <c r="H584" i="13"/>
  <c r="G584" i="13"/>
  <c r="F584" i="13"/>
  <c r="E584" i="13"/>
  <c r="BB584" i="13" s="1"/>
  <c r="C584" i="13"/>
  <c r="AG584" i="13" s="1"/>
  <c r="B584" i="13"/>
  <c r="Z584" i="13" s="1"/>
  <c r="A584" i="13"/>
  <c r="AQ583" i="13"/>
  <c r="P583" i="13"/>
  <c r="X583" i="13" s="1"/>
  <c r="O583" i="13"/>
  <c r="W583" i="13" s="1"/>
  <c r="N583" i="13"/>
  <c r="V583" i="13" s="1"/>
  <c r="M583" i="13"/>
  <c r="U583" i="13" s="1"/>
  <c r="L583" i="13"/>
  <c r="T583" i="13" s="1"/>
  <c r="K583" i="13"/>
  <c r="S583" i="13" s="1"/>
  <c r="J583" i="13"/>
  <c r="R583" i="13" s="1"/>
  <c r="I583" i="13"/>
  <c r="Q583" i="13" s="1"/>
  <c r="H583" i="13"/>
  <c r="G583" i="13"/>
  <c r="F583" i="13"/>
  <c r="E583" i="13"/>
  <c r="C583" i="13"/>
  <c r="AG583" i="13" s="1"/>
  <c r="AK583" i="13" s="1"/>
  <c r="B583" i="13"/>
  <c r="Z583" i="13" s="1"/>
  <c r="A583" i="13"/>
  <c r="AQ582" i="13"/>
  <c r="P582" i="13"/>
  <c r="X582" i="13" s="1"/>
  <c r="O582" i="13"/>
  <c r="W582" i="13" s="1"/>
  <c r="N582" i="13"/>
  <c r="V582" i="13" s="1"/>
  <c r="M582" i="13"/>
  <c r="U582" i="13" s="1"/>
  <c r="L582" i="13"/>
  <c r="T582" i="13" s="1"/>
  <c r="K582" i="13"/>
  <c r="S582" i="13" s="1"/>
  <c r="J582" i="13"/>
  <c r="R582" i="13" s="1"/>
  <c r="I582" i="13"/>
  <c r="Q582" i="13" s="1"/>
  <c r="H582" i="13"/>
  <c r="G582" i="13"/>
  <c r="F582" i="13"/>
  <c r="E582" i="13"/>
  <c r="BA582" i="13" s="1"/>
  <c r="C582" i="13"/>
  <c r="AG582" i="13" s="1"/>
  <c r="B582" i="13"/>
  <c r="Z582" i="13" s="1"/>
  <c r="A582" i="13"/>
  <c r="AC582" i="13" s="1"/>
  <c r="AQ581" i="13"/>
  <c r="P581" i="13"/>
  <c r="X581" i="13" s="1"/>
  <c r="O581" i="13"/>
  <c r="W581" i="13" s="1"/>
  <c r="N581" i="13"/>
  <c r="V581" i="13" s="1"/>
  <c r="M581" i="13"/>
  <c r="U581" i="13" s="1"/>
  <c r="L581" i="13"/>
  <c r="T581" i="13" s="1"/>
  <c r="K581" i="13"/>
  <c r="S581" i="13" s="1"/>
  <c r="J581" i="13"/>
  <c r="R581" i="13" s="1"/>
  <c r="I581" i="13"/>
  <c r="Q581" i="13" s="1"/>
  <c r="H581" i="13"/>
  <c r="G581" i="13"/>
  <c r="F581" i="13"/>
  <c r="E581" i="13"/>
  <c r="BA581" i="13" s="1"/>
  <c r="C581" i="13"/>
  <c r="AG581" i="13" s="1"/>
  <c r="AO581" i="13" s="1"/>
  <c r="B581" i="13"/>
  <c r="Z581" i="13" s="1"/>
  <c r="A581" i="13"/>
  <c r="AR581" i="13" s="1"/>
  <c r="AQ580" i="13"/>
  <c r="P580" i="13"/>
  <c r="X580" i="13" s="1"/>
  <c r="O580" i="13"/>
  <c r="W580" i="13" s="1"/>
  <c r="N580" i="13"/>
  <c r="V580" i="13" s="1"/>
  <c r="M580" i="13"/>
  <c r="U580" i="13" s="1"/>
  <c r="L580" i="13"/>
  <c r="T580" i="13" s="1"/>
  <c r="K580" i="13"/>
  <c r="S580" i="13" s="1"/>
  <c r="J580" i="13"/>
  <c r="R580" i="13" s="1"/>
  <c r="I580" i="13"/>
  <c r="Q580" i="13" s="1"/>
  <c r="H580" i="13"/>
  <c r="G580" i="13"/>
  <c r="F580" i="13"/>
  <c r="E580" i="13"/>
  <c r="BB580" i="13" s="1"/>
  <c r="C580" i="13"/>
  <c r="AG580" i="13" s="1"/>
  <c r="AO580" i="13" s="1"/>
  <c r="B580" i="13"/>
  <c r="Z580" i="13" s="1"/>
  <c r="A580" i="13"/>
  <c r="AU580" i="13" s="1"/>
  <c r="AQ579" i="13"/>
  <c r="P579" i="13"/>
  <c r="X579" i="13" s="1"/>
  <c r="O579" i="13"/>
  <c r="W579" i="13" s="1"/>
  <c r="N579" i="13"/>
  <c r="V579" i="13" s="1"/>
  <c r="M579" i="13"/>
  <c r="U579" i="13" s="1"/>
  <c r="L579" i="13"/>
  <c r="T579" i="13" s="1"/>
  <c r="K579" i="13"/>
  <c r="S579" i="13" s="1"/>
  <c r="J579" i="13"/>
  <c r="R579" i="13" s="1"/>
  <c r="I579" i="13"/>
  <c r="Q579" i="13" s="1"/>
  <c r="H579" i="13"/>
  <c r="G579" i="13"/>
  <c r="F579" i="13"/>
  <c r="E579" i="13"/>
  <c r="BB579" i="13" s="1"/>
  <c r="C579" i="13"/>
  <c r="AG579" i="13" s="1"/>
  <c r="B579" i="13"/>
  <c r="Z579" i="13" s="1"/>
  <c r="A579" i="13"/>
  <c r="AC579" i="13" s="1"/>
  <c r="AQ578" i="13"/>
  <c r="P578" i="13"/>
  <c r="X578" i="13" s="1"/>
  <c r="O578" i="13"/>
  <c r="W578" i="13" s="1"/>
  <c r="N578" i="13"/>
  <c r="V578" i="13" s="1"/>
  <c r="M578" i="13"/>
  <c r="U578" i="13" s="1"/>
  <c r="L578" i="13"/>
  <c r="T578" i="13" s="1"/>
  <c r="K578" i="13"/>
  <c r="S578" i="13" s="1"/>
  <c r="J578" i="13"/>
  <c r="R578" i="13" s="1"/>
  <c r="I578" i="13"/>
  <c r="Q578" i="13" s="1"/>
  <c r="H578" i="13"/>
  <c r="G578" i="13"/>
  <c r="F578" i="13"/>
  <c r="E578" i="13"/>
  <c r="C578" i="13"/>
  <c r="AG578" i="13" s="1"/>
  <c r="B578" i="13"/>
  <c r="Z578" i="13" s="1"/>
  <c r="A578" i="13"/>
  <c r="AC578" i="13" s="1"/>
  <c r="AQ577" i="13"/>
  <c r="P577" i="13"/>
  <c r="X577" i="13" s="1"/>
  <c r="O577" i="13"/>
  <c r="W577" i="13" s="1"/>
  <c r="N577" i="13"/>
  <c r="V577" i="13" s="1"/>
  <c r="M577" i="13"/>
  <c r="U577" i="13" s="1"/>
  <c r="L577" i="13"/>
  <c r="T577" i="13" s="1"/>
  <c r="K577" i="13"/>
  <c r="S577" i="13" s="1"/>
  <c r="J577" i="13"/>
  <c r="R577" i="13" s="1"/>
  <c r="I577" i="13"/>
  <c r="Q577" i="13" s="1"/>
  <c r="H577" i="13"/>
  <c r="G577" i="13"/>
  <c r="F577" i="13"/>
  <c r="E577" i="13"/>
  <c r="BA577" i="13" s="1"/>
  <c r="C577" i="13"/>
  <c r="AG577" i="13" s="1"/>
  <c r="B577" i="13"/>
  <c r="Z577" i="13" s="1"/>
  <c r="A577" i="13"/>
  <c r="AR577" i="13" s="1"/>
  <c r="AQ576" i="13"/>
  <c r="P576" i="13"/>
  <c r="X576" i="13" s="1"/>
  <c r="O576" i="13"/>
  <c r="W576" i="13" s="1"/>
  <c r="N576" i="13"/>
  <c r="V576" i="13" s="1"/>
  <c r="M576" i="13"/>
  <c r="U576" i="13" s="1"/>
  <c r="L576" i="13"/>
  <c r="T576" i="13" s="1"/>
  <c r="K576" i="13"/>
  <c r="S576" i="13" s="1"/>
  <c r="J576" i="13"/>
  <c r="R576" i="13" s="1"/>
  <c r="I576" i="13"/>
  <c r="Q576" i="13" s="1"/>
  <c r="H576" i="13"/>
  <c r="G576" i="13"/>
  <c r="F576" i="13"/>
  <c r="E576" i="13"/>
  <c r="BB576" i="13" s="1"/>
  <c r="C576" i="13"/>
  <c r="AG576" i="13" s="1"/>
  <c r="AO576" i="13" s="1"/>
  <c r="B576" i="13"/>
  <c r="Z576" i="13" s="1"/>
  <c r="A576" i="13"/>
  <c r="AQ575" i="13"/>
  <c r="X575" i="13"/>
  <c r="P575" i="13"/>
  <c r="O575" i="13"/>
  <c r="W575" i="13" s="1"/>
  <c r="N575" i="13"/>
  <c r="V575" i="13" s="1"/>
  <c r="M575" i="13"/>
  <c r="U575" i="13" s="1"/>
  <c r="L575" i="13"/>
  <c r="T575" i="13" s="1"/>
  <c r="K575" i="13"/>
  <c r="S575" i="13" s="1"/>
  <c r="J575" i="13"/>
  <c r="R575" i="13" s="1"/>
  <c r="I575" i="13"/>
  <c r="Q575" i="13" s="1"/>
  <c r="H575" i="13"/>
  <c r="G575" i="13"/>
  <c r="F575" i="13"/>
  <c r="E575" i="13"/>
  <c r="BB575" i="13" s="1"/>
  <c r="C575" i="13"/>
  <c r="AG575" i="13" s="1"/>
  <c r="AK575" i="13" s="1"/>
  <c r="B575" i="13"/>
  <c r="Z575" i="13" s="1"/>
  <c r="A575" i="13"/>
  <c r="AR575" i="13" s="1"/>
  <c r="AQ574" i="13"/>
  <c r="P574" i="13"/>
  <c r="X574" i="13" s="1"/>
  <c r="O574" i="13"/>
  <c r="W574" i="13" s="1"/>
  <c r="N574" i="13"/>
  <c r="V574" i="13" s="1"/>
  <c r="M574" i="13"/>
  <c r="U574" i="13" s="1"/>
  <c r="L574" i="13"/>
  <c r="T574" i="13" s="1"/>
  <c r="K574" i="13"/>
  <c r="S574" i="13" s="1"/>
  <c r="J574" i="13"/>
  <c r="R574" i="13" s="1"/>
  <c r="I574" i="13"/>
  <c r="Q574" i="13" s="1"/>
  <c r="H574" i="13"/>
  <c r="G574" i="13"/>
  <c r="F574" i="13"/>
  <c r="E574" i="13"/>
  <c r="C574" i="13"/>
  <c r="AG574" i="13" s="1"/>
  <c r="AK574" i="13" s="1"/>
  <c r="B574" i="13"/>
  <c r="Z574" i="13" s="1"/>
  <c r="A574" i="13"/>
  <c r="AC574" i="13" s="1"/>
  <c r="AQ573" i="13"/>
  <c r="P573" i="13"/>
  <c r="X573" i="13" s="1"/>
  <c r="O573" i="13"/>
  <c r="W573" i="13" s="1"/>
  <c r="N573" i="13"/>
  <c r="V573" i="13" s="1"/>
  <c r="M573" i="13"/>
  <c r="U573" i="13" s="1"/>
  <c r="L573" i="13"/>
  <c r="T573" i="13" s="1"/>
  <c r="K573" i="13"/>
  <c r="S573" i="13" s="1"/>
  <c r="J573" i="13"/>
  <c r="R573" i="13" s="1"/>
  <c r="I573" i="13"/>
  <c r="Q573" i="13" s="1"/>
  <c r="H573" i="13"/>
  <c r="G573" i="13"/>
  <c r="F573" i="13"/>
  <c r="E573" i="13"/>
  <c r="C573" i="13"/>
  <c r="AG573" i="13" s="1"/>
  <c r="B573" i="13"/>
  <c r="Z573" i="13" s="1"/>
  <c r="A573" i="13"/>
  <c r="AR573" i="13" s="1"/>
  <c r="AQ572" i="13"/>
  <c r="P572" i="13"/>
  <c r="X572" i="13" s="1"/>
  <c r="O572" i="13"/>
  <c r="W572" i="13" s="1"/>
  <c r="N572" i="13"/>
  <c r="V572" i="13" s="1"/>
  <c r="M572" i="13"/>
  <c r="U572" i="13" s="1"/>
  <c r="L572" i="13"/>
  <c r="T572" i="13" s="1"/>
  <c r="K572" i="13"/>
  <c r="S572" i="13" s="1"/>
  <c r="J572" i="13"/>
  <c r="R572" i="13" s="1"/>
  <c r="I572" i="13"/>
  <c r="Q572" i="13" s="1"/>
  <c r="H572" i="13"/>
  <c r="G572" i="13"/>
  <c r="F572" i="13"/>
  <c r="E572" i="13"/>
  <c r="BB572" i="13" s="1"/>
  <c r="C572" i="13"/>
  <c r="AG572" i="13" s="1"/>
  <c r="B572" i="13"/>
  <c r="Z572" i="13" s="1"/>
  <c r="A572" i="13"/>
  <c r="AU572" i="13" s="1"/>
  <c r="AQ571" i="13"/>
  <c r="P571" i="13"/>
  <c r="X571" i="13" s="1"/>
  <c r="O571" i="13"/>
  <c r="W571" i="13" s="1"/>
  <c r="N571" i="13"/>
  <c r="V571" i="13" s="1"/>
  <c r="M571" i="13"/>
  <c r="U571" i="13" s="1"/>
  <c r="L571" i="13"/>
  <c r="T571" i="13" s="1"/>
  <c r="K571" i="13"/>
  <c r="S571" i="13" s="1"/>
  <c r="J571" i="13"/>
  <c r="R571" i="13" s="1"/>
  <c r="I571" i="13"/>
  <c r="Q571" i="13" s="1"/>
  <c r="H571" i="13"/>
  <c r="G571" i="13"/>
  <c r="F571" i="13"/>
  <c r="E571" i="13"/>
  <c r="BB571" i="13" s="1"/>
  <c r="C571" i="13"/>
  <c r="AG571" i="13" s="1"/>
  <c r="B571" i="13"/>
  <c r="Z571" i="13" s="1"/>
  <c r="A571" i="13"/>
  <c r="AR571" i="13" s="1"/>
  <c r="AQ570" i="13"/>
  <c r="P570" i="13"/>
  <c r="X570" i="13" s="1"/>
  <c r="O570" i="13"/>
  <c r="W570" i="13" s="1"/>
  <c r="N570" i="13"/>
  <c r="V570" i="13" s="1"/>
  <c r="M570" i="13"/>
  <c r="U570" i="13" s="1"/>
  <c r="L570" i="13"/>
  <c r="T570" i="13" s="1"/>
  <c r="K570" i="13"/>
  <c r="S570" i="13" s="1"/>
  <c r="J570" i="13"/>
  <c r="R570" i="13" s="1"/>
  <c r="I570" i="13"/>
  <c r="Q570" i="13" s="1"/>
  <c r="H570" i="13"/>
  <c r="G570" i="13"/>
  <c r="F570" i="13"/>
  <c r="E570" i="13"/>
  <c r="BA570" i="13" s="1"/>
  <c r="C570" i="13"/>
  <c r="AG570" i="13" s="1"/>
  <c r="B570" i="13"/>
  <c r="Z570" i="13" s="1"/>
  <c r="A570" i="13"/>
  <c r="AQ569" i="13"/>
  <c r="P569" i="13"/>
  <c r="X569" i="13" s="1"/>
  <c r="O569" i="13"/>
  <c r="W569" i="13" s="1"/>
  <c r="N569" i="13"/>
  <c r="V569" i="13" s="1"/>
  <c r="M569" i="13"/>
  <c r="U569" i="13" s="1"/>
  <c r="L569" i="13"/>
  <c r="T569" i="13" s="1"/>
  <c r="K569" i="13"/>
  <c r="S569" i="13" s="1"/>
  <c r="J569" i="13"/>
  <c r="R569" i="13" s="1"/>
  <c r="I569" i="13"/>
  <c r="Q569" i="13" s="1"/>
  <c r="H569" i="13"/>
  <c r="G569" i="13"/>
  <c r="F569" i="13"/>
  <c r="E569" i="13"/>
  <c r="C569" i="13"/>
  <c r="AG569" i="13" s="1"/>
  <c r="B569" i="13"/>
  <c r="Z569" i="13" s="1"/>
  <c r="A569" i="13"/>
  <c r="AQ568" i="13"/>
  <c r="W568" i="13"/>
  <c r="P568" i="13"/>
  <c r="X568" i="13" s="1"/>
  <c r="O568" i="13"/>
  <c r="N568" i="13"/>
  <c r="V568" i="13" s="1"/>
  <c r="M568" i="13"/>
  <c r="U568" i="13" s="1"/>
  <c r="L568" i="13"/>
  <c r="T568" i="13" s="1"/>
  <c r="K568" i="13"/>
  <c r="S568" i="13" s="1"/>
  <c r="J568" i="13"/>
  <c r="R568" i="13" s="1"/>
  <c r="I568" i="13"/>
  <c r="Q568" i="13" s="1"/>
  <c r="H568" i="13"/>
  <c r="G568" i="13"/>
  <c r="F568" i="13"/>
  <c r="E568" i="13"/>
  <c r="BB568" i="13" s="1"/>
  <c r="C568" i="13"/>
  <c r="AG568" i="13" s="1"/>
  <c r="B568" i="13"/>
  <c r="Z568" i="13" s="1"/>
  <c r="A568" i="13"/>
  <c r="AU568" i="13" s="1"/>
  <c r="AU567" i="13"/>
  <c r="AQ567" i="13"/>
  <c r="AC567" i="13"/>
  <c r="P567" i="13"/>
  <c r="X567" i="13" s="1"/>
  <c r="O567" i="13"/>
  <c r="W567" i="13" s="1"/>
  <c r="N567" i="13"/>
  <c r="V567" i="13" s="1"/>
  <c r="M567" i="13"/>
  <c r="U567" i="13" s="1"/>
  <c r="L567" i="13"/>
  <c r="T567" i="13" s="1"/>
  <c r="K567" i="13"/>
  <c r="S567" i="13" s="1"/>
  <c r="J567" i="13"/>
  <c r="R567" i="13" s="1"/>
  <c r="I567" i="13"/>
  <c r="Q567" i="13" s="1"/>
  <c r="H567" i="13"/>
  <c r="G567" i="13"/>
  <c r="F567" i="13"/>
  <c r="E567" i="13"/>
  <c r="BB567" i="13" s="1"/>
  <c r="C567" i="13"/>
  <c r="AG567" i="13" s="1"/>
  <c r="B567" i="13"/>
  <c r="Z567" i="13" s="1"/>
  <c r="A567" i="13"/>
  <c r="AQ566" i="13"/>
  <c r="P566" i="13"/>
  <c r="X566" i="13" s="1"/>
  <c r="O566" i="13"/>
  <c r="W566" i="13" s="1"/>
  <c r="N566" i="13"/>
  <c r="V566" i="13" s="1"/>
  <c r="M566" i="13"/>
  <c r="U566" i="13" s="1"/>
  <c r="L566" i="13"/>
  <c r="T566" i="13" s="1"/>
  <c r="K566" i="13"/>
  <c r="S566" i="13" s="1"/>
  <c r="J566" i="13"/>
  <c r="R566" i="13" s="1"/>
  <c r="I566" i="13"/>
  <c r="Q566" i="13" s="1"/>
  <c r="H566" i="13"/>
  <c r="G566" i="13"/>
  <c r="F566" i="13"/>
  <c r="E566" i="13"/>
  <c r="C566" i="13"/>
  <c r="AG566" i="13" s="1"/>
  <c r="AK566" i="13" s="1"/>
  <c r="B566" i="13"/>
  <c r="Z566" i="13" s="1"/>
  <c r="A566" i="13"/>
  <c r="AQ565" i="13"/>
  <c r="S565" i="13"/>
  <c r="P565" i="13"/>
  <c r="X565" i="13" s="1"/>
  <c r="O565" i="13"/>
  <c r="W565" i="13" s="1"/>
  <c r="N565" i="13"/>
  <c r="V565" i="13" s="1"/>
  <c r="M565" i="13"/>
  <c r="U565" i="13" s="1"/>
  <c r="L565" i="13"/>
  <c r="T565" i="13" s="1"/>
  <c r="K565" i="13"/>
  <c r="J565" i="13"/>
  <c r="R565" i="13" s="1"/>
  <c r="I565" i="13"/>
  <c r="Q565" i="13" s="1"/>
  <c r="H565" i="13"/>
  <c r="G565" i="13"/>
  <c r="F565" i="13"/>
  <c r="E565" i="13"/>
  <c r="BA565" i="13" s="1"/>
  <c r="C565" i="13"/>
  <c r="AG565" i="13" s="1"/>
  <c r="AO565" i="13" s="1"/>
  <c r="B565" i="13"/>
  <c r="Z565" i="13" s="1"/>
  <c r="A565" i="13"/>
  <c r="AR565" i="13" s="1"/>
  <c r="AQ564" i="13"/>
  <c r="AG564" i="13"/>
  <c r="AM564" i="13" s="1"/>
  <c r="P564" i="13"/>
  <c r="X564" i="13" s="1"/>
  <c r="O564" i="13"/>
  <c r="W564" i="13" s="1"/>
  <c r="N564" i="13"/>
  <c r="V564" i="13" s="1"/>
  <c r="M564" i="13"/>
  <c r="U564" i="13" s="1"/>
  <c r="L564" i="13"/>
  <c r="T564" i="13" s="1"/>
  <c r="K564" i="13"/>
  <c r="S564" i="13" s="1"/>
  <c r="J564" i="13"/>
  <c r="R564" i="13" s="1"/>
  <c r="I564" i="13"/>
  <c r="Q564" i="13" s="1"/>
  <c r="H564" i="13"/>
  <c r="G564" i="13"/>
  <c r="F564" i="13"/>
  <c r="E564" i="13"/>
  <c r="BB564" i="13" s="1"/>
  <c r="C564" i="13"/>
  <c r="B564" i="13"/>
  <c r="Z564" i="13" s="1"/>
  <c r="A564" i="13"/>
  <c r="AU564" i="13" s="1"/>
  <c r="AQ563" i="13"/>
  <c r="P563" i="13"/>
  <c r="X563" i="13" s="1"/>
  <c r="O563" i="13"/>
  <c r="W563" i="13" s="1"/>
  <c r="N563" i="13"/>
  <c r="V563" i="13" s="1"/>
  <c r="M563" i="13"/>
  <c r="U563" i="13" s="1"/>
  <c r="L563" i="13"/>
  <c r="T563" i="13" s="1"/>
  <c r="K563" i="13"/>
  <c r="S563" i="13" s="1"/>
  <c r="J563" i="13"/>
  <c r="R563" i="13" s="1"/>
  <c r="I563" i="13"/>
  <c r="Q563" i="13" s="1"/>
  <c r="H563" i="13"/>
  <c r="G563" i="13"/>
  <c r="F563" i="13"/>
  <c r="E563" i="13"/>
  <c r="BB563" i="13" s="1"/>
  <c r="C563" i="13"/>
  <c r="AG563" i="13" s="1"/>
  <c r="B563" i="13"/>
  <c r="Z563" i="13" s="1"/>
  <c r="A563" i="13"/>
  <c r="AU563" i="13" s="1"/>
  <c r="AQ562" i="13"/>
  <c r="P562" i="13"/>
  <c r="X562" i="13" s="1"/>
  <c r="O562" i="13"/>
  <c r="W562" i="13" s="1"/>
  <c r="N562" i="13"/>
  <c r="V562" i="13" s="1"/>
  <c r="M562" i="13"/>
  <c r="U562" i="13" s="1"/>
  <c r="L562" i="13"/>
  <c r="T562" i="13" s="1"/>
  <c r="K562" i="13"/>
  <c r="S562" i="13" s="1"/>
  <c r="J562" i="13"/>
  <c r="R562" i="13" s="1"/>
  <c r="I562" i="13"/>
  <c r="Q562" i="13" s="1"/>
  <c r="H562" i="13"/>
  <c r="G562" i="13"/>
  <c r="F562" i="13"/>
  <c r="E562" i="13"/>
  <c r="BB562" i="13" s="1"/>
  <c r="C562" i="13"/>
  <c r="AG562" i="13" s="1"/>
  <c r="B562" i="13"/>
  <c r="Z562" i="13" s="1"/>
  <c r="A562" i="13"/>
  <c r="AC562" i="13" s="1"/>
  <c r="AQ561" i="13"/>
  <c r="P561" i="13"/>
  <c r="X561" i="13" s="1"/>
  <c r="O561" i="13"/>
  <c r="W561" i="13" s="1"/>
  <c r="N561" i="13"/>
  <c r="V561" i="13" s="1"/>
  <c r="M561" i="13"/>
  <c r="U561" i="13" s="1"/>
  <c r="L561" i="13"/>
  <c r="T561" i="13" s="1"/>
  <c r="K561" i="13"/>
  <c r="S561" i="13" s="1"/>
  <c r="J561" i="13"/>
  <c r="R561" i="13" s="1"/>
  <c r="I561" i="13"/>
  <c r="Q561" i="13" s="1"/>
  <c r="H561" i="13"/>
  <c r="G561" i="13"/>
  <c r="F561" i="13"/>
  <c r="E561" i="13"/>
  <c r="C561" i="13"/>
  <c r="AG561" i="13" s="1"/>
  <c r="B561" i="13"/>
  <c r="Z561" i="13" s="1"/>
  <c r="A561" i="13"/>
  <c r="AQ560" i="13"/>
  <c r="P560" i="13"/>
  <c r="X560" i="13" s="1"/>
  <c r="O560" i="13"/>
  <c r="W560" i="13" s="1"/>
  <c r="N560" i="13"/>
  <c r="V560" i="13" s="1"/>
  <c r="M560" i="13"/>
  <c r="U560" i="13" s="1"/>
  <c r="L560" i="13"/>
  <c r="T560" i="13" s="1"/>
  <c r="K560" i="13"/>
  <c r="S560" i="13" s="1"/>
  <c r="J560" i="13"/>
  <c r="R560" i="13" s="1"/>
  <c r="I560" i="13"/>
  <c r="Q560" i="13" s="1"/>
  <c r="H560" i="13"/>
  <c r="G560" i="13"/>
  <c r="F560" i="13"/>
  <c r="E560" i="13"/>
  <c r="BB560" i="13" s="1"/>
  <c r="C560" i="13"/>
  <c r="AG560" i="13" s="1"/>
  <c r="B560" i="13"/>
  <c r="Z560" i="13" s="1"/>
  <c r="A560" i="13"/>
  <c r="AQ559" i="13"/>
  <c r="P559" i="13"/>
  <c r="X559" i="13" s="1"/>
  <c r="O559" i="13"/>
  <c r="W559" i="13" s="1"/>
  <c r="N559" i="13"/>
  <c r="V559" i="13" s="1"/>
  <c r="M559" i="13"/>
  <c r="U559" i="13" s="1"/>
  <c r="L559" i="13"/>
  <c r="T559" i="13" s="1"/>
  <c r="K559" i="13"/>
  <c r="S559" i="13" s="1"/>
  <c r="J559" i="13"/>
  <c r="R559" i="13" s="1"/>
  <c r="I559" i="13"/>
  <c r="Q559" i="13" s="1"/>
  <c r="H559" i="13"/>
  <c r="G559" i="13"/>
  <c r="F559" i="13"/>
  <c r="E559" i="13"/>
  <c r="BB559" i="13" s="1"/>
  <c r="C559" i="13"/>
  <c r="AG559" i="13" s="1"/>
  <c r="AK559" i="13" s="1"/>
  <c r="B559" i="13"/>
  <c r="Z559" i="13" s="1"/>
  <c r="A559" i="13"/>
  <c r="AC559" i="13" s="1"/>
  <c r="AQ558" i="13"/>
  <c r="AC558" i="13"/>
  <c r="P558" i="13"/>
  <c r="X558" i="13" s="1"/>
  <c r="O558" i="13"/>
  <c r="W558" i="13" s="1"/>
  <c r="N558" i="13"/>
  <c r="V558" i="13" s="1"/>
  <c r="M558" i="13"/>
  <c r="U558" i="13" s="1"/>
  <c r="L558" i="13"/>
  <c r="T558" i="13" s="1"/>
  <c r="K558" i="13"/>
  <c r="S558" i="13" s="1"/>
  <c r="J558" i="13"/>
  <c r="R558" i="13" s="1"/>
  <c r="I558" i="13"/>
  <c r="Q558" i="13" s="1"/>
  <c r="H558" i="13"/>
  <c r="G558" i="13"/>
  <c r="F558" i="13"/>
  <c r="E558" i="13"/>
  <c r="BB558" i="13" s="1"/>
  <c r="C558" i="13"/>
  <c r="AG558" i="13" s="1"/>
  <c r="AI558" i="13" s="1"/>
  <c r="B558" i="13"/>
  <c r="Z558" i="13" s="1"/>
  <c r="A558" i="13"/>
  <c r="AQ557" i="13"/>
  <c r="P557" i="13"/>
  <c r="X557" i="13" s="1"/>
  <c r="O557" i="13"/>
  <c r="W557" i="13" s="1"/>
  <c r="N557" i="13"/>
  <c r="V557" i="13" s="1"/>
  <c r="M557" i="13"/>
  <c r="U557" i="13" s="1"/>
  <c r="L557" i="13"/>
  <c r="T557" i="13" s="1"/>
  <c r="K557" i="13"/>
  <c r="S557" i="13" s="1"/>
  <c r="J557" i="13"/>
  <c r="R557" i="13" s="1"/>
  <c r="I557" i="13"/>
  <c r="Q557" i="13" s="1"/>
  <c r="H557" i="13"/>
  <c r="G557" i="13"/>
  <c r="F557" i="13"/>
  <c r="E557" i="13"/>
  <c r="BA557" i="13" s="1"/>
  <c r="C557" i="13"/>
  <c r="AG557" i="13" s="1"/>
  <c r="AI557" i="13" s="1"/>
  <c r="B557" i="13"/>
  <c r="Z557" i="13" s="1"/>
  <c r="A557" i="13"/>
  <c r="AR557" i="13" s="1"/>
  <c r="AQ556" i="13"/>
  <c r="P556" i="13"/>
  <c r="X556" i="13" s="1"/>
  <c r="O556" i="13"/>
  <c r="W556" i="13" s="1"/>
  <c r="N556" i="13"/>
  <c r="V556" i="13" s="1"/>
  <c r="M556" i="13"/>
  <c r="U556" i="13" s="1"/>
  <c r="L556" i="13"/>
  <c r="T556" i="13" s="1"/>
  <c r="K556" i="13"/>
  <c r="S556" i="13" s="1"/>
  <c r="J556" i="13"/>
  <c r="R556" i="13" s="1"/>
  <c r="I556" i="13"/>
  <c r="Q556" i="13" s="1"/>
  <c r="H556" i="13"/>
  <c r="G556" i="13"/>
  <c r="F556" i="13"/>
  <c r="E556" i="13"/>
  <c r="BB556" i="13" s="1"/>
  <c r="C556" i="13"/>
  <c r="AG556" i="13" s="1"/>
  <c r="B556" i="13"/>
  <c r="Z556" i="13" s="1"/>
  <c r="A556" i="13"/>
  <c r="AU556" i="13" s="1"/>
  <c r="AQ555" i="13"/>
  <c r="P555" i="13"/>
  <c r="X555" i="13" s="1"/>
  <c r="O555" i="13"/>
  <c r="W555" i="13" s="1"/>
  <c r="N555" i="13"/>
  <c r="V555" i="13" s="1"/>
  <c r="M555" i="13"/>
  <c r="U555" i="13" s="1"/>
  <c r="L555" i="13"/>
  <c r="T555" i="13" s="1"/>
  <c r="K555" i="13"/>
  <c r="S555" i="13" s="1"/>
  <c r="J555" i="13"/>
  <c r="R555" i="13" s="1"/>
  <c r="I555" i="13"/>
  <c r="Q555" i="13" s="1"/>
  <c r="H555" i="13"/>
  <c r="G555" i="13"/>
  <c r="F555" i="13"/>
  <c r="E555" i="13"/>
  <c r="BB555" i="13" s="1"/>
  <c r="C555" i="13"/>
  <c r="AG555" i="13" s="1"/>
  <c r="B555" i="13"/>
  <c r="Z555" i="13" s="1"/>
  <c r="A555" i="13"/>
  <c r="AU555" i="13" s="1"/>
  <c r="AQ554" i="13"/>
  <c r="P554" i="13"/>
  <c r="X554" i="13" s="1"/>
  <c r="O554" i="13"/>
  <c r="W554" i="13" s="1"/>
  <c r="N554" i="13"/>
  <c r="V554" i="13" s="1"/>
  <c r="M554" i="13"/>
  <c r="U554" i="13" s="1"/>
  <c r="L554" i="13"/>
  <c r="T554" i="13" s="1"/>
  <c r="K554" i="13"/>
  <c r="S554" i="13" s="1"/>
  <c r="J554" i="13"/>
  <c r="R554" i="13" s="1"/>
  <c r="I554" i="13"/>
  <c r="Q554" i="13" s="1"/>
  <c r="H554" i="13"/>
  <c r="G554" i="13"/>
  <c r="F554" i="13"/>
  <c r="E554" i="13"/>
  <c r="C554" i="13"/>
  <c r="AG554" i="13" s="1"/>
  <c r="AK554" i="13" s="1"/>
  <c r="B554" i="13"/>
  <c r="Z554" i="13" s="1"/>
  <c r="A554" i="13"/>
  <c r="AQ553" i="13"/>
  <c r="P553" i="13"/>
  <c r="X553" i="13" s="1"/>
  <c r="O553" i="13"/>
  <c r="W553" i="13" s="1"/>
  <c r="N553" i="13"/>
  <c r="V553" i="13" s="1"/>
  <c r="M553" i="13"/>
  <c r="U553" i="13" s="1"/>
  <c r="L553" i="13"/>
  <c r="T553" i="13" s="1"/>
  <c r="K553" i="13"/>
  <c r="S553" i="13" s="1"/>
  <c r="J553" i="13"/>
  <c r="R553" i="13" s="1"/>
  <c r="I553" i="13"/>
  <c r="Q553" i="13" s="1"/>
  <c r="H553" i="13"/>
  <c r="G553" i="13"/>
  <c r="F553" i="13"/>
  <c r="E553" i="13"/>
  <c r="BA553" i="13" s="1"/>
  <c r="C553" i="13"/>
  <c r="AG553" i="13" s="1"/>
  <c r="B553" i="13"/>
  <c r="Z553" i="13" s="1"/>
  <c r="A553" i="13"/>
  <c r="AQ552" i="13"/>
  <c r="P552" i="13"/>
  <c r="X552" i="13" s="1"/>
  <c r="O552" i="13"/>
  <c r="W552" i="13" s="1"/>
  <c r="N552" i="13"/>
  <c r="V552" i="13" s="1"/>
  <c r="M552" i="13"/>
  <c r="U552" i="13" s="1"/>
  <c r="L552" i="13"/>
  <c r="T552" i="13" s="1"/>
  <c r="K552" i="13"/>
  <c r="S552" i="13" s="1"/>
  <c r="J552" i="13"/>
  <c r="R552" i="13" s="1"/>
  <c r="I552" i="13"/>
  <c r="Q552" i="13" s="1"/>
  <c r="H552" i="13"/>
  <c r="G552" i="13"/>
  <c r="F552" i="13"/>
  <c r="E552" i="13"/>
  <c r="BB552" i="13" s="1"/>
  <c r="C552" i="13"/>
  <c r="AG552" i="13" s="1"/>
  <c r="AH552" i="13" s="1"/>
  <c r="B552" i="13"/>
  <c r="Z552" i="13" s="1"/>
  <c r="A552" i="13"/>
  <c r="AQ551" i="13"/>
  <c r="P551" i="13"/>
  <c r="X551" i="13" s="1"/>
  <c r="O551" i="13"/>
  <c r="W551" i="13" s="1"/>
  <c r="N551" i="13"/>
  <c r="V551" i="13" s="1"/>
  <c r="M551" i="13"/>
  <c r="U551" i="13" s="1"/>
  <c r="L551" i="13"/>
  <c r="T551" i="13" s="1"/>
  <c r="K551" i="13"/>
  <c r="S551" i="13" s="1"/>
  <c r="J551" i="13"/>
  <c r="R551" i="13" s="1"/>
  <c r="I551" i="13"/>
  <c r="Q551" i="13" s="1"/>
  <c r="H551" i="13"/>
  <c r="G551" i="13"/>
  <c r="F551" i="13"/>
  <c r="E551" i="13"/>
  <c r="C551" i="13"/>
  <c r="AG551" i="13" s="1"/>
  <c r="AK551" i="13" s="1"/>
  <c r="B551" i="13"/>
  <c r="Z551" i="13" s="1"/>
  <c r="A551" i="13"/>
  <c r="AQ550" i="13"/>
  <c r="P550" i="13"/>
  <c r="X550" i="13" s="1"/>
  <c r="O550" i="13"/>
  <c r="W550" i="13" s="1"/>
  <c r="N550" i="13"/>
  <c r="V550" i="13" s="1"/>
  <c r="M550" i="13"/>
  <c r="U550" i="13" s="1"/>
  <c r="L550" i="13"/>
  <c r="T550" i="13" s="1"/>
  <c r="K550" i="13"/>
  <c r="S550" i="13" s="1"/>
  <c r="J550" i="13"/>
  <c r="R550" i="13" s="1"/>
  <c r="I550" i="13"/>
  <c r="Q550" i="13" s="1"/>
  <c r="H550" i="13"/>
  <c r="G550" i="13"/>
  <c r="F550" i="13"/>
  <c r="E550" i="13"/>
  <c r="C550" i="13"/>
  <c r="AG550" i="13" s="1"/>
  <c r="B550" i="13"/>
  <c r="Z550" i="13" s="1"/>
  <c r="A550" i="13"/>
  <c r="AC550" i="13" s="1"/>
  <c r="AQ549" i="13"/>
  <c r="S549" i="13"/>
  <c r="P549" i="13"/>
  <c r="X549" i="13" s="1"/>
  <c r="O549" i="13"/>
  <c r="W549" i="13" s="1"/>
  <c r="N549" i="13"/>
  <c r="V549" i="13" s="1"/>
  <c r="M549" i="13"/>
  <c r="U549" i="13" s="1"/>
  <c r="L549" i="13"/>
  <c r="T549" i="13" s="1"/>
  <c r="K549" i="13"/>
  <c r="J549" i="13"/>
  <c r="R549" i="13" s="1"/>
  <c r="I549" i="13"/>
  <c r="Q549" i="13" s="1"/>
  <c r="H549" i="13"/>
  <c r="G549" i="13"/>
  <c r="F549" i="13"/>
  <c r="E549" i="13"/>
  <c r="C549" i="13"/>
  <c r="AG549" i="13" s="1"/>
  <c r="B549" i="13"/>
  <c r="Z549" i="13" s="1"/>
  <c r="A549" i="13"/>
  <c r="AQ548" i="13"/>
  <c r="P548" i="13"/>
  <c r="X548" i="13" s="1"/>
  <c r="O548" i="13"/>
  <c r="W548" i="13" s="1"/>
  <c r="N548" i="13"/>
  <c r="V548" i="13" s="1"/>
  <c r="M548" i="13"/>
  <c r="U548" i="13" s="1"/>
  <c r="L548" i="13"/>
  <c r="T548" i="13" s="1"/>
  <c r="K548" i="13"/>
  <c r="S548" i="13" s="1"/>
  <c r="J548" i="13"/>
  <c r="R548" i="13" s="1"/>
  <c r="I548" i="13"/>
  <c r="Q548" i="13" s="1"/>
  <c r="H548" i="13"/>
  <c r="G548" i="13"/>
  <c r="F548" i="13"/>
  <c r="E548" i="13"/>
  <c r="BB548" i="13" s="1"/>
  <c r="C548" i="13"/>
  <c r="AG548" i="13" s="1"/>
  <c r="AO548" i="13" s="1"/>
  <c r="B548" i="13"/>
  <c r="Z548" i="13" s="1"/>
  <c r="A548" i="13"/>
  <c r="BA547" i="13"/>
  <c r="AQ547" i="13"/>
  <c r="P547" i="13"/>
  <c r="X547" i="13" s="1"/>
  <c r="O547" i="13"/>
  <c r="W547" i="13" s="1"/>
  <c r="N547" i="13"/>
  <c r="V547" i="13" s="1"/>
  <c r="M547" i="13"/>
  <c r="U547" i="13" s="1"/>
  <c r="L547" i="13"/>
  <c r="T547" i="13" s="1"/>
  <c r="K547" i="13"/>
  <c r="S547" i="13" s="1"/>
  <c r="J547" i="13"/>
  <c r="R547" i="13" s="1"/>
  <c r="I547" i="13"/>
  <c r="Q547" i="13" s="1"/>
  <c r="H547" i="13"/>
  <c r="G547" i="13"/>
  <c r="F547" i="13"/>
  <c r="E547" i="13"/>
  <c r="BB547" i="13" s="1"/>
  <c r="C547" i="13"/>
  <c r="AG547" i="13" s="1"/>
  <c r="AK547" i="13" s="1"/>
  <c r="B547" i="13"/>
  <c r="Z547" i="13" s="1"/>
  <c r="A547" i="13"/>
  <c r="AC547" i="13" s="1"/>
  <c r="AQ546" i="13"/>
  <c r="P546" i="13"/>
  <c r="X546" i="13" s="1"/>
  <c r="O546" i="13"/>
  <c r="W546" i="13" s="1"/>
  <c r="N546" i="13"/>
  <c r="V546" i="13" s="1"/>
  <c r="M546" i="13"/>
  <c r="U546" i="13" s="1"/>
  <c r="L546" i="13"/>
  <c r="T546" i="13" s="1"/>
  <c r="K546" i="13"/>
  <c r="S546" i="13" s="1"/>
  <c r="J546" i="13"/>
  <c r="R546" i="13" s="1"/>
  <c r="I546" i="13"/>
  <c r="Q546" i="13" s="1"/>
  <c r="H546" i="13"/>
  <c r="G546" i="13"/>
  <c r="F546" i="13"/>
  <c r="E546" i="13"/>
  <c r="BB546" i="13" s="1"/>
  <c r="C546" i="13"/>
  <c r="AG546" i="13" s="1"/>
  <c r="B546" i="13"/>
  <c r="Z546" i="13" s="1"/>
  <c r="A546" i="13"/>
  <c r="AC546" i="13" s="1"/>
  <c r="AQ545" i="13"/>
  <c r="P545" i="13"/>
  <c r="X545" i="13" s="1"/>
  <c r="O545" i="13"/>
  <c r="W545" i="13" s="1"/>
  <c r="N545" i="13"/>
  <c r="V545" i="13" s="1"/>
  <c r="M545" i="13"/>
  <c r="U545" i="13" s="1"/>
  <c r="L545" i="13"/>
  <c r="T545" i="13" s="1"/>
  <c r="K545" i="13"/>
  <c r="S545" i="13" s="1"/>
  <c r="J545" i="13"/>
  <c r="R545" i="13" s="1"/>
  <c r="I545" i="13"/>
  <c r="Q545" i="13" s="1"/>
  <c r="H545" i="13"/>
  <c r="G545" i="13"/>
  <c r="F545" i="13"/>
  <c r="E545" i="13"/>
  <c r="C545" i="13"/>
  <c r="B545" i="13"/>
  <c r="Z545" i="13" s="1"/>
  <c r="A545" i="13"/>
  <c r="AQ544" i="13"/>
  <c r="P544" i="13"/>
  <c r="X544" i="13" s="1"/>
  <c r="O544" i="13"/>
  <c r="W544" i="13" s="1"/>
  <c r="N544" i="13"/>
  <c r="V544" i="13" s="1"/>
  <c r="M544" i="13"/>
  <c r="U544" i="13" s="1"/>
  <c r="L544" i="13"/>
  <c r="T544" i="13" s="1"/>
  <c r="K544" i="13"/>
  <c r="S544" i="13" s="1"/>
  <c r="J544" i="13"/>
  <c r="R544" i="13" s="1"/>
  <c r="I544" i="13"/>
  <c r="Q544" i="13" s="1"/>
  <c r="H544" i="13"/>
  <c r="G544" i="13"/>
  <c r="F544" i="13"/>
  <c r="E544" i="13"/>
  <c r="BB544" i="13" s="1"/>
  <c r="C544" i="13"/>
  <c r="AG544" i="13" s="1"/>
  <c r="B544" i="13"/>
  <c r="Z544" i="13" s="1"/>
  <c r="A544" i="13"/>
  <c r="AU544" i="13" s="1"/>
  <c r="AQ543" i="13"/>
  <c r="Z543" i="13"/>
  <c r="P543" i="13"/>
  <c r="X543" i="13" s="1"/>
  <c r="O543" i="13"/>
  <c r="W543" i="13" s="1"/>
  <c r="N543" i="13"/>
  <c r="V543" i="13" s="1"/>
  <c r="M543" i="13"/>
  <c r="U543" i="13" s="1"/>
  <c r="L543" i="13"/>
  <c r="T543" i="13" s="1"/>
  <c r="K543" i="13"/>
  <c r="S543" i="13" s="1"/>
  <c r="J543" i="13"/>
  <c r="R543" i="13" s="1"/>
  <c r="I543" i="13"/>
  <c r="Q543" i="13" s="1"/>
  <c r="H543" i="13"/>
  <c r="G543" i="13"/>
  <c r="F543" i="13"/>
  <c r="E543" i="13"/>
  <c r="C543" i="13"/>
  <c r="AG543" i="13" s="1"/>
  <c r="AK543" i="13" s="1"/>
  <c r="B543" i="13"/>
  <c r="A543" i="13"/>
  <c r="AU543" i="13" s="1"/>
  <c r="AQ542" i="13"/>
  <c r="P542" i="13"/>
  <c r="X542" i="13" s="1"/>
  <c r="O542" i="13"/>
  <c r="W542" i="13" s="1"/>
  <c r="N542" i="13"/>
  <c r="V542" i="13" s="1"/>
  <c r="M542" i="13"/>
  <c r="U542" i="13" s="1"/>
  <c r="L542" i="13"/>
  <c r="T542" i="13" s="1"/>
  <c r="K542" i="13"/>
  <c r="S542" i="13" s="1"/>
  <c r="J542" i="13"/>
  <c r="R542" i="13" s="1"/>
  <c r="I542" i="13"/>
  <c r="Q542" i="13" s="1"/>
  <c r="H542" i="13"/>
  <c r="G542" i="13"/>
  <c r="F542" i="13"/>
  <c r="E542" i="13"/>
  <c r="BB542" i="13" s="1"/>
  <c r="C542" i="13"/>
  <c r="AG542" i="13" s="1"/>
  <c r="AK542" i="13" s="1"/>
  <c r="B542" i="13"/>
  <c r="Z542" i="13" s="1"/>
  <c r="A542" i="13"/>
  <c r="AR542" i="13" s="1"/>
  <c r="AQ541" i="13"/>
  <c r="P541" i="13"/>
  <c r="X541" i="13" s="1"/>
  <c r="O541" i="13"/>
  <c r="W541" i="13" s="1"/>
  <c r="N541" i="13"/>
  <c r="V541" i="13" s="1"/>
  <c r="M541" i="13"/>
  <c r="U541" i="13" s="1"/>
  <c r="L541" i="13"/>
  <c r="T541" i="13" s="1"/>
  <c r="K541" i="13"/>
  <c r="S541" i="13" s="1"/>
  <c r="J541" i="13"/>
  <c r="R541" i="13" s="1"/>
  <c r="I541" i="13"/>
  <c r="Q541" i="13" s="1"/>
  <c r="H541" i="13"/>
  <c r="G541" i="13"/>
  <c r="F541" i="13"/>
  <c r="E541" i="13"/>
  <c r="BA541" i="13" s="1"/>
  <c r="C541" i="13"/>
  <c r="AG541" i="13" s="1"/>
  <c r="B541" i="13"/>
  <c r="Z541" i="13" s="1"/>
  <c r="A541" i="13"/>
  <c r="AR541" i="13" s="1"/>
  <c r="AQ540" i="13"/>
  <c r="T540" i="13"/>
  <c r="P540" i="13"/>
  <c r="X540" i="13" s="1"/>
  <c r="O540" i="13"/>
  <c r="W540" i="13" s="1"/>
  <c r="N540" i="13"/>
  <c r="V540" i="13" s="1"/>
  <c r="M540" i="13"/>
  <c r="U540" i="13" s="1"/>
  <c r="L540" i="13"/>
  <c r="K540" i="13"/>
  <c r="S540" i="13" s="1"/>
  <c r="J540" i="13"/>
  <c r="R540" i="13" s="1"/>
  <c r="I540" i="13"/>
  <c r="Q540" i="13" s="1"/>
  <c r="H540" i="13"/>
  <c r="G540" i="13"/>
  <c r="F540" i="13"/>
  <c r="E540" i="13"/>
  <c r="C540" i="13"/>
  <c r="AG540" i="13" s="1"/>
  <c r="B540" i="13"/>
  <c r="Z540" i="13" s="1"/>
  <c r="A540" i="13"/>
  <c r="AC540" i="13" s="1"/>
  <c r="AQ539" i="13"/>
  <c r="P539" i="13"/>
  <c r="X539" i="13" s="1"/>
  <c r="O539" i="13"/>
  <c r="W539" i="13" s="1"/>
  <c r="N539" i="13"/>
  <c r="V539" i="13" s="1"/>
  <c r="M539" i="13"/>
  <c r="U539" i="13" s="1"/>
  <c r="L539" i="13"/>
  <c r="T539" i="13" s="1"/>
  <c r="K539" i="13"/>
  <c r="S539" i="13" s="1"/>
  <c r="J539" i="13"/>
  <c r="R539" i="13" s="1"/>
  <c r="I539" i="13"/>
  <c r="Q539" i="13" s="1"/>
  <c r="H539" i="13"/>
  <c r="G539" i="13"/>
  <c r="F539" i="13"/>
  <c r="E539" i="13"/>
  <c r="BB539" i="13" s="1"/>
  <c r="C539" i="13"/>
  <c r="AG539" i="13" s="1"/>
  <c r="B539" i="13"/>
  <c r="Z539" i="13" s="1"/>
  <c r="A539" i="13"/>
  <c r="AQ538" i="13"/>
  <c r="X538" i="13"/>
  <c r="P538" i="13"/>
  <c r="O538" i="13"/>
  <c r="W538" i="13" s="1"/>
  <c r="N538" i="13"/>
  <c r="V538" i="13" s="1"/>
  <c r="M538" i="13"/>
  <c r="U538" i="13" s="1"/>
  <c r="L538" i="13"/>
  <c r="T538" i="13" s="1"/>
  <c r="K538" i="13"/>
  <c r="S538" i="13" s="1"/>
  <c r="J538" i="13"/>
  <c r="R538" i="13" s="1"/>
  <c r="I538" i="13"/>
  <c r="Q538" i="13" s="1"/>
  <c r="H538" i="13"/>
  <c r="G538" i="13"/>
  <c r="F538" i="13"/>
  <c r="E538" i="13"/>
  <c r="C538" i="13"/>
  <c r="AG538" i="13" s="1"/>
  <c r="B538" i="13"/>
  <c r="Z538" i="13" s="1"/>
  <c r="A538" i="13"/>
  <c r="AC538" i="13" s="1"/>
  <c r="AR537" i="13"/>
  <c r="AQ537" i="13"/>
  <c r="P537" i="13"/>
  <c r="X537" i="13" s="1"/>
  <c r="O537" i="13"/>
  <c r="W537" i="13" s="1"/>
  <c r="N537" i="13"/>
  <c r="V537" i="13" s="1"/>
  <c r="M537" i="13"/>
  <c r="U537" i="13" s="1"/>
  <c r="L537" i="13"/>
  <c r="T537" i="13" s="1"/>
  <c r="K537" i="13"/>
  <c r="S537" i="13" s="1"/>
  <c r="J537" i="13"/>
  <c r="R537" i="13" s="1"/>
  <c r="I537" i="13"/>
  <c r="Q537" i="13" s="1"/>
  <c r="H537" i="13"/>
  <c r="G537" i="13"/>
  <c r="F537" i="13"/>
  <c r="E537" i="13"/>
  <c r="C537" i="13"/>
  <c r="AG537" i="13" s="1"/>
  <c r="B537" i="13"/>
  <c r="Z537" i="13" s="1"/>
  <c r="A537" i="13"/>
  <c r="AC537" i="13" s="1"/>
  <c r="AR536" i="13"/>
  <c r="AQ536" i="13"/>
  <c r="P536" i="13"/>
  <c r="X536" i="13" s="1"/>
  <c r="O536" i="13"/>
  <c r="W536" i="13" s="1"/>
  <c r="N536" i="13"/>
  <c r="V536" i="13" s="1"/>
  <c r="M536" i="13"/>
  <c r="U536" i="13" s="1"/>
  <c r="L536" i="13"/>
  <c r="T536" i="13" s="1"/>
  <c r="K536" i="13"/>
  <c r="S536" i="13" s="1"/>
  <c r="J536" i="13"/>
  <c r="R536" i="13" s="1"/>
  <c r="I536" i="13"/>
  <c r="Q536" i="13" s="1"/>
  <c r="H536" i="13"/>
  <c r="G536" i="13"/>
  <c r="F536" i="13"/>
  <c r="E536" i="13"/>
  <c r="C536" i="13"/>
  <c r="AG536" i="13" s="1"/>
  <c r="AJ536" i="13" s="1"/>
  <c r="B536" i="13"/>
  <c r="Z536" i="13" s="1"/>
  <c r="A536" i="13"/>
  <c r="AC536" i="13" s="1"/>
  <c r="AQ535" i="13"/>
  <c r="P535" i="13"/>
  <c r="X535" i="13" s="1"/>
  <c r="O535" i="13"/>
  <c r="W535" i="13" s="1"/>
  <c r="N535" i="13"/>
  <c r="V535" i="13" s="1"/>
  <c r="M535" i="13"/>
  <c r="U535" i="13" s="1"/>
  <c r="L535" i="13"/>
  <c r="T535" i="13" s="1"/>
  <c r="K535" i="13"/>
  <c r="S535" i="13" s="1"/>
  <c r="J535" i="13"/>
  <c r="R535" i="13" s="1"/>
  <c r="I535" i="13"/>
  <c r="Q535" i="13" s="1"/>
  <c r="H535" i="13"/>
  <c r="G535" i="13"/>
  <c r="F535" i="13"/>
  <c r="E535" i="13"/>
  <c r="BB535" i="13" s="1"/>
  <c r="C535" i="13"/>
  <c r="AG535" i="13" s="1"/>
  <c r="B535" i="13"/>
  <c r="Z535" i="13" s="1"/>
  <c r="A535" i="13"/>
  <c r="AC535" i="13" s="1"/>
  <c r="AQ534" i="13"/>
  <c r="V534" i="13"/>
  <c r="P534" i="13"/>
  <c r="X534" i="13" s="1"/>
  <c r="O534" i="13"/>
  <c r="W534" i="13" s="1"/>
  <c r="N534" i="13"/>
  <c r="M534" i="13"/>
  <c r="U534" i="13" s="1"/>
  <c r="L534" i="13"/>
  <c r="T534" i="13" s="1"/>
  <c r="K534" i="13"/>
  <c r="S534" i="13" s="1"/>
  <c r="J534" i="13"/>
  <c r="R534" i="13" s="1"/>
  <c r="I534" i="13"/>
  <c r="Q534" i="13" s="1"/>
  <c r="H534" i="13"/>
  <c r="G534" i="13"/>
  <c r="F534" i="13"/>
  <c r="E534" i="13"/>
  <c r="BB534" i="13" s="1"/>
  <c r="C534" i="13"/>
  <c r="AG534" i="13" s="1"/>
  <c r="B534" i="13"/>
  <c r="Z534" i="13" s="1"/>
  <c r="A534" i="13"/>
  <c r="AC534" i="13" s="1"/>
  <c r="AU533" i="13"/>
  <c r="AQ533" i="13"/>
  <c r="P533" i="13"/>
  <c r="X533" i="13" s="1"/>
  <c r="O533" i="13"/>
  <c r="W533" i="13" s="1"/>
  <c r="N533" i="13"/>
  <c r="V533" i="13" s="1"/>
  <c r="M533" i="13"/>
  <c r="U533" i="13" s="1"/>
  <c r="L533" i="13"/>
  <c r="T533" i="13" s="1"/>
  <c r="K533" i="13"/>
  <c r="S533" i="13" s="1"/>
  <c r="J533" i="13"/>
  <c r="R533" i="13" s="1"/>
  <c r="I533" i="13"/>
  <c r="Q533" i="13" s="1"/>
  <c r="H533" i="13"/>
  <c r="G533" i="13"/>
  <c r="F533" i="13"/>
  <c r="E533" i="13"/>
  <c r="BA533" i="13" s="1"/>
  <c r="C533" i="13"/>
  <c r="AG533" i="13" s="1"/>
  <c r="B533" i="13"/>
  <c r="Z533" i="13" s="1"/>
  <c r="A533" i="13"/>
  <c r="AR532" i="13"/>
  <c r="AQ532" i="13"/>
  <c r="P532" i="13"/>
  <c r="X532" i="13" s="1"/>
  <c r="O532" i="13"/>
  <c r="W532" i="13" s="1"/>
  <c r="N532" i="13"/>
  <c r="V532" i="13" s="1"/>
  <c r="M532" i="13"/>
  <c r="U532" i="13" s="1"/>
  <c r="L532" i="13"/>
  <c r="T532" i="13" s="1"/>
  <c r="K532" i="13"/>
  <c r="S532" i="13" s="1"/>
  <c r="J532" i="13"/>
  <c r="R532" i="13" s="1"/>
  <c r="I532" i="13"/>
  <c r="Q532" i="13" s="1"/>
  <c r="H532" i="13"/>
  <c r="G532" i="13"/>
  <c r="F532" i="13"/>
  <c r="E532" i="13"/>
  <c r="BB532" i="13" s="1"/>
  <c r="C532" i="13"/>
  <c r="AG532" i="13" s="1"/>
  <c r="B532" i="13"/>
  <c r="Z532" i="13" s="1"/>
  <c r="A532" i="13"/>
  <c r="AC532" i="13" s="1"/>
  <c r="AQ531" i="13"/>
  <c r="P531" i="13"/>
  <c r="X531" i="13" s="1"/>
  <c r="O531" i="13"/>
  <c r="W531" i="13" s="1"/>
  <c r="N531" i="13"/>
  <c r="V531" i="13" s="1"/>
  <c r="M531" i="13"/>
  <c r="U531" i="13" s="1"/>
  <c r="L531" i="13"/>
  <c r="T531" i="13" s="1"/>
  <c r="K531" i="13"/>
  <c r="S531" i="13" s="1"/>
  <c r="J531" i="13"/>
  <c r="R531" i="13" s="1"/>
  <c r="I531" i="13"/>
  <c r="Q531" i="13" s="1"/>
  <c r="H531" i="13"/>
  <c r="G531" i="13"/>
  <c r="F531" i="13"/>
  <c r="E531" i="13"/>
  <c r="BB531" i="13" s="1"/>
  <c r="C531" i="13"/>
  <c r="AG531" i="13" s="1"/>
  <c r="B531" i="13"/>
  <c r="Z531" i="13" s="1"/>
  <c r="A531" i="13"/>
  <c r="AQ530" i="13"/>
  <c r="T530" i="13"/>
  <c r="P530" i="13"/>
  <c r="X530" i="13" s="1"/>
  <c r="O530" i="13"/>
  <c r="W530" i="13" s="1"/>
  <c r="N530" i="13"/>
  <c r="V530" i="13" s="1"/>
  <c r="M530" i="13"/>
  <c r="U530" i="13" s="1"/>
  <c r="L530" i="13"/>
  <c r="K530" i="13"/>
  <c r="S530" i="13" s="1"/>
  <c r="J530" i="13"/>
  <c r="R530" i="13" s="1"/>
  <c r="I530" i="13"/>
  <c r="Q530" i="13" s="1"/>
  <c r="H530" i="13"/>
  <c r="G530" i="13"/>
  <c r="F530" i="13"/>
  <c r="E530" i="13"/>
  <c r="BB530" i="13" s="1"/>
  <c r="C530" i="13"/>
  <c r="AG530" i="13" s="1"/>
  <c r="B530" i="13"/>
  <c r="Z530" i="13" s="1"/>
  <c r="A530" i="13"/>
  <c r="AQ529" i="13"/>
  <c r="P529" i="13"/>
  <c r="X529" i="13" s="1"/>
  <c r="O529" i="13"/>
  <c r="W529" i="13" s="1"/>
  <c r="N529" i="13"/>
  <c r="V529" i="13" s="1"/>
  <c r="M529" i="13"/>
  <c r="U529" i="13" s="1"/>
  <c r="L529" i="13"/>
  <c r="T529" i="13" s="1"/>
  <c r="K529" i="13"/>
  <c r="S529" i="13" s="1"/>
  <c r="J529" i="13"/>
  <c r="R529" i="13" s="1"/>
  <c r="I529" i="13"/>
  <c r="Q529" i="13" s="1"/>
  <c r="H529" i="13"/>
  <c r="G529" i="13"/>
  <c r="F529" i="13"/>
  <c r="E529" i="13"/>
  <c r="BA529" i="13" s="1"/>
  <c r="C529" i="13"/>
  <c r="AG529" i="13" s="1"/>
  <c r="B529" i="13"/>
  <c r="Z529" i="13" s="1"/>
  <c r="A529" i="13"/>
  <c r="AU529" i="13" s="1"/>
  <c r="AQ528" i="13"/>
  <c r="P528" i="13"/>
  <c r="X528" i="13" s="1"/>
  <c r="O528" i="13"/>
  <c r="W528" i="13" s="1"/>
  <c r="N528" i="13"/>
  <c r="V528" i="13" s="1"/>
  <c r="M528" i="13"/>
  <c r="U528" i="13" s="1"/>
  <c r="L528" i="13"/>
  <c r="T528" i="13" s="1"/>
  <c r="K528" i="13"/>
  <c r="S528" i="13" s="1"/>
  <c r="J528" i="13"/>
  <c r="R528" i="13" s="1"/>
  <c r="I528" i="13"/>
  <c r="Q528" i="13" s="1"/>
  <c r="H528" i="13"/>
  <c r="G528" i="13"/>
  <c r="F528" i="13"/>
  <c r="E528" i="13"/>
  <c r="BA528" i="13" s="1"/>
  <c r="C528" i="13"/>
  <c r="AG528" i="13" s="1"/>
  <c r="B528" i="13"/>
  <c r="Z528" i="13" s="1"/>
  <c r="A528" i="13"/>
  <c r="AC528" i="13" s="1"/>
  <c r="AQ527" i="13"/>
  <c r="P527" i="13"/>
  <c r="X527" i="13" s="1"/>
  <c r="O527" i="13"/>
  <c r="W527" i="13" s="1"/>
  <c r="N527" i="13"/>
  <c r="V527" i="13" s="1"/>
  <c r="M527" i="13"/>
  <c r="U527" i="13" s="1"/>
  <c r="L527" i="13"/>
  <c r="T527" i="13" s="1"/>
  <c r="K527" i="13"/>
  <c r="S527" i="13" s="1"/>
  <c r="J527" i="13"/>
  <c r="R527" i="13" s="1"/>
  <c r="I527" i="13"/>
  <c r="Q527" i="13" s="1"/>
  <c r="H527" i="13"/>
  <c r="G527" i="13"/>
  <c r="F527" i="13"/>
  <c r="E527" i="13"/>
  <c r="BB527" i="13" s="1"/>
  <c r="C527" i="13"/>
  <c r="AG527" i="13" s="1"/>
  <c r="B527" i="13"/>
  <c r="Z527" i="13" s="1"/>
  <c r="A527" i="13"/>
  <c r="AR527" i="13" s="1"/>
  <c r="AQ526" i="13"/>
  <c r="P526" i="13"/>
  <c r="X526" i="13" s="1"/>
  <c r="O526" i="13"/>
  <c r="W526" i="13" s="1"/>
  <c r="N526" i="13"/>
  <c r="V526" i="13" s="1"/>
  <c r="M526" i="13"/>
  <c r="U526" i="13" s="1"/>
  <c r="L526" i="13"/>
  <c r="T526" i="13" s="1"/>
  <c r="K526" i="13"/>
  <c r="S526" i="13" s="1"/>
  <c r="J526" i="13"/>
  <c r="R526" i="13" s="1"/>
  <c r="I526" i="13"/>
  <c r="Q526" i="13" s="1"/>
  <c r="H526" i="13"/>
  <c r="G526" i="13"/>
  <c r="F526" i="13"/>
  <c r="E526" i="13"/>
  <c r="BA526" i="13" s="1"/>
  <c r="C526" i="13"/>
  <c r="AG526" i="13" s="1"/>
  <c r="B526" i="13"/>
  <c r="A526" i="13"/>
  <c r="AU526" i="13" s="1"/>
  <c r="AQ525" i="13"/>
  <c r="P525" i="13"/>
  <c r="X525" i="13" s="1"/>
  <c r="O525" i="13"/>
  <c r="W525" i="13" s="1"/>
  <c r="N525" i="13"/>
  <c r="V525" i="13" s="1"/>
  <c r="M525" i="13"/>
  <c r="U525" i="13" s="1"/>
  <c r="L525" i="13"/>
  <c r="T525" i="13" s="1"/>
  <c r="K525" i="13"/>
  <c r="S525" i="13" s="1"/>
  <c r="J525" i="13"/>
  <c r="R525" i="13" s="1"/>
  <c r="I525" i="13"/>
  <c r="Q525" i="13" s="1"/>
  <c r="H525" i="13"/>
  <c r="G525" i="13"/>
  <c r="F525" i="13"/>
  <c r="E525" i="13"/>
  <c r="BA525" i="13" s="1"/>
  <c r="C525" i="13"/>
  <c r="AG525" i="13" s="1"/>
  <c r="B525" i="13"/>
  <c r="Z525" i="13" s="1"/>
  <c r="A525" i="13"/>
  <c r="AU525" i="13" s="1"/>
  <c r="AQ524" i="13"/>
  <c r="V524" i="13"/>
  <c r="P524" i="13"/>
  <c r="X524" i="13" s="1"/>
  <c r="O524" i="13"/>
  <c r="W524" i="13" s="1"/>
  <c r="N524" i="13"/>
  <c r="M524" i="13"/>
  <c r="U524" i="13" s="1"/>
  <c r="L524" i="13"/>
  <c r="T524" i="13" s="1"/>
  <c r="K524" i="13"/>
  <c r="S524" i="13" s="1"/>
  <c r="J524" i="13"/>
  <c r="R524" i="13" s="1"/>
  <c r="I524" i="13"/>
  <c r="Q524" i="13" s="1"/>
  <c r="H524" i="13"/>
  <c r="G524" i="13"/>
  <c r="F524" i="13"/>
  <c r="E524" i="13"/>
  <c r="BA524" i="13" s="1"/>
  <c r="C524" i="13"/>
  <c r="AG524" i="13" s="1"/>
  <c r="B524" i="13"/>
  <c r="Z524" i="13" s="1"/>
  <c r="A524" i="13"/>
  <c r="AC524" i="13" s="1"/>
  <c r="AQ523" i="13"/>
  <c r="P523" i="13"/>
  <c r="X523" i="13" s="1"/>
  <c r="O523" i="13"/>
  <c r="W523" i="13" s="1"/>
  <c r="N523" i="13"/>
  <c r="V523" i="13" s="1"/>
  <c r="M523" i="13"/>
  <c r="U523" i="13" s="1"/>
  <c r="L523" i="13"/>
  <c r="T523" i="13" s="1"/>
  <c r="K523" i="13"/>
  <c r="S523" i="13" s="1"/>
  <c r="J523" i="13"/>
  <c r="R523" i="13" s="1"/>
  <c r="I523" i="13"/>
  <c r="Q523" i="13" s="1"/>
  <c r="H523" i="13"/>
  <c r="G523" i="13"/>
  <c r="F523" i="13"/>
  <c r="E523" i="13"/>
  <c r="BB523" i="13" s="1"/>
  <c r="C523" i="13"/>
  <c r="AG523" i="13" s="1"/>
  <c r="B523" i="13"/>
  <c r="Z523" i="13" s="1"/>
  <c r="A523" i="13"/>
  <c r="AU523" i="13" s="1"/>
  <c r="AQ522" i="13"/>
  <c r="Z522" i="13"/>
  <c r="P522" i="13"/>
  <c r="X522" i="13" s="1"/>
  <c r="O522" i="13"/>
  <c r="W522" i="13" s="1"/>
  <c r="N522" i="13"/>
  <c r="V522" i="13" s="1"/>
  <c r="M522" i="13"/>
  <c r="U522" i="13" s="1"/>
  <c r="L522" i="13"/>
  <c r="T522" i="13" s="1"/>
  <c r="K522" i="13"/>
  <c r="S522" i="13" s="1"/>
  <c r="J522" i="13"/>
  <c r="R522" i="13" s="1"/>
  <c r="I522" i="13"/>
  <c r="Q522" i="13" s="1"/>
  <c r="H522" i="13"/>
  <c r="G522" i="13"/>
  <c r="F522" i="13"/>
  <c r="E522" i="13"/>
  <c r="BA522" i="13" s="1"/>
  <c r="C522" i="13"/>
  <c r="AG522" i="13" s="1"/>
  <c r="B522" i="13"/>
  <c r="A522" i="13"/>
  <c r="AU522" i="13" s="1"/>
  <c r="BB521" i="13"/>
  <c r="AQ521" i="13"/>
  <c r="P521" i="13"/>
  <c r="X521" i="13" s="1"/>
  <c r="O521" i="13"/>
  <c r="W521" i="13" s="1"/>
  <c r="N521" i="13"/>
  <c r="V521" i="13" s="1"/>
  <c r="M521" i="13"/>
  <c r="U521" i="13" s="1"/>
  <c r="L521" i="13"/>
  <c r="T521" i="13" s="1"/>
  <c r="K521" i="13"/>
  <c r="S521" i="13" s="1"/>
  <c r="J521" i="13"/>
  <c r="R521" i="13" s="1"/>
  <c r="I521" i="13"/>
  <c r="Q521" i="13" s="1"/>
  <c r="H521" i="13"/>
  <c r="G521" i="13"/>
  <c r="F521" i="13"/>
  <c r="E521" i="13"/>
  <c r="BA521" i="13" s="1"/>
  <c r="C521" i="13"/>
  <c r="AG521" i="13" s="1"/>
  <c r="B521" i="13"/>
  <c r="Z521" i="13" s="1"/>
  <c r="A521" i="13"/>
  <c r="AU521" i="13" s="1"/>
  <c r="AQ520" i="13"/>
  <c r="P520" i="13"/>
  <c r="X520" i="13" s="1"/>
  <c r="O520" i="13"/>
  <c r="W520" i="13" s="1"/>
  <c r="N520" i="13"/>
  <c r="V520" i="13" s="1"/>
  <c r="M520" i="13"/>
  <c r="U520" i="13" s="1"/>
  <c r="L520" i="13"/>
  <c r="T520" i="13" s="1"/>
  <c r="K520" i="13"/>
  <c r="S520" i="13" s="1"/>
  <c r="J520" i="13"/>
  <c r="R520" i="13" s="1"/>
  <c r="I520" i="13"/>
  <c r="Q520" i="13" s="1"/>
  <c r="H520" i="13"/>
  <c r="G520" i="13"/>
  <c r="F520" i="13"/>
  <c r="E520" i="13"/>
  <c r="BA520" i="13" s="1"/>
  <c r="C520" i="13"/>
  <c r="AG520" i="13" s="1"/>
  <c r="AL520" i="13" s="1"/>
  <c r="B520" i="13"/>
  <c r="Z520" i="13" s="1"/>
  <c r="A520" i="13"/>
  <c r="AC520" i="13" s="1"/>
  <c r="AQ519" i="13"/>
  <c r="P519" i="13"/>
  <c r="X519" i="13" s="1"/>
  <c r="O519" i="13"/>
  <c r="W519" i="13" s="1"/>
  <c r="N519" i="13"/>
  <c r="V519" i="13" s="1"/>
  <c r="M519" i="13"/>
  <c r="U519" i="13" s="1"/>
  <c r="L519" i="13"/>
  <c r="T519" i="13" s="1"/>
  <c r="K519" i="13"/>
  <c r="S519" i="13" s="1"/>
  <c r="J519" i="13"/>
  <c r="R519" i="13" s="1"/>
  <c r="I519" i="13"/>
  <c r="Q519" i="13" s="1"/>
  <c r="H519" i="13"/>
  <c r="G519" i="13"/>
  <c r="F519" i="13"/>
  <c r="E519" i="13"/>
  <c r="BB519" i="13" s="1"/>
  <c r="C519" i="13"/>
  <c r="AG519" i="13" s="1"/>
  <c r="B519" i="13"/>
  <c r="Z519" i="13" s="1"/>
  <c r="A519" i="13"/>
  <c r="AU519" i="13" s="1"/>
  <c r="AQ518" i="13"/>
  <c r="P518" i="13"/>
  <c r="X518" i="13" s="1"/>
  <c r="O518" i="13"/>
  <c r="W518" i="13" s="1"/>
  <c r="N518" i="13"/>
  <c r="V518" i="13" s="1"/>
  <c r="M518" i="13"/>
  <c r="U518" i="13" s="1"/>
  <c r="L518" i="13"/>
  <c r="T518" i="13" s="1"/>
  <c r="K518" i="13"/>
  <c r="S518" i="13" s="1"/>
  <c r="J518" i="13"/>
  <c r="R518" i="13" s="1"/>
  <c r="I518" i="13"/>
  <c r="Q518" i="13" s="1"/>
  <c r="H518" i="13"/>
  <c r="G518" i="13"/>
  <c r="F518" i="13"/>
  <c r="E518" i="13"/>
  <c r="BA518" i="13" s="1"/>
  <c r="C518" i="13"/>
  <c r="AG518" i="13" s="1"/>
  <c r="B518" i="13"/>
  <c r="Z518" i="13" s="1"/>
  <c r="A518" i="13"/>
  <c r="AU518" i="13" s="1"/>
  <c r="AQ517" i="13"/>
  <c r="P517" i="13"/>
  <c r="X517" i="13" s="1"/>
  <c r="O517" i="13"/>
  <c r="W517" i="13" s="1"/>
  <c r="N517" i="13"/>
  <c r="V517" i="13" s="1"/>
  <c r="M517" i="13"/>
  <c r="U517" i="13" s="1"/>
  <c r="L517" i="13"/>
  <c r="T517" i="13" s="1"/>
  <c r="K517" i="13"/>
  <c r="S517" i="13" s="1"/>
  <c r="J517" i="13"/>
  <c r="R517" i="13" s="1"/>
  <c r="I517" i="13"/>
  <c r="Q517" i="13" s="1"/>
  <c r="H517" i="13"/>
  <c r="G517" i="13"/>
  <c r="F517" i="13"/>
  <c r="E517" i="13"/>
  <c r="BA517" i="13" s="1"/>
  <c r="C517" i="13"/>
  <c r="AG517" i="13" s="1"/>
  <c r="B517" i="13"/>
  <c r="Z517" i="13" s="1"/>
  <c r="A517" i="13"/>
  <c r="AU517" i="13" s="1"/>
  <c r="AQ516" i="13"/>
  <c r="P516" i="13"/>
  <c r="X516" i="13" s="1"/>
  <c r="O516" i="13"/>
  <c r="W516" i="13" s="1"/>
  <c r="N516" i="13"/>
  <c r="V516" i="13" s="1"/>
  <c r="M516" i="13"/>
  <c r="U516" i="13" s="1"/>
  <c r="L516" i="13"/>
  <c r="T516" i="13" s="1"/>
  <c r="K516" i="13"/>
  <c r="S516" i="13" s="1"/>
  <c r="J516" i="13"/>
  <c r="R516" i="13" s="1"/>
  <c r="I516" i="13"/>
  <c r="Q516" i="13" s="1"/>
  <c r="H516" i="13"/>
  <c r="G516" i="13"/>
  <c r="F516" i="13"/>
  <c r="E516" i="13"/>
  <c r="BA516" i="13" s="1"/>
  <c r="C516" i="13"/>
  <c r="AG516" i="13" s="1"/>
  <c r="B516" i="13"/>
  <c r="Z516" i="13" s="1"/>
  <c r="A516" i="13"/>
  <c r="AC516" i="13" s="1"/>
  <c r="AQ515" i="13"/>
  <c r="P515" i="13"/>
  <c r="X515" i="13" s="1"/>
  <c r="O515" i="13"/>
  <c r="W515" i="13" s="1"/>
  <c r="N515" i="13"/>
  <c r="V515" i="13" s="1"/>
  <c r="M515" i="13"/>
  <c r="U515" i="13" s="1"/>
  <c r="L515" i="13"/>
  <c r="T515" i="13" s="1"/>
  <c r="K515" i="13"/>
  <c r="S515" i="13" s="1"/>
  <c r="J515" i="13"/>
  <c r="R515" i="13" s="1"/>
  <c r="I515" i="13"/>
  <c r="Q515" i="13" s="1"/>
  <c r="H515" i="13"/>
  <c r="G515" i="13"/>
  <c r="F515" i="13"/>
  <c r="E515" i="13"/>
  <c r="BB515" i="13" s="1"/>
  <c r="C515" i="13"/>
  <c r="AG515" i="13" s="1"/>
  <c r="B515" i="13"/>
  <c r="Z515" i="13" s="1"/>
  <c r="A515" i="13"/>
  <c r="AU515" i="13" s="1"/>
  <c r="AQ514" i="13"/>
  <c r="Z514" i="13"/>
  <c r="P514" i="13"/>
  <c r="X514" i="13" s="1"/>
  <c r="O514" i="13"/>
  <c r="W514" i="13" s="1"/>
  <c r="N514" i="13"/>
  <c r="V514" i="13" s="1"/>
  <c r="M514" i="13"/>
  <c r="U514" i="13" s="1"/>
  <c r="L514" i="13"/>
  <c r="T514" i="13" s="1"/>
  <c r="K514" i="13"/>
  <c r="S514" i="13" s="1"/>
  <c r="J514" i="13"/>
  <c r="R514" i="13" s="1"/>
  <c r="I514" i="13"/>
  <c r="Q514" i="13" s="1"/>
  <c r="H514" i="13"/>
  <c r="G514" i="13"/>
  <c r="F514" i="13"/>
  <c r="E514" i="13"/>
  <c r="BA514" i="13" s="1"/>
  <c r="C514" i="13"/>
  <c r="AG514" i="13" s="1"/>
  <c r="B514" i="13"/>
  <c r="A514" i="13"/>
  <c r="AU514" i="13" s="1"/>
  <c r="BB513" i="13"/>
  <c r="AQ513" i="13"/>
  <c r="P513" i="13"/>
  <c r="X513" i="13" s="1"/>
  <c r="O513" i="13"/>
  <c r="W513" i="13" s="1"/>
  <c r="N513" i="13"/>
  <c r="V513" i="13" s="1"/>
  <c r="M513" i="13"/>
  <c r="U513" i="13" s="1"/>
  <c r="L513" i="13"/>
  <c r="T513" i="13" s="1"/>
  <c r="K513" i="13"/>
  <c r="S513" i="13" s="1"/>
  <c r="J513" i="13"/>
  <c r="R513" i="13" s="1"/>
  <c r="I513" i="13"/>
  <c r="Q513" i="13" s="1"/>
  <c r="H513" i="13"/>
  <c r="G513" i="13"/>
  <c r="F513" i="13"/>
  <c r="E513" i="13"/>
  <c r="BA513" i="13" s="1"/>
  <c r="C513" i="13"/>
  <c r="AG513" i="13" s="1"/>
  <c r="B513" i="13"/>
  <c r="Z513" i="13" s="1"/>
  <c r="A513" i="13"/>
  <c r="AU513" i="13" s="1"/>
  <c r="AQ512" i="13"/>
  <c r="P512" i="13"/>
  <c r="X512" i="13" s="1"/>
  <c r="O512" i="13"/>
  <c r="W512" i="13" s="1"/>
  <c r="N512" i="13"/>
  <c r="V512" i="13" s="1"/>
  <c r="M512" i="13"/>
  <c r="U512" i="13" s="1"/>
  <c r="L512" i="13"/>
  <c r="T512" i="13" s="1"/>
  <c r="K512" i="13"/>
  <c r="S512" i="13" s="1"/>
  <c r="J512" i="13"/>
  <c r="R512" i="13" s="1"/>
  <c r="I512" i="13"/>
  <c r="Q512" i="13" s="1"/>
  <c r="H512" i="13"/>
  <c r="G512" i="13"/>
  <c r="F512" i="13"/>
  <c r="E512" i="13"/>
  <c r="BA512" i="13" s="1"/>
  <c r="C512" i="13"/>
  <c r="AG512" i="13" s="1"/>
  <c r="B512" i="13"/>
  <c r="Z512" i="13" s="1"/>
  <c r="A512" i="13"/>
  <c r="AC512" i="13" s="1"/>
  <c r="AQ511" i="13"/>
  <c r="P511" i="13"/>
  <c r="X511" i="13" s="1"/>
  <c r="O511" i="13"/>
  <c r="W511" i="13" s="1"/>
  <c r="N511" i="13"/>
  <c r="V511" i="13" s="1"/>
  <c r="M511" i="13"/>
  <c r="U511" i="13" s="1"/>
  <c r="L511" i="13"/>
  <c r="T511" i="13" s="1"/>
  <c r="K511" i="13"/>
  <c r="S511" i="13" s="1"/>
  <c r="J511" i="13"/>
  <c r="R511" i="13" s="1"/>
  <c r="I511" i="13"/>
  <c r="Q511" i="13" s="1"/>
  <c r="H511" i="13"/>
  <c r="G511" i="13"/>
  <c r="F511" i="13"/>
  <c r="E511" i="13"/>
  <c r="BB511" i="13" s="1"/>
  <c r="C511" i="13"/>
  <c r="AG511" i="13" s="1"/>
  <c r="B511" i="13"/>
  <c r="Z511" i="13" s="1"/>
  <c r="A511" i="13"/>
  <c r="AU511" i="13" s="1"/>
  <c r="AQ510" i="13"/>
  <c r="P510" i="13"/>
  <c r="X510" i="13" s="1"/>
  <c r="O510" i="13"/>
  <c r="W510" i="13" s="1"/>
  <c r="N510" i="13"/>
  <c r="V510" i="13" s="1"/>
  <c r="M510" i="13"/>
  <c r="U510" i="13" s="1"/>
  <c r="L510" i="13"/>
  <c r="T510" i="13" s="1"/>
  <c r="K510" i="13"/>
  <c r="S510" i="13" s="1"/>
  <c r="J510" i="13"/>
  <c r="R510" i="13" s="1"/>
  <c r="I510" i="13"/>
  <c r="Q510" i="13" s="1"/>
  <c r="H510" i="13"/>
  <c r="G510" i="13"/>
  <c r="F510" i="13"/>
  <c r="E510" i="13"/>
  <c r="BA510" i="13" s="1"/>
  <c r="C510" i="13"/>
  <c r="AG510" i="13" s="1"/>
  <c r="AH510" i="13" s="1"/>
  <c r="B510" i="13"/>
  <c r="Z510" i="13" s="1"/>
  <c r="A510" i="13"/>
  <c r="AU510" i="13" s="1"/>
  <c r="AQ509" i="13"/>
  <c r="P509" i="13"/>
  <c r="X509" i="13" s="1"/>
  <c r="O509" i="13"/>
  <c r="W509" i="13" s="1"/>
  <c r="N509" i="13"/>
  <c r="V509" i="13" s="1"/>
  <c r="M509" i="13"/>
  <c r="U509" i="13" s="1"/>
  <c r="L509" i="13"/>
  <c r="T509" i="13" s="1"/>
  <c r="K509" i="13"/>
  <c r="S509" i="13" s="1"/>
  <c r="J509" i="13"/>
  <c r="R509" i="13" s="1"/>
  <c r="I509" i="13"/>
  <c r="Q509" i="13" s="1"/>
  <c r="H509" i="13"/>
  <c r="G509" i="13"/>
  <c r="F509" i="13"/>
  <c r="E509" i="13"/>
  <c r="C509" i="13"/>
  <c r="AG509" i="13" s="1"/>
  <c r="B509" i="13"/>
  <c r="Z509" i="13" s="1"/>
  <c r="A509" i="13"/>
  <c r="AU509" i="13" s="1"/>
  <c r="AQ508" i="13"/>
  <c r="P508" i="13"/>
  <c r="X508" i="13" s="1"/>
  <c r="O508" i="13"/>
  <c r="W508" i="13" s="1"/>
  <c r="N508" i="13"/>
  <c r="V508" i="13" s="1"/>
  <c r="M508" i="13"/>
  <c r="U508" i="13" s="1"/>
  <c r="L508" i="13"/>
  <c r="T508" i="13" s="1"/>
  <c r="K508" i="13"/>
  <c r="S508" i="13" s="1"/>
  <c r="J508" i="13"/>
  <c r="R508" i="13" s="1"/>
  <c r="I508" i="13"/>
  <c r="Q508" i="13" s="1"/>
  <c r="H508" i="13"/>
  <c r="G508" i="13"/>
  <c r="F508" i="13"/>
  <c r="E508" i="13"/>
  <c r="BA508" i="13" s="1"/>
  <c r="C508" i="13"/>
  <c r="AG508" i="13" s="1"/>
  <c r="B508" i="13"/>
  <c r="Z508" i="13" s="1"/>
  <c r="A508" i="13"/>
  <c r="AC508" i="13" s="1"/>
  <c r="AQ507" i="13"/>
  <c r="P507" i="13"/>
  <c r="X507" i="13" s="1"/>
  <c r="O507" i="13"/>
  <c r="W507" i="13" s="1"/>
  <c r="N507" i="13"/>
  <c r="V507" i="13" s="1"/>
  <c r="M507" i="13"/>
  <c r="U507" i="13" s="1"/>
  <c r="L507" i="13"/>
  <c r="T507" i="13" s="1"/>
  <c r="K507" i="13"/>
  <c r="S507" i="13" s="1"/>
  <c r="J507" i="13"/>
  <c r="R507" i="13" s="1"/>
  <c r="I507" i="13"/>
  <c r="Q507" i="13" s="1"/>
  <c r="H507" i="13"/>
  <c r="G507" i="13"/>
  <c r="F507" i="13"/>
  <c r="E507" i="13"/>
  <c r="BB507" i="13" s="1"/>
  <c r="C507" i="13"/>
  <c r="AG507" i="13" s="1"/>
  <c r="B507" i="13"/>
  <c r="Z507" i="13" s="1"/>
  <c r="A507" i="13"/>
  <c r="AU507" i="13" s="1"/>
  <c r="AQ506" i="13"/>
  <c r="P506" i="13"/>
  <c r="X506" i="13" s="1"/>
  <c r="O506" i="13"/>
  <c r="W506" i="13" s="1"/>
  <c r="N506" i="13"/>
  <c r="V506" i="13" s="1"/>
  <c r="M506" i="13"/>
  <c r="U506" i="13" s="1"/>
  <c r="L506" i="13"/>
  <c r="T506" i="13" s="1"/>
  <c r="K506" i="13"/>
  <c r="S506" i="13" s="1"/>
  <c r="J506" i="13"/>
  <c r="R506" i="13" s="1"/>
  <c r="I506" i="13"/>
  <c r="Q506" i="13" s="1"/>
  <c r="H506" i="13"/>
  <c r="G506" i="13"/>
  <c r="F506" i="13"/>
  <c r="E506" i="13"/>
  <c r="BA506" i="13" s="1"/>
  <c r="C506" i="13"/>
  <c r="AG506" i="13" s="1"/>
  <c r="AH506" i="13" s="1"/>
  <c r="B506" i="13"/>
  <c r="Z506" i="13" s="1"/>
  <c r="A506" i="13"/>
  <c r="AU506" i="13" s="1"/>
  <c r="AQ505" i="13"/>
  <c r="P505" i="13"/>
  <c r="X505" i="13" s="1"/>
  <c r="O505" i="13"/>
  <c r="W505" i="13" s="1"/>
  <c r="N505" i="13"/>
  <c r="V505" i="13" s="1"/>
  <c r="M505" i="13"/>
  <c r="U505" i="13" s="1"/>
  <c r="L505" i="13"/>
  <c r="T505" i="13" s="1"/>
  <c r="K505" i="13"/>
  <c r="S505" i="13" s="1"/>
  <c r="J505" i="13"/>
  <c r="R505" i="13" s="1"/>
  <c r="I505" i="13"/>
  <c r="Q505" i="13" s="1"/>
  <c r="H505" i="13"/>
  <c r="G505" i="13"/>
  <c r="F505" i="13"/>
  <c r="E505" i="13"/>
  <c r="BA505" i="13" s="1"/>
  <c r="C505" i="13"/>
  <c r="AG505" i="13" s="1"/>
  <c r="B505" i="13"/>
  <c r="Z505" i="13" s="1"/>
  <c r="A505" i="13"/>
  <c r="AU505" i="13" s="1"/>
  <c r="AQ504" i="13"/>
  <c r="P504" i="13"/>
  <c r="X504" i="13" s="1"/>
  <c r="O504" i="13"/>
  <c r="W504" i="13" s="1"/>
  <c r="N504" i="13"/>
  <c r="V504" i="13" s="1"/>
  <c r="M504" i="13"/>
  <c r="U504" i="13" s="1"/>
  <c r="L504" i="13"/>
  <c r="T504" i="13" s="1"/>
  <c r="K504" i="13"/>
  <c r="S504" i="13" s="1"/>
  <c r="J504" i="13"/>
  <c r="R504" i="13" s="1"/>
  <c r="I504" i="13"/>
  <c r="Q504" i="13" s="1"/>
  <c r="H504" i="13"/>
  <c r="G504" i="13"/>
  <c r="F504" i="13"/>
  <c r="E504" i="13"/>
  <c r="BA504" i="13" s="1"/>
  <c r="C504" i="13"/>
  <c r="AG504" i="13" s="1"/>
  <c r="B504" i="13"/>
  <c r="Z504" i="13" s="1"/>
  <c r="A504" i="13"/>
  <c r="AC504" i="13" s="1"/>
  <c r="AQ503" i="13"/>
  <c r="P503" i="13"/>
  <c r="X503" i="13" s="1"/>
  <c r="O503" i="13"/>
  <c r="W503" i="13" s="1"/>
  <c r="N503" i="13"/>
  <c r="V503" i="13" s="1"/>
  <c r="M503" i="13"/>
  <c r="U503" i="13" s="1"/>
  <c r="L503" i="13"/>
  <c r="T503" i="13" s="1"/>
  <c r="K503" i="13"/>
  <c r="S503" i="13" s="1"/>
  <c r="J503" i="13"/>
  <c r="R503" i="13" s="1"/>
  <c r="I503" i="13"/>
  <c r="Q503" i="13" s="1"/>
  <c r="H503" i="13"/>
  <c r="G503" i="13"/>
  <c r="F503" i="13"/>
  <c r="E503" i="13"/>
  <c r="BB503" i="13" s="1"/>
  <c r="C503" i="13"/>
  <c r="AG503" i="13" s="1"/>
  <c r="B503" i="13"/>
  <c r="Z503" i="13" s="1"/>
  <c r="A503" i="13"/>
  <c r="AU503" i="13" s="1"/>
  <c r="AQ502" i="13"/>
  <c r="P502" i="13"/>
  <c r="X502" i="13" s="1"/>
  <c r="O502" i="13"/>
  <c r="W502" i="13" s="1"/>
  <c r="N502" i="13"/>
  <c r="V502" i="13" s="1"/>
  <c r="M502" i="13"/>
  <c r="U502" i="13" s="1"/>
  <c r="L502" i="13"/>
  <c r="T502" i="13" s="1"/>
  <c r="K502" i="13"/>
  <c r="S502" i="13" s="1"/>
  <c r="J502" i="13"/>
  <c r="R502" i="13" s="1"/>
  <c r="I502" i="13"/>
  <c r="Q502" i="13" s="1"/>
  <c r="H502" i="13"/>
  <c r="G502" i="13"/>
  <c r="F502" i="13"/>
  <c r="E502" i="13"/>
  <c r="BA502" i="13" s="1"/>
  <c r="C502" i="13"/>
  <c r="AG502" i="13" s="1"/>
  <c r="B502" i="13"/>
  <c r="Z502" i="13" s="1"/>
  <c r="A502" i="13"/>
  <c r="AU502" i="13" s="1"/>
  <c r="BB501" i="13"/>
  <c r="AQ501" i="13"/>
  <c r="P501" i="13"/>
  <c r="X501" i="13" s="1"/>
  <c r="O501" i="13"/>
  <c r="W501" i="13" s="1"/>
  <c r="N501" i="13"/>
  <c r="V501" i="13" s="1"/>
  <c r="M501" i="13"/>
  <c r="U501" i="13" s="1"/>
  <c r="L501" i="13"/>
  <c r="T501" i="13" s="1"/>
  <c r="K501" i="13"/>
  <c r="S501" i="13" s="1"/>
  <c r="J501" i="13"/>
  <c r="R501" i="13" s="1"/>
  <c r="I501" i="13"/>
  <c r="Q501" i="13" s="1"/>
  <c r="H501" i="13"/>
  <c r="G501" i="13"/>
  <c r="F501" i="13"/>
  <c r="E501" i="13"/>
  <c r="BA501" i="13" s="1"/>
  <c r="C501" i="13"/>
  <c r="AG501" i="13" s="1"/>
  <c r="B501" i="13"/>
  <c r="Z501" i="13" s="1"/>
  <c r="A501" i="13"/>
  <c r="AU501" i="13" s="1"/>
  <c r="AQ500" i="13"/>
  <c r="P500" i="13"/>
  <c r="X500" i="13" s="1"/>
  <c r="O500" i="13"/>
  <c r="W500" i="13" s="1"/>
  <c r="N500" i="13"/>
  <c r="V500" i="13" s="1"/>
  <c r="M500" i="13"/>
  <c r="U500" i="13" s="1"/>
  <c r="L500" i="13"/>
  <c r="T500" i="13" s="1"/>
  <c r="K500" i="13"/>
  <c r="S500" i="13" s="1"/>
  <c r="J500" i="13"/>
  <c r="R500" i="13" s="1"/>
  <c r="I500" i="13"/>
  <c r="Q500" i="13" s="1"/>
  <c r="H500" i="13"/>
  <c r="G500" i="13"/>
  <c r="F500" i="13"/>
  <c r="E500" i="13"/>
  <c r="BA500" i="13" s="1"/>
  <c r="C500" i="13"/>
  <c r="AG500" i="13" s="1"/>
  <c r="B500" i="13"/>
  <c r="Z500" i="13" s="1"/>
  <c r="A500" i="13"/>
  <c r="AC500" i="13" s="1"/>
  <c r="AQ499" i="13"/>
  <c r="P499" i="13"/>
  <c r="X499" i="13" s="1"/>
  <c r="O499" i="13"/>
  <c r="W499" i="13" s="1"/>
  <c r="N499" i="13"/>
  <c r="V499" i="13" s="1"/>
  <c r="M499" i="13"/>
  <c r="U499" i="13" s="1"/>
  <c r="L499" i="13"/>
  <c r="T499" i="13" s="1"/>
  <c r="K499" i="13"/>
  <c r="S499" i="13" s="1"/>
  <c r="J499" i="13"/>
  <c r="R499" i="13" s="1"/>
  <c r="I499" i="13"/>
  <c r="Q499" i="13" s="1"/>
  <c r="H499" i="13"/>
  <c r="G499" i="13"/>
  <c r="F499" i="13"/>
  <c r="E499" i="13"/>
  <c r="BB499" i="13" s="1"/>
  <c r="C499" i="13"/>
  <c r="AG499" i="13" s="1"/>
  <c r="B499" i="13"/>
  <c r="Z499" i="13" s="1"/>
  <c r="A499" i="13"/>
  <c r="AU499" i="13" s="1"/>
  <c r="AQ498" i="13"/>
  <c r="P498" i="13"/>
  <c r="X498" i="13" s="1"/>
  <c r="O498" i="13"/>
  <c r="W498" i="13" s="1"/>
  <c r="N498" i="13"/>
  <c r="V498" i="13" s="1"/>
  <c r="M498" i="13"/>
  <c r="U498" i="13" s="1"/>
  <c r="L498" i="13"/>
  <c r="T498" i="13" s="1"/>
  <c r="K498" i="13"/>
  <c r="S498" i="13" s="1"/>
  <c r="J498" i="13"/>
  <c r="R498" i="13" s="1"/>
  <c r="I498" i="13"/>
  <c r="Q498" i="13" s="1"/>
  <c r="H498" i="13"/>
  <c r="G498" i="13"/>
  <c r="F498" i="13"/>
  <c r="E498" i="13"/>
  <c r="BA498" i="13" s="1"/>
  <c r="C498" i="13"/>
  <c r="AG498" i="13" s="1"/>
  <c r="B498" i="13"/>
  <c r="Z498" i="13" s="1"/>
  <c r="A498" i="13"/>
  <c r="AU498" i="13" s="1"/>
  <c r="AQ497" i="13"/>
  <c r="P497" i="13"/>
  <c r="X497" i="13" s="1"/>
  <c r="O497" i="13"/>
  <c r="W497" i="13" s="1"/>
  <c r="N497" i="13"/>
  <c r="V497" i="13" s="1"/>
  <c r="M497" i="13"/>
  <c r="U497" i="13" s="1"/>
  <c r="L497" i="13"/>
  <c r="T497" i="13" s="1"/>
  <c r="K497" i="13"/>
  <c r="S497" i="13" s="1"/>
  <c r="J497" i="13"/>
  <c r="R497" i="13" s="1"/>
  <c r="I497" i="13"/>
  <c r="Q497" i="13" s="1"/>
  <c r="H497" i="13"/>
  <c r="G497" i="13"/>
  <c r="F497" i="13"/>
  <c r="E497" i="13"/>
  <c r="BA497" i="13" s="1"/>
  <c r="C497" i="13"/>
  <c r="AG497" i="13" s="1"/>
  <c r="B497" i="13"/>
  <c r="Z497" i="13" s="1"/>
  <c r="A497" i="13"/>
  <c r="AU497" i="13" s="1"/>
  <c r="AQ496" i="13"/>
  <c r="P496" i="13"/>
  <c r="X496" i="13" s="1"/>
  <c r="O496" i="13"/>
  <c r="W496" i="13" s="1"/>
  <c r="N496" i="13"/>
  <c r="V496" i="13" s="1"/>
  <c r="M496" i="13"/>
  <c r="U496" i="13" s="1"/>
  <c r="L496" i="13"/>
  <c r="T496" i="13" s="1"/>
  <c r="K496" i="13"/>
  <c r="S496" i="13" s="1"/>
  <c r="J496" i="13"/>
  <c r="R496" i="13" s="1"/>
  <c r="I496" i="13"/>
  <c r="Q496" i="13" s="1"/>
  <c r="H496" i="13"/>
  <c r="G496" i="13"/>
  <c r="F496" i="13"/>
  <c r="E496" i="13"/>
  <c r="BA496" i="13" s="1"/>
  <c r="C496" i="13"/>
  <c r="AG496" i="13" s="1"/>
  <c r="AL496" i="13" s="1"/>
  <c r="B496" i="13"/>
  <c r="Z496" i="13" s="1"/>
  <c r="A496" i="13"/>
  <c r="AC496" i="13" s="1"/>
  <c r="AQ495" i="13"/>
  <c r="T495" i="13"/>
  <c r="P495" i="13"/>
  <c r="X495" i="13" s="1"/>
  <c r="O495" i="13"/>
  <c r="W495" i="13" s="1"/>
  <c r="N495" i="13"/>
  <c r="V495" i="13" s="1"/>
  <c r="M495" i="13"/>
  <c r="U495" i="13" s="1"/>
  <c r="L495" i="13"/>
  <c r="K495" i="13"/>
  <c r="S495" i="13" s="1"/>
  <c r="J495" i="13"/>
  <c r="R495" i="13" s="1"/>
  <c r="I495" i="13"/>
  <c r="Q495" i="13" s="1"/>
  <c r="H495" i="13"/>
  <c r="G495" i="13"/>
  <c r="F495" i="13"/>
  <c r="E495" i="13"/>
  <c r="BB495" i="13" s="1"/>
  <c r="C495" i="13"/>
  <c r="AG495" i="13" s="1"/>
  <c r="B495" i="13"/>
  <c r="Z495" i="13" s="1"/>
  <c r="A495" i="13"/>
  <c r="AU495" i="13" s="1"/>
  <c r="AQ494" i="13"/>
  <c r="P494" i="13"/>
  <c r="X494" i="13" s="1"/>
  <c r="O494" i="13"/>
  <c r="W494" i="13" s="1"/>
  <c r="N494" i="13"/>
  <c r="V494" i="13" s="1"/>
  <c r="M494" i="13"/>
  <c r="U494" i="13" s="1"/>
  <c r="L494" i="13"/>
  <c r="T494" i="13" s="1"/>
  <c r="K494" i="13"/>
  <c r="S494" i="13" s="1"/>
  <c r="J494" i="13"/>
  <c r="R494" i="13" s="1"/>
  <c r="I494" i="13"/>
  <c r="Q494" i="13" s="1"/>
  <c r="H494" i="13"/>
  <c r="G494" i="13"/>
  <c r="F494" i="13"/>
  <c r="E494" i="13"/>
  <c r="BA494" i="13" s="1"/>
  <c r="C494" i="13"/>
  <c r="AG494" i="13" s="1"/>
  <c r="B494" i="13"/>
  <c r="Z494" i="13" s="1"/>
  <c r="A494" i="13"/>
  <c r="AU494" i="13" s="1"/>
  <c r="AQ493" i="13"/>
  <c r="P493" i="13"/>
  <c r="X493" i="13" s="1"/>
  <c r="O493" i="13"/>
  <c r="W493" i="13" s="1"/>
  <c r="N493" i="13"/>
  <c r="V493" i="13" s="1"/>
  <c r="M493" i="13"/>
  <c r="U493" i="13" s="1"/>
  <c r="L493" i="13"/>
  <c r="T493" i="13" s="1"/>
  <c r="K493" i="13"/>
  <c r="S493" i="13" s="1"/>
  <c r="J493" i="13"/>
  <c r="R493" i="13" s="1"/>
  <c r="I493" i="13"/>
  <c r="Q493" i="13" s="1"/>
  <c r="H493" i="13"/>
  <c r="G493" i="13"/>
  <c r="F493" i="13"/>
  <c r="E493" i="13"/>
  <c r="BA493" i="13" s="1"/>
  <c r="C493" i="13"/>
  <c r="AG493" i="13" s="1"/>
  <c r="AM493" i="13" s="1"/>
  <c r="B493" i="13"/>
  <c r="Z493" i="13" s="1"/>
  <c r="A493" i="13"/>
  <c r="AU493" i="13" s="1"/>
  <c r="AQ492" i="13"/>
  <c r="P492" i="13"/>
  <c r="X492" i="13" s="1"/>
  <c r="O492" i="13"/>
  <c r="W492" i="13" s="1"/>
  <c r="N492" i="13"/>
  <c r="V492" i="13" s="1"/>
  <c r="M492" i="13"/>
  <c r="U492" i="13" s="1"/>
  <c r="L492" i="13"/>
  <c r="T492" i="13" s="1"/>
  <c r="K492" i="13"/>
  <c r="S492" i="13" s="1"/>
  <c r="J492" i="13"/>
  <c r="R492" i="13" s="1"/>
  <c r="I492" i="13"/>
  <c r="Q492" i="13" s="1"/>
  <c r="H492" i="13"/>
  <c r="G492" i="13"/>
  <c r="F492" i="13"/>
  <c r="E492" i="13"/>
  <c r="C492" i="13"/>
  <c r="AG492" i="13" s="1"/>
  <c r="B492" i="13"/>
  <c r="AR492" i="13" s="1"/>
  <c r="A492" i="13"/>
  <c r="AC492" i="13" s="1"/>
  <c r="AQ491" i="13"/>
  <c r="P491" i="13"/>
  <c r="X491" i="13" s="1"/>
  <c r="O491" i="13"/>
  <c r="W491" i="13" s="1"/>
  <c r="N491" i="13"/>
  <c r="V491" i="13" s="1"/>
  <c r="M491" i="13"/>
  <c r="U491" i="13" s="1"/>
  <c r="L491" i="13"/>
  <c r="T491" i="13" s="1"/>
  <c r="K491" i="13"/>
  <c r="S491" i="13" s="1"/>
  <c r="J491" i="13"/>
  <c r="R491" i="13" s="1"/>
  <c r="I491" i="13"/>
  <c r="Q491" i="13" s="1"/>
  <c r="H491" i="13"/>
  <c r="G491" i="13"/>
  <c r="F491" i="13"/>
  <c r="E491" i="13"/>
  <c r="BB491" i="13" s="1"/>
  <c r="C491" i="13"/>
  <c r="AG491" i="13" s="1"/>
  <c r="B491" i="13"/>
  <c r="Z491" i="13" s="1"/>
  <c r="A491" i="13"/>
  <c r="AU491" i="13" s="1"/>
  <c r="AQ490" i="13"/>
  <c r="P490" i="13"/>
  <c r="X490" i="13" s="1"/>
  <c r="O490" i="13"/>
  <c r="W490" i="13" s="1"/>
  <c r="N490" i="13"/>
  <c r="V490" i="13" s="1"/>
  <c r="M490" i="13"/>
  <c r="U490" i="13" s="1"/>
  <c r="L490" i="13"/>
  <c r="T490" i="13" s="1"/>
  <c r="K490" i="13"/>
  <c r="S490" i="13" s="1"/>
  <c r="J490" i="13"/>
  <c r="R490" i="13" s="1"/>
  <c r="I490" i="13"/>
  <c r="Q490" i="13" s="1"/>
  <c r="H490" i="13"/>
  <c r="G490" i="13"/>
  <c r="F490" i="13"/>
  <c r="E490" i="13"/>
  <c r="BA490" i="13" s="1"/>
  <c r="C490" i="13"/>
  <c r="AG490" i="13" s="1"/>
  <c r="B490" i="13"/>
  <c r="Z490" i="13" s="1"/>
  <c r="A490" i="13"/>
  <c r="AU490" i="13" s="1"/>
  <c r="AQ489" i="13"/>
  <c r="P489" i="13"/>
  <c r="X489" i="13" s="1"/>
  <c r="O489" i="13"/>
  <c r="W489" i="13" s="1"/>
  <c r="N489" i="13"/>
  <c r="V489" i="13" s="1"/>
  <c r="M489" i="13"/>
  <c r="U489" i="13" s="1"/>
  <c r="L489" i="13"/>
  <c r="T489" i="13" s="1"/>
  <c r="K489" i="13"/>
  <c r="S489" i="13" s="1"/>
  <c r="J489" i="13"/>
  <c r="R489" i="13" s="1"/>
  <c r="I489" i="13"/>
  <c r="Q489" i="13" s="1"/>
  <c r="H489" i="13"/>
  <c r="G489" i="13"/>
  <c r="F489" i="13"/>
  <c r="E489" i="13"/>
  <c r="BA489" i="13" s="1"/>
  <c r="C489" i="13"/>
  <c r="AG489" i="13" s="1"/>
  <c r="AL489" i="13" s="1"/>
  <c r="B489" i="13"/>
  <c r="Z489" i="13" s="1"/>
  <c r="A489" i="13"/>
  <c r="AU489" i="13" s="1"/>
  <c r="AQ488" i="13"/>
  <c r="P488" i="13"/>
  <c r="X488" i="13" s="1"/>
  <c r="O488" i="13"/>
  <c r="W488" i="13" s="1"/>
  <c r="N488" i="13"/>
  <c r="V488" i="13" s="1"/>
  <c r="M488" i="13"/>
  <c r="U488" i="13" s="1"/>
  <c r="L488" i="13"/>
  <c r="T488" i="13" s="1"/>
  <c r="K488" i="13"/>
  <c r="S488" i="13" s="1"/>
  <c r="J488" i="13"/>
  <c r="R488" i="13" s="1"/>
  <c r="I488" i="13"/>
  <c r="Q488" i="13" s="1"/>
  <c r="H488" i="13"/>
  <c r="G488" i="13"/>
  <c r="F488" i="13"/>
  <c r="E488" i="13"/>
  <c r="BA488" i="13" s="1"/>
  <c r="C488" i="13"/>
  <c r="AG488" i="13" s="1"/>
  <c r="AJ488" i="13" s="1"/>
  <c r="B488" i="13"/>
  <c r="A488" i="13"/>
  <c r="AC488" i="13" s="1"/>
  <c r="AQ487" i="13"/>
  <c r="P487" i="13"/>
  <c r="X487" i="13" s="1"/>
  <c r="O487" i="13"/>
  <c r="W487" i="13" s="1"/>
  <c r="N487" i="13"/>
  <c r="V487" i="13" s="1"/>
  <c r="M487" i="13"/>
  <c r="U487" i="13" s="1"/>
  <c r="L487" i="13"/>
  <c r="T487" i="13" s="1"/>
  <c r="K487" i="13"/>
  <c r="S487" i="13" s="1"/>
  <c r="J487" i="13"/>
  <c r="R487" i="13" s="1"/>
  <c r="I487" i="13"/>
  <c r="Q487" i="13" s="1"/>
  <c r="H487" i="13"/>
  <c r="G487" i="13"/>
  <c r="F487" i="13"/>
  <c r="E487" i="13"/>
  <c r="BB487" i="13" s="1"/>
  <c r="C487" i="13"/>
  <c r="AG487" i="13" s="1"/>
  <c r="B487" i="13"/>
  <c r="A487" i="13"/>
  <c r="AU487" i="13" s="1"/>
  <c r="AQ486" i="13"/>
  <c r="P486" i="13"/>
  <c r="X486" i="13" s="1"/>
  <c r="O486" i="13"/>
  <c r="W486" i="13" s="1"/>
  <c r="N486" i="13"/>
  <c r="V486" i="13" s="1"/>
  <c r="M486" i="13"/>
  <c r="U486" i="13" s="1"/>
  <c r="L486" i="13"/>
  <c r="T486" i="13" s="1"/>
  <c r="K486" i="13"/>
  <c r="S486" i="13" s="1"/>
  <c r="J486" i="13"/>
  <c r="R486" i="13" s="1"/>
  <c r="I486" i="13"/>
  <c r="Q486" i="13" s="1"/>
  <c r="H486" i="13"/>
  <c r="G486" i="13"/>
  <c r="F486" i="13"/>
  <c r="E486" i="13"/>
  <c r="BA486" i="13" s="1"/>
  <c r="C486" i="13"/>
  <c r="AG486" i="13" s="1"/>
  <c r="B486" i="13"/>
  <c r="Z486" i="13" s="1"/>
  <c r="A486" i="13"/>
  <c r="AU486" i="13" s="1"/>
  <c r="AR485" i="13"/>
  <c r="AQ485" i="13"/>
  <c r="P485" i="13"/>
  <c r="X485" i="13" s="1"/>
  <c r="O485" i="13"/>
  <c r="W485" i="13" s="1"/>
  <c r="N485" i="13"/>
  <c r="V485" i="13" s="1"/>
  <c r="M485" i="13"/>
  <c r="U485" i="13" s="1"/>
  <c r="L485" i="13"/>
  <c r="T485" i="13" s="1"/>
  <c r="K485" i="13"/>
  <c r="S485" i="13" s="1"/>
  <c r="J485" i="13"/>
  <c r="R485" i="13" s="1"/>
  <c r="I485" i="13"/>
  <c r="Q485" i="13" s="1"/>
  <c r="H485" i="13"/>
  <c r="G485" i="13"/>
  <c r="F485" i="13"/>
  <c r="E485" i="13"/>
  <c r="BA485" i="13" s="1"/>
  <c r="C485" i="13"/>
  <c r="AG485" i="13" s="1"/>
  <c r="B485" i="13"/>
  <c r="Z485" i="13" s="1"/>
  <c r="A485" i="13"/>
  <c r="AQ484" i="13"/>
  <c r="P484" i="13"/>
  <c r="X484" i="13" s="1"/>
  <c r="O484" i="13"/>
  <c r="W484" i="13" s="1"/>
  <c r="N484" i="13"/>
  <c r="V484" i="13" s="1"/>
  <c r="M484" i="13"/>
  <c r="U484" i="13" s="1"/>
  <c r="L484" i="13"/>
  <c r="T484" i="13" s="1"/>
  <c r="K484" i="13"/>
  <c r="S484" i="13" s="1"/>
  <c r="J484" i="13"/>
  <c r="R484" i="13" s="1"/>
  <c r="I484" i="13"/>
  <c r="Q484" i="13" s="1"/>
  <c r="H484" i="13"/>
  <c r="G484" i="13"/>
  <c r="F484" i="13"/>
  <c r="E484" i="13"/>
  <c r="BA484" i="13" s="1"/>
  <c r="C484" i="13"/>
  <c r="AG484" i="13" s="1"/>
  <c r="B484" i="13"/>
  <c r="Z484" i="13" s="1"/>
  <c r="A484" i="13"/>
  <c r="AC484" i="13" s="1"/>
  <c r="AQ483" i="13"/>
  <c r="P483" i="13"/>
  <c r="X483" i="13" s="1"/>
  <c r="O483" i="13"/>
  <c r="W483" i="13" s="1"/>
  <c r="N483" i="13"/>
  <c r="V483" i="13" s="1"/>
  <c r="M483" i="13"/>
  <c r="U483" i="13" s="1"/>
  <c r="L483" i="13"/>
  <c r="T483" i="13" s="1"/>
  <c r="K483" i="13"/>
  <c r="S483" i="13" s="1"/>
  <c r="J483" i="13"/>
  <c r="R483" i="13" s="1"/>
  <c r="I483" i="13"/>
  <c r="Q483" i="13" s="1"/>
  <c r="H483" i="13"/>
  <c r="G483" i="13"/>
  <c r="F483" i="13"/>
  <c r="E483" i="13"/>
  <c r="BB483" i="13" s="1"/>
  <c r="C483" i="13"/>
  <c r="AG483" i="13" s="1"/>
  <c r="B483" i="13"/>
  <c r="AR483" i="13" s="1"/>
  <c r="A483" i="13"/>
  <c r="AU483" i="13" s="1"/>
  <c r="AQ482" i="13"/>
  <c r="P482" i="13"/>
  <c r="X482" i="13" s="1"/>
  <c r="O482" i="13"/>
  <c r="W482" i="13" s="1"/>
  <c r="N482" i="13"/>
  <c r="V482" i="13" s="1"/>
  <c r="M482" i="13"/>
  <c r="U482" i="13" s="1"/>
  <c r="L482" i="13"/>
  <c r="T482" i="13" s="1"/>
  <c r="K482" i="13"/>
  <c r="S482" i="13" s="1"/>
  <c r="J482" i="13"/>
  <c r="R482" i="13" s="1"/>
  <c r="I482" i="13"/>
  <c r="Q482" i="13" s="1"/>
  <c r="H482" i="13"/>
  <c r="G482" i="13"/>
  <c r="F482" i="13"/>
  <c r="E482" i="13"/>
  <c r="BA482" i="13" s="1"/>
  <c r="C482" i="13"/>
  <c r="AG482" i="13" s="1"/>
  <c r="B482" i="13"/>
  <c r="Z482" i="13" s="1"/>
  <c r="A482" i="13"/>
  <c r="AU482" i="13" s="1"/>
  <c r="AQ481" i="13"/>
  <c r="P481" i="13"/>
  <c r="X481" i="13" s="1"/>
  <c r="O481" i="13"/>
  <c r="W481" i="13" s="1"/>
  <c r="N481" i="13"/>
  <c r="V481" i="13" s="1"/>
  <c r="M481" i="13"/>
  <c r="U481" i="13" s="1"/>
  <c r="L481" i="13"/>
  <c r="T481" i="13" s="1"/>
  <c r="K481" i="13"/>
  <c r="S481" i="13" s="1"/>
  <c r="J481" i="13"/>
  <c r="R481" i="13" s="1"/>
  <c r="I481" i="13"/>
  <c r="Q481" i="13" s="1"/>
  <c r="H481" i="13"/>
  <c r="G481" i="13"/>
  <c r="F481" i="13"/>
  <c r="E481" i="13"/>
  <c r="BA481" i="13" s="1"/>
  <c r="C481" i="13"/>
  <c r="AG481" i="13" s="1"/>
  <c r="AJ481" i="13" s="1"/>
  <c r="B481" i="13"/>
  <c r="Z481" i="13" s="1"/>
  <c r="A481" i="13"/>
  <c r="AQ480" i="13"/>
  <c r="P480" i="13"/>
  <c r="X480" i="13" s="1"/>
  <c r="O480" i="13"/>
  <c r="W480" i="13" s="1"/>
  <c r="N480" i="13"/>
  <c r="V480" i="13" s="1"/>
  <c r="M480" i="13"/>
  <c r="U480" i="13" s="1"/>
  <c r="L480" i="13"/>
  <c r="T480" i="13" s="1"/>
  <c r="K480" i="13"/>
  <c r="S480" i="13" s="1"/>
  <c r="J480" i="13"/>
  <c r="R480" i="13" s="1"/>
  <c r="I480" i="13"/>
  <c r="Q480" i="13" s="1"/>
  <c r="H480" i="13"/>
  <c r="G480" i="13"/>
  <c r="F480" i="13"/>
  <c r="E480" i="13"/>
  <c r="BA480" i="13" s="1"/>
  <c r="C480" i="13"/>
  <c r="AG480" i="13" s="1"/>
  <c r="B480" i="13"/>
  <c r="A480" i="13"/>
  <c r="AC480" i="13" s="1"/>
  <c r="AQ479" i="13"/>
  <c r="T479" i="13"/>
  <c r="P479" i="13"/>
  <c r="X479" i="13" s="1"/>
  <c r="O479" i="13"/>
  <c r="W479" i="13" s="1"/>
  <c r="N479" i="13"/>
  <c r="V479" i="13" s="1"/>
  <c r="M479" i="13"/>
  <c r="U479" i="13" s="1"/>
  <c r="L479" i="13"/>
  <c r="K479" i="13"/>
  <c r="S479" i="13" s="1"/>
  <c r="J479" i="13"/>
  <c r="R479" i="13" s="1"/>
  <c r="I479" i="13"/>
  <c r="Q479" i="13" s="1"/>
  <c r="H479" i="13"/>
  <c r="G479" i="13"/>
  <c r="F479" i="13"/>
  <c r="E479" i="13"/>
  <c r="BB479" i="13" s="1"/>
  <c r="C479" i="13"/>
  <c r="AG479" i="13" s="1"/>
  <c r="B479" i="13"/>
  <c r="Z479" i="13" s="1"/>
  <c r="A479" i="13"/>
  <c r="AU479" i="13" s="1"/>
  <c r="AQ478" i="13"/>
  <c r="V478" i="13"/>
  <c r="P478" i="13"/>
  <c r="X478" i="13" s="1"/>
  <c r="O478" i="13"/>
  <c r="W478" i="13" s="1"/>
  <c r="N478" i="13"/>
  <c r="M478" i="13"/>
  <c r="U478" i="13" s="1"/>
  <c r="L478" i="13"/>
  <c r="T478" i="13" s="1"/>
  <c r="K478" i="13"/>
  <c r="S478" i="13" s="1"/>
  <c r="J478" i="13"/>
  <c r="R478" i="13" s="1"/>
  <c r="I478" i="13"/>
  <c r="Q478" i="13" s="1"/>
  <c r="H478" i="13"/>
  <c r="G478" i="13"/>
  <c r="F478" i="13"/>
  <c r="E478" i="13"/>
  <c r="C478" i="13"/>
  <c r="AG478" i="13" s="1"/>
  <c r="B478" i="13"/>
  <c r="Z478" i="13" s="1"/>
  <c r="A478" i="13"/>
  <c r="AU478" i="13" s="1"/>
  <c r="AR477" i="13"/>
  <c r="AQ477" i="13"/>
  <c r="X477" i="13"/>
  <c r="P477" i="13"/>
  <c r="O477" i="13"/>
  <c r="W477" i="13" s="1"/>
  <c r="N477" i="13"/>
  <c r="V477" i="13" s="1"/>
  <c r="M477" i="13"/>
  <c r="U477" i="13" s="1"/>
  <c r="L477" i="13"/>
  <c r="T477" i="13" s="1"/>
  <c r="K477" i="13"/>
  <c r="S477" i="13" s="1"/>
  <c r="J477" i="13"/>
  <c r="R477" i="13" s="1"/>
  <c r="I477" i="13"/>
  <c r="Q477" i="13" s="1"/>
  <c r="H477" i="13"/>
  <c r="G477" i="13"/>
  <c r="F477" i="13"/>
  <c r="E477" i="13"/>
  <c r="BA477" i="13" s="1"/>
  <c r="C477" i="13"/>
  <c r="AG477" i="13" s="1"/>
  <c r="B477" i="13"/>
  <c r="Z477" i="13" s="1"/>
  <c r="A477" i="13"/>
  <c r="AR476" i="13"/>
  <c r="AQ476" i="13"/>
  <c r="P476" i="13"/>
  <c r="X476" i="13" s="1"/>
  <c r="O476" i="13"/>
  <c r="W476" i="13" s="1"/>
  <c r="N476" i="13"/>
  <c r="V476" i="13" s="1"/>
  <c r="M476" i="13"/>
  <c r="U476" i="13" s="1"/>
  <c r="L476" i="13"/>
  <c r="T476" i="13" s="1"/>
  <c r="K476" i="13"/>
  <c r="S476" i="13" s="1"/>
  <c r="J476" i="13"/>
  <c r="R476" i="13" s="1"/>
  <c r="I476" i="13"/>
  <c r="Q476" i="13" s="1"/>
  <c r="H476" i="13"/>
  <c r="G476" i="13"/>
  <c r="F476" i="13"/>
  <c r="E476" i="13"/>
  <c r="BA476" i="13" s="1"/>
  <c r="C476" i="13"/>
  <c r="AG476" i="13" s="1"/>
  <c r="B476" i="13"/>
  <c r="Z476" i="13" s="1"/>
  <c r="A476" i="13"/>
  <c r="AC476" i="13" s="1"/>
  <c r="AQ475" i="13"/>
  <c r="P475" i="13"/>
  <c r="X475" i="13" s="1"/>
  <c r="O475" i="13"/>
  <c r="W475" i="13" s="1"/>
  <c r="N475" i="13"/>
  <c r="V475" i="13" s="1"/>
  <c r="M475" i="13"/>
  <c r="U475" i="13" s="1"/>
  <c r="L475" i="13"/>
  <c r="T475" i="13" s="1"/>
  <c r="K475" i="13"/>
  <c r="S475" i="13" s="1"/>
  <c r="J475" i="13"/>
  <c r="R475" i="13" s="1"/>
  <c r="I475" i="13"/>
  <c r="Q475" i="13" s="1"/>
  <c r="H475" i="13"/>
  <c r="G475" i="13"/>
  <c r="F475" i="13"/>
  <c r="E475" i="13"/>
  <c r="BB475" i="13" s="1"/>
  <c r="C475" i="13"/>
  <c r="AG475" i="13" s="1"/>
  <c r="B475" i="13"/>
  <c r="Z475" i="13" s="1"/>
  <c r="A475" i="13"/>
  <c r="AU475" i="13" s="1"/>
  <c r="AQ474" i="13"/>
  <c r="P474" i="13"/>
  <c r="X474" i="13" s="1"/>
  <c r="O474" i="13"/>
  <c r="W474" i="13" s="1"/>
  <c r="N474" i="13"/>
  <c r="V474" i="13" s="1"/>
  <c r="M474" i="13"/>
  <c r="U474" i="13" s="1"/>
  <c r="L474" i="13"/>
  <c r="T474" i="13" s="1"/>
  <c r="K474" i="13"/>
  <c r="S474" i="13" s="1"/>
  <c r="J474" i="13"/>
  <c r="R474" i="13" s="1"/>
  <c r="I474" i="13"/>
  <c r="Q474" i="13" s="1"/>
  <c r="H474" i="13"/>
  <c r="G474" i="13"/>
  <c r="F474" i="13"/>
  <c r="E474" i="13"/>
  <c r="BA474" i="13" s="1"/>
  <c r="C474" i="13"/>
  <c r="AG474" i="13" s="1"/>
  <c r="B474" i="13"/>
  <c r="Z474" i="13" s="1"/>
  <c r="A474" i="13"/>
  <c r="AU474" i="13" s="1"/>
  <c r="AQ473" i="13"/>
  <c r="T473" i="13"/>
  <c r="P473" i="13"/>
  <c r="X473" i="13" s="1"/>
  <c r="O473" i="13"/>
  <c r="W473" i="13" s="1"/>
  <c r="N473" i="13"/>
  <c r="V473" i="13" s="1"/>
  <c r="M473" i="13"/>
  <c r="U473" i="13" s="1"/>
  <c r="L473" i="13"/>
  <c r="K473" i="13"/>
  <c r="S473" i="13" s="1"/>
  <c r="J473" i="13"/>
  <c r="R473" i="13" s="1"/>
  <c r="I473" i="13"/>
  <c r="Q473" i="13" s="1"/>
  <c r="H473" i="13"/>
  <c r="G473" i="13"/>
  <c r="F473" i="13"/>
  <c r="E473" i="13"/>
  <c r="BA473" i="13" s="1"/>
  <c r="C473" i="13"/>
  <c r="AG473" i="13" s="1"/>
  <c r="B473" i="13"/>
  <c r="Z473" i="13" s="1"/>
  <c r="A473" i="13"/>
  <c r="AR473" i="13" s="1"/>
  <c r="AQ472" i="13"/>
  <c r="P472" i="13"/>
  <c r="X472" i="13" s="1"/>
  <c r="O472" i="13"/>
  <c r="W472" i="13" s="1"/>
  <c r="N472" i="13"/>
  <c r="V472" i="13" s="1"/>
  <c r="M472" i="13"/>
  <c r="U472" i="13" s="1"/>
  <c r="L472" i="13"/>
  <c r="T472" i="13" s="1"/>
  <c r="K472" i="13"/>
  <c r="S472" i="13" s="1"/>
  <c r="J472" i="13"/>
  <c r="R472" i="13" s="1"/>
  <c r="I472" i="13"/>
  <c r="Q472" i="13" s="1"/>
  <c r="H472" i="13"/>
  <c r="G472" i="13"/>
  <c r="F472" i="13"/>
  <c r="E472" i="13"/>
  <c r="BA472" i="13" s="1"/>
  <c r="C472" i="13"/>
  <c r="AG472" i="13" s="1"/>
  <c r="AJ472" i="13" s="1"/>
  <c r="B472" i="13"/>
  <c r="Z472" i="13" s="1"/>
  <c r="A472" i="13"/>
  <c r="AC472" i="13" s="1"/>
  <c r="AQ471" i="13"/>
  <c r="P471" i="13"/>
  <c r="X471" i="13" s="1"/>
  <c r="O471" i="13"/>
  <c r="W471" i="13" s="1"/>
  <c r="N471" i="13"/>
  <c r="V471" i="13" s="1"/>
  <c r="M471" i="13"/>
  <c r="U471" i="13" s="1"/>
  <c r="L471" i="13"/>
  <c r="T471" i="13" s="1"/>
  <c r="K471" i="13"/>
  <c r="S471" i="13" s="1"/>
  <c r="J471" i="13"/>
  <c r="R471" i="13" s="1"/>
  <c r="I471" i="13"/>
  <c r="Q471" i="13" s="1"/>
  <c r="H471" i="13"/>
  <c r="G471" i="13"/>
  <c r="F471" i="13"/>
  <c r="E471" i="13"/>
  <c r="C471" i="13"/>
  <c r="AG471" i="13" s="1"/>
  <c r="B471" i="13"/>
  <c r="Z471" i="13" s="1"/>
  <c r="A471" i="13"/>
  <c r="AC471" i="13" s="1"/>
  <c r="BB470" i="13"/>
  <c r="AQ470" i="13"/>
  <c r="P470" i="13"/>
  <c r="X470" i="13" s="1"/>
  <c r="O470" i="13"/>
  <c r="W470" i="13" s="1"/>
  <c r="N470" i="13"/>
  <c r="V470" i="13" s="1"/>
  <c r="M470" i="13"/>
  <c r="U470" i="13" s="1"/>
  <c r="L470" i="13"/>
  <c r="T470" i="13" s="1"/>
  <c r="K470" i="13"/>
  <c r="S470" i="13" s="1"/>
  <c r="J470" i="13"/>
  <c r="R470" i="13" s="1"/>
  <c r="I470" i="13"/>
  <c r="Q470" i="13" s="1"/>
  <c r="H470" i="13"/>
  <c r="G470" i="13"/>
  <c r="F470" i="13"/>
  <c r="E470" i="13"/>
  <c r="BA470" i="13" s="1"/>
  <c r="C470" i="13"/>
  <c r="AG470" i="13" s="1"/>
  <c r="B470" i="13"/>
  <c r="Z470" i="13" s="1"/>
  <c r="A470" i="13"/>
  <c r="AU470" i="13" s="1"/>
  <c r="AQ469" i="13"/>
  <c r="P469" i="13"/>
  <c r="X469" i="13" s="1"/>
  <c r="O469" i="13"/>
  <c r="W469" i="13" s="1"/>
  <c r="N469" i="13"/>
  <c r="V469" i="13" s="1"/>
  <c r="M469" i="13"/>
  <c r="U469" i="13" s="1"/>
  <c r="L469" i="13"/>
  <c r="T469" i="13" s="1"/>
  <c r="K469" i="13"/>
  <c r="S469" i="13" s="1"/>
  <c r="J469" i="13"/>
  <c r="R469" i="13" s="1"/>
  <c r="I469" i="13"/>
  <c r="Q469" i="13" s="1"/>
  <c r="H469" i="13"/>
  <c r="G469" i="13"/>
  <c r="F469" i="13"/>
  <c r="E469" i="13"/>
  <c r="BA469" i="13" s="1"/>
  <c r="C469" i="13"/>
  <c r="AG469" i="13" s="1"/>
  <c r="B469" i="13"/>
  <c r="Z469" i="13" s="1"/>
  <c r="A469" i="13"/>
  <c r="AC469" i="13" s="1"/>
  <c r="AQ468" i="13"/>
  <c r="P468" i="13"/>
  <c r="X468" i="13" s="1"/>
  <c r="O468" i="13"/>
  <c r="W468" i="13" s="1"/>
  <c r="N468" i="13"/>
  <c r="V468" i="13" s="1"/>
  <c r="M468" i="13"/>
  <c r="U468" i="13" s="1"/>
  <c r="L468" i="13"/>
  <c r="T468" i="13" s="1"/>
  <c r="K468" i="13"/>
  <c r="S468" i="13" s="1"/>
  <c r="J468" i="13"/>
  <c r="R468" i="13" s="1"/>
  <c r="I468" i="13"/>
  <c r="Q468" i="13" s="1"/>
  <c r="H468" i="13"/>
  <c r="G468" i="13"/>
  <c r="F468" i="13"/>
  <c r="E468" i="13"/>
  <c r="BA468" i="13" s="1"/>
  <c r="C468" i="13"/>
  <c r="AG468" i="13" s="1"/>
  <c r="AK468" i="13" s="1"/>
  <c r="B468" i="13"/>
  <c r="Z468" i="13" s="1"/>
  <c r="A468" i="13"/>
  <c r="AC468" i="13" s="1"/>
  <c r="AQ467" i="13"/>
  <c r="P467" i="13"/>
  <c r="X467" i="13" s="1"/>
  <c r="O467" i="13"/>
  <c r="W467" i="13" s="1"/>
  <c r="N467" i="13"/>
  <c r="V467" i="13" s="1"/>
  <c r="M467" i="13"/>
  <c r="U467" i="13" s="1"/>
  <c r="L467" i="13"/>
  <c r="T467" i="13" s="1"/>
  <c r="K467" i="13"/>
  <c r="S467" i="13" s="1"/>
  <c r="J467" i="13"/>
  <c r="R467" i="13" s="1"/>
  <c r="I467" i="13"/>
  <c r="Q467" i="13" s="1"/>
  <c r="H467" i="13"/>
  <c r="G467" i="13"/>
  <c r="F467" i="13"/>
  <c r="E467" i="13"/>
  <c r="BA467" i="13" s="1"/>
  <c r="C467" i="13"/>
  <c r="AG467" i="13" s="1"/>
  <c r="B467" i="13"/>
  <c r="A467" i="13"/>
  <c r="AC467" i="13" s="1"/>
  <c r="AQ466" i="13"/>
  <c r="P466" i="13"/>
  <c r="X466" i="13" s="1"/>
  <c r="O466" i="13"/>
  <c r="W466" i="13" s="1"/>
  <c r="N466" i="13"/>
  <c r="V466" i="13" s="1"/>
  <c r="M466" i="13"/>
  <c r="U466" i="13" s="1"/>
  <c r="L466" i="13"/>
  <c r="T466" i="13" s="1"/>
  <c r="K466" i="13"/>
  <c r="S466" i="13" s="1"/>
  <c r="J466" i="13"/>
  <c r="R466" i="13" s="1"/>
  <c r="I466" i="13"/>
  <c r="Q466" i="13" s="1"/>
  <c r="H466" i="13"/>
  <c r="G466" i="13"/>
  <c r="F466" i="13"/>
  <c r="E466" i="13"/>
  <c r="BA466" i="13" s="1"/>
  <c r="C466" i="13"/>
  <c r="AG466" i="13" s="1"/>
  <c r="B466" i="13"/>
  <c r="Z466" i="13" s="1"/>
  <c r="A466" i="13"/>
  <c r="AU466" i="13" s="1"/>
  <c r="AQ465" i="13"/>
  <c r="P465" i="13"/>
  <c r="X465" i="13" s="1"/>
  <c r="O465" i="13"/>
  <c r="W465" i="13" s="1"/>
  <c r="N465" i="13"/>
  <c r="V465" i="13" s="1"/>
  <c r="M465" i="13"/>
  <c r="U465" i="13" s="1"/>
  <c r="L465" i="13"/>
  <c r="T465" i="13" s="1"/>
  <c r="K465" i="13"/>
  <c r="S465" i="13" s="1"/>
  <c r="J465" i="13"/>
  <c r="R465" i="13" s="1"/>
  <c r="I465" i="13"/>
  <c r="Q465" i="13" s="1"/>
  <c r="H465" i="13"/>
  <c r="G465" i="13"/>
  <c r="F465" i="13"/>
  <c r="E465" i="13"/>
  <c r="BA465" i="13" s="1"/>
  <c r="C465" i="13"/>
  <c r="AG465" i="13" s="1"/>
  <c r="B465" i="13"/>
  <c r="Z465" i="13" s="1"/>
  <c r="A465" i="13"/>
  <c r="AQ464" i="13"/>
  <c r="P464" i="13"/>
  <c r="X464" i="13" s="1"/>
  <c r="O464" i="13"/>
  <c r="W464" i="13" s="1"/>
  <c r="N464" i="13"/>
  <c r="V464" i="13" s="1"/>
  <c r="M464" i="13"/>
  <c r="U464" i="13" s="1"/>
  <c r="L464" i="13"/>
  <c r="T464" i="13" s="1"/>
  <c r="K464" i="13"/>
  <c r="S464" i="13" s="1"/>
  <c r="J464" i="13"/>
  <c r="R464" i="13" s="1"/>
  <c r="I464" i="13"/>
  <c r="Q464" i="13" s="1"/>
  <c r="H464" i="13"/>
  <c r="G464" i="13"/>
  <c r="F464" i="13"/>
  <c r="E464" i="13"/>
  <c r="C464" i="13"/>
  <c r="AG464" i="13" s="1"/>
  <c r="B464" i="13"/>
  <c r="Z464" i="13" s="1"/>
  <c r="A464" i="13"/>
  <c r="AC464" i="13" s="1"/>
  <c r="AQ463" i="13"/>
  <c r="P463" i="13"/>
  <c r="X463" i="13" s="1"/>
  <c r="O463" i="13"/>
  <c r="W463" i="13" s="1"/>
  <c r="N463" i="13"/>
  <c r="V463" i="13" s="1"/>
  <c r="M463" i="13"/>
  <c r="U463" i="13" s="1"/>
  <c r="L463" i="13"/>
  <c r="T463" i="13" s="1"/>
  <c r="K463" i="13"/>
  <c r="S463" i="13" s="1"/>
  <c r="J463" i="13"/>
  <c r="R463" i="13" s="1"/>
  <c r="I463" i="13"/>
  <c r="Q463" i="13" s="1"/>
  <c r="H463" i="13"/>
  <c r="G463" i="13"/>
  <c r="F463" i="13"/>
  <c r="E463" i="13"/>
  <c r="BA463" i="13" s="1"/>
  <c r="C463" i="13"/>
  <c r="AG463" i="13" s="1"/>
  <c r="B463" i="13"/>
  <c r="Z463" i="13" s="1"/>
  <c r="A463" i="13"/>
  <c r="AC463" i="13" s="1"/>
  <c r="AQ462" i="13"/>
  <c r="P462" i="13"/>
  <c r="X462" i="13" s="1"/>
  <c r="O462" i="13"/>
  <c r="W462" i="13" s="1"/>
  <c r="N462" i="13"/>
  <c r="V462" i="13" s="1"/>
  <c r="M462" i="13"/>
  <c r="U462" i="13" s="1"/>
  <c r="L462" i="13"/>
  <c r="T462" i="13" s="1"/>
  <c r="K462" i="13"/>
  <c r="S462" i="13" s="1"/>
  <c r="J462" i="13"/>
  <c r="R462" i="13" s="1"/>
  <c r="I462" i="13"/>
  <c r="Q462" i="13" s="1"/>
  <c r="H462" i="13"/>
  <c r="G462" i="13"/>
  <c r="F462" i="13"/>
  <c r="E462" i="13"/>
  <c r="BA462" i="13" s="1"/>
  <c r="C462" i="13"/>
  <c r="AG462" i="13" s="1"/>
  <c r="AH462" i="13" s="1"/>
  <c r="B462" i="13"/>
  <c r="Z462" i="13" s="1"/>
  <c r="A462" i="13"/>
  <c r="AU462" i="13" s="1"/>
  <c r="AQ461" i="13"/>
  <c r="P461" i="13"/>
  <c r="X461" i="13" s="1"/>
  <c r="O461" i="13"/>
  <c r="W461" i="13" s="1"/>
  <c r="N461" i="13"/>
  <c r="V461" i="13" s="1"/>
  <c r="M461" i="13"/>
  <c r="U461" i="13" s="1"/>
  <c r="L461" i="13"/>
  <c r="T461" i="13" s="1"/>
  <c r="K461" i="13"/>
  <c r="S461" i="13" s="1"/>
  <c r="J461" i="13"/>
  <c r="R461" i="13" s="1"/>
  <c r="I461" i="13"/>
  <c r="Q461" i="13" s="1"/>
  <c r="H461" i="13"/>
  <c r="G461" i="13"/>
  <c r="F461" i="13"/>
  <c r="E461" i="13"/>
  <c r="BA461" i="13" s="1"/>
  <c r="C461" i="13"/>
  <c r="AG461" i="13" s="1"/>
  <c r="B461" i="13"/>
  <c r="Z461" i="13" s="1"/>
  <c r="A461" i="13"/>
  <c r="AC461" i="13" s="1"/>
  <c r="AQ460" i="13"/>
  <c r="P460" i="13"/>
  <c r="X460" i="13" s="1"/>
  <c r="O460" i="13"/>
  <c r="W460" i="13" s="1"/>
  <c r="N460" i="13"/>
  <c r="V460" i="13" s="1"/>
  <c r="M460" i="13"/>
  <c r="U460" i="13" s="1"/>
  <c r="L460" i="13"/>
  <c r="T460" i="13" s="1"/>
  <c r="K460" i="13"/>
  <c r="S460" i="13" s="1"/>
  <c r="J460" i="13"/>
  <c r="R460" i="13" s="1"/>
  <c r="I460" i="13"/>
  <c r="Q460" i="13" s="1"/>
  <c r="H460" i="13"/>
  <c r="G460" i="13"/>
  <c r="F460" i="13"/>
  <c r="E460" i="13"/>
  <c r="BA460" i="13" s="1"/>
  <c r="C460" i="13"/>
  <c r="AG460" i="13" s="1"/>
  <c r="B460" i="13"/>
  <c r="Z460" i="13" s="1"/>
  <c r="A460" i="13"/>
  <c r="AC460" i="13" s="1"/>
  <c r="AQ459" i="13"/>
  <c r="P459" i="13"/>
  <c r="X459" i="13" s="1"/>
  <c r="O459" i="13"/>
  <c r="W459" i="13" s="1"/>
  <c r="N459" i="13"/>
  <c r="V459" i="13" s="1"/>
  <c r="M459" i="13"/>
  <c r="U459" i="13" s="1"/>
  <c r="L459" i="13"/>
  <c r="T459" i="13" s="1"/>
  <c r="K459" i="13"/>
  <c r="S459" i="13" s="1"/>
  <c r="J459" i="13"/>
  <c r="R459" i="13" s="1"/>
  <c r="I459" i="13"/>
  <c r="Q459" i="13" s="1"/>
  <c r="H459" i="13"/>
  <c r="G459" i="13"/>
  <c r="F459" i="13"/>
  <c r="E459" i="13"/>
  <c r="BA459" i="13" s="1"/>
  <c r="C459" i="13"/>
  <c r="AG459" i="13" s="1"/>
  <c r="B459" i="13"/>
  <c r="Z459" i="13" s="1"/>
  <c r="A459" i="13"/>
  <c r="AC459" i="13" s="1"/>
  <c r="AQ458" i="13"/>
  <c r="P458" i="13"/>
  <c r="X458" i="13" s="1"/>
  <c r="O458" i="13"/>
  <c r="W458" i="13" s="1"/>
  <c r="N458" i="13"/>
  <c r="V458" i="13" s="1"/>
  <c r="M458" i="13"/>
  <c r="U458" i="13" s="1"/>
  <c r="L458" i="13"/>
  <c r="T458" i="13" s="1"/>
  <c r="K458" i="13"/>
  <c r="S458" i="13" s="1"/>
  <c r="J458" i="13"/>
  <c r="R458" i="13" s="1"/>
  <c r="I458" i="13"/>
  <c r="Q458" i="13" s="1"/>
  <c r="H458" i="13"/>
  <c r="G458" i="13"/>
  <c r="F458" i="13"/>
  <c r="E458" i="13"/>
  <c r="BA458" i="13" s="1"/>
  <c r="C458" i="13"/>
  <c r="AG458" i="13" s="1"/>
  <c r="B458" i="13"/>
  <c r="Z458" i="13" s="1"/>
  <c r="A458" i="13"/>
  <c r="AU458" i="13" s="1"/>
  <c r="AQ457" i="13"/>
  <c r="P457" i="13"/>
  <c r="X457" i="13" s="1"/>
  <c r="O457" i="13"/>
  <c r="W457" i="13" s="1"/>
  <c r="N457" i="13"/>
  <c r="V457" i="13" s="1"/>
  <c r="M457" i="13"/>
  <c r="U457" i="13" s="1"/>
  <c r="L457" i="13"/>
  <c r="T457" i="13" s="1"/>
  <c r="K457" i="13"/>
  <c r="S457" i="13" s="1"/>
  <c r="J457" i="13"/>
  <c r="R457" i="13" s="1"/>
  <c r="I457" i="13"/>
  <c r="Q457" i="13" s="1"/>
  <c r="H457" i="13"/>
  <c r="G457" i="13"/>
  <c r="F457" i="13"/>
  <c r="E457" i="13"/>
  <c r="C457" i="13"/>
  <c r="AG457" i="13" s="1"/>
  <c r="B457" i="13"/>
  <c r="Z457" i="13" s="1"/>
  <c r="A457" i="13"/>
  <c r="AC457" i="13" s="1"/>
  <c r="AQ456" i="13"/>
  <c r="P456" i="13"/>
  <c r="X456" i="13" s="1"/>
  <c r="O456" i="13"/>
  <c r="W456" i="13" s="1"/>
  <c r="N456" i="13"/>
  <c r="V456" i="13" s="1"/>
  <c r="M456" i="13"/>
  <c r="U456" i="13" s="1"/>
  <c r="L456" i="13"/>
  <c r="T456" i="13" s="1"/>
  <c r="K456" i="13"/>
  <c r="S456" i="13" s="1"/>
  <c r="J456" i="13"/>
  <c r="R456" i="13" s="1"/>
  <c r="I456" i="13"/>
  <c r="Q456" i="13" s="1"/>
  <c r="H456" i="13"/>
  <c r="G456" i="13"/>
  <c r="F456" i="13"/>
  <c r="E456" i="13"/>
  <c r="BA456" i="13" s="1"/>
  <c r="C456" i="13"/>
  <c r="AG456" i="13" s="1"/>
  <c r="B456" i="13"/>
  <c r="Z456" i="13" s="1"/>
  <c r="A456" i="13"/>
  <c r="AC456" i="13" s="1"/>
  <c r="AQ455" i="13"/>
  <c r="P455" i="13"/>
  <c r="X455" i="13" s="1"/>
  <c r="O455" i="13"/>
  <c r="W455" i="13" s="1"/>
  <c r="N455" i="13"/>
  <c r="V455" i="13" s="1"/>
  <c r="M455" i="13"/>
  <c r="U455" i="13" s="1"/>
  <c r="L455" i="13"/>
  <c r="T455" i="13" s="1"/>
  <c r="K455" i="13"/>
  <c r="S455" i="13" s="1"/>
  <c r="J455" i="13"/>
  <c r="R455" i="13" s="1"/>
  <c r="I455" i="13"/>
  <c r="Q455" i="13" s="1"/>
  <c r="H455" i="13"/>
  <c r="G455" i="13"/>
  <c r="F455" i="13"/>
  <c r="E455" i="13"/>
  <c r="BA455" i="13" s="1"/>
  <c r="C455" i="13"/>
  <c r="AG455" i="13" s="1"/>
  <c r="B455" i="13"/>
  <c r="Z455" i="13" s="1"/>
  <c r="A455" i="13"/>
  <c r="AC455" i="13" s="1"/>
  <c r="AQ454" i="13"/>
  <c r="P454" i="13"/>
  <c r="X454" i="13" s="1"/>
  <c r="O454" i="13"/>
  <c r="W454" i="13" s="1"/>
  <c r="N454" i="13"/>
  <c r="V454" i="13" s="1"/>
  <c r="M454" i="13"/>
  <c r="U454" i="13" s="1"/>
  <c r="L454" i="13"/>
  <c r="T454" i="13" s="1"/>
  <c r="K454" i="13"/>
  <c r="S454" i="13" s="1"/>
  <c r="J454" i="13"/>
  <c r="R454" i="13" s="1"/>
  <c r="I454" i="13"/>
  <c r="Q454" i="13" s="1"/>
  <c r="H454" i="13"/>
  <c r="G454" i="13"/>
  <c r="F454" i="13"/>
  <c r="E454" i="13"/>
  <c r="BA454" i="13" s="1"/>
  <c r="C454" i="13"/>
  <c r="AG454" i="13" s="1"/>
  <c r="B454" i="13"/>
  <c r="Z454" i="13" s="1"/>
  <c r="A454" i="13"/>
  <c r="AU454" i="13" s="1"/>
  <c r="AQ453" i="13"/>
  <c r="P453" i="13"/>
  <c r="X453" i="13" s="1"/>
  <c r="O453" i="13"/>
  <c r="W453" i="13" s="1"/>
  <c r="N453" i="13"/>
  <c r="V453" i="13" s="1"/>
  <c r="M453" i="13"/>
  <c r="U453" i="13" s="1"/>
  <c r="L453" i="13"/>
  <c r="T453" i="13" s="1"/>
  <c r="K453" i="13"/>
  <c r="S453" i="13" s="1"/>
  <c r="J453" i="13"/>
  <c r="R453" i="13" s="1"/>
  <c r="I453" i="13"/>
  <c r="Q453" i="13" s="1"/>
  <c r="H453" i="13"/>
  <c r="G453" i="13"/>
  <c r="F453" i="13"/>
  <c r="E453" i="13"/>
  <c r="BA453" i="13" s="1"/>
  <c r="C453" i="13"/>
  <c r="AG453" i="13" s="1"/>
  <c r="B453" i="13"/>
  <c r="Z453" i="13" s="1"/>
  <c r="A453" i="13"/>
  <c r="AC453" i="13" s="1"/>
  <c r="AQ452" i="13"/>
  <c r="AG452" i="13"/>
  <c r="AK452" i="13" s="1"/>
  <c r="P452" i="13"/>
  <c r="X452" i="13" s="1"/>
  <c r="O452" i="13"/>
  <c r="W452" i="13" s="1"/>
  <c r="N452" i="13"/>
  <c r="V452" i="13" s="1"/>
  <c r="M452" i="13"/>
  <c r="U452" i="13" s="1"/>
  <c r="L452" i="13"/>
  <c r="T452" i="13" s="1"/>
  <c r="K452" i="13"/>
  <c r="S452" i="13" s="1"/>
  <c r="J452" i="13"/>
  <c r="R452" i="13" s="1"/>
  <c r="I452" i="13"/>
  <c r="Q452" i="13" s="1"/>
  <c r="H452" i="13"/>
  <c r="G452" i="13"/>
  <c r="F452" i="13"/>
  <c r="E452" i="13"/>
  <c r="BA452" i="13" s="1"/>
  <c r="C452" i="13"/>
  <c r="B452" i="13"/>
  <c r="Z452" i="13" s="1"/>
  <c r="A452" i="13"/>
  <c r="AC452" i="13" s="1"/>
  <c r="BB451" i="13"/>
  <c r="AQ451" i="13"/>
  <c r="P451" i="13"/>
  <c r="X451" i="13" s="1"/>
  <c r="O451" i="13"/>
  <c r="W451" i="13" s="1"/>
  <c r="N451" i="13"/>
  <c r="V451" i="13" s="1"/>
  <c r="M451" i="13"/>
  <c r="U451" i="13" s="1"/>
  <c r="L451" i="13"/>
  <c r="T451" i="13" s="1"/>
  <c r="K451" i="13"/>
  <c r="S451" i="13" s="1"/>
  <c r="J451" i="13"/>
  <c r="R451" i="13" s="1"/>
  <c r="I451" i="13"/>
  <c r="Q451" i="13" s="1"/>
  <c r="H451" i="13"/>
  <c r="G451" i="13"/>
  <c r="F451" i="13"/>
  <c r="E451" i="13"/>
  <c r="BA451" i="13" s="1"/>
  <c r="C451" i="13"/>
  <c r="AG451" i="13" s="1"/>
  <c r="B451" i="13"/>
  <c r="Z451" i="13" s="1"/>
  <c r="A451" i="13"/>
  <c r="AC451" i="13" s="1"/>
  <c r="AQ450" i="13"/>
  <c r="P450" i="13"/>
  <c r="X450" i="13" s="1"/>
  <c r="O450" i="13"/>
  <c r="W450" i="13" s="1"/>
  <c r="N450" i="13"/>
  <c r="V450" i="13" s="1"/>
  <c r="M450" i="13"/>
  <c r="U450" i="13" s="1"/>
  <c r="L450" i="13"/>
  <c r="T450" i="13" s="1"/>
  <c r="K450" i="13"/>
  <c r="S450" i="13" s="1"/>
  <c r="J450" i="13"/>
  <c r="R450" i="13" s="1"/>
  <c r="I450" i="13"/>
  <c r="Q450" i="13" s="1"/>
  <c r="H450" i="13"/>
  <c r="G450" i="13"/>
  <c r="F450" i="13"/>
  <c r="E450" i="13"/>
  <c r="BA450" i="13" s="1"/>
  <c r="C450" i="13"/>
  <c r="AG450" i="13" s="1"/>
  <c r="B450" i="13"/>
  <c r="Z450" i="13" s="1"/>
  <c r="A450" i="13"/>
  <c r="AU450" i="13" s="1"/>
  <c r="AQ449" i="13"/>
  <c r="P449" i="13"/>
  <c r="X449" i="13" s="1"/>
  <c r="O449" i="13"/>
  <c r="W449" i="13" s="1"/>
  <c r="N449" i="13"/>
  <c r="V449" i="13" s="1"/>
  <c r="M449" i="13"/>
  <c r="U449" i="13" s="1"/>
  <c r="L449" i="13"/>
  <c r="T449" i="13" s="1"/>
  <c r="K449" i="13"/>
  <c r="S449" i="13" s="1"/>
  <c r="J449" i="13"/>
  <c r="R449" i="13" s="1"/>
  <c r="I449" i="13"/>
  <c r="Q449" i="13" s="1"/>
  <c r="H449" i="13"/>
  <c r="G449" i="13"/>
  <c r="F449" i="13"/>
  <c r="E449" i="13"/>
  <c r="BA449" i="13" s="1"/>
  <c r="C449" i="13"/>
  <c r="AG449" i="13" s="1"/>
  <c r="B449" i="13"/>
  <c r="A449" i="13"/>
  <c r="AC449" i="13" s="1"/>
  <c r="AQ448" i="13"/>
  <c r="P448" i="13"/>
  <c r="X448" i="13" s="1"/>
  <c r="O448" i="13"/>
  <c r="W448" i="13" s="1"/>
  <c r="N448" i="13"/>
  <c r="V448" i="13" s="1"/>
  <c r="M448" i="13"/>
  <c r="U448" i="13" s="1"/>
  <c r="L448" i="13"/>
  <c r="T448" i="13" s="1"/>
  <c r="K448" i="13"/>
  <c r="S448" i="13" s="1"/>
  <c r="J448" i="13"/>
  <c r="R448" i="13" s="1"/>
  <c r="I448" i="13"/>
  <c r="Q448" i="13" s="1"/>
  <c r="H448" i="13"/>
  <c r="G448" i="13"/>
  <c r="F448" i="13"/>
  <c r="E448" i="13"/>
  <c r="BA448" i="13" s="1"/>
  <c r="C448" i="13"/>
  <c r="AG448" i="13" s="1"/>
  <c r="B448" i="13"/>
  <c r="Z448" i="13" s="1"/>
  <c r="A448" i="13"/>
  <c r="AC448" i="13" s="1"/>
  <c r="AQ447" i="13"/>
  <c r="P447" i="13"/>
  <c r="X447" i="13" s="1"/>
  <c r="O447" i="13"/>
  <c r="W447" i="13" s="1"/>
  <c r="N447" i="13"/>
  <c r="V447" i="13" s="1"/>
  <c r="M447" i="13"/>
  <c r="U447" i="13" s="1"/>
  <c r="L447" i="13"/>
  <c r="T447" i="13" s="1"/>
  <c r="K447" i="13"/>
  <c r="S447" i="13" s="1"/>
  <c r="J447" i="13"/>
  <c r="R447" i="13" s="1"/>
  <c r="I447" i="13"/>
  <c r="Q447" i="13" s="1"/>
  <c r="H447" i="13"/>
  <c r="G447" i="13"/>
  <c r="F447" i="13"/>
  <c r="E447" i="13"/>
  <c r="BA447" i="13" s="1"/>
  <c r="C447" i="13"/>
  <c r="AG447" i="13" s="1"/>
  <c r="B447" i="13"/>
  <c r="Z447" i="13" s="1"/>
  <c r="A447" i="13"/>
  <c r="AC447" i="13" s="1"/>
  <c r="AQ446" i="13"/>
  <c r="P446" i="13"/>
  <c r="X446" i="13" s="1"/>
  <c r="O446" i="13"/>
  <c r="W446" i="13" s="1"/>
  <c r="N446" i="13"/>
  <c r="V446" i="13" s="1"/>
  <c r="M446" i="13"/>
  <c r="U446" i="13" s="1"/>
  <c r="L446" i="13"/>
  <c r="T446" i="13" s="1"/>
  <c r="K446" i="13"/>
  <c r="S446" i="13" s="1"/>
  <c r="J446" i="13"/>
  <c r="R446" i="13" s="1"/>
  <c r="I446" i="13"/>
  <c r="Q446" i="13" s="1"/>
  <c r="H446" i="13"/>
  <c r="G446" i="13"/>
  <c r="F446" i="13"/>
  <c r="E446" i="13"/>
  <c r="BA446" i="13" s="1"/>
  <c r="C446" i="13"/>
  <c r="AG446" i="13" s="1"/>
  <c r="B446" i="13"/>
  <c r="Z446" i="13" s="1"/>
  <c r="A446" i="13"/>
  <c r="AU446" i="13" s="1"/>
  <c r="AQ445" i="13"/>
  <c r="P445" i="13"/>
  <c r="X445" i="13" s="1"/>
  <c r="O445" i="13"/>
  <c r="W445" i="13" s="1"/>
  <c r="N445" i="13"/>
  <c r="V445" i="13" s="1"/>
  <c r="M445" i="13"/>
  <c r="U445" i="13" s="1"/>
  <c r="L445" i="13"/>
  <c r="T445" i="13" s="1"/>
  <c r="K445" i="13"/>
  <c r="S445" i="13" s="1"/>
  <c r="J445" i="13"/>
  <c r="R445" i="13" s="1"/>
  <c r="I445" i="13"/>
  <c r="Q445" i="13" s="1"/>
  <c r="H445" i="13"/>
  <c r="G445" i="13"/>
  <c r="F445" i="13"/>
  <c r="E445" i="13"/>
  <c r="BA445" i="13" s="1"/>
  <c r="C445" i="13"/>
  <c r="AG445" i="13" s="1"/>
  <c r="AN445" i="13" s="1"/>
  <c r="B445" i="13"/>
  <c r="A445" i="13"/>
  <c r="AC445" i="13" s="1"/>
  <c r="AQ444" i="13"/>
  <c r="P444" i="13"/>
  <c r="X444" i="13" s="1"/>
  <c r="O444" i="13"/>
  <c r="W444" i="13" s="1"/>
  <c r="N444" i="13"/>
  <c r="V444" i="13" s="1"/>
  <c r="M444" i="13"/>
  <c r="U444" i="13" s="1"/>
  <c r="L444" i="13"/>
  <c r="T444" i="13" s="1"/>
  <c r="K444" i="13"/>
  <c r="S444" i="13" s="1"/>
  <c r="J444" i="13"/>
  <c r="R444" i="13" s="1"/>
  <c r="I444" i="13"/>
  <c r="Q444" i="13" s="1"/>
  <c r="H444" i="13"/>
  <c r="G444" i="13"/>
  <c r="F444" i="13"/>
  <c r="E444" i="13"/>
  <c r="BA444" i="13" s="1"/>
  <c r="C444" i="13"/>
  <c r="AG444" i="13" s="1"/>
  <c r="B444" i="13"/>
  <c r="Z444" i="13" s="1"/>
  <c r="A444" i="13"/>
  <c r="AC444" i="13" s="1"/>
  <c r="AQ443" i="13"/>
  <c r="P443" i="13"/>
  <c r="X443" i="13" s="1"/>
  <c r="O443" i="13"/>
  <c r="W443" i="13" s="1"/>
  <c r="N443" i="13"/>
  <c r="V443" i="13" s="1"/>
  <c r="M443" i="13"/>
  <c r="U443" i="13" s="1"/>
  <c r="L443" i="13"/>
  <c r="T443" i="13" s="1"/>
  <c r="K443" i="13"/>
  <c r="S443" i="13" s="1"/>
  <c r="J443" i="13"/>
  <c r="R443" i="13" s="1"/>
  <c r="I443" i="13"/>
  <c r="Q443" i="13" s="1"/>
  <c r="H443" i="13"/>
  <c r="G443" i="13"/>
  <c r="F443" i="13"/>
  <c r="E443" i="13"/>
  <c r="BA443" i="13" s="1"/>
  <c r="C443" i="13"/>
  <c r="AG443" i="13" s="1"/>
  <c r="B443" i="13"/>
  <c r="Z443" i="13" s="1"/>
  <c r="A443" i="13"/>
  <c r="AC443" i="13" s="1"/>
  <c r="AQ442" i="13"/>
  <c r="P442" i="13"/>
  <c r="X442" i="13" s="1"/>
  <c r="O442" i="13"/>
  <c r="W442" i="13" s="1"/>
  <c r="N442" i="13"/>
  <c r="V442" i="13" s="1"/>
  <c r="M442" i="13"/>
  <c r="U442" i="13" s="1"/>
  <c r="L442" i="13"/>
  <c r="T442" i="13" s="1"/>
  <c r="K442" i="13"/>
  <c r="S442" i="13" s="1"/>
  <c r="J442" i="13"/>
  <c r="R442" i="13" s="1"/>
  <c r="I442" i="13"/>
  <c r="Q442" i="13" s="1"/>
  <c r="H442" i="13"/>
  <c r="G442" i="13"/>
  <c r="F442" i="13"/>
  <c r="E442" i="13"/>
  <c r="BA442" i="13" s="1"/>
  <c r="C442" i="13"/>
  <c r="AG442" i="13" s="1"/>
  <c r="B442" i="13"/>
  <c r="Z442" i="13" s="1"/>
  <c r="A442" i="13"/>
  <c r="AU442" i="13" s="1"/>
  <c r="AQ441" i="13"/>
  <c r="P441" i="13"/>
  <c r="X441" i="13" s="1"/>
  <c r="O441" i="13"/>
  <c r="W441" i="13" s="1"/>
  <c r="N441" i="13"/>
  <c r="V441" i="13" s="1"/>
  <c r="M441" i="13"/>
  <c r="U441" i="13" s="1"/>
  <c r="L441" i="13"/>
  <c r="T441" i="13" s="1"/>
  <c r="K441" i="13"/>
  <c r="S441" i="13" s="1"/>
  <c r="J441" i="13"/>
  <c r="R441" i="13" s="1"/>
  <c r="I441" i="13"/>
  <c r="Q441" i="13" s="1"/>
  <c r="H441" i="13"/>
  <c r="G441" i="13"/>
  <c r="F441" i="13"/>
  <c r="E441" i="13"/>
  <c r="BA441" i="13" s="1"/>
  <c r="C441" i="13"/>
  <c r="AG441" i="13" s="1"/>
  <c r="B441" i="13"/>
  <c r="Z441" i="13" s="1"/>
  <c r="A441" i="13"/>
  <c r="AU441" i="13" s="1"/>
  <c r="AQ440" i="13"/>
  <c r="P440" i="13"/>
  <c r="X440" i="13" s="1"/>
  <c r="O440" i="13"/>
  <c r="W440" i="13" s="1"/>
  <c r="N440" i="13"/>
  <c r="V440" i="13" s="1"/>
  <c r="M440" i="13"/>
  <c r="U440" i="13" s="1"/>
  <c r="L440" i="13"/>
  <c r="T440" i="13" s="1"/>
  <c r="K440" i="13"/>
  <c r="S440" i="13" s="1"/>
  <c r="J440" i="13"/>
  <c r="R440" i="13" s="1"/>
  <c r="I440" i="13"/>
  <c r="Q440" i="13" s="1"/>
  <c r="H440" i="13"/>
  <c r="G440" i="13"/>
  <c r="F440" i="13"/>
  <c r="E440" i="13"/>
  <c r="BA440" i="13" s="1"/>
  <c r="C440" i="13"/>
  <c r="AG440" i="13" s="1"/>
  <c r="AK440" i="13" s="1"/>
  <c r="B440" i="13"/>
  <c r="Z440" i="13" s="1"/>
  <c r="A440" i="13"/>
  <c r="AC440" i="13" s="1"/>
  <c r="AQ439" i="13"/>
  <c r="P439" i="13"/>
  <c r="X439" i="13" s="1"/>
  <c r="O439" i="13"/>
  <c r="W439" i="13" s="1"/>
  <c r="N439" i="13"/>
  <c r="V439" i="13" s="1"/>
  <c r="M439" i="13"/>
  <c r="U439" i="13" s="1"/>
  <c r="L439" i="13"/>
  <c r="T439" i="13" s="1"/>
  <c r="K439" i="13"/>
  <c r="S439" i="13" s="1"/>
  <c r="J439" i="13"/>
  <c r="R439" i="13" s="1"/>
  <c r="I439" i="13"/>
  <c r="Q439" i="13" s="1"/>
  <c r="H439" i="13"/>
  <c r="G439" i="13"/>
  <c r="F439" i="13"/>
  <c r="E439" i="13"/>
  <c r="BA439" i="13" s="1"/>
  <c r="C439" i="13"/>
  <c r="AG439" i="13" s="1"/>
  <c r="B439" i="13"/>
  <c r="Z439" i="13" s="1"/>
  <c r="A439" i="13"/>
  <c r="AC439" i="13" s="1"/>
  <c r="AQ438" i="13"/>
  <c r="P438" i="13"/>
  <c r="X438" i="13" s="1"/>
  <c r="O438" i="13"/>
  <c r="W438" i="13" s="1"/>
  <c r="N438" i="13"/>
  <c r="V438" i="13" s="1"/>
  <c r="M438" i="13"/>
  <c r="U438" i="13" s="1"/>
  <c r="L438" i="13"/>
  <c r="T438" i="13" s="1"/>
  <c r="K438" i="13"/>
  <c r="S438" i="13" s="1"/>
  <c r="J438" i="13"/>
  <c r="R438" i="13" s="1"/>
  <c r="I438" i="13"/>
  <c r="Q438" i="13" s="1"/>
  <c r="H438" i="13"/>
  <c r="G438" i="13"/>
  <c r="F438" i="13"/>
  <c r="E438" i="13"/>
  <c r="BA438" i="13" s="1"/>
  <c r="C438" i="13"/>
  <c r="AG438" i="13" s="1"/>
  <c r="B438" i="13"/>
  <c r="Z438" i="13" s="1"/>
  <c r="A438" i="13"/>
  <c r="AQ437" i="13"/>
  <c r="P437" i="13"/>
  <c r="X437" i="13" s="1"/>
  <c r="O437" i="13"/>
  <c r="W437" i="13" s="1"/>
  <c r="N437" i="13"/>
  <c r="V437" i="13" s="1"/>
  <c r="M437" i="13"/>
  <c r="U437" i="13" s="1"/>
  <c r="L437" i="13"/>
  <c r="T437" i="13" s="1"/>
  <c r="K437" i="13"/>
  <c r="S437" i="13" s="1"/>
  <c r="J437" i="13"/>
  <c r="R437" i="13" s="1"/>
  <c r="I437" i="13"/>
  <c r="Q437" i="13" s="1"/>
  <c r="H437" i="13"/>
  <c r="G437" i="13"/>
  <c r="F437" i="13"/>
  <c r="E437" i="13"/>
  <c r="BA437" i="13" s="1"/>
  <c r="C437" i="13"/>
  <c r="AG437" i="13" s="1"/>
  <c r="B437" i="13"/>
  <c r="Z437" i="13" s="1"/>
  <c r="A437" i="13"/>
  <c r="AC437" i="13" s="1"/>
  <c r="AQ436" i="13"/>
  <c r="P436" i="13"/>
  <c r="X436" i="13" s="1"/>
  <c r="O436" i="13"/>
  <c r="W436" i="13" s="1"/>
  <c r="N436" i="13"/>
  <c r="V436" i="13" s="1"/>
  <c r="M436" i="13"/>
  <c r="U436" i="13" s="1"/>
  <c r="L436" i="13"/>
  <c r="T436" i="13" s="1"/>
  <c r="K436" i="13"/>
  <c r="S436" i="13" s="1"/>
  <c r="J436" i="13"/>
  <c r="R436" i="13" s="1"/>
  <c r="I436" i="13"/>
  <c r="Q436" i="13" s="1"/>
  <c r="H436" i="13"/>
  <c r="G436" i="13"/>
  <c r="F436" i="13"/>
  <c r="E436" i="13"/>
  <c r="BA436" i="13" s="1"/>
  <c r="C436" i="13"/>
  <c r="AG436" i="13" s="1"/>
  <c r="B436" i="13"/>
  <c r="Z436" i="13" s="1"/>
  <c r="A436" i="13"/>
  <c r="AC436" i="13" s="1"/>
  <c r="AQ435" i="13"/>
  <c r="P435" i="13"/>
  <c r="X435" i="13" s="1"/>
  <c r="O435" i="13"/>
  <c r="W435" i="13" s="1"/>
  <c r="N435" i="13"/>
  <c r="V435" i="13" s="1"/>
  <c r="M435" i="13"/>
  <c r="U435" i="13" s="1"/>
  <c r="L435" i="13"/>
  <c r="T435" i="13" s="1"/>
  <c r="K435" i="13"/>
  <c r="S435" i="13" s="1"/>
  <c r="J435" i="13"/>
  <c r="R435" i="13" s="1"/>
  <c r="I435" i="13"/>
  <c r="Q435" i="13" s="1"/>
  <c r="H435" i="13"/>
  <c r="G435" i="13"/>
  <c r="F435" i="13"/>
  <c r="E435" i="13"/>
  <c r="C435" i="13"/>
  <c r="AG435" i="13" s="1"/>
  <c r="B435" i="13"/>
  <c r="Z435" i="13" s="1"/>
  <c r="A435" i="13"/>
  <c r="AQ434" i="13"/>
  <c r="P434" i="13"/>
  <c r="X434" i="13" s="1"/>
  <c r="O434" i="13"/>
  <c r="W434" i="13" s="1"/>
  <c r="N434" i="13"/>
  <c r="V434" i="13" s="1"/>
  <c r="M434" i="13"/>
  <c r="U434" i="13" s="1"/>
  <c r="L434" i="13"/>
  <c r="T434" i="13" s="1"/>
  <c r="K434" i="13"/>
  <c r="S434" i="13" s="1"/>
  <c r="J434" i="13"/>
  <c r="R434" i="13" s="1"/>
  <c r="I434" i="13"/>
  <c r="Q434" i="13" s="1"/>
  <c r="H434" i="13"/>
  <c r="G434" i="13"/>
  <c r="F434" i="13"/>
  <c r="E434" i="13"/>
  <c r="BA434" i="13" s="1"/>
  <c r="C434" i="13"/>
  <c r="AG434" i="13" s="1"/>
  <c r="B434" i="13"/>
  <c r="Z434" i="13" s="1"/>
  <c r="A434" i="13"/>
  <c r="AR433" i="13"/>
  <c r="AQ433" i="13"/>
  <c r="P433" i="13"/>
  <c r="X433" i="13" s="1"/>
  <c r="O433" i="13"/>
  <c r="W433" i="13" s="1"/>
  <c r="N433" i="13"/>
  <c r="V433" i="13" s="1"/>
  <c r="M433" i="13"/>
  <c r="U433" i="13" s="1"/>
  <c r="L433" i="13"/>
  <c r="T433" i="13" s="1"/>
  <c r="K433" i="13"/>
  <c r="S433" i="13" s="1"/>
  <c r="J433" i="13"/>
  <c r="R433" i="13" s="1"/>
  <c r="I433" i="13"/>
  <c r="Q433" i="13" s="1"/>
  <c r="H433" i="13"/>
  <c r="G433" i="13"/>
  <c r="F433" i="13"/>
  <c r="E433" i="13"/>
  <c r="C433" i="13"/>
  <c r="AG433" i="13" s="1"/>
  <c r="B433" i="13"/>
  <c r="Z433" i="13" s="1"/>
  <c r="A433" i="13"/>
  <c r="AC433" i="13" s="1"/>
  <c r="AQ432" i="13"/>
  <c r="P432" i="13"/>
  <c r="X432" i="13" s="1"/>
  <c r="O432" i="13"/>
  <c r="W432" i="13" s="1"/>
  <c r="N432" i="13"/>
  <c r="V432" i="13" s="1"/>
  <c r="M432" i="13"/>
  <c r="U432" i="13" s="1"/>
  <c r="L432" i="13"/>
  <c r="T432" i="13" s="1"/>
  <c r="K432" i="13"/>
  <c r="S432" i="13" s="1"/>
  <c r="J432" i="13"/>
  <c r="R432" i="13" s="1"/>
  <c r="I432" i="13"/>
  <c r="Q432" i="13" s="1"/>
  <c r="H432" i="13"/>
  <c r="G432" i="13"/>
  <c r="F432" i="13"/>
  <c r="E432" i="13"/>
  <c r="C432" i="13"/>
  <c r="AG432" i="13" s="1"/>
  <c r="AK432" i="13" s="1"/>
  <c r="B432" i="13"/>
  <c r="Z432" i="13" s="1"/>
  <c r="A432" i="13"/>
  <c r="AC432" i="13" s="1"/>
  <c r="AQ431" i="13"/>
  <c r="P431" i="13"/>
  <c r="X431" i="13" s="1"/>
  <c r="O431" i="13"/>
  <c r="W431" i="13" s="1"/>
  <c r="N431" i="13"/>
  <c r="V431" i="13" s="1"/>
  <c r="M431" i="13"/>
  <c r="U431" i="13" s="1"/>
  <c r="L431" i="13"/>
  <c r="T431" i="13" s="1"/>
  <c r="K431" i="13"/>
  <c r="S431" i="13" s="1"/>
  <c r="J431" i="13"/>
  <c r="R431" i="13" s="1"/>
  <c r="I431" i="13"/>
  <c r="Q431" i="13" s="1"/>
  <c r="H431" i="13"/>
  <c r="G431" i="13"/>
  <c r="F431" i="13"/>
  <c r="E431" i="13"/>
  <c r="BA431" i="13" s="1"/>
  <c r="C431" i="13"/>
  <c r="AG431" i="13" s="1"/>
  <c r="B431" i="13"/>
  <c r="Z431" i="13" s="1"/>
  <c r="A431" i="13"/>
  <c r="AC431" i="13" s="1"/>
  <c r="AQ430" i="13"/>
  <c r="P430" i="13"/>
  <c r="X430" i="13" s="1"/>
  <c r="O430" i="13"/>
  <c r="W430" i="13" s="1"/>
  <c r="N430" i="13"/>
  <c r="V430" i="13" s="1"/>
  <c r="M430" i="13"/>
  <c r="U430" i="13" s="1"/>
  <c r="L430" i="13"/>
  <c r="T430" i="13" s="1"/>
  <c r="K430" i="13"/>
  <c r="S430" i="13" s="1"/>
  <c r="J430" i="13"/>
  <c r="R430" i="13" s="1"/>
  <c r="I430" i="13"/>
  <c r="Q430" i="13" s="1"/>
  <c r="H430" i="13"/>
  <c r="G430" i="13"/>
  <c r="F430" i="13"/>
  <c r="E430" i="13"/>
  <c r="BA430" i="13" s="1"/>
  <c r="C430" i="13"/>
  <c r="AG430" i="13" s="1"/>
  <c r="B430" i="13"/>
  <c r="Z430" i="13" s="1"/>
  <c r="A430" i="13"/>
  <c r="AR429" i="13"/>
  <c r="AQ429" i="13"/>
  <c r="P429" i="13"/>
  <c r="X429" i="13" s="1"/>
  <c r="O429" i="13"/>
  <c r="W429" i="13" s="1"/>
  <c r="N429" i="13"/>
  <c r="V429" i="13" s="1"/>
  <c r="M429" i="13"/>
  <c r="U429" i="13" s="1"/>
  <c r="L429" i="13"/>
  <c r="T429" i="13" s="1"/>
  <c r="K429" i="13"/>
  <c r="S429" i="13" s="1"/>
  <c r="J429" i="13"/>
  <c r="R429" i="13" s="1"/>
  <c r="I429" i="13"/>
  <c r="Q429" i="13" s="1"/>
  <c r="H429" i="13"/>
  <c r="G429" i="13"/>
  <c r="F429" i="13"/>
  <c r="E429" i="13"/>
  <c r="BA429" i="13" s="1"/>
  <c r="C429" i="13"/>
  <c r="AG429" i="13" s="1"/>
  <c r="B429" i="13"/>
  <c r="Z429" i="13" s="1"/>
  <c r="A429" i="13"/>
  <c r="AC429" i="13" s="1"/>
  <c r="AQ428" i="13"/>
  <c r="V428" i="13"/>
  <c r="P428" i="13"/>
  <c r="X428" i="13" s="1"/>
  <c r="O428" i="13"/>
  <c r="W428" i="13" s="1"/>
  <c r="N428" i="13"/>
  <c r="M428" i="13"/>
  <c r="U428" i="13" s="1"/>
  <c r="L428" i="13"/>
  <c r="T428" i="13" s="1"/>
  <c r="K428" i="13"/>
  <c r="S428" i="13" s="1"/>
  <c r="J428" i="13"/>
  <c r="R428" i="13" s="1"/>
  <c r="I428" i="13"/>
  <c r="Q428" i="13" s="1"/>
  <c r="H428" i="13"/>
  <c r="G428" i="13"/>
  <c r="F428" i="13"/>
  <c r="E428" i="13"/>
  <c r="BA428" i="13" s="1"/>
  <c r="C428" i="13"/>
  <c r="AG428" i="13" s="1"/>
  <c r="AL428" i="13" s="1"/>
  <c r="B428" i="13"/>
  <c r="Z428" i="13" s="1"/>
  <c r="A428" i="13"/>
  <c r="AC428" i="13" s="1"/>
  <c r="AQ427" i="13"/>
  <c r="P427" i="13"/>
  <c r="X427" i="13" s="1"/>
  <c r="O427" i="13"/>
  <c r="W427" i="13" s="1"/>
  <c r="N427" i="13"/>
  <c r="V427" i="13" s="1"/>
  <c r="M427" i="13"/>
  <c r="U427" i="13" s="1"/>
  <c r="L427" i="13"/>
  <c r="T427" i="13" s="1"/>
  <c r="K427" i="13"/>
  <c r="S427" i="13" s="1"/>
  <c r="J427" i="13"/>
  <c r="R427" i="13" s="1"/>
  <c r="I427" i="13"/>
  <c r="Q427" i="13" s="1"/>
  <c r="H427" i="13"/>
  <c r="G427" i="13"/>
  <c r="F427" i="13"/>
  <c r="E427" i="13"/>
  <c r="BA427" i="13" s="1"/>
  <c r="C427" i="13"/>
  <c r="AG427" i="13" s="1"/>
  <c r="B427" i="13"/>
  <c r="Z427" i="13" s="1"/>
  <c r="A427" i="13"/>
  <c r="AC427" i="13" s="1"/>
  <c r="AQ426" i="13"/>
  <c r="P426" i="13"/>
  <c r="X426" i="13" s="1"/>
  <c r="O426" i="13"/>
  <c r="W426" i="13" s="1"/>
  <c r="N426" i="13"/>
  <c r="V426" i="13" s="1"/>
  <c r="M426" i="13"/>
  <c r="U426" i="13" s="1"/>
  <c r="L426" i="13"/>
  <c r="T426" i="13" s="1"/>
  <c r="K426" i="13"/>
  <c r="S426" i="13" s="1"/>
  <c r="J426" i="13"/>
  <c r="R426" i="13" s="1"/>
  <c r="I426" i="13"/>
  <c r="Q426" i="13" s="1"/>
  <c r="H426" i="13"/>
  <c r="G426" i="13"/>
  <c r="F426" i="13"/>
  <c r="E426" i="13"/>
  <c r="C426" i="13"/>
  <c r="AG426" i="13" s="1"/>
  <c r="B426" i="13"/>
  <c r="Z426" i="13" s="1"/>
  <c r="A426" i="13"/>
  <c r="AQ425" i="13"/>
  <c r="P425" i="13"/>
  <c r="X425" i="13" s="1"/>
  <c r="O425" i="13"/>
  <c r="W425" i="13" s="1"/>
  <c r="N425" i="13"/>
  <c r="V425" i="13" s="1"/>
  <c r="M425" i="13"/>
  <c r="U425" i="13" s="1"/>
  <c r="L425" i="13"/>
  <c r="T425" i="13" s="1"/>
  <c r="K425" i="13"/>
  <c r="S425" i="13" s="1"/>
  <c r="J425" i="13"/>
  <c r="R425" i="13" s="1"/>
  <c r="I425" i="13"/>
  <c r="Q425" i="13" s="1"/>
  <c r="H425" i="13"/>
  <c r="G425" i="13"/>
  <c r="F425" i="13"/>
  <c r="E425" i="13"/>
  <c r="C425" i="13"/>
  <c r="AG425" i="13" s="1"/>
  <c r="B425" i="13"/>
  <c r="A425" i="13"/>
  <c r="AC425" i="13" s="1"/>
  <c r="AQ424" i="13"/>
  <c r="P424" i="13"/>
  <c r="X424" i="13" s="1"/>
  <c r="O424" i="13"/>
  <c r="W424" i="13" s="1"/>
  <c r="N424" i="13"/>
  <c r="V424" i="13" s="1"/>
  <c r="M424" i="13"/>
  <c r="U424" i="13" s="1"/>
  <c r="L424" i="13"/>
  <c r="T424" i="13" s="1"/>
  <c r="K424" i="13"/>
  <c r="S424" i="13" s="1"/>
  <c r="J424" i="13"/>
  <c r="R424" i="13" s="1"/>
  <c r="I424" i="13"/>
  <c r="Q424" i="13" s="1"/>
  <c r="H424" i="13"/>
  <c r="G424" i="13"/>
  <c r="F424" i="13"/>
  <c r="E424" i="13"/>
  <c r="BA424" i="13" s="1"/>
  <c r="C424" i="13"/>
  <c r="AG424" i="13" s="1"/>
  <c r="AK424" i="13" s="1"/>
  <c r="B424" i="13"/>
  <c r="Z424" i="13" s="1"/>
  <c r="A424" i="13"/>
  <c r="AC424" i="13" s="1"/>
  <c r="AQ423" i="13"/>
  <c r="P423" i="13"/>
  <c r="X423" i="13" s="1"/>
  <c r="O423" i="13"/>
  <c r="W423" i="13" s="1"/>
  <c r="N423" i="13"/>
  <c r="V423" i="13" s="1"/>
  <c r="M423" i="13"/>
  <c r="U423" i="13" s="1"/>
  <c r="L423" i="13"/>
  <c r="T423" i="13" s="1"/>
  <c r="K423" i="13"/>
  <c r="S423" i="13" s="1"/>
  <c r="J423" i="13"/>
  <c r="R423" i="13" s="1"/>
  <c r="I423" i="13"/>
  <c r="Q423" i="13" s="1"/>
  <c r="H423" i="13"/>
  <c r="G423" i="13"/>
  <c r="F423" i="13"/>
  <c r="E423" i="13"/>
  <c r="BA423" i="13" s="1"/>
  <c r="C423" i="13"/>
  <c r="AG423" i="13" s="1"/>
  <c r="B423" i="13"/>
  <c r="Z423" i="13" s="1"/>
  <c r="A423" i="13"/>
  <c r="AC423" i="13" s="1"/>
  <c r="BB422" i="13"/>
  <c r="AQ422" i="13"/>
  <c r="P422" i="13"/>
  <c r="X422" i="13" s="1"/>
  <c r="O422" i="13"/>
  <c r="W422" i="13" s="1"/>
  <c r="N422" i="13"/>
  <c r="V422" i="13" s="1"/>
  <c r="M422" i="13"/>
  <c r="U422" i="13" s="1"/>
  <c r="L422" i="13"/>
  <c r="T422" i="13" s="1"/>
  <c r="K422" i="13"/>
  <c r="S422" i="13" s="1"/>
  <c r="J422" i="13"/>
  <c r="R422" i="13" s="1"/>
  <c r="I422" i="13"/>
  <c r="Q422" i="13" s="1"/>
  <c r="H422" i="13"/>
  <c r="G422" i="13"/>
  <c r="F422" i="13"/>
  <c r="E422" i="13"/>
  <c r="BA422" i="13" s="1"/>
  <c r="C422" i="13"/>
  <c r="AG422" i="13" s="1"/>
  <c r="B422" i="13"/>
  <c r="Z422" i="13" s="1"/>
  <c r="A422" i="13"/>
  <c r="AU422" i="13" s="1"/>
  <c r="AQ421" i="13"/>
  <c r="P421" i="13"/>
  <c r="X421" i="13" s="1"/>
  <c r="O421" i="13"/>
  <c r="W421" i="13" s="1"/>
  <c r="N421" i="13"/>
  <c r="V421" i="13" s="1"/>
  <c r="M421" i="13"/>
  <c r="U421" i="13" s="1"/>
  <c r="L421" i="13"/>
  <c r="T421" i="13" s="1"/>
  <c r="K421" i="13"/>
  <c r="S421" i="13" s="1"/>
  <c r="J421" i="13"/>
  <c r="R421" i="13" s="1"/>
  <c r="I421" i="13"/>
  <c r="Q421" i="13" s="1"/>
  <c r="H421" i="13"/>
  <c r="G421" i="13"/>
  <c r="F421" i="13"/>
  <c r="E421" i="13"/>
  <c r="C421" i="13"/>
  <c r="AG421" i="13" s="1"/>
  <c r="AH421" i="13" s="1"/>
  <c r="B421" i="13"/>
  <c r="Z421" i="13" s="1"/>
  <c r="A421" i="13"/>
  <c r="AQ420" i="13"/>
  <c r="P420" i="13"/>
  <c r="X420" i="13" s="1"/>
  <c r="O420" i="13"/>
  <c r="W420" i="13" s="1"/>
  <c r="N420" i="13"/>
  <c r="V420" i="13" s="1"/>
  <c r="M420" i="13"/>
  <c r="U420" i="13" s="1"/>
  <c r="L420" i="13"/>
  <c r="T420" i="13" s="1"/>
  <c r="K420" i="13"/>
  <c r="S420" i="13" s="1"/>
  <c r="J420" i="13"/>
  <c r="R420" i="13" s="1"/>
  <c r="I420" i="13"/>
  <c r="Q420" i="13" s="1"/>
  <c r="H420" i="13"/>
  <c r="G420" i="13"/>
  <c r="F420" i="13"/>
  <c r="E420" i="13"/>
  <c r="BA420" i="13" s="1"/>
  <c r="C420" i="13"/>
  <c r="AG420" i="13" s="1"/>
  <c r="AK420" i="13" s="1"/>
  <c r="B420" i="13"/>
  <c r="Z420" i="13" s="1"/>
  <c r="A420" i="13"/>
  <c r="AC420" i="13" s="1"/>
  <c r="AQ419" i="13"/>
  <c r="P419" i="13"/>
  <c r="X419" i="13" s="1"/>
  <c r="O419" i="13"/>
  <c r="W419" i="13" s="1"/>
  <c r="N419" i="13"/>
  <c r="V419" i="13" s="1"/>
  <c r="M419" i="13"/>
  <c r="U419" i="13" s="1"/>
  <c r="L419" i="13"/>
  <c r="T419" i="13" s="1"/>
  <c r="K419" i="13"/>
  <c r="S419" i="13" s="1"/>
  <c r="J419" i="13"/>
  <c r="R419" i="13" s="1"/>
  <c r="I419" i="13"/>
  <c r="Q419" i="13" s="1"/>
  <c r="H419" i="13"/>
  <c r="G419" i="13"/>
  <c r="F419" i="13"/>
  <c r="E419" i="13"/>
  <c r="BA419" i="13" s="1"/>
  <c r="C419" i="13"/>
  <c r="AG419" i="13" s="1"/>
  <c r="B419" i="13"/>
  <c r="Z419" i="13" s="1"/>
  <c r="A419" i="13"/>
  <c r="AQ418" i="13"/>
  <c r="P418" i="13"/>
  <c r="X418" i="13" s="1"/>
  <c r="O418" i="13"/>
  <c r="W418" i="13" s="1"/>
  <c r="N418" i="13"/>
  <c r="V418" i="13" s="1"/>
  <c r="M418" i="13"/>
  <c r="U418" i="13" s="1"/>
  <c r="L418" i="13"/>
  <c r="T418" i="13" s="1"/>
  <c r="K418" i="13"/>
  <c r="S418" i="13" s="1"/>
  <c r="J418" i="13"/>
  <c r="R418" i="13" s="1"/>
  <c r="I418" i="13"/>
  <c r="Q418" i="13" s="1"/>
  <c r="H418" i="13"/>
  <c r="G418" i="13"/>
  <c r="F418" i="13"/>
  <c r="E418" i="13"/>
  <c r="C418" i="13"/>
  <c r="AG418" i="13" s="1"/>
  <c r="B418" i="13"/>
  <c r="Z418" i="13" s="1"/>
  <c r="A418" i="13"/>
  <c r="AQ417" i="13"/>
  <c r="P417" i="13"/>
  <c r="X417" i="13" s="1"/>
  <c r="O417" i="13"/>
  <c r="W417" i="13" s="1"/>
  <c r="N417" i="13"/>
  <c r="V417" i="13" s="1"/>
  <c r="M417" i="13"/>
  <c r="U417" i="13" s="1"/>
  <c r="L417" i="13"/>
  <c r="T417" i="13" s="1"/>
  <c r="K417" i="13"/>
  <c r="S417" i="13" s="1"/>
  <c r="J417" i="13"/>
  <c r="R417" i="13" s="1"/>
  <c r="I417" i="13"/>
  <c r="Q417" i="13" s="1"/>
  <c r="H417" i="13"/>
  <c r="G417" i="13"/>
  <c r="F417" i="13"/>
  <c r="E417" i="13"/>
  <c r="C417" i="13"/>
  <c r="AG417" i="13" s="1"/>
  <c r="AJ417" i="13" s="1"/>
  <c r="B417" i="13"/>
  <c r="A417" i="13"/>
  <c r="AQ416" i="13"/>
  <c r="P416" i="13"/>
  <c r="X416" i="13" s="1"/>
  <c r="O416" i="13"/>
  <c r="W416" i="13" s="1"/>
  <c r="N416" i="13"/>
  <c r="V416" i="13" s="1"/>
  <c r="M416" i="13"/>
  <c r="U416" i="13" s="1"/>
  <c r="L416" i="13"/>
  <c r="T416" i="13" s="1"/>
  <c r="K416" i="13"/>
  <c r="S416" i="13" s="1"/>
  <c r="J416" i="13"/>
  <c r="R416" i="13" s="1"/>
  <c r="I416" i="13"/>
  <c r="Q416" i="13" s="1"/>
  <c r="H416" i="13"/>
  <c r="G416" i="13"/>
  <c r="F416" i="13"/>
  <c r="E416" i="13"/>
  <c r="C416" i="13"/>
  <c r="AG416" i="13" s="1"/>
  <c r="B416" i="13"/>
  <c r="Z416" i="13" s="1"/>
  <c r="A416" i="13"/>
  <c r="AC416" i="13" s="1"/>
  <c r="AQ415" i="13"/>
  <c r="P415" i="13"/>
  <c r="X415" i="13" s="1"/>
  <c r="O415" i="13"/>
  <c r="W415" i="13" s="1"/>
  <c r="N415" i="13"/>
  <c r="V415" i="13" s="1"/>
  <c r="M415" i="13"/>
  <c r="U415" i="13" s="1"/>
  <c r="L415" i="13"/>
  <c r="T415" i="13" s="1"/>
  <c r="K415" i="13"/>
  <c r="S415" i="13" s="1"/>
  <c r="J415" i="13"/>
  <c r="R415" i="13" s="1"/>
  <c r="I415" i="13"/>
  <c r="Q415" i="13" s="1"/>
  <c r="H415" i="13"/>
  <c r="G415" i="13"/>
  <c r="F415" i="13"/>
  <c r="E415" i="13"/>
  <c r="BA415" i="13" s="1"/>
  <c r="C415" i="13"/>
  <c r="B415" i="13"/>
  <c r="Z415" i="13" s="1"/>
  <c r="A415" i="13"/>
  <c r="AC415" i="13" s="1"/>
  <c r="AQ414" i="13"/>
  <c r="P414" i="13"/>
  <c r="X414" i="13" s="1"/>
  <c r="O414" i="13"/>
  <c r="W414" i="13" s="1"/>
  <c r="N414" i="13"/>
  <c r="V414" i="13" s="1"/>
  <c r="M414" i="13"/>
  <c r="U414" i="13" s="1"/>
  <c r="L414" i="13"/>
  <c r="T414" i="13" s="1"/>
  <c r="K414" i="13"/>
  <c r="S414" i="13" s="1"/>
  <c r="J414" i="13"/>
  <c r="R414" i="13" s="1"/>
  <c r="I414" i="13"/>
  <c r="Q414" i="13" s="1"/>
  <c r="H414" i="13"/>
  <c r="G414" i="13"/>
  <c r="F414" i="13"/>
  <c r="E414" i="13"/>
  <c r="C414" i="13"/>
  <c r="AG414" i="13" s="1"/>
  <c r="B414" i="13"/>
  <c r="A414" i="13"/>
  <c r="AU414" i="13" s="1"/>
  <c r="AQ413" i="13"/>
  <c r="P413" i="13"/>
  <c r="X413" i="13" s="1"/>
  <c r="O413" i="13"/>
  <c r="W413" i="13" s="1"/>
  <c r="N413" i="13"/>
  <c r="V413" i="13" s="1"/>
  <c r="M413" i="13"/>
  <c r="U413" i="13" s="1"/>
  <c r="L413" i="13"/>
  <c r="T413" i="13" s="1"/>
  <c r="K413" i="13"/>
  <c r="S413" i="13" s="1"/>
  <c r="J413" i="13"/>
  <c r="R413" i="13" s="1"/>
  <c r="I413" i="13"/>
  <c r="Q413" i="13" s="1"/>
  <c r="H413" i="13"/>
  <c r="G413" i="13"/>
  <c r="F413" i="13"/>
  <c r="E413" i="13"/>
  <c r="BA413" i="13" s="1"/>
  <c r="C413" i="13"/>
  <c r="AG413" i="13" s="1"/>
  <c r="B413" i="13"/>
  <c r="A413" i="13"/>
  <c r="AC413" i="13" s="1"/>
  <c r="AQ412" i="13"/>
  <c r="AG412" i="13"/>
  <c r="AL412" i="13" s="1"/>
  <c r="P412" i="13"/>
  <c r="X412" i="13" s="1"/>
  <c r="O412" i="13"/>
  <c r="W412" i="13" s="1"/>
  <c r="N412" i="13"/>
  <c r="V412" i="13" s="1"/>
  <c r="M412" i="13"/>
  <c r="U412" i="13" s="1"/>
  <c r="L412" i="13"/>
  <c r="T412" i="13" s="1"/>
  <c r="K412" i="13"/>
  <c r="S412" i="13" s="1"/>
  <c r="J412" i="13"/>
  <c r="R412" i="13" s="1"/>
  <c r="I412" i="13"/>
  <c r="Q412" i="13" s="1"/>
  <c r="H412" i="13"/>
  <c r="G412" i="13"/>
  <c r="F412" i="13"/>
  <c r="E412" i="13"/>
  <c r="BA412" i="13" s="1"/>
  <c r="C412" i="13"/>
  <c r="B412" i="13"/>
  <c r="Z412" i="13" s="1"/>
  <c r="A412" i="13"/>
  <c r="AC412" i="13" s="1"/>
  <c r="AR411" i="13"/>
  <c r="AQ411" i="13"/>
  <c r="P411" i="13"/>
  <c r="X411" i="13" s="1"/>
  <c r="O411" i="13"/>
  <c r="W411" i="13" s="1"/>
  <c r="N411" i="13"/>
  <c r="V411" i="13" s="1"/>
  <c r="M411" i="13"/>
  <c r="U411" i="13" s="1"/>
  <c r="L411" i="13"/>
  <c r="T411" i="13" s="1"/>
  <c r="K411" i="13"/>
  <c r="S411" i="13" s="1"/>
  <c r="J411" i="13"/>
  <c r="R411" i="13" s="1"/>
  <c r="I411" i="13"/>
  <c r="Q411" i="13" s="1"/>
  <c r="H411" i="13"/>
  <c r="G411" i="13"/>
  <c r="F411" i="13"/>
  <c r="E411" i="13"/>
  <c r="C411" i="13"/>
  <c r="AG411" i="13" s="1"/>
  <c r="B411" i="13"/>
  <c r="Z411" i="13" s="1"/>
  <c r="A411" i="13"/>
  <c r="AQ410" i="13"/>
  <c r="P410" i="13"/>
  <c r="X410" i="13" s="1"/>
  <c r="O410" i="13"/>
  <c r="W410" i="13" s="1"/>
  <c r="N410" i="13"/>
  <c r="V410" i="13" s="1"/>
  <c r="M410" i="13"/>
  <c r="U410" i="13" s="1"/>
  <c r="L410" i="13"/>
  <c r="T410" i="13" s="1"/>
  <c r="K410" i="13"/>
  <c r="S410" i="13" s="1"/>
  <c r="J410" i="13"/>
  <c r="R410" i="13" s="1"/>
  <c r="I410" i="13"/>
  <c r="Q410" i="13" s="1"/>
  <c r="H410" i="13"/>
  <c r="G410" i="13"/>
  <c r="F410" i="13"/>
  <c r="E410" i="13"/>
  <c r="C410" i="13"/>
  <c r="AG410" i="13" s="1"/>
  <c r="B410" i="13"/>
  <c r="AR410" i="13" s="1"/>
  <c r="A410" i="13"/>
  <c r="AQ409" i="13"/>
  <c r="P409" i="13"/>
  <c r="X409" i="13" s="1"/>
  <c r="O409" i="13"/>
  <c r="W409" i="13" s="1"/>
  <c r="N409" i="13"/>
  <c r="V409" i="13" s="1"/>
  <c r="M409" i="13"/>
  <c r="U409" i="13" s="1"/>
  <c r="L409" i="13"/>
  <c r="T409" i="13" s="1"/>
  <c r="K409" i="13"/>
  <c r="S409" i="13" s="1"/>
  <c r="J409" i="13"/>
  <c r="R409" i="13" s="1"/>
  <c r="I409" i="13"/>
  <c r="Q409" i="13" s="1"/>
  <c r="H409" i="13"/>
  <c r="G409" i="13"/>
  <c r="F409" i="13"/>
  <c r="E409" i="13"/>
  <c r="BA409" i="13" s="1"/>
  <c r="C409" i="13"/>
  <c r="AG409" i="13" s="1"/>
  <c r="B409" i="13"/>
  <c r="A409" i="13"/>
  <c r="AC409" i="13" s="1"/>
  <c r="AQ408" i="13"/>
  <c r="P408" i="13"/>
  <c r="X408" i="13" s="1"/>
  <c r="O408" i="13"/>
  <c r="W408" i="13" s="1"/>
  <c r="N408" i="13"/>
  <c r="V408" i="13" s="1"/>
  <c r="M408" i="13"/>
  <c r="U408" i="13" s="1"/>
  <c r="L408" i="13"/>
  <c r="T408" i="13" s="1"/>
  <c r="K408" i="13"/>
  <c r="S408" i="13" s="1"/>
  <c r="J408" i="13"/>
  <c r="R408" i="13" s="1"/>
  <c r="I408" i="13"/>
  <c r="Q408" i="13" s="1"/>
  <c r="H408" i="13"/>
  <c r="G408" i="13"/>
  <c r="F408" i="13"/>
  <c r="E408" i="13"/>
  <c r="C408" i="13"/>
  <c r="AG408" i="13" s="1"/>
  <c r="AN408" i="13" s="1"/>
  <c r="B408" i="13"/>
  <c r="Z408" i="13" s="1"/>
  <c r="A408" i="13"/>
  <c r="AC408" i="13" s="1"/>
  <c r="AQ407" i="13"/>
  <c r="P407" i="13"/>
  <c r="X407" i="13" s="1"/>
  <c r="O407" i="13"/>
  <c r="W407" i="13" s="1"/>
  <c r="N407" i="13"/>
  <c r="V407" i="13" s="1"/>
  <c r="M407" i="13"/>
  <c r="U407" i="13" s="1"/>
  <c r="L407" i="13"/>
  <c r="T407" i="13" s="1"/>
  <c r="K407" i="13"/>
  <c r="S407" i="13" s="1"/>
  <c r="J407" i="13"/>
  <c r="R407" i="13" s="1"/>
  <c r="I407" i="13"/>
  <c r="Q407" i="13" s="1"/>
  <c r="H407" i="13"/>
  <c r="G407" i="13"/>
  <c r="F407" i="13"/>
  <c r="E407" i="13"/>
  <c r="T407" i="11" s="1"/>
  <c r="C407" i="13"/>
  <c r="AG407" i="13" s="1"/>
  <c r="B407" i="13"/>
  <c r="Z407" i="13" s="1"/>
  <c r="A407" i="13"/>
  <c r="AU407" i="13" s="1"/>
  <c r="AQ406" i="13"/>
  <c r="P406" i="13"/>
  <c r="X406" i="13" s="1"/>
  <c r="O406" i="13"/>
  <c r="W406" i="13" s="1"/>
  <c r="N406" i="13"/>
  <c r="V406" i="13" s="1"/>
  <c r="M406" i="13"/>
  <c r="U406" i="13" s="1"/>
  <c r="L406" i="13"/>
  <c r="T406" i="13" s="1"/>
  <c r="K406" i="13"/>
  <c r="S406" i="13" s="1"/>
  <c r="J406" i="13"/>
  <c r="R406" i="13" s="1"/>
  <c r="I406" i="13"/>
  <c r="Q406" i="13" s="1"/>
  <c r="H406" i="13"/>
  <c r="G406" i="13"/>
  <c r="F406" i="13"/>
  <c r="E406" i="13"/>
  <c r="BA406" i="13" s="1"/>
  <c r="C406" i="13"/>
  <c r="AG406" i="13" s="1"/>
  <c r="AH406" i="13" s="1"/>
  <c r="B406" i="13"/>
  <c r="Z406" i="13" s="1"/>
  <c r="A406" i="13"/>
  <c r="AC406" i="13" s="1"/>
  <c r="AQ405" i="13"/>
  <c r="P405" i="13"/>
  <c r="X405" i="13" s="1"/>
  <c r="O405" i="13"/>
  <c r="W405" i="13" s="1"/>
  <c r="N405" i="13"/>
  <c r="V405" i="13" s="1"/>
  <c r="M405" i="13"/>
  <c r="U405" i="13" s="1"/>
  <c r="L405" i="13"/>
  <c r="T405" i="13" s="1"/>
  <c r="K405" i="13"/>
  <c r="S405" i="13" s="1"/>
  <c r="J405" i="13"/>
  <c r="R405" i="13" s="1"/>
  <c r="I405" i="13"/>
  <c r="Q405" i="13" s="1"/>
  <c r="H405" i="13"/>
  <c r="G405" i="13"/>
  <c r="F405" i="13"/>
  <c r="E405" i="13"/>
  <c r="BA405" i="13" s="1"/>
  <c r="C405" i="13"/>
  <c r="AG405" i="13" s="1"/>
  <c r="AN405" i="13" s="1"/>
  <c r="B405" i="13"/>
  <c r="A405" i="13"/>
  <c r="AC405" i="13" s="1"/>
  <c r="AQ404" i="13"/>
  <c r="P404" i="13"/>
  <c r="X404" i="13" s="1"/>
  <c r="O404" i="13"/>
  <c r="W404" i="13" s="1"/>
  <c r="N404" i="13"/>
  <c r="V404" i="13" s="1"/>
  <c r="M404" i="13"/>
  <c r="U404" i="13" s="1"/>
  <c r="L404" i="13"/>
  <c r="T404" i="13" s="1"/>
  <c r="K404" i="13"/>
  <c r="S404" i="13" s="1"/>
  <c r="J404" i="13"/>
  <c r="R404" i="13" s="1"/>
  <c r="I404" i="13"/>
  <c r="Q404" i="13" s="1"/>
  <c r="H404" i="13"/>
  <c r="G404" i="13"/>
  <c r="F404" i="13"/>
  <c r="E404" i="13"/>
  <c r="BA404" i="13" s="1"/>
  <c r="C404" i="13"/>
  <c r="AG404" i="13" s="1"/>
  <c r="B404" i="13"/>
  <c r="Z404" i="13" s="1"/>
  <c r="A404" i="13"/>
  <c r="AQ403" i="13"/>
  <c r="P403" i="13"/>
  <c r="X403" i="13" s="1"/>
  <c r="O403" i="13"/>
  <c r="W403" i="13" s="1"/>
  <c r="N403" i="13"/>
  <c r="V403" i="13" s="1"/>
  <c r="M403" i="13"/>
  <c r="U403" i="13" s="1"/>
  <c r="L403" i="13"/>
  <c r="T403" i="13" s="1"/>
  <c r="K403" i="13"/>
  <c r="S403" i="13" s="1"/>
  <c r="J403" i="13"/>
  <c r="R403" i="13" s="1"/>
  <c r="I403" i="13"/>
  <c r="Q403" i="13" s="1"/>
  <c r="H403" i="13"/>
  <c r="G403" i="13"/>
  <c r="F403" i="13"/>
  <c r="E403" i="13"/>
  <c r="C403" i="13"/>
  <c r="AG403" i="13" s="1"/>
  <c r="B403" i="13"/>
  <c r="Z403" i="13" s="1"/>
  <c r="A403" i="13"/>
  <c r="AC403" i="13" s="1"/>
  <c r="AQ402" i="13"/>
  <c r="R402" i="13"/>
  <c r="P402" i="13"/>
  <c r="X402" i="13" s="1"/>
  <c r="O402" i="13"/>
  <c r="W402" i="13" s="1"/>
  <c r="N402" i="13"/>
  <c r="V402" i="13" s="1"/>
  <c r="M402" i="13"/>
  <c r="U402" i="13" s="1"/>
  <c r="L402" i="13"/>
  <c r="T402" i="13" s="1"/>
  <c r="K402" i="13"/>
  <c r="S402" i="13" s="1"/>
  <c r="J402" i="13"/>
  <c r="I402" i="13"/>
  <c r="Q402" i="13" s="1"/>
  <c r="H402" i="13"/>
  <c r="G402" i="13"/>
  <c r="F402" i="13"/>
  <c r="E402" i="13"/>
  <c r="C402" i="13"/>
  <c r="AG402" i="13" s="1"/>
  <c r="B402" i="13"/>
  <c r="Z402" i="13" s="1"/>
  <c r="A402" i="13"/>
  <c r="AU402" i="13" s="1"/>
  <c r="AQ401" i="13"/>
  <c r="P401" i="13"/>
  <c r="X401" i="13" s="1"/>
  <c r="O401" i="13"/>
  <c r="W401" i="13" s="1"/>
  <c r="N401" i="13"/>
  <c r="V401" i="13" s="1"/>
  <c r="M401" i="13"/>
  <c r="U401" i="13" s="1"/>
  <c r="L401" i="13"/>
  <c r="T401" i="13" s="1"/>
  <c r="K401" i="13"/>
  <c r="S401" i="13" s="1"/>
  <c r="J401" i="13"/>
  <c r="R401" i="13" s="1"/>
  <c r="I401" i="13"/>
  <c r="Q401" i="13" s="1"/>
  <c r="H401" i="13"/>
  <c r="G401" i="13"/>
  <c r="F401" i="13"/>
  <c r="E401" i="13"/>
  <c r="C401" i="13"/>
  <c r="AG401" i="13" s="1"/>
  <c r="B401" i="13"/>
  <c r="Z401" i="13" s="1"/>
  <c r="A401" i="13"/>
  <c r="AQ400" i="13"/>
  <c r="P400" i="13"/>
  <c r="X400" i="13" s="1"/>
  <c r="O400" i="13"/>
  <c r="W400" i="13" s="1"/>
  <c r="N400" i="13"/>
  <c r="V400" i="13" s="1"/>
  <c r="M400" i="13"/>
  <c r="U400" i="13" s="1"/>
  <c r="L400" i="13"/>
  <c r="T400" i="13" s="1"/>
  <c r="K400" i="13"/>
  <c r="S400" i="13" s="1"/>
  <c r="J400" i="13"/>
  <c r="R400" i="13" s="1"/>
  <c r="I400" i="13"/>
  <c r="Q400" i="13" s="1"/>
  <c r="H400" i="13"/>
  <c r="G400" i="13"/>
  <c r="F400" i="13"/>
  <c r="E400" i="13"/>
  <c r="BB400" i="13" s="1"/>
  <c r="C400" i="13"/>
  <c r="AG400" i="13" s="1"/>
  <c r="B400" i="13"/>
  <c r="Z400" i="13" s="1"/>
  <c r="A400" i="13"/>
  <c r="AU400" i="13" s="1"/>
  <c r="AQ399" i="13"/>
  <c r="P399" i="13"/>
  <c r="X399" i="13" s="1"/>
  <c r="O399" i="13"/>
  <c r="W399" i="13" s="1"/>
  <c r="N399" i="13"/>
  <c r="V399" i="13" s="1"/>
  <c r="M399" i="13"/>
  <c r="U399" i="13" s="1"/>
  <c r="L399" i="13"/>
  <c r="T399" i="13" s="1"/>
  <c r="K399" i="13"/>
  <c r="S399" i="13" s="1"/>
  <c r="J399" i="13"/>
  <c r="R399" i="13" s="1"/>
  <c r="I399" i="13"/>
  <c r="Q399" i="13" s="1"/>
  <c r="H399" i="13"/>
  <c r="G399" i="13"/>
  <c r="F399" i="13"/>
  <c r="E399" i="13"/>
  <c r="C399" i="13"/>
  <c r="AG399" i="13" s="1"/>
  <c r="B399" i="13"/>
  <c r="Z399" i="13" s="1"/>
  <c r="A399" i="13"/>
  <c r="AC399" i="13" s="1"/>
  <c r="AR398" i="13"/>
  <c r="AQ398" i="13"/>
  <c r="P398" i="13"/>
  <c r="X398" i="13" s="1"/>
  <c r="O398" i="13"/>
  <c r="W398" i="13" s="1"/>
  <c r="N398" i="13"/>
  <c r="V398" i="13" s="1"/>
  <c r="M398" i="13"/>
  <c r="U398" i="13" s="1"/>
  <c r="L398" i="13"/>
  <c r="T398" i="13" s="1"/>
  <c r="K398" i="13"/>
  <c r="S398" i="13" s="1"/>
  <c r="J398" i="13"/>
  <c r="R398" i="13" s="1"/>
  <c r="I398" i="13"/>
  <c r="Q398" i="13" s="1"/>
  <c r="H398" i="13"/>
  <c r="G398" i="13"/>
  <c r="F398" i="13"/>
  <c r="E398" i="13"/>
  <c r="BA398" i="13" s="1"/>
  <c r="C398" i="13"/>
  <c r="AG398" i="13" s="1"/>
  <c r="B398" i="13"/>
  <c r="Z398" i="13" s="1"/>
  <c r="A398" i="13"/>
  <c r="AQ397" i="13"/>
  <c r="P397" i="13"/>
  <c r="X397" i="13" s="1"/>
  <c r="O397" i="13"/>
  <c r="W397" i="13" s="1"/>
  <c r="N397" i="13"/>
  <c r="V397" i="13" s="1"/>
  <c r="M397" i="13"/>
  <c r="U397" i="13" s="1"/>
  <c r="L397" i="13"/>
  <c r="T397" i="13" s="1"/>
  <c r="K397" i="13"/>
  <c r="S397" i="13" s="1"/>
  <c r="J397" i="13"/>
  <c r="R397" i="13" s="1"/>
  <c r="I397" i="13"/>
  <c r="Q397" i="13" s="1"/>
  <c r="H397" i="13"/>
  <c r="G397" i="13"/>
  <c r="F397" i="13"/>
  <c r="E397" i="13"/>
  <c r="BA397" i="13" s="1"/>
  <c r="C397" i="13"/>
  <c r="AG397" i="13" s="1"/>
  <c r="AN397" i="13" s="1"/>
  <c r="B397" i="13"/>
  <c r="A397" i="13"/>
  <c r="AQ396" i="13"/>
  <c r="P396" i="13"/>
  <c r="X396" i="13" s="1"/>
  <c r="O396" i="13"/>
  <c r="W396" i="13" s="1"/>
  <c r="N396" i="13"/>
  <c r="V396" i="13" s="1"/>
  <c r="M396" i="13"/>
  <c r="U396" i="13" s="1"/>
  <c r="L396" i="13"/>
  <c r="T396" i="13" s="1"/>
  <c r="K396" i="13"/>
  <c r="S396" i="13" s="1"/>
  <c r="J396" i="13"/>
  <c r="R396" i="13" s="1"/>
  <c r="I396" i="13"/>
  <c r="Q396" i="13" s="1"/>
  <c r="H396" i="13"/>
  <c r="G396" i="13"/>
  <c r="F396" i="13"/>
  <c r="E396" i="13"/>
  <c r="BB396" i="13" s="1"/>
  <c r="C396" i="13"/>
  <c r="AG396" i="13" s="1"/>
  <c r="B396" i="13"/>
  <c r="Z396" i="13" s="1"/>
  <c r="A396" i="13"/>
  <c r="AQ395" i="13"/>
  <c r="W395" i="13"/>
  <c r="P395" i="13"/>
  <c r="X395" i="13" s="1"/>
  <c r="O395" i="13"/>
  <c r="N395" i="13"/>
  <c r="V395" i="13" s="1"/>
  <c r="M395" i="13"/>
  <c r="U395" i="13" s="1"/>
  <c r="L395" i="13"/>
  <c r="T395" i="13" s="1"/>
  <c r="K395" i="13"/>
  <c r="S395" i="13" s="1"/>
  <c r="J395" i="13"/>
  <c r="R395" i="13" s="1"/>
  <c r="I395" i="13"/>
  <c r="Q395" i="13" s="1"/>
  <c r="H395" i="13"/>
  <c r="G395" i="13"/>
  <c r="F395" i="13"/>
  <c r="E395" i="13"/>
  <c r="C395" i="13"/>
  <c r="B395" i="13"/>
  <c r="Z395" i="13" s="1"/>
  <c r="A395" i="13"/>
  <c r="AC395" i="13" s="1"/>
  <c r="AQ394" i="13"/>
  <c r="P394" i="13"/>
  <c r="X394" i="13" s="1"/>
  <c r="O394" i="13"/>
  <c r="W394" i="13" s="1"/>
  <c r="N394" i="13"/>
  <c r="V394" i="13" s="1"/>
  <c r="M394" i="13"/>
  <c r="U394" i="13" s="1"/>
  <c r="L394" i="13"/>
  <c r="T394" i="13" s="1"/>
  <c r="K394" i="13"/>
  <c r="S394" i="13" s="1"/>
  <c r="J394" i="13"/>
  <c r="R394" i="13" s="1"/>
  <c r="I394" i="13"/>
  <c r="Q394" i="13" s="1"/>
  <c r="H394" i="13"/>
  <c r="G394" i="13"/>
  <c r="F394" i="13"/>
  <c r="E394" i="13"/>
  <c r="BA394" i="13" s="1"/>
  <c r="C394" i="13"/>
  <c r="AG394" i="13" s="1"/>
  <c r="AN394" i="13" s="1"/>
  <c r="B394" i="13"/>
  <c r="Z394" i="13" s="1"/>
  <c r="A394" i="13"/>
  <c r="AU394" i="13" s="1"/>
  <c r="AQ393" i="13"/>
  <c r="P393" i="13"/>
  <c r="X393" i="13" s="1"/>
  <c r="O393" i="13"/>
  <c r="W393" i="13" s="1"/>
  <c r="N393" i="13"/>
  <c r="V393" i="13" s="1"/>
  <c r="M393" i="13"/>
  <c r="U393" i="13" s="1"/>
  <c r="L393" i="13"/>
  <c r="T393" i="13" s="1"/>
  <c r="K393" i="13"/>
  <c r="S393" i="13" s="1"/>
  <c r="J393" i="13"/>
  <c r="R393" i="13" s="1"/>
  <c r="I393" i="13"/>
  <c r="Q393" i="13" s="1"/>
  <c r="H393" i="13"/>
  <c r="G393" i="13"/>
  <c r="F393" i="13"/>
  <c r="E393" i="13"/>
  <c r="BA393" i="13" s="1"/>
  <c r="C393" i="13"/>
  <c r="AG393" i="13" s="1"/>
  <c r="AJ393" i="13" s="1"/>
  <c r="B393" i="13"/>
  <c r="Z393" i="13" s="1"/>
  <c r="A393" i="13"/>
  <c r="AQ392" i="13"/>
  <c r="P392" i="13"/>
  <c r="X392" i="13" s="1"/>
  <c r="O392" i="13"/>
  <c r="W392" i="13" s="1"/>
  <c r="N392" i="13"/>
  <c r="V392" i="13" s="1"/>
  <c r="M392" i="13"/>
  <c r="U392" i="13" s="1"/>
  <c r="L392" i="13"/>
  <c r="T392" i="13" s="1"/>
  <c r="K392" i="13"/>
  <c r="S392" i="13" s="1"/>
  <c r="J392" i="13"/>
  <c r="R392" i="13" s="1"/>
  <c r="I392" i="13"/>
  <c r="Q392" i="13" s="1"/>
  <c r="H392" i="13"/>
  <c r="G392" i="13"/>
  <c r="F392" i="13"/>
  <c r="E392" i="13"/>
  <c r="BB392" i="13" s="1"/>
  <c r="C392" i="13"/>
  <c r="AG392" i="13" s="1"/>
  <c r="B392" i="13"/>
  <c r="Z392" i="13" s="1"/>
  <c r="A392" i="13"/>
  <c r="AU392" i="13" s="1"/>
  <c r="AQ391" i="13"/>
  <c r="P391" i="13"/>
  <c r="X391" i="13" s="1"/>
  <c r="O391" i="13"/>
  <c r="W391" i="13" s="1"/>
  <c r="N391" i="13"/>
  <c r="V391" i="13" s="1"/>
  <c r="M391" i="13"/>
  <c r="U391" i="13" s="1"/>
  <c r="L391" i="13"/>
  <c r="T391" i="13" s="1"/>
  <c r="K391" i="13"/>
  <c r="S391" i="13" s="1"/>
  <c r="J391" i="13"/>
  <c r="R391" i="13" s="1"/>
  <c r="I391" i="13"/>
  <c r="Q391" i="13" s="1"/>
  <c r="H391" i="13"/>
  <c r="G391" i="13"/>
  <c r="F391" i="13"/>
  <c r="E391" i="13"/>
  <c r="C391" i="13"/>
  <c r="AG391" i="13" s="1"/>
  <c r="AN391" i="13" s="1"/>
  <c r="B391" i="13"/>
  <c r="Z391" i="13" s="1"/>
  <c r="A391" i="13"/>
  <c r="AC391" i="13" s="1"/>
  <c r="AQ390" i="13"/>
  <c r="P390" i="13"/>
  <c r="X390" i="13" s="1"/>
  <c r="O390" i="13"/>
  <c r="W390" i="13" s="1"/>
  <c r="N390" i="13"/>
  <c r="V390" i="13" s="1"/>
  <c r="M390" i="13"/>
  <c r="U390" i="13" s="1"/>
  <c r="L390" i="13"/>
  <c r="T390" i="13" s="1"/>
  <c r="K390" i="13"/>
  <c r="S390" i="13" s="1"/>
  <c r="J390" i="13"/>
  <c r="R390" i="13" s="1"/>
  <c r="I390" i="13"/>
  <c r="Q390" i="13" s="1"/>
  <c r="H390" i="13"/>
  <c r="G390" i="13"/>
  <c r="F390" i="13"/>
  <c r="E390" i="13"/>
  <c r="C390" i="13"/>
  <c r="AG390" i="13" s="1"/>
  <c r="B390" i="13"/>
  <c r="Z390" i="13" s="1"/>
  <c r="A390" i="13"/>
  <c r="AU390" i="13" s="1"/>
  <c r="AQ389" i="13"/>
  <c r="P389" i="13"/>
  <c r="X389" i="13" s="1"/>
  <c r="O389" i="13"/>
  <c r="W389" i="13" s="1"/>
  <c r="N389" i="13"/>
  <c r="V389" i="13" s="1"/>
  <c r="M389" i="13"/>
  <c r="U389" i="13" s="1"/>
  <c r="L389" i="13"/>
  <c r="T389" i="13" s="1"/>
  <c r="K389" i="13"/>
  <c r="S389" i="13" s="1"/>
  <c r="J389" i="13"/>
  <c r="R389" i="13" s="1"/>
  <c r="I389" i="13"/>
  <c r="Q389" i="13" s="1"/>
  <c r="H389" i="13"/>
  <c r="G389" i="13"/>
  <c r="F389" i="13"/>
  <c r="E389" i="13"/>
  <c r="BA389" i="13" s="1"/>
  <c r="C389" i="13"/>
  <c r="AG389" i="13" s="1"/>
  <c r="B389" i="13"/>
  <c r="A389" i="13"/>
  <c r="AC389" i="13" s="1"/>
  <c r="AQ388" i="13"/>
  <c r="P388" i="13"/>
  <c r="X388" i="13" s="1"/>
  <c r="O388" i="13"/>
  <c r="W388" i="13" s="1"/>
  <c r="N388" i="13"/>
  <c r="V388" i="13" s="1"/>
  <c r="M388" i="13"/>
  <c r="U388" i="13" s="1"/>
  <c r="L388" i="13"/>
  <c r="T388" i="13" s="1"/>
  <c r="K388" i="13"/>
  <c r="S388" i="13" s="1"/>
  <c r="J388" i="13"/>
  <c r="R388" i="13" s="1"/>
  <c r="I388" i="13"/>
  <c r="Q388" i="13" s="1"/>
  <c r="H388" i="13"/>
  <c r="G388" i="13"/>
  <c r="F388" i="13"/>
  <c r="E388" i="13"/>
  <c r="BB388" i="13" s="1"/>
  <c r="C388" i="13"/>
  <c r="AG388" i="13" s="1"/>
  <c r="B388" i="13"/>
  <c r="Z388" i="13" s="1"/>
  <c r="A388" i="13"/>
  <c r="AQ387" i="13"/>
  <c r="V387" i="13"/>
  <c r="P387" i="13"/>
  <c r="X387" i="13" s="1"/>
  <c r="O387" i="13"/>
  <c r="W387" i="13" s="1"/>
  <c r="N387" i="13"/>
  <c r="M387" i="13"/>
  <c r="U387" i="13" s="1"/>
  <c r="L387" i="13"/>
  <c r="T387" i="13" s="1"/>
  <c r="K387" i="13"/>
  <c r="S387" i="13" s="1"/>
  <c r="J387" i="13"/>
  <c r="R387" i="13" s="1"/>
  <c r="I387" i="13"/>
  <c r="Q387" i="13" s="1"/>
  <c r="H387" i="13"/>
  <c r="G387" i="13"/>
  <c r="F387" i="13"/>
  <c r="E387" i="13"/>
  <c r="BA387" i="13" s="1"/>
  <c r="C387" i="13"/>
  <c r="AG387" i="13" s="1"/>
  <c r="B387" i="13"/>
  <c r="Z387" i="13" s="1"/>
  <c r="A387" i="13"/>
  <c r="AC387" i="13" s="1"/>
  <c r="BB386" i="13"/>
  <c r="AQ386" i="13"/>
  <c r="P386" i="13"/>
  <c r="X386" i="13" s="1"/>
  <c r="O386" i="13"/>
  <c r="W386" i="13" s="1"/>
  <c r="N386" i="13"/>
  <c r="V386" i="13" s="1"/>
  <c r="M386" i="13"/>
  <c r="U386" i="13" s="1"/>
  <c r="L386" i="13"/>
  <c r="T386" i="13" s="1"/>
  <c r="K386" i="13"/>
  <c r="S386" i="13" s="1"/>
  <c r="J386" i="13"/>
  <c r="R386" i="13" s="1"/>
  <c r="I386" i="13"/>
  <c r="Q386" i="13" s="1"/>
  <c r="H386" i="13"/>
  <c r="G386" i="13"/>
  <c r="F386" i="13"/>
  <c r="E386" i="13"/>
  <c r="BA386" i="13" s="1"/>
  <c r="C386" i="13"/>
  <c r="AG386" i="13" s="1"/>
  <c r="B386" i="13"/>
  <c r="Z386" i="13" s="1"/>
  <c r="A386" i="13"/>
  <c r="AU386" i="13" s="1"/>
  <c r="AQ385" i="13"/>
  <c r="P385" i="13"/>
  <c r="X385" i="13" s="1"/>
  <c r="O385" i="13"/>
  <c r="W385" i="13" s="1"/>
  <c r="N385" i="13"/>
  <c r="V385" i="13" s="1"/>
  <c r="M385" i="13"/>
  <c r="U385" i="13" s="1"/>
  <c r="L385" i="13"/>
  <c r="T385" i="13" s="1"/>
  <c r="K385" i="13"/>
  <c r="S385" i="13" s="1"/>
  <c r="J385" i="13"/>
  <c r="R385" i="13" s="1"/>
  <c r="I385" i="13"/>
  <c r="Q385" i="13" s="1"/>
  <c r="H385" i="13"/>
  <c r="G385" i="13"/>
  <c r="F385" i="13"/>
  <c r="E385" i="13"/>
  <c r="C385" i="13"/>
  <c r="AG385" i="13" s="1"/>
  <c r="B385" i="13"/>
  <c r="Z385" i="13" s="1"/>
  <c r="A385" i="13"/>
  <c r="AC385" i="13" s="1"/>
  <c r="AQ384" i="13"/>
  <c r="P384" i="13"/>
  <c r="X384" i="13" s="1"/>
  <c r="O384" i="13"/>
  <c r="W384" i="13" s="1"/>
  <c r="N384" i="13"/>
  <c r="V384" i="13" s="1"/>
  <c r="M384" i="13"/>
  <c r="U384" i="13" s="1"/>
  <c r="L384" i="13"/>
  <c r="T384" i="13" s="1"/>
  <c r="K384" i="13"/>
  <c r="S384" i="13" s="1"/>
  <c r="J384" i="13"/>
  <c r="R384" i="13" s="1"/>
  <c r="I384" i="13"/>
  <c r="Q384" i="13" s="1"/>
  <c r="H384" i="13"/>
  <c r="G384" i="13"/>
  <c r="F384" i="13"/>
  <c r="E384" i="13"/>
  <c r="BB384" i="13" s="1"/>
  <c r="C384" i="13"/>
  <c r="AG384" i="13" s="1"/>
  <c r="B384" i="13"/>
  <c r="Z384" i="13" s="1"/>
  <c r="A384" i="13"/>
  <c r="AU384" i="13" s="1"/>
  <c r="AR383" i="13"/>
  <c r="AQ383" i="13"/>
  <c r="P383" i="13"/>
  <c r="X383" i="13" s="1"/>
  <c r="O383" i="13"/>
  <c r="W383" i="13" s="1"/>
  <c r="N383" i="13"/>
  <c r="V383" i="13" s="1"/>
  <c r="M383" i="13"/>
  <c r="U383" i="13" s="1"/>
  <c r="L383" i="13"/>
  <c r="T383" i="13" s="1"/>
  <c r="K383" i="13"/>
  <c r="S383" i="13" s="1"/>
  <c r="J383" i="13"/>
  <c r="R383" i="13" s="1"/>
  <c r="I383" i="13"/>
  <c r="Q383" i="13" s="1"/>
  <c r="H383" i="13"/>
  <c r="G383" i="13"/>
  <c r="F383" i="13"/>
  <c r="E383" i="13"/>
  <c r="BA383" i="13" s="1"/>
  <c r="C383" i="13"/>
  <c r="AG383" i="13" s="1"/>
  <c r="B383" i="13"/>
  <c r="Z383" i="13" s="1"/>
  <c r="A383" i="13"/>
  <c r="AR382" i="13"/>
  <c r="AQ382" i="13"/>
  <c r="P382" i="13"/>
  <c r="X382" i="13" s="1"/>
  <c r="O382" i="13"/>
  <c r="W382" i="13" s="1"/>
  <c r="N382" i="13"/>
  <c r="V382" i="13" s="1"/>
  <c r="M382" i="13"/>
  <c r="U382" i="13" s="1"/>
  <c r="L382" i="13"/>
  <c r="T382" i="13" s="1"/>
  <c r="K382" i="13"/>
  <c r="S382" i="13" s="1"/>
  <c r="J382" i="13"/>
  <c r="R382" i="13" s="1"/>
  <c r="I382" i="13"/>
  <c r="Q382" i="13" s="1"/>
  <c r="H382" i="13"/>
  <c r="G382" i="13"/>
  <c r="F382" i="13"/>
  <c r="E382" i="13"/>
  <c r="BA382" i="13" s="1"/>
  <c r="C382" i="13"/>
  <c r="AG382" i="13" s="1"/>
  <c r="B382" i="13"/>
  <c r="Z382" i="13" s="1"/>
  <c r="A382" i="13"/>
  <c r="AU382" i="13" s="1"/>
  <c r="AQ381" i="13"/>
  <c r="P381" i="13"/>
  <c r="X381" i="13" s="1"/>
  <c r="O381" i="13"/>
  <c r="W381" i="13" s="1"/>
  <c r="N381" i="13"/>
  <c r="V381" i="13" s="1"/>
  <c r="M381" i="13"/>
  <c r="U381" i="13" s="1"/>
  <c r="L381" i="13"/>
  <c r="T381" i="13" s="1"/>
  <c r="K381" i="13"/>
  <c r="S381" i="13" s="1"/>
  <c r="J381" i="13"/>
  <c r="R381" i="13" s="1"/>
  <c r="I381" i="13"/>
  <c r="Q381" i="13" s="1"/>
  <c r="H381" i="13"/>
  <c r="G381" i="13"/>
  <c r="F381" i="13"/>
  <c r="E381" i="13"/>
  <c r="BA381" i="13" s="1"/>
  <c r="C381" i="13"/>
  <c r="AG381" i="13" s="1"/>
  <c r="B381" i="13"/>
  <c r="A381" i="13"/>
  <c r="AC381" i="13" s="1"/>
  <c r="AQ380" i="13"/>
  <c r="P380" i="13"/>
  <c r="X380" i="13" s="1"/>
  <c r="O380" i="13"/>
  <c r="W380" i="13" s="1"/>
  <c r="N380" i="13"/>
  <c r="V380" i="13" s="1"/>
  <c r="M380" i="13"/>
  <c r="U380" i="13" s="1"/>
  <c r="L380" i="13"/>
  <c r="T380" i="13" s="1"/>
  <c r="K380" i="13"/>
  <c r="S380" i="13" s="1"/>
  <c r="J380" i="13"/>
  <c r="R380" i="13" s="1"/>
  <c r="I380" i="13"/>
  <c r="Q380" i="13" s="1"/>
  <c r="H380" i="13"/>
  <c r="G380" i="13"/>
  <c r="F380" i="13"/>
  <c r="E380" i="13"/>
  <c r="BB380" i="13" s="1"/>
  <c r="C380" i="13"/>
  <c r="AG380" i="13" s="1"/>
  <c r="B380" i="13"/>
  <c r="Z380" i="13" s="1"/>
  <c r="A380" i="13"/>
  <c r="AQ379" i="13"/>
  <c r="P379" i="13"/>
  <c r="X379" i="13" s="1"/>
  <c r="O379" i="13"/>
  <c r="W379" i="13" s="1"/>
  <c r="N379" i="13"/>
  <c r="V379" i="13" s="1"/>
  <c r="M379" i="13"/>
  <c r="U379" i="13" s="1"/>
  <c r="L379" i="13"/>
  <c r="T379" i="13" s="1"/>
  <c r="K379" i="13"/>
  <c r="S379" i="13" s="1"/>
  <c r="J379" i="13"/>
  <c r="R379" i="13" s="1"/>
  <c r="I379" i="13"/>
  <c r="Q379" i="13" s="1"/>
  <c r="H379" i="13"/>
  <c r="G379" i="13"/>
  <c r="F379" i="13"/>
  <c r="E379" i="13"/>
  <c r="C379" i="13"/>
  <c r="AG379" i="13" s="1"/>
  <c r="B379" i="13"/>
  <c r="Z379" i="13" s="1"/>
  <c r="A379" i="13"/>
  <c r="AC379" i="13" s="1"/>
  <c r="AQ378" i="13"/>
  <c r="R378" i="13"/>
  <c r="P378" i="13"/>
  <c r="X378" i="13" s="1"/>
  <c r="O378" i="13"/>
  <c r="W378" i="13" s="1"/>
  <c r="N378" i="13"/>
  <c r="V378" i="13" s="1"/>
  <c r="M378" i="13"/>
  <c r="U378" i="13" s="1"/>
  <c r="L378" i="13"/>
  <c r="T378" i="13" s="1"/>
  <c r="K378" i="13"/>
  <c r="S378" i="13" s="1"/>
  <c r="J378" i="13"/>
  <c r="I378" i="13"/>
  <c r="Q378" i="13" s="1"/>
  <c r="H378" i="13"/>
  <c r="G378" i="13"/>
  <c r="F378" i="13"/>
  <c r="E378" i="13"/>
  <c r="BA378" i="13" s="1"/>
  <c r="C378" i="13"/>
  <c r="AG378" i="13" s="1"/>
  <c r="B378" i="13"/>
  <c r="Z378" i="13" s="1"/>
  <c r="A378" i="13"/>
  <c r="AU378" i="13" s="1"/>
  <c r="AR377" i="13"/>
  <c r="AQ377" i="13"/>
  <c r="S377" i="13"/>
  <c r="P377" i="13"/>
  <c r="X377" i="13" s="1"/>
  <c r="O377" i="13"/>
  <c r="W377" i="13" s="1"/>
  <c r="N377" i="13"/>
  <c r="V377" i="13" s="1"/>
  <c r="M377" i="13"/>
  <c r="U377" i="13" s="1"/>
  <c r="L377" i="13"/>
  <c r="T377" i="13" s="1"/>
  <c r="K377" i="13"/>
  <c r="J377" i="13"/>
  <c r="R377" i="13" s="1"/>
  <c r="I377" i="13"/>
  <c r="Q377" i="13" s="1"/>
  <c r="H377" i="13"/>
  <c r="G377" i="13"/>
  <c r="F377" i="13"/>
  <c r="E377" i="13"/>
  <c r="BA377" i="13" s="1"/>
  <c r="C377" i="13"/>
  <c r="AG377" i="13" s="1"/>
  <c r="B377" i="13"/>
  <c r="Z377" i="13" s="1"/>
  <c r="A377" i="13"/>
  <c r="AC377" i="13" s="1"/>
  <c r="AQ376" i="13"/>
  <c r="P376" i="13"/>
  <c r="X376" i="13" s="1"/>
  <c r="O376" i="13"/>
  <c r="W376" i="13" s="1"/>
  <c r="N376" i="13"/>
  <c r="V376" i="13" s="1"/>
  <c r="M376" i="13"/>
  <c r="U376" i="13" s="1"/>
  <c r="L376" i="13"/>
  <c r="T376" i="13" s="1"/>
  <c r="K376" i="13"/>
  <c r="S376" i="13" s="1"/>
  <c r="J376" i="13"/>
  <c r="R376" i="13" s="1"/>
  <c r="I376" i="13"/>
  <c r="Q376" i="13" s="1"/>
  <c r="H376" i="13"/>
  <c r="G376" i="13"/>
  <c r="F376" i="13"/>
  <c r="E376" i="13"/>
  <c r="BB376" i="13" s="1"/>
  <c r="C376" i="13"/>
  <c r="AG376" i="13" s="1"/>
  <c r="B376" i="13"/>
  <c r="Z376" i="13" s="1"/>
  <c r="A376" i="13"/>
  <c r="AU376" i="13" s="1"/>
  <c r="AQ375" i="13"/>
  <c r="P375" i="13"/>
  <c r="X375" i="13" s="1"/>
  <c r="O375" i="13"/>
  <c r="W375" i="13" s="1"/>
  <c r="N375" i="13"/>
  <c r="V375" i="13" s="1"/>
  <c r="M375" i="13"/>
  <c r="U375" i="13" s="1"/>
  <c r="L375" i="13"/>
  <c r="T375" i="13" s="1"/>
  <c r="K375" i="13"/>
  <c r="S375" i="13" s="1"/>
  <c r="J375" i="13"/>
  <c r="R375" i="13" s="1"/>
  <c r="I375" i="13"/>
  <c r="Q375" i="13" s="1"/>
  <c r="H375" i="13"/>
  <c r="G375" i="13"/>
  <c r="F375" i="13"/>
  <c r="E375" i="13"/>
  <c r="BA375" i="13" s="1"/>
  <c r="C375" i="13"/>
  <c r="AG375" i="13" s="1"/>
  <c r="B375" i="13"/>
  <c r="Z375" i="13" s="1"/>
  <c r="A375" i="13"/>
  <c r="AQ374" i="13"/>
  <c r="P374" i="13"/>
  <c r="X374" i="13" s="1"/>
  <c r="O374" i="13"/>
  <c r="W374" i="13" s="1"/>
  <c r="N374" i="13"/>
  <c r="V374" i="13" s="1"/>
  <c r="M374" i="13"/>
  <c r="U374" i="13" s="1"/>
  <c r="L374" i="13"/>
  <c r="T374" i="13" s="1"/>
  <c r="K374" i="13"/>
  <c r="S374" i="13" s="1"/>
  <c r="J374" i="13"/>
  <c r="R374" i="13" s="1"/>
  <c r="I374" i="13"/>
  <c r="Q374" i="13" s="1"/>
  <c r="H374" i="13"/>
  <c r="G374" i="13"/>
  <c r="F374" i="13"/>
  <c r="E374" i="13"/>
  <c r="BA374" i="13" s="1"/>
  <c r="C374" i="13"/>
  <c r="AG374" i="13" s="1"/>
  <c r="B374" i="13"/>
  <c r="Z374" i="13" s="1"/>
  <c r="A374" i="13"/>
  <c r="BB373" i="13"/>
  <c r="AQ373" i="13"/>
  <c r="P373" i="13"/>
  <c r="X373" i="13" s="1"/>
  <c r="O373" i="13"/>
  <c r="W373" i="13" s="1"/>
  <c r="N373" i="13"/>
  <c r="V373" i="13" s="1"/>
  <c r="M373" i="13"/>
  <c r="U373" i="13" s="1"/>
  <c r="L373" i="13"/>
  <c r="T373" i="13" s="1"/>
  <c r="K373" i="13"/>
  <c r="S373" i="13" s="1"/>
  <c r="J373" i="13"/>
  <c r="R373" i="13" s="1"/>
  <c r="I373" i="13"/>
  <c r="Q373" i="13" s="1"/>
  <c r="H373" i="13"/>
  <c r="G373" i="13"/>
  <c r="F373" i="13"/>
  <c r="E373" i="13"/>
  <c r="BA373" i="13" s="1"/>
  <c r="C373" i="13"/>
  <c r="AG373" i="13" s="1"/>
  <c r="B373" i="13"/>
  <c r="A373" i="13"/>
  <c r="AC373" i="13" s="1"/>
  <c r="AQ372" i="13"/>
  <c r="P372" i="13"/>
  <c r="X372" i="13" s="1"/>
  <c r="O372" i="13"/>
  <c r="W372" i="13" s="1"/>
  <c r="N372" i="13"/>
  <c r="V372" i="13" s="1"/>
  <c r="M372" i="13"/>
  <c r="U372" i="13" s="1"/>
  <c r="L372" i="13"/>
  <c r="T372" i="13" s="1"/>
  <c r="K372" i="13"/>
  <c r="S372" i="13" s="1"/>
  <c r="J372" i="13"/>
  <c r="R372" i="13" s="1"/>
  <c r="I372" i="13"/>
  <c r="Q372" i="13" s="1"/>
  <c r="H372" i="13"/>
  <c r="G372" i="13"/>
  <c r="F372" i="13"/>
  <c r="E372" i="13"/>
  <c r="BB372" i="13" s="1"/>
  <c r="C372" i="13"/>
  <c r="AG372" i="13" s="1"/>
  <c r="B372" i="13"/>
  <c r="Z372" i="13" s="1"/>
  <c r="A372" i="13"/>
  <c r="AQ371" i="13"/>
  <c r="P371" i="13"/>
  <c r="X371" i="13" s="1"/>
  <c r="O371" i="13"/>
  <c r="W371" i="13" s="1"/>
  <c r="N371" i="13"/>
  <c r="V371" i="13" s="1"/>
  <c r="M371" i="13"/>
  <c r="U371" i="13" s="1"/>
  <c r="L371" i="13"/>
  <c r="T371" i="13" s="1"/>
  <c r="K371" i="13"/>
  <c r="S371" i="13" s="1"/>
  <c r="J371" i="13"/>
  <c r="R371" i="13" s="1"/>
  <c r="I371" i="13"/>
  <c r="Q371" i="13" s="1"/>
  <c r="H371" i="13"/>
  <c r="G371" i="13"/>
  <c r="F371" i="13"/>
  <c r="E371" i="13"/>
  <c r="BA371" i="13" s="1"/>
  <c r="C371" i="13"/>
  <c r="AG371" i="13" s="1"/>
  <c r="B371" i="13"/>
  <c r="Z371" i="13" s="1"/>
  <c r="A371" i="13"/>
  <c r="AQ370" i="13"/>
  <c r="T370" i="13"/>
  <c r="P370" i="13"/>
  <c r="X370" i="13" s="1"/>
  <c r="O370" i="13"/>
  <c r="W370" i="13" s="1"/>
  <c r="N370" i="13"/>
  <c r="V370" i="13" s="1"/>
  <c r="M370" i="13"/>
  <c r="U370" i="13" s="1"/>
  <c r="L370" i="13"/>
  <c r="K370" i="13"/>
  <c r="S370" i="13" s="1"/>
  <c r="J370" i="13"/>
  <c r="R370" i="13" s="1"/>
  <c r="I370" i="13"/>
  <c r="Q370" i="13" s="1"/>
  <c r="H370" i="13"/>
  <c r="G370" i="13"/>
  <c r="F370" i="13"/>
  <c r="E370" i="13"/>
  <c r="BA370" i="13" s="1"/>
  <c r="C370" i="13"/>
  <c r="AG370" i="13" s="1"/>
  <c r="B370" i="13"/>
  <c r="Z370" i="13" s="1"/>
  <c r="A370" i="13"/>
  <c r="BB369" i="13"/>
  <c r="AQ369" i="13"/>
  <c r="P369" i="13"/>
  <c r="X369" i="13" s="1"/>
  <c r="O369" i="13"/>
  <c r="W369" i="13" s="1"/>
  <c r="N369" i="13"/>
  <c r="V369" i="13" s="1"/>
  <c r="M369" i="13"/>
  <c r="U369" i="13" s="1"/>
  <c r="L369" i="13"/>
  <c r="T369" i="13" s="1"/>
  <c r="K369" i="13"/>
  <c r="S369" i="13" s="1"/>
  <c r="J369" i="13"/>
  <c r="R369" i="13" s="1"/>
  <c r="I369" i="13"/>
  <c r="Q369" i="13" s="1"/>
  <c r="H369" i="13"/>
  <c r="G369" i="13"/>
  <c r="F369" i="13"/>
  <c r="E369" i="13"/>
  <c r="BA369" i="13" s="1"/>
  <c r="C369" i="13"/>
  <c r="AG369" i="13" s="1"/>
  <c r="B369" i="13"/>
  <c r="AR369" i="13" s="1"/>
  <c r="A369" i="13"/>
  <c r="AQ368" i="13"/>
  <c r="P368" i="13"/>
  <c r="X368" i="13" s="1"/>
  <c r="O368" i="13"/>
  <c r="W368" i="13" s="1"/>
  <c r="N368" i="13"/>
  <c r="V368" i="13" s="1"/>
  <c r="M368" i="13"/>
  <c r="U368" i="13" s="1"/>
  <c r="L368" i="13"/>
  <c r="T368" i="13" s="1"/>
  <c r="K368" i="13"/>
  <c r="S368" i="13" s="1"/>
  <c r="J368" i="13"/>
  <c r="R368" i="13" s="1"/>
  <c r="I368" i="13"/>
  <c r="Q368" i="13" s="1"/>
  <c r="H368" i="13"/>
  <c r="G368" i="13"/>
  <c r="F368" i="13"/>
  <c r="E368" i="13"/>
  <c r="BB368" i="13" s="1"/>
  <c r="C368" i="13"/>
  <c r="AG368" i="13" s="1"/>
  <c r="B368" i="13"/>
  <c r="Z368" i="13" s="1"/>
  <c r="A368" i="13"/>
  <c r="AU368" i="13" s="1"/>
  <c r="AQ367" i="13"/>
  <c r="P367" i="13"/>
  <c r="X367" i="13" s="1"/>
  <c r="O367" i="13"/>
  <c r="W367" i="13" s="1"/>
  <c r="N367" i="13"/>
  <c r="V367" i="13" s="1"/>
  <c r="M367" i="13"/>
  <c r="U367" i="13" s="1"/>
  <c r="L367" i="13"/>
  <c r="T367" i="13" s="1"/>
  <c r="K367" i="13"/>
  <c r="S367" i="13" s="1"/>
  <c r="J367" i="13"/>
  <c r="R367" i="13" s="1"/>
  <c r="I367" i="13"/>
  <c r="Q367" i="13" s="1"/>
  <c r="H367" i="13"/>
  <c r="G367" i="13"/>
  <c r="F367" i="13"/>
  <c r="E367" i="13"/>
  <c r="C367" i="13"/>
  <c r="AG367" i="13" s="1"/>
  <c r="AN367" i="13" s="1"/>
  <c r="B367" i="13"/>
  <c r="Z367" i="13" s="1"/>
  <c r="A367" i="13"/>
  <c r="AC367" i="13" s="1"/>
  <c r="AQ366" i="13"/>
  <c r="P366" i="13"/>
  <c r="X366" i="13" s="1"/>
  <c r="O366" i="13"/>
  <c r="W366" i="13" s="1"/>
  <c r="N366" i="13"/>
  <c r="V366" i="13" s="1"/>
  <c r="M366" i="13"/>
  <c r="U366" i="13" s="1"/>
  <c r="L366" i="13"/>
  <c r="T366" i="13" s="1"/>
  <c r="K366" i="13"/>
  <c r="S366" i="13" s="1"/>
  <c r="J366" i="13"/>
  <c r="R366" i="13" s="1"/>
  <c r="I366" i="13"/>
  <c r="Q366" i="13" s="1"/>
  <c r="H366" i="13"/>
  <c r="G366" i="13"/>
  <c r="F366" i="13"/>
  <c r="E366" i="13"/>
  <c r="C366" i="13"/>
  <c r="AG366" i="13" s="1"/>
  <c r="AJ366" i="13" s="1"/>
  <c r="B366" i="13"/>
  <c r="Z366" i="13" s="1"/>
  <c r="A366" i="13"/>
  <c r="AU366" i="13" s="1"/>
  <c r="AQ365" i="13"/>
  <c r="P365" i="13"/>
  <c r="X365" i="13" s="1"/>
  <c r="O365" i="13"/>
  <c r="W365" i="13" s="1"/>
  <c r="N365" i="13"/>
  <c r="V365" i="13" s="1"/>
  <c r="M365" i="13"/>
  <c r="U365" i="13" s="1"/>
  <c r="L365" i="13"/>
  <c r="T365" i="13" s="1"/>
  <c r="K365" i="13"/>
  <c r="S365" i="13" s="1"/>
  <c r="J365" i="13"/>
  <c r="R365" i="13" s="1"/>
  <c r="I365" i="13"/>
  <c r="Q365" i="13" s="1"/>
  <c r="H365" i="13"/>
  <c r="G365" i="13"/>
  <c r="F365" i="13"/>
  <c r="E365" i="13"/>
  <c r="BA365" i="13" s="1"/>
  <c r="C365" i="13"/>
  <c r="AG365" i="13" s="1"/>
  <c r="B365" i="13"/>
  <c r="A365" i="13"/>
  <c r="AQ364" i="13"/>
  <c r="P364" i="13"/>
  <c r="X364" i="13" s="1"/>
  <c r="O364" i="13"/>
  <c r="W364" i="13" s="1"/>
  <c r="N364" i="13"/>
  <c r="V364" i="13" s="1"/>
  <c r="M364" i="13"/>
  <c r="U364" i="13" s="1"/>
  <c r="L364" i="13"/>
  <c r="T364" i="13" s="1"/>
  <c r="K364" i="13"/>
  <c r="S364" i="13" s="1"/>
  <c r="J364" i="13"/>
  <c r="R364" i="13" s="1"/>
  <c r="I364" i="13"/>
  <c r="Q364" i="13" s="1"/>
  <c r="H364" i="13"/>
  <c r="G364" i="13"/>
  <c r="F364" i="13"/>
  <c r="E364" i="13"/>
  <c r="BB364" i="13" s="1"/>
  <c r="C364" i="13"/>
  <c r="AG364" i="13" s="1"/>
  <c r="B364" i="13"/>
  <c r="Z364" i="13" s="1"/>
  <c r="A364" i="13"/>
  <c r="BB363" i="13"/>
  <c r="AQ363" i="13"/>
  <c r="P363" i="13"/>
  <c r="X363" i="13" s="1"/>
  <c r="O363" i="13"/>
  <c r="W363" i="13" s="1"/>
  <c r="N363" i="13"/>
  <c r="V363" i="13" s="1"/>
  <c r="M363" i="13"/>
  <c r="U363" i="13" s="1"/>
  <c r="L363" i="13"/>
  <c r="T363" i="13" s="1"/>
  <c r="K363" i="13"/>
  <c r="S363" i="13" s="1"/>
  <c r="J363" i="13"/>
  <c r="R363" i="13" s="1"/>
  <c r="I363" i="13"/>
  <c r="Q363" i="13" s="1"/>
  <c r="H363" i="13"/>
  <c r="G363" i="13"/>
  <c r="F363" i="13"/>
  <c r="E363" i="13"/>
  <c r="BA363" i="13" s="1"/>
  <c r="C363" i="13"/>
  <c r="AG363" i="13" s="1"/>
  <c r="B363" i="13"/>
  <c r="Z363" i="13" s="1"/>
  <c r="A363" i="13"/>
  <c r="AC363" i="13" s="1"/>
  <c r="AQ362" i="13"/>
  <c r="P362" i="13"/>
  <c r="X362" i="13" s="1"/>
  <c r="O362" i="13"/>
  <c r="W362" i="13" s="1"/>
  <c r="N362" i="13"/>
  <c r="V362" i="13" s="1"/>
  <c r="M362" i="13"/>
  <c r="U362" i="13" s="1"/>
  <c r="L362" i="13"/>
  <c r="T362" i="13" s="1"/>
  <c r="K362" i="13"/>
  <c r="S362" i="13" s="1"/>
  <c r="J362" i="13"/>
  <c r="R362" i="13" s="1"/>
  <c r="I362" i="13"/>
  <c r="Q362" i="13" s="1"/>
  <c r="H362" i="13"/>
  <c r="G362" i="13"/>
  <c r="F362" i="13"/>
  <c r="E362" i="13"/>
  <c r="BA362" i="13" s="1"/>
  <c r="C362" i="13"/>
  <c r="AG362" i="13" s="1"/>
  <c r="B362" i="13"/>
  <c r="A362" i="13"/>
  <c r="AU362" i="13" s="1"/>
  <c r="AQ361" i="13"/>
  <c r="P361" i="13"/>
  <c r="X361" i="13" s="1"/>
  <c r="O361" i="13"/>
  <c r="W361" i="13" s="1"/>
  <c r="N361" i="13"/>
  <c r="V361" i="13" s="1"/>
  <c r="M361" i="13"/>
  <c r="U361" i="13" s="1"/>
  <c r="L361" i="13"/>
  <c r="T361" i="13" s="1"/>
  <c r="K361" i="13"/>
  <c r="S361" i="13" s="1"/>
  <c r="J361" i="13"/>
  <c r="R361" i="13" s="1"/>
  <c r="I361" i="13"/>
  <c r="Q361" i="13" s="1"/>
  <c r="H361" i="13"/>
  <c r="G361" i="13"/>
  <c r="F361" i="13"/>
  <c r="E361" i="13"/>
  <c r="C361" i="13"/>
  <c r="AG361" i="13" s="1"/>
  <c r="B361" i="13"/>
  <c r="A361" i="13"/>
  <c r="AC361" i="13" s="1"/>
  <c r="AQ360" i="13"/>
  <c r="P360" i="13"/>
  <c r="X360" i="13" s="1"/>
  <c r="O360" i="13"/>
  <c r="W360" i="13" s="1"/>
  <c r="N360" i="13"/>
  <c r="V360" i="13" s="1"/>
  <c r="M360" i="13"/>
  <c r="U360" i="13" s="1"/>
  <c r="L360" i="13"/>
  <c r="T360" i="13" s="1"/>
  <c r="K360" i="13"/>
  <c r="S360" i="13" s="1"/>
  <c r="J360" i="13"/>
  <c r="R360" i="13" s="1"/>
  <c r="I360" i="13"/>
  <c r="Q360" i="13" s="1"/>
  <c r="H360" i="13"/>
  <c r="G360" i="13"/>
  <c r="F360" i="13"/>
  <c r="E360" i="13"/>
  <c r="BB360" i="13" s="1"/>
  <c r="C360" i="13"/>
  <c r="AG360" i="13" s="1"/>
  <c r="B360" i="13"/>
  <c r="Z360" i="13" s="1"/>
  <c r="A360" i="13"/>
  <c r="AU360" i="13" s="1"/>
  <c r="AQ359" i="13"/>
  <c r="P359" i="13"/>
  <c r="X359" i="13" s="1"/>
  <c r="O359" i="13"/>
  <c r="W359" i="13" s="1"/>
  <c r="N359" i="13"/>
  <c r="V359" i="13" s="1"/>
  <c r="M359" i="13"/>
  <c r="U359" i="13" s="1"/>
  <c r="L359" i="13"/>
  <c r="T359" i="13" s="1"/>
  <c r="K359" i="13"/>
  <c r="S359" i="13" s="1"/>
  <c r="J359" i="13"/>
  <c r="R359" i="13" s="1"/>
  <c r="I359" i="13"/>
  <c r="Q359" i="13" s="1"/>
  <c r="H359" i="13"/>
  <c r="G359" i="13"/>
  <c r="F359" i="13"/>
  <c r="E359" i="13"/>
  <c r="BA359" i="13" s="1"/>
  <c r="C359" i="13"/>
  <c r="AG359" i="13" s="1"/>
  <c r="B359" i="13"/>
  <c r="Z359" i="13" s="1"/>
  <c r="A359" i="13"/>
  <c r="AU359" i="13" s="1"/>
  <c r="AQ358" i="13"/>
  <c r="P358" i="13"/>
  <c r="X358" i="13" s="1"/>
  <c r="O358" i="13"/>
  <c r="W358" i="13" s="1"/>
  <c r="N358" i="13"/>
  <c r="V358" i="13" s="1"/>
  <c r="M358" i="13"/>
  <c r="U358" i="13" s="1"/>
  <c r="L358" i="13"/>
  <c r="T358" i="13" s="1"/>
  <c r="K358" i="13"/>
  <c r="S358" i="13" s="1"/>
  <c r="J358" i="13"/>
  <c r="R358" i="13" s="1"/>
  <c r="I358" i="13"/>
  <c r="Q358" i="13" s="1"/>
  <c r="H358" i="13"/>
  <c r="G358" i="13"/>
  <c r="F358" i="13"/>
  <c r="E358" i="13"/>
  <c r="BA358" i="13" s="1"/>
  <c r="C358" i="13"/>
  <c r="AG358" i="13" s="1"/>
  <c r="B358" i="13"/>
  <c r="Z358" i="13" s="1"/>
  <c r="A358" i="13"/>
  <c r="AQ357" i="13"/>
  <c r="P357" i="13"/>
  <c r="X357" i="13" s="1"/>
  <c r="O357" i="13"/>
  <c r="W357" i="13" s="1"/>
  <c r="N357" i="13"/>
  <c r="V357" i="13" s="1"/>
  <c r="M357" i="13"/>
  <c r="U357" i="13" s="1"/>
  <c r="L357" i="13"/>
  <c r="T357" i="13" s="1"/>
  <c r="K357" i="13"/>
  <c r="S357" i="13" s="1"/>
  <c r="J357" i="13"/>
  <c r="R357" i="13" s="1"/>
  <c r="I357" i="13"/>
  <c r="Q357" i="13" s="1"/>
  <c r="H357" i="13"/>
  <c r="G357" i="13"/>
  <c r="F357" i="13"/>
  <c r="E357" i="13"/>
  <c r="BA357" i="13" s="1"/>
  <c r="C357" i="13"/>
  <c r="AG357" i="13" s="1"/>
  <c r="B357" i="13"/>
  <c r="A357" i="13"/>
  <c r="AC357" i="13" s="1"/>
  <c r="AQ356" i="13"/>
  <c r="P356" i="13"/>
  <c r="X356" i="13" s="1"/>
  <c r="O356" i="13"/>
  <c r="W356" i="13" s="1"/>
  <c r="N356" i="13"/>
  <c r="V356" i="13" s="1"/>
  <c r="M356" i="13"/>
  <c r="U356" i="13" s="1"/>
  <c r="L356" i="13"/>
  <c r="T356" i="13" s="1"/>
  <c r="K356" i="13"/>
  <c r="S356" i="13" s="1"/>
  <c r="J356" i="13"/>
  <c r="R356" i="13" s="1"/>
  <c r="I356" i="13"/>
  <c r="Q356" i="13" s="1"/>
  <c r="H356" i="13"/>
  <c r="G356" i="13"/>
  <c r="F356" i="13"/>
  <c r="E356" i="13"/>
  <c r="C356" i="13"/>
  <c r="AG356" i="13" s="1"/>
  <c r="B356" i="13"/>
  <c r="Z356" i="13" s="1"/>
  <c r="A356" i="13"/>
  <c r="AQ355" i="13"/>
  <c r="P355" i="13"/>
  <c r="X355" i="13" s="1"/>
  <c r="O355" i="13"/>
  <c r="W355" i="13" s="1"/>
  <c r="N355" i="13"/>
  <c r="V355" i="13" s="1"/>
  <c r="M355" i="13"/>
  <c r="U355" i="13" s="1"/>
  <c r="L355" i="13"/>
  <c r="T355" i="13" s="1"/>
  <c r="K355" i="13"/>
  <c r="S355" i="13" s="1"/>
  <c r="J355" i="13"/>
  <c r="R355" i="13" s="1"/>
  <c r="I355" i="13"/>
  <c r="Q355" i="13" s="1"/>
  <c r="H355" i="13"/>
  <c r="G355" i="13"/>
  <c r="F355" i="13"/>
  <c r="E355" i="13"/>
  <c r="BA355" i="13" s="1"/>
  <c r="C355" i="13"/>
  <c r="AG355" i="13" s="1"/>
  <c r="AM355" i="13" s="1"/>
  <c r="B355" i="13"/>
  <c r="Z355" i="13" s="1"/>
  <c r="A355" i="13"/>
  <c r="AC355" i="13" s="1"/>
  <c r="AQ354" i="13"/>
  <c r="P354" i="13"/>
  <c r="X354" i="13" s="1"/>
  <c r="O354" i="13"/>
  <c r="W354" i="13" s="1"/>
  <c r="N354" i="13"/>
  <c r="V354" i="13" s="1"/>
  <c r="M354" i="13"/>
  <c r="U354" i="13" s="1"/>
  <c r="L354" i="13"/>
  <c r="T354" i="13" s="1"/>
  <c r="K354" i="13"/>
  <c r="S354" i="13" s="1"/>
  <c r="J354" i="13"/>
  <c r="R354" i="13" s="1"/>
  <c r="I354" i="13"/>
  <c r="Q354" i="13" s="1"/>
  <c r="H354" i="13"/>
  <c r="G354" i="13"/>
  <c r="F354" i="13"/>
  <c r="E354" i="13"/>
  <c r="BA354" i="13" s="1"/>
  <c r="C354" i="13"/>
  <c r="AG354" i="13" s="1"/>
  <c r="B354" i="13"/>
  <c r="A354" i="13"/>
  <c r="AU354" i="13" s="1"/>
  <c r="AQ353" i="13"/>
  <c r="S353" i="13"/>
  <c r="P353" i="13"/>
  <c r="X353" i="13" s="1"/>
  <c r="O353" i="13"/>
  <c r="W353" i="13" s="1"/>
  <c r="N353" i="13"/>
  <c r="V353" i="13" s="1"/>
  <c r="M353" i="13"/>
  <c r="U353" i="13" s="1"/>
  <c r="L353" i="13"/>
  <c r="T353" i="13" s="1"/>
  <c r="K353" i="13"/>
  <c r="J353" i="13"/>
  <c r="R353" i="13" s="1"/>
  <c r="I353" i="13"/>
  <c r="Q353" i="13" s="1"/>
  <c r="H353" i="13"/>
  <c r="G353" i="13"/>
  <c r="F353" i="13"/>
  <c r="E353" i="13"/>
  <c r="BA353" i="13" s="1"/>
  <c r="C353" i="13"/>
  <c r="AG353" i="13" s="1"/>
  <c r="AM353" i="13" s="1"/>
  <c r="B353" i="13"/>
  <c r="A353" i="13"/>
  <c r="AC353" i="13" s="1"/>
  <c r="AQ352" i="13"/>
  <c r="AG352" i="13"/>
  <c r="P352" i="13"/>
  <c r="X352" i="13" s="1"/>
  <c r="O352" i="13"/>
  <c r="W352" i="13" s="1"/>
  <c r="N352" i="13"/>
  <c r="V352" i="13" s="1"/>
  <c r="M352" i="13"/>
  <c r="U352" i="13" s="1"/>
  <c r="L352" i="13"/>
  <c r="T352" i="13" s="1"/>
  <c r="K352" i="13"/>
  <c r="S352" i="13" s="1"/>
  <c r="J352" i="13"/>
  <c r="R352" i="13" s="1"/>
  <c r="I352" i="13"/>
  <c r="Q352" i="13" s="1"/>
  <c r="H352" i="13"/>
  <c r="G352" i="13"/>
  <c r="F352" i="13"/>
  <c r="E352" i="13"/>
  <c r="BB352" i="13" s="1"/>
  <c r="C352" i="13"/>
  <c r="B352" i="13"/>
  <c r="Z352" i="13" s="1"/>
  <c r="A352" i="13"/>
  <c r="AU352" i="13" s="1"/>
  <c r="AQ351" i="13"/>
  <c r="P351" i="13"/>
  <c r="X351" i="13" s="1"/>
  <c r="O351" i="13"/>
  <c r="W351" i="13" s="1"/>
  <c r="N351" i="13"/>
  <c r="V351" i="13" s="1"/>
  <c r="M351" i="13"/>
  <c r="U351" i="13" s="1"/>
  <c r="L351" i="13"/>
  <c r="T351" i="13" s="1"/>
  <c r="K351" i="13"/>
  <c r="S351" i="13" s="1"/>
  <c r="J351" i="13"/>
  <c r="R351" i="13" s="1"/>
  <c r="I351" i="13"/>
  <c r="Q351" i="13" s="1"/>
  <c r="H351" i="13"/>
  <c r="G351" i="13"/>
  <c r="F351" i="13"/>
  <c r="E351" i="13"/>
  <c r="C351" i="13"/>
  <c r="AG351" i="13" s="1"/>
  <c r="B351" i="13"/>
  <c r="Z351" i="13" s="1"/>
  <c r="A351" i="13"/>
  <c r="AC351" i="13" s="1"/>
  <c r="AQ350" i="13"/>
  <c r="P350" i="13"/>
  <c r="X350" i="13" s="1"/>
  <c r="O350" i="13"/>
  <c r="W350" i="13" s="1"/>
  <c r="N350" i="13"/>
  <c r="V350" i="13" s="1"/>
  <c r="M350" i="13"/>
  <c r="U350" i="13" s="1"/>
  <c r="L350" i="13"/>
  <c r="T350" i="13" s="1"/>
  <c r="K350" i="13"/>
  <c r="S350" i="13" s="1"/>
  <c r="J350" i="13"/>
  <c r="R350" i="13" s="1"/>
  <c r="I350" i="13"/>
  <c r="Q350" i="13" s="1"/>
  <c r="H350" i="13"/>
  <c r="G350" i="13"/>
  <c r="F350" i="13"/>
  <c r="E350" i="13"/>
  <c r="C350" i="13"/>
  <c r="AG350" i="13" s="1"/>
  <c r="B350" i="13"/>
  <c r="Z350" i="13" s="1"/>
  <c r="A350" i="13"/>
  <c r="AU350" i="13" s="1"/>
  <c r="AQ349" i="13"/>
  <c r="P349" i="13"/>
  <c r="X349" i="13" s="1"/>
  <c r="O349" i="13"/>
  <c r="W349" i="13" s="1"/>
  <c r="N349" i="13"/>
  <c r="V349" i="13" s="1"/>
  <c r="M349" i="13"/>
  <c r="U349" i="13" s="1"/>
  <c r="L349" i="13"/>
  <c r="T349" i="13" s="1"/>
  <c r="K349" i="13"/>
  <c r="S349" i="13" s="1"/>
  <c r="J349" i="13"/>
  <c r="R349" i="13" s="1"/>
  <c r="I349" i="13"/>
  <c r="Q349" i="13" s="1"/>
  <c r="H349" i="13"/>
  <c r="G349" i="13"/>
  <c r="F349" i="13"/>
  <c r="E349" i="13"/>
  <c r="BA349" i="13" s="1"/>
  <c r="C349" i="13"/>
  <c r="AG349" i="13" s="1"/>
  <c r="B349" i="13"/>
  <c r="A349" i="13"/>
  <c r="AC349" i="13" s="1"/>
  <c r="AQ348" i="13"/>
  <c r="P348" i="13"/>
  <c r="X348" i="13" s="1"/>
  <c r="O348" i="13"/>
  <c r="W348" i="13" s="1"/>
  <c r="N348" i="13"/>
  <c r="V348" i="13" s="1"/>
  <c r="M348" i="13"/>
  <c r="U348" i="13" s="1"/>
  <c r="L348" i="13"/>
  <c r="T348" i="13" s="1"/>
  <c r="K348" i="13"/>
  <c r="S348" i="13" s="1"/>
  <c r="J348" i="13"/>
  <c r="R348" i="13" s="1"/>
  <c r="I348" i="13"/>
  <c r="Q348" i="13" s="1"/>
  <c r="H348" i="13"/>
  <c r="G348" i="13"/>
  <c r="F348" i="13"/>
  <c r="E348" i="13"/>
  <c r="BA348" i="13" s="1"/>
  <c r="C348" i="13"/>
  <c r="AG348" i="13" s="1"/>
  <c r="B348" i="13"/>
  <c r="Z348" i="13" s="1"/>
  <c r="A348" i="13"/>
  <c r="AR347" i="13"/>
  <c r="AQ347" i="13"/>
  <c r="P347" i="13"/>
  <c r="X347" i="13" s="1"/>
  <c r="O347" i="13"/>
  <c r="W347" i="13" s="1"/>
  <c r="N347" i="13"/>
  <c r="V347" i="13" s="1"/>
  <c r="M347" i="13"/>
  <c r="U347" i="13" s="1"/>
  <c r="L347" i="13"/>
  <c r="T347" i="13" s="1"/>
  <c r="K347" i="13"/>
  <c r="S347" i="13" s="1"/>
  <c r="J347" i="13"/>
  <c r="R347" i="13" s="1"/>
  <c r="I347" i="13"/>
  <c r="Q347" i="13" s="1"/>
  <c r="H347" i="13"/>
  <c r="G347" i="13"/>
  <c r="F347" i="13"/>
  <c r="E347" i="13"/>
  <c r="BA347" i="13" s="1"/>
  <c r="C347" i="13"/>
  <c r="AG347" i="13" s="1"/>
  <c r="B347" i="13"/>
  <c r="Z347" i="13" s="1"/>
  <c r="A347" i="13"/>
  <c r="AC347" i="13" s="1"/>
  <c r="AQ346" i="13"/>
  <c r="P346" i="13"/>
  <c r="X346" i="13" s="1"/>
  <c r="O346" i="13"/>
  <c r="W346" i="13" s="1"/>
  <c r="N346" i="13"/>
  <c r="V346" i="13" s="1"/>
  <c r="M346" i="13"/>
  <c r="U346" i="13" s="1"/>
  <c r="L346" i="13"/>
  <c r="T346" i="13" s="1"/>
  <c r="K346" i="13"/>
  <c r="S346" i="13" s="1"/>
  <c r="J346" i="13"/>
  <c r="R346" i="13" s="1"/>
  <c r="I346" i="13"/>
  <c r="Q346" i="13" s="1"/>
  <c r="H346" i="13"/>
  <c r="G346" i="13"/>
  <c r="F346" i="13"/>
  <c r="E346" i="13"/>
  <c r="C346" i="13"/>
  <c r="AG346" i="13" s="1"/>
  <c r="B346" i="13"/>
  <c r="A346" i="13"/>
  <c r="AU346" i="13" s="1"/>
  <c r="AQ345" i="13"/>
  <c r="P345" i="13"/>
  <c r="X345" i="13" s="1"/>
  <c r="O345" i="13"/>
  <c r="W345" i="13" s="1"/>
  <c r="N345" i="13"/>
  <c r="V345" i="13" s="1"/>
  <c r="M345" i="13"/>
  <c r="U345" i="13" s="1"/>
  <c r="L345" i="13"/>
  <c r="T345" i="13" s="1"/>
  <c r="K345" i="13"/>
  <c r="S345" i="13" s="1"/>
  <c r="J345" i="13"/>
  <c r="R345" i="13" s="1"/>
  <c r="I345" i="13"/>
  <c r="Q345" i="13" s="1"/>
  <c r="H345" i="13"/>
  <c r="G345" i="13"/>
  <c r="F345" i="13"/>
  <c r="E345" i="13"/>
  <c r="C345" i="13"/>
  <c r="AG345" i="13" s="1"/>
  <c r="AM345" i="13" s="1"/>
  <c r="B345" i="13"/>
  <c r="A345" i="13"/>
  <c r="AC345" i="13" s="1"/>
  <c r="AQ344" i="13"/>
  <c r="P344" i="13"/>
  <c r="X344" i="13" s="1"/>
  <c r="O344" i="13"/>
  <c r="W344" i="13" s="1"/>
  <c r="N344" i="13"/>
  <c r="V344" i="13" s="1"/>
  <c r="M344" i="13"/>
  <c r="U344" i="13" s="1"/>
  <c r="L344" i="13"/>
  <c r="T344" i="13" s="1"/>
  <c r="K344" i="13"/>
  <c r="S344" i="13" s="1"/>
  <c r="J344" i="13"/>
  <c r="R344" i="13" s="1"/>
  <c r="I344" i="13"/>
  <c r="Q344" i="13" s="1"/>
  <c r="H344" i="13"/>
  <c r="G344" i="13"/>
  <c r="F344" i="13"/>
  <c r="E344" i="13"/>
  <c r="C344" i="13"/>
  <c r="AG344" i="13" s="1"/>
  <c r="B344" i="13"/>
  <c r="Z344" i="13" s="1"/>
  <c r="A344" i="13"/>
  <c r="AU344" i="13" s="1"/>
  <c r="AQ343" i="13"/>
  <c r="R343" i="13"/>
  <c r="P343" i="13"/>
  <c r="X343" i="13" s="1"/>
  <c r="O343" i="13"/>
  <c r="W343" i="13" s="1"/>
  <c r="N343" i="13"/>
  <c r="V343" i="13" s="1"/>
  <c r="M343" i="13"/>
  <c r="U343" i="13" s="1"/>
  <c r="L343" i="13"/>
  <c r="T343" i="13" s="1"/>
  <c r="K343" i="13"/>
  <c r="S343" i="13" s="1"/>
  <c r="J343" i="13"/>
  <c r="I343" i="13"/>
  <c r="Q343" i="13" s="1"/>
  <c r="H343" i="13"/>
  <c r="G343" i="13"/>
  <c r="F343" i="13"/>
  <c r="E343" i="13"/>
  <c r="BA343" i="13" s="1"/>
  <c r="C343" i="13"/>
  <c r="AG343" i="13" s="1"/>
  <c r="B343" i="13"/>
  <c r="Z343" i="13" s="1"/>
  <c r="A343" i="13"/>
  <c r="AC343" i="13" s="1"/>
  <c r="BB342" i="13"/>
  <c r="AQ342" i="13"/>
  <c r="P342" i="13"/>
  <c r="X342" i="13" s="1"/>
  <c r="O342" i="13"/>
  <c r="W342" i="13" s="1"/>
  <c r="N342" i="13"/>
  <c r="V342" i="13" s="1"/>
  <c r="M342" i="13"/>
  <c r="U342" i="13" s="1"/>
  <c r="L342" i="13"/>
  <c r="T342" i="13" s="1"/>
  <c r="K342" i="13"/>
  <c r="S342" i="13" s="1"/>
  <c r="J342" i="13"/>
  <c r="R342" i="13" s="1"/>
  <c r="I342" i="13"/>
  <c r="Q342" i="13" s="1"/>
  <c r="H342" i="13"/>
  <c r="G342" i="13"/>
  <c r="F342" i="13"/>
  <c r="E342" i="13"/>
  <c r="BA342" i="13" s="1"/>
  <c r="C342" i="13"/>
  <c r="B342" i="13"/>
  <c r="Z342" i="13" s="1"/>
  <c r="A342" i="13"/>
  <c r="AU342" i="13" s="1"/>
  <c r="AQ341" i="13"/>
  <c r="P341" i="13"/>
  <c r="X341" i="13" s="1"/>
  <c r="O341" i="13"/>
  <c r="W341" i="13" s="1"/>
  <c r="N341" i="13"/>
  <c r="V341" i="13" s="1"/>
  <c r="M341" i="13"/>
  <c r="U341" i="13" s="1"/>
  <c r="L341" i="13"/>
  <c r="T341" i="13" s="1"/>
  <c r="K341" i="13"/>
  <c r="S341" i="13" s="1"/>
  <c r="J341" i="13"/>
  <c r="R341" i="13" s="1"/>
  <c r="I341" i="13"/>
  <c r="Q341" i="13" s="1"/>
  <c r="H341" i="13"/>
  <c r="G341" i="13"/>
  <c r="F341" i="13"/>
  <c r="E341" i="13"/>
  <c r="C341" i="13"/>
  <c r="AG341" i="13" s="1"/>
  <c r="B341" i="13"/>
  <c r="Z341" i="13" s="1"/>
  <c r="A341" i="13"/>
  <c r="AQ340" i="13"/>
  <c r="P340" i="13"/>
  <c r="X340" i="13" s="1"/>
  <c r="O340" i="13"/>
  <c r="W340" i="13" s="1"/>
  <c r="N340" i="13"/>
  <c r="V340" i="13" s="1"/>
  <c r="M340" i="13"/>
  <c r="U340" i="13" s="1"/>
  <c r="L340" i="13"/>
  <c r="T340" i="13" s="1"/>
  <c r="K340" i="13"/>
  <c r="S340" i="13" s="1"/>
  <c r="J340" i="13"/>
  <c r="R340" i="13" s="1"/>
  <c r="I340" i="13"/>
  <c r="Q340" i="13" s="1"/>
  <c r="H340" i="13"/>
  <c r="G340" i="13"/>
  <c r="F340" i="13"/>
  <c r="E340" i="13"/>
  <c r="BB340" i="13" s="1"/>
  <c r="C340" i="13"/>
  <c r="AG340" i="13" s="1"/>
  <c r="B340" i="13"/>
  <c r="Z340" i="13" s="1"/>
  <c r="A340" i="13"/>
  <c r="AQ339" i="13"/>
  <c r="P339" i="13"/>
  <c r="X339" i="13" s="1"/>
  <c r="O339" i="13"/>
  <c r="W339" i="13" s="1"/>
  <c r="N339" i="13"/>
  <c r="V339" i="13" s="1"/>
  <c r="M339" i="13"/>
  <c r="U339" i="13" s="1"/>
  <c r="L339" i="13"/>
  <c r="T339" i="13" s="1"/>
  <c r="K339" i="13"/>
  <c r="S339" i="13" s="1"/>
  <c r="J339" i="13"/>
  <c r="R339" i="13" s="1"/>
  <c r="I339" i="13"/>
  <c r="Q339" i="13" s="1"/>
  <c r="H339" i="13"/>
  <c r="G339" i="13"/>
  <c r="F339" i="13"/>
  <c r="E339" i="13"/>
  <c r="BB339" i="13" s="1"/>
  <c r="C339" i="13"/>
  <c r="AG339" i="13" s="1"/>
  <c r="B339" i="13"/>
  <c r="Z339" i="13" s="1"/>
  <c r="A339" i="13"/>
  <c r="AQ338" i="13"/>
  <c r="P338" i="13"/>
  <c r="X338" i="13" s="1"/>
  <c r="O338" i="13"/>
  <c r="W338" i="13" s="1"/>
  <c r="N338" i="13"/>
  <c r="V338" i="13" s="1"/>
  <c r="M338" i="13"/>
  <c r="U338" i="13" s="1"/>
  <c r="L338" i="13"/>
  <c r="T338" i="13" s="1"/>
  <c r="K338" i="13"/>
  <c r="S338" i="13" s="1"/>
  <c r="J338" i="13"/>
  <c r="R338" i="13" s="1"/>
  <c r="I338" i="13"/>
  <c r="Q338" i="13" s="1"/>
  <c r="H338" i="13"/>
  <c r="G338" i="13"/>
  <c r="F338" i="13"/>
  <c r="E338" i="13"/>
  <c r="BB338" i="13" s="1"/>
  <c r="C338" i="13"/>
  <c r="B338" i="13"/>
  <c r="Z338" i="13" s="1"/>
  <c r="A338" i="13"/>
  <c r="AC338" i="13" s="1"/>
  <c r="AQ337" i="13"/>
  <c r="P337" i="13"/>
  <c r="X337" i="13" s="1"/>
  <c r="O337" i="13"/>
  <c r="W337" i="13" s="1"/>
  <c r="N337" i="13"/>
  <c r="V337" i="13" s="1"/>
  <c r="M337" i="13"/>
  <c r="U337" i="13" s="1"/>
  <c r="L337" i="13"/>
  <c r="T337" i="13" s="1"/>
  <c r="K337" i="13"/>
  <c r="S337" i="13" s="1"/>
  <c r="J337" i="13"/>
  <c r="R337" i="13" s="1"/>
  <c r="I337" i="13"/>
  <c r="Q337" i="13" s="1"/>
  <c r="H337" i="13"/>
  <c r="G337" i="13"/>
  <c r="F337" i="13"/>
  <c r="E337" i="13"/>
  <c r="C337" i="13"/>
  <c r="AG337" i="13" s="1"/>
  <c r="AK337" i="13" s="1"/>
  <c r="B337" i="13"/>
  <c r="Z337" i="13" s="1"/>
  <c r="A337" i="13"/>
  <c r="AQ336" i="13"/>
  <c r="P336" i="13"/>
  <c r="X336" i="13" s="1"/>
  <c r="O336" i="13"/>
  <c r="W336" i="13" s="1"/>
  <c r="N336" i="13"/>
  <c r="V336" i="13" s="1"/>
  <c r="M336" i="13"/>
  <c r="U336" i="13" s="1"/>
  <c r="L336" i="13"/>
  <c r="T336" i="13" s="1"/>
  <c r="K336" i="13"/>
  <c r="S336" i="13" s="1"/>
  <c r="J336" i="13"/>
  <c r="R336" i="13" s="1"/>
  <c r="I336" i="13"/>
  <c r="Q336" i="13" s="1"/>
  <c r="H336" i="13"/>
  <c r="G336" i="13"/>
  <c r="F336" i="13"/>
  <c r="E336" i="13"/>
  <c r="BB336" i="13" s="1"/>
  <c r="C336" i="13"/>
  <c r="AG336" i="13" s="1"/>
  <c r="B336" i="13"/>
  <c r="Z336" i="13" s="1"/>
  <c r="A336" i="13"/>
  <c r="AC336" i="13" s="1"/>
  <c r="AQ335" i="13"/>
  <c r="P335" i="13"/>
  <c r="X335" i="13" s="1"/>
  <c r="O335" i="13"/>
  <c r="W335" i="13" s="1"/>
  <c r="N335" i="13"/>
  <c r="V335" i="13" s="1"/>
  <c r="M335" i="13"/>
  <c r="U335" i="13" s="1"/>
  <c r="L335" i="13"/>
  <c r="T335" i="13" s="1"/>
  <c r="K335" i="13"/>
  <c r="S335" i="13" s="1"/>
  <c r="J335" i="13"/>
  <c r="R335" i="13" s="1"/>
  <c r="I335" i="13"/>
  <c r="Q335" i="13" s="1"/>
  <c r="H335" i="13"/>
  <c r="G335" i="13"/>
  <c r="F335" i="13"/>
  <c r="E335" i="13"/>
  <c r="BB335" i="13" s="1"/>
  <c r="C335" i="13"/>
  <c r="AG335" i="13" s="1"/>
  <c r="B335" i="13"/>
  <c r="Z335" i="13" s="1"/>
  <c r="A335" i="13"/>
  <c r="AQ334" i="13"/>
  <c r="P334" i="13"/>
  <c r="X334" i="13" s="1"/>
  <c r="O334" i="13"/>
  <c r="W334" i="13" s="1"/>
  <c r="N334" i="13"/>
  <c r="V334" i="13" s="1"/>
  <c r="M334" i="13"/>
  <c r="U334" i="13" s="1"/>
  <c r="L334" i="13"/>
  <c r="T334" i="13" s="1"/>
  <c r="K334" i="13"/>
  <c r="S334" i="13" s="1"/>
  <c r="J334" i="13"/>
  <c r="R334" i="13" s="1"/>
  <c r="I334" i="13"/>
  <c r="Q334" i="13" s="1"/>
  <c r="H334" i="13"/>
  <c r="G334" i="13"/>
  <c r="F334" i="13"/>
  <c r="E334" i="13"/>
  <c r="BB334" i="13" s="1"/>
  <c r="C334" i="13"/>
  <c r="B334" i="13"/>
  <c r="Z334" i="13" s="1"/>
  <c r="A334" i="13"/>
  <c r="AU334" i="13" s="1"/>
  <c r="AQ333" i="13"/>
  <c r="P333" i="13"/>
  <c r="X333" i="13" s="1"/>
  <c r="O333" i="13"/>
  <c r="W333" i="13" s="1"/>
  <c r="N333" i="13"/>
  <c r="V333" i="13" s="1"/>
  <c r="M333" i="13"/>
  <c r="U333" i="13" s="1"/>
  <c r="L333" i="13"/>
  <c r="T333" i="13" s="1"/>
  <c r="K333" i="13"/>
  <c r="S333" i="13" s="1"/>
  <c r="J333" i="13"/>
  <c r="R333" i="13" s="1"/>
  <c r="I333" i="13"/>
  <c r="Q333" i="13" s="1"/>
  <c r="H333" i="13"/>
  <c r="G333" i="13"/>
  <c r="F333" i="13"/>
  <c r="E333" i="13"/>
  <c r="BB333" i="13" s="1"/>
  <c r="C333" i="13"/>
  <c r="AG333" i="13" s="1"/>
  <c r="B333" i="13"/>
  <c r="Z333" i="13" s="1"/>
  <c r="A333" i="13"/>
  <c r="AQ332" i="13"/>
  <c r="P332" i="13"/>
  <c r="X332" i="13" s="1"/>
  <c r="O332" i="13"/>
  <c r="W332" i="13" s="1"/>
  <c r="N332" i="13"/>
  <c r="V332" i="13" s="1"/>
  <c r="M332" i="13"/>
  <c r="U332" i="13" s="1"/>
  <c r="L332" i="13"/>
  <c r="T332" i="13" s="1"/>
  <c r="K332" i="13"/>
  <c r="S332" i="13" s="1"/>
  <c r="J332" i="13"/>
  <c r="R332" i="13" s="1"/>
  <c r="I332" i="13"/>
  <c r="Q332" i="13" s="1"/>
  <c r="H332" i="13"/>
  <c r="G332" i="13"/>
  <c r="F332" i="13"/>
  <c r="E332" i="13"/>
  <c r="BB332" i="13" s="1"/>
  <c r="C332" i="13"/>
  <c r="AG332" i="13" s="1"/>
  <c r="B332" i="13"/>
  <c r="Z332" i="13" s="1"/>
  <c r="A332" i="13"/>
  <c r="AU332" i="13" s="1"/>
  <c r="AQ331" i="13"/>
  <c r="P331" i="13"/>
  <c r="X331" i="13" s="1"/>
  <c r="O331" i="13"/>
  <c r="W331" i="13" s="1"/>
  <c r="N331" i="13"/>
  <c r="V331" i="13" s="1"/>
  <c r="M331" i="13"/>
  <c r="U331" i="13" s="1"/>
  <c r="L331" i="13"/>
  <c r="T331" i="13" s="1"/>
  <c r="K331" i="13"/>
  <c r="S331" i="13" s="1"/>
  <c r="J331" i="13"/>
  <c r="R331" i="13" s="1"/>
  <c r="I331" i="13"/>
  <c r="Q331" i="13" s="1"/>
  <c r="H331" i="13"/>
  <c r="G331" i="13"/>
  <c r="F331" i="13"/>
  <c r="E331" i="13"/>
  <c r="BB331" i="13" s="1"/>
  <c r="C331" i="13"/>
  <c r="AG331" i="13" s="1"/>
  <c r="B331" i="13"/>
  <c r="Z331" i="13" s="1"/>
  <c r="A331" i="13"/>
  <c r="AQ330" i="13"/>
  <c r="P330" i="13"/>
  <c r="X330" i="13" s="1"/>
  <c r="O330" i="13"/>
  <c r="W330" i="13" s="1"/>
  <c r="N330" i="13"/>
  <c r="V330" i="13" s="1"/>
  <c r="M330" i="13"/>
  <c r="U330" i="13" s="1"/>
  <c r="L330" i="13"/>
  <c r="T330" i="13" s="1"/>
  <c r="K330" i="13"/>
  <c r="S330" i="13" s="1"/>
  <c r="J330" i="13"/>
  <c r="R330" i="13" s="1"/>
  <c r="I330" i="13"/>
  <c r="Q330" i="13" s="1"/>
  <c r="H330" i="13"/>
  <c r="G330" i="13"/>
  <c r="F330" i="13"/>
  <c r="E330" i="13"/>
  <c r="BB330" i="13" s="1"/>
  <c r="C330" i="13"/>
  <c r="AR330" i="13" s="1"/>
  <c r="B330" i="13"/>
  <c r="Z330" i="13" s="1"/>
  <c r="A330" i="13"/>
  <c r="AC330" i="13" s="1"/>
  <c r="AQ329" i="13"/>
  <c r="P329" i="13"/>
  <c r="X329" i="13" s="1"/>
  <c r="O329" i="13"/>
  <c r="W329" i="13" s="1"/>
  <c r="N329" i="13"/>
  <c r="V329" i="13" s="1"/>
  <c r="M329" i="13"/>
  <c r="U329" i="13" s="1"/>
  <c r="L329" i="13"/>
  <c r="T329" i="13" s="1"/>
  <c r="K329" i="13"/>
  <c r="S329" i="13" s="1"/>
  <c r="J329" i="13"/>
  <c r="R329" i="13" s="1"/>
  <c r="I329" i="13"/>
  <c r="Q329" i="13" s="1"/>
  <c r="H329" i="13"/>
  <c r="G329" i="13"/>
  <c r="F329" i="13"/>
  <c r="E329" i="13"/>
  <c r="C329" i="13"/>
  <c r="AG329" i="13" s="1"/>
  <c r="AK329" i="13" s="1"/>
  <c r="B329" i="13"/>
  <c r="Z329" i="13" s="1"/>
  <c r="A329" i="13"/>
  <c r="AQ328" i="13"/>
  <c r="P328" i="13"/>
  <c r="X328" i="13" s="1"/>
  <c r="O328" i="13"/>
  <c r="W328" i="13" s="1"/>
  <c r="N328" i="13"/>
  <c r="V328" i="13" s="1"/>
  <c r="M328" i="13"/>
  <c r="U328" i="13" s="1"/>
  <c r="L328" i="13"/>
  <c r="T328" i="13" s="1"/>
  <c r="K328" i="13"/>
  <c r="S328" i="13" s="1"/>
  <c r="J328" i="13"/>
  <c r="R328" i="13" s="1"/>
  <c r="I328" i="13"/>
  <c r="Q328" i="13" s="1"/>
  <c r="H328" i="13"/>
  <c r="G328" i="13"/>
  <c r="F328" i="13"/>
  <c r="E328" i="13"/>
  <c r="BB328" i="13" s="1"/>
  <c r="C328" i="13"/>
  <c r="AG328" i="13" s="1"/>
  <c r="B328" i="13"/>
  <c r="Z328" i="13" s="1"/>
  <c r="A328" i="13"/>
  <c r="AU328" i="13" s="1"/>
  <c r="AQ327" i="13"/>
  <c r="P327" i="13"/>
  <c r="X327" i="13" s="1"/>
  <c r="O327" i="13"/>
  <c r="W327" i="13" s="1"/>
  <c r="N327" i="13"/>
  <c r="V327" i="13" s="1"/>
  <c r="M327" i="13"/>
  <c r="U327" i="13" s="1"/>
  <c r="L327" i="13"/>
  <c r="T327" i="13" s="1"/>
  <c r="K327" i="13"/>
  <c r="S327" i="13" s="1"/>
  <c r="J327" i="13"/>
  <c r="R327" i="13" s="1"/>
  <c r="I327" i="13"/>
  <c r="Q327" i="13" s="1"/>
  <c r="H327" i="13"/>
  <c r="G327" i="13"/>
  <c r="F327" i="13"/>
  <c r="E327" i="13"/>
  <c r="BB327" i="13" s="1"/>
  <c r="C327" i="13"/>
  <c r="AG327" i="13" s="1"/>
  <c r="B327" i="13"/>
  <c r="Z327" i="13" s="1"/>
  <c r="A327" i="13"/>
  <c r="AQ326" i="13"/>
  <c r="P326" i="13"/>
  <c r="X326" i="13" s="1"/>
  <c r="O326" i="13"/>
  <c r="W326" i="13" s="1"/>
  <c r="N326" i="13"/>
  <c r="V326" i="13" s="1"/>
  <c r="M326" i="13"/>
  <c r="U326" i="13" s="1"/>
  <c r="L326" i="13"/>
  <c r="T326" i="13" s="1"/>
  <c r="K326" i="13"/>
  <c r="S326" i="13" s="1"/>
  <c r="J326" i="13"/>
  <c r="R326" i="13" s="1"/>
  <c r="I326" i="13"/>
  <c r="Q326" i="13" s="1"/>
  <c r="H326" i="13"/>
  <c r="G326" i="13"/>
  <c r="F326" i="13"/>
  <c r="E326" i="13"/>
  <c r="BB326" i="13" s="1"/>
  <c r="C326" i="13"/>
  <c r="B326" i="13"/>
  <c r="Z326" i="13" s="1"/>
  <c r="A326" i="13"/>
  <c r="AU326" i="13" s="1"/>
  <c r="AQ325" i="13"/>
  <c r="P325" i="13"/>
  <c r="X325" i="13" s="1"/>
  <c r="O325" i="13"/>
  <c r="W325" i="13" s="1"/>
  <c r="N325" i="13"/>
  <c r="V325" i="13" s="1"/>
  <c r="M325" i="13"/>
  <c r="U325" i="13" s="1"/>
  <c r="L325" i="13"/>
  <c r="T325" i="13" s="1"/>
  <c r="K325" i="13"/>
  <c r="S325" i="13" s="1"/>
  <c r="J325" i="13"/>
  <c r="R325" i="13" s="1"/>
  <c r="I325" i="13"/>
  <c r="Q325" i="13" s="1"/>
  <c r="H325" i="13"/>
  <c r="G325" i="13"/>
  <c r="F325" i="13"/>
  <c r="E325" i="13"/>
  <c r="BB325" i="13" s="1"/>
  <c r="C325" i="13"/>
  <c r="AG325" i="13" s="1"/>
  <c r="B325" i="13"/>
  <c r="Z325" i="13" s="1"/>
  <c r="A325" i="13"/>
  <c r="AC325" i="13" s="1"/>
  <c r="AQ324" i="13"/>
  <c r="P324" i="13"/>
  <c r="X324" i="13" s="1"/>
  <c r="O324" i="13"/>
  <c r="W324" i="13" s="1"/>
  <c r="N324" i="13"/>
  <c r="V324" i="13" s="1"/>
  <c r="M324" i="13"/>
  <c r="U324" i="13" s="1"/>
  <c r="L324" i="13"/>
  <c r="T324" i="13" s="1"/>
  <c r="K324" i="13"/>
  <c r="S324" i="13" s="1"/>
  <c r="J324" i="13"/>
  <c r="R324" i="13" s="1"/>
  <c r="I324" i="13"/>
  <c r="Q324" i="13" s="1"/>
  <c r="H324" i="13"/>
  <c r="G324" i="13"/>
  <c r="F324" i="13"/>
  <c r="E324" i="13"/>
  <c r="BB324" i="13" s="1"/>
  <c r="C324" i="13"/>
  <c r="AG324" i="13" s="1"/>
  <c r="AI324" i="13" s="1"/>
  <c r="B324" i="13"/>
  <c r="Z324" i="13" s="1"/>
  <c r="A324" i="13"/>
  <c r="AU324" i="13" s="1"/>
  <c r="AQ323" i="13"/>
  <c r="P323" i="13"/>
  <c r="X323" i="13" s="1"/>
  <c r="O323" i="13"/>
  <c r="W323" i="13" s="1"/>
  <c r="N323" i="13"/>
  <c r="V323" i="13" s="1"/>
  <c r="M323" i="13"/>
  <c r="U323" i="13" s="1"/>
  <c r="L323" i="13"/>
  <c r="T323" i="13" s="1"/>
  <c r="K323" i="13"/>
  <c r="S323" i="13" s="1"/>
  <c r="J323" i="13"/>
  <c r="R323" i="13" s="1"/>
  <c r="I323" i="13"/>
  <c r="Q323" i="13" s="1"/>
  <c r="H323" i="13"/>
  <c r="G323" i="13"/>
  <c r="F323" i="13"/>
  <c r="E323" i="13"/>
  <c r="BB323" i="13" s="1"/>
  <c r="C323" i="13"/>
  <c r="AG323" i="13" s="1"/>
  <c r="B323" i="13"/>
  <c r="Z323" i="13" s="1"/>
  <c r="A323" i="13"/>
  <c r="AQ322" i="13"/>
  <c r="P322" i="13"/>
  <c r="X322" i="13" s="1"/>
  <c r="O322" i="13"/>
  <c r="W322" i="13" s="1"/>
  <c r="N322" i="13"/>
  <c r="V322" i="13" s="1"/>
  <c r="M322" i="13"/>
  <c r="U322" i="13" s="1"/>
  <c r="L322" i="13"/>
  <c r="T322" i="13" s="1"/>
  <c r="K322" i="13"/>
  <c r="S322" i="13" s="1"/>
  <c r="J322" i="13"/>
  <c r="R322" i="13" s="1"/>
  <c r="I322" i="13"/>
  <c r="Q322" i="13" s="1"/>
  <c r="H322" i="13"/>
  <c r="G322" i="13"/>
  <c r="F322" i="13"/>
  <c r="E322" i="13"/>
  <c r="BB322" i="13" s="1"/>
  <c r="C322" i="13"/>
  <c r="B322" i="13"/>
  <c r="Z322" i="13" s="1"/>
  <c r="A322" i="13"/>
  <c r="AQ321" i="13"/>
  <c r="P321" i="13"/>
  <c r="X321" i="13" s="1"/>
  <c r="O321" i="13"/>
  <c r="W321" i="13" s="1"/>
  <c r="N321" i="13"/>
  <c r="V321" i="13" s="1"/>
  <c r="M321" i="13"/>
  <c r="U321" i="13" s="1"/>
  <c r="L321" i="13"/>
  <c r="T321" i="13" s="1"/>
  <c r="K321" i="13"/>
  <c r="S321" i="13" s="1"/>
  <c r="J321" i="13"/>
  <c r="R321" i="13" s="1"/>
  <c r="I321" i="13"/>
  <c r="Q321" i="13" s="1"/>
  <c r="H321" i="13"/>
  <c r="G321" i="13"/>
  <c r="F321" i="13"/>
  <c r="E321" i="13"/>
  <c r="BA321" i="13" s="1"/>
  <c r="C321" i="13"/>
  <c r="AG321" i="13" s="1"/>
  <c r="B321" i="13"/>
  <c r="Z321" i="13" s="1"/>
  <c r="A321" i="13"/>
  <c r="AR321" i="13" s="1"/>
  <c r="AQ320" i="13"/>
  <c r="P320" i="13"/>
  <c r="X320" i="13" s="1"/>
  <c r="O320" i="13"/>
  <c r="W320" i="13" s="1"/>
  <c r="N320" i="13"/>
  <c r="V320" i="13" s="1"/>
  <c r="M320" i="13"/>
  <c r="U320" i="13" s="1"/>
  <c r="L320" i="13"/>
  <c r="T320" i="13" s="1"/>
  <c r="K320" i="13"/>
  <c r="S320" i="13" s="1"/>
  <c r="J320" i="13"/>
  <c r="R320" i="13" s="1"/>
  <c r="I320" i="13"/>
  <c r="Q320" i="13" s="1"/>
  <c r="H320" i="13"/>
  <c r="G320" i="13"/>
  <c r="F320" i="13"/>
  <c r="E320" i="13"/>
  <c r="BB320" i="13" s="1"/>
  <c r="C320" i="13"/>
  <c r="AG320" i="13" s="1"/>
  <c r="AI320" i="13" s="1"/>
  <c r="B320" i="13"/>
  <c r="Z320" i="13" s="1"/>
  <c r="A320" i="13"/>
  <c r="AU320" i="13" s="1"/>
  <c r="AQ319" i="13"/>
  <c r="P319" i="13"/>
  <c r="X319" i="13" s="1"/>
  <c r="O319" i="13"/>
  <c r="W319" i="13" s="1"/>
  <c r="N319" i="13"/>
  <c r="V319" i="13" s="1"/>
  <c r="M319" i="13"/>
  <c r="U319" i="13" s="1"/>
  <c r="L319" i="13"/>
  <c r="T319" i="13" s="1"/>
  <c r="K319" i="13"/>
  <c r="S319" i="13" s="1"/>
  <c r="J319" i="13"/>
  <c r="R319" i="13" s="1"/>
  <c r="I319" i="13"/>
  <c r="Q319" i="13" s="1"/>
  <c r="H319" i="13"/>
  <c r="G319" i="13"/>
  <c r="F319" i="13"/>
  <c r="E319" i="13"/>
  <c r="BB319" i="13" s="1"/>
  <c r="C319" i="13"/>
  <c r="AG319" i="13" s="1"/>
  <c r="B319" i="13"/>
  <c r="Z319" i="13" s="1"/>
  <c r="A319" i="13"/>
  <c r="AQ318" i="13"/>
  <c r="P318" i="13"/>
  <c r="X318" i="13" s="1"/>
  <c r="O318" i="13"/>
  <c r="W318" i="13" s="1"/>
  <c r="N318" i="13"/>
  <c r="V318" i="13" s="1"/>
  <c r="M318" i="13"/>
  <c r="U318" i="13" s="1"/>
  <c r="L318" i="13"/>
  <c r="T318" i="13" s="1"/>
  <c r="K318" i="13"/>
  <c r="S318" i="13" s="1"/>
  <c r="J318" i="13"/>
  <c r="R318" i="13" s="1"/>
  <c r="I318" i="13"/>
  <c r="Q318" i="13" s="1"/>
  <c r="H318" i="13"/>
  <c r="G318" i="13"/>
  <c r="F318" i="13"/>
  <c r="E318" i="13"/>
  <c r="BB318" i="13" s="1"/>
  <c r="C318" i="13"/>
  <c r="AR318" i="13" s="1"/>
  <c r="B318" i="13"/>
  <c r="Z318" i="13" s="1"/>
  <c r="A318" i="13"/>
  <c r="AU318" i="13" s="1"/>
  <c r="AQ317" i="13"/>
  <c r="P317" i="13"/>
  <c r="X317" i="13" s="1"/>
  <c r="O317" i="13"/>
  <c r="W317" i="13" s="1"/>
  <c r="N317" i="13"/>
  <c r="V317" i="13" s="1"/>
  <c r="M317" i="13"/>
  <c r="U317" i="13" s="1"/>
  <c r="L317" i="13"/>
  <c r="T317" i="13" s="1"/>
  <c r="K317" i="13"/>
  <c r="S317" i="13" s="1"/>
  <c r="J317" i="13"/>
  <c r="R317" i="13" s="1"/>
  <c r="I317" i="13"/>
  <c r="Q317" i="13" s="1"/>
  <c r="H317" i="13"/>
  <c r="G317" i="13"/>
  <c r="F317" i="13"/>
  <c r="E317" i="13"/>
  <c r="BB317" i="13" s="1"/>
  <c r="C317" i="13"/>
  <c r="AG317" i="13" s="1"/>
  <c r="AK317" i="13" s="1"/>
  <c r="B317" i="13"/>
  <c r="Z317" i="13" s="1"/>
  <c r="A317" i="13"/>
  <c r="AQ316" i="13"/>
  <c r="P316" i="13"/>
  <c r="X316" i="13" s="1"/>
  <c r="O316" i="13"/>
  <c r="W316" i="13" s="1"/>
  <c r="N316" i="13"/>
  <c r="V316" i="13" s="1"/>
  <c r="M316" i="13"/>
  <c r="U316" i="13" s="1"/>
  <c r="L316" i="13"/>
  <c r="T316" i="13" s="1"/>
  <c r="K316" i="13"/>
  <c r="S316" i="13" s="1"/>
  <c r="J316" i="13"/>
  <c r="R316" i="13" s="1"/>
  <c r="I316" i="13"/>
  <c r="Q316" i="13" s="1"/>
  <c r="H316" i="13"/>
  <c r="G316" i="13"/>
  <c r="F316" i="13"/>
  <c r="E316" i="13"/>
  <c r="BB316" i="13" s="1"/>
  <c r="C316" i="13"/>
  <c r="B316" i="13"/>
  <c r="Z316" i="13" s="1"/>
  <c r="A316" i="13"/>
  <c r="AU316" i="13" s="1"/>
  <c r="AQ315" i="13"/>
  <c r="P315" i="13"/>
  <c r="X315" i="13" s="1"/>
  <c r="O315" i="13"/>
  <c r="W315" i="13" s="1"/>
  <c r="N315" i="13"/>
  <c r="V315" i="13" s="1"/>
  <c r="M315" i="13"/>
  <c r="U315" i="13" s="1"/>
  <c r="L315" i="13"/>
  <c r="T315" i="13" s="1"/>
  <c r="K315" i="13"/>
  <c r="S315" i="13" s="1"/>
  <c r="J315" i="13"/>
  <c r="R315" i="13" s="1"/>
  <c r="I315" i="13"/>
  <c r="Q315" i="13" s="1"/>
  <c r="H315" i="13"/>
  <c r="G315" i="13"/>
  <c r="F315" i="13"/>
  <c r="E315" i="13"/>
  <c r="BB315" i="13" s="1"/>
  <c r="C315" i="13"/>
  <c r="AG315" i="13" s="1"/>
  <c r="B315" i="13"/>
  <c r="Z315" i="13" s="1"/>
  <c r="A315" i="13"/>
  <c r="AQ314" i="13"/>
  <c r="P314" i="13"/>
  <c r="X314" i="13" s="1"/>
  <c r="O314" i="13"/>
  <c r="W314" i="13" s="1"/>
  <c r="N314" i="13"/>
  <c r="V314" i="13" s="1"/>
  <c r="M314" i="13"/>
  <c r="U314" i="13" s="1"/>
  <c r="L314" i="13"/>
  <c r="T314" i="13" s="1"/>
  <c r="K314" i="13"/>
  <c r="S314" i="13" s="1"/>
  <c r="J314" i="13"/>
  <c r="R314" i="13" s="1"/>
  <c r="I314" i="13"/>
  <c r="Q314" i="13" s="1"/>
  <c r="H314" i="13"/>
  <c r="G314" i="13"/>
  <c r="F314" i="13"/>
  <c r="E314" i="13"/>
  <c r="BB314" i="13" s="1"/>
  <c r="C314" i="13"/>
  <c r="B314" i="13"/>
  <c r="Z314" i="13" s="1"/>
  <c r="A314" i="13"/>
  <c r="AU314" i="13" s="1"/>
  <c r="AQ313" i="13"/>
  <c r="P313" i="13"/>
  <c r="X313" i="13" s="1"/>
  <c r="O313" i="13"/>
  <c r="W313" i="13" s="1"/>
  <c r="N313" i="13"/>
  <c r="V313" i="13" s="1"/>
  <c r="M313" i="13"/>
  <c r="U313" i="13" s="1"/>
  <c r="L313" i="13"/>
  <c r="T313" i="13" s="1"/>
  <c r="K313" i="13"/>
  <c r="S313" i="13" s="1"/>
  <c r="J313" i="13"/>
  <c r="R313" i="13" s="1"/>
  <c r="I313" i="13"/>
  <c r="Q313" i="13" s="1"/>
  <c r="H313" i="13"/>
  <c r="G313" i="13"/>
  <c r="F313" i="13"/>
  <c r="E313" i="13"/>
  <c r="BA313" i="13" s="1"/>
  <c r="C313" i="13"/>
  <c r="AG313" i="13" s="1"/>
  <c r="B313" i="13"/>
  <c r="Z313" i="13" s="1"/>
  <c r="A313" i="13"/>
  <c r="AQ312" i="13"/>
  <c r="P312" i="13"/>
  <c r="X312" i="13" s="1"/>
  <c r="O312" i="13"/>
  <c r="W312" i="13" s="1"/>
  <c r="N312" i="13"/>
  <c r="V312" i="13" s="1"/>
  <c r="M312" i="13"/>
  <c r="U312" i="13" s="1"/>
  <c r="L312" i="13"/>
  <c r="T312" i="13" s="1"/>
  <c r="K312" i="13"/>
  <c r="S312" i="13" s="1"/>
  <c r="J312" i="13"/>
  <c r="R312" i="13" s="1"/>
  <c r="I312" i="13"/>
  <c r="Q312" i="13" s="1"/>
  <c r="H312" i="13"/>
  <c r="G312" i="13"/>
  <c r="F312" i="13"/>
  <c r="E312" i="13"/>
  <c r="BB312" i="13" s="1"/>
  <c r="C312" i="13"/>
  <c r="AG312" i="13" s="1"/>
  <c r="B312" i="13"/>
  <c r="Z312" i="13" s="1"/>
  <c r="A312" i="13"/>
  <c r="AU312" i="13" s="1"/>
  <c r="AQ311" i="13"/>
  <c r="P311" i="13"/>
  <c r="X311" i="13" s="1"/>
  <c r="O311" i="13"/>
  <c r="W311" i="13" s="1"/>
  <c r="N311" i="13"/>
  <c r="V311" i="13" s="1"/>
  <c r="M311" i="13"/>
  <c r="U311" i="13" s="1"/>
  <c r="L311" i="13"/>
  <c r="T311" i="13" s="1"/>
  <c r="K311" i="13"/>
  <c r="S311" i="13" s="1"/>
  <c r="J311" i="13"/>
  <c r="R311" i="13" s="1"/>
  <c r="I311" i="13"/>
  <c r="Q311" i="13" s="1"/>
  <c r="H311" i="13"/>
  <c r="G311" i="13"/>
  <c r="F311" i="13"/>
  <c r="E311" i="13"/>
  <c r="BB311" i="13" s="1"/>
  <c r="C311" i="13"/>
  <c r="AG311" i="13" s="1"/>
  <c r="B311" i="13"/>
  <c r="Z311" i="13" s="1"/>
  <c r="A311" i="13"/>
  <c r="AQ310" i="13"/>
  <c r="P310" i="13"/>
  <c r="X310" i="13" s="1"/>
  <c r="O310" i="13"/>
  <c r="W310" i="13" s="1"/>
  <c r="N310" i="13"/>
  <c r="V310" i="13" s="1"/>
  <c r="M310" i="13"/>
  <c r="U310" i="13" s="1"/>
  <c r="L310" i="13"/>
  <c r="T310" i="13" s="1"/>
  <c r="K310" i="13"/>
  <c r="S310" i="13" s="1"/>
  <c r="J310" i="13"/>
  <c r="R310" i="13" s="1"/>
  <c r="I310" i="13"/>
  <c r="Q310" i="13" s="1"/>
  <c r="H310" i="13"/>
  <c r="G310" i="13"/>
  <c r="F310" i="13"/>
  <c r="E310" i="13"/>
  <c r="BB310" i="13" s="1"/>
  <c r="C310" i="13"/>
  <c r="B310" i="13"/>
  <c r="Z310" i="13" s="1"/>
  <c r="A310" i="13"/>
  <c r="AU310" i="13" s="1"/>
  <c r="AQ309" i="13"/>
  <c r="P309" i="13"/>
  <c r="X309" i="13" s="1"/>
  <c r="O309" i="13"/>
  <c r="W309" i="13" s="1"/>
  <c r="N309" i="13"/>
  <c r="V309" i="13" s="1"/>
  <c r="M309" i="13"/>
  <c r="U309" i="13" s="1"/>
  <c r="L309" i="13"/>
  <c r="T309" i="13" s="1"/>
  <c r="K309" i="13"/>
  <c r="S309" i="13" s="1"/>
  <c r="J309" i="13"/>
  <c r="R309" i="13" s="1"/>
  <c r="I309" i="13"/>
  <c r="Q309" i="13" s="1"/>
  <c r="H309" i="13"/>
  <c r="G309" i="13"/>
  <c r="F309" i="13"/>
  <c r="E309" i="13"/>
  <c r="C309" i="13"/>
  <c r="AG309" i="13" s="1"/>
  <c r="AK309" i="13" s="1"/>
  <c r="B309" i="13"/>
  <c r="Z309" i="13" s="1"/>
  <c r="A309" i="13"/>
  <c r="AC309" i="13" s="1"/>
  <c r="AQ308" i="13"/>
  <c r="P308" i="13"/>
  <c r="X308" i="13" s="1"/>
  <c r="O308" i="13"/>
  <c r="W308" i="13" s="1"/>
  <c r="N308" i="13"/>
  <c r="V308" i="13" s="1"/>
  <c r="M308" i="13"/>
  <c r="U308" i="13" s="1"/>
  <c r="L308" i="13"/>
  <c r="T308" i="13" s="1"/>
  <c r="K308" i="13"/>
  <c r="S308" i="13" s="1"/>
  <c r="J308" i="13"/>
  <c r="R308" i="13" s="1"/>
  <c r="I308" i="13"/>
  <c r="Q308" i="13" s="1"/>
  <c r="H308" i="13"/>
  <c r="G308" i="13"/>
  <c r="F308" i="13"/>
  <c r="E308" i="13"/>
  <c r="C308" i="13"/>
  <c r="AG308" i="13" s="1"/>
  <c r="B308" i="13"/>
  <c r="Z308" i="13" s="1"/>
  <c r="A308" i="13"/>
  <c r="AU308" i="13" s="1"/>
  <c r="AQ307" i="13"/>
  <c r="P307" i="13"/>
  <c r="X307" i="13" s="1"/>
  <c r="O307" i="13"/>
  <c r="W307" i="13" s="1"/>
  <c r="N307" i="13"/>
  <c r="V307" i="13" s="1"/>
  <c r="M307" i="13"/>
  <c r="U307" i="13" s="1"/>
  <c r="L307" i="13"/>
  <c r="T307" i="13" s="1"/>
  <c r="K307" i="13"/>
  <c r="S307" i="13" s="1"/>
  <c r="J307" i="13"/>
  <c r="R307" i="13" s="1"/>
  <c r="I307" i="13"/>
  <c r="Q307" i="13" s="1"/>
  <c r="H307" i="13"/>
  <c r="G307" i="13"/>
  <c r="F307" i="13"/>
  <c r="E307" i="13"/>
  <c r="BB307" i="13" s="1"/>
  <c r="C307" i="13"/>
  <c r="AG307" i="13" s="1"/>
  <c r="B307" i="13"/>
  <c r="Z307" i="13" s="1"/>
  <c r="A307" i="13"/>
  <c r="AQ306" i="13"/>
  <c r="P306" i="13"/>
  <c r="X306" i="13" s="1"/>
  <c r="O306" i="13"/>
  <c r="W306" i="13" s="1"/>
  <c r="N306" i="13"/>
  <c r="V306" i="13" s="1"/>
  <c r="M306" i="13"/>
  <c r="U306" i="13" s="1"/>
  <c r="L306" i="13"/>
  <c r="T306" i="13" s="1"/>
  <c r="K306" i="13"/>
  <c r="S306" i="13" s="1"/>
  <c r="J306" i="13"/>
  <c r="R306" i="13" s="1"/>
  <c r="I306" i="13"/>
  <c r="Q306" i="13" s="1"/>
  <c r="H306" i="13"/>
  <c r="G306" i="13"/>
  <c r="F306" i="13"/>
  <c r="E306" i="13"/>
  <c r="BB306" i="13" s="1"/>
  <c r="C306" i="13"/>
  <c r="B306" i="13"/>
  <c r="Z306" i="13" s="1"/>
  <c r="A306" i="13"/>
  <c r="AC306" i="13" s="1"/>
  <c r="AQ305" i="13"/>
  <c r="P305" i="13"/>
  <c r="X305" i="13" s="1"/>
  <c r="O305" i="13"/>
  <c r="W305" i="13" s="1"/>
  <c r="N305" i="13"/>
  <c r="V305" i="13" s="1"/>
  <c r="M305" i="13"/>
  <c r="U305" i="13" s="1"/>
  <c r="L305" i="13"/>
  <c r="T305" i="13" s="1"/>
  <c r="K305" i="13"/>
  <c r="S305" i="13" s="1"/>
  <c r="J305" i="13"/>
  <c r="R305" i="13" s="1"/>
  <c r="I305" i="13"/>
  <c r="Q305" i="13" s="1"/>
  <c r="H305" i="13"/>
  <c r="G305" i="13"/>
  <c r="F305" i="13"/>
  <c r="E305" i="13"/>
  <c r="BB305" i="13" s="1"/>
  <c r="C305" i="13"/>
  <c r="AG305" i="13" s="1"/>
  <c r="AK305" i="13" s="1"/>
  <c r="B305" i="13"/>
  <c r="Z305" i="13" s="1"/>
  <c r="A305" i="13"/>
  <c r="AR305" i="13" s="1"/>
  <c r="AQ304" i="13"/>
  <c r="P304" i="13"/>
  <c r="X304" i="13" s="1"/>
  <c r="O304" i="13"/>
  <c r="W304" i="13" s="1"/>
  <c r="N304" i="13"/>
  <c r="V304" i="13" s="1"/>
  <c r="M304" i="13"/>
  <c r="U304" i="13" s="1"/>
  <c r="L304" i="13"/>
  <c r="T304" i="13" s="1"/>
  <c r="K304" i="13"/>
  <c r="S304" i="13" s="1"/>
  <c r="J304" i="13"/>
  <c r="R304" i="13" s="1"/>
  <c r="I304" i="13"/>
  <c r="Q304" i="13" s="1"/>
  <c r="H304" i="13"/>
  <c r="G304" i="13"/>
  <c r="F304" i="13"/>
  <c r="E304" i="13"/>
  <c r="BB304" i="13" s="1"/>
  <c r="C304" i="13"/>
  <c r="AG304" i="13" s="1"/>
  <c r="B304" i="13"/>
  <c r="Z304" i="13" s="1"/>
  <c r="A304" i="13"/>
  <c r="AQ303" i="13"/>
  <c r="P303" i="13"/>
  <c r="X303" i="13" s="1"/>
  <c r="O303" i="13"/>
  <c r="W303" i="13" s="1"/>
  <c r="N303" i="13"/>
  <c r="V303" i="13" s="1"/>
  <c r="M303" i="13"/>
  <c r="U303" i="13" s="1"/>
  <c r="L303" i="13"/>
  <c r="T303" i="13" s="1"/>
  <c r="K303" i="13"/>
  <c r="S303" i="13" s="1"/>
  <c r="J303" i="13"/>
  <c r="R303" i="13" s="1"/>
  <c r="I303" i="13"/>
  <c r="Q303" i="13" s="1"/>
  <c r="H303" i="13"/>
  <c r="G303" i="13"/>
  <c r="F303" i="13"/>
  <c r="E303" i="13"/>
  <c r="BB303" i="13" s="1"/>
  <c r="C303" i="13"/>
  <c r="AG303" i="13" s="1"/>
  <c r="B303" i="13"/>
  <c r="Z303" i="13" s="1"/>
  <c r="A303" i="13"/>
  <c r="AQ302" i="13"/>
  <c r="P302" i="13"/>
  <c r="X302" i="13" s="1"/>
  <c r="O302" i="13"/>
  <c r="W302" i="13" s="1"/>
  <c r="N302" i="13"/>
  <c r="V302" i="13" s="1"/>
  <c r="M302" i="13"/>
  <c r="U302" i="13" s="1"/>
  <c r="L302" i="13"/>
  <c r="T302" i="13" s="1"/>
  <c r="K302" i="13"/>
  <c r="S302" i="13" s="1"/>
  <c r="J302" i="13"/>
  <c r="R302" i="13" s="1"/>
  <c r="I302" i="13"/>
  <c r="Q302" i="13" s="1"/>
  <c r="H302" i="13"/>
  <c r="G302" i="13"/>
  <c r="F302" i="13"/>
  <c r="E302" i="13"/>
  <c r="C302" i="13"/>
  <c r="B302" i="13"/>
  <c r="Z302" i="13" s="1"/>
  <c r="A302" i="13"/>
  <c r="AC302" i="13" s="1"/>
  <c r="AQ301" i="13"/>
  <c r="P301" i="13"/>
  <c r="X301" i="13" s="1"/>
  <c r="O301" i="13"/>
  <c r="W301" i="13" s="1"/>
  <c r="N301" i="13"/>
  <c r="V301" i="13" s="1"/>
  <c r="M301" i="13"/>
  <c r="U301" i="13" s="1"/>
  <c r="L301" i="13"/>
  <c r="T301" i="13" s="1"/>
  <c r="K301" i="13"/>
  <c r="S301" i="13" s="1"/>
  <c r="J301" i="13"/>
  <c r="R301" i="13" s="1"/>
  <c r="I301" i="13"/>
  <c r="Q301" i="13" s="1"/>
  <c r="H301" i="13"/>
  <c r="G301" i="13"/>
  <c r="F301" i="13"/>
  <c r="E301" i="13"/>
  <c r="BB301" i="13" s="1"/>
  <c r="C301" i="13"/>
  <c r="AG301" i="13" s="1"/>
  <c r="AK301" i="13" s="1"/>
  <c r="B301" i="13"/>
  <c r="Z301" i="13" s="1"/>
  <c r="A301" i="13"/>
  <c r="AQ300" i="13"/>
  <c r="W300" i="13"/>
  <c r="P300" i="13"/>
  <c r="X300" i="13" s="1"/>
  <c r="O300" i="13"/>
  <c r="N300" i="13"/>
  <c r="V300" i="13" s="1"/>
  <c r="M300" i="13"/>
  <c r="U300" i="13" s="1"/>
  <c r="L300" i="13"/>
  <c r="T300" i="13" s="1"/>
  <c r="K300" i="13"/>
  <c r="S300" i="13" s="1"/>
  <c r="J300" i="13"/>
  <c r="R300" i="13" s="1"/>
  <c r="I300" i="13"/>
  <c r="Q300" i="13" s="1"/>
  <c r="H300" i="13"/>
  <c r="G300" i="13"/>
  <c r="F300" i="13"/>
  <c r="E300" i="13"/>
  <c r="BB300" i="13" s="1"/>
  <c r="C300" i="13"/>
  <c r="AG300" i="13" s="1"/>
  <c r="B300" i="13"/>
  <c r="Z300" i="13" s="1"/>
  <c r="A300" i="13"/>
  <c r="AC300" i="13" s="1"/>
  <c r="AQ299" i="13"/>
  <c r="P299" i="13"/>
  <c r="X299" i="13" s="1"/>
  <c r="O299" i="13"/>
  <c r="W299" i="13" s="1"/>
  <c r="N299" i="13"/>
  <c r="V299" i="13" s="1"/>
  <c r="M299" i="13"/>
  <c r="U299" i="13" s="1"/>
  <c r="L299" i="13"/>
  <c r="T299" i="13" s="1"/>
  <c r="K299" i="13"/>
  <c r="S299" i="13" s="1"/>
  <c r="J299" i="13"/>
  <c r="R299" i="13" s="1"/>
  <c r="I299" i="13"/>
  <c r="Q299" i="13" s="1"/>
  <c r="H299" i="13"/>
  <c r="G299" i="13"/>
  <c r="F299" i="13"/>
  <c r="E299" i="13"/>
  <c r="C299" i="13"/>
  <c r="AG299" i="13" s="1"/>
  <c r="B299" i="13"/>
  <c r="Z299" i="13" s="1"/>
  <c r="A299" i="13"/>
  <c r="AU299" i="13" s="1"/>
  <c r="AQ298" i="13"/>
  <c r="P298" i="13"/>
  <c r="X298" i="13" s="1"/>
  <c r="O298" i="13"/>
  <c r="W298" i="13" s="1"/>
  <c r="N298" i="13"/>
  <c r="V298" i="13" s="1"/>
  <c r="M298" i="13"/>
  <c r="U298" i="13" s="1"/>
  <c r="L298" i="13"/>
  <c r="T298" i="13" s="1"/>
  <c r="K298" i="13"/>
  <c r="S298" i="13" s="1"/>
  <c r="J298" i="13"/>
  <c r="R298" i="13" s="1"/>
  <c r="I298" i="13"/>
  <c r="Q298" i="13" s="1"/>
  <c r="H298" i="13"/>
  <c r="G298" i="13"/>
  <c r="F298" i="13"/>
  <c r="E298" i="13"/>
  <c r="BB298" i="13" s="1"/>
  <c r="C298" i="13"/>
  <c r="B298" i="13"/>
  <c r="Z298" i="13" s="1"/>
  <c r="A298" i="13"/>
  <c r="AC298" i="13" s="1"/>
  <c r="AQ297" i="13"/>
  <c r="P297" i="13"/>
  <c r="X297" i="13" s="1"/>
  <c r="O297" i="13"/>
  <c r="W297" i="13" s="1"/>
  <c r="N297" i="13"/>
  <c r="V297" i="13" s="1"/>
  <c r="M297" i="13"/>
  <c r="U297" i="13" s="1"/>
  <c r="L297" i="13"/>
  <c r="T297" i="13" s="1"/>
  <c r="K297" i="13"/>
  <c r="S297" i="13" s="1"/>
  <c r="J297" i="13"/>
  <c r="R297" i="13" s="1"/>
  <c r="I297" i="13"/>
  <c r="Q297" i="13" s="1"/>
  <c r="H297" i="13"/>
  <c r="G297" i="13"/>
  <c r="F297" i="13"/>
  <c r="E297" i="13"/>
  <c r="BB297" i="13" s="1"/>
  <c r="C297" i="13"/>
  <c r="AG297" i="13" s="1"/>
  <c r="B297" i="13"/>
  <c r="Z297" i="13" s="1"/>
  <c r="A297" i="13"/>
  <c r="AR296" i="13"/>
  <c r="AQ296" i="13"/>
  <c r="P296" i="13"/>
  <c r="X296" i="13" s="1"/>
  <c r="O296" i="13"/>
  <c r="W296" i="13" s="1"/>
  <c r="N296" i="13"/>
  <c r="V296" i="13" s="1"/>
  <c r="M296" i="13"/>
  <c r="U296" i="13" s="1"/>
  <c r="L296" i="13"/>
  <c r="T296" i="13" s="1"/>
  <c r="K296" i="13"/>
  <c r="S296" i="13" s="1"/>
  <c r="J296" i="13"/>
  <c r="R296" i="13" s="1"/>
  <c r="I296" i="13"/>
  <c r="Q296" i="13" s="1"/>
  <c r="H296" i="13"/>
  <c r="G296" i="13"/>
  <c r="F296" i="13"/>
  <c r="E296" i="13"/>
  <c r="BB296" i="13" s="1"/>
  <c r="C296" i="13"/>
  <c r="AG296" i="13" s="1"/>
  <c r="B296" i="13"/>
  <c r="Z296" i="13" s="1"/>
  <c r="A296" i="13"/>
  <c r="AC296" i="13" s="1"/>
  <c r="AQ295" i="13"/>
  <c r="P295" i="13"/>
  <c r="X295" i="13" s="1"/>
  <c r="O295" i="13"/>
  <c r="W295" i="13" s="1"/>
  <c r="N295" i="13"/>
  <c r="V295" i="13" s="1"/>
  <c r="M295" i="13"/>
  <c r="U295" i="13" s="1"/>
  <c r="L295" i="13"/>
  <c r="T295" i="13" s="1"/>
  <c r="K295" i="13"/>
  <c r="S295" i="13" s="1"/>
  <c r="J295" i="13"/>
  <c r="R295" i="13" s="1"/>
  <c r="I295" i="13"/>
  <c r="Q295" i="13" s="1"/>
  <c r="H295" i="13"/>
  <c r="G295" i="13"/>
  <c r="F295" i="13"/>
  <c r="E295" i="13"/>
  <c r="BB295" i="13" s="1"/>
  <c r="C295" i="13"/>
  <c r="AG295" i="13" s="1"/>
  <c r="AK295" i="13" s="1"/>
  <c r="B295" i="13"/>
  <c r="Z295" i="13" s="1"/>
  <c r="A295" i="13"/>
  <c r="AU295" i="13" s="1"/>
  <c r="AQ294" i="13"/>
  <c r="P294" i="13"/>
  <c r="X294" i="13" s="1"/>
  <c r="O294" i="13"/>
  <c r="W294" i="13" s="1"/>
  <c r="N294" i="13"/>
  <c r="V294" i="13" s="1"/>
  <c r="M294" i="13"/>
  <c r="U294" i="13" s="1"/>
  <c r="L294" i="13"/>
  <c r="T294" i="13" s="1"/>
  <c r="K294" i="13"/>
  <c r="S294" i="13" s="1"/>
  <c r="J294" i="13"/>
  <c r="R294" i="13" s="1"/>
  <c r="I294" i="13"/>
  <c r="Q294" i="13" s="1"/>
  <c r="H294" i="13"/>
  <c r="G294" i="13"/>
  <c r="F294" i="13"/>
  <c r="E294" i="13"/>
  <c r="BB294" i="13" s="1"/>
  <c r="C294" i="13"/>
  <c r="B294" i="13"/>
  <c r="Z294" i="13" s="1"/>
  <c r="A294" i="13"/>
  <c r="AU294" i="13" s="1"/>
  <c r="AQ293" i="13"/>
  <c r="P293" i="13"/>
  <c r="X293" i="13" s="1"/>
  <c r="O293" i="13"/>
  <c r="W293" i="13" s="1"/>
  <c r="N293" i="13"/>
  <c r="V293" i="13" s="1"/>
  <c r="M293" i="13"/>
  <c r="U293" i="13" s="1"/>
  <c r="L293" i="13"/>
  <c r="T293" i="13" s="1"/>
  <c r="K293" i="13"/>
  <c r="S293" i="13" s="1"/>
  <c r="J293" i="13"/>
  <c r="R293" i="13" s="1"/>
  <c r="I293" i="13"/>
  <c r="Q293" i="13" s="1"/>
  <c r="H293" i="13"/>
  <c r="G293" i="13"/>
  <c r="F293" i="13"/>
  <c r="E293" i="13"/>
  <c r="BA293" i="13" s="1"/>
  <c r="C293" i="13"/>
  <c r="AG293" i="13" s="1"/>
  <c r="AL293" i="13" s="1"/>
  <c r="B293" i="13"/>
  <c r="Z293" i="13" s="1"/>
  <c r="A293" i="13"/>
  <c r="AC293" i="13" s="1"/>
  <c r="AQ292" i="13"/>
  <c r="P292" i="13"/>
  <c r="X292" i="13" s="1"/>
  <c r="O292" i="13"/>
  <c r="W292" i="13" s="1"/>
  <c r="N292" i="13"/>
  <c r="V292" i="13" s="1"/>
  <c r="M292" i="13"/>
  <c r="U292" i="13" s="1"/>
  <c r="L292" i="13"/>
  <c r="T292" i="13" s="1"/>
  <c r="K292" i="13"/>
  <c r="S292" i="13" s="1"/>
  <c r="J292" i="13"/>
  <c r="R292" i="13" s="1"/>
  <c r="I292" i="13"/>
  <c r="Q292" i="13" s="1"/>
  <c r="H292" i="13"/>
  <c r="G292" i="13"/>
  <c r="F292" i="13"/>
  <c r="E292" i="13"/>
  <c r="BB292" i="13" s="1"/>
  <c r="C292" i="13"/>
  <c r="AG292" i="13" s="1"/>
  <c r="B292" i="13"/>
  <c r="Z292" i="13" s="1"/>
  <c r="A292" i="13"/>
  <c r="AC292" i="13" s="1"/>
  <c r="AQ291" i="13"/>
  <c r="P291" i="13"/>
  <c r="X291" i="13" s="1"/>
  <c r="O291" i="13"/>
  <c r="W291" i="13" s="1"/>
  <c r="N291" i="13"/>
  <c r="V291" i="13" s="1"/>
  <c r="M291" i="13"/>
  <c r="U291" i="13" s="1"/>
  <c r="L291" i="13"/>
  <c r="T291" i="13" s="1"/>
  <c r="K291" i="13"/>
  <c r="S291" i="13" s="1"/>
  <c r="J291" i="13"/>
  <c r="R291" i="13" s="1"/>
  <c r="I291" i="13"/>
  <c r="Q291" i="13" s="1"/>
  <c r="H291" i="13"/>
  <c r="G291" i="13"/>
  <c r="F291" i="13"/>
  <c r="E291" i="13"/>
  <c r="BB291" i="13" s="1"/>
  <c r="C291" i="13"/>
  <c r="AG291" i="13" s="1"/>
  <c r="B291" i="13"/>
  <c r="Z291" i="13" s="1"/>
  <c r="A291" i="13"/>
  <c r="AQ290" i="13"/>
  <c r="P290" i="13"/>
  <c r="X290" i="13" s="1"/>
  <c r="O290" i="13"/>
  <c r="W290" i="13" s="1"/>
  <c r="N290" i="13"/>
  <c r="V290" i="13" s="1"/>
  <c r="M290" i="13"/>
  <c r="U290" i="13" s="1"/>
  <c r="L290" i="13"/>
  <c r="T290" i="13" s="1"/>
  <c r="K290" i="13"/>
  <c r="S290" i="13" s="1"/>
  <c r="J290" i="13"/>
  <c r="R290" i="13" s="1"/>
  <c r="I290" i="13"/>
  <c r="Q290" i="13" s="1"/>
  <c r="H290" i="13"/>
  <c r="G290" i="13"/>
  <c r="F290" i="13"/>
  <c r="E290" i="13"/>
  <c r="BB290" i="13" s="1"/>
  <c r="C290" i="13"/>
  <c r="B290" i="13"/>
  <c r="Z290" i="13" s="1"/>
  <c r="A290" i="13"/>
  <c r="AU290" i="13" s="1"/>
  <c r="AQ289" i="13"/>
  <c r="P289" i="13"/>
  <c r="X289" i="13" s="1"/>
  <c r="O289" i="13"/>
  <c r="W289" i="13" s="1"/>
  <c r="N289" i="13"/>
  <c r="V289" i="13" s="1"/>
  <c r="M289" i="13"/>
  <c r="U289" i="13" s="1"/>
  <c r="L289" i="13"/>
  <c r="T289" i="13" s="1"/>
  <c r="K289" i="13"/>
  <c r="S289" i="13" s="1"/>
  <c r="J289" i="13"/>
  <c r="R289" i="13" s="1"/>
  <c r="I289" i="13"/>
  <c r="Q289" i="13" s="1"/>
  <c r="H289" i="13"/>
  <c r="G289" i="13"/>
  <c r="F289" i="13"/>
  <c r="E289" i="13"/>
  <c r="BB289" i="13" s="1"/>
  <c r="C289" i="13"/>
  <c r="AG289" i="13" s="1"/>
  <c r="B289" i="13"/>
  <c r="Z289" i="13" s="1"/>
  <c r="A289" i="13"/>
  <c r="AC289" i="13" s="1"/>
  <c r="AQ288" i="13"/>
  <c r="P288" i="13"/>
  <c r="X288" i="13" s="1"/>
  <c r="O288" i="13"/>
  <c r="W288" i="13" s="1"/>
  <c r="N288" i="13"/>
  <c r="V288" i="13" s="1"/>
  <c r="M288" i="13"/>
  <c r="U288" i="13" s="1"/>
  <c r="L288" i="13"/>
  <c r="T288" i="13" s="1"/>
  <c r="K288" i="13"/>
  <c r="S288" i="13" s="1"/>
  <c r="J288" i="13"/>
  <c r="R288" i="13" s="1"/>
  <c r="I288" i="13"/>
  <c r="Q288" i="13" s="1"/>
  <c r="H288" i="13"/>
  <c r="G288" i="13"/>
  <c r="F288" i="13"/>
  <c r="E288" i="13"/>
  <c r="BB288" i="13" s="1"/>
  <c r="C288" i="13"/>
  <c r="AG288" i="13" s="1"/>
  <c r="B288" i="13"/>
  <c r="Z288" i="13" s="1"/>
  <c r="A288" i="13"/>
  <c r="AC288" i="13" s="1"/>
  <c r="AQ287" i="13"/>
  <c r="P287" i="13"/>
  <c r="X287" i="13" s="1"/>
  <c r="O287" i="13"/>
  <c r="W287" i="13" s="1"/>
  <c r="N287" i="13"/>
  <c r="V287" i="13" s="1"/>
  <c r="M287" i="13"/>
  <c r="U287" i="13" s="1"/>
  <c r="L287" i="13"/>
  <c r="T287" i="13" s="1"/>
  <c r="K287" i="13"/>
  <c r="S287" i="13" s="1"/>
  <c r="J287" i="13"/>
  <c r="R287" i="13" s="1"/>
  <c r="I287" i="13"/>
  <c r="Q287" i="13" s="1"/>
  <c r="H287" i="13"/>
  <c r="G287" i="13"/>
  <c r="F287" i="13"/>
  <c r="E287" i="13"/>
  <c r="BB287" i="13" s="1"/>
  <c r="C287" i="13"/>
  <c r="AG287" i="13" s="1"/>
  <c r="B287" i="13"/>
  <c r="Z287" i="13" s="1"/>
  <c r="A287" i="13"/>
  <c r="AC287" i="13" s="1"/>
  <c r="AQ286" i="13"/>
  <c r="T286" i="13"/>
  <c r="P286" i="13"/>
  <c r="X286" i="13" s="1"/>
  <c r="O286" i="13"/>
  <c r="W286" i="13" s="1"/>
  <c r="N286" i="13"/>
  <c r="V286" i="13" s="1"/>
  <c r="M286" i="13"/>
  <c r="U286" i="13" s="1"/>
  <c r="L286" i="13"/>
  <c r="K286" i="13"/>
  <c r="S286" i="13" s="1"/>
  <c r="J286" i="13"/>
  <c r="R286" i="13" s="1"/>
  <c r="I286" i="13"/>
  <c r="Q286" i="13" s="1"/>
  <c r="H286" i="13"/>
  <c r="G286" i="13"/>
  <c r="F286" i="13"/>
  <c r="E286" i="13"/>
  <c r="BB286" i="13" s="1"/>
  <c r="C286" i="13"/>
  <c r="AG286" i="13" s="1"/>
  <c r="B286" i="13"/>
  <c r="Z286" i="13" s="1"/>
  <c r="A286" i="13"/>
  <c r="AQ285" i="13"/>
  <c r="P285" i="13"/>
  <c r="X285" i="13" s="1"/>
  <c r="O285" i="13"/>
  <c r="W285" i="13" s="1"/>
  <c r="N285" i="13"/>
  <c r="V285" i="13" s="1"/>
  <c r="M285" i="13"/>
  <c r="U285" i="13" s="1"/>
  <c r="L285" i="13"/>
  <c r="T285" i="13" s="1"/>
  <c r="K285" i="13"/>
  <c r="S285" i="13" s="1"/>
  <c r="J285" i="13"/>
  <c r="R285" i="13" s="1"/>
  <c r="I285" i="13"/>
  <c r="Q285" i="13" s="1"/>
  <c r="H285" i="13"/>
  <c r="G285" i="13"/>
  <c r="F285" i="13"/>
  <c r="E285" i="13"/>
  <c r="BB285" i="13" s="1"/>
  <c r="C285" i="13"/>
  <c r="AG285" i="13" s="1"/>
  <c r="B285" i="13"/>
  <c r="Z285" i="13" s="1"/>
  <c r="A285" i="13"/>
  <c r="AU285" i="13" s="1"/>
  <c r="AQ284" i="13"/>
  <c r="P284" i="13"/>
  <c r="X284" i="13" s="1"/>
  <c r="O284" i="13"/>
  <c r="W284" i="13" s="1"/>
  <c r="N284" i="13"/>
  <c r="V284" i="13" s="1"/>
  <c r="M284" i="13"/>
  <c r="U284" i="13" s="1"/>
  <c r="L284" i="13"/>
  <c r="T284" i="13" s="1"/>
  <c r="K284" i="13"/>
  <c r="S284" i="13" s="1"/>
  <c r="J284" i="13"/>
  <c r="R284" i="13" s="1"/>
  <c r="I284" i="13"/>
  <c r="Q284" i="13" s="1"/>
  <c r="H284" i="13"/>
  <c r="G284" i="13"/>
  <c r="F284" i="13"/>
  <c r="E284" i="13"/>
  <c r="BB284" i="13" s="1"/>
  <c r="C284" i="13"/>
  <c r="AG284" i="13" s="1"/>
  <c r="B284" i="13"/>
  <c r="Z284" i="13" s="1"/>
  <c r="A284" i="13"/>
  <c r="AQ283" i="13"/>
  <c r="P283" i="13"/>
  <c r="X283" i="13" s="1"/>
  <c r="O283" i="13"/>
  <c r="W283" i="13" s="1"/>
  <c r="N283" i="13"/>
  <c r="V283" i="13" s="1"/>
  <c r="M283" i="13"/>
  <c r="U283" i="13" s="1"/>
  <c r="L283" i="13"/>
  <c r="T283" i="13" s="1"/>
  <c r="K283" i="13"/>
  <c r="S283" i="13" s="1"/>
  <c r="J283" i="13"/>
  <c r="R283" i="13" s="1"/>
  <c r="I283" i="13"/>
  <c r="Q283" i="13" s="1"/>
  <c r="H283" i="13"/>
  <c r="G283" i="13"/>
  <c r="F283" i="13"/>
  <c r="E283" i="13"/>
  <c r="BB283" i="13" s="1"/>
  <c r="C283" i="13"/>
  <c r="AG283" i="13" s="1"/>
  <c r="B283" i="13"/>
  <c r="Z283" i="13" s="1"/>
  <c r="A283" i="13"/>
  <c r="AU283" i="13" s="1"/>
  <c r="AQ282" i="13"/>
  <c r="P282" i="13"/>
  <c r="X282" i="13" s="1"/>
  <c r="O282" i="13"/>
  <c r="W282" i="13" s="1"/>
  <c r="N282" i="13"/>
  <c r="V282" i="13" s="1"/>
  <c r="M282" i="13"/>
  <c r="U282" i="13" s="1"/>
  <c r="L282" i="13"/>
  <c r="T282" i="13" s="1"/>
  <c r="K282" i="13"/>
  <c r="S282" i="13" s="1"/>
  <c r="J282" i="13"/>
  <c r="R282" i="13" s="1"/>
  <c r="I282" i="13"/>
  <c r="Q282" i="13" s="1"/>
  <c r="H282" i="13"/>
  <c r="G282" i="13"/>
  <c r="F282" i="13"/>
  <c r="E282" i="13"/>
  <c r="BB282" i="13" s="1"/>
  <c r="C282" i="13"/>
  <c r="AG282" i="13" s="1"/>
  <c r="B282" i="13"/>
  <c r="Z282" i="13" s="1"/>
  <c r="A282" i="13"/>
  <c r="AQ281" i="13"/>
  <c r="P281" i="13"/>
  <c r="X281" i="13" s="1"/>
  <c r="O281" i="13"/>
  <c r="W281" i="13" s="1"/>
  <c r="N281" i="13"/>
  <c r="V281" i="13" s="1"/>
  <c r="M281" i="13"/>
  <c r="U281" i="13" s="1"/>
  <c r="L281" i="13"/>
  <c r="T281" i="13" s="1"/>
  <c r="K281" i="13"/>
  <c r="S281" i="13" s="1"/>
  <c r="J281" i="13"/>
  <c r="R281" i="13" s="1"/>
  <c r="I281" i="13"/>
  <c r="Q281" i="13" s="1"/>
  <c r="H281" i="13"/>
  <c r="G281" i="13"/>
  <c r="F281" i="13"/>
  <c r="E281" i="13"/>
  <c r="BB281" i="13" s="1"/>
  <c r="C281" i="13"/>
  <c r="AG281" i="13" s="1"/>
  <c r="B281" i="13"/>
  <c r="Z281" i="13" s="1"/>
  <c r="A281" i="13"/>
  <c r="AU281" i="13" s="1"/>
  <c r="AQ280" i="13"/>
  <c r="P280" i="13"/>
  <c r="X280" i="13" s="1"/>
  <c r="O280" i="13"/>
  <c r="W280" i="13" s="1"/>
  <c r="N280" i="13"/>
  <c r="V280" i="13" s="1"/>
  <c r="M280" i="13"/>
  <c r="U280" i="13" s="1"/>
  <c r="L280" i="13"/>
  <c r="T280" i="13" s="1"/>
  <c r="K280" i="13"/>
  <c r="S280" i="13" s="1"/>
  <c r="J280" i="13"/>
  <c r="R280" i="13" s="1"/>
  <c r="I280" i="13"/>
  <c r="Q280" i="13" s="1"/>
  <c r="H280" i="13"/>
  <c r="G280" i="13"/>
  <c r="F280" i="13"/>
  <c r="E280" i="13"/>
  <c r="BB280" i="13" s="1"/>
  <c r="C280" i="13"/>
  <c r="B280" i="13"/>
  <c r="Z280" i="13" s="1"/>
  <c r="A280" i="13"/>
  <c r="AC280" i="13" s="1"/>
  <c r="AQ279" i="13"/>
  <c r="P279" i="13"/>
  <c r="X279" i="13" s="1"/>
  <c r="O279" i="13"/>
  <c r="W279" i="13" s="1"/>
  <c r="N279" i="13"/>
  <c r="V279" i="13" s="1"/>
  <c r="M279" i="13"/>
  <c r="U279" i="13" s="1"/>
  <c r="L279" i="13"/>
  <c r="T279" i="13" s="1"/>
  <c r="K279" i="13"/>
  <c r="S279" i="13" s="1"/>
  <c r="J279" i="13"/>
  <c r="R279" i="13" s="1"/>
  <c r="I279" i="13"/>
  <c r="Q279" i="13" s="1"/>
  <c r="H279" i="13"/>
  <c r="G279" i="13"/>
  <c r="F279" i="13"/>
  <c r="E279" i="13"/>
  <c r="BB279" i="13" s="1"/>
  <c r="C279" i="13"/>
  <c r="AG279" i="13" s="1"/>
  <c r="B279" i="13"/>
  <c r="Z279" i="13" s="1"/>
  <c r="A279" i="13"/>
  <c r="AC279" i="13" s="1"/>
  <c r="AQ278" i="13"/>
  <c r="P278" i="13"/>
  <c r="X278" i="13" s="1"/>
  <c r="O278" i="13"/>
  <c r="W278" i="13" s="1"/>
  <c r="N278" i="13"/>
  <c r="V278" i="13" s="1"/>
  <c r="M278" i="13"/>
  <c r="U278" i="13" s="1"/>
  <c r="L278" i="13"/>
  <c r="T278" i="13" s="1"/>
  <c r="K278" i="13"/>
  <c r="S278" i="13" s="1"/>
  <c r="J278" i="13"/>
  <c r="R278" i="13" s="1"/>
  <c r="I278" i="13"/>
  <c r="Q278" i="13" s="1"/>
  <c r="H278" i="13"/>
  <c r="G278" i="13"/>
  <c r="F278" i="13"/>
  <c r="E278" i="13"/>
  <c r="C278" i="13"/>
  <c r="B278" i="13"/>
  <c r="Z278" i="13" s="1"/>
  <c r="A278" i="13"/>
  <c r="AC278" i="13" s="1"/>
  <c r="AQ277" i="13"/>
  <c r="P277" i="13"/>
  <c r="X277" i="13" s="1"/>
  <c r="O277" i="13"/>
  <c r="W277" i="13" s="1"/>
  <c r="N277" i="13"/>
  <c r="V277" i="13" s="1"/>
  <c r="M277" i="13"/>
  <c r="U277" i="13" s="1"/>
  <c r="L277" i="13"/>
  <c r="T277" i="13" s="1"/>
  <c r="K277" i="13"/>
  <c r="S277" i="13" s="1"/>
  <c r="J277" i="13"/>
  <c r="R277" i="13" s="1"/>
  <c r="I277" i="13"/>
  <c r="Q277" i="13" s="1"/>
  <c r="H277" i="13"/>
  <c r="G277" i="13"/>
  <c r="F277" i="13"/>
  <c r="E277" i="13"/>
  <c r="BB277" i="13" s="1"/>
  <c r="C277" i="13"/>
  <c r="AG277" i="13" s="1"/>
  <c r="AK277" i="13" s="1"/>
  <c r="B277" i="13"/>
  <c r="Z277" i="13" s="1"/>
  <c r="A277" i="13"/>
  <c r="AQ276" i="13"/>
  <c r="AG276" i="13"/>
  <c r="P276" i="13"/>
  <c r="X276" i="13" s="1"/>
  <c r="O276" i="13"/>
  <c r="W276" i="13" s="1"/>
  <c r="N276" i="13"/>
  <c r="V276" i="13" s="1"/>
  <c r="M276" i="13"/>
  <c r="U276" i="13" s="1"/>
  <c r="L276" i="13"/>
  <c r="T276" i="13" s="1"/>
  <c r="K276" i="13"/>
  <c r="S276" i="13" s="1"/>
  <c r="J276" i="13"/>
  <c r="R276" i="13" s="1"/>
  <c r="I276" i="13"/>
  <c r="Q276" i="13" s="1"/>
  <c r="H276" i="13"/>
  <c r="G276" i="13"/>
  <c r="F276" i="13"/>
  <c r="E276" i="13"/>
  <c r="BB276" i="13" s="1"/>
  <c r="C276" i="13"/>
  <c r="B276" i="13"/>
  <c r="Z276" i="13" s="1"/>
  <c r="A276" i="13"/>
  <c r="AQ275" i="13"/>
  <c r="P275" i="13"/>
  <c r="X275" i="13" s="1"/>
  <c r="O275" i="13"/>
  <c r="W275" i="13" s="1"/>
  <c r="N275" i="13"/>
  <c r="V275" i="13" s="1"/>
  <c r="M275" i="13"/>
  <c r="U275" i="13" s="1"/>
  <c r="L275" i="13"/>
  <c r="T275" i="13" s="1"/>
  <c r="K275" i="13"/>
  <c r="S275" i="13" s="1"/>
  <c r="J275" i="13"/>
  <c r="R275" i="13" s="1"/>
  <c r="I275" i="13"/>
  <c r="Q275" i="13" s="1"/>
  <c r="H275" i="13"/>
  <c r="G275" i="13"/>
  <c r="F275" i="13"/>
  <c r="E275" i="13"/>
  <c r="BB275" i="13" s="1"/>
  <c r="C275" i="13"/>
  <c r="AG275" i="13" s="1"/>
  <c r="B275" i="13"/>
  <c r="Z275" i="13" s="1"/>
  <c r="A275" i="13"/>
  <c r="AQ274" i="13"/>
  <c r="P274" i="13"/>
  <c r="X274" i="13" s="1"/>
  <c r="O274" i="13"/>
  <c r="W274" i="13" s="1"/>
  <c r="N274" i="13"/>
  <c r="V274" i="13" s="1"/>
  <c r="M274" i="13"/>
  <c r="U274" i="13" s="1"/>
  <c r="L274" i="13"/>
  <c r="T274" i="13" s="1"/>
  <c r="K274" i="13"/>
  <c r="S274" i="13" s="1"/>
  <c r="J274" i="13"/>
  <c r="R274" i="13" s="1"/>
  <c r="I274" i="13"/>
  <c r="Q274" i="13" s="1"/>
  <c r="H274" i="13"/>
  <c r="G274" i="13"/>
  <c r="F274" i="13"/>
  <c r="E274" i="13"/>
  <c r="C274" i="13"/>
  <c r="AG274" i="13" s="1"/>
  <c r="B274" i="13"/>
  <c r="Z274" i="13" s="1"/>
  <c r="A274" i="13"/>
  <c r="AC274" i="13" s="1"/>
  <c r="AQ273" i="13"/>
  <c r="P273" i="13"/>
  <c r="X273" i="13" s="1"/>
  <c r="O273" i="13"/>
  <c r="W273" i="13" s="1"/>
  <c r="N273" i="13"/>
  <c r="V273" i="13" s="1"/>
  <c r="M273" i="13"/>
  <c r="U273" i="13" s="1"/>
  <c r="L273" i="13"/>
  <c r="T273" i="13" s="1"/>
  <c r="K273" i="13"/>
  <c r="S273" i="13" s="1"/>
  <c r="J273" i="13"/>
  <c r="R273" i="13" s="1"/>
  <c r="I273" i="13"/>
  <c r="Q273" i="13" s="1"/>
  <c r="H273" i="13"/>
  <c r="G273" i="13"/>
  <c r="F273" i="13"/>
  <c r="E273" i="13"/>
  <c r="BA273" i="13" s="1"/>
  <c r="C273" i="13"/>
  <c r="B273" i="13"/>
  <c r="Z273" i="13" s="1"/>
  <c r="A273" i="13"/>
  <c r="AU273" i="13" s="1"/>
  <c r="AQ272" i="13"/>
  <c r="P272" i="13"/>
  <c r="X272" i="13" s="1"/>
  <c r="O272" i="13"/>
  <c r="W272" i="13" s="1"/>
  <c r="N272" i="13"/>
  <c r="V272" i="13" s="1"/>
  <c r="M272" i="13"/>
  <c r="U272" i="13" s="1"/>
  <c r="L272" i="13"/>
  <c r="T272" i="13" s="1"/>
  <c r="K272" i="13"/>
  <c r="S272" i="13" s="1"/>
  <c r="J272" i="13"/>
  <c r="R272" i="13" s="1"/>
  <c r="I272" i="13"/>
  <c r="Q272" i="13" s="1"/>
  <c r="H272" i="13"/>
  <c r="G272" i="13"/>
  <c r="F272" i="13"/>
  <c r="E272" i="13"/>
  <c r="BB272" i="13" s="1"/>
  <c r="C272" i="13"/>
  <c r="AG272" i="13" s="1"/>
  <c r="AO272" i="13" s="1"/>
  <c r="B272" i="13"/>
  <c r="Z272" i="13" s="1"/>
  <c r="A272" i="13"/>
  <c r="AC272" i="13" s="1"/>
  <c r="AQ271" i="13"/>
  <c r="P271" i="13"/>
  <c r="X271" i="13" s="1"/>
  <c r="O271" i="13"/>
  <c r="W271" i="13" s="1"/>
  <c r="N271" i="13"/>
  <c r="V271" i="13" s="1"/>
  <c r="M271" i="13"/>
  <c r="U271" i="13" s="1"/>
  <c r="L271" i="13"/>
  <c r="T271" i="13" s="1"/>
  <c r="K271" i="13"/>
  <c r="S271" i="13" s="1"/>
  <c r="J271" i="13"/>
  <c r="R271" i="13" s="1"/>
  <c r="I271" i="13"/>
  <c r="Q271" i="13" s="1"/>
  <c r="H271" i="13"/>
  <c r="G271" i="13"/>
  <c r="F271" i="13"/>
  <c r="E271" i="13"/>
  <c r="BB271" i="13" s="1"/>
  <c r="C271" i="13"/>
  <c r="AG271" i="13" s="1"/>
  <c r="B271" i="13"/>
  <c r="Z271" i="13" s="1"/>
  <c r="A271" i="13"/>
  <c r="AR271" i="13" s="1"/>
  <c r="AQ270" i="13"/>
  <c r="P270" i="13"/>
  <c r="X270" i="13" s="1"/>
  <c r="O270" i="13"/>
  <c r="W270" i="13" s="1"/>
  <c r="N270" i="13"/>
  <c r="V270" i="13" s="1"/>
  <c r="M270" i="13"/>
  <c r="U270" i="13" s="1"/>
  <c r="L270" i="13"/>
  <c r="T270" i="13" s="1"/>
  <c r="K270" i="13"/>
  <c r="S270" i="13" s="1"/>
  <c r="J270" i="13"/>
  <c r="R270" i="13" s="1"/>
  <c r="I270" i="13"/>
  <c r="Q270" i="13" s="1"/>
  <c r="H270" i="13"/>
  <c r="G270" i="13"/>
  <c r="F270" i="13"/>
  <c r="E270" i="13"/>
  <c r="BB270" i="13" s="1"/>
  <c r="C270" i="13"/>
  <c r="AG270" i="13" s="1"/>
  <c r="B270" i="13"/>
  <c r="Z270" i="13" s="1"/>
  <c r="A270" i="13"/>
  <c r="AU270" i="13" s="1"/>
  <c r="AQ269" i="13"/>
  <c r="P269" i="13"/>
  <c r="X269" i="13" s="1"/>
  <c r="O269" i="13"/>
  <c r="W269" i="13" s="1"/>
  <c r="N269" i="13"/>
  <c r="V269" i="13" s="1"/>
  <c r="M269" i="13"/>
  <c r="U269" i="13" s="1"/>
  <c r="L269" i="13"/>
  <c r="T269" i="13" s="1"/>
  <c r="K269" i="13"/>
  <c r="S269" i="13" s="1"/>
  <c r="J269" i="13"/>
  <c r="R269" i="13" s="1"/>
  <c r="I269" i="13"/>
  <c r="Q269" i="13" s="1"/>
  <c r="H269" i="13"/>
  <c r="G269" i="13"/>
  <c r="F269" i="13"/>
  <c r="E269" i="13"/>
  <c r="BB269" i="13" s="1"/>
  <c r="C269" i="13"/>
  <c r="AG269" i="13" s="1"/>
  <c r="B269" i="13"/>
  <c r="Z269" i="13" s="1"/>
  <c r="A269" i="13"/>
  <c r="AU269" i="13" s="1"/>
  <c r="AQ268" i="13"/>
  <c r="P268" i="13"/>
  <c r="X268" i="13" s="1"/>
  <c r="O268" i="13"/>
  <c r="W268" i="13" s="1"/>
  <c r="N268" i="13"/>
  <c r="V268" i="13" s="1"/>
  <c r="M268" i="13"/>
  <c r="U268" i="13" s="1"/>
  <c r="L268" i="13"/>
  <c r="T268" i="13" s="1"/>
  <c r="K268" i="13"/>
  <c r="S268" i="13" s="1"/>
  <c r="J268" i="13"/>
  <c r="R268" i="13" s="1"/>
  <c r="I268" i="13"/>
  <c r="Q268" i="13" s="1"/>
  <c r="H268" i="13"/>
  <c r="G268" i="13"/>
  <c r="F268" i="13"/>
  <c r="E268" i="13"/>
  <c r="BB268" i="13" s="1"/>
  <c r="C268" i="13"/>
  <c r="AG268" i="13" s="1"/>
  <c r="B268" i="13"/>
  <c r="Z268" i="13" s="1"/>
  <c r="A268" i="13"/>
  <c r="AQ267" i="13"/>
  <c r="P267" i="13"/>
  <c r="X267" i="13" s="1"/>
  <c r="O267" i="13"/>
  <c r="W267" i="13" s="1"/>
  <c r="N267" i="13"/>
  <c r="V267" i="13" s="1"/>
  <c r="M267" i="13"/>
  <c r="U267" i="13" s="1"/>
  <c r="L267" i="13"/>
  <c r="T267" i="13" s="1"/>
  <c r="K267" i="13"/>
  <c r="S267" i="13" s="1"/>
  <c r="J267" i="13"/>
  <c r="R267" i="13" s="1"/>
  <c r="I267" i="13"/>
  <c r="Q267" i="13" s="1"/>
  <c r="H267" i="13"/>
  <c r="G267" i="13"/>
  <c r="F267" i="13"/>
  <c r="E267" i="13"/>
  <c r="C267" i="13"/>
  <c r="AG267" i="13" s="1"/>
  <c r="B267" i="13"/>
  <c r="Z267" i="13" s="1"/>
  <c r="A267" i="13"/>
  <c r="AU267" i="13" s="1"/>
  <c r="AQ266" i="13"/>
  <c r="P266" i="13"/>
  <c r="X266" i="13" s="1"/>
  <c r="O266" i="13"/>
  <c r="W266" i="13" s="1"/>
  <c r="N266" i="13"/>
  <c r="V266" i="13" s="1"/>
  <c r="M266" i="13"/>
  <c r="U266" i="13" s="1"/>
  <c r="L266" i="13"/>
  <c r="T266" i="13" s="1"/>
  <c r="K266" i="13"/>
  <c r="S266" i="13" s="1"/>
  <c r="J266" i="13"/>
  <c r="R266" i="13" s="1"/>
  <c r="I266" i="13"/>
  <c r="Q266" i="13" s="1"/>
  <c r="H266" i="13"/>
  <c r="G266" i="13"/>
  <c r="F266" i="13"/>
  <c r="E266" i="13"/>
  <c r="BB266" i="13" s="1"/>
  <c r="C266" i="13"/>
  <c r="AG266" i="13" s="1"/>
  <c r="B266" i="13"/>
  <c r="Z266" i="13" s="1"/>
  <c r="A266" i="13"/>
  <c r="AC266" i="13" s="1"/>
  <c r="AQ265" i="13"/>
  <c r="P265" i="13"/>
  <c r="X265" i="13" s="1"/>
  <c r="O265" i="13"/>
  <c r="W265" i="13" s="1"/>
  <c r="N265" i="13"/>
  <c r="V265" i="13" s="1"/>
  <c r="M265" i="13"/>
  <c r="U265" i="13" s="1"/>
  <c r="L265" i="13"/>
  <c r="T265" i="13" s="1"/>
  <c r="K265" i="13"/>
  <c r="S265" i="13" s="1"/>
  <c r="J265" i="13"/>
  <c r="R265" i="13" s="1"/>
  <c r="I265" i="13"/>
  <c r="Q265" i="13" s="1"/>
  <c r="H265" i="13"/>
  <c r="G265" i="13"/>
  <c r="F265" i="13"/>
  <c r="E265" i="13"/>
  <c r="BB265" i="13" s="1"/>
  <c r="C265" i="13"/>
  <c r="AG265" i="13" s="1"/>
  <c r="B265" i="13"/>
  <c r="Z265" i="13" s="1"/>
  <c r="A265" i="13"/>
  <c r="AU265" i="13" s="1"/>
  <c r="AQ264" i="13"/>
  <c r="P264" i="13"/>
  <c r="X264" i="13" s="1"/>
  <c r="O264" i="13"/>
  <c r="W264" i="13" s="1"/>
  <c r="N264" i="13"/>
  <c r="V264" i="13" s="1"/>
  <c r="M264" i="13"/>
  <c r="U264" i="13" s="1"/>
  <c r="L264" i="13"/>
  <c r="T264" i="13" s="1"/>
  <c r="K264" i="13"/>
  <c r="S264" i="13" s="1"/>
  <c r="J264" i="13"/>
  <c r="R264" i="13" s="1"/>
  <c r="I264" i="13"/>
  <c r="Q264" i="13" s="1"/>
  <c r="H264" i="13"/>
  <c r="G264" i="13"/>
  <c r="F264" i="13"/>
  <c r="E264" i="13"/>
  <c r="C264" i="13"/>
  <c r="AG264" i="13" s="1"/>
  <c r="B264" i="13"/>
  <c r="Z264" i="13" s="1"/>
  <c r="A264" i="13"/>
  <c r="AU264" i="13" s="1"/>
  <c r="AQ263" i="13"/>
  <c r="P263" i="13"/>
  <c r="X263" i="13" s="1"/>
  <c r="O263" i="13"/>
  <c r="W263" i="13" s="1"/>
  <c r="N263" i="13"/>
  <c r="V263" i="13" s="1"/>
  <c r="M263" i="13"/>
  <c r="U263" i="13" s="1"/>
  <c r="L263" i="13"/>
  <c r="T263" i="13" s="1"/>
  <c r="K263" i="13"/>
  <c r="S263" i="13" s="1"/>
  <c r="J263" i="13"/>
  <c r="R263" i="13" s="1"/>
  <c r="I263" i="13"/>
  <c r="Q263" i="13" s="1"/>
  <c r="H263" i="13"/>
  <c r="G263" i="13"/>
  <c r="F263" i="13"/>
  <c r="E263" i="13"/>
  <c r="BA263" i="13" s="1"/>
  <c r="C263" i="13"/>
  <c r="AG263" i="13" s="1"/>
  <c r="B263" i="13"/>
  <c r="Z263" i="13" s="1"/>
  <c r="A263" i="13"/>
  <c r="AU263" i="13" s="1"/>
  <c r="AQ262" i="13"/>
  <c r="P262" i="13"/>
  <c r="X262" i="13" s="1"/>
  <c r="O262" i="13"/>
  <c r="W262" i="13" s="1"/>
  <c r="N262" i="13"/>
  <c r="V262" i="13" s="1"/>
  <c r="M262" i="13"/>
  <c r="U262" i="13" s="1"/>
  <c r="L262" i="13"/>
  <c r="T262" i="13" s="1"/>
  <c r="K262" i="13"/>
  <c r="S262" i="13" s="1"/>
  <c r="J262" i="13"/>
  <c r="R262" i="13" s="1"/>
  <c r="I262" i="13"/>
  <c r="Q262" i="13" s="1"/>
  <c r="H262" i="13"/>
  <c r="G262" i="13"/>
  <c r="F262" i="13"/>
  <c r="E262" i="13"/>
  <c r="BB262" i="13" s="1"/>
  <c r="C262" i="13"/>
  <c r="AG262" i="13" s="1"/>
  <c r="B262" i="13"/>
  <c r="Z262" i="13" s="1"/>
  <c r="A262" i="13"/>
  <c r="AQ261" i="13"/>
  <c r="P261" i="13"/>
  <c r="X261" i="13" s="1"/>
  <c r="O261" i="13"/>
  <c r="W261" i="13" s="1"/>
  <c r="N261" i="13"/>
  <c r="V261" i="13" s="1"/>
  <c r="M261" i="13"/>
  <c r="U261" i="13" s="1"/>
  <c r="L261" i="13"/>
  <c r="T261" i="13" s="1"/>
  <c r="K261" i="13"/>
  <c r="S261" i="13" s="1"/>
  <c r="J261" i="13"/>
  <c r="R261" i="13" s="1"/>
  <c r="I261" i="13"/>
  <c r="Q261" i="13" s="1"/>
  <c r="H261" i="13"/>
  <c r="G261" i="13"/>
  <c r="F261" i="13"/>
  <c r="E261" i="13"/>
  <c r="BB261" i="13" s="1"/>
  <c r="C261" i="13"/>
  <c r="AG261" i="13" s="1"/>
  <c r="B261" i="13"/>
  <c r="Z261" i="13" s="1"/>
  <c r="A261" i="13"/>
  <c r="AC261" i="13" s="1"/>
  <c r="AQ260" i="13"/>
  <c r="P260" i="13"/>
  <c r="X260" i="13" s="1"/>
  <c r="O260" i="13"/>
  <c r="W260" i="13" s="1"/>
  <c r="N260" i="13"/>
  <c r="V260" i="13" s="1"/>
  <c r="M260" i="13"/>
  <c r="U260" i="13" s="1"/>
  <c r="L260" i="13"/>
  <c r="T260" i="13" s="1"/>
  <c r="K260" i="13"/>
  <c r="S260" i="13" s="1"/>
  <c r="J260" i="13"/>
  <c r="R260" i="13" s="1"/>
  <c r="I260" i="13"/>
  <c r="Q260" i="13" s="1"/>
  <c r="H260" i="13"/>
  <c r="G260" i="13"/>
  <c r="F260" i="13"/>
  <c r="E260" i="13"/>
  <c r="BB260" i="13" s="1"/>
  <c r="C260" i="13"/>
  <c r="AG260" i="13" s="1"/>
  <c r="AK260" i="13" s="1"/>
  <c r="B260" i="13"/>
  <c r="Z260" i="13" s="1"/>
  <c r="A260" i="13"/>
  <c r="AR260" i="13" s="1"/>
  <c r="AQ259" i="13"/>
  <c r="P259" i="13"/>
  <c r="X259" i="13" s="1"/>
  <c r="O259" i="13"/>
  <c r="W259" i="13" s="1"/>
  <c r="N259" i="13"/>
  <c r="V259" i="13" s="1"/>
  <c r="M259" i="13"/>
  <c r="U259" i="13" s="1"/>
  <c r="L259" i="13"/>
  <c r="T259" i="13" s="1"/>
  <c r="K259" i="13"/>
  <c r="S259" i="13" s="1"/>
  <c r="J259" i="13"/>
  <c r="R259" i="13" s="1"/>
  <c r="I259" i="13"/>
  <c r="Q259" i="13" s="1"/>
  <c r="H259" i="13"/>
  <c r="G259" i="13"/>
  <c r="F259" i="13"/>
  <c r="E259" i="13"/>
  <c r="BA259" i="13" s="1"/>
  <c r="C259" i="13"/>
  <c r="AG259" i="13" s="1"/>
  <c r="B259" i="13"/>
  <c r="Z259" i="13" s="1"/>
  <c r="A259" i="13"/>
  <c r="AU259" i="13" s="1"/>
  <c r="AQ258" i="13"/>
  <c r="P258" i="13"/>
  <c r="X258" i="13" s="1"/>
  <c r="O258" i="13"/>
  <c r="W258" i="13" s="1"/>
  <c r="N258" i="13"/>
  <c r="V258" i="13" s="1"/>
  <c r="M258" i="13"/>
  <c r="U258" i="13" s="1"/>
  <c r="L258" i="13"/>
  <c r="T258" i="13" s="1"/>
  <c r="K258" i="13"/>
  <c r="S258" i="13" s="1"/>
  <c r="J258" i="13"/>
  <c r="R258" i="13" s="1"/>
  <c r="I258" i="13"/>
  <c r="Q258" i="13" s="1"/>
  <c r="H258" i="13"/>
  <c r="G258" i="13"/>
  <c r="F258" i="13"/>
  <c r="E258" i="13"/>
  <c r="BB258" i="13" s="1"/>
  <c r="C258" i="13"/>
  <c r="AG258" i="13" s="1"/>
  <c r="B258" i="13"/>
  <c r="Z258" i="13" s="1"/>
  <c r="A258" i="13"/>
  <c r="AQ257" i="13"/>
  <c r="P257" i="13"/>
  <c r="X257" i="13" s="1"/>
  <c r="O257" i="13"/>
  <c r="W257" i="13" s="1"/>
  <c r="N257" i="13"/>
  <c r="V257" i="13" s="1"/>
  <c r="M257" i="13"/>
  <c r="U257" i="13" s="1"/>
  <c r="L257" i="13"/>
  <c r="T257" i="13" s="1"/>
  <c r="K257" i="13"/>
  <c r="S257" i="13" s="1"/>
  <c r="J257" i="13"/>
  <c r="R257" i="13" s="1"/>
  <c r="I257" i="13"/>
  <c r="Q257" i="13" s="1"/>
  <c r="H257" i="13"/>
  <c r="G257" i="13"/>
  <c r="F257" i="13"/>
  <c r="E257" i="13"/>
  <c r="BB257" i="13" s="1"/>
  <c r="C257" i="13"/>
  <c r="AG257" i="13" s="1"/>
  <c r="B257" i="13"/>
  <c r="Z257" i="13" s="1"/>
  <c r="A257" i="13"/>
  <c r="AC257" i="13" s="1"/>
  <c r="AQ256" i="13"/>
  <c r="P256" i="13"/>
  <c r="X256" i="13" s="1"/>
  <c r="O256" i="13"/>
  <c r="W256" i="13" s="1"/>
  <c r="N256" i="13"/>
  <c r="V256" i="13" s="1"/>
  <c r="M256" i="13"/>
  <c r="U256" i="13" s="1"/>
  <c r="L256" i="13"/>
  <c r="T256" i="13" s="1"/>
  <c r="K256" i="13"/>
  <c r="S256" i="13" s="1"/>
  <c r="J256" i="13"/>
  <c r="R256" i="13" s="1"/>
  <c r="I256" i="13"/>
  <c r="Q256" i="13" s="1"/>
  <c r="H256" i="13"/>
  <c r="G256" i="13"/>
  <c r="F256" i="13"/>
  <c r="E256" i="13"/>
  <c r="BB256" i="13" s="1"/>
  <c r="C256" i="13"/>
  <c r="AG256" i="13" s="1"/>
  <c r="AK256" i="13" s="1"/>
  <c r="B256" i="13"/>
  <c r="Z256" i="13" s="1"/>
  <c r="A256" i="13"/>
  <c r="AC256" i="13" s="1"/>
  <c r="AQ255" i="13"/>
  <c r="P255" i="13"/>
  <c r="X255" i="13" s="1"/>
  <c r="O255" i="13"/>
  <c r="W255" i="13" s="1"/>
  <c r="N255" i="13"/>
  <c r="V255" i="13" s="1"/>
  <c r="M255" i="13"/>
  <c r="U255" i="13" s="1"/>
  <c r="L255" i="13"/>
  <c r="T255" i="13" s="1"/>
  <c r="K255" i="13"/>
  <c r="S255" i="13" s="1"/>
  <c r="J255" i="13"/>
  <c r="R255" i="13" s="1"/>
  <c r="I255" i="13"/>
  <c r="Q255" i="13" s="1"/>
  <c r="H255" i="13"/>
  <c r="G255" i="13"/>
  <c r="F255" i="13"/>
  <c r="E255" i="13"/>
  <c r="BA255" i="13" s="1"/>
  <c r="C255" i="13"/>
  <c r="AG255" i="13" s="1"/>
  <c r="B255" i="13"/>
  <c r="Z255" i="13" s="1"/>
  <c r="A255" i="13"/>
  <c r="AU255" i="13" s="1"/>
  <c r="AQ254" i="13"/>
  <c r="P254" i="13"/>
  <c r="X254" i="13" s="1"/>
  <c r="O254" i="13"/>
  <c r="W254" i="13" s="1"/>
  <c r="N254" i="13"/>
  <c r="V254" i="13" s="1"/>
  <c r="M254" i="13"/>
  <c r="U254" i="13" s="1"/>
  <c r="L254" i="13"/>
  <c r="T254" i="13" s="1"/>
  <c r="K254" i="13"/>
  <c r="S254" i="13" s="1"/>
  <c r="J254" i="13"/>
  <c r="R254" i="13" s="1"/>
  <c r="I254" i="13"/>
  <c r="Q254" i="13" s="1"/>
  <c r="H254" i="13"/>
  <c r="G254" i="13"/>
  <c r="F254" i="13"/>
  <c r="E254" i="13"/>
  <c r="BB254" i="13" s="1"/>
  <c r="C254" i="13"/>
  <c r="AG254" i="13" s="1"/>
  <c r="B254" i="13"/>
  <c r="Z254" i="13" s="1"/>
  <c r="A254" i="13"/>
  <c r="AQ253" i="13"/>
  <c r="P253" i="13"/>
  <c r="X253" i="13" s="1"/>
  <c r="O253" i="13"/>
  <c r="W253" i="13" s="1"/>
  <c r="N253" i="13"/>
  <c r="V253" i="13" s="1"/>
  <c r="M253" i="13"/>
  <c r="U253" i="13" s="1"/>
  <c r="L253" i="13"/>
  <c r="T253" i="13" s="1"/>
  <c r="K253" i="13"/>
  <c r="S253" i="13" s="1"/>
  <c r="J253" i="13"/>
  <c r="R253" i="13" s="1"/>
  <c r="I253" i="13"/>
  <c r="Q253" i="13" s="1"/>
  <c r="H253" i="13"/>
  <c r="G253" i="13"/>
  <c r="F253" i="13"/>
  <c r="E253" i="13"/>
  <c r="BB253" i="13" s="1"/>
  <c r="C253" i="13"/>
  <c r="AG253" i="13" s="1"/>
  <c r="B253" i="13"/>
  <c r="Z253" i="13" s="1"/>
  <c r="A253" i="13"/>
  <c r="AQ252" i="13"/>
  <c r="P252" i="13"/>
  <c r="X252" i="13" s="1"/>
  <c r="O252" i="13"/>
  <c r="W252" i="13" s="1"/>
  <c r="N252" i="13"/>
  <c r="V252" i="13" s="1"/>
  <c r="M252" i="13"/>
  <c r="U252" i="13" s="1"/>
  <c r="L252" i="13"/>
  <c r="T252" i="13" s="1"/>
  <c r="K252" i="13"/>
  <c r="S252" i="13" s="1"/>
  <c r="J252" i="13"/>
  <c r="R252" i="13" s="1"/>
  <c r="I252" i="13"/>
  <c r="Q252" i="13" s="1"/>
  <c r="H252" i="13"/>
  <c r="G252" i="13"/>
  <c r="F252" i="13"/>
  <c r="E252" i="13"/>
  <c r="BB252" i="13" s="1"/>
  <c r="C252" i="13"/>
  <c r="AG252" i="13" s="1"/>
  <c r="AK252" i="13" s="1"/>
  <c r="B252" i="13"/>
  <c r="Z252" i="13" s="1"/>
  <c r="A252" i="13"/>
  <c r="AU252" i="13" s="1"/>
  <c r="AQ251" i="13"/>
  <c r="P251" i="13"/>
  <c r="X251" i="13" s="1"/>
  <c r="O251" i="13"/>
  <c r="W251" i="13" s="1"/>
  <c r="N251" i="13"/>
  <c r="V251" i="13" s="1"/>
  <c r="M251" i="13"/>
  <c r="U251" i="13" s="1"/>
  <c r="L251" i="13"/>
  <c r="T251" i="13" s="1"/>
  <c r="K251" i="13"/>
  <c r="S251" i="13" s="1"/>
  <c r="J251" i="13"/>
  <c r="R251" i="13" s="1"/>
  <c r="I251" i="13"/>
  <c r="Q251" i="13" s="1"/>
  <c r="H251" i="13"/>
  <c r="G251" i="13"/>
  <c r="F251" i="13"/>
  <c r="E251" i="13"/>
  <c r="BA251" i="13" s="1"/>
  <c r="C251" i="13"/>
  <c r="AG251" i="13" s="1"/>
  <c r="B251" i="13"/>
  <c r="Z251" i="13" s="1"/>
  <c r="A251" i="13"/>
  <c r="AU251" i="13" s="1"/>
  <c r="AQ250" i="13"/>
  <c r="P250" i="13"/>
  <c r="X250" i="13" s="1"/>
  <c r="O250" i="13"/>
  <c r="W250" i="13" s="1"/>
  <c r="N250" i="13"/>
  <c r="V250" i="13" s="1"/>
  <c r="M250" i="13"/>
  <c r="U250" i="13" s="1"/>
  <c r="L250" i="13"/>
  <c r="T250" i="13" s="1"/>
  <c r="K250" i="13"/>
  <c r="S250" i="13" s="1"/>
  <c r="J250" i="13"/>
  <c r="R250" i="13" s="1"/>
  <c r="I250" i="13"/>
  <c r="Q250" i="13" s="1"/>
  <c r="H250" i="13"/>
  <c r="G250" i="13"/>
  <c r="F250" i="13"/>
  <c r="E250" i="13"/>
  <c r="BB250" i="13" s="1"/>
  <c r="C250" i="13"/>
  <c r="AG250" i="13" s="1"/>
  <c r="B250" i="13"/>
  <c r="Z250" i="13" s="1"/>
  <c r="A250" i="13"/>
  <c r="AQ249" i="13"/>
  <c r="P249" i="13"/>
  <c r="X249" i="13" s="1"/>
  <c r="O249" i="13"/>
  <c r="W249" i="13" s="1"/>
  <c r="N249" i="13"/>
  <c r="V249" i="13" s="1"/>
  <c r="M249" i="13"/>
  <c r="U249" i="13" s="1"/>
  <c r="L249" i="13"/>
  <c r="T249" i="13" s="1"/>
  <c r="K249" i="13"/>
  <c r="S249" i="13" s="1"/>
  <c r="J249" i="13"/>
  <c r="R249" i="13" s="1"/>
  <c r="I249" i="13"/>
  <c r="Q249" i="13" s="1"/>
  <c r="H249" i="13"/>
  <c r="G249" i="13"/>
  <c r="F249" i="13"/>
  <c r="E249" i="13"/>
  <c r="BB249" i="13" s="1"/>
  <c r="C249" i="13"/>
  <c r="AG249" i="13" s="1"/>
  <c r="AL249" i="13" s="1"/>
  <c r="B249" i="13"/>
  <c r="Z249" i="13" s="1"/>
  <c r="A249" i="13"/>
  <c r="AU249" i="13" s="1"/>
  <c r="AQ248" i="13"/>
  <c r="P248" i="13"/>
  <c r="X248" i="13" s="1"/>
  <c r="O248" i="13"/>
  <c r="W248" i="13" s="1"/>
  <c r="N248" i="13"/>
  <c r="V248" i="13" s="1"/>
  <c r="M248" i="13"/>
  <c r="U248" i="13" s="1"/>
  <c r="L248" i="13"/>
  <c r="T248" i="13" s="1"/>
  <c r="K248" i="13"/>
  <c r="S248" i="13" s="1"/>
  <c r="J248" i="13"/>
  <c r="R248" i="13" s="1"/>
  <c r="I248" i="13"/>
  <c r="Q248" i="13" s="1"/>
  <c r="H248" i="13"/>
  <c r="G248" i="13"/>
  <c r="F248" i="13"/>
  <c r="E248" i="13"/>
  <c r="BB248" i="13" s="1"/>
  <c r="C248" i="13"/>
  <c r="AG248" i="13" s="1"/>
  <c r="B248" i="13"/>
  <c r="Z248" i="13" s="1"/>
  <c r="A248" i="13"/>
  <c r="AC248" i="13" s="1"/>
  <c r="AQ247" i="13"/>
  <c r="P247" i="13"/>
  <c r="X247" i="13" s="1"/>
  <c r="O247" i="13"/>
  <c r="W247" i="13" s="1"/>
  <c r="N247" i="13"/>
  <c r="V247" i="13" s="1"/>
  <c r="M247" i="13"/>
  <c r="U247" i="13" s="1"/>
  <c r="L247" i="13"/>
  <c r="T247" i="13" s="1"/>
  <c r="K247" i="13"/>
  <c r="S247" i="13" s="1"/>
  <c r="J247" i="13"/>
  <c r="R247" i="13" s="1"/>
  <c r="I247" i="13"/>
  <c r="Q247" i="13" s="1"/>
  <c r="H247" i="13"/>
  <c r="G247" i="13"/>
  <c r="F247" i="13"/>
  <c r="E247" i="13"/>
  <c r="BA247" i="13" s="1"/>
  <c r="C247" i="13"/>
  <c r="AG247" i="13" s="1"/>
  <c r="B247" i="13"/>
  <c r="Z247" i="13" s="1"/>
  <c r="A247" i="13"/>
  <c r="AU247" i="13" s="1"/>
  <c r="AQ246" i="13"/>
  <c r="P246" i="13"/>
  <c r="X246" i="13" s="1"/>
  <c r="O246" i="13"/>
  <c r="W246" i="13" s="1"/>
  <c r="N246" i="13"/>
  <c r="V246" i="13" s="1"/>
  <c r="M246" i="13"/>
  <c r="U246" i="13" s="1"/>
  <c r="L246" i="13"/>
  <c r="T246" i="13" s="1"/>
  <c r="K246" i="13"/>
  <c r="S246" i="13" s="1"/>
  <c r="J246" i="13"/>
  <c r="R246" i="13" s="1"/>
  <c r="I246" i="13"/>
  <c r="Q246" i="13" s="1"/>
  <c r="H246" i="13"/>
  <c r="G246" i="13"/>
  <c r="F246" i="13"/>
  <c r="E246" i="13"/>
  <c r="BB246" i="13" s="1"/>
  <c r="C246" i="13"/>
  <c r="AG246" i="13" s="1"/>
  <c r="B246" i="13"/>
  <c r="Z246" i="13" s="1"/>
  <c r="A246" i="13"/>
  <c r="AQ245" i="13"/>
  <c r="P245" i="13"/>
  <c r="X245" i="13" s="1"/>
  <c r="O245" i="13"/>
  <c r="W245" i="13" s="1"/>
  <c r="N245" i="13"/>
  <c r="V245" i="13" s="1"/>
  <c r="M245" i="13"/>
  <c r="U245" i="13" s="1"/>
  <c r="L245" i="13"/>
  <c r="T245" i="13" s="1"/>
  <c r="K245" i="13"/>
  <c r="S245" i="13" s="1"/>
  <c r="J245" i="13"/>
  <c r="R245" i="13" s="1"/>
  <c r="I245" i="13"/>
  <c r="Q245" i="13" s="1"/>
  <c r="H245" i="13"/>
  <c r="G245" i="13"/>
  <c r="F245" i="13"/>
  <c r="E245" i="13"/>
  <c r="BB245" i="13" s="1"/>
  <c r="C245" i="13"/>
  <c r="AG245" i="13" s="1"/>
  <c r="AL245" i="13" s="1"/>
  <c r="B245" i="13"/>
  <c r="Z245" i="13" s="1"/>
  <c r="A245" i="13"/>
  <c r="AC245" i="13" s="1"/>
  <c r="AQ244" i="13"/>
  <c r="P244" i="13"/>
  <c r="X244" i="13" s="1"/>
  <c r="O244" i="13"/>
  <c r="W244" i="13" s="1"/>
  <c r="N244" i="13"/>
  <c r="V244" i="13" s="1"/>
  <c r="M244" i="13"/>
  <c r="U244" i="13" s="1"/>
  <c r="L244" i="13"/>
  <c r="T244" i="13" s="1"/>
  <c r="K244" i="13"/>
  <c r="S244" i="13" s="1"/>
  <c r="J244" i="13"/>
  <c r="R244" i="13" s="1"/>
  <c r="I244" i="13"/>
  <c r="Q244" i="13" s="1"/>
  <c r="H244" i="13"/>
  <c r="G244" i="13"/>
  <c r="F244" i="13"/>
  <c r="E244" i="13"/>
  <c r="BB244" i="13" s="1"/>
  <c r="C244" i="13"/>
  <c r="AG244" i="13" s="1"/>
  <c r="AK244" i="13" s="1"/>
  <c r="B244" i="13"/>
  <c r="Z244" i="13" s="1"/>
  <c r="A244" i="13"/>
  <c r="AQ243" i="13"/>
  <c r="P243" i="13"/>
  <c r="X243" i="13" s="1"/>
  <c r="O243" i="13"/>
  <c r="W243" i="13" s="1"/>
  <c r="N243" i="13"/>
  <c r="V243" i="13" s="1"/>
  <c r="M243" i="13"/>
  <c r="U243" i="13" s="1"/>
  <c r="L243" i="13"/>
  <c r="T243" i="13" s="1"/>
  <c r="K243" i="13"/>
  <c r="S243" i="13" s="1"/>
  <c r="J243" i="13"/>
  <c r="R243" i="13" s="1"/>
  <c r="I243" i="13"/>
  <c r="Q243" i="13" s="1"/>
  <c r="H243" i="13"/>
  <c r="G243" i="13"/>
  <c r="F243" i="13"/>
  <c r="E243" i="13"/>
  <c r="BA243" i="13" s="1"/>
  <c r="C243" i="13"/>
  <c r="AG243" i="13" s="1"/>
  <c r="B243" i="13"/>
  <c r="Z243" i="13" s="1"/>
  <c r="A243" i="13"/>
  <c r="AU243" i="13" s="1"/>
  <c r="AQ242" i="13"/>
  <c r="P242" i="13"/>
  <c r="X242" i="13" s="1"/>
  <c r="O242" i="13"/>
  <c r="W242" i="13" s="1"/>
  <c r="N242" i="13"/>
  <c r="V242" i="13" s="1"/>
  <c r="M242" i="13"/>
  <c r="U242" i="13" s="1"/>
  <c r="L242" i="13"/>
  <c r="T242" i="13" s="1"/>
  <c r="K242" i="13"/>
  <c r="S242" i="13" s="1"/>
  <c r="J242" i="13"/>
  <c r="R242" i="13" s="1"/>
  <c r="I242" i="13"/>
  <c r="Q242" i="13" s="1"/>
  <c r="H242" i="13"/>
  <c r="G242" i="13"/>
  <c r="F242" i="13"/>
  <c r="E242" i="13"/>
  <c r="BB242" i="13" s="1"/>
  <c r="C242" i="13"/>
  <c r="AG242" i="13" s="1"/>
  <c r="B242" i="13"/>
  <c r="Z242" i="13" s="1"/>
  <c r="A242" i="13"/>
  <c r="AQ241" i="13"/>
  <c r="P241" i="13"/>
  <c r="X241" i="13" s="1"/>
  <c r="O241" i="13"/>
  <c r="W241" i="13" s="1"/>
  <c r="N241" i="13"/>
  <c r="V241" i="13" s="1"/>
  <c r="M241" i="13"/>
  <c r="U241" i="13" s="1"/>
  <c r="L241" i="13"/>
  <c r="T241" i="13" s="1"/>
  <c r="K241" i="13"/>
  <c r="S241" i="13" s="1"/>
  <c r="J241" i="13"/>
  <c r="R241" i="13" s="1"/>
  <c r="I241" i="13"/>
  <c r="Q241" i="13" s="1"/>
  <c r="H241" i="13"/>
  <c r="G241" i="13"/>
  <c r="F241" i="13"/>
  <c r="E241" i="13"/>
  <c r="BB241" i="13" s="1"/>
  <c r="C241" i="13"/>
  <c r="AG241" i="13" s="1"/>
  <c r="AL241" i="13" s="1"/>
  <c r="B241" i="13"/>
  <c r="Z241" i="13" s="1"/>
  <c r="A241" i="13"/>
  <c r="AC241" i="13" s="1"/>
  <c r="AQ240" i="13"/>
  <c r="P240" i="13"/>
  <c r="X240" i="13" s="1"/>
  <c r="O240" i="13"/>
  <c r="W240" i="13" s="1"/>
  <c r="N240" i="13"/>
  <c r="V240" i="13" s="1"/>
  <c r="M240" i="13"/>
  <c r="U240" i="13" s="1"/>
  <c r="L240" i="13"/>
  <c r="T240" i="13" s="1"/>
  <c r="K240" i="13"/>
  <c r="S240" i="13" s="1"/>
  <c r="J240" i="13"/>
  <c r="R240" i="13" s="1"/>
  <c r="I240" i="13"/>
  <c r="Q240" i="13" s="1"/>
  <c r="H240" i="13"/>
  <c r="G240" i="13"/>
  <c r="F240" i="13"/>
  <c r="E240" i="13"/>
  <c r="BB240" i="13" s="1"/>
  <c r="C240" i="13"/>
  <c r="AG240" i="13" s="1"/>
  <c r="AK240" i="13" s="1"/>
  <c r="B240" i="13"/>
  <c r="Z240" i="13" s="1"/>
  <c r="A240" i="13"/>
  <c r="AU240" i="13" s="1"/>
  <c r="AQ239" i="13"/>
  <c r="P239" i="13"/>
  <c r="X239" i="13" s="1"/>
  <c r="O239" i="13"/>
  <c r="W239" i="13" s="1"/>
  <c r="N239" i="13"/>
  <c r="V239" i="13" s="1"/>
  <c r="M239" i="13"/>
  <c r="U239" i="13" s="1"/>
  <c r="L239" i="13"/>
  <c r="T239" i="13" s="1"/>
  <c r="K239" i="13"/>
  <c r="S239" i="13" s="1"/>
  <c r="J239" i="13"/>
  <c r="R239" i="13" s="1"/>
  <c r="I239" i="13"/>
  <c r="Q239" i="13" s="1"/>
  <c r="H239" i="13"/>
  <c r="G239" i="13"/>
  <c r="F239" i="13"/>
  <c r="E239" i="13"/>
  <c r="C239" i="13"/>
  <c r="AG239" i="13" s="1"/>
  <c r="B239" i="13"/>
  <c r="Z239" i="13" s="1"/>
  <c r="A239" i="13"/>
  <c r="AU239" i="13" s="1"/>
  <c r="AQ238" i="13"/>
  <c r="P238" i="13"/>
  <c r="X238" i="13" s="1"/>
  <c r="O238" i="13"/>
  <c r="W238" i="13" s="1"/>
  <c r="N238" i="13"/>
  <c r="V238" i="13" s="1"/>
  <c r="M238" i="13"/>
  <c r="U238" i="13" s="1"/>
  <c r="L238" i="13"/>
  <c r="T238" i="13" s="1"/>
  <c r="K238" i="13"/>
  <c r="S238" i="13" s="1"/>
  <c r="J238" i="13"/>
  <c r="R238" i="13" s="1"/>
  <c r="I238" i="13"/>
  <c r="Q238" i="13" s="1"/>
  <c r="H238" i="13"/>
  <c r="G238" i="13"/>
  <c r="F238" i="13"/>
  <c r="E238" i="13"/>
  <c r="BB238" i="13" s="1"/>
  <c r="C238" i="13"/>
  <c r="AG238" i="13" s="1"/>
  <c r="B238" i="13"/>
  <c r="Z238" i="13" s="1"/>
  <c r="A238" i="13"/>
  <c r="AQ237" i="13"/>
  <c r="AG237" i="13"/>
  <c r="AL237" i="13" s="1"/>
  <c r="P237" i="13"/>
  <c r="X237" i="13" s="1"/>
  <c r="O237" i="13"/>
  <c r="W237" i="13" s="1"/>
  <c r="N237" i="13"/>
  <c r="V237" i="13" s="1"/>
  <c r="M237" i="13"/>
  <c r="U237" i="13" s="1"/>
  <c r="L237" i="13"/>
  <c r="T237" i="13" s="1"/>
  <c r="K237" i="13"/>
  <c r="S237" i="13" s="1"/>
  <c r="J237" i="13"/>
  <c r="R237" i="13" s="1"/>
  <c r="I237" i="13"/>
  <c r="Q237" i="13" s="1"/>
  <c r="H237" i="13"/>
  <c r="G237" i="13"/>
  <c r="F237" i="13"/>
  <c r="E237" i="13"/>
  <c r="BB237" i="13" s="1"/>
  <c r="C237" i="13"/>
  <c r="B237" i="13"/>
  <c r="Z237" i="13" s="1"/>
  <c r="A237" i="13"/>
  <c r="AQ236" i="13"/>
  <c r="P236" i="13"/>
  <c r="X236" i="13" s="1"/>
  <c r="O236" i="13"/>
  <c r="W236" i="13" s="1"/>
  <c r="N236" i="13"/>
  <c r="V236" i="13" s="1"/>
  <c r="M236" i="13"/>
  <c r="U236" i="13" s="1"/>
  <c r="L236" i="13"/>
  <c r="T236" i="13" s="1"/>
  <c r="K236" i="13"/>
  <c r="S236" i="13" s="1"/>
  <c r="J236" i="13"/>
  <c r="R236" i="13" s="1"/>
  <c r="I236" i="13"/>
  <c r="Q236" i="13" s="1"/>
  <c r="H236" i="13"/>
  <c r="G236" i="13"/>
  <c r="F236" i="13"/>
  <c r="E236" i="13"/>
  <c r="C236" i="13"/>
  <c r="AG236" i="13" s="1"/>
  <c r="B236" i="13"/>
  <c r="Z236" i="13" s="1"/>
  <c r="A236" i="13"/>
  <c r="AC236" i="13" s="1"/>
  <c r="AQ235" i="13"/>
  <c r="P235" i="13"/>
  <c r="X235" i="13" s="1"/>
  <c r="O235" i="13"/>
  <c r="W235" i="13" s="1"/>
  <c r="N235" i="13"/>
  <c r="V235" i="13" s="1"/>
  <c r="M235" i="13"/>
  <c r="U235" i="13" s="1"/>
  <c r="L235" i="13"/>
  <c r="T235" i="13" s="1"/>
  <c r="K235" i="13"/>
  <c r="S235" i="13" s="1"/>
  <c r="J235" i="13"/>
  <c r="R235" i="13" s="1"/>
  <c r="I235" i="13"/>
  <c r="Q235" i="13" s="1"/>
  <c r="H235" i="13"/>
  <c r="G235" i="13"/>
  <c r="F235" i="13"/>
  <c r="E235" i="13"/>
  <c r="BA235" i="13" s="1"/>
  <c r="C235" i="13"/>
  <c r="AG235" i="13" s="1"/>
  <c r="B235" i="13"/>
  <c r="Z235" i="13" s="1"/>
  <c r="A235" i="13"/>
  <c r="AU235" i="13" s="1"/>
  <c r="AQ234" i="13"/>
  <c r="P234" i="13"/>
  <c r="X234" i="13" s="1"/>
  <c r="O234" i="13"/>
  <c r="W234" i="13" s="1"/>
  <c r="N234" i="13"/>
  <c r="V234" i="13" s="1"/>
  <c r="M234" i="13"/>
  <c r="U234" i="13" s="1"/>
  <c r="L234" i="13"/>
  <c r="T234" i="13" s="1"/>
  <c r="K234" i="13"/>
  <c r="S234" i="13" s="1"/>
  <c r="J234" i="13"/>
  <c r="R234" i="13" s="1"/>
  <c r="I234" i="13"/>
  <c r="Q234" i="13" s="1"/>
  <c r="H234" i="13"/>
  <c r="G234" i="13"/>
  <c r="F234" i="13"/>
  <c r="E234" i="13"/>
  <c r="BB234" i="13" s="1"/>
  <c r="C234" i="13"/>
  <c r="AG234" i="13" s="1"/>
  <c r="B234" i="13"/>
  <c r="Z234" i="13" s="1"/>
  <c r="A234" i="13"/>
  <c r="AQ233" i="13"/>
  <c r="P233" i="13"/>
  <c r="X233" i="13" s="1"/>
  <c r="O233" i="13"/>
  <c r="W233" i="13" s="1"/>
  <c r="N233" i="13"/>
  <c r="V233" i="13" s="1"/>
  <c r="M233" i="13"/>
  <c r="U233" i="13" s="1"/>
  <c r="L233" i="13"/>
  <c r="T233" i="13" s="1"/>
  <c r="K233" i="13"/>
  <c r="S233" i="13" s="1"/>
  <c r="J233" i="13"/>
  <c r="R233" i="13" s="1"/>
  <c r="I233" i="13"/>
  <c r="Q233" i="13" s="1"/>
  <c r="H233" i="13"/>
  <c r="G233" i="13"/>
  <c r="F233" i="13"/>
  <c r="E233" i="13"/>
  <c r="BB233" i="13" s="1"/>
  <c r="C233" i="13"/>
  <c r="AG233" i="13" s="1"/>
  <c r="B233" i="13"/>
  <c r="Z233" i="13" s="1"/>
  <c r="A233" i="13"/>
  <c r="AC233" i="13" s="1"/>
  <c r="AQ232" i="13"/>
  <c r="AC232" i="13"/>
  <c r="P232" i="13"/>
  <c r="X232" i="13" s="1"/>
  <c r="O232" i="13"/>
  <c r="W232" i="13" s="1"/>
  <c r="N232" i="13"/>
  <c r="V232" i="13" s="1"/>
  <c r="M232" i="13"/>
  <c r="U232" i="13" s="1"/>
  <c r="L232" i="13"/>
  <c r="T232" i="13" s="1"/>
  <c r="K232" i="13"/>
  <c r="S232" i="13" s="1"/>
  <c r="J232" i="13"/>
  <c r="R232" i="13" s="1"/>
  <c r="I232" i="13"/>
  <c r="Q232" i="13" s="1"/>
  <c r="H232" i="13"/>
  <c r="G232" i="13"/>
  <c r="F232" i="13"/>
  <c r="E232" i="13"/>
  <c r="BB232" i="13" s="1"/>
  <c r="C232" i="13"/>
  <c r="AG232" i="13" s="1"/>
  <c r="AK232" i="13" s="1"/>
  <c r="B232" i="13"/>
  <c r="Z232" i="13" s="1"/>
  <c r="A232" i="13"/>
  <c r="AR232" i="13" s="1"/>
  <c r="BB231" i="13"/>
  <c r="AQ231" i="13"/>
  <c r="P231" i="13"/>
  <c r="X231" i="13" s="1"/>
  <c r="O231" i="13"/>
  <c r="W231" i="13" s="1"/>
  <c r="N231" i="13"/>
  <c r="V231" i="13" s="1"/>
  <c r="M231" i="13"/>
  <c r="U231" i="13" s="1"/>
  <c r="L231" i="13"/>
  <c r="T231" i="13" s="1"/>
  <c r="K231" i="13"/>
  <c r="S231" i="13" s="1"/>
  <c r="J231" i="13"/>
  <c r="R231" i="13" s="1"/>
  <c r="I231" i="13"/>
  <c r="Q231" i="13" s="1"/>
  <c r="H231" i="13"/>
  <c r="G231" i="13"/>
  <c r="F231" i="13"/>
  <c r="E231" i="13"/>
  <c r="BA231" i="13" s="1"/>
  <c r="C231" i="13"/>
  <c r="AG231" i="13" s="1"/>
  <c r="B231" i="13"/>
  <c r="Z231" i="13" s="1"/>
  <c r="A231" i="13"/>
  <c r="AU231" i="13" s="1"/>
  <c r="AQ230" i="13"/>
  <c r="P230" i="13"/>
  <c r="X230" i="13" s="1"/>
  <c r="O230" i="13"/>
  <c r="W230" i="13" s="1"/>
  <c r="N230" i="13"/>
  <c r="V230" i="13" s="1"/>
  <c r="M230" i="13"/>
  <c r="U230" i="13" s="1"/>
  <c r="L230" i="13"/>
  <c r="T230" i="13" s="1"/>
  <c r="K230" i="13"/>
  <c r="S230" i="13" s="1"/>
  <c r="J230" i="13"/>
  <c r="R230" i="13" s="1"/>
  <c r="I230" i="13"/>
  <c r="Q230" i="13" s="1"/>
  <c r="H230" i="13"/>
  <c r="G230" i="13"/>
  <c r="F230" i="13"/>
  <c r="E230" i="13"/>
  <c r="BB230" i="13" s="1"/>
  <c r="C230" i="13"/>
  <c r="AG230" i="13" s="1"/>
  <c r="B230" i="13"/>
  <c r="Z230" i="13" s="1"/>
  <c r="A230" i="13"/>
  <c r="AQ229" i="13"/>
  <c r="P229" i="13"/>
  <c r="X229" i="13" s="1"/>
  <c r="O229" i="13"/>
  <c r="W229" i="13" s="1"/>
  <c r="N229" i="13"/>
  <c r="V229" i="13" s="1"/>
  <c r="M229" i="13"/>
  <c r="U229" i="13" s="1"/>
  <c r="L229" i="13"/>
  <c r="T229" i="13" s="1"/>
  <c r="K229" i="13"/>
  <c r="S229" i="13" s="1"/>
  <c r="J229" i="13"/>
  <c r="R229" i="13" s="1"/>
  <c r="I229" i="13"/>
  <c r="Q229" i="13" s="1"/>
  <c r="H229" i="13"/>
  <c r="G229" i="13"/>
  <c r="F229" i="13"/>
  <c r="E229" i="13"/>
  <c r="BB229" i="13" s="1"/>
  <c r="C229" i="13"/>
  <c r="AG229" i="13" s="1"/>
  <c r="B229" i="13"/>
  <c r="Z229" i="13" s="1"/>
  <c r="A229" i="13"/>
  <c r="AR229" i="13" s="1"/>
  <c r="AQ228" i="13"/>
  <c r="P228" i="13"/>
  <c r="X228" i="13" s="1"/>
  <c r="O228" i="13"/>
  <c r="W228" i="13" s="1"/>
  <c r="N228" i="13"/>
  <c r="V228" i="13" s="1"/>
  <c r="M228" i="13"/>
  <c r="U228" i="13" s="1"/>
  <c r="L228" i="13"/>
  <c r="T228" i="13" s="1"/>
  <c r="K228" i="13"/>
  <c r="S228" i="13" s="1"/>
  <c r="J228" i="13"/>
  <c r="R228" i="13" s="1"/>
  <c r="I228" i="13"/>
  <c r="Q228" i="13" s="1"/>
  <c r="H228" i="13"/>
  <c r="G228" i="13"/>
  <c r="F228" i="13"/>
  <c r="E228" i="13"/>
  <c r="BB228" i="13" s="1"/>
  <c r="C228" i="13"/>
  <c r="AG228" i="13" s="1"/>
  <c r="AK228" i="13" s="1"/>
  <c r="B228" i="13"/>
  <c r="Z228" i="13" s="1"/>
  <c r="A228" i="13"/>
  <c r="AU228" i="13" s="1"/>
  <c r="AQ227" i="13"/>
  <c r="P227" i="13"/>
  <c r="X227" i="13" s="1"/>
  <c r="O227" i="13"/>
  <c r="W227" i="13" s="1"/>
  <c r="N227" i="13"/>
  <c r="V227" i="13" s="1"/>
  <c r="M227" i="13"/>
  <c r="U227" i="13" s="1"/>
  <c r="L227" i="13"/>
  <c r="T227" i="13" s="1"/>
  <c r="K227" i="13"/>
  <c r="S227" i="13" s="1"/>
  <c r="J227" i="13"/>
  <c r="R227" i="13" s="1"/>
  <c r="I227" i="13"/>
  <c r="Q227" i="13" s="1"/>
  <c r="H227" i="13"/>
  <c r="G227" i="13"/>
  <c r="F227" i="13"/>
  <c r="E227" i="13"/>
  <c r="C227" i="13"/>
  <c r="AG227" i="13" s="1"/>
  <c r="B227" i="13"/>
  <c r="Z227" i="13" s="1"/>
  <c r="A227" i="13"/>
  <c r="AU227" i="13" s="1"/>
  <c r="AQ226" i="13"/>
  <c r="P226" i="13"/>
  <c r="X226" i="13" s="1"/>
  <c r="O226" i="13"/>
  <c r="W226" i="13" s="1"/>
  <c r="N226" i="13"/>
  <c r="V226" i="13" s="1"/>
  <c r="M226" i="13"/>
  <c r="U226" i="13" s="1"/>
  <c r="L226" i="13"/>
  <c r="T226" i="13" s="1"/>
  <c r="K226" i="13"/>
  <c r="S226" i="13" s="1"/>
  <c r="J226" i="13"/>
  <c r="R226" i="13" s="1"/>
  <c r="I226" i="13"/>
  <c r="Q226" i="13" s="1"/>
  <c r="H226" i="13"/>
  <c r="G226" i="13"/>
  <c r="F226" i="13"/>
  <c r="E226" i="13"/>
  <c r="BB226" i="13" s="1"/>
  <c r="C226" i="13"/>
  <c r="AG226" i="13" s="1"/>
  <c r="B226" i="13"/>
  <c r="Z226" i="13" s="1"/>
  <c r="A226" i="13"/>
  <c r="AQ225" i="13"/>
  <c r="P225" i="13"/>
  <c r="X225" i="13" s="1"/>
  <c r="O225" i="13"/>
  <c r="W225" i="13" s="1"/>
  <c r="N225" i="13"/>
  <c r="V225" i="13" s="1"/>
  <c r="M225" i="13"/>
  <c r="U225" i="13" s="1"/>
  <c r="L225" i="13"/>
  <c r="T225" i="13" s="1"/>
  <c r="K225" i="13"/>
  <c r="S225" i="13" s="1"/>
  <c r="J225" i="13"/>
  <c r="R225" i="13" s="1"/>
  <c r="I225" i="13"/>
  <c r="Q225" i="13" s="1"/>
  <c r="H225" i="13"/>
  <c r="G225" i="13"/>
  <c r="F225" i="13"/>
  <c r="E225" i="13"/>
  <c r="BB225" i="13" s="1"/>
  <c r="C225" i="13"/>
  <c r="AG225" i="13" s="1"/>
  <c r="B225" i="13"/>
  <c r="Z225" i="13" s="1"/>
  <c r="A225" i="13"/>
  <c r="AQ224" i="13"/>
  <c r="P224" i="13"/>
  <c r="X224" i="13" s="1"/>
  <c r="O224" i="13"/>
  <c r="W224" i="13" s="1"/>
  <c r="N224" i="13"/>
  <c r="V224" i="13" s="1"/>
  <c r="M224" i="13"/>
  <c r="U224" i="13" s="1"/>
  <c r="L224" i="13"/>
  <c r="T224" i="13" s="1"/>
  <c r="K224" i="13"/>
  <c r="S224" i="13" s="1"/>
  <c r="J224" i="13"/>
  <c r="R224" i="13" s="1"/>
  <c r="I224" i="13"/>
  <c r="Q224" i="13" s="1"/>
  <c r="H224" i="13"/>
  <c r="G224" i="13"/>
  <c r="F224" i="13"/>
  <c r="E224" i="13"/>
  <c r="BB224" i="13" s="1"/>
  <c r="C224" i="13"/>
  <c r="AG224" i="13" s="1"/>
  <c r="AK224" i="13" s="1"/>
  <c r="B224" i="13"/>
  <c r="Z224" i="13" s="1"/>
  <c r="A224" i="13"/>
  <c r="AU224" i="13" s="1"/>
  <c r="AQ223" i="13"/>
  <c r="P223" i="13"/>
  <c r="X223" i="13" s="1"/>
  <c r="O223" i="13"/>
  <c r="W223" i="13" s="1"/>
  <c r="N223" i="13"/>
  <c r="V223" i="13" s="1"/>
  <c r="M223" i="13"/>
  <c r="U223" i="13" s="1"/>
  <c r="L223" i="13"/>
  <c r="T223" i="13" s="1"/>
  <c r="K223" i="13"/>
  <c r="S223" i="13" s="1"/>
  <c r="J223" i="13"/>
  <c r="R223" i="13" s="1"/>
  <c r="I223" i="13"/>
  <c r="Q223" i="13" s="1"/>
  <c r="H223" i="13"/>
  <c r="G223" i="13"/>
  <c r="F223" i="13"/>
  <c r="E223" i="13"/>
  <c r="BA223" i="13" s="1"/>
  <c r="C223" i="13"/>
  <c r="AG223" i="13" s="1"/>
  <c r="B223" i="13"/>
  <c r="Z223" i="13" s="1"/>
  <c r="A223" i="13"/>
  <c r="AU223" i="13" s="1"/>
  <c r="AQ222" i="13"/>
  <c r="P222" i="13"/>
  <c r="X222" i="13" s="1"/>
  <c r="O222" i="13"/>
  <c r="W222" i="13" s="1"/>
  <c r="N222" i="13"/>
  <c r="V222" i="13" s="1"/>
  <c r="M222" i="13"/>
  <c r="U222" i="13" s="1"/>
  <c r="L222" i="13"/>
  <c r="T222" i="13" s="1"/>
  <c r="K222" i="13"/>
  <c r="S222" i="13" s="1"/>
  <c r="J222" i="13"/>
  <c r="R222" i="13" s="1"/>
  <c r="I222" i="13"/>
  <c r="Q222" i="13" s="1"/>
  <c r="H222" i="13"/>
  <c r="G222" i="13"/>
  <c r="F222" i="13"/>
  <c r="E222" i="13"/>
  <c r="BB222" i="13" s="1"/>
  <c r="C222" i="13"/>
  <c r="AG222" i="13" s="1"/>
  <c r="B222" i="13"/>
  <c r="Z222" i="13" s="1"/>
  <c r="A222" i="13"/>
  <c r="AQ221" i="13"/>
  <c r="P221" i="13"/>
  <c r="X221" i="13" s="1"/>
  <c r="O221" i="13"/>
  <c r="W221" i="13" s="1"/>
  <c r="N221" i="13"/>
  <c r="V221" i="13" s="1"/>
  <c r="M221" i="13"/>
  <c r="U221" i="13" s="1"/>
  <c r="L221" i="13"/>
  <c r="T221" i="13" s="1"/>
  <c r="K221" i="13"/>
  <c r="S221" i="13" s="1"/>
  <c r="J221" i="13"/>
  <c r="R221" i="13" s="1"/>
  <c r="I221" i="13"/>
  <c r="Q221" i="13" s="1"/>
  <c r="H221" i="13"/>
  <c r="G221" i="13"/>
  <c r="F221" i="13"/>
  <c r="E221" i="13"/>
  <c r="BB221" i="13" s="1"/>
  <c r="C221" i="13"/>
  <c r="AG221" i="13" s="1"/>
  <c r="B221" i="13"/>
  <c r="Z221" i="13" s="1"/>
  <c r="A221" i="13"/>
  <c r="AC221" i="13" s="1"/>
  <c r="AQ220" i="13"/>
  <c r="P220" i="13"/>
  <c r="X220" i="13" s="1"/>
  <c r="O220" i="13"/>
  <c r="W220" i="13" s="1"/>
  <c r="N220" i="13"/>
  <c r="V220" i="13" s="1"/>
  <c r="M220" i="13"/>
  <c r="U220" i="13" s="1"/>
  <c r="L220" i="13"/>
  <c r="T220" i="13" s="1"/>
  <c r="K220" i="13"/>
  <c r="S220" i="13" s="1"/>
  <c r="J220" i="13"/>
  <c r="R220" i="13" s="1"/>
  <c r="I220" i="13"/>
  <c r="Q220" i="13" s="1"/>
  <c r="H220" i="13"/>
  <c r="G220" i="13"/>
  <c r="F220" i="13"/>
  <c r="E220" i="13"/>
  <c r="BB220" i="13" s="1"/>
  <c r="C220" i="13"/>
  <c r="AG220" i="13" s="1"/>
  <c r="B220" i="13"/>
  <c r="Z220" i="13" s="1"/>
  <c r="A220" i="13"/>
  <c r="AC220" i="13" s="1"/>
  <c r="AQ219" i="13"/>
  <c r="P219" i="13"/>
  <c r="X219" i="13" s="1"/>
  <c r="O219" i="13"/>
  <c r="W219" i="13" s="1"/>
  <c r="N219" i="13"/>
  <c r="V219" i="13" s="1"/>
  <c r="M219" i="13"/>
  <c r="U219" i="13" s="1"/>
  <c r="L219" i="13"/>
  <c r="T219" i="13" s="1"/>
  <c r="K219" i="13"/>
  <c r="S219" i="13" s="1"/>
  <c r="J219" i="13"/>
  <c r="R219" i="13" s="1"/>
  <c r="I219" i="13"/>
  <c r="Q219" i="13" s="1"/>
  <c r="H219" i="13"/>
  <c r="G219" i="13"/>
  <c r="F219" i="13"/>
  <c r="E219" i="13"/>
  <c r="BA219" i="13" s="1"/>
  <c r="C219" i="13"/>
  <c r="AG219" i="13" s="1"/>
  <c r="B219" i="13"/>
  <c r="Z219" i="13" s="1"/>
  <c r="A219" i="13"/>
  <c r="AU219" i="13" s="1"/>
  <c r="AQ218" i="13"/>
  <c r="P218" i="13"/>
  <c r="X218" i="13" s="1"/>
  <c r="O218" i="13"/>
  <c r="W218" i="13" s="1"/>
  <c r="N218" i="13"/>
  <c r="V218" i="13" s="1"/>
  <c r="M218" i="13"/>
  <c r="U218" i="13" s="1"/>
  <c r="L218" i="13"/>
  <c r="T218" i="13" s="1"/>
  <c r="K218" i="13"/>
  <c r="S218" i="13" s="1"/>
  <c r="J218" i="13"/>
  <c r="R218" i="13" s="1"/>
  <c r="I218" i="13"/>
  <c r="Q218" i="13" s="1"/>
  <c r="H218" i="13"/>
  <c r="G218" i="13"/>
  <c r="F218" i="13"/>
  <c r="E218" i="13"/>
  <c r="BB218" i="13" s="1"/>
  <c r="C218" i="13"/>
  <c r="AG218" i="13" s="1"/>
  <c r="AO218" i="13" s="1"/>
  <c r="B218" i="13"/>
  <c r="Z218" i="13" s="1"/>
  <c r="A218" i="13"/>
  <c r="AQ217" i="13"/>
  <c r="P217" i="13"/>
  <c r="X217" i="13" s="1"/>
  <c r="O217" i="13"/>
  <c r="W217" i="13" s="1"/>
  <c r="N217" i="13"/>
  <c r="V217" i="13" s="1"/>
  <c r="M217" i="13"/>
  <c r="U217" i="13" s="1"/>
  <c r="L217" i="13"/>
  <c r="T217" i="13" s="1"/>
  <c r="K217" i="13"/>
  <c r="S217" i="13" s="1"/>
  <c r="J217" i="13"/>
  <c r="R217" i="13" s="1"/>
  <c r="I217" i="13"/>
  <c r="Q217" i="13" s="1"/>
  <c r="H217" i="13"/>
  <c r="G217" i="13"/>
  <c r="F217" i="13"/>
  <c r="E217" i="13"/>
  <c r="BB217" i="13" s="1"/>
  <c r="C217" i="13"/>
  <c r="AG217" i="13" s="1"/>
  <c r="B217" i="13"/>
  <c r="Z217" i="13" s="1"/>
  <c r="A217" i="13"/>
  <c r="AC217" i="13" s="1"/>
  <c r="AQ216" i="13"/>
  <c r="P216" i="13"/>
  <c r="X216" i="13" s="1"/>
  <c r="O216" i="13"/>
  <c r="W216" i="13" s="1"/>
  <c r="N216" i="13"/>
  <c r="V216" i="13" s="1"/>
  <c r="M216" i="13"/>
  <c r="U216" i="13" s="1"/>
  <c r="L216" i="13"/>
  <c r="T216" i="13" s="1"/>
  <c r="K216" i="13"/>
  <c r="S216" i="13" s="1"/>
  <c r="J216" i="13"/>
  <c r="R216" i="13" s="1"/>
  <c r="I216" i="13"/>
  <c r="Q216" i="13" s="1"/>
  <c r="H216" i="13"/>
  <c r="G216" i="13"/>
  <c r="F216" i="13"/>
  <c r="E216" i="13"/>
  <c r="BB216" i="13" s="1"/>
  <c r="C216" i="13"/>
  <c r="AG216" i="13" s="1"/>
  <c r="AK216" i="13" s="1"/>
  <c r="B216" i="13"/>
  <c r="Z216" i="13" s="1"/>
  <c r="A216" i="13"/>
  <c r="AC216" i="13" s="1"/>
  <c r="AQ215" i="13"/>
  <c r="P215" i="13"/>
  <c r="X215" i="13" s="1"/>
  <c r="O215" i="13"/>
  <c r="W215" i="13" s="1"/>
  <c r="N215" i="13"/>
  <c r="V215" i="13" s="1"/>
  <c r="M215" i="13"/>
  <c r="U215" i="13" s="1"/>
  <c r="L215" i="13"/>
  <c r="T215" i="13" s="1"/>
  <c r="K215" i="13"/>
  <c r="S215" i="13" s="1"/>
  <c r="J215" i="13"/>
  <c r="R215" i="13" s="1"/>
  <c r="I215" i="13"/>
  <c r="Q215" i="13" s="1"/>
  <c r="H215" i="13"/>
  <c r="G215" i="13"/>
  <c r="F215" i="13"/>
  <c r="E215" i="13"/>
  <c r="BA215" i="13" s="1"/>
  <c r="C215" i="13"/>
  <c r="AG215" i="13" s="1"/>
  <c r="B215" i="13"/>
  <c r="Z215" i="13" s="1"/>
  <c r="A215" i="13"/>
  <c r="AU215" i="13" s="1"/>
  <c r="AQ214" i="13"/>
  <c r="P214" i="13"/>
  <c r="X214" i="13" s="1"/>
  <c r="O214" i="13"/>
  <c r="W214" i="13" s="1"/>
  <c r="N214" i="13"/>
  <c r="V214" i="13" s="1"/>
  <c r="M214" i="13"/>
  <c r="U214" i="13" s="1"/>
  <c r="L214" i="13"/>
  <c r="T214" i="13" s="1"/>
  <c r="K214" i="13"/>
  <c r="S214" i="13" s="1"/>
  <c r="J214" i="13"/>
  <c r="R214" i="13" s="1"/>
  <c r="I214" i="13"/>
  <c r="Q214" i="13" s="1"/>
  <c r="H214" i="13"/>
  <c r="G214" i="13"/>
  <c r="F214" i="13"/>
  <c r="E214" i="13"/>
  <c r="BB214" i="13" s="1"/>
  <c r="C214" i="13"/>
  <c r="AG214" i="13" s="1"/>
  <c r="AO214" i="13" s="1"/>
  <c r="B214" i="13"/>
  <c r="Z214" i="13" s="1"/>
  <c r="A214" i="13"/>
  <c r="AQ213" i="13"/>
  <c r="P213" i="13"/>
  <c r="X213" i="13" s="1"/>
  <c r="O213" i="13"/>
  <c r="W213" i="13" s="1"/>
  <c r="N213" i="13"/>
  <c r="V213" i="13" s="1"/>
  <c r="M213" i="13"/>
  <c r="U213" i="13" s="1"/>
  <c r="L213" i="13"/>
  <c r="T213" i="13" s="1"/>
  <c r="K213" i="13"/>
  <c r="S213" i="13" s="1"/>
  <c r="J213" i="13"/>
  <c r="R213" i="13" s="1"/>
  <c r="I213" i="13"/>
  <c r="Q213" i="13" s="1"/>
  <c r="H213" i="13"/>
  <c r="G213" i="13"/>
  <c r="F213" i="13"/>
  <c r="E213" i="13"/>
  <c r="C213" i="13"/>
  <c r="AG213" i="13" s="1"/>
  <c r="B213" i="13"/>
  <c r="Z213" i="13" s="1"/>
  <c r="A213" i="13"/>
  <c r="AC213" i="13" s="1"/>
  <c r="AQ212" i="13"/>
  <c r="P212" i="13"/>
  <c r="X212" i="13" s="1"/>
  <c r="O212" i="13"/>
  <c r="W212" i="13" s="1"/>
  <c r="N212" i="13"/>
  <c r="V212" i="13" s="1"/>
  <c r="M212" i="13"/>
  <c r="U212" i="13" s="1"/>
  <c r="L212" i="13"/>
  <c r="T212" i="13" s="1"/>
  <c r="K212" i="13"/>
  <c r="S212" i="13" s="1"/>
  <c r="J212" i="13"/>
  <c r="R212" i="13" s="1"/>
  <c r="I212" i="13"/>
  <c r="Q212" i="13" s="1"/>
  <c r="H212" i="13"/>
  <c r="G212" i="13"/>
  <c r="F212" i="13"/>
  <c r="E212" i="13"/>
  <c r="C212" i="13"/>
  <c r="AG212" i="13" s="1"/>
  <c r="B212" i="13"/>
  <c r="Z212" i="13" s="1"/>
  <c r="A212" i="13"/>
  <c r="AC212" i="13" s="1"/>
  <c r="AQ211" i="13"/>
  <c r="P211" i="13"/>
  <c r="X211" i="13" s="1"/>
  <c r="O211" i="13"/>
  <c r="W211" i="13" s="1"/>
  <c r="N211" i="13"/>
  <c r="V211" i="13" s="1"/>
  <c r="M211" i="13"/>
  <c r="U211" i="13" s="1"/>
  <c r="L211" i="13"/>
  <c r="T211" i="13" s="1"/>
  <c r="K211" i="13"/>
  <c r="S211" i="13" s="1"/>
  <c r="J211" i="13"/>
  <c r="R211" i="13" s="1"/>
  <c r="I211" i="13"/>
  <c r="Q211" i="13" s="1"/>
  <c r="H211" i="13"/>
  <c r="G211" i="13"/>
  <c r="F211" i="13"/>
  <c r="E211" i="13"/>
  <c r="C211" i="13"/>
  <c r="AG211" i="13" s="1"/>
  <c r="B211" i="13"/>
  <c r="Z211" i="13" s="1"/>
  <c r="A211" i="13"/>
  <c r="AQ210" i="13"/>
  <c r="P210" i="13"/>
  <c r="X210" i="13" s="1"/>
  <c r="O210" i="13"/>
  <c r="W210" i="13" s="1"/>
  <c r="N210" i="13"/>
  <c r="V210" i="13" s="1"/>
  <c r="M210" i="13"/>
  <c r="U210" i="13" s="1"/>
  <c r="L210" i="13"/>
  <c r="T210" i="13" s="1"/>
  <c r="K210" i="13"/>
  <c r="S210" i="13" s="1"/>
  <c r="J210" i="13"/>
  <c r="R210" i="13" s="1"/>
  <c r="I210" i="13"/>
  <c r="Q210" i="13" s="1"/>
  <c r="H210" i="13"/>
  <c r="G210" i="13"/>
  <c r="F210" i="13"/>
  <c r="E210" i="13"/>
  <c r="BB210" i="13" s="1"/>
  <c r="C210" i="13"/>
  <c r="AG210" i="13" s="1"/>
  <c r="B210" i="13"/>
  <c r="Z210" i="13" s="1"/>
  <c r="A210" i="13"/>
  <c r="AQ209" i="13"/>
  <c r="P209" i="13"/>
  <c r="X209" i="13" s="1"/>
  <c r="O209" i="13"/>
  <c r="W209" i="13" s="1"/>
  <c r="N209" i="13"/>
  <c r="V209" i="13" s="1"/>
  <c r="M209" i="13"/>
  <c r="U209" i="13" s="1"/>
  <c r="L209" i="13"/>
  <c r="T209" i="13" s="1"/>
  <c r="K209" i="13"/>
  <c r="S209" i="13" s="1"/>
  <c r="J209" i="13"/>
  <c r="R209" i="13" s="1"/>
  <c r="I209" i="13"/>
  <c r="Q209" i="13" s="1"/>
  <c r="H209" i="13"/>
  <c r="G209" i="13"/>
  <c r="F209" i="13"/>
  <c r="E209" i="13"/>
  <c r="BB209" i="13" s="1"/>
  <c r="C209" i="13"/>
  <c r="AG209" i="13" s="1"/>
  <c r="B209" i="13"/>
  <c r="Z209" i="13" s="1"/>
  <c r="A209" i="13"/>
  <c r="AQ208" i="13"/>
  <c r="P208" i="13"/>
  <c r="X208" i="13" s="1"/>
  <c r="O208" i="13"/>
  <c r="W208" i="13" s="1"/>
  <c r="N208" i="13"/>
  <c r="V208" i="13" s="1"/>
  <c r="M208" i="13"/>
  <c r="U208" i="13" s="1"/>
  <c r="L208" i="13"/>
  <c r="T208" i="13" s="1"/>
  <c r="K208" i="13"/>
  <c r="S208" i="13" s="1"/>
  <c r="J208" i="13"/>
  <c r="R208" i="13" s="1"/>
  <c r="I208" i="13"/>
  <c r="Q208" i="13" s="1"/>
  <c r="H208" i="13"/>
  <c r="G208" i="13"/>
  <c r="F208" i="13"/>
  <c r="E208" i="13"/>
  <c r="BB208" i="13" s="1"/>
  <c r="C208" i="13"/>
  <c r="AG208" i="13" s="1"/>
  <c r="AK208" i="13" s="1"/>
  <c r="B208" i="13"/>
  <c r="Z208" i="13" s="1"/>
  <c r="A208" i="13"/>
  <c r="AU208" i="13" s="1"/>
  <c r="AQ207" i="13"/>
  <c r="P207" i="13"/>
  <c r="X207" i="13" s="1"/>
  <c r="O207" i="13"/>
  <c r="W207" i="13" s="1"/>
  <c r="N207" i="13"/>
  <c r="V207" i="13" s="1"/>
  <c r="M207" i="13"/>
  <c r="U207" i="13" s="1"/>
  <c r="L207" i="13"/>
  <c r="T207" i="13" s="1"/>
  <c r="K207" i="13"/>
  <c r="S207" i="13" s="1"/>
  <c r="J207" i="13"/>
  <c r="R207" i="13" s="1"/>
  <c r="I207" i="13"/>
  <c r="Q207" i="13" s="1"/>
  <c r="H207" i="13"/>
  <c r="G207" i="13"/>
  <c r="F207" i="13"/>
  <c r="E207" i="13"/>
  <c r="BA207" i="13" s="1"/>
  <c r="C207" i="13"/>
  <c r="AG207" i="13" s="1"/>
  <c r="B207" i="13"/>
  <c r="Z207" i="13" s="1"/>
  <c r="A207" i="13"/>
  <c r="AQ206" i="13"/>
  <c r="P206" i="13"/>
  <c r="X206" i="13" s="1"/>
  <c r="O206" i="13"/>
  <c r="W206" i="13" s="1"/>
  <c r="N206" i="13"/>
  <c r="V206" i="13" s="1"/>
  <c r="M206" i="13"/>
  <c r="U206" i="13" s="1"/>
  <c r="L206" i="13"/>
  <c r="T206" i="13" s="1"/>
  <c r="K206" i="13"/>
  <c r="S206" i="13" s="1"/>
  <c r="J206" i="13"/>
  <c r="R206" i="13" s="1"/>
  <c r="I206" i="13"/>
  <c r="Q206" i="13" s="1"/>
  <c r="H206" i="13"/>
  <c r="G206" i="13"/>
  <c r="F206" i="13"/>
  <c r="E206" i="13"/>
  <c r="BB206" i="13" s="1"/>
  <c r="C206" i="13"/>
  <c r="AG206" i="13" s="1"/>
  <c r="AM206" i="13" s="1"/>
  <c r="B206" i="13"/>
  <c r="Z206" i="13" s="1"/>
  <c r="A206" i="13"/>
  <c r="AC206" i="13" s="1"/>
  <c r="AQ205" i="13"/>
  <c r="AG205" i="13"/>
  <c r="P205" i="13"/>
  <c r="X205" i="13" s="1"/>
  <c r="O205" i="13"/>
  <c r="W205" i="13" s="1"/>
  <c r="N205" i="13"/>
  <c r="V205" i="13" s="1"/>
  <c r="M205" i="13"/>
  <c r="U205" i="13" s="1"/>
  <c r="L205" i="13"/>
  <c r="T205" i="13" s="1"/>
  <c r="K205" i="13"/>
  <c r="S205" i="13" s="1"/>
  <c r="J205" i="13"/>
  <c r="R205" i="13" s="1"/>
  <c r="I205" i="13"/>
  <c r="Q205" i="13" s="1"/>
  <c r="H205" i="13"/>
  <c r="G205" i="13"/>
  <c r="F205" i="13"/>
  <c r="E205" i="13"/>
  <c r="BB205" i="13" s="1"/>
  <c r="C205" i="13"/>
  <c r="B205" i="13"/>
  <c r="Z205" i="13" s="1"/>
  <c r="A205" i="13"/>
  <c r="BA204" i="13"/>
  <c r="AQ204" i="13"/>
  <c r="U204" i="13"/>
  <c r="S204" i="13"/>
  <c r="P204" i="13"/>
  <c r="X204" i="13" s="1"/>
  <c r="O204" i="13"/>
  <c r="W204" i="13" s="1"/>
  <c r="N204" i="13"/>
  <c r="V204" i="13" s="1"/>
  <c r="M204" i="13"/>
  <c r="L204" i="13"/>
  <c r="T204" i="13" s="1"/>
  <c r="K204" i="13"/>
  <c r="J204" i="13"/>
  <c r="R204" i="13" s="1"/>
  <c r="I204" i="13"/>
  <c r="Q204" i="13" s="1"/>
  <c r="H204" i="13"/>
  <c r="G204" i="13"/>
  <c r="F204" i="13"/>
  <c r="E204" i="13"/>
  <c r="BB204" i="13" s="1"/>
  <c r="C204" i="13"/>
  <c r="AG204" i="13" s="1"/>
  <c r="B204" i="13"/>
  <c r="Z204" i="13" s="1"/>
  <c r="A204" i="13"/>
  <c r="AQ203" i="13"/>
  <c r="AG203" i="13"/>
  <c r="P203" i="13"/>
  <c r="X203" i="13" s="1"/>
  <c r="O203" i="13"/>
  <c r="W203" i="13" s="1"/>
  <c r="N203" i="13"/>
  <c r="V203" i="13" s="1"/>
  <c r="M203" i="13"/>
  <c r="U203" i="13" s="1"/>
  <c r="L203" i="13"/>
  <c r="T203" i="13" s="1"/>
  <c r="K203" i="13"/>
  <c r="S203" i="13" s="1"/>
  <c r="J203" i="13"/>
  <c r="R203" i="13" s="1"/>
  <c r="I203" i="13"/>
  <c r="Q203" i="13" s="1"/>
  <c r="H203" i="13"/>
  <c r="G203" i="13"/>
  <c r="F203" i="13"/>
  <c r="E203" i="13"/>
  <c r="C203" i="13"/>
  <c r="B203" i="13"/>
  <c r="Z203" i="13" s="1"/>
  <c r="A203" i="13"/>
  <c r="AQ202" i="13"/>
  <c r="W202" i="13"/>
  <c r="P202" i="13"/>
  <c r="X202" i="13" s="1"/>
  <c r="O202" i="13"/>
  <c r="N202" i="13"/>
  <c r="V202" i="13" s="1"/>
  <c r="M202" i="13"/>
  <c r="U202" i="13" s="1"/>
  <c r="L202" i="13"/>
  <c r="T202" i="13" s="1"/>
  <c r="K202" i="13"/>
  <c r="S202" i="13" s="1"/>
  <c r="J202" i="13"/>
  <c r="R202" i="13" s="1"/>
  <c r="I202" i="13"/>
  <c r="Q202" i="13" s="1"/>
  <c r="H202" i="13"/>
  <c r="G202" i="13"/>
  <c r="F202" i="13"/>
  <c r="E202" i="13"/>
  <c r="BB202" i="13" s="1"/>
  <c r="C202" i="13"/>
  <c r="AG202" i="13" s="1"/>
  <c r="B202" i="13"/>
  <c r="Z202" i="13" s="1"/>
  <c r="A202" i="13"/>
  <c r="AC202" i="13" s="1"/>
  <c r="AQ201" i="13"/>
  <c r="P201" i="13"/>
  <c r="X201" i="13" s="1"/>
  <c r="O201" i="13"/>
  <c r="W201" i="13" s="1"/>
  <c r="N201" i="13"/>
  <c r="V201" i="13" s="1"/>
  <c r="M201" i="13"/>
  <c r="U201" i="13" s="1"/>
  <c r="L201" i="13"/>
  <c r="T201" i="13" s="1"/>
  <c r="K201" i="13"/>
  <c r="S201" i="13" s="1"/>
  <c r="J201" i="13"/>
  <c r="R201" i="13" s="1"/>
  <c r="I201" i="13"/>
  <c r="Q201" i="13" s="1"/>
  <c r="H201" i="13"/>
  <c r="G201" i="13"/>
  <c r="F201" i="13"/>
  <c r="E201" i="13"/>
  <c r="BB201" i="13" s="1"/>
  <c r="C201" i="13"/>
  <c r="AG201" i="13" s="1"/>
  <c r="AK201" i="13" s="1"/>
  <c r="B201" i="13"/>
  <c r="Z201" i="13" s="1"/>
  <c r="A201" i="13"/>
  <c r="AC201" i="13" s="1"/>
  <c r="AQ200" i="13"/>
  <c r="P200" i="13"/>
  <c r="X200" i="13" s="1"/>
  <c r="O200" i="13"/>
  <c r="W200" i="13" s="1"/>
  <c r="N200" i="13"/>
  <c r="V200" i="13" s="1"/>
  <c r="M200" i="13"/>
  <c r="U200" i="13" s="1"/>
  <c r="L200" i="13"/>
  <c r="T200" i="13" s="1"/>
  <c r="K200" i="13"/>
  <c r="S200" i="13" s="1"/>
  <c r="J200" i="13"/>
  <c r="R200" i="13" s="1"/>
  <c r="I200" i="13"/>
  <c r="Q200" i="13" s="1"/>
  <c r="H200" i="13"/>
  <c r="G200" i="13"/>
  <c r="F200" i="13"/>
  <c r="E200" i="13"/>
  <c r="BB200" i="13" s="1"/>
  <c r="C200" i="13"/>
  <c r="AG200" i="13" s="1"/>
  <c r="AK200" i="13" s="1"/>
  <c r="B200" i="13"/>
  <c r="Z200" i="13" s="1"/>
  <c r="A200" i="13"/>
  <c r="AQ199" i="13"/>
  <c r="P199" i="13"/>
  <c r="X199" i="13" s="1"/>
  <c r="O199" i="13"/>
  <c r="W199" i="13" s="1"/>
  <c r="N199" i="13"/>
  <c r="V199" i="13" s="1"/>
  <c r="M199" i="13"/>
  <c r="U199" i="13" s="1"/>
  <c r="L199" i="13"/>
  <c r="T199" i="13" s="1"/>
  <c r="K199" i="13"/>
  <c r="S199" i="13" s="1"/>
  <c r="J199" i="13"/>
  <c r="R199" i="13" s="1"/>
  <c r="I199" i="13"/>
  <c r="Q199" i="13" s="1"/>
  <c r="H199" i="13"/>
  <c r="G199" i="13"/>
  <c r="F199" i="13"/>
  <c r="E199" i="13"/>
  <c r="BB199" i="13" s="1"/>
  <c r="C199" i="13"/>
  <c r="AG199" i="13" s="1"/>
  <c r="B199" i="13"/>
  <c r="Z199" i="13" s="1"/>
  <c r="A199" i="13"/>
  <c r="AC199" i="13" s="1"/>
  <c r="AQ198" i="13"/>
  <c r="P198" i="13"/>
  <c r="X198" i="13" s="1"/>
  <c r="O198" i="13"/>
  <c r="W198" i="13" s="1"/>
  <c r="N198" i="13"/>
  <c r="V198" i="13" s="1"/>
  <c r="M198" i="13"/>
  <c r="U198" i="13" s="1"/>
  <c r="L198" i="13"/>
  <c r="T198" i="13" s="1"/>
  <c r="K198" i="13"/>
  <c r="S198" i="13" s="1"/>
  <c r="J198" i="13"/>
  <c r="R198" i="13" s="1"/>
  <c r="I198" i="13"/>
  <c r="Q198" i="13" s="1"/>
  <c r="H198" i="13"/>
  <c r="G198" i="13"/>
  <c r="F198" i="13"/>
  <c r="E198" i="13"/>
  <c r="BB198" i="13" s="1"/>
  <c r="C198" i="13"/>
  <c r="AG198" i="13" s="1"/>
  <c r="B198" i="13"/>
  <c r="Z198" i="13" s="1"/>
  <c r="A198" i="13"/>
  <c r="AC198" i="13" s="1"/>
  <c r="AQ197" i="13"/>
  <c r="P197" i="13"/>
  <c r="X197" i="13" s="1"/>
  <c r="O197" i="13"/>
  <c r="W197" i="13" s="1"/>
  <c r="N197" i="13"/>
  <c r="V197" i="13" s="1"/>
  <c r="M197" i="13"/>
  <c r="U197" i="13" s="1"/>
  <c r="L197" i="13"/>
  <c r="T197" i="13" s="1"/>
  <c r="K197" i="13"/>
  <c r="S197" i="13" s="1"/>
  <c r="J197" i="13"/>
  <c r="R197" i="13" s="1"/>
  <c r="I197" i="13"/>
  <c r="Q197" i="13" s="1"/>
  <c r="H197" i="13"/>
  <c r="G197" i="13"/>
  <c r="F197" i="13"/>
  <c r="E197" i="13"/>
  <c r="C197" i="13"/>
  <c r="AG197" i="13" s="1"/>
  <c r="B197" i="13"/>
  <c r="Z197" i="13" s="1"/>
  <c r="A197" i="13"/>
  <c r="AQ196" i="13"/>
  <c r="P196" i="13"/>
  <c r="X196" i="13" s="1"/>
  <c r="O196" i="13"/>
  <c r="W196" i="13" s="1"/>
  <c r="N196" i="13"/>
  <c r="V196" i="13" s="1"/>
  <c r="M196" i="13"/>
  <c r="U196" i="13" s="1"/>
  <c r="L196" i="13"/>
  <c r="T196" i="13" s="1"/>
  <c r="K196" i="13"/>
  <c r="S196" i="13" s="1"/>
  <c r="J196" i="13"/>
  <c r="R196" i="13" s="1"/>
  <c r="I196" i="13"/>
  <c r="Q196" i="13" s="1"/>
  <c r="H196" i="13"/>
  <c r="G196" i="13"/>
  <c r="F196" i="13"/>
  <c r="E196" i="13"/>
  <c r="BB196" i="13" s="1"/>
  <c r="C196" i="13"/>
  <c r="AG196" i="13" s="1"/>
  <c r="AK196" i="13" s="1"/>
  <c r="B196" i="13"/>
  <c r="Z196" i="13" s="1"/>
  <c r="A196" i="13"/>
  <c r="AR196" i="13" s="1"/>
  <c r="AQ195" i="13"/>
  <c r="P195" i="13"/>
  <c r="X195" i="13" s="1"/>
  <c r="O195" i="13"/>
  <c r="W195" i="13" s="1"/>
  <c r="N195" i="13"/>
  <c r="V195" i="13" s="1"/>
  <c r="M195" i="13"/>
  <c r="U195" i="13" s="1"/>
  <c r="L195" i="13"/>
  <c r="T195" i="13" s="1"/>
  <c r="K195" i="13"/>
  <c r="S195" i="13" s="1"/>
  <c r="J195" i="13"/>
  <c r="R195" i="13" s="1"/>
  <c r="I195" i="13"/>
  <c r="Q195" i="13" s="1"/>
  <c r="H195" i="13"/>
  <c r="G195" i="13"/>
  <c r="F195" i="13"/>
  <c r="E195" i="13"/>
  <c r="C195" i="13"/>
  <c r="AG195" i="13" s="1"/>
  <c r="B195" i="13"/>
  <c r="Z195" i="13" s="1"/>
  <c r="A195" i="13"/>
  <c r="AC195" i="13" s="1"/>
  <c r="AQ194" i="13"/>
  <c r="P194" i="13"/>
  <c r="X194" i="13" s="1"/>
  <c r="O194" i="13"/>
  <c r="W194" i="13" s="1"/>
  <c r="N194" i="13"/>
  <c r="V194" i="13" s="1"/>
  <c r="M194" i="13"/>
  <c r="U194" i="13" s="1"/>
  <c r="L194" i="13"/>
  <c r="T194" i="13" s="1"/>
  <c r="K194" i="13"/>
  <c r="S194" i="13" s="1"/>
  <c r="J194" i="13"/>
  <c r="R194" i="13" s="1"/>
  <c r="I194" i="13"/>
  <c r="Q194" i="13" s="1"/>
  <c r="H194" i="13"/>
  <c r="G194" i="13"/>
  <c r="F194" i="13"/>
  <c r="E194" i="13"/>
  <c r="BB194" i="13" s="1"/>
  <c r="C194" i="13"/>
  <c r="AG194" i="13" s="1"/>
  <c r="B194" i="13"/>
  <c r="Z194" i="13" s="1"/>
  <c r="A194" i="13"/>
  <c r="AC194" i="13" s="1"/>
  <c r="AQ193" i="13"/>
  <c r="AC193" i="13"/>
  <c r="P193" i="13"/>
  <c r="X193" i="13" s="1"/>
  <c r="O193" i="13"/>
  <c r="W193" i="13" s="1"/>
  <c r="N193" i="13"/>
  <c r="V193" i="13" s="1"/>
  <c r="M193" i="13"/>
  <c r="U193" i="13" s="1"/>
  <c r="L193" i="13"/>
  <c r="T193" i="13" s="1"/>
  <c r="K193" i="13"/>
  <c r="S193" i="13" s="1"/>
  <c r="J193" i="13"/>
  <c r="R193" i="13" s="1"/>
  <c r="I193" i="13"/>
  <c r="Q193" i="13" s="1"/>
  <c r="H193" i="13"/>
  <c r="G193" i="13"/>
  <c r="F193" i="13"/>
  <c r="E193" i="13"/>
  <c r="C193" i="13"/>
  <c r="AG193" i="13" s="1"/>
  <c r="B193" i="13"/>
  <c r="Z193" i="13" s="1"/>
  <c r="A193" i="13"/>
  <c r="AU193" i="13" s="1"/>
  <c r="AQ192" i="13"/>
  <c r="P192" i="13"/>
  <c r="X192" i="13" s="1"/>
  <c r="O192" i="13"/>
  <c r="W192" i="13" s="1"/>
  <c r="N192" i="13"/>
  <c r="V192" i="13" s="1"/>
  <c r="M192" i="13"/>
  <c r="U192" i="13" s="1"/>
  <c r="L192" i="13"/>
  <c r="T192" i="13" s="1"/>
  <c r="K192" i="13"/>
  <c r="S192" i="13" s="1"/>
  <c r="J192" i="13"/>
  <c r="R192" i="13" s="1"/>
  <c r="I192" i="13"/>
  <c r="Q192" i="13" s="1"/>
  <c r="H192" i="13"/>
  <c r="G192" i="13"/>
  <c r="F192" i="13"/>
  <c r="E192" i="13"/>
  <c r="BB192" i="13" s="1"/>
  <c r="C192" i="13"/>
  <c r="AG192" i="13" s="1"/>
  <c r="B192" i="13"/>
  <c r="Z192" i="13" s="1"/>
  <c r="A192" i="13"/>
  <c r="AU192" i="13" s="1"/>
  <c r="AQ191" i="13"/>
  <c r="P191" i="13"/>
  <c r="X191" i="13" s="1"/>
  <c r="O191" i="13"/>
  <c r="W191" i="13" s="1"/>
  <c r="N191" i="13"/>
  <c r="V191" i="13" s="1"/>
  <c r="M191" i="13"/>
  <c r="U191" i="13" s="1"/>
  <c r="L191" i="13"/>
  <c r="T191" i="13" s="1"/>
  <c r="K191" i="13"/>
  <c r="S191" i="13" s="1"/>
  <c r="J191" i="13"/>
  <c r="R191" i="13" s="1"/>
  <c r="I191" i="13"/>
  <c r="Q191" i="13" s="1"/>
  <c r="H191" i="13"/>
  <c r="G191" i="13"/>
  <c r="F191" i="13"/>
  <c r="E191" i="13"/>
  <c r="BB191" i="13" s="1"/>
  <c r="C191" i="13"/>
  <c r="AG191" i="13" s="1"/>
  <c r="B191" i="13"/>
  <c r="Z191" i="13" s="1"/>
  <c r="A191" i="13"/>
  <c r="AC191" i="13" s="1"/>
  <c r="AQ190" i="13"/>
  <c r="S190" i="13"/>
  <c r="P190" i="13"/>
  <c r="X190" i="13" s="1"/>
  <c r="O190" i="13"/>
  <c r="W190" i="13" s="1"/>
  <c r="N190" i="13"/>
  <c r="V190" i="13" s="1"/>
  <c r="M190" i="13"/>
  <c r="U190" i="13" s="1"/>
  <c r="L190" i="13"/>
  <c r="T190" i="13" s="1"/>
  <c r="K190" i="13"/>
  <c r="J190" i="13"/>
  <c r="R190" i="13" s="1"/>
  <c r="I190" i="13"/>
  <c r="Q190" i="13" s="1"/>
  <c r="H190" i="13"/>
  <c r="G190" i="13"/>
  <c r="F190" i="13"/>
  <c r="E190" i="13"/>
  <c r="BB190" i="13" s="1"/>
  <c r="C190" i="13"/>
  <c r="AG190" i="13" s="1"/>
  <c r="B190" i="13"/>
  <c r="Z190" i="13" s="1"/>
  <c r="A190" i="13"/>
  <c r="AU189" i="13"/>
  <c r="AQ189" i="13"/>
  <c r="P189" i="13"/>
  <c r="X189" i="13" s="1"/>
  <c r="O189" i="13"/>
  <c r="W189" i="13" s="1"/>
  <c r="N189" i="13"/>
  <c r="V189" i="13" s="1"/>
  <c r="M189" i="13"/>
  <c r="U189" i="13" s="1"/>
  <c r="L189" i="13"/>
  <c r="T189" i="13" s="1"/>
  <c r="K189" i="13"/>
  <c r="S189" i="13" s="1"/>
  <c r="J189" i="13"/>
  <c r="R189" i="13" s="1"/>
  <c r="I189" i="13"/>
  <c r="Q189" i="13" s="1"/>
  <c r="H189" i="13"/>
  <c r="G189" i="13"/>
  <c r="F189" i="13"/>
  <c r="E189" i="13"/>
  <c r="C189" i="13"/>
  <c r="AG189" i="13" s="1"/>
  <c r="B189" i="13"/>
  <c r="Z189" i="13" s="1"/>
  <c r="A189" i="13"/>
  <c r="AC189" i="13" s="1"/>
  <c r="AQ188" i="13"/>
  <c r="P188" i="13"/>
  <c r="X188" i="13" s="1"/>
  <c r="O188" i="13"/>
  <c r="W188" i="13" s="1"/>
  <c r="N188" i="13"/>
  <c r="V188" i="13" s="1"/>
  <c r="M188" i="13"/>
  <c r="U188" i="13" s="1"/>
  <c r="L188" i="13"/>
  <c r="T188" i="13" s="1"/>
  <c r="K188" i="13"/>
  <c r="S188" i="13" s="1"/>
  <c r="J188" i="13"/>
  <c r="R188" i="13" s="1"/>
  <c r="I188" i="13"/>
  <c r="Q188" i="13" s="1"/>
  <c r="H188" i="13"/>
  <c r="G188" i="13"/>
  <c r="F188" i="13"/>
  <c r="E188" i="13"/>
  <c r="BB188" i="13" s="1"/>
  <c r="C188" i="13"/>
  <c r="B188" i="13"/>
  <c r="Z188" i="13" s="1"/>
  <c r="A188" i="13"/>
  <c r="AQ187" i="13"/>
  <c r="S187" i="13"/>
  <c r="P187" i="13"/>
  <c r="X187" i="13" s="1"/>
  <c r="O187" i="13"/>
  <c r="W187" i="13" s="1"/>
  <c r="N187" i="13"/>
  <c r="V187" i="13" s="1"/>
  <c r="M187" i="13"/>
  <c r="U187" i="13" s="1"/>
  <c r="L187" i="13"/>
  <c r="T187" i="13" s="1"/>
  <c r="K187" i="13"/>
  <c r="J187" i="13"/>
  <c r="R187" i="13" s="1"/>
  <c r="I187" i="13"/>
  <c r="Q187" i="13" s="1"/>
  <c r="H187" i="13"/>
  <c r="G187" i="13"/>
  <c r="F187" i="13"/>
  <c r="E187" i="13"/>
  <c r="BA187" i="13" s="1"/>
  <c r="C187" i="13"/>
  <c r="AG187" i="13" s="1"/>
  <c r="B187" i="13"/>
  <c r="Z187" i="13" s="1"/>
  <c r="A187" i="13"/>
  <c r="AC187" i="13" s="1"/>
  <c r="AQ186" i="13"/>
  <c r="T186" i="13"/>
  <c r="P186" i="13"/>
  <c r="X186" i="13" s="1"/>
  <c r="O186" i="13"/>
  <c r="W186" i="13" s="1"/>
  <c r="N186" i="13"/>
  <c r="V186" i="13" s="1"/>
  <c r="M186" i="13"/>
  <c r="U186" i="13" s="1"/>
  <c r="L186" i="13"/>
  <c r="K186" i="13"/>
  <c r="S186" i="13" s="1"/>
  <c r="J186" i="13"/>
  <c r="R186" i="13" s="1"/>
  <c r="I186" i="13"/>
  <c r="Q186" i="13" s="1"/>
  <c r="H186" i="13"/>
  <c r="G186" i="13"/>
  <c r="F186" i="13"/>
  <c r="E186" i="13"/>
  <c r="BB186" i="13" s="1"/>
  <c r="C186" i="13"/>
  <c r="AG186" i="13" s="1"/>
  <c r="B186" i="13"/>
  <c r="Z186" i="13" s="1"/>
  <c r="A186" i="13"/>
  <c r="AC186" i="13" s="1"/>
  <c r="AQ185" i="13"/>
  <c r="P185" i="13"/>
  <c r="X185" i="13" s="1"/>
  <c r="O185" i="13"/>
  <c r="W185" i="13" s="1"/>
  <c r="N185" i="13"/>
  <c r="V185" i="13" s="1"/>
  <c r="M185" i="13"/>
  <c r="U185" i="13" s="1"/>
  <c r="L185" i="13"/>
  <c r="T185" i="13" s="1"/>
  <c r="K185" i="13"/>
  <c r="S185" i="13" s="1"/>
  <c r="J185" i="13"/>
  <c r="R185" i="13" s="1"/>
  <c r="I185" i="13"/>
  <c r="Q185" i="13" s="1"/>
  <c r="H185" i="13"/>
  <c r="G185" i="13"/>
  <c r="F185" i="13"/>
  <c r="E185" i="13"/>
  <c r="BB185" i="13" s="1"/>
  <c r="C185" i="13"/>
  <c r="AG185" i="13" s="1"/>
  <c r="AK185" i="13" s="1"/>
  <c r="B185" i="13"/>
  <c r="Z185" i="13" s="1"/>
  <c r="A185" i="13"/>
  <c r="AC185" i="13" s="1"/>
  <c r="AQ184" i="13"/>
  <c r="P184" i="13"/>
  <c r="X184" i="13" s="1"/>
  <c r="O184" i="13"/>
  <c r="W184" i="13" s="1"/>
  <c r="N184" i="13"/>
  <c r="V184" i="13" s="1"/>
  <c r="M184" i="13"/>
  <c r="U184" i="13" s="1"/>
  <c r="L184" i="13"/>
  <c r="T184" i="13" s="1"/>
  <c r="K184" i="13"/>
  <c r="S184" i="13" s="1"/>
  <c r="J184" i="13"/>
  <c r="R184" i="13" s="1"/>
  <c r="I184" i="13"/>
  <c r="Q184" i="13" s="1"/>
  <c r="H184" i="13"/>
  <c r="G184" i="13"/>
  <c r="F184" i="13"/>
  <c r="E184" i="13"/>
  <c r="BB184" i="13" s="1"/>
  <c r="C184" i="13"/>
  <c r="AG184" i="13" s="1"/>
  <c r="AK184" i="13" s="1"/>
  <c r="B184" i="13"/>
  <c r="Z184" i="13" s="1"/>
  <c r="A184" i="13"/>
  <c r="BA183" i="13"/>
  <c r="AQ183" i="13"/>
  <c r="U183" i="13"/>
  <c r="P183" i="13"/>
  <c r="X183" i="13" s="1"/>
  <c r="O183" i="13"/>
  <c r="W183" i="13" s="1"/>
  <c r="N183" i="13"/>
  <c r="V183" i="13" s="1"/>
  <c r="M183" i="13"/>
  <c r="L183" i="13"/>
  <c r="T183" i="13" s="1"/>
  <c r="K183" i="13"/>
  <c r="S183" i="13" s="1"/>
  <c r="J183" i="13"/>
  <c r="R183" i="13" s="1"/>
  <c r="I183" i="13"/>
  <c r="Q183" i="13" s="1"/>
  <c r="H183" i="13"/>
  <c r="G183" i="13"/>
  <c r="F183" i="13"/>
  <c r="E183" i="13"/>
  <c r="BB183" i="13" s="1"/>
  <c r="C183" i="13"/>
  <c r="AG183" i="13" s="1"/>
  <c r="B183" i="13"/>
  <c r="Z183" i="13" s="1"/>
  <c r="A183" i="13"/>
  <c r="AC183" i="13" s="1"/>
  <c r="AQ182" i="13"/>
  <c r="P182" i="13"/>
  <c r="X182" i="13" s="1"/>
  <c r="O182" i="13"/>
  <c r="W182" i="13" s="1"/>
  <c r="N182" i="13"/>
  <c r="V182" i="13" s="1"/>
  <c r="M182" i="13"/>
  <c r="U182" i="13" s="1"/>
  <c r="L182" i="13"/>
  <c r="T182" i="13" s="1"/>
  <c r="K182" i="13"/>
  <c r="S182" i="13" s="1"/>
  <c r="J182" i="13"/>
  <c r="R182" i="13" s="1"/>
  <c r="I182" i="13"/>
  <c r="Q182" i="13" s="1"/>
  <c r="H182" i="13"/>
  <c r="G182" i="13"/>
  <c r="F182" i="13"/>
  <c r="E182" i="13"/>
  <c r="BB182" i="13" s="1"/>
  <c r="C182" i="13"/>
  <c r="AG182" i="13" s="1"/>
  <c r="B182" i="13"/>
  <c r="Z182" i="13" s="1"/>
  <c r="A182" i="13"/>
  <c r="AC182" i="13" s="1"/>
  <c r="AQ181" i="13"/>
  <c r="Z181" i="13"/>
  <c r="P181" i="13"/>
  <c r="X181" i="13" s="1"/>
  <c r="O181" i="13"/>
  <c r="W181" i="13" s="1"/>
  <c r="N181" i="13"/>
  <c r="V181" i="13" s="1"/>
  <c r="M181" i="13"/>
  <c r="U181" i="13" s="1"/>
  <c r="L181" i="13"/>
  <c r="T181" i="13" s="1"/>
  <c r="K181" i="13"/>
  <c r="S181" i="13" s="1"/>
  <c r="J181" i="13"/>
  <c r="R181" i="13" s="1"/>
  <c r="I181" i="13"/>
  <c r="Q181" i="13" s="1"/>
  <c r="H181" i="13"/>
  <c r="G181" i="13"/>
  <c r="F181" i="13"/>
  <c r="E181" i="13"/>
  <c r="BB181" i="13" s="1"/>
  <c r="C181" i="13"/>
  <c r="AG181" i="13" s="1"/>
  <c r="B181" i="13"/>
  <c r="A181" i="13"/>
  <c r="BA180" i="13"/>
  <c r="AQ180" i="13"/>
  <c r="P180" i="13"/>
  <c r="X180" i="13" s="1"/>
  <c r="O180" i="13"/>
  <c r="W180" i="13" s="1"/>
  <c r="N180" i="13"/>
  <c r="V180" i="13" s="1"/>
  <c r="M180" i="13"/>
  <c r="U180" i="13" s="1"/>
  <c r="L180" i="13"/>
  <c r="T180" i="13" s="1"/>
  <c r="K180" i="13"/>
  <c r="S180" i="13" s="1"/>
  <c r="J180" i="13"/>
  <c r="R180" i="13" s="1"/>
  <c r="I180" i="13"/>
  <c r="Q180" i="13" s="1"/>
  <c r="H180" i="13"/>
  <c r="G180" i="13"/>
  <c r="F180" i="13"/>
  <c r="E180" i="13"/>
  <c r="BB180" i="13" s="1"/>
  <c r="C180" i="13"/>
  <c r="AG180" i="13" s="1"/>
  <c r="B180" i="13"/>
  <c r="Z180" i="13" s="1"/>
  <c r="A180" i="13"/>
  <c r="AR180" i="13" s="1"/>
  <c r="AQ179" i="13"/>
  <c r="P179" i="13"/>
  <c r="X179" i="13" s="1"/>
  <c r="O179" i="13"/>
  <c r="W179" i="13" s="1"/>
  <c r="N179" i="13"/>
  <c r="V179" i="13" s="1"/>
  <c r="M179" i="13"/>
  <c r="U179" i="13" s="1"/>
  <c r="L179" i="13"/>
  <c r="T179" i="13" s="1"/>
  <c r="K179" i="13"/>
  <c r="S179" i="13" s="1"/>
  <c r="J179" i="13"/>
  <c r="R179" i="13" s="1"/>
  <c r="I179" i="13"/>
  <c r="Q179" i="13" s="1"/>
  <c r="H179" i="13"/>
  <c r="G179" i="13"/>
  <c r="F179" i="13"/>
  <c r="E179" i="13"/>
  <c r="C179" i="13"/>
  <c r="AG179" i="13" s="1"/>
  <c r="B179" i="13"/>
  <c r="Z179" i="13" s="1"/>
  <c r="A179" i="13"/>
  <c r="AC179" i="13" s="1"/>
  <c r="AQ178" i="13"/>
  <c r="S178" i="13"/>
  <c r="P178" i="13"/>
  <c r="X178" i="13" s="1"/>
  <c r="O178" i="13"/>
  <c r="W178" i="13" s="1"/>
  <c r="N178" i="13"/>
  <c r="V178" i="13" s="1"/>
  <c r="M178" i="13"/>
  <c r="U178" i="13" s="1"/>
  <c r="L178" i="13"/>
  <c r="T178" i="13" s="1"/>
  <c r="K178" i="13"/>
  <c r="J178" i="13"/>
  <c r="R178" i="13" s="1"/>
  <c r="I178" i="13"/>
  <c r="Q178" i="13" s="1"/>
  <c r="H178" i="13"/>
  <c r="G178" i="13"/>
  <c r="F178" i="13"/>
  <c r="E178" i="13"/>
  <c r="BB178" i="13" s="1"/>
  <c r="C178" i="13"/>
  <c r="AG178" i="13" s="1"/>
  <c r="B178" i="13"/>
  <c r="Z178" i="13" s="1"/>
  <c r="A178" i="13"/>
  <c r="AC178" i="13" s="1"/>
  <c r="AQ177" i="13"/>
  <c r="AC177" i="13"/>
  <c r="P177" i="13"/>
  <c r="X177" i="13" s="1"/>
  <c r="O177" i="13"/>
  <c r="W177" i="13" s="1"/>
  <c r="N177" i="13"/>
  <c r="V177" i="13" s="1"/>
  <c r="M177" i="13"/>
  <c r="U177" i="13" s="1"/>
  <c r="L177" i="13"/>
  <c r="T177" i="13" s="1"/>
  <c r="K177" i="13"/>
  <c r="S177" i="13" s="1"/>
  <c r="J177" i="13"/>
  <c r="R177" i="13" s="1"/>
  <c r="I177" i="13"/>
  <c r="Q177" i="13" s="1"/>
  <c r="H177" i="13"/>
  <c r="G177" i="13"/>
  <c r="F177" i="13"/>
  <c r="E177" i="13"/>
  <c r="C177" i="13"/>
  <c r="AG177" i="13" s="1"/>
  <c r="AK177" i="13" s="1"/>
  <c r="B177" i="13"/>
  <c r="Z177" i="13" s="1"/>
  <c r="A177" i="13"/>
  <c r="AU177" i="13" s="1"/>
  <c r="AQ176" i="13"/>
  <c r="P176" i="13"/>
  <c r="X176" i="13" s="1"/>
  <c r="O176" i="13"/>
  <c r="W176" i="13" s="1"/>
  <c r="N176" i="13"/>
  <c r="V176" i="13" s="1"/>
  <c r="M176" i="13"/>
  <c r="U176" i="13" s="1"/>
  <c r="L176" i="13"/>
  <c r="T176" i="13" s="1"/>
  <c r="K176" i="13"/>
  <c r="S176" i="13" s="1"/>
  <c r="J176" i="13"/>
  <c r="R176" i="13" s="1"/>
  <c r="I176" i="13"/>
  <c r="Q176" i="13" s="1"/>
  <c r="H176" i="13"/>
  <c r="G176" i="13"/>
  <c r="F176" i="13"/>
  <c r="E176" i="13"/>
  <c r="BB176" i="13" s="1"/>
  <c r="C176" i="13"/>
  <c r="AG176" i="13" s="1"/>
  <c r="B176" i="13"/>
  <c r="Z176" i="13" s="1"/>
  <c r="A176" i="13"/>
  <c r="AU176" i="13" s="1"/>
  <c r="AQ175" i="13"/>
  <c r="P175" i="13"/>
  <c r="X175" i="13" s="1"/>
  <c r="O175" i="13"/>
  <c r="W175" i="13" s="1"/>
  <c r="N175" i="13"/>
  <c r="V175" i="13" s="1"/>
  <c r="M175" i="13"/>
  <c r="U175" i="13" s="1"/>
  <c r="L175" i="13"/>
  <c r="T175" i="13" s="1"/>
  <c r="K175" i="13"/>
  <c r="S175" i="13" s="1"/>
  <c r="J175" i="13"/>
  <c r="R175" i="13" s="1"/>
  <c r="I175" i="13"/>
  <c r="Q175" i="13" s="1"/>
  <c r="H175" i="13"/>
  <c r="G175" i="13"/>
  <c r="F175" i="13"/>
  <c r="E175" i="13"/>
  <c r="BB175" i="13" s="1"/>
  <c r="C175" i="13"/>
  <c r="AG175" i="13" s="1"/>
  <c r="B175" i="13"/>
  <c r="Z175" i="13" s="1"/>
  <c r="A175" i="13"/>
  <c r="AC175" i="13" s="1"/>
  <c r="AQ174" i="13"/>
  <c r="S174" i="13"/>
  <c r="P174" i="13"/>
  <c r="X174" i="13" s="1"/>
  <c r="O174" i="13"/>
  <c r="W174" i="13" s="1"/>
  <c r="N174" i="13"/>
  <c r="V174" i="13" s="1"/>
  <c r="M174" i="13"/>
  <c r="U174" i="13" s="1"/>
  <c r="L174" i="13"/>
  <c r="T174" i="13" s="1"/>
  <c r="K174" i="13"/>
  <c r="J174" i="13"/>
  <c r="R174" i="13" s="1"/>
  <c r="I174" i="13"/>
  <c r="Q174" i="13" s="1"/>
  <c r="H174" i="13"/>
  <c r="G174" i="13"/>
  <c r="F174" i="13"/>
  <c r="E174" i="13"/>
  <c r="BB174" i="13" s="1"/>
  <c r="C174" i="13"/>
  <c r="AG174" i="13" s="1"/>
  <c r="B174" i="13"/>
  <c r="Z174" i="13" s="1"/>
  <c r="A174" i="13"/>
  <c r="AQ173" i="13"/>
  <c r="P173" i="13"/>
  <c r="X173" i="13" s="1"/>
  <c r="O173" i="13"/>
  <c r="W173" i="13" s="1"/>
  <c r="N173" i="13"/>
  <c r="V173" i="13" s="1"/>
  <c r="M173" i="13"/>
  <c r="U173" i="13" s="1"/>
  <c r="L173" i="13"/>
  <c r="T173" i="13" s="1"/>
  <c r="K173" i="13"/>
  <c r="S173" i="13" s="1"/>
  <c r="J173" i="13"/>
  <c r="R173" i="13" s="1"/>
  <c r="I173" i="13"/>
  <c r="Q173" i="13" s="1"/>
  <c r="H173" i="13"/>
  <c r="G173" i="13"/>
  <c r="F173" i="13"/>
  <c r="E173" i="13"/>
  <c r="C173" i="13"/>
  <c r="AG173" i="13" s="1"/>
  <c r="B173" i="13"/>
  <c r="Z173" i="13" s="1"/>
  <c r="A173" i="13"/>
  <c r="AC173" i="13" s="1"/>
  <c r="AQ172" i="13"/>
  <c r="P172" i="13"/>
  <c r="X172" i="13" s="1"/>
  <c r="O172" i="13"/>
  <c r="W172" i="13" s="1"/>
  <c r="N172" i="13"/>
  <c r="V172" i="13" s="1"/>
  <c r="M172" i="13"/>
  <c r="U172" i="13" s="1"/>
  <c r="L172" i="13"/>
  <c r="T172" i="13" s="1"/>
  <c r="K172" i="13"/>
  <c r="S172" i="13" s="1"/>
  <c r="J172" i="13"/>
  <c r="R172" i="13" s="1"/>
  <c r="I172" i="13"/>
  <c r="Q172" i="13" s="1"/>
  <c r="H172" i="13"/>
  <c r="G172" i="13"/>
  <c r="F172" i="13"/>
  <c r="E172" i="13"/>
  <c r="BB172" i="13" s="1"/>
  <c r="C172" i="13"/>
  <c r="AG172" i="13" s="1"/>
  <c r="AM172" i="13" s="1"/>
  <c r="B172" i="13"/>
  <c r="Z172" i="13" s="1"/>
  <c r="A172" i="13"/>
  <c r="AU172" i="13" s="1"/>
  <c r="AQ171" i="13"/>
  <c r="Z171" i="13"/>
  <c r="P171" i="13"/>
  <c r="X171" i="13" s="1"/>
  <c r="O171" i="13"/>
  <c r="W171" i="13" s="1"/>
  <c r="N171" i="13"/>
  <c r="V171" i="13" s="1"/>
  <c r="M171" i="13"/>
  <c r="U171" i="13" s="1"/>
  <c r="L171" i="13"/>
  <c r="T171" i="13" s="1"/>
  <c r="K171" i="13"/>
  <c r="S171" i="13" s="1"/>
  <c r="J171" i="13"/>
  <c r="R171" i="13" s="1"/>
  <c r="I171" i="13"/>
  <c r="Q171" i="13" s="1"/>
  <c r="H171" i="13"/>
  <c r="G171" i="13"/>
  <c r="F171" i="13"/>
  <c r="E171" i="13"/>
  <c r="BB171" i="13" s="1"/>
  <c r="C171" i="13"/>
  <c r="AG171" i="13" s="1"/>
  <c r="B171" i="13"/>
  <c r="A171" i="13"/>
  <c r="AU171" i="13" s="1"/>
  <c r="BB170" i="13"/>
  <c r="AQ170" i="13"/>
  <c r="AG170" i="13"/>
  <c r="P170" i="13"/>
  <c r="X170" i="13" s="1"/>
  <c r="O170" i="13"/>
  <c r="W170" i="13" s="1"/>
  <c r="N170" i="13"/>
  <c r="V170" i="13" s="1"/>
  <c r="M170" i="13"/>
  <c r="U170" i="13" s="1"/>
  <c r="L170" i="13"/>
  <c r="T170" i="13" s="1"/>
  <c r="K170" i="13"/>
  <c r="S170" i="13" s="1"/>
  <c r="J170" i="13"/>
  <c r="R170" i="13" s="1"/>
  <c r="I170" i="13"/>
  <c r="Q170" i="13" s="1"/>
  <c r="H170" i="13"/>
  <c r="G170" i="13"/>
  <c r="F170" i="13"/>
  <c r="E170" i="13"/>
  <c r="BA170" i="13" s="1"/>
  <c r="C170" i="13"/>
  <c r="B170" i="13"/>
  <c r="Z170" i="13" s="1"/>
  <c r="A170" i="13"/>
  <c r="AU170" i="13" s="1"/>
  <c r="BB169" i="13"/>
  <c r="AQ169" i="13"/>
  <c r="P169" i="13"/>
  <c r="X169" i="13" s="1"/>
  <c r="O169" i="13"/>
  <c r="W169" i="13" s="1"/>
  <c r="N169" i="13"/>
  <c r="V169" i="13" s="1"/>
  <c r="M169" i="13"/>
  <c r="U169" i="13" s="1"/>
  <c r="L169" i="13"/>
  <c r="T169" i="13" s="1"/>
  <c r="K169" i="13"/>
  <c r="S169" i="13" s="1"/>
  <c r="J169" i="13"/>
  <c r="R169" i="13" s="1"/>
  <c r="I169" i="13"/>
  <c r="Q169" i="13" s="1"/>
  <c r="H169" i="13"/>
  <c r="G169" i="13"/>
  <c r="F169" i="13"/>
  <c r="E169" i="13"/>
  <c r="BA169" i="13" s="1"/>
  <c r="C169" i="13"/>
  <c r="AR169" i="13" s="1"/>
  <c r="B169" i="13"/>
  <c r="Z169" i="13" s="1"/>
  <c r="A169" i="13"/>
  <c r="AC169" i="13" s="1"/>
  <c r="AQ168" i="13"/>
  <c r="P168" i="13"/>
  <c r="X168" i="13" s="1"/>
  <c r="O168" i="13"/>
  <c r="W168" i="13" s="1"/>
  <c r="N168" i="13"/>
  <c r="V168" i="13" s="1"/>
  <c r="M168" i="13"/>
  <c r="U168" i="13" s="1"/>
  <c r="L168" i="13"/>
  <c r="T168" i="13" s="1"/>
  <c r="K168" i="13"/>
  <c r="S168" i="13" s="1"/>
  <c r="J168" i="13"/>
  <c r="R168" i="13" s="1"/>
  <c r="I168" i="13"/>
  <c r="Q168" i="13" s="1"/>
  <c r="H168" i="13"/>
  <c r="G168" i="13"/>
  <c r="F168" i="13"/>
  <c r="E168" i="13"/>
  <c r="BB168" i="13" s="1"/>
  <c r="C168" i="13"/>
  <c r="AG168" i="13" s="1"/>
  <c r="B168" i="13"/>
  <c r="Z168" i="13" s="1"/>
  <c r="A168" i="13"/>
  <c r="AQ167" i="13"/>
  <c r="P167" i="13"/>
  <c r="X167" i="13" s="1"/>
  <c r="O167" i="13"/>
  <c r="W167" i="13" s="1"/>
  <c r="N167" i="13"/>
  <c r="V167" i="13" s="1"/>
  <c r="M167" i="13"/>
  <c r="U167" i="13" s="1"/>
  <c r="L167" i="13"/>
  <c r="T167" i="13" s="1"/>
  <c r="K167" i="13"/>
  <c r="S167" i="13" s="1"/>
  <c r="J167" i="13"/>
  <c r="R167" i="13" s="1"/>
  <c r="I167" i="13"/>
  <c r="Q167" i="13" s="1"/>
  <c r="H167" i="13"/>
  <c r="G167" i="13"/>
  <c r="F167" i="13"/>
  <c r="E167" i="13"/>
  <c r="BB167" i="13" s="1"/>
  <c r="C167" i="13"/>
  <c r="AG167" i="13" s="1"/>
  <c r="B167" i="13"/>
  <c r="Z167" i="13" s="1"/>
  <c r="A167" i="13"/>
  <c r="AU167" i="13" s="1"/>
  <c r="AQ166" i="13"/>
  <c r="P166" i="13"/>
  <c r="X166" i="13" s="1"/>
  <c r="O166" i="13"/>
  <c r="W166" i="13" s="1"/>
  <c r="N166" i="13"/>
  <c r="V166" i="13" s="1"/>
  <c r="M166" i="13"/>
  <c r="U166" i="13" s="1"/>
  <c r="L166" i="13"/>
  <c r="T166" i="13" s="1"/>
  <c r="K166" i="13"/>
  <c r="S166" i="13" s="1"/>
  <c r="J166" i="13"/>
  <c r="R166" i="13" s="1"/>
  <c r="I166" i="13"/>
  <c r="Q166" i="13" s="1"/>
  <c r="H166" i="13"/>
  <c r="G166" i="13"/>
  <c r="F166" i="13"/>
  <c r="E166" i="13"/>
  <c r="BA166" i="13" s="1"/>
  <c r="C166" i="13"/>
  <c r="AG166" i="13" s="1"/>
  <c r="B166" i="13"/>
  <c r="Z166" i="13" s="1"/>
  <c r="A166" i="13"/>
  <c r="AU166" i="13" s="1"/>
  <c r="AQ165" i="13"/>
  <c r="P165" i="13"/>
  <c r="X165" i="13" s="1"/>
  <c r="O165" i="13"/>
  <c r="W165" i="13" s="1"/>
  <c r="N165" i="13"/>
  <c r="V165" i="13" s="1"/>
  <c r="M165" i="13"/>
  <c r="U165" i="13" s="1"/>
  <c r="L165" i="13"/>
  <c r="T165" i="13" s="1"/>
  <c r="K165" i="13"/>
  <c r="S165" i="13" s="1"/>
  <c r="J165" i="13"/>
  <c r="R165" i="13" s="1"/>
  <c r="I165" i="13"/>
  <c r="Q165" i="13" s="1"/>
  <c r="H165" i="13"/>
  <c r="G165" i="13"/>
  <c r="F165" i="13"/>
  <c r="E165" i="13"/>
  <c r="C165" i="13"/>
  <c r="AG165" i="13" s="1"/>
  <c r="AL165" i="13" s="1"/>
  <c r="B165" i="13"/>
  <c r="Z165" i="13" s="1"/>
  <c r="A165" i="13"/>
  <c r="AC165" i="13" s="1"/>
  <c r="AQ164" i="13"/>
  <c r="P164" i="13"/>
  <c r="X164" i="13" s="1"/>
  <c r="O164" i="13"/>
  <c r="W164" i="13" s="1"/>
  <c r="N164" i="13"/>
  <c r="V164" i="13" s="1"/>
  <c r="M164" i="13"/>
  <c r="U164" i="13" s="1"/>
  <c r="L164" i="13"/>
  <c r="T164" i="13" s="1"/>
  <c r="K164" i="13"/>
  <c r="S164" i="13" s="1"/>
  <c r="J164" i="13"/>
  <c r="R164" i="13" s="1"/>
  <c r="I164" i="13"/>
  <c r="Q164" i="13" s="1"/>
  <c r="H164" i="13"/>
  <c r="G164" i="13"/>
  <c r="F164" i="13"/>
  <c r="E164" i="13"/>
  <c r="BB164" i="13" s="1"/>
  <c r="C164" i="13"/>
  <c r="AG164" i="13" s="1"/>
  <c r="B164" i="13"/>
  <c r="Z164" i="13" s="1"/>
  <c r="A164" i="13"/>
  <c r="AU164" i="13" s="1"/>
  <c r="AQ163" i="13"/>
  <c r="Z163" i="13"/>
  <c r="P163" i="13"/>
  <c r="X163" i="13" s="1"/>
  <c r="O163" i="13"/>
  <c r="W163" i="13" s="1"/>
  <c r="N163" i="13"/>
  <c r="V163" i="13" s="1"/>
  <c r="M163" i="13"/>
  <c r="U163" i="13" s="1"/>
  <c r="L163" i="13"/>
  <c r="T163" i="13" s="1"/>
  <c r="K163" i="13"/>
  <c r="S163" i="13" s="1"/>
  <c r="J163" i="13"/>
  <c r="R163" i="13" s="1"/>
  <c r="I163" i="13"/>
  <c r="Q163" i="13" s="1"/>
  <c r="H163" i="13"/>
  <c r="G163" i="13"/>
  <c r="F163" i="13"/>
  <c r="E163" i="13"/>
  <c r="BB163" i="13" s="1"/>
  <c r="C163" i="13"/>
  <c r="AG163" i="13" s="1"/>
  <c r="B163" i="13"/>
  <c r="A163" i="13"/>
  <c r="AU163" i="13" s="1"/>
  <c r="AQ162" i="13"/>
  <c r="P162" i="13"/>
  <c r="X162" i="13" s="1"/>
  <c r="O162" i="13"/>
  <c r="W162" i="13" s="1"/>
  <c r="N162" i="13"/>
  <c r="V162" i="13" s="1"/>
  <c r="M162" i="13"/>
  <c r="U162" i="13" s="1"/>
  <c r="L162" i="13"/>
  <c r="T162" i="13" s="1"/>
  <c r="K162" i="13"/>
  <c r="S162" i="13" s="1"/>
  <c r="J162" i="13"/>
  <c r="R162" i="13" s="1"/>
  <c r="I162" i="13"/>
  <c r="Q162" i="13" s="1"/>
  <c r="H162" i="13"/>
  <c r="G162" i="13"/>
  <c r="F162" i="13"/>
  <c r="E162" i="13"/>
  <c r="C162" i="13"/>
  <c r="AG162" i="13" s="1"/>
  <c r="B162" i="13"/>
  <c r="Z162" i="13" s="1"/>
  <c r="A162" i="13"/>
  <c r="AU162" i="13" s="1"/>
  <c r="BB161" i="13"/>
  <c r="AQ161" i="13"/>
  <c r="P161" i="13"/>
  <c r="X161" i="13" s="1"/>
  <c r="O161" i="13"/>
  <c r="W161" i="13" s="1"/>
  <c r="N161" i="13"/>
  <c r="V161" i="13" s="1"/>
  <c r="M161" i="13"/>
  <c r="U161" i="13" s="1"/>
  <c r="L161" i="13"/>
  <c r="T161" i="13" s="1"/>
  <c r="K161" i="13"/>
  <c r="S161" i="13" s="1"/>
  <c r="J161" i="13"/>
  <c r="R161" i="13" s="1"/>
  <c r="I161" i="13"/>
  <c r="Q161" i="13" s="1"/>
  <c r="H161" i="13"/>
  <c r="G161" i="13"/>
  <c r="F161" i="13"/>
  <c r="E161" i="13"/>
  <c r="BA161" i="13" s="1"/>
  <c r="C161" i="13"/>
  <c r="AG161" i="13" s="1"/>
  <c r="AK161" i="13" s="1"/>
  <c r="B161" i="13"/>
  <c r="Z161" i="13" s="1"/>
  <c r="A161" i="13"/>
  <c r="AC161" i="13" s="1"/>
  <c r="AR160" i="13"/>
  <c r="AQ160" i="13"/>
  <c r="P160" i="13"/>
  <c r="X160" i="13" s="1"/>
  <c r="O160" i="13"/>
  <c r="W160" i="13" s="1"/>
  <c r="N160" i="13"/>
  <c r="V160" i="13" s="1"/>
  <c r="M160" i="13"/>
  <c r="U160" i="13" s="1"/>
  <c r="L160" i="13"/>
  <c r="T160" i="13" s="1"/>
  <c r="K160" i="13"/>
  <c r="S160" i="13" s="1"/>
  <c r="J160" i="13"/>
  <c r="R160" i="13" s="1"/>
  <c r="I160" i="13"/>
  <c r="Q160" i="13" s="1"/>
  <c r="H160" i="13"/>
  <c r="G160" i="13"/>
  <c r="F160" i="13"/>
  <c r="E160" i="13"/>
  <c r="BB160" i="13" s="1"/>
  <c r="C160" i="13"/>
  <c r="AG160" i="13" s="1"/>
  <c r="B160" i="13"/>
  <c r="Z160" i="13" s="1"/>
  <c r="A160" i="13"/>
  <c r="AC160" i="13" s="1"/>
  <c r="AQ159" i="13"/>
  <c r="P159" i="13"/>
  <c r="X159" i="13" s="1"/>
  <c r="O159" i="13"/>
  <c r="W159" i="13" s="1"/>
  <c r="N159" i="13"/>
  <c r="V159" i="13" s="1"/>
  <c r="M159" i="13"/>
  <c r="U159" i="13" s="1"/>
  <c r="L159" i="13"/>
  <c r="T159" i="13" s="1"/>
  <c r="K159" i="13"/>
  <c r="S159" i="13" s="1"/>
  <c r="J159" i="13"/>
  <c r="R159" i="13" s="1"/>
  <c r="I159" i="13"/>
  <c r="Q159" i="13" s="1"/>
  <c r="H159" i="13"/>
  <c r="G159" i="13"/>
  <c r="F159" i="13"/>
  <c r="E159" i="13"/>
  <c r="BB159" i="13" s="1"/>
  <c r="C159" i="13"/>
  <c r="AG159" i="13" s="1"/>
  <c r="B159" i="13"/>
  <c r="Z159" i="13" s="1"/>
  <c r="A159" i="13"/>
  <c r="AU159" i="13" s="1"/>
  <c r="AQ158" i="13"/>
  <c r="P158" i="13"/>
  <c r="X158" i="13" s="1"/>
  <c r="O158" i="13"/>
  <c r="W158" i="13" s="1"/>
  <c r="N158" i="13"/>
  <c r="V158" i="13" s="1"/>
  <c r="M158" i="13"/>
  <c r="U158" i="13" s="1"/>
  <c r="L158" i="13"/>
  <c r="T158" i="13" s="1"/>
  <c r="K158" i="13"/>
  <c r="S158" i="13" s="1"/>
  <c r="J158" i="13"/>
  <c r="R158" i="13" s="1"/>
  <c r="I158" i="13"/>
  <c r="Q158" i="13" s="1"/>
  <c r="H158" i="13"/>
  <c r="G158" i="13"/>
  <c r="F158" i="13"/>
  <c r="E158" i="13"/>
  <c r="BA158" i="13" s="1"/>
  <c r="C158" i="13"/>
  <c r="AG158" i="13" s="1"/>
  <c r="B158" i="13"/>
  <c r="Z158" i="13" s="1"/>
  <c r="A158" i="13"/>
  <c r="AU158" i="13" s="1"/>
  <c r="AQ157" i="13"/>
  <c r="P157" i="13"/>
  <c r="X157" i="13" s="1"/>
  <c r="O157" i="13"/>
  <c r="W157" i="13" s="1"/>
  <c r="N157" i="13"/>
  <c r="V157" i="13" s="1"/>
  <c r="M157" i="13"/>
  <c r="U157" i="13" s="1"/>
  <c r="L157" i="13"/>
  <c r="T157" i="13" s="1"/>
  <c r="K157" i="13"/>
  <c r="S157" i="13" s="1"/>
  <c r="J157" i="13"/>
  <c r="R157" i="13" s="1"/>
  <c r="I157" i="13"/>
  <c r="Q157" i="13" s="1"/>
  <c r="H157" i="13"/>
  <c r="G157" i="13"/>
  <c r="F157" i="13"/>
  <c r="E157" i="13"/>
  <c r="BA157" i="13" s="1"/>
  <c r="C157" i="13"/>
  <c r="AG157" i="13" s="1"/>
  <c r="AL157" i="13" s="1"/>
  <c r="B157" i="13"/>
  <c r="Z157" i="13" s="1"/>
  <c r="A157" i="13"/>
  <c r="AC157" i="13" s="1"/>
  <c r="AQ156" i="13"/>
  <c r="P156" i="13"/>
  <c r="X156" i="13" s="1"/>
  <c r="O156" i="13"/>
  <c r="W156" i="13" s="1"/>
  <c r="N156" i="13"/>
  <c r="V156" i="13" s="1"/>
  <c r="M156" i="13"/>
  <c r="U156" i="13" s="1"/>
  <c r="L156" i="13"/>
  <c r="T156" i="13" s="1"/>
  <c r="K156" i="13"/>
  <c r="S156" i="13" s="1"/>
  <c r="J156" i="13"/>
  <c r="R156" i="13" s="1"/>
  <c r="I156" i="13"/>
  <c r="Q156" i="13" s="1"/>
  <c r="H156" i="13"/>
  <c r="G156" i="13"/>
  <c r="F156" i="13"/>
  <c r="E156" i="13"/>
  <c r="BB156" i="13" s="1"/>
  <c r="C156" i="13"/>
  <c r="AG156" i="13" s="1"/>
  <c r="B156" i="13"/>
  <c r="Z156" i="13" s="1"/>
  <c r="A156" i="13"/>
  <c r="AQ155" i="13"/>
  <c r="P155" i="13"/>
  <c r="X155" i="13" s="1"/>
  <c r="O155" i="13"/>
  <c r="W155" i="13" s="1"/>
  <c r="N155" i="13"/>
  <c r="V155" i="13" s="1"/>
  <c r="M155" i="13"/>
  <c r="U155" i="13" s="1"/>
  <c r="L155" i="13"/>
  <c r="T155" i="13" s="1"/>
  <c r="K155" i="13"/>
  <c r="S155" i="13" s="1"/>
  <c r="J155" i="13"/>
  <c r="R155" i="13" s="1"/>
  <c r="I155" i="13"/>
  <c r="Q155" i="13" s="1"/>
  <c r="H155" i="13"/>
  <c r="G155" i="13"/>
  <c r="F155" i="13"/>
  <c r="E155" i="13"/>
  <c r="C155" i="13"/>
  <c r="AG155" i="13" s="1"/>
  <c r="B155" i="13"/>
  <c r="Z155" i="13" s="1"/>
  <c r="A155" i="13"/>
  <c r="AU155" i="13" s="1"/>
  <c r="AQ154" i="13"/>
  <c r="P154" i="13"/>
  <c r="X154" i="13" s="1"/>
  <c r="O154" i="13"/>
  <c r="W154" i="13" s="1"/>
  <c r="N154" i="13"/>
  <c r="V154" i="13" s="1"/>
  <c r="M154" i="13"/>
  <c r="U154" i="13" s="1"/>
  <c r="L154" i="13"/>
  <c r="T154" i="13" s="1"/>
  <c r="K154" i="13"/>
  <c r="S154" i="13" s="1"/>
  <c r="J154" i="13"/>
  <c r="R154" i="13" s="1"/>
  <c r="I154" i="13"/>
  <c r="Q154" i="13" s="1"/>
  <c r="H154" i="13"/>
  <c r="G154" i="13"/>
  <c r="F154" i="13"/>
  <c r="E154" i="13"/>
  <c r="BA154" i="13" s="1"/>
  <c r="C154" i="13"/>
  <c r="AG154" i="13" s="1"/>
  <c r="B154" i="13"/>
  <c r="Z154" i="13" s="1"/>
  <c r="A154" i="13"/>
  <c r="AU154" i="13" s="1"/>
  <c r="AR153" i="13"/>
  <c r="AQ153" i="13"/>
  <c r="P153" i="13"/>
  <c r="X153" i="13" s="1"/>
  <c r="O153" i="13"/>
  <c r="W153" i="13" s="1"/>
  <c r="N153" i="13"/>
  <c r="V153" i="13" s="1"/>
  <c r="M153" i="13"/>
  <c r="U153" i="13" s="1"/>
  <c r="L153" i="13"/>
  <c r="T153" i="13" s="1"/>
  <c r="K153" i="13"/>
  <c r="S153" i="13" s="1"/>
  <c r="J153" i="13"/>
  <c r="R153" i="13" s="1"/>
  <c r="I153" i="13"/>
  <c r="Q153" i="13" s="1"/>
  <c r="H153" i="13"/>
  <c r="G153" i="13"/>
  <c r="F153" i="13"/>
  <c r="E153" i="13"/>
  <c r="C153" i="13"/>
  <c r="AG153" i="13" s="1"/>
  <c r="AK153" i="13" s="1"/>
  <c r="B153" i="13"/>
  <c r="Z153" i="13" s="1"/>
  <c r="A153" i="13"/>
  <c r="AC153" i="13" s="1"/>
  <c r="AQ152" i="13"/>
  <c r="T152" i="13"/>
  <c r="P152" i="13"/>
  <c r="X152" i="13" s="1"/>
  <c r="O152" i="13"/>
  <c r="W152" i="13" s="1"/>
  <c r="N152" i="13"/>
  <c r="V152" i="13" s="1"/>
  <c r="M152" i="13"/>
  <c r="U152" i="13" s="1"/>
  <c r="L152" i="13"/>
  <c r="K152" i="13"/>
  <c r="S152" i="13" s="1"/>
  <c r="J152" i="13"/>
  <c r="R152" i="13" s="1"/>
  <c r="I152" i="13"/>
  <c r="Q152" i="13" s="1"/>
  <c r="H152" i="13"/>
  <c r="G152" i="13"/>
  <c r="F152" i="13"/>
  <c r="E152" i="13"/>
  <c r="BB152" i="13" s="1"/>
  <c r="C152" i="13"/>
  <c r="AG152" i="13" s="1"/>
  <c r="B152" i="13"/>
  <c r="Z152" i="13" s="1"/>
  <c r="A152" i="13"/>
  <c r="AQ151" i="13"/>
  <c r="P151" i="13"/>
  <c r="X151" i="13" s="1"/>
  <c r="O151" i="13"/>
  <c r="W151" i="13" s="1"/>
  <c r="N151" i="13"/>
  <c r="V151" i="13" s="1"/>
  <c r="M151" i="13"/>
  <c r="U151" i="13" s="1"/>
  <c r="L151" i="13"/>
  <c r="T151" i="13" s="1"/>
  <c r="K151" i="13"/>
  <c r="S151" i="13" s="1"/>
  <c r="J151" i="13"/>
  <c r="R151" i="13" s="1"/>
  <c r="I151" i="13"/>
  <c r="Q151" i="13" s="1"/>
  <c r="H151" i="13"/>
  <c r="G151" i="13"/>
  <c r="F151" i="13"/>
  <c r="E151" i="13"/>
  <c r="BB151" i="13" s="1"/>
  <c r="C151" i="13"/>
  <c r="AG151" i="13" s="1"/>
  <c r="B151" i="13"/>
  <c r="Z151" i="13" s="1"/>
  <c r="A151" i="13"/>
  <c r="AU151" i="13" s="1"/>
  <c r="AQ150" i="13"/>
  <c r="P150" i="13"/>
  <c r="X150" i="13" s="1"/>
  <c r="O150" i="13"/>
  <c r="W150" i="13" s="1"/>
  <c r="N150" i="13"/>
  <c r="V150" i="13" s="1"/>
  <c r="M150" i="13"/>
  <c r="U150" i="13" s="1"/>
  <c r="L150" i="13"/>
  <c r="T150" i="13" s="1"/>
  <c r="K150" i="13"/>
  <c r="S150" i="13" s="1"/>
  <c r="J150" i="13"/>
  <c r="R150" i="13" s="1"/>
  <c r="I150" i="13"/>
  <c r="Q150" i="13" s="1"/>
  <c r="H150" i="13"/>
  <c r="G150" i="13"/>
  <c r="F150" i="13"/>
  <c r="E150" i="13"/>
  <c r="BA150" i="13" s="1"/>
  <c r="C150" i="13"/>
  <c r="AG150" i="13" s="1"/>
  <c r="B150" i="13"/>
  <c r="Z150" i="13" s="1"/>
  <c r="A150" i="13"/>
  <c r="AU150" i="13" s="1"/>
  <c r="AQ149" i="13"/>
  <c r="P149" i="13"/>
  <c r="X149" i="13" s="1"/>
  <c r="O149" i="13"/>
  <c r="W149" i="13" s="1"/>
  <c r="N149" i="13"/>
  <c r="V149" i="13" s="1"/>
  <c r="M149" i="13"/>
  <c r="U149" i="13" s="1"/>
  <c r="L149" i="13"/>
  <c r="T149" i="13" s="1"/>
  <c r="K149" i="13"/>
  <c r="S149" i="13" s="1"/>
  <c r="J149" i="13"/>
  <c r="R149" i="13" s="1"/>
  <c r="I149" i="13"/>
  <c r="Q149" i="13" s="1"/>
  <c r="H149" i="13"/>
  <c r="G149" i="13"/>
  <c r="F149" i="13"/>
  <c r="E149" i="13"/>
  <c r="BA149" i="13" s="1"/>
  <c r="C149" i="13"/>
  <c r="AG149" i="13" s="1"/>
  <c r="B149" i="13"/>
  <c r="Z149" i="13" s="1"/>
  <c r="A149" i="13"/>
  <c r="AC149" i="13" s="1"/>
  <c r="AU148" i="13"/>
  <c r="AQ148" i="13"/>
  <c r="AC148" i="13"/>
  <c r="P148" i="13"/>
  <c r="X148" i="13" s="1"/>
  <c r="O148" i="13"/>
  <c r="W148" i="13" s="1"/>
  <c r="N148" i="13"/>
  <c r="V148" i="13" s="1"/>
  <c r="M148" i="13"/>
  <c r="U148" i="13" s="1"/>
  <c r="L148" i="13"/>
  <c r="T148" i="13" s="1"/>
  <c r="K148" i="13"/>
  <c r="S148" i="13" s="1"/>
  <c r="J148" i="13"/>
  <c r="R148" i="13" s="1"/>
  <c r="I148" i="13"/>
  <c r="Q148" i="13" s="1"/>
  <c r="H148" i="13"/>
  <c r="G148" i="13"/>
  <c r="F148" i="13"/>
  <c r="E148" i="13"/>
  <c r="BB148" i="13" s="1"/>
  <c r="C148" i="13"/>
  <c r="AG148" i="13" s="1"/>
  <c r="B148" i="13"/>
  <c r="Z148" i="13" s="1"/>
  <c r="A148" i="13"/>
  <c r="AR148" i="13" s="1"/>
  <c r="AQ147" i="13"/>
  <c r="Z147" i="13"/>
  <c r="P147" i="13"/>
  <c r="X147" i="13" s="1"/>
  <c r="O147" i="13"/>
  <c r="W147" i="13" s="1"/>
  <c r="N147" i="13"/>
  <c r="V147" i="13" s="1"/>
  <c r="M147" i="13"/>
  <c r="U147" i="13" s="1"/>
  <c r="L147" i="13"/>
  <c r="T147" i="13" s="1"/>
  <c r="K147" i="13"/>
  <c r="S147" i="13" s="1"/>
  <c r="J147" i="13"/>
  <c r="R147" i="13" s="1"/>
  <c r="I147" i="13"/>
  <c r="Q147" i="13" s="1"/>
  <c r="H147" i="13"/>
  <c r="G147" i="13"/>
  <c r="F147" i="13"/>
  <c r="E147" i="13"/>
  <c r="BB147" i="13" s="1"/>
  <c r="C147" i="13"/>
  <c r="AG147" i="13" s="1"/>
  <c r="B147" i="13"/>
  <c r="A147" i="13"/>
  <c r="AU147" i="13" s="1"/>
  <c r="BB146" i="13"/>
  <c r="AQ146" i="13"/>
  <c r="P146" i="13"/>
  <c r="X146" i="13" s="1"/>
  <c r="O146" i="13"/>
  <c r="W146" i="13" s="1"/>
  <c r="N146" i="13"/>
  <c r="V146" i="13" s="1"/>
  <c r="M146" i="13"/>
  <c r="U146" i="13" s="1"/>
  <c r="L146" i="13"/>
  <c r="T146" i="13" s="1"/>
  <c r="K146" i="13"/>
  <c r="S146" i="13" s="1"/>
  <c r="J146" i="13"/>
  <c r="R146" i="13" s="1"/>
  <c r="I146" i="13"/>
  <c r="Q146" i="13" s="1"/>
  <c r="H146" i="13"/>
  <c r="G146" i="13"/>
  <c r="F146" i="13"/>
  <c r="E146" i="13"/>
  <c r="BA146" i="13" s="1"/>
  <c r="C146" i="13"/>
  <c r="AG146" i="13" s="1"/>
  <c r="AM146" i="13" s="1"/>
  <c r="B146" i="13"/>
  <c r="Z146" i="13" s="1"/>
  <c r="A146" i="13"/>
  <c r="AU146" i="13" s="1"/>
  <c r="AQ145" i="13"/>
  <c r="P145" i="13"/>
  <c r="X145" i="13" s="1"/>
  <c r="O145" i="13"/>
  <c r="W145" i="13" s="1"/>
  <c r="N145" i="13"/>
  <c r="V145" i="13" s="1"/>
  <c r="M145" i="13"/>
  <c r="U145" i="13" s="1"/>
  <c r="L145" i="13"/>
  <c r="T145" i="13" s="1"/>
  <c r="K145" i="13"/>
  <c r="S145" i="13" s="1"/>
  <c r="J145" i="13"/>
  <c r="R145" i="13" s="1"/>
  <c r="I145" i="13"/>
  <c r="Q145" i="13" s="1"/>
  <c r="H145" i="13"/>
  <c r="G145" i="13"/>
  <c r="F145" i="13"/>
  <c r="E145" i="13"/>
  <c r="BA145" i="13" s="1"/>
  <c r="C145" i="13"/>
  <c r="AG145" i="13" s="1"/>
  <c r="AK145" i="13" s="1"/>
  <c r="B145" i="13"/>
  <c r="Z145" i="13" s="1"/>
  <c r="A145" i="13"/>
  <c r="AC145" i="13" s="1"/>
  <c r="AQ144" i="13"/>
  <c r="P144" i="13"/>
  <c r="X144" i="13" s="1"/>
  <c r="O144" i="13"/>
  <c r="W144" i="13" s="1"/>
  <c r="N144" i="13"/>
  <c r="V144" i="13" s="1"/>
  <c r="M144" i="13"/>
  <c r="U144" i="13" s="1"/>
  <c r="L144" i="13"/>
  <c r="T144" i="13" s="1"/>
  <c r="K144" i="13"/>
  <c r="S144" i="13" s="1"/>
  <c r="J144" i="13"/>
  <c r="R144" i="13" s="1"/>
  <c r="I144" i="13"/>
  <c r="Q144" i="13" s="1"/>
  <c r="H144" i="13"/>
  <c r="G144" i="13"/>
  <c r="F144" i="13"/>
  <c r="E144" i="13"/>
  <c r="BB144" i="13" s="1"/>
  <c r="C144" i="13"/>
  <c r="B144" i="13"/>
  <c r="Z144" i="13" s="1"/>
  <c r="A144" i="13"/>
  <c r="AC144" i="13" s="1"/>
  <c r="AQ143" i="13"/>
  <c r="P143" i="13"/>
  <c r="X143" i="13" s="1"/>
  <c r="O143" i="13"/>
  <c r="W143" i="13" s="1"/>
  <c r="N143" i="13"/>
  <c r="V143" i="13" s="1"/>
  <c r="M143" i="13"/>
  <c r="U143" i="13" s="1"/>
  <c r="L143" i="13"/>
  <c r="T143" i="13" s="1"/>
  <c r="K143" i="13"/>
  <c r="S143" i="13" s="1"/>
  <c r="J143" i="13"/>
  <c r="R143" i="13" s="1"/>
  <c r="I143" i="13"/>
  <c r="Q143" i="13" s="1"/>
  <c r="H143" i="13"/>
  <c r="G143" i="13"/>
  <c r="F143" i="13"/>
  <c r="E143" i="13"/>
  <c r="BB143" i="13" s="1"/>
  <c r="C143" i="13"/>
  <c r="AG143" i="13" s="1"/>
  <c r="B143" i="13"/>
  <c r="Z143" i="13" s="1"/>
  <c r="A143" i="13"/>
  <c r="AU143" i="13" s="1"/>
  <c r="BB142" i="13"/>
  <c r="AQ142" i="13"/>
  <c r="P142" i="13"/>
  <c r="X142" i="13" s="1"/>
  <c r="O142" i="13"/>
  <c r="W142" i="13" s="1"/>
  <c r="N142" i="13"/>
  <c r="V142" i="13" s="1"/>
  <c r="M142" i="13"/>
  <c r="U142" i="13" s="1"/>
  <c r="L142" i="13"/>
  <c r="T142" i="13" s="1"/>
  <c r="K142" i="13"/>
  <c r="S142" i="13" s="1"/>
  <c r="J142" i="13"/>
  <c r="R142" i="13" s="1"/>
  <c r="I142" i="13"/>
  <c r="Q142" i="13" s="1"/>
  <c r="H142" i="13"/>
  <c r="G142" i="13"/>
  <c r="F142" i="13"/>
  <c r="E142" i="13"/>
  <c r="BA142" i="13" s="1"/>
  <c r="C142" i="13"/>
  <c r="AG142" i="13" s="1"/>
  <c r="B142" i="13"/>
  <c r="Z142" i="13" s="1"/>
  <c r="A142" i="13"/>
  <c r="AU142" i="13" s="1"/>
  <c r="AQ141" i="13"/>
  <c r="P141" i="13"/>
  <c r="X141" i="13" s="1"/>
  <c r="O141" i="13"/>
  <c r="W141" i="13" s="1"/>
  <c r="N141" i="13"/>
  <c r="V141" i="13" s="1"/>
  <c r="M141" i="13"/>
  <c r="U141" i="13" s="1"/>
  <c r="L141" i="13"/>
  <c r="T141" i="13" s="1"/>
  <c r="K141" i="13"/>
  <c r="S141" i="13" s="1"/>
  <c r="J141" i="13"/>
  <c r="R141" i="13" s="1"/>
  <c r="I141" i="13"/>
  <c r="Q141" i="13" s="1"/>
  <c r="H141" i="13"/>
  <c r="G141" i="13"/>
  <c r="F141" i="13"/>
  <c r="E141" i="13"/>
  <c r="BA141" i="13" s="1"/>
  <c r="C141" i="13"/>
  <c r="AG141" i="13" s="1"/>
  <c r="AL141" i="13" s="1"/>
  <c r="B141" i="13"/>
  <c r="Z141" i="13" s="1"/>
  <c r="A141" i="13"/>
  <c r="AC141" i="13" s="1"/>
  <c r="AQ140" i="13"/>
  <c r="P140" i="13"/>
  <c r="X140" i="13" s="1"/>
  <c r="O140" i="13"/>
  <c r="W140" i="13" s="1"/>
  <c r="N140" i="13"/>
  <c r="V140" i="13" s="1"/>
  <c r="M140" i="13"/>
  <c r="U140" i="13" s="1"/>
  <c r="L140" i="13"/>
  <c r="T140" i="13" s="1"/>
  <c r="K140" i="13"/>
  <c r="S140" i="13" s="1"/>
  <c r="J140" i="13"/>
  <c r="R140" i="13" s="1"/>
  <c r="I140" i="13"/>
  <c r="Q140" i="13" s="1"/>
  <c r="H140" i="13"/>
  <c r="G140" i="13"/>
  <c r="F140" i="13"/>
  <c r="E140" i="13"/>
  <c r="BB140" i="13" s="1"/>
  <c r="C140" i="13"/>
  <c r="AG140" i="13" s="1"/>
  <c r="B140" i="13"/>
  <c r="Z140" i="13" s="1"/>
  <c r="A140" i="13"/>
  <c r="AC140" i="13" s="1"/>
  <c r="AQ139" i="13"/>
  <c r="P139" i="13"/>
  <c r="X139" i="13" s="1"/>
  <c r="O139" i="13"/>
  <c r="W139" i="13" s="1"/>
  <c r="N139" i="13"/>
  <c r="V139" i="13" s="1"/>
  <c r="M139" i="13"/>
  <c r="U139" i="13" s="1"/>
  <c r="L139" i="13"/>
  <c r="T139" i="13" s="1"/>
  <c r="K139" i="13"/>
  <c r="S139" i="13" s="1"/>
  <c r="J139" i="13"/>
  <c r="R139" i="13" s="1"/>
  <c r="I139" i="13"/>
  <c r="Q139" i="13" s="1"/>
  <c r="H139" i="13"/>
  <c r="G139" i="13"/>
  <c r="F139" i="13"/>
  <c r="E139" i="13"/>
  <c r="BB139" i="13" s="1"/>
  <c r="C139" i="13"/>
  <c r="AG139" i="13" s="1"/>
  <c r="B139" i="13"/>
  <c r="Z139" i="13" s="1"/>
  <c r="A139" i="13"/>
  <c r="AU139" i="13" s="1"/>
  <c r="AQ138" i="13"/>
  <c r="P138" i="13"/>
  <c r="X138" i="13" s="1"/>
  <c r="O138" i="13"/>
  <c r="W138" i="13" s="1"/>
  <c r="N138" i="13"/>
  <c r="V138" i="13" s="1"/>
  <c r="M138" i="13"/>
  <c r="U138" i="13" s="1"/>
  <c r="L138" i="13"/>
  <c r="T138" i="13" s="1"/>
  <c r="K138" i="13"/>
  <c r="S138" i="13" s="1"/>
  <c r="J138" i="13"/>
  <c r="R138" i="13" s="1"/>
  <c r="I138" i="13"/>
  <c r="Q138" i="13" s="1"/>
  <c r="H138" i="13"/>
  <c r="G138" i="13"/>
  <c r="F138" i="13"/>
  <c r="E138" i="13"/>
  <c r="BA138" i="13" s="1"/>
  <c r="C138" i="13"/>
  <c r="AG138" i="13" s="1"/>
  <c r="B138" i="13"/>
  <c r="Z138" i="13" s="1"/>
  <c r="A138" i="13"/>
  <c r="AU138" i="13" s="1"/>
  <c r="AR137" i="13"/>
  <c r="AQ137" i="13"/>
  <c r="P137" i="13"/>
  <c r="X137" i="13" s="1"/>
  <c r="O137" i="13"/>
  <c r="W137" i="13" s="1"/>
  <c r="N137" i="13"/>
  <c r="V137" i="13" s="1"/>
  <c r="M137" i="13"/>
  <c r="U137" i="13" s="1"/>
  <c r="L137" i="13"/>
  <c r="T137" i="13" s="1"/>
  <c r="K137" i="13"/>
  <c r="S137" i="13" s="1"/>
  <c r="J137" i="13"/>
  <c r="R137" i="13" s="1"/>
  <c r="I137" i="13"/>
  <c r="Q137" i="13" s="1"/>
  <c r="H137" i="13"/>
  <c r="G137" i="13"/>
  <c r="F137" i="13"/>
  <c r="E137" i="13"/>
  <c r="C137" i="13"/>
  <c r="AG137" i="13" s="1"/>
  <c r="B137" i="13"/>
  <c r="Z137" i="13" s="1"/>
  <c r="A137" i="13"/>
  <c r="AC137" i="13" s="1"/>
  <c r="AQ136" i="13"/>
  <c r="P136" i="13"/>
  <c r="X136" i="13" s="1"/>
  <c r="O136" i="13"/>
  <c r="W136" i="13" s="1"/>
  <c r="N136" i="13"/>
  <c r="V136" i="13" s="1"/>
  <c r="M136" i="13"/>
  <c r="U136" i="13" s="1"/>
  <c r="L136" i="13"/>
  <c r="T136" i="13" s="1"/>
  <c r="K136" i="13"/>
  <c r="S136" i="13" s="1"/>
  <c r="J136" i="13"/>
  <c r="R136" i="13" s="1"/>
  <c r="I136" i="13"/>
  <c r="Q136" i="13" s="1"/>
  <c r="H136" i="13"/>
  <c r="G136" i="13"/>
  <c r="F136" i="13"/>
  <c r="E136" i="13"/>
  <c r="BB136" i="13" s="1"/>
  <c r="C136" i="13"/>
  <c r="AG136" i="13" s="1"/>
  <c r="B136" i="13"/>
  <c r="Z136" i="13" s="1"/>
  <c r="A136" i="13"/>
  <c r="AQ135" i="13"/>
  <c r="P135" i="13"/>
  <c r="X135" i="13" s="1"/>
  <c r="O135" i="13"/>
  <c r="W135" i="13" s="1"/>
  <c r="N135" i="13"/>
  <c r="V135" i="13" s="1"/>
  <c r="M135" i="13"/>
  <c r="U135" i="13" s="1"/>
  <c r="L135" i="13"/>
  <c r="T135" i="13" s="1"/>
  <c r="K135" i="13"/>
  <c r="S135" i="13" s="1"/>
  <c r="J135" i="13"/>
  <c r="R135" i="13" s="1"/>
  <c r="I135" i="13"/>
  <c r="Q135" i="13" s="1"/>
  <c r="H135" i="13"/>
  <c r="G135" i="13"/>
  <c r="F135" i="13"/>
  <c r="E135" i="13"/>
  <c r="BB135" i="13" s="1"/>
  <c r="C135" i="13"/>
  <c r="AG135" i="13" s="1"/>
  <c r="B135" i="13"/>
  <c r="A135" i="13"/>
  <c r="AU135" i="13" s="1"/>
  <c r="AQ134" i="13"/>
  <c r="AG134" i="13"/>
  <c r="V134" i="13"/>
  <c r="P134" i="13"/>
  <c r="X134" i="13" s="1"/>
  <c r="O134" i="13"/>
  <c r="W134" i="13" s="1"/>
  <c r="N134" i="13"/>
  <c r="M134" i="13"/>
  <c r="U134" i="13" s="1"/>
  <c r="L134" i="13"/>
  <c r="T134" i="13" s="1"/>
  <c r="K134" i="13"/>
  <c r="S134" i="13" s="1"/>
  <c r="J134" i="13"/>
  <c r="R134" i="13" s="1"/>
  <c r="I134" i="13"/>
  <c r="Q134" i="13" s="1"/>
  <c r="H134" i="13"/>
  <c r="G134" i="13"/>
  <c r="F134" i="13"/>
  <c r="E134" i="13"/>
  <c r="BA134" i="13" s="1"/>
  <c r="C134" i="13"/>
  <c r="B134" i="13"/>
  <c r="Z134" i="13" s="1"/>
  <c r="A134" i="13"/>
  <c r="AU134" i="13" s="1"/>
  <c r="AQ133" i="13"/>
  <c r="P133" i="13"/>
  <c r="X133" i="13" s="1"/>
  <c r="O133" i="13"/>
  <c r="W133" i="13" s="1"/>
  <c r="N133" i="13"/>
  <c r="V133" i="13" s="1"/>
  <c r="M133" i="13"/>
  <c r="U133" i="13" s="1"/>
  <c r="L133" i="13"/>
  <c r="T133" i="13" s="1"/>
  <c r="K133" i="13"/>
  <c r="S133" i="13" s="1"/>
  <c r="J133" i="13"/>
  <c r="R133" i="13" s="1"/>
  <c r="I133" i="13"/>
  <c r="Q133" i="13" s="1"/>
  <c r="H133" i="13"/>
  <c r="G133" i="13"/>
  <c r="F133" i="13"/>
  <c r="E133" i="13"/>
  <c r="C133" i="13"/>
  <c r="AG133" i="13" s="1"/>
  <c r="B133" i="13"/>
  <c r="Z133" i="13" s="1"/>
  <c r="A133" i="13"/>
  <c r="AC133" i="13" s="1"/>
  <c r="AQ132" i="13"/>
  <c r="T132" i="13"/>
  <c r="P132" i="13"/>
  <c r="X132" i="13" s="1"/>
  <c r="O132" i="13"/>
  <c r="W132" i="13" s="1"/>
  <c r="N132" i="13"/>
  <c r="V132" i="13" s="1"/>
  <c r="M132" i="13"/>
  <c r="U132" i="13" s="1"/>
  <c r="L132" i="13"/>
  <c r="K132" i="13"/>
  <c r="S132" i="13" s="1"/>
  <c r="J132" i="13"/>
  <c r="R132" i="13" s="1"/>
  <c r="I132" i="13"/>
  <c r="Q132" i="13" s="1"/>
  <c r="H132" i="13"/>
  <c r="G132" i="13"/>
  <c r="F132" i="13"/>
  <c r="E132" i="13"/>
  <c r="BB132" i="13" s="1"/>
  <c r="C132" i="13"/>
  <c r="AG132" i="13" s="1"/>
  <c r="B132" i="13"/>
  <c r="Z132" i="13" s="1"/>
  <c r="A132" i="13"/>
  <c r="AU132" i="13" s="1"/>
  <c r="AQ131" i="13"/>
  <c r="P131" i="13"/>
  <c r="X131" i="13" s="1"/>
  <c r="O131" i="13"/>
  <c r="W131" i="13" s="1"/>
  <c r="N131" i="13"/>
  <c r="V131" i="13" s="1"/>
  <c r="M131" i="13"/>
  <c r="U131" i="13" s="1"/>
  <c r="L131" i="13"/>
  <c r="T131" i="13" s="1"/>
  <c r="K131" i="13"/>
  <c r="S131" i="13" s="1"/>
  <c r="J131" i="13"/>
  <c r="R131" i="13" s="1"/>
  <c r="I131" i="13"/>
  <c r="Q131" i="13" s="1"/>
  <c r="H131" i="13"/>
  <c r="G131" i="13"/>
  <c r="F131" i="13"/>
  <c r="E131" i="13"/>
  <c r="BB131" i="13" s="1"/>
  <c r="C131" i="13"/>
  <c r="AG131" i="13" s="1"/>
  <c r="B131" i="13"/>
  <c r="A131" i="13"/>
  <c r="AU131" i="13" s="1"/>
  <c r="AQ130" i="13"/>
  <c r="P130" i="13"/>
  <c r="X130" i="13" s="1"/>
  <c r="O130" i="13"/>
  <c r="W130" i="13" s="1"/>
  <c r="N130" i="13"/>
  <c r="V130" i="13" s="1"/>
  <c r="M130" i="13"/>
  <c r="U130" i="13" s="1"/>
  <c r="L130" i="13"/>
  <c r="T130" i="13" s="1"/>
  <c r="K130" i="13"/>
  <c r="S130" i="13" s="1"/>
  <c r="J130" i="13"/>
  <c r="R130" i="13" s="1"/>
  <c r="I130" i="13"/>
  <c r="Q130" i="13" s="1"/>
  <c r="H130" i="13"/>
  <c r="G130" i="13"/>
  <c r="F130" i="13"/>
  <c r="E130" i="13"/>
  <c r="BA130" i="13" s="1"/>
  <c r="C130" i="13"/>
  <c r="AG130" i="13" s="1"/>
  <c r="B130" i="13"/>
  <c r="Z130" i="13" s="1"/>
  <c r="A130" i="13"/>
  <c r="AU130" i="13" s="1"/>
  <c r="AR129" i="13"/>
  <c r="AQ129" i="13"/>
  <c r="T129" i="13"/>
  <c r="P129" i="13"/>
  <c r="X129" i="13" s="1"/>
  <c r="O129" i="13"/>
  <c r="W129" i="13" s="1"/>
  <c r="N129" i="13"/>
  <c r="V129" i="13" s="1"/>
  <c r="M129" i="13"/>
  <c r="U129" i="13" s="1"/>
  <c r="L129" i="13"/>
  <c r="K129" i="13"/>
  <c r="S129" i="13" s="1"/>
  <c r="J129" i="13"/>
  <c r="R129" i="13" s="1"/>
  <c r="I129" i="13"/>
  <c r="Q129" i="13" s="1"/>
  <c r="H129" i="13"/>
  <c r="G129" i="13"/>
  <c r="F129" i="13"/>
  <c r="E129" i="13"/>
  <c r="C129" i="13"/>
  <c r="AG129" i="13" s="1"/>
  <c r="B129" i="13"/>
  <c r="Z129" i="13" s="1"/>
  <c r="A129" i="13"/>
  <c r="AC129" i="13" s="1"/>
  <c r="AQ128" i="13"/>
  <c r="P128" i="13"/>
  <c r="X128" i="13" s="1"/>
  <c r="O128" i="13"/>
  <c r="W128" i="13" s="1"/>
  <c r="N128" i="13"/>
  <c r="V128" i="13" s="1"/>
  <c r="M128" i="13"/>
  <c r="U128" i="13" s="1"/>
  <c r="L128" i="13"/>
  <c r="T128" i="13" s="1"/>
  <c r="K128" i="13"/>
  <c r="S128" i="13" s="1"/>
  <c r="J128" i="13"/>
  <c r="R128" i="13" s="1"/>
  <c r="I128" i="13"/>
  <c r="Q128" i="13" s="1"/>
  <c r="H128" i="13"/>
  <c r="G128" i="13"/>
  <c r="F128" i="13"/>
  <c r="E128" i="13"/>
  <c r="BB128" i="13" s="1"/>
  <c r="C128" i="13"/>
  <c r="AG128" i="13" s="1"/>
  <c r="B128" i="13"/>
  <c r="Z128" i="13" s="1"/>
  <c r="A128" i="13"/>
  <c r="AU128" i="13" s="1"/>
  <c r="AQ127" i="13"/>
  <c r="X127" i="13"/>
  <c r="P127" i="13"/>
  <c r="O127" i="13"/>
  <c r="W127" i="13" s="1"/>
  <c r="N127" i="13"/>
  <c r="V127" i="13" s="1"/>
  <c r="M127" i="13"/>
  <c r="U127" i="13" s="1"/>
  <c r="L127" i="13"/>
  <c r="T127" i="13" s="1"/>
  <c r="K127" i="13"/>
  <c r="S127" i="13" s="1"/>
  <c r="J127" i="13"/>
  <c r="R127" i="13" s="1"/>
  <c r="I127" i="13"/>
  <c r="Q127" i="13" s="1"/>
  <c r="H127" i="13"/>
  <c r="G127" i="13"/>
  <c r="F127" i="13"/>
  <c r="E127" i="13"/>
  <c r="BB127" i="13" s="1"/>
  <c r="C127" i="13"/>
  <c r="AG127" i="13" s="1"/>
  <c r="B127" i="13"/>
  <c r="A127" i="13"/>
  <c r="AU127" i="13" s="1"/>
  <c r="BB126" i="13"/>
  <c r="AQ126" i="13"/>
  <c r="P126" i="13"/>
  <c r="X126" i="13" s="1"/>
  <c r="O126" i="13"/>
  <c r="W126" i="13" s="1"/>
  <c r="N126" i="13"/>
  <c r="V126" i="13" s="1"/>
  <c r="M126" i="13"/>
  <c r="U126" i="13" s="1"/>
  <c r="L126" i="13"/>
  <c r="T126" i="13" s="1"/>
  <c r="K126" i="13"/>
  <c r="S126" i="13" s="1"/>
  <c r="J126" i="13"/>
  <c r="R126" i="13" s="1"/>
  <c r="I126" i="13"/>
  <c r="Q126" i="13" s="1"/>
  <c r="H126" i="13"/>
  <c r="G126" i="13"/>
  <c r="F126" i="13"/>
  <c r="E126" i="13"/>
  <c r="BA126" i="13" s="1"/>
  <c r="C126" i="13"/>
  <c r="AG126" i="13" s="1"/>
  <c r="B126" i="13"/>
  <c r="Z126" i="13" s="1"/>
  <c r="A126" i="13"/>
  <c r="AU126" i="13" s="1"/>
  <c r="AR125" i="13"/>
  <c r="AQ125" i="13"/>
  <c r="P125" i="13"/>
  <c r="X125" i="13" s="1"/>
  <c r="O125" i="13"/>
  <c r="W125" i="13" s="1"/>
  <c r="N125" i="13"/>
  <c r="V125" i="13" s="1"/>
  <c r="M125" i="13"/>
  <c r="U125" i="13" s="1"/>
  <c r="L125" i="13"/>
  <c r="T125" i="13" s="1"/>
  <c r="K125" i="13"/>
  <c r="S125" i="13" s="1"/>
  <c r="J125" i="13"/>
  <c r="R125" i="13" s="1"/>
  <c r="I125" i="13"/>
  <c r="Q125" i="13" s="1"/>
  <c r="H125" i="13"/>
  <c r="G125" i="13"/>
  <c r="F125" i="13"/>
  <c r="E125" i="13"/>
  <c r="BA125" i="13" s="1"/>
  <c r="C125" i="13"/>
  <c r="AG125" i="13" s="1"/>
  <c r="B125" i="13"/>
  <c r="Z125" i="13" s="1"/>
  <c r="A125" i="13"/>
  <c r="AC125" i="13" s="1"/>
  <c r="AQ124" i="13"/>
  <c r="P124" i="13"/>
  <c r="X124" i="13" s="1"/>
  <c r="O124" i="13"/>
  <c r="W124" i="13" s="1"/>
  <c r="N124" i="13"/>
  <c r="V124" i="13" s="1"/>
  <c r="M124" i="13"/>
  <c r="U124" i="13" s="1"/>
  <c r="L124" i="13"/>
  <c r="T124" i="13" s="1"/>
  <c r="K124" i="13"/>
  <c r="S124" i="13" s="1"/>
  <c r="J124" i="13"/>
  <c r="R124" i="13" s="1"/>
  <c r="I124" i="13"/>
  <c r="Q124" i="13" s="1"/>
  <c r="H124" i="13"/>
  <c r="G124" i="13"/>
  <c r="F124" i="13"/>
  <c r="E124" i="13"/>
  <c r="BB124" i="13" s="1"/>
  <c r="C124" i="13"/>
  <c r="AG124" i="13" s="1"/>
  <c r="B124" i="13"/>
  <c r="A124" i="13"/>
  <c r="AQ123" i="13"/>
  <c r="P123" i="13"/>
  <c r="X123" i="13" s="1"/>
  <c r="O123" i="13"/>
  <c r="W123" i="13" s="1"/>
  <c r="N123" i="13"/>
  <c r="V123" i="13" s="1"/>
  <c r="M123" i="13"/>
  <c r="U123" i="13" s="1"/>
  <c r="L123" i="13"/>
  <c r="T123" i="13" s="1"/>
  <c r="K123" i="13"/>
  <c r="S123" i="13" s="1"/>
  <c r="J123" i="13"/>
  <c r="R123" i="13" s="1"/>
  <c r="I123" i="13"/>
  <c r="Q123" i="13" s="1"/>
  <c r="H123" i="13"/>
  <c r="G123" i="13"/>
  <c r="F123" i="13"/>
  <c r="E123" i="13"/>
  <c r="BB123" i="13" s="1"/>
  <c r="C123" i="13"/>
  <c r="AG123" i="13" s="1"/>
  <c r="B123" i="13"/>
  <c r="A123" i="13"/>
  <c r="AU123" i="13" s="1"/>
  <c r="AQ122" i="13"/>
  <c r="V122" i="13"/>
  <c r="P122" i="13"/>
  <c r="X122" i="13" s="1"/>
  <c r="O122" i="13"/>
  <c r="W122" i="13" s="1"/>
  <c r="N122" i="13"/>
  <c r="M122" i="13"/>
  <c r="U122" i="13" s="1"/>
  <c r="L122" i="13"/>
  <c r="T122" i="13" s="1"/>
  <c r="K122" i="13"/>
  <c r="S122" i="13" s="1"/>
  <c r="J122" i="13"/>
  <c r="R122" i="13" s="1"/>
  <c r="I122" i="13"/>
  <c r="Q122" i="13" s="1"/>
  <c r="H122" i="13"/>
  <c r="G122" i="13"/>
  <c r="F122" i="13"/>
  <c r="E122" i="13"/>
  <c r="BA122" i="13" s="1"/>
  <c r="C122" i="13"/>
  <c r="AG122" i="13" s="1"/>
  <c r="B122" i="13"/>
  <c r="Z122" i="13" s="1"/>
  <c r="A122" i="13"/>
  <c r="AU122" i="13" s="1"/>
  <c r="AQ121" i="13"/>
  <c r="P121" i="13"/>
  <c r="X121" i="13" s="1"/>
  <c r="O121" i="13"/>
  <c r="W121" i="13" s="1"/>
  <c r="N121" i="13"/>
  <c r="V121" i="13" s="1"/>
  <c r="M121" i="13"/>
  <c r="U121" i="13" s="1"/>
  <c r="L121" i="13"/>
  <c r="T121" i="13" s="1"/>
  <c r="K121" i="13"/>
  <c r="S121" i="13" s="1"/>
  <c r="J121" i="13"/>
  <c r="R121" i="13" s="1"/>
  <c r="I121" i="13"/>
  <c r="Q121" i="13" s="1"/>
  <c r="H121" i="13"/>
  <c r="G121" i="13"/>
  <c r="F121" i="13"/>
  <c r="E121" i="13"/>
  <c r="BA121" i="13" s="1"/>
  <c r="C121" i="13"/>
  <c r="AG121" i="13" s="1"/>
  <c r="B121" i="13"/>
  <c r="Z121" i="13" s="1"/>
  <c r="A121" i="13"/>
  <c r="AC121" i="13" s="1"/>
  <c r="AQ120" i="13"/>
  <c r="P120" i="13"/>
  <c r="X120" i="13" s="1"/>
  <c r="O120" i="13"/>
  <c r="W120" i="13" s="1"/>
  <c r="N120" i="13"/>
  <c r="V120" i="13" s="1"/>
  <c r="M120" i="13"/>
  <c r="U120" i="13" s="1"/>
  <c r="L120" i="13"/>
  <c r="T120" i="13" s="1"/>
  <c r="K120" i="13"/>
  <c r="S120" i="13" s="1"/>
  <c r="J120" i="13"/>
  <c r="R120" i="13" s="1"/>
  <c r="I120" i="13"/>
  <c r="Q120" i="13" s="1"/>
  <c r="H120" i="13"/>
  <c r="G120" i="13"/>
  <c r="F120" i="13"/>
  <c r="E120" i="13"/>
  <c r="C120" i="13"/>
  <c r="AG120" i="13" s="1"/>
  <c r="B120" i="13"/>
  <c r="Z120" i="13" s="1"/>
  <c r="A120" i="13"/>
  <c r="AU120" i="13" s="1"/>
  <c r="AQ119" i="13"/>
  <c r="P119" i="13"/>
  <c r="X119" i="13" s="1"/>
  <c r="O119" i="13"/>
  <c r="W119" i="13" s="1"/>
  <c r="N119" i="13"/>
  <c r="V119" i="13" s="1"/>
  <c r="M119" i="13"/>
  <c r="U119" i="13" s="1"/>
  <c r="L119" i="13"/>
  <c r="T119" i="13" s="1"/>
  <c r="K119" i="13"/>
  <c r="S119" i="13" s="1"/>
  <c r="J119" i="13"/>
  <c r="R119" i="13" s="1"/>
  <c r="I119" i="13"/>
  <c r="Q119" i="13" s="1"/>
  <c r="H119" i="13"/>
  <c r="G119" i="13"/>
  <c r="F119" i="13"/>
  <c r="E119" i="13"/>
  <c r="BB119" i="13" s="1"/>
  <c r="C119" i="13"/>
  <c r="AG119" i="13" s="1"/>
  <c r="B119" i="13"/>
  <c r="AR119" i="13" s="1"/>
  <c r="A119" i="13"/>
  <c r="AU119" i="13" s="1"/>
  <c r="AQ118" i="13"/>
  <c r="P118" i="13"/>
  <c r="X118" i="13" s="1"/>
  <c r="O118" i="13"/>
  <c r="W118" i="13" s="1"/>
  <c r="N118" i="13"/>
  <c r="V118" i="13" s="1"/>
  <c r="M118" i="13"/>
  <c r="U118" i="13" s="1"/>
  <c r="L118" i="13"/>
  <c r="T118" i="13" s="1"/>
  <c r="K118" i="13"/>
  <c r="S118" i="13" s="1"/>
  <c r="J118" i="13"/>
  <c r="R118" i="13" s="1"/>
  <c r="I118" i="13"/>
  <c r="Q118" i="13" s="1"/>
  <c r="H118" i="13"/>
  <c r="G118" i="13"/>
  <c r="F118" i="13"/>
  <c r="E118" i="13"/>
  <c r="BA118" i="13" s="1"/>
  <c r="C118" i="13"/>
  <c r="AG118" i="13" s="1"/>
  <c r="B118" i="13"/>
  <c r="Z118" i="13" s="1"/>
  <c r="A118" i="13"/>
  <c r="AU118" i="13" s="1"/>
  <c r="AQ117" i="13"/>
  <c r="P117" i="13"/>
  <c r="X117" i="13" s="1"/>
  <c r="O117" i="13"/>
  <c r="W117" i="13" s="1"/>
  <c r="N117" i="13"/>
  <c r="V117" i="13" s="1"/>
  <c r="M117" i="13"/>
  <c r="U117" i="13" s="1"/>
  <c r="L117" i="13"/>
  <c r="T117" i="13" s="1"/>
  <c r="K117" i="13"/>
  <c r="S117" i="13" s="1"/>
  <c r="J117" i="13"/>
  <c r="R117" i="13" s="1"/>
  <c r="I117" i="13"/>
  <c r="Q117" i="13" s="1"/>
  <c r="H117" i="13"/>
  <c r="G117" i="13"/>
  <c r="F117" i="13"/>
  <c r="E117" i="13"/>
  <c r="BA117" i="13" s="1"/>
  <c r="C117" i="13"/>
  <c r="AR117" i="13" s="1"/>
  <c r="B117" i="13"/>
  <c r="Z117" i="13" s="1"/>
  <c r="A117" i="13"/>
  <c r="AC117" i="13" s="1"/>
  <c r="AQ116" i="13"/>
  <c r="P116" i="13"/>
  <c r="X116" i="13" s="1"/>
  <c r="O116" i="13"/>
  <c r="W116" i="13" s="1"/>
  <c r="N116" i="13"/>
  <c r="V116" i="13" s="1"/>
  <c r="M116" i="13"/>
  <c r="U116" i="13" s="1"/>
  <c r="L116" i="13"/>
  <c r="T116" i="13" s="1"/>
  <c r="K116" i="13"/>
  <c r="S116" i="13" s="1"/>
  <c r="J116" i="13"/>
  <c r="R116" i="13" s="1"/>
  <c r="I116" i="13"/>
  <c r="Q116" i="13" s="1"/>
  <c r="H116" i="13"/>
  <c r="G116" i="13"/>
  <c r="F116" i="13"/>
  <c r="E116" i="13"/>
  <c r="BB116" i="13" s="1"/>
  <c r="C116" i="13"/>
  <c r="AG116" i="13" s="1"/>
  <c r="AJ116" i="13" s="1"/>
  <c r="B116" i="13"/>
  <c r="Z116" i="13" s="1"/>
  <c r="A116" i="13"/>
  <c r="AC116" i="13" s="1"/>
  <c r="AQ115" i="13"/>
  <c r="P115" i="13"/>
  <c r="X115" i="13" s="1"/>
  <c r="O115" i="13"/>
  <c r="W115" i="13" s="1"/>
  <c r="N115" i="13"/>
  <c r="V115" i="13" s="1"/>
  <c r="M115" i="13"/>
  <c r="U115" i="13" s="1"/>
  <c r="L115" i="13"/>
  <c r="T115" i="13" s="1"/>
  <c r="K115" i="13"/>
  <c r="S115" i="13" s="1"/>
  <c r="J115" i="13"/>
  <c r="R115" i="13" s="1"/>
  <c r="I115" i="13"/>
  <c r="Q115" i="13" s="1"/>
  <c r="H115" i="13"/>
  <c r="G115" i="13"/>
  <c r="F115" i="13"/>
  <c r="E115" i="13"/>
  <c r="BB115" i="13" s="1"/>
  <c r="C115" i="13"/>
  <c r="AG115" i="13" s="1"/>
  <c r="B115" i="13"/>
  <c r="AR115" i="13" s="1"/>
  <c r="A115" i="13"/>
  <c r="AU115" i="13" s="1"/>
  <c r="AQ114" i="13"/>
  <c r="AG114" i="13"/>
  <c r="P114" i="13"/>
  <c r="X114" i="13" s="1"/>
  <c r="O114" i="13"/>
  <c r="W114" i="13" s="1"/>
  <c r="N114" i="13"/>
  <c r="V114" i="13" s="1"/>
  <c r="M114" i="13"/>
  <c r="U114" i="13" s="1"/>
  <c r="L114" i="13"/>
  <c r="T114" i="13" s="1"/>
  <c r="K114" i="13"/>
  <c r="S114" i="13" s="1"/>
  <c r="J114" i="13"/>
  <c r="R114" i="13" s="1"/>
  <c r="I114" i="13"/>
  <c r="Q114" i="13" s="1"/>
  <c r="H114" i="13"/>
  <c r="G114" i="13"/>
  <c r="F114" i="13"/>
  <c r="E114" i="13"/>
  <c r="BA114" i="13" s="1"/>
  <c r="C114" i="13"/>
  <c r="B114" i="13"/>
  <c r="Z114" i="13" s="1"/>
  <c r="A114" i="13"/>
  <c r="AU114" i="13" s="1"/>
  <c r="AQ113" i="13"/>
  <c r="T113" i="13"/>
  <c r="P113" i="13"/>
  <c r="X113" i="13" s="1"/>
  <c r="O113" i="13"/>
  <c r="W113" i="13" s="1"/>
  <c r="N113" i="13"/>
  <c r="V113" i="13" s="1"/>
  <c r="M113" i="13"/>
  <c r="U113" i="13" s="1"/>
  <c r="L113" i="13"/>
  <c r="K113" i="13"/>
  <c r="S113" i="13" s="1"/>
  <c r="J113" i="13"/>
  <c r="R113" i="13" s="1"/>
  <c r="I113" i="13"/>
  <c r="Q113" i="13" s="1"/>
  <c r="H113" i="13"/>
  <c r="G113" i="13"/>
  <c r="F113" i="13"/>
  <c r="E113" i="13"/>
  <c r="BA113" i="13" s="1"/>
  <c r="C113" i="13"/>
  <c r="AR113" i="13" s="1"/>
  <c r="B113" i="13"/>
  <c r="Z113" i="13" s="1"/>
  <c r="A113" i="13"/>
  <c r="AC113" i="13" s="1"/>
  <c r="AQ112" i="13"/>
  <c r="P112" i="13"/>
  <c r="X112" i="13" s="1"/>
  <c r="O112" i="13"/>
  <c r="W112" i="13" s="1"/>
  <c r="N112" i="13"/>
  <c r="V112" i="13" s="1"/>
  <c r="M112" i="13"/>
  <c r="U112" i="13" s="1"/>
  <c r="L112" i="13"/>
  <c r="T112" i="13" s="1"/>
  <c r="K112" i="13"/>
  <c r="S112" i="13" s="1"/>
  <c r="J112" i="13"/>
  <c r="R112" i="13" s="1"/>
  <c r="I112" i="13"/>
  <c r="Q112" i="13" s="1"/>
  <c r="H112" i="13"/>
  <c r="G112" i="13"/>
  <c r="F112" i="13"/>
  <c r="E112" i="13"/>
  <c r="C112" i="13"/>
  <c r="AG112" i="13" s="1"/>
  <c r="B112" i="13"/>
  <c r="Z112" i="13" s="1"/>
  <c r="A112" i="13"/>
  <c r="AC112" i="13" s="1"/>
  <c r="AQ111" i="13"/>
  <c r="P111" i="13"/>
  <c r="X111" i="13" s="1"/>
  <c r="O111" i="13"/>
  <c r="W111" i="13" s="1"/>
  <c r="N111" i="13"/>
  <c r="V111" i="13" s="1"/>
  <c r="M111" i="13"/>
  <c r="U111" i="13" s="1"/>
  <c r="L111" i="13"/>
  <c r="T111" i="13" s="1"/>
  <c r="K111" i="13"/>
  <c r="S111" i="13" s="1"/>
  <c r="J111" i="13"/>
  <c r="R111" i="13" s="1"/>
  <c r="I111" i="13"/>
  <c r="Q111" i="13" s="1"/>
  <c r="H111" i="13"/>
  <c r="G111" i="13"/>
  <c r="F111" i="13"/>
  <c r="E111" i="13"/>
  <c r="BB111" i="13" s="1"/>
  <c r="C111" i="13"/>
  <c r="AG111" i="13" s="1"/>
  <c r="B111" i="13"/>
  <c r="A111" i="13"/>
  <c r="AU111" i="13" s="1"/>
  <c r="AQ110" i="13"/>
  <c r="P110" i="13"/>
  <c r="X110" i="13" s="1"/>
  <c r="O110" i="13"/>
  <c r="W110" i="13" s="1"/>
  <c r="N110" i="13"/>
  <c r="V110" i="13" s="1"/>
  <c r="M110" i="13"/>
  <c r="U110" i="13" s="1"/>
  <c r="L110" i="13"/>
  <c r="T110" i="13" s="1"/>
  <c r="K110" i="13"/>
  <c r="S110" i="13" s="1"/>
  <c r="J110" i="13"/>
  <c r="R110" i="13" s="1"/>
  <c r="I110" i="13"/>
  <c r="Q110" i="13" s="1"/>
  <c r="H110" i="13"/>
  <c r="G110" i="13"/>
  <c r="F110" i="13"/>
  <c r="E110" i="13"/>
  <c r="BA110" i="13" s="1"/>
  <c r="C110" i="13"/>
  <c r="AG110" i="13" s="1"/>
  <c r="B110" i="13"/>
  <c r="Z110" i="13" s="1"/>
  <c r="A110" i="13"/>
  <c r="AU110" i="13" s="1"/>
  <c r="AQ109" i="13"/>
  <c r="P109" i="13"/>
  <c r="X109" i="13" s="1"/>
  <c r="O109" i="13"/>
  <c r="W109" i="13" s="1"/>
  <c r="N109" i="13"/>
  <c r="V109" i="13" s="1"/>
  <c r="M109" i="13"/>
  <c r="U109" i="13" s="1"/>
  <c r="L109" i="13"/>
  <c r="T109" i="13" s="1"/>
  <c r="K109" i="13"/>
  <c r="S109" i="13" s="1"/>
  <c r="J109" i="13"/>
  <c r="R109" i="13" s="1"/>
  <c r="I109" i="13"/>
  <c r="Q109" i="13" s="1"/>
  <c r="H109" i="13"/>
  <c r="G109" i="13"/>
  <c r="F109" i="13"/>
  <c r="E109" i="13"/>
  <c r="BA109" i="13" s="1"/>
  <c r="C109" i="13"/>
  <c r="AG109" i="13" s="1"/>
  <c r="B109" i="13"/>
  <c r="Z109" i="13" s="1"/>
  <c r="A109" i="13"/>
  <c r="AQ108" i="13"/>
  <c r="P108" i="13"/>
  <c r="X108" i="13" s="1"/>
  <c r="O108" i="13"/>
  <c r="W108" i="13" s="1"/>
  <c r="N108" i="13"/>
  <c r="V108" i="13" s="1"/>
  <c r="M108" i="13"/>
  <c r="U108" i="13" s="1"/>
  <c r="L108" i="13"/>
  <c r="T108" i="13" s="1"/>
  <c r="K108" i="13"/>
  <c r="S108" i="13" s="1"/>
  <c r="J108" i="13"/>
  <c r="R108" i="13" s="1"/>
  <c r="I108" i="13"/>
  <c r="Q108" i="13" s="1"/>
  <c r="H108" i="13"/>
  <c r="G108" i="13"/>
  <c r="F108" i="13"/>
  <c r="E108" i="13"/>
  <c r="BB108" i="13" s="1"/>
  <c r="C108" i="13"/>
  <c r="AG108" i="13" s="1"/>
  <c r="AJ108" i="13" s="1"/>
  <c r="B108" i="13"/>
  <c r="Z108" i="13" s="1"/>
  <c r="A108" i="13"/>
  <c r="AU108" i="13" s="1"/>
  <c r="AQ107" i="13"/>
  <c r="P107" i="13"/>
  <c r="X107" i="13" s="1"/>
  <c r="O107" i="13"/>
  <c r="W107" i="13" s="1"/>
  <c r="N107" i="13"/>
  <c r="V107" i="13" s="1"/>
  <c r="M107" i="13"/>
  <c r="U107" i="13" s="1"/>
  <c r="L107" i="13"/>
  <c r="T107" i="13" s="1"/>
  <c r="K107" i="13"/>
  <c r="S107" i="13" s="1"/>
  <c r="J107" i="13"/>
  <c r="R107" i="13" s="1"/>
  <c r="I107" i="13"/>
  <c r="Q107" i="13" s="1"/>
  <c r="H107" i="13"/>
  <c r="G107" i="13"/>
  <c r="F107" i="13"/>
  <c r="E107" i="13"/>
  <c r="BB107" i="13" s="1"/>
  <c r="C107" i="13"/>
  <c r="AG107" i="13" s="1"/>
  <c r="B107" i="13"/>
  <c r="AR107" i="13" s="1"/>
  <c r="A107" i="13"/>
  <c r="AU107" i="13" s="1"/>
  <c r="AQ106" i="13"/>
  <c r="P106" i="13"/>
  <c r="X106" i="13" s="1"/>
  <c r="O106" i="13"/>
  <c r="W106" i="13" s="1"/>
  <c r="N106" i="13"/>
  <c r="V106" i="13" s="1"/>
  <c r="M106" i="13"/>
  <c r="U106" i="13" s="1"/>
  <c r="L106" i="13"/>
  <c r="T106" i="13" s="1"/>
  <c r="K106" i="13"/>
  <c r="S106" i="13" s="1"/>
  <c r="J106" i="13"/>
  <c r="R106" i="13" s="1"/>
  <c r="I106" i="13"/>
  <c r="Q106" i="13" s="1"/>
  <c r="H106" i="13"/>
  <c r="G106" i="13"/>
  <c r="F106" i="13"/>
  <c r="E106" i="13"/>
  <c r="BA106" i="13" s="1"/>
  <c r="C106" i="13"/>
  <c r="AG106" i="13" s="1"/>
  <c r="B106" i="13"/>
  <c r="Z106" i="13" s="1"/>
  <c r="A106" i="13"/>
  <c r="AU106" i="13" s="1"/>
  <c r="AQ105" i="13"/>
  <c r="P105" i="13"/>
  <c r="X105" i="13" s="1"/>
  <c r="O105" i="13"/>
  <c r="W105" i="13" s="1"/>
  <c r="N105" i="13"/>
  <c r="V105" i="13" s="1"/>
  <c r="M105" i="13"/>
  <c r="U105" i="13" s="1"/>
  <c r="L105" i="13"/>
  <c r="T105" i="13" s="1"/>
  <c r="K105" i="13"/>
  <c r="S105" i="13" s="1"/>
  <c r="J105" i="13"/>
  <c r="R105" i="13" s="1"/>
  <c r="I105" i="13"/>
  <c r="Q105" i="13" s="1"/>
  <c r="H105" i="13"/>
  <c r="G105" i="13"/>
  <c r="F105" i="13"/>
  <c r="E105" i="13"/>
  <c r="BA105" i="13" s="1"/>
  <c r="C105" i="13"/>
  <c r="AG105" i="13" s="1"/>
  <c r="B105" i="13"/>
  <c r="Z105" i="13" s="1"/>
  <c r="A105" i="13"/>
  <c r="AQ104" i="13"/>
  <c r="P104" i="13"/>
  <c r="X104" i="13" s="1"/>
  <c r="O104" i="13"/>
  <c r="W104" i="13" s="1"/>
  <c r="N104" i="13"/>
  <c r="V104" i="13" s="1"/>
  <c r="M104" i="13"/>
  <c r="U104" i="13" s="1"/>
  <c r="L104" i="13"/>
  <c r="T104" i="13" s="1"/>
  <c r="K104" i="13"/>
  <c r="S104" i="13" s="1"/>
  <c r="J104" i="13"/>
  <c r="R104" i="13" s="1"/>
  <c r="I104" i="13"/>
  <c r="Q104" i="13" s="1"/>
  <c r="H104" i="13"/>
  <c r="G104" i="13"/>
  <c r="F104" i="13"/>
  <c r="E104" i="13"/>
  <c r="C104" i="13"/>
  <c r="AG104" i="13" s="1"/>
  <c r="B104" i="13"/>
  <c r="Z104" i="13" s="1"/>
  <c r="A104" i="13"/>
  <c r="AR104" i="13" s="1"/>
  <c r="AQ103" i="13"/>
  <c r="P103" i="13"/>
  <c r="X103" i="13" s="1"/>
  <c r="O103" i="13"/>
  <c r="W103" i="13" s="1"/>
  <c r="N103" i="13"/>
  <c r="V103" i="13" s="1"/>
  <c r="M103" i="13"/>
  <c r="U103" i="13" s="1"/>
  <c r="L103" i="13"/>
  <c r="T103" i="13" s="1"/>
  <c r="K103" i="13"/>
  <c r="S103" i="13" s="1"/>
  <c r="J103" i="13"/>
  <c r="R103" i="13" s="1"/>
  <c r="I103" i="13"/>
  <c r="Q103" i="13" s="1"/>
  <c r="H103" i="13"/>
  <c r="G103" i="13"/>
  <c r="F103" i="13"/>
  <c r="E103" i="13"/>
  <c r="C103" i="13"/>
  <c r="AG103" i="13" s="1"/>
  <c r="B103" i="13"/>
  <c r="Z103" i="13" s="1"/>
  <c r="A103" i="13"/>
  <c r="AQ102" i="13"/>
  <c r="P102" i="13"/>
  <c r="X102" i="13" s="1"/>
  <c r="O102" i="13"/>
  <c r="W102" i="13" s="1"/>
  <c r="N102" i="13"/>
  <c r="V102" i="13" s="1"/>
  <c r="M102" i="13"/>
  <c r="U102" i="13" s="1"/>
  <c r="L102" i="13"/>
  <c r="T102" i="13" s="1"/>
  <c r="K102" i="13"/>
  <c r="S102" i="13" s="1"/>
  <c r="J102" i="13"/>
  <c r="R102" i="13" s="1"/>
  <c r="I102" i="13"/>
  <c r="Q102" i="13" s="1"/>
  <c r="H102" i="13"/>
  <c r="G102" i="13"/>
  <c r="F102" i="13"/>
  <c r="E102" i="13"/>
  <c r="BA102" i="13" s="1"/>
  <c r="C102" i="13"/>
  <c r="AG102" i="13" s="1"/>
  <c r="B102" i="13"/>
  <c r="Z102" i="13" s="1"/>
  <c r="A102" i="13"/>
  <c r="AQ101" i="13"/>
  <c r="P101" i="13"/>
  <c r="X101" i="13" s="1"/>
  <c r="O101" i="13"/>
  <c r="W101" i="13" s="1"/>
  <c r="N101" i="13"/>
  <c r="V101" i="13" s="1"/>
  <c r="M101" i="13"/>
  <c r="U101" i="13" s="1"/>
  <c r="L101" i="13"/>
  <c r="T101" i="13" s="1"/>
  <c r="K101" i="13"/>
  <c r="S101" i="13" s="1"/>
  <c r="J101" i="13"/>
  <c r="R101" i="13" s="1"/>
  <c r="I101" i="13"/>
  <c r="Q101" i="13" s="1"/>
  <c r="H101" i="13"/>
  <c r="G101" i="13"/>
  <c r="F101" i="13"/>
  <c r="E101" i="13"/>
  <c r="C101" i="13"/>
  <c r="AG101" i="13" s="1"/>
  <c r="B101" i="13"/>
  <c r="Z101" i="13" s="1"/>
  <c r="A101" i="13"/>
  <c r="AC101" i="13" s="1"/>
  <c r="AQ100" i="13"/>
  <c r="P100" i="13"/>
  <c r="X100" i="13" s="1"/>
  <c r="O100" i="13"/>
  <c r="W100" i="13" s="1"/>
  <c r="N100" i="13"/>
  <c r="V100" i="13" s="1"/>
  <c r="M100" i="13"/>
  <c r="U100" i="13" s="1"/>
  <c r="L100" i="13"/>
  <c r="T100" i="13" s="1"/>
  <c r="K100" i="13"/>
  <c r="S100" i="13" s="1"/>
  <c r="J100" i="13"/>
  <c r="R100" i="13" s="1"/>
  <c r="I100" i="13"/>
  <c r="Q100" i="13" s="1"/>
  <c r="H100" i="13"/>
  <c r="G100" i="13"/>
  <c r="F100" i="13"/>
  <c r="E100" i="13"/>
  <c r="BB100" i="13" s="1"/>
  <c r="C100" i="13"/>
  <c r="AG100" i="13" s="1"/>
  <c r="B100" i="13"/>
  <c r="Z100" i="13" s="1"/>
  <c r="A100" i="13"/>
  <c r="AR100" i="13" s="1"/>
  <c r="AQ99" i="13"/>
  <c r="U99" i="13"/>
  <c r="P99" i="13"/>
  <c r="X99" i="13" s="1"/>
  <c r="O99" i="13"/>
  <c r="W99" i="13" s="1"/>
  <c r="N99" i="13"/>
  <c r="V99" i="13" s="1"/>
  <c r="M99" i="13"/>
  <c r="L99" i="13"/>
  <c r="T99" i="13" s="1"/>
  <c r="K99" i="13"/>
  <c r="S99" i="13" s="1"/>
  <c r="J99" i="13"/>
  <c r="R99" i="13" s="1"/>
  <c r="I99" i="13"/>
  <c r="Q99" i="13" s="1"/>
  <c r="H99" i="13"/>
  <c r="G99" i="13"/>
  <c r="F99" i="13"/>
  <c r="E99" i="13"/>
  <c r="BB99" i="13" s="1"/>
  <c r="C99" i="13"/>
  <c r="AG99" i="13" s="1"/>
  <c r="AK99" i="13" s="1"/>
  <c r="B99" i="13"/>
  <c r="A99" i="13"/>
  <c r="AU99" i="13" s="1"/>
  <c r="AQ98" i="13"/>
  <c r="P98" i="13"/>
  <c r="X98" i="13" s="1"/>
  <c r="O98" i="13"/>
  <c r="W98" i="13" s="1"/>
  <c r="N98" i="13"/>
  <c r="V98" i="13" s="1"/>
  <c r="M98" i="13"/>
  <c r="U98" i="13" s="1"/>
  <c r="L98" i="13"/>
  <c r="T98" i="13" s="1"/>
  <c r="K98" i="13"/>
  <c r="S98" i="13" s="1"/>
  <c r="J98" i="13"/>
  <c r="R98" i="13" s="1"/>
  <c r="I98" i="13"/>
  <c r="Q98" i="13" s="1"/>
  <c r="H98" i="13"/>
  <c r="G98" i="13"/>
  <c r="F98" i="13"/>
  <c r="E98" i="13"/>
  <c r="BA98" i="13" s="1"/>
  <c r="C98" i="13"/>
  <c r="AG98" i="13" s="1"/>
  <c r="B98" i="13"/>
  <c r="Z98" i="13" s="1"/>
  <c r="A98" i="13"/>
  <c r="BB97" i="13"/>
  <c r="AQ97" i="13"/>
  <c r="P97" i="13"/>
  <c r="X97" i="13" s="1"/>
  <c r="O97" i="13"/>
  <c r="W97" i="13" s="1"/>
  <c r="N97" i="13"/>
  <c r="V97" i="13" s="1"/>
  <c r="M97" i="13"/>
  <c r="U97" i="13" s="1"/>
  <c r="L97" i="13"/>
  <c r="T97" i="13" s="1"/>
  <c r="K97" i="13"/>
  <c r="S97" i="13" s="1"/>
  <c r="J97" i="13"/>
  <c r="R97" i="13" s="1"/>
  <c r="I97" i="13"/>
  <c r="Q97" i="13" s="1"/>
  <c r="H97" i="13"/>
  <c r="G97" i="13"/>
  <c r="F97" i="13"/>
  <c r="E97" i="13"/>
  <c r="BA97" i="13" s="1"/>
  <c r="C97" i="13"/>
  <c r="AG97" i="13" s="1"/>
  <c r="B97" i="13"/>
  <c r="Z97" i="13" s="1"/>
  <c r="A97" i="13"/>
  <c r="AC97" i="13" s="1"/>
  <c r="AQ96" i="13"/>
  <c r="R96" i="13"/>
  <c r="P96" i="13"/>
  <c r="X96" i="13" s="1"/>
  <c r="O96" i="13"/>
  <c r="W96" i="13" s="1"/>
  <c r="N96" i="13"/>
  <c r="V96" i="13" s="1"/>
  <c r="M96" i="13"/>
  <c r="U96" i="13" s="1"/>
  <c r="L96" i="13"/>
  <c r="T96" i="13" s="1"/>
  <c r="K96" i="13"/>
  <c r="S96" i="13" s="1"/>
  <c r="J96" i="13"/>
  <c r="I96" i="13"/>
  <c r="Q96" i="13" s="1"/>
  <c r="H96" i="13"/>
  <c r="G96" i="13"/>
  <c r="F96" i="13"/>
  <c r="E96" i="13"/>
  <c r="BB96" i="13" s="1"/>
  <c r="C96" i="13"/>
  <c r="AG96" i="13" s="1"/>
  <c r="AK96" i="13" s="1"/>
  <c r="B96" i="13"/>
  <c r="A96" i="13"/>
  <c r="AQ95" i="13"/>
  <c r="P95" i="13"/>
  <c r="X95" i="13" s="1"/>
  <c r="O95" i="13"/>
  <c r="W95" i="13" s="1"/>
  <c r="N95" i="13"/>
  <c r="V95" i="13" s="1"/>
  <c r="M95" i="13"/>
  <c r="U95" i="13" s="1"/>
  <c r="L95" i="13"/>
  <c r="T95" i="13" s="1"/>
  <c r="K95" i="13"/>
  <c r="S95" i="13" s="1"/>
  <c r="J95" i="13"/>
  <c r="R95" i="13" s="1"/>
  <c r="I95" i="13"/>
  <c r="Q95" i="13" s="1"/>
  <c r="H95" i="13"/>
  <c r="G95" i="13"/>
  <c r="F95" i="13"/>
  <c r="E95" i="13"/>
  <c r="BB95" i="13" s="1"/>
  <c r="C95" i="13"/>
  <c r="AG95" i="13" s="1"/>
  <c r="AK95" i="13" s="1"/>
  <c r="B95" i="13"/>
  <c r="Z95" i="13" s="1"/>
  <c r="A95" i="13"/>
  <c r="AQ94" i="13"/>
  <c r="P94" i="13"/>
  <c r="X94" i="13" s="1"/>
  <c r="O94" i="13"/>
  <c r="W94" i="13" s="1"/>
  <c r="N94" i="13"/>
  <c r="V94" i="13" s="1"/>
  <c r="M94" i="13"/>
  <c r="U94" i="13" s="1"/>
  <c r="L94" i="13"/>
  <c r="T94" i="13" s="1"/>
  <c r="K94" i="13"/>
  <c r="S94" i="13" s="1"/>
  <c r="J94" i="13"/>
  <c r="R94" i="13" s="1"/>
  <c r="I94" i="13"/>
  <c r="Q94" i="13" s="1"/>
  <c r="H94" i="13"/>
  <c r="G94" i="13"/>
  <c r="F94" i="13"/>
  <c r="E94" i="13"/>
  <c r="BA94" i="13" s="1"/>
  <c r="C94" i="13"/>
  <c r="AG94" i="13" s="1"/>
  <c r="B94" i="13"/>
  <c r="Z94" i="13" s="1"/>
  <c r="A94" i="13"/>
  <c r="AQ93" i="13"/>
  <c r="P93" i="13"/>
  <c r="X93" i="13" s="1"/>
  <c r="O93" i="13"/>
  <c r="W93" i="13" s="1"/>
  <c r="N93" i="13"/>
  <c r="V93" i="13" s="1"/>
  <c r="M93" i="13"/>
  <c r="U93" i="13" s="1"/>
  <c r="L93" i="13"/>
  <c r="T93" i="13" s="1"/>
  <c r="K93" i="13"/>
  <c r="S93" i="13" s="1"/>
  <c r="J93" i="13"/>
  <c r="R93" i="13" s="1"/>
  <c r="I93" i="13"/>
  <c r="Q93" i="13" s="1"/>
  <c r="H93" i="13"/>
  <c r="G93" i="13"/>
  <c r="F93" i="13"/>
  <c r="E93" i="13"/>
  <c r="BA93" i="13" s="1"/>
  <c r="C93" i="13"/>
  <c r="AG93" i="13" s="1"/>
  <c r="B93" i="13"/>
  <c r="Z93" i="13" s="1"/>
  <c r="A93" i="13"/>
  <c r="AC93" i="13" s="1"/>
  <c r="AQ92" i="13"/>
  <c r="T92" i="13"/>
  <c r="P92" i="13"/>
  <c r="X92" i="13" s="1"/>
  <c r="O92" i="13"/>
  <c r="W92" i="13" s="1"/>
  <c r="N92" i="13"/>
  <c r="V92" i="13" s="1"/>
  <c r="M92" i="13"/>
  <c r="U92" i="13" s="1"/>
  <c r="L92" i="13"/>
  <c r="K92" i="13"/>
  <c r="S92" i="13" s="1"/>
  <c r="J92" i="13"/>
  <c r="R92" i="13" s="1"/>
  <c r="I92" i="13"/>
  <c r="Q92" i="13" s="1"/>
  <c r="H92" i="13"/>
  <c r="G92" i="13"/>
  <c r="F92" i="13"/>
  <c r="E92" i="13"/>
  <c r="BB92" i="13" s="1"/>
  <c r="C92" i="13"/>
  <c r="AG92" i="13" s="1"/>
  <c r="B92" i="13"/>
  <c r="Z92" i="13" s="1"/>
  <c r="A92" i="13"/>
  <c r="AR92" i="13" s="1"/>
  <c r="AQ91" i="13"/>
  <c r="P91" i="13"/>
  <c r="X91" i="13" s="1"/>
  <c r="O91" i="13"/>
  <c r="W91" i="13" s="1"/>
  <c r="N91" i="13"/>
  <c r="V91" i="13" s="1"/>
  <c r="M91" i="13"/>
  <c r="U91" i="13" s="1"/>
  <c r="L91" i="13"/>
  <c r="T91" i="13" s="1"/>
  <c r="K91" i="13"/>
  <c r="S91" i="13" s="1"/>
  <c r="J91" i="13"/>
  <c r="R91" i="13" s="1"/>
  <c r="I91" i="13"/>
  <c r="Q91" i="13" s="1"/>
  <c r="H91" i="13"/>
  <c r="G91" i="13"/>
  <c r="F91" i="13"/>
  <c r="E91" i="13"/>
  <c r="C91" i="13"/>
  <c r="AG91" i="13" s="1"/>
  <c r="B91" i="13"/>
  <c r="A91" i="13"/>
  <c r="AU91" i="13" s="1"/>
  <c r="AQ90" i="13"/>
  <c r="P90" i="13"/>
  <c r="X90" i="13" s="1"/>
  <c r="O90" i="13"/>
  <c r="W90" i="13" s="1"/>
  <c r="N90" i="13"/>
  <c r="V90" i="13" s="1"/>
  <c r="M90" i="13"/>
  <c r="U90" i="13" s="1"/>
  <c r="L90" i="13"/>
  <c r="T90" i="13" s="1"/>
  <c r="K90" i="13"/>
  <c r="S90" i="13" s="1"/>
  <c r="J90" i="13"/>
  <c r="R90" i="13" s="1"/>
  <c r="I90" i="13"/>
  <c r="Q90" i="13" s="1"/>
  <c r="H90" i="13"/>
  <c r="G90" i="13"/>
  <c r="F90" i="13"/>
  <c r="E90" i="13"/>
  <c r="BA90" i="13" s="1"/>
  <c r="C90" i="13"/>
  <c r="AG90" i="13" s="1"/>
  <c r="B90" i="13"/>
  <c r="Z90" i="13" s="1"/>
  <c r="A90" i="13"/>
  <c r="AQ89" i="13"/>
  <c r="AG89" i="13"/>
  <c r="AJ89" i="13" s="1"/>
  <c r="P89" i="13"/>
  <c r="X89" i="13" s="1"/>
  <c r="O89" i="13"/>
  <c r="W89" i="13" s="1"/>
  <c r="N89" i="13"/>
  <c r="V89" i="13" s="1"/>
  <c r="M89" i="13"/>
  <c r="U89" i="13" s="1"/>
  <c r="L89" i="13"/>
  <c r="T89" i="13" s="1"/>
  <c r="K89" i="13"/>
  <c r="S89" i="13" s="1"/>
  <c r="J89" i="13"/>
  <c r="R89" i="13" s="1"/>
  <c r="I89" i="13"/>
  <c r="Q89" i="13" s="1"/>
  <c r="H89" i="13"/>
  <c r="G89" i="13"/>
  <c r="F89" i="13"/>
  <c r="E89" i="13"/>
  <c r="C89" i="13"/>
  <c r="B89" i="13"/>
  <c r="Z89" i="13" s="1"/>
  <c r="A89" i="13"/>
  <c r="AC89" i="13" s="1"/>
  <c r="AQ88" i="13"/>
  <c r="P88" i="13"/>
  <c r="X88" i="13" s="1"/>
  <c r="O88" i="13"/>
  <c r="W88" i="13" s="1"/>
  <c r="N88" i="13"/>
  <c r="V88" i="13" s="1"/>
  <c r="M88" i="13"/>
  <c r="U88" i="13" s="1"/>
  <c r="L88" i="13"/>
  <c r="T88" i="13" s="1"/>
  <c r="K88" i="13"/>
  <c r="S88" i="13" s="1"/>
  <c r="J88" i="13"/>
  <c r="R88" i="13" s="1"/>
  <c r="I88" i="13"/>
  <c r="Q88" i="13" s="1"/>
  <c r="H88" i="13"/>
  <c r="G88" i="13"/>
  <c r="F88" i="13"/>
  <c r="E88" i="13"/>
  <c r="BB88" i="13" s="1"/>
  <c r="C88" i="13"/>
  <c r="AG88" i="13" s="1"/>
  <c r="B88" i="13"/>
  <c r="A88" i="13"/>
  <c r="AC88" i="13" s="1"/>
  <c r="AQ87" i="13"/>
  <c r="P87" i="13"/>
  <c r="X87" i="13" s="1"/>
  <c r="O87" i="13"/>
  <c r="W87" i="13" s="1"/>
  <c r="N87" i="13"/>
  <c r="V87" i="13" s="1"/>
  <c r="M87" i="13"/>
  <c r="U87" i="13" s="1"/>
  <c r="L87" i="13"/>
  <c r="T87" i="13" s="1"/>
  <c r="K87" i="13"/>
  <c r="S87" i="13" s="1"/>
  <c r="J87" i="13"/>
  <c r="R87" i="13" s="1"/>
  <c r="I87" i="13"/>
  <c r="Q87" i="13" s="1"/>
  <c r="H87" i="13"/>
  <c r="G87" i="13"/>
  <c r="F87" i="13"/>
  <c r="E87" i="13"/>
  <c r="BB87" i="13" s="1"/>
  <c r="C87" i="13"/>
  <c r="AG87" i="13" s="1"/>
  <c r="AK87" i="13" s="1"/>
  <c r="B87" i="13"/>
  <c r="Z87" i="13" s="1"/>
  <c r="A87" i="13"/>
  <c r="AQ86" i="13"/>
  <c r="P86" i="13"/>
  <c r="X86" i="13" s="1"/>
  <c r="O86" i="13"/>
  <c r="W86" i="13" s="1"/>
  <c r="N86" i="13"/>
  <c r="V86" i="13" s="1"/>
  <c r="M86" i="13"/>
  <c r="U86" i="13" s="1"/>
  <c r="L86" i="13"/>
  <c r="T86" i="13" s="1"/>
  <c r="K86" i="13"/>
  <c r="S86" i="13" s="1"/>
  <c r="J86" i="13"/>
  <c r="R86" i="13" s="1"/>
  <c r="I86" i="13"/>
  <c r="Q86" i="13" s="1"/>
  <c r="H86" i="13"/>
  <c r="G86" i="13"/>
  <c r="F86" i="13"/>
  <c r="E86" i="13"/>
  <c r="BA86" i="13" s="1"/>
  <c r="C86" i="13"/>
  <c r="AG86" i="13" s="1"/>
  <c r="B86" i="13"/>
  <c r="Z86" i="13" s="1"/>
  <c r="A86" i="13"/>
  <c r="AQ85" i="13"/>
  <c r="P85" i="13"/>
  <c r="X85" i="13" s="1"/>
  <c r="O85" i="13"/>
  <c r="W85" i="13" s="1"/>
  <c r="N85" i="13"/>
  <c r="V85" i="13" s="1"/>
  <c r="M85" i="13"/>
  <c r="U85" i="13" s="1"/>
  <c r="L85" i="13"/>
  <c r="T85" i="13" s="1"/>
  <c r="K85" i="13"/>
  <c r="S85" i="13" s="1"/>
  <c r="J85" i="13"/>
  <c r="R85" i="13" s="1"/>
  <c r="I85" i="13"/>
  <c r="Q85" i="13" s="1"/>
  <c r="H85" i="13"/>
  <c r="G85" i="13"/>
  <c r="F85" i="13"/>
  <c r="E85" i="13"/>
  <c r="BA85" i="13" s="1"/>
  <c r="C85" i="13"/>
  <c r="AG85" i="13" s="1"/>
  <c r="B85" i="13"/>
  <c r="Z85" i="13" s="1"/>
  <c r="A85" i="13"/>
  <c r="AC85" i="13" s="1"/>
  <c r="AQ84" i="13"/>
  <c r="T84" i="13"/>
  <c r="P84" i="13"/>
  <c r="X84" i="13" s="1"/>
  <c r="O84" i="13"/>
  <c r="W84" i="13" s="1"/>
  <c r="N84" i="13"/>
  <c r="V84" i="13" s="1"/>
  <c r="M84" i="13"/>
  <c r="U84" i="13" s="1"/>
  <c r="L84" i="13"/>
  <c r="K84" i="13"/>
  <c r="S84" i="13" s="1"/>
  <c r="J84" i="13"/>
  <c r="R84" i="13" s="1"/>
  <c r="I84" i="13"/>
  <c r="Q84" i="13" s="1"/>
  <c r="H84" i="13"/>
  <c r="G84" i="13"/>
  <c r="F84" i="13"/>
  <c r="E84" i="13"/>
  <c r="C84" i="13"/>
  <c r="AG84" i="13" s="1"/>
  <c r="B84" i="13"/>
  <c r="Z84" i="13" s="1"/>
  <c r="A84" i="13"/>
  <c r="AC84" i="13" s="1"/>
  <c r="AQ83" i="13"/>
  <c r="P83" i="13"/>
  <c r="X83" i="13" s="1"/>
  <c r="O83" i="13"/>
  <c r="W83" i="13" s="1"/>
  <c r="N83" i="13"/>
  <c r="V83" i="13" s="1"/>
  <c r="M83" i="13"/>
  <c r="U83" i="13" s="1"/>
  <c r="L83" i="13"/>
  <c r="T83" i="13" s="1"/>
  <c r="K83" i="13"/>
  <c r="S83" i="13" s="1"/>
  <c r="J83" i="13"/>
  <c r="R83" i="13" s="1"/>
  <c r="I83" i="13"/>
  <c r="Q83" i="13" s="1"/>
  <c r="H83" i="13"/>
  <c r="G83" i="13"/>
  <c r="F83" i="13"/>
  <c r="E83" i="13"/>
  <c r="BB83" i="13" s="1"/>
  <c r="C83" i="13"/>
  <c r="AG83" i="13" s="1"/>
  <c r="AK83" i="13" s="1"/>
  <c r="B83" i="13"/>
  <c r="A83" i="13"/>
  <c r="AQ82" i="13"/>
  <c r="P82" i="13"/>
  <c r="X82" i="13" s="1"/>
  <c r="O82" i="13"/>
  <c r="W82" i="13" s="1"/>
  <c r="N82" i="13"/>
  <c r="V82" i="13" s="1"/>
  <c r="M82" i="13"/>
  <c r="U82" i="13" s="1"/>
  <c r="L82" i="13"/>
  <c r="T82" i="13" s="1"/>
  <c r="K82" i="13"/>
  <c r="S82" i="13" s="1"/>
  <c r="J82" i="13"/>
  <c r="R82" i="13" s="1"/>
  <c r="I82" i="13"/>
  <c r="Q82" i="13" s="1"/>
  <c r="H82" i="13"/>
  <c r="G82" i="13"/>
  <c r="F82" i="13"/>
  <c r="E82" i="13"/>
  <c r="BA82" i="13" s="1"/>
  <c r="C82" i="13"/>
  <c r="AG82" i="13" s="1"/>
  <c r="B82" i="13"/>
  <c r="Z82" i="13" s="1"/>
  <c r="A82" i="13"/>
  <c r="AQ81" i="13"/>
  <c r="P81" i="13"/>
  <c r="X81" i="13" s="1"/>
  <c r="O81" i="13"/>
  <c r="W81" i="13" s="1"/>
  <c r="N81" i="13"/>
  <c r="V81" i="13" s="1"/>
  <c r="M81" i="13"/>
  <c r="U81" i="13" s="1"/>
  <c r="L81" i="13"/>
  <c r="T81" i="13" s="1"/>
  <c r="K81" i="13"/>
  <c r="S81" i="13" s="1"/>
  <c r="J81" i="13"/>
  <c r="R81" i="13" s="1"/>
  <c r="I81" i="13"/>
  <c r="Q81" i="13" s="1"/>
  <c r="H81" i="13"/>
  <c r="G81" i="13"/>
  <c r="F81" i="13"/>
  <c r="E81" i="13"/>
  <c r="BA81" i="13" s="1"/>
  <c r="C81" i="13"/>
  <c r="AG81" i="13" s="1"/>
  <c r="B81" i="13"/>
  <c r="Z81" i="13" s="1"/>
  <c r="A81" i="13"/>
  <c r="AC81" i="13" s="1"/>
  <c r="AQ80" i="13"/>
  <c r="P80" i="13"/>
  <c r="X80" i="13" s="1"/>
  <c r="O80" i="13"/>
  <c r="W80" i="13" s="1"/>
  <c r="N80" i="13"/>
  <c r="V80" i="13" s="1"/>
  <c r="M80" i="13"/>
  <c r="U80" i="13" s="1"/>
  <c r="L80" i="13"/>
  <c r="T80" i="13" s="1"/>
  <c r="K80" i="13"/>
  <c r="S80" i="13" s="1"/>
  <c r="J80" i="13"/>
  <c r="R80" i="13" s="1"/>
  <c r="I80" i="13"/>
  <c r="Q80" i="13" s="1"/>
  <c r="H80" i="13"/>
  <c r="G80" i="13"/>
  <c r="F80" i="13"/>
  <c r="E80" i="13"/>
  <c r="BB80" i="13" s="1"/>
  <c r="C80" i="13"/>
  <c r="AG80" i="13" s="1"/>
  <c r="AK80" i="13" s="1"/>
  <c r="B80" i="13"/>
  <c r="A80" i="13"/>
  <c r="AQ79" i="13"/>
  <c r="P79" i="13"/>
  <c r="X79" i="13" s="1"/>
  <c r="O79" i="13"/>
  <c r="W79" i="13" s="1"/>
  <c r="N79" i="13"/>
  <c r="V79" i="13" s="1"/>
  <c r="M79" i="13"/>
  <c r="U79" i="13" s="1"/>
  <c r="L79" i="13"/>
  <c r="T79" i="13" s="1"/>
  <c r="K79" i="13"/>
  <c r="S79" i="13" s="1"/>
  <c r="J79" i="13"/>
  <c r="R79" i="13" s="1"/>
  <c r="I79" i="13"/>
  <c r="Q79" i="13" s="1"/>
  <c r="H79" i="13"/>
  <c r="G79" i="13"/>
  <c r="F79" i="13"/>
  <c r="E79" i="13"/>
  <c r="BB79" i="13" s="1"/>
  <c r="C79" i="13"/>
  <c r="AG79" i="13" s="1"/>
  <c r="AK79" i="13" s="1"/>
  <c r="B79" i="13"/>
  <c r="Z79" i="13" s="1"/>
  <c r="A79" i="13"/>
  <c r="AU79" i="13" s="1"/>
  <c r="BB78" i="13"/>
  <c r="AQ78" i="13"/>
  <c r="P78" i="13"/>
  <c r="X78" i="13" s="1"/>
  <c r="O78" i="13"/>
  <c r="W78" i="13" s="1"/>
  <c r="N78" i="13"/>
  <c r="V78" i="13" s="1"/>
  <c r="M78" i="13"/>
  <c r="U78" i="13" s="1"/>
  <c r="L78" i="13"/>
  <c r="T78" i="13" s="1"/>
  <c r="K78" i="13"/>
  <c r="S78" i="13" s="1"/>
  <c r="J78" i="13"/>
  <c r="R78" i="13" s="1"/>
  <c r="I78" i="13"/>
  <c r="Q78" i="13" s="1"/>
  <c r="H78" i="13"/>
  <c r="G78" i="13"/>
  <c r="F78" i="13"/>
  <c r="E78" i="13"/>
  <c r="BA78" i="13" s="1"/>
  <c r="C78" i="13"/>
  <c r="AG78" i="13" s="1"/>
  <c r="B78" i="13"/>
  <c r="Z78" i="13" s="1"/>
  <c r="A78" i="13"/>
  <c r="AQ77" i="13"/>
  <c r="P77" i="13"/>
  <c r="X77" i="13" s="1"/>
  <c r="O77" i="13"/>
  <c r="W77" i="13" s="1"/>
  <c r="N77" i="13"/>
  <c r="V77" i="13" s="1"/>
  <c r="M77" i="13"/>
  <c r="U77" i="13" s="1"/>
  <c r="L77" i="13"/>
  <c r="T77" i="13" s="1"/>
  <c r="K77" i="13"/>
  <c r="S77" i="13" s="1"/>
  <c r="J77" i="13"/>
  <c r="R77" i="13" s="1"/>
  <c r="I77" i="13"/>
  <c r="Q77" i="13" s="1"/>
  <c r="H77" i="13"/>
  <c r="G77" i="13"/>
  <c r="F77" i="13"/>
  <c r="E77" i="13"/>
  <c r="C77" i="13"/>
  <c r="AG77" i="13" s="1"/>
  <c r="B77" i="13"/>
  <c r="Z77" i="13" s="1"/>
  <c r="A77" i="13"/>
  <c r="AC77" i="13" s="1"/>
  <c r="AQ76" i="13"/>
  <c r="P76" i="13"/>
  <c r="X76" i="13" s="1"/>
  <c r="O76" i="13"/>
  <c r="W76" i="13" s="1"/>
  <c r="N76" i="13"/>
  <c r="V76" i="13" s="1"/>
  <c r="M76" i="13"/>
  <c r="U76" i="13" s="1"/>
  <c r="L76" i="13"/>
  <c r="T76" i="13" s="1"/>
  <c r="K76" i="13"/>
  <c r="S76" i="13" s="1"/>
  <c r="J76" i="13"/>
  <c r="R76" i="13" s="1"/>
  <c r="I76" i="13"/>
  <c r="Q76" i="13" s="1"/>
  <c r="H76" i="13"/>
  <c r="G76" i="13"/>
  <c r="F76" i="13"/>
  <c r="E76" i="13"/>
  <c r="BB76" i="13" s="1"/>
  <c r="C76" i="13"/>
  <c r="AG76" i="13" s="1"/>
  <c r="B76" i="13"/>
  <c r="A76" i="13"/>
  <c r="AU76" i="13" s="1"/>
  <c r="AQ75" i="13"/>
  <c r="P75" i="13"/>
  <c r="X75" i="13" s="1"/>
  <c r="O75" i="13"/>
  <c r="W75" i="13" s="1"/>
  <c r="N75" i="13"/>
  <c r="V75" i="13" s="1"/>
  <c r="M75" i="13"/>
  <c r="U75" i="13" s="1"/>
  <c r="L75" i="13"/>
  <c r="T75" i="13" s="1"/>
  <c r="K75" i="13"/>
  <c r="S75" i="13" s="1"/>
  <c r="J75" i="13"/>
  <c r="R75" i="13" s="1"/>
  <c r="I75" i="13"/>
  <c r="Q75" i="13" s="1"/>
  <c r="H75" i="13"/>
  <c r="G75" i="13"/>
  <c r="F75" i="13"/>
  <c r="E75" i="13"/>
  <c r="BB75" i="13" s="1"/>
  <c r="C75" i="13"/>
  <c r="AG75" i="13" s="1"/>
  <c r="AK75" i="13" s="1"/>
  <c r="B75" i="13"/>
  <c r="Z75" i="13" s="1"/>
  <c r="A75" i="13"/>
  <c r="AU75" i="13" s="1"/>
  <c r="AQ74" i="13"/>
  <c r="P74" i="13"/>
  <c r="X74" i="13" s="1"/>
  <c r="O74" i="13"/>
  <c r="W74" i="13" s="1"/>
  <c r="N74" i="13"/>
  <c r="V74" i="13" s="1"/>
  <c r="M74" i="13"/>
  <c r="U74" i="13" s="1"/>
  <c r="L74" i="13"/>
  <c r="T74" i="13" s="1"/>
  <c r="K74" i="13"/>
  <c r="S74" i="13" s="1"/>
  <c r="J74" i="13"/>
  <c r="R74" i="13" s="1"/>
  <c r="I74" i="13"/>
  <c r="Q74" i="13" s="1"/>
  <c r="H74" i="13"/>
  <c r="G74" i="13"/>
  <c r="F74" i="13"/>
  <c r="E74" i="13"/>
  <c r="BA74" i="13" s="1"/>
  <c r="C74" i="13"/>
  <c r="AG74" i="13" s="1"/>
  <c r="B74" i="13"/>
  <c r="Z74" i="13" s="1"/>
  <c r="A74" i="13"/>
  <c r="AQ73" i="13"/>
  <c r="P73" i="13"/>
  <c r="X73" i="13" s="1"/>
  <c r="O73" i="13"/>
  <c r="W73" i="13" s="1"/>
  <c r="N73" i="13"/>
  <c r="V73" i="13" s="1"/>
  <c r="M73" i="13"/>
  <c r="U73" i="13" s="1"/>
  <c r="L73" i="13"/>
  <c r="T73" i="13" s="1"/>
  <c r="K73" i="13"/>
  <c r="S73" i="13" s="1"/>
  <c r="J73" i="13"/>
  <c r="R73" i="13" s="1"/>
  <c r="I73" i="13"/>
  <c r="Q73" i="13" s="1"/>
  <c r="H73" i="13"/>
  <c r="G73" i="13"/>
  <c r="F73" i="13"/>
  <c r="E73" i="13"/>
  <c r="BA73" i="13" s="1"/>
  <c r="C73" i="13"/>
  <c r="AG73" i="13" s="1"/>
  <c r="B73" i="13"/>
  <c r="Z73" i="13" s="1"/>
  <c r="A73" i="13"/>
  <c r="AQ72" i="13"/>
  <c r="W72" i="13"/>
  <c r="P72" i="13"/>
  <c r="X72" i="13" s="1"/>
  <c r="O72" i="13"/>
  <c r="N72" i="13"/>
  <c r="V72" i="13" s="1"/>
  <c r="M72" i="13"/>
  <c r="U72" i="13" s="1"/>
  <c r="L72" i="13"/>
  <c r="T72" i="13" s="1"/>
  <c r="K72" i="13"/>
  <c r="S72" i="13" s="1"/>
  <c r="J72" i="13"/>
  <c r="R72" i="13" s="1"/>
  <c r="I72" i="13"/>
  <c r="Q72" i="13" s="1"/>
  <c r="H72" i="13"/>
  <c r="G72" i="13"/>
  <c r="F72" i="13"/>
  <c r="E72" i="13"/>
  <c r="BB72" i="13" s="1"/>
  <c r="C72" i="13"/>
  <c r="AG72" i="13" s="1"/>
  <c r="B72" i="13"/>
  <c r="AR72" i="13" s="1"/>
  <c r="A72" i="13"/>
  <c r="AU72" i="13" s="1"/>
  <c r="AQ71" i="13"/>
  <c r="P71" i="13"/>
  <c r="X71" i="13" s="1"/>
  <c r="O71" i="13"/>
  <c r="W71" i="13" s="1"/>
  <c r="N71" i="13"/>
  <c r="V71" i="13" s="1"/>
  <c r="M71" i="13"/>
  <c r="U71" i="13" s="1"/>
  <c r="L71" i="13"/>
  <c r="T71" i="13" s="1"/>
  <c r="K71" i="13"/>
  <c r="S71" i="13" s="1"/>
  <c r="J71" i="13"/>
  <c r="R71" i="13" s="1"/>
  <c r="I71" i="13"/>
  <c r="Q71" i="13" s="1"/>
  <c r="H71" i="13"/>
  <c r="G71" i="13"/>
  <c r="F71" i="13"/>
  <c r="E71" i="13"/>
  <c r="BB71" i="13" s="1"/>
  <c r="C71" i="13"/>
  <c r="AG71" i="13" s="1"/>
  <c r="AK71" i="13" s="1"/>
  <c r="B71" i="13"/>
  <c r="Z71" i="13" s="1"/>
  <c r="A71" i="13"/>
  <c r="AU71" i="13" s="1"/>
  <c r="AQ70" i="13"/>
  <c r="P70" i="13"/>
  <c r="X70" i="13" s="1"/>
  <c r="O70" i="13"/>
  <c r="W70" i="13" s="1"/>
  <c r="N70" i="13"/>
  <c r="V70" i="13" s="1"/>
  <c r="M70" i="13"/>
  <c r="U70" i="13" s="1"/>
  <c r="L70" i="13"/>
  <c r="T70" i="13" s="1"/>
  <c r="K70" i="13"/>
  <c r="S70" i="13" s="1"/>
  <c r="J70" i="13"/>
  <c r="R70" i="13" s="1"/>
  <c r="I70" i="13"/>
  <c r="Q70" i="13" s="1"/>
  <c r="H70" i="13"/>
  <c r="G70" i="13"/>
  <c r="F70" i="13"/>
  <c r="E70" i="13"/>
  <c r="BA70" i="13" s="1"/>
  <c r="C70" i="13"/>
  <c r="AG70" i="13" s="1"/>
  <c r="B70" i="13"/>
  <c r="Z70" i="13" s="1"/>
  <c r="A70" i="13"/>
  <c r="AQ69" i="13"/>
  <c r="P69" i="13"/>
  <c r="X69" i="13" s="1"/>
  <c r="O69" i="13"/>
  <c r="W69" i="13" s="1"/>
  <c r="N69" i="13"/>
  <c r="V69" i="13" s="1"/>
  <c r="M69" i="13"/>
  <c r="U69" i="13" s="1"/>
  <c r="L69" i="13"/>
  <c r="T69" i="13" s="1"/>
  <c r="K69" i="13"/>
  <c r="S69" i="13" s="1"/>
  <c r="J69" i="13"/>
  <c r="R69" i="13" s="1"/>
  <c r="I69" i="13"/>
  <c r="Q69" i="13" s="1"/>
  <c r="H69" i="13"/>
  <c r="G69" i="13"/>
  <c r="F69" i="13"/>
  <c r="E69" i="13"/>
  <c r="BA69" i="13" s="1"/>
  <c r="C69" i="13"/>
  <c r="AG69" i="13" s="1"/>
  <c r="B69" i="13"/>
  <c r="Z69" i="13" s="1"/>
  <c r="A69" i="13"/>
  <c r="AC69" i="13" s="1"/>
  <c r="AQ68" i="13"/>
  <c r="P68" i="13"/>
  <c r="X68" i="13" s="1"/>
  <c r="O68" i="13"/>
  <c r="W68" i="13" s="1"/>
  <c r="N68" i="13"/>
  <c r="V68" i="13" s="1"/>
  <c r="M68" i="13"/>
  <c r="U68" i="13" s="1"/>
  <c r="L68" i="13"/>
  <c r="T68" i="13" s="1"/>
  <c r="K68" i="13"/>
  <c r="S68" i="13" s="1"/>
  <c r="J68" i="13"/>
  <c r="R68" i="13" s="1"/>
  <c r="I68" i="13"/>
  <c r="Q68" i="13" s="1"/>
  <c r="H68" i="13"/>
  <c r="G68" i="13"/>
  <c r="F68" i="13"/>
  <c r="E68" i="13"/>
  <c r="BB68" i="13" s="1"/>
  <c r="C68" i="13"/>
  <c r="AG68" i="13" s="1"/>
  <c r="AH68" i="13" s="1"/>
  <c r="B68" i="13"/>
  <c r="A68" i="13"/>
  <c r="AQ67" i="13"/>
  <c r="P67" i="13"/>
  <c r="X67" i="13" s="1"/>
  <c r="O67" i="13"/>
  <c r="W67" i="13" s="1"/>
  <c r="N67" i="13"/>
  <c r="V67" i="13" s="1"/>
  <c r="M67" i="13"/>
  <c r="U67" i="13" s="1"/>
  <c r="L67" i="13"/>
  <c r="T67" i="13" s="1"/>
  <c r="K67" i="13"/>
  <c r="S67" i="13" s="1"/>
  <c r="J67" i="13"/>
  <c r="R67" i="13" s="1"/>
  <c r="I67" i="13"/>
  <c r="Q67" i="13" s="1"/>
  <c r="H67" i="13"/>
  <c r="G67" i="13"/>
  <c r="F67" i="13"/>
  <c r="E67" i="13"/>
  <c r="BA67" i="13" s="1"/>
  <c r="C67" i="13"/>
  <c r="AG67" i="13" s="1"/>
  <c r="B67" i="13"/>
  <c r="A67" i="13"/>
  <c r="AU67" i="13" s="1"/>
  <c r="AQ66" i="13"/>
  <c r="P66" i="13"/>
  <c r="X66" i="13" s="1"/>
  <c r="O66" i="13"/>
  <c r="W66" i="13" s="1"/>
  <c r="N66" i="13"/>
  <c r="V66" i="13" s="1"/>
  <c r="M66" i="13"/>
  <c r="U66" i="13" s="1"/>
  <c r="L66" i="13"/>
  <c r="T66" i="13" s="1"/>
  <c r="K66" i="13"/>
  <c r="S66" i="13" s="1"/>
  <c r="J66" i="13"/>
  <c r="R66" i="13" s="1"/>
  <c r="I66" i="13"/>
  <c r="Q66" i="13" s="1"/>
  <c r="H66" i="13"/>
  <c r="G66" i="13"/>
  <c r="F66" i="13"/>
  <c r="E66" i="13"/>
  <c r="BA66" i="13" s="1"/>
  <c r="C66" i="13"/>
  <c r="AG66" i="13" s="1"/>
  <c r="B66" i="13"/>
  <c r="Z66" i="13" s="1"/>
  <c r="A66" i="13"/>
  <c r="AQ65" i="13"/>
  <c r="P65" i="13"/>
  <c r="X65" i="13" s="1"/>
  <c r="O65" i="13"/>
  <c r="W65" i="13" s="1"/>
  <c r="N65" i="13"/>
  <c r="V65" i="13" s="1"/>
  <c r="M65" i="13"/>
  <c r="U65" i="13" s="1"/>
  <c r="L65" i="13"/>
  <c r="T65" i="13" s="1"/>
  <c r="K65" i="13"/>
  <c r="S65" i="13" s="1"/>
  <c r="J65" i="13"/>
  <c r="R65" i="13" s="1"/>
  <c r="I65" i="13"/>
  <c r="Q65" i="13" s="1"/>
  <c r="H65" i="13"/>
  <c r="G65" i="13"/>
  <c r="F65" i="13"/>
  <c r="E65" i="13"/>
  <c r="BA65" i="13" s="1"/>
  <c r="C65" i="13"/>
  <c r="AR65" i="13" s="1"/>
  <c r="B65" i="13"/>
  <c r="Z65" i="13" s="1"/>
  <c r="A65" i="13"/>
  <c r="AC65" i="13" s="1"/>
  <c r="AQ64" i="13"/>
  <c r="P64" i="13"/>
  <c r="X64" i="13" s="1"/>
  <c r="O64" i="13"/>
  <c r="W64" i="13" s="1"/>
  <c r="N64" i="13"/>
  <c r="V64" i="13" s="1"/>
  <c r="M64" i="13"/>
  <c r="U64" i="13" s="1"/>
  <c r="L64" i="13"/>
  <c r="T64" i="13" s="1"/>
  <c r="K64" i="13"/>
  <c r="S64" i="13" s="1"/>
  <c r="J64" i="13"/>
  <c r="R64" i="13" s="1"/>
  <c r="I64" i="13"/>
  <c r="Q64" i="13" s="1"/>
  <c r="H64" i="13"/>
  <c r="G64" i="13"/>
  <c r="F64" i="13"/>
  <c r="E64" i="13"/>
  <c r="BB64" i="13" s="1"/>
  <c r="C64" i="13"/>
  <c r="AG64" i="13" s="1"/>
  <c r="B64" i="13"/>
  <c r="A64" i="13"/>
  <c r="AU64" i="13" s="1"/>
  <c r="AQ63" i="13"/>
  <c r="P63" i="13"/>
  <c r="X63" i="13" s="1"/>
  <c r="O63" i="13"/>
  <c r="W63" i="13" s="1"/>
  <c r="N63" i="13"/>
  <c r="V63" i="13" s="1"/>
  <c r="M63" i="13"/>
  <c r="U63" i="13" s="1"/>
  <c r="L63" i="13"/>
  <c r="T63" i="13" s="1"/>
  <c r="K63" i="13"/>
  <c r="S63" i="13" s="1"/>
  <c r="J63" i="13"/>
  <c r="R63" i="13" s="1"/>
  <c r="I63" i="13"/>
  <c r="Q63" i="13" s="1"/>
  <c r="H63" i="13"/>
  <c r="G63" i="13"/>
  <c r="F63" i="13"/>
  <c r="E63" i="13"/>
  <c r="BB63" i="13" s="1"/>
  <c r="C63" i="13"/>
  <c r="AG63" i="13" s="1"/>
  <c r="B63" i="13"/>
  <c r="Z63" i="13" s="1"/>
  <c r="A63" i="13"/>
  <c r="AU63" i="13" s="1"/>
  <c r="BB62" i="13"/>
  <c r="AQ62" i="13"/>
  <c r="P62" i="13"/>
  <c r="X62" i="13" s="1"/>
  <c r="O62" i="13"/>
  <c r="W62" i="13" s="1"/>
  <c r="N62" i="13"/>
  <c r="V62" i="13" s="1"/>
  <c r="M62" i="13"/>
  <c r="U62" i="13" s="1"/>
  <c r="L62" i="13"/>
  <c r="T62" i="13" s="1"/>
  <c r="K62" i="13"/>
  <c r="S62" i="13" s="1"/>
  <c r="J62" i="13"/>
  <c r="R62" i="13" s="1"/>
  <c r="I62" i="13"/>
  <c r="Q62" i="13" s="1"/>
  <c r="H62" i="13"/>
  <c r="G62" i="13"/>
  <c r="F62" i="13"/>
  <c r="E62" i="13"/>
  <c r="BA62" i="13" s="1"/>
  <c r="C62" i="13"/>
  <c r="AG62" i="13" s="1"/>
  <c r="B62" i="13"/>
  <c r="Z62" i="13" s="1"/>
  <c r="A62" i="13"/>
  <c r="AQ61" i="13"/>
  <c r="AG61" i="13"/>
  <c r="Z61" i="13"/>
  <c r="T61" i="13"/>
  <c r="P61" i="13"/>
  <c r="X61" i="13" s="1"/>
  <c r="O61" i="13"/>
  <c r="W61" i="13" s="1"/>
  <c r="N61" i="13"/>
  <c r="V61" i="13" s="1"/>
  <c r="M61" i="13"/>
  <c r="U61" i="13" s="1"/>
  <c r="L61" i="13"/>
  <c r="K61" i="13"/>
  <c r="S61" i="13" s="1"/>
  <c r="AJ61" i="13" s="1"/>
  <c r="J61" i="13"/>
  <c r="R61" i="13" s="1"/>
  <c r="I61" i="13"/>
  <c r="Q61" i="13" s="1"/>
  <c r="H61" i="13"/>
  <c r="G61" i="13"/>
  <c r="F61" i="13"/>
  <c r="E61" i="13"/>
  <c r="BA61" i="13" s="1"/>
  <c r="C61" i="13"/>
  <c r="B61" i="13"/>
  <c r="A61" i="13"/>
  <c r="AC61" i="13" s="1"/>
  <c r="AQ60" i="13"/>
  <c r="P60" i="13"/>
  <c r="X60" i="13" s="1"/>
  <c r="O60" i="13"/>
  <c r="W60" i="13" s="1"/>
  <c r="N60" i="13"/>
  <c r="V60" i="13" s="1"/>
  <c r="M60" i="13"/>
  <c r="U60" i="13" s="1"/>
  <c r="L60" i="13"/>
  <c r="T60" i="13" s="1"/>
  <c r="K60" i="13"/>
  <c r="S60" i="13" s="1"/>
  <c r="J60" i="13"/>
  <c r="R60" i="13" s="1"/>
  <c r="I60" i="13"/>
  <c r="Q60" i="13" s="1"/>
  <c r="H60" i="13"/>
  <c r="G60" i="13"/>
  <c r="F60" i="13"/>
  <c r="E60" i="13"/>
  <c r="C60" i="13"/>
  <c r="AG60" i="13" s="1"/>
  <c r="B60" i="13"/>
  <c r="Z60" i="13" s="1"/>
  <c r="A60" i="13"/>
  <c r="AC60" i="13" s="1"/>
  <c r="AQ59" i="13"/>
  <c r="P59" i="13"/>
  <c r="X59" i="13" s="1"/>
  <c r="O59" i="13"/>
  <c r="W59" i="13" s="1"/>
  <c r="N59" i="13"/>
  <c r="V59" i="13" s="1"/>
  <c r="M59" i="13"/>
  <c r="U59" i="13" s="1"/>
  <c r="L59" i="13"/>
  <c r="T59" i="13" s="1"/>
  <c r="K59" i="13"/>
  <c r="S59" i="13" s="1"/>
  <c r="J59" i="13"/>
  <c r="R59" i="13" s="1"/>
  <c r="I59" i="13"/>
  <c r="Q59" i="13" s="1"/>
  <c r="H59" i="13"/>
  <c r="G59" i="13"/>
  <c r="F59" i="13"/>
  <c r="E59" i="13"/>
  <c r="BA59" i="13" s="1"/>
  <c r="C59" i="13"/>
  <c r="AG59" i="13" s="1"/>
  <c r="B59" i="13"/>
  <c r="Z59" i="13" s="1"/>
  <c r="A59" i="13"/>
  <c r="AU59" i="13" s="1"/>
  <c r="AQ58" i="13"/>
  <c r="P58" i="13"/>
  <c r="X58" i="13" s="1"/>
  <c r="O58" i="13"/>
  <c r="W58" i="13" s="1"/>
  <c r="N58" i="13"/>
  <c r="V58" i="13" s="1"/>
  <c r="M58" i="13"/>
  <c r="U58" i="13" s="1"/>
  <c r="L58" i="13"/>
  <c r="T58" i="13" s="1"/>
  <c r="K58" i="13"/>
  <c r="S58" i="13" s="1"/>
  <c r="J58" i="13"/>
  <c r="R58" i="13" s="1"/>
  <c r="I58" i="13"/>
  <c r="Q58" i="13" s="1"/>
  <c r="H58" i="13"/>
  <c r="G58" i="13"/>
  <c r="F58" i="13"/>
  <c r="E58" i="13"/>
  <c r="BA58" i="13" s="1"/>
  <c r="C58" i="13"/>
  <c r="AG58" i="13" s="1"/>
  <c r="B58" i="13"/>
  <c r="Z58" i="13" s="1"/>
  <c r="A58" i="13"/>
  <c r="AQ57" i="13"/>
  <c r="P57" i="13"/>
  <c r="X57" i="13" s="1"/>
  <c r="O57" i="13"/>
  <c r="W57" i="13" s="1"/>
  <c r="N57" i="13"/>
  <c r="V57" i="13" s="1"/>
  <c r="M57" i="13"/>
  <c r="U57" i="13" s="1"/>
  <c r="L57" i="13"/>
  <c r="T57" i="13" s="1"/>
  <c r="K57" i="13"/>
  <c r="S57" i="13" s="1"/>
  <c r="J57" i="13"/>
  <c r="R57" i="13" s="1"/>
  <c r="I57" i="13"/>
  <c r="Q57" i="13" s="1"/>
  <c r="H57" i="13"/>
  <c r="G57" i="13"/>
  <c r="F57" i="13"/>
  <c r="E57" i="13"/>
  <c r="BB57" i="13" s="1"/>
  <c r="C57" i="13"/>
  <c r="AG57" i="13" s="1"/>
  <c r="B57" i="13"/>
  <c r="A57" i="13"/>
  <c r="AQ56" i="13"/>
  <c r="P56" i="13"/>
  <c r="X56" i="13" s="1"/>
  <c r="O56" i="13"/>
  <c r="W56" i="13" s="1"/>
  <c r="N56" i="13"/>
  <c r="V56" i="13" s="1"/>
  <c r="M56" i="13"/>
  <c r="U56" i="13" s="1"/>
  <c r="L56" i="13"/>
  <c r="T56" i="13" s="1"/>
  <c r="K56" i="13"/>
  <c r="S56" i="13" s="1"/>
  <c r="J56" i="13"/>
  <c r="R56" i="13" s="1"/>
  <c r="I56" i="13"/>
  <c r="Q56" i="13" s="1"/>
  <c r="H56" i="13"/>
  <c r="G56" i="13"/>
  <c r="F56" i="13"/>
  <c r="E56" i="13"/>
  <c r="C56" i="13"/>
  <c r="AG56" i="13" s="1"/>
  <c r="AK56" i="13" s="1"/>
  <c r="B56" i="13"/>
  <c r="A56" i="13"/>
  <c r="AU56" i="13" s="1"/>
  <c r="AQ55" i="13"/>
  <c r="P55" i="13"/>
  <c r="X55" i="13" s="1"/>
  <c r="O55" i="13"/>
  <c r="W55" i="13" s="1"/>
  <c r="N55" i="13"/>
  <c r="V55" i="13" s="1"/>
  <c r="M55" i="13"/>
  <c r="U55" i="13" s="1"/>
  <c r="L55" i="13"/>
  <c r="T55" i="13" s="1"/>
  <c r="K55" i="13"/>
  <c r="S55" i="13" s="1"/>
  <c r="J55" i="13"/>
  <c r="R55" i="13" s="1"/>
  <c r="I55" i="13"/>
  <c r="Q55" i="13" s="1"/>
  <c r="H55" i="13"/>
  <c r="G55" i="13"/>
  <c r="F55" i="13"/>
  <c r="E55" i="13"/>
  <c r="BA55" i="13" s="1"/>
  <c r="C55" i="13"/>
  <c r="AG55" i="13" s="1"/>
  <c r="B55" i="13"/>
  <c r="Z55" i="13" s="1"/>
  <c r="A55" i="13"/>
  <c r="AU55" i="13" s="1"/>
  <c r="AQ54" i="13"/>
  <c r="P54" i="13"/>
  <c r="X54" i="13" s="1"/>
  <c r="O54" i="13"/>
  <c r="W54" i="13" s="1"/>
  <c r="N54" i="13"/>
  <c r="V54" i="13" s="1"/>
  <c r="M54" i="13"/>
  <c r="U54" i="13" s="1"/>
  <c r="L54" i="13"/>
  <c r="T54" i="13" s="1"/>
  <c r="K54" i="13"/>
  <c r="S54" i="13" s="1"/>
  <c r="J54" i="13"/>
  <c r="R54" i="13" s="1"/>
  <c r="I54" i="13"/>
  <c r="Q54" i="13" s="1"/>
  <c r="H54" i="13"/>
  <c r="G54" i="13"/>
  <c r="F54" i="13"/>
  <c r="E54" i="13"/>
  <c r="BA54" i="13" s="1"/>
  <c r="C54" i="13"/>
  <c r="AG54" i="13" s="1"/>
  <c r="B54" i="13"/>
  <c r="Z54" i="13" s="1"/>
  <c r="A54" i="13"/>
  <c r="AQ53" i="13"/>
  <c r="P53" i="13"/>
  <c r="X53" i="13" s="1"/>
  <c r="O53" i="13"/>
  <c r="W53" i="13" s="1"/>
  <c r="N53" i="13"/>
  <c r="V53" i="13" s="1"/>
  <c r="M53" i="13"/>
  <c r="U53" i="13" s="1"/>
  <c r="L53" i="13"/>
  <c r="T53" i="13" s="1"/>
  <c r="K53" i="13"/>
  <c r="S53" i="13" s="1"/>
  <c r="J53" i="13"/>
  <c r="R53" i="13" s="1"/>
  <c r="I53" i="13"/>
  <c r="Q53" i="13" s="1"/>
  <c r="H53" i="13"/>
  <c r="G53" i="13"/>
  <c r="F53" i="13"/>
  <c r="E53" i="13"/>
  <c r="BB53" i="13" s="1"/>
  <c r="C53" i="13"/>
  <c r="AG53" i="13" s="1"/>
  <c r="B53" i="13"/>
  <c r="AR53" i="13" s="1"/>
  <c r="A53" i="13"/>
  <c r="AC53" i="13" s="1"/>
  <c r="AQ52" i="13"/>
  <c r="P52" i="13"/>
  <c r="X52" i="13" s="1"/>
  <c r="O52" i="13"/>
  <c r="W52" i="13" s="1"/>
  <c r="N52" i="13"/>
  <c r="V52" i="13" s="1"/>
  <c r="M52" i="13"/>
  <c r="U52" i="13" s="1"/>
  <c r="L52" i="13"/>
  <c r="T52" i="13" s="1"/>
  <c r="K52" i="13"/>
  <c r="S52" i="13" s="1"/>
  <c r="J52" i="13"/>
  <c r="R52" i="13" s="1"/>
  <c r="I52" i="13"/>
  <c r="Q52" i="13" s="1"/>
  <c r="H52" i="13"/>
  <c r="G52" i="13"/>
  <c r="F52" i="13"/>
  <c r="E52" i="13"/>
  <c r="C52" i="13"/>
  <c r="AG52" i="13" s="1"/>
  <c r="AK52" i="13" s="1"/>
  <c r="B52" i="13"/>
  <c r="A52" i="13"/>
  <c r="AU52" i="13" s="1"/>
  <c r="AQ51" i="13"/>
  <c r="P51" i="13"/>
  <c r="X51" i="13" s="1"/>
  <c r="O51" i="13"/>
  <c r="W51" i="13" s="1"/>
  <c r="N51" i="13"/>
  <c r="V51" i="13" s="1"/>
  <c r="M51" i="13"/>
  <c r="U51" i="13" s="1"/>
  <c r="L51" i="13"/>
  <c r="T51" i="13" s="1"/>
  <c r="K51" i="13"/>
  <c r="S51" i="13" s="1"/>
  <c r="J51" i="13"/>
  <c r="R51" i="13" s="1"/>
  <c r="I51" i="13"/>
  <c r="Q51" i="13" s="1"/>
  <c r="H51" i="13"/>
  <c r="G51" i="13"/>
  <c r="F51" i="13"/>
  <c r="E51" i="13"/>
  <c r="BA51" i="13" s="1"/>
  <c r="C51" i="13"/>
  <c r="AG51" i="13" s="1"/>
  <c r="AI51" i="13" s="1"/>
  <c r="B51" i="13"/>
  <c r="Z51" i="13" s="1"/>
  <c r="A51" i="13"/>
  <c r="AU51" i="13" s="1"/>
  <c r="AQ50" i="13"/>
  <c r="AG50" i="13"/>
  <c r="P50" i="13"/>
  <c r="X50" i="13" s="1"/>
  <c r="O50" i="13"/>
  <c r="W50" i="13" s="1"/>
  <c r="N50" i="13"/>
  <c r="V50" i="13" s="1"/>
  <c r="M50" i="13"/>
  <c r="U50" i="13" s="1"/>
  <c r="L50" i="13"/>
  <c r="T50" i="13" s="1"/>
  <c r="K50" i="13"/>
  <c r="S50" i="13" s="1"/>
  <c r="J50" i="13"/>
  <c r="R50" i="13" s="1"/>
  <c r="I50" i="13"/>
  <c r="Q50" i="13" s="1"/>
  <c r="H50" i="13"/>
  <c r="G50" i="13"/>
  <c r="F50" i="13"/>
  <c r="E50" i="13"/>
  <c r="BA50" i="13" s="1"/>
  <c r="C50" i="13"/>
  <c r="B50" i="13"/>
  <c r="Z50" i="13" s="1"/>
  <c r="A50" i="13"/>
  <c r="AQ49" i="13"/>
  <c r="P49" i="13"/>
  <c r="X49" i="13" s="1"/>
  <c r="O49" i="13"/>
  <c r="W49" i="13" s="1"/>
  <c r="N49" i="13"/>
  <c r="V49" i="13" s="1"/>
  <c r="M49" i="13"/>
  <c r="U49" i="13" s="1"/>
  <c r="L49" i="13"/>
  <c r="T49" i="13" s="1"/>
  <c r="K49" i="13"/>
  <c r="S49" i="13" s="1"/>
  <c r="J49" i="13"/>
  <c r="R49" i="13" s="1"/>
  <c r="I49" i="13"/>
  <c r="Q49" i="13" s="1"/>
  <c r="H49" i="13"/>
  <c r="G49" i="13"/>
  <c r="F49" i="13"/>
  <c r="E49" i="13"/>
  <c r="BB49" i="13" s="1"/>
  <c r="C49" i="13"/>
  <c r="AG49" i="13" s="1"/>
  <c r="B49" i="13"/>
  <c r="AR49" i="13" s="1"/>
  <c r="A49" i="13"/>
  <c r="AC49" i="13" s="1"/>
  <c r="AQ48" i="13"/>
  <c r="P48" i="13"/>
  <c r="X48" i="13" s="1"/>
  <c r="O48" i="13"/>
  <c r="W48" i="13" s="1"/>
  <c r="N48" i="13"/>
  <c r="V48" i="13" s="1"/>
  <c r="M48" i="13"/>
  <c r="U48" i="13" s="1"/>
  <c r="L48" i="13"/>
  <c r="T48" i="13" s="1"/>
  <c r="K48" i="13"/>
  <c r="S48" i="13" s="1"/>
  <c r="J48" i="13"/>
  <c r="R48" i="13" s="1"/>
  <c r="I48" i="13"/>
  <c r="Q48" i="13" s="1"/>
  <c r="H48" i="13"/>
  <c r="G48" i="13"/>
  <c r="F48" i="13"/>
  <c r="E48" i="13"/>
  <c r="C48" i="13"/>
  <c r="AG48" i="13" s="1"/>
  <c r="AK48" i="13" s="1"/>
  <c r="B48" i="13"/>
  <c r="A48" i="13"/>
  <c r="AU48" i="13" s="1"/>
  <c r="AQ47" i="13"/>
  <c r="P47" i="13"/>
  <c r="X47" i="13" s="1"/>
  <c r="O47" i="13"/>
  <c r="W47" i="13" s="1"/>
  <c r="N47" i="13"/>
  <c r="V47" i="13" s="1"/>
  <c r="M47" i="13"/>
  <c r="U47" i="13" s="1"/>
  <c r="L47" i="13"/>
  <c r="T47" i="13" s="1"/>
  <c r="K47" i="13"/>
  <c r="S47" i="13" s="1"/>
  <c r="J47" i="13"/>
  <c r="R47" i="13" s="1"/>
  <c r="I47" i="13"/>
  <c r="Q47" i="13" s="1"/>
  <c r="H47" i="13"/>
  <c r="G47" i="13"/>
  <c r="F47" i="13"/>
  <c r="E47" i="13"/>
  <c r="BA47" i="13" s="1"/>
  <c r="C47" i="13"/>
  <c r="AG47" i="13" s="1"/>
  <c r="B47" i="13"/>
  <c r="Z47" i="13" s="1"/>
  <c r="A47" i="13"/>
  <c r="AU47" i="13" s="1"/>
  <c r="AQ46" i="13"/>
  <c r="AG46" i="13"/>
  <c r="P46" i="13"/>
  <c r="X46" i="13" s="1"/>
  <c r="O46" i="13"/>
  <c r="W46" i="13" s="1"/>
  <c r="N46" i="13"/>
  <c r="V46" i="13" s="1"/>
  <c r="M46" i="13"/>
  <c r="U46" i="13" s="1"/>
  <c r="L46" i="13"/>
  <c r="T46" i="13" s="1"/>
  <c r="K46" i="13"/>
  <c r="S46" i="13" s="1"/>
  <c r="J46" i="13"/>
  <c r="R46" i="13" s="1"/>
  <c r="I46" i="13"/>
  <c r="Q46" i="13" s="1"/>
  <c r="H46" i="13"/>
  <c r="G46" i="13"/>
  <c r="F46" i="13"/>
  <c r="E46" i="13"/>
  <c r="BA46" i="13" s="1"/>
  <c r="C46" i="13"/>
  <c r="B46" i="13"/>
  <c r="Z46" i="13" s="1"/>
  <c r="A46" i="13"/>
  <c r="AQ45" i="13"/>
  <c r="P45" i="13"/>
  <c r="X45" i="13" s="1"/>
  <c r="O45" i="13"/>
  <c r="W45" i="13" s="1"/>
  <c r="N45" i="13"/>
  <c r="V45" i="13" s="1"/>
  <c r="M45" i="13"/>
  <c r="U45" i="13" s="1"/>
  <c r="L45" i="13"/>
  <c r="T45" i="13" s="1"/>
  <c r="K45" i="13"/>
  <c r="S45" i="13" s="1"/>
  <c r="J45" i="13"/>
  <c r="R45" i="13" s="1"/>
  <c r="I45" i="13"/>
  <c r="Q45" i="13" s="1"/>
  <c r="H45" i="13"/>
  <c r="G45" i="13"/>
  <c r="F45" i="13"/>
  <c r="E45" i="13"/>
  <c r="BB45" i="13" s="1"/>
  <c r="C45" i="13"/>
  <c r="AG45" i="13" s="1"/>
  <c r="B45" i="13"/>
  <c r="AR45" i="13" s="1"/>
  <c r="A45" i="13"/>
  <c r="AC45" i="13" s="1"/>
  <c r="AQ44" i="13"/>
  <c r="P44" i="13"/>
  <c r="X44" i="13" s="1"/>
  <c r="O44" i="13"/>
  <c r="W44" i="13" s="1"/>
  <c r="N44" i="13"/>
  <c r="V44" i="13" s="1"/>
  <c r="M44" i="13"/>
  <c r="U44" i="13" s="1"/>
  <c r="L44" i="13"/>
  <c r="T44" i="13" s="1"/>
  <c r="K44" i="13"/>
  <c r="S44" i="13" s="1"/>
  <c r="J44" i="13"/>
  <c r="R44" i="13" s="1"/>
  <c r="I44" i="13"/>
  <c r="Q44" i="13" s="1"/>
  <c r="H44" i="13"/>
  <c r="G44" i="13"/>
  <c r="F44" i="13"/>
  <c r="E44" i="13"/>
  <c r="C44" i="13"/>
  <c r="AG44" i="13" s="1"/>
  <c r="AK44" i="13" s="1"/>
  <c r="B44" i="13"/>
  <c r="A44" i="13"/>
  <c r="AU44" i="13" s="1"/>
  <c r="AQ43" i="13"/>
  <c r="P43" i="13"/>
  <c r="X43" i="13" s="1"/>
  <c r="O43" i="13"/>
  <c r="W43" i="13" s="1"/>
  <c r="N43" i="13"/>
  <c r="V43" i="13" s="1"/>
  <c r="M43" i="13"/>
  <c r="U43" i="13" s="1"/>
  <c r="L43" i="13"/>
  <c r="T43" i="13" s="1"/>
  <c r="K43" i="13"/>
  <c r="S43" i="13" s="1"/>
  <c r="J43" i="13"/>
  <c r="R43" i="13" s="1"/>
  <c r="I43" i="13"/>
  <c r="Q43" i="13" s="1"/>
  <c r="H43" i="13"/>
  <c r="G43" i="13"/>
  <c r="F43" i="13"/>
  <c r="E43" i="13"/>
  <c r="BA43" i="13" s="1"/>
  <c r="C43" i="13"/>
  <c r="AG43" i="13" s="1"/>
  <c r="B43" i="13"/>
  <c r="Z43" i="13" s="1"/>
  <c r="A43" i="13"/>
  <c r="AU43" i="13" s="1"/>
  <c r="AQ42" i="13"/>
  <c r="P42" i="13"/>
  <c r="X42" i="13" s="1"/>
  <c r="O42" i="13"/>
  <c r="W42" i="13" s="1"/>
  <c r="N42" i="13"/>
  <c r="V42" i="13" s="1"/>
  <c r="M42" i="13"/>
  <c r="U42" i="13" s="1"/>
  <c r="L42" i="13"/>
  <c r="T42" i="13" s="1"/>
  <c r="K42" i="13"/>
  <c r="S42" i="13" s="1"/>
  <c r="J42" i="13"/>
  <c r="R42" i="13" s="1"/>
  <c r="I42" i="13"/>
  <c r="Q42" i="13" s="1"/>
  <c r="H42" i="13"/>
  <c r="G42" i="13"/>
  <c r="F42" i="13"/>
  <c r="E42" i="13"/>
  <c r="BA42" i="13" s="1"/>
  <c r="C42" i="13"/>
  <c r="AG42" i="13" s="1"/>
  <c r="B42" i="13"/>
  <c r="Z42" i="13" s="1"/>
  <c r="A42" i="13"/>
  <c r="AQ41" i="13"/>
  <c r="P41" i="13"/>
  <c r="X41" i="13" s="1"/>
  <c r="O41" i="13"/>
  <c r="W41" i="13" s="1"/>
  <c r="N41" i="13"/>
  <c r="V41" i="13" s="1"/>
  <c r="M41" i="13"/>
  <c r="U41" i="13" s="1"/>
  <c r="L41" i="13"/>
  <c r="T41" i="13" s="1"/>
  <c r="K41" i="13"/>
  <c r="S41" i="13" s="1"/>
  <c r="J41" i="13"/>
  <c r="R41" i="13" s="1"/>
  <c r="I41" i="13"/>
  <c r="Q41" i="13" s="1"/>
  <c r="H41" i="13"/>
  <c r="G41" i="13"/>
  <c r="F41" i="13"/>
  <c r="E41" i="13"/>
  <c r="BB41" i="13" s="1"/>
  <c r="C41" i="13"/>
  <c r="AG41" i="13" s="1"/>
  <c r="B41" i="13"/>
  <c r="Z41" i="13" s="1"/>
  <c r="A41" i="13"/>
  <c r="AC41" i="13" s="1"/>
  <c r="AQ40" i="13"/>
  <c r="P40" i="13"/>
  <c r="X40" i="13" s="1"/>
  <c r="O40" i="13"/>
  <c r="W40" i="13" s="1"/>
  <c r="N40" i="13"/>
  <c r="V40" i="13" s="1"/>
  <c r="M40" i="13"/>
  <c r="U40" i="13" s="1"/>
  <c r="L40" i="13"/>
  <c r="T40" i="13" s="1"/>
  <c r="K40" i="13"/>
  <c r="S40" i="13" s="1"/>
  <c r="J40" i="13"/>
  <c r="R40" i="13" s="1"/>
  <c r="I40" i="13"/>
  <c r="Q40" i="13" s="1"/>
  <c r="H40" i="13"/>
  <c r="G40" i="13"/>
  <c r="F40" i="13"/>
  <c r="E40" i="13"/>
  <c r="BA40" i="13" s="1"/>
  <c r="C40" i="13"/>
  <c r="AG40" i="13" s="1"/>
  <c r="AK40" i="13" s="1"/>
  <c r="B40" i="13"/>
  <c r="A40" i="13"/>
  <c r="AU40" i="13" s="1"/>
  <c r="AQ39" i="13"/>
  <c r="P39" i="13"/>
  <c r="X39" i="13" s="1"/>
  <c r="O39" i="13"/>
  <c r="W39" i="13" s="1"/>
  <c r="N39" i="13"/>
  <c r="V39" i="13" s="1"/>
  <c r="M39" i="13"/>
  <c r="U39" i="13" s="1"/>
  <c r="L39" i="13"/>
  <c r="T39" i="13" s="1"/>
  <c r="K39" i="13"/>
  <c r="S39" i="13" s="1"/>
  <c r="J39" i="13"/>
  <c r="R39" i="13" s="1"/>
  <c r="I39" i="13"/>
  <c r="Q39" i="13" s="1"/>
  <c r="H39" i="13"/>
  <c r="G39" i="13"/>
  <c r="F39" i="13"/>
  <c r="E39" i="13"/>
  <c r="C39" i="13"/>
  <c r="AG39" i="13" s="1"/>
  <c r="B39" i="13"/>
  <c r="Z39" i="13" s="1"/>
  <c r="A39" i="13"/>
  <c r="AU39" i="13" s="1"/>
  <c r="AQ38" i="13"/>
  <c r="AG38" i="13"/>
  <c r="P38" i="13"/>
  <c r="X38" i="13" s="1"/>
  <c r="O38" i="13"/>
  <c r="W38" i="13" s="1"/>
  <c r="N38" i="13"/>
  <c r="V38" i="13" s="1"/>
  <c r="M38" i="13"/>
  <c r="U38" i="13" s="1"/>
  <c r="L38" i="13"/>
  <c r="T38" i="13" s="1"/>
  <c r="K38" i="13"/>
  <c r="S38" i="13" s="1"/>
  <c r="J38" i="13"/>
  <c r="R38" i="13" s="1"/>
  <c r="I38" i="13"/>
  <c r="Q38" i="13" s="1"/>
  <c r="H38" i="13"/>
  <c r="G38" i="13"/>
  <c r="F38" i="13"/>
  <c r="E38" i="13"/>
  <c r="BA38" i="13" s="1"/>
  <c r="C38" i="13"/>
  <c r="B38" i="13"/>
  <c r="Z38" i="13" s="1"/>
  <c r="A38" i="13"/>
  <c r="AQ37" i="13"/>
  <c r="P37" i="13"/>
  <c r="X37" i="13" s="1"/>
  <c r="O37" i="13"/>
  <c r="W37" i="13" s="1"/>
  <c r="N37" i="13"/>
  <c r="V37" i="13" s="1"/>
  <c r="M37" i="13"/>
  <c r="U37" i="13" s="1"/>
  <c r="L37" i="13"/>
  <c r="T37" i="13" s="1"/>
  <c r="K37" i="13"/>
  <c r="S37" i="13" s="1"/>
  <c r="J37" i="13"/>
  <c r="R37" i="13" s="1"/>
  <c r="I37" i="13"/>
  <c r="Q37" i="13" s="1"/>
  <c r="H37" i="13"/>
  <c r="G37" i="13"/>
  <c r="F37" i="13"/>
  <c r="E37" i="13"/>
  <c r="BB37" i="13" s="1"/>
  <c r="C37" i="13"/>
  <c r="AG37" i="13" s="1"/>
  <c r="B37" i="13"/>
  <c r="Z37" i="13" s="1"/>
  <c r="A37" i="13"/>
  <c r="AU37" i="13" s="1"/>
  <c r="BA36" i="13"/>
  <c r="AQ36" i="13"/>
  <c r="U36" i="13"/>
  <c r="P36" i="13"/>
  <c r="X36" i="13" s="1"/>
  <c r="O36" i="13"/>
  <c r="W36" i="13" s="1"/>
  <c r="N36" i="13"/>
  <c r="V36" i="13" s="1"/>
  <c r="M36" i="13"/>
  <c r="L36" i="13"/>
  <c r="T36" i="13" s="1"/>
  <c r="K36" i="13"/>
  <c r="S36" i="13" s="1"/>
  <c r="J36" i="13"/>
  <c r="R36" i="13" s="1"/>
  <c r="I36" i="13"/>
  <c r="Q36" i="13" s="1"/>
  <c r="H36" i="13"/>
  <c r="G36" i="13"/>
  <c r="F36" i="13"/>
  <c r="E36" i="13"/>
  <c r="C36" i="13"/>
  <c r="AG36" i="13" s="1"/>
  <c r="AK36" i="13" s="1"/>
  <c r="B36" i="13"/>
  <c r="A36" i="13"/>
  <c r="AU36" i="13" s="1"/>
  <c r="BB35" i="13"/>
  <c r="AQ35" i="13"/>
  <c r="P35" i="13"/>
  <c r="X35" i="13" s="1"/>
  <c r="O35" i="13"/>
  <c r="W35" i="13" s="1"/>
  <c r="N35" i="13"/>
  <c r="V35" i="13" s="1"/>
  <c r="M35" i="13"/>
  <c r="U35" i="13" s="1"/>
  <c r="L35" i="13"/>
  <c r="T35" i="13" s="1"/>
  <c r="K35" i="13"/>
  <c r="S35" i="13" s="1"/>
  <c r="J35" i="13"/>
  <c r="R35" i="13" s="1"/>
  <c r="I35" i="13"/>
  <c r="Q35" i="13" s="1"/>
  <c r="H35" i="13"/>
  <c r="G35" i="13"/>
  <c r="F35" i="13"/>
  <c r="E35" i="13"/>
  <c r="BA35" i="13" s="1"/>
  <c r="C35" i="13"/>
  <c r="AG35" i="13" s="1"/>
  <c r="B35" i="13"/>
  <c r="Z35" i="13" s="1"/>
  <c r="A35" i="13"/>
  <c r="AU35" i="13" s="1"/>
  <c r="AQ34" i="13"/>
  <c r="P34" i="13"/>
  <c r="X34" i="13" s="1"/>
  <c r="O34" i="13"/>
  <c r="W34" i="13" s="1"/>
  <c r="N34" i="13"/>
  <c r="V34" i="13" s="1"/>
  <c r="M34" i="13"/>
  <c r="U34" i="13" s="1"/>
  <c r="L34" i="13"/>
  <c r="T34" i="13" s="1"/>
  <c r="K34" i="13"/>
  <c r="S34" i="13" s="1"/>
  <c r="J34" i="13"/>
  <c r="R34" i="13" s="1"/>
  <c r="I34" i="13"/>
  <c r="Q34" i="13" s="1"/>
  <c r="H34" i="13"/>
  <c r="G34" i="13"/>
  <c r="F34" i="13"/>
  <c r="E34" i="13"/>
  <c r="C34" i="13"/>
  <c r="AG34" i="13" s="1"/>
  <c r="B34" i="13"/>
  <c r="Z34" i="13" s="1"/>
  <c r="A34" i="13"/>
  <c r="AQ33" i="13"/>
  <c r="P33" i="13"/>
  <c r="X33" i="13" s="1"/>
  <c r="O33" i="13"/>
  <c r="W33" i="13" s="1"/>
  <c r="N33" i="13"/>
  <c r="V33" i="13" s="1"/>
  <c r="M33" i="13"/>
  <c r="U33" i="13" s="1"/>
  <c r="L33" i="13"/>
  <c r="T33" i="13" s="1"/>
  <c r="K33" i="13"/>
  <c r="S33" i="13" s="1"/>
  <c r="J33" i="13"/>
  <c r="R33" i="13" s="1"/>
  <c r="I33" i="13"/>
  <c r="Q33" i="13" s="1"/>
  <c r="H33" i="13"/>
  <c r="G33" i="13"/>
  <c r="F33" i="13"/>
  <c r="E33" i="13"/>
  <c r="BB33" i="13" s="1"/>
  <c r="C33" i="13"/>
  <c r="AG33" i="13" s="1"/>
  <c r="B33" i="13"/>
  <c r="Z33" i="13" s="1"/>
  <c r="A33" i="13"/>
  <c r="AC33" i="13" s="1"/>
  <c r="AQ32" i="13"/>
  <c r="P32" i="13"/>
  <c r="X32" i="13" s="1"/>
  <c r="O32" i="13"/>
  <c r="W32" i="13" s="1"/>
  <c r="N32" i="13"/>
  <c r="V32" i="13" s="1"/>
  <c r="M32" i="13"/>
  <c r="U32" i="13" s="1"/>
  <c r="L32" i="13"/>
  <c r="T32" i="13" s="1"/>
  <c r="K32" i="13"/>
  <c r="S32" i="13" s="1"/>
  <c r="J32" i="13"/>
  <c r="R32" i="13" s="1"/>
  <c r="I32" i="13"/>
  <c r="Q32" i="13" s="1"/>
  <c r="H32" i="13"/>
  <c r="G32" i="13"/>
  <c r="F32" i="13"/>
  <c r="E32" i="13"/>
  <c r="BA32" i="13" s="1"/>
  <c r="C32" i="13"/>
  <c r="AG32" i="13" s="1"/>
  <c r="AK32" i="13" s="1"/>
  <c r="B32" i="13"/>
  <c r="AR32" i="13" s="1"/>
  <c r="A32" i="13"/>
  <c r="AU32" i="13" s="1"/>
  <c r="AQ31" i="13"/>
  <c r="P31" i="13"/>
  <c r="X31" i="13" s="1"/>
  <c r="O31" i="13"/>
  <c r="W31" i="13" s="1"/>
  <c r="N31" i="13"/>
  <c r="V31" i="13" s="1"/>
  <c r="M31" i="13"/>
  <c r="U31" i="13" s="1"/>
  <c r="L31" i="13"/>
  <c r="T31" i="13" s="1"/>
  <c r="K31" i="13"/>
  <c r="S31" i="13" s="1"/>
  <c r="J31" i="13"/>
  <c r="R31" i="13" s="1"/>
  <c r="I31" i="13"/>
  <c r="Q31" i="13" s="1"/>
  <c r="H31" i="13"/>
  <c r="G31" i="13"/>
  <c r="F31" i="13"/>
  <c r="E31" i="13"/>
  <c r="BA31" i="13" s="1"/>
  <c r="C31" i="13"/>
  <c r="AG31" i="13" s="1"/>
  <c r="B31" i="13"/>
  <c r="Z31" i="13" s="1"/>
  <c r="A31" i="13"/>
  <c r="AU31" i="13" s="1"/>
  <c r="AQ30" i="13"/>
  <c r="P30" i="13"/>
  <c r="X30" i="13" s="1"/>
  <c r="O30" i="13"/>
  <c r="W30" i="13" s="1"/>
  <c r="N30" i="13"/>
  <c r="V30" i="13" s="1"/>
  <c r="M30" i="13"/>
  <c r="U30" i="13" s="1"/>
  <c r="L30" i="13"/>
  <c r="T30" i="13" s="1"/>
  <c r="K30" i="13"/>
  <c r="S30" i="13" s="1"/>
  <c r="J30" i="13"/>
  <c r="R30" i="13" s="1"/>
  <c r="I30" i="13"/>
  <c r="Q30" i="13" s="1"/>
  <c r="H30" i="13"/>
  <c r="G30" i="13"/>
  <c r="F30" i="13"/>
  <c r="E30" i="13"/>
  <c r="BA30" i="13" s="1"/>
  <c r="C30" i="13"/>
  <c r="AG30" i="13" s="1"/>
  <c r="B30" i="13"/>
  <c r="Z30" i="13" s="1"/>
  <c r="A30" i="13"/>
  <c r="AQ29" i="13"/>
  <c r="P29" i="13"/>
  <c r="X29" i="13" s="1"/>
  <c r="O29" i="13"/>
  <c r="W29" i="13" s="1"/>
  <c r="N29" i="13"/>
  <c r="V29" i="13" s="1"/>
  <c r="M29" i="13"/>
  <c r="U29" i="13" s="1"/>
  <c r="L29" i="13"/>
  <c r="T29" i="13" s="1"/>
  <c r="K29" i="13"/>
  <c r="S29" i="13" s="1"/>
  <c r="J29" i="13"/>
  <c r="R29" i="13" s="1"/>
  <c r="I29" i="13"/>
  <c r="Q29" i="13" s="1"/>
  <c r="H29" i="13"/>
  <c r="G29" i="13"/>
  <c r="F29" i="13"/>
  <c r="E29" i="13"/>
  <c r="BB29" i="13" s="1"/>
  <c r="C29" i="13"/>
  <c r="AG29" i="13" s="1"/>
  <c r="B29" i="13"/>
  <c r="Z29" i="13" s="1"/>
  <c r="A29" i="13"/>
  <c r="AC29" i="13" s="1"/>
  <c r="AQ28" i="13"/>
  <c r="P28" i="13"/>
  <c r="X28" i="13" s="1"/>
  <c r="O28" i="13"/>
  <c r="W28" i="13" s="1"/>
  <c r="N28" i="13"/>
  <c r="V28" i="13" s="1"/>
  <c r="M28" i="13"/>
  <c r="U28" i="13" s="1"/>
  <c r="L28" i="13"/>
  <c r="T28" i="13" s="1"/>
  <c r="K28" i="13"/>
  <c r="S28" i="13" s="1"/>
  <c r="J28" i="13"/>
  <c r="R28" i="13" s="1"/>
  <c r="I28" i="13"/>
  <c r="Q28" i="13" s="1"/>
  <c r="H28" i="13"/>
  <c r="G28" i="13"/>
  <c r="F28" i="13"/>
  <c r="E28" i="13"/>
  <c r="C28" i="13"/>
  <c r="AG28" i="13" s="1"/>
  <c r="AK28" i="13" s="1"/>
  <c r="B28" i="13"/>
  <c r="A28" i="13"/>
  <c r="BB27" i="13"/>
  <c r="AQ27" i="13"/>
  <c r="P27" i="13"/>
  <c r="X27" i="13" s="1"/>
  <c r="O27" i="13"/>
  <c r="W27" i="13" s="1"/>
  <c r="N27" i="13"/>
  <c r="V27" i="13" s="1"/>
  <c r="M27" i="13"/>
  <c r="U27" i="13" s="1"/>
  <c r="L27" i="13"/>
  <c r="T27" i="13" s="1"/>
  <c r="K27" i="13"/>
  <c r="S27" i="13" s="1"/>
  <c r="J27" i="13"/>
  <c r="R27" i="13" s="1"/>
  <c r="I27" i="13"/>
  <c r="Q27" i="13" s="1"/>
  <c r="H27" i="13"/>
  <c r="G27" i="13"/>
  <c r="F27" i="13"/>
  <c r="E27" i="13"/>
  <c r="BA27" i="13" s="1"/>
  <c r="C27" i="13"/>
  <c r="AG27" i="13" s="1"/>
  <c r="B27" i="13"/>
  <c r="Z27" i="13" s="1"/>
  <c r="A27" i="13"/>
  <c r="AU27" i="13" s="1"/>
  <c r="AQ26" i="13"/>
  <c r="P26" i="13"/>
  <c r="X26" i="13" s="1"/>
  <c r="O26" i="13"/>
  <c r="W26" i="13" s="1"/>
  <c r="N26" i="13"/>
  <c r="V26" i="13" s="1"/>
  <c r="M26" i="13"/>
  <c r="U26" i="13" s="1"/>
  <c r="L26" i="13"/>
  <c r="T26" i="13" s="1"/>
  <c r="K26" i="13"/>
  <c r="S26" i="13" s="1"/>
  <c r="J26" i="13"/>
  <c r="R26" i="13" s="1"/>
  <c r="I26" i="13"/>
  <c r="Q26" i="13" s="1"/>
  <c r="H26" i="13"/>
  <c r="G26" i="13"/>
  <c r="F26" i="13"/>
  <c r="E26" i="13"/>
  <c r="BA26" i="13" s="1"/>
  <c r="C26" i="13"/>
  <c r="AG26" i="13" s="1"/>
  <c r="B26" i="13"/>
  <c r="Z26" i="13" s="1"/>
  <c r="A26" i="13"/>
  <c r="AQ25" i="13"/>
  <c r="P25" i="13"/>
  <c r="X25" i="13" s="1"/>
  <c r="O25" i="13"/>
  <c r="W25" i="13" s="1"/>
  <c r="N25" i="13"/>
  <c r="V25" i="13" s="1"/>
  <c r="M25" i="13"/>
  <c r="U25" i="13" s="1"/>
  <c r="L25" i="13"/>
  <c r="T25" i="13" s="1"/>
  <c r="K25" i="13"/>
  <c r="S25" i="13" s="1"/>
  <c r="J25" i="13"/>
  <c r="R25" i="13" s="1"/>
  <c r="I25" i="13"/>
  <c r="Q25" i="13" s="1"/>
  <c r="H25" i="13"/>
  <c r="G25" i="13"/>
  <c r="F25" i="13"/>
  <c r="E25" i="13"/>
  <c r="BB25" i="13" s="1"/>
  <c r="C25" i="13"/>
  <c r="AG25" i="13" s="1"/>
  <c r="B25" i="13"/>
  <c r="Z25" i="13" s="1"/>
  <c r="A25" i="13"/>
  <c r="AU25" i="13" s="1"/>
  <c r="AQ24" i="13"/>
  <c r="P24" i="13"/>
  <c r="X24" i="13" s="1"/>
  <c r="O24" i="13"/>
  <c r="W24" i="13" s="1"/>
  <c r="N24" i="13"/>
  <c r="V24" i="13" s="1"/>
  <c r="M24" i="13"/>
  <c r="U24" i="13" s="1"/>
  <c r="L24" i="13"/>
  <c r="T24" i="13" s="1"/>
  <c r="K24" i="13"/>
  <c r="S24" i="13" s="1"/>
  <c r="J24" i="13"/>
  <c r="R24" i="13" s="1"/>
  <c r="I24" i="13"/>
  <c r="Q24" i="13" s="1"/>
  <c r="H24" i="13"/>
  <c r="G24" i="13"/>
  <c r="F24" i="13"/>
  <c r="E24" i="13"/>
  <c r="BA24" i="13" s="1"/>
  <c r="C24" i="13"/>
  <c r="AG24" i="13" s="1"/>
  <c r="AK24" i="13" s="1"/>
  <c r="B24" i="13"/>
  <c r="AR24" i="13" s="1"/>
  <c r="A24" i="13"/>
  <c r="AU24" i="13" s="1"/>
  <c r="AQ23" i="13"/>
  <c r="P23" i="13"/>
  <c r="X23" i="13" s="1"/>
  <c r="O23" i="13"/>
  <c r="W23" i="13" s="1"/>
  <c r="N23" i="13"/>
  <c r="V23" i="13" s="1"/>
  <c r="M23" i="13"/>
  <c r="U23" i="13" s="1"/>
  <c r="L23" i="13"/>
  <c r="T23" i="13" s="1"/>
  <c r="K23" i="13"/>
  <c r="S23" i="13" s="1"/>
  <c r="J23" i="13"/>
  <c r="R23" i="13" s="1"/>
  <c r="I23" i="13"/>
  <c r="Q23" i="13" s="1"/>
  <c r="H23" i="13"/>
  <c r="G23" i="13"/>
  <c r="F23" i="13"/>
  <c r="E23" i="13"/>
  <c r="BA23" i="13" s="1"/>
  <c r="C23" i="13"/>
  <c r="AG23" i="13" s="1"/>
  <c r="B23" i="13"/>
  <c r="Z23" i="13" s="1"/>
  <c r="A23" i="13"/>
  <c r="AU23" i="13" s="1"/>
  <c r="AQ22" i="13"/>
  <c r="P22" i="13"/>
  <c r="X22" i="13" s="1"/>
  <c r="O22" i="13"/>
  <c r="W22" i="13" s="1"/>
  <c r="N22" i="13"/>
  <c r="V22" i="13" s="1"/>
  <c r="M22" i="13"/>
  <c r="U22" i="13" s="1"/>
  <c r="L22" i="13"/>
  <c r="T22" i="13" s="1"/>
  <c r="K22" i="13"/>
  <c r="S22" i="13" s="1"/>
  <c r="J22" i="13"/>
  <c r="R22" i="13" s="1"/>
  <c r="I22" i="13"/>
  <c r="Q22" i="13" s="1"/>
  <c r="H22" i="13"/>
  <c r="G22" i="13"/>
  <c r="F22" i="13"/>
  <c r="E22" i="13"/>
  <c r="BA22" i="13" s="1"/>
  <c r="C22" i="13"/>
  <c r="AG22" i="13" s="1"/>
  <c r="B22" i="13"/>
  <c r="Z22" i="13" s="1"/>
  <c r="A22" i="13"/>
  <c r="AQ21" i="13"/>
  <c r="P21" i="13"/>
  <c r="X21" i="13" s="1"/>
  <c r="O21" i="13"/>
  <c r="W21" i="13" s="1"/>
  <c r="N21" i="13"/>
  <c r="V21" i="13" s="1"/>
  <c r="M21" i="13"/>
  <c r="U21" i="13" s="1"/>
  <c r="L21" i="13"/>
  <c r="T21" i="13" s="1"/>
  <c r="K21" i="13"/>
  <c r="S21" i="13" s="1"/>
  <c r="J21" i="13"/>
  <c r="R21" i="13" s="1"/>
  <c r="I21" i="13"/>
  <c r="Q21" i="13" s="1"/>
  <c r="H21" i="13"/>
  <c r="G21" i="13"/>
  <c r="F21" i="13"/>
  <c r="E21" i="13"/>
  <c r="BB21" i="13" s="1"/>
  <c r="C21" i="13"/>
  <c r="AG21" i="13" s="1"/>
  <c r="B21" i="13"/>
  <c r="A21" i="13"/>
  <c r="AU21" i="13" s="1"/>
  <c r="AQ20" i="13"/>
  <c r="P20" i="13"/>
  <c r="X20" i="13" s="1"/>
  <c r="O20" i="13"/>
  <c r="W20" i="13" s="1"/>
  <c r="N20" i="13"/>
  <c r="V20" i="13" s="1"/>
  <c r="M20" i="13"/>
  <c r="U20" i="13" s="1"/>
  <c r="L20" i="13"/>
  <c r="T20" i="13" s="1"/>
  <c r="K20" i="13"/>
  <c r="S20" i="13" s="1"/>
  <c r="J20" i="13"/>
  <c r="R20" i="13" s="1"/>
  <c r="I20" i="13"/>
  <c r="Q20" i="13" s="1"/>
  <c r="H20" i="13"/>
  <c r="G20" i="13"/>
  <c r="F20" i="13"/>
  <c r="E20" i="13"/>
  <c r="C20" i="13"/>
  <c r="AG20" i="13" s="1"/>
  <c r="AK20" i="13" s="1"/>
  <c r="B20" i="13"/>
  <c r="AR20" i="13" s="1"/>
  <c r="A20" i="13"/>
  <c r="AU20" i="13" s="1"/>
  <c r="AQ19" i="13"/>
  <c r="P19" i="13"/>
  <c r="X19" i="13" s="1"/>
  <c r="O19" i="13"/>
  <c r="W19" i="13" s="1"/>
  <c r="N19" i="13"/>
  <c r="V19" i="13" s="1"/>
  <c r="M19" i="13"/>
  <c r="U19" i="13" s="1"/>
  <c r="L19" i="13"/>
  <c r="T19" i="13" s="1"/>
  <c r="K19" i="13"/>
  <c r="S19" i="13" s="1"/>
  <c r="J19" i="13"/>
  <c r="R19" i="13" s="1"/>
  <c r="I19" i="13"/>
  <c r="Q19" i="13" s="1"/>
  <c r="H19" i="13"/>
  <c r="G19" i="13"/>
  <c r="F19" i="13"/>
  <c r="E19" i="13"/>
  <c r="BA19" i="13" s="1"/>
  <c r="C19" i="13"/>
  <c r="AG19" i="13" s="1"/>
  <c r="B19" i="13"/>
  <c r="Z19" i="13" s="1"/>
  <c r="A19" i="13"/>
  <c r="AU19" i="13" s="1"/>
  <c r="AQ18" i="13"/>
  <c r="AG18" i="13"/>
  <c r="P18" i="13"/>
  <c r="X18" i="13" s="1"/>
  <c r="O18" i="13"/>
  <c r="W18" i="13" s="1"/>
  <c r="N18" i="13"/>
  <c r="V18" i="13" s="1"/>
  <c r="M18" i="13"/>
  <c r="U18" i="13" s="1"/>
  <c r="L18" i="13"/>
  <c r="T18" i="13" s="1"/>
  <c r="K18" i="13"/>
  <c r="S18" i="13" s="1"/>
  <c r="J18" i="13"/>
  <c r="R18" i="13" s="1"/>
  <c r="I18" i="13"/>
  <c r="Q18" i="13" s="1"/>
  <c r="H18" i="13"/>
  <c r="G18" i="13"/>
  <c r="F18" i="13"/>
  <c r="E18" i="13"/>
  <c r="BA18" i="13" s="1"/>
  <c r="C18" i="13"/>
  <c r="B18" i="13"/>
  <c r="Z18" i="13" s="1"/>
  <c r="A18" i="13"/>
  <c r="AQ17" i="13"/>
  <c r="P17" i="13"/>
  <c r="X17" i="13" s="1"/>
  <c r="O17" i="13"/>
  <c r="W17" i="13" s="1"/>
  <c r="N17" i="13"/>
  <c r="V17" i="13" s="1"/>
  <c r="M17" i="13"/>
  <c r="U17" i="13" s="1"/>
  <c r="L17" i="13"/>
  <c r="T17" i="13" s="1"/>
  <c r="K17" i="13"/>
  <c r="S17" i="13" s="1"/>
  <c r="J17" i="13"/>
  <c r="R17" i="13" s="1"/>
  <c r="I17" i="13"/>
  <c r="Q17" i="13" s="1"/>
  <c r="H17" i="13"/>
  <c r="G17" i="13"/>
  <c r="F17" i="13"/>
  <c r="E17" i="13"/>
  <c r="C17" i="13"/>
  <c r="AG17" i="13" s="1"/>
  <c r="B17" i="13"/>
  <c r="A17" i="13"/>
  <c r="AU17" i="13" s="1"/>
  <c r="BA16" i="13"/>
  <c r="AQ16" i="13"/>
  <c r="P16" i="13"/>
  <c r="X16" i="13" s="1"/>
  <c r="O16" i="13"/>
  <c r="W16" i="13" s="1"/>
  <c r="N16" i="13"/>
  <c r="V16" i="13" s="1"/>
  <c r="M16" i="13"/>
  <c r="U16" i="13" s="1"/>
  <c r="L16" i="13"/>
  <c r="T16" i="13" s="1"/>
  <c r="K16" i="13"/>
  <c r="S16" i="13" s="1"/>
  <c r="J16" i="13"/>
  <c r="R16" i="13" s="1"/>
  <c r="I16" i="13"/>
  <c r="Q16" i="13" s="1"/>
  <c r="H16" i="13"/>
  <c r="G16" i="13"/>
  <c r="F16" i="13"/>
  <c r="E16" i="13"/>
  <c r="C16" i="13"/>
  <c r="AG16" i="13" s="1"/>
  <c r="AK16" i="13" s="1"/>
  <c r="B16" i="13"/>
  <c r="A16" i="13"/>
  <c r="AU16" i="13" s="1"/>
  <c r="AQ15" i="13"/>
  <c r="P15" i="13"/>
  <c r="X15" i="13" s="1"/>
  <c r="O15" i="13"/>
  <c r="W15" i="13" s="1"/>
  <c r="N15" i="13"/>
  <c r="V15" i="13" s="1"/>
  <c r="M15" i="13"/>
  <c r="U15" i="13" s="1"/>
  <c r="L15" i="13"/>
  <c r="T15" i="13" s="1"/>
  <c r="K15" i="13"/>
  <c r="S15" i="13" s="1"/>
  <c r="J15" i="13"/>
  <c r="R15" i="13" s="1"/>
  <c r="I15" i="13"/>
  <c r="Q15" i="13" s="1"/>
  <c r="H15" i="13"/>
  <c r="G15" i="13"/>
  <c r="F15" i="13"/>
  <c r="E15" i="13"/>
  <c r="BA15" i="13" s="1"/>
  <c r="C15" i="13"/>
  <c r="AG15" i="13" s="1"/>
  <c r="B15" i="13"/>
  <c r="Z15" i="13" s="1"/>
  <c r="A15" i="13"/>
  <c r="AU15" i="13" s="1"/>
  <c r="AQ14" i="13"/>
  <c r="P14" i="13"/>
  <c r="X14" i="13" s="1"/>
  <c r="O14" i="13"/>
  <c r="W14" i="13" s="1"/>
  <c r="N14" i="13"/>
  <c r="V14" i="13" s="1"/>
  <c r="M14" i="13"/>
  <c r="U14" i="13" s="1"/>
  <c r="L14" i="13"/>
  <c r="T14" i="13" s="1"/>
  <c r="K14" i="13"/>
  <c r="S14" i="13" s="1"/>
  <c r="J14" i="13"/>
  <c r="R14" i="13" s="1"/>
  <c r="I14" i="13"/>
  <c r="Q14" i="13" s="1"/>
  <c r="H14" i="13"/>
  <c r="G14" i="13"/>
  <c r="F14" i="13"/>
  <c r="E14" i="13"/>
  <c r="BA14" i="13" s="1"/>
  <c r="C14" i="13"/>
  <c r="AG14" i="13" s="1"/>
  <c r="AO14" i="13" s="1"/>
  <c r="B14" i="13"/>
  <c r="Z14" i="13" s="1"/>
  <c r="A14" i="13"/>
  <c r="AQ13" i="13"/>
  <c r="P13" i="13"/>
  <c r="X13" i="13" s="1"/>
  <c r="O13" i="13"/>
  <c r="W13" i="13" s="1"/>
  <c r="N13" i="13"/>
  <c r="V13" i="13" s="1"/>
  <c r="M13" i="13"/>
  <c r="U13" i="13" s="1"/>
  <c r="L13" i="13"/>
  <c r="T13" i="13" s="1"/>
  <c r="K13" i="13"/>
  <c r="S13" i="13" s="1"/>
  <c r="J13" i="13"/>
  <c r="R13" i="13" s="1"/>
  <c r="I13" i="13"/>
  <c r="Q13" i="13" s="1"/>
  <c r="H13" i="13"/>
  <c r="G13" i="13"/>
  <c r="F13" i="13"/>
  <c r="E13" i="13"/>
  <c r="BB13" i="13" s="1"/>
  <c r="C13" i="13"/>
  <c r="AG13" i="13" s="1"/>
  <c r="B13" i="13"/>
  <c r="A13" i="13"/>
  <c r="AQ12" i="13"/>
  <c r="P12" i="13"/>
  <c r="X12" i="13" s="1"/>
  <c r="O12" i="13"/>
  <c r="W12" i="13" s="1"/>
  <c r="N12" i="13"/>
  <c r="V12" i="13" s="1"/>
  <c r="M12" i="13"/>
  <c r="U12" i="13" s="1"/>
  <c r="L12" i="13"/>
  <c r="T12" i="13" s="1"/>
  <c r="K12" i="13"/>
  <c r="S12" i="13" s="1"/>
  <c r="J12" i="13"/>
  <c r="R12" i="13" s="1"/>
  <c r="I12" i="13"/>
  <c r="Q12" i="13" s="1"/>
  <c r="H12" i="13"/>
  <c r="G12" i="13"/>
  <c r="F12" i="13"/>
  <c r="E12" i="13"/>
  <c r="BA12" i="13" s="1"/>
  <c r="C12" i="13"/>
  <c r="AG12" i="13" s="1"/>
  <c r="AK12" i="13" s="1"/>
  <c r="B12" i="13"/>
  <c r="A12" i="13"/>
  <c r="AU12" i="13" s="1"/>
  <c r="AQ11" i="13"/>
  <c r="P11" i="13"/>
  <c r="X11" i="13" s="1"/>
  <c r="O11" i="13"/>
  <c r="W11" i="13" s="1"/>
  <c r="N11" i="13"/>
  <c r="V11" i="13" s="1"/>
  <c r="M11" i="13"/>
  <c r="U11" i="13" s="1"/>
  <c r="L11" i="13"/>
  <c r="T11" i="13" s="1"/>
  <c r="K11" i="13"/>
  <c r="S11" i="13" s="1"/>
  <c r="J11" i="13"/>
  <c r="R11" i="13" s="1"/>
  <c r="I11" i="13"/>
  <c r="Q11" i="13" s="1"/>
  <c r="H11" i="13"/>
  <c r="G11" i="13"/>
  <c r="F11" i="13"/>
  <c r="E11" i="13"/>
  <c r="BA11" i="13" s="1"/>
  <c r="C11" i="13"/>
  <c r="AG11" i="13" s="1"/>
  <c r="B11" i="13"/>
  <c r="Z11" i="13" s="1"/>
  <c r="A11" i="13"/>
  <c r="AU11" i="13" s="1"/>
  <c r="AQ10" i="13"/>
  <c r="P10" i="13"/>
  <c r="X10" i="13" s="1"/>
  <c r="O10" i="13"/>
  <c r="W10" i="13" s="1"/>
  <c r="N10" i="13"/>
  <c r="V10" i="13" s="1"/>
  <c r="M10" i="13"/>
  <c r="U10" i="13" s="1"/>
  <c r="L10" i="13"/>
  <c r="T10" i="13" s="1"/>
  <c r="K10" i="13"/>
  <c r="J10" i="13"/>
  <c r="R10" i="13" s="1"/>
  <c r="I10" i="13"/>
  <c r="H10" i="13"/>
  <c r="G10" i="13"/>
  <c r="F10" i="13"/>
  <c r="E10" i="13"/>
  <c r="C10" i="13"/>
  <c r="B10" i="13"/>
  <c r="Z10" i="13" s="1"/>
  <c r="A10" i="13"/>
  <c r="AQ9" i="13"/>
  <c r="P9" i="13"/>
  <c r="X9" i="13" s="1"/>
  <c r="O9" i="13"/>
  <c r="N9" i="11" s="1"/>
  <c r="N9" i="13"/>
  <c r="V9" i="13" s="1"/>
  <c r="U9" i="11" s="1"/>
  <c r="M9" i="13"/>
  <c r="U9" i="13" s="1"/>
  <c r="L9" i="13"/>
  <c r="T9" i="13" s="1"/>
  <c r="K9" i="13"/>
  <c r="J9" i="13"/>
  <c r="R9" i="13" s="1"/>
  <c r="I9" i="13"/>
  <c r="Q9" i="13" s="1"/>
  <c r="H9" i="13"/>
  <c r="G9" i="13"/>
  <c r="F9" i="11" s="1"/>
  <c r="F9" i="13"/>
  <c r="E9" i="13"/>
  <c r="C9" i="13"/>
  <c r="B9" i="13"/>
  <c r="A9" i="13"/>
  <c r="AC9" i="13" s="1"/>
  <c r="AQ8" i="13"/>
  <c r="P8" i="13"/>
  <c r="X8" i="13" s="1"/>
  <c r="O8" i="13"/>
  <c r="W8" i="13" s="1"/>
  <c r="N8" i="13"/>
  <c r="V8" i="13" s="1"/>
  <c r="M8" i="13"/>
  <c r="U8" i="13" s="1"/>
  <c r="L8" i="13"/>
  <c r="T8" i="13" s="1"/>
  <c r="K8" i="13"/>
  <c r="J8" i="13"/>
  <c r="R8" i="13" s="1"/>
  <c r="I8" i="13"/>
  <c r="Q8" i="13" s="1"/>
  <c r="H8" i="13"/>
  <c r="G8" i="13"/>
  <c r="F8" i="13"/>
  <c r="E8" i="13"/>
  <c r="C8" i="13"/>
  <c r="B8" i="13"/>
  <c r="A8" i="13"/>
  <c r="AU8" i="13" s="1"/>
  <c r="AQ7" i="13"/>
  <c r="P7" i="13"/>
  <c r="X7" i="13" s="1"/>
  <c r="O7" i="13"/>
  <c r="W7" i="13" s="1"/>
  <c r="N7" i="13"/>
  <c r="V7" i="13" s="1"/>
  <c r="M7" i="13"/>
  <c r="U7" i="13" s="1"/>
  <c r="L7" i="13"/>
  <c r="T7" i="13" s="1"/>
  <c r="K7" i="13"/>
  <c r="J7" i="11" s="1"/>
  <c r="J7" i="13"/>
  <c r="R7" i="13" s="1"/>
  <c r="I7" i="13"/>
  <c r="Q7" i="13" s="1"/>
  <c r="H7" i="13"/>
  <c r="G7" i="13"/>
  <c r="F7" i="11" s="1"/>
  <c r="F7" i="13"/>
  <c r="E7" i="13"/>
  <c r="C7" i="13"/>
  <c r="AG7" i="13" s="1"/>
  <c r="B7" i="13"/>
  <c r="Z7" i="13" s="1"/>
  <c r="Y7" i="11" s="1"/>
  <c r="A7" i="13"/>
  <c r="AQ6" i="13"/>
  <c r="P6" i="13"/>
  <c r="X6" i="13" s="1"/>
  <c r="O6" i="13"/>
  <c r="N6" i="13"/>
  <c r="V6" i="13" s="1"/>
  <c r="M6" i="13"/>
  <c r="U6" i="13" s="1"/>
  <c r="L6" i="13"/>
  <c r="T6" i="13" s="1"/>
  <c r="K6" i="13"/>
  <c r="J6" i="13"/>
  <c r="R6" i="13" s="1"/>
  <c r="Q6" i="11" s="1"/>
  <c r="I6" i="13"/>
  <c r="Q6" i="13" s="1"/>
  <c r="H6" i="13"/>
  <c r="G6" i="13"/>
  <c r="F6" i="11" s="1"/>
  <c r="F6" i="13"/>
  <c r="E6" i="13"/>
  <c r="C6" i="13"/>
  <c r="B6" i="13"/>
  <c r="Z6" i="13" s="1"/>
  <c r="Y6" i="11" s="1"/>
  <c r="A6" i="13"/>
  <c r="E36" i="7" s="1"/>
  <c r="AQ5" i="13"/>
  <c r="W5" i="13"/>
  <c r="P5" i="13"/>
  <c r="X5" i="13" s="1"/>
  <c r="O5" i="13"/>
  <c r="N5" i="13"/>
  <c r="V5" i="13" s="1"/>
  <c r="M5" i="13"/>
  <c r="U5" i="13" s="1"/>
  <c r="L5" i="13"/>
  <c r="T5" i="13" s="1"/>
  <c r="K5" i="13"/>
  <c r="J5" i="13"/>
  <c r="R5" i="13" s="1"/>
  <c r="I5" i="13"/>
  <c r="Q5" i="13" s="1"/>
  <c r="H5" i="13"/>
  <c r="G5" i="13"/>
  <c r="F5" i="13"/>
  <c r="E5" i="13"/>
  <c r="C5" i="13"/>
  <c r="AG5" i="13" s="1"/>
  <c r="B5" i="13"/>
  <c r="A5" i="13"/>
  <c r="AQ4" i="13"/>
  <c r="P4" i="13"/>
  <c r="X4" i="13" s="1"/>
  <c r="O4" i="13"/>
  <c r="W4" i="13" s="1"/>
  <c r="N4" i="13"/>
  <c r="V4" i="13" s="1"/>
  <c r="M4" i="13"/>
  <c r="U4" i="13" s="1"/>
  <c r="L4" i="13"/>
  <c r="T4" i="13" s="1"/>
  <c r="K4" i="13"/>
  <c r="J4" i="13"/>
  <c r="R4" i="13" s="1"/>
  <c r="I4" i="13"/>
  <c r="Q4" i="13" s="1"/>
  <c r="H4" i="13"/>
  <c r="G4" i="13"/>
  <c r="F4" i="13"/>
  <c r="E4" i="13"/>
  <c r="C4" i="13"/>
  <c r="B4" i="13"/>
  <c r="A4" i="13"/>
  <c r="AQ3" i="13"/>
  <c r="P3" i="13"/>
  <c r="X3" i="13" s="1"/>
  <c r="O3" i="13"/>
  <c r="W3" i="13" s="1"/>
  <c r="N3" i="13"/>
  <c r="V3" i="13" s="1"/>
  <c r="M3" i="13"/>
  <c r="U3" i="13" s="1"/>
  <c r="L3" i="13"/>
  <c r="K3" i="13"/>
  <c r="J3" i="13"/>
  <c r="R3" i="13" s="1"/>
  <c r="I3" i="13"/>
  <c r="Q3" i="13" s="1"/>
  <c r="H3" i="13"/>
  <c r="G3" i="13"/>
  <c r="F3" i="13"/>
  <c r="E3" i="13"/>
  <c r="C3" i="13"/>
  <c r="AG3" i="13" s="1"/>
  <c r="AI3" i="13" s="1"/>
  <c r="B3" i="13"/>
  <c r="Z3" i="13" s="1"/>
  <c r="A3" i="13"/>
  <c r="P2" i="13"/>
  <c r="X2" i="13" s="1"/>
  <c r="O2" i="13"/>
  <c r="W2" i="13" s="1"/>
  <c r="N2" i="13"/>
  <c r="V2" i="13" s="1"/>
  <c r="M2" i="13"/>
  <c r="U2" i="13" s="1"/>
  <c r="L2" i="13"/>
  <c r="K2" i="13"/>
  <c r="J2" i="13"/>
  <c r="R2" i="13" s="1"/>
  <c r="I2" i="13"/>
  <c r="Q2" i="13" s="1"/>
  <c r="H2" i="13"/>
  <c r="G2" i="13"/>
  <c r="F2" i="13"/>
  <c r="E2" i="11" s="1"/>
  <c r="E2" i="13"/>
  <c r="C2" i="13"/>
  <c r="B2" i="13"/>
  <c r="Z2" i="13" s="1"/>
  <c r="A2" i="13"/>
  <c r="W126" i="12"/>
  <c r="U126" i="12" s="1"/>
  <c r="V126" i="12"/>
  <c r="T126" i="12" s="1"/>
  <c r="P126" i="12"/>
  <c r="N126" i="12"/>
  <c r="O126" i="12" s="1"/>
  <c r="W125" i="12"/>
  <c r="U125" i="12" s="1"/>
  <c r="V125" i="12"/>
  <c r="T125" i="12" s="1"/>
  <c r="R125" i="12"/>
  <c r="N125" i="12"/>
  <c r="Q125" i="12" s="1"/>
  <c r="W124" i="12"/>
  <c r="V124" i="12"/>
  <c r="T124" i="12" s="1"/>
  <c r="P124" i="12"/>
  <c r="N124" i="12"/>
  <c r="O124" i="12" s="1"/>
  <c r="W123" i="12"/>
  <c r="V123" i="12"/>
  <c r="T123" i="12" s="1"/>
  <c r="R123" i="12"/>
  <c r="N123" i="12"/>
  <c r="S123" i="12" s="1"/>
  <c r="E123" i="12"/>
  <c r="W122" i="12"/>
  <c r="U122" i="12" s="1"/>
  <c r="V122" i="12"/>
  <c r="T122" i="12" s="1"/>
  <c r="N122" i="12"/>
  <c r="O122" i="12" s="1"/>
  <c r="W121" i="12"/>
  <c r="U121" i="12" s="1"/>
  <c r="V121" i="12"/>
  <c r="T121" i="12" s="1"/>
  <c r="R121" i="12"/>
  <c r="N121" i="12"/>
  <c r="S121" i="12" s="1"/>
  <c r="W120" i="12"/>
  <c r="V120" i="12"/>
  <c r="T120" i="12" s="1"/>
  <c r="P120" i="12"/>
  <c r="N120" i="12"/>
  <c r="O120" i="12" s="1"/>
  <c r="W119" i="12"/>
  <c r="V119" i="12"/>
  <c r="T119" i="12" s="1"/>
  <c r="R119" i="12"/>
  <c r="N119" i="12"/>
  <c r="S119" i="12" s="1"/>
  <c r="E119" i="12"/>
  <c r="W118" i="12"/>
  <c r="U118" i="12" s="1"/>
  <c r="V118" i="12"/>
  <c r="T118" i="12" s="1"/>
  <c r="N118" i="12"/>
  <c r="O118" i="12" s="1"/>
  <c r="W117" i="12"/>
  <c r="U117" i="12" s="1"/>
  <c r="V117" i="12"/>
  <c r="T117" i="12" s="1"/>
  <c r="R117" i="12"/>
  <c r="N117" i="12"/>
  <c r="S117" i="12" s="1"/>
  <c r="W116" i="12"/>
  <c r="V116" i="12"/>
  <c r="T116" i="12" s="1"/>
  <c r="P116" i="12"/>
  <c r="N116" i="12"/>
  <c r="O116" i="12" s="1"/>
  <c r="W115" i="12"/>
  <c r="V115" i="12"/>
  <c r="T115" i="12" s="1"/>
  <c r="R115" i="12"/>
  <c r="N115" i="12"/>
  <c r="S115" i="12" s="1"/>
  <c r="E115" i="12"/>
  <c r="W114" i="12"/>
  <c r="U114" i="12" s="1"/>
  <c r="V114" i="12"/>
  <c r="T114" i="12" s="1"/>
  <c r="N114" i="12"/>
  <c r="O114" i="12" s="1"/>
  <c r="W113" i="12"/>
  <c r="U113" i="12" s="1"/>
  <c r="V113" i="12"/>
  <c r="T113" i="12" s="1"/>
  <c r="R113" i="12"/>
  <c r="N113" i="12"/>
  <c r="S113" i="12" s="1"/>
  <c r="W112" i="12"/>
  <c r="V112" i="12"/>
  <c r="T112" i="12" s="1"/>
  <c r="P112" i="12"/>
  <c r="N112" i="12"/>
  <c r="O112" i="12" s="1"/>
  <c r="W111" i="12"/>
  <c r="V111" i="12"/>
  <c r="T111" i="12" s="1"/>
  <c r="R111" i="12"/>
  <c r="N111" i="12"/>
  <c r="S111" i="12" s="1"/>
  <c r="E111" i="12"/>
  <c r="W110" i="12"/>
  <c r="U110" i="12" s="1"/>
  <c r="V110" i="12"/>
  <c r="T110" i="12" s="1"/>
  <c r="N110" i="12"/>
  <c r="O110" i="12" s="1"/>
  <c r="W109" i="12"/>
  <c r="U109" i="12" s="1"/>
  <c r="V109" i="12"/>
  <c r="T109" i="12" s="1"/>
  <c r="R109" i="12"/>
  <c r="N109" i="12"/>
  <c r="S109" i="12" s="1"/>
  <c r="W108" i="12"/>
  <c r="V108" i="12"/>
  <c r="T108" i="12" s="1"/>
  <c r="P108" i="12"/>
  <c r="N108" i="12"/>
  <c r="O108" i="12" s="1"/>
  <c r="W107" i="12"/>
  <c r="V107" i="12"/>
  <c r="T107" i="12" s="1"/>
  <c r="R107" i="12"/>
  <c r="N107" i="12"/>
  <c r="S107" i="12" s="1"/>
  <c r="E107" i="12"/>
  <c r="W106" i="12"/>
  <c r="U106" i="12" s="1"/>
  <c r="V106" i="12"/>
  <c r="T106" i="12" s="1"/>
  <c r="N106" i="12"/>
  <c r="O106" i="12" s="1"/>
  <c r="W105" i="12"/>
  <c r="U105" i="12" s="1"/>
  <c r="V105" i="12"/>
  <c r="T105" i="12" s="1"/>
  <c r="R105" i="12"/>
  <c r="N105" i="12"/>
  <c r="S105" i="12" s="1"/>
  <c r="W104" i="12"/>
  <c r="V104" i="12"/>
  <c r="T104" i="12" s="1"/>
  <c r="P104" i="12"/>
  <c r="N104" i="12"/>
  <c r="O104" i="12" s="1"/>
  <c r="W103" i="12"/>
  <c r="V103" i="12"/>
  <c r="T103" i="12" s="1"/>
  <c r="R103" i="12"/>
  <c r="N103" i="12"/>
  <c r="S103" i="12" s="1"/>
  <c r="E103" i="12"/>
  <c r="W102" i="12"/>
  <c r="U102" i="12" s="1"/>
  <c r="V102" i="12"/>
  <c r="T102" i="12" s="1"/>
  <c r="N102" i="12"/>
  <c r="O102" i="12" s="1"/>
  <c r="W101" i="12"/>
  <c r="U101" i="12" s="1"/>
  <c r="V101" i="12"/>
  <c r="T101" i="12" s="1"/>
  <c r="R101" i="12"/>
  <c r="N101" i="12"/>
  <c r="S101" i="12" s="1"/>
  <c r="W100" i="12"/>
  <c r="V100" i="12"/>
  <c r="T100" i="12" s="1"/>
  <c r="P100" i="12"/>
  <c r="N100" i="12"/>
  <c r="O100" i="12" s="1"/>
  <c r="W99" i="12"/>
  <c r="V99" i="12"/>
  <c r="T99" i="12" s="1"/>
  <c r="R99" i="12"/>
  <c r="N99" i="12"/>
  <c r="S99" i="12" s="1"/>
  <c r="E99" i="12"/>
  <c r="W98" i="12"/>
  <c r="U98" i="12" s="1"/>
  <c r="V98" i="12"/>
  <c r="T98" i="12" s="1"/>
  <c r="N98" i="12"/>
  <c r="O98" i="12" s="1"/>
  <c r="W97" i="12"/>
  <c r="U97" i="12" s="1"/>
  <c r="V97" i="12"/>
  <c r="T97" i="12" s="1"/>
  <c r="R97" i="12"/>
  <c r="N97" i="12"/>
  <c r="S97" i="12" s="1"/>
  <c r="W96" i="12"/>
  <c r="V96" i="12"/>
  <c r="T96" i="12" s="1"/>
  <c r="P96" i="12"/>
  <c r="N96" i="12"/>
  <c r="O96" i="12" s="1"/>
  <c r="W95" i="12"/>
  <c r="V95" i="12"/>
  <c r="T95" i="12" s="1"/>
  <c r="R95" i="12"/>
  <c r="N95" i="12"/>
  <c r="S95" i="12" s="1"/>
  <c r="E95" i="12"/>
  <c r="W94" i="12"/>
  <c r="U94" i="12" s="1"/>
  <c r="V94" i="12"/>
  <c r="T94" i="12" s="1"/>
  <c r="N94" i="12"/>
  <c r="O94" i="12" s="1"/>
  <c r="W93" i="12"/>
  <c r="U93" i="12" s="1"/>
  <c r="V93" i="12"/>
  <c r="T93" i="12" s="1"/>
  <c r="R93" i="12"/>
  <c r="N93" i="12"/>
  <c r="S93" i="12" s="1"/>
  <c r="W92" i="12"/>
  <c r="V92" i="12"/>
  <c r="T92" i="12" s="1"/>
  <c r="P92" i="12"/>
  <c r="N92" i="12"/>
  <c r="O92" i="12" s="1"/>
  <c r="W91" i="12"/>
  <c r="V91" i="12"/>
  <c r="T91" i="12" s="1"/>
  <c r="R91" i="12"/>
  <c r="N91" i="12"/>
  <c r="S91" i="12" s="1"/>
  <c r="E91" i="12"/>
  <c r="W90" i="12"/>
  <c r="U90" i="12" s="1"/>
  <c r="V90" i="12"/>
  <c r="T90" i="12" s="1"/>
  <c r="N90" i="12"/>
  <c r="O90" i="12" s="1"/>
  <c r="W89" i="12"/>
  <c r="U89" i="12" s="1"/>
  <c r="V89" i="12"/>
  <c r="T89" i="12" s="1"/>
  <c r="R89" i="12"/>
  <c r="N89" i="12"/>
  <c r="S89" i="12" s="1"/>
  <c r="W88" i="12"/>
  <c r="V88" i="12"/>
  <c r="T88" i="12" s="1"/>
  <c r="P88" i="12"/>
  <c r="N88" i="12"/>
  <c r="O88" i="12" s="1"/>
  <c r="W87" i="12"/>
  <c r="V87" i="12"/>
  <c r="T87" i="12" s="1"/>
  <c r="R87" i="12"/>
  <c r="N87" i="12"/>
  <c r="S87" i="12" s="1"/>
  <c r="E87" i="12"/>
  <c r="D77" i="12"/>
  <c r="B77" i="12"/>
  <c r="D76" i="12"/>
  <c r="B76" i="12"/>
  <c r="D75" i="12"/>
  <c r="B75" i="12"/>
  <c r="D74" i="12"/>
  <c r="B74" i="12"/>
  <c r="D73" i="12"/>
  <c r="B73" i="12"/>
  <c r="D72" i="12"/>
  <c r="B72" i="12"/>
  <c r="D71" i="12"/>
  <c r="B71" i="12"/>
  <c r="D70" i="12"/>
  <c r="B70" i="12"/>
  <c r="H18" i="12"/>
  <c r="H17" i="12"/>
  <c r="H16" i="12"/>
  <c r="H15" i="12"/>
  <c r="H14" i="12"/>
  <c r="H13" i="12"/>
  <c r="H12" i="12"/>
  <c r="H11" i="12"/>
  <c r="H10" i="12"/>
  <c r="C5" i="12"/>
  <c r="C4" i="12"/>
  <c r="L1" i="12"/>
  <c r="Z1201" i="11"/>
  <c r="Y1201" i="11"/>
  <c r="X1201" i="11"/>
  <c r="W1201" i="11"/>
  <c r="V1201" i="11"/>
  <c r="U1201" i="11"/>
  <c r="T1201" i="11"/>
  <c r="S1201" i="11"/>
  <c r="R1201" i="11"/>
  <c r="Q1201" i="11"/>
  <c r="P1201" i="11"/>
  <c r="O1201" i="11"/>
  <c r="N1201" i="11"/>
  <c r="M1201" i="11"/>
  <c r="L1201" i="11"/>
  <c r="K1201" i="11"/>
  <c r="J1201" i="11"/>
  <c r="I1201" i="11"/>
  <c r="H1201" i="11"/>
  <c r="G1201" i="11"/>
  <c r="F1201" i="11"/>
  <c r="E1201" i="11"/>
  <c r="D1201" i="11"/>
  <c r="C1201" i="11"/>
  <c r="B1201" i="11"/>
  <c r="A1201" i="11"/>
  <c r="Z1200" i="11"/>
  <c r="Y1200" i="11"/>
  <c r="X1200" i="11"/>
  <c r="W1200" i="11"/>
  <c r="V1200" i="11"/>
  <c r="U1200" i="11"/>
  <c r="T1200" i="11"/>
  <c r="S1200" i="11"/>
  <c r="R1200" i="11"/>
  <c r="Q1200" i="11"/>
  <c r="P1200" i="11"/>
  <c r="O1200" i="11"/>
  <c r="N1200" i="11"/>
  <c r="M1200" i="11"/>
  <c r="L1200" i="11"/>
  <c r="K1200" i="11"/>
  <c r="J1200" i="11"/>
  <c r="I1200" i="11"/>
  <c r="H1200" i="11"/>
  <c r="G1200" i="11"/>
  <c r="F1200" i="11"/>
  <c r="E1200" i="11"/>
  <c r="D1200" i="11"/>
  <c r="C1200" i="11"/>
  <c r="B1200" i="11"/>
  <c r="A1200" i="11"/>
  <c r="Z1199" i="11"/>
  <c r="Y1199" i="11"/>
  <c r="X1199" i="11"/>
  <c r="W1199" i="11"/>
  <c r="V1199" i="11"/>
  <c r="U1199" i="11"/>
  <c r="T1199" i="11"/>
  <c r="S1199" i="11"/>
  <c r="R1199" i="11"/>
  <c r="Q1199" i="11"/>
  <c r="P1199" i="11"/>
  <c r="O1199" i="11"/>
  <c r="N1199" i="11"/>
  <c r="M1199" i="11"/>
  <c r="L1199" i="11"/>
  <c r="K1199" i="11"/>
  <c r="J1199" i="11"/>
  <c r="I1199" i="11"/>
  <c r="H1199" i="11"/>
  <c r="G1199" i="11"/>
  <c r="F1199" i="11"/>
  <c r="E1199" i="11"/>
  <c r="D1199" i="11"/>
  <c r="C1199" i="11"/>
  <c r="B1199" i="11"/>
  <c r="A1199" i="11"/>
  <c r="Z1198" i="11"/>
  <c r="Y1198" i="11"/>
  <c r="X1198" i="11"/>
  <c r="W1198" i="11"/>
  <c r="V1198" i="11"/>
  <c r="U1198" i="11"/>
  <c r="T1198" i="11"/>
  <c r="S1198" i="11"/>
  <c r="R1198" i="11"/>
  <c r="Q1198" i="11"/>
  <c r="P1198" i="11"/>
  <c r="O1198" i="11"/>
  <c r="N1198" i="11"/>
  <c r="M1198" i="11"/>
  <c r="L1198" i="11"/>
  <c r="K1198" i="11"/>
  <c r="J1198" i="11"/>
  <c r="I1198" i="11"/>
  <c r="H1198" i="11"/>
  <c r="G1198" i="11"/>
  <c r="F1198" i="11"/>
  <c r="E1198" i="11"/>
  <c r="D1198" i="11"/>
  <c r="C1198" i="11"/>
  <c r="B1198" i="11"/>
  <c r="A1198" i="11"/>
  <c r="Z1197" i="11"/>
  <c r="Y1197" i="11"/>
  <c r="X1197" i="11"/>
  <c r="W1197" i="11"/>
  <c r="V1197" i="11"/>
  <c r="U1197" i="11"/>
  <c r="T1197" i="11"/>
  <c r="S1197" i="11"/>
  <c r="R1197" i="11"/>
  <c r="Q1197" i="11"/>
  <c r="P1197" i="11"/>
  <c r="O1197" i="11"/>
  <c r="N1197" i="11"/>
  <c r="M1197" i="11"/>
  <c r="L1197" i="11"/>
  <c r="K1197" i="11"/>
  <c r="J1197" i="11"/>
  <c r="I1197" i="11"/>
  <c r="H1197" i="11"/>
  <c r="G1197" i="11"/>
  <c r="F1197" i="11"/>
  <c r="E1197" i="11"/>
  <c r="D1197" i="11"/>
  <c r="C1197" i="11"/>
  <c r="B1197" i="11"/>
  <c r="A1197" i="11"/>
  <c r="Z1196" i="11"/>
  <c r="Y1196" i="11"/>
  <c r="X1196" i="11"/>
  <c r="W1196" i="11"/>
  <c r="V1196" i="11"/>
  <c r="U1196" i="11"/>
  <c r="T1196" i="11"/>
  <c r="S1196" i="11"/>
  <c r="R1196" i="11"/>
  <c r="Q1196" i="11"/>
  <c r="P1196" i="11"/>
  <c r="O1196" i="11"/>
  <c r="N1196" i="11"/>
  <c r="M1196" i="11"/>
  <c r="L1196" i="11"/>
  <c r="K1196" i="11"/>
  <c r="J1196" i="11"/>
  <c r="I1196" i="11"/>
  <c r="H1196" i="11"/>
  <c r="G1196" i="11"/>
  <c r="F1196" i="11"/>
  <c r="E1196" i="11"/>
  <c r="D1196" i="11"/>
  <c r="C1196" i="11"/>
  <c r="B1196" i="11"/>
  <c r="A1196" i="11"/>
  <c r="Z1195" i="11"/>
  <c r="Y1195" i="11"/>
  <c r="X1195" i="11"/>
  <c r="W1195" i="11"/>
  <c r="V1195" i="11"/>
  <c r="U1195" i="11"/>
  <c r="T1195" i="11"/>
  <c r="S1195" i="11"/>
  <c r="R1195" i="11"/>
  <c r="Q1195" i="11"/>
  <c r="P1195" i="11"/>
  <c r="O1195" i="11"/>
  <c r="N1195" i="11"/>
  <c r="M1195" i="11"/>
  <c r="L1195" i="11"/>
  <c r="K1195" i="11"/>
  <c r="J1195" i="11"/>
  <c r="I1195" i="11"/>
  <c r="H1195" i="11"/>
  <c r="G1195" i="11"/>
  <c r="F1195" i="11"/>
  <c r="E1195" i="11"/>
  <c r="D1195" i="11"/>
  <c r="C1195" i="11"/>
  <c r="B1195" i="11"/>
  <c r="A1195" i="11"/>
  <c r="Z1194" i="11"/>
  <c r="Y1194" i="11"/>
  <c r="X1194" i="11"/>
  <c r="W1194" i="11"/>
  <c r="U1194" i="11"/>
  <c r="T1194" i="11"/>
  <c r="R1194" i="11"/>
  <c r="Q1194" i="11"/>
  <c r="P1194" i="11"/>
  <c r="O1194" i="11"/>
  <c r="M1194" i="11"/>
  <c r="L1194" i="11"/>
  <c r="J1194" i="11"/>
  <c r="I1194" i="11"/>
  <c r="H1194" i="11"/>
  <c r="G1194" i="11"/>
  <c r="E1194" i="11"/>
  <c r="D1194" i="11"/>
  <c r="B1194" i="11"/>
  <c r="A1194" i="11"/>
  <c r="Z1193" i="11"/>
  <c r="Y1193" i="11"/>
  <c r="W1193" i="11"/>
  <c r="V1193" i="11"/>
  <c r="T1193" i="11"/>
  <c r="S1193" i="11"/>
  <c r="R1193" i="11"/>
  <c r="Q1193" i="11"/>
  <c r="O1193" i="11"/>
  <c r="N1193" i="11"/>
  <c r="L1193" i="11"/>
  <c r="K1193" i="11"/>
  <c r="J1193" i="11"/>
  <c r="I1193" i="11"/>
  <c r="G1193" i="11"/>
  <c r="F1193" i="11"/>
  <c r="D1193" i="11"/>
  <c r="C1193" i="11"/>
  <c r="B1193" i="11"/>
  <c r="A1193" i="11"/>
  <c r="Y1192" i="11"/>
  <c r="X1192" i="11"/>
  <c r="V1192" i="11"/>
  <c r="U1192" i="11"/>
  <c r="T1192" i="11"/>
  <c r="S1192" i="11"/>
  <c r="Q1192" i="11"/>
  <c r="P1192" i="11"/>
  <c r="N1192" i="11"/>
  <c r="M1192" i="11"/>
  <c r="L1192" i="11"/>
  <c r="K1192" i="11"/>
  <c r="I1192" i="11"/>
  <c r="H1192" i="11"/>
  <c r="F1192" i="11"/>
  <c r="E1192" i="11"/>
  <c r="D1192" i="11"/>
  <c r="C1192" i="11"/>
  <c r="A1192" i="11"/>
  <c r="Z1191" i="11"/>
  <c r="X1191" i="11"/>
  <c r="W1191" i="11"/>
  <c r="V1191" i="11"/>
  <c r="U1191" i="11"/>
  <c r="S1191" i="11"/>
  <c r="R1191" i="11"/>
  <c r="P1191" i="11"/>
  <c r="O1191" i="11"/>
  <c r="N1191" i="11"/>
  <c r="M1191" i="11"/>
  <c r="K1191" i="11"/>
  <c r="J1191" i="11"/>
  <c r="H1191" i="11"/>
  <c r="G1191" i="11"/>
  <c r="F1191" i="11"/>
  <c r="E1191" i="11"/>
  <c r="C1191" i="11"/>
  <c r="B1191" i="11"/>
  <c r="Z1190" i="11"/>
  <c r="Y1190" i="11"/>
  <c r="X1190" i="11"/>
  <c r="W1190" i="11"/>
  <c r="U1190" i="11"/>
  <c r="T1190" i="11"/>
  <c r="R1190" i="11"/>
  <c r="Q1190" i="11"/>
  <c r="P1190" i="11"/>
  <c r="O1190" i="11"/>
  <c r="M1190" i="11"/>
  <c r="L1190" i="11"/>
  <c r="J1190" i="11"/>
  <c r="I1190" i="11"/>
  <c r="H1190" i="11"/>
  <c r="G1190" i="11"/>
  <c r="E1190" i="11"/>
  <c r="D1190" i="11"/>
  <c r="B1190" i="11"/>
  <c r="A1190" i="11"/>
  <c r="Z1189" i="11"/>
  <c r="Y1189" i="11"/>
  <c r="X1189" i="11"/>
  <c r="W1189" i="11"/>
  <c r="V1189" i="11"/>
  <c r="U1189" i="11"/>
  <c r="T1189" i="11"/>
  <c r="S1189" i="11"/>
  <c r="R1189" i="11"/>
  <c r="Q1189" i="11"/>
  <c r="P1189" i="11"/>
  <c r="O1189" i="11"/>
  <c r="N1189" i="11"/>
  <c r="M1189" i="11"/>
  <c r="L1189" i="11"/>
  <c r="K1189" i="11"/>
  <c r="J1189" i="11"/>
  <c r="I1189" i="11"/>
  <c r="H1189" i="11"/>
  <c r="G1189" i="11"/>
  <c r="F1189" i="11"/>
  <c r="E1189" i="11"/>
  <c r="D1189" i="11"/>
  <c r="C1189" i="11"/>
  <c r="B1189" i="11"/>
  <c r="A1189" i="11"/>
  <c r="Z1188" i="11"/>
  <c r="Y1188" i="11"/>
  <c r="X1188" i="11"/>
  <c r="W1188" i="11"/>
  <c r="V1188" i="11"/>
  <c r="U1188" i="11"/>
  <c r="T1188" i="11"/>
  <c r="S1188" i="11"/>
  <c r="R1188" i="11"/>
  <c r="Q1188" i="11"/>
  <c r="P1188" i="11"/>
  <c r="O1188" i="11"/>
  <c r="N1188" i="11"/>
  <c r="M1188" i="11"/>
  <c r="L1188" i="11"/>
  <c r="K1188" i="11"/>
  <c r="J1188" i="11"/>
  <c r="I1188" i="11"/>
  <c r="H1188" i="11"/>
  <c r="G1188" i="11"/>
  <c r="F1188" i="11"/>
  <c r="E1188" i="11"/>
  <c r="D1188" i="11"/>
  <c r="C1188" i="11"/>
  <c r="B1188" i="11"/>
  <c r="A1188" i="11"/>
  <c r="Z1187" i="11"/>
  <c r="Y1187" i="11"/>
  <c r="X1187" i="11"/>
  <c r="W1187" i="11"/>
  <c r="V1187" i="11"/>
  <c r="U1187" i="11"/>
  <c r="T1187" i="11"/>
  <c r="S1187" i="11"/>
  <c r="R1187" i="11"/>
  <c r="Q1187" i="11"/>
  <c r="P1187" i="11"/>
  <c r="O1187" i="11"/>
  <c r="N1187" i="11"/>
  <c r="M1187" i="11"/>
  <c r="L1187" i="11"/>
  <c r="K1187" i="11"/>
  <c r="J1187" i="11"/>
  <c r="I1187" i="11"/>
  <c r="H1187" i="11"/>
  <c r="G1187" i="11"/>
  <c r="F1187" i="11"/>
  <c r="E1187" i="11"/>
  <c r="D1187" i="11"/>
  <c r="C1187" i="11"/>
  <c r="B1187" i="11"/>
  <c r="A1187" i="11"/>
  <c r="Z1186" i="11"/>
  <c r="Y1186" i="11"/>
  <c r="X1186" i="11"/>
  <c r="W1186" i="11"/>
  <c r="V1186" i="11"/>
  <c r="U1186" i="11"/>
  <c r="T1186" i="11"/>
  <c r="S1186" i="11"/>
  <c r="R1186" i="11"/>
  <c r="Q1186" i="11"/>
  <c r="P1186" i="11"/>
  <c r="O1186" i="11"/>
  <c r="N1186" i="11"/>
  <c r="M1186" i="11"/>
  <c r="L1186" i="11"/>
  <c r="K1186" i="11"/>
  <c r="J1186" i="11"/>
  <c r="I1186" i="11"/>
  <c r="H1186" i="11"/>
  <c r="G1186" i="11"/>
  <c r="F1186" i="11"/>
  <c r="E1186" i="11"/>
  <c r="D1186" i="11"/>
  <c r="C1186" i="11"/>
  <c r="B1186" i="11"/>
  <c r="A1186" i="11"/>
  <c r="Z1185" i="11"/>
  <c r="Y1185" i="11"/>
  <c r="X1185" i="11"/>
  <c r="W1185" i="11"/>
  <c r="V1185" i="11"/>
  <c r="U1185" i="11"/>
  <c r="T1185" i="11"/>
  <c r="S1185" i="11"/>
  <c r="R1185" i="11"/>
  <c r="Q1185" i="11"/>
  <c r="P1185" i="11"/>
  <c r="O1185" i="11"/>
  <c r="N1185" i="11"/>
  <c r="M1185" i="11"/>
  <c r="L1185" i="11"/>
  <c r="K1185" i="11"/>
  <c r="J1185" i="11"/>
  <c r="I1185" i="11"/>
  <c r="H1185" i="11"/>
  <c r="G1185" i="11"/>
  <c r="F1185" i="11"/>
  <c r="E1185" i="11"/>
  <c r="D1185" i="11"/>
  <c r="C1185" i="11"/>
  <c r="B1185" i="11"/>
  <c r="A1185" i="11"/>
  <c r="Z1184" i="11"/>
  <c r="Y1184" i="11"/>
  <c r="X1184" i="11"/>
  <c r="W1184" i="11"/>
  <c r="V1184" i="11"/>
  <c r="U1184" i="11"/>
  <c r="T1184" i="11"/>
  <c r="S1184" i="11"/>
  <c r="R1184" i="11"/>
  <c r="Q1184" i="11"/>
  <c r="P1184" i="11"/>
  <c r="O1184" i="11"/>
  <c r="N1184" i="11"/>
  <c r="M1184" i="11"/>
  <c r="L1184" i="11"/>
  <c r="K1184" i="11"/>
  <c r="J1184" i="11"/>
  <c r="I1184" i="11"/>
  <c r="H1184" i="11"/>
  <c r="G1184" i="11"/>
  <c r="F1184" i="11"/>
  <c r="E1184" i="11"/>
  <c r="D1184" i="11"/>
  <c r="C1184" i="11"/>
  <c r="B1184" i="11"/>
  <c r="A1184" i="11"/>
  <c r="Z1183" i="11"/>
  <c r="Y1183" i="11"/>
  <c r="X1183" i="11"/>
  <c r="W1183" i="11"/>
  <c r="V1183" i="11"/>
  <c r="U1183" i="11"/>
  <c r="T1183" i="11"/>
  <c r="S1183" i="11"/>
  <c r="R1183" i="11"/>
  <c r="Q1183" i="11"/>
  <c r="P1183" i="11"/>
  <c r="O1183" i="11"/>
  <c r="N1183" i="11"/>
  <c r="M1183" i="11"/>
  <c r="L1183" i="11"/>
  <c r="K1183" i="11"/>
  <c r="J1183" i="11"/>
  <c r="I1183" i="11"/>
  <c r="H1183" i="11"/>
  <c r="G1183" i="11"/>
  <c r="F1183" i="11"/>
  <c r="E1183" i="11"/>
  <c r="D1183" i="11"/>
  <c r="C1183" i="11"/>
  <c r="B1183" i="11"/>
  <c r="A1183" i="11"/>
  <c r="Z1182" i="11"/>
  <c r="Y1182" i="11"/>
  <c r="X1182" i="11"/>
  <c r="W1182" i="11"/>
  <c r="V1182" i="11"/>
  <c r="U1182" i="11"/>
  <c r="T1182" i="11"/>
  <c r="S1182" i="11"/>
  <c r="R1182" i="11"/>
  <c r="Q1182" i="11"/>
  <c r="P1182" i="11"/>
  <c r="O1182" i="11"/>
  <c r="N1182" i="11"/>
  <c r="M1182" i="11"/>
  <c r="L1182" i="11"/>
  <c r="K1182" i="11"/>
  <c r="J1182" i="11"/>
  <c r="I1182" i="11"/>
  <c r="H1182" i="11"/>
  <c r="G1182" i="11"/>
  <c r="F1182" i="11"/>
  <c r="E1182" i="11"/>
  <c r="D1182" i="11"/>
  <c r="C1182" i="11"/>
  <c r="B1182" i="11"/>
  <c r="A1182" i="11"/>
  <c r="Z1181" i="11"/>
  <c r="Y1181" i="11"/>
  <c r="X1181" i="11"/>
  <c r="W1181" i="11"/>
  <c r="V1181" i="11"/>
  <c r="U1181" i="11"/>
  <c r="T1181" i="11"/>
  <c r="S1181" i="11"/>
  <c r="R1181" i="11"/>
  <c r="Q1181" i="11"/>
  <c r="P1181" i="11"/>
  <c r="O1181" i="11"/>
  <c r="N1181" i="11"/>
  <c r="M1181" i="11"/>
  <c r="L1181" i="11"/>
  <c r="K1181" i="11"/>
  <c r="J1181" i="11"/>
  <c r="I1181" i="11"/>
  <c r="H1181" i="11"/>
  <c r="G1181" i="11"/>
  <c r="F1181" i="11"/>
  <c r="E1181" i="11"/>
  <c r="D1181" i="11"/>
  <c r="C1181" i="11"/>
  <c r="B1181" i="11"/>
  <c r="A1181" i="11"/>
  <c r="Z1180" i="11"/>
  <c r="Y1180" i="11"/>
  <c r="X1180" i="11"/>
  <c r="W1180" i="11"/>
  <c r="V1180" i="11"/>
  <c r="U1180" i="11"/>
  <c r="T1180" i="11"/>
  <c r="S1180" i="11"/>
  <c r="R1180" i="11"/>
  <c r="Q1180" i="11"/>
  <c r="P1180" i="11"/>
  <c r="O1180" i="11"/>
  <c r="N1180" i="11"/>
  <c r="M1180" i="11"/>
  <c r="L1180" i="11"/>
  <c r="K1180" i="11"/>
  <c r="J1180" i="11"/>
  <c r="I1180" i="11"/>
  <c r="H1180" i="11"/>
  <c r="G1180" i="11"/>
  <c r="F1180" i="11"/>
  <c r="E1180" i="11"/>
  <c r="D1180" i="11"/>
  <c r="C1180" i="11"/>
  <c r="B1180" i="11"/>
  <c r="A1180" i="11"/>
  <c r="Z1179" i="11"/>
  <c r="Y1179" i="11"/>
  <c r="X1179" i="11"/>
  <c r="W1179" i="11"/>
  <c r="V1179" i="11"/>
  <c r="U1179" i="11"/>
  <c r="T1179" i="11"/>
  <c r="S1179" i="11"/>
  <c r="R1179" i="11"/>
  <c r="Q1179" i="11"/>
  <c r="P1179" i="11"/>
  <c r="O1179" i="11"/>
  <c r="N1179" i="11"/>
  <c r="M1179" i="11"/>
  <c r="L1179" i="11"/>
  <c r="K1179" i="11"/>
  <c r="J1179" i="11"/>
  <c r="I1179" i="11"/>
  <c r="H1179" i="11"/>
  <c r="G1179" i="11"/>
  <c r="F1179" i="11"/>
  <c r="E1179" i="11"/>
  <c r="D1179" i="11"/>
  <c r="C1179" i="11"/>
  <c r="B1179" i="11"/>
  <c r="A1179" i="11"/>
  <c r="Z1178" i="11"/>
  <c r="Y1178" i="11"/>
  <c r="X1178" i="11"/>
  <c r="W1178" i="11"/>
  <c r="V1178" i="11"/>
  <c r="U1178" i="11"/>
  <c r="T1178" i="11"/>
  <c r="S1178" i="11"/>
  <c r="R1178" i="11"/>
  <c r="Q1178" i="11"/>
  <c r="P1178" i="11"/>
  <c r="O1178" i="11"/>
  <c r="N1178" i="11"/>
  <c r="M1178" i="11"/>
  <c r="L1178" i="11"/>
  <c r="K1178" i="11"/>
  <c r="J1178" i="11"/>
  <c r="I1178" i="11"/>
  <c r="H1178" i="11"/>
  <c r="G1178" i="11"/>
  <c r="F1178" i="11"/>
  <c r="E1178" i="11"/>
  <c r="D1178" i="11"/>
  <c r="C1178" i="11"/>
  <c r="B1178" i="11"/>
  <c r="A1178" i="11"/>
  <c r="Z1177" i="11"/>
  <c r="Y1177" i="11"/>
  <c r="X1177" i="11"/>
  <c r="W1177" i="11"/>
  <c r="V1177" i="11"/>
  <c r="U1177" i="11"/>
  <c r="T1177" i="11"/>
  <c r="S1177" i="11"/>
  <c r="R1177" i="11"/>
  <c r="Q1177" i="11"/>
  <c r="P1177" i="11"/>
  <c r="O1177" i="11"/>
  <c r="N1177" i="11"/>
  <c r="M1177" i="11"/>
  <c r="L1177" i="11"/>
  <c r="K1177" i="11"/>
  <c r="J1177" i="11"/>
  <c r="I1177" i="11"/>
  <c r="H1177" i="11"/>
  <c r="G1177" i="11"/>
  <c r="F1177" i="11"/>
  <c r="E1177" i="11"/>
  <c r="D1177" i="11"/>
  <c r="C1177" i="11"/>
  <c r="B1177" i="11"/>
  <c r="A1177" i="11"/>
  <c r="Z1176" i="11"/>
  <c r="Y1176" i="11"/>
  <c r="X1176" i="11"/>
  <c r="W1176" i="11"/>
  <c r="V1176" i="11"/>
  <c r="U1176" i="11"/>
  <c r="T1176" i="11"/>
  <c r="S1176" i="11"/>
  <c r="R1176" i="11"/>
  <c r="Q1176" i="11"/>
  <c r="P1176" i="11"/>
  <c r="O1176" i="11"/>
  <c r="N1176" i="11"/>
  <c r="M1176" i="11"/>
  <c r="L1176" i="11"/>
  <c r="K1176" i="11"/>
  <c r="J1176" i="11"/>
  <c r="I1176" i="11"/>
  <c r="H1176" i="11"/>
  <c r="G1176" i="11"/>
  <c r="F1176" i="11"/>
  <c r="E1176" i="11"/>
  <c r="D1176" i="11"/>
  <c r="C1176" i="11"/>
  <c r="B1176" i="11"/>
  <c r="A1176" i="11"/>
  <c r="Z1175" i="11"/>
  <c r="Y1175" i="11"/>
  <c r="X1175" i="11"/>
  <c r="W1175" i="11"/>
  <c r="V1175" i="11"/>
  <c r="U1175" i="11"/>
  <c r="T1175" i="11"/>
  <c r="S1175" i="11"/>
  <c r="R1175" i="11"/>
  <c r="Q1175" i="11"/>
  <c r="P1175" i="11"/>
  <c r="O1175" i="11"/>
  <c r="N1175" i="11"/>
  <c r="M1175" i="11"/>
  <c r="L1175" i="11"/>
  <c r="K1175" i="11"/>
  <c r="J1175" i="11"/>
  <c r="I1175" i="11"/>
  <c r="H1175" i="11"/>
  <c r="G1175" i="11"/>
  <c r="F1175" i="11"/>
  <c r="E1175" i="11"/>
  <c r="D1175" i="11"/>
  <c r="C1175" i="11"/>
  <c r="B1175" i="11"/>
  <c r="A1175" i="11"/>
  <c r="Z1174" i="11"/>
  <c r="Y1174" i="11"/>
  <c r="X1174" i="11"/>
  <c r="W1174" i="11"/>
  <c r="V1174" i="11"/>
  <c r="U1174" i="11"/>
  <c r="T1174" i="11"/>
  <c r="S1174" i="11"/>
  <c r="R1174" i="11"/>
  <c r="Q1174" i="11"/>
  <c r="P1174" i="11"/>
  <c r="O1174" i="11"/>
  <c r="N1174" i="11"/>
  <c r="M1174" i="11"/>
  <c r="L1174" i="11"/>
  <c r="K1174" i="11"/>
  <c r="J1174" i="11"/>
  <c r="I1174" i="11"/>
  <c r="H1174" i="11"/>
  <c r="G1174" i="11"/>
  <c r="F1174" i="11"/>
  <c r="E1174" i="11"/>
  <c r="D1174" i="11"/>
  <c r="C1174" i="11"/>
  <c r="B1174" i="11"/>
  <c r="A1174" i="11"/>
  <c r="Z1173" i="11"/>
  <c r="Y1173" i="11"/>
  <c r="X1173" i="11"/>
  <c r="W1173" i="11"/>
  <c r="V1173" i="11"/>
  <c r="U1173" i="11"/>
  <c r="T1173" i="11"/>
  <c r="S1173" i="11"/>
  <c r="R1173" i="11"/>
  <c r="Q1173" i="11"/>
  <c r="P1173" i="11"/>
  <c r="O1173" i="11"/>
  <c r="N1173" i="11"/>
  <c r="M1173" i="11"/>
  <c r="L1173" i="11"/>
  <c r="K1173" i="11"/>
  <c r="J1173" i="11"/>
  <c r="I1173" i="11"/>
  <c r="H1173" i="11"/>
  <c r="G1173" i="11"/>
  <c r="F1173" i="11"/>
  <c r="E1173" i="11"/>
  <c r="D1173" i="11"/>
  <c r="C1173" i="11"/>
  <c r="B1173" i="11"/>
  <c r="A1173" i="11"/>
  <c r="Z1172" i="11"/>
  <c r="Y1172" i="11"/>
  <c r="X1172" i="11"/>
  <c r="W1172" i="11"/>
  <c r="V1172" i="11"/>
  <c r="U1172" i="11"/>
  <c r="T1172" i="11"/>
  <c r="S1172" i="11"/>
  <c r="R1172" i="11"/>
  <c r="Q1172" i="11"/>
  <c r="P1172" i="11"/>
  <c r="O1172" i="11"/>
  <c r="N1172" i="11"/>
  <c r="M1172" i="11"/>
  <c r="L1172" i="11"/>
  <c r="K1172" i="11"/>
  <c r="J1172" i="11"/>
  <c r="I1172" i="11"/>
  <c r="H1172" i="11"/>
  <c r="G1172" i="11"/>
  <c r="F1172" i="11"/>
  <c r="E1172" i="11"/>
  <c r="D1172" i="11"/>
  <c r="C1172" i="11"/>
  <c r="B1172" i="11"/>
  <c r="A1172" i="11"/>
  <c r="Z1171" i="11"/>
  <c r="Y1171" i="11"/>
  <c r="X1171" i="11"/>
  <c r="W1171" i="11"/>
  <c r="V1171" i="11"/>
  <c r="U1171" i="11"/>
  <c r="T1171" i="11"/>
  <c r="S1171" i="11"/>
  <c r="R1171" i="11"/>
  <c r="Q1171" i="11"/>
  <c r="P1171" i="11"/>
  <c r="O1171" i="11"/>
  <c r="N1171" i="11"/>
  <c r="M1171" i="11"/>
  <c r="L1171" i="11"/>
  <c r="K1171" i="11"/>
  <c r="J1171" i="11"/>
  <c r="I1171" i="11"/>
  <c r="H1171" i="11"/>
  <c r="G1171" i="11"/>
  <c r="F1171" i="11"/>
  <c r="E1171" i="11"/>
  <c r="D1171" i="11"/>
  <c r="C1171" i="11"/>
  <c r="B1171" i="11"/>
  <c r="A1171" i="11"/>
  <c r="Z1170" i="11"/>
  <c r="Y1170" i="11"/>
  <c r="X1170" i="11"/>
  <c r="W1170" i="11"/>
  <c r="V1170" i="11"/>
  <c r="U1170" i="11"/>
  <c r="T1170" i="11"/>
  <c r="S1170" i="11"/>
  <c r="R1170" i="11"/>
  <c r="Q1170" i="11"/>
  <c r="P1170" i="11"/>
  <c r="O1170" i="11"/>
  <c r="N1170" i="11"/>
  <c r="M1170" i="11"/>
  <c r="L1170" i="11"/>
  <c r="K1170" i="11"/>
  <c r="J1170" i="11"/>
  <c r="I1170" i="11"/>
  <c r="H1170" i="11"/>
  <c r="G1170" i="11"/>
  <c r="F1170" i="11"/>
  <c r="E1170" i="11"/>
  <c r="D1170" i="11"/>
  <c r="C1170" i="11"/>
  <c r="B1170" i="11"/>
  <c r="A1170" i="11"/>
  <c r="Z1169" i="11"/>
  <c r="Y1169" i="11"/>
  <c r="X1169" i="11"/>
  <c r="W1169" i="11"/>
  <c r="V1169" i="11"/>
  <c r="U1169" i="11"/>
  <c r="T1169" i="11"/>
  <c r="S1169" i="11"/>
  <c r="R1169" i="11"/>
  <c r="Q1169" i="11"/>
  <c r="P1169" i="11"/>
  <c r="O1169" i="11"/>
  <c r="N1169" i="11"/>
  <c r="M1169" i="11"/>
  <c r="L1169" i="11"/>
  <c r="K1169" i="11"/>
  <c r="J1169" i="11"/>
  <c r="I1169" i="11"/>
  <c r="H1169" i="11"/>
  <c r="G1169" i="11"/>
  <c r="F1169" i="11"/>
  <c r="E1169" i="11"/>
  <c r="D1169" i="11"/>
  <c r="C1169" i="11"/>
  <c r="B1169" i="11"/>
  <c r="A1169" i="11"/>
  <c r="Z1168" i="11"/>
  <c r="Y1168" i="11"/>
  <c r="X1168" i="11"/>
  <c r="W1168" i="11"/>
  <c r="V1168" i="11"/>
  <c r="U1168" i="11"/>
  <c r="T1168" i="11"/>
  <c r="S1168" i="11"/>
  <c r="R1168" i="11"/>
  <c r="Q1168" i="11"/>
  <c r="P1168" i="11"/>
  <c r="O1168" i="11"/>
  <c r="N1168" i="11"/>
  <c r="M1168" i="11"/>
  <c r="L1168" i="11"/>
  <c r="K1168" i="11"/>
  <c r="J1168" i="11"/>
  <c r="I1168" i="11"/>
  <c r="H1168" i="11"/>
  <c r="G1168" i="11"/>
  <c r="F1168" i="11"/>
  <c r="E1168" i="11"/>
  <c r="D1168" i="11"/>
  <c r="C1168" i="11"/>
  <c r="B1168" i="11"/>
  <c r="A1168" i="11"/>
  <c r="Z1167" i="11"/>
  <c r="Y1167" i="11"/>
  <c r="X1167" i="11"/>
  <c r="W1167" i="11"/>
  <c r="V1167" i="11"/>
  <c r="U1167" i="11"/>
  <c r="T1167" i="11"/>
  <c r="S1167" i="11"/>
  <c r="R1167" i="11"/>
  <c r="Q1167" i="11"/>
  <c r="P1167" i="11"/>
  <c r="O1167" i="11"/>
  <c r="N1167" i="11"/>
  <c r="M1167" i="11"/>
  <c r="L1167" i="11"/>
  <c r="K1167" i="11"/>
  <c r="J1167" i="11"/>
  <c r="I1167" i="11"/>
  <c r="H1167" i="11"/>
  <c r="G1167" i="11"/>
  <c r="F1167" i="11"/>
  <c r="E1167" i="11"/>
  <c r="D1167" i="11"/>
  <c r="C1167" i="11"/>
  <c r="B1167" i="11"/>
  <c r="A1167" i="11"/>
  <c r="Z1166" i="11"/>
  <c r="Y1166" i="11"/>
  <c r="X1166" i="11"/>
  <c r="W1166" i="11"/>
  <c r="V1166" i="11"/>
  <c r="U1166" i="11"/>
  <c r="T1166" i="11"/>
  <c r="S1166" i="11"/>
  <c r="R1166" i="11"/>
  <c r="Q1166" i="11"/>
  <c r="P1166" i="11"/>
  <c r="O1166" i="11"/>
  <c r="N1166" i="11"/>
  <c r="M1166" i="11"/>
  <c r="L1166" i="11"/>
  <c r="K1166" i="11"/>
  <c r="J1166" i="11"/>
  <c r="I1166" i="11"/>
  <c r="H1166" i="11"/>
  <c r="G1166" i="11"/>
  <c r="F1166" i="11"/>
  <c r="E1166" i="11"/>
  <c r="D1166" i="11"/>
  <c r="C1166" i="11"/>
  <c r="B1166" i="11"/>
  <c r="A1166" i="11"/>
  <c r="Z1165" i="11"/>
  <c r="Y1165" i="11"/>
  <c r="X1165" i="11"/>
  <c r="W1165" i="11"/>
  <c r="V1165" i="11"/>
  <c r="U1165" i="11"/>
  <c r="T1165" i="11"/>
  <c r="S1165" i="11"/>
  <c r="R1165" i="11"/>
  <c r="Q1165" i="11"/>
  <c r="P1165" i="11"/>
  <c r="O1165" i="11"/>
  <c r="N1165" i="11"/>
  <c r="M1165" i="11"/>
  <c r="L1165" i="11"/>
  <c r="K1165" i="11"/>
  <c r="J1165" i="11"/>
  <c r="I1165" i="11"/>
  <c r="H1165" i="11"/>
  <c r="G1165" i="11"/>
  <c r="F1165" i="11"/>
  <c r="E1165" i="11"/>
  <c r="D1165" i="11"/>
  <c r="C1165" i="11"/>
  <c r="B1165" i="11"/>
  <c r="A1165" i="11"/>
  <c r="Z1164" i="11"/>
  <c r="Y1164" i="11"/>
  <c r="X1164" i="11"/>
  <c r="W1164" i="11"/>
  <c r="V1164" i="11"/>
  <c r="U1164" i="11"/>
  <c r="T1164" i="11"/>
  <c r="S1164" i="11"/>
  <c r="R1164" i="11"/>
  <c r="Q1164" i="11"/>
  <c r="P1164" i="11"/>
  <c r="O1164" i="11"/>
  <c r="N1164" i="11"/>
  <c r="M1164" i="11"/>
  <c r="L1164" i="11"/>
  <c r="K1164" i="11"/>
  <c r="J1164" i="11"/>
  <c r="I1164" i="11"/>
  <c r="H1164" i="11"/>
  <c r="G1164" i="11"/>
  <c r="F1164" i="11"/>
  <c r="E1164" i="11"/>
  <c r="D1164" i="11"/>
  <c r="C1164" i="11"/>
  <c r="B1164" i="11"/>
  <c r="A1164" i="11"/>
  <c r="Z1163" i="11"/>
  <c r="Y1163" i="11"/>
  <c r="X1163" i="11"/>
  <c r="W1163" i="11"/>
  <c r="V1163" i="11"/>
  <c r="U1163" i="11"/>
  <c r="T1163" i="11"/>
  <c r="S1163" i="11"/>
  <c r="R1163" i="11"/>
  <c r="Q1163" i="11"/>
  <c r="P1163" i="11"/>
  <c r="O1163" i="11"/>
  <c r="N1163" i="11"/>
  <c r="M1163" i="11"/>
  <c r="L1163" i="11"/>
  <c r="K1163" i="11"/>
  <c r="J1163" i="11"/>
  <c r="I1163" i="11"/>
  <c r="H1163" i="11"/>
  <c r="G1163" i="11"/>
  <c r="F1163" i="11"/>
  <c r="E1163" i="11"/>
  <c r="D1163" i="11"/>
  <c r="C1163" i="11"/>
  <c r="B1163" i="11"/>
  <c r="A1163" i="11"/>
  <c r="Z1162" i="11"/>
  <c r="Y1162" i="11"/>
  <c r="X1162" i="11"/>
  <c r="W1162" i="11"/>
  <c r="V1162" i="11"/>
  <c r="U1162" i="11"/>
  <c r="T1162" i="11"/>
  <c r="S1162" i="11"/>
  <c r="R1162" i="11"/>
  <c r="Q1162" i="11"/>
  <c r="P1162" i="11"/>
  <c r="O1162" i="11"/>
  <c r="N1162" i="11"/>
  <c r="M1162" i="11"/>
  <c r="L1162" i="11"/>
  <c r="K1162" i="11"/>
  <c r="J1162" i="11"/>
  <c r="I1162" i="11"/>
  <c r="H1162" i="11"/>
  <c r="G1162" i="11"/>
  <c r="F1162" i="11"/>
  <c r="E1162" i="11"/>
  <c r="D1162" i="11"/>
  <c r="C1162" i="11"/>
  <c r="B1162" i="11"/>
  <c r="A1162" i="11"/>
  <c r="Z1161" i="11"/>
  <c r="Y1161" i="11"/>
  <c r="X1161" i="11"/>
  <c r="W1161" i="11"/>
  <c r="V1161" i="11"/>
  <c r="U1161" i="11"/>
  <c r="T1161" i="11"/>
  <c r="S1161" i="11"/>
  <c r="R1161" i="11"/>
  <c r="Q1161" i="11"/>
  <c r="P1161" i="11"/>
  <c r="O1161" i="11"/>
  <c r="N1161" i="11"/>
  <c r="M1161" i="11"/>
  <c r="L1161" i="11"/>
  <c r="K1161" i="11"/>
  <c r="J1161" i="11"/>
  <c r="I1161" i="11"/>
  <c r="H1161" i="11"/>
  <c r="G1161" i="11"/>
  <c r="F1161" i="11"/>
  <c r="E1161" i="11"/>
  <c r="D1161" i="11"/>
  <c r="C1161" i="11"/>
  <c r="B1161" i="11"/>
  <c r="A1161" i="11"/>
  <c r="Z1160" i="11"/>
  <c r="Y1160" i="11"/>
  <c r="X1160" i="11"/>
  <c r="W1160" i="11"/>
  <c r="V1160" i="11"/>
  <c r="U1160" i="11"/>
  <c r="T1160" i="11"/>
  <c r="S1160" i="11"/>
  <c r="R1160" i="11"/>
  <c r="Q1160" i="11"/>
  <c r="P1160" i="11"/>
  <c r="O1160" i="11"/>
  <c r="N1160" i="11"/>
  <c r="M1160" i="11"/>
  <c r="L1160" i="11"/>
  <c r="K1160" i="11"/>
  <c r="J1160" i="11"/>
  <c r="I1160" i="11"/>
  <c r="H1160" i="11"/>
  <c r="G1160" i="11"/>
  <c r="F1160" i="11"/>
  <c r="E1160" i="11"/>
  <c r="D1160" i="11"/>
  <c r="C1160" i="11"/>
  <c r="B1160" i="11"/>
  <c r="A1160" i="11"/>
  <c r="Z1159" i="11"/>
  <c r="Y1159" i="11"/>
  <c r="X1159" i="11"/>
  <c r="W1159" i="11"/>
  <c r="V1159" i="11"/>
  <c r="U1159" i="11"/>
  <c r="T1159" i="11"/>
  <c r="S1159" i="11"/>
  <c r="R1159" i="11"/>
  <c r="Q1159" i="11"/>
  <c r="P1159" i="11"/>
  <c r="O1159" i="11"/>
  <c r="N1159" i="11"/>
  <c r="M1159" i="11"/>
  <c r="L1159" i="11"/>
  <c r="K1159" i="11"/>
  <c r="J1159" i="11"/>
  <c r="I1159" i="11"/>
  <c r="H1159" i="11"/>
  <c r="G1159" i="11"/>
  <c r="F1159" i="11"/>
  <c r="E1159" i="11"/>
  <c r="D1159" i="11"/>
  <c r="C1159" i="11"/>
  <c r="B1159" i="11"/>
  <c r="A1159" i="11"/>
  <c r="Z1158" i="11"/>
  <c r="Y1158" i="11"/>
  <c r="X1158" i="11"/>
  <c r="W1158" i="11"/>
  <c r="V1158" i="11"/>
  <c r="U1158" i="11"/>
  <c r="T1158" i="11"/>
  <c r="S1158" i="11"/>
  <c r="R1158" i="11"/>
  <c r="Q1158" i="11"/>
  <c r="P1158" i="11"/>
  <c r="O1158" i="11"/>
  <c r="N1158" i="11"/>
  <c r="M1158" i="11"/>
  <c r="L1158" i="11"/>
  <c r="K1158" i="11"/>
  <c r="J1158" i="11"/>
  <c r="I1158" i="11"/>
  <c r="H1158" i="11"/>
  <c r="G1158" i="11"/>
  <c r="F1158" i="11"/>
  <c r="E1158" i="11"/>
  <c r="D1158" i="11"/>
  <c r="C1158" i="11"/>
  <c r="B1158" i="11"/>
  <c r="A1158" i="11"/>
  <c r="Z1157" i="11"/>
  <c r="Y1157" i="11"/>
  <c r="X1157" i="11"/>
  <c r="W1157" i="11"/>
  <c r="V1157" i="11"/>
  <c r="U1157" i="11"/>
  <c r="T1157" i="11"/>
  <c r="S1157" i="11"/>
  <c r="R1157" i="11"/>
  <c r="Q1157" i="11"/>
  <c r="P1157" i="11"/>
  <c r="O1157" i="11"/>
  <c r="N1157" i="11"/>
  <c r="M1157" i="11"/>
  <c r="L1157" i="11"/>
  <c r="K1157" i="11"/>
  <c r="J1157" i="11"/>
  <c r="I1157" i="11"/>
  <c r="H1157" i="11"/>
  <c r="G1157" i="11"/>
  <c r="F1157" i="11"/>
  <c r="E1157" i="11"/>
  <c r="D1157" i="11"/>
  <c r="C1157" i="11"/>
  <c r="B1157" i="11"/>
  <c r="A1157" i="11"/>
  <c r="Z1156" i="11"/>
  <c r="Y1156" i="11"/>
  <c r="X1156" i="11"/>
  <c r="W1156" i="11"/>
  <c r="V1156" i="11"/>
  <c r="U1156" i="11"/>
  <c r="T1156" i="11"/>
  <c r="S1156" i="11"/>
  <c r="R1156" i="11"/>
  <c r="Q1156" i="11"/>
  <c r="P1156" i="11"/>
  <c r="O1156" i="11"/>
  <c r="N1156" i="11"/>
  <c r="M1156" i="11"/>
  <c r="L1156" i="11"/>
  <c r="K1156" i="11"/>
  <c r="J1156" i="11"/>
  <c r="I1156" i="11"/>
  <c r="H1156" i="11"/>
  <c r="G1156" i="11"/>
  <c r="F1156" i="11"/>
  <c r="E1156" i="11"/>
  <c r="D1156" i="11"/>
  <c r="C1156" i="11"/>
  <c r="B1156" i="11"/>
  <c r="A1156" i="11"/>
  <c r="Z1155" i="11"/>
  <c r="Y1155" i="11"/>
  <c r="X1155" i="11"/>
  <c r="W1155" i="11"/>
  <c r="V1155" i="11"/>
  <c r="U1155" i="11"/>
  <c r="T1155" i="11"/>
  <c r="S1155" i="11"/>
  <c r="R1155" i="11"/>
  <c r="Q1155" i="11"/>
  <c r="P1155" i="11"/>
  <c r="O1155" i="11"/>
  <c r="N1155" i="11"/>
  <c r="M1155" i="11"/>
  <c r="L1155" i="11"/>
  <c r="K1155" i="11"/>
  <c r="J1155" i="11"/>
  <c r="I1155" i="11"/>
  <c r="H1155" i="11"/>
  <c r="G1155" i="11"/>
  <c r="F1155" i="11"/>
  <c r="E1155" i="11"/>
  <c r="D1155" i="11"/>
  <c r="C1155" i="11"/>
  <c r="B1155" i="11"/>
  <c r="A1155" i="11"/>
  <c r="Z1154" i="11"/>
  <c r="Y1154" i="11"/>
  <c r="X1154" i="11"/>
  <c r="W1154" i="11"/>
  <c r="V1154" i="11"/>
  <c r="U1154" i="11"/>
  <c r="T1154" i="11"/>
  <c r="S1154" i="11"/>
  <c r="R1154" i="11"/>
  <c r="Q1154" i="11"/>
  <c r="P1154" i="11"/>
  <c r="O1154" i="11"/>
  <c r="N1154" i="11"/>
  <c r="M1154" i="11"/>
  <c r="L1154" i="11"/>
  <c r="K1154" i="11"/>
  <c r="J1154" i="11"/>
  <c r="I1154" i="11"/>
  <c r="H1154" i="11"/>
  <c r="G1154" i="11"/>
  <c r="F1154" i="11"/>
  <c r="E1154" i="11"/>
  <c r="D1154" i="11"/>
  <c r="C1154" i="11"/>
  <c r="B1154" i="11"/>
  <c r="A1154" i="11"/>
  <c r="Z1153" i="11"/>
  <c r="Y1153" i="11"/>
  <c r="X1153" i="11"/>
  <c r="W1153" i="11"/>
  <c r="V1153" i="11"/>
  <c r="U1153" i="11"/>
  <c r="T1153" i="11"/>
  <c r="S1153" i="11"/>
  <c r="R1153" i="11"/>
  <c r="Q1153" i="11"/>
  <c r="P1153" i="11"/>
  <c r="O1153" i="11"/>
  <c r="N1153" i="11"/>
  <c r="M1153" i="11"/>
  <c r="L1153" i="11"/>
  <c r="K1153" i="11"/>
  <c r="J1153" i="11"/>
  <c r="I1153" i="11"/>
  <c r="H1153" i="11"/>
  <c r="G1153" i="11"/>
  <c r="F1153" i="11"/>
  <c r="E1153" i="11"/>
  <c r="D1153" i="11"/>
  <c r="C1153" i="11"/>
  <c r="B1153" i="11"/>
  <c r="A1153" i="11"/>
  <c r="Z1152" i="11"/>
  <c r="Y1152" i="11"/>
  <c r="X1152" i="11"/>
  <c r="W1152" i="11"/>
  <c r="V1152" i="11"/>
  <c r="U1152" i="11"/>
  <c r="T1152" i="11"/>
  <c r="S1152" i="11"/>
  <c r="R1152" i="11"/>
  <c r="Q1152" i="11"/>
  <c r="P1152" i="11"/>
  <c r="O1152" i="11"/>
  <c r="N1152" i="11"/>
  <c r="M1152" i="11"/>
  <c r="L1152" i="11"/>
  <c r="K1152" i="11"/>
  <c r="J1152" i="11"/>
  <c r="I1152" i="11"/>
  <c r="H1152" i="11"/>
  <c r="G1152" i="11"/>
  <c r="F1152" i="11"/>
  <c r="E1152" i="11"/>
  <c r="D1152" i="11"/>
  <c r="C1152" i="11"/>
  <c r="B1152" i="11"/>
  <c r="A1152" i="11"/>
  <c r="Z1151" i="11"/>
  <c r="Y1151" i="11"/>
  <c r="X1151" i="11"/>
  <c r="W1151" i="11"/>
  <c r="V1151" i="11"/>
  <c r="U1151" i="11"/>
  <c r="T1151" i="11"/>
  <c r="S1151" i="11"/>
  <c r="R1151" i="11"/>
  <c r="Q1151" i="11"/>
  <c r="P1151" i="11"/>
  <c r="O1151" i="11"/>
  <c r="N1151" i="11"/>
  <c r="M1151" i="11"/>
  <c r="L1151" i="11"/>
  <c r="K1151" i="11"/>
  <c r="J1151" i="11"/>
  <c r="I1151" i="11"/>
  <c r="H1151" i="11"/>
  <c r="G1151" i="11"/>
  <c r="F1151" i="11"/>
  <c r="E1151" i="11"/>
  <c r="D1151" i="11"/>
  <c r="C1151" i="11"/>
  <c r="B1151" i="11"/>
  <c r="A1151" i="11"/>
  <c r="Z1150" i="11"/>
  <c r="Y1150" i="11"/>
  <c r="X1150" i="11"/>
  <c r="W1150" i="11"/>
  <c r="V1150" i="11"/>
  <c r="U1150" i="11"/>
  <c r="T1150" i="11"/>
  <c r="S1150" i="11"/>
  <c r="R1150" i="11"/>
  <c r="Q1150" i="11"/>
  <c r="P1150" i="11"/>
  <c r="O1150" i="11"/>
  <c r="N1150" i="11"/>
  <c r="M1150" i="11"/>
  <c r="L1150" i="11"/>
  <c r="K1150" i="11"/>
  <c r="J1150" i="11"/>
  <c r="I1150" i="11"/>
  <c r="H1150" i="11"/>
  <c r="G1150" i="11"/>
  <c r="F1150" i="11"/>
  <c r="E1150" i="11"/>
  <c r="D1150" i="11"/>
  <c r="C1150" i="11"/>
  <c r="B1150" i="11"/>
  <c r="A1150" i="11"/>
  <c r="Z1149" i="11"/>
  <c r="Y1149" i="11"/>
  <c r="X1149" i="11"/>
  <c r="W1149" i="11"/>
  <c r="V1149" i="11"/>
  <c r="U1149" i="11"/>
  <c r="T1149" i="11"/>
  <c r="S1149" i="11"/>
  <c r="R1149" i="11"/>
  <c r="Q1149" i="11"/>
  <c r="P1149" i="11"/>
  <c r="O1149" i="11"/>
  <c r="N1149" i="11"/>
  <c r="M1149" i="11"/>
  <c r="L1149" i="11"/>
  <c r="K1149" i="11"/>
  <c r="J1149" i="11"/>
  <c r="I1149" i="11"/>
  <c r="H1149" i="11"/>
  <c r="G1149" i="11"/>
  <c r="F1149" i="11"/>
  <c r="E1149" i="11"/>
  <c r="D1149" i="11"/>
  <c r="C1149" i="11"/>
  <c r="B1149" i="11"/>
  <c r="A1149" i="11"/>
  <c r="Z1148" i="11"/>
  <c r="Y1148" i="11"/>
  <c r="X1148" i="11"/>
  <c r="W1148" i="11"/>
  <c r="V1148" i="11"/>
  <c r="U1148" i="11"/>
  <c r="T1148" i="11"/>
  <c r="S1148" i="11"/>
  <c r="R1148" i="11"/>
  <c r="Q1148" i="11"/>
  <c r="P1148" i="11"/>
  <c r="O1148" i="11"/>
  <c r="N1148" i="11"/>
  <c r="M1148" i="11"/>
  <c r="L1148" i="11"/>
  <c r="K1148" i="11"/>
  <c r="J1148" i="11"/>
  <c r="I1148" i="11"/>
  <c r="H1148" i="11"/>
  <c r="G1148" i="11"/>
  <c r="F1148" i="11"/>
  <c r="E1148" i="11"/>
  <c r="D1148" i="11"/>
  <c r="C1148" i="11"/>
  <c r="B1148" i="11"/>
  <c r="A1148" i="11"/>
  <c r="Z1147" i="11"/>
  <c r="Y1147" i="11"/>
  <c r="X1147" i="11"/>
  <c r="W1147" i="11"/>
  <c r="V1147" i="11"/>
  <c r="U1147" i="11"/>
  <c r="T1147" i="11"/>
  <c r="S1147" i="11"/>
  <c r="R1147" i="11"/>
  <c r="Q1147" i="11"/>
  <c r="P1147" i="11"/>
  <c r="O1147" i="11"/>
  <c r="N1147" i="11"/>
  <c r="M1147" i="11"/>
  <c r="L1147" i="11"/>
  <c r="K1147" i="11"/>
  <c r="J1147" i="11"/>
  <c r="I1147" i="11"/>
  <c r="H1147" i="11"/>
  <c r="G1147" i="11"/>
  <c r="F1147" i="11"/>
  <c r="E1147" i="11"/>
  <c r="D1147" i="11"/>
  <c r="C1147" i="11"/>
  <c r="B1147" i="11"/>
  <c r="A1147" i="11"/>
  <c r="Z1146" i="11"/>
  <c r="Y1146" i="11"/>
  <c r="X1146" i="11"/>
  <c r="W1146" i="11"/>
  <c r="V1146" i="11"/>
  <c r="U1146" i="11"/>
  <c r="T1146" i="11"/>
  <c r="S1146" i="11"/>
  <c r="R1146" i="11"/>
  <c r="Q1146" i="11"/>
  <c r="P1146" i="11"/>
  <c r="O1146" i="11"/>
  <c r="N1146" i="11"/>
  <c r="M1146" i="11"/>
  <c r="L1146" i="11"/>
  <c r="K1146" i="11"/>
  <c r="J1146" i="11"/>
  <c r="I1146" i="11"/>
  <c r="H1146" i="11"/>
  <c r="G1146" i="11"/>
  <c r="F1146" i="11"/>
  <c r="E1146" i="11"/>
  <c r="D1146" i="11"/>
  <c r="C1146" i="11"/>
  <c r="B1146" i="11"/>
  <c r="A1146" i="11"/>
  <c r="Z1145" i="11"/>
  <c r="Y1145" i="11"/>
  <c r="X1145" i="11"/>
  <c r="W1145" i="11"/>
  <c r="V1145" i="11"/>
  <c r="U1145" i="11"/>
  <c r="T1145" i="11"/>
  <c r="S1145" i="11"/>
  <c r="R1145" i="11"/>
  <c r="Q1145" i="11"/>
  <c r="P1145" i="11"/>
  <c r="O1145" i="11"/>
  <c r="N1145" i="11"/>
  <c r="M1145" i="11"/>
  <c r="L1145" i="11"/>
  <c r="K1145" i="11"/>
  <c r="J1145" i="11"/>
  <c r="I1145" i="11"/>
  <c r="H1145" i="11"/>
  <c r="G1145" i="11"/>
  <c r="F1145" i="11"/>
  <c r="E1145" i="11"/>
  <c r="D1145" i="11"/>
  <c r="C1145" i="11"/>
  <c r="B1145" i="11"/>
  <c r="A1145" i="11"/>
  <c r="Z1144" i="11"/>
  <c r="Y1144" i="11"/>
  <c r="X1144" i="11"/>
  <c r="W1144" i="11"/>
  <c r="V1144" i="11"/>
  <c r="U1144" i="11"/>
  <c r="T1144" i="11"/>
  <c r="S1144" i="11"/>
  <c r="R1144" i="11"/>
  <c r="Q1144" i="11"/>
  <c r="P1144" i="11"/>
  <c r="O1144" i="11"/>
  <c r="N1144" i="11"/>
  <c r="M1144" i="11"/>
  <c r="L1144" i="11"/>
  <c r="K1144" i="11"/>
  <c r="J1144" i="11"/>
  <c r="I1144" i="11"/>
  <c r="H1144" i="11"/>
  <c r="G1144" i="11"/>
  <c r="F1144" i="11"/>
  <c r="E1144" i="11"/>
  <c r="D1144" i="11"/>
  <c r="C1144" i="11"/>
  <c r="B1144" i="11"/>
  <c r="A1144" i="11"/>
  <c r="Z1143" i="11"/>
  <c r="Y1143" i="11"/>
  <c r="X1143" i="11"/>
  <c r="W1143" i="11"/>
  <c r="V1143" i="11"/>
  <c r="U1143" i="11"/>
  <c r="T1143" i="11"/>
  <c r="S1143" i="11"/>
  <c r="R1143" i="11"/>
  <c r="Q1143" i="11"/>
  <c r="P1143" i="11"/>
  <c r="O1143" i="11"/>
  <c r="N1143" i="11"/>
  <c r="M1143" i="11"/>
  <c r="L1143" i="11"/>
  <c r="K1143" i="11"/>
  <c r="J1143" i="11"/>
  <c r="I1143" i="11"/>
  <c r="H1143" i="11"/>
  <c r="G1143" i="11"/>
  <c r="F1143" i="11"/>
  <c r="E1143" i="11"/>
  <c r="D1143" i="11"/>
  <c r="C1143" i="11"/>
  <c r="B1143" i="11"/>
  <c r="A1143" i="11"/>
  <c r="Z1142" i="11"/>
  <c r="Y1142" i="11"/>
  <c r="X1142" i="11"/>
  <c r="W1142" i="11"/>
  <c r="V1142" i="11"/>
  <c r="U1142" i="11"/>
  <c r="T1142" i="11"/>
  <c r="S1142" i="11"/>
  <c r="R1142" i="11"/>
  <c r="Q1142" i="11"/>
  <c r="P1142" i="11"/>
  <c r="O1142" i="11"/>
  <c r="N1142" i="11"/>
  <c r="M1142" i="11"/>
  <c r="L1142" i="11"/>
  <c r="K1142" i="11"/>
  <c r="J1142" i="11"/>
  <c r="I1142" i="11"/>
  <c r="H1142" i="11"/>
  <c r="G1142" i="11"/>
  <c r="F1142" i="11"/>
  <c r="E1142" i="11"/>
  <c r="D1142" i="11"/>
  <c r="C1142" i="11"/>
  <c r="B1142" i="11"/>
  <c r="A1142" i="11"/>
  <c r="Z1141" i="11"/>
  <c r="Y1141" i="11"/>
  <c r="X1141" i="11"/>
  <c r="W1141" i="11"/>
  <c r="V1141" i="11"/>
  <c r="U1141" i="11"/>
  <c r="T1141" i="11"/>
  <c r="S1141" i="11"/>
  <c r="R1141" i="11"/>
  <c r="Q1141" i="11"/>
  <c r="P1141" i="11"/>
  <c r="O1141" i="11"/>
  <c r="N1141" i="11"/>
  <c r="M1141" i="11"/>
  <c r="L1141" i="11"/>
  <c r="K1141" i="11"/>
  <c r="J1141" i="11"/>
  <c r="I1141" i="11"/>
  <c r="H1141" i="11"/>
  <c r="G1141" i="11"/>
  <c r="F1141" i="11"/>
  <c r="E1141" i="11"/>
  <c r="D1141" i="11"/>
  <c r="C1141" i="11"/>
  <c r="B1141" i="11"/>
  <c r="A1141" i="11"/>
  <c r="Z1140" i="11"/>
  <c r="Y1140" i="11"/>
  <c r="X1140" i="11"/>
  <c r="W1140" i="11"/>
  <c r="V1140" i="11"/>
  <c r="U1140" i="11"/>
  <c r="T1140" i="11"/>
  <c r="S1140" i="11"/>
  <c r="R1140" i="11"/>
  <c r="Q1140" i="11"/>
  <c r="P1140" i="11"/>
  <c r="O1140" i="11"/>
  <c r="N1140" i="11"/>
  <c r="M1140" i="11"/>
  <c r="L1140" i="11"/>
  <c r="K1140" i="11"/>
  <c r="J1140" i="11"/>
  <c r="I1140" i="11"/>
  <c r="H1140" i="11"/>
  <c r="G1140" i="11"/>
  <c r="F1140" i="11"/>
  <c r="E1140" i="11"/>
  <c r="D1140" i="11"/>
  <c r="C1140" i="11"/>
  <c r="B1140" i="11"/>
  <c r="A1140" i="11"/>
  <c r="Z1139" i="11"/>
  <c r="Y1139" i="11"/>
  <c r="X1139" i="11"/>
  <c r="W1139" i="11"/>
  <c r="V1139" i="11"/>
  <c r="U1139" i="11"/>
  <c r="T1139" i="11"/>
  <c r="S1139" i="11"/>
  <c r="R1139" i="11"/>
  <c r="Q1139" i="11"/>
  <c r="P1139" i="11"/>
  <c r="O1139" i="11"/>
  <c r="N1139" i="11"/>
  <c r="M1139" i="11"/>
  <c r="L1139" i="11"/>
  <c r="K1139" i="11"/>
  <c r="J1139" i="11"/>
  <c r="I1139" i="11"/>
  <c r="H1139" i="11"/>
  <c r="G1139" i="11"/>
  <c r="F1139" i="11"/>
  <c r="E1139" i="11"/>
  <c r="D1139" i="11"/>
  <c r="C1139" i="11"/>
  <c r="B1139" i="11"/>
  <c r="A1139" i="11"/>
  <c r="Z1138" i="11"/>
  <c r="Y1138" i="11"/>
  <c r="X1138" i="11"/>
  <c r="W1138" i="11"/>
  <c r="V1138" i="11"/>
  <c r="U1138" i="11"/>
  <c r="T1138" i="11"/>
  <c r="S1138" i="11"/>
  <c r="R1138" i="11"/>
  <c r="Q1138" i="11"/>
  <c r="P1138" i="11"/>
  <c r="O1138" i="11"/>
  <c r="N1138" i="11"/>
  <c r="M1138" i="11"/>
  <c r="L1138" i="11"/>
  <c r="K1138" i="11"/>
  <c r="J1138" i="11"/>
  <c r="I1138" i="11"/>
  <c r="H1138" i="11"/>
  <c r="G1138" i="11"/>
  <c r="F1138" i="11"/>
  <c r="E1138" i="11"/>
  <c r="D1138" i="11"/>
  <c r="C1138" i="11"/>
  <c r="B1138" i="11"/>
  <c r="A1138" i="11"/>
  <c r="Z1137" i="11"/>
  <c r="Y1137" i="11"/>
  <c r="X1137" i="11"/>
  <c r="W1137" i="11"/>
  <c r="V1137" i="11"/>
  <c r="U1137" i="11"/>
  <c r="T1137" i="11"/>
  <c r="S1137" i="11"/>
  <c r="R1137" i="11"/>
  <c r="Q1137" i="11"/>
  <c r="P1137" i="11"/>
  <c r="O1137" i="11"/>
  <c r="N1137" i="11"/>
  <c r="M1137" i="11"/>
  <c r="L1137" i="11"/>
  <c r="K1137" i="11"/>
  <c r="J1137" i="11"/>
  <c r="I1137" i="11"/>
  <c r="H1137" i="11"/>
  <c r="G1137" i="11"/>
  <c r="F1137" i="11"/>
  <c r="E1137" i="11"/>
  <c r="D1137" i="11"/>
  <c r="C1137" i="11"/>
  <c r="B1137" i="11"/>
  <c r="A1137" i="11"/>
  <c r="Z1136" i="11"/>
  <c r="Y1136" i="11"/>
  <c r="X1136" i="11"/>
  <c r="W1136" i="11"/>
  <c r="V1136" i="11"/>
  <c r="U1136" i="11"/>
  <c r="T1136" i="11"/>
  <c r="S1136" i="11"/>
  <c r="R1136" i="11"/>
  <c r="Q1136" i="11"/>
  <c r="P1136" i="11"/>
  <c r="O1136" i="11"/>
  <c r="N1136" i="11"/>
  <c r="M1136" i="11"/>
  <c r="L1136" i="11"/>
  <c r="K1136" i="11"/>
  <c r="J1136" i="11"/>
  <c r="I1136" i="11"/>
  <c r="H1136" i="11"/>
  <c r="G1136" i="11"/>
  <c r="F1136" i="11"/>
  <c r="E1136" i="11"/>
  <c r="D1136" i="11"/>
  <c r="C1136" i="11"/>
  <c r="B1136" i="11"/>
  <c r="A1136" i="11"/>
  <c r="Z1135" i="11"/>
  <c r="Y1135" i="11"/>
  <c r="X1135" i="11"/>
  <c r="W1135" i="11"/>
  <c r="V1135" i="11"/>
  <c r="U1135" i="11"/>
  <c r="T1135" i="11"/>
  <c r="S1135" i="11"/>
  <c r="R1135" i="11"/>
  <c r="Q1135" i="11"/>
  <c r="P1135" i="11"/>
  <c r="O1135" i="11"/>
  <c r="N1135" i="11"/>
  <c r="M1135" i="11"/>
  <c r="L1135" i="11"/>
  <c r="K1135" i="11"/>
  <c r="J1135" i="11"/>
  <c r="I1135" i="11"/>
  <c r="H1135" i="11"/>
  <c r="G1135" i="11"/>
  <c r="F1135" i="11"/>
  <c r="E1135" i="11"/>
  <c r="D1135" i="11"/>
  <c r="C1135" i="11"/>
  <c r="B1135" i="11"/>
  <c r="A1135" i="11"/>
  <c r="Z1134" i="11"/>
  <c r="Y1134" i="11"/>
  <c r="X1134" i="11"/>
  <c r="W1134" i="11"/>
  <c r="V1134" i="11"/>
  <c r="U1134" i="11"/>
  <c r="T1134" i="11"/>
  <c r="S1134" i="11"/>
  <c r="R1134" i="11"/>
  <c r="Q1134" i="11"/>
  <c r="P1134" i="11"/>
  <c r="O1134" i="11"/>
  <c r="N1134" i="11"/>
  <c r="M1134" i="11"/>
  <c r="L1134" i="11"/>
  <c r="K1134" i="11"/>
  <c r="J1134" i="11"/>
  <c r="I1134" i="11"/>
  <c r="H1134" i="11"/>
  <c r="G1134" i="11"/>
  <c r="F1134" i="11"/>
  <c r="E1134" i="11"/>
  <c r="D1134" i="11"/>
  <c r="C1134" i="11"/>
  <c r="B1134" i="11"/>
  <c r="A1134" i="11"/>
  <c r="Z1133" i="11"/>
  <c r="Y1133" i="11"/>
  <c r="X1133" i="11"/>
  <c r="W1133" i="11"/>
  <c r="V1133" i="11"/>
  <c r="U1133" i="11"/>
  <c r="T1133" i="11"/>
  <c r="S1133" i="11"/>
  <c r="R1133" i="11"/>
  <c r="Q1133" i="11"/>
  <c r="P1133" i="11"/>
  <c r="O1133" i="11"/>
  <c r="N1133" i="11"/>
  <c r="M1133" i="11"/>
  <c r="L1133" i="11"/>
  <c r="K1133" i="11"/>
  <c r="J1133" i="11"/>
  <c r="I1133" i="11"/>
  <c r="H1133" i="11"/>
  <c r="G1133" i="11"/>
  <c r="F1133" i="11"/>
  <c r="E1133" i="11"/>
  <c r="D1133" i="11"/>
  <c r="C1133" i="11"/>
  <c r="B1133" i="11"/>
  <c r="A1133" i="11"/>
  <c r="Z1132" i="11"/>
  <c r="Y1132" i="11"/>
  <c r="X1132" i="11"/>
  <c r="W1132" i="11"/>
  <c r="V1132" i="11"/>
  <c r="U1132" i="11"/>
  <c r="T1132" i="11"/>
  <c r="S1132" i="11"/>
  <c r="R1132" i="11"/>
  <c r="Q1132" i="11"/>
  <c r="P1132" i="11"/>
  <c r="O1132" i="11"/>
  <c r="N1132" i="11"/>
  <c r="M1132" i="11"/>
  <c r="L1132" i="11"/>
  <c r="K1132" i="11"/>
  <c r="J1132" i="11"/>
  <c r="I1132" i="11"/>
  <c r="H1132" i="11"/>
  <c r="G1132" i="11"/>
  <c r="F1132" i="11"/>
  <c r="E1132" i="11"/>
  <c r="D1132" i="11"/>
  <c r="C1132" i="11"/>
  <c r="B1132" i="11"/>
  <c r="A1132" i="11"/>
  <c r="Z1131" i="11"/>
  <c r="Y1131" i="11"/>
  <c r="X1131" i="11"/>
  <c r="W1131" i="11"/>
  <c r="V1131" i="11"/>
  <c r="U1131" i="11"/>
  <c r="T1131" i="11"/>
  <c r="S1131" i="11"/>
  <c r="R1131" i="11"/>
  <c r="Q1131" i="11"/>
  <c r="P1131" i="11"/>
  <c r="O1131" i="11"/>
  <c r="N1131" i="11"/>
  <c r="M1131" i="11"/>
  <c r="L1131" i="11"/>
  <c r="K1131" i="11"/>
  <c r="J1131" i="11"/>
  <c r="I1131" i="11"/>
  <c r="H1131" i="11"/>
  <c r="G1131" i="11"/>
  <c r="F1131" i="11"/>
  <c r="E1131" i="11"/>
  <c r="D1131" i="11"/>
  <c r="C1131" i="11"/>
  <c r="B1131" i="11"/>
  <c r="A1131" i="11"/>
  <c r="Z1130" i="11"/>
  <c r="Y1130" i="11"/>
  <c r="X1130" i="11"/>
  <c r="W1130" i="11"/>
  <c r="V1130" i="11"/>
  <c r="U1130" i="11"/>
  <c r="T1130" i="11"/>
  <c r="S1130" i="11"/>
  <c r="R1130" i="11"/>
  <c r="Q1130" i="11"/>
  <c r="P1130" i="11"/>
  <c r="O1130" i="11"/>
  <c r="N1130" i="11"/>
  <c r="M1130" i="11"/>
  <c r="L1130" i="11"/>
  <c r="K1130" i="11"/>
  <c r="J1130" i="11"/>
  <c r="I1130" i="11"/>
  <c r="H1130" i="11"/>
  <c r="G1130" i="11"/>
  <c r="F1130" i="11"/>
  <c r="E1130" i="11"/>
  <c r="D1130" i="11"/>
  <c r="C1130" i="11"/>
  <c r="B1130" i="11"/>
  <c r="A1130" i="11"/>
  <c r="Z1129" i="11"/>
  <c r="Y1129" i="11"/>
  <c r="X1129" i="11"/>
  <c r="W1129" i="11"/>
  <c r="V1129" i="11"/>
  <c r="U1129" i="11"/>
  <c r="T1129" i="11"/>
  <c r="S1129" i="11"/>
  <c r="R1129" i="11"/>
  <c r="Q1129" i="11"/>
  <c r="P1129" i="11"/>
  <c r="O1129" i="11"/>
  <c r="N1129" i="11"/>
  <c r="M1129" i="11"/>
  <c r="L1129" i="11"/>
  <c r="K1129" i="11"/>
  <c r="J1129" i="11"/>
  <c r="I1129" i="11"/>
  <c r="H1129" i="11"/>
  <c r="G1129" i="11"/>
  <c r="F1129" i="11"/>
  <c r="E1129" i="11"/>
  <c r="D1129" i="11"/>
  <c r="C1129" i="11"/>
  <c r="B1129" i="11"/>
  <c r="A1129" i="11"/>
  <c r="Z1128" i="11"/>
  <c r="Y1128" i="11"/>
  <c r="X1128" i="11"/>
  <c r="W1128" i="11"/>
  <c r="V1128" i="11"/>
  <c r="U1128" i="11"/>
  <c r="T1128" i="11"/>
  <c r="S1128" i="11"/>
  <c r="R1128" i="11"/>
  <c r="Q1128" i="11"/>
  <c r="P1128" i="11"/>
  <c r="O1128" i="11"/>
  <c r="N1128" i="11"/>
  <c r="M1128" i="11"/>
  <c r="L1128" i="11"/>
  <c r="K1128" i="11"/>
  <c r="J1128" i="11"/>
  <c r="I1128" i="11"/>
  <c r="H1128" i="11"/>
  <c r="G1128" i="11"/>
  <c r="F1128" i="11"/>
  <c r="E1128" i="11"/>
  <c r="D1128" i="11"/>
  <c r="C1128" i="11"/>
  <c r="B1128" i="11"/>
  <c r="A1128" i="11"/>
  <c r="Z1127" i="11"/>
  <c r="Y1127" i="11"/>
  <c r="X1127" i="11"/>
  <c r="W1127" i="11"/>
  <c r="V1127" i="11"/>
  <c r="U1127" i="11"/>
  <c r="T1127" i="11"/>
  <c r="S1127" i="11"/>
  <c r="R1127" i="11"/>
  <c r="Q1127" i="11"/>
  <c r="P1127" i="11"/>
  <c r="O1127" i="11"/>
  <c r="N1127" i="11"/>
  <c r="M1127" i="11"/>
  <c r="L1127" i="11"/>
  <c r="K1127" i="11"/>
  <c r="J1127" i="11"/>
  <c r="I1127" i="11"/>
  <c r="H1127" i="11"/>
  <c r="G1127" i="11"/>
  <c r="F1127" i="11"/>
  <c r="E1127" i="11"/>
  <c r="D1127" i="11"/>
  <c r="C1127" i="11"/>
  <c r="B1127" i="11"/>
  <c r="A1127" i="11"/>
  <c r="Z1126" i="11"/>
  <c r="Y1126" i="11"/>
  <c r="X1126" i="11"/>
  <c r="W1126" i="11"/>
  <c r="V1126" i="11"/>
  <c r="U1126" i="11"/>
  <c r="T1126" i="11"/>
  <c r="S1126" i="11"/>
  <c r="R1126" i="11"/>
  <c r="Q1126" i="11"/>
  <c r="P1126" i="11"/>
  <c r="O1126" i="11"/>
  <c r="N1126" i="11"/>
  <c r="M1126" i="11"/>
  <c r="L1126" i="11"/>
  <c r="K1126" i="11"/>
  <c r="J1126" i="11"/>
  <c r="I1126" i="11"/>
  <c r="H1126" i="11"/>
  <c r="G1126" i="11"/>
  <c r="F1126" i="11"/>
  <c r="E1126" i="11"/>
  <c r="D1126" i="11"/>
  <c r="C1126" i="11"/>
  <c r="B1126" i="11"/>
  <c r="A1126" i="11"/>
  <c r="Z1125" i="11"/>
  <c r="Y1125" i="11"/>
  <c r="X1125" i="11"/>
  <c r="W1125" i="11"/>
  <c r="V1125" i="11"/>
  <c r="U1125" i="11"/>
  <c r="T1125" i="11"/>
  <c r="S1125" i="11"/>
  <c r="R1125" i="11"/>
  <c r="Q1125" i="11"/>
  <c r="P1125" i="11"/>
  <c r="O1125" i="11"/>
  <c r="N1125" i="11"/>
  <c r="M1125" i="11"/>
  <c r="L1125" i="11"/>
  <c r="K1125" i="11"/>
  <c r="J1125" i="11"/>
  <c r="I1125" i="11"/>
  <c r="H1125" i="11"/>
  <c r="G1125" i="11"/>
  <c r="F1125" i="11"/>
  <c r="E1125" i="11"/>
  <c r="D1125" i="11"/>
  <c r="C1125" i="11"/>
  <c r="B1125" i="11"/>
  <c r="A1125" i="11"/>
  <c r="Z1124" i="11"/>
  <c r="Y1124" i="11"/>
  <c r="X1124" i="11"/>
  <c r="W1124" i="11"/>
  <c r="V1124" i="11"/>
  <c r="U1124" i="11"/>
  <c r="T1124" i="11"/>
  <c r="S1124" i="11"/>
  <c r="R1124" i="11"/>
  <c r="Q1124" i="11"/>
  <c r="P1124" i="11"/>
  <c r="O1124" i="11"/>
  <c r="N1124" i="11"/>
  <c r="M1124" i="11"/>
  <c r="L1124" i="11"/>
  <c r="K1124" i="11"/>
  <c r="J1124" i="11"/>
  <c r="I1124" i="11"/>
  <c r="H1124" i="11"/>
  <c r="G1124" i="11"/>
  <c r="F1124" i="11"/>
  <c r="E1124" i="11"/>
  <c r="D1124" i="11"/>
  <c r="C1124" i="11"/>
  <c r="B1124" i="11"/>
  <c r="A1124" i="11"/>
  <c r="Z1123" i="11"/>
  <c r="Y1123" i="11"/>
  <c r="X1123" i="11"/>
  <c r="W1123" i="11"/>
  <c r="V1123" i="11"/>
  <c r="U1123" i="11"/>
  <c r="T1123" i="11"/>
  <c r="S1123" i="11"/>
  <c r="R1123" i="11"/>
  <c r="Q1123" i="11"/>
  <c r="P1123" i="11"/>
  <c r="O1123" i="11"/>
  <c r="N1123" i="11"/>
  <c r="M1123" i="11"/>
  <c r="L1123" i="11"/>
  <c r="K1123" i="11"/>
  <c r="J1123" i="11"/>
  <c r="I1123" i="11"/>
  <c r="H1123" i="11"/>
  <c r="G1123" i="11"/>
  <c r="F1123" i="11"/>
  <c r="E1123" i="11"/>
  <c r="D1123" i="11"/>
  <c r="C1123" i="11"/>
  <c r="B1123" i="11"/>
  <c r="A1123" i="11"/>
  <c r="Z1122" i="11"/>
  <c r="Y1122" i="11"/>
  <c r="X1122" i="11"/>
  <c r="W1122" i="11"/>
  <c r="U1122" i="11"/>
  <c r="T1122" i="11"/>
  <c r="R1122" i="11"/>
  <c r="Q1122" i="11"/>
  <c r="P1122" i="11"/>
  <c r="O1122" i="11"/>
  <c r="M1122" i="11"/>
  <c r="L1122" i="11"/>
  <c r="J1122" i="11"/>
  <c r="I1122" i="11"/>
  <c r="H1122" i="11"/>
  <c r="G1122" i="11"/>
  <c r="E1122" i="11"/>
  <c r="D1122" i="11"/>
  <c r="B1122" i="11"/>
  <c r="A1122" i="11"/>
  <c r="Z1121" i="11"/>
  <c r="Y1121" i="11"/>
  <c r="X1121" i="11"/>
  <c r="W1121" i="11"/>
  <c r="V1121" i="11"/>
  <c r="U1121" i="11"/>
  <c r="T1121" i="11"/>
  <c r="S1121" i="11"/>
  <c r="R1121" i="11"/>
  <c r="Q1121" i="11"/>
  <c r="P1121" i="11"/>
  <c r="O1121" i="11"/>
  <c r="N1121" i="11"/>
  <c r="M1121" i="11"/>
  <c r="L1121" i="11"/>
  <c r="K1121" i="11"/>
  <c r="J1121" i="11"/>
  <c r="I1121" i="11"/>
  <c r="H1121" i="11"/>
  <c r="G1121" i="11"/>
  <c r="F1121" i="11"/>
  <c r="E1121" i="11"/>
  <c r="D1121" i="11"/>
  <c r="C1121" i="11"/>
  <c r="B1121" i="11"/>
  <c r="A1121" i="11"/>
  <c r="Z1120" i="11"/>
  <c r="Y1120" i="11"/>
  <c r="X1120" i="11"/>
  <c r="W1120" i="11"/>
  <c r="V1120" i="11"/>
  <c r="U1120" i="11"/>
  <c r="T1120" i="11"/>
  <c r="S1120" i="11"/>
  <c r="R1120" i="11"/>
  <c r="Q1120" i="11"/>
  <c r="P1120" i="11"/>
  <c r="O1120" i="11"/>
  <c r="N1120" i="11"/>
  <c r="M1120" i="11"/>
  <c r="L1120" i="11"/>
  <c r="K1120" i="11"/>
  <c r="J1120" i="11"/>
  <c r="I1120" i="11"/>
  <c r="H1120" i="11"/>
  <c r="G1120" i="11"/>
  <c r="F1120" i="11"/>
  <c r="E1120" i="11"/>
  <c r="D1120" i="11"/>
  <c r="C1120" i="11"/>
  <c r="B1120" i="11"/>
  <c r="A1120" i="11"/>
  <c r="Z1119" i="11"/>
  <c r="Y1119" i="11"/>
  <c r="X1119" i="11"/>
  <c r="W1119" i="11"/>
  <c r="V1119" i="11"/>
  <c r="U1119" i="11"/>
  <c r="T1119" i="11"/>
  <c r="S1119" i="11"/>
  <c r="R1119" i="11"/>
  <c r="Q1119" i="11"/>
  <c r="P1119" i="11"/>
  <c r="O1119" i="11"/>
  <c r="N1119" i="11"/>
  <c r="M1119" i="11"/>
  <c r="L1119" i="11"/>
  <c r="K1119" i="11"/>
  <c r="J1119" i="11"/>
  <c r="I1119" i="11"/>
  <c r="H1119" i="11"/>
  <c r="G1119" i="11"/>
  <c r="F1119" i="11"/>
  <c r="E1119" i="11"/>
  <c r="D1119" i="11"/>
  <c r="C1119" i="11"/>
  <c r="B1119" i="11"/>
  <c r="A1119" i="11"/>
  <c r="Z1118" i="11"/>
  <c r="Y1118" i="11"/>
  <c r="X1118" i="11"/>
  <c r="W1118" i="11"/>
  <c r="V1118" i="11"/>
  <c r="U1118" i="11"/>
  <c r="T1118" i="11"/>
  <c r="S1118" i="11"/>
  <c r="R1118" i="11"/>
  <c r="Q1118" i="11"/>
  <c r="P1118" i="11"/>
  <c r="O1118" i="11"/>
  <c r="N1118" i="11"/>
  <c r="M1118" i="11"/>
  <c r="L1118" i="11"/>
  <c r="K1118" i="11"/>
  <c r="J1118" i="11"/>
  <c r="I1118" i="11"/>
  <c r="H1118" i="11"/>
  <c r="G1118" i="11"/>
  <c r="F1118" i="11"/>
  <c r="E1118" i="11"/>
  <c r="D1118" i="11"/>
  <c r="C1118" i="11"/>
  <c r="B1118" i="11"/>
  <c r="A1118" i="11"/>
  <c r="Z1117" i="11"/>
  <c r="Y1117" i="11"/>
  <c r="X1117" i="11"/>
  <c r="W1117" i="11"/>
  <c r="V1117" i="11"/>
  <c r="U1117" i="11"/>
  <c r="T1117" i="11"/>
  <c r="S1117" i="11"/>
  <c r="R1117" i="11"/>
  <c r="Q1117" i="11"/>
  <c r="P1117" i="11"/>
  <c r="O1117" i="11"/>
  <c r="N1117" i="11"/>
  <c r="M1117" i="11"/>
  <c r="L1117" i="11"/>
  <c r="K1117" i="11"/>
  <c r="J1117" i="11"/>
  <c r="I1117" i="11"/>
  <c r="H1117" i="11"/>
  <c r="G1117" i="11"/>
  <c r="F1117" i="11"/>
  <c r="E1117" i="11"/>
  <c r="D1117" i="11"/>
  <c r="C1117" i="11"/>
  <c r="B1117" i="11"/>
  <c r="A1117" i="11"/>
  <c r="Z1116" i="11"/>
  <c r="Y1116" i="11"/>
  <c r="X1116" i="11"/>
  <c r="W1116" i="11"/>
  <c r="V1116" i="11"/>
  <c r="U1116" i="11"/>
  <c r="T1116" i="11"/>
  <c r="S1116" i="11"/>
  <c r="R1116" i="11"/>
  <c r="Q1116" i="11"/>
  <c r="P1116" i="11"/>
  <c r="O1116" i="11"/>
  <c r="N1116" i="11"/>
  <c r="M1116" i="11"/>
  <c r="L1116" i="11"/>
  <c r="K1116" i="11"/>
  <c r="J1116" i="11"/>
  <c r="I1116" i="11"/>
  <c r="H1116" i="11"/>
  <c r="G1116" i="11"/>
  <c r="F1116" i="11"/>
  <c r="E1116" i="11"/>
  <c r="D1116" i="11"/>
  <c r="C1116" i="11"/>
  <c r="B1116" i="11"/>
  <c r="A1116" i="11"/>
  <c r="Z1115" i="11"/>
  <c r="Y1115" i="11"/>
  <c r="X1115" i="11"/>
  <c r="W1115" i="11"/>
  <c r="V1115" i="11"/>
  <c r="U1115" i="11"/>
  <c r="T1115" i="11"/>
  <c r="S1115" i="11"/>
  <c r="R1115" i="11"/>
  <c r="Q1115" i="11"/>
  <c r="P1115" i="11"/>
  <c r="O1115" i="11"/>
  <c r="N1115" i="11"/>
  <c r="M1115" i="11"/>
  <c r="L1115" i="11"/>
  <c r="K1115" i="11"/>
  <c r="J1115" i="11"/>
  <c r="I1115" i="11"/>
  <c r="H1115" i="11"/>
  <c r="G1115" i="11"/>
  <c r="F1115" i="11"/>
  <c r="E1115" i="11"/>
  <c r="D1115" i="11"/>
  <c r="C1115" i="11"/>
  <c r="B1115" i="11"/>
  <c r="A1115" i="11"/>
  <c r="Z1114" i="11"/>
  <c r="Y1114" i="11"/>
  <c r="X1114" i="11"/>
  <c r="W1114" i="11"/>
  <c r="V1114" i="11"/>
  <c r="U1114" i="11"/>
  <c r="T1114" i="11"/>
  <c r="S1114" i="11"/>
  <c r="R1114" i="11"/>
  <c r="Q1114" i="11"/>
  <c r="P1114" i="11"/>
  <c r="O1114" i="11"/>
  <c r="N1114" i="11"/>
  <c r="M1114" i="11"/>
  <c r="L1114" i="11"/>
  <c r="K1114" i="11"/>
  <c r="J1114" i="11"/>
  <c r="I1114" i="11"/>
  <c r="H1114" i="11"/>
  <c r="G1114" i="11"/>
  <c r="F1114" i="11"/>
  <c r="E1114" i="11"/>
  <c r="D1114" i="11"/>
  <c r="C1114" i="11"/>
  <c r="B1114" i="11"/>
  <c r="A1114" i="11"/>
  <c r="Z1113" i="11"/>
  <c r="Y1113" i="11"/>
  <c r="X1113" i="11"/>
  <c r="W1113" i="11"/>
  <c r="V1113" i="11"/>
  <c r="U1113" i="11"/>
  <c r="T1113" i="11"/>
  <c r="S1113" i="11"/>
  <c r="R1113" i="11"/>
  <c r="Q1113" i="11"/>
  <c r="P1113" i="11"/>
  <c r="O1113" i="11"/>
  <c r="N1113" i="11"/>
  <c r="M1113" i="11"/>
  <c r="L1113" i="11"/>
  <c r="K1113" i="11"/>
  <c r="J1113" i="11"/>
  <c r="I1113" i="11"/>
  <c r="H1113" i="11"/>
  <c r="G1113" i="11"/>
  <c r="F1113" i="11"/>
  <c r="E1113" i="11"/>
  <c r="D1113" i="11"/>
  <c r="C1113" i="11"/>
  <c r="B1113" i="11"/>
  <c r="A1113" i="11"/>
  <c r="Z1112" i="11"/>
  <c r="Y1112" i="11"/>
  <c r="X1112" i="11"/>
  <c r="W1112" i="11"/>
  <c r="V1112" i="11"/>
  <c r="U1112" i="11"/>
  <c r="T1112" i="11"/>
  <c r="S1112" i="11"/>
  <c r="R1112" i="11"/>
  <c r="Q1112" i="11"/>
  <c r="P1112" i="11"/>
  <c r="O1112" i="11"/>
  <c r="N1112" i="11"/>
  <c r="M1112" i="11"/>
  <c r="L1112" i="11"/>
  <c r="K1112" i="11"/>
  <c r="J1112" i="11"/>
  <c r="I1112" i="11"/>
  <c r="H1112" i="11"/>
  <c r="G1112" i="11"/>
  <c r="F1112" i="11"/>
  <c r="E1112" i="11"/>
  <c r="D1112" i="11"/>
  <c r="C1112" i="11"/>
  <c r="B1112" i="11"/>
  <c r="A1112" i="11"/>
  <c r="Z1111" i="11"/>
  <c r="Y1111" i="11"/>
  <c r="X1111" i="11"/>
  <c r="W1111" i="11"/>
  <c r="V1111" i="11"/>
  <c r="U1111" i="11"/>
  <c r="T1111" i="11"/>
  <c r="S1111" i="11"/>
  <c r="R1111" i="11"/>
  <c r="Q1111" i="11"/>
  <c r="P1111" i="11"/>
  <c r="O1111" i="11"/>
  <c r="N1111" i="11"/>
  <c r="M1111" i="11"/>
  <c r="L1111" i="11"/>
  <c r="K1111" i="11"/>
  <c r="J1111" i="11"/>
  <c r="I1111" i="11"/>
  <c r="H1111" i="11"/>
  <c r="G1111" i="11"/>
  <c r="F1111" i="11"/>
  <c r="E1111" i="11"/>
  <c r="D1111" i="11"/>
  <c r="C1111" i="11"/>
  <c r="B1111" i="11"/>
  <c r="A1111" i="11"/>
  <c r="Z1110" i="11"/>
  <c r="Y1110" i="11"/>
  <c r="X1110" i="11"/>
  <c r="W1110" i="11"/>
  <c r="V1110" i="11"/>
  <c r="U1110" i="11"/>
  <c r="T1110" i="11"/>
  <c r="S1110" i="11"/>
  <c r="R1110" i="11"/>
  <c r="Q1110" i="11"/>
  <c r="P1110" i="11"/>
  <c r="O1110" i="11"/>
  <c r="N1110" i="11"/>
  <c r="M1110" i="11"/>
  <c r="L1110" i="11"/>
  <c r="K1110" i="11"/>
  <c r="J1110" i="11"/>
  <c r="I1110" i="11"/>
  <c r="H1110" i="11"/>
  <c r="G1110" i="11"/>
  <c r="F1110" i="11"/>
  <c r="E1110" i="11"/>
  <c r="D1110" i="11"/>
  <c r="C1110" i="11"/>
  <c r="B1110" i="11"/>
  <c r="A1110" i="11"/>
  <c r="Z1109" i="11"/>
  <c r="Y1109" i="11"/>
  <c r="X1109" i="11"/>
  <c r="W1109" i="11"/>
  <c r="V1109" i="11"/>
  <c r="U1109" i="11"/>
  <c r="T1109" i="11"/>
  <c r="S1109" i="11"/>
  <c r="R1109" i="11"/>
  <c r="Q1109" i="11"/>
  <c r="P1109" i="11"/>
  <c r="O1109" i="11"/>
  <c r="N1109" i="11"/>
  <c r="M1109" i="11"/>
  <c r="L1109" i="11"/>
  <c r="K1109" i="11"/>
  <c r="J1109" i="11"/>
  <c r="I1109" i="11"/>
  <c r="H1109" i="11"/>
  <c r="G1109" i="11"/>
  <c r="F1109" i="11"/>
  <c r="E1109" i="11"/>
  <c r="D1109" i="11"/>
  <c r="C1109" i="11"/>
  <c r="B1109" i="11"/>
  <c r="A1109" i="11"/>
  <c r="Z1108" i="11"/>
  <c r="Y1108" i="11"/>
  <c r="X1108" i="11"/>
  <c r="W1108" i="11"/>
  <c r="V1108" i="11"/>
  <c r="U1108" i="11"/>
  <c r="T1108" i="11"/>
  <c r="S1108" i="11"/>
  <c r="R1108" i="11"/>
  <c r="Q1108" i="11"/>
  <c r="P1108" i="11"/>
  <c r="O1108" i="11"/>
  <c r="N1108" i="11"/>
  <c r="M1108" i="11"/>
  <c r="L1108" i="11"/>
  <c r="K1108" i="11"/>
  <c r="J1108" i="11"/>
  <c r="I1108" i="11"/>
  <c r="H1108" i="11"/>
  <c r="G1108" i="11"/>
  <c r="F1108" i="11"/>
  <c r="E1108" i="11"/>
  <c r="D1108" i="11"/>
  <c r="C1108" i="11"/>
  <c r="B1108" i="11"/>
  <c r="A1108" i="11"/>
  <c r="Z1107" i="11"/>
  <c r="Y1107" i="11"/>
  <c r="X1107" i="11"/>
  <c r="W1107" i="11"/>
  <c r="V1107" i="11"/>
  <c r="U1107" i="11"/>
  <c r="T1107" i="11"/>
  <c r="S1107" i="11"/>
  <c r="R1107" i="11"/>
  <c r="Q1107" i="11"/>
  <c r="P1107" i="11"/>
  <c r="O1107" i="11"/>
  <c r="N1107" i="11"/>
  <c r="M1107" i="11"/>
  <c r="L1107" i="11"/>
  <c r="K1107" i="11"/>
  <c r="J1107" i="11"/>
  <c r="I1107" i="11"/>
  <c r="H1107" i="11"/>
  <c r="G1107" i="11"/>
  <c r="F1107" i="11"/>
  <c r="E1107" i="11"/>
  <c r="D1107" i="11"/>
  <c r="C1107" i="11"/>
  <c r="B1107" i="11"/>
  <c r="A1107" i="11"/>
  <c r="Z1106" i="11"/>
  <c r="Y1106" i="11"/>
  <c r="X1106" i="11"/>
  <c r="W1106" i="11"/>
  <c r="V1106" i="11"/>
  <c r="U1106" i="11"/>
  <c r="T1106" i="11"/>
  <c r="S1106" i="11"/>
  <c r="R1106" i="11"/>
  <c r="Q1106" i="11"/>
  <c r="P1106" i="11"/>
  <c r="O1106" i="11"/>
  <c r="N1106" i="11"/>
  <c r="M1106" i="11"/>
  <c r="L1106" i="11"/>
  <c r="K1106" i="11"/>
  <c r="J1106" i="11"/>
  <c r="I1106" i="11"/>
  <c r="H1106" i="11"/>
  <c r="G1106" i="11"/>
  <c r="F1106" i="11"/>
  <c r="E1106" i="11"/>
  <c r="D1106" i="11"/>
  <c r="C1106" i="11"/>
  <c r="B1106" i="11"/>
  <c r="A1106" i="11"/>
  <c r="Z1105" i="11"/>
  <c r="Y1105" i="11"/>
  <c r="X1105" i="11"/>
  <c r="W1105" i="11"/>
  <c r="V1105" i="11"/>
  <c r="U1105" i="11"/>
  <c r="T1105" i="11"/>
  <c r="S1105" i="11"/>
  <c r="R1105" i="11"/>
  <c r="Q1105" i="11"/>
  <c r="P1105" i="11"/>
  <c r="O1105" i="11"/>
  <c r="N1105" i="11"/>
  <c r="M1105" i="11"/>
  <c r="L1105" i="11"/>
  <c r="K1105" i="11"/>
  <c r="J1105" i="11"/>
  <c r="I1105" i="11"/>
  <c r="H1105" i="11"/>
  <c r="G1105" i="11"/>
  <c r="F1105" i="11"/>
  <c r="E1105" i="11"/>
  <c r="D1105" i="11"/>
  <c r="C1105" i="11"/>
  <c r="B1105" i="11"/>
  <c r="A1105" i="11"/>
  <c r="Z1104" i="11"/>
  <c r="Y1104" i="11"/>
  <c r="X1104" i="11"/>
  <c r="W1104" i="11"/>
  <c r="V1104" i="11"/>
  <c r="U1104" i="11"/>
  <c r="T1104" i="11"/>
  <c r="S1104" i="11"/>
  <c r="R1104" i="11"/>
  <c r="Q1104" i="11"/>
  <c r="P1104" i="11"/>
  <c r="O1104" i="11"/>
  <c r="N1104" i="11"/>
  <c r="M1104" i="11"/>
  <c r="L1104" i="11"/>
  <c r="K1104" i="11"/>
  <c r="J1104" i="11"/>
  <c r="I1104" i="11"/>
  <c r="H1104" i="11"/>
  <c r="G1104" i="11"/>
  <c r="F1104" i="11"/>
  <c r="E1104" i="11"/>
  <c r="D1104" i="11"/>
  <c r="C1104" i="11"/>
  <c r="B1104" i="11"/>
  <c r="A1104" i="11"/>
  <c r="Z1103" i="11"/>
  <c r="Y1103" i="11"/>
  <c r="X1103" i="11"/>
  <c r="W1103" i="11"/>
  <c r="V1103" i="11"/>
  <c r="U1103" i="11"/>
  <c r="T1103" i="11"/>
  <c r="S1103" i="11"/>
  <c r="R1103" i="11"/>
  <c r="Q1103" i="11"/>
  <c r="P1103" i="11"/>
  <c r="O1103" i="11"/>
  <c r="N1103" i="11"/>
  <c r="M1103" i="11"/>
  <c r="L1103" i="11"/>
  <c r="K1103" i="11"/>
  <c r="J1103" i="11"/>
  <c r="I1103" i="11"/>
  <c r="H1103" i="11"/>
  <c r="G1103" i="11"/>
  <c r="F1103" i="11"/>
  <c r="E1103" i="11"/>
  <c r="D1103" i="11"/>
  <c r="C1103" i="11"/>
  <c r="B1103" i="11"/>
  <c r="A1103" i="11"/>
  <c r="Z1102" i="11"/>
  <c r="Y1102" i="11"/>
  <c r="X1102" i="11"/>
  <c r="W1102" i="11"/>
  <c r="V1102" i="11"/>
  <c r="U1102" i="11"/>
  <c r="T1102" i="11"/>
  <c r="S1102" i="11"/>
  <c r="R1102" i="11"/>
  <c r="Q1102" i="11"/>
  <c r="P1102" i="11"/>
  <c r="O1102" i="11"/>
  <c r="N1102" i="11"/>
  <c r="M1102" i="11"/>
  <c r="L1102" i="11"/>
  <c r="K1102" i="11"/>
  <c r="J1102" i="11"/>
  <c r="I1102" i="11"/>
  <c r="H1102" i="11"/>
  <c r="G1102" i="11"/>
  <c r="F1102" i="11"/>
  <c r="E1102" i="11"/>
  <c r="D1102" i="11"/>
  <c r="C1102" i="11"/>
  <c r="B1102" i="11"/>
  <c r="A1102" i="11"/>
  <c r="Z1101" i="11"/>
  <c r="Y1101" i="11"/>
  <c r="X1101" i="11"/>
  <c r="W1101" i="11"/>
  <c r="V1101" i="11"/>
  <c r="U1101" i="11"/>
  <c r="T1101" i="11"/>
  <c r="S1101" i="11"/>
  <c r="R1101" i="11"/>
  <c r="Q1101" i="11"/>
  <c r="P1101" i="11"/>
  <c r="O1101" i="11"/>
  <c r="N1101" i="11"/>
  <c r="M1101" i="11"/>
  <c r="L1101" i="11"/>
  <c r="K1101" i="11"/>
  <c r="J1101" i="11"/>
  <c r="I1101" i="11"/>
  <c r="H1101" i="11"/>
  <c r="G1101" i="11"/>
  <c r="F1101" i="11"/>
  <c r="E1101" i="11"/>
  <c r="D1101" i="11"/>
  <c r="C1101" i="11"/>
  <c r="B1101" i="11"/>
  <c r="A1101" i="11"/>
  <c r="Z1100" i="11"/>
  <c r="Y1100" i="11"/>
  <c r="X1100" i="11"/>
  <c r="W1100" i="11"/>
  <c r="V1100" i="11"/>
  <c r="U1100" i="11"/>
  <c r="T1100" i="11"/>
  <c r="S1100" i="11"/>
  <c r="R1100" i="11"/>
  <c r="Q1100" i="11"/>
  <c r="P1100" i="11"/>
  <c r="O1100" i="11"/>
  <c r="N1100" i="11"/>
  <c r="M1100" i="11"/>
  <c r="L1100" i="11"/>
  <c r="K1100" i="11"/>
  <c r="J1100" i="11"/>
  <c r="I1100" i="11"/>
  <c r="H1100" i="11"/>
  <c r="G1100" i="11"/>
  <c r="F1100" i="11"/>
  <c r="E1100" i="11"/>
  <c r="D1100" i="11"/>
  <c r="C1100" i="11"/>
  <c r="B1100" i="11"/>
  <c r="A1100" i="11"/>
  <c r="Z1099" i="11"/>
  <c r="Y1099" i="11"/>
  <c r="X1099" i="11"/>
  <c r="W1099" i="11"/>
  <c r="V1099" i="11"/>
  <c r="U1099" i="11"/>
  <c r="T1099" i="11"/>
  <c r="S1099" i="11"/>
  <c r="R1099" i="11"/>
  <c r="Q1099" i="11"/>
  <c r="P1099" i="11"/>
  <c r="O1099" i="11"/>
  <c r="N1099" i="11"/>
  <c r="M1099" i="11"/>
  <c r="L1099" i="11"/>
  <c r="K1099" i="11"/>
  <c r="J1099" i="11"/>
  <c r="I1099" i="11"/>
  <c r="H1099" i="11"/>
  <c r="G1099" i="11"/>
  <c r="F1099" i="11"/>
  <c r="E1099" i="11"/>
  <c r="D1099" i="11"/>
  <c r="C1099" i="11"/>
  <c r="B1099" i="11"/>
  <c r="A1099" i="11"/>
  <c r="Z1098" i="11"/>
  <c r="Y1098" i="11"/>
  <c r="X1098" i="11"/>
  <c r="W1098" i="11"/>
  <c r="V1098" i="11"/>
  <c r="U1098" i="11"/>
  <c r="T1098" i="11"/>
  <c r="S1098" i="11"/>
  <c r="R1098" i="11"/>
  <c r="Q1098" i="11"/>
  <c r="P1098" i="11"/>
  <c r="O1098" i="11"/>
  <c r="N1098" i="11"/>
  <c r="M1098" i="11"/>
  <c r="L1098" i="11"/>
  <c r="K1098" i="11"/>
  <c r="J1098" i="11"/>
  <c r="I1098" i="11"/>
  <c r="H1098" i="11"/>
  <c r="G1098" i="11"/>
  <c r="F1098" i="11"/>
  <c r="E1098" i="11"/>
  <c r="D1098" i="11"/>
  <c r="C1098" i="11"/>
  <c r="B1098" i="11"/>
  <c r="A1098" i="11"/>
  <c r="Z1097" i="11"/>
  <c r="Y1097" i="11"/>
  <c r="X1097" i="11"/>
  <c r="W1097" i="11"/>
  <c r="V1097" i="11"/>
  <c r="U1097" i="11"/>
  <c r="T1097" i="11"/>
  <c r="S1097" i="11"/>
  <c r="R1097" i="11"/>
  <c r="Q1097" i="11"/>
  <c r="P1097" i="11"/>
  <c r="O1097" i="11"/>
  <c r="N1097" i="11"/>
  <c r="M1097" i="11"/>
  <c r="L1097" i="11"/>
  <c r="K1097" i="11"/>
  <c r="J1097" i="11"/>
  <c r="I1097" i="11"/>
  <c r="H1097" i="11"/>
  <c r="G1097" i="11"/>
  <c r="F1097" i="11"/>
  <c r="E1097" i="11"/>
  <c r="D1097" i="11"/>
  <c r="C1097" i="11"/>
  <c r="B1097" i="11"/>
  <c r="A1097" i="11"/>
  <c r="Z1096" i="11"/>
  <c r="Y1096" i="11"/>
  <c r="X1096" i="11"/>
  <c r="W1096" i="11"/>
  <c r="V1096" i="11"/>
  <c r="U1096" i="11"/>
  <c r="T1096" i="11"/>
  <c r="S1096" i="11"/>
  <c r="R1096" i="11"/>
  <c r="Q1096" i="11"/>
  <c r="P1096" i="11"/>
  <c r="O1096" i="11"/>
  <c r="N1096" i="11"/>
  <c r="M1096" i="11"/>
  <c r="L1096" i="11"/>
  <c r="K1096" i="11"/>
  <c r="J1096" i="11"/>
  <c r="I1096" i="11"/>
  <c r="H1096" i="11"/>
  <c r="G1096" i="11"/>
  <c r="F1096" i="11"/>
  <c r="E1096" i="11"/>
  <c r="D1096" i="11"/>
  <c r="C1096" i="11"/>
  <c r="B1096" i="11"/>
  <c r="A1096" i="11"/>
  <c r="Z1095" i="11"/>
  <c r="Y1095" i="11"/>
  <c r="X1095" i="11"/>
  <c r="W1095" i="11"/>
  <c r="V1095" i="11"/>
  <c r="U1095" i="11"/>
  <c r="T1095" i="11"/>
  <c r="S1095" i="11"/>
  <c r="R1095" i="11"/>
  <c r="Q1095" i="11"/>
  <c r="P1095" i="11"/>
  <c r="O1095" i="11"/>
  <c r="N1095" i="11"/>
  <c r="M1095" i="11"/>
  <c r="L1095" i="11"/>
  <c r="K1095" i="11"/>
  <c r="J1095" i="11"/>
  <c r="I1095" i="11"/>
  <c r="H1095" i="11"/>
  <c r="G1095" i="11"/>
  <c r="F1095" i="11"/>
  <c r="E1095" i="11"/>
  <c r="D1095" i="11"/>
  <c r="C1095" i="11"/>
  <c r="B1095" i="11"/>
  <c r="A1095" i="11"/>
  <c r="Z1094" i="11"/>
  <c r="Y1094" i="11"/>
  <c r="X1094" i="11"/>
  <c r="W1094" i="11"/>
  <c r="V1094" i="11"/>
  <c r="U1094" i="11"/>
  <c r="T1094" i="11"/>
  <c r="S1094" i="11"/>
  <c r="R1094" i="11"/>
  <c r="Q1094" i="11"/>
  <c r="P1094" i="11"/>
  <c r="O1094" i="11"/>
  <c r="N1094" i="11"/>
  <c r="M1094" i="11"/>
  <c r="L1094" i="11"/>
  <c r="K1094" i="11"/>
  <c r="J1094" i="11"/>
  <c r="I1094" i="11"/>
  <c r="H1094" i="11"/>
  <c r="G1094" i="11"/>
  <c r="F1094" i="11"/>
  <c r="E1094" i="11"/>
  <c r="D1094" i="11"/>
  <c r="C1094" i="11"/>
  <c r="B1094" i="11"/>
  <c r="A1094" i="11"/>
  <c r="Z1093" i="11"/>
  <c r="Y1093" i="11"/>
  <c r="X1093" i="11"/>
  <c r="W1093" i="11"/>
  <c r="V1093" i="11"/>
  <c r="U1093" i="11"/>
  <c r="T1093" i="11"/>
  <c r="S1093" i="11"/>
  <c r="R1093" i="11"/>
  <c r="Q1093" i="11"/>
  <c r="P1093" i="11"/>
  <c r="O1093" i="11"/>
  <c r="N1093" i="11"/>
  <c r="M1093" i="11"/>
  <c r="L1093" i="11"/>
  <c r="K1093" i="11"/>
  <c r="J1093" i="11"/>
  <c r="I1093" i="11"/>
  <c r="H1093" i="11"/>
  <c r="G1093" i="11"/>
  <c r="F1093" i="11"/>
  <c r="E1093" i="11"/>
  <c r="D1093" i="11"/>
  <c r="C1093" i="11"/>
  <c r="B1093" i="11"/>
  <c r="A1093" i="11"/>
  <c r="Z1092" i="11"/>
  <c r="Y1092" i="11"/>
  <c r="X1092" i="11"/>
  <c r="W1092" i="11"/>
  <c r="V1092" i="11"/>
  <c r="U1092" i="11"/>
  <c r="T1092" i="11"/>
  <c r="S1092" i="11"/>
  <c r="R1092" i="11"/>
  <c r="Q1092" i="11"/>
  <c r="P1092" i="11"/>
  <c r="O1092" i="11"/>
  <c r="N1092" i="11"/>
  <c r="M1092" i="11"/>
  <c r="L1092" i="11"/>
  <c r="K1092" i="11"/>
  <c r="J1092" i="11"/>
  <c r="I1092" i="11"/>
  <c r="H1092" i="11"/>
  <c r="G1092" i="11"/>
  <c r="F1092" i="11"/>
  <c r="E1092" i="11"/>
  <c r="D1092" i="11"/>
  <c r="C1092" i="11"/>
  <c r="B1092" i="11"/>
  <c r="A1092" i="11"/>
  <c r="Z1091" i="11"/>
  <c r="Y1091" i="11"/>
  <c r="X1091" i="11"/>
  <c r="W1091" i="11"/>
  <c r="V1091" i="11"/>
  <c r="U1091" i="11"/>
  <c r="T1091" i="11"/>
  <c r="S1091" i="11"/>
  <c r="R1091" i="11"/>
  <c r="Q1091" i="11"/>
  <c r="P1091" i="11"/>
  <c r="O1091" i="11"/>
  <c r="N1091" i="11"/>
  <c r="M1091" i="11"/>
  <c r="L1091" i="11"/>
  <c r="K1091" i="11"/>
  <c r="J1091" i="11"/>
  <c r="I1091" i="11"/>
  <c r="H1091" i="11"/>
  <c r="G1091" i="11"/>
  <c r="F1091" i="11"/>
  <c r="E1091" i="11"/>
  <c r="D1091" i="11"/>
  <c r="C1091" i="11"/>
  <c r="B1091" i="11"/>
  <c r="A1091" i="11"/>
  <c r="Z1090" i="11"/>
  <c r="Y1090" i="11"/>
  <c r="X1090" i="11"/>
  <c r="W1090" i="11"/>
  <c r="V1090" i="11"/>
  <c r="U1090" i="11"/>
  <c r="T1090" i="11"/>
  <c r="S1090" i="11"/>
  <c r="R1090" i="11"/>
  <c r="Q1090" i="11"/>
  <c r="P1090" i="11"/>
  <c r="O1090" i="11"/>
  <c r="N1090" i="11"/>
  <c r="M1090" i="11"/>
  <c r="L1090" i="11"/>
  <c r="K1090" i="11"/>
  <c r="J1090" i="11"/>
  <c r="I1090" i="11"/>
  <c r="H1090" i="11"/>
  <c r="G1090" i="11"/>
  <c r="F1090" i="11"/>
  <c r="E1090" i="11"/>
  <c r="D1090" i="11"/>
  <c r="C1090" i="11"/>
  <c r="B1090" i="11"/>
  <c r="A1090" i="11"/>
  <c r="Z1089" i="11"/>
  <c r="Y1089" i="11"/>
  <c r="X1089" i="11"/>
  <c r="W1089" i="11"/>
  <c r="V1089" i="11"/>
  <c r="U1089" i="11"/>
  <c r="T1089" i="11"/>
  <c r="S1089" i="11"/>
  <c r="R1089" i="11"/>
  <c r="Q1089" i="11"/>
  <c r="P1089" i="11"/>
  <c r="O1089" i="11"/>
  <c r="N1089" i="11"/>
  <c r="M1089" i="11"/>
  <c r="L1089" i="11"/>
  <c r="K1089" i="11"/>
  <c r="J1089" i="11"/>
  <c r="I1089" i="11"/>
  <c r="H1089" i="11"/>
  <c r="G1089" i="11"/>
  <c r="F1089" i="11"/>
  <c r="E1089" i="11"/>
  <c r="D1089" i="11"/>
  <c r="C1089" i="11"/>
  <c r="B1089" i="11"/>
  <c r="A1089" i="11"/>
  <c r="Z1088" i="11"/>
  <c r="Y1088" i="11"/>
  <c r="X1088" i="11"/>
  <c r="W1088" i="11"/>
  <c r="V1088" i="11"/>
  <c r="U1088" i="11"/>
  <c r="T1088" i="11"/>
  <c r="S1088" i="11"/>
  <c r="R1088" i="11"/>
  <c r="Q1088" i="11"/>
  <c r="P1088" i="11"/>
  <c r="O1088" i="11"/>
  <c r="N1088" i="11"/>
  <c r="M1088" i="11"/>
  <c r="L1088" i="11"/>
  <c r="K1088" i="11"/>
  <c r="J1088" i="11"/>
  <c r="I1088" i="11"/>
  <c r="H1088" i="11"/>
  <c r="G1088" i="11"/>
  <c r="F1088" i="11"/>
  <c r="E1088" i="11"/>
  <c r="D1088" i="11"/>
  <c r="C1088" i="11"/>
  <c r="B1088" i="11"/>
  <c r="A1088" i="11"/>
  <c r="Z1087" i="11"/>
  <c r="Y1087" i="11"/>
  <c r="X1087" i="11"/>
  <c r="W1087" i="11"/>
  <c r="V1087" i="11"/>
  <c r="U1087" i="11"/>
  <c r="T1087" i="11"/>
  <c r="S1087" i="11"/>
  <c r="R1087" i="11"/>
  <c r="Q1087" i="11"/>
  <c r="P1087" i="11"/>
  <c r="O1087" i="11"/>
  <c r="N1087" i="11"/>
  <c r="M1087" i="11"/>
  <c r="L1087" i="11"/>
  <c r="K1087" i="11"/>
  <c r="J1087" i="11"/>
  <c r="I1087" i="11"/>
  <c r="H1087" i="11"/>
  <c r="G1087" i="11"/>
  <c r="F1087" i="11"/>
  <c r="E1087" i="11"/>
  <c r="D1087" i="11"/>
  <c r="C1087" i="11"/>
  <c r="B1087" i="11"/>
  <c r="A1087" i="11"/>
  <c r="Z1086" i="11"/>
  <c r="Y1086" i="11"/>
  <c r="X1086" i="11"/>
  <c r="W1086" i="11"/>
  <c r="V1086" i="11"/>
  <c r="U1086" i="11"/>
  <c r="T1086" i="11"/>
  <c r="S1086" i="11"/>
  <c r="R1086" i="11"/>
  <c r="Q1086" i="11"/>
  <c r="P1086" i="11"/>
  <c r="O1086" i="11"/>
  <c r="N1086" i="11"/>
  <c r="M1086" i="11"/>
  <c r="L1086" i="11"/>
  <c r="K1086" i="11"/>
  <c r="J1086" i="11"/>
  <c r="I1086" i="11"/>
  <c r="H1086" i="11"/>
  <c r="G1086" i="11"/>
  <c r="F1086" i="11"/>
  <c r="E1086" i="11"/>
  <c r="D1086" i="11"/>
  <c r="C1086" i="11"/>
  <c r="B1086" i="11"/>
  <c r="A1086" i="11"/>
  <c r="Z1085" i="11"/>
  <c r="Y1085" i="11"/>
  <c r="X1085" i="11"/>
  <c r="W1085" i="11"/>
  <c r="V1085" i="11"/>
  <c r="U1085" i="11"/>
  <c r="T1085" i="11"/>
  <c r="S1085" i="11"/>
  <c r="R1085" i="11"/>
  <c r="Q1085" i="11"/>
  <c r="P1085" i="11"/>
  <c r="O1085" i="11"/>
  <c r="N1085" i="11"/>
  <c r="M1085" i="11"/>
  <c r="L1085" i="11"/>
  <c r="K1085" i="11"/>
  <c r="J1085" i="11"/>
  <c r="I1085" i="11"/>
  <c r="H1085" i="11"/>
  <c r="G1085" i="11"/>
  <c r="F1085" i="11"/>
  <c r="E1085" i="11"/>
  <c r="D1085" i="11"/>
  <c r="C1085" i="11"/>
  <c r="B1085" i="11"/>
  <c r="A1085" i="11"/>
  <c r="Z1084" i="11"/>
  <c r="Y1084" i="11"/>
  <c r="X1084" i="11"/>
  <c r="W1084" i="11"/>
  <c r="V1084" i="11"/>
  <c r="U1084" i="11"/>
  <c r="T1084" i="11"/>
  <c r="S1084" i="11"/>
  <c r="R1084" i="11"/>
  <c r="Q1084" i="11"/>
  <c r="P1084" i="11"/>
  <c r="O1084" i="11"/>
  <c r="N1084" i="11"/>
  <c r="M1084" i="11"/>
  <c r="L1084" i="11"/>
  <c r="K1084" i="11"/>
  <c r="J1084" i="11"/>
  <c r="I1084" i="11"/>
  <c r="H1084" i="11"/>
  <c r="G1084" i="11"/>
  <c r="F1084" i="11"/>
  <c r="E1084" i="11"/>
  <c r="D1084" i="11"/>
  <c r="C1084" i="11"/>
  <c r="B1084" i="11"/>
  <c r="A1084" i="11"/>
  <c r="Z1083" i="11"/>
  <c r="Y1083" i="11"/>
  <c r="X1083" i="11"/>
  <c r="W1083" i="11"/>
  <c r="V1083" i="11"/>
  <c r="U1083" i="11"/>
  <c r="T1083" i="11"/>
  <c r="S1083" i="11"/>
  <c r="R1083" i="11"/>
  <c r="Q1083" i="11"/>
  <c r="P1083" i="11"/>
  <c r="O1083" i="11"/>
  <c r="N1083" i="11"/>
  <c r="M1083" i="11"/>
  <c r="L1083" i="11"/>
  <c r="K1083" i="11"/>
  <c r="J1083" i="11"/>
  <c r="I1083" i="11"/>
  <c r="H1083" i="11"/>
  <c r="G1083" i="11"/>
  <c r="F1083" i="11"/>
  <c r="E1083" i="11"/>
  <c r="D1083" i="11"/>
  <c r="C1083" i="11"/>
  <c r="B1083" i="11"/>
  <c r="A1083" i="11"/>
  <c r="Z1082" i="11"/>
  <c r="Y1082" i="11"/>
  <c r="X1082" i="11"/>
  <c r="W1082" i="11"/>
  <c r="V1082" i="11"/>
  <c r="U1082" i="11"/>
  <c r="T1082" i="11"/>
  <c r="S1082" i="11"/>
  <c r="R1082" i="11"/>
  <c r="Q1082" i="11"/>
  <c r="P1082" i="11"/>
  <c r="O1082" i="11"/>
  <c r="N1082" i="11"/>
  <c r="M1082" i="11"/>
  <c r="L1082" i="11"/>
  <c r="K1082" i="11"/>
  <c r="J1082" i="11"/>
  <c r="I1082" i="11"/>
  <c r="H1082" i="11"/>
  <c r="G1082" i="11"/>
  <c r="F1082" i="11"/>
  <c r="E1082" i="11"/>
  <c r="D1082" i="11"/>
  <c r="C1082" i="11"/>
  <c r="B1082" i="11"/>
  <c r="A1082" i="11"/>
  <c r="Z1081" i="11"/>
  <c r="Y1081" i="11"/>
  <c r="X1081" i="11"/>
  <c r="W1081" i="11"/>
  <c r="V1081" i="11"/>
  <c r="U1081" i="11"/>
  <c r="T1081" i="11"/>
  <c r="S1081" i="11"/>
  <c r="R1081" i="11"/>
  <c r="Q1081" i="11"/>
  <c r="P1081" i="11"/>
  <c r="O1081" i="11"/>
  <c r="N1081" i="11"/>
  <c r="M1081" i="11"/>
  <c r="L1081" i="11"/>
  <c r="K1081" i="11"/>
  <c r="J1081" i="11"/>
  <c r="I1081" i="11"/>
  <c r="H1081" i="11"/>
  <c r="G1081" i="11"/>
  <c r="F1081" i="11"/>
  <c r="E1081" i="11"/>
  <c r="D1081" i="11"/>
  <c r="C1081" i="11"/>
  <c r="B1081" i="11"/>
  <c r="A1081" i="11"/>
  <c r="Z1080" i="11"/>
  <c r="Y1080" i="11"/>
  <c r="X1080" i="11"/>
  <c r="W1080" i="11"/>
  <c r="V1080" i="11"/>
  <c r="U1080" i="11"/>
  <c r="T1080" i="11"/>
  <c r="S1080" i="11"/>
  <c r="R1080" i="11"/>
  <c r="Q1080" i="11"/>
  <c r="P1080" i="11"/>
  <c r="O1080" i="11"/>
  <c r="N1080" i="11"/>
  <c r="M1080" i="11"/>
  <c r="L1080" i="11"/>
  <c r="K1080" i="11"/>
  <c r="J1080" i="11"/>
  <c r="I1080" i="11"/>
  <c r="H1080" i="11"/>
  <c r="G1080" i="11"/>
  <c r="F1080" i="11"/>
  <c r="E1080" i="11"/>
  <c r="D1080" i="11"/>
  <c r="C1080" i="11"/>
  <c r="B1080" i="11"/>
  <c r="A1080" i="11"/>
  <c r="Z1079" i="11"/>
  <c r="Y1079" i="11"/>
  <c r="X1079" i="11"/>
  <c r="W1079" i="11"/>
  <c r="V1079" i="11"/>
  <c r="U1079" i="11"/>
  <c r="T1079" i="11"/>
  <c r="S1079" i="11"/>
  <c r="R1079" i="11"/>
  <c r="Q1079" i="11"/>
  <c r="P1079" i="11"/>
  <c r="O1079" i="11"/>
  <c r="N1079" i="11"/>
  <c r="M1079" i="11"/>
  <c r="L1079" i="11"/>
  <c r="K1079" i="11"/>
  <c r="J1079" i="11"/>
  <c r="I1079" i="11"/>
  <c r="H1079" i="11"/>
  <c r="G1079" i="11"/>
  <c r="F1079" i="11"/>
  <c r="E1079" i="11"/>
  <c r="D1079" i="11"/>
  <c r="C1079" i="11"/>
  <c r="B1079" i="11"/>
  <c r="A1079" i="11"/>
  <c r="Z1078" i="11"/>
  <c r="Y1078" i="11"/>
  <c r="X1078" i="11"/>
  <c r="W1078" i="11"/>
  <c r="V1078" i="11"/>
  <c r="U1078" i="11"/>
  <c r="T1078" i="11"/>
  <c r="S1078" i="11"/>
  <c r="R1078" i="11"/>
  <c r="Q1078" i="11"/>
  <c r="P1078" i="11"/>
  <c r="O1078" i="11"/>
  <c r="N1078" i="11"/>
  <c r="M1078" i="11"/>
  <c r="L1078" i="11"/>
  <c r="K1078" i="11"/>
  <c r="J1078" i="11"/>
  <c r="I1078" i="11"/>
  <c r="H1078" i="11"/>
  <c r="G1078" i="11"/>
  <c r="F1078" i="11"/>
  <c r="E1078" i="11"/>
  <c r="D1078" i="11"/>
  <c r="C1078" i="11"/>
  <c r="B1078" i="11"/>
  <c r="A1078" i="11"/>
  <c r="Z1077" i="11"/>
  <c r="Y1077" i="11"/>
  <c r="X1077" i="11"/>
  <c r="W1077" i="11"/>
  <c r="V1077" i="11"/>
  <c r="U1077" i="11"/>
  <c r="T1077" i="11"/>
  <c r="S1077" i="11"/>
  <c r="R1077" i="11"/>
  <c r="Q1077" i="11"/>
  <c r="P1077" i="11"/>
  <c r="O1077" i="11"/>
  <c r="N1077" i="11"/>
  <c r="M1077" i="11"/>
  <c r="L1077" i="11"/>
  <c r="K1077" i="11"/>
  <c r="J1077" i="11"/>
  <c r="I1077" i="11"/>
  <c r="H1077" i="11"/>
  <c r="G1077" i="11"/>
  <c r="F1077" i="11"/>
  <c r="E1077" i="11"/>
  <c r="D1077" i="11"/>
  <c r="C1077" i="11"/>
  <c r="B1077" i="11"/>
  <c r="A1077" i="11"/>
  <c r="Z1076" i="11"/>
  <c r="Y1076" i="11"/>
  <c r="X1076" i="11"/>
  <c r="W1076" i="11"/>
  <c r="V1076" i="11"/>
  <c r="U1076" i="11"/>
  <c r="T1076" i="11"/>
  <c r="S1076" i="11"/>
  <c r="R1076" i="11"/>
  <c r="Q1076" i="11"/>
  <c r="P1076" i="11"/>
  <c r="O1076" i="11"/>
  <c r="N1076" i="11"/>
  <c r="M1076" i="11"/>
  <c r="L1076" i="11"/>
  <c r="K1076" i="11"/>
  <c r="J1076" i="11"/>
  <c r="I1076" i="11"/>
  <c r="H1076" i="11"/>
  <c r="G1076" i="11"/>
  <c r="F1076" i="11"/>
  <c r="E1076" i="11"/>
  <c r="D1076" i="11"/>
  <c r="C1076" i="11"/>
  <c r="B1076" i="11"/>
  <c r="A1076" i="11"/>
  <c r="Z1075" i="11"/>
  <c r="Y1075" i="11"/>
  <c r="X1075" i="11"/>
  <c r="W1075" i="11"/>
  <c r="V1075" i="11"/>
  <c r="U1075" i="11"/>
  <c r="T1075" i="11"/>
  <c r="S1075" i="11"/>
  <c r="R1075" i="11"/>
  <c r="Q1075" i="11"/>
  <c r="P1075" i="11"/>
  <c r="O1075" i="11"/>
  <c r="N1075" i="11"/>
  <c r="M1075" i="11"/>
  <c r="L1075" i="11"/>
  <c r="K1075" i="11"/>
  <c r="J1075" i="11"/>
  <c r="I1075" i="11"/>
  <c r="H1075" i="11"/>
  <c r="G1075" i="11"/>
  <c r="F1075" i="11"/>
  <c r="E1075" i="11"/>
  <c r="D1075" i="11"/>
  <c r="C1075" i="11"/>
  <c r="B1075" i="11"/>
  <c r="A1075" i="11"/>
  <c r="Z1074" i="11"/>
  <c r="Y1074" i="11"/>
  <c r="X1074" i="11"/>
  <c r="W1074" i="11"/>
  <c r="V1074" i="11"/>
  <c r="U1074" i="11"/>
  <c r="T1074" i="11"/>
  <c r="S1074" i="11"/>
  <c r="R1074" i="11"/>
  <c r="Q1074" i="11"/>
  <c r="P1074" i="11"/>
  <c r="O1074" i="11"/>
  <c r="N1074" i="11"/>
  <c r="M1074" i="11"/>
  <c r="L1074" i="11"/>
  <c r="K1074" i="11"/>
  <c r="J1074" i="11"/>
  <c r="I1074" i="11"/>
  <c r="H1074" i="11"/>
  <c r="G1074" i="11"/>
  <c r="F1074" i="11"/>
  <c r="E1074" i="11"/>
  <c r="D1074" i="11"/>
  <c r="C1074" i="11"/>
  <c r="B1074" i="11"/>
  <c r="A1074" i="11"/>
  <c r="Z1073" i="11"/>
  <c r="Y1073" i="11"/>
  <c r="X1073" i="11"/>
  <c r="W1073" i="11"/>
  <c r="V1073" i="11"/>
  <c r="U1073" i="11"/>
  <c r="T1073" i="11"/>
  <c r="S1073" i="11"/>
  <c r="R1073" i="11"/>
  <c r="Q1073" i="11"/>
  <c r="P1073" i="11"/>
  <c r="O1073" i="11"/>
  <c r="N1073" i="11"/>
  <c r="M1073" i="11"/>
  <c r="L1073" i="11"/>
  <c r="K1073" i="11"/>
  <c r="J1073" i="11"/>
  <c r="I1073" i="11"/>
  <c r="H1073" i="11"/>
  <c r="G1073" i="11"/>
  <c r="F1073" i="11"/>
  <c r="E1073" i="11"/>
  <c r="D1073" i="11"/>
  <c r="C1073" i="11"/>
  <c r="B1073" i="11"/>
  <c r="A1073" i="11"/>
  <c r="Z1072" i="11"/>
  <c r="Y1072" i="11"/>
  <c r="X1072" i="11"/>
  <c r="W1072" i="11"/>
  <c r="V1072" i="11"/>
  <c r="U1072" i="11"/>
  <c r="T1072" i="11"/>
  <c r="S1072" i="11"/>
  <c r="R1072" i="11"/>
  <c r="Q1072" i="11"/>
  <c r="P1072" i="11"/>
  <c r="O1072" i="11"/>
  <c r="N1072" i="11"/>
  <c r="M1072" i="11"/>
  <c r="L1072" i="11"/>
  <c r="K1072" i="11"/>
  <c r="J1072" i="11"/>
  <c r="I1072" i="11"/>
  <c r="H1072" i="11"/>
  <c r="G1072" i="11"/>
  <c r="F1072" i="11"/>
  <c r="E1072" i="11"/>
  <c r="D1072" i="11"/>
  <c r="C1072" i="11"/>
  <c r="B1072" i="11"/>
  <c r="A1072" i="11"/>
  <c r="Z1071" i="11"/>
  <c r="Y1071" i="11"/>
  <c r="X1071" i="11"/>
  <c r="W1071" i="11"/>
  <c r="V1071" i="11"/>
  <c r="U1071" i="11"/>
  <c r="T1071" i="11"/>
  <c r="S1071" i="11"/>
  <c r="R1071" i="11"/>
  <c r="Q1071" i="11"/>
  <c r="P1071" i="11"/>
  <c r="O1071" i="11"/>
  <c r="N1071" i="11"/>
  <c r="M1071" i="11"/>
  <c r="L1071" i="11"/>
  <c r="K1071" i="11"/>
  <c r="J1071" i="11"/>
  <c r="I1071" i="11"/>
  <c r="H1071" i="11"/>
  <c r="G1071" i="11"/>
  <c r="F1071" i="11"/>
  <c r="E1071" i="11"/>
  <c r="D1071" i="11"/>
  <c r="C1071" i="11"/>
  <c r="B1071" i="11"/>
  <c r="A1071" i="11"/>
  <c r="Z1070" i="11"/>
  <c r="Y1070" i="11"/>
  <c r="X1070" i="11"/>
  <c r="W1070" i="11"/>
  <c r="V1070" i="11"/>
  <c r="U1070" i="11"/>
  <c r="T1070" i="11"/>
  <c r="S1070" i="11"/>
  <c r="R1070" i="11"/>
  <c r="Q1070" i="11"/>
  <c r="P1070" i="11"/>
  <c r="O1070" i="11"/>
  <c r="N1070" i="11"/>
  <c r="M1070" i="11"/>
  <c r="L1070" i="11"/>
  <c r="K1070" i="11"/>
  <c r="J1070" i="11"/>
  <c r="I1070" i="11"/>
  <c r="H1070" i="11"/>
  <c r="G1070" i="11"/>
  <c r="F1070" i="11"/>
  <c r="E1070" i="11"/>
  <c r="D1070" i="11"/>
  <c r="C1070" i="11"/>
  <c r="B1070" i="11"/>
  <c r="A1070" i="11"/>
  <c r="Z1069" i="11"/>
  <c r="Y1069" i="11"/>
  <c r="X1069" i="11"/>
  <c r="W1069" i="11"/>
  <c r="V1069" i="11"/>
  <c r="U1069" i="11"/>
  <c r="T1069" i="11"/>
  <c r="S1069" i="11"/>
  <c r="R1069" i="11"/>
  <c r="Q1069" i="11"/>
  <c r="P1069" i="11"/>
  <c r="O1069" i="11"/>
  <c r="N1069" i="11"/>
  <c r="M1069" i="11"/>
  <c r="L1069" i="11"/>
  <c r="K1069" i="11"/>
  <c r="J1069" i="11"/>
  <c r="I1069" i="11"/>
  <c r="H1069" i="11"/>
  <c r="G1069" i="11"/>
  <c r="F1069" i="11"/>
  <c r="E1069" i="11"/>
  <c r="D1069" i="11"/>
  <c r="C1069" i="11"/>
  <c r="B1069" i="11"/>
  <c r="A1069" i="11"/>
  <c r="Z1068" i="11"/>
  <c r="Y1068" i="11"/>
  <c r="X1068" i="11"/>
  <c r="W1068" i="11"/>
  <c r="V1068" i="11"/>
  <c r="U1068" i="11"/>
  <c r="T1068" i="11"/>
  <c r="S1068" i="11"/>
  <c r="R1068" i="11"/>
  <c r="Q1068" i="11"/>
  <c r="P1068" i="11"/>
  <c r="O1068" i="11"/>
  <c r="N1068" i="11"/>
  <c r="M1068" i="11"/>
  <c r="L1068" i="11"/>
  <c r="K1068" i="11"/>
  <c r="J1068" i="11"/>
  <c r="I1068" i="11"/>
  <c r="H1068" i="11"/>
  <c r="G1068" i="11"/>
  <c r="F1068" i="11"/>
  <c r="E1068" i="11"/>
  <c r="D1068" i="11"/>
  <c r="C1068" i="11"/>
  <c r="B1068" i="11"/>
  <c r="A1068" i="11"/>
  <c r="Z1067" i="11"/>
  <c r="Y1067" i="11"/>
  <c r="X1067" i="11"/>
  <c r="W1067" i="11"/>
  <c r="V1067" i="11"/>
  <c r="U1067" i="11"/>
  <c r="T1067" i="11"/>
  <c r="S1067" i="11"/>
  <c r="R1067" i="11"/>
  <c r="Q1067" i="11"/>
  <c r="P1067" i="11"/>
  <c r="O1067" i="11"/>
  <c r="N1067" i="11"/>
  <c r="M1067" i="11"/>
  <c r="L1067" i="11"/>
  <c r="K1067" i="11"/>
  <c r="J1067" i="11"/>
  <c r="I1067" i="11"/>
  <c r="H1067" i="11"/>
  <c r="G1067" i="11"/>
  <c r="F1067" i="11"/>
  <c r="E1067" i="11"/>
  <c r="D1067" i="11"/>
  <c r="C1067" i="11"/>
  <c r="B1067" i="11"/>
  <c r="A1067" i="11"/>
  <c r="Z1066" i="11"/>
  <c r="Y1066" i="11"/>
  <c r="X1066" i="11"/>
  <c r="W1066" i="11"/>
  <c r="V1066" i="11"/>
  <c r="U1066" i="11"/>
  <c r="T1066" i="11"/>
  <c r="S1066" i="11"/>
  <c r="R1066" i="11"/>
  <c r="Q1066" i="11"/>
  <c r="P1066" i="11"/>
  <c r="O1066" i="11"/>
  <c r="N1066" i="11"/>
  <c r="M1066" i="11"/>
  <c r="L1066" i="11"/>
  <c r="K1066" i="11"/>
  <c r="J1066" i="11"/>
  <c r="I1066" i="11"/>
  <c r="H1066" i="11"/>
  <c r="G1066" i="11"/>
  <c r="F1066" i="11"/>
  <c r="E1066" i="11"/>
  <c r="D1066" i="11"/>
  <c r="C1066" i="11"/>
  <c r="B1066" i="11"/>
  <c r="A1066" i="11"/>
  <c r="Z1065" i="11"/>
  <c r="Y1065" i="11"/>
  <c r="X1065" i="11"/>
  <c r="W1065" i="11"/>
  <c r="V1065" i="11"/>
  <c r="U1065" i="11"/>
  <c r="T1065" i="11"/>
  <c r="S1065" i="11"/>
  <c r="R1065" i="11"/>
  <c r="Q1065" i="11"/>
  <c r="P1065" i="11"/>
  <c r="O1065" i="11"/>
  <c r="N1065" i="11"/>
  <c r="M1065" i="11"/>
  <c r="L1065" i="11"/>
  <c r="K1065" i="11"/>
  <c r="J1065" i="11"/>
  <c r="I1065" i="11"/>
  <c r="H1065" i="11"/>
  <c r="G1065" i="11"/>
  <c r="F1065" i="11"/>
  <c r="E1065" i="11"/>
  <c r="D1065" i="11"/>
  <c r="C1065" i="11"/>
  <c r="B1065" i="11"/>
  <c r="A1065" i="11"/>
  <c r="Z1064" i="11"/>
  <c r="Y1064" i="11"/>
  <c r="X1064" i="11"/>
  <c r="W1064" i="11"/>
  <c r="V1064" i="11"/>
  <c r="U1064" i="11"/>
  <c r="T1064" i="11"/>
  <c r="S1064" i="11"/>
  <c r="R1064" i="11"/>
  <c r="Q1064" i="11"/>
  <c r="P1064" i="11"/>
  <c r="O1064" i="11"/>
  <c r="N1064" i="11"/>
  <c r="M1064" i="11"/>
  <c r="L1064" i="11"/>
  <c r="K1064" i="11"/>
  <c r="J1064" i="11"/>
  <c r="I1064" i="11"/>
  <c r="H1064" i="11"/>
  <c r="G1064" i="11"/>
  <c r="F1064" i="11"/>
  <c r="E1064" i="11"/>
  <c r="D1064" i="11"/>
  <c r="C1064" i="11"/>
  <c r="B1064" i="11"/>
  <c r="A1064" i="11"/>
  <c r="Z1063" i="11"/>
  <c r="Y1063" i="11"/>
  <c r="X1063" i="11"/>
  <c r="W1063" i="11"/>
  <c r="V1063" i="11"/>
  <c r="U1063" i="11"/>
  <c r="T1063" i="11"/>
  <c r="S1063" i="11"/>
  <c r="R1063" i="11"/>
  <c r="Q1063" i="11"/>
  <c r="P1063" i="11"/>
  <c r="O1063" i="11"/>
  <c r="N1063" i="11"/>
  <c r="M1063" i="11"/>
  <c r="L1063" i="11"/>
  <c r="K1063" i="11"/>
  <c r="J1063" i="11"/>
  <c r="I1063" i="11"/>
  <c r="H1063" i="11"/>
  <c r="G1063" i="11"/>
  <c r="F1063" i="11"/>
  <c r="E1063" i="11"/>
  <c r="D1063" i="11"/>
  <c r="C1063" i="11"/>
  <c r="B1063" i="11"/>
  <c r="A1063" i="11"/>
  <c r="Z1062" i="11"/>
  <c r="Y1062" i="11"/>
  <c r="X1062" i="11"/>
  <c r="W1062" i="11"/>
  <c r="V1062" i="11"/>
  <c r="U1062" i="11"/>
  <c r="T1062" i="11"/>
  <c r="S1062" i="11"/>
  <c r="R1062" i="11"/>
  <c r="Q1062" i="11"/>
  <c r="P1062" i="11"/>
  <c r="O1062" i="11"/>
  <c r="N1062" i="11"/>
  <c r="M1062" i="11"/>
  <c r="L1062" i="11"/>
  <c r="K1062" i="11"/>
  <c r="J1062" i="11"/>
  <c r="I1062" i="11"/>
  <c r="H1062" i="11"/>
  <c r="G1062" i="11"/>
  <c r="F1062" i="11"/>
  <c r="E1062" i="11"/>
  <c r="D1062" i="11"/>
  <c r="C1062" i="11"/>
  <c r="B1062" i="11"/>
  <c r="A1062" i="11"/>
  <c r="Z1061" i="11"/>
  <c r="Y1061" i="11"/>
  <c r="X1061" i="11"/>
  <c r="W1061" i="11"/>
  <c r="V1061" i="11"/>
  <c r="U1061" i="11"/>
  <c r="T1061" i="11"/>
  <c r="S1061" i="11"/>
  <c r="R1061" i="11"/>
  <c r="Q1061" i="11"/>
  <c r="P1061" i="11"/>
  <c r="O1061" i="11"/>
  <c r="N1061" i="11"/>
  <c r="M1061" i="11"/>
  <c r="L1061" i="11"/>
  <c r="K1061" i="11"/>
  <c r="J1061" i="11"/>
  <c r="I1061" i="11"/>
  <c r="H1061" i="11"/>
  <c r="G1061" i="11"/>
  <c r="F1061" i="11"/>
  <c r="E1061" i="11"/>
  <c r="D1061" i="11"/>
  <c r="C1061" i="11"/>
  <c r="B1061" i="11"/>
  <c r="A1061" i="11"/>
  <c r="Z1060" i="11"/>
  <c r="Y1060" i="11"/>
  <c r="X1060" i="11"/>
  <c r="W1060" i="11"/>
  <c r="V1060" i="11"/>
  <c r="U1060" i="11"/>
  <c r="T1060" i="11"/>
  <c r="S1060" i="11"/>
  <c r="R1060" i="11"/>
  <c r="Q1060" i="11"/>
  <c r="P1060" i="11"/>
  <c r="O1060" i="11"/>
  <c r="N1060" i="11"/>
  <c r="M1060" i="11"/>
  <c r="L1060" i="11"/>
  <c r="K1060" i="11"/>
  <c r="J1060" i="11"/>
  <c r="I1060" i="11"/>
  <c r="H1060" i="11"/>
  <c r="G1060" i="11"/>
  <c r="F1060" i="11"/>
  <c r="E1060" i="11"/>
  <c r="D1060" i="11"/>
  <c r="C1060" i="11"/>
  <c r="B1060" i="11"/>
  <c r="A1060" i="11"/>
  <c r="Z1059" i="11"/>
  <c r="Y1059" i="11"/>
  <c r="X1059" i="11"/>
  <c r="W1059" i="11"/>
  <c r="V1059" i="11"/>
  <c r="U1059" i="11"/>
  <c r="T1059" i="11"/>
  <c r="S1059" i="11"/>
  <c r="R1059" i="11"/>
  <c r="Q1059" i="11"/>
  <c r="P1059" i="11"/>
  <c r="O1059" i="11"/>
  <c r="N1059" i="11"/>
  <c r="M1059" i="11"/>
  <c r="L1059" i="11"/>
  <c r="K1059" i="11"/>
  <c r="J1059" i="11"/>
  <c r="I1059" i="11"/>
  <c r="H1059" i="11"/>
  <c r="G1059" i="11"/>
  <c r="F1059" i="11"/>
  <c r="E1059" i="11"/>
  <c r="D1059" i="11"/>
  <c r="C1059" i="11"/>
  <c r="B1059" i="11"/>
  <c r="A1059" i="11"/>
  <c r="Z1058" i="11"/>
  <c r="Y1058" i="11"/>
  <c r="X1058" i="11"/>
  <c r="W1058" i="11"/>
  <c r="V1058" i="11"/>
  <c r="U1058" i="11"/>
  <c r="T1058" i="11"/>
  <c r="S1058" i="11"/>
  <c r="R1058" i="11"/>
  <c r="Q1058" i="11"/>
  <c r="P1058" i="11"/>
  <c r="O1058" i="11"/>
  <c r="N1058" i="11"/>
  <c r="M1058" i="11"/>
  <c r="L1058" i="11"/>
  <c r="K1058" i="11"/>
  <c r="J1058" i="11"/>
  <c r="I1058" i="11"/>
  <c r="H1058" i="11"/>
  <c r="G1058" i="11"/>
  <c r="F1058" i="11"/>
  <c r="E1058" i="11"/>
  <c r="D1058" i="11"/>
  <c r="C1058" i="11"/>
  <c r="B1058" i="11"/>
  <c r="A1058" i="11"/>
  <c r="Z1057" i="11"/>
  <c r="Y1057" i="11"/>
  <c r="X1057" i="11"/>
  <c r="W1057" i="11"/>
  <c r="V1057" i="11"/>
  <c r="U1057" i="11"/>
  <c r="T1057" i="11"/>
  <c r="S1057" i="11"/>
  <c r="R1057" i="11"/>
  <c r="Q1057" i="11"/>
  <c r="P1057" i="11"/>
  <c r="O1057" i="11"/>
  <c r="N1057" i="11"/>
  <c r="M1057" i="11"/>
  <c r="L1057" i="11"/>
  <c r="K1057" i="11"/>
  <c r="J1057" i="11"/>
  <c r="I1057" i="11"/>
  <c r="H1057" i="11"/>
  <c r="G1057" i="11"/>
  <c r="F1057" i="11"/>
  <c r="E1057" i="11"/>
  <c r="D1057" i="11"/>
  <c r="C1057" i="11"/>
  <c r="B1057" i="11"/>
  <c r="A1057" i="11"/>
  <c r="Z1056" i="11"/>
  <c r="Y1056" i="11"/>
  <c r="X1056" i="11"/>
  <c r="W1056" i="11"/>
  <c r="V1056" i="11"/>
  <c r="U1056" i="11"/>
  <c r="T1056" i="11"/>
  <c r="S1056" i="11"/>
  <c r="R1056" i="11"/>
  <c r="Q1056" i="11"/>
  <c r="P1056" i="11"/>
  <c r="O1056" i="11"/>
  <c r="N1056" i="11"/>
  <c r="M1056" i="11"/>
  <c r="L1056" i="11"/>
  <c r="K1056" i="11"/>
  <c r="J1056" i="11"/>
  <c r="I1056" i="11"/>
  <c r="H1056" i="11"/>
  <c r="G1056" i="11"/>
  <c r="F1056" i="11"/>
  <c r="E1056" i="11"/>
  <c r="D1056" i="11"/>
  <c r="C1056" i="11"/>
  <c r="B1056" i="11"/>
  <c r="A1056" i="11"/>
  <c r="Z1055" i="11"/>
  <c r="Y1055" i="11"/>
  <c r="X1055" i="11"/>
  <c r="W1055" i="11"/>
  <c r="V1055" i="11"/>
  <c r="U1055" i="11"/>
  <c r="T1055" i="11"/>
  <c r="S1055" i="11"/>
  <c r="R1055" i="11"/>
  <c r="Q1055" i="11"/>
  <c r="P1055" i="11"/>
  <c r="O1055" i="11"/>
  <c r="N1055" i="11"/>
  <c r="M1055" i="11"/>
  <c r="L1055" i="11"/>
  <c r="K1055" i="11"/>
  <c r="J1055" i="11"/>
  <c r="I1055" i="11"/>
  <c r="H1055" i="11"/>
  <c r="G1055" i="11"/>
  <c r="F1055" i="11"/>
  <c r="E1055" i="11"/>
  <c r="D1055" i="11"/>
  <c r="C1055" i="11"/>
  <c r="B1055" i="11"/>
  <c r="A1055" i="11"/>
  <c r="Z1054" i="11"/>
  <c r="Y1054" i="11"/>
  <c r="X1054" i="11"/>
  <c r="W1054" i="11"/>
  <c r="V1054" i="11"/>
  <c r="U1054" i="11"/>
  <c r="T1054" i="11"/>
  <c r="S1054" i="11"/>
  <c r="R1054" i="11"/>
  <c r="Q1054" i="11"/>
  <c r="P1054" i="11"/>
  <c r="O1054" i="11"/>
  <c r="N1054" i="11"/>
  <c r="M1054" i="11"/>
  <c r="L1054" i="11"/>
  <c r="K1054" i="11"/>
  <c r="J1054" i="11"/>
  <c r="I1054" i="11"/>
  <c r="H1054" i="11"/>
  <c r="G1054" i="11"/>
  <c r="F1054" i="11"/>
  <c r="E1054" i="11"/>
  <c r="D1054" i="11"/>
  <c r="C1054" i="11"/>
  <c r="B1054" i="11"/>
  <c r="A1054" i="11"/>
  <c r="Z1053" i="11"/>
  <c r="Y1053" i="11"/>
  <c r="X1053" i="11"/>
  <c r="W1053" i="11"/>
  <c r="V1053" i="11"/>
  <c r="U1053" i="11"/>
  <c r="T1053" i="11"/>
  <c r="S1053" i="11"/>
  <c r="R1053" i="11"/>
  <c r="Q1053" i="11"/>
  <c r="P1053" i="11"/>
  <c r="O1053" i="11"/>
  <c r="N1053" i="11"/>
  <c r="M1053" i="11"/>
  <c r="L1053" i="11"/>
  <c r="K1053" i="11"/>
  <c r="J1053" i="11"/>
  <c r="I1053" i="11"/>
  <c r="H1053" i="11"/>
  <c r="G1053" i="11"/>
  <c r="F1053" i="11"/>
  <c r="E1053" i="11"/>
  <c r="D1053" i="11"/>
  <c r="C1053" i="11"/>
  <c r="B1053" i="11"/>
  <c r="A1053" i="11"/>
  <c r="Z1052" i="11"/>
  <c r="Y1052" i="11"/>
  <c r="X1052" i="11"/>
  <c r="W1052" i="11"/>
  <c r="V1052" i="11"/>
  <c r="U1052" i="11"/>
  <c r="T1052" i="11"/>
  <c r="S1052" i="11"/>
  <c r="R1052" i="11"/>
  <c r="Q1052" i="11"/>
  <c r="P1052" i="11"/>
  <c r="O1052" i="11"/>
  <c r="N1052" i="11"/>
  <c r="M1052" i="11"/>
  <c r="L1052" i="11"/>
  <c r="K1052" i="11"/>
  <c r="J1052" i="11"/>
  <c r="I1052" i="11"/>
  <c r="H1052" i="11"/>
  <c r="G1052" i="11"/>
  <c r="F1052" i="11"/>
  <c r="E1052" i="11"/>
  <c r="D1052" i="11"/>
  <c r="C1052" i="11"/>
  <c r="B1052" i="11"/>
  <c r="A1052" i="11"/>
  <c r="Z1051" i="11"/>
  <c r="Y1051" i="11"/>
  <c r="X1051" i="11"/>
  <c r="W1051" i="11"/>
  <c r="V1051" i="11"/>
  <c r="U1051" i="11"/>
  <c r="T1051" i="11"/>
  <c r="S1051" i="11"/>
  <c r="R1051" i="11"/>
  <c r="Q1051" i="11"/>
  <c r="P1051" i="11"/>
  <c r="O1051" i="11"/>
  <c r="N1051" i="11"/>
  <c r="M1051" i="11"/>
  <c r="L1051" i="11"/>
  <c r="K1051" i="11"/>
  <c r="J1051" i="11"/>
  <c r="I1051" i="11"/>
  <c r="H1051" i="11"/>
  <c r="G1051" i="11"/>
  <c r="F1051" i="11"/>
  <c r="E1051" i="11"/>
  <c r="D1051" i="11"/>
  <c r="C1051" i="11"/>
  <c r="B1051" i="11"/>
  <c r="A1051" i="11"/>
  <c r="Z1050" i="11"/>
  <c r="Y1050" i="11"/>
  <c r="X1050" i="11"/>
  <c r="W1050" i="11"/>
  <c r="V1050" i="11"/>
  <c r="U1050" i="11"/>
  <c r="T1050" i="11"/>
  <c r="S1050" i="11"/>
  <c r="R1050" i="11"/>
  <c r="Q1050" i="11"/>
  <c r="P1050" i="11"/>
  <c r="O1050" i="11"/>
  <c r="N1050" i="11"/>
  <c r="M1050" i="11"/>
  <c r="L1050" i="11"/>
  <c r="K1050" i="11"/>
  <c r="J1050" i="11"/>
  <c r="I1050" i="11"/>
  <c r="H1050" i="11"/>
  <c r="G1050" i="11"/>
  <c r="F1050" i="11"/>
  <c r="E1050" i="11"/>
  <c r="D1050" i="11"/>
  <c r="C1050" i="11"/>
  <c r="B1050" i="11"/>
  <c r="A1050" i="11"/>
  <c r="Z1049" i="11"/>
  <c r="Y1049" i="11"/>
  <c r="X1049" i="11"/>
  <c r="W1049" i="11"/>
  <c r="V1049" i="11"/>
  <c r="U1049" i="11"/>
  <c r="T1049" i="11"/>
  <c r="S1049" i="11"/>
  <c r="R1049" i="11"/>
  <c r="Q1049" i="11"/>
  <c r="P1049" i="11"/>
  <c r="O1049" i="11"/>
  <c r="N1049" i="11"/>
  <c r="M1049" i="11"/>
  <c r="L1049" i="11"/>
  <c r="K1049" i="11"/>
  <c r="J1049" i="11"/>
  <c r="I1049" i="11"/>
  <c r="H1049" i="11"/>
  <c r="G1049" i="11"/>
  <c r="F1049" i="11"/>
  <c r="E1049" i="11"/>
  <c r="D1049" i="11"/>
  <c r="C1049" i="11"/>
  <c r="B1049" i="11"/>
  <c r="A1049" i="11"/>
  <c r="Z1048" i="11"/>
  <c r="Y1048" i="11"/>
  <c r="X1048" i="11"/>
  <c r="W1048" i="11"/>
  <c r="V1048" i="11"/>
  <c r="U1048" i="11"/>
  <c r="T1048" i="11"/>
  <c r="S1048" i="11"/>
  <c r="R1048" i="11"/>
  <c r="Q1048" i="11"/>
  <c r="P1048" i="11"/>
  <c r="O1048" i="11"/>
  <c r="N1048" i="11"/>
  <c r="M1048" i="11"/>
  <c r="L1048" i="11"/>
  <c r="K1048" i="11"/>
  <c r="J1048" i="11"/>
  <c r="I1048" i="11"/>
  <c r="H1048" i="11"/>
  <c r="G1048" i="11"/>
  <c r="F1048" i="11"/>
  <c r="E1048" i="11"/>
  <c r="D1048" i="11"/>
  <c r="C1048" i="11"/>
  <c r="B1048" i="11"/>
  <c r="A1048" i="11"/>
  <c r="Z1047" i="11"/>
  <c r="Y1047" i="11"/>
  <c r="X1047" i="11"/>
  <c r="W1047" i="11"/>
  <c r="V1047" i="11"/>
  <c r="U1047" i="11"/>
  <c r="T1047" i="11"/>
  <c r="S1047" i="11"/>
  <c r="R1047" i="11"/>
  <c r="Q1047" i="11"/>
  <c r="P1047" i="11"/>
  <c r="O1047" i="11"/>
  <c r="N1047" i="11"/>
  <c r="M1047" i="11"/>
  <c r="L1047" i="11"/>
  <c r="K1047" i="11"/>
  <c r="J1047" i="11"/>
  <c r="I1047" i="11"/>
  <c r="H1047" i="11"/>
  <c r="G1047" i="11"/>
  <c r="F1047" i="11"/>
  <c r="E1047" i="11"/>
  <c r="D1047" i="11"/>
  <c r="C1047" i="11"/>
  <c r="B1047" i="11"/>
  <c r="A1047" i="11"/>
  <c r="Z1046" i="11"/>
  <c r="Y1046" i="11"/>
  <c r="X1046" i="11"/>
  <c r="W1046" i="11"/>
  <c r="V1046" i="11"/>
  <c r="U1046" i="11"/>
  <c r="T1046" i="11"/>
  <c r="S1046" i="11"/>
  <c r="R1046" i="11"/>
  <c r="Q1046" i="11"/>
  <c r="P1046" i="11"/>
  <c r="O1046" i="11"/>
  <c r="N1046" i="11"/>
  <c r="M1046" i="11"/>
  <c r="L1046" i="11"/>
  <c r="K1046" i="11"/>
  <c r="J1046" i="11"/>
  <c r="I1046" i="11"/>
  <c r="H1046" i="11"/>
  <c r="G1046" i="11"/>
  <c r="F1046" i="11"/>
  <c r="E1046" i="11"/>
  <c r="D1046" i="11"/>
  <c r="C1046" i="11"/>
  <c r="B1046" i="11"/>
  <c r="A1046" i="11"/>
  <c r="Z1045" i="11"/>
  <c r="Y1045" i="11"/>
  <c r="X1045" i="11"/>
  <c r="W1045" i="11"/>
  <c r="V1045" i="11"/>
  <c r="U1045" i="11"/>
  <c r="T1045" i="11"/>
  <c r="S1045" i="11"/>
  <c r="R1045" i="11"/>
  <c r="Q1045" i="11"/>
  <c r="P1045" i="11"/>
  <c r="O1045" i="11"/>
  <c r="N1045" i="11"/>
  <c r="M1045" i="11"/>
  <c r="L1045" i="11"/>
  <c r="K1045" i="11"/>
  <c r="J1045" i="11"/>
  <c r="I1045" i="11"/>
  <c r="H1045" i="11"/>
  <c r="G1045" i="11"/>
  <c r="F1045" i="11"/>
  <c r="E1045" i="11"/>
  <c r="D1045" i="11"/>
  <c r="C1045" i="11"/>
  <c r="B1045" i="11"/>
  <c r="A1045" i="11"/>
  <c r="Z1044" i="11"/>
  <c r="Y1044" i="11"/>
  <c r="X1044" i="11"/>
  <c r="W1044" i="11"/>
  <c r="V1044" i="11"/>
  <c r="U1044" i="11"/>
  <c r="T1044" i="11"/>
  <c r="S1044" i="11"/>
  <c r="R1044" i="11"/>
  <c r="Q1044" i="11"/>
  <c r="P1044" i="11"/>
  <c r="O1044" i="11"/>
  <c r="N1044" i="11"/>
  <c r="M1044" i="11"/>
  <c r="L1044" i="11"/>
  <c r="K1044" i="11"/>
  <c r="J1044" i="11"/>
  <c r="I1044" i="11"/>
  <c r="H1044" i="11"/>
  <c r="G1044" i="11"/>
  <c r="F1044" i="11"/>
  <c r="E1044" i="11"/>
  <c r="D1044" i="11"/>
  <c r="C1044" i="11"/>
  <c r="B1044" i="11"/>
  <c r="A1044" i="11"/>
  <c r="Z1043" i="11"/>
  <c r="Y1043" i="11"/>
  <c r="X1043" i="11"/>
  <c r="W1043" i="11"/>
  <c r="V1043" i="11"/>
  <c r="U1043" i="11"/>
  <c r="T1043" i="11"/>
  <c r="S1043" i="11"/>
  <c r="R1043" i="11"/>
  <c r="Q1043" i="11"/>
  <c r="P1043" i="11"/>
  <c r="O1043" i="11"/>
  <c r="N1043" i="11"/>
  <c r="M1043" i="11"/>
  <c r="L1043" i="11"/>
  <c r="K1043" i="11"/>
  <c r="J1043" i="11"/>
  <c r="I1043" i="11"/>
  <c r="H1043" i="11"/>
  <c r="G1043" i="11"/>
  <c r="F1043" i="11"/>
  <c r="E1043" i="11"/>
  <c r="D1043" i="11"/>
  <c r="C1043" i="11"/>
  <c r="B1043" i="11"/>
  <c r="A1043" i="11"/>
  <c r="Z1042" i="11"/>
  <c r="Y1042" i="11"/>
  <c r="X1042" i="11"/>
  <c r="W1042" i="11"/>
  <c r="V1042" i="11"/>
  <c r="U1042" i="11"/>
  <c r="T1042" i="11"/>
  <c r="S1042" i="11"/>
  <c r="R1042" i="11"/>
  <c r="Q1042" i="11"/>
  <c r="P1042" i="11"/>
  <c r="O1042" i="11"/>
  <c r="N1042" i="11"/>
  <c r="M1042" i="11"/>
  <c r="L1042" i="11"/>
  <c r="K1042" i="11"/>
  <c r="J1042" i="11"/>
  <c r="I1042" i="11"/>
  <c r="H1042" i="11"/>
  <c r="G1042" i="11"/>
  <c r="F1042" i="11"/>
  <c r="E1042" i="11"/>
  <c r="D1042" i="11"/>
  <c r="C1042" i="11"/>
  <c r="B1042" i="11"/>
  <c r="A1042" i="11"/>
  <c r="Z1041" i="11"/>
  <c r="Y1041" i="11"/>
  <c r="X1041" i="11"/>
  <c r="W1041" i="11"/>
  <c r="V1041" i="11"/>
  <c r="U1041" i="11"/>
  <c r="T1041" i="11"/>
  <c r="S1041" i="11"/>
  <c r="R1041" i="11"/>
  <c r="Q1041" i="11"/>
  <c r="P1041" i="11"/>
  <c r="O1041" i="11"/>
  <c r="N1041" i="11"/>
  <c r="M1041" i="11"/>
  <c r="L1041" i="11"/>
  <c r="K1041" i="11"/>
  <c r="J1041" i="11"/>
  <c r="I1041" i="11"/>
  <c r="H1041" i="11"/>
  <c r="G1041" i="11"/>
  <c r="F1041" i="11"/>
  <c r="E1041" i="11"/>
  <c r="D1041" i="11"/>
  <c r="C1041" i="11"/>
  <c r="B1041" i="11"/>
  <c r="A1041" i="11"/>
  <c r="Z1040" i="11"/>
  <c r="Y1040" i="11"/>
  <c r="X1040" i="11"/>
  <c r="W1040" i="11"/>
  <c r="V1040" i="11"/>
  <c r="U1040" i="11"/>
  <c r="T1040" i="11"/>
  <c r="S1040" i="11"/>
  <c r="R1040" i="11"/>
  <c r="Q1040" i="11"/>
  <c r="P1040" i="11"/>
  <c r="O1040" i="11"/>
  <c r="N1040" i="11"/>
  <c r="M1040" i="11"/>
  <c r="L1040" i="11"/>
  <c r="K1040" i="11"/>
  <c r="J1040" i="11"/>
  <c r="I1040" i="11"/>
  <c r="H1040" i="11"/>
  <c r="G1040" i="11"/>
  <c r="F1040" i="11"/>
  <c r="E1040" i="11"/>
  <c r="D1040" i="11"/>
  <c r="C1040" i="11"/>
  <c r="B1040" i="11"/>
  <c r="A1040" i="11"/>
  <c r="Z1039" i="11"/>
  <c r="Y1039" i="11"/>
  <c r="X1039" i="11"/>
  <c r="W1039" i="11"/>
  <c r="V1039" i="11"/>
  <c r="U1039" i="11"/>
  <c r="T1039" i="11"/>
  <c r="S1039" i="11"/>
  <c r="R1039" i="11"/>
  <c r="Q1039" i="11"/>
  <c r="P1039" i="11"/>
  <c r="O1039" i="11"/>
  <c r="N1039" i="11"/>
  <c r="M1039" i="11"/>
  <c r="L1039" i="11"/>
  <c r="K1039" i="11"/>
  <c r="J1039" i="11"/>
  <c r="I1039" i="11"/>
  <c r="H1039" i="11"/>
  <c r="G1039" i="11"/>
  <c r="F1039" i="11"/>
  <c r="E1039" i="11"/>
  <c r="D1039" i="11"/>
  <c r="C1039" i="11"/>
  <c r="B1039" i="11"/>
  <c r="A1039" i="11"/>
  <c r="Z1038" i="11"/>
  <c r="Y1038" i="11"/>
  <c r="X1038" i="11"/>
  <c r="W1038" i="11"/>
  <c r="V1038" i="11"/>
  <c r="U1038" i="11"/>
  <c r="T1038" i="11"/>
  <c r="S1038" i="11"/>
  <c r="R1038" i="11"/>
  <c r="Q1038" i="11"/>
  <c r="P1038" i="11"/>
  <c r="O1038" i="11"/>
  <c r="N1038" i="11"/>
  <c r="M1038" i="11"/>
  <c r="L1038" i="11"/>
  <c r="K1038" i="11"/>
  <c r="J1038" i="11"/>
  <c r="I1038" i="11"/>
  <c r="H1038" i="11"/>
  <c r="G1038" i="11"/>
  <c r="F1038" i="11"/>
  <c r="E1038" i="11"/>
  <c r="D1038" i="11"/>
  <c r="C1038" i="11"/>
  <c r="B1038" i="11"/>
  <c r="A1038" i="11"/>
  <c r="Z1037" i="11"/>
  <c r="Y1037" i="11"/>
  <c r="X1037" i="11"/>
  <c r="W1037" i="11"/>
  <c r="V1037" i="11"/>
  <c r="U1037" i="11"/>
  <c r="T1037" i="11"/>
  <c r="S1037" i="11"/>
  <c r="R1037" i="11"/>
  <c r="Q1037" i="11"/>
  <c r="P1037" i="11"/>
  <c r="O1037" i="11"/>
  <c r="N1037" i="11"/>
  <c r="M1037" i="11"/>
  <c r="L1037" i="11"/>
  <c r="K1037" i="11"/>
  <c r="J1037" i="11"/>
  <c r="I1037" i="11"/>
  <c r="H1037" i="11"/>
  <c r="G1037" i="11"/>
  <c r="F1037" i="11"/>
  <c r="E1037" i="11"/>
  <c r="D1037" i="11"/>
  <c r="C1037" i="11"/>
  <c r="B1037" i="11"/>
  <c r="A1037" i="11"/>
  <c r="Z1036" i="11"/>
  <c r="Y1036" i="11"/>
  <c r="X1036" i="11"/>
  <c r="W1036" i="11"/>
  <c r="V1036" i="11"/>
  <c r="U1036" i="11"/>
  <c r="T1036" i="11"/>
  <c r="S1036" i="11"/>
  <c r="R1036" i="11"/>
  <c r="Q1036" i="11"/>
  <c r="P1036" i="11"/>
  <c r="O1036" i="11"/>
  <c r="N1036" i="11"/>
  <c r="M1036" i="11"/>
  <c r="L1036" i="11"/>
  <c r="K1036" i="11"/>
  <c r="J1036" i="11"/>
  <c r="I1036" i="11"/>
  <c r="H1036" i="11"/>
  <c r="G1036" i="11"/>
  <c r="F1036" i="11"/>
  <c r="E1036" i="11"/>
  <c r="D1036" i="11"/>
  <c r="C1036" i="11"/>
  <c r="B1036" i="11"/>
  <c r="A1036" i="11"/>
  <c r="Z1035" i="11"/>
  <c r="Y1035" i="11"/>
  <c r="X1035" i="11"/>
  <c r="W1035" i="11"/>
  <c r="V1035" i="11"/>
  <c r="U1035" i="11"/>
  <c r="T1035" i="11"/>
  <c r="S1035" i="11"/>
  <c r="R1035" i="11"/>
  <c r="Q1035" i="11"/>
  <c r="P1035" i="11"/>
  <c r="O1035" i="11"/>
  <c r="N1035" i="11"/>
  <c r="M1035" i="11"/>
  <c r="L1035" i="11"/>
  <c r="K1035" i="11"/>
  <c r="J1035" i="11"/>
  <c r="I1035" i="11"/>
  <c r="H1035" i="11"/>
  <c r="G1035" i="11"/>
  <c r="F1035" i="11"/>
  <c r="E1035" i="11"/>
  <c r="D1035" i="11"/>
  <c r="C1035" i="11"/>
  <c r="B1035" i="11"/>
  <c r="A1035" i="11"/>
  <c r="Z1034" i="11"/>
  <c r="Y1034" i="11"/>
  <c r="X1034" i="11"/>
  <c r="W1034" i="11"/>
  <c r="V1034" i="11"/>
  <c r="U1034" i="11"/>
  <c r="T1034" i="11"/>
  <c r="S1034" i="11"/>
  <c r="R1034" i="11"/>
  <c r="Q1034" i="11"/>
  <c r="P1034" i="11"/>
  <c r="O1034" i="11"/>
  <c r="N1034" i="11"/>
  <c r="M1034" i="11"/>
  <c r="L1034" i="11"/>
  <c r="K1034" i="11"/>
  <c r="J1034" i="11"/>
  <c r="I1034" i="11"/>
  <c r="H1034" i="11"/>
  <c r="G1034" i="11"/>
  <c r="F1034" i="11"/>
  <c r="E1034" i="11"/>
  <c r="D1034" i="11"/>
  <c r="C1034" i="11"/>
  <c r="B1034" i="11"/>
  <c r="A1034" i="11"/>
  <c r="Z1033" i="11"/>
  <c r="Y1033" i="11"/>
  <c r="X1033" i="11"/>
  <c r="W1033" i="11"/>
  <c r="V1033" i="11"/>
  <c r="U1033" i="11"/>
  <c r="T1033" i="11"/>
  <c r="S1033" i="11"/>
  <c r="R1033" i="11"/>
  <c r="Q1033" i="11"/>
  <c r="P1033" i="11"/>
  <c r="O1033" i="11"/>
  <c r="N1033" i="11"/>
  <c r="M1033" i="11"/>
  <c r="L1033" i="11"/>
  <c r="K1033" i="11"/>
  <c r="J1033" i="11"/>
  <c r="I1033" i="11"/>
  <c r="H1033" i="11"/>
  <c r="G1033" i="11"/>
  <c r="F1033" i="11"/>
  <c r="E1033" i="11"/>
  <c r="D1033" i="11"/>
  <c r="C1033" i="11"/>
  <c r="B1033" i="11"/>
  <c r="A1033" i="11"/>
  <c r="S1032" i="11"/>
  <c r="H1032" i="11"/>
  <c r="Z1031" i="11"/>
  <c r="Y1031" i="11"/>
  <c r="X1031" i="11"/>
  <c r="W1031" i="11"/>
  <c r="V1031" i="11"/>
  <c r="U1031" i="11"/>
  <c r="T1031" i="11"/>
  <c r="S1031" i="11"/>
  <c r="R1031" i="11"/>
  <c r="Q1031" i="11"/>
  <c r="P1031" i="11"/>
  <c r="O1031" i="11"/>
  <c r="N1031" i="11"/>
  <c r="M1031" i="11"/>
  <c r="L1031" i="11"/>
  <c r="K1031" i="11"/>
  <c r="J1031" i="11"/>
  <c r="I1031" i="11"/>
  <c r="H1031" i="11"/>
  <c r="G1031" i="11"/>
  <c r="F1031" i="11"/>
  <c r="E1031" i="11"/>
  <c r="D1031" i="11"/>
  <c r="C1031" i="11"/>
  <c r="B1031" i="11"/>
  <c r="A1031" i="11"/>
  <c r="Z1030" i="11"/>
  <c r="Y1030" i="11"/>
  <c r="X1030" i="11"/>
  <c r="W1030" i="11"/>
  <c r="V1030" i="11"/>
  <c r="U1030" i="11"/>
  <c r="T1030" i="11"/>
  <c r="S1030" i="11"/>
  <c r="R1030" i="11"/>
  <c r="Q1030" i="11"/>
  <c r="P1030" i="11"/>
  <c r="O1030" i="11"/>
  <c r="N1030" i="11"/>
  <c r="M1030" i="11"/>
  <c r="L1030" i="11"/>
  <c r="K1030" i="11"/>
  <c r="J1030" i="11"/>
  <c r="I1030" i="11"/>
  <c r="H1030" i="11"/>
  <c r="G1030" i="11"/>
  <c r="F1030" i="11"/>
  <c r="E1030" i="11"/>
  <c r="D1030" i="11"/>
  <c r="C1030" i="11"/>
  <c r="B1030" i="11"/>
  <c r="A1030" i="11"/>
  <c r="Z1029" i="11"/>
  <c r="Y1029" i="11"/>
  <c r="X1029" i="11"/>
  <c r="W1029" i="11"/>
  <c r="V1029" i="11"/>
  <c r="U1029" i="11"/>
  <c r="T1029" i="11"/>
  <c r="S1029" i="11"/>
  <c r="R1029" i="11"/>
  <c r="Q1029" i="11"/>
  <c r="P1029" i="11"/>
  <c r="O1029" i="11"/>
  <c r="N1029" i="11"/>
  <c r="M1029" i="11"/>
  <c r="L1029" i="11"/>
  <c r="K1029" i="11"/>
  <c r="J1029" i="11"/>
  <c r="I1029" i="11"/>
  <c r="H1029" i="11"/>
  <c r="G1029" i="11"/>
  <c r="F1029" i="11"/>
  <c r="E1029" i="11"/>
  <c r="D1029" i="11"/>
  <c r="C1029" i="11"/>
  <c r="B1029" i="11"/>
  <c r="A1029" i="11"/>
  <c r="Z1028" i="11"/>
  <c r="Y1028" i="11"/>
  <c r="X1028" i="11"/>
  <c r="W1028" i="11"/>
  <c r="V1028" i="11"/>
  <c r="U1028" i="11"/>
  <c r="T1028" i="11"/>
  <c r="S1028" i="11"/>
  <c r="R1028" i="11"/>
  <c r="Q1028" i="11"/>
  <c r="P1028" i="11"/>
  <c r="O1028" i="11"/>
  <c r="N1028" i="11"/>
  <c r="M1028" i="11"/>
  <c r="L1028" i="11"/>
  <c r="K1028" i="11"/>
  <c r="J1028" i="11"/>
  <c r="I1028" i="11"/>
  <c r="H1028" i="11"/>
  <c r="G1028" i="11"/>
  <c r="F1028" i="11"/>
  <c r="E1028" i="11"/>
  <c r="D1028" i="11"/>
  <c r="C1028" i="11"/>
  <c r="B1028" i="11"/>
  <c r="A1028" i="11"/>
  <c r="Z1027" i="11"/>
  <c r="Y1027" i="11"/>
  <c r="X1027" i="11"/>
  <c r="W1027" i="11"/>
  <c r="V1027" i="11"/>
  <c r="U1027" i="11"/>
  <c r="T1027" i="11"/>
  <c r="S1027" i="11"/>
  <c r="R1027" i="11"/>
  <c r="Q1027" i="11"/>
  <c r="P1027" i="11"/>
  <c r="O1027" i="11"/>
  <c r="N1027" i="11"/>
  <c r="M1027" i="11"/>
  <c r="L1027" i="11"/>
  <c r="K1027" i="11"/>
  <c r="J1027" i="11"/>
  <c r="I1027" i="11"/>
  <c r="H1027" i="11"/>
  <c r="G1027" i="11"/>
  <c r="F1027" i="11"/>
  <c r="E1027" i="11"/>
  <c r="D1027" i="11"/>
  <c r="C1027" i="11"/>
  <c r="B1027" i="11"/>
  <c r="A1027" i="11"/>
  <c r="Z1026" i="11"/>
  <c r="Y1026" i="11"/>
  <c r="X1026" i="11"/>
  <c r="W1026" i="11"/>
  <c r="V1026" i="11"/>
  <c r="U1026" i="11"/>
  <c r="T1026" i="11"/>
  <c r="S1026" i="11"/>
  <c r="R1026" i="11"/>
  <c r="Q1026" i="11"/>
  <c r="P1026" i="11"/>
  <c r="O1026" i="11"/>
  <c r="N1026" i="11"/>
  <c r="M1026" i="11"/>
  <c r="L1026" i="11"/>
  <c r="K1026" i="11"/>
  <c r="J1026" i="11"/>
  <c r="I1026" i="11"/>
  <c r="H1026" i="11"/>
  <c r="G1026" i="11"/>
  <c r="F1026" i="11"/>
  <c r="E1026" i="11"/>
  <c r="D1026" i="11"/>
  <c r="C1026" i="11"/>
  <c r="B1026" i="11"/>
  <c r="A1026" i="11"/>
  <c r="Z1025" i="11"/>
  <c r="Y1025" i="11"/>
  <c r="X1025" i="11"/>
  <c r="W1025" i="11"/>
  <c r="V1025" i="11"/>
  <c r="U1025" i="11"/>
  <c r="T1025" i="11"/>
  <c r="S1025" i="11"/>
  <c r="R1025" i="11"/>
  <c r="Q1025" i="11"/>
  <c r="P1025" i="11"/>
  <c r="O1025" i="11"/>
  <c r="N1025" i="11"/>
  <c r="M1025" i="11"/>
  <c r="L1025" i="11"/>
  <c r="K1025" i="11"/>
  <c r="J1025" i="11"/>
  <c r="I1025" i="11"/>
  <c r="H1025" i="11"/>
  <c r="G1025" i="11"/>
  <c r="F1025" i="11"/>
  <c r="E1025" i="11"/>
  <c r="D1025" i="11"/>
  <c r="C1025" i="11"/>
  <c r="B1025" i="11"/>
  <c r="A1025" i="11"/>
  <c r="Z1024" i="11"/>
  <c r="Y1024" i="11"/>
  <c r="X1024" i="11"/>
  <c r="W1024" i="11"/>
  <c r="V1024" i="11"/>
  <c r="U1024" i="11"/>
  <c r="T1024" i="11"/>
  <c r="S1024" i="11"/>
  <c r="R1024" i="11"/>
  <c r="Q1024" i="11"/>
  <c r="P1024" i="11"/>
  <c r="O1024" i="11"/>
  <c r="N1024" i="11"/>
  <c r="M1024" i="11"/>
  <c r="L1024" i="11"/>
  <c r="K1024" i="11"/>
  <c r="J1024" i="11"/>
  <c r="I1024" i="11"/>
  <c r="H1024" i="11"/>
  <c r="G1024" i="11"/>
  <c r="F1024" i="11"/>
  <c r="E1024" i="11"/>
  <c r="D1024" i="11"/>
  <c r="C1024" i="11"/>
  <c r="B1024" i="11"/>
  <c r="A1024" i="11"/>
  <c r="Z1023" i="11"/>
  <c r="Y1023" i="11"/>
  <c r="X1023" i="11"/>
  <c r="W1023" i="11"/>
  <c r="V1023" i="11"/>
  <c r="U1023" i="11"/>
  <c r="T1023" i="11"/>
  <c r="S1023" i="11"/>
  <c r="R1023" i="11"/>
  <c r="Q1023" i="11"/>
  <c r="P1023" i="11"/>
  <c r="O1023" i="11"/>
  <c r="N1023" i="11"/>
  <c r="M1023" i="11"/>
  <c r="L1023" i="11"/>
  <c r="K1023" i="11"/>
  <c r="J1023" i="11"/>
  <c r="I1023" i="11"/>
  <c r="H1023" i="11"/>
  <c r="G1023" i="11"/>
  <c r="F1023" i="11"/>
  <c r="E1023" i="11"/>
  <c r="D1023" i="11"/>
  <c r="C1023" i="11"/>
  <c r="B1023" i="11"/>
  <c r="A1023" i="11"/>
  <c r="Z1022" i="11"/>
  <c r="Y1022" i="11"/>
  <c r="X1022" i="11"/>
  <c r="W1022" i="11"/>
  <c r="V1022" i="11"/>
  <c r="U1022" i="11"/>
  <c r="T1022" i="11"/>
  <c r="S1022" i="11"/>
  <c r="R1022" i="11"/>
  <c r="Q1022" i="11"/>
  <c r="P1022" i="11"/>
  <c r="O1022" i="11"/>
  <c r="N1022" i="11"/>
  <c r="M1022" i="11"/>
  <c r="L1022" i="11"/>
  <c r="K1022" i="11"/>
  <c r="J1022" i="11"/>
  <c r="I1022" i="11"/>
  <c r="H1022" i="11"/>
  <c r="G1022" i="11"/>
  <c r="F1022" i="11"/>
  <c r="E1022" i="11"/>
  <c r="D1022" i="11"/>
  <c r="C1022" i="11"/>
  <c r="B1022" i="11"/>
  <c r="A1022" i="11"/>
  <c r="Z1021" i="11"/>
  <c r="Y1021" i="11"/>
  <c r="X1021" i="11"/>
  <c r="W1021" i="11"/>
  <c r="V1021" i="11"/>
  <c r="U1021" i="11"/>
  <c r="T1021" i="11"/>
  <c r="S1021" i="11"/>
  <c r="R1021" i="11"/>
  <c r="Q1021" i="11"/>
  <c r="P1021" i="11"/>
  <c r="O1021" i="11"/>
  <c r="N1021" i="11"/>
  <c r="M1021" i="11"/>
  <c r="L1021" i="11"/>
  <c r="K1021" i="11"/>
  <c r="J1021" i="11"/>
  <c r="I1021" i="11"/>
  <c r="H1021" i="11"/>
  <c r="G1021" i="11"/>
  <c r="F1021" i="11"/>
  <c r="E1021" i="11"/>
  <c r="D1021" i="11"/>
  <c r="C1021" i="11"/>
  <c r="B1021" i="11"/>
  <c r="A1021" i="11"/>
  <c r="Z1020" i="11"/>
  <c r="Y1020" i="11"/>
  <c r="X1020" i="11"/>
  <c r="W1020" i="11"/>
  <c r="V1020" i="11"/>
  <c r="U1020" i="11"/>
  <c r="T1020" i="11"/>
  <c r="S1020" i="11"/>
  <c r="R1020" i="11"/>
  <c r="Q1020" i="11"/>
  <c r="P1020" i="11"/>
  <c r="O1020" i="11"/>
  <c r="N1020" i="11"/>
  <c r="M1020" i="11"/>
  <c r="L1020" i="11"/>
  <c r="K1020" i="11"/>
  <c r="J1020" i="11"/>
  <c r="I1020" i="11"/>
  <c r="H1020" i="11"/>
  <c r="G1020" i="11"/>
  <c r="F1020" i="11"/>
  <c r="E1020" i="11"/>
  <c r="D1020" i="11"/>
  <c r="C1020" i="11"/>
  <c r="B1020" i="11"/>
  <c r="A1020" i="11"/>
  <c r="Z1019" i="11"/>
  <c r="X1019" i="11"/>
  <c r="W1019" i="11"/>
  <c r="V1019" i="11"/>
  <c r="U1019" i="11"/>
  <c r="S1019" i="11"/>
  <c r="R1019" i="11"/>
  <c r="P1019" i="11"/>
  <c r="O1019" i="11"/>
  <c r="N1019" i="11"/>
  <c r="M1019" i="11"/>
  <c r="K1019" i="11"/>
  <c r="J1019" i="11"/>
  <c r="H1019" i="11"/>
  <c r="G1019" i="11"/>
  <c r="F1019" i="11"/>
  <c r="E1019" i="11"/>
  <c r="C1019" i="11"/>
  <c r="B1019" i="11"/>
  <c r="Z1018" i="11"/>
  <c r="Y1018" i="11"/>
  <c r="X1018" i="11"/>
  <c r="W1018" i="11"/>
  <c r="V1018" i="11"/>
  <c r="U1018" i="11"/>
  <c r="T1018" i="11"/>
  <c r="S1018" i="11"/>
  <c r="R1018" i="11"/>
  <c r="Q1018" i="11"/>
  <c r="P1018" i="11"/>
  <c r="O1018" i="11"/>
  <c r="N1018" i="11"/>
  <c r="M1018" i="11"/>
  <c r="L1018" i="11"/>
  <c r="K1018" i="11"/>
  <c r="J1018" i="11"/>
  <c r="I1018" i="11"/>
  <c r="H1018" i="11"/>
  <c r="G1018" i="11"/>
  <c r="F1018" i="11"/>
  <c r="E1018" i="11"/>
  <c r="D1018" i="11"/>
  <c r="C1018" i="11"/>
  <c r="B1018" i="11"/>
  <c r="A1018" i="11"/>
  <c r="Z1017" i="11"/>
  <c r="Y1017" i="11"/>
  <c r="X1017" i="11"/>
  <c r="W1017" i="11"/>
  <c r="V1017" i="11"/>
  <c r="U1017" i="11"/>
  <c r="T1017" i="11"/>
  <c r="S1017" i="11"/>
  <c r="R1017" i="11"/>
  <c r="Q1017" i="11"/>
  <c r="P1017" i="11"/>
  <c r="O1017" i="11"/>
  <c r="N1017" i="11"/>
  <c r="M1017" i="11"/>
  <c r="L1017" i="11"/>
  <c r="K1017" i="11"/>
  <c r="J1017" i="11"/>
  <c r="I1017" i="11"/>
  <c r="H1017" i="11"/>
  <c r="G1017" i="11"/>
  <c r="F1017" i="11"/>
  <c r="E1017" i="11"/>
  <c r="D1017" i="11"/>
  <c r="C1017" i="11"/>
  <c r="B1017" i="11"/>
  <c r="A1017" i="11"/>
  <c r="Z1016" i="11"/>
  <c r="Y1016" i="11"/>
  <c r="X1016" i="11"/>
  <c r="W1016" i="11"/>
  <c r="V1016" i="11"/>
  <c r="U1016" i="11"/>
  <c r="T1016" i="11"/>
  <c r="S1016" i="11"/>
  <c r="R1016" i="11"/>
  <c r="Q1016" i="11"/>
  <c r="P1016" i="11"/>
  <c r="O1016" i="11"/>
  <c r="N1016" i="11"/>
  <c r="M1016" i="11"/>
  <c r="L1016" i="11"/>
  <c r="K1016" i="11"/>
  <c r="J1016" i="11"/>
  <c r="I1016" i="11"/>
  <c r="H1016" i="11"/>
  <c r="G1016" i="11"/>
  <c r="F1016" i="11"/>
  <c r="E1016" i="11"/>
  <c r="D1016" i="11"/>
  <c r="C1016" i="11"/>
  <c r="B1016" i="11"/>
  <c r="A1016" i="11"/>
  <c r="Z1015" i="11"/>
  <c r="Y1015" i="11"/>
  <c r="X1015" i="11"/>
  <c r="W1015" i="11"/>
  <c r="V1015" i="11"/>
  <c r="U1015" i="11"/>
  <c r="T1015" i="11"/>
  <c r="S1015" i="11"/>
  <c r="R1015" i="11"/>
  <c r="Q1015" i="11"/>
  <c r="P1015" i="11"/>
  <c r="O1015" i="11"/>
  <c r="N1015" i="11"/>
  <c r="M1015" i="11"/>
  <c r="L1015" i="11"/>
  <c r="K1015" i="11"/>
  <c r="J1015" i="11"/>
  <c r="I1015" i="11"/>
  <c r="H1015" i="11"/>
  <c r="G1015" i="11"/>
  <c r="F1015" i="11"/>
  <c r="E1015" i="11"/>
  <c r="D1015" i="11"/>
  <c r="C1015" i="11"/>
  <c r="B1015" i="11"/>
  <c r="A1015" i="11"/>
  <c r="Z1014" i="11"/>
  <c r="Y1014" i="11"/>
  <c r="X1014" i="11"/>
  <c r="W1014" i="11"/>
  <c r="V1014" i="11"/>
  <c r="U1014" i="11"/>
  <c r="T1014" i="11"/>
  <c r="S1014" i="11"/>
  <c r="R1014" i="11"/>
  <c r="Q1014" i="11"/>
  <c r="P1014" i="11"/>
  <c r="O1014" i="11"/>
  <c r="N1014" i="11"/>
  <c r="M1014" i="11"/>
  <c r="L1014" i="11"/>
  <c r="K1014" i="11"/>
  <c r="J1014" i="11"/>
  <c r="I1014" i="11"/>
  <c r="H1014" i="11"/>
  <c r="G1014" i="11"/>
  <c r="F1014" i="11"/>
  <c r="E1014" i="11"/>
  <c r="D1014" i="11"/>
  <c r="C1014" i="11"/>
  <c r="B1014" i="11"/>
  <c r="A1014" i="11"/>
  <c r="Z1013" i="11"/>
  <c r="Y1013" i="11"/>
  <c r="X1013" i="11"/>
  <c r="W1013" i="11"/>
  <c r="V1013" i="11"/>
  <c r="U1013" i="11"/>
  <c r="T1013" i="11"/>
  <c r="S1013" i="11"/>
  <c r="R1013" i="11"/>
  <c r="Q1013" i="11"/>
  <c r="P1013" i="11"/>
  <c r="O1013" i="11"/>
  <c r="N1013" i="11"/>
  <c r="M1013" i="11"/>
  <c r="L1013" i="11"/>
  <c r="K1013" i="11"/>
  <c r="J1013" i="11"/>
  <c r="I1013" i="11"/>
  <c r="H1013" i="11"/>
  <c r="G1013" i="11"/>
  <c r="F1013" i="11"/>
  <c r="E1013" i="11"/>
  <c r="D1013" i="11"/>
  <c r="C1013" i="11"/>
  <c r="B1013" i="11"/>
  <c r="A1013" i="11"/>
  <c r="Z1012" i="11"/>
  <c r="Y1012" i="11"/>
  <c r="X1012" i="11"/>
  <c r="W1012" i="11"/>
  <c r="V1012" i="11"/>
  <c r="U1012" i="11"/>
  <c r="T1012" i="11"/>
  <c r="S1012" i="11"/>
  <c r="R1012" i="11"/>
  <c r="Q1012" i="11"/>
  <c r="P1012" i="11"/>
  <c r="O1012" i="11"/>
  <c r="N1012" i="11"/>
  <c r="M1012" i="11"/>
  <c r="L1012" i="11"/>
  <c r="K1012" i="11"/>
  <c r="J1012" i="11"/>
  <c r="I1012" i="11"/>
  <c r="H1012" i="11"/>
  <c r="G1012" i="11"/>
  <c r="F1012" i="11"/>
  <c r="E1012" i="11"/>
  <c r="D1012" i="11"/>
  <c r="C1012" i="11"/>
  <c r="B1012" i="11"/>
  <c r="A1012" i="11"/>
  <c r="Z1011" i="11"/>
  <c r="Y1011" i="11"/>
  <c r="X1011" i="11"/>
  <c r="W1011" i="11"/>
  <c r="V1011" i="11"/>
  <c r="U1011" i="11"/>
  <c r="T1011" i="11"/>
  <c r="S1011" i="11"/>
  <c r="R1011" i="11"/>
  <c r="Q1011" i="11"/>
  <c r="P1011" i="11"/>
  <c r="O1011" i="11"/>
  <c r="N1011" i="11"/>
  <c r="M1011" i="11"/>
  <c r="L1011" i="11"/>
  <c r="K1011" i="11"/>
  <c r="J1011" i="11"/>
  <c r="I1011" i="11"/>
  <c r="H1011" i="11"/>
  <c r="G1011" i="11"/>
  <c r="F1011" i="11"/>
  <c r="E1011" i="11"/>
  <c r="D1011" i="11"/>
  <c r="C1011" i="11"/>
  <c r="B1011" i="11"/>
  <c r="A1011" i="11"/>
  <c r="Z1010" i="11"/>
  <c r="Y1010" i="11"/>
  <c r="X1010" i="11"/>
  <c r="W1010" i="11"/>
  <c r="V1010" i="11"/>
  <c r="U1010" i="11"/>
  <c r="T1010" i="11"/>
  <c r="S1010" i="11"/>
  <c r="R1010" i="11"/>
  <c r="Q1010" i="11"/>
  <c r="P1010" i="11"/>
  <c r="O1010" i="11"/>
  <c r="N1010" i="11"/>
  <c r="M1010" i="11"/>
  <c r="L1010" i="11"/>
  <c r="K1010" i="11"/>
  <c r="J1010" i="11"/>
  <c r="I1010" i="11"/>
  <c r="H1010" i="11"/>
  <c r="G1010" i="11"/>
  <c r="F1010" i="11"/>
  <c r="E1010" i="11"/>
  <c r="D1010" i="11"/>
  <c r="C1010" i="11"/>
  <c r="B1010" i="11"/>
  <c r="A1010" i="11"/>
  <c r="Z1009" i="11"/>
  <c r="Y1009" i="11"/>
  <c r="X1009" i="11"/>
  <c r="W1009" i="11"/>
  <c r="V1009" i="11"/>
  <c r="U1009" i="11"/>
  <c r="T1009" i="11"/>
  <c r="S1009" i="11"/>
  <c r="R1009" i="11"/>
  <c r="Q1009" i="11"/>
  <c r="P1009" i="11"/>
  <c r="O1009" i="11"/>
  <c r="N1009" i="11"/>
  <c r="M1009" i="11"/>
  <c r="L1009" i="11"/>
  <c r="K1009" i="11"/>
  <c r="J1009" i="11"/>
  <c r="I1009" i="11"/>
  <c r="H1009" i="11"/>
  <c r="G1009" i="11"/>
  <c r="F1009" i="11"/>
  <c r="E1009" i="11"/>
  <c r="D1009" i="11"/>
  <c r="C1009" i="11"/>
  <c r="B1009" i="11"/>
  <c r="A1009" i="11"/>
  <c r="Z1008" i="11"/>
  <c r="Y1008" i="11"/>
  <c r="X1008" i="11"/>
  <c r="W1008" i="11"/>
  <c r="V1008" i="11"/>
  <c r="U1008" i="11"/>
  <c r="T1008" i="11"/>
  <c r="S1008" i="11"/>
  <c r="R1008" i="11"/>
  <c r="Q1008" i="11"/>
  <c r="P1008" i="11"/>
  <c r="O1008" i="11"/>
  <c r="N1008" i="11"/>
  <c r="M1008" i="11"/>
  <c r="L1008" i="11"/>
  <c r="K1008" i="11"/>
  <c r="J1008" i="11"/>
  <c r="I1008" i="11"/>
  <c r="H1008" i="11"/>
  <c r="G1008" i="11"/>
  <c r="F1008" i="11"/>
  <c r="E1008" i="11"/>
  <c r="D1008" i="11"/>
  <c r="C1008" i="11"/>
  <c r="B1008" i="11"/>
  <c r="A1008" i="11"/>
  <c r="Z1007" i="11"/>
  <c r="Y1007" i="11"/>
  <c r="X1007" i="11"/>
  <c r="W1007" i="11"/>
  <c r="V1007" i="11"/>
  <c r="U1007" i="11"/>
  <c r="T1007" i="11"/>
  <c r="S1007" i="11"/>
  <c r="R1007" i="11"/>
  <c r="Q1007" i="11"/>
  <c r="P1007" i="11"/>
  <c r="O1007" i="11"/>
  <c r="N1007" i="11"/>
  <c r="M1007" i="11"/>
  <c r="L1007" i="11"/>
  <c r="K1007" i="11"/>
  <c r="J1007" i="11"/>
  <c r="I1007" i="11"/>
  <c r="H1007" i="11"/>
  <c r="G1007" i="11"/>
  <c r="F1007" i="11"/>
  <c r="E1007" i="11"/>
  <c r="D1007" i="11"/>
  <c r="C1007" i="11"/>
  <c r="B1007" i="11"/>
  <c r="A1007" i="11"/>
  <c r="Z1006" i="11"/>
  <c r="Y1006" i="11"/>
  <c r="X1006" i="11"/>
  <c r="W1006" i="11"/>
  <c r="V1006" i="11"/>
  <c r="U1006" i="11"/>
  <c r="T1006" i="11"/>
  <c r="S1006" i="11"/>
  <c r="R1006" i="11"/>
  <c r="Q1006" i="11"/>
  <c r="P1006" i="11"/>
  <c r="O1006" i="11"/>
  <c r="N1006" i="11"/>
  <c r="M1006" i="11"/>
  <c r="L1006" i="11"/>
  <c r="K1006" i="11"/>
  <c r="J1006" i="11"/>
  <c r="I1006" i="11"/>
  <c r="H1006" i="11"/>
  <c r="G1006" i="11"/>
  <c r="F1006" i="11"/>
  <c r="E1006" i="11"/>
  <c r="D1006" i="11"/>
  <c r="C1006" i="11"/>
  <c r="B1006" i="11"/>
  <c r="A1006" i="11"/>
  <c r="Z1005" i="11"/>
  <c r="Y1005" i="11"/>
  <c r="X1005" i="11"/>
  <c r="W1005" i="11"/>
  <c r="V1005" i="11"/>
  <c r="U1005" i="11"/>
  <c r="T1005" i="11"/>
  <c r="S1005" i="11"/>
  <c r="R1005" i="11"/>
  <c r="Q1005" i="11"/>
  <c r="P1005" i="11"/>
  <c r="O1005" i="11"/>
  <c r="N1005" i="11"/>
  <c r="M1005" i="11"/>
  <c r="L1005" i="11"/>
  <c r="K1005" i="11"/>
  <c r="J1005" i="11"/>
  <c r="I1005" i="11"/>
  <c r="H1005" i="11"/>
  <c r="G1005" i="11"/>
  <c r="F1005" i="11"/>
  <c r="E1005" i="11"/>
  <c r="D1005" i="11"/>
  <c r="C1005" i="11"/>
  <c r="B1005" i="11"/>
  <c r="A1005" i="11"/>
  <c r="Z1004" i="11"/>
  <c r="Y1004" i="11"/>
  <c r="X1004" i="11"/>
  <c r="W1004" i="11"/>
  <c r="V1004" i="11"/>
  <c r="U1004" i="11"/>
  <c r="T1004" i="11"/>
  <c r="S1004" i="11"/>
  <c r="R1004" i="11"/>
  <c r="Q1004" i="11"/>
  <c r="P1004" i="11"/>
  <c r="O1004" i="11"/>
  <c r="N1004" i="11"/>
  <c r="M1004" i="11"/>
  <c r="L1004" i="11"/>
  <c r="K1004" i="11"/>
  <c r="J1004" i="11"/>
  <c r="I1004" i="11"/>
  <c r="H1004" i="11"/>
  <c r="G1004" i="11"/>
  <c r="F1004" i="11"/>
  <c r="E1004" i="11"/>
  <c r="D1004" i="11"/>
  <c r="C1004" i="11"/>
  <c r="B1004" i="11"/>
  <c r="A1004" i="11"/>
  <c r="Z1003" i="11"/>
  <c r="Y1003" i="11"/>
  <c r="X1003" i="11"/>
  <c r="W1003" i="11"/>
  <c r="V1003" i="11"/>
  <c r="U1003" i="11"/>
  <c r="T1003" i="11"/>
  <c r="S1003" i="11"/>
  <c r="R1003" i="11"/>
  <c r="Q1003" i="11"/>
  <c r="P1003" i="11"/>
  <c r="O1003" i="11"/>
  <c r="N1003" i="11"/>
  <c r="M1003" i="11"/>
  <c r="L1003" i="11"/>
  <c r="K1003" i="11"/>
  <c r="J1003" i="11"/>
  <c r="I1003" i="11"/>
  <c r="H1003" i="11"/>
  <c r="G1003" i="11"/>
  <c r="F1003" i="11"/>
  <c r="E1003" i="11"/>
  <c r="D1003" i="11"/>
  <c r="C1003" i="11"/>
  <c r="B1003" i="11"/>
  <c r="A1003" i="11"/>
  <c r="Z1002" i="11"/>
  <c r="Y1002" i="11"/>
  <c r="X1002" i="11"/>
  <c r="W1002" i="11"/>
  <c r="V1002" i="11"/>
  <c r="U1002" i="11"/>
  <c r="T1002" i="11"/>
  <c r="S1002" i="11"/>
  <c r="R1002" i="11"/>
  <c r="Q1002" i="11"/>
  <c r="P1002" i="11"/>
  <c r="O1002" i="11"/>
  <c r="N1002" i="11"/>
  <c r="M1002" i="11"/>
  <c r="L1002" i="11"/>
  <c r="K1002" i="11"/>
  <c r="J1002" i="11"/>
  <c r="I1002" i="11"/>
  <c r="H1002" i="11"/>
  <c r="G1002" i="11"/>
  <c r="F1002" i="11"/>
  <c r="E1002" i="11"/>
  <c r="D1002" i="11"/>
  <c r="C1002" i="11"/>
  <c r="B1002" i="11"/>
  <c r="A1002" i="11"/>
  <c r="Z1001" i="11"/>
  <c r="Y1001" i="11"/>
  <c r="X1001" i="11"/>
  <c r="W1001" i="11"/>
  <c r="V1001" i="11"/>
  <c r="U1001" i="11"/>
  <c r="T1001" i="11"/>
  <c r="S1001" i="11"/>
  <c r="R1001" i="11"/>
  <c r="Q1001" i="11"/>
  <c r="P1001" i="11"/>
  <c r="O1001" i="11"/>
  <c r="N1001" i="11"/>
  <c r="M1001" i="11"/>
  <c r="L1001" i="11"/>
  <c r="K1001" i="11"/>
  <c r="J1001" i="11"/>
  <c r="I1001" i="11"/>
  <c r="H1001" i="11"/>
  <c r="G1001" i="11"/>
  <c r="F1001" i="11"/>
  <c r="E1001" i="11"/>
  <c r="D1001" i="11"/>
  <c r="C1001" i="11"/>
  <c r="B1001" i="11"/>
  <c r="A1001" i="11"/>
  <c r="Z1000" i="11"/>
  <c r="Y1000" i="11"/>
  <c r="X1000" i="11"/>
  <c r="W1000" i="11"/>
  <c r="V1000" i="11"/>
  <c r="U1000" i="11"/>
  <c r="T1000" i="11"/>
  <c r="S1000" i="11"/>
  <c r="R1000" i="11"/>
  <c r="Q1000" i="11"/>
  <c r="P1000" i="11"/>
  <c r="O1000" i="11"/>
  <c r="N1000" i="11"/>
  <c r="M1000" i="11"/>
  <c r="L1000" i="11"/>
  <c r="K1000" i="11"/>
  <c r="J1000" i="11"/>
  <c r="I1000" i="11"/>
  <c r="H1000" i="11"/>
  <c r="G1000" i="11"/>
  <c r="F1000" i="11"/>
  <c r="E1000" i="11"/>
  <c r="D1000" i="11"/>
  <c r="C1000" i="11"/>
  <c r="B1000" i="11"/>
  <c r="A1000" i="11"/>
  <c r="Z999" i="11"/>
  <c r="Y999" i="11"/>
  <c r="X999" i="11"/>
  <c r="W999" i="11"/>
  <c r="V999" i="11"/>
  <c r="U999" i="11"/>
  <c r="T999" i="11"/>
  <c r="S999" i="11"/>
  <c r="R999" i="11"/>
  <c r="Q999" i="11"/>
  <c r="P999" i="11"/>
  <c r="O999" i="11"/>
  <c r="N999" i="11"/>
  <c r="M999" i="11"/>
  <c r="L999" i="11"/>
  <c r="K999" i="11"/>
  <c r="J999" i="11"/>
  <c r="I999" i="11"/>
  <c r="H999" i="11"/>
  <c r="G999" i="11"/>
  <c r="F999" i="11"/>
  <c r="E999" i="11"/>
  <c r="D999" i="11"/>
  <c r="C999" i="11"/>
  <c r="B999" i="11"/>
  <c r="A999" i="11"/>
  <c r="Z998" i="11"/>
  <c r="Y998" i="11"/>
  <c r="X998" i="11"/>
  <c r="W998" i="11"/>
  <c r="V998" i="11"/>
  <c r="U998" i="11"/>
  <c r="T998" i="11"/>
  <c r="S998" i="11"/>
  <c r="R998" i="11"/>
  <c r="Q998" i="11"/>
  <c r="P998" i="11"/>
  <c r="O998" i="11"/>
  <c r="N998" i="11"/>
  <c r="M998" i="11"/>
  <c r="L998" i="11"/>
  <c r="K998" i="11"/>
  <c r="J998" i="11"/>
  <c r="I998" i="11"/>
  <c r="H998" i="11"/>
  <c r="G998" i="11"/>
  <c r="F998" i="11"/>
  <c r="E998" i="11"/>
  <c r="D998" i="11"/>
  <c r="C998" i="11"/>
  <c r="B998" i="11"/>
  <c r="A998" i="11"/>
  <c r="Z997" i="11"/>
  <c r="Y997" i="11"/>
  <c r="X997" i="11"/>
  <c r="W997" i="11"/>
  <c r="V997" i="11"/>
  <c r="U997" i="11"/>
  <c r="T997" i="11"/>
  <c r="S997" i="11"/>
  <c r="R997" i="11"/>
  <c r="Q997" i="11"/>
  <c r="P997" i="11"/>
  <c r="O997" i="11"/>
  <c r="N997" i="11"/>
  <c r="M997" i="11"/>
  <c r="L997" i="11"/>
  <c r="K997" i="11"/>
  <c r="J997" i="11"/>
  <c r="I997" i="11"/>
  <c r="H997" i="11"/>
  <c r="G997" i="11"/>
  <c r="F997" i="11"/>
  <c r="E997" i="11"/>
  <c r="D997" i="11"/>
  <c r="C997" i="11"/>
  <c r="B997" i="11"/>
  <c r="A997" i="11"/>
  <c r="Z996" i="11"/>
  <c r="Y996" i="11"/>
  <c r="X996" i="11"/>
  <c r="W996" i="11"/>
  <c r="V996" i="11"/>
  <c r="U996" i="11"/>
  <c r="T996" i="11"/>
  <c r="S996" i="11"/>
  <c r="R996" i="11"/>
  <c r="Q996" i="11"/>
  <c r="P996" i="11"/>
  <c r="O996" i="11"/>
  <c r="N996" i="11"/>
  <c r="M996" i="11"/>
  <c r="L996" i="11"/>
  <c r="K996" i="11"/>
  <c r="J996" i="11"/>
  <c r="I996" i="11"/>
  <c r="H996" i="11"/>
  <c r="G996" i="11"/>
  <c r="F996" i="11"/>
  <c r="E996" i="11"/>
  <c r="D996" i="11"/>
  <c r="C996" i="11"/>
  <c r="B996" i="11"/>
  <c r="A996" i="11"/>
  <c r="Z995" i="11"/>
  <c r="Y995" i="11"/>
  <c r="X995" i="11"/>
  <c r="W995" i="11"/>
  <c r="V995" i="11"/>
  <c r="U995" i="11"/>
  <c r="T995" i="11"/>
  <c r="S995" i="11"/>
  <c r="R995" i="11"/>
  <c r="Q995" i="11"/>
  <c r="P995" i="11"/>
  <c r="O995" i="11"/>
  <c r="N995" i="11"/>
  <c r="M995" i="11"/>
  <c r="L995" i="11"/>
  <c r="K995" i="11"/>
  <c r="J995" i="11"/>
  <c r="I995" i="11"/>
  <c r="H995" i="11"/>
  <c r="G995" i="11"/>
  <c r="F995" i="11"/>
  <c r="E995" i="11"/>
  <c r="D995" i="11"/>
  <c r="C995" i="11"/>
  <c r="B995" i="11"/>
  <c r="A995" i="11"/>
  <c r="Z994" i="11"/>
  <c r="Y994" i="11"/>
  <c r="X994" i="11"/>
  <c r="W994" i="11"/>
  <c r="V994" i="11"/>
  <c r="U994" i="11"/>
  <c r="T994" i="11"/>
  <c r="S994" i="11"/>
  <c r="R994" i="11"/>
  <c r="Q994" i="11"/>
  <c r="P994" i="11"/>
  <c r="O994" i="11"/>
  <c r="N994" i="11"/>
  <c r="M994" i="11"/>
  <c r="L994" i="11"/>
  <c r="K994" i="11"/>
  <c r="J994" i="11"/>
  <c r="I994" i="11"/>
  <c r="H994" i="11"/>
  <c r="G994" i="11"/>
  <c r="F994" i="11"/>
  <c r="E994" i="11"/>
  <c r="D994" i="11"/>
  <c r="C994" i="11"/>
  <c r="B994" i="11"/>
  <c r="A994" i="11"/>
  <c r="Z993" i="11"/>
  <c r="Y993" i="11"/>
  <c r="X993" i="11"/>
  <c r="W993" i="11"/>
  <c r="V993" i="11"/>
  <c r="U993" i="11"/>
  <c r="T993" i="11"/>
  <c r="S993" i="11"/>
  <c r="R993" i="11"/>
  <c r="Q993" i="11"/>
  <c r="P993" i="11"/>
  <c r="O993" i="11"/>
  <c r="N993" i="11"/>
  <c r="M993" i="11"/>
  <c r="L993" i="11"/>
  <c r="K993" i="11"/>
  <c r="J993" i="11"/>
  <c r="I993" i="11"/>
  <c r="H993" i="11"/>
  <c r="G993" i="11"/>
  <c r="F993" i="11"/>
  <c r="E993" i="11"/>
  <c r="D993" i="11"/>
  <c r="C993" i="11"/>
  <c r="B993" i="11"/>
  <c r="A993" i="11"/>
  <c r="Z992" i="11"/>
  <c r="Y992" i="11"/>
  <c r="X992" i="11"/>
  <c r="W992" i="11"/>
  <c r="V992" i="11"/>
  <c r="U992" i="11"/>
  <c r="T992" i="11"/>
  <c r="S992" i="11"/>
  <c r="R992" i="11"/>
  <c r="Q992" i="11"/>
  <c r="P992" i="11"/>
  <c r="O992" i="11"/>
  <c r="N992" i="11"/>
  <c r="M992" i="11"/>
  <c r="L992" i="11"/>
  <c r="K992" i="11"/>
  <c r="J992" i="11"/>
  <c r="I992" i="11"/>
  <c r="H992" i="11"/>
  <c r="G992" i="11"/>
  <c r="F992" i="11"/>
  <c r="E992" i="11"/>
  <c r="D992" i="11"/>
  <c r="C992" i="11"/>
  <c r="B992" i="11"/>
  <c r="A992" i="11"/>
  <c r="Z991" i="11"/>
  <c r="Y991" i="11"/>
  <c r="X991" i="11"/>
  <c r="W991" i="11"/>
  <c r="V991" i="11"/>
  <c r="U991" i="11"/>
  <c r="T991" i="11"/>
  <c r="S991" i="11"/>
  <c r="R991" i="11"/>
  <c r="Q991" i="11"/>
  <c r="P991" i="11"/>
  <c r="O991" i="11"/>
  <c r="N991" i="11"/>
  <c r="M991" i="11"/>
  <c r="L991" i="11"/>
  <c r="K991" i="11"/>
  <c r="J991" i="11"/>
  <c r="I991" i="11"/>
  <c r="H991" i="11"/>
  <c r="G991" i="11"/>
  <c r="F991" i="11"/>
  <c r="E991" i="11"/>
  <c r="D991" i="11"/>
  <c r="C991" i="11"/>
  <c r="B991" i="11"/>
  <c r="A991" i="11"/>
  <c r="Z990" i="11"/>
  <c r="Y990" i="11"/>
  <c r="X990" i="11"/>
  <c r="W990" i="11"/>
  <c r="V990" i="11"/>
  <c r="U990" i="11"/>
  <c r="T990" i="11"/>
  <c r="S990" i="11"/>
  <c r="R990" i="11"/>
  <c r="Q990" i="11"/>
  <c r="P990" i="11"/>
  <c r="O990" i="11"/>
  <c r="N990" i="11"/>
  <c r="M990" i="11"/>
  <c r="L990" i="11"/>
  <c r="K990" i="11"/>
  <c r="J990" i="11"/>
  <c r="I990" i="11"/>
  <c r="H990" i="11"/>
  <c r="G990" i="11"/>
  <c r="F990" i="11"/>
  <c r="E990" i="11"/>
  <c r="D990" i="11"/>
  <c r="C990" i="11"/>
  <c r="B990" i="11"/>
  <c r="A990" i="11"/>
  <c r="Z989" i="11"/>
  <c r="Y989" i="11"/>
  <c r="X989" i="11"/>
  <c r="W989" i="11"/>
  <c r="V989" i="11"/>
  <c r="U989" i="11"/>
  <c r="T989" i="11"/>
  <c r="S989" i="11"/>
  <c r="R989" i="11"/>
  <c r="Q989" i="11"/>
  <c r="P989" i="11"/>
  <c r="O989" i="11"/>
  <c r="N989" i="11"/>
  <c r="M989" i="11"/>
  <c r="L989" i="11"/>
  <c r="K989" i="11"/>
  <c r="J989" i="11"/>
  <c r="I989" i="11"/>
  <c r="H989" i="11"/>
  <c r="G989" i="11"/>
  <c r="F989" i="11"/>
  <c r="E989" i="11"/>
  <c r="D989" i="11"/>
  <c r="C989" i="11"/>
  <c r="B989" i="11"/>
  <c r="A989" i="11"/>
  <c r="Z988" i="11"/>
  <c r="Y988" i="11"/>
  <c r="X988" i="11"/>
  <c r="W988" i="11"/>
  <c r="V988" i="11"/>
  <c r="U988" i="11"/>
  <c r="T988" i="11"/>
  <c r="S988" i="11"/>
  <c r="R988" i="11"/>
  <c r="Q988" i="11"/>
  <c r="P988" i="11"/>
  <c r="O988" i="11"/>
  <c r="N988" i="11"/>
  <c r="M988" i="11"/>
  <c r="L988" i="11"/>
  <c r="K988" i="11"/>
  <c r="J988" i="11"/>
  <c r="I988" i="11"/>
  <c r="H988" i="11"/>
  <c r="G988" i="11"/>
  <c r="F988" i="11"/>
  <c r="E988" i="11"/>
  <c r="D988" i="11"/>
  <c r="C988" i="11"/>
  <c r="B988" i="11"/>
  <c r="A988" i="11"/>
  <c r="Z987" i="11"/>
  <c r="X987" i="11"/>
  <c r="W987" i="11"/>
  <c r="V987" i="11"/>
  <c r="U987" i="11"/>
  <c r="S987" i="11"/>
  <c r="R987" i="11"/>
  <c r="P987" i="11"/>
  <c r="O987" i="11"/>
  <c r="N987" i="11"/>
  <c r="M987" i="11"/>
  <c r="K987" i="11"/>
  <c r="J987" i="11"/>
  <c r="H987" i="11"/>
  <c r="G987" i="11"/>
  <c r="F987" i="11"/>
  <c r="E987" i="11"/>
  <c r="C987" i="11"/>
  <c r="B987" i="11"/>
  <c r="Z986" i="11"/>
  <c r="Y986" i="11"/>
  <c r="X986" i="11"/>
  <c r="W986" i="11"/>
  <c r="V986" i="11"/>
  <c r="U986" i="11"/>
  <c r="T986" i="11"/>
  <c r="S986" i="11"/>
  <c r="R986" i="11"/>
  <c r="Q986" i="11"/>
  <c r="P986" i="11"/>
  <c r="O986" i="11"/>
  <c r="N986" i="11"/>
  <c r="M986" i="11"/>
  <c r="L986" i="11"/>
  <c r="K986" i="11"/>
  <c r="J986" i="11"/>
  <c r="I986" i="11"/>
  <c r="H986" i="11"/>
  <c r="G986" i="11"/>
  <c r="F986" i="11"/>
  <c r="E986" i="11"/>
  <c r="D986" i="11"/>
  <c r="C986" i="11"/>
  <c r="B986" i="11"/>
  <c r="A986" i="11"/>
  <c r="Z985" i="11"/>
  <c r="Y985" i="11"/>
  <c r="X985" i="11"/>
  <c r="W985" i="11"/>
  <c r="V985" i="11"/>
  <c r="U985" i="11"/>
  <c r="T985" i="11"/>
  <c r="S985" i="11"/>
  <c r="R985" i="11"/>
  <c r="Q985" i="11"/>
  <c r="P985" i="11"/>
  <c r="O985" i="11"/>
  <c r="N985" i="11"/>
  <c r="M985" i="11"/>
  <c r="L985" i="11"/>
  <c r="K985" i="11"/>
  <c r="J985" i="11"/>
  <c r="I985" i="11"/>
  <c r="H985" i="11"/>
  <c r="G985" i="11"/>
  <c r="F985" i="11"/>
  <c r="E985" i="11"/>
  <c r="D985" i="11"/>
  <c r="C985" i="11"/>
  <c r="B985" i="11"/>
  <c r="A985" i="11"/>
  <c r="Z984" i="11"/>
  <c r="Y984" i="11"/>
  <c r="X984" i="11"/>
  <c r="W984" i="11"/>
  <c r="V984" i="11"/>
  <c r="U984" i="11"/>
  <c r="T984" i="11"/>
  <c r="S984" i="11"/>
  <c r="R984" i="11"/>
  <c r="Q984" i="11"/>
  <c r="P984" i="11"/>
  <c r="O984" i="11"/>
  <c r="N984" i="11"/>
  <c r="M984" i="11"/>
  <c r="L984" i="11"/>
  <c r="K984" i="11"/>
  <c r="J984" i="11"/>
  <c r="I984" i="11"/>
  <c r="H984" i="11"/>
  <c r="G984" i="11"/>
  <c r="F984" i="11"/>
  <c r="E984" i="11"/>
  <c r="D984" i="11"/>
  <c r="C984" i="11"/>
  <c r="B984" i="11"/>
  <c r="A984" i="11"/>
  <c r="Z983" i="11"/>
  <c r="Y983" i="11"/>
  <c r="X983" i="11"/>
  <c r="W983" i="11"/>
  <c r="V983" i="11"/>
  <c r="U983" i="11"/>
  <c r="T983" i="11"/>
  <c r="S983" i="11"/>
  <c r="R983" i="11"/>
  <c r="Q983" i="11"/>
  <c r="P983" i="11"/>
  <c r="O983" i="11"/>
  <c r="N983" i="11"/>
  <c r="M983" i="11"/>
  <c r="L983" i="11"/>
  <c r="K983" i="11"/>
  <c r="J983" i="11"/>
  <c r="I983" i="11"/>
  <c r="H983" i="11"/>
  <c r="G983" i="11"/>
  <c r="F983" i="11"/>
  <c r="E983" i="11"/>
  <c r="D983" i="11"/>
  <c r="C983" i="11"/>
  <c r="B983" i="11"/>
  <c r="A983" i="11"/>
  <c r="Z982" i="11"/>
  <c r="Y982" i="11"/>
  <c r="X982" i="11"/>
  <c r="W982" i="11"/>
  <c r="V982" i="11"/>
  <c r="U982" i="11"/>
  <c r="T982" i="11"/>
  <c r="S982" i="11"/>
  <c r="R982" i="11"/>
  <c r="Q982" i="11"/>
  <c r="P982" i="11"/>
  <c r="O982" i="11"/>
  <c r="N982" i="11"/>
  <c r="M982" i="11"/>
  <c r="L982" i="11"/>
  <c r="K982" i="11"/>
  <c r="J982" i="11"/>
  <c r="I982" i="11"/>
  <c r="H982" i="11"/>
  <c r="G982" i="11"/>
  <c r="F982" i="11"/>
  <c r="E982" i="11"/>
  <c r="D982" i="11"/>
  <c r="C982" i="11"/>
  <c r="B982" i="11"/>
  <c r="A982" i="11"/>
  <c r="T981" i="11"/>
  <c r="J981" i="11"/>
  <c r="Z980" i="11"/>
  <c r="Y980" i="11"/>
  <c r="X980" i="11"/>
  <c r="W980" i="11"/>
  <c r="V980" i="11"/>
  <c r="U980" i="11"/>
  <c r="T980" i="11"/>
  <c r="S980" i="11"/>
  <c r="R980" i="11"/>
  <c r="Q980" i="11"/>
  <c r="P980" i="11"/>
  <c r="O980" i="11"/>
  <c r="N980" i="11"/>
  <c r="M980" i="11"/>
  <c r="L980" i="11"/>
  <c r="K980" i="11"/>
  <c r="J980" i="11"/>
  <c r="I980" i="11"/>
  <c r="H980" i="11"/>
  <c r="G980" i="11"/>
  <c r="F980" i="11"/>
  <c r="E980" i="11"/>
  <c r="D980" i="11"/>
  <c r="C980" i="11"/>
  <c r="B980" i="11"/>
  <c r="A980" i="11"/>
  <c r="Z979" i="11"/>
  <c r="Y979" i="11"/>
  <c r="X979" i="11"/>
  <c r="W979" i="11"/>
  <c r="V979" i="11"/>
  <c r="U979" i="11"/>
  <c r="T979" i="11"/>
  <c r="S979" i="11"/>
  <c r="R979" i="11"/>
  <c r="Q979" i="11"/>
  <c r="P979" i="11"/>
  <c r="O979" i="11"/>
  <c r="N979" i="11"/>
  <c r="M979" i="11"/>
  <c r="L979" i="11"/>
  <c r="K979" i="11"/>
  <c r="J979" i="11"/>
  <c r="I979" i="11"/>
  <c r="H979" i="11"/>
  <c r="G979" i="11"/>
  <c r="F979" i="11"/>
  <c r="E979" i="11"/>
  <c r="D979" i="11"/>
  <c r="C979" i="11"/>
  <c r="B979" i="11"/>
  <c r="A979" i="11"/>
  <c r="Z978" i="11"/>
  <c r="Y978" i="11"/>
  <c r="X978" i="11"/>
  <c r="W978" i="11"/>
  <c r="V978" i="11"/>
  <c r="U978" i="11"/>
  <c r="T978" i="11"/>
  <c r="S978" i="11"/>
  <c r="R978" i="11"/>
  <c r="Q978" i="11"/>
  <c r="P978" i="11"/>
  <c r="O978" i="11"/>
  <c r="N978" i="11"/>
  <c r="M978" i="11"/>
  <c r="L978" i="11"/>
  <c r="K978" i="11"/>
  <c r="J978" i="11"/>
  <c r="I978" i="11"/>
  <c r="H978" i="11"/>
  <c r="G978" i="11"/>
  <c r="F978" i="11"/>
  <c r="E978" i="11"/>
  <c r="D978" i="11"/>
  <c r="C978" i="11"/>
  <c r="B978" i="11"/>
  <c r="A978" i="11"/>
  <c r="Z977" i="11"/>
  <c r="Y977" i="11"/>
  <c r="X977" i="11"/>
  <c r="W977" i="11"/>
  <c r="V977" i="11"/>
  <c r="U977" i="11"/>
  <c r="T977" i="11"/>
  <c r="S977" i="11"/>
  <c r="R977" i="11"/>
  <c r="Q977" i="11"/>
  <c r="P977" i="11"/>
  <c r="O977" i="11"/>
  <c r="N977" i="11"/>
  <c r="M977" i="11"/>
  <c r="L977" i="11"/>
  <c r="K977" i="11"/>
  <c r="J977" i="11"/>
  <c r="I977" i="11"/>
  <c r="H977" i="11"/>
  <c r="G977" i="11"/>
  <c r="F977" i="11"/>
  <c r="E977" i="11"/>
  <c r="D977" i="11"/>
  <c r="C977" i="11"/>
  <c r="B977" i="11"/>
  <c r="A977" i="11"/>
  <c r="Z976" i="11"/>
  <c r="Y976" i="11"/>
  <c r="X976" i="11"/>
  <c r="W976" i="11"/>
  <c r="V976" i="11"/>
  <c r="U976" i="11"/>
  <c r="T976" i="11"/>
  <c r="S976" i="11"/>
  <c r="R976" i="11"/>
  <c r="Q976" i="11"/>
  <c r="P976" i="11"/>
  <c r="O976" i="11"/>
  <c r="N976" i="11"/>
  <c r="M976" i="11"/>
  <c r="L976" i="11"/>
  <c r="K976" i="11"/>
  <c r="J976" i="11"/>
  <c r="I976" i="11"/>
  <c r="H976" i="11"/>
  <c r="G976" i="11"/>
  <c r="F976" i="11"/>
  <c r="E976" i="11"/>
  <c r="D976" i="11"/>
  <c r="C976" i="11"/>
  <c r="B976" i="11"/>
  <c r="A976" i="11"/>
  <c r="Z975" i="11"/>
  <c r="Y975" i="11"/>
  <c r="X975" i="11"/>
  <c r="W975" i="11"/>
  <c r="V975" i="11"/>
  <c r="U975" i="11"/>
  <c r="T975" i="11"/>
  <c r="S975" i="11"/>
  <c r="R975" i="11"/>
  <c r="Q975" i="11"/>
  <c r="P975" i="11"/>
  <c r="O975" i="11"/>
  <c r="N975" i="11"/>
  <c r="M975" i="11"/>
  <c r="L975" i="11"/>
  <c r="K975" i="11"/>
  <c r="J975" i="11"/>
  <c r="I975" i="11"/>
  <c r="H975" i="11"/>
  <c r="G975" i="11"/>
  <c r="F975" i="11"/>
  <c r="E975" i="11"/>
  <c r="D975" i="11"/>
  <c r="C975" i="11"/>
  <c r="B975" i="11"/>
  <c r="A975" i="11"/>
  <c r="Z974" i="11"/>
  <c r="Y974" i="11"/>
  <c r="X974" i="11"/>
  <c r="W974" i="11"/>
  <c r="V974" i="11"/>
  <c r="U974" i="11"/>
  <c r="T974" i="11"/>
  <c r="S974" i="11"/>
  <c r="R974" i="11"/>
  <c r="Q974" i="11"/>
  <c r="P974" i="11"/>
  <c r="O974" i="11"/>
  <c r="N974" i="11"/>
  <c r="M974" i="11"/>
  <c r="L974" i="11"/>
  <c r="K974" i="11"/>
  <c r="J974" i="11"/>
  <c r="I974" i="11"/>
  <c r="H974" i="11"/>
  <c r="G974" i="11"/>
  <c r="F974" i="11"/>
  <c r="E974" i="11"/>
  <c r="D974" i="11"/>
  <c r="C974" i="11"/>
  <c r="B974" i="11"/>
  <c r="A974" i="11"/>
  <c r="Z973" i="11"/>
  <c r="Y973" i="11"/>
  <c r="X973" i="11"/>
  <c r="W973" i="11"/>
  <c r="V973" i="11"/>
  <c r="U973" i="11"/>
  <c r="T973" i="11"/>
  <c r="S973" i="11"/>
  <c r="R973" i="11"/>
  <c r="Q973" i="11"/>
  <c r="P973" i="11"/>
  <c r="O973" i="11"/>
  <c r="N973" i="11"/>
  <c r="M973" i="11"/>
  <c r="L973" i="11"/>
  <c r="K973" i="11"/>
  <c r="J973" i="11"/>
  <c r="I973" i="11"/>
  <c r="H973" i="11"/>
  <c r="G973" i="11"/>
  <c r="F973" i="11"/>
  <c r="E973" i="11"/>
  <c r="D973" i="11"/>
  <c r="C973" i="11"/>
  <c r="B973" i="11"/>
  <c r="A973" i="11"/>
  <c r="Z972" i="11"/>
  <c r="Y972" i="11"/>
  <c r="X972" i="11"/>
  <c r="W972" i="11"/>
  <c r="V972" i="11"/>
  <c r="U972" i="11"/>
  <c r="T972" i="11"/>
  <c r="S972" i="11"/>
  <c r="R972" i="11"/>
  <c r="Q972" i="11"/>
  <c r="P972" i="11"/>
  <c r="O972" i="11"/>
  <c r="N972" i="11"/>
  <c r="M972" i="11"/>
  <c r="L972" i="11"/>
  <c r="K972" i="11"/>
  <c r="J972" i="11"/>
  <c r="I972" i="11"/>
  <c r="H972" i="11"/>
  <c r="G972" i="11"/>
  <c r="F972" i="11"/>
  <c r="E972" i="11"/>
  <c r="D972" i="11"/>
  <c r="C972" i="11"/>
  <c r="B972" i="11"/>
  <c r="A972" i="11"/>
  <c r="Z971" i="11"/>
  <c r="Y971" i="11"/>
  <c r="X971" i="11"/>
  <c r="W971" i="11"/>
  <c r="V971" i="11"/>
  <c r="U971" i="11"/>
  <c r="T971" i="11"/>
  <c r="S971" i="11"/>
  <c r="R971" i="11"/>
  <c r="Q971" i="11"/>
  <c r="P971" i="11"/>
  <c r="O971" i="11"/>
  <c r="N971" i="11"/>
  <c r="M971" i="11"/>
  <c r="L971" i="11"/>
  <c r="K971" i="11"/>
  <c r="J971" i="11"/>
  <c r="I971" i="11"/>
  <c r="H971" i="11"/>
  <c r="G971" i="11"/>
  <c r="F971" i="11"/>
  <c r="E971" i="11"/>
  <c r="D971" i="11"/>
  <c r="C971" i="11"/>
  <c r="B971" i="11"/>
  <c r="A971" i="11"/>
  <c r="Z970" i="11"/>
  <c r="Y970" i="11"/>
  <c r="X970" i="11"/>
  <c r="W970" i="11"/>
  <c r="V970" i="11"/>
  <c r="U970" i="11"/>
  <c r="T970" i="11"/>
  <c r="S970" i="11"/>
  <c r="R970" i="11"/>
  <c r="Q970" i="11"/>
  <c r="P970" i="11"/>
  <c r="O970" i="11"/>
  <c r="N970" i="11"/>
  <c r="M970" i="11"/>
  <c r="L970" i="11"/>
  <c r="K970" i="11"/>
  <c r="J970" i="11"/>
  <c r="I970" i="11"/>
  <c r="H970" i="11"/>
  <c r="G970" i="11"/>
  <c r="F970" i="11"/>
  <c r="E970" i="11"/>
  <c r="D970" i="11"/>
  <c r="C970" i="11"/>
  <c r="B970" i="11"/>
  <c r="A970" i="11"/>
  <c r="Z969" i="11"/>
  <c r="Y969" i="11"/>
  <c r="X969" i="11"/>
  <c r="W969" i="11"/>
  <c r="V969" i="11"/>
  <c r="U969" i="11"/>
  <c r="T969" i="11"/>
  <c r="S969" i="11"/>
  <c r="R969" i="11"/>
  <c r="Q969" i="11"/>
  <c r="P969" i="11"/>
  <c r="O969" i="11"/>
  <c r="N969" i="11"/>
  <c r="M969" i="11"/>
  <c r="L969" i="11"/>
  <c r="K969" i="11"/>
  <c r="J969" i="11"/>
  <c r="I969" i="11"/>
  <c r="H969" i="11"/>
  <c r="G969" i="11"/>
  <c r="F969" i="11"/>
  <c r="E969" i="11"/>
  <c r="D969" i="11"/>
  <c r="C969" i="11"/>
  <c r="B969" i="11"/>
  <c r="A969" i="11"/>
  <c r="Z968" i="11"/>
  <c r="Y968" i="11"/>
  <c r="X968" i="11"/>
  <c r="W968" i="11"/>
  <c r="V968" i="11"/>
  <c r="U968" i="11"/>
  <c r="T968" i="11"/>
  <c r="S968" i="11"/>
  <c r="R968" i="11"/>
  <c r="Q968" i="11"/>
  <c r="P968" i="11"/>
  <c r="O968" i="11"/>
  <c r="N968" i="11"/>
  <c r="M968" i="11"/>
  <c r="L968" i="11"/>
  <c r="K968" i="11"/>
  <c r="J968" i="11"/>
  <c r="I968" i="11"/>
  <c r="H968" i="11"/>
  <c r="G968" i="11"/>
  <c r="F968" i="11"/>
  <c r="E968" i="11"/>
  <c r="D968" i="11"/>
  <c r="C968" i="11"/>
  <c r="B968" i="11"/>
  <c r="A968" i="11"/>
  <c r="Z967" i="11"/>
  <c r="Y967" i="11"/>
  <c r="X967" i="11"/>
  <c r="W967" i="11"/>
  <c r="V967" i="11"/>
  <c r="U967" i="11"/>
  <c r="T967" i="11"/>
  <c r="S967" i="11"/>
  <c r="R967" i="11"/>
  <c r="Q967" i="11"/>
  <c r="P967" i="11"/>
  <c r="O967" i="11"/>
  <c r="N967" i="11"/>
  <c r="M967" i="11"/>
  <c r="L967" i="11"/>
  <c r="K967" i="11"/>
  <c r="J967" i="11"/>
  <c r="I967" i="11"/>
  <c r="H967" i="11"/>
  <c r="G967" i="11"/>
  <c r="F967" i="11"/>
  <c r="E967" i="11"/>
  <c r="D967" i="11"/>
  <c r="C967" i="11"/>
  <c r="B967" i="11"/>
  <c r="A967" i="11"/>
  <c r="Z966" i="11"/>
  <c r="Y966" i="11"/>
  <c r="X966" i="11"/>
  <c r="W966" i="11"/>
  <c r="V966" i="11"/>
  <c r="U966" i="11"/>
  <c r="T966" i="11"/>
  <c r="S966" i="11"/>
  <c r="R966" i="11"/>
  <c r="Q966" i="11"/>
  <c r="P966" i="11"/>
  <c r="O966" i="11"/>
  <c r="N966" i="11"/>
  <c r="M966" i="11"/>
  <c r="L966" i="11"/>
  <c r="K966" i="11"/>
  <c r="J966" i="11"/>
  <c r="I966" i="11"/>
  <c r="H966" i="11"/>
  <c r="G966" i="11"/>
  <c r="F966" i="11"/>
  <c r="E966" i="11"/>
  <c r="D966" i="11"/>
  <c r="C966" i="11"/>
  <c r="B966" i="11"/>
  <c r="A966" i="11"/>
  <c r="Z965" i="11"/>
  <c r="Y965" i="11"/>
  <c r="X965" i="11"/>
  <c r="W965" i="11"/>
  <c r="V965" i="11"/>
  <c r="U965" i="11"/>
  <c r="T965" i="11"/>
  <c r="S965" i="11"/>
  <c r="R965" i="11"/>
  <c r="Q965" i="11"/>
  <c r="P965" i="11"/>
  <c r="O965" i="11"/>
  <c r="N965" i="11"/>
  <c r="M965" i="11"/>
  <c r="L965" i="11"/>
  <c r="K965" i="11"/>
  <c r="J965" i="11"/>
  <c r="I965" i="11"/>
  <c r="H965" i="11"/>
  <c r="G965" i="11"/>
  <c r="F965" i="11"/>
  <c r="E965" i="11"/>
  <c r="D965" i="11"/>
  <c r="C965" i="11"/>
  <c r="B965" i="11"/>
  <c r="A965" i="11"/>
  <c r="Z964" i="11"/>
  <c r="Y964" i="11"/>
  <c r="X964" i="11"/>
  <c r="W964" i="11"/>
  <c r="V964" i="11"/>
  <c r="U964" i="11"/>
  <c r="T964" i="11"/>
  <c r="S964" i="11"/>
  <c r="R964" i="11"/>
  <c r="Q964" i="11"/>
  <c r="P964" i="11"/>
  <c r="O964" i="11"/>
  <c r="N964" i="11"/>
  <c r="M964" i="11"/>
  <c r="L964" i="11"/>
  <c r="K964" i="11"/>
  <c r="J964" i="11"/>
  <c r="I964" i="11"/>
  <c r="H964" i="11"/>
  <c r="G964" i="11"/>
  <c r="F964" i="11"/>
  <c r="E964" i="11"/>
  <c r="D964" i="11"/>
  <c r="C964" i="11"/>
  <c r="B964" i="11"/>
  <c r="A964" i="11"/>
  <c r="Z963" i="11"/>
  <c r="Y963" i="11"/>
  <c r="X963" i="11"/>
  <c r="W963" i="11"/>
  <c r="V963" i="11"/>
  <c r="U963" i="11"/>
  <c r="T963" i="11"/>
  <c r="S963" i="11"/>
  <c r="R963" i="11"/>
  <c r="Q963" i="11"/>
  <c r="P963" i="11"/>
  <c r="O963" i="11"/>
  <c r="N963" i="11"/>
  <c r="M963" i="11"/>
  <c r="L963" i="11"/>
  <c r="K963" i="11"/>
  <c r="J963" i="11"/>
  <c r="I963" i="11"/>
  <c r="H963" i="11"/>
  <c r="G963" i="11"/>
  <c r="F963" i="11"/>
  <c r="E963" i="11"/>
  <c r="D963" i="11"/>
  <c r="C963" i="11"/>
  <c r="B963" i="11"/>
  <c r="A963" i="11"/>
  <c r="Z962" i="11"/>
  <c r="Y962" i="11"/>
  <c r="X962" i="11"/>
  <c r="W962" i="11"/>
  <c r="V962" i="11"/>
  <c r="U962" i="11"/>
  <c r="T962" i="11"/>
  <c r="S962" i="11"/>
  <c r="R962" i="11"/>
  <c r="Q962" i="11"/>
  <c r="P962" i="11"/>
  <c r="O962" i="11"/>
  <c r="N962" i="11"/>
  <c r="M962" i="11"/>
  <c r="L962" i="11"/>
  <c r="K962" i="11"/>
  <c r="J962" i="11"/>
  <c r="I962" i="11"/>
  <c r="H962" i="11"/>
  <c r="G962" i="11"/>
  <c r="F962" i="11"/>
  <c r="E962" i="11"/>
  <c r="D962" i="11"/>
  <c r="C962" i="11"/>
  <c r="B962" i="11"/>
  <c r="A962" i="11"/>
  <c r="Z961" i="11"/>
  <c r="Y961" i="11"/>
  <c r="X961" i="11"/>
  <c r="W961" i="11"/>
  <c r="V961" i="11"/>
  <c r="U961" i="11"/>
  <c r="T961" i="11"/>
  <c r="S961" i="11"/>
  <c r="R961" i="11"/>
  <c r="Q961" i="11"/>
  <c r="P961" i="11"/>
  <c r="O961" i="11"/>
  <c r="N961" i="11"/>
  <c r="M961" i="11"/>
  <c r="L961" i="11"/>
  <c r="K961" i="11"/>
  <c r="J961" i="11"/>
  <c r="I961" i="11"/>
  <c r="H961" i="11"/>
  <c r="G961" i="11"/>
  <c r="F961" i="11"/>
  <c r="E961" i="11"/>
  <c r="D961" i="11"/>
  <c r="C961" i="11"/>
  <c r="B961" i="11"/>
  <c r="A961" i="11"/>
  <c r="Z960" i="11"/>
  <c r="Y960" i="11"/>
  <c r="X960" i="11"/>
  <c r="W960" i="11"/>
  <c r="V960" i="11"/>
  <c r="U960" i="11"/>
  <c r="T960" i="11"/>
  <c r="S960" i="11"/>
  <c r="R960" i="11"/>
  <c r="Q960" i="11"/>
  <c r="P960" i="11"/>
  <c r="O960" i="11"/>
  <c r="N960" i="11"/>
  <c r="M960" i="11"/>
  <c r="L960" i="11"/>
  <c r="K960" i="11"/>
  <c r="J960" i="11"/>
  <c r="I960" i="11"/>
  <c r="H960" i="11"/>
  <c r="G960" i="11"/>
  <c r="F960" i="11"/>
  <c r="E960" i="11"/>
  <c r="D960" i="11"/>
  <c r="C960" i="11"/>
  <c r="B960" i="11"/>
  <c r="A960" i="11"/>
  <c r="Z959" i="11"/>
  <c r="Y959" i="11"/>
  <c r="X959" i="11"/>
  <c r="W959" i="11"/>
  <c r="V959" i="11"/>
  <c r="U959" i="11"/>
  <c r="T959" i="11"/>
  <c r="S959" i="11"/>
  <c r="R959" i="11"/>
  <c r="Q959" i="11"/>
  <c r="P959" i="11"/>
  <c r="O959" i="11"/>
  <c r="N959" i="11"/>
  <c r="M959" i="11"/>
  <c r="L959" i="11"/>
  <c r="K959" i="11"/>
  <c r="J959" i="11"/>
  <c r="I959" i="11"/>
  <c r="H959" i="11"/>
  <c r="G959" i="11"/>
  <c r="F959" i="11"/>
  <c r="E959" i="11"/>
  <c r="D959" i="11"/>
  <c r="C959" i="11"/>
  <c r="B959" i="11"/>
  <c r="A959" i="11"/>
  <c r="Z958" i="11"/>
  <c r="Y958" i="11"/>
  <c r="X958" i="11"/>
  <c r="W958" i="11"/>
  <c r="V958" i="11"/>
  <c r="U958" i="11"/>
  <c r="T958" i="11"/>
  <c r="S958" i="11"/>
  <c r="R958" i="11"/>
  <c r="Q958" i="11"/>
  <c r="P958" i="11"/>
  <c r="O958" i="11"/>
  <c r="N958" i="11"/>
  <c r="M958" i="11"/>
  <c r="L958" i="11"/>
  <c r="K958" i="11"/>
  <c r="J958" i="11"/>
  <c r="I958" i="11"/>
  <c r="H958" i="11"/>
  <c r="G958" i="11"/>
  <c r="F958" i="11"/>
  <c r="E958" i="11"/>
  <c r="D958" i="11"/>
  <c r="C958" i="11"/>
  <c r="B958" i="11"/>
  <c r="A958" i="11"/>
  <c r="Z957" i="11"/>
  <c r="Y957" i="11"/>
  <c r="X957" i="11"/>
  <c r="W957" i="11"/>
  <c r="V957" i="11"/>
  <c r="U957" i="11"/>
  <c r="T957" i="11"/>
  <c r="S957" i="11"/>
  <c r="R957" i="11"/>
  <c r="Q957" i="11"/>
  <c r="P957" i="11"/>
  <c r="O957" i="11"/>
  <c r="N957" i="11"/>
  <c r="M957" i="11"/>
  <c r="L957" i="11"/>
  <c r="K957" i="11"/>
  <c r="J957" i="11"/>
  <c r="I957" i="11"/>
  <c r="H957" i="11"/>
  <c r="G957" i="11"/>
  <c r="F957" i="11"/>
  <c r="E957" i="11"/>
  <c r="D957" i="11"/>
  <c r="C957" i="11"/>
  <c r="B957" i="11"/>
  <c r="A957" i="11"/>
  <c r="Z956" i="11"/>
  <c r="Y956" i="11"/>
  <c r="X956" i="11"/>
  <c r="W956" i="11"/>
  <c r="V956" i="11"/>
  <c r="U956" i="11"/>
  <c r="T956" i="11"/>
  <c r="S956" i="11"/>
  <c r="R956" i="11"/>
  <c r="Q956" i="11"/>
  <c r="P956" i="11"/>
  <c r="O956" i="11"/>
  <c r="N956" i="11"/>
  <c r="M956" i="11"/>
  <c r="L956" i="11"/>
  <c r="K956" i="11"/>
  <c r="J956" i="11"/>
  <c r="I956" i="11"/>
  <c r="H956" i="11"/>
  <c r="G956" i="11"/>
  <c r="F956" i="11"/>
  <c r="E956" i="11"/>
  <c r="D956" i="11"/>
  <c r="C956" i="11"/>
  <c r="B956" i="11"/>
  <c r="A956" i="11"/>
  <c r="Z955" i="11"/>
  <c r="Y955" i="11"/>
  <c r="X955" i="11"/>
  <c r="W955" i="11"/>
  <c r="V955" i="11"/>
  <c r="U955" i="11"/>
  <c r="T955" i="11"/>
  <c r="S955" i="11"/>
  <c r="R955" i="11"/>
  <c r="Q955" i="11"/>
  <c r="P955" i="11"/>
  <c r="O955" i="11"/>
  <c r="N955" i="11"/>
  <c r="M955" i="11"/>
  <c r="L955" i="11"/>
  <c r="K955" i="11"/>
  <c r="J955" i="11"/>
  <c r="I955" i="11"/>
  <c r="H955" i="11"/>
  <c r="G955" i="11"/>
  <c r="F955" i="11"/>
  <c r="E955" i="11"/>
  <c r="D955" i="11"/>
  <c r="C955" i="11"/>
  <c r="B955" i="11"/>
  <c r="A955" i="11"/>
  <c r="Z954" i="11"/>
  <c r="Y954" i="11"/>
  <c r="X954" i="11"/>
  <c r="W954" i="11"/>
  <c r="V954" i="11"/>
  <c r="U954" i="11"/>
  <c r="T954" i="11"/>
  <c r="S954" i="11"/>
  <c r="R954" i="11"/>
  <c r="Q954" i="11"/>
  <c r="P954" i="11"/>
  <c r="O954" i="11"/>
  <c r="N954" i="11"/>
  <c r="M954" i="11"/>
  <c r="L954" i="11"/>
  <c r="K954" i="11"/>
  <c r="J954" i="11"/>
  <c r="I954" i="11"/>
  <c r="H954" i="11"/>
  <c r="G954" i="11"/>
  <c r="F954" i="11"/>
  <c r="E954" i="11"/>
  <c r="D954" i="11"/>
  <c r="C954" i="11"/>
  <c r="B954" i="11"/>
  <c r="A954" i="11"/>
  <c r="Z953" i="11"/>
  <c r="Y953" i="11"/>
  <c r="X953" i="11"/>
  <c r="W953" i="11"/>
  <c r="V953" i="11"/>
  <c r="U953" i="11"/>
  <c r="T953" i="11"/>
  <c r="S953" i="11"/>
  <c r="R953" i="11"/>
  <c r="Q953" i="11"/>
  <c r="P953" i="11"/>
  <c r="O953" i="11"/>
  <c r="N953" i="11"/>
  <c r="M953" i="11"/>
  <c r="L953" i="11"/>
  <c r="K953" i="11"/>
  <c r="J953" i="11"/>
  <c r="I953" i="11"/>
  <c r="H953" i="11"/>
  <c r="G953" i="11"/>
  <c r="F953" i="11"/>
  <c r="E953" i="11"/>
  <c r="D953" i="11"/>
  <c r="C953" i="11"/>
  <c r="B953" i="11"/>
  <c r="A953" i="11"/>
  <c r="Z952" i="11"/>
  <c r="Y952" i="11"/>
  <c r="X952" i="11"/>
  <c r="W952" i="11"/>
  <c r="V952" i="11"/>
  <c r="U952" i="11"/>
  <c r="T952" i="11"/>
  <c r="S952" i="11"/>
  <c r="R952" i="11"/>
  <c r="Q952" i="11"/>
  <c r="P952" i="11"/>
  <c r="O952" i="11"/>
  <c r="N952" i="11"/>
  <c r="M952" i="11"/>
  <c r="L952" i="11"/>
  <c r="K952" i="11"/>
  <c r="J952" i="11"/>
  <c r="I952" i="11"/>
  <c r="H952" i="11"/>
  <c r="G952" i="11"/>
  <c r="F952" i="11"/>
  <c r="E952" i="11"/>
  <c r="D952" i="11"/>
  <c r="C952" i="11"/>
  <c r="B952" i="11"/>
  <c r="A952" i="11"/>
  <c r="Z951" i="11"/>
  <c r="Y951" i="11"/>
  <c r="X951" i="11"/>
  <c r="W951" i="11"/>
  <c r="V951" i="11"/>
  <c r="U951" i="11"/>
  <c r="T951" i="11"/>
  <c r="S951" i="11"/>
  <c r="R951" i="11"/>
  <c r="Q951" i="11"/>
  <c r="P951" i="11"/>
  <c r="O951" i="11"/>
  <c r="N951" i="11"/>
  <c r="M951" i="11"/>
  <c r="L951" i="11"/>
  <c r="K951" i="11"/>
  <c r="J951" i="11"/>
  <c r="I951" i="11"/>
  <c r="H951" i="11"/>
  <c r="G951" i="11"/>
  <c r="F951" i="11"/>
  <c r="E951" i="11"/>
  <c r="D951" i="11"/>
  <c r="C951" i="11"/>
  <c r="B951" i="11"/>
  <c r="A951" i="11"/>
  <c r="Z950" i="11"/>
  <c r="Y950" i="11"/>
  <c r="X950" i="11"/>
  <c r="W950" i="11"/>
  <c r="V950" i="11"/>
  <c r="U950" i="11"/>
  <c r="T950" i="11"/>
  <c r="S950" i="11"/>
  <c r="R950" i="11"/>
  <c r="Q950" i="11"/>
  <c r="P950" i="11"/>
  <c r="O950" i="11"/>
  <c r="N950" i="11"/>
  <c r="M950" i="11"/>
  <c r="L950" i="11"/>
  <c r="K950" i="11"/>
  <c r="J950" i="11"/>
  <c r="I950" i="11"/>
  <c r="H950" i="11"/>
  <c r="G950" i="11"/>
  <c r="F950" i="11"/>
  <c r="E950" i="11"/>
  <c r="D950" i="11"/>
  <c r="C950" i="11"/>
  <c r="B950" i="11"/>
  <c r="A950" i="11"/>
  <c r="Z949" i="11"/>
  <c r="Y949" i="11"/>
  <c r="X949" i="11"/>
  <c r="W949" i="11"/>
  <c r="V949" i="11"/>
  <c r="U949" i="11"/>
  <c r="T949" i="11"/>
  <c r="S949" i="11"/>
  <c r="R949" i="11"/>
  <c r="Q949" i="11"/>
  <c r="P949" i="11"/>
  <c r="O949" i="11"/>
  <c r="N949" i="11"/>
  <c r="M949" i="11"/>
  <c r="L949" i="11"/>
  <c r="K949" i="11"/>
  <c r="J949" i="11"/>
  <c r="I949" i="11"/>
  <c r="H949" i="11"/>
  <c r="G949" i="11"/>
  <c r="F949" i="11"/>
  <c r="E949" i="11"/>
  <c r="D949" i="11"/>
  <c r="C949" i="11"/>
  <c r="B949" i="11"/>
  <c r="A949" i="11"/>
  <c r="Z948" i="11"/>
  <c r="Y948" i="11"/>
  <c r="X948" i="11"/>
  <c r="W948" i="11"/>
  <c r="V948" i="11"/>
  <c r="U948" i="11"/>
  <c r="T948" i="11"/>
  <c r="S948" i="11"/>
  <c r="R948" i="11"/>
  <c r="Q948" i="11"/>
  <c r="P948" i="11"/>
  <c r="O948" i="11"/>
  <c r="N948" i="11"/>
  <c r="M948" i="11"/>
  <c r="L948" i="11"/>
  <c r="K948" i="11"/>
  <c r="J948" i="11"/>
  <c r="I948" i="11"/>
  <c r="H948" i="11"/>
  <c r="G948" i="11"/>
  <c r="F948" i="11"/>
  <c r="E948" i="11"/>
  <c r="D948" i="11"/>
  <c r="C948" i="11"/>
  <c r="B948" i="11"/>
  <c r="A948" i="11"/>
  <c r="Z947" i="11"/>
  <c r="Y947" i="11"/>
  <c r="X947" i="11"/>
  <c r="W947" i="11"/>
  <c r="V947" i="11"/>
  <c r="U947" i="11"/>
  <c r="T947" i="11"/>
  <c r="S947" i="11"/>
  <c r="R947" i="11"/>
  <c r="Q947" i="11"/>
  <c r="P947" i="11"/>
  <c r="O947" i="11"/>
  <c r="N947" i="11"/>
  <c r="M947" i="11"/>
  <c r="L947" i="11"/>
  <c r="K947" i="11"/>
  <c r="J947" i="11"/>
  <c r="I947" i="11"/>
  <c r="H947" i="11"/>
  <c r="G947" i="11"/>
  <c r="F947" i="11"/>
  <c r="E947" i="11"/>
  <c r="D947" i="11"/>
  <c r="C947" i="11"/>
  <c r="B947" i="11"/>
  <c r="A947" i="11"/>
  <c r="Z946" i="11"/>
  <c r="Y946" i="11"/>
  <c r="X946" i="11"/>
  <c r="W946" i="11"/>
  <c r="V946" i="11"/>
  <c r="U946" i="11"/>
  <c r="T946" i="11"/>
  <c r="S946" i="11"/>
  <c r="R946" i="11"/>
  <c r="Q946" i="11"/>
  <c r="P946" i="11"/>
  <c r="O946" i="11"/>
  <c r="N946" i="11"/>
  <c r="M946" i="11"/>
  <c r="L946" i="11"/>
  <c r="K946" i="11"/>
  <c r="J946" i="11"/>
  <c r="I946" i="11"/>
  <c r="H946" i="11"/>
  <c r="G946" i="11"/>
  <c r="F946" i="11"/>
  <c r="E946" i="11"/>
  <c r="D946" i="11"/>
  <c r="C946" i="11"/>
  <c r="B946" i="11"/>
  <c r="A946" i="11"/>
  <c r="Z945" i="11"/>
  <c r="Y945" i="11"/>
  <c r="X945" i="11"/>
  <c r="W945" i="11"/>
  <c r="V945" i="11"/>
  <c r="U945" i="11"/>
  <c r="T945" i="11"/>
  <c r="S945" i="11"/>
  <c r="R945" i="11"/>
  <c r="Q945" i="11"/>
  <c r="P945" i="11"/>
  <c r="O945" i="11"/>
  <c r="N945" i="11"/>
  <c r="M945" i="11"/>
  <c r="L945" i="11"/>
  <c r="K945" i="11"/>
  <c r="J945" i="11"/>
  <c r="I945" i="11"/>
  <c r="H945" i="11"/>
  <c r="G945" i="11"/>
  <c r="F945" i="11"/>
  <c r="E945" i="11"/>
  <c r="D945" i="11"/>
  <c r="C945" i="11"/>
  <c r="B945" i="11"/>
  <c r="A945" i="11"/>
  <c r="Z944" i="11"/>
  <c r="Y944" i="11"/>
  <c r="X944" i="11"/>
  <c r="W944" i="11"/>
  <c r="V944" i="11"/>
  <c r="U944" i="11"/>
  <c r="T944" i="11"/>
  <c r="S944" i="11"/>
  <c r="R944" i="11"/>
  <c r="Q944" i="11"/>
  <c r="P944" i="11"/>
  <c r="O944" i="11"/>
  <c r="N944" i="11"/>
  <c r="M944" i="11"/>
  <c r="L944" i="11"/>
  <c r="K944" i="11"/>
  <c r="J944" i="11"/>
  <c r="I944" i="11"/>
  <c r="H944" i="11"/>
  <c r="G944" i="11"/>
  <c r="F944" i="11"/>
  <c r="E944" i="11"/>
  <c r="D944" i="11"/>
  <c r="C944" i="11"/>
  <c r="B944" i="11"/>
  <c r="A944" i="11"/>
  <c r="Z943" i="11"/>
  <c r="Y943" i="11"/>
  <c r="X943" i="11"/>
  <c r="W943" i="11"/>
  <c r="V943" i="11"/>
  <c r="U943" i="11"/>
  <c r="T943" i="11"/>
  <c r="S943" i="11"/>
  <c r="R943" i="11"/>
  <c r="Q943" i="11"/>
  <c r="P943" i="11"/>
  <c r="O943" i="11"/>
  <c r="N943" i="11"/>
  <c r="M943" i="11"/>
  <c r="L943" i="11"/>
  <c r="K943" i="11"/>
  <c r="J943" i="11"/>
  <c r="I943" i="11"/>
  <c r="H943" i="11"/>
  <c r="G943" i="11"/>
  <c r="F943" i="11"/>
  <c r="E943" i="11"/>
  <c r="D943" i="11"/>
  <c r="C943" i="11"/>
  <c r="B943" i="11"/>
  <c r="A943" i="11"/>
  <c r="Z942" i="11"/>
  <c r="Y942" i="11"/>
  <c r="X942" i="11"/>
  <c r="W942" i="11"/>
  <c r="V942" i="11"/>
  <c r="U942" i="11"/>
  <c r="T942" i="11"/>
  <c r="S942" i="11"/>
  <c r="R942" i="11"/>
  <c r="Q942" i="11"/>
  <c r="P942" i="11"/>
  <c r="O942" i="11"/>
  <c r="N942" i="11"/>
  <c r="M942" i="11"/>
  <c r="L942" i="11"/>
  <c r="K942" i="11"/>
  <c r="J942" i="11"/>
  <c r="I942" i="11"/>
  <c r="H942" i="11"/>
  <c r="G942" i="11"/>
  <c r="F942" i="11"/>
  <c r="E942" i="11"/>
  <c r="D942" i="11"/>
  <c r="C942" i="11"/>
  <c r="B942" i="11"/>
  <c r="A942" i="11"/>
  <c r="Z941" i="11"/>
  <c r="Y941" i="11"/>
  <c r="X941" i="11"/>
  <c r="W941" i="11"/>
  <c r="V941" i="11"/>
  <c r="U941" i="11"/>
  <c r="T941" i="11"/>
  <c r="S941" i="11"/>
  <c r="R941" i="11"/>
  <c r="Q941" i="11"/>
  <c r="P941" i="11"/>
  <c r="O941" i="11"/>
  <c r="N941" i="11"/>
  <c r="M941" i="11"/>
  <c r="L941" i="11"/>
  <c r="K941" i="11"/>
  <c r="J941" i="11"/>
  <c r="I941" i="11"/>
  <c r="H941" i="11"/>
  <c r="G941" i="11"/>
  <c r="F941" i="11"/>
  <c r="E941" i="11"/>
  <c r="D941" i="11"/>
  <c r="C941" i="11"/>
  <c r="B941" i="11"/>
  <c r="A941" i="11"/>
  <c r="Z940" i="11"/>
  <c r="Y940" i="11"/>
  <c r="X940" i="11"/>
  <c r="W940" i="11"/>
  <c r="V940" i="11"/>
  <c r="U940" i="11"/>
  <c r="T940" i="11"/>
  <c r="S940" i="11"/>
  <c r="R940" i="11"/>
  <c r="Q940" i="11"/>
  <c r="P940" i="11"/>
  <c r="O940" i="11"/>
  <c r="N940" i="11"/>
  <c r="M940" i="11"/>
  <c r="L940" i="11"/>
  <c r="K940" i="11"/>
  <c r="J940" i="11"/>
  <c r="I940" i="11"/>
  <c r="H940" i="11"/>
  <c r="G940" i="11"/>
  <c r="F940" i="11"/>
  <c r="E940" i="11"/>
  <c r="D940" i="11"/>
  <c r="C940" i="11"/>
  <c r="B940" i="11"/>
  <c r="A940" i="11"/>
  <c r="Z939" i="11"/>
  <c r="Y939" i="11"/>
  <c r="X939" i="11"/>
  <c r="W939" i="11"/>
  <c r="V939" i="11"/>
  <c r="U939" i="11"/>
  <c r="T939" i="11"/>
  <c r="S939" i="11"/>
  <c r="R939" i="11"/>
  <c r="Q939" i="11"/>
  <c r="P939" i="11"/>
  <c r="O939" i="11"/>
  <c r="N939" i="11"/>
  <c r="M939" i="11"/>
  <c r="L939" i="11"/>
  <c r="K939" i="11"/>
  <c r="J939" i="11"/>
  <c r="I939" i="11"/>
  <c r="H939" i="11"/>
  <c r="G939" i="11"/>
  <c r="F939" i="11"/>
  <c r="E939" i="11"/>
  <c r="D939" i="11"/>
  <c r="C939" i="11"/>
  <c r="B939" i="11"/>
  <c r="A939" i="11"/>
  <c r="Z938" i="11"/>
  <c r="Y938" i="11"/>
  <c r="X938" i="11"/>
  <c r="W938" i="11"/>
  <c r="V938" i="11"/>
  <c r="U938" i="11"/>
  <c r="T938" i="11"/>
  <c r="S938" i="11"/>
  <c r="R938" i="11"/>
  <c r="Q938" i="11"/>
  <c r="P938" i="11"/>
  <c r="O938" i="11"/>
  <c r="N938" i="11"/>
  <c r="M938" i="11"/>
  <c r="L938" i="11"/>
  <c r="K938" i="11"/>
  <c r="J938" i="11"/>
  <c r="I938" i="11"/>
  <c r="H938" i="11"/>
  <c r="G938" i="11"/>
  <c r="F938" i="11"/>
  <c r="E938" i="11"/>
  <c r="D938" i="11"/>
  <c r="C938" i="11"/>
  <c r="B938" i="11"/>
  <c r="A938" i="11"/>
  <c r="Z937" i="11"/>
  <c r="Y937" i="11"/>
  <c r="X937" i="11"/>
  <c r="W937" i="11"/>
  <c r="V937" i="11"/>
  <c r="U937" i="11"/>
  <c r="T937" i="11"/>
  <c r="S937" i="11"/>
  <c r="R937" i="11"/>
  <c r="Q937" i="11"/>
  <c r="P937" i="11"/>
  <c r="O937" i="11"/>
  <c r="N937" i="11"/>
  <c r="M937" i="11"/>
  <c r="L937" i="11"/>
  <c r="K937" i="11"/>
  <c r="J937" i="11"/>
  <c r="I937" i="11"/>
  <c r="H937" i="11"/>
  <c r="G937" i="11"/>
  <c r="F937" i="11"/>
  <c r="E937" i="11"/>
  <c r="D937" i="11"/>
  <c r="C937" i="11"/>
  <c r="B937" i="11"/>
  <c r="A937" i="11"/>
  <c r="Z936" i="11"/>
  <c r="Y936" i="11"/>
  <c r="X936" i="11"/>
  <c r="W936" i="11"/>
  <c r="V936" i="11"/>
  <c r="U936" i="11"/>
  <c r="T936" i="11"/>
  <c r="S936" i="11"/>
  <c r="R936" i="11"/>
  <c r="Q936" i="11"/>
  <c r="P936" i="11"/>
  <c r="O936" i="11"/>
  <c r="N936" i="11"/>
  <c r="M936" i="11"/>
  <c r="L936" i="11"/>
  <c r="K936" i="11"/>
  <c r="J936" i="11"/>
  <c r="I936" i="11"/>
  <c r="H936" i="11"/>
  <c r="G936" i="11"/>
  <c r="F936" i="11"/>
  <c r="E936" i="11"/>
  <c r="D936" i="11"/>
  <c r="C936" i="11"/>
  <c r="B936" i="11"/>
  <c r="A936" i="11"/>
  <c r="Z935" i="11"/>
  <c r="Y935" i="11"/>
  <c r="X935" i="11"/>
  <c r="W935" i="11"/>
  <c r="V935" i="11"/>
  <c r="U935" i="11"/>
  <c r="T935" i="11"/>
  <c r="S935" i="11"/>
  <c r="R935" i="11"/>
  <c r="Q935" i="11"/>
  <c r="P935" i="11"/>
  <c r="O935" i="11"/>
  <c r="N935" i="11"/>
  <c r="M935" i="11"/>
  <c r="L935" i="11"/>
  <c r="K935" i="11"/>
  <c r="J935" i="11"/>
  <c r="I935" i="11"/>
  <c r="H935" i="11"/>
  <c r="G935" i="11"/>
  <c r="F935" i="11"/>
  <c r="E935" i="11"/>
  <c r="D935" i="11"/>
  <c r="C935" i="11"/>
  <c r="B935" i="11"/>
  <c r="A935" i="11"/>
  <c r="Z934" i="11"/>
  <c r="Y934" i="11"/>
  <c r="X934" i="11"/>
  <c r="W934" i="11"/>
  <c r="V934" i="11"/>
  <c r="U934" i="11"/>
  <c r="T934" i="11"/>
  <c r="S934" i="11"/>
  <c r="R934" i="11"/>
  <c r="Q934" i="11"/>
  <c r="P934" i="11"/>
  <c r="O934" i="11"/>
  <c r="N934" i="11"/>
  <c r="M934" i="11"/>
  <c r="L934" i="11"/>
  <c r="K934" i="11"/>
  <c r="J934" i="11"/>
  <c r="I934" i="11"/>
  <c r="H934" i="11"/>
  <c r="G934" i="11"/>
  <c r="F934" i="11"/>
  <c r="E934" i="11"/>
  <c r="D934" i="11"/>
  <c r="C934" i="11"/>
  <c r="B934" i="11"/>
  <c r="A934" i="11"/>
  <c r="Z933" i="11"/>
  <c r="Y933" i="11"/>
  <c r="X933" i="11"/>
  <c r="W933" i="11"/>
  <c r="V933" i="11"/>
  <c r="U933" i="11"/>
  <c r="T933" i="11"/>
  <c r="S933" i="11"/>
  <c r="R933" i="11"/>
  <c r="Q933" i="11"/>
  <c r="P933" i="11"/>
  <c r="O933" i="11"/>
  <c r="N933" i="11"/>
  <c r="M933" i="11"/>
  <c r="L933" i="11"/>
  <c r="K933" i="11"/>
  <c r="J933" i="11"/>
  <c r="I933" i="11"/>
  <c r="H933" i="11"/>
  <c r="G933" i="11"/>
  <c r="F933" i="11"/>
  <c r="E933" i="11"/>
  <c r="D933" i="11"/>
  <c r="C933" i="11"/>
  <c r="B933" i="11"/>
  <c r="A933" i="11"/>
  <c r="Z932" i="11"/>
  <c r="Y932" i="11"/>
  <c r="X932" i="11"/>
  <c r="W932" i="11"/>
  <c r="V932" i="11"/>
  <c r="U932" i="11"/>
  <c r="T932" i="11"/>
  <c r="S932" i="11"/>
  <c r="R932" i="11"/>
  <c r="Q932" i="11"/>
  <c r="P932" i="11"/>
  <c r="O932" i="11"/>
  <c r="N932" i="11"/>
  <c r="M932" i="11"/>
  <c r="L932" i="11"/>
  <c r="K932" i="11"/>
  <c r="J932" i="11"/>
  <c r="I932" i="11"/>
  <c r="H932" i="11"/>
  <c r="G932" i="11"/>
  <c r="F932" i="11"/>
  <c r="E932" i="11"/>
  <c r="D932" i="11"/>
  <c r="C932" i="11"/>
  <c r="B932" i="11"/>
  <c r="A932" i="11"/>
  <c r="Z931" i="11"/>
  <c r="Y931" i="11"/>
  <c r="X931" i="11"/>
  <c r="W931" i="11"/>
  <c r="V931" i="11"/>
  <c r="U931" i="11"/>
  <c r="T931" i="11"/>
  <c r="S931" i="11"/>
  <c r="R931" i="11"/>
  <c r="Q931" i="11"/>
  <c r="P931" i="11"/>
  <c r="O931" i="11"/>
  <c r="N931" i="11"/>
  <c r="M931" i="11"/>
  <c r="L931" i="11"/>
  <c r="K931" i="11"/>
  <c r="J931" i="11"/>
  <c r="I931" i="11"/>
  <c r="H931" i="11"/>
  <c r="G931" i="11"/>
  <c r="F931" i="11"/>
  <c r="E931" i="11"/>
  <c r="D931" i="11"/>
  <c r="C931" i="11"/>
  <c r="B931" i="11"/>
  <c r="A931" i="11"/>
  <c r="Z930" i="11"/>
  <c r="Y930" i="11"/>
  <c r="X930" i="11"/>
  <c r="W930" i="11"/>
  <c r="V930" i="11"/>
  <c r="U930" i="11"/>
  <c r="T930" i="11"/>
  <c r="S930" i="11"/>
  <c r="R930" i="11"/>
  <c r="Q930" i="11"/>
  <c r="P930" i="11"/>
  <c r="O930" i="11"/>
  <c r="N930" i="11"/>
  <c r="M930" i="11"/>
  <c r="L930" i="11"/>
  <c r="K930" i="11"/>
  <c r="J930" i="11"/>
  <c r="I930" i="11"/>
  <c r="H930" i="11"/>
  <c r="G930" i="11"/>
  <c r="F930" i="11"/>
  <c r="E930" i="11"/>
  <c r="D930" i="11"/>
  <c r="C930" i="11"/>
  <c r="B930" i="11"/>
  <c r="A930" i="11"/>
  <c r="Z929" i="11"/>
  <c r="Y929" i="11"/>
  <c r="X929" i="11"/>
  <c r="W929" i="11"/>
  <c r="V929" i="11"/>
  <c r="U929" i="11"/>
  <c r="T929" i="11"/>
  <c r="S929" i="11"/>
  <c r="R929" i="11"/>
  <c r="Q929" i="11"/>
  <c r="P929" i="11"/>
  <c r="O929" i="11"/>
  <c r="N929" i="11"/>
  <c r="M929" i="11"/>
  <c r="L929" i="11"/>
  <c r="K929" i="11"/>
  <c r="J929" i="11"/>
  <c r="I929" i="11"/>
  <c r="H929" i="11"/>
  <c r="G929" i="11"/>
  <c r="F929" i="11"/>
  <c r="E929" i="11"/>
  <c r="D929" i="11"/>
  <c r="C929" i="11"/>
  <c r="B929" i="11"/>
  <c r="A929" i="11"/>
  <c r="Z928" i="11"/>
  <c r="Y928" i="11"/>
  <c r="X928" i="11"/>
  <c r="W928" i="11"/>
  <c r="V928" i="11"/>
  <c r="U928" i="11"/>
  <c r="T928" i="11"/>
  <c r="S928" i="11"/>
  <c r="R928" i="11"/>
  <c r="Q928" i="11"/>
  <c r="P928" i="11"/>
  <c r="O928" i="11"/>
  <c r="N928" i="11"/>
  <c r="M928" i="11"/>
  <c r="L928" i="11"/>
  <c r="K928" i="11"/>
  <c r="J928" i="11"/>
  <c r="I928" i="11"/>
  <c r="H928" i="11"/>
  <c r="G928" i="11"/>
  <c r="F928" i="11"/>
  <c r="E928" i="11"/>
  <c r="D928" i="11"/>
  <c r="C928" i="11"/>
  <c r="B928" i="11"/>
  <c r="A928" i="11"/>
  <c r="Z927" i="11"/>
  <c r="Y927" i="11"/>
  <c r="X927" i="11"/>
  <c r="W927" i="11"/>
  <c r="V927" i="11"/>
  <c r="U927" i="11"/>
  <c r="T927" i="11"/>
  <c r="S927" i="11"/>
  <c r="R927" i="11"/>
  <c r="Q927" i="11"/>
  <c r="P927" i="11"/>
  <c r="O927" i="11"/>
  <c r="N927" i="11"/>
  <c r="M927" i="11"/>
  <c r="L927" i="11"/>
  <c r="K927" i="11"/>
  <c r="J927" i="11"/>
  <c r="I927" i="11"/>
  <c r="H927" i="11"/>
  <c r="G927" i="11"/>
  <c r="F927" i="11"/>
  <c r="E927" i="11"/>
  <c r="D927" i="11"/>
  <c r="C927" i="11"/>
  <c r="B927" i="11"/>
  <c r="A927" i="11"/>
  <c r="U926" i="11"/>
  <c r="L926" i="11"/>
  <c r="C926" i="11"/>
  <c r="T925" i="11"/>
  <c r="K925" i="11"/>
  <c r="B925" i="11"/>
  <c r="S924" i="11"/>
  <c r="I924" i="11"/>
  <c r="Z923" i="11"/>
  <c r="Y923" i="11"/>
  <c r="X923" i="11"/>
  <c r="W923" i="11"/>
  <c r="V923" i="11"/>
  <c r="U923" i="11"/>
  <c r="T923" i="11"/>
  <c r="S923" i="11"/>
  <c r="R923" i="11"/>
  <c r="Q923" i="11"/>
  <c r="P923" i="11"/>
  <c r="O923" i="11"/>
  <c r="N923" i="11"/>
  <c r="M923" i="11"/>
  <c r="L923" i="11"/>
  <c r="K923" i="11"/>
  <c r="J923" i="11"/>
  <c r="I923" i="11"/>
  <c r="H923" i="11"/>
  <c r="G923" i="11"/>
  <c r="F923" i="11"/>
  <c r="E923" i="11"/>
  <c r="D923" i="11"/>
  <c r="C923" i="11"/>
  <c r="B923" i="11"/>
  <c r="A923" i="11"/>
  <c r="Z922" i="11"/>
  <c r="Y922" i="11"/>
  <c r="X922" i="11"/>
  <c r="W922" i="11"/>
  <c r="V922" i="11"/>
  <c r="U922" i="11"/>
  <c r="T922" i="11"/>
  <c r="S922" i="11"/>
  <c r="R922" i="11"/>
  <c r="Q922" i="11"/>
  <c r="P922" i="11"/>
  <c r="O922" i="11"/>
  <c r="N922" i="11"/>
  <c r="M922" i="11"/>
  <c r="L922" i="11"/>
  <c r="K922" i="11"/>
  <c r="J922" i="11"/>
  <c r="I922" i="11"/>
  <c r="H922" i="11"/>
  <c r="G922" i="11"/>
  <c r="F922" i="11"/>
  <c r="E922" i="11"/>
  <c r="D922" i="11"/>
  <c r="C922" i="11"/>
  <c r="B922" i="11"/>
  <c r="A922" i="11"/>
  <c r="Z921" i="11"/>
  <c r="Y921" i="11"/>
  <c r="X921" i="11"/>
  <c r="W921" i="11"/>
  <c r="V921" i="11"/>
  <c r="U921" i="11"/>
  <c r="T921" i="11"/>
  <c r="S921" i="11"/>
  <c r="R921" i="11"/>
  <c r="Q921" i="11"/>
  <c r="P921" i="11"/>
  <c r="O921" i="11"/>
  <c r="N921" i="11"/>
  <c r="M921" i="11"/>
  <c r="L921" i="11"/>
  <c r="K921" i="11"/>
  <c r="J921" i="11"/>
  <c r="I921" i="11"/>
  <c r="H921" i="11"/>
  <c r="G921" i="11"/>
  <c r="F921" i="11"/>
  <c r="E921" i="11"/>
  <c r="D921" i="11"/>
  <c r="C921" i="11"/>
  <c r="B921" i="11"/>
  <c r="A921" i="11"/>
  <c r="Z920" i="11"/>
  <c r="Y920" i="11"/>
  <c r="X920" i="11"/>
  <c r="W920" i="11"/>
  <c r="V920" i="11"/>
  <c r="U920" i="11"/>
  <c r="T920" i="11"/>
  <c r="S920" i="11"/>
  <c r="R920" i="11"/>
  <c r="Q920" i="11"/>
  <c r="P920" i="11"/>
  <c r="O920" i="11"/>
  <c r="N920" i="11"/>
  <c r="M920" i="11"/>
  <c r="L920" i="11"/>
  <c r="K920" i="11"/>
  <c r="J920" i="11"/>
  <c r="I920" i="11"/>
  <c r="H920" i="11"/>
  <c r="G920" i="11"/>
  <c r="F920" i="11"/>
  <c r="E920" i="11"/>
  <c r="D920" i="11"/>
  <c r="C920" i="11"/>
  <c r="B920" i="11"/>
  <c r="A920" i="11"/>
  <c r="Z919" i="11"/>
  <c r="Y919" i="11"/>
  <c r="X919" i="11"/>
  <c r="W919" i="11"/>
  <c r="V919" i="11"/>
  <c r="U919" i="11"/>
  <c r="T919" i="11"/>
  <c r="S919" i="11"/>
  <c r="R919" i="11"/>
  <c r="Q919" i="11"/>
  <c r="P919" i="11"/>
  <c r="O919" i="11"/>
  <c r="N919" i="11"/>
  <c r="M919" i="11"/>
  <c r="L919" i="11"/>
  <c r="K919" i="11"/>
  <c r="J919" i="11"/>
  <c r="I919" i="11"/>
  <c r="H919" i="11"/>
  <c r="G919" i="11"/>
  <c r="F919" i="11"/>
  <c r="E919" i="11"/>
  <c r="D919" i="11"/>
  <c r="C919" i="11"/>
  <c r="B919" i="11"/>
  <c r="A919" i="11"/>
  <c r="Z918" i="11"/>
  <c r="Y918" i="11"/>
  <c r="X918" i="11"/>
  <c r="W918" i="11"/>
  <c r="V918" i="11"/>
  <c r="U918" i="11"/>
  <c r="T918" i="11"/>
  <c r="S918" i="11"/>
  <c r="R918" i="11"/>
  <c r="Q918" i="11"/>
  <c r="P918" i="11"/>
  <c r="O918" i="11"/>
  <c r="N918" i="11"/>
  <c r="M918" i="11"/>
  <c r="L918" i="11"/>
  <c r="K918" i="11"/>
  <c r="J918" i="11"/>
  <c r="I918" i="11"/>
  <c r="H918" i="11"/>
  <c r="G918" i="11"/>
  <c r="F918" i="11"/>
  <c r="E918" i="11"/>
  <c r="D918" i="11"/>
  <c r="C918" i="11"/>
  <c r="B918" i="11"/>
  <c r="A918" i="11"/>
  <c r="Z917" i="11"/>
  <c r="Y917" i="11"/>
  <c r="X917" i="11"/>
  <c r="W917" i="11"/>
  <c r="V917" i="11"/>
  <c r="U917" i="11"/>
  <c r="T917" i="11"/>
  <c r="S917" i="11"/>
  <c r="R917" i="11"/>
  <c r="Q917" i="11"/>
  <c r="P917" i="11"/>
  <c r="O917" i="11"/>
  <c r="N917" i="11"/>
  <c r="M917" i="11"/>
  <c r="L917" i="11"/>
  <c r="K917" i="11"/>
  <c r="J917" i="11"/>
  <c r="I917" i="11"/>
  <c r="H917" i="11"/>
  <c r="G917" i="11"/>
  <c r="F917" i="11"/>
  <c r="E917" i="11"/>
  <c r="D917" i="11"/>
  <c r="C917" i="11"/>
  <c r="B917" i="11"/>
  <c r="A917" i="11"/>
  <c r="Z916" i="11"/>
  <c r="Y916" i="11"/>
  <c r="X916" i="11"/>
  <c r="W916" i="11"/>
  <c r="V916" i="11"/>
  <c r="U916" i="11"/>
  <c r="T916" i="11"/>
  <c r="S916" i="11"/>
  <c r="R916" i="11"/>
  <c r="Q916" i="11"/>
  <c r="P916" i="11"/>
  <c r="O916" i="11"/>
  <c r="N916" i="11"/>
  <c r="M916" i="11"/>
  <c r="L916" i="11"/>
  <c r="K916" i="11"/>
  <c r="J916" i="11"/>
  <c r="I916" i="11"/>
  <c r="H916" i="11"/>
  <c r="G916" i="11"/>
  <c r="F916" i="11"/>
  <c r="E916" i="11"/>
  <c r="D916" i="11"/>
  <c r="C916" i="11"/>
  <c r="B916" i="11"/>
  <c r="A916" i="11"/>
  <c r="Z915" i="11"/>
  <c r="Y915" i="11"/>
  <c r="X915" i="11"/>
  <c r="W915" i="11"/>
  <c r="V915" i="11"/>
  <c r="U915" i="11"/>
  <c r="T915" i="11"/>
  <c r="S915" i="11"/>
  <c r="R915" i="11"/>
  <c r="Q915" i="11"/>
  <c r="P915" i="11"/>
  <c r="O915" i="11"/>
  <c r="N915" i="11"/>
  <c r="M915" i="11"/>
  <c r="L915" i="11"/>
  <c r="K915" i="11"/>
  <c r="J915" i="11"/>
  <c r="I915" i="11"/>
  <c r="H915" i="11"/>
  <c r="G915" i="11"/>
  <c r="F915" i="11"/>
  <c r="E915" i="11"/>
  <c r="D915" i="11"/>
  <c r="C915" i="11"/>
  <c r="B915" i="11"/>
  <c r="A915" i="11"/>
  <c r="Z914" i="11"/>
  <c r="Y914" i="11"/>
  <c r="X914" i="11"/>
  <c r="W914" i="11"/>
  <c r="V914" i="11"/>
  <c r="U914" i="11"/>
  <c r="T914" i="11"/>
  <c r="S914" i="11"/>
  <c r="R914" i="11"/>
  <c r="Q914" i="11"/>
  <c r="P914" i="11"/>
  <c r="O914" i="11"/>
  <c r="N914" i="11"/>
  <c r="M914" i="11"/>
  <c r="L914" i="11"/>
  <c r="K914" i="11"/>
  <c r="J914" i="11"/>
  <c r="I914" i="11"/>
  <c r="H914" i="11"/>
  <c r="G914" i="11"/>
  <c r="F914" i="11"/>
  <c r="E914" i="11"/>
  <c r="D914" i="11"/>
  <c r="C914" i="11"/>
  <c r="B914" i="11"/>
  <c r="A914" i="11"/>
  <c r="Z913" i="11"/>
  <c r="Y913" i="11"/>
  <c r="X913" i="11"/>
  <c r="W913" i="11"/>
  <c r="V913" i="11"/>
  <c r="U913" i="11"/>
  <c r="T913" i="11"/>
  <c r="S913" i="11"/>
  <c r="R913" i="11"/>
  <c r="Q913" i="11"/>
  <c r="P913" i="11"/>
  <c r="O913" i="11"/>
  <c r="N913" i="11"/>
  <c r="M913" i="11"/>
  <c r="L913" i="11"/>
  <c r="K913" i="11"/>
  <c r="J913" i="11"/>
  <c r="I913" i="11"/>
  <c r="H913" i="11"/>
  <c r="G913" i="11"/>
  <c r="F913" i="11"/>
  <c r="E913" i="11"/>
  <c r="D913" i="11"/>
  <c r="C913" i="11"/>
  <c r="B913" i="11"/>
  <c r="A913" i="11"/>
  <c r="Z912" i="11"/>
  <c r="Y912" i="11"/>
  <c r="X912" i="11"/>
  <c r="W912" i="11"/>
  <c r="V912" i="11"/>
  <c r="U912" i="11"/>
  <c r="T912" i="11"/>
  <c r="S912" i="11"/>
  <c r="R912" i="11"/>
  <c r="Q912" i="11"/>
  <c r="P912" i="11"/>
  <c r="O912" i="11"/>
  <c r="N912" i="11"/>
  <c r="M912" i="11"/>
  <c r="L912" i="11"/>
  <c r="K912" i="11"/>
  <c r="J912" i="11"/>
  <c r="I912" i="11"/>
  <c r="H912" i="11"/>
  <c r="G912" i="11"/>
  <c r="F912" i="11"/>
  <c r="E912" i="11"/>
  <c r="D912" i="11"/>
  <c r="C912" i="11"/>
  <c r="B912" i="11"/>
  <c r="A912" i="11"/>
  <c r="Z911" i="11"/>
  <c r="Y911" i="11"/>
  <c r="X911" i="11"/>
  <c r="W911" i="11"/>
  <c r="V911" i="11"/>
  <c r="U911" i="11"/>
  <c r="T911" i="11"/>
  <c r="S911" i="11"/>
  <c r="R911" i="11"/>
  <c r="Q911" i="11"/>
  <c r="P911" i="11"/>
  <c r="O911" i="11"/>
  <c r="N911" i="11"/>
  <c r="M911" i="11"/>
  <c r="L911" i="11"/>
  <c r="K911" i="11"/>
  <c r="J911" i="11"/>
  <c r="I911" i="11"/>
  <c r="H911" i="11"/>
  <c r="G911" i="11"/>
  <c r="F911" i="11"/>
  <c r="E911" i="11"/>
  <c r="D911" i="11"/>
  <c r="C911" i="11"/>
  <c r="B911" i="11"/>
  <c r="A911" i="11"/>
  <c r="Z910" i="11"/>
  <c r="Y910" i="11"/>
  <c r="X910" i="11"/>
  <c r="W910" i="11"/>
  <c r="V910" i="11"/>
  <c r="U910" i="11"/>
  <c r="T910" i="11"/>
  <c r="S910" i="11"/>
  <c r="R910" i="11"/>
  <c r="Q910" i="11"/>
  <c r="P910" i="11"/>
  <c r="O910" i="11"/>
  <c r="N910" i="11"/>
  <c r="M910" i="11"/>
  <c r="L910" i="11"/>
  <c r="K910" i="11"/>
  <c r="J910" i="11"/>
  <c r="I910" i="11"/>
  <c r="H910" i="11"/>
  <c r="G910" i="11"/>
  <c r="F910" i="11"/>
  <c r="E910" i="11"/>
  <c r="D910" i="11"/>
  <c r="C910" i="11"/>
  <c r="B910" i="11"/>
  <c r="A910" i="11"/>
  <c r="Z909" i="11"/>
  <c r="Y909" i="11"/>
  <c r="X909" i="11"/>
  <c r="W909" i="11"/>
  <c r="V909" i="11"/>
  <c r="U909" i="11"/>
  <c r="T909" i="11"/>
  <c r="S909" i="11"/>
  <c r="R909" i="11"/>
  <c r="Q909" i="11"/>
  <c r="P909" i="11"/>
  <c r="O909" i="11"/>
  <c r="N909" i="11"/>
  <c r="M909" i="11"/>
  <c r="L909" i="11"/>
  <c r="K909" i="11"/>
  <c r="J909" i="11"/>
  <c r="I909" i="11"/>
  <c r="H909" i="11"/>
  <c r="G909" i="11"/>
  <c r="F909" i="11"/>
  <c r="E909" i="11"/>
  <c r="D909" i="11"/>
  <c r="C909" i="11"/>
  <c r="B909" i="11"/>
  <c r="A909" i="11"/>
  <c r="Z908" i="11"/>
  <c r="Y908" i="11"/>
  <c r="X908" i="11"/>
  <c r="W908" i="11"/>
  <c r="V908" i="11"/>
  <c r="U908" i="11"/>
  <c r="T908" i="11"/>
  <c r="S908" i="11"/>
  <c r="R908" i="11"/>
  <c r="Q908" i="11"/>
  <c r="P908" i="11"/>
  <c r="O908" i="11"/>
  <c r="N908" i="11"/>
  <c r="M908" i="11"/>
  <c r="L908" i="11"/>
  <c r="K908" i="11"/>
  <c r="J908" i="11"/>
  <c r="I908" i="11"/>
  <c r="H908" i="11"/>
  <c r="G908" i="11"/>
  <c r="F908" i="11"/>
  <c r="E908" i="11"/>
  <c r="D908" i="11"/>
  <c r="C908" i="11"/>
  <c r="B908" i="11"/>
  <c r="A908" i="11"/>
  <c r="Z907" i="11"/>
  <c r="Y907" i="11"/>
  <c r="X907" i="11"/>
  <c r="W907" i="11"/>
  <c r="V907" i="11"/>
  <c r="U907" i="11"/>
  <c r="T907" i="11"/>
  <c r="S907" i="11"/>
  <c r="R907" i="11"/>
  <c r="Q907" i="11"/>
  <c r="P907" i="11"/>
  <c r="O907" i="11"/>
  <c r="N907" i="11"/>
  <c r="M907" i="11"/>
  <c r="L907" i="11"/>
  <c r="K907" i="11"/>
  <c r="J907" i="11"/>
  <c r="I907" i="11"/>
  <c r="H907" i="11"/>
  <c r="G907" i="11"/>
  <c r="F907" i="11"/>
  <c r="E907" i="11"/>
  <c r="D907" i="11"/>
  <c r="C907" i="11"/>
  <c r="B907" i="11"/>
  <c r="A907" i="11"/>
  <c r="Z906" i="11"/>
  <c r="Y906" i="11"/>
  <c r="X906" i="11"/>
  <c r="W906" i="11"/>
  <c r="V906" i="11"/>
  <c r="U906" i="11"/>
  <c r="T906" i="11"/>
  <c r="S906" i="11"/>
  <c r="R906" i="11"/>
  <c r="Q906" i="11"/>
  <c r="P906" i="11"/>
  <c r="O906" i="11"/>
  <c r="N906" i="11"/>
  <c r="M906" i="11"/>
  <c r="L906" i="11"/>
  <c r="K906" i="11"/>
  <c r="J906" i="11"/>
  <c r="I906" i="11"/>
  <c r="H906" i="11"/>
  <c r="G906" i="11"/>
  <c r="F906" i="11"/>
  <c r="E906" i="11"/>
  <c r="D906" i="11"/>
  <c r="C906" i="11"/>
  <c r="B906" i="11"/>
  <c r="A906" i="11"/>
  <c r="Z905" i="11"/>
  <c r="Y905" i="11"/>
  <c r="X905" i="11"/>
  <c r="W905" i="11"/>
  <c r="V905" i="11"/>
  <c r="U905" i="11"/>
  <c r="T905" i="11"/>
  <c r="S905" i="11"/>
  <c r="R905" i="11"/>
  <c r="Q905" i="11"/>
  <c r="P905" i="11"/>
  <c r="O905" i="11"/>
  <c r="N905" i="11"/>
  <c r="M905" i="11"/>
  <c r="L905" i="11"/>
  <c r="K905" i="11"/>
  <c r="J905" i="11"/>
  <c r="I905" i="11"/>
  <c r="H905" i="11"/>
  <c r="G905" i="11"/>
  <c r="F905" i="11"/>
  <c r="E905" i="11"/>
  <c r="D905" i="11"/>
  <c r="C905" i="11"/>
  <c r="B905" i="11"/>
  <c r="A905" i="11"/>
  <c r="Z904" i="11"/>
  <c r="Y904" i="11"/>
  <c r="X904" i="11"/>
  <c r="W904" i="11"/>
  <c r="V904" i="11"/>
  <c r="U904" i="11"/>
  <c r="T904" i="11"/>
  <c r="S904" i="11"/>
  <c r="R904" i="11"/>
  <c r="Q904" i="11"/>
  <c r="P904" i="11"/>
  <c r="O904" i="11"/>
  <c r="N904" i="11"/>
  <c r="M904" i="11"/>
  <c r="L904" i="11"/>
  <c r="K904" i="11"/>
  <c r="J904" i="11"/>
  <c r="I904" i="11"/>
  <c r="H904" i="11"/>
  <c r="G904" i="11"/>
  <c r="F904" i="11"/>
  <c r="E904" i="11"/>
  <c r="D904" i="11"/>
  <c r="C904" i="11"/>
  <c r="B904" i="11"/>
  <c r="A904" i="11"/>
  <c r="Z903" i="11"/>
  <c r="Y903" i="11"/>
  <c r="X903" i="11"/>
  <c r="W903" i="11"/>
  <c r="V903" i="11"/>
  <c r="U903" i="11"/>
  <c r="T903" i="11"/>
  <c r="S903" i="11"/>
  <c r="R903" i="11"/>
  <c r="Q903" i="11"/>
  <c r="P903" i="11"/>
  <c r="O903" i="11"/>
  <c r="N903" i="11"/>
  <c r="M903" i="11"/>
  <c r="L903" i="11"/>
  <c r="K903" i="11"/>
  <c r="J903" i="11"/>
  <c r="I903" i="11"/>
  <c r="H903" i="11"/>
  <c r="G903" i="11"/>
  <c r="F903" i="11"/>
  <c r="E903" i="11"/>
  <c r="D903" i="11"/>
  <c r="C903" i="11"/>
  <c r="B903" i="11"/>
  <c r="A903" i="11"/>
  <c r="Z902" i="11"/>
  <c r="Y902" i="11"/>
  <c r="X902" i="11"/>
  <c r="W902" i="11"/>
  <c r="V902" i="11"/>
  <c r="U902" i="11"/>
  <c r="T902" i="11"/>
  <c r="S902" i="11"/>
  <c r="R902" i="11"/>
  <c r="Q902" i="11"/>
  <c r="P902" i="11"/>
  <c r="O902" i="11"/>
  <c r="N902" i="11"/>
  <c r="M902" i="11"/>
  <c r="L902" i="11"/>
  <c r="K902" i="11"/>
  <c r="J902" i="11"/>
  <c r="I902" i="11"/>
  <c r="H902" i="11"/>
  <c r="G902" i="11"/>
  <c r="F902" i="11"/>
  <c r="E902" i="11"/>
  <c r="D902" i="11"/>
  <c r="C902" i="11"/>
  <c r="B902" i="11"/>
  <c r="A902" i="11"/>
  <c r="Z901" i="11"/>
  <c r="Y901" i="11"/>
  <c r="X901" i="11"/>
  <c r="W901" i="11"/>
  <c r="V901" i="11"/>
  <c r="U901" i="11"/>
  <c r="T901" i="11"/>
  <c r="S901" i="11"/>
  <c r="R901" i="11"/>
  <c r="Q901" i="11"/>
  <c r="P901" i="11"/>
  <c r="O901" i="11"/>
  <c r="N901" i="11"/>
  <c r="M901" i="11"/>
  <c r="L901" i="11"/>
  <c r="K901" i="11"/>
  <c r="J901" i="11"/>
  <c r="I901" i="11"/>
  <c r="H901" i="11"/>
  <c r="G901" i="11"/>
  <c r="F901" i="11"/>
  <c r="E901" i="11"/>
  <c r="D901" i="11"/>
  <c r="C901" i="11"/>
  <c r="B901" i="11"/>
  <c r="A901" i="11"/>
  <c r="Z900" i="11"/>
  <c r="Y900" i="11"/>
  <c r="X900" i="11"/>
  <c r="W900" i="11"/>
  <c r="V900" i="11"/>
  <c r="U900" i="11"/>
  <c r="T900" i="11"/>
  <c r="S900" i="11"/>
  <c r="R900" i="11"/>
  <c r="Q900" i="11"/>
  <c r="P900" i="11"/>
  <c r="O900" i="11"/>
  <c r="N900" i="11"/>
  <c r="M900" i="11"/>
  <c r="L900" i="11"/>
  <c r="K900" i="11"/>
  <c r="J900" i="11"/>
  <c r="I900" i="11"/>
  <c r="H900" i="11"/>
  <c r="G900" i="11"/>
  <c r="F900" i="11"/>
  <c r="E900" i="11"/>
  <c r="D900" i="11"/>
  <c r="C900" i="11"/>
  <c r="B900" i="11"/>
  <c r="A900" i="11"/>
  <c r="Z899" i="11"/>
  <c r="Y899" i="11"/>
  <c r="X899" i="11"/>
  <c r="W899" i="11"/>
  <c r="V899" i="11"/>
  <c r="U899" i="11"/>
  <c r="T899" i="11"/>
  <c r="S899" i="11"/>
  <c r="R899" i="11"/>
  <c r="Q899" i="11"/>
  <c r="P899" i="11"/>
  <c r="O899" i="11"/>
  <c r="N899" i="11"/>
  <c r="M899" i="11"/>
  <c r="L899" i="11"/>
  <c r="K899" i="11"/>
  <c r="J899" i="11"/>
  <c r="I899" i="11"/>
  <c r="H899" i="11"/>
  <c r="G899" i="11"/>
  <c r="F899" i="11"/>
  <c r="E899" i="11"/>
  <c r="D899" i="11"/>
  <c r="C899" i="11"/>
  <c r="B899" i="11"/>
  <c r="A899" i="11"/>
  <c r="Z898" i="11"/>
  <c r="Y898" i="11"/>
  <c r="X898" i="11"/>
  <c r="W898" i="11"/>
  <c r="V898" i="11"/>
  <c r="U898" i="11"/>
  <c r="T898" i="11"/>
  <c r="S898" i="11"/>
  <c r="R898" i="11"/>
  <c r="Q898" i="11"/>
  <c r="P898" i="11"/>
  <c r="O898" i="11"/>
  <c r="N898" i="11"/>
  <c r="M898" i="11"/>
  <c r="L898" i="11"/>
  <c r="K898" i="11"/>
  <c r="J898" i="11"/>
  <c r="I898" i="11"/>
  <c r="H898" i="11"/>
  <c r="G898" i="11"/>
  <c r="F898" i="11"/>
  <c r="E898" i="11"/>
  <c r="D898" i="11"/>
  <c r="C898" i="11"/>
  <c r="B898" i="11"/>
  <c r="A898" i="11"/>
  <c r="Z897" i="11"/>
  <c r="Y897" i="11"/>
  <c r="X897" i="11"/>
  <c r="W897" i="11"/>
  <c r="V897" i="11"/>
  <c r="U897" i="11"/>
  <c r="T897" i="11"/>
  <c r="S897" i="11"/>
  <c r="R897" i="11"/>
  <c r="Q897" i="11"/>
  <c r="P897" i="11"/>
  <c r="O897" i="11"/>
  <c r="N897" i="11"/>
  <c r="M897" i="11"/>
  <c r="L897" i="11"/>
  <c r="K897" i="11"/>
  <c r="J897" i="11"/>
  <c r="I897" i="11"/>
  <c r="H897" i="11"/>
  <c r="G897" i="11"/>
  <c r="F897" i="11"/>
  <c r="E897" i="11"/>
  <c r="D897" i="11"/>
  <c r="C897" i="11"/>
  <c r="B897" i="11"/>
  <c r="A897" i="11"/>
  <c r="Z896" i="11"/>
  <c r="Y896" i="11"/>
  <c r="X896" i="11"/>
  <c r="W896" i="11"/>
  <c r="V896" i="11"/>
  <c r="U896" i="11"/>
  <c r="T896" i="11"/>
  <c r="S896" i="11"/>
  <c r="R896" i="11"/>
  <c r="Q896" i="11"/>
  <c r="P896" i="11"/>
  <c r="O896" i="11"/>
  <c r="N896" i="11"/>
  <c r="M896" i="11"/>
  <c r="L896" i="11"/>
  <c r="K896" i="11"/>
  <c r="J896" i="11"/>
  <c r="I896" i="11"/>
  <c r="H896" i="11"/>
  <c r="G896" i="11"/>
  <c r="F896" i="11"/>
  <c r="E896" i="11"/>
  <c r="D896" i="11"/>
  <c r="C896" i="11"/>
  <c r="B896" i="11"/>
  <c r="A896" i="11"/>
  <c r="Z895" i="11"/>
  <c r="Y895" i="11"/>
  <c r="X895" i="11"/>
  <c r="W895" i="11"/>
  <c r="V895" i="11"/>
  <c r="U895" i="11"/>
  <c r="T895" i="11"/>
  <c r="S895" i="11"/>
  <c r="R895" i="11"/>
  <c r="Q895" i="11"/>
  <c r="P895" i="11"/>
  <c r="O895" i="11"/>
  <c r="N895" i="11"/>
  <c r="M895" i="11"/>
  <c r="L895" i="11"/>
  <c r="K895" i="11"/>
  <c r="J895" i="11"/>
  <c r="I895" i="11"/>
  <c r="H895" i="11"/>
  <c r="G895" i="11"/>
  <c r="F895" i="11"/>
  <c r="E895" i="11"/>
  <c r="D895" i="11"/>
  <c r="C895" i="11"/>
  <c r="B895" i="11"/>
  <c r="A895" i="11"/>
  <c r="Z894" i="11"/>
  <c r="Y894" i="11"/>
  <c r="X894" i="11"/>
  <c r="W894" i="11"/>
  <c r="V894" i="11"/>
  <c r="U894" i="11"/>
  <c r="T894" i="11"/>
  <c r="S894" i="11"/>
  <c r="R894" i="11"/>
  <c r="Q894" i="11"/>
  <c r="P894" i="11"/>
  <c r="O894" i="11"/>
  <c r="N894" i="11"/>
  <c r="M894" i="11"/>
  <c r="L894" i="11"/>
  <c r="K894" i="11"/>
  <c r="J894" i="11"/>
  <c r="I894" i="11"/>
  <c r="H894" i="11"/>
  <c r="G894" i="11"/>
  <c r="F894" i="11"/>
  <c r="E894" i="11"/>
  <c r="D894" i="11"/>
  <c r="C894" i="11"/>
  <c r="B894" i="11"/>
  <c r="A894" i="11"/>
  <c r="Z893" i="11"/>
  <c r="Y893" i="11"/>
  <c r="X893" i="11"/>
  <c r="W893" i="11"/>
  <c r="V893" i="11"/>
  <c r="U893" i="11"/>
  <c r="T893" i="11"/>
  <c r="S893" i="11"/>
  <c r="R893" i="11"/>
  <c r="Q893" i="11"/>
  <c r="P893" i="11"/>
  <c r="O893" i="11"/>
  <c r="N893" i="11"/>
  <c r="M893" i="11"/>
  <c r="L893" i="11"/>
  <c r="K893" i="11"/>
  <c r="J893" i="11"/>
  <c r="I893" i="11"/>
  <c r="H893" i="11"/>
  <c r="G893" i="11"/>
  <c r="F893" i="11"/>
  <c r="E893" i="11"/>
  <c r="D893" i="11"/>
  <c r="C893" i="11"/>
  <c r="B893" i="11"/>
  <c r="A893" i="11"/>
  <c r="Z892" i="11"/>
  <c r="Y892" i="11"/>
  <c r="X892" i="11"/>
  <c r="W892" i="11"/>
  <c r="V892" i="11"/>
  <c r="U892" i="11"/>
  <c r="T892" i="11"/>
  <c r="S892" i="11"/>
  <c r="R892" i="11"/>
  <c r="Q892" i="11"/>
  <c r="P892" i="11"/>
  <c r="O892" i="11"/>
  <c r="N892" i="11"/>
  <c r="M892" i="11"/>
  <c r="L892" i="11"/>
  <c r="K892" i="11"/>
  <c r="J892" i="11"/>
  <c r="I892" i="11"/>
  <c r="H892" i="11"/>
  <c r="G892" i="11"/>
  <c r="F892" i="11"/>
  <c r="E892" i="11"/>
  <c r="D892" i="11"/>
  <c r="C892" i="11"/>
  <c r="B892" i="11"/>
  <c r="A892" i="11"/>
  <c r="Z891" i="11"/>
  <c r="Y891" i="11"/>
  <c r="X891" i="11"/>
  <c r="W891" i="11"/>
  <c r="V891" i="11"/>
  <c r="U891" i="11"/>
  <c r="T891" i="11"/>
  <c r="S891" i="11"/>
  <c r="R891" i="11"/>
  <c r="Q891" i="11"/>
  <c r="P891" i="11"/>
  <c r="O891" i="11"/>
  <c r="N891" i="11"/>
  <c r="M891" i="11"/>
  <c r="L891" i="11"/>
  <c r="K891" i="11"/>
  <c r="J891" i="11"/>
  <c r="I891" i="11"/>
  <c r="H891" i="11"/>
  <c r="G891" i="11"/>
  <c r="F891" i="11"/>
  <c r="E891" i="11"/>
  <c r="D891" i="11"/>
  <c r="C891" i="11"/>
  <c r="B891" i="11"/>
  <c r="A891" i="11"/>
  <c r="Z890" i="11"/>
  <c r="Y890" i="11"/>
  <c r="X890" i="11"/>
  <c r="W890" i="11"/>
  <c r="V890" i="11"/>
  <c r="U890" i="11"/>
  <c r="T890" i="11"/>
  <c r="S890" i="11"/>
  <c r="R890" i="11"/>
  <c r="Q890" i="11"/>
  <c r="P890" i="11"/>
  <c r="O890" i="11"/>
  <c r="N890" i="11"/>
  <c r="M890" i="11"/>
  <c r="L890" i="11"/>
  <c r="K890" i="11"/>
  <c r="J890" i="11"/>
  <c r="I890" i="11"/>
  <c r="H890" i="11"/>
  <c r="G890" i="11"/>
  <c r="F890" i="11"/>
  <c r="E890" i="11"/>
  <c r="D890" i="11"/>
  <c r="C890" i="11"/>
  <c r="B890" i="11"/>
  <c r="A890" i="11"/>
  <c r="Z889" i="11"/>
  <c r="Y889" i="11"/>
  <c r="X889" i="11"/>
  <c r="W889" i="11"/>
  <c r="V889" i="11"/>
  <c r="U889" i="11"/>
  <c r="T889" i="11"/>
  <c r="S889" i="11"/>
  <c r="R889" i="11"/>
  <c r="Q889" i="11"/>
  <c r="P889" i="11"/>
  <c r="O889" i="11"/>
  <c r="N889" i="11"/>
  <c r="M889" i="11"/>
  <c r="L889" i="11"/>
  <c r="K889" i="11"/>
  <c r="J889" i="11"/>
  <c r="I889" i="11"/>
  <c r="H889" i="11"/>
  <c r="G889" i="11"/>
  <c r="F889" i="11"/>
  <c r="E889" i="11"/>
  <c r="D889" i="11"/>
  <c r="C889" i="11"/>
  <c r="B889" i="11"/>
  <c r="A889" i="11"/>
  <c r="Z888" i="11"/>
  <c r="Y888" i="11"/>
  <c r="X888" i="11"/>
  <c r="W888" i="11"/>
  <c r="V888" i="11"/>
  <c r="U888" i="11"/>
  <c r="T888" i="11"/>
  <c r="S888" i="11"/>
  <c r="R888" i="11"/>
  <c r="Q888" i="11"/>
  <c r="P888" i="11"/>
  <c r="O888" i="11"/>
  <c r="N888" i="11"/>
  <c r="M888" i="11"/>
  <c r="L888" i="11"/>
  <c r="K888" i="11"/>
  <c r="J888" i="11"/>
  <c r="I888" i="11"/>
  <c r="H888" i="11"/>
  <c r="G888" i="11"/>
  <c r="F888" i="11"/>
  <c r="E888" i="11"/>
  <c r="D888" i="11"/>
  <c r="C888" i="11"/>
  <c r="B888" i="11"/>
  <c r="A888" i="11"/>
  <c r="Z887" i="11"/>
  <c r="Y887" i="11"/>
  <c r="X887" i="11"/>
  <c r="W887" i="11"/>
  <c r="V887" i="11"/>
  <c r="U887" i="11"/>
  <c r="T887" i="11"/>
  <c r="S887" i="11"/>
  <c r="R887" i="11"/>
  <c r="Q887" i="11"/>
  <c r="P887" i="11"/>
  <c r="O887" i="11"/>
  <c r="N887" i="11"/>
  <c r="M887" i="11"/>
  <c r="L887" i="11"/>
  <c r="K887" i="11"/>
  <c r="J887" i="11"/>
  <c r="I887" i="11"/>
  <c r="H887" i="11"/>
  <c r="G887" i="11"/>
  <c r="F887" i="11"/>
  <c r="E887" i="11"/>
  <c r="D887" i="11"/>
  <c r="C887" i="11"/>
  <c r="B887" i="11"/>
  <c r="A887" i="11"/>
  <c r="Z886" i="11"/>
  <c r="Y886" i="11"/>
  <c r="X886" i="11"/>
  <c r="W886" i="11"/>
  <c r="V886" i="11"/>
  <c r="U886" i="11"/>
  <c r="T886" i="11"/>
  <c r="S886" i="11"/>
  <c r="R886" i="11"/>
  <c r="Q886" i="11"/>
  <c r="P886" i="11"/>
  <c r="O886" i="11"/>
  <c r="N886" i="11"/>
  <c r="M886" i="11"/>
  <c r="L886" i="11"/>
  <c r="K886" i="11"/>
  <c r="J886" i="11"/>
  <c r="I886" i="11"/>
  <c r="H886" i="11"/>
  <c r="G886" i="11"/>
  <c r="F886" i="11"/>
  <c r="E886" i="11"/>
  <c r="D886" i="11"/>
  <c r="C886" i="11"/>
  <c r="B886" i="11"/>
  <c r="A886" i="11"/>
  <c r="Z885" i="11"/>
  <c r="Y885" i="11"/>
  <c r="X885" i="11"/>
  <c r="W885" i="11"/>
  <c r="V885" i="11"/>
  <c r="U885" i="11"/>
  <c r="T885" i="11"/>
  <c r="S885" i="11"/>
  <c r="R885" i="11"/>
  <c r="Q885" i="11"/>
  <c r="P885" i="11"/>
  <c r="O885" i="11"/>
  <c r="N885" i="11"/>
  <c r="M885" i="11"/>
  <c r="L885" i="11"/>
  <c r="K885" i="11"/>
  <c r="J885" i="11"/>
  <c r="I885" i="11"/>
  <c r="H885" i="11"/>
  <c r="G885" i="11"/>
  <c r="F885" i="11"/>
  <c r="E885" i="11"/>
  <c r="D885" i="11"/>
  <c r="C885" i="11"/>
  <c r="B885" i="11"/>
  <c r="A885" i="11"/>
  <c r="Z884" i="11"/>
  <c r="Y884" i="11"/>
  <c r="X884" i="11"/>
  <c r="W884" i="11"/>
  <c r="V884" i="11"/>
  <c r="U884" i="11"/>
  <c r="T884" i="11"/>
  <c r="S884" i="11"/>
  <c r="R884" i="11"/>
  <c r="Q884" i="11"/>
  <c r="P884" i="11"/>
  <c r="O884" i="11"/>
  <c r="N884" i="11"/>
  <c r="M884" i="11"/>
  <c r="L884" i="11"/>
  <c r="K884" i="11"/>
  <c r="J884" i="11"/>
  <c r="I884" i="11"/>
  <c r="H884" i="11"/>
  <c r="G884" i="11"/>
  <c r="F884" i="11"/>
  <c r="E884" i="11"/>
  <c r="D884" i="11"/>
  <c r="C884" i="11"/>
  <c r="B884" i="11"/>
  <c r="A884" i="11"/>
  <c r="Z883" i="11"/>
  <c r="Y883" i="11"/>
  <c r="X883" i="11"/>
  <c r="W883" i="11"/>
  <c r="V883" i="11"/>
  <c r="U883" i="11"/>
  <c r="T883" i="11"/>
  <c r="S883" i="11"/>
  <c r="R883" i="11"/>
  <c r="Q883" i="11"/>
  <c r="P883" i="11"/>
  <c r="O883" i="11"/>
  <c r="N883" i="11"/>
  <c r="M883" i="11"/>
  <c r="L883" i="11"/>
  <c r="K883" i="11"/>
  <c r="J883" i="11"/>
  <c r="I883" i="11"/>
  <c r="H883" i="11"/>
  <c r="G883" i="11"/>
  <c r="F883" i="11"/>
  <c r="E883" i="11"/>
  <c r="D883" i="11"/>
  <c r="C883" i="11"/>
  <c r="B883" i="11"/>
  <c r="A883" i="11"/>
  <c r="Z882" i="11"/>
  <c r="Y882" i="11"/>
  <c r="X882" i="11"/>
  <c r="W882" i="11"/>
  <c r="V882" i="11"/>
  <c r="U882" i="11"/>
  <c r="T882" i="11"/>
  <c r="S882" i="11"/>
  <c r="R882" i="11"/>
  <c r="Q882" i="11"/>
  <c r="P882" i="11"/>
  <c r="O882" i="11"/>
  <c r="N882" i="11"/>
  <c r="M882" i="11"/>
  <c r="L882" i="11"/>
  <c r="K882" i="11"/>
  <c r="J882" i="11"/>
  <c r="I882" i="11"/>
  <c r="H882" i="11"/>
  <c r="G882" i="11"/>
  <c r="F882" i="11"/>
  <c r="E882" i="11"/>
  <c r="D882" i="11"/>
  <c r="C882" i="11"/>
  <c r="B882" i="11"/>
  <c r="A882" i="11"/>
  <c r="Z881" i="11"/>
  <c r="Y881" i="11"/>
  <c r="X881" i="11"/>
  <c r="W881" i="11"/>
  <c r="V881" i="11"/>
  <c r="U881" i="11"/>
  <c r="T881" i="11"/>
  <c r="S881" i="11"/>
  <c r="R881" i="11"/>
  <c r="Q881" i="11"/>
  <c r="P881" i="11"/>
  <c r="O881" i="11"/>
  <c r="N881" i="11"/>
  <c r="M881" i="11"/>
  <c r="L881" i="11"/>
  <c r="K881" i="11"/>
  <c r="J881" i="11"/>
  <c r="I881" i="11"/>
  <c r="H881" i="11"/>
  <c r="G881" i="11"/>
  <c r="F881" i="11"/>
  <c r="E881" i="11"/>
  <c r="D881" i="11"/>
  <c r="C881" i="11"/>
  <c r="B881" i="11"/>
  <c r="A881" i="11"/>
  <c r="Z880" i="11"/>
  <c r="Y880" i="11"/>
  <c r="X880" i="11"/>
  <c r="W880" i="11"/>
  <c r="V880" i="11"/>
  <c r="U880" i="11"/>
  <c r="T880" i="11"/>
  <c r="S880" i="11"/>
  <c r="R880" i="11"/>
  <c r="Q880" i="11"/>
  <c r="P880" i="11"/>
  <c r="O880" i="11"/>
  <c r="N880" i="11"/>
  <c r="M880" i="11"/>
  <c r="L880" i="11"/>
  <c r="K880" i="11"/>
  <c r="J880" i="11"/>
  <c r="I880" i="11"/>
  <c r="H880" i="11"/>
  <c r="G880" i="11"/>
  <c r="F880" i="11"/>
  <c r="E880" i="11"/>
  <c r="D880" i="11"/>
  <c r="C880" i="11"/>
  <c r="B880" i="11"/>
  <c r="A880" i="11"/>
  <c r="Z879" i="11"/>
  <c r="Y879" i="11"/>
  <c r="X879" i="11"/>
  <c r="W879" i="11"/>
  <c r="V879" i="11"/>
  <c r="U879" i="11"/>
  <c r="T879" i="11"/>
  <c r="S879" i="11"/>
  <c r="R879" i="11"/>
  <c r="Q879" i="11"/>
  <c r="P879" i="11"/>
  <c r="O879" i="11"/>
  <c r="N879" i="11"/>
  <c r="M879" i="11"/>
  <c r="L879" i="11"/>
  <c r="K879" i="11"/>
  <c r="J879" i="11"/>
  <c r="I879" i="11"/>
  <c r="H879" i="11"/>
  <c r="G879" i="11"/>
  <c r="F879" i="11"/>
  <c r="E879" i="11"/>
  <c r="D879" i="11"/>
  <c r="C879" i="11"/>
  <c r="B879" i="11"/>
  <c r="A879" i="11"/>
  <c r="Z878" i="11"/>
  <c r="Y878" i="11"/>
  <c r="X878" i="11"/>
  <c r="W878" i="11"/>
  <c r="V878" i="11"/>
  <c r="U878" i="11"/>
  <c r="T878" i="11"/>
  <c r="S878" i="11"/>
  <c r="R878" i="11"/>
  <c r="Q878" i="11"/>
  <c r="P878" i="11"/>
  <c r="O878" i="11"/>
  <c r="N878" i="11"/>
  <c r="M878" i="11"/>
  <c r="L878" i="11"/>
  <c r="K878" i="11"/>
  <c r="J878" i="11"/>
  <c r="I878" i="11"/>
  <c r="H878" i="11"/>
  <c r="G878" i="11"/>
  <c r="F878" i="11"/>
  <c r="E878" i="11"/>
  <c r="D878" i="11"/>
  <c r="C878" i="11"/>
  <c r="B878" i="11"/>
  <c r="A878" i="11"/>
  <c r="Z877" i="11"/>
  <c r="Y877" i="11"/>
  <c r="X877" i="11"/>
  <c r="W877" i="11"/>
  <c r="V877" i="11"/>
  <c r="U877" i="11"/>
  <c r="T877" i="11"/>
  <c r="S877" i="11"/>
  <c r="R877" i="11"/>
  <c r="Q877" i="11"/>
  <c r="P877" i="11"/>
  <c r="O877" i="11"/>
  <c r="N877" i="11"/>
  <c r="M877" i="11"/>
  <c r="L877" i="11"/>
  <c r="K877" i="11"/>
  <c r="J877" i="11"/>
  <c r="I877" i="11"/>
  <c r="H877" i="11"/>
  <c r="G877" i="11"/>
  <c r="F877" i="11"/>
  <c r="E877" i="11"/>
  <c r="D877" i="11"/>
  <c r="C877" i="11"/>
  <c r="B877" i="11"/>
  <c r="A877" i="11"/>
  <c r="Z876" i="11"/>
  <c r="Y876" i="11"/>
  <c r="X876" i="11"/>
  <c r="W876" i="11"/>
  <c r="V876" i="11"/>
  <c r="U876" i="11"/>
  <c r="T876" i="11"/>
  <c r="S876" i="11"/>
  <c r="R876" i="11"/>
  <c r="Q876" i="11"/>
  <c r="P876" i="11"/>
  <c r="O876" i="11"/>
  <c r="N876" i="11"/>
  <c r="M876" i="11"/>
  <c r="L876" i="11"/>
  <c r="K876" i="11"/>
  <c r="J876" i="11"/>
  <c r="I876" i="11"/>
  <c r="H876" i="11"/>
  <c r="G876" i="11"/>
  <c r="F876" i="11"/>
  <c r="E876" i="11"/>
  <c r="D876" i="11"/>
  <c r="C876" i="11"/>
  <c r="B876" i="11"/>
  <c r="A876" i="11"/>
  <c r="Z875" i="11"/>
  <c r="Y875" i="11"/>
  <c r="X875" i="11"/>
  <c r="W875" i="11"/>
  <c r="V875" i="11"/>
  <c r="U875" i="11"/>
  <c r="T875" i="11"/>
  <c r="S875" i="11"/>
  <c r="R875" i="11"/>
  <c r="Q875" i="11"/>
  <c r="P875" i="11"/>
  <c r="O875" i="11"/>
  <c r="N875" i="11"/>
  <c r="M875" i="11"/>
  <c r="L875" i="11"/>
  <c r="K875" i="11"/>
  <c r="J875" i="11"/>
  <c r="I875" i="11"/>
  <c r="H875" i="11"/>
  <c r="G875" i="11"/>
  <c r="F875" i="11"/>
  <c r="E875" i="11"/>
  <c r="D875" i="11"/>
  <c r="C875" i="11"/>
  <c r="B875" i="11"/>
  <c r="A875" i="11"/>
  <c r="Z874" i="11"/>
  <c r="Y874" i="11"/>
  <c r="X874" i="11"/>
  <c r="W874" i="11"/>
  <c r="V874" i="11"/>
  <c r="U874" i="11"/>
  <c r="T874" i="11"/>
  <c r="S874" i="11"/>
  <c r="R874" i="11"/>
  <c r="Q874" i="11"/>
  <c r="P874" i="11"/>
  <c r="O874" i="11"/>
  <c r="N874" i="11"/>
  <c r="M874" i="11"/>
  <c r="L874" i="11"/>
  <c r="K874" i="11"/>
  <c r="J874" i="11"/>
  <c r="I874" i="11"/>
  <c r="H874" i="11"/>
  <c r="G874" i="11"/>
  <c r="F874" i="11"/>
  <c r="E874" i="11"/>
  <c r="D874" i="11"/>
  <c r="C874" i="11"/>
  <c r="B874" i="11"/>
  <c r="A874" i="11"/>
  <c r="Z873" i="11"/>
  <c r="Y873" i="11"/>
  <c r="X873" i="11"/>
  <c r="W873" i="11"/>
  <c r="V873" i="11"/>
  <c r="U873" i="11"/>
  <c r="T873" i="11"/>
  <c r="S873" i="11"/>
  <c r="R873" i="11"/>
  <c r="Q873" i="11"/>
  <c r="P873" i="11"/>
  <c r="O873" i="11"/>
  <c r="N873" i="11"/>
  <c r="M873" i="11"/>
  <c r="L873" i="11"/>
  <c r="K873" i="11"/>
  <c r="J873" i="11"/>
  <c r="I873" i="11"/>
  <c r="H873" i="11"/>
  <c r="G873" i="11"/>
  <c r="F873" i="11"/>
  <c r="E873" i="11"/>
  <c r="D873" i="11"/>
  <c r="C873" i="11"/>
  <c r="B873" i="11"/>
  <c r="A873" i="11"/>
  <c r="Z872" i="11"/>
  <c r="Y872" i="11"/>
  <c r="X872" i="11"/>
  <c r="W872" i="11"/>
  <c r="V872" i="11"/>
  <c r="U872" i="11"/>
  <c r="T872" i="11"/>
  <c r="S872" i="11"/>
  <c r="R872" i="11"/>
  <c r="Q872" i="11"/>
  <c r="P872" i="11"/>
  <c r="O872" i="11"/>
  <c r="N872" i="11"/>
  <c r="M872" i="11"/>
  <c r="L872" i="11"/>
  <c r="K872" i="11"/>
  <c r="J872" i="11"/>
  <c r="I872" i="11"/>
  <c r="H872" i="11"/>
  <c r="G872" i="11"/>
  <c r="F872" i="11"/>
  <c r="E872" i="11"/>
  <c r="D872" i="11"/>
  <c r="C872" i="11"/>
  <c r="B872" i="11"/>
  <c r="A872" i="11"/>
  <c r="Z871" i="11"/>
  <c r="Y871" i="11"/>
  <c r="X871" i="11"/>
  <c r="W871" i="11"/>
  <c r="V871" i="11"/>
  <c r="U871" i="11"/>
  <c r="T871" i="11"/>
  <c r="S871" i="11"/>
  <c r="R871" i="11"/>
  <c r="Q871" i="11"/>
  <c r="P871" i="11"/>
  <c r="O871" i="11"/>
  <c r="N871" i="11"/>
  <c r="M871" i="11"/>
  <c r="L871" i="11"/>
  <c r="K871" i="11"/>
  <c r="J871" i="11"/>
  <c r="I871" i="11"/>
  <c r="H871" i="11"/>
  <c r="G871" i="11"/>
  <c r="F871" i="11"/>
  <c r="E871" i="11"/>
  <c r="D871" i="11"/>
  <c r="C871" i="11"/>
  <c r="B871" i="11"/>
  <c r="A871" i="11"/>
  <c r="Z870" i="11"/>
  <c r="Y870" i="11"/>
  <c r="X870" i="11"/>
  <c r="W870" i="11"/>
  <c r="V870" i="11"/>
  <c r="U870" i="11"/>
  <c r="T870" i="11"/>
  <c r="S870" i="11"/>
  <c r="R870" i="11"/>
  <c r="Q870" i="11"/>
  <c r="P870" i="11"/>
  <c r="O870" i="11"/>
  <c r="N870" i="11"/>
  <c r="M870" i="11"/>
  <c r="L870" i="11"/>
  <c r="K870" i="11"/>
  <c r="J870" i="11"/>
  <c r="I870" i="11"/>
  <c r="H870" i="11"/>
  <c r="G870" i="11"/>
  <c r="F870" i="11"/>
  <c r="E870" i="11"/>
  <c r="D870" i="11"/>
  <c r="C870" i="11"/>
  <c r="B870" i="11"/>
  <c r="A870" i="11"/>
  <c r="Z869" i="11"/>
  <c r="Y869" i="11"/>
  <c r="X869" i="11"/>
  <c r="W869" i="11"/>
  <c r="V869" i="11"/>
  <c r="U869" i="11"/>
  <c r="T869" i="11"/>
  <c r="S869" i="11"/>
  <c r="R869" i="11"/>
  <c r="Q869" i="11"/>
  <c r="P869" i="11"/>
  <c r="O869" i="11"/>
  <c r="N869" i="11"/>
  <c r="M869" i="11"/>
  <c r="L869" i="11"/>
  <c r="K869" i="11"/>
  <c r="J869" i="11"/>
  <c r="I869" i="11"/>
  <c r="H869" i="11"/>
  <c r="G869" i="11"/>
  <c r="F869" i="11"/>
  <c r="E869" i="11"/>
  <c r="D869" i="11"/>
  <c r="C869" i="11"/>
  <c r="B869" i="11"/>
  <c r="A869" i="11"/>
  <c r="Z868" i="11"/>
  <c r="Y868" i="11"/>
  <c r="X868" i="11"/>
  <c r="W868" i="11"/>
  <c r="V868" i="11"/>
  <c r="U868" i="11"/>
  <c r="T868" i="11"/>
  <c r="S868" i="11"/>
  <c r="R868" i="11"/>
  <c r="Q868" i="11"/>
  <c r="P868" i="11"/>
  <c r="O868" i="11"/>
  <c r="N868" i="11"/>
  <c r="M868" i="11"/>
  <c r="L868" i="11"/>
  <c r="K868" i="11"/>
  <c r="J868" i="11"/>
  <c r="I868" i="11"/>
  <c r="H868" i="11"/>
  <c r="G868" i="11"/>
  <c r="F868" i="11"/>
  <c r="E868" i="11"/>
  <c r="D868" i="11"/>
  <c r="C868" i="11"/>
  <c r="B868" i="11"/>
  <c r="A868" i="11"/>
  <c r="Z867" i="11"/>
  <c r="Y867" i="11"/>
  <c r="X867" i="11"/>
  <c r="W867" i="11"/>
  <c r="V867" i="11"/>
  <c r="U867" i="11"/>
  <c r="T867" i="11"/>
  <c r="S867" i="11"/>
  <c r="R867" i="11"/>
  <c r="Q867" i="11"/>
  <c r="P867" i="11"/>
  <c r="O867" i="11"/>
  <c r="N867" i="11"/>
  <c r="M867" i="11"/>
  <c r="L867" i="11"/>
  <c r="K867" i="11"/>
  <c r="J867" i="11"/>
  <c r="I867" i="11"/>
  <c r="H867" i="11"/>
  <c r="G867" i="11"/>
  <c r="F867" i="11"/>
  <c r="E867" i="11"/>
  <c r="D867" i="11"/>
  <c r="C867" i="11"/>
  <c r="B867" i="11"/>
  <c r="A867" i="11"/>
  <c r="Z866" i="11"/>
  <c r="Y866" i="11"/>
  <c r="X866" i="11"/>
  <c r="W866" i="11"/>
  <c r="V866" i="11"/>
  <c r="U866" i="11"/>
  <c r="T866" i="11"/>
  <c r="S866" i="11"/>
  <c r="R866" i="11"/>
  <c r="Q866" i="11"/>
  <c r="P866" i="11"/>
  <c r="O866" i="11"/>
  <c r="N866" i="11"/>
  <c r="M866" i="11"/>
  <c r="L866" i="11"/>
  <c r="K866" i="11"/>
  <c r="J866" i="11"/>
  <c r="I866" i="11"/>
  <c r="H866" i="11"/>
  <c r="G866" i="11"/>
  <c r="F866" i="11"/>
  <c r="E866" i="11"/>
  <c r="D866" i="11"/>
  <c r="C866" i="11"/>
  <c r="B866" i="11"/>
  <c r="A866" i="11"/>
  <c r="Z865" i="11"/>
  <c r="Y865" i="11"/>
  <c r="X865" i="11"/>
  <c r="W865" i="11"/>
  <c r="V865" i="11"/>
  <c r="U865" i="11"/>
  <c r="T865" i="11"/>
  <c r="S865" i="11"/>
  <c r="R865" i="11"/>
  <c r="Q865" i="11"/>
  <c r="P865" i="11"/>
  <c r="O865" i="11"/>
  <c r="N865" i="11"/>
  <c r="M865" i="11"/>
  <c r="L865" i="11"/>
  <c r="K865" i="11"/>
  <c r="J865" i="11"/>
  <c r="I865" i="11"/>
  <c r="H865" i="11"/>
  <c r="G865" i="11"/>
  <c r="F865" i="11"/>
  <c r="E865" i="11"/>
  <c r="D865" i="11"/>
  <c r="C865" i="11"/>
  <c r="B865" i="11"/>
  <c r="A865" i="11"/>
  <c r="Z864" i="11"/>
  <c r="Y864" i="11"/>
  <c r="X864" i="11"/>
  <c r="W864" i="11"/>
  <c r="V864" i="11"/>
  <c r="U864" i="11"/>
  <c r="T864" i="11"/>
  <c r="S864" i="11"/>
  <c r="R864" i="11"/>
  <c r="Q864" i="11"/>
  <c r="P864" i="11"/>
  <c r="O864" i="11"/>
  <c r="N864" i="11"/>
  <c r="M864" i="11"/>
  <c r="L864" i="11"/>
  <c r="K864" i="11"/>
  <c r="J864" i="11"/>
  <c r="I864" i="11"/>
  <c r="H864" i="11"/>
  <c r="G864" i="11"/>
  <c r="F864" i="11"/>
  <c r="E864" i="11"/>
  <c r="D864" i="11"/>
  <c r="C864" i="11"/>
  <c r="B864" i="11"/>
  <c r="A864" i="11"/>
  <c r="Z863" i="11"/>
  <c r="Y863" i="11"/>
  <c r="X863" i="11"/>
  <c r="W863" i="11"/>
  <c r="V863" i="11"/>
  <c r="U863" i="11"/>
  <c r="T863" i="11"/>
  <c r="S863" i="11"/>
  <c r="R863" i="11"/>
  <c r="Q863" i="11"/>
  <c r="P863" i="11"/>
  <c r="O863" i="11"/>
  <c r="N863" i="11"/>
  <c r="M863" i="11"/>
  <c r="L863" i="11"/>
  <c r="K863" i="11"/>
  <c r="J863" i="11"/>
  <c r="I863" i="11"/>
  <c r="H863" i="11"/>
  <c r="G863" i="11"/>
  <c r="F863" i="11"/>
  <c r="E863" i="11"/>
  <c r="D863" i="11"/>
  <c r="C863" i="11"/>
  <c r="B863" i="11"/>
  <c r="A863" i="11"/>
  <c r="Z862" i="11"/>
  <c r="Y862" i="11"/>
  <c r="X862" i="11"/>
  <c r="W862" i="11"/>
  <c r="V862" i="11"/>
  <c r="U862" i="11"/>
  <c r="T862" i="11"/>
  <c r="S862" i="11"/>
  <c r="R862" i="11"/>
  <c r="Q862" i="11"/>
  <c r="P862" i="11"/>
  <c r="O862" i="11"/>
  <c r="N862" i="11"/>
  <c r="M862" i="11"/>
  <c r="L862" i="11"/>
  <c r="K862" i="11"/>
  <c r="J862" i="11"/>
  <c r="I862" i="11"/>
  <c r="H862" i="11"/>
  <c r="G862" i="11"/>
  <c r="F862" i="11"/>
  <c r="E862" i="11"/>
  <c r="D862" i="11"/>
  <c r="C862" i="11"/>
  <c r="B862" i="11"/>
  <c r="A862" i="11"/>
  <c r="Z861" i="11"/>
  <c r="Y861" i="11"/>
  <c r="X861" i="11"/>
  <c r="W861" i="11"/>
  <c r="V861" i="11"/>
  <c r="U861" i="11"/>
  <c r="T861" i="11"/>
  <c r="S861" i="11"/>
  <c r="R861" i="11"/>
  <c r="Q861" i="11"/>
  <c r="P861" i="11"/>
  <c r="O861" i="11"/>
  <c r="N861" i="11"/>
  <c r="M861" i="11"/>
  <c r="L861" i="11"/>
  <c r="K861" i="11"/>
  <c r="J861" i="11"/>
  <c r="I861" i="11"/>
  <c r="H861" i="11"/>
  <c r="G861" i="11"/>
  <c r="F861" i="11"/>
  <c r="E861" i="11"/>
  <c r="D861" i="11"/>
  <c r="C861" i="11"/>
  <c r="B861" i="11"/>
  <c r="A861" i="11"/>
  <c r="Z860" i="11"/>
  <c r="Y860" i="11"/>
  <c r="X860" i="11"/>
  <c r="W860" i="11"/>
  <c r="V860" i="11"/>
  <c r="U860" i="11"/>
  <c r="T860" i="11"/>
  <c r="S860" i="11"/>
  <c r="R860" i="11"/>
  <c r="Q860" i="11"/>
  <c r="P860" i="11"/>
  <c r="O860" i="11"/>
  <c r="N860" i="11"/>
  <c r="M860" i="11"/>
  <c r="L860" i="11"/>
  <c r="K860" i="11"/>
  <c r="J860" i="11"/>
  <c r="I860" i="11"/>
  <c r="H860" i="11"/>
  <c r="G860" i="11"/>
  <c r="F860" i="11"/>
  <c r="E860" i="11"/>
  <c r="D860" i="11"/>
  <c r="C860" i="11"/>
  <c r="B860" i="11"/>
  <c r="A860" i="11"/>
  <c r="Z859" i="11"/>
  <c r="Y859" i="11"/>
  <c r="X859" i="11"/>
  <c r="W859" i="11"/>
  <c r="V859" i="11"/>
  <c r="U859" i="11"/>
  <c r="T859" i="11"/>
  <c r="S859" i="11"/>
  <c r="R859" i="11"/>
  <c r="Q859" i="11"/>
  <c r="P859" i="11"/>
  <c r="O859" i="11"/>
  <c r="N859" i="11"/>
  <c r="M859" i="11"/>
  <c r="L859" i="11"/>
  <c r="K859" i="11"/>
  <c r="J859" i="11"/>
  <c r="I859" i="11"/>
  <c r="H859" i="11"/>
  <c r="G859" i="11"/>
  <c r="F859" i="11"/>
  <c r="E859" i="11"/>
  <c r="D859" i="11"/>
  <c r="C859" i="11"/>
  <c r="B859" i="11"/>
  <c r="A859" i="11"/>
  <c r="Z858" i="11"/>
  <c r="Y858" i="11"/>
  <c r="X858" i="11"/>
  <c r="W858" i="11"/>
  <c r="V858" i="11"/>
  <c r="U858" i="11"/>
  <c r="T858" i="11"/>
  <c r="S858" i="11"/>
  <c r="R858" i="11"/>
  <c r="Q858" i="11"/>
  <c r="P858" i="11"/>
  <c r="O858" i="11"/>
  <c r="N858" i="11"/>
  <c r="M858" i="11"/>
  <c r="L858" i="11"/>
  <c r="K858" i="11"/>
  <c r="J858" i="11"/>
  <c r="I858" i="11"/>
  <c r="H858" i="11"/>
  <c r="G858" i="11"/>
  <c r="F858" i="11"/>
  <c r="E858" i="11"/>
  <c r="D858" i="11"/>
  <c r="C858" i="11"/>
  <c r="B858" i="11"/>
  <c r="A858" i="11"/>
  <c r="Z857" i="11"/>
  <c r="Y857" i="11"/>
  <c r="X857" i="11"/>
  <c r="W857" i="11"/>
  <c r="V857" i="11"/>
  <c r="U857" i="11"/>
  <c r="T857" i="11"/>
  <c r="S857" i="11"/>
  <c r="R857" i="11"/>
  <c r="Q857" i="11"/>
  <c r="P857" i="11"/>
  <c r="O857" i="11"/>
  <c r="N857" i="11"/>
  <c r="M857" i="11"/>
  <c r="L857" i="11"/>
  <c r="K857" i="11"/>
  <c r="J857" i="11"/>
  <c r="I857" i="11"/>
  <c r="H857" i="11"/>
  <c r="G857" i="11"/>
  <c r="F857" i="11"/>
  <c r="E857" i="11"/>
  <c r="D857" i="11"/>
  <c r="C857" i="11"/>
  <c r="B857" i="11"/>
  <c r="A857" i="11"/>
  <c r="Z856" i="11"/>
  <c r="Y856" i="11"/>
  <c r="X856" i="11"/>
  <c r="W856" i="11"/>
  <c r="V856" i="11"/>
  <c r="U856" i="11"/>
  <c r="T856" i="11"/>
  <c r="S856" i="11"/>
  <c r="R856" i="11"/>
  <c r="Q856" i="11"/>
  <c r="P856" i="11"/>
  <c r="O856" i="11"/>
  <c r="N856" i="11"/>
  <c r="M856" i="11"/>
  <c r="L856" i="11"/>
  <c r="K856" i="11"/>
  <c r="J856" i="11"/>
  <c r="I856" i="11"/>
  <c r="H856" i="11"/>
  <c r="G856" i="11"/>
  <c r="F856" i="11"/>
  <c r="E856" i="11"/>
  <c r="D856" i="11"/>
  <c r="C856" i="11"/>
  <c r="B856" i="11"/>
  <c r="A856" i="11"/>
  <c r="Z855" i="11"/>
  <c r="Y855" i="11"/>
  <c r="X855" i="11"/>
  <c r="W855" i="11"/>
  <c r="V855" i="11"/>
  <c r="U855" i="11"/>
  <c r="T855" i="11"/>
  <c r="S855" i="11"/>
  <c r="R855" i="11"/>
  <c r="Q855" i="11"/>
  <c r="P855" i="11"/>
  <c r="O855" i="11"/>
  <c r="N855" i="11"/>
  <c r="M855" i="11"/>
  <c r="L855" i="11"/>
  <c r="K855" i="11"/>
  <c r="J855" i="11"/>
  <c r="I855" i="11"/>
  <c r="H855" i="11"/>
  <c r="G855" i="11"/>
  <c r="F855" i="11"/>
  <c r="E855" i="11"/>
  <c r="D855" i="11"/>
  <c r="C855" i="11"/>
  <c r="B855" i="11"/>
  <c r="A855" i="11"/>
  <c r="Z854" i="11"/>
  <c r="Y854" i="11"/>
  <c r="X854" i="11"/>
  <c r="W854" i="11"/>
  <c r="V854" i="11"/>
  <c r="U854" i="11"/>
  <c r="T854" i="11"/>
  <c r="S854" i="11"/>
  <c r="R854" i="11"/>
  <c r="Q854" i="11"/>
  <c r="P854" i="11"/>
  <c r="O854" i="11"/>
  <c r="N854" i="11"/>
  <c r="M854" i="11"/>
  <c r="L854" i="11"/>
  <c r="K854" i="11"/>
  <c r="J854" i="11"/>
  <c r="I854" i="11"/>
  <c r="H854" i="11"/>
  <c r="G854" i="11"/>
  <c r="F854" i="11"/>
  <c r="E854" i="11"/>
  <c r="D854" i="11"/>
  <c r="C854" i="11"/>
  <c r="B854" i="11"/>
  <c r="A854" i="11"/>
  <c r="Z853" i="11"/>
  <c r="Y853" i="11"/>
  <c r="X853" i="11"/>
  <c r="W853" i="11"/>
  <c r="V853" i="11"/>
  <c r="U853" i="11"/>
  <c r="T853" i="11"/>
  <c r="S853" i="11"/>
  <c r="R853" i="11"/>
  <c r="Q853" i="11"/>
  <c r="P853" i="11"/>
  <c r="O853" i="11"/>
  <c r="N853" i="11"/>
  <c r="M853" i="11"/>
  <c r="L853" i="11"/>
  <c r="K853" i="11"/>
  <c r="J853" i="11"/>
  <c r="I853" i="11"/>
  <c r="H853" i="11"/>
  <c r="G853" i="11"/>
  <c r="F853" i="11"/>
  <c r="E853" i="11"/>
  <c r="D853" i="11"/>
  <c r="C853" i="11"/>
  <c r="B853" i="11"/>
  <c r="A853" i="11"/>
  <c r="Z852" i="11"/>
  <c r="Y852" i="11"/>
  <c r="X852" i="11"/>
  <c r="W852" i="11"/>
  <c r="V852" i="11"/>
  <c r="U852" i="11"/>
  <c r="T852" i="11"/>
  <c r="S852" i="11"/>
  <c r="R852" i="11"/>
  <c r="Q852" i="11"/>
  <c r="P852" i="11"/>
  <c r="O852" i="11"/>
  <c r="N852" i="11"/>
  <c r="M852" i="11"/>
  <c r="L852" i="11"/>
  <c r="K852" i="11"/>
  <c r="J852" i="11"/>
  <c r="I852" i="11"/>
  <c r="H852" i="11"/>
  <c r="G852" i="11"/>
  <c r="F852" i="11"/>
  <c r="E852" i="11"/>
  <c r="D852" i="11"/>
  <c r="C852" i="11"/>
  <c r="B852" i="11"/>
  <c r="A852" i="11"/>
  <c r="Z851" i="11"/>
  <c r="Y851" i="11"/>
  <c r="X851" i="11"/>
  <c r="W851" i="11"/>
  <c r="V851" i="11"/>
  <c r="U851" i="11"/>
  <c r="T851" i="11"/>
  <c r="S851" i="11"/>
  <c r="R851" i="11"/>
  <c r="Q851" i="11"/>
  <c r="P851" i="11"/>
  <c r="O851" i="11"/>
  <c r="N851" i="11"/>
  <c r="M851" i="11"/>
  <c r="L851" i="11"/>
  <c r="K851" i="11"/>
  <c r="J851" i="11"/>
  <c r="I851" i="11"/>
  <c r="H851" i="11"/>
  <c r="G851" i="11"/>
  <c r="F851" i="11"/>
  <c r="E851" i="11"/>
  <c r="D851" i="11"/>
  <c r="C851" i="11"/>
  <c r="B851" i="11"/>
  <c r="A851" i="11"/>
  <c r="Z850" i="11"/>
  <c r="Y850" i="11"/>
  <c r="X850" i="11"/>
  <c r="W850" i="11"/>
  <c r="V850" i="11"/>
  <c r="U850" i="11"/>
  <c r="T850" i="11"/>
  <c r="S850" i="11"/>
  <c r="R850" i="11"/>
  <c r="Q850" i="11"/>
  <c r="P850" i="11"/>
  <c r="O850" i="11"/>
  <c r="N850" i="11"/>
  <c r="M850" i="11"/>
  <c r="L850" i="11"/>
  <c r="K850" i="11"/>
  <c r="J850" i="11"/>
  <c r="I850" i="11"/>
  <c r="H850" i="11"/>
  <c r="G850" i="11"/>
  <c r="F850" i="11"/>
  <c r="E850" i="11"/>
  <c r="D850" i="11"/>
  <c r="C850" i="11"/>
  <c r="B850" i="11"/>
  <c r="A850" i="11"/>
  <c r="Z849" i="11"/>
  <c r="Y849" i="11"/>
  <c r="X849" i="11"/>
  <c r="W849" i="11"/>
  <c r="V849" i="11"/>
  <c r="U849" i="11"/>
  <c r="T849" i="11"/>
  <c r="S849" i="11"/>
  <c r="R849" i="11"/>
  <c r="Q849" i="11"/>
  <c r="P849" i="11"/>
  <c r="O849" i="11"/>
  <c r="N849" i="11"/>
  <c r="M849" i="11"/>
  <c r="L849" i="11"/>
  <c r="K849" i="11"/>
  <c r="J849" i="11"/>
  <c r="I849" i="11"/>
  <c r="H849" i="11"/>
  <c r="G849" i="11"/>
  <c r="F849" i="11"/>
  <c r="E849" i="11"/>
  <c r="D849" i="11"/>
  <c r="C849" i="11"/>
  <c r="B849" i="11"/>
  <c r="A849" i="11"/>
  <c r="Z848" i="11"/>
  <c r="Y848" i="11"/>
  <c r="X848" i="11"/>
  <c r="W848" i="11"/>
  <c r="V848" i="11"/>
  <c r="U848" i="11"/>
  <c r="T848" i="11"/>
  <c r="S848" i="11"/>
  <c r="R848" i="11"/>
  <c r="Q848" i="11"/>
  <c r="P848" i="11"/>
  <c r="O848" i="11"/>
  <c r="N848" i="11"/>
  <c r="M848" i="11"/>
  <c r="L848" i="11"/>
  <c r="K848" i="11"/>
  <c r="J848" i="11"/>
  <c r="I848" i="11"/>
  <c r="H848" i="11"/>
  <c r="G848" i="11"/>
  <c r="F848" i="11"/>
  <c r="E848" i="11"/>
  <c r="D848" i="11"/>
  <c r="C848" i="11"/>
  <c r="B848" i="11"/>
  <c r="A848" i="11"/>
  <c r="Z847" i="11"/>
  <c r="Y847" i="11"/>
  <c r="X847" i="11"/>
  <c r="W847" i="11"/>
  <c r="V847" i="11"/>
  <c r="U847" i="11"/>
  <c r="S847" i="11"/>
  <c r="R847" i="11"/>
  <c r="Q847" i="11"/>
  <c r="P847" i="11"/>
  <c r="O847" i="11"/>
  <c r="N847" i="11"/>
  <c r="M847" i="11"/>
  <c r="K847" i="11"/>
  <c r="J847" i="11"/>
  <c r="I847" i="11"/>
  <c r="H847" i="11"/>
  <c r="G847" i="11"/>
  <c r="F847" i="11"/>
  <c r="E847" i="11"/>
  <c r="C847" i="11"/>
  <c r="B847" i="11"/>
  <c r="A847" i="11"/>
  <c r="Z846" i="11"/>
  <c r="Y846" i="11"/>
  <c r="X846" i="11"/>
  <c r="W846" i="11"/>
  <c r="V846" i="11"/>
  <c r="U846" i="11"/>
  <c r="T846" i="11"/>
  <c r="S846" i="11"/>
  <c r="R846" i="11"/>
  <c r="Q846" i="11"/>
  <c r="P846" i="11"/>
  <c r="O846" i="11"/>
  <c r="N846" i="11"/>
  <c r="M846" i="11"/>
  <c r="L846" i="11"/>
  <c r="K846" i="11"/>
  <c r="J846" i="11"/>
  <c r="I846" i="11"/>
  <c r="H846" i="11"/>
  <c r="G846" i="11"/>
  <c r="F846" i="11"/>
  <c r="E846" i="11"/>
  <c r="D846" i="11"/>
  <c r="C846" i="11"/>
  <c r="B846" i="11"/>
  <c r="A846" i="11"/>
  <c r="Z845" i="11"/>
  <c r="Y845" i="11"/>
  <c r="X845" i="11"/>
  <c r="W845" i="11"/>
  <c r="V845" i="11"/>
  <c r="U845" i="11"/>
  <c r="T845" i="11"/>
  <c r="S845" i="11"/>
  <c r="R845" i="11"/>
  <c r="Q845" i="11"/>
  <c r="P845" i="11"/>
  <c r="O845" i="11"/>
  <c r="N845" i="11"/>
  <c r="M845" i="11"/>
  <c r="L845" i="11"/>
  <c r="K845" i="11"/>
  <c r="J845" i="11"/>
  <c r="I845" i="11"/>
  <c r="H845" i="11"/>
  <c r="G845" i="11"/>
  <c r="F845" i="11"/>
  <c r="E845" i="11"/>
  <c r="D845" i="11"/>
  <c r="C845" i="11"/>
  <c r="B845" i="11"/>
  <c r="A845" i="11"/>
  <c r="Z844" i="11"/>
  <c r="Y844" i="11"/>
  <c r="X844" i="11"/>
  <c r="W844" i="11"/>
  <c r="V844" i="11"/>
  <c r="U844" i="11"/>
  <c r="T844" i="11"/>
  <c r="S844" i="11"/>
  <c r="R844" i="11"/>
  <c r="Q844" i="11"/>
  <c r="P844" i="11"/>
  <c r="O844" i="11"/>
  <c r="N844" i="11"/>
  <c r="M844" i="11"/>
  <c r="L844" i="11"/>
  <c r="K844" i="11"/>
  <c r="J844" i="11"/>
  <c r="I844" i="11"/>
  <c r="H844" i="11"/>
  <c r="G844" i="11"/>
  <c r="F844" i="11"/>
  <c r="E844" i="11"/>
  <c r="D844" i="11"/>
  <c r="C844" i="11"/>
  <c r="B844" i="11"/>
  <c r="A844" i="11"/>
  <c r="Z843" i="11"/>
  <c r="Y843" i="11"/>
  <c r="X843" i="11"/>
  <c r="W843" i="11"/>
  <c r="V843" i="11"/>
  <c r="U843" i="11"/>
  <c r="T843" i="11"/>
  <c r="S843" i="11"/>
  <c r="R843" i="11"/>
  <c r="Q843" i="11"/>
  <c r="P843" i="11"/>
  <c r="O843" i="11"/>
  <c r="N843" i="11"/>
  <c r="M843" i="11"/>
  <c r="L843" i="11"/>
  <c r="K843" i="11"/>
  <c r="J843" i="11"/>
  <c r="I843" i="11"/>
  <c r="H843" i="11"/>
  <c r="G843" i="11"/>
  <c r="F843" i="11"/>
  <c r="E843" i="11"/>
  <c r="D843" i="11"/>
  <c r="C843" i="11"/>
  <c r="B843" i="11"/>
  <c r="A843" i="11"/>
  <c r="Z842" i="11"/>
  <c r="Y842" i="11"/>
  <c r="X842" i="11"/>
  <c r="W842" i="11"/>
  <c r="V842" i="11"/>
  <c r="U842" i="11"/>
  <c r="T842" i="11"/>
  <c r="S842" i="11"/>
  <c r="R842" i="11"/>
  <c r="Q842" i="11"/>
  <c r="P842" i="11"/>
  <c r="O842" i="11"/>
  <c r="N842" i="11"/>
  <c r="M842" i="11"/>
  <c r="L842" i="11"/>
  <c r="K842" i="11"/>
  <c r="J842" i="11"/>
  <c r="I842" i="11"/>
  <c r="H842" i="11"/>
  <c r="G842" i="11"/>
  <c r="F842" i="11"/>
  <c r="E842" i="11"/>
  <c r="D842" i="11"/>
  <c r="C842" i="11"/>
  <c r="B842" i="11"/>
  <c r="A842" i="11"/>
  <c r="Z841" i="11"/>
  <c r="Y841" i="11"/>
  <c r="X841" i="11"/>
  <c r="W841" i="11"/>
  <c r="V841" i="11"/>
  <c r="U841" i="11"/>
  <c r="T841" i="11"/>
  <c r="S841" i="11"/>
  <c r="R841" i="11"/>
  <c r="Q841" i="11"/>
  <c r="P841" i="11"/>
  <c r="O841" i="11"/>
  <c r="N841" i="11"/>
  <c r="M841" i="11"/>
  <c r="L841" i="11"/>
  <c r="K841" i="11"/>
  <c r="J841" i="11"/>
  <c r="I841" i="11"/>
  <c r="H841" i="11"/>
  <c r="G841" i="11"/>
  <c r="F841" i="11"/>
  <c r="E841" i="11"/>
  <c r="D841" i="11"/>
  <c r="C841" i="11"/>
  <c r="B841" i="11"/>
  <c r="A841" i="11"/>
  <c r="Z840" i="11"/>
  <c r="Y840" i="11"/>
  <c r="X840" i="11"/>
  <c r="W840" i="11"/>
  <c r="V840" i="11"/>
  <c r="U840" i="11"/>
  <c r="T840" i="11"/>
  <c r="S840" i="11"/>
  <c r="R840" i="11"/>
  <c r="Q840" i="11"/>
  <c r="P840" i="11"/>
  <c r="O840" i="11"/>
  <c r="N840" i="11"/>
  <c r="M840" i="11"/>
  <c r="L840" i="11"/>
  <c r="K840" i="11"/>
  <c r="J840" i="11"/>
  <c r="I840" i="11"/>
  <c r="H840" i="11"/>
  <c r="G840" i="11"/>
  <c r="F840" i="11"/>
  <c r="E840" i="11"/>
  <c r="D840" i="11"/>
  <c r="C840" i="11"/>
  <c r="B840" i="11"/>
  <c r="A840" i="11"/>
  <c r="Z839" i="11"/>
  <c r="Y839" i="11"/>
  <c r="X839" i="11"/>
  <c r="W839" i="11"/>
  <c r="V839" i="11"/>
  <c r="U839" i="11"/>
  <c r="T839" i="11"/>
  <c r="S839" i="11"/>
  <c r="R839" i="11"/>
  <c r="Q839" i="11"/>
  <c r="P839" i="11"/>
  <c r="O839" i="11"/>
  <c r="N839" i="11"/>
  <c r="M839" i="11"/>
  <c r="L839" i="11"/>
  <c r="K839" i="11"/>
  <c r="J839" i="11"/>
  <c r="I839" i="11"/>
  <c r="H839" i="11"/>
  <c r="G839" i="11"/>
  <c r="F839" i="11"/>
  <c r="E839" i="11"/>
  <c r="D839" i="11"/>
  <c r="C839" i="11"/>
  <c r="B839" i="11"/>
  <c r="A839" i="11"/>
  <c r="Z838" i="11"/>
  <c r="Y838" i="11"/>
  <c r="X838" i="11"/>
  <c r="W838" i="11"/>
  <c r="V838" i="11"/>
  <c r="U838" i="11"/>
  <c r="T838" i="11"/>
  <c r="S838" i="11"/>
  <c r="R838" i="11"/>
  <c r="Q838" i="11"/>
  <c r="P838" i="11"/>
  <c r="O838" i="11"/>
  <c r="N838" i="11"/>
  <c r="M838" i="11"/>
  <c r="L838" i="11"/>
  <c r="K838" i="11"/>
  <c r="J838" i="11"/>
  <c r="I838" i="11"/>
  <c r="H838" i="11"/>
  <c r="G838" i="11"/>
  <c r="F838" i="11"/>
  <c r="E838" i="11"/>
  <c r="D838" i="11"/>
  <c r="C838" i="11"/>
  <c r="B838" i="11"/>
  <c r="A838" i="11"/>
  <c r="Z837" i="11"/>
  <c r="Y837" i="11"/>
  <c r="X837" i="11"/>
  <c r="W837" i="11"/>
  <c r="V837" i="11"/>
  <c r="U837" i="11"/>
  <c r="T837" i="11"/>
  <c r="S837" i="11"/>
  <c r="R837" i="11"/>
  <c r="Q837" i="11"/>
  <c r="P837" i="11"/>
  <c r="O837" i="11"/>
  <c r="N837" i="11"/>
  <c r="M837" i="11"/>
  <c r="L837" i="11"/>
  <c r="K837" i="11"/>
  <c r="J837" i="11"/>
  <c r="I837" i="11"/>
  <c r="H837" i="11"/>
  <c r="G837" i="11"/>
  <c r="F837" i="11"/>
  <c r="E837" i="11"/>
  <c r="D837" i="11"/>
  <c r="C837" i="11"/>
  <c r="B837" i="11"/>
  <c r="A837" i="11"/>
  <c r="Z836" i="11"/>
  <c r="Y836" i="11"/>
  <c r="X836" i="11"/>
  <c r="W836" i="11"/>
  <c r="V836" i="11"/>
  <c r="U836" i="11"/>
  <c r="T836" i="11"/>
  <c r="S836" i="11"/>
  <c r="R836" i="11"/>
  <c r="Q836" i="11"/>
  <c r="P836" i="11"/>
  <c r="O836" i="11"/>
  <c r="N836" i="11"/>
  <c r="M836" i="11"/>
  <c r="L836" i="11"/>
  <c r="K836" i="11"/>
  <c r="J836" i="11"/>
  <c r="I836" i="11"/>
  <c r="H836" i="11"/>
  <c r="G836" i="11"/>
  <c r="F836" i="11"/>
  <c r="E836" i="11"/>
  <c r="D836" i="11"/>
  <c r="C836" i="11"/>
  <c r="B836" i="11"/>
  <c r="A836" i="11"/>
  <c r="Z835" i="11"/>
  <c r="Y835" i="11"/>
  <c r="X835" i="11"/>
  <c r="W835" i="11"/>
  <c r="V835" i="11"/>
  <c r="U835" i="11"/>
  <c r="T835" i="11"/>
  <c r="S835" i="11"/>
  <c r="R835" i="11"/>
  <c r="Q835" i="11"/>
  <c r="P835" i="11"/>
  <c r="O835" i="11"/>
  <c r="N835" i="11"/>
  <c r="M835" i="11"/>
  <c r="L835" i="11"/>
  <c r="K835" i="11"/>
  <c r="J835" i="11"/>
  <c r="I835" i="11"/>
  <c r="H835" i="11"/>
  <c r="G835" i="11"/>
  <c r="F835" i="11"/>
  <c r="E835" i="11"/>
  <c r="D835" i="11"/>
  <c r="C835" i="11"/>
  <c r="B835" i="11"/>
  <c r="A835" i="11"/>
  <c r="Z834" i="11"/>
  <c r="Y834" i="11"/>
  <c r="X834" i="11"/>
  <c r="W834" i="11"/>
  <c r="V834" i="11"/>
  <c r="U834" i="11"/>
  <c r="T834" i="11"/>
  <c r="S834" i="11"/>
  <c r="R834" i="11"/>
  <c r="Q834" i="11"/>
  <c r="P834" i="11"/>
  <c r="O834" i="11"/>
  <c r="N834" i="11"/>
  <c r="M834" i="11"/>
  <c r="L834" i="11"/>
  <c r="K834" i="11"/>
  <c r="J834" i="11"/>
  <c r="I834" i="11"/>
  <c r="H834" i="11"/>
  <c r="G834" i="11"/>
  <c r="F834" i="11"/>
  <c r="E834" i="11"/>
  <c r="D834" i="11"/>
  <c r="C834" i="11"/>
  <c r="B834" i="11"/>
  <c r="A834" i="11"/>
  <c r="Z833" i="11"/>
  <c r="Y833" i="11"/>
  <c r="X833" i="11"/>
  <c r="W833" i="11"/>
  <c r="V833" i="11"/>
  <c r="U833" i="11"/>
  <c r="T833" i="11"/>
  <c r="S833" i="11"/>
  <c r="R833" i="11"/>
  <c r="Q833" i="11"/>
  <c r="P833" i="11"/>
  <c r="O833" i="11"/>
  <c r="N833" i="11"/>
  <c r="M833" i="11"/>
  <c r="L833" i="11"/>
  <c r="K833" i="11"/>
  <c r="J833" i="11"/>
  <c r="I833" i="11"/>
  <c r="H833" i="11"/>
  <c r="G833" i="11"/>
  <c r="F833" i="11"/>
  <c r="E833" i="11"/>
  <c r="D833" i="11"/>
  <c r="C833" i="11"/>
  <c r="B833" i="11"/>
  <c r="A833" i="11"/>
  <c r="Z832" i="11"/>
  <c r="Y832" i="11"/>
  <c r="X832" i="11"/>
  <c r="W832" i="11"/>
  <c r="V832" i="11"/>
  <c r="U832" i="11"/>
  <c r="T832" i="11"/>
  <c r="S832" i="11"/>
  <c r="R832" i="11"/>
  <c r="Q832" i="11"/>
  <c r="P832" i="11"/>
  <c r="O832" i="11"/>
  <c r="N832" i="11"/>
  <c r="M832" i="11"/>
  <c r="L832" i="11"/>
  <c r="K832" i="11"/>
  <c r="J832" i="11"/>
  <c r="I832" i="11"/>
  <c r="H832" i="11"/>
  <c r="G832" i="11"/>
  <c r="F832" i="11"/>
  <c r="E832" i="11"/>
  <c r="D832" i="11"/>
  <c r="C832" i="11"/>
  <c r="B832" i="11"/>
  <c r="A832" i="11"/>
  <c r="Z831" i="11"/>
  <c r="Y831" i="11"/>
  <c r="X831" i="11"/>
  <c r="W831" i="11"/>
  <c r="V831" i="11"/>
  <c r="U831" i="11"/>
  <c r="T831" i="11"/>
  <c r="S831" i="11"/>
  <c r="R831" i="11"/>
  <c r="Q831" i="11"/>
  <c r="P831" i="11"/>
  <c r="O831" i="11"/>
  <c r="N831" i="11"/>
  <c r="M831" i="11"/>
  <c r="L831" i="11"/>
  <c r="K831" i="11"/>
  <c r="J831" i="11"/>
  <c r="I831" i="11"/>
  <c r="H831" i="11"/>
  <c r="G831" i="11"/>
  <c r="F831" i="11"/>
  <c r="E831" i="11"/>
  <c r="D831" i="11"/>
  <c r="C831" i="11"/>
  <c r="B831" i="11"/>
  <c r="A831" i="11"/>
  <c r="Z830" i="11"/>
  <c r="Y830" i="11"/>
  <c r="X830" i="11"/>
  <c r="W830" i="11"/>
  <c r="V830" i="11"/>
  <c r="U830" i="11"/>
  <c r="T830" i="11"/>
  <c r="S830" i="11"/>
  <c r="R830" i="11"/>
  <c r="Q830" i="11"/>
  <c r="P830" i="11"/>
  <c r="O830" i="11"/>
  <c r="N830" i="11"/>
  <c r="M830" i="11"/>
  <c r="L830" i="11"/>
  <c r="K830" i="11"/>
  <c r="J830" i="11"/>
  <c r="I830" i="11"/>
  <c r="H830" i="11"/>
  <c r="G830" i="11"/>
  <c r="F830" i="11"/>
  <c r="E830" i="11"/>
  <c r="D830" i="11"/>
  <c r="C830" i="11"/>
  <c r="B830" i="11"/>
  <c r="A830" i="11"/>
  <c r="Z829" i="11"/>
  <c r="Y829" i="11"/>
  <c r="X829" i="11"/>
  <c r="W829" i="11"/>
  <c r="V829" i="11"/>
  <c r="U829" i="11"/>
  <c r="T829" i="11"/>
  <c r="S829" i="11"/>
  <c r="R829" i="11"/>
  <c r="Q829" i="11"/>
  <c r="P829" i="11"/>
  <c r="O829" i="11"/>
  <c r="N829" i="11"/>
  <c r="M829" i="11"/>
  <c r="L829" i="11"/>
  <c r="K829" i="11"/>
  <c r="J829" i="11"/>
  <c r="I829" i="11"/>
  <c r="H829" i="11"/>
  <c r="G829" i="11"/>
  <c r="F829" i="11"/>
  <c r="E829" i="11"/>
  <c r="D829" i="11"/>
  <c r="C829" i="11"/>
  <c r="B829" i="11"/>
  <c r="A829" i="11"/>
  <c r="Z828" i="11"/>
  <c r="Y828" i="11"/>
  <c r="X828" i="11"/>
  <c r="W828" i="11"/>
  <c r="V828" i="11"/>
  <c r="U828" i="11"/>
  <c r="T828" i="11"/>
  <c r="S828" i="11"/>
  <c r="R828" i="11"/>
  <c r="Q828" i="11"/>
  <c r="P828" i="11"/>
  <c r="O828" i="11"/>
  <c r="N828" i="11"/>
  <c r="M828" i="11"/>
  <c r="L828" i="11"/>
  <c r="K828" i="11"/>
  <c r="J828" i="11"/>
  <c r="I828" i="11"/>
  <c r="H828" i="11"/>
  <c r="G828" i="11"/>
  <c r="F828" i="11"/>
  <c r="E828" i="11"/>
  <c r="D828" i="11"/>
  <c r="C828" i="11"/>
  <c r="B828" i="11"/>
  <c r="A828" i="11"/>
  <c r="Z827" i="11"/>
  <c r="Y827" i="11"/>
  <c r="X827" i="11"/>
  <c r="W827" i="11"/>
  <c r="V827" i="11"/>
  <c r="U827" i="11"/>
  <c r="T827" i="11"/>
  <c r="S827" i="11"/>
  <c r="R827" i="11"/>
  <c r="Q827" i="11"/>
  <c r="P827" i="11"/>
  <c r="O827" i="11"/>
  <c r="N827" i="11"/>
  <c r="M827" i="11"/>
  <c r="L827" i="11"/>
  <c r="K827" i="11"/>
  <c r="J827" i="11"/>
  <c r="I827" i="11"/>
  <c r="H827" i="11"/>
  <c r="G827" i="11"/>
  <c r="F827" i="11"/>
  <c r="E827" i="11"/>
  <c r="D827" i="11"/>
  <c r="C827" i="11"/>
  <c r="B827" i="11"/>
  <c r="A827" i="11"/>
  <c r="Z826" i="11"/>
  <c r="Y826" i="11"/>
  <c r="X826" i="11"/>
  <c r="W826" i="11"/>
  <c r="V826" i="11"/>
  <c r="U826" i="11"/>
  <c r="T826" i="11"/>
  <c r="S826" i="11"/>
  <c r="R826" i="11"/>
  <c r="Q826" i="11"/>
  <c r="P826" i="11"/>
  <c r="O826" i="11"/>
  <c r="N826" i="11"/>
  <c r="M826" i="11"/>
  <c r="L826" i="11"/>
  <c r="K826" i="11"/>
  <c r="J826" i="11"/>
  <c r="I826" i="11"/>
  <c r="H826" i="11"/>
  <c r="G826" i="11"/>
  <c r="F826" i="11"/>
  <c r="E826" i="11"/>
  <c r="D826" i="11"/>
  <c r="C826" i="11"/>
  <c r="B826" i="11"/>
  <c r="A826" i="11"/>
  <c r="Z825" i="11"/>
  <c r="Y825" i="11"/>
  <c r="X825" i="11"/>
  <c r="W825" i="11"/>
  <c r="V825" i="11"/>
  <c r="U825" i="11"/>
  <c r="T825" i="11"/>
  <c r="S825" i="11"/>
  <c r="R825" i="11"/>
  <c r="Q825" i="11"/>
  <c r="P825" i="11"/>
  <c r="O825" i="11"/>
  <c r="N825" i="11"/>
  <c r="M825" i="11"/>
  <c r="L825" i="11"/>
  <c r="K825" i="11"/>
  <c r="J825" i="11"/>
  <c r="I825" i="11"/>
  <c r="H825" i="11"/>
  <c r="G825" i="11"/>
  <c r="F825" i="11"/>
  <c r="E825" i="11"/>
  <c r="D825" i="11"/>
  <c r="C825" i="11"/>
  <c r="B825" i="11"/>
  <c r="A825" i="11"/>
  <c r="Z824" i="11"/>
  <c r="Y824" i="11"/>
  <c r="X824" i="11"/>
  <c r="W824" i="11"/>
  <c r="V824" i="11"/>
  <c r="U824" i="11"/>
  <c r="T824" i="11"/>
  <c r="S824" i="11"/>
  <c r="R824" i="11"/>
  <c r="Q824" i="11"/>
  <c r="P824" i="11"/>
  <c r="O824" i="11"/>
  <c r="N824" i="11"/>
  <c r="M824" i="11"/>
  <c r="L824" i="11"/>
  <c r="K824" i="11"/>
  <c r="J824" i="11"/>
  <c r="I824" i="11"/>
  <c r="H824" i="11"/>
  <c r="G824" i="11"/>
  <c r="F824" i="11"/>
  <c r="E824" i="11"/>
  <c r="D824" i="11"/>
  <c r="C824" i="11"/>
  <c r="B824" i="11"/>
  <c r="A824" i="11"/>
  <c r="Z823" i="11"/>
  <c r="Y823" i="11"/>
  <c r="X823" i="11"/>
  <c r="W823" i="11"/>
  <c r="V823" i="11"/>
  <c r="U823" i="11"/>
  <c r="T823" i="11"/>
  <c r="S823" i="11"/>
  <c r="R823" i="11"/>
  <c r="Q823" i="11"/>
  <c r="P823" i="11"/>
  <c r="O823" i="11"/>
  <c r="N823" i="11"/>
  <c r="M823" i="11"/>
  <c r="L823" i="11"/>
  <c r="K823" i="11"/>
  <c r="J823" i="11"/>
  <c r="I823" i="11"/>
  <c r="H823" i="11"/>
  <c r="G823" i="11"/>
  <c r="F823" i="11"/>
  <c r="E823" i="11"/>
  <c r="D823" i="11"/>
  <c r="C823" i="11"/>
  <c r="B823" i="11"/>
  <c r="A823" i="11"/>
  <c r="Z822" i="11"/>
  <c r="Y822" i="11"/>
  <c r="X822" i="11"/>
  <c r="W822" i="11"/>
  <c r="V822" i="11"/>
  <c r="U822" i="11"/>
  <c r="T822" i="11"/>
  <c r="S822" i="11"/>
  <c r="R822" i="11"/>
  <c r="Q822" i="11"/>
  <c r="P822" i="11"/>
  <c r="O822" i="11"/>
  <c r="N822" i="11"/>
  <c r="M822" i="11"/>
  <c r="L822" i="11"/>
  <c r="K822" i="11"/>
  <c r="J822" i="11"/>
  <c r="I822" i="11"/>
  <c r="H822" i="11"/>
  <c r="G822" i="11"/>
  <c r="F822" i="11"/>
  <c r="E822" i="11"/>
  <c r="D822" i="11"/>
  <c r="C822" i="11"/>
  <c r="B822" i="11"/>
  <c r="A822" i="11"/>
  <c r="Z821" i="11"/>
  <c r="Y821" i="11"/>
  <c r="X821" i="11"/>
  <c r="W821" i="11"/>
  <c r="V821" i="11"/>
  <c r="U821" i="11"/>
  <c r="T821" i="11"/>
  <c r="S821" i="11"/>
  <c r="R821" i="11"/>
  <c r="Q821" i="11"/>
  <c r="P821" i="11"/>
  <c r="O821" i="11"/>
  <c r="N821" i="11"/>
  <c r="M821" i="11"/>
  <c r="L821" i="11"/>
  <c r="K821" i="11"/>
  <c r="J821" i="11"/>
  <c r="I821" i="11"/>
  <c r="H821" i="11"/>
  <c r="G821" i="11"/>
  <c r="F821" i="11"/>
  <c r="E821" i="11"/>
  <c r="D821" i="11"/>
  <c r="C821" i="11"/>
  <c r="B821" i="11"/>
  <c r="A821" i="11"/>
  <c r="Z820" i="11"/>
  <c r="Y820" i="11"/>
  <c r="X820" i="11"/>
  <c r="W820" i="11"/>
  <c r="V820" i="11"/>
  <c r="U820" i="11"/>
  <c r="T820" i="11"/>
  <c r="S820" i="11"/>
  <c r="R820" i="11"/>
  <c r="Q820" i="11"/>
  <c r="P820" i="11"/>
  <c r="O820" i="11"/>
  <c r="N820" i="11"/>
  <c r="M820" i="11"/>
  <c r="L820" i="11"/>
  <c r="K820" i="11"/>
  <c r="J820" i="11"/>
  <c r="I820" i="11"/>
  <c r="H820" i="11"/>
  <c r="G820" i="11"/>
  <c r="F820" i="11"/>
  <c r="E820" i="11"/>
  <c r="D820" i="11"/>
  <c r="C820" i="11"/>
  <c r="B820" i="11"/>
  <c r="A820" i="11"/>
  <c r="Z819" i="11"/>
  <c r="Y819" i="11"/>
  <c r="X819" i="11"/>
  <c r="W819" i="11"/>
  <c r="V819" i="11"/>
  <c r="U819" i="11"/>
  <c r="T819" i="11"/>
  <c r="S819" i="11"/>
  <c r="R819" i="11"/>
  <c r="Q819" i="11"/>
  <c r="P819" i="11"/>
  <c r="O819" i="11"/>
  <c r="N819" i="11"/>
  <c r="M819" i="11"/>
  <c r="L819" i="11"/>
  <c r="K819" i="11"/>
  <c r="J819" i="11"/>
  <c r="I819" i="11"/>
  <c r="H819" i="11"/>
  <c r="G819" i="11"/>
  <c r="F819" i="11"/>
  <c r="E819" i="11"/>
  <c r="D819" i="11"/>
  <c r="C819" i="11"/>
  <c r="B819" i="11"/>
  <c r="A819" i="11"/>
  <c r="Z818" i="11"/>
  <c r="Y818" i="11"/>
  <c r="X818" i="11"/>
  <c r="W818" i="11"/>
  <c r="V818" i="11"/>
  <c r="U818" i="11"/>
  <c r="T818" i="11"/>
  <c r="S818" i="11"/>
  <c r="R818" i="11"/>
  <c r="Q818" i="11"/>
  <c r="P818" i="11"/>
  <c r="O818" i="11"/>
  <c r="N818" i="11"/>
  <c r="M818" i="11"/>
  <c r="L818" i="11"/>
  <c r="K818" i="11"/>
  <c r="J818" i="11"/>
  <c r="I818" i="11"/>
  <c r="H818" i="11"/>
  <c r="G818" i="11"/>
  <c r="F818" i="11"/>
  <c r="E818" i="11"/>
  <c r="D818" i="11"/>
  <c r="C818" i="11"/>
  <c r="B818" i="11"/>
  <c r="A818" i="11"/>
  <c r="Z817" i="11"/>
  <c r="Y817" i="11"/>
  <c r="X817" i="11"/>
  <c r="W817" i="11"/>
  <c r="V817" i="11"/>
  <c r="U817" i="11"/>
  <c r="T817" i="11"/>
  <c r="S817" i="11"/>
  <c r="R817" i="11"/>
  <c r="Q817" i="11"/>
  <c r="P817" i="11"/>
  <c r="O817" i="11"/>
  <c r="N817" i="11"/>
  <c r="M817" i="11"/>
  <c r="L817" i="11"/>
  <c r="K817" i="11"/>
  <c r="J817" i="11"/>
  <c r="I817" i="11"/>
  <c r="H817" i="11"/>
  <c r="G817" i="11"/>
  <c r="F817" i="11"/>
  <c r="E817" i="11"/>
  <c r="D817" i="11"/>
  <c r="C817" i="11"/>
  <c r="B817" i="11"/>
  <c r="A817" i="11"/>
  <c r="Z816" i="11"/>
  <c r="Y816" i="11"/>
  <c r="X816" i="11"/>
  <c r="W816" i="11"/>
  <c r="V816" i="11"/>
  <c r="U816" i="11"/>
  <c r="T816" i="11"/>
  <c r="S816" i="11"/>
  <c r="R816" i="11"/>
  <c r="Q816" i="11"/>
  <c r="P816" i="11"/>
  <c r="O816" i="11"/>
  <c r="N816" i="11"/>
  <c r="M816" i="11"/>
  <c r="L816" i="11"/>
  <c r="K816" i="11"/>
  <c r="J816" i="11"/>
  <c r="I816" i="11"/>
  <c r="H816" i="11"/>
  <c r="G816" i="11"/>
  <c r="F816" i="11"/>
  <c r="E816" i="11"/>
  <c r="D816" i="11"/>
  <c r="C816" i="11"/>
  <c r="B816" i="11"/>
  <c r="A816" i="11"/>
  <c r="Z815" i="11"/>
  <c r="Y815" i="11"/>
  <c r="X815" i="11"/>
  <c r="W815" i="11"/>
  <c r="V815" i="11"/>
  <c r="U815" i="11"/>
  <c r="T815" i="11"/>
  <c r="S815" i="11"/>
  <c r="R815" i="11"/>
  <c r="Q815" i="11"/>
  <c r="P815" i="11"/>
  <c r="O815" i="11"/>
  <c r="N815" i="11"/>
  <c r="M815" i="11"/>
  <c r="L815" i="11"/>
  <c r="K815" i="11"/>
  <c r="J815" i="11"/>
  <c r="I815" i="11"/>
  <c r="H815" i="11"/>
  <c r="G815" i="11"/>
  <c r="F815" i="11"/>
  <c r="E815" i="11"/>
  <c r="D815" i="11"/>
  <c r="C815" i="11"/>
  <c r="B815" i="11"/>
  <c r="A815" i="11"/>
  <c r="Z814" i="11"/>
  <c r="Y814" i="11"/>
  <c r="X814" i="11"/>
  <c r="W814" i="11"/>
  <c r="V814" i="11"/>
  <c r="U814" i="11"/>
  <c r="T814" i="11"/>
  <c r="S814" i="11"/>
  <c r="R814" i="11"/>
  <c r="Q814" i="11"/>
  <c r="P814" i="11"/>
  <c r="O814" i="11"/>
  <c r="N814" i="11"/>
  <c r="M814" i="11"/>
  <c r="L814" i="11"/>
  <c r="K814" i="11"/>
  <c r="J814" i="11"/>
  <c r="I814" i="11"/>
  <c r="H814" i="11"/>
  <c r="G814" i="11"/>
  <c r="F814" i="11"/>
  <c r="E814" i="11"/>
  <c r="D814" i="11"/>
  <c r="C814" i="11"/>
  <c r="B814" i="11"/>
  <c r="A814" i="11"/>
  <c r="Z813" i="11"/>
  <c r="Y813" i="11"/>
  <c r="X813" i="11"/>
  <c r="W813" i="11"/>
  <c r="V813" i="11"/>
  <c r="U813" i="11"/>
  <c r="T813" i="11"/>
  <c r="S813" i="11"/>
  <c r="R813" i="11"/>
  <c r="Q813" i="11"/>
  <c r="P813" i="11"/>
  <c r="O813" i="11"/>
  <c r="N813" i="11"/>
  <c r="M813" i="11"/>
  <c r="L813" i="11"/>
  <c r="K813" i="11"/>
  <c r="J813" i="11"/>
  <c r="I813" i="11"/>
  <c r="H813" i="11"/>
  <c r="G813" i="11"/>
  <c r="F813" i="11"/>
  <c r="E813" i="11"/>
  <c r="D813" i="11"/>
  <c r="C813" i="11"/>
  <c r="B813" i="11"/>
  <c r="A813" i="11"/>
  <c r="Z812" i="11"/>
  <c r="Y812" i="11"/>
  <c r="X812" i="11"/>
  <c r="W812" i="11"/>
  <c r="V812" i="11"/>
  <c r="U812" i="11"/>
  <c r="T812" i="11"/>
  <c r="S812" i="11"/>
  <c r="R812" i="11"/>
  <c r="Q812" i="11"/>
  <c r="P812" i="11"/>
  <c r="O812" i="11"/>
  <c r="N812" i="11"/>
  <c r="M812" i="11"/>
  <c r="L812" i="11"/>
  <c r="K812" i="11"/>
  <c r="J812" i="11"/>
  <c r="I812" i="11"/>
  <c r="H812" i="11"/>
  <c r="G812" i="11"/>
  <c r="F812" i="11"/>
  <c r="E812" i="11"/>
  <c r="D812" i="11"/>
  <c r="C812" i="11"/>
  <c r="B812" i="11"/>
  <c r="A812" i="11"/>
  <c r="Z811" i="11"/>
  <c r="Y811" i="11"/>
  <c r="X811" i="11"/>
  <c r="W811" i="11"/>
  <c r="V811" i="11"/>
  <c r="U811" i="11"/>
  <c r="T811" i="11"/>
  <c r="S811" i="11"/>
  <c r="R811" i="11"/>
  <c r="Q811" i="11"/>
  <c r="P811" i="11"/>
  <c r="O811" i="11"/>
  <c r="N811" i="11"/>
  <c r="M811" i="11"/>
  <c r="L811" i="11"/>
  <c r="K811" i="11"/>
  <c r="J811" i="11"/>
  <c r="I811" i="11"/>
  <c r="H811" i="11"/>
  <c r="G811" i="11"/>
  <c r="F811" i="11"/>
  <c r="E811" i="11"/>
  <c r="D811" i="11"/>
  <c r="C811" i="11"/>
  <c r="B811" i="11"/>
  <c r="A811" i="11"/>
  <c r="Z810" i="11"/>
  <c r="Y810" i="11"/>
  <c r="X810" i="11"/>
  <c r="W810" i="11"/>
  <c r="V810" i="11"/>
  <c r="U810" i="11"/>
  <c r="T810" i="11"/>
  <c r="S810" i="11"/>
  <c r="R810" i="11"/>
  <c r="Q810" i="11"/>
  <c r="P810" i="11"/>
  <c r="O810" i="11"/>
  <c r="N810" i="11"/>
  <c r="M810" i="11"/>
  <c r="L810" i="11"/>
  <c r="K810" i="11"/>
  <c r="J810" i="11"/>
  <c r="I810" i="11"/>
  <c r="H810" i="11"/>
  <c r="G810" i="11"/>
  <c r="F810" i="11"/>
  <c r="E810" i="11"/>
  <c r="D810" i="11"/>
  <c r="C810" i="11"/>
  <c r="B810" i="11"/>
  <c r="A810" i="11"/>
  <c r="Z809" i="11"/>
  <c r="Y809" i="11"/>
  <c r="X809" i="11"/>
  <c r="W809" i="11"/>
  <c r="V809" i="11"/>
  <c r="U809" i="11"/>
  <c r="T809" i="11"/>
  <c r="S809" i="11"/>
  <c r="R809" i="11"/>
  <c r="Q809" i="11"/>
  <c r="P809" i="11"/>
  <c r="O809" i="11"/>
  <c r="N809" i="11"/>
  <c r="M809" i="11"/>
  <c r="L809" i="11"/>
  <c r="K809" i="11"/>
  <c r="J809" i="11"/>
  <c r="I809" i="11"/>
  <c r="H809" i="11"/>
  <c r="G809" i="11"/>
  <c r="F809" i="11"/>
  <c r="E809" i="11"/>
  <c r="D809" i="11"/>
  <c r="C809" i="11"/>
  <c r="B809" i="11"/>
  <c r="A809" i="11"/>
  <c r="Z808" i="11"/>
  <c r="Y808" i="11"/>
  <c r="X808" i="11"/>
  <c r="W808" i="11"/>
  <c r="V808" i="11"/>
  <c r="U808" i="11"/>
  <c r="T808" i="11"/>
  <c r="S808" i="11"/>
  <c r="R808" i="11"/>
  <c r="Q808" i="11"/>
  <c r="P808" i="11"/>
  <c r="O808" i="11"/>
  <c r="N808" i="11"/>
  <c r="M808" i="11"/>
  <c r="L808" i="11"/>
  <c r="K808" i="11"/>
  <c r="J808" i="11"/>
  <c r="I808" i="11"/>
  <c r="H808" i="11"/>
  <c r="G808" i="11"/>
  <c r="F808" i="11"/>
  <c r="E808" i="11"/>
  <c r="D808" i="11"/>
  <c r="C808" i="11"/>
  <c r="B808" i="11"/>
  <c r="A808" i="11"/>
  <c r="Z807" i="11"/>
  <c r="Y807" i="11"/>
  <c r="X807" i="11"/>
  <c r="W807" i="11"/>
  <c r="V807" i="11"/>
  <c r="U807" i="11"/>
  <c r="T807" i="11"/>
  <c r="S807" i="11"/>
  <c r="R807" i="11"/>
  <c r="Q807" i="11"/>
  <c r="P807" i="11"/>
  <c r="O807" i="11"/>
  <c r="N807" i="11"/>
  <c r="M807" i="11"/>
  <c r="L807" i="11"/>
  <c r="K807" i="11"/>
  <c r="J807" i="11"/>
  <c r="I807" i="11"/>
  <c r="H807" i="11"/>
  <c r="G807" i="11"/>
  <c r="F807" i="11"/>
  <c r="E807" i="11"/>
  <c r="D807" i="11"/>
  <c r="C807" i="11"/>
  <c r="B807" i="11"/>
  <c r="A807" i="11"/>
  <c r="Z806" i="11"/>
  <c r="Y806" i="11"/>
  <c r="X806" i="11"/>
  <c r="W806" i="11"/>
  <c r="V806" i="11"/>
  <c r="U806" i="11"/>
  <c r="T806" i="11"/>
  <c r="S806" i="11"/>
  <c r="R806" i="11"/>
  <c r="Q806" i="11"/>
  <c r="P806" i="11"/>
  <c r="O806" i="11"/>
  <c r="N806" i="11"/>
  <c r="M806" i="11"/>
  <c r="L806" i="11"/>
  <c r="K806" i="11"/>
  <c r="J806" i="11"/>
  <c r="I806" i="11"/>
  <c r="H806" i="11"/>
  <c r="G806" i="11"/>
  <c r="F806" i="11"/>
  <c r="E806" i="11"/>
  <c r="D806" i="11"/>
  <c r="C806" i="11"/>
  <c r="B806" i="11"/>
  <c r="A806" i="11"/>
  <c r="Z805" i="11"/>
  <c r="Y805" i="11"/>
  <c r="X805" i="11"/>
  <c r="W805" i="11"/>
  <c r="V805" i="11"/>
  <c r="U805" i="11"/>
  <c r="T805" i="11"/>
  <c r="S805" i="11"/>
  <c r="R805" i="11"/>
  <c r="Q805" i="11"/>
  <c r="P805" i="11"/>
  <c r="O805" i="11"/>
  <c r="N805" i="11"/>
  <c r="M805" i="11"/>
  <c r="L805" i="11"/>
  <c r="K805" i="11"/>
  <c r="J805" i="11"/>
  <c r="I805" i="11"/>
  <c r="H805" i="11"/>
  <c r="G805" i="11"/>
  <c r="F805" i="11"/>
  <c r="E805" i="11"/>
  <c r="D805" i="11"/>
  <c r="C805" i="11"/>
  <c r="B805" i="11"/>
  <c r="A805" i="11"/>
  <c r="Z804" i="11"/>
  <c r="Y804" i="11"/>
  <c r="X804" i="11"/>
  <c r="W804" i="11"/>
  <c r="V804" i="11"/>
  <c r="U804" i="11"/>
  <c r="T804" i="11"/>
  <c r="S804" i="11"/>
  <c r="R804" i="11"/>
  <c r="Q804" i="11"/>
  <c r="P804" i="11"/>
  <c r="O804" i="11"/>
  <c r="N804" i="11"/>
  <c r="M804" i="11"/>
  <c r="L804" i="11"/>
  <c r="K804" i="11"/>
  <c r="J804" i="11"/>
  <c r="I804" i="11"/>
  <c r="H804" i="11"/>
  <c r="G804" i="11"/>
  <c r="F804" i="11"/>
  <c r="E804" i="11"/>
  <c r="D804" i="11"/>
  <c r="C804" i="11"/>
  <c r="B804" i="11"/>
  <c r="A804" i="11"/>
  <c r="Z803" i="11"/>
  <c r="Y803" i="11"/>
  <c r="X803" i="11"/>
  <c r="W803" i="11"/>
  <c r="V803" i="11"/>
  <c r="U803" i="11"/>
  <c r="T803" i="11"/>
  <c r="S803" i="11"/>
  <c r="R803" i="11"/>
  <c r="Q803" i="11"/>
  <c r="P803" i="11"/>
  <c r="O803" i="11"/>
  <c r="N803" i="11"/>
  <c r="M803" i="11"/>
  <c r="L803" i="11"/>
  <c r="K803" i="11"/>
  <c r="J803" i="11"/>
  <c r="I803" i="11"/>
  <c r="H803" i="11"/>
  <c r="G803" i="11"/>
  <c r="F803" i="11"/>
  <c r="E803" i="11"/>
  <c r="D803" i="11"/>
  <c r="C803" i="11"/>
  <c r="B803" i="11"/>
  <c r="A803" i="11"/>
  <c r="Z802" i="11"/>
  <c r="Y802" i="11"/>
  <c r="X802" i="11"/>
  <c r="W802" i="11"/>
  <c r="V802" i="11"/>
  <c r="U802" i="11"/>
  <c r="T802" i="11"/>
  <c r="S802" i="11"/>
  <c r="R802" i="11"/>
  <c r="Q802" i="11"/>
  <c r="P802" i="11"/>
  <c r="O802" i="11"/>
  <c r="N802" i="11"/>
  <c r="M802" i="11"/>
  <c r="L802" i="11"/>
  <c r="K802" i="11"/>
  <c r="J802" i="11"/>
  <c r="I802" i="11"/>
  <c r="H802" i="11"/>
  <c r="G802" i="11"/>
  <c r="F802" i="11"/>
  <c r="E802" i="11"/>
  <c r="D802" i="11"/>
  <c r="C802" i="11"/>
  <c r="B802" i="11"/>
  <c r="A802" i="11"/>
  <c r="Z801" i="11"/>
  <c r="Y801" i="11"/>
  <c r="X801" i="11"/>
  <c r="W801" i="11"/>
  <c r="V801" i="11"/>
  <c r="U801" i="11"/>
  <c r="T801" i="11"/>
  <c r="S801" i="11"/>
  <c r="R801" i="11"/>
  <c r="Q801" i="11"/>
  <c r="P801" i="11"/>
  <c r="O801" i="11"/>
  <c r="N801" i="11"/>
  <c r="M801" i="11"/>
  <c r="L801" i="11"/>
  <c r="K801" i="11"/>
  <c r="J801" i="11"/>
  <c r="I801" i="11"/>
  <c r="H801" i="11"/>
  <c r="G801" i="11"/>
  <c r="F801" i="11"/>
  <c r="E801" i="11"/>
  <c r="D801" i="11"/>
  <c r="C801" i="11"/>
  <c r="B801" i="11"/>
  <c r="A801" i="11"/>
  <c r="Z800" i="11"/>
  <c r="Y800" i="11"/>
  <c r="X800" i="11"/>
  <c r="W800" i="11"/>
  <c r="V800" i="11"/>
  <c r="U800" i="11"/>
  <c r="T800" i="11"/>
  <c r="S800" i="11"/>
  <c r="R800" i="11"/>
  <c r="Q800" i="11"/>
  <c r="P800" i="11"/>
  <c r="O800" i="11"/>
  <c r="N800" i="11"/>
  <c r="M800" i="11"/>
  <c r="L800" i="11"/>
  <c r="K800" i="11"/>
  <c r="J800" i="11"/>
  <c r="I800" i="11"/>
  <c r="H800" i="11"/>
  <c r="G800" i="11"/>
  <c r="F800" i="11"/>
  <c r="E800" i="11"/>
  <c r="D800" i="11"/>
  <c r="C800" i="11"/>
  <c r="B800" i="11"/>
  <c r="A800" i="11"/>
  <c r="Z799" i="11"/>
  <c r="Y799" i="11"/>
  <c r="X799" i="11"/>
  <c r="W799" i="11"/>
  <c r="V799" i="11"/>
  <c r="U799" i="11"/>
  <c r="T799" i="11"/>
  <c r="S799" i="11"/>
  <c r="R799" i="11"/>
  <c r="Q799" i="11"/>
  <c r="P799" i="11"/>
  <c r="O799" i="11"/>
  <c r="N799" i="11"/>
  <c r="M799" i="11"/>
  <c r="L799" i="11"/>
  <c r="K799" i="11"/>
  <c r="J799" i="11"/>
  <c r="I799" i="11"/>
  <c r="H799" i="11"/>
  <c r="G799" i="11"/>
  <c r="F799" i="11"/>
  <c r="E799" i="11"/>
  <c r="D799" i="11"/>
  <c r="C799" i="11"/>
  <c r="B799" i="11"/>
  <c r="A799" i="11"/>
  <c r="Z798" i="11"/>
  <c r="Y798" i="11"/>
  <c r="X798" i="11"/>
  <c r="W798" i="11"/>
  <c r="V798" i="11"/>
  <c r="U798" i="11"/>
  <c r="T798" i="11"/>
  <c r="S798" i="11"/>
  <c r="R798" i="11"/>
  <c r="Q798" i="11"/>
  <c r="P798" i="11"/>
  <c r="O798" i="11"/>
  <c r="N798" i="11"/>
  <c r="M798" i="11"/>
  <c r="L798" i="11"/>
  <c r="K798" i="11"/>
  <c r="J798" i="11"/>
  <c r="I798" i="11"/>
  <c r="H798" i="11"/>
  <c r="G798" i="11"/>
  <c r="F798" i="11"/>
  <c r="E798" i="11"/>
  <c r="D798" i="11"/>
  <c r="C798" i="11"/>
  <c r="B798" i="11"/>
  <c r="A798" i="11"/>
  <c r="Z797" i="11"/>
  <c r="Y797" i="11"/>
  <c r="X797" i="11"/>
  <c r="W797" i="11"/>
  <c r="V797" i="11"/>
  <c r="U797" i="11"/>
  <c r="T797" i="11"/>
  <c r="S797" i="11"/>
  <c r="R797" i="11"/>
  <c r="Q797" i="11"/>
  <c r="P797" i="11"/>
  <c r="O797" i="11"/>
  <c r="N797" i="11"/>
  <c r="M797" i="11"/>
  <c r="L797" i="11"/>
  <c r="K797" i="11"/>
  <c r="J797" i="11"/>
  <c r="I797" i="11"/>
  <c r="H797" i="11"/>
  <c r="G797" i="11"/>
  <c r="F797" i="11"/>
  <c r="E797" i="11"/>
  <c r="D797" i="11"/>
  <c r="C797" i="11"/>
  <c r="B797" i="11"/>
  <c r="A797" i="11"/>
  <c r="Z796" i="11"/>
  <c r="Y796" i="11"/>
  <c r="X796" i="11"/>
  <c r="W796" i="11"/>
  <c r="V796" i="11"/>
  <c r="U796" i="11"/>
  <c r="T796" i="11"/>
  <c r="S796" i="11"/>
  <c r="R796" i="11"/>
  <c r="Q796" i="11"/>
  <c r="P796" i="11"/>
  <c r="O796" i="11"/>
  <c r="N796" i="11"/>
  <c r="M796" i="11"/>
  <c r="L796" i="11"/>
  <c r="K796" i="11"/>
  <c r="J796" i="11"/>
  <c r="I796" i="11"/>
  <c r="H796" i="11"/>
  <c r="G796" i="11"/>
  <c r="F796" i="11"/>
  <c r="E796" i="11"/>
  <c r="D796" i="11"/>
  <c r="C796" i="11"/>
  <c r="B796" i="11"/>
  <c r="A796" i="11"/>
  <c r="Z795" i="11"/>
  <c r="Y795" i="11"/>
  <c r="X795" i="11"/>
  <c r="W795" i="11"/>
  <c r="V795" i="11"/>
  <c r="U795" i="11"/>
  <c r="T795" i="11"/>
  <c r="S795" i="11"/>
  <c r="R795" i="11"/>
  <c r="Q795" i="11"/>
  <c r="P795" i="11"/>
  <c r="O795" i="11"/>
  <c r="N795" i="11"/>
  <c r="M795" i="11"/>
  <c r="L795" i="11"/>
  <c r="K795" i="11"/>
  <c r="J795" i="11"/>
  <c r="I795" i="11"/>
  <c r="H795" i="11"/>
  <c r="G795" i="11"/>
  <c r="F795" i="11"/>
  <c r="E795" i="11"/>
  <c r="D795" i="11"/>
  <c r="C795" i="11"/>
  <c r="B795" i="11"/>
  <c r="A795" i="11"/>
  <c r="Z794" i="11"/>
  <c r="Y794" i="11"/>
  <c r="X794" i="11"/>
  <c r="W794" i="11"/>
  <c r="V794" i="11"/>
  <c r="U794" i="11"/>
  <c r="T794" i="11"/>
  <c r="S794" i="11"/>
  <c r="R794" i="11"/>
  <c r="Q794" i="11"/>
  <c r="P794" i="11"/>
  <c r="O794" i="11"/>
  <c r="N794" i="11"/>
  <c r="M794" i="11"/>
  <c r="L794" i="11"/>
  <c r="K794" i="11"/>
  <c r="J794" i="11"/>
  <c r="I794" i="11"/>
  <c r="H794" i="11"/>
  <c r="G794" i="11"/>
  <c r="F794" i="11"/>
  <c r="E794" i="11"/>
  <c r="D794" i="11"/>
  <c r="C794" i="11"/>
  <c r="B794" i="11"/>
  <c r="A794" i="11"/>
  <c r="Z793" i="11"/>
  <c r="Y793" i="11"/>
  <c r="X793" i="11"/>
  <c r="W793" i="11"/>
  <c r="V793" i="11"/>
  <c r="U793" i="11"/>
  <c r="T793" i="11"/>
  <c r="S793" i="11"/>
  <c r="R793" i="11"/>
  <c r="Q793" i="11"/>
  <c r="P793" i="11"/>
  <c r="O793" i="11"/>
  <c r="N793" i="11"/>
  <c r="M793" i="11"/>
  <c r="L793" i="11"/>
  <c r="K793" i="11"/>
  <c r="J793" i="11"/>
  <c r="I793" i="11"/>
  <c r="H793" i="11"/>
  <c r="G793" i="11"/>
  <c r="F793" i="11"/>
  <c r="E793" i="11"/>
  <c r="D793" i="11"/>
  <c r="C793" i="11"/>
  <c r="B793" i="11"/>
  <c r="A793" i="11"/>
  <c r="Z792" i="11"/>
  <c r="Y792" i="11"/>
  <c r="X792" i="11"/>
  <c r="W792" i="11"/>
  <c r="V792" i="11"/>
  <c r="U792" i="11"/>
  <c r="T792" i="11"/>
  <c r="S792" i="11"/>
  <c r="R792" i="11"/>
  <c r="Q792" i="11"/>
  <c r="P792" i="11"/>
  <c r="O792" i="11"/>
  <c r="N792" i="11"/>
  <c r="M792" i="11"/>
  <c r="L792" i="11"/>
  <c r="K792" i="11"/>
  <c r="J792" i="11"/>
  <c r="I792" i="11"/>
  <c r="H792" i="11"/>
  <c r="G792" i="11"/>
  <c r="F792" i="11"/>
  <c r="E792" i="11"/>
  <c r="D792" i="11"/>
  <c r="C792" i="11"/>
  <c r="B792" i="11"/>
  <c r="A792" i="11"/>
  <c r="Z791" i="11"/>
  <c r="Y791" i="11"/>
  <c r="X791" i="11"/>
  <c r="W791" i="11"/>
  <c r="V791" i="11"/>
  <c r="U791" i="11"/>
  <c r="T791" i="11"/>
  <c r="S791" i="11"/>
  <c r="R791" i="11"/>
  <c r="Q791" i="11"/>
  <c r="P791" i="11"/>
  <c r="O791" i="11"/>
  <c r="N791" i="11"/>
  <c r="M791" i="11"/>
  <c r="L791" i="11"/>
  <c r="K791" i="11"/>
  <c r="J791" i="11"/>
  <c r="I791" i="11"/>
  <c r="H791" i="11"/>
  <c r="G791" i="11"/>
  <c r="F791" i="11"/>
  <c r="E791" i="11"/>
  <c r="D791" i="11"/>
  <c r="C791" i="11"/>
  <c r="B791" i="11"/>
  <c r="A791" i="11"/>
  <c r="Z790" i="11"/>
  <c r="Y790" i="11"/>
  <c r="X790" i="11"/>
  <c r="W790" i="11"/>
  <c r="V790" i="11"/>
  <c r="U790" i="11"/>
  <c r="T790" i="11"/>
  <c r="S790" i="11"/>
  <c r="R790" i="11"/>
  <c r="Q790" i="11"/>
  <c r="P790" i="11"/>
  <c r="O790" i="11"/>
  <c r="N790" i="11"/>
  <c r="M790" i="11"/>
  <c r="L790" i="11"/>
  <c r="K790" i="11"/>
  <c r="J790" i="11"/>
  <c r="I790" i="11"/>
  <c r="H790" i="11"/>
  <c r="G790" i="11"/>
  <c r="F790" i="11"/>
  <c r="E790" i="11"/>
  <c r="D790" i="11"/>
  <c r="C790" i="11"/>
  <c r="B790" i="11"/>
  <c r="A790" i="11"/>
  <c r="Z789" i="11"/>
  <c r="Y789" i="11"/>
  <c r="X789" i="11"/>
  <c r="W789" i="11"/>
  <c r="V789" i="11"/>
  <c r="U789" i="11"/>
  <c r="T789" i="11"/>
  <c r="S789" i="11"/>
  <c r="R789" i="11"/>
  <c r="Q789" i="11"/>
  <c r="P789" i="11"/>
  <c r="O789" i="11"/>
  <c r="N789" i="11"/>
  <c r="M789" i="11"/>
  <c r="L789" i="11"/>
  <c r="K789" i="11"/>
  <c r="J789" i="11"/>
  <c r="I789" i="11"/>
  <c r="H789" i="11"/>
  <c r="G789" i="11"/>
  <c r="F789" i="11"/>
  <c r="E789" i="11"/>
  <c r="D789" i="11"/>
  <c r="C789" i="11"/>
  <c r="B789" i="11"/>
  <c r="A789" i="11"/>
  <c r="Z788" i="11"/>
  <c r="Y788" i="11"/>
  <c r="X788" i="11"/>
  <c r="W788" i="11"/>
  <c r="V788" i="11"/>
  <c r="U788" i="11"/>
  <c r="T788" i="11"/>
  <c r="S788" i="11"/>
  <c r="R788" i="11"/>
  <c r="Q788" i="11"/>
  <c r="P788" i="11"/>
  <c r="O788" i="11"/>
  <c r="N788" i="11"/>
  <c r="M788" i="11"/>
  <c r="L788" i="11"/>
  <c r="K788" i="11"/>
  <c r="J788" i="11"/>
  <c r="I788" i="11"/>
  <c r="H788" i="11"/>
  <c r="G788" i="11"/>
  <c r="F788" i="11"/>
  <c r="E788" i="11"/>
  <c r="D788" i="11"/>
  <c r="C788" i="11"/>
  <c r="B788" i="11"/>
  <c r="A788" i="11"/>
  <c r="Z787" i="11"/>
  <c r="Y787" i="11"/>
  <c r="X787" i="11"/>
  <c r="W787" i="11"/>
  <c r="V787" i="11"/>
  <c r="U787" i="11"/>
  <c r="T787" i="11"/>
  <c r="S787" i="11"/>
  <c r="R787" i="11"/>
  <c r="Q787" i="11"/>
  <c r="P787" i="11"/>
  <c r="O787" i="11"/>
  <c r="N787" i="11"/>
  <c r="M787" i="11"/>
  <c r="L787" i="11"/>
  <c r="K787" i="11"/>
  <c r="J787" i="11"/>
  <c r="I787" i="11"/>
  <c r="H787" i="11"/>
  <c r="G787" i="11"/>
  <c r="F787" i="11"/>
  <c r="E787" i="11"/>
  <c r="D787" i="11"/>
  <c r="C787" i="11"/>
  <c r="B787" i="11"/>
  <c r="A787" i="11"/>
  <c r="Z786" i="11"/>
  <c r="Y786" i="11"/>
  <c r="X786" i="11"/>
  <c r="W786" i="11"/>
  <c r="V786" i="11"/>
  <c r="U786" i="11"/>
  <c r="T786" i="11"/>
  <c r="S786" i="11"/>
  <c r="R786" i="11"/>
  <c r="Q786" i="11"/>
  <c r="P786" i="11"/>
  <c r="O786" i="11"/>
  <c r="N786" i="11"/>
  <c r="M786" i="11"/>
  <c r="L786" i="11"/>
  <c r="K786" i="11"/>
  <c r="J786" i="11"/>
  <c r="I786" i="11"/>
  <c r="H786" i="11"/>
  <c r="G786" i="11"/>
  <c r="F786" i="11"/>
  <c r="E786" i="11"/>
  <c r="D786" i="11"/>
  <c r="C786" i="11"/>
  <c r="B786" i="11"/>
  <c r="A786" i="11"/>
  <c r="Z785" i="11"/>
  <c r="Y785" i="11"/>
  <c r="X785" i="11"/>
  <c r="W785" i="11"/>
  <c r="V785" i="11"/>
  <c r="U785" i="11"/>
  <c r="T785" i="11"/>
  <c r="S785" i="11"/>
  <c r="R785" i="11"/>
  <c r="Q785" i="11"/>
  <c r="P785" i="11"/>
  <c r="O785" i="11"/>
  <c r="N785" i="11"/>
  <c r="M785" i="11"/>
  <c r="L785" i="11"/>
  <c r="K785" i="11"/>
  <c r="J785" i="11"/>
  <c r="I785" i="11"/>
  <c r="H785" i="11"/>
  <c r="G785" i="11"/>
  <c r="F785" i="11"/>
  <c r="E785" i="11"/>
  <c r="D785" i="11"/>
  <c r="C785" i="11"/>
  <c r="B785" i="11"/>
  <c r="A785" i="11"/>
  <c r="Z784" i="11"/>
  <c r="Y784" i="11"/>
  <c r="X784" i="11"/>
  <c r="W784" i="11"/>
  <c r="V784" i="11"/>
  <c r="U784" i="11"/>
  <c r="T784" i="11"/>
  <c r="S784" i="11"/>
  <c r="R784" i="11"/>
  <c r="Q784" i="11"/>
  <c r="P784" i="11"/>
  <c r="O784" i="11"/>
  <c r="N784" i="11"/>
  <c r="M784" i="11"/>
  <c r="L784" i="11"/>
  <c r="K784" i="11"/>
  <c r="J784" i="11"/>
  <c r="I784" i="11"/>
  <c r="H784" i="11"/>
  <c r="G784" i="11"/>
  <c r="F784" i="11"/>
  <c r="E784" i="11"/>
  <c r="D784" i="11"/>
  <c r="C784" i="11"/>
  <c r="B784" i="11"/>
  <c r="A784" i="11"/>
  <c r="Z783" i="11"/>
  <c r="Y783" i="11"/>
  <c r="X783" i="11"/>
  <c r="W783" i="11"/>
  <c r="V783" i="11"/>
  <c r="U783" i="11"/>
  <c r="T783" i="11"/>
  <c r="S783" i="11"/>
  <c r="R783" i="11"/>
  <c r="Q783" i="11"/>
  <c r="P783" i="11"/>
  <c r="O783" i="11"/>
  <c r="N783" i="11"/>
  <c r="M783" i="11"/>
  <c r="L783" i="11"/>
  <c r="K783" i="11"/>
  <c r="J783" i="11"/>
  <c r="I783" i="11"/>
  <c r="H783" i="11"/>
  <c r="G783" i="11"/>
  <c r="F783" i="11"/>
  <c r="E783" i="11"/>
  <c r="D783" i="11"/>
  <c r="C783" i="11"/>
  <c r="B783" i="11"/>
  <c r="A783" i="11"/>
  <c r="Z782" i="11"/>
  <c r="Y782" i="11"/>
  <c r="X782" i="11"/>
  <c r="W782" i="11"/>
  <c r="V782" i="11"/>
  <c r="U782" i="11"/>
  <c r="T782" i="11"/>
  <c r="S782" i="11"/>
  <c r="R782" i="11"/>
  <c r="Q782" i="11"/>
  <c r="P782" i="11"/>
  <c r="O782" i="11"/>
  <c r="N782" i="11"/>
  <c r="M782" i="11"/>
  <c r="L782" i="11"/>
  <c r="K782" i="11"/>
  <c r="J782" i="11"/>
  <c r="I782" i="11"/>
  <c r="H782" i="11"/>
  <c r="G782" i="11"/>
  <c r="F782" i="11"/>
  <c r="E782" i="11"/>
  <c r="D782" i="11"/>
  <c r="C782" i="11"/>
  <c r="B782" i="11"/>
  <c r="A782" i="11"/>
  <c r="Z781" i="11"/>
  <c r="Y781" i="11"/>
  <c r="X781" i="11"/>
  <c r="W781" i="11"/>
  <c r="V781" i="11"/>
  <c r="U781" i="11"/>
  <c r="T781" i="11"/>
  <c r="S781" i="11"/>
  <c r="R781" i="11"/>
  <c r="Q781" i="11"/>
  <c r="P781" i="11"/>
  <c r="O781" i="11"/>
  <c r="N781" i="11"/>
  <c r="M781" i="11"/>
  <c r="L781" i="11"/>
  <c r="K781" i="11"/>
  <c r="J781" i="11"/>
  <c r="I781" i="11"/>
  <c r="H781" i="11"/>
  <c r="G781" i="11"/>
  <c r="F781" i="11"/>
  <c r="E781" i="11"/>
  <c r="D781" i="11"/>
  <c r="C781" i="11"/>
  <c r="B781" i="11"/>
  <c r="A781" i="11"/>
  <c r="Z780" i="11"/>
  <c r="Y780" i="11"/>
  <c r="X780" i="11"/>
  <c r="W780" i="11"/>
  <c r="V780" i="11"/>
  <c r="U780" i="11"/>
  <c r="T780" i="11"/>
  <c r="S780" i="11"/>
  <c r="R780" i="11"/>
  <c r="Q780" i="11"/>
  <c r="P780" i="11"/>
  <c r="O780" i="11"/>
  <c r="N780" i="11"/>
  <c r="M780" i="11"/>
  <c r="L780" i="11"/>
  <c r="K780" i="11"/>
  <c r="J780" i="11"/>
  <c r="I780" i="11"/>
  <c r="H780" i="11"/>
  <c r="G780" i="11"/>
  <c r="F780" i="11"/>
  <c r="E780" i="11"/>
  <c r="D780" i="11"/>
  <c r="C780" i="11"/>
  <c r="B780" i="11"/>
  <c r="A780" i="11"/>
  <c r="Z779" i="11"/>
  <c r="Y779" i="11"/>
  <c r="X779" i="11"/>
  <c r="W779" i="11"/>
  <c r="V779" i="11"/>
  <c r="U779" i="11"/>
  <c r="T779" i="11"/>
  <c r="S779" i="11"/>
  <c r="R779" i="11"/>
  <c r="Q779" i="11"/>
  <c r="P779" i="11"/>
  <c r="O779" i="11"/>
  <c r="N779" i="11"/>
  <c r="M779" i="11"/>
  <c r="L779" i="11"/>
  <c r="K779" i="11"/>
  <c r="J779" i="11"/>
  <c r="I779" i="11"/>
  <c r="H779" i="11"/>
  <c r="G779" i="11"/>
  <c r="F779" i="11"/>
  <c r="E779" i="11"/>
  <c r="D779" i="11"/>
  <c r="C779" i="11"/>
  <c r="B779" i="11"/>
  <c r="A779" i="11"/>
  <c r="Z778" i="11"/>
  <c r="Y778" i="11"/>
  <c r="X778" i="11"/>
  <c r="W778" i="11"/>
  <c r="V778" i="11"/>
  <c r="U778" i="11"/>
  <c r="T778" i="11"/>
  <c r="S778" i="11"/>
  <c r="R778" i="11"/>
  <c r="Q778" i="11"/>
  <c r="P778" i="11"/>
  <c r="O778" i="11"/>
  <c r="N778" i="11"/>
  <c r="M778" i="11"/>
  <c r="L778" i="11"/>
  <c r="K778" i="11"/>
  <c r="J778" i="11"/>
  <c r="I778" i="11"/>
  <c r="H778" i="11"/>
  <c r="G778" i="11"/>
  <c r="F778" i="11"/>
  <c r="E778" i="11"/>
  <c r="D778" i="11"/>
  <c r="C778" i="11"/>
  <c r="B778" i="11"/>
  <c r="A778" i="11"/>
  <c r="Z777" i="11"/>
  <c r="Y777" i="11"/>
  <c r="X777" i="11"/>
  <c r="W777" i="11"/>
  <c r="V777" i="11"/>
  <c r="U777" i="11"/>
  <c r="T777" i="11"/>
  <c r="S777" i="11"/>
  <c r="R777" i="11"/>
  <c r="Q777" i="11"/>
  <c r="P777" i="11"/>
  <c r="O777" i="11"/>
  <c r="N777" i="11"/>
  <c r="M777" i="11"/>
  <c r="L777" i="11"/>
  <c r="K777" i="11"/>
  <c r="J777" i="11"/>
  <c r="I777" i="11"/>
  <c r="H777" i="11"/>
  <c r="G777" i="11"/>
  <c r="F777" i="11"/>
  <c r="E777" i="11"/>
  <c r="D777" i="11"/>
  <c r="C777" i="11"/>
  <c r="B777" i="11"/>
  <c r="A777" i="11"/>
  <c r="Z776" i="11"/>
  <c r="Y776" i="11"/>
  <c r="X776" i="11"/>
  <c r="W776" i="11"/>
  <c r="V776" i="11"/>
  <c r="U776" i="11"/>
  <c r="T776" i="11"/>
  <c r="S776" i="11"/>
  <c r="R776" i="11"/>
  <c r="Q776" i="11"/>
  <c r="P776" i="11"/>
  <c r="O776" i="11"/>
  <c r="N776" i="11"/>
  <c r="M776" i="11"/>
  <c r="L776" i="11"/>
  <c r="K776" i="11"/>
  <c r="J776" i="11"/>
  <c r="I776" i="11"/>
  <c r="H776" i="11"/>
  <c r="G776" i="11"/>
  <c r="F776" i="11"/>
  <c r="E776" i="11"/>
  <c r="D776" i="11"/>
  <c r="C776" i="11"/>
  <c r="B776" i="11"/>
  <c r="A776" i="11"/>
  <c r="Z775" i="11"/>
  <c r="Y775" i="11"/>
  <c r="X775" i="11"/>
  <c r="W775" i="11"/>
  <c r="V775" i="11"/>
  <c r="U775" i="11"/>
  <c r="T775" i="11"/>
  <c r="S775" i="11"/>
  <c r="R775" i="11"/>
  <c r="Q775" i="11"/>
  <c r="P775" i="11"/>
  <c r="O775" i="11"/>
  <c r="N775" i="11"/>
  <c r="M775" i="11"/>
  <c r="L775" i="11"/>
  <c r="K775" i="11"/>
  <c r="J775" i="11"/>
  <c r="I775" i="11"/>
  <c r="H775" i="11"/>
  <c r="G775" i="11"/>
  <c r="F775" i="11"/>
  <c r="E775" i="11"/>
  <c r="D775" i="11"/>
  <c r="C775" i="11"/>
  <c r="B775" i="11"/>
  <c r="A775" i="11"/>
  <c r="Z774" i="11"/>
  <c r="Y774" i="11"/>
  <c r="X774" i="11"/>
  <c r="W774" i="11"/>
  <c r="V774" i="11"/>
  <c r="U774" i="11"/>
  <c r="T774" i="11"/>
  <c r="S774" i="11"/>
  <c r="R774" i="11"/>
  <c r="Q774" i="11"/>
  <c r="P774" i="11"/>
  <c r="O774" i="11"/>
  <c r="N774" i="11"/>
  <c r="M774" i="11"/>
  <c r="L774" i="11"/>
  <c r="K774" i="11"/>
  <c r="J774" i="11"/>
  <c r="I774" i="11"/>
  <c r="H774" i="11"/>
  <c r="G774" i="11"/>
  <c r="F774" i="11"/>
  <c r="E774" i="11"/>
  <c r="D774" i="11"/>
  <c r="C774" i="11"/>
  <c r="B774" i="11"/>
  <c r="A774" i="11"/>
  <c r="Z773" i="11"/>
  <c r="Y773" i="11"/>
  <c r="X773" i="11"/>
  <c r="W773" i="11"/>
  <c r="V773" i="11"/>
  <c r="U773" i="11"/>
  <c r="T773" i="11"/>
  <c r="S773" i="11"/>
  <c r="R773" i="11"/>
  <c r="Q773" i="11"/>
  <c r="P773" i="11"/>
  <c r="O773" i="11"/>
  <c r="N773" i="11"/>
  <c r="M773" i="11"/>
  <c r="L773" i="11"/>
  <c r="K773" i="11"/>
  <c r="J773" i="11"/>
  <c r="I773" i="11"/>
  <c r="H773" i="11"/>
  <c r="G773" i="11"/>
  <c r="F773" i="11"/>
  <c r="E773" i="11"/>
  <c r="D773" i="11"/>
  <c r="C773" i="11"/>
  <c r="B773" i="11"/>
  <c r="A773" i="11"/>
  <c r="Z772" i="11"/>
  <c r="Y772" i="11"/>
  <c r="X772" i="11"/>
  <c r="W772" i="11"/>
  <c r="V772" i="11"/>
  <c r="U772" i="11"/>
  <c r="T772" i="11"/>
  <c r="S772" i="11"/>
  <c r="R772" i="11"/>
  <c r="Q772" i="11"/>
  <c r="P772" i="11"/>
  <c r="O772" i="11"/>
  <c r="N772" i="11"/>
  <c r="M772" i="11"/>
  <c r="L772" i="11"/>
  <c r="K772" i="11"/>
  <c r="J772" i="11"/>
  <c r="I772" i="11"/>
  <c r="H772" i="11"/>
  <c r="G772" i="11"/>
  <c r="F772" i="11"/>
  <c r="E772" i="11"/>
  <c r="D772" i="11"/>
  <c r="C772" i="11"/>
  <c r="B772" i="11"/>
  <c r="A772" i="11"/>
  <c r="Z771" i="11"/>
  <c r="Y771" i="11"/>
  <c r="X771" i="11"/>
  <c r="W771" i="11"/>
  <c r="V771" i="11"/>
  <c r="U771" i="11"/>
  <c r="T771" i="11"/>
  <c r="S771" i="11"/>
  <c r="R771" i="11"/>
  <c r="Q771" i="11"/>
  <c r="P771" i="11"/>
  <c r="O771" i="11"/>
  <c r="N771" i="11"/>
  <c r="M771" i="11"/>
  <c r="L771" i="11"/>
  <c r="K771" i="11"/>
  <c r="J771" i="11"/>
  <c r="I771" i="11"/>
  <c r="H771" i="11"/>
  <c r="G771" i="11"/>
  <c r="F771" i="11"/>
  <c r="E771" i="11"/>
  <c r="D771" i="11"/>
  <c r="C771" i="11"/>
  <c r="B771" i="11"/>
  <c r="A771" i="11"/>
  <c r="Z770" i="11"/>
  <c r="Y770" i="11"/>
  <c r="X770" i="11"/>
  <c r="W770" i="11"/>
  <c r="V770" i="11"/>
  <c r="U770" i="11"/>
  <c r="T770" i="11"/>
  <c r="S770" i="11"/>
  <c r="R770" i="11"/>
  <c r="Q770" i="11"/>
  <c r="P770" i="11"/>
  <c r="O770" i="11"/>
  <c r="N770" i="11"/>
  <c r="M770" i="11"/>
  <c r="L770" i="11"/>
  <c r="K770" i="11"/>
  <c r="J770" i="11"/>
  <c r="I770" i="11"/>
  <c r="H770" i="11"/>
  <c r="G770" i="11"/>
  <c r="F770" i="11"/>
  <c r="E770" i="11"/>
  <c r="D770" i="11"/>
  <c r="C770" i="11"/>
  <c r="B770" i="11"/>
  <c r="A770" i="11"/>
  <c r="Z769" i="11"/>
  <c r="Y769" i="11"/>
  <c r="X769" i="11"/>
  <c r="W769" i="11"/>
  <c r="V769" i="11"/>
  <c r="U769" i="11"/>
  <c r="T769" i="11"/>
  <c r="S769" i="11"/>
  <c r="R769" i="11"/>
  <c r="Q769" i="11"/>
  <c r="P769" i="11"/>
  <c r="O769" i="11"/>
  <c r="N769" i="11"/>
  <c r="M769" i="11"/>
  <c r="L769" i="11"/>
  <c r="K769" i="11"/>
  <c r="J769" i="11"/>
  <c r="I769" i="11"/>
  <c r="H769" i="11"/>
  <c r="G769" i="11"/>
  <c r="F769" i="11"/>
  <c r="E769" i="11"/>
  <c r="D769" i="11"/>
  <c r="C769" i="11"/>
  <c r="B769" i="11"/>
  <c r="A769" i="11"/>
  <c r="Z768" i="11"/>
  <c r="Y768" i="11"/>
  <c r="X768" i="11"/>
  <c r="W768" i="11"/>
  <c r="V768" i="11"/>
  <c r="U768" i="11"/>
  <c r="T768" i="11"/>
  <c r="S768" i="11"/>
  <c r="R768" i="11"/>
  <c r="Q768" i="11"/>
  <c r="P768" i="11"/>
  <c r="O768" i="11"/>
  <c r="N768" i="11"/>
  <c r="M768" i="11"/>
  <c r="L768" i="11"/>
  <c r="K768" i="11"/>
  <c r="J768" i="11"/>
  <c r="I768" i="11"/>
  <c r="H768" i="11"/>
  <c r="G768" i="11"/>
  <c r="F768" i="11"/>
  <c r="E768" i="11"/>
  <c r="D768" i="11"/>
  <c r="C768" i="11"/>
  <c r="B768" i="11"/>
  <c r="A768" i="11"/>
  <c r="Z767" i="11"/>
  <c r="Y767" i="11"/>
  <c r="X767" i="11"/>
  <c r="W767" i="11"/>
  <c r="V767" i="11"/>
  <c r="U767" i="11"/>
  <c r="T767" i="11"/>
  <c r="S767" i="11"/>
  <c r="R767" i="11"/>
  <c r="Q767" i="11"/>
  <c r="P767" i="11"/>
  <c r="O767" i="11"/>
  <c r="N767" i="11"/>
  <c r="M767" i="11"/>
  <c r="L767" i="11"/>
  <c r="K767" i="11"/>
  <c r="J767" i="11"/>
  <c r="I767" i="11"/>
  <c r="H767" i="11"/>
  <c r="G767" i="11"/>
  <c r="F767" i="11"/>
  <c r="E767" i="11"/>
  <c r="D767" i="11"/>
  <c r="C767" i="11"/>
  <c r="B767" i="11"/>
  <c r="A767" i="11"/>
  <c r="Z766" i="11"/>
  <c r="Y766" i="11"/>
  <c r="X766" i="11"/>
  <c r="W766" i="11"/>
  <c r="V766" i="11"/>
  <c r="U766" i="11"/>
  <c r="T766" i="11"/>
  <c r="S766" i="11"/>
  <c r="R766" i="11"/>
  <c r="Q766" i="11"/>
  <c r="P766" i="11"/>
  <c r="O766" i="11"/>
  <c r="N766" i="11"/>
  <c r="M766" i="11"/>
  <c r="L766" i="11"/>
  <c r="K766" i="11"/>
  <c r="J766" i="11"/>
  <c r="I766" i="11"/>
  <c r="H766" i="11"/>
  <c r="G766" i="11"/>
  <c r="F766" i="11"/>
  <c r="E766" i="11"/>
  <c r="D766" i="11"/>
  <c r="C766" i="11"/>
  <c r="B766" i="11"/>
  <c r="A766" i="11"/>
  <c r="Z765" i="11"/>
  <c r="Y765" i="11"/>
  <c r="X765" i="11"/>
  <c r="W765" i="11"/>
  <c r="V765" i="11"/>
  <c r="U765" i="11"/>
  <c r="T765" i="11"/>
  <c r="S765" i="11"/>
  <c r="R765" i="11"/>
  <c r="Q765" i="11"/>
  <c r="P765" i="11"/>
  <c r="O765" i="11"/>
  <c r="N765" i="11"/>
  <c r="M765" i="11"/>
  <c r="L765" i="11"/>
  <c r="K765" i="11"/>
  <c r="J765" i="11"/>
  <c r="I765" i="11"/>
  <c r="H765" i="11"/>
  <c r="G765" i="11"/>
  <c r="F765" i="11"/>
  <c r="E765" i="11"/>
  <c r="D765" i="11"/>
  <c r="C765" i="11"/>
  <c r="B765" i="11"/>
  <c r="A765" i="11"/>
  <c r="Z764" i="11"/>
  <c r="Y764" i="11"/>
  <c r="X764" i="11"/>
  <c r="W764" i="11"/>
  <c r="V764" i="11"/>
  <c r="U764" i="11"/>
  <c r="T764" i="11"/>
  <c r="S764" i="11"/>
  <c r="R764" i="11"/>
  <c r="Q764" i="11"/>
  <c r="P764" i="11"/>
  <c r="O764" i="11"/>
  <c r="N764" i="11"/>
  <c r="M764" i="11"/>
  <c r="L764" i="11"/>
  <c r="K764" i="11"/>
  <c r="J764" i="11"/>
  <c r="I764" i="11"/>
  <c r="H764" i="11"/>
  <c r="G764" i="11"/>
  <c r="F764" i="11"/>
  <c r="E764" i="11"/>
  <c r="D764" i="11"/>
  <c r="C764" i="11"/>
  <c r="B764" i="11"/>
  <c r="A764" i="11"/>
  <c r="Z763" i="11"/>
  <c r="Y763" i="11"/>
  <c r="X763" i="11"/>
  <c r="W763" i="11"/>
  <c r="V763" i="11"/>
  <c r="U763" i="11"/>
  <c r="T763" i="11"/>
  <c r="S763" i="11"/>
  <c r="R763" i="11"/>
  <c r="Q763" i="11"/>
  <c r="P763" i="11"/>
  <c r="O763" i="11"/>
  <c r="N763" i="11"/>
  <c r="M763" i="11"/>
  <c r="L763" i="11"/>
  <c r="K763" i="11"/>
  <c r="J763" i="11"/>
  <c r="I763" i="11"/>
  <c r="H763" i="11"/>
  <c r="G763" i="11"/>
  <c r="F763" i="11"/>
  <c r="E763" i="11"/>
  <c r="D763" i="11"/>
  <c r="C763" i="11"/>
  <c r="B763" i="11"/>
  <c r="A763" i="11"/>
  <c r="Z762" i="11"/>
  <c r="Y762" i="11"/>
  <c r="X762" i="11"/>
  <c r="W762" i="11"/>
  <c r="V762" i="11"/>
  <c r="U762" i="11"/>
  <c r="T762" i="11"/>
  <c r="S762" i="11"/>
  <c r="R762" i="11"/>
  <c r="Q762" i="11"/>
  <c r="P762" i="11"/>
  <c r="O762" i="11"/>
  <c r="N762" i="11"/>
  <c r="M762" i="11"/>
  <c r="L762" i="11"/>
  <c r="K762" i="11"/>
  <c r="J762" i="11"/>
  <c r="I762" i="11"/>
  <c r="H762" i="11"/>
  <c r="G762" i="11"/>
  <c r="F762" i="11"/>
  <c r="E762" i="11"/>
  <c r="D762" i="11"/>
  <c r="C762" i="11"/>
  <c r="B762" i="11"/>
  <c r="A762" i="11"/>
  <c r="Z761" i="11"/>
  <c r="Y761" i="11"/>
  <c r="X761" i="11"/>
  <c r="W761" i="11"/>
  <c r="V761" i="11"/>
  <c r="U761" i="11"/>
  <c r="T761" i="11"/>
  <c r="S761" i="11"/>
  <c r="R761" i="11"/>
  <c r="Q761" i="11"/>
  <c r="P761" i="11"/>
  <c r="O761" i="11"/>
  <c r="N761" i="11"/>
  <c r="M761" i="11"/>
  <c r="L761" i="11"/>
  <c r="K761" i="11"/>
  <c r="J761" i="11"/>
  <c r="I761" i="11"/>
  <c r="H761" i="11"/>
  <c r="G761" i="11"/>
  <c r="F761" i="11"/>
  <c r="E761" i="11"/>
  <c r="D761" i="11"/>
  <c r="C761" i="11"/>
  <c r="B761" i="11"/>
  <c r="A761" i="11"/>
  <c r="Z760" i="11"/>
  <c r="Y760" i="11"/>
  <c r="X760" i="11"/>
  <c r="W760" i="11"/>
  <c r="V760" i="11"/>
  <c r="U760" i="11"/>
  <c r="T760" i="11"/>
  <c r="S760" i="11"/>
  <c r="R760" i="11"/>
  <c r="Q760" i="11"/>
  <c r="P760" i="11"/>
  <c r="O760" i="11"/>
  <c r="N760" i="11"/>
  <c r="M760" i="11"/>
  <c r="L760" i="11"/>
  <c r="K760" i="11"/>
  <c r="J760" i="11"/>
  <c r="I760" i="11"/>
  <c r="H760" i="11"/>
  <c r="G760" i="11"/>
  <c r="F760" i="11"/>
  <c r="E760" i="11"/>
  <c r="D760" i="11"/>
  <c r="C760" i="11"/>
  <c r="B760" i="11"/>
  <c r="A760" i="11"/>
  <c r="Z759" i="11"/>
  <c r="Y759" i="11"/>
  <c r="X759" i="11"/>
  <c r="W759" i="11"/>
  <c r="V759" i="11"/>
  <c r="U759" i="11"/>
  <c r="T759" i="11"/>
  <c r="S759" i="11"/>
  <c r="R759" i="11"/>
  <c r="Q759" i="11"/>
  <c r="P759" i="11"/>
  <c r="O759" i="11"/>
  <c r="N759" i="11"/>
  <c r="M759" i="11"/>
  <c r="L759" i="11"/>
  <c r="K759" i="11"/>
  <c r="J759" i="11"/>
  <c r="I759" i="11"/>
  <c r="H759" i="11"/>
  <c r="G759" i="11"/>
  <c r="F759" i="11"/>
  <c r="E759" i="11"/>
  <c r="D759" i="11"/>
  <c r="C759" i="11"/>
  <c r="B759" i="11"/>
  <c r="A759" i="11"/>
  <c r="Z758" i="11"/>
  <c r="Y758" i="11"/>
  <c r="X758" i="11"/>
  <c r="W758" i="11"/>
  <c r="V758" i="11"/>
  <c r="U758" i="11"/>
  <c r="T758" i="11"/>
  <c r="S758" i="11"/>
  <c r="R758" i="11"/>
  <c r="Q758" i="11"/>
  <c r="P758" i="11"/>
  <c r="O758" i="11"/>
  <c r="N758" i="11"/>
  <c r="M758" i="11"/>
  <c r="L758" i="11"/>
  <c r="K758" i="11"/>
  <c r="J758" i="11"/>
  <c r="I758" i="11"/>
  <c r="H758" i="11"/>
  <c r="G758" i="11"/>
  <c r="F758" i="11"/>
  <c r="E758" i="11"/>
  <c r="D758" i="11"/>
  <c r="C758" i="11"/>
  <c r="B758" i="11"/>
  <c r="A758" i="11"/>
  <c r="Z757" i="11"/>
  <c r="Y757" i="11"/>
  <c r="X757" i="11"/>
  <c r="W757" i="11"/>
  <c r="V757" i="11"/>
  <c r="U757" i="11"/>
  <c r="T757" i="11"/>
  <c r="S757" i="11"/>
  <c r="R757" i="11"/>
  <c r="Q757" i="11"/>
  <c r="P757" i="11"/>
  <c r="O757" i="11"/>
  <c r="N757" i="11"/>
  <c r="M757" i="11"/>
  <c r="L757" i="11"/>
  <c r="K757" i="11"/>
  <c r="J757" i="11"/>
  <c r="I757" i="11"/>
  <c r="H757" i="11"/>
  <c r="G757" i="11"/>
  <c r="F757" i="11"/>
  <c r="E757" i="11"/>
  <c r="D757" i="11"/>
  <c r="C757" i="11"/>
  <c r="B757" i="11"/>
  <c r="A757" i="11"/>
  <c r="Z756" i="11"/>
  <c r="Y756" i="11"/>
  <c r="X756" i="11"/>
  <c r="W756" i="11"/>
  <c r="V756" i="11"/>
  <c r="U756" i="11"/>
  <c r="T756" i="11"/>
  <c r="S756" i="11"/>
  <c r="R756" i="11"/>
  <c r="Q756" i="11"/>
  <c r="P756" i="11"/>
  <c r="O756" i="11"/>
  <c r="N756" i="11"/>
  <c r="M756" i="11"/>
  <c r="L756" i="11"/>
  <c r="K756" i="11"/>
  <c r="J756" i="11"/>
  <c r="I756" i="11"/>
  <c r="H756" i="11"/>
  <c r="G756" i="11"/>
  <c r="F756" i="11"/>
  <c r="E756" i="11"/>
  <c r="D756" i="11"/>
  <c r="C756" i="11"/>
  <c r="B756" i="11"/>
  <c r="A756" i="11"/>
  <c r="Z755" i="11"/>
  <c r="Y755" i="11"/>
  <c r="X755" i="11"/>
  <c r="W755" i="11"/>
  <c r="V755" i="11"/>
  <c r="U755" i="11"/>
  <c r="T755" i="11"/>
  <c r="S755" i="11"/>
  <c r="R755" i="11"/>
  <c r="Q755" i="11"/>
  <c r="P755" i="11"/>
  <c r="O755" i="11"/>
  <c r="N755" i="11"/>
  <c r="M755" i="11"/>
  <c r="L755" i="11"/>
  <c r="K755" i="11"/>
  <c r="J755" i="11"/>
  <c r="I755" i="11"/>
  <c r="H755" i="11"/>
  <c r="G755" i="11"/>
  <c r="F755" i="11"/>
  <c r="E755" i="11"/>
  <c r="D755" i="11"/>
  <c r="C755" i="11"/>
  <c r="B755" i="11"/>
  <c r="A755" i="11"/>
  <c r="Z754" i="11"/>
  <c r="Y754" i="11"/>
  <c r="X754" i="11"/>
  <c r="W754" i="11"/>
  <c r="V754" i="11"/>
  <c r="U754" i="11"/>
  <c r="T754" i="11"/>
  <c r="S754" i="11"/>
  <c r="R754" i="11"/>
  <c r="Q754" i="11"/>
  <c r="P754" i="11"/>
  <c r="O754" i="11"/>
  <c r="N754" i="11"/>
  <c r="M754" i="11"/>
  <c r="L754" i="11"/>
  <c r="K754" i="11"/>
  <c r="J754" i="11"/>
  <c r="I754" i="11"/>
  <c r="H754" i="11"/>
  <c r="G754" i="11"/>
  <c r="F754" i="11"/>
  <c r="E754" i="11"/>
  <c r="D754" i="11"/>
  <c r="C754" i="11"/>
  <c r="B754" i="11"/>
  <c r="A754" i="11"/>
  <c r="Z753" i="11"/>
  <c r="Y753" i="11"/>
  <c r="X753" i="11"/>
  <c r="W753" i="11"/>
  <c r="V753" i="11"/>
  <c r="U753" i="11"/>
  <c r="T753" i="11"/>
  <c r="S753" i="11"/>
  <c r="R753" i="11"/>
  <c r="Q753" i="11"/>
  <c r="P753" i="11"/>
  <c r="O753" i="11"/>
  <c r="N753" i="11"/>
  <c r="M753" i="11"/>
  <c r="L753" i="11"/>
  <c r="K753" i="11"/>
  <c r="J753" i="11"/>
  <c r="I753" i="11"/>
  <c r="H753" i="11"/>
  <c r="G753" i="11"/>
  <c r="F753" i="11"/>
  <c r="E753" i="11"/>
  <c r="D753" i="11"/>
  <c r="C753" i="11"/>
  <c r="B753" i="11"/>
  <c r="A753" i="11"/>
  <c r="Z752" i="11"/>
  <c r="Y752" i="11"/>
  <c r="X752" i="11"/>
  <c r="W752" i="11"/>
  <c r="V752" i="11"/>
  <c r="U752" i="11"/>
  <c r="T752" i="11"/>
  <c r="S752" i="11"/>
  <c r="R752" i="11"/>
  <c r="Q752" i="11"/>
  <c r="P752" i="11"/>
  <c r="O752" i="11"/>
  <c r="N752" i="11"/>
  <c r="M752" i="11"/>
  <c r="L752" i="11"/>
  <c r="K752" i="11"/>
  <c r="J752" i="11"/>
  <c r="I752" i="11"/>
  <c r="H752" i="11"/>
  <c r="G752" i="11"/>
  <c r="F752" i="11"/>
  <c r="E752" i="11"/>
  <c r="D752" i="11"/>
  <c r="C752" i="11"/>
  <c r="B752" i="11"/>
  <c r="A752" i="11"/>
  <c r="Z751" i="11"/>
  <c r="Y751" i="11"/>
  <c r="X751" i="11"/>
  <c r="W751" i="11"/>
  <c r="V751" i="11"/>
  <c r="U751" i="11"/>
  <c r="T751" i="11"/>
  <c r="S751" i="11"/>
  <c r="R751" i="11"/>
  <c r="Q751" i="11"/>
  <c r="P751" i="11"/>
  <c r="O751" i="11"/>
  <c r="N751" i="11"/>
  <c r="M751" i="11"/>
  <c r="L751" i="11"/>
  <c r="K751" i="11"/>
  <c r="J751" i="11"/>
  <c r="I751" i="11"/>
  <c r="H751" i="11"/>
  <c r="G751" i="11"/>
  <c r="F751" i="11"/>
  <c r="E751" i="11"/>
  <c r="D751" i="11"/>
  <c r="C751" i="11"/>
  <c r="B751" i="11"/>
  <c r="A751" i="11"/>
  <c r="Z750" i="11"/>
  <c r="Y750" i="11"/>
  <c r="X750" i="11"/>
  <c r="W750" i="11"/>
  <c r="V750" i="11"/>
  <c r="U750" i="11"/>
  <c r="T750" i="11"/>
  <c r="S750" i="11"/>
  <c r="R750" i="11"/>
  <c r="Q750" i="11"/>
  <c r="P750" i="11"/>
  <c r="O750" i="11"/>
  <c r="N750" i="11"/>
  <c r="M750" i="11"/>
  <c r="L750" i="11"/>
  <c r="K750" i="11"/>
  <c r="J750" i="11"/>
  <c r="I750" i="11"/>
  <c r="H750" i="11"/>
  <c r="G750" i="11"/>
  <c r="F750" i="11"/>
  <c r="E750" i="11"/>
  <c r="D750" i="11"/>
  <c r="C750" i="11"/>
  <c r="B750" i="11"/>
  <c r="A750" i="11"/>
  <c r="Z749" i="11"/>
  <c r="Y749" i="11"/>
  <c r="X749" i="11"/>
  <c r="W749" i="11"/>
  <c r="V749" i="11"/>
  <c r="U749" i="11"/>
  <c r="T749" i="11"/>
  <c r="S749" i="11"/>
  <c r="R749" i="11"/>
  <c r="Q749" i="11"/>
  <c r="P749" i="11"/>
  <c r="O749" i="11"/>
  <c r="N749" i="11"/>
  <c r="M749" i="11"/>
  <c r="L749" i="11"/>
  <c r="K749" i="11"/>
  <c r="J749" i="11"/>
  <c r="I749" i="11"/>
  <c r="H749" i="11"/>
  <c r="G749" i="11"/>
  <c r="F749" i="11"/>
  <c r="E749" i="11"/>
  <c r="D749" i="11"/>
  <c r="C749" i="11"/>
  <c r="B749" i="11"/>
  <c r="A749" i="11"/>
  <c r="Z748" i="11"/>
  <c r="Y748" i="11"/>
  <c r="X748" i="11"/>
  <c r="W748" i="11"/>
  <c r="V748" i="11"/>
  <c r="U748" i="11"/>
  <c r="T748" i="11"/>
  <c r="S748" i="11"/>
  <c r="R748" i="11"/>
  <c r="Q748" i="11"/>
  <c r="P748" i="11"/>
  <c r="O748" i="11"/>
  <c r="N748" i="11"/>
  <c r="M748" i="11"/>
  <c r="L748" i="11"/>
  <c r="K748" i="11"/>
  <c r="J748" i="11"/>
  <c r="I748" i="11"/>
  <c r="H748" i="11"/>
  <c r="G748" i="11"/>
  <c r="F748" i="11"/>
  <c r="E748" i="11"/>
  <c r="D748" i="11"/>
  <c r="C748" i="11"/>
  <c r="B748" i="11"/>
  <c r="A748" i="11"/>
  <c r="Z747" i="11"/>
  <c r="Y747" i="11"/>
  <c r="X747" i="11"/>
  <c r="W747" i="11"/>
  <c r="V747" i="11"/>
  <c r="U747" i="11"/>
  <c r="T747" i="11"/>
  <c r="S747" i="11"/>
  <c r="R747" i="11"/>
  <c r="Q747" i="11"/>
  <c r="P747" i="11"/>
  <c r="O747" i="11"/>
  <c r="N747" i="11"/>
  <c r="M747" i="11"/>
  <c r="L747" i="11"/>
  <c r="K747" i="11"/>
  <c r="J747" i="11"/>
  <c r="I747" i="11"/>
  <c r="H747" i="11"/>
  <c r="G747" i="11"/>
  <c r="F747" i="11"/>
  <c r="E747" i="11"/>
  <c r="D747" i="11"/>
  <c r="C747" i="11"/>
  <c r="B747" i="11"/>
  <c r="A747" i="11"/>
  <c r="Z746" i="11"/>
  <c r="Y746" i="11"/>
  <c r="X746" i="11"/>
  <c r="W746" i="11"/>
  <c r="V746" i="11"/>
  <c r="U746" i="11"/>
  <c r="T746" i="11"/>
  <c r="S746" i="11"/>
  <c r="R746" i="11"/>
  <c r="Q746" i="11"/>
  <c r="P746" i="11"/>
  <c r="O746" i="11"/>
  <c r="N746" i="11"/>
  <c r="M746" i="11"/>
  <c r="L746" i="11"/>
  <c r="K746" i="11"/>
  <c r="J746" i="11"/>
  <c r="I746" i="11"/>
  <c r="H746" i="11"/>
  <c r="G746" i="11"/>
  <c r="F746" i="11"/>
  <c r="E746" i="11"/>
  <c r="D746" i="11"/>
  <c r="C746" i="11"/>
  <c r="B746" i="11"/>
  <c r="A746" i="11"/>
  <c r="Z745" i="11"/>
  <c r="Y745" i="11"/>
  <c r="X745" i="11"/>
  <c r="W745" i="11"/>
  <c r="V745" i="11"/>
  <c r="U745" i="11"/>
  <c r="T745" i="11"/>
  <c r="S745" i="11"/>
  <c r="R745" i="11"/>
  <c r="Q745" i="11"/>
  <c r="P745" i="11"/>
  <c r="O745" i="11"/>
  <c r="N745" i="11"/>
  <c r="M745" i="11"/>
  <c r="L745" i="11"/>
  <c r="K745" i="11"/>
  <c r="J745" i="11"/>
  <c r="I745" i="11"/>
  <c r="H745" i="11"/>
  <c r="G745" i="11"/>
  <c r="F745" i="11"/>
  <c r="E745" i="11"/>
  <c r="D745" i="11"/>
  <c r="C745" i="11"/>
  <c r="B745" i="11"/>
  <c r="A745" i="11"/>
  <c r="Z744" i="11"/>
  <c r="Y744" i="11"/>
  <c r="X744" i="11"/>
  <c r="W744" i="11"/>
  <c r="V744" i="11"/>
  <c r="U744" i="11"/>
  <c r="T744" i="11"/>
  <c r="S744" i="11"/>
  <c r="R744" i="11"/>
  <c r="Q744" i="11"/>
  <c r="P744" i="11"/>
  <c r="O744" i="11"/>
  <c r="N744" i="11"/>
  <c r="M744" i="11"/>
  <c r="L744" i="11"/>
  <c r="K744" i="11"/>
  <c r="J744" i="11"/>
  <c r="I744" i="11"/>
  <c r="H744" i="11"/>
  <c r="G744" i="11"/>
  <c r="F744" i="11"/>
  <c r="E744" i="11"/>
  <c r="D744" i="11"/>
  <c r="C744" i="11"/>
  <c r="B744" i="11"/>
  <c r="A744" i="11"/>
  <c r="Z743" i="11"/>
  <c r="Y743" i="11"/>
  <c r="X743" i="11"/>
  <c r="W743" i="11"/>
  <c r="V743" i="11"/>
  <c r="U743" i="11"/>
  <c r="T743" i="11"/>
  <c r="S743" i="11"/>
  <c r="R743" i="11"/>
  <c r="Q743" i="11"/>
  <c r="P743" i="11"/>
  <c r="O743" i="11"/>
  <c r="N743" i="11"/>
  <c r="M743" i="11"/>
  <c r="L743" i="11"/>
  <c r="K743" i="11"/>
  <c r="J743" i="11"/>
  <c r="I743" i="11"/>
  <c r="H743" i="11"/>
  <c r="G743" i="11"/>
  <c r="F743" i="11"/>
  <c r="E743" i="11"/>
  <c r="D743" i="11"/>
  <c r="C743" i="11"/>
  <c r="B743" i="11"/>
  <c r="A743" i="11"/>
  <c r="Z742" i="11"/>
  <c r="Y742" i="11"/>
  <c r="X742" i="11"/>
  <c r="W742" i="11"/>
  <c r="V742" i="11"/>
  <c r="U742" i="11"/>
  <c r="T742" i="11"/>
  <c r="S742" i="11"/>
  <c r="R742" i="11"/>
  <c r="Q742" i="11"/>
  <c r="P742" i="11"/>
  <c r="O742" i="11"/>
  <c r="N742" i="11"/>
  <c r="M742" i="11"/>
  <c r="L742" i="11"/>
  <c r="K742" i="11"/>
  <c r="J742" i="11"/>
  <c r="I742" i="11"/>
  <c r="H742" i="11"/>
  <c r="G742" i="11"/>
  <c r="F742" i="11"/>
  <c r="E742" i="11"/>
  <c r="D742" i="11"/>
  <c r="C742" i="11"/>
  <c r="B742" i="11"/>
  <c r="A742" i="11"/>
  <c r="Z741" i="11"/>
  <c r="Y741" i="11"/>
  <c r="X741" i="11"/>
  <c r="W741" i="11"/>
  <c r="V741" i="11"/>
  <c r="U741" i="11"/>
  <c r="T741" i="11"/>
  <c r="S741" i="11"/>
  <c r="R741" i="11"/>
  <c r="Q741" i="11"/>
  <c r="P741" i="11"/>
  <c r="O741" i="11"/>
  <c r="N741" i="11"/>
  <c r="M741" i="11"/>
  <c r="L741" i="11"/>
  <c r="K741" i="11"/>
  <c r="J741" i="11"/>
  <c r="I741" i="11"/>
  <c r="H741" i="11"/>
  <c r="G741" i="11"/>
  <c r="F741" i="11"/>
  <c r="E741" i="11"/>
  <c r="D741" i="11"/>
  <c r="C741" i="11"/>
  <c r="B741" i="11"/>
  <c r="A741" i="11"/>
  <c r="Z740" i="11"/>
  <c r="Y740" i="11"/>
  <c r="X740" i="11"/>
  <c r="W740" i="11"/>
  <c r="V740" i="11"/>
  <c r="U740" i="11"/>
  <c r="T740" i="11"/>
  <c r="S740" i="11"/>
  <c r="R740" i="11"/>
  <c r="Q740" i="11"/>
  <c r="P740" i="11"/>
  <c r="O740" i="11"/>
  <c r="N740" i="11"/>
  <c r="M740" i="11"/>
  <c r="L740" i="11"/>
  <c r="K740" i="11"/>
  <c r="J740" i="11"/>
  <c r="I740" i="11"/>
  <c r="H740" i="11"/>
  <c r="G740" i="11"/>
  <c r="F740" i="11"/>
  <c r="E740" i="11"/>
  <c r="D740" i="11"/>
  <c r="C740" i="11"/>
  <c r="B740" i="11"/>
  <c r="A740" i="11"/>
  <c r="Z739" i="11"/>
  <c r="Y739" i="11"/>
  <c r="X739" i="11"/>
  <c r="W739" i="11"/>
  <c r="V739" i="11"/>
  <c r="U739" i="11"/>
  <c r="T739" i="11"/>
  <c r="S739" i="11"/>
  <c r="R739" i="11"/>
  <c r="Q739" i="11"/>
  <c r="P739" i="11"/>
  <c r="O739" i="11"/>
  <c r="N739" i="11"/>
  <c r="M739" i="11"/>
  <c r="L739" i="11"/>
  <c r="K739" i="11"/>
  <c r="J739" i="11"/>
  <c r="I739" i="11"/>
  <c r="H739" i="11"/>
  <c r="G739" i="11"/>
  <c r="F739" i="11"/>
  <c r="E739" i="11"/>
  <c r="D739" i="11"/>
  <c r="C739" i="11"/>
  <c r="B739" i="11"/>
  <c r="A739" i="11"/>
  <c r="Z738" i="11"/>
  <c r="Y738" i="11"/>
  <c r="X738" i="11"/>
  <c r="W738" i="11"/>
  <c r="V738" i="11"/>
  <c r="U738" i="11"/>
  <c r="T738" i="11"/>
  <c r="S738" i="11"/>
  <c r="R738" i="11"/>
  <c r="Q738" i="11"/>
  <c r="P738" i="11"/>
  <c r="O738" i="11"/>
  <c r="N738" i="11"/>
  <c r="M738" i="11"/>
  <c r="L738" i="11"/>
  <c r="K738" i="11"/>
  <c r="J738" i="11"/>
  <c r="I738" i="11"/>
  <c r="H738" i="11"/>
  <c r="G738" i="11"/>
  <c r="F738" i="11"/>
  <c r="E738" i="11"/>
  <c r="D738" i="11"/>
  <c r="C738" i="11"/>
  <c r="B738" i="11"/>
  <c r="A738" i="11"/>
  <c r="Z737" i="11"/>
  <c r="Y737" i="11"/>
  <c r="X737" i="11"/>
  <c r="W737" i="11"/>
  <c r="V737" i="11"/>
  <c r="U737" i="11"/>
  <c r="T737" i="11"/>
  <c r="S737" i="11"/>
  <c r="R737" i="11"/>
  <c r="Q737" i="11"/>
  <c r="P737" i="11"/>
  <c r="O737" i="11"/>
  <c r="N737" i="11"/>
  <c r="M737" i="11"/>
  <c r="L737" i="11"/>
  <c r="K737" i="11"/>
  <c r="J737" i="11"/>
  <c r="I737" i="11"/>
  <c r="H737" i="11"/>
  <c r="G737" i="11"/>
  <c r="F737" i="11"/>
  <c r="E737" i="11"/>
  <c r="D737" i="11"/>
  <c r="C737" i="11"/>
  <c r="B737" i="11"/>
  <c r="A737" i="11"/>
  <c r="Z736" i="11"/>
  <c r="Y736" i="11"/>
  <c r="X736" i="11"/>
  <c r="W736" i="11"/>
  <c r="V736" i="11"/>
  <c r="U736" i="11"/>
  <c r="T736" i="11"/>
  <c r="S736" i="11"/>
  <c r="R736" i="11"/>
  <c r="Q736" i="11"/>
  <c r="P736" i="11"/>
  <c r="O736" i="11"/>
  <c r="N736" i="11"/>
  <c r="M736" i="11"/>
  <c r="L736" i="11"/>
  <c r="K736" i="11"/>
  <c r="J736" i="11"/>
  <c r="I736" i="11"/>
  <c r="H736" i="11"/>
  <c r="G736" i="11"/>
  <c r="F736" i="11"/>
  <c r="E736" i="11"/>
  <c r="D736" i="11"/>
  <c r="C736" i="11"/>
  <c r="B736" i="11"/>
  <c r="A736" i="11"/>
  <c r="Z735" i="11"/>
  <c r="Y735" i="11"/>
  <c r="X735" i="11"/>
  <c r="W735" i="11"/>
  <c r="V735" i="11"/>
  <c r="U735" i="11"/>
  <c r="T735" i="11"/>
  <c r="S735" i="11"/>
  <c r="R735" i="11"/>
  <c r="Q735" i="11"/>
  <c r="P735" i="11"/>
  <c r="O735" i="11"/>
  <c r="N735" i="11"/>
  <c r="M735" i="11"/>
  <c r="L735" i="11"/>
  <c r="K735" i="11"/>
  <c r="J735" i="11"/>
  <c r="I735" i="11"/>
  <c r="H735" i="11"/>
  <c r="G735" i="11"/>
  <c r="F735" i="11"/>
  <c r="E735" i="11"/>
  <c r="D735" i="11"/>
  <c r="C735" i="11"/>
  <c r="B735" i="11"/>
  <c r="A735" i="11"/>
  <c r="Z734" i="11"/>
  <c r="Y734" i="11"/>
  <c r="X734" i="11"/>
  <c r="W734" i="11"/>
  <c r="V734" i="11"/>
  <c r="U734" i="11"/>
  <c r="T734" i="11"/>
  <c r="S734" i="11"/>
  <c r="R734" i="11"/>
  <c r="Q734" i="11"/>
  <c r="P734" i="11"/>
  <c r="O734" i="11"/>
  <c r="N734" i="11"/>
  <c r="M734" i="11"/>
  <c r="L734" i="11"/>
  <c r="K734" i="11"/>
  <c r="J734" i="11"/>
  <c r="I734" i="11"/>
  <c r="H734" i="11"/>
  <c r="G734" i="11"/>
  <c r="F734" i="11"/>
  <c r="E734" i="11"/>
  <c r="D734" i="11"/>
  <c r="C734" i="11"/>
  <c r="B734" i="11"/>
  <c r="A734" i="11"/>
  <c r="Z733" i="11"/>
  <c r="Y733" i="11"/>
  <c r="X733" i="11"/>
  <c r="W733" i="11"/>
  <c r="V733" i="11"/>
  <c r="U733" i="11"/>
  <c r="T733" i="11"/>
  <c r="S733" i="11"/>
  <c r="R733" i="11"/>
  <c r="Q733" i="11"/>
  <c r="P733" i="11"/>
  <c r="O733" i="11"/>
  <c r="N733" i="11"/>
  <c r="M733" i="11"/>
  <c r="L733" i="11"/>
  <c r="K733" i="11"/>
  <c r="J733" i="11"/>
  <c r="I733" i="11"/>
  <c r="H733" i="11"/>
  <c r="G733" i="11"/>
  <c r="F733" i="11"/>
  <c r="E733" i="11"/>
  <c r="D733" i="11"/>
  <c r="C733" i="11"/>
  <c r="B733" i="11"/>
  <c r="A733" i="11"/>
  <c r="Z732" i="11"/>
  <c r="Y732" i="11"/>
  <c r="X732" i="11"/>
  <c r="W732" i="11"/>
  <c r="V732" i="11"/>
  <c r="U732" i="11"/>
  <c r="T732" i="11"/>
  <c r="S732" i="11"/>
  <c r="R732" i="11"/>
  <c r="Q732" i="11"/>
  <c r="P732" i="11"/>
  <c r="O732" i="11"/>
  <c r="N732" i="11"/>
  <c r="M732" i="11"/>
  <c r="L732" i="11"/>
  <c r="K732" i="11"/>
  <c r="J732" i="11"/>
  <c r="I732" i="11"/>
  <c r="H732" i="11"/>
  <c r="G732" i="11"/>
  <c r="F732" i="11"/>
  <c r="E732" i="11"/>
  <c r="D732" i="11"/>
  <c r="C732" i="11"/>
  <c r="B732" i="11"/>
  <c r="A732" i="11"/>
  <c r="Z731" i="11"/>
  <c r="Y731" i="11"/>
  <c r="X731" i="11"/>
  <c r="W731" i="11"/>
  <c r="V731" i="11"/>
  <c r="U731" i="11"/>
  <c r="T731" i="11"/>
  <c r="S731" i="11"/>
  <c r="R731" i="11"/>
  <c r="Q731" i="11"/>
  <c r="P731" i="11"/>
  <c r="O731" i="11"/>
  <c r="N731" i="11"/>
  <c r="M731" i="11"/>
  <c r="L731" i="11"/>
  <c r="K731" i="11"/>
  <c r="J731" i="11"/>
  <c r="I731" i="11"/>
  <c r="H731" i="11"/>
  <c r="G731" i="11"/>
  <c r="F731" i="11"/>
  <c r="E731" i="11"/>
  <c r="D731" i="11"/>
  <c r="C731" i="11"/>
  <c r="B731" i="11"/>
  <c r="A731" i="11"/>
  <c r="Z730" i="11"/>
  <c r="Y730" i="11"/>
  <c r="X730" i="11"/>
  <c r="W730" i="11"/>
  <c r="V730" i="11"/>
  <c r="U730" i="11"/>
  <c r="T730" i="11"/>
  <c r="S730" i="11"/>
  <c r="R730" i="11"/>
  <c r="Q730" i="11"/>
  <c r="P730" i="11"/>
  <c r="O730" i="11"/>
  <c r="N730" i="11"/>
  <c r="M730" i="11"/>
  <c r="L730" i="11"/>
  <c r="K730" i="11"/>
  <c r="J730" i="11"/>
  <c r="I730" i="11"/>
  <c r="H730" i="11"/>
  <c r="G730" i="11"/>
  <c r="F730" i="11"/>
  <c r="E730" i="11"/>
  <c r="D730" i="11"/>
  <c r="C730" i="11"/>
  <c r="B730" i="11"/>
  <c r="A730" i="11"/>
  <c r="Z729" i="11"/>
  <c r="Y729" i="11"/>
  <c r="X729" i="11"/>
  <c r="W729" i="11"/>
  <c r="V729" i="11"/>
  <c r="U729" i="11"/>
  <c r="T729" i="11"/>
  <c r="S729" i="11"/>
  <c r="R729" i="11"/>
  <c r="Q729" i="11"/>
  <c r="P729" i="11"/>
  <c r="O729" i="11"/>
  <c r="N729" i="11"/>
  <c r="M729" i="11"/>
  <c r="L729" i="11"/>
  <c r="K729" i="11"/>
  <c r="J729" i="11"/>
  <c r="I729" i="11"/>
  <c r="H729" i="11"/>
  <c r="G729" i="11"/>
  <c r="F729" i="11"/>
  <c r="E729" i="11"/>
  <c r="D729" i="11"/>
  <c r="C729" i="11"/>
  <c r="B729" i="11"/>
  <c r="A729" i="11"/>
  <c r="Z728" i="11"/>
  <c r="Y728" i="11"/>
  <c r="X728" i="11"/>
  <c r="W728" i="11"/>
  <c r="V728" i="11"/>
  <c r="U728" i="11"/>
  <c r="T728" i="11"/>
  <c r="S728" i="11"/>
  <c r="R728" i="11"/>
  <c r="Q728" i="11"/>
  <c r="P728" i="11"/>
  <c r="O728" i="11"/>
  <c r="N728" i="11"/>
  <c r="M728" i="11"/>
  <c r="L728" i="11"/>
  <c r="K728" i="11"/>
  <c r="J728" i="11"/>
  <c r="I728" i="11"/>
  <c r="H728" i="11"/>
  <c r="G728" i="11"/>
  <c r="F728" i="11"/>
  <c r="E728" i="11"/>
  <c r="D728" i="11"/>
  <c r="C728" i="11"/>
  <c r="B728" i="11"/>
  <c r="A728" i="11"/>
  <c r="Z727" i="11"/>
  <c r="Y727" i="11"/>
  <c r="X727" i="11"/>
  <c r="W727" i="11"/>
  <c r="V727" i="11"/>
  <c r="U727" i="11"/>
  <c r="T727" i="11"/>
  <c r="S727" i="11"/>
  <c r="R727" i="11"/>
  <c r="Q727" i="11"/>
  <c r="P727" i="11"/>
  <c r="O727" i="11"/>
  <c r="N727" i="11"/>
  <c r="M727" i="11"/>
  <c r="L727" i="11"/>
  <c r="K727" i="11"/>
  <c r="J727" i="11"/>
  <c r="I727" i="11"/>
  <c r="H727" i="11"/>
  <c r="G727" i="11"/>
  <c r="F727" i="11"/>
  <c r="E727" i="11"/>
  <c r="D727" i="11"/>
  <c r="C727" i="11"/>
  <c r="B727" i="11"/>
  <c r="A727" i="11"/>
  <c r="Z726" i="11"/>
  <c r="Y726" i="11"/>
  <c r="X726" i="11"/>
  <c r="W726" i="11"/>
  <c r="V726" i="11"/>
  <c r="U726" i="11"/>
  <c r="T726" i="11"/>
  <c r="S726" i="11"/>
  <c r="R726" i="11"/>
  <c r="Q726" i="11"/>
  <c r="P726" i="11"/>
  <c r="O726" i="11"/>
  <c r="N726" i="11"/>
  <c r="M726" i="11"/>
  <c r="L726" i="11"/>
  <c r="K726" i="11"/>
  <c r="J726" i="11"/>
  <c r="I726" i="11"/>
  <c r="H726" i="11"/>
  <c r="G726" i="11"/>
  <c r="F726" i="11"/>
  <c r="E726" i="11"/>
  <c r="D726" i="11"/>
  <c r="C726" i="11"/>
  <c r="B726" i="11"/>
  <c r="A726" i="11"/>
  <c r="Z725" i="11"/>
  <c r="Y725" i="11"/>
  <c r="X725" i="11"/>
  <c r="W725" i="11"/>
  <c r="V725" i="11"/>
  <c r="U725" i="11"/>
  <c r="T725" i="11"/>
  <c r="S725" i="11"/>
  <c r="R725" i="11"/>
  <c r="Q725" i="11"/>
  <c r="P725" i="11"/>
  <c r="O725" i="11"/>
  <c r="N725" i="11"/>
  <c r="M725" i="11"/>
  <c r="L725" i="11"/>
  <c r="K725" i="11"/>
  <c r="J725" i="11"/>
  <c r="I725" i="11"/>
  <c r="H725" i="11"/>
  <c r="G725" i="11"/>
  <c r="F725" i="11"/>
  <c r="E725" i="11"/>
  <c r="D725" i="11"/>
  <c r="C725" i="11"/>
  <c r="B725" i="11"/>
  <c r="A725" i="11"/>
  <c r="Z724" i="11"/>
  <c r="Y724" i="11"/>
  <c r="X724" i="11"/>
  <c r="W724" i="11"/>
  <c r="V724" i="11"/>
  <c r="U724" i="11"/>
  <c r="T724" i="11"/>
  <c r="S724" i="11"/>
  <c r="R724" i="11"/>
  <c r="Q724" i="11"/>
  <c r="P724" i="11"/>
  <c r="O724" i="11"/>
  <c r="N724" i="11"/>
  <c r="M724" i="11"/>
  <c r="L724" i="11"/>
  <c r="K724" i="11"/>
  <c r="J724" i="11"/>
  <c r="I724" i="11"/>
  <c r="H724" i="11"/>
  <c r="G724" i="11"/>
  <c r="F724" i="11"/>
  <c r="E724" i="11"/>
  <c r="D724" i="11"/>
  <c r="C724" i="11"/>
  <c r="B724" i="11"/>
  <c r="A724" i="11"/>
  <c r="Z723" i="11"/>
  <c r="Y723" i="11"/>
  <c r="X723" i="11"/>
  <c r="W723" i="11"/>
  <c r="V723" i="11"/>
  <c r="U723" i="11"/>
  <c r="T723" i="11"/>
  <c r="S723" i="11"/>
  <c r="R723" i="11"/>
  <c r="Q723" i="11"/>
  <c r="P723" i="11"/>
  <c r="O723" i="11"/>
  <c r="N723" i="11"/>
  <c r="M723" i="11"/>
  <c r="L723" i="11"/>
  <c r="K723" i="11"/>
  <c r="J723" i="11"/>
  <c r="I723" i="11"/>
  <c r="H723" i="11"/>
  <c r="G723" i="11"/>
  <c r="F723" i="11"/>
  <c r="E723" i="11"/>
  <c r="D723" i="11"/>
  <c r="C723" i="11"/>
  <c r="B723" i="11"/>
  <c r="A723" i="11"/>
  <c r="Z722" i="11"/>
  <c r="Y722" i="11"/>
  <c r="X722" i="11"/>
  <c r="W722" i="11"/>
  <c r="V722" i="11"/>
  <c r="U722" i="11"/>
  <c r="T722" i="11"/>
  <c r="S722" i="11"/>
  <c r="R722" i="11"/>
  <c r="Q722" i="11"/>
  <c r="P722" i="11"/>
  <c r="O722" i="11"/>
  <c r="N722" i="11"/>
  <c r="M722" i="11"/>
  <c r="L722" i="11"/>
  <c r="K722" i="11"/>
  <c r="J722" i="11"/>
  <c r="I722" i="11"/>
  <c r="H722" i="11"/>
  <c r="G722" i="11"/>
  <c r="F722" i="11"/>
  <c r="E722" i="11"/>
  <c r="D722" i="11"/>
  <c r="C722" i="11"/>
  <c r="B722" i="11"/>
  <c r="A722" i="11"/>
  <c r="Z721" i="11"/>
  <c r="Y721" i="11"/>
  <c r="X721" i="11"/>
  <c r="W721" i="11"/>
  <c r="V721" i="11"/>
  <c r="U721" i="11"/>
  <c r="T721" i="11"/>
  <c r="S721" i="11"/>
  <c r="R721" i="11"/>
  <c r="Q721" i="11"/>
  <c r="P721" i="11"/>
  <c r="O721" i="11"/>
  <c r="N721" i="11"/>
  <c r="M721" i="11"/>
  <c r="L721" i="11"/>
  <c r="K721" i="11"/>
  <c r="J721" i="11"/>
  <c r="I721" i="11"/>
  <c r="H721" i="11"/>
  <c r="G721" i="11"/>
  <c r="F721" i="11"/>
  <c r="E721" i="11"/>
  <c r="D721" i="11"/>
  <c r="C721" i="11"/>
  <c r="B721" i="11"/>
  <c r="A721" i="11"/>
  <c r="Z720" i="11"/>
  <c r="Y720" i="11"/>
  <c r="X720" i="11"/>
  <c r="W720" i="11"/>
  <c r="V720" i="11"/>
  <c r="U720" i="11"/>
  <c r="T720" i="11"/>
  <c r="S720" i="11"/>
  <c r="R720" i="11"/>
  <c r="Q720" i="11"/>
  <c r="P720" i="11"/>
  <c r="O720" i="11"/>
  <c r="N720" i="11"/>
  <c r="M720" i="11"/>
  <c r="L720" i="11"/>
  <c r="K720" i="11"/>
  <c r="J720" i="11"/>
  <c r="I720" i="11"/>
  <c r="H720" i="11"/>
  <c r="G720" i="11"/>
  <c r="F720" i="11"/>
  <c r="E720" i="11"/>
  <c r="D720" i="11"/>
  <c r="C720" i="11"/>
  <c r="B720" i="11"/>
  <c r="A720" i="11"/>
  <c r="Z719" i="11"/>
  <c r="Y719" i="11"/>
  <c r="X719" i="11"/>
  <c r="W719" i="11"/>
  <c r="V719" i="11"/>
  <c r="U719" i="11"/>
  <c r="T719" i="11"/>
  <c r="S719" i="11"/>
  <c r="R719" i="11"/>
  <c r="Q719" i="11"/>
  <c r="P719" i="11"/>
  <c r="O719" i="11"/>
  <c r="N719" i="11"/>
  <c r="M719" i="11"/>
  <c r="L719" i="11"/>
  <c r="K719" i="11"/>
  <c r="J719" i="11"/>
  <c r="I719" i="11"/>
  <c r="H719" i="11"/>
  <c r="G719" i="11"/>
  <c r="F719" i="11"/>
  <c r="E719" i="11"/>
  <c r="D719" i="11"/>
  <c r="C719" i="11"/>
  <c r="B719" i="11"/>
  <c r="A719" i="11"/>
  <c r="Z718" i="11"/>
  <c r="Y718" i="11"/>
  <c r="X718" i="11"/>
  <c r="W718" i="11"/>
  <c r="V718" i="11"/>
  <c r="U718" i="11"/>
  <c r="T718" i="11"/>
  <c r="S718" i="11"/>
  <c r="R718" i="11"/>
  <c r="Q718" i="11"/>
  <c r="P718" i="11"/>
  <c r="O718" i="11"/>
  <c r="N718" i="11"/>
  <c r="M718" i="11"/>
  <c r="L718" i="11"/>
  <c r="K718" i="11"/>
  <c r="J718" i="11"/>
  <c r="I718" i="11"/>
  <c r="H718" i="11"/>
  <c r="G718" i="11"/>
  <c r="F718" i="11"/>
  <c r="E718" i="11"/>
  <c r="D718" i="11"/>
  <c r="C718" i="11"/>
  <c r="B718" i="11"/>
  <c r="A718" i="11"/>
  <c r="Z717" i="11"/>
  <c r="Y717" i="11"/>
  <c r="X717" i="11"/>
  <c r="W717" i="11"/>
  <c r="V717" i="11"/>
  <c r="U717" i="11"/>
  <c r="T717" i="11"/>
  <c r="S717" i="11"/>
  <c r="R717" i="11"/>
  <c r="Q717" i="11"/>
  <c r="P717" i="11"/>
  <c r="O717" i="11"/>
  <c r="N717" i="11"/>
  <c r="M717" i="11"/>
  <c r="L717" i="11"/>
  <c r="K717" i="11"/>
  <c r="J717" i="11"/>
  <c r="I717" i="11"/>
  <c r="H717" i="11"/>
  <c r="G717" i="11"/>
  <c r="F717" i="11"/>
  <c r="E717" i="11"/>
  <c r="D717" i="11"/>
  <c r="C717" i="11"/>
  <c r="B717" i="11"/>
  <c r="A717" i="11"/>
  <c r="Z716" i="11"/>
  <c r="Y716" i="11"/>
  <c r="X716" i="11"/>
  <c r="W716" i="11"/>
  <c r="V716" i="11"/>
  <c r="U716" i="11"/>
  <c r="T716" i="11"/>
  <c r="S716" i="11"/>
  <c r="R716" i="11"/>
  <c r="Q716" i="11"/>
  <c r="P716" i="11"/>
  <c r="O716" i="11"/>
  <c r="N716" i="11"/>
  <c r="M716" i="11"/>
  <c r="L716" i="11"/>
  <c r="K716" i="11"/>
  <c r="J716" i="11"/>
  <c r="I716" i="11"/>
  <c r="H716" i="11"/>
  <c r="G716" i="11"/>
  <c r="F716" i="11"/>
  <c r="E716" i="11"/>
  <c r="D716" i="11"/>
  <c r="C716" i="11"/>
  <c r="B716" i="11"/>
  <c r="A716" i="11"/>
  <c r="Z715" i="11"/>
  <c r="Y715" i="11"/>
  <c r="X715" i="11"/>
  <c r="W715" i="11"/>
  <c r="V715" i="11"/>
  <c r="U715" i="11"/>
  <c r="T715" i="11"/>
  <c r="S715" i="11"/>
  <c r="R715" i="11"/>
  <c r="Q715" i="11"/>
  <c r="P715" i="11"/>
  <c r="O715" i="11"/>
  <c r="N715" i="11"/>
  <c r="M715" i="11"/>
  <c r="L715" i="11"/>
  <c r="K715" i="11"/>
  <c r="J715" i="11"/>
  <c r="I715" i="11"/>
  <c r="H715" i="11"/>
  <c r="G715" i="11"/>
  <c r="F715" i="11"/>
  <c r="E715" i="11"/>
  <c r="D715" i="11"/>
  <c r="C715" i="11"/>
  <c r="B715" i="11"/>
  <c r="A715" i="11"/>
  <c r="Z714" i="11"/>
  <c r="Y714" i="11"/>
  <c r="X714" i="11"/>
  <c r="W714" i="11"/>
  <c r="V714" i="11"/>
  <c r="U714" i="11"/>
  <c r="T714" i="11"/>
  <c r="S714" i="11"/>
  <c r="R714" i="11"/>
  <c r="Q714" i="11"/>
  <c r="P714" i="11"/>
  <c r="O714" i="11"/>
  <c r="N714" i="11"/>
  <c r="M714" i="11"/>
  <c r="L714" i="11"/>
  <c r="K714" i="11"/>
  <c r="J714" i="11"/>
  <c r="I714" i="11"/>
  <c r="H714" i="11"/>
  <c r="G714" i="11"/>
  <c r="F714" i="11"/>
  <c r="E714" i="11"/>
  <c r="D714" i="11"/>
  <c r="C714" i="11"/>
  <c r="B714" i="11"/>
  <c r="A714" i="11"/>
  <c r="Z713" i="11"/>
  <c r="Y713" i="11"/>
  <c r="X713" i="11"/>
  <c r="W713" i="11"/>
  <c r="V713" i="11"/>
  <c r="U713" i="11"/>
  <c r="T713" i="11"/>
  <c r="S713" i="11"/>
  <c r="R713" i="11"/>
  <c r="Q713" i="11"/>
  <c r="P713" i="11"/>
  <c r="O713" i="11"/>
  <c r="N713" i="11"/>
  <c r="M713" i="11"/>
  <c r="L713" i="11"/>
  <c r="K713" i="11"/>
  <c r="J713" i="11"/>
  <c r="I713" i="11"/>
  <c r="H713" i="11"/>
  <c r="G713" i="11"/>
  <c r="F713" i="11"/>
  <c r="E713" i="11"/>
  <c r="D713" i="11"/>
  <c r="C713" i="11"/>
  <c r="B713" i="11"/>
  <c r="A713" i="11"/>
  <c r="Y712" i="11"/>
  <c r="X712" i="11"/>
  <c r="W712" i="11"/>
  <c r="V712" i="11"/>
  <c r="U712" i="11"/>
  <c r="T712" i="11"/>
  <c r="S712" i="11"/>
  <c r="Q712" i="11"/>
  <c r="P712" i="11"/>
  <c r="O712" i="11"/>
  <c r="N712" i="11"/>
  <c r="M712" i="11"/>
  <c r="L712" i="11"/>
  <c r="K712" i="11"/>
  <c r="I712" i="11"/>
  <c r="H712" i="11"/>
  <c r="G712" i="11"/>
  <c r="F712" i="11"/>
  <c r="E712" i="11"/>
  <c r="D712" i="11"/>
  <c r="C712" i="11"/>
  <c r="B712" i="11"/>
  <c r="A712" i="11"/>
  <c r="Z711" i="11"/>
  <c r="Y711" i="11"/>
  <c r="X711" i="11"/>
  <c r="W711" i="11"/>
  <c r="V711" i="11"/>
  <c r="U711" i="11"/>
  <c r="T711" i="11"/>
  <c r="S711" i="11"/>
  <c r="R711" i="11"/>
  <c r="Q711" i="11"/>
  <c r="P711" i="11"/>
  <c r="O711" i="11"/>
  <c r="N711" i="11"/>
  <c r="M711" i="11"/>
  <c r="L711" i="11"/>
  <c r="K711" i="11"/>
  <c r="J711" i="11"/>
  <c r="I711" i="11"/>
  <c r="H711" i="11"/>
  <c r="G711" i="11"/>
  <c r="F711" i="11"/>
  <c r="E711" i="11"/>
  <c r="D711" i="11"/>
  <c r="C711" i="11"/>
  <c r="B711" i="11"/>
  <c r="A711" i="11"/>
  <c r="Z710" i="11"/>
  <c r="Y710" i="11"/>
  <c r="X710" i="11"/>
  <c r="W710" i="11"/>
  <c r="V710" i="11"/>
  <c r="U710" i="11"/>
  <c r="T710" i="11"/>
  <c r="S710" i="11"/>
  <c r="R710" i="11"/>
  <c r="Q710" i="11"/>
  <c r="P710" i="11"/>
  <c r="O710" i="11"/>
  <c r="N710" i="11"/>
  <c r="M710" i="11"/>
  <c r="L710" i="11"/>
  <c r="K710" i="11"/>
  <c r="J710" i="11"/>
  <c r="I710" i="11"/>
  <c r="H710" i="11"/>
  <c r="G710" i="11"/>
  <c r="F710" i="11"/>
  <c r="E710" i="11"/>
  <c r="D710" i="11"/>
  <c r="C710" i="11"/>
  <c r="B710" i="11"/>
  <c r="A710" i="11"/>
  <c r="Z709" i="11"/>
  <c r="Y709" i="11"/>
  <c r="X709" i="11"/>
  <c r="W709" i="11"/>
  <c r="V709" i="11"/>
  <c r="U709" i="11"/>
  <c r="T709" i="11"/>
  <c r="S709" i="11"/>
  <c r="R709" i="11"/>
  <c r="Q709" i="11"/>
  <c r="P709" i="11"/>
  <c r="O709" i="11"/>
  <c r="N709" i="11"/>
  <c r="M709" i="11"/>
  <c r="L709" i="11"/>
  <c r="K709" i="11"/>
  <c r="J709" i="11"/>
  <c r="I709" i="11"/>
  <c r="H709" i="11"/>
  <c r="G709" i="11"/>
  <c r="F709" i="11"/>
  <c r="E709" i="11"/>
  <c r="D709" i="11"/>
  <c r="C709" i="11"/>
  <c r="B709" i="11"/>
  <c r="A709" i="11"/>
  <c r="Z708" i="11"/>
  <c r="Y708" i="11"/>
  <c r="X708" i="11"/>
  <c r="W708" i="11"/>
  <c r="V708" i="11"/>
  <c r="U708" i="11"/>
  <c r="T708" i="11"/>
  <c r="S708" i="11"/>
  <c r="R708" i="11"/>
  <c r="Q708" i="11"/>
  <c r="P708" i="11"/>
  <c r="O708" i="11"/>
  <c r="N708" i="11"/>
  <c r="M708" i="11"/>
  <c r="L708" i="11"/>
  <c r="K708" i="11"/>
  <c r="J708" i="11"/>
  <c r="I708" i="11"/>
  <c r="H708" i="11"/>
  <c r="G708" i="11"/>
  <c r="F708" i="11"/>
  <c r="E708" i="11"/>
  <c r="D708" i="11"/>
  <c r="C708" i="11"/>
  <c r="B708" i="11"/>
  <c r="A708" i="11"/>
  <c r="Z707" i="11"/>
  <c r="Y707" i="11"/>
  <c r="X707" i="11"/>
  <c r="W707" i="11"/>
  <c r="V707" i="11"/>
  <c r="U707" i="11"/>
  <c r="T707" i="11"/>
  <c r="S707" i="11"/>
  <c r="R707" i="11"/>
  <c r="Q707" i="11"/>
  <c r="P707" i="11"/>
  <c r="O707" i="11"/>
  <c r="N707" i="11"/>
  <c r="M707" i="11"/>
  <c r="L707" i="11"/>
  <c r="K707" i="11"/>
  <c r="J707" i="11"/>
  <c r="I707" i="11"/>
  <c r="H707" i="11"/>
  <c r="G707" i="11"/>
  <c r="F707" i="11"/>
  <c r="E707" i="11"/>
  <c r="D707" i="11"/>
  <c r="C707" i="11"/>
  <c r="B707" i="11"/>
  <c r="A707" i="11"/>
  <c r="Z706" i="11"/>
  <c r="Y706" i="11"/>
  <c r="X706" i="11"/>
  <c r="W706" i="11"/>
  <c r="V706" i="11"/>
  <c r="U706" i="11"/>
  <c r="T706" i="11"/>
  <c r="S706" i="11"/>
  <c r="R706" i="11"/>
  <c r="Q706" i="11"/>
  <c r="P706" i="11"/>
  <c r="O706" i="11"/>
  <c r="N706" i="11"/>
  <c r="M706" i="11"/>
  <c r="L706" i="11"/>
  <c r="K706" i="11"/>
  <c r="J706" i="11"/>
  <c r="I706" i="11"/>
  <c r="H706" i="11"/>
  <c r="G706" i="11"/>
  <c r="F706" i="11"/>
  <c r="E706" i="11"/>
  <c r="D706" i="11"/>
  <c r="C706" i="11"/>
  <c r="B706" i="11"/>
  <c r="A706" i="11"/>
  <c r="Z705" i="11"/>
  <c r="Y705" i="11"/>
  <c r="X705" i="11"/>
  <c r="W705" i="11"/>
  <c r="V705" i="11"/>
  <c r="U705" i="11"/>
  <c r="T705" i="11"/>
  <c r="S705" i="11"/>
  <c r="R705" i="11"/>
  <c r="Q705" i="11"/>
  <c r="P705" i="11"/>
  <c r="O705" i="11"/>
  <c r="N705" i="11"/>
  <c r="M705" i="11"/>
  <c r="L705" i="11"/>
  <c r="K705" i="11"/>
  <c r="J705" i="11"/>
  <c r="I705" i="11"/>
  <c r="H705" i="11"/>
  <c r="G705" i="11"/>
  <c r="F705" i="11"/>
  <c r="E705" i="11"/>
  <c r="D705" i="11"/>
  <c r="C705" i="11"/>
  <c r="B705" i="11"/>
  <c r="A705" i="11"/>
  <c r="Z704" i="11"/>
  <c r="Y704" i="11"/>
  <c r="X704" i="11"/>
  <c r="W704" i="11"/>
  <c r="V704" i="11"/>
  <c r="U704" i="11"/>
  <c r="T704" i="11"/>
  <c r="S704" i="11"/>
  <c r="R704" i="11"/>
  <c r="Q704" i="11"/>
  <c r="P704" i="11"/>
  <c r="O704" i="11"/>
  <c r="N704" i="11"/>
  <c r="M704" i="11"/>
  <c r="L704" i="11"/>
  <c r="K704" i="11"/>
  <c r="J704" i="11"/>
  <c r="I704" i="11"/>
  <c r="H704" i="11"/>
  <c r="G704" i="11"/>
  <c r="F704" i="11"/>
  <c r="E704" i="11"/>
  <c r="D704" i="11"/>
  <c r="C704" i="11"/>
  <c r="B704" i="11"/>
  <c r="A704" i="11"/>
  <c r="Z703" i="11"/>
  <c r="Y703" i="11"/>
  <c r="X703" i="11"/>
  <c r="W703" i="11"/>
  <c r="V703" i="11"/>
  <c r="U703" i="11"/>
  <c r="T703" i="11"/>
  <c r="S703" i="11"/>
  <c r="R703" i="11"/>
  <c r="Q703" i="11"/>
  <c r="P703" i="11"/>
  <c r="O703" i="11"/>
  <c r="N703" i="11"/>
  <c r="M703" i="11"/>
  <c r="L703" i="11"/>
  <c r="K703" i="11"/>
  <c r="J703" i="11"/>
  <c r="I703" i="11"/>
  <c r="H703" i="11"/>
  <c r="G703" i="11"/>
  <c r="F703" i="11"/>
  <c r="E703" i="11"/>
  <c r="D703" i="11"/>
  <c r="C703" i="11"/>
  <c r="B703" i="11"/>
  <c r="A703" i="11"/>
  <c r="Z702" i="11"/>
  <c r="Y702" i="11"/>
  <c r="X702" i="11"/>
  <c r="W702" i="11"/>
  <c r="V702" i="11"/>
  <c r="U702" i="11"/>
  <c r="T702" i="11"/>
  <c r="S702" i="11"/>
  <c r="R702" i="11"/>
  <c r="Q702" i="11"/>
  <c r="P702" i="11"/>
  <c r="O702" i="11"/>
  <c r="N702" i="11"/>
  <c r="M702" i="11"/>
  <c r="L702" i="11"/>
  <c r="K702" i="11"/>
  <c r="J702" i="11"/>
  <c r="I702" i="11"/>
  <c r="H702" i="11"/>
  <c r="G702" i="11"/>
  <c r="F702" i="11"/>
  <c r="E702" i="11"/>
  <c r="D702" i="11"/>
  <c r="C702" i="11"/>
  <c r="B702" i="11"/>
  <c r="A702" i="11"/>
  <c r="Z701" i="11"/>
  <c r="Y701" i="11"/>
  <c r="X701" i="11"/>
  <c r="W701" i="11"/>
  <c r="V701" i="11"/>
  <c r="U701" i="11"/>
  <c r="T701" i="11"/>
  <c r="S701" i="11"/>
  <c r="R701" i="11"/>
  <c r="Q701" i="11"/>
  <c r="P701" i="11"/>
  <c r="O701" i="11"/>
  <c r="N701" i="11"/>
  <c r="M701" i="11"/>
  <c r="L701" i="11"/>
  <c r="K701" i="11"/>
  <c r="J701" i="11"/>
  <c r="I701" i="11"/>
  <c r="H701" i="11"/>
  <c r="G701" i="11"/>
  <c r="F701" i="11"/>
  <c r="E701" i="11"/>
  <c r="D701" i="11"/>
  <c r="C701" i="11"/>
  <c r="B701" i="11"/>
  <c r="A701" i="11"/>
  <c r="Z700" i="11"/>
  <c r="Y700" i="11"/>
  <c r="X700" i="11"/>
  <c r="W700" i="11"/>
  <c r="V700" i="11"/>
  <c r="U700" i="11"/>
  <c r="T700" i="11"/>
  <c r="S700" i="11"/>
  <c r="R700" i="11"/>
  <c r="Q700" i="11"/>
  <c r="P700" i="11"/>
  <c r="O700" i="11"/>
  <c r="N700" i="11"/>
  <c r="M700" i="11"/>
  <c r="L700" i="11"/>
  <c r="K700" i="11"/>
  <c r="J700" i="11"/>
  <c r="I700" i="11"/>
  <c r="H700" i="11"/>
  <c r="G700" i="11"/>
  <c r="F700" i="11"/>
  <c r="E700" i="11"/>
  <c r="D700" i="11"/>
  <c r="C700" i="11"/>
  <c r="B700" i="11"/>
  <c r="A700" i="11"/>
  <c r="Z699" i="11"/>
  <c r="Y699" i="11"/>
  <c r="X699" i="11"/>
  <c r="W699" i="11"/>
  <c r="V699" i="11"/>
  <c r="U699" i="11"/>
  <c r="T699" i="11"/>
  <c r="S699" i="11"/>
  <c r="R699" i="11"/>
  <c r="Q699" i="11"/>
  <c r="P699" i="11"/>
  <c r="O699" i="11"/>
  <c r="N699" i="11"/>
  <c r="M699" i="11"/>
  <c r="L699" i="11"/>
  <c r="K699" i="11"/>
  <c r="J699" i="11"/>
  <c r="I699" i="11"/>
  <c r="H699" i="11"/>
  <c r="G699" i="11"/>
  <c r="F699" i="11"/>
  <c r="E699" i="11"/>
  <c r="D699" i="11"/>
  <c r="C699" i="11"/>
  <c r="B699" i="11"/>
  <c r="A699" i="11"/>
  <c r="Z698" i="11"/>
  <c r="Y698" i="11"/>
  <c r="X698" i="11"/>
  <c r="W698" i="11"/>
  <c r="V698" i="11"/>
  <c r="U698" i="11"/>
  <c r="T698" i="11"/>
  <c r="S698" i="11"/>
  <c r="R698" i="11"/>
  <c r="Q698" i="11"/>
  <c r="P698" i="11"/>
  <c r="O698" i="11"/>
  <c r="N698" i="11"/>
  <c r="M698" i="11"/>
  <c r="L698" i="11"/>
  <c r="K698" i="11"/>
  <c r="J698" i="11"/>
  <c r="I698" i="11"/>
  <c r="H698" i="11"/>
  <c r="G698" i="11"/>
  <c r="F698" i="11"/>
  <c r="E698" i="11"/>
  <c r="D698" i="11"/>
  <c r="C698" i="11"/>
  <c r="B698" i="11"/>
  <c r="A698" i="11"/>
  <c r="Z697" i="11"/>
  <c r="Y697" i="11"/>
  <c r="X697" i="11"/>
  <c r="W697" i="11"/>
  <c r="V697" i="11"/>
  <c r="U697" i="11"/>
  <c r="T697" i="11"/>
  <c r="S697" i="11"/>
  <c r="R697" i="11"/>
  <c r="Q697" i="11"/>
  <c r="P697" i="11"/>
  <c r="O697" i="11"/>
  <c r="N697" i="11"/>
  <c r="M697" i="11"/>
  <c r="L697" i="11"/>
  <c r="K697" i="11"/>
  <c r="J697" i="11"/>
  <c r="I697" i="11"/>
  <c r="H697" i="11"/>
  <c r="G697" i="11"/>
  <c r="F697" i="11"/>
  <c r="E697" i="11"/>
  <c r="D697" i="11"/>
  <c r="C697" i="11"/>
  <c r="B697" i="11"/>
  <c r="A697" i="11"/>
  <c r="Z696" i="11"/>
  <c r="Y696" i="11"/>
  <c r="X696" i="11"/>
  <c r="W696" i="11"/>
  <c r="V696" i="11"/>
  <c r="U696" i="11"/>
  <c r="T696" i="11"/>
  <c r="S696" i="11"/>
  <c r="R696" i="11"/>
  <c r="Q696" i="11"/>
  <c r="P696" i="11"/>
  <c r="O696" i="11"/>
  <c r="N696" i="11"/>
  <c r="M696" i="11"/>
  <c r="L696" i="11"/>
  <c r="K696" i="11"/>
  <c r="J696" i="11"/>
  <c r="I696" i="11"/>
  <c r="H696" i="11"/>
  <c r="G696" i="11"/>
  <c r="F696" i="11"/>
  <c r="E696" i="11"/>
  <c r="D696" i="11"/>
  <c r="C696" i="11"/>
  <c r="B696" i="11"/>
  <c r="A696" i="11"/>
  <c r="Z695" i="11"/>
  <c r="Y695" i="11"/>
  <c r="X695" i="11"/>
  <c r="W695" i="11"/>
  <c r="V695" i="11"/>
  <c r="U695" i="11"/>
  <c r="T695" i="11"/>
  <c r="S695" i="11"/>
  <c r="R695" i="11"/>
  <c r="Q695" i="11"/>
  <c r="P695" i="11"/>
  <c r="O695" i="11"/>
  <c r="N695" i="11"/>
  <c r="M695" i="11"/>
  <c r="L695" i="11"/>
  <c r="K695" i="11"/>
  <c r="J695" i="11"/>
  <c r="I695" i="11"/>
  <c r="H695" i="11"/>
  <c r="G695" i="11"/>
  <c r="F695" i="11"/>
  <c r="E695" i="11"/>
  <c r="D695" i="11"/>
  <c r="C695" i="11"/>
  <c r="B695" i="11"/>
  <c r="A695" i="11"/>
  <c r="Z694" i="11"/>
  <c r="Y694" i="11"/>
  <c r="X694" i="11"/>
  <c r="W694" i="11"/>
  <c r="V694" i="11"/>
  <c r="U694" i="11"/>
  <c r="T694" i="11"/>
  <c r="S694" i="11"/>
  <c r="R694" i="11"/>
  <c r="Q694" i="11"/>
  <c r="P694" i="11"/>
  <c r="O694" i="11"/>
  <c r="N694" i="11"/>
  <c r="M694" i="11"/>
  <c r="L694" i="11"/>
  <c r="K694" i="11"/>
  <c r="J694" i="11"/>
  <c r="I694" i="11"/>
  <c r="H694" i="11"/>
  <c r="G694" i="11"/>
  <c r="F694" i="11"/>
  <c r="E694" i="11"/>
  <c r="D694" i="11"/>
  <c r="C694" i="11"/>
  <c r="B694" i="11"/>
  <c r="A694" i="11"/>
  <c r="Z693" i="11"/>
  <c r="Y693" i="11"/>
  <c r="X693" i="11"/>
  <c r="W693" i="11"/>
  <c r="V693" i="11"/>
  <c r="U693" i="11"/>
  <c r="T693" i="11"/>
  <c r="S693" i="11"/>
  <c r="R693" i="11"/>
  <c r="Q693" i="11"/>
  <c r="P693" i="11"/>
  <c r="O693" i="11"/>
  <c r="N693" i="11"/>
  <c r="M693" i="11"/>
  <c r="L693" i="11"/>
  <c r="K693" i="11"/>
  <c r="J693" i="11"/>
  <c r="I693" i="11"/>
  <c r="H693" i="11"/>
  <c r="G693" i="11"/>
  <c r="F693" i="11"/>
  <c r="E693" i="11"/>
  <c r="D693" i="11"/>
  <c r="C693" i="11"/>
  <c r="B693" i="11"/>
  <c r="A693" i="11"/>
  <c r="Z692" i="11"/>
  <c r="Y692" i="11"/>
  <c r="X692" i="11"/>
  <c r="W692" i="11"/>
  <c r="V692" i="11"/>
  <c r="U692" i="11"/>
  <c r="T692" i="11"/>
  <c r="S692" i="11"/>
  <c r="R692" i="11"/>
  <c r="Q692" i="11"/>
  <c r="P692" i="11"/>
  <c r="O692" i="11"/>
  <c r="N692" i="11"/>
  <c r="M692" i="11"/>
  <c r="L692" i="11"/>
  <c r="K692" i="11"/>
  <c r="J692" i="11"/>
  <c r="I692" i="11"/>
  <c r="H692" i="11"/>
  <c r="G692" i="11"/>
  <c r="F692" i="11"/>
  <c r="E692" i="11"/>
  <c r="D692" i="11"/>
  <c r="C692" i="11"/>
  <c r="B692" i="11"/>
  <c r="A692" i="11"/>
  <c r="Z691" i="11"/>
  <c r="Y691" i="11"/>
  <c r="X691" i="11"/>
  <c r="W691" i="11"/>
  <c r="V691" i="11"/>
  <c r="U691" i="11"/>
  <c r="T691" i="11"/>
  <c r="S691" i="11"/>
  <c r="R691" i="11"/>
  <c r="Q691" i="11"/>
  <c r="P691" i="11"/>
  <c r="O691" i="11"/>
  <c r="N691" i="11"/>
  <c r="M691" i="11"/>
  <c r="L691" i="11"/>
  <c r="K691" i="11"/>
  <c r="J691" i="11"/>
  <c r="I691" i="11"/>
  <c r="H691" i="11"/>
  <c r="G691" i="11"/>
  <c r="F691" i="11"/>
  <c r="E691" i="11"/>
  <c r="D691" i="11"/>
  <c r="C691" i="11"/>
  <c r="B691" i="11"/>
  <c r="A691" i="11"/>
  <c r="Z690" i="11"/>
  <c r="Y690" i="11"/>
  <c r="X690" i="11"/>
  <c r="W690" i="11"/>
  <c r="V690" i="11"/>
  <c r="U690" i="11"/>
  <c r="T690" i="11"/>
  <c r="S690" i="11"/>
  <c r="R690" i="11"/>
  <c r="Q690" i="11"/>
  <c r="P690" i="11"/>
  <c r="O690" i="11"/>
  <c r="N690" i="11"/>
  <c r="M690" i="11"/>
  <c r="L690" i="11"/>
  <c r="K690" i="11"/>
  <c r="J690" i="11"/>
  <c r="I690" i="11"/>
  <c r="H690" i="11"/>
  <c r="G690" i="11"/>
  <c r="F690" i="11"/>
  <c r="E690" i="11"/>
  <c r="D690" i="11"/>
  <c r="C690" i="11"/>
  <c r="B690" i="11"/>
  <c r="A690" i="11"/>
  <c r="Z689" i="11"/>
  <c r="Y689" i="11"/>
  <c r="X689" i="11"/>
  <c r="W689" i="11"/>
  <c r="V689" i="11"/>
  <c r="U689" i="11"/>
  <c r="T689" i="11"/>
  <c r="S689" i="11"/>
  <c r="R689" i="11"/>
  <c r="Q689" i="11"/>
  <c r="P689" i="11"/>
  <c r="O689" i="11"/>
  <c r="N689" i="11"/>
  <c r="M689" i="11"/>
  <c r="L689" i="11"/>
  <c r="K689" i="11"/>
  <c r="J689" i="11"/>
  <c r="I689" i="11"/>
  <c r="H689" i="11"/>
  <c r="G689" i="11"/>
  <c r="F689" i="11"/>
  <c r="E689" i="11"/>
  <c r="D689" i="11"/>
  <c r="C689" i="11"/>
  <c r="B689" i="11"/>
  <c r="A689" i="11"/>
  <c r="Z688" i="11"/>
  <c r="Y688" i="11"/>
  <c r="X688" i="11"/>
  <c r="W688" i="11"/>
  <c r="V688" i="11"/>
  <c r="U688" i="11"/>
  <c r="T688" i="11"/>
  <c r="S688" i="11"/>
  <c r="R688" i="11"/>
  <c r="Q688" i="11"/>
  <c r="P688" i="11"/>
  <c r="O688" i="11"/>
  <c r="N688" i="11"/>
  <c r="M688" i="11"/>
  <c r="L688" i="11"/>
  <c r="K688" i="11"/>
  <c r="J688" i="11"/>
  <c r="I688" i="11"/>
  <c r="H688" i="11"/>
  <c r="G688" i="11"/>
  <c r="F688" i="11"/>
  <c r="E688" i="11"/>
  <c r="D688" i="11"/>
  <c r="C688" i="11"/>
  <c r="B688" i="11"/>
  <c r="A688" i="11"/>
  <c r="Z687" i="11"/>
  <c r="Y687" i="11"/>
  <c r="X687" i="11"/>
  <c r="W687" i="11"/>
  <c r="V687" i="11"/>
  <c r="U687" i="11"/>
  <c r="T687" i="11"/>
  <c r="S687" i="11"/>
  <c r="R687" i="11"/>
  <c r="Q687" i="11"/>
  <c r="P687" i="11"/>
  <c r="O687" i="11"/>
  <c r="N687" i="11"/>
  <c r="M687" i="11"/>
  <c r="L687" i="11"/>
  <c r="K687" i="11"/>
  <c r="J687" i="11"/>
  <c r="I687" i="11"/>
  <c r="H687" i="11"/>
  <c r="G687" i="11"/>
  <c r="F687" i="11"/>
  <c r="E687" i="11"/>
  <c r="D687" i="11"/>
  <c r="C687" i="11"/>
  <c r="B687" i="11"/>
  <c r="A687" i="11"/>
  <c r="Z686" i="11"/>
  <c r="Y686" i="11"/>
  <c r="X686" i="11"/>
  <c r="W686" i="11"/>
  <c r="V686" i="11"/>
  <c r="U686" i="11"/>
  <c r="T686" i="11"/>
  <c r="S686" i="11"/>
  <c r="R686" i="11"/>
  <c r="Q686" i="11"/>
  <c r="P686" i="11"/>
  <c r="O686" i="11"/>
  <c r="N686" i="11"/>
  <c r="M686" i="11"/>
  <c r="L686" i="11"/>
  <c r="K686" i="11"/>
  <c r="J686" i="11"/>
  <c r="I686" i="11"/>
  <c r="H686" i="11"/>
  <c r="G686" i="11"/>
  <c r="F686" i="11"/>
  <c r="E686" i="11"/>
  <c r="D686" i="11"/>
  <c r="C686" i="11"/>
  <c r="B686" i="11"/>
  <c r="A686" i="11"/>
  <c r="Z685" i="11"/>
  <c r="Y685" i="11"/>
  <c r="X685" i="11"/>
  <c r="W685" i="11"/>
  <c r="V685" i="11"/>
  <c r="U685" i="11"/>
  <c r="T685" i="11"/>
  <c r="S685" i="11"/>
  <c r="R685" i="11"/>
  <c r="Q685" i="11"/>
  <c r="P685" i="11"/>
  <c r="O685" i="11"/>
  <c r="N685" i="11"/>
  <c r="M685" i="11"/>
  <c r="L685" i="11"/>
  <c r="K685" i="11"/>
  <c r="J685" i="11"/>
  <c r="I685" i="11"/>
  <c r="H685" i="11"/>
  <c r="G685" i="11"/>
  <c r="F685" i="11"/>
  <c r="E685" i="11"/>
  <c r="D685" i="11"/>
  <c r="C685" i="11"/>
  <c r="B685" i="11"/>
  <c r="A685" i="11"/>
  <c r="Z684" i="11"/>
  <c r="Y684" i="11"/>
  <c r="X684" i="11"/>
  <c r="W684" i="11"/>
  <c r="V684" i="11"/>
  <c r="U684" i="11"/>
  <c r="T684" i="11"/>
  <c r="S684" i="11"/>
  <c r="R684" i="11"/>
  <c r="Q684" i="11"/>
  <c r="P684" i="11"/>
  <c r="O684" i="11"/>
  <c r="N684" i="11"/>
  <c r="M684" i="11"/>
  <c r="L684" i="11"/>
  <c r="K684" i="11"/>
  <c r="J684" i="11"/>
  <c r="I684" i="11"/>
  <c r="H684" i="11"/>
  <c r="G684" i="11"/>
  <c r="F684" i="11"/>
  <c r="E684" i="11"/>
  <c r="D684" i="11"/>
  <c r="C684" i="11"/>
  <c r="B684" i="11"/>
  <c r="A684" i="11"/>
  <c r="Z683" i="11"/>
  <c r="Y683" i="11"/>
  <c r="X683" i="11"/>
  <c r="W683" i="11"/>
  <c r="V683" i="11"/>
  <c r="U683" i="11"/>
  <c r="T683" i="11"/>
  <c r="S683" i="11"/>
  <c r="R683" i="11"/>
  <c r="Q683" i="11"/>
  <c r="P683" i="11"/>
  <c r="O683" i="11"/>
  <c r="N683" i="11"/>
  <c r="M683" i="11"/>
  <c r="L683" i="11"/>
  <c r="K683" i="11"/>
  <c r="J683" i="11"/>
  <c r="I683" i="11"/>
  <c r="H683" i="11"/>
  <c r="G683" i="11"/>
  <c r="F683" i="11"/>
  <c r="E683" i="11"/>
  <c r="D683" i="11"/>
  <c r="C683" i="11"/>
  <c r="B683" i="11"/>
  <c r="A683" i="11"/>
  <c r="Z682" i="11"/>
  <c r="Y682" i="11"/>
  <c r="X682" i="11"/>
  <c r="W682" i="11"/>
  <c r="V682" i="11"/>
  <c r="U682" i="11"/>
  <c r="T682" i="11"/>
  <c r="S682" i="11"/>
  <c r="R682" i="11"/>
  <c r="Q682" i="11"/>
  <c r="P682" i="11"/>
  <c r="O682" i="11"/>
  <c r="N682" i="11"/>
  <c r="M682" i="11"/>
  <c r="L682" i="11"/>
  <c r="K682" i="11"/>
  <c r="J682" i="11"/>
  <c r="I682" i="11"/>
  <c r="H682" i="11"/>
  <c r="G682" i="11"/>
  <c r="F682" i="11"/>
  <c r="E682" i="11"/>
  <c r="D682" i="11"/>
  <c r="C682" i="11"/>
  <c r="B682" i="11"/>
  <c r="A682" i="11"/>
  <c r="Z681" i="11"/>
  <c r="Y681" i="11"/>
  <c r="X681" i="11"/>
  <c r="W681" i="11"/>
  <c r="V681" i="11"/>
  <c r="U681" i="11"/>
  <c r="T681" i="11"/>
  <c r="S681" i="11"/>
  <c r="R681" i="11"/>
  <c r="Q681" i="11"/>
  <c r="P681" i="11"/>
  <c r="O681" i="11"/>
  <c r="N681" i="11"/>
  <c r="M681" i="11"/>
  <c r="L681" i="11"/>
  <c r="K681" i="11"/>
  <c r="J681" i="11"/>
  <c r="I681" i="11"/>
  <c r="H681" i="11"/>
  <c r="G681" i="11"/>
  <c r="F681" i="11"/>
  <c r="E681" i="11"/>
  <c r="D681" i="11"/>
  <c r="C681" i="11"/>
  <c r="B681" i="11"/>
  <c r="A681" i="11"/>
  <c r="Z680" i="11"/>
  <c r="Y680" i="11"/>
  <c r="X680" i="11"/>
  <c r="W680" i="11"/>
  <c r="V680" i="11"/>
  <c r="U680" i="11"/>
  <c r="T680" i="11"/>
  <c r="S680" i="11"/>
  <c r="R680" i="11"/>
  <c r="Q680" i="11"/>
  <c r="P680" i="11"/>
  <c r="O680" i="11"/>
  <c r="N680" i="11"/>
  <c r="M680" i="11"/>
  <c r="L680" i="11"/>
  <c r="K680" i="11"/>
  <c r="J680" i="11"/>
  <c r="I680" i="11"/>
  <c r="H680" i="11"/>
  <c r="G680" i="11"/>
  <c r="F680" i="11"/>
  <c r="E680" i="11"/>
  <c r="D680" i="11"/>
  <c r="C680" i="11"/>
  <c r="B680" i="11"/>
  <c r="A680" i="11"/>
  <c r="Z679" i="11"/>
  <c r="Y679" i="11"/>
  <c r="X679" i="11"/>
  <c r="W679" i="11"/>
  <c r="V679" i="11"/>
  <c r="U679" i="11"/>
  <c r="T679" i="11"/>
  <c r="S679" i="11"/>
  <c r="R679" i="11"/>
  <c r="Q679" i="11"/>
  <c r="P679" i="11"/>
  <c r="O679" i="11"/>
  <c r="N679" i="11"/>
  <c r="M679" i="11"/>
  <c r="L679" i="11"/>
  <c r="K679" i="11"/>
  <c r="J679" i="11"/>
  <c r="I679" i="11"/>
  <c r="H679" i="11"/>
  <c r="G679" i="11"/>
  <c r="F679" i="11"/>
  <c r="E679" i="11"/>
  <c r="D679" i="11"/>
  <c r="C679" i="11"/>
  <c r="B679" i="11"/>
  <c r="A679" i="11"/>
  <c r="Z678" i="11"/>
  <c r="Y678" i="11"/>
  <c r="X678" i="11"/>
  <c r="W678" i="11"/>
  <c r="V678" i="11"/>
  <c r="U678" i="11"/>
  <c r="T678" i="11"/>
  <c r="S678" i="11"/>
  <c r="R678" i="11"/>
  <c r="Q678" i="11"/>
  <c r="P678" i="11"/>
  <c r="O678" i="11"/>
  <c r="N678" i="11"/>
  <c r="M678" i="11"/>
  <c r="L678" i="11"/>
  <c r="K678" i="11"/>
  <c r="J678" i="11"/>
  <c r="I678" i="11"/>
  <c r="H678" i="11"/>
  <c r="G678" i="11"/>
  <c r="F678" i="11"/>
  <c r="E678" i="11"/>
  <c r="D678" i="11"/>
  <c r="C678" i="11"/>
  <c r="B678" i="11"/>
  <c r="A678" i="11"/>
  <c r="Z677" i="11"/>
  <c r="Y677" i="11"/>
  <c r="X677" i="11"/>
  <c r="W677" i="11"/>
  <c r="V677" i="11"/>
  <c r="U677" i="11"/>
  <c r="T677" i="11"/>
  <c r="S677" i="11"/>
  <c r="R677" i="11"/>
  <c r="Q677" i="11"/>
  <c r="P677" i="11"/>
  <c r="O677" i="11"/>
  <c r="N677" i="11"/>
  <c r="M677" i="11"/>
  <c r="L677" i="11"/>
  <c r="K677" i="11"/>
  <c r="J677" i="11"/>
  <c r="I677" i="11"/>
  <c r="H677" i="11"/>
  <c r="G677" i="11"/>
  <c r="F677" i="11"/>
  <c r="E677" i="11"/>
  <c r="D677" i="11"/>
  <c r="C677" i="11"/>
  <c r="B677" i="11"/>
  <c r="A677" i="11"/>
  <c r="Z676" i="11"/>
  <c r="Y676" i="11"/>
  <c r="X676" i="11"/>
  <c r="W676" i="11"/>
  <c r="V676" i="11"/>
  <c r="U676" i="11"/>
  <c r="T676" i="11"/>
  <c r="S676" i="11"/>
  <c r="R676" i="11"/>
  <c r="Q676" i="11"/>
  <c r="P676" i="11"/>
  <c r="O676" i="11"/>
  <c r="N676" i="11"/>
  <c r="M676" i="11"/>
  <c r="L676" i="11"/>
  <c r="K676" i="11"/>
  <c r="J676" i="11"/>
  <c r="I676" i="11"/>
  <c r="H676" i="11"/>
  <c r="G676" i="11"/>
  <c r="F676" i="11"/>
  <c r="E676" i="11"/>
  <c r="D676" i="11"/>
  <c r="C676" i="11"/>
  <c r="B676" i="11"/>
  <c r="A676" i="11"/>
  <c r="Z675" i="11"/>
  <c r="Y675" i="11"/>
  <c r="X675" i="11"/>
  <c r="W675" i="11"/>
  <c r="V675" i="11"/>
  <c r="U675" i="11"/>
  <c r="T675" i="11"/>
  <c r="S675" i="11"/>
  <c r="R675" i="11"/>
  <c r="Q675" i="11"/>
  <c r="P675" i="11"/>
  <c r="O675" i="11"/>
  <c r="N675" i="11"/>
  <c r="M675" i="11"/>
  <c r="L675" i="11"/>
  <c r="K675" i="11"/>
  <c r="J675" i="11"/>
  <c r="I675" i="11"/>
  <c r="H675" i="11"/>
  <c r="G675" i="11"/>
  <c r="F675" i="11"/>
  <c r="E675" i="11"/>
  <c r="D675" i="11"/>
  <c r="C675" i="11"/>
  <c r="B675" i="11"/>
  <c r="A675" i="11"/>
  <c r="Z674" i="11"/>
  <c r="Y674" i="11"/>
  <c r="X674" i="11"/>
  <c r="W674" i="11"/>
  <c r="V674" i="11"/>
  <c r="U674" i="11"/>
  <c r="T674" i="11"/>
  <c r="S674" i="11"/>
  <c r="R674" i="11"/>
  <c r="Q674" i="11"/>
  <c r="P674" i="11"/>
  <c r="O674" i="11"/>
  <c r="N674" i="11"/>
  <c r="M674" i="11"/>
  <c r="L674" i="11"/>
  <c r="K674" i="11"/>
  <c r="J674" i="11"/>
  <c r="I674" i="11"/>
  <c r="H674" i="11"/>
  <c r="G674" i="11"/>
  <c r="F674" i="11"/>
  <c r="E674" i="11"/>
  <c r="D674" i="11"/>
  <c r="C674" i="11"/>
  <c r="B674" i="11"/>
  <c r="A674" i="11"/>
  <c r="Z673" i="11"/>
  <c r="Y673" i="11"/>
  <c r="X673" i="11"/>
  <c r="W673" i="11"/>
  <c r="V673" i="11"/>
  <c r="U673" i="11"/>
  <c r="T673" i="11"/>
  <c r="S673" i="11"/>
  <c r="R673" i="11"/>
  <c r="Q673" i="11"/>
  <c r="P673" i="11"/>
  <c r="O673" i="11"/>
  <c r="N673" i="11"/>
  <c r="M673" i="11"/>
  <c r="L673" i="11"/>
  <c r="K673" i="11"/>
  <c r="J673" i="11"/>
  <c r="I673" i="11"/>
  <c r="H673" i="11"/>
  <c r="G673" i="11"/>
  <c r="F673" i="11"/>
  <c r="E673" i="11"/>
  <c r="D673" i="11"/>
  <c r="C673" i="11"/>
  <c r="B673" i="11"/>
  <c r="A673" i="11"/>
  <c r="Z672" i="11"/>
  <c r="Y672" i="11"/>
  <c r="X672" i="11"/>
  <c r="W672" i="11"/>
  <c r="V672" i="11"/>
  <c r="U672" i="11"/>
  <c r="T672" i="11"/>
  <c r="S672" i="11"/>
  <c r="R672" i="11"/>
  <c r="Q672" i="11"/>
  <c r="P672" i="11"/>
  <c r="O672" i="11"/>
  <c r="N672" i="11"/>
  <c r="M672" i="11"/>
  <c r="L672" i="11"/>
  <c r="K672" i="11"/>
  <c r="J672" i="11"/>
  <c r="I672" i="11"/>
  <c r="H672" i="11"/>
  <c r="G672" i="11"/>
  <c r="F672" i="11"/>
  <c r="E672" i="11"/>
  <c r="D672" i="11"/>
  <c r="C672" i="11"/>
  <c r="B672" i="11"/>
  <c r="A672" i="11"/>
  <c r="Z671" i="11"/>
  <c r="Y671" i="11"/>
  <c r="X671" i="11"/>
  <c r="W671" i="11"/>
  <c r="V671" i="11"/>
  <c r="U671" i="11"/>
  <c r="T671" i="11"/>
  <c r="S671" i="11"/>
  <c r="R671" i="11"/>
  <c r="Q671" i="11"/>
  <c r="P671" i="11"/>
  <c r="O671" i="11"/>
  <c r="N671" i="11"/>
  <c r="M671" i="11"/>
  <c r="L671" i="11"/>
  <c r="K671" i="11"/>
  <c r="J671" i="11"/>
  <c r="I671" i="11"/>
  <c r="H671" i="11"/>
  <c r="G671" i="11"/>
  <c r="F671" i="11"/>
  <c r="E671" i="11"/>
  <c r="D671" i="11"/>
  <c r="C671" i="11"/>
  <c r="B671" i="11"/>
  <c r="A671" i="11"/>
  <c r="Z670" i="11"/>
  <c r="Y670" i="11"/>
  <c r="X670" i="11"/>
  <c r="W670" i="11"/>
  <c r="V670" i="11"/>
  <c r="U670" i="11"/>
  <c r="T670" i="11"/>
  <c r="S670" i="11"/>
  <c r="R670" i="11"/>
  <c r="Q670" i="11"/>
  <c r="P670" i="11"/>
  <c r="O670" i="11"/>
  <c r="N670" i="11"/>
  <c r="M670" i="11"/>
  <c r="L670" i="11"/>
  <c r="K670" i="11"/>
  <c r="J670" i="11"/>
  <c r="I670" i="11"/>
  <c r="H670" i="11"/>
  <c r="G670" i="11"/>
  <c r="F670" i="11"/>
  <c r="E670" i="11"/>
  <c r="D670" i="11"/>
  <c r="C670" i="11"/>
  <c r="B670" i="11"/>
  <c r="A670" i="11"/>
  <c r="Z669" i="11"/>
  <c r="Y669" i="11"/>
  <c r="X669" i="11"/>
  <c r="W669" i="11"/>
  <c r="V669" i="11"/>
  <c r="U669" i="11"/>
  <c r="T669" i="11"/>
  <c r="S669" i="11"/>
  <c r="R669" i="11"/>
  <c r="Q669" i="11"/>
  <c r="P669" i="11"/>
  <c r="O669" i="11"/>
  <c r="N669" i="11"/>
  <c r="M669" i="11"/>
  <c r="L669" i="11"/>
  <c r="K669" i="11"/>
  <c r="J669" i="11"/>
  <c r="I669" i="11"/>
  <c r="H669" i="11"/>
  <c r="G669" i="11"/>
  <c r="F669" i="11"/>
  <c r="E669" i="11"/>
  <c r="D669" i="11"/>
  <c r="C669" i="11"/>
  <c r="B669" i="11"/>
  <c r="A669" i="11"/>
  <c r="Z668" i="11"/>
  <c r="Y668" i="11"/>
  <c r="X668" i="11"/>
  <c r="W668" i="11"/>
  <c r="V668" i="11"/>
  <c r="U668" i="11"/>
  <c r="T668" i="11"/>
  <c r="S668" i="11"/>
  <c r="R668" i="11"/>
  <c r="Q668" i="11"/>
  <c r="P668" i="11"/>
  <c r="O668" i="11"/>
  <c r="N668" i="11"/>
  <c r="M668" i="11"/>
  <c r="L668" i="11"/>
  <c r="K668" i="11"/>
  <c r="J668" i="11"/>
  <c r="I668" i="11"/>
  <c r="H668" i="11"/>
  <c r="G668" i="11"/>
  <c r="F668" i="11"/>
  <c r="E668" i="11"/>
  <c r="D668" i="11"/>
  <c r="C668" i="11"/>
  <c r="B668" i="11"/>
  <c r="A668" i="11"/>
  <c r="Z667" i="11"/>
  <c r="Y667" i="11"/>
  <c r="X667" i="11"/>
  <c r="W667" i="11"/>
  <c r="V667" i="11"/>
  <c r="U667" i="11"/>
  <c r="T667" i="11"/>
  <c r="S667" i="11"/>
  <c r="R667" i="11"/>
  <c r="Q667" i="11"/>
  <c r="P667" i="11"/>
  <c r="O667" i="11"/>
  <c r="N667" i="11"/>
  <c r="M667" i="11"/>
  <c r="L667" i="11"/>
  <c r="K667" i="11"/>
  <c r="J667" i="11"/>
  <c r="I667" i="11"/>
  <c r="H667" i="11"/>
  <c r="G667" i="11"/>
  <c r="F667" i="11"/>
  <c r="E667" i="11"/>
  <c r="D667" i="11"/>
  <c r="C667" i="11"/>
  <c r="B667" i="11"/>
  <c r="A667" i="11"/>
  <c r="Z666" i="11"/>
  <c r="Y666" i="11"/>
  <c r="X666" i="11"/>
  <c r="W666" i="11"/>
  <c r="V666" i="11"/>
  <c r="U666" i="11"/>
  <c r="T666" i="11"/>
  <c r="S666" i="11"/>
  <c r="R666" i="11"/>
  <c r="Q666" i="11"/>
  <c r="P666" i="11"/>
  <c r="O666" i="11"/>
  <c r="N666" i="11"/>
  <c r="M666" i="11"/>
  <c r="L666" i="11"/>
  <c r="K666" i="11"/>
  <c r="J666" i="11"/>
  <c r="I666" i="11"/>
  <c r="H666" i="11"/>
  <c r="G666" i="11"/>
  <c r="F666" i="11"/>
  <c r="E666" i="11"/>
  <c r="D666" i="11"/>
  <c r="C666" i="11"/>
  <c r="B666" i="11"/>
  <c r="A666" i="11"/>
  <c r="Z665" i="11"/>
  <c r="Y665" i="11"/>
  <c r="X665" i="11"/>
  <c r="W665" i="11"/>
  <c r="V665" i="11"/>
  <c r="U665" i="11"/>
  <c r="T665" i="11"/>
  <c r="S665" i="11"/>
  <c r="R665" i="11"/>
  <c r="Q665" i="11"/>
  <c r="P665" i="11"/>
  <c r="O665" i="11"/>
  <c r="N665" i="11"/>
  <c r="M665" i="11"/>
  <c r="L665" i="11"/>
  <c r="K665" i="11"/>
  <c r="J665" i="11"/>
  <c r="I665" i="11"/>
  <c r="H665" i="11"/>
  <c r="G665" i="11"/>
  <c r="F665" i="11"/>
  <c r="E665" i="11"/>
  <c r="D665" i="11"/>
  <c r="C665" i="11"/>
  <c r="B665" i="11"/>
  <c r="A665" i="11"/>
  <c r="Z664" i="11"/>
  <c r="Y664" i="11"/>
  <c r="X664" i="11"/>
  <c r="W664" i="11"/>
  <c r="V664" i="11"/>
  <c r="U664" i="11"/>
  <c r="T664" i="11"/>
  <c r="S664" i="11"/>
  <c r="R664" i="11"/>
  <c r="Q664" i="11"/>
  <c r="P664" i="11"/>
  <c r="O664" i="11"/>
  <c r="N664" i="11"/>
  <c r="M664" i="11"/>
  <c r="L664" i="11"/>
  <c r="K664" i="11"/>
  <c r="J664" i="11"/>
  <c r="I664" i="11"/>
  <c r="H664" i="11"/>
  <c r="G664" i="11"/>
  <c r="F664" i="11"/>
  <c r="E664" i="11"/>
  <c r="D664" i="11"/>
  <c r="C664" i="11"/>
  <c r="B664" i="11"/>
  <c r="A664" i="11"/>
  <c r="Z663" i="11"/>
  <c r="Y663" i="11"/>
  <c r="X663" i="11"/>
  <c r="W663" i="11"/>
  <c r="V663" i="11"/>
  <c r="U663" i="11"/>
  <c r="T663" i="11"/>
  <c r="S663" i="11"/>
  <c r="R663" i="11"/>
  <c r="Q663" i="11"/>
  <c r="P663" i="11"/>
  <c r="O663" i="11"/>
  <c r="N663" i="11"/>
  <c r="M663" i="11"/>
  <c r="L663" i="11"/>
  <c r="K663" i="11"/>
  <c r="J663" i="11"/>
  <c r="I663" i="11"/>
  <c r="H663" i="11"/>
  <c r="G663" i="11"/>
  <c r="F663" i="11"/>
  <c r="E663" i="11"/>
  <c r="D663" i="11"/>
  <c r="C663" i="11"/>
  <c r="B663" i="11"/>
  <c r="A663" i="11"/>
  <c r="Z662" i="11"/>
  <c r="Y662" i="11"/>
  <c r="X662" i="11"/>
  <c r="W662" i="11"/>
  <c r="V662" i="11"/>
  <c r="U662" i="11"/>
  <c r="T662" i="11"/>
  <c r="S662" i="11"/>
  <c r="R662" i="11"/>
  <c r="Q662" i="11"/>
  <c r="P662" i="11"/>
  <c r="O662" i="11"/>
  <c r="N662" i="11"/>
  <c r="M662" i="11"/>
  <c r="L662" i="11"/>
  <c r="K662" i="11"/>
  <c r="J662" i="11"/>
  <c r="I662" i="11"/>
  <c r="H662" i="11"/>
  <c r="G662" i="11"/>
  <c r="F662" i="11"/>
  <c r="E662" i="11"/>
  <c r="D662" i="11"/>
  <c r="C662" i="11"/>
  <c r="B662" i="11"/>
  <c r="A662" i="11"/>
  <c r="Z661" i="11"/>
  <c r="Y661" i="11"/>
  <c r="X661" i="11"/>
  <c r="W661" i="11"/>
  <c r="V661" i="11"/>
  <c r="U661" i="11"/>
  <c r="T661" i="11"/>
  <c r="S661" i="11"/>
  <c r="R661" i="11"/>
  <c r="Q661" i="11"/>
  <c r="P661" i="11"/>
  <c r="O661" i="11"/>
  <c r="N661" i="11"/>
  <c r="M661" i="11"/>
  <c r="L661" i="11"/>
  <c r="K661" i="11"/>
  <c r="J661" i="11"/>
  <c r="I661" i="11"/>
  <c r="H661" i="11"/>
  <c r="G661" i="11"/>
  <c r="F661" i="11"/>
  <c r="E661" i="11"/>
  <c r="D661" i="11"/>
  <c r="C661" i="11"/>
  <c r="B661" i="11"/>
  <c r="A661" i="11"/>
  <c r="Z660" i="11"/>
  <c r="Y660" i="11"/>
  <c r="X660" i="11"/>
  <c r="W660" i="11"/>
  <c r="V660" i="11"/>
  <c r="U660" i="11"/>
  <c r="T660" i="11"/>
  <c r="S660" i="11"/>
  <c r="R660" i="11"/>
  <c r="Q660" i="11"/>
  <c r="P660" i="11"/>
  <c r="O660" i="11"/>
  <c r="N660" i="11"/>
  <c r="M660" i="11"/>
  <c r="L660" i="11"/>
  <c r="K660" i="11"/>
  <c r="J660" i="11"/>
  <c r="I660" i="11"/>
  <c r="H660" i="11"/>
  <c r="G660" i="11"/>
  <c r="F660" i="11"/>
  <c r="E660" i="11"/>
  <c r="D660" i="11"/>
  <c r="C660" i="11"/>
  <c r="B660" i="11"/>
  <c r="A660" i="11"/>
  <c r="Z659" i="11"/>
  <c r="Y659" i="11"/>
  <c r="X659" i="11"/>
  <c r="W659" i="11"/>
  <c r="V659" i="11"/>
  <c r="U659" i="11"/>
  <c r="T659" i="11"/>
  <c r="S659" i="11"/>
  <c r="R659" i="11"/>
  <c r="Q659" i="11"/>
  <c r="P659" i="11"/>
  <c r="O659" i="11"/>
  <c r="N659" i="11"/>
  <c r="M659" i="11"/>
  <c r="L659" i="11"/>
  <c r="K659" i="11"/>
  <c r="J659" i="11"/>
  <c r="I659" i="11"/>
  <c r="H659" i="11"/>
  <c r="G659" i="11"/>
  <c r="F659" i="11"/>
  <c r="E659" i="11"/>
  <c r="D659" i="11"/>
  <c r="C659" i="11"/>
  <c r="B659" i="11"/>
  <c r="A659" i="11"/>
  <c r="Z658" i="11"/>
  <c r="Y658" i="11"/>
  <c r="X658" i="11"/>
  <c r="W658" i="11"/>
  <c r="V658" i="11"/>
  <c r="U658" i="11"/>
  <c r="T658" i="11"/>
  <c r="S658" i="11"/>
  <c r="R658" i="11"/>
  <c r="Q658" i="11"/>
  <c r="P658" i="11"/>
  <c r="O658" i="11"/>
  <c r="N658" i="11"/>
  <c r="M658" i="11"/>
  <c r="L658" i="11"/>
  <c r="K658" i="11"/>
  <c r="J658" i="11"/>
  <c r="I658" i="11"/>
  <c r="H658" i="11"/>
  <c r="G658" i="11"/>
  <c r="F658" i="11"/>
  <c r="E658" i="11"/>
  <c r="D658" i="11"/>
  <c r="C658" i="11"/>
  <c r="B658" i="11"/>
  <c r="A658" i="11"/>
  <c r="Z657" i="11"/>
  <c r="Y657" i="11"/>
  <c r="X657" i="11"/>
  <c r="W657" i="11"/>
  <c r="V657" i="11"/>
  <c r="U657" i="11"/>
  <c r="T657" i="11"/>
  <c r="S657" i="11"/>
  <c r="R657" i="11"/>
  <c r="Q657" i="11"/>
  <c r="P657" i="11"/>
  <c r="O657" i="11"/>
  <c r="N657" i="11"/>
  <c r="M657" i="11"/>
  <c r="L657" i="11"/>
  <c r="K657" i="11"/>
  <c r="J657" i="11"/>
  <c r="I657" i="11"/>
  <c r="H657" i="11"/>
  <c r="G657" i="11"/>
  <c r="F657" i="11"/>
  <c r="E657" i="11"/>
  <c r="D657" i="11"/>
  <c r="C657" i="11"/>
  <c r="B657" i="11"/>
  <c r="A657" i="11"/>
  <c r="Z656" i="11"/>
  <c r="Y656" i="11"/>
  <c r="X656" i="11"/>
  <c r="W656" i="11"/>
  <c r="V656" i="11"/>
  <c r="U656" i="11"/>
  <c r="T656" i="11"/>
  <c r="S656" i="11"/>
  <c r="R656" i="11"/>
  <c r="Q656" i="11"/>
  <c r="P656" i="11"/>
  <c r="O656" i="11"/>
  <c r="N656" i="11"/>
  <c r="M656" i="11"/>
  <c r="L656" i="11"/>
  <c r="K656" i="11"/>
  <c r="J656" i="11"/>
  <c r="I656" i="11"/>
  <c r="H656" i="11"/>
  <c r="G656" i="11"/>
  <c r="F656" i="11"/>
  <c r="E656" i="11"/>
  <c r="D656" i="11"/>
  <c r="C656" i="11"/>
  <c r="B656" i="11"/>
  <c r="A656" i="11"/>
  <c r="Z655" i="11"/>
  <c r="Y655" i="11"/>
  <c r="X655" i="11"/>
  <c r="W655" i="11"/>
  <c r="V655" i="11"/>
  <c r="U655" i="11"/>
  <c r="T655" i="11"/>
  <c r="S655" i="11"/>
  <c r="R655" i="11"/>
  <c r="Q655" i="11"/>
  <c r="P655" i="11"/>
  <c r="O655" i="11"/>
  <c r="N655" i="11"/>
  <c r="M655" i="11"/>
  <c r="L655" i="11"/>
  <c r="K655" i="11"/>
  <c r="J655" i="11"/>
  <c r="I655" i="11"/>
  <c r="H655" i="11"/>
  <c r="G655" i="11"/>
  <c r="F655" i="11"/>
  <c r="E655" i="11"/>
  <c r="D655" i="11"/>
  <c r="C655" i="11"/>
  <c r="B655" i="11"/>
  <c r="A655" i="11"/>
  <c r="Z654" i="11"/>
  <c r="Y654" i="11"/>
  <c r="X654" i="11"/>
  <c r="W654" i="11"/>
  <c r="V654" i="11"/>
  <c r="U654" i="11"/>
  <c r="T654" i="11"/>
  <c r="S654" i="11"/>
  <c r="R654" i="11"/>
  <c r="Q654" i="11"/>
  <c r="P654" i="11"/>
  <c r="O654" i="11"/>
  <c r="N654" i="11"/>
  <c r="M654" i="11"/>
  <c r="L654" i="11"/>
  <c r="K654" i="11"/>
  <c r="J654" i="11"/>
  <c r="I654" i="11"/>
  <c r="H654" i="11"/>
  <c r="G654" i="11"/>
  <c r="F654" i="11"/>
  <c r="E654" i="11"/>
  <c r="D654" i="11"/>
  <c r="C654" i="11"/>
  <c r="B654" i="11"/>
  <c r="A654" i="11"/>
  <c r="Z653" i="11"/>
  <c r="Y653" i="11"/>
  <c r="X653" i="11"/>
  <c r="W653" i="11"/>
  <c r="V653" i="11"/>
  <c r="U653" i="11"/>
  <c r="T653" i="11"/>
  <c r="S653" i="11"/>
  <c r="R653" i="11"/>
  <c r="Q653" i="11"/>
  <c r="P653" i="11"/>
  <c r="O653" i="11"/>
  <c r="N653" i="11"/>
  <c r="M653" i="11"/>
  <c r="L653" i="11"/>
  <c r="K653" i="11"/>
  <c r="J653" i="11"/>
  <c r="I653" i="11"/>
  <c r="H653" i="11"/>
  <c r="G653" i="11"/>
  <c r="F653" i="11"/>
  <c r="E653" i="11"/>
  <c r="D653" i="11"/>
  <c r="C653" i="11"/>
  <c r="B653" i="11"/>
  <c r="A653" i="11"/>
  <c r="Z652" i="11"/>
  <c r="Y652" i="11"/>
  <c r="X652" i="11"/>
  <c r="W652" i="11"/>
  <c r="V652" i="11"/>
  <c r="U652" i="11"/>
  <c r="T652" i="11"/>
  <c r="S652" i="11"/>
  <c r="R652" i="11"/>
  <c r="Q652" i="11"/>
  <c r="P652" i="11"/>
  <c r="O652" i="11"/>
  <c r="N652" i="11"/>
  <c r="M652" i="11"/>
  <c r="L652" i="11"/>
  <c r="K652" i="11"/>
  <c r="J652" i="11"/>
  <c r="I652" i="11"/>
  <c r="H652" i="11"/>
  <c r="G652" i="11"/>
  <c r="F652" i="11"/>
  <c r="E652" i="11"/>
  <c r="D652" i="11"/>
  <c r="C652" i="11"/>
  <c r="B652" i="11"/>
  <c r="A652" i="11"/>
  <c r="Z651" i="11"/>
  <c r="Y651" i="11"/>
  <c r="X651" i="11"/>
  <c r="W651" i="11"/>
  <c r="V651" i="11"/>
  <c r="U651" i="11"/>
  <c r="T651" i="11"/>
  <c r="S651" i="11"/>
  <c r="R651" i="11"/>
  <c r="Q651" i="11"/>
  <c r="P651" i="11"/>
  <c r="O651" i="11"/>
  <c r="N651" i="11"/>
  <c r="M651" i="11"/>
  <c r="L651" i="11"/>
  <c r="K651" i="11"/>
  <c r="J651" i="11"/>
  <c r="I651" i="11"/>
  <c r="H651" i="11"/>
  <c r="G651" i="11"/>
  <c r="F651" i="11"/>
  <c r="E651" i="11"/>
  <c r="D651" i="11"/>
  <c r="C651" i="11"/>
  <c r="B651" i="11"/>
  <c r="A651" i="11"/>
  <c r="Z650" i="11"/>
  <c r="Y650" i="11"/>
  <c r="X650" i="11"/>
  <c r="W650" i="11"/>
  <c r="V650" i="11"/>
  <c r="U650" i="11"/>
  <c r="T650" i="11"/>
  <c r="S650" i="11"/>
  <c r="R650" i="11"/>
  <c r="Q650" i="11"/>
  <c r="P650" i="11"/>
  <c r="O650" i="11"/>
  <c r="N650" i="11"/>
  <c r="M650" i="11"/>
  <c r="L650" i="11"/>
  <c r="K650" i="11"/>
  <c r="J650" i="11"/>
  <c r="I650" i="11"/>
  <c r="H650" i="11"/>
  <c r="G650" i="11"/>
  <c r="F650" i="11"/>
  <c r="E650" i="11"/>
  <c r="D650" i="11"/>
  <c r="C650" i="11"/>
  <c r="B650" i="11"/>
  <c r="A650" i="11"/>
  <c r="Z649" i="11"/>
  <c r="Y649" i="11"/>
  <c r="X649" i="11"/>
  <c r="W649" i="11"/>
  <c r="V649" i="11"/>
  <c r="U649" i="11"/>
  <c r="T649" i="11"/>
  <c r="S649" i="11"/>
  <c r="R649" i="11"/>
  <c r="Q649" i="11"/>
  <c r="P649" i="11"/>
  <c r="O649" i="11"/>
  <c r="N649" i="11"/>
  <c r="M649" i="11"/>
  <c r="L649" i="11"/>
  <c r="K649" i="11"/>
  <c r="J649" i="11"/>
  <c r="I649" i="11"/>
  <c r="H649" i="11"/>
  <c r="G649" i="11"/>
  <c r="F649" i="11"/>
  <c r="E649" i="11"/>
  <c r="D649" i="11"/>
  <c r="C649" i="11"/>
  <c r="B649" i="11"/>
  <c r="A649" i="11"/>
  <c r="Z648" i="11"/>
  <c r="Y648" i="11"/>
  <c r="X648" i="11"/>
  <c r="W648" i="11"/>
  <c r="V648" i="11"/>
  <c r="U648" i="11"/>
  <c r="T648" i="11"/>
  <c r="S648" i="11"/>
  <c r="R648" i="11"/>
  <c r="Q648" i="11"/>
  <c r="P648" i="11"/>
  <c r="O648" i="11"/>
  <c r="N648" i="11"/>
  <c r="M648" i="11"/>
  <c r="L648" i="11"/>
  <c r="K648" i="11"/>
  <c r="J648" i="11"/>
  <c r="I648" i="11"/>
  <c r="H648" i="11"/>
  <c r="G648" i="11"/>
  <c r="F648" i="11"/>
  <c r="E648" i="11"/>
  <c r="D648" i="11"/>
  <c r="C648" i="11"/>
  <c r="B648" i="11"/>
  <c r="A648" i="11"/>
  <c r="Z647" i="11"/>
  <c r="Y647" i="11"/>
  <c r="X647" i="11"/>
  <c r="W647" i="11"/>
  <c r="V647" i="11"/>
  <c r="U647" i="11"/>
  <c r="T647" i="11"/>
  <c r="S647" i="11"/>
  <c r="R647" i="11"/>
  <c r="Q647" i="11"/>
  <c r="P647" i="11"/>
  <c r="O647" i="11"/>
  <c r="N647" i="11"/>
  <c r="M647" i="11"/>
  <c r="L647" i="11"/>
  <c r="K647" i="11"/>
  <c r="J647" i="11"/>
  <c r="I647" i="11"/>
  <c r="H647" i="11"/>
  <c r="G647" i="11"/>
  <c r="F647" i="11"/>
  <c r="E647" i="11"/>
  <c r="D647" i="11"/>
  <c r="C647" i="11"/>
  <c r="B647" i="11"/>
  <c r="A647" i="11"/>
  <c r="Z646" i="11"/>
  <c r="Y646" i="11"/>
  <c r="X646" i="11"/>
  <c r="W646" i="11"/>
  <c r="V646" i="11"/>
  <c r="U646" i="11"/>
  <c r="T646" i="11"/>
  <c r="S646" i="11"/>
  <c r="R646" i="11"/>
  <c r="Q646" i="11"/>
  <c r="P646" i="11"/>
  <c r="O646" i="11"/>
  <c r="N646" i="11"/>
  <c r="M646" i="11"/>
  <c r="L646" i="11"/>
  <c r="K646" i="11"/>
  <c r="J646" i="11"/>
  <c r="I646" i="11"/>
  <c r="H646" i="11"/>
  <c r="G646" i="11"/>
  <c r="F646" i="11"/>
  <c r="E646" i="11"/>
  <c r="D646" i="11"/>
  <c r="C646" i="11"/>
  <c r="B646" i="11"/>
  <c r="A646" i="11"/>
  <c r="Z645" i="11"/>
  <c r="Y645" i="11"/>
  <c r="X645" i="11"/>
  <c r="W645" i="11"/>
  <c r="V645" i="11"/>
  <c r="U645" i="11"/>
  <c r="T645" i="11"/>
  <c r="S645" i="11"/>
  <c r="R645" i="11"/>
  <c r="Q645" i="11"/>
  <c r="P645" i="11"/>
  <c r="O645" i="11"/>
  <c r="N645" i="11"/>
  <c r="M645" i="11"/>
  <c r="L645" i="11"/>
  <c r="K645" i="11"/>
  <c r="J645" i="11"/>
  <c r="I645" i="11"/>
  <c r="H645" i="11"/>
  <c r="G645" i="11"/>
  <c r="F645" i="11"/>
  <c r="E645" i="11"/>
  <c r="D645" i="11"/>
  <c r="C645" i="11"/>
  <c r="B645" i="11"/>
  <c r="A645" i="11"/>
  <c r="Z644" i="11"/>
  <c r="Y644" i="11"/>
  <c r="X644" i="11"/>
  <c r="W644" i="11"/>
  <c r="V644" i="11"/>
  <c r="U644" i="11"/>
  <c r="T644" i="11"/>
  <c r="S644" i="11"/>
  <c r="R644" i="11"/>
  <c r="Q644" i="11"/>
  <c r="P644" i="11"/>
  <c r="O644" i="11"/>
  <c r="N644" i="11"/>
  <c r="M644" i="11"/>
  <c r="L644" i="11"/>
  <c r="K644" i="11"/>
  <c r="J644" i="11"/>
  <c r="I644" i="11"/>
  <c r="H644" i="11"/>
  <c r="G644" i="11"/>
  <c r="F644" i="11"/>
  <c r="E644" i="11"/>
  <c r="D644" i="11"/>
  <c r="C644" i="11"/>
  <c r="B644" i="11"/>
  <c r="A644" i="11"/>
  <c r="Z643" i="11"/>
  <c r="Y643" i="11"/>
  <c r="X643" i="11"/>
  <c r="W643" i="11"/>
  <c r="V643" i="11"/>
  <c r="U643" i="11"/>
  <c r="T643" i="11"/>
  <c r="S643" i="11"/>
  <c r="R643" i="11"/>
  <c r="Q643" i="11"/>
  <c r="P643" i="11"/>
  <c r="O643" i="11"/>
  <c r="N643" i="11"/>
  <c r="M643" i="11"/>
  <c r="L643" i="11"/>
  <c r="K643" i="11"/>
  <c r="J643" i="11"/>
  <c r="I643" i="11"/>
  <c r="H643" i="11"/>
  <c r="G643" i="11"/>
  <c r="F643" i="11"/>
  <c r="E643" i="11"/>
  <c r="D643" i="11"/>
  <c r="C643" i="11"/>
  <c r="B643" i="11"/>
  <c r="A643" i="11"/>
  <c r="Z642" i="11"/>
  <c r="Y642" i="11"/>
  <c r="X642" i="11"/>
  <c r="W642" i="11"/>
  <c r="V642" i="11"/>
  <c r="U642" i="11"/>
  <c r="T642" i="11"/>
  <c r="S642" i="11"/>
  <c r="R642" i="11"/>
  <c r="Q642" i="11"/>
  <c r="P642" i="11"/>
  <c r="O642" i="11"/>
  <c r="N642" i="11"/>
  <c r="M642" i="11"/>
  <c r="L642" i="11"/>
  <c r="K642" i="11"/>
  <c r="J642" i="11"/>
  <c r="I642" i="11"/>
  <c r="H642" i="11"/>
  <c r="G642" i="11"/>
  <c r="F642" i="11"/>
  <c r="E642" i="11"/>
  <c r="D642" i="11"/>
  <c r="C642" i="11"/>
  <c r="B642" i="11"/>
  <c r="A642" i="11"/>
  <c r="Z641" i="11"/>
  <c r="Y641" i="11"/>
  <c r="X641" i="11"/>
  <c r="W641" i="11"/>
  <c r="V641" i="11"/>
  <c r="U641" i="11"/>
  <c r="T641" i="11"/>
  <c r="S641" i="11"/>
  <c r="R641" i="11"/>
  <c r="Q641" i="11"/>
  <c r="P641" i="11"/>
  <c r="O641" i="11"/>
  <c r="N641" i="11"/>
  <c r="M641" i="11"/>
  <c r="L641" i="11"/>
  <c r="K641" i="11"/>
  <c r="J641" i="11"/>
  <c r="I641" i="11"/>
  <c r="H641" i="11"/>
  <c r="G641" i="11"/>
  <c r="F641" i="11"/>
  <c r="E641" i="11"/>
  <c r="D641" i="11"/>
  <c r="C641" i="11"/>
  <c r="B641" i="11"/>
  <c r="A641" i="11"/>
  <c r="Z640" i="11"/>
  <c r="Y640" i="11"/>
  <c r="X640" i="11"/>
  <c r="W640" i="11"/>
  <c r="V640" i="11"/>
  <c r="U640" i="11"/>
  <c r="T640" i="11"/>
  <c r="S640" i="11"/>
  <c r="R640" i="11"/>
  <c r="Q640" i="11"/>
  <c r="P640" i="11"/>
  <c r="O640" i="11"/>
  <c r="N640" i="11"/>
  <c r="M640" i="11"/>
  <c r="L640" i="11"/>
  <c r="K640" i="11"/>
  <c r="J640" i="11"/>
  <c r="I640" i="11"/>
  <c r="H640" i="11"/>
  <c r="G640" i="11"/>
  <c r="F640" i="11"/>
  <c r="E640" i="11"/>
  <c r="D640" i="11"/>
  <c r="C640" i="11"/>
  <c r="B640" i="11"/>
  <c r="A640" i="11"/>
  <c r="Z639" i="11"/>
  <c r="Y639" i="11"/>
  <c r="X639" i="11"/>
  <c r="W639" i="11"/>
  <c r="V639" i="11"/>
  <c r="U639" i="11"/>
  <c r="T639" i="11"/>
  <c r="S639" i="11"/>
  <c r="R639" i="11"/>
  <c r="Q639" i="11"/>
  <c r="P639" i="11"/>
  <c r="O639" i="11"/>
  <c r="N639" i="11"/>
  <c r="M639" i="11"/>
  <c r="L639" i="11"/>
  <c r="K639" i="11"/>
  <c r="J639" i="11"/>
  <c r="I639" i="11"/>
  <c r="H639" i="11"/>
  <c r="G639" i="11"/>
  <c r="F639" i="11"/>
  <c r="E639" i="11"/>
  <c r="D639" i="11"/>
  <c r="C639" i="11"/>
  <c r="B639" i="11"/>
  <c r="A639" i="11"/>
  <c r="Z638" i="11"/>
  <c r="Y638" i="11"/>
  <c r="X638" i="11"/>
  <c r="W638" i="11"/>
  <c r="V638" i="11"/>
  <c r="U638" i="11"/>
  <c r="T638" i="11"/>
  <c r="S638" i="11"/>
  <c r="R638" i="11"/>
  <c r="Q638" i="11"/>
  <c r="P638" i="11"/>
  <c r="O638" i="11"/>
  <c r="N638" i="11"/>
  <c r="M638" i="11"/>
  <c r="L638" i="11"/>
  <c r="K638" i="11"/>
  <c r="J638" i="11"/>
  <c r="I638" i="11"/>
  <c r="H638" i="11"/>
  <c r="G638" i="11"/>
  <c r="F638" i="11"/>
  <c r="E638" i="11"/>
  <c r="D638" i="11"/>
  <c r="C638" i="11"/>
  <c r="B638" i="11"/>
  <c r="A638" i="11"/>
  <c r="Z637" i="11"/>
  <c r="Y637" i="11"/>
  <c r="X637" i="11"/>
  <c r="W637" i="11"/>
  <c r="V637" i="11"/>
  <c r="U637" i="11"/>
  <c r="T637" i="11"/>
  <c r="S637" i="11"/>
  <c r="R637" i="11"/>
  <c r="Q637" i="11"/>
  <c r="P637" i="11"/>
  <c r="O637" i="11"/>
  <c r="N637" i="11"/>
  <c r="M637" i="11"/>
  <c r="L637" i="11"/>
  <c r="K637" i="11"/>
  <c r="J637" i="11"/>
  <c r="I637" i="11"/>
  <c r="H637" i="11"/>
  <c r="G637" i="11"/>
  <c r="F637" i="11"/>
  <c r="E637" i="11"/>
  <c r="D637" i="11"/>
  <c r="C637" i="11"/>
  <c r="B637" i="11"/>
  <c r="A637" i="11"/>
  <c r="Z636" i="11"/>
  <c r="Y636" i="11"/>
  <c r="X636" i="11"/>
  <c r="W636" i="11"/>
  <c r="V636" i="11"/>
  <c r="U636" i="11"/>
  <c r="T636" i="11"/>
  <c r="S636" i="11"/>
  <c r="R636" i="11"/>
  <c r="Q636" i="11"/>
  <c r="P636" i="11"/>
  <c r="O636" i="11"/>
  <c r="N636" i="11"/>
  <c r="M636" i="11"/>
  <c r="L636" i="11"/>
  <c r="K636" i="11"/>
  <c r="J636" i="11"/>
  <c r="I636" i="11"/>
  <c r="H636" i="11"/>
  <c r="G636" i="11"/>
  <c r="F636" i="11"/>
  <c r="E636" i="11"/>
  <c r="D636" i="11"/>
  <c r="C636" i="11"/>
  <c r="B636" i="11"/>
  <c r="A636" i="11"/>
  <c r="Z635" i="11"/>
  <c r="Y635" i="11"/>
  <c r="X635" i="11"/>
  <c r="W635" i="11"/>
  <c r="V635" i="11"/>
  <c r="U635" i="11"/>
  <c r="T635" i="11"/>
  <c r="S635" i="11"/>
  <c r="R635" i="11"/>
  <c r="Q635" i="11"/>
  <c r="P635" i="11"/>
  <c r="O635" i="11"/>
  <c r="N635" i="11"/>
  <c r="M635" i="11"/>
  <c r="L635" i="11"/>
  <c r="K635" i="11"/>
  <c r="J635" i="11"/>
  <c r="I635" i="11"/>
  <c r="H635" i="11"/>
  <c r="G635" i="11"/>
  <c r="F635" i="11"/>
  <c r="E635" i="11"/>
  <c r="D635" i="11"/>
  <c r="C635" i="11"/>
  <c r="B635" i="11"/>
  <c r="A635" i="11"/>
  <c r="Z634" i="11"/>
  <c r="Y634" i="11"/>
  <c r="X634" i="11"/>
  <c r="W634" i="11"/>
  <c r="V634" i="11"/>
  <c r="U634" i="11"/>
  <c r="T634" i="11"/>
  <c r="S634" i="11"/>
  <c r="R634" i="11"/>
  <c r="Q634" i="11"/>
  <c r="P634" i="11"/>
  <c r="O634" i="11"/>
  <c r="N634" i="11"/>
  <c r="M634" i="11"/>
  <c r="L634" i="11"/>
  <c r="K634" i="11"/>
  <c r="J634" i="11"/>
  <c r="I634" i="11"/>
  <c r="H634" i="11"/>
  <c r="G634" i="11"/>
  <c r="F634" i="11"/>
  <c r="E634" i="11"/>
  <c r="D634" i="11"/>
  <c r="C634" i="11"/>
  <c r="B634" i="11"/>
  <c r="A634" i="11"/>
  <c r="Z633" i="11"/>
  <c r="Y633" i="11"/>
  <c r="X633" i="11"/>
  <c r="W633" i="11"/>
  <c r="V633" i="11"/>
  <c r="U633" i="11"/>
  <c r="T633" i="11"/>
  <c r="S633" i="11"/>
  <c r="R633" i="11"/>
  <c r="Q633" i="11"/>
  <c r="P633" i="11"/>
  <c r="O633" i="11"/>
  <c r="N633" i="11"/>
  <c r="M633" i="11"/>
  <c r="L633" i="11"/>
  <c r="K633" i="11"/>
  <c r="J633" i="11"/>
  <c r="I633" i="11"/>
  <c r="H633" i="11"/>
  <c r="G633" i="11"/>
  <c r="F633" i="11"/>
  <c r="E633" i="11"/>
  <c r="D633" i="11"/>
  <c r="C633" i="11"/>
  <c r="B633" i="11"/>
  <c r="A633" i="11"/>
  <c r="Z632" i="11"/>
  <c r="Y632" i="11"/>
  <c r="X632" i="11"/>
  <c r="W632" i="11"/>
  <c r="V632" i="11"/>
  <c r="U632" i="11"/>
  <c r="T632" i="11"/>
  <c r="S632" i="11"/>
  <c r="R632" i="11"/>
  <c r="Q632" i="11"/>
  <c r="P632" i="11"/>
  <c r="O632" i="11"/>
  <c r="N632" i="11"/>
  <c r="M632" i="11"/>
  <c r="L632" i="11"/>
  <c r="K632" i="11"/>
  <c r="J632" i="11"/>
  <c r="I632" i="11"/>
  <c r="H632" i="11"/>
  <c r="G632" i="11"/>
  <c r="F632" i="11"/>
  <c r="E632" i="11"/>
  <c r="D632" i="11"/>
  <c r="C632" i="11"/>
  <c r="B632" i="11"/>
  <c r="A632" i="11"/>
  <c r="Z631" i="11"/>
  <c r="Y631" i="11"/>
  <c r="X631" i="11"/>
  <c r="W631" i="11"/>
  <c r="V631" i="11"/>
  <c r="U631" i="11"/>
  <c r="T631" i="11"/>
  <c r="S631" i="11"/>
  <c r="R631" i="11"/>
  <c r="Q631" i="11"/>
  <c r="P631" i="11"/>
  <c r="O631" i="11"/>
  <c r="N631" i="11"/>
  <c r="M631" i="11"/>
  <c r="L631" i="11"/>
  <c r="K631" i="11"/>
  <c r="J631" i="11"/>
  <c r="I631" i="11"/>
  <c r="H631" i="11"/>
  <c r="G631" i="11"/>
  <c r="F631" i="11"/>
  <c r="E631" i="11"/>
  <c r="D631" i="11"/>
  <c r="C631" i="11"/>
  <c r="B631" i="11"/>
  <c r="A631" i="11"/>
  <c r="Z630" i="11"/>
  <c r="Y630" i="11"/>
  <c r="X630" i="11"/>
  <c r="W630" i="11"/>
  <c r="V630" i="11"/>
  <c r="U630" i="11"/>
  <c r="T630" i="11"/>
  <c r="S630" i="11"/>
  <c r="R630" i="11"/>
  <c r="Q630" i="11"/>
  <c r="P630" i="11"/>
  <c r="O630" i="11"/>
  <c r="N630" i="11"/>
  <c r="M630" i="11"/>
  <c r="L630" i="11"/>
  <c r="K630" i="11"/>
  <c r="J630" i="11"/>
  <c r="I630" i="11"/>
  <c r="H630" i="11"/>
  <c r="G630" i="11"/>
  <c r="F630" i="11"/>
  <c r="E630" i="11"/>
  <c r="D630" i="11"/>
  <c r="C630" i="11"/>
  <c r="B630" i="11"/>
  <c r="A630" i="11"/>
  <c r="Z629" i="11"/>
  <c r="Y629" i="11"/>
  <c r="X629" i="11"/>
  <c r="W629" i="11"/>
  <c r="V629" i="11"/>
  <c r="U629" i="11"/>
  <c r="T629" i="11"/>
  <c r="S629" i="11"/>
  <c r="R629" i="11"/>
  <c r="Q629" i="11"/>
  <c r="P629" i="11"/>
  <c r="O629" i="11"/>
  <c r="N629" i="11"/>
  <c r="M629" i="11"/>
  <c r="L629" i="11"/>
  <c r="K629" i="11"/>
  <c r="J629" i="11"/>
  <c r="I629" i="11"/>
  <c r="H629" i="11"/>
  <c r="G629" i="11"/>
  <c r="F629" i="11"/>
  <c r="E629" i="11"/>
  <c r="D629" i="11"/>
  <c r="C629" i="11"/>
  <c r="B629" i="11"/>
  <c r="A629" i="11"/>
  <c r="Z628" i="11"/>
  <c r="Y628" i="11"/>
  <c r="X628" i="11"/>
  <c r="W628" i="11"/>
  <c r="V628" i="11"/>
  <c r="U628" i="11"/>
  <c r="T628" i="11"/>
  <c r="S628" i="11"/>
  <c r="R628" i="11"/>
  <c r="Q628" i="11"/>
  <c r="P628" i="11"/>
  <c r="O628" i="11"/>
  <c r="N628" i="11"/>
  <c r="M628" i="11"/>
  <c r="L628" i="11"/>
  <c r="K628" i="11"/>
  <c r="J628" i="11"/>
  <c r="I628" i="11"/>
  <c r="H628" i="11"/>
  <c r="G628" i="11"/>
  <c r="F628" i="11"/>
  <c r="E628" i="11"/>
  <c r="D628" i="11"/>
  <c r="C628" i="11"/>
  <c r="B628" i="11"/>
  <c r="A628" i="11"/>
  <c r="Z627" i="11"/>
  <c r="Y627" i="11"/>
  <c r="X627" i="11"/>
  <c r="W627" i="11"/>
  <c r="V627" i="11"/>
  <c r="U627" i="11"/>
  <c r="T627" i="11"/>
  <c r="S627" i="11"/>
  <c r="R627" i="11"/>
  <c r="Q627" i="11"/>
  <c r="P627" i="11"/>
  <c r="O627" i="11"/>
  <c r="N627" i="11"/>
  <c r="M627" i="11"/>
  <c r="L627" i="11"/>
  <c r="K627" i="11"/>
  <c r="J627" i="11"/>
  <c r="I627" i="11"/>
  <c r="H627" i="11"/>
  <c r="G627" i="11"/>
  <c r="F627" i="11"/>
  <c r="E627" i="11"/>
  <c r="D627" i="11"/>
  <c r="C627" i="11"/>
  <c r="B627" i="11"/>
  <c r="A627" i="11"/>
  <c r="Z626" i="11"/>
  <c r="Y626" i="11"/>
  <c r="X626" i="11"/>
  <c r="W626" i="11"/>
  <c r="V626" i="11"/>
  <c r="U626" i="11"/>
  <c r="T626" i="11"/>
  <c r="S626" i="11"/>
  <c r="R626" i="11"/>
  <c r="Q626" i="11"/>
  <c r="P626" i="11"/>
  <c r="O626" i="11"/>
  <c r="N626" i="11"/>
  <c r="M626" i="11"/>
  <c r="L626" i="11"/>
  <c r="K626" i="11"/>
  <c r="J626" i="11"/>
  <c r="I626" i="11"/>
  <c r="H626" i="11"/>
  <c r="G626" i="11"/>
  <c r="F626" i="11"/>
  <c r="E626" i="11"/>
  <c r="D626" i="11"/>
  <c r="C626" i="11"/>
  <c r="B626" i="11"/>
  <c r="A626" i="11"/>
  <c r="Z625" i="11"/>
  <c r="Y625" i="11"/>
  <c r="X625" i="11"/>
  <c r="W625" i="11"/>
  <c r="V625" i="11"/>
  <c r="U625" i="11"/>
  <c r="T625" i="11"/>
  <c r="S625" i="11"/>
  <c r="R625" i="11"/>
  <c r="Q625" i="11"/>
  <c r="P625" i="11"/>
  <c r="O625" i="11"/>
  <c r="N625" i="11"/>
  <c r="M625" i="11"/>
  <c r="L625" i="11"/>
  <c r="K625" i="11"/>
  <c r="J625" i="11"/>
  <c r="I625" i="11"/>
  <c r="H625" i="11"/>
  <c r="G625" i="11"/>
  <c r="F625" i="11"/>
  <c r="E625" i="11"/>
  <c r="D625" i="11"/>
  <c r="C625" i="11"/>
  <c r="B625" i="11"/>
  <c r="A625" i="11"/>
  <c r="Z624" i="11"/>
  <c r="Y624" i="11"/>
  <c r="X624" i="11"/>
  <c r="W624" i="11"/>
  <c r="V624" i="11"/>
  <c r="U624" i="11"/>
  <c r="T624" i="11"/>
  <c r="S624" i="11"/>
  <c r="R624" i="11"/>
  <c r="Q624" i="11"/>
  <c r="P624" i="11"/>
  <c r="O624" i="11"/>
  <c r="N624" i="11"/>
  <c r="M624" i="11"/>
  <c r="L624" i="11"/>
  <c r="K624" i="11"/>
  <c r="J624" i="11"/>
  <c r="I624" i="11"/>
  <c r="H624" i="11"/>
  <c r="G624" i="11"/>
  <c r="F624" i="11"/>
  <c r="E624" i="11"/>
  <c r="D624" i="11"/>
  <c r="C624" i="11"/>
  <c r="B624" i="11"/>
  <c r="A624" i="11"/>
  <c r="Z623" i="11"/>
  <c r="Y623" i="11"/>
  <c r="X623" i="11"/>
  <c r="W623" i="11"/>
  <c r="V623" i="11"/>
  <c r="U623" i="11"/>
  <c r="T623" i="11"/>
  <c r="S623" i="11"/>
  <c r="R623" i="11"/>
  <c r="Q623" i="11"/>
  <c r="P623" i="11"/>
  <c r="O623" i="11"/>
  <c r="N623" i="11"/>
  <c r="M623" i="11"/>
  <c r="L623" i="11"/>
  <c r="K623" i="11"/>
  <c r="J623" i="11"/>
  <c r="I623" i="11"/>
  <c r="H623" i="11"/>
  <c r="G623" i="11"/>
  <c r="F623" i="11"/>
  <c r="E623" i="11"/>
  <c r="D623" i="11"/>
  <c r="C623" i="11"/>
  <c r="B623" i="11"/>
  <c r="A623" i="11"/>
  <c r="Z622" i="11"/>
  <c r="Y622" i="11"/>
  <c r="X622" i="11"/>
  <c r="W622" i="11"/>
  <c r="V622" i="11"/>
  <c r="U622" i="11"/>
  <c r="T622" i="11"/>
  <c r="S622" i="11"/>
  <c r="R622" i="11"/>
  <c r="Q622" i="11"/>
  <c r="P622" i="11"/>
  <c r="O622" i="11"/>
  <c r="N622" i="11"/>
  <c r="M622" i="11"/>
  <c r="L622" i="11"/>
  <c r="K622" i="11"/>
  <c r="J622" i="11"/>
  <c r="I622" i="11"/>
  <c r="H622" i="11"/>
  <c r="G622" i="11"/>
  <c r="F622" i="11"/>
  <c r="E622" i="11"/>
  <c r="D622" i="11"/>
  <c r="C622" i="11"/>
  <c r="B622" i="11"/>
  <c r="A622" i="11"/>
  <c r="Z621" i="11"/>
  <c r="Y621" i="11"/>
  <c r="X621" i="11"/>
  <c r="W621" i="11"/>
  <c r="V621" i="11"/>
  <c r="U621" i="11"/>
  <c r="T621" i="11"/>
  <c r="S621" i="11"/>
  <c r="R621" i="11"/>
  <c r="Q621" i="11"/>
  <c r="P621" i="11"/>
  <c r="O621" i="11"/>
  <c r="N621" i="11"/>
  <c r="M621" i="11"/>
  <c r="L621" i="11"/>
  <c r="K621" i="11"/>
  <c r="J621" i="11"/>
  <c r="I621" i="11"/>
  <c r="H621" i="11"/>
  <c r="G621" i="11"/>
  <c r="F621" i="11"/>
  <c r="E621" i="11"/>
  <c r="D621" i="11"/>
  <c r="C621" i="11"/>
  <c r="B621" i="11"/>
  <c r="A621" i="11"/>
  <c r="Z620" i="11"/>
  <c r="Y620" i="11"/>
  <c r="X620" i="11"/>
  <c r="W620" i="11"/>
  <c r="V620" i="11"/>
  <c r="U620" i="11"/>
  <c r="T620" i="11"/>
  <c r="S620" i="11"/>
  <c r="R620" i="11"/>
  <c r="Q620" i="11"/>
  <c r="P620" i="11"/>
  <c r="O620" i="11"/>
  <c r="N620" i="11"/>
  <c r="M620" i="11"/>
  <c r="L620" i="11"/>
  <c r="K620" i="11"/>
  <c r="J620" i="11"/>
  <c r="I620" i="11"/>
  <c r="H620" i="11"/>
  <c r="G620" i="11"/>
  <c r="F620" i="11"/>
  <c r="E620" i="11"/>
  <c r="D620" i="11"/>
  <c r="C620" i="11"/>
  <c r="B620" i="11"/>
  <c r="A620" i="11"/>
  <c r="Z619" i="11"/>
  <c r="Y619" i="11"/>
  <c r="X619" i="11"/>
  <c r="W619" i="11"/>
  <c r="V619" i="11"/>
  <c r="U619" i="11"/>
  <c r="T619" i="11"/>
  <c r="S619" i="11"/>
  <c r="R619" i="11"/>
  <c r="Q619" i="11"/>
  <c r="P619" i="11"/>
  <c r="O619" i="11"/>
  <c r="N619" i="11"/>
  <c r="M619" i="11"/>
  <c r="L619" i="11"/>
  <c r="K619" i="11"/>
  <c r="J619" i="11"/>
  <c r="I619" i="11"/>
  <c r="H619" i="11"/>
  <c r="G619" i="11"/>
  <c r="F619" i="11"/>
  <c r="E619" i="11"/>
  <c r="D619" i="11"/>
  <c r="C619" i="11"/>
  <c r="B619" i="11"/>
  <c r="A619" i="11"/>
  <c r="Z618" i="11"/>
  <c r="Y618" i="11"/>
  <c r="X618" i="11"/>
  <c r="W618" i="11"/>
  <c r="V618" i="11"/>
  <c r="U618" i="11"/>
  <c r="T618" i="11"/>
  <c r="S618" i="11"/>
  <c r="R618" i="11"/>
  <c r="Q618" i="11"/>
  <c r="P618" i="11"/>
  <c r="O618" i="11"/>
  <c r="N618" i="11"/>
  <c r="M618" i="11"/>
  <c r="L618" i="11"/>
  <c r="K618" i="11"/>
  <c r="J618" i="11"/>
  <c r="I618" i="11"/>
  <c r="H618" i="11"/>
  <c r="G618" i="11"/>
  <c r="F618" i="11"/>
  <c r="E618" i="11"/>
  <c r="D618" i="11"/>
  <c r="C618" i="11"/>
  <c r="B618" i="11"/>
  <c r="A618" i="11"/>
  <c r="Z617" i="11"/>
  <c r="Y617" i="11"/>
  <c r="X617" i="11"/>
  <c r="W617" i="11"/>
  <c r="V617" i="11"/>
  <c r="U617" i="11"/>
  <c r="T617" i="11"/>
  <c r="S617" i="11"/>
  <c r="R617" i="11"/>
  <c r="Q617" i="11"/>
  <c r="P617" i="11"/>
  <c r="O617" i="11"/>
  <c r="N617" i="11"/>
  <c r="M617" i="11"/>
  <c r="L617" i="11"/>
  <c r="K617" i="11"/>
  <c r="J617" i="11"/>
  <c r="I617" i="11"/>
  <c r="H617" i="11"/>
  <c r="G617" i="11"/>
  <c r="F617" i="11"/>
  <c r="E617" i="11"/>
  <c r="D617" i="11"/>
  <c r="C617" i="11"/>
  <c r="B617" i="11"/>
  <c r="A617" i="11"/>
  <c r="Z616" i="11"/>
  <c r="Y616" i="11"/>
  <c r="X616" i="11"/>
  <c r="W616" i="11"/>
  <c r="V616" i="11"/>
  <c r="U616" i="11"/>
  <c r="T616" i="11"/>
  <c r="S616" i="11"/>
  <c r="R616" i="11"/>
  <c r="Q616" i="11"/>
  <c r="P616" i="11"/>
  <c r="O616" i="11"/>
  <c r="N616" i="11"/>
  <c r="M616" i="11"/>
  <c r="L616" i="11"/>
  <c r="K616" i="11"/>
  <c r="J616" i="11"/>
  <c r="I616" i="11"/>
  <c r="H616" i="11"/>
  <c r="G616" i="11"/>
  <c r="F616" i="11"/>
  <c r="E616" i="11"/>
  <c r="D616" i="11"/>
  <c r="C616" i="11"/>
  <c r="B616" i="11"/>
  <c r="A616" i="11"/>
  <c r="Z615" i="11"/>
  <c r="Y615" i="11"/>
  <c r="X615" i="11"/>
  <c r="W615" i="11"/>
  <c r="V615" i="11"/>
  <c r="U615" i="11"/>
  <c r="T615" i="11"/>
  <c r="S615" i="11"/>
  <c r="R615" i="11"/>
  <c r="Q615" i="11"/>
  <c r="P615" i="11"/>
  <c r="O615" i="11"/>
  <c r="N615" i="11"/>
  <c r="M615" i="11"/>
  <c r="L615" i="11"/>
  <c r="K615" i="11"/>
  <c r="J615" i="11"/>
  <c r="I615" i="11"/>
  <c r="H615" i="11"/>
  <c r="G615" i="11"/>
  <c r="F615" i="11"/>
  <c r="E615" i="11"/>
  <c r="D615" i="11"/>
  <c r="C615" i="11"/>
  <c r="B615" i="11"/>
  <c r="A615" i="11"/>
  <c r="Z614" i="11"/>
  <c r="Y614" i="11"/>
  <c r="X614" i="11"/>
  <c r="W614" i="11"/>
  <c r="V614" i="11"/>
  <c r="U614" i="11"/>
  <c r="T614" i="11"/>
  <c r="S614" i="11"/>
  <c r="R614" i="11"/>
  <c r="Q614" i="11"/>
  <c r="P614" i="11"/>
  <c r="O614" i="11"/>
  <c r="N614" i="11"/>
  <c r="M614" i="11"/>
  <c r="L614" i="11"/>
  <c r="K614" i="11"/>
  <c r="J614" i="11"/>
  <c r="I614" i="11"/>
  <c r="H614" i="11"/>
  <c r="G614" i="11"/>
  <c r="F614" i="11"/>
  <c r="E614" i="11"/>
  <c r="D614" i="11"/>
  <c r="C614" i="11"/>
  <c r="B614" i="11"/>
  <c r="A614" i="11"/>
  <c r="Z613" i="11"/>
  <c r="Y613" i="11"/>
  <c r="X613" i="11"/>
  <c r="W613" i="11"/>
  <c r="V613" i="11"/>
  <c r="U613" i="11"/>
  <c r="T613" i="11"/>
  <c r="S613" i="11"/>
  <c r="R613" i="11"/>
  <c r="Q613" i="11"/>
  <c r="P613" i="11"/>
  <c r="O613" i="11"/>
  <c r="N613" i="11"/>
  <c r="M613" i="11"/>
  <c r="L613" i="11"/>
  <c r="K613" i="11"/>
  <c r="J613" i="11"/>
  <c r="I613" i="11"/>
  <c r="H613" i="11"/>
  <c r="G613" i="11"/>
  <c r="F613" i="11"/>
  <c r="E613" i="11"/>
  <c r="D613" i="11"/>
  <c r="C613" i="11"/>
  <c r="B613" i="11"/>
  <c r="A613" i="11"/>
  <c r="Z612" i="11"/>
  <c r="Y612" i="11"/>
  <c r="X612" i="11"/>
  <c r="W612" i="11"/>
  <c r="V612" i="11"/>
  <c r="U612" i="11"/>
  <c r="T612" i="11"/>
  <c r="S612" i="11"/>
  <c r="R612" i="11"/>
  <c r="Q612" i="11"/>
  <c r="P612" i="11"/>
  <c r="O612" i="11"/>
  <c r="N612" i="11"/>
  <c r="M612" i="11"/>
  <c r="L612" i="11"/>
  <c r="K612" i="11"/>
  <c r="J612" i="11"/>
  <c r="I612" i="11"/>
  <c r="H612" i="11"/>
  <c r="G612" i="11"/>
  <c r="F612" i="11"/>
  <c r="E612" i="11"/>
  <c r="D612" i="11"/>
  <c r="C612" i="11"/>
  <c r="B612" i="11"/>
  <c r="A612" i="11"/>
  <c r="Z611" i="11"/>
  <c r="Y611" i="11"/>
  <c r="X611" i="11"/>
  <c r="W611" i="11"/>
  <c r="V611" i="11"/>
  <c r="U611" i="11"/>
  <c r="T611" i="11"/>
  <c r="S611" i="11"/>
  <c r="R611" i="11"/>
  <c r="Q611" i="11"/>
  <c r="P611" i="11"/>
  <c r="O611" i="11"/>
  <c r="N611" i="11"/>
  <c r="M611" i="11"/>
  <c r="L611" i="11"/>
  <c r="K611" i="11"/>
  <c r="J611" i="11"/>
  <c r="I611" i="11"/>
  <c r="H611" i="11"/>
  <c r="G611" i="11"/>
  <c r="F611" i="11"/>
  <c r="E611" i="11"/>
  <c r="D611" i="11"/>
  <c r="C611" i="11"/>
  <c r="B611" i="11"/>
  <c r="A611" i="11"/>
  <c r="Z610" i="11"/>
  <c r="Y610" i="11"/>
  <c r="X610" i="11"/>
  <c r="W610" i="11"/>
  <c r="V610" i="11"/>
  <c r="U610" i="11"/>
  <c r="T610" i="11"/>
  <c r="S610" i="11"/>
  <c r="R610" i="11"/>
  <c r="Q610" i="11"/>
  <c r="P610" i="11"/>
  <c r="O610" i="11"/>
  <c r="N610" i="11"/>
  <c r="M610" i="11"/>
  <c r="L610" i="11"/>
  <c r="K610" i="11"/>
  <c r="J610" i="11"/>
  <c r="I610" i="11"/>
  <c r="H610" i="11"/>
  <c r="G610" i="11"/>
  <c r="F610" i="11"/>
  <c r="E610" i="11"/>
  <c r="D610" i="11"/>
  <c r="C610" i="11"/>
  <c r="B610" i="11"/>
  <c r="A610" i="11"/>
  <c r="Z609" i="11"/>
  <c r="Y609" i="11"/>
  <c r="X609" i="11"/>
  <c r="W609" i="11"/>
  <c r="V609" i="11"/>
  <c r="U609" i="11"/>
  <c r="T609" i="11"/>
  <c r="S609" i="11"/>
  <c r="R609" i="11"/>
  <c r="Q609" i="11"/>
  <c r="P609" i="11"/>
  <c r="O609" i="11"/>
  <c r="N609" i="11"/>
  <c r="M609" i="11"/>
  <c r="L609" i="11"/>
  <c r="K609" i="11"/>
  <c r="J609" i="11"/>
  <c r="I609" i="11"/>
  <c r="H609" i="11"/>
  <c r="G609" i="11"/>
  <c r="F609" i="11"/>
  <c r="E609" i="11"/>
  <c r="D609" i="11"/>
  <c r="C609" i="11"/>
  <c r="B609" i="11"/>
  <c r="A609" i="11"/>
  <c r="Z608" i="11"/>
  <c r="Y608" i="11"/>
  <c r="X608" i="11"/>
  <c r="W608" i="11"/>
  <c r="V608" i="11"/>
  <c r="U608" i="11"/>
  <c r="T608" i="11"/>
  <c r="S608" i="11"/>
  <c r="R608" i="11"/>
  <c r="Q608" i="11"/>
  <c r="P608" i="11"/>
  <c r="O608" i="11"/>
  <c r="N608" i="11"/>
  <c r="M608" i="11"/>
  <c r="L608" i="11"/>
  <c r="K608" i="11"/>
  <c r="J608" i="11"/>
  <c r="I608" i="11"/>
  <c r="H608" i="11"/>
  <c r="G608" i="11"/>
  <c r="F608" i="11"/>
  <c r="E608" i="11"/>
  <c r="D608" i="11"/>
  <c r="C608" i="11"/>
  <c r="B608" i="11"/>
  <c r="A608" i="11"/>
  <c r="Z607" i="11"/>
  <c r="Y607" i="11"/>
  <c r="X607" i="11"/>
  <c r="W607" i="11"/>
  <c r="V607" i="11"/>
  <c r="U607" i="11"/>
  <c r="T607" i="11"/>
  <c r="S607" i="11"/>
  <c r="R607" i="11"/>
  <c r="Q607" i="11"/>
  <c r="P607" i="11"/>
  <c r="O607" i="11"/>
  <c r="N607" i="11"/>
  <c r="M607" i="11"/>
  <c r="L607" i="11"/>
  <c r="K607" i="11"/>
  <c r="J607" i="11"/>
  <c r="I607" i="11"/>
  <c r="H607" i="11"/>
  <c r="G607" i="11"/>
  <c r="F607" i="11"/>
  <c r="E607" i="11"/>
  <c r="D607" i="11"/>
  <c r="C607" i="11"/>
  <c r="B607" i="11"/>
  <c r="A607" i="11"/>
  <c r="Z606" i="11"/>
  <c r="Y606" i="11"/>
  <c r="X606" i="11"/>
  <c r="W606" i="11"/>
  <c r="V606" i="11"/>
  <c r="U606" i="11"/>
  <c r="T606" i="11"/>
  <c r="S606" i="11"/>
  <c r="R606" i="11"/>
  <c r="Q606" i="11"/>
  <c r="P606" i="11"/>
  <c r="O606" i="11"/>
  <c r="N606" i="11"/>
  <c r="M606" i="11"/>
  <c r="L606" i="11"/>
  <c r="K606" i="11"/>
  <c r="J606" i="11"/>
  <c r="I606" i="11"/>
  <c r="H606" i="11"/>
  <c r="G606" i="11"/>
  <c r="F606" i="11"/>
  <c r="E606" i="11"/>
  <c r="D606" i="11"/>
  <c r="C606" i="11"/>
  <c r="B606" i="11"/>
  <c r="A606" i="11"/>
  <c r="Z605" i="11"/>
  <c r="Y605" i="11"/>
  <c r="X605" i="11"/>
  <c r="W605" i="11"/>
  <c r="V605" i="11"/>
  <c r="U605" i="11"/>
  <c r="T605" i="11"/>
  <c r="S605" i="11"/>
  <c r="R605" i="11"/>
  <c r="Q605" i="11"/>
  <c r="P605" i="11"/>
  <c r="O605" i="11"/>
  <c r="N605" i="11"/>
  <c r="M605" i="11"/>
  <c r="L605" i="11"/>
  <c r="K605" i="11"/>
  <c r="J605" i="11"/>
  <c r="I605" i="11"/>
  <c r="H605" i="11"/>
  <c r="G605" i="11"/>
  <c r="F605" i="11"/>
  <c r="E605" i="11"/>
  <c r="D605" i="11"/>
  <c r="C605" i="11"/>
  <c r="B605" i="11"/>
  <c r="A605" i="11"/>
  <c r="Z604" i="11"/>
  <c r="Y604" i="11"/>
  <c r="X604" i="11"/>
  <c r="W604" i="11"/>
  <c r="V604" i="11"/>
  <c r="U604" i="11"/>
  <c r="T604" i="11"/>
  <c r="S604" i="11"/>
  <c r="R604" i="11"/>
  <c r="Q604" i="11"/>
  <c r="P604" i="11"/>
  <c r="O604" i="11"/>
  <c r="N604" i="11"/>
  <c r="M604" i="11"/>
  <c r="L604" i="11"/>
  <c r="K604" i="11"/>
  <c r="J604" i="11"/>
  <c r="I604" i="11"/>
  <c r="H604" i="11"/>
  <c r="G604" i="11"/>
  <c r="F604" i="11"/>
  <c r="E604" i="11"/>
  <c r="D604" i="11"/>
  <c r="C604" i="11"/>
  <c r="B604" i="11"/>
  <c r="A604" i="11"/>
  <c r="Z603" i="11"/>
  <c r="Y603" i="11"/>
  <c r="X603" i="11"/>
  <c r="W603" i="11"/>
  <c r="V603" i="11"/>
  <c r="U603" i="11"/>
  <c r="T603" i="11"/>
  <c r="S603" i="11"/>
  <c r="R603" i="11"/>
  <c r="Q603" i="11"/>
  <c r="P603" i="11"/>
  <c r="O603" i="11"/>
  <c r="N603" i="11"/>
  <c r="M603" i="11"/>
  <c r="L603" i="11"/>
  <c r="K603" i="11"/>
  <c r="J603" i="11"/>
  <c r="I603" i="11"/>
  <c r="H603" i="11"/>
  <c r="G603" i="11"/>
  <c r="F603" i="11"/>
  <c r="E603" i="11"/>
  <c r="D603" i="11"/>
  <c r="C603" i="11"/>
  <c r="B603" i="11"/>
  <c r="A603" i="11"/>
  <c r="Z602" i="11"/>
  <c r="Y602" i="11"/>
  <c r="X602" i="11"/>
  <c r="W602" i="11"/>
  <c r="V602" i="11"/>
  <c r="U602" i="11"/>
  <c r="T602" i="11"/>
  <c r="S602" i="11"/>
  <c r="R602" i="11"/>
  <c r="Q602" i="11"/>
  <c r="P602" i="11"/>
  <c r="O602" i="11"/>
  <c r="N602" i="11"/>
  <c r="M602" i="11"/>
  <c r="L602" i="11"/>
  <c r="K602" i="11"/>
  <c r="J602" i="11"/>
  <c r="I602" i="11"/>
  <c r="H602" i="11"/>
  <c r="G602" i="11"/>
  <c r="F602" i="11"/>
  <c r="E602" i="11"/>
  <c r="D602" i="11"/>
  <c r="C602" i="11"/>
  <c r="B602" i="11"/>
  <c r="A602" i="11"/>
  <c r="Z601" i="11"/>
  <c r="Y601" i="11"/>
  <c r="X601" i="11"/>
  <c r="W601" i="11"/>
  <c r="V601" i="11"/>
  <c r="U601" i="11"/>
  <c r="T601" i="11"/>
  <c r="S601" i="11"/>
  <c r="R601" i="11"/>
  <c r="Q601" i="11"/>
  <c r="P601" i="11"/>
  <c r="O601" i="11"/>
  <c r="N601" i="11"/>
  <c r="M601" i="11"/>
  <c r="L601" i="11"/>
  <c r="K601" i="11"/>
  <c r="J601" i="11"/>
  <c r="I601" i="11"/>
  <c r="H601" i="11"/>
  <c r="G601" i="11"/>
  <c r="F601" i="11"/>
  <c r="E601" i="11"/>
  <c r="D601" i="11"/>
  <c r="C601" i="11"/>
  <c r="B601" i="11"/>
  <c r="A601" i="11"/>
  <c r="Z600" i="11"/>
  <c r="Y600" i="11"/>
  <c r="X600" i="11"/>
  <c r="W600" i="11"/>
  <c r="V600" i="11"/>
  <c r="U600" i="11"/>
  <c r="T600" i="11"/>
  <c r="S600" i="11"/>
  <c r="R600" i="11"/>
  <c r="Q600" i="11"/>
  <c r="P600" i="11"/>
  <c r="O600" i="11"/>
  <c r="N600" i="11"/>
  <c r="M600" i="11"/>
  <c r="L600" i="11"/>
  <c r="K600" i="11"/>
  <c r="J600" i="11"/>
  <c r="I600" i="11"/>
  <c r="H600" i="11"/>
  <c r="G600" i="11"/>
  <c r="F600" i="11"/>
  <c r="E600" i="11"/>
  <c r="D600" i="11"/>
  <c r="C600" i="11"/>
  <c r="B600" i="11"/>
  <c r="A600" i="11"/>
  <c r="Z599" i="11"/>
  <c r="Y599" i="11"/>
  <c r="X599" i="11"/>
  <c r="W599" i="11"/>
  <c r="V599" i="11"/>
  <c r="U599" i="11"/>
  <c r="T599" i="11"/>
  <c r="S599" i="11"/>
  <c r="R599" i="11"/>
  <c r="Q599" i="11"/>
  <c r="P599" i="11"/>
  <c r="O599" i="11"/>
  <c r="N599" i="11"/>
  <c r="M599" i="11"/>
  <c r="L599" i="11"/>
  <c r="K599" i="11"/>
  <c r="J599" i="11"/>
  <c r="I599" i="11"/>
  <c r="H599" i="11"/>
  <c r="G599" i="11"/>
  <c r="F599" i="11"/>
  <c r="E599" i="11"/>
  <c r="D599" i="11"/>
  <c r="C599" i="11"/>
  <c r="B599" i="11"/>
  <c r="A599" i="11"/>
  <c r="Z598" i="11"/>
  <c r="Y598" i="11"/>
  <c r="X598" i="11"/>
  <c r="W598" i="11"/>
  <c r="V598" i="11"/>
  <c r="U598" i="11"/>
  <c r="T598" i="11"/>
  <c r="S598" i="11"/>
  <c r="R598" i="11"/>
  <c r="Q598" i="11"/>
  <c r="P598" i="11"/>
  <c r="O598" i="11"/>
  <c r="N598" i="11"/>
  <c r="M598" i="11"/>
  <c r="L598" i="11"/>
  <c r="K598" i="11"/>
  <c r="J598" i="11"/>
  <c r="I598" i="11"/>
  <c r="H598" i="11"/>
  <c r="G598" i="11"/>
  <c r="F598" i="11"/>
  <c r="E598" i="11"/>
  <c r="D598" i="11"/>
  <c r="C598" i="11"/>
  <c r="B598" i="11"/>
  <c r="A598" i="11"/>
  <c r="Z597" i="11"/>
  <c r="Y597" i="11"/>
  <c r="X597" i="11"/>
  <c r="W597" i="11"/>
  <c r="V597" i="11"/>
  <c r="U597" i="11"/>
  <c r="T597" i="11"/>
  <c r="S597" i="11"/>
  <c r="R597" i="11"/>
  <c r="Q597" i="11"/>
  <c r="P597" i="11"/>
  <c r="O597" i="11"/>
  <c r="N597" i="11"/>
  <c r="M597" i="11"/>
  <c r="L597" i="11"/>
  <c r="K597" i="11"/>
  <c r="J597" i="11"/>
  <c r="I597" i="11"/>
  <c r="H597" i="11"/>
  <c r="G597" i="11"/>
  <c r="F597" i="11"/>
  <c r="E597" i="11"/>
  <c r="D597" i="11"/>
  <c r="C597" i="11"/>
  <c r="B597" i="11"/>
  <c r="A597" i="11"/>
  <c r="Z596" i="11"/>
  <c r="Y596" i="11"/>
  <c r="X596" i="11"/>
  <c r="W596" i="11"/>
  <c r="V596" i="11"/>
  <c r="U596" i="11"/>
  <c r="T596" i="11"/>
  <c r="S596" i="11"/>
  <c r="R596" i="11"/>
  <c r="Q596" i="11"/>
  <c r="P596" i="11"/>
  <c r="O596" i="11"/>
  <c r="N596" i="11"/>
  <c r="M596" i="11"/>
  <c r="L596" i="11"/>
  <c r="K596" i="11"/>
  <c r="J596" i="11"/>
  <c r="I596" i="11"/>
  <c r="H596" i="11"/>
  <c r="G596" i="11"/>
  <c r="F596" i="11"/>
  <c r="E596" i="11"/>
  <c r="D596" i="11"/>
  <c r="C596" i="11"/>
  <c r="B596" i="11"/>
  <c r="A596" i="11"/>
  <c r="Z595" i="11"/>
  <c r="Y595" i="11"/>
  <c r="X595" i="11"/>
  <c r="W595" i="11"/>
  <c r="V595" i="11"/>
  <c r="U595" i="11"/>
  <c r="T595" i="11"/>
  <c r="S595" i="11"/>
  <c r="R595" i="11"/>
  <c r="Q595" i="11"/>
  <c r="P595" i="11"/>
  <c r="O595" i="11"/>
  <c r="N595" i="11"/>
  <c r="M595" i="11"/>
  <c r="L595" i="11"/>
  <c r="K595" i="11"/>
  <c r="J595" i="11"/>
  <c r="I595" i="11"/>
  <c r="H595" i="11"/>
  <c r="G595" i="11"/>
  <c r="F595" i="11"/>
  <c r="E595" i="11"/>
  <c r="D595" i="11"/>
  <c r="C595" i="11"/>
  <c r="B595" i="11"/>
  <c r="A595" i="11"/>
  <c r="Z594" i="11"/>
  <c r="Y594" i="11"/>
  <c r="X594" i="11"/>
  <c r="W594" i="11"/>
  <c r="V594" i="11"/>
  <c r="U594" i="11"/>
  <c r="T594" i="11"/>
  <c r="S594" i="11"/>
  <c r="R594" i="11"/>
  <c r="Q594" i="11"/>
  <c r="P594" i="11"/>
  <c r="O594" i="11"/>
  <c r="N594" i="11"/>
  <c r="M594" i="11"/>
  <c r="L594" i="11"/>
  <c r="K594" i="11"/>
  <c r="J594" i="11"/>
  <c r="I594" i="11"/>
  <c r="H594" i="11"/>
  <c r="G594" i="11"/>
  <c r="F594" i="11"/>
  <c r="E594" i="11"/>
  <c r="D594" i="11"/>
  <c r="C594" i="11"/>
  <c r="B594" i="11"/>
  <c r="A594" i="11"/>
  <c r="Z593" i="11"/>
  <c r="Y593" i="11"/>
  <c r="X593" i="11"/>
  <c r="W593" i="11"/>
  <c r="V593" i="11"/>
  <c r="U593" i="11"/>
  <c r="T593" i="11"/>
  <c r="S593" i="11"/>
  <c r="R593" i="11"/>
  <c r="Q593" i="11"/>
  <c r="P593" i="11"/>
  <c r="O593" i="11"/>
  <c r="N593" i="11"/>
  <c r="M593" i="11"/>
  <c r="L593" i="11"/>
  <c r="K593" i="11"/>
  <c r="J593" i="11"/>
  <c r="I593" i="11"/>
  <c r="H593" i="11"/>
  <c r="G593" i="11"/>
  <c r="F593" i="11"/>
  <c r="E593" i="11"/>
  <c r="D593" i="11"/>
  <c r="C593" i="11"/>
  <c r="B593" i="11"/>
  <c r="A593" i="11"/>
  <c r="Z592" i="11"/>
  <c r="Y592" i="11"/>
  <c r="X592" i="11"/>
  <c r="W592" i="11"/>
  <c r="V592" i="11"/>
  <c r="U592" i="11"/>
  <c r="T592" i="11"/>
  <c r="S592" i="11"/>
  <c r="R592" i="11"/>
  <c r="Q592" i="11"/>
  <c r="P592" i="11"/>
  <c r="O592" i="11"/>
  <c r="N592" i="11"/>
  <c r="M592" i="11"/>
  <c r="L592" i="11"/>
  <c r="K592" i="11"/>
  <c r="J592" i="11"/>
  <c r="I592" i="11"/>
  <c r="H592" i="11"/>
  <c r="G592" i="11"/>
  <c r="F592" i="11"/>
  <c r="E592" i="11"/>
  <c r="D592" i="11"/>
  <c r="C592" i="11"/>
  <c r="B592" i="11"/>
  <c r="A592" i="11"/>
  <c r="Z591" i="11"/>
  <c r="Y591" i="11"/>
  <c r="X591" i="11"/>
  <c r="W591" i="11"/>
  <c r="V591" i="11"/>
  <c r="U591" i="11"/>
  <c r="T591" i="11"/>
  <c r="S591" i="11"/>
  <c r="R591" i="11"/>
  <c r="Q591" i="11"/>
  <c r="P591" i="11"/>
  <c r="O591" i="11"/>
  <c r="N591" i="11"/>
  <c r="M591" i="11"/>
  <c r="L591" i="11"/>
  <c r="K591" i="11"/>
  <c r="J591" i="11"/>
  <c r="I591" i="11"/>
  <c r="H591" i="11"/>
  <c r="G591" i="11"/>
  <c r="F591" i="11"/>
  <c r="E591" i="11"/>
  <c r="D591" i="11"/>
  <c r="C591" i="11"/>
  <c r="B591" i="11"/>
  <c r="A591" i="11"/>
  <c r="Z590" i="11"/>
  <c r="Y590" i="11"/>
  <c r="X590" i="11"/>
  <c r="W590" i="11"/>
  <c r="V590" i="11"/>
  <c r="U590" i="11"/>
  <c r="T590" i="11"/>
  <c r="S590" i="11"/>
  <c r="R590" i="11"/>
  <c r="Q590" i="11"/>
  <c r="P590" i="11"/>
  <c r="O590" i="11"/>
  <c r="N590" i="11"/>
  <c r="M590" i="11"/>
  <c r="L590" i="11"/>
  <c r="K590" i="11"/>
  <c r="J590" i="11"/>
  <c r="I590" i="11"/>
  <c r="H590" i="11"/>
  <c r="G590" i="11"/>
  <c r="F590" i="11"/>
  <c r="E590" i="11"/>
  <c r="D590" i="11"/>
  <c r="C590" i="11"/>
  <c r="B590" i="11"/>
  <c r="A590" i="11"/>
  <c r="Z589" i="11"/>
  <c r="Y589" i="11"/>
  <c r="X589" i="11"/>
  <c r="W589" i="11"/>
  <c r="V589" i="11"/>
  <c r="U589" i="11"/>
  <c r="T589" i="11"/>
  <c r="S589" i="11"/>
  <c r="R589" i="11"/>
  <c r="Q589" i="11"/>
  <c r="P589" i="11"/>
  <c r="O589" i="11"/>
  <c r="N589" i="11"/>
  <c r="M589" i="11"/>
  <c r="L589" i="11"/>
  <c r="K589" i="11"/>
  <c r="J589" i="11"/>
  <c r="I589" i="11"/>
  <c r="H589" i="11"/>
  <c r="G589" i="11"/>
  <c r="F589" i="11"/>
  <c r="E589" i="11"/>
  <c r="D589" i="11"/>
  <c r="C589" i="11"/>
  <c r="B589" i="11"/>
  <c r="A589" i="11"/>
  <c r="Z588" i="11"/>
  <c r="Y588" i="11"/>
  <c r="X588" i="11"/>
  <c r="W588" i="11"/>
  <c r="V588" i="11"/>
  <c r="U588" i="11"/>
  <c r="T588" i="11"/>
  <c r="S588" i="11"/>
  <c r="R588" i="11"/>
  <c r="Q588" i="11"/>
  <c r="P588" i="11"/>
  <c r="O588" i="11"/>
  <c r="N588" i="11"/>
  <c r="M588" i="11"/>
  <c r="L588" i="11"/>
  <c r="K588" i="11"/>
  <c r="J588" i="11"/>
  <c r="I588" i="11"/>
  <c r="H588" i="11"/>
  <c r="G588" i="11"/>
  <c r="F588" i="11"/>
  <c r="E588" i="11"/>
  <c r="D588" i="11"/>
  <c r="C588" i="11"/>
  <c r="B588" i="11"/>
  <c r="A588" i="11"/>
  <c r="Z587" i="11"/>
  <c r="Y587" i="11"/>
  <c r="X587" i="11"/>
  <c r="W587" i="11"/>
  <c r="V587" i="11"/>
  <c r="U587" i="11"/>
  <c r="T587" i="11"/>
  <c r="S587" i="11"/>
  <c r="R587" i="11"/>
  <c r="Q587" i="11"/>
  <c r="P587" i="11"/>
  <c r="O587" i="11"/>
  <c r="N587" i="11"/>
  <c r="M587" i="11"/>
  <c r="L587" i="11"/>
  <c r="K587" i="11"/>
  <c r="J587" i="11"/>
  <c r="I587" i="11"/>
  <c r="H587" i="11"/>
  <c r="G587" i="11"/>
  <c r="F587" i="11"/>
  <c r="E587" i="11"/>
  <c r="D587" i="11"/>
  <c r="C587" i="11"/>
  <c r="B587" i="11"/>
  <c r="A587" i="11"/>
  <c r="Z586" i="11"/>
  <c r="Y586" i="11"/>
  <c r="X586" i="11"/>
  <c r="W586" i="11"/>
  <c r="V586" i="11"/>
  <c r="U586" i="11"/>
  <c r="T586" i="11"/>
  <c r="S586" i="11"/>
  <c r="R586" i="11"/>
  <c r="Q586" i="11"/>
  <c r="P586" i="11"/>
  <c r="O586" i="11"/>
  <c r="N586" i="11"/>
  <c r="M586" i="11"/>
  <c r="L586" i="11"/>
  <c r="K586" i="11"/>
  <c r="J586" i="11"/>
  <c r="I586" i="11"/>
  <c r="H586" i="11"/>
  <c r="G586" i="11"/>
  <c r="F586" i="11"/>
  <c r="E586" i="11"/>
  <c r="D586" i="11"/>
  <c r="C586" i="11"/>
  <c r="B586" i="11"/>
  <c r="A586" i="11"/>
  <c r="Z585" i="11"/>
  <c r="Y585" i="11"/>
  <c r="X585" i="11"/>
  <c r="W585" i="11"/>
  <c r="V585" i="11"/>
  <c r="U585" i="11"/>
  <c r="T585" i="11"/>
  <c r="S585" i="11"/>
  <c r="R585" i="11"/>
  <c r="Q585" i="11"/>
  <c r="P585" i="11"/>
  <c r="O585" i="11"/>
  <c r="N585" i="11"/>
  <c r="M585" i="11"/>
  <c r="L585" i="11"/>
  <c r="K585" i="11"/>
  <c r="J585" i="11"/>
  <c r="I585" i="11"/>
  <c r="H585" i="11"/>
  <c r="G585" i="11"/>
  <c r="F585" i="11"/>
  <c r="E585" i="11"/>
  <c r="D585" i="11"/>
  <c r="C585" i="11"/>
  <c r="B585" i="11"/>
  <c r="A585" i="11"/>
  <c r="Z584" i="11"/>
  <c r="Y584" i="11"/>
  <c r="X584" i="11"/>
  <c r="W584" i="11"/>
  <c r="V584" i="11"/>
  <c r="U584" i="11"/>
  <c r="T584" i="11"/>
  <c r="S584" i="11"/>
  <c r="R584" i="11"/>
  <c r="Q584" i="11"/>
  <c r="P584" i="11"/>
  <c r="O584" i="11"/>
  <c r="N584" i="11"/>
  <c r="M584" i="11"/>
  <c r="L584" i="11"/>
  <c r="K584" i="11"/>
  <c r="J584" i="11"/>
  <c r="I584" i="11"/>
  <c r="H584" i="11"/>
  <c r="G584" i="11"/>
  <c r="F584" i="11"/>
  <c r="E584" i="11"/>
  <c r="D584" i="11"/>
  <c r="C584" i="11"/>
  <c r="B584" i="11"/>
  <c r="A584" i="11"/>
  <c r="Z583" i="11"/>
  <c r="Y583" i="11"/>
  <c r="X583" i="11"/>
  <c r="W583" i="11"/>
  <c r="V583" i="11"/>
  <c r="U583" i="11"/>
  <c r="T583" i="11"/>
  <c r="S583" i="11"/>
  <c r="R583" i="11"/>
  <c r="Q583" i="11"/>
  <c r="P583" i="11"/>
  <c r="O583" i="11"/>
  <c r="N583" i="11"/>
  <c r="M583" i="11"/>
  <c r="L583" i="11"/>
  <c r="K583" i="11"/>
  <c r="J583" i="11"/>
  <c r="I583" i="11"/>
  <c r="H583" i="11"/>
  <c r="G583" i="11"/>
  <c r="F583" i="11"/>
  <c r="E583" i="11"/>
  <c r="D583" i="11"/>
  <c r="C583" i="11"/>
  <c r="B583" i="11"/>
  <c r="A583" i="11"/>
  <c r="Z582" i="11"/>
  <c r="Y582" i="11"/>
  <c r="X582" i="11"/>
  <c r="W582" i="11"/>
  <c r="V582" i="11"/>
  <c r="U582" i="11"/>
  <c r="T582" i="11"/>
  <c r="S582" i="11"/>
  <c r="R582" i="11"/>
  <c r="Q582" i="11"/>
  <c r="P582" i="11"/>
  <c r="O582" i="11"/>
  <c r="N582" i="11"/>
  <c r="M582" i="11"/>
  <c r="L582" i="11"/>
  <c r="K582" i="11"/>
  <c r="J582" i="11"/>
  <c r="I582" i="11"/>
  <c r="H582" i="11"/>
  <c r="G582" i="11"/>
  <c r="F582" i="11"/>
  <c r="E582" i="11"/>
  <c r="D582" i="11"/>
  <c r="C582" i="11"/>
  <c r="B582" i="11"/>
  <c r="A582" i="11"/>
  <c r="Z581" i="11"/>
  <c r="Y581" i="11"/>
  <c r="X581" i="11"/>
  <c r="W581" i="11"/>
  <c r="V581" i="11"/>
  <c r="U581" i="11"/>
  <c r="T581" i="11"/>
  <c r="S581" i="11"/>
  <c r="R581" i="11"/>
  <c r="Q581" i="11"/>
  <c r="P581" i="11"/>
  <c r="O581" i="11"/>
  <c r="N581" i="11"/>
  <c r="M581" i="11"/>
  <c r="L581" i="11"/>
  <c r="K581" i="11"/>
  <c r="J581" i="11"/>
  <c r="I581" i="11"/>
  <c r="H581" i="11"/>
  <c r="G581" i="11"/>
  <c r="F581" i="11"/>
  <c r="E581" i="11"/>
  <c r="D581" i="11"/>
  <c r="C581" i="11"/>
  <c r="B581" i="11"/>
  <c r="A581" i="11"/>
  <c r="Z580" i="11"/>
  <c r="Y580" i="11"/>
  <c r="X580" i="11"/>
  <c r="W580" i="11"/>
  <c r="V580" i="11"/>
  <c r="U580" i="11"/>
  <c r="T580" i="11"/>
  <c r="S580" i="11"/>
  <c r="R580" i="11"/>
  <c r="Q580" i="11"/>
  <c r="P580" i="11"/>
  <c r="O580" i="11"/>
  <c r="N580" i="11"/>
  <c r="M580" i="11"/>
  <c r="L580" i="11"/>
  <c r="K580" i="11"/>
  <c r="J580" i="11"/>
  <c r="I580" i="11"/>
  <c r="H580" i="11"/>
  <c r="G580" i="11"/>
  <c r="F580" i="11"/>
  <c r="E580" i="11"/>
  <c r="D580" i="11"/>
  <c r="C580" i="11"/>
  <c r="B580" i="11"/>
  <c r="A580" i="11"/>
  <c r="Z579" i="11"/>
  <c r="Y579" i="11"/>
  <c r="X579" i="11"/>
  <c r="W579" i="11"/>
  <c r="V579" i="11"/>
  <c r="U579" i="11"/>
  <c r="T579" i="11"/>
  <c r="S579" i="11"/>
  <c r="R579" i="11"/>
  <c r="Q579" i="11"/>
  <c r="P579" i="11"/>
  <c r="O579" i="11"/>
  <c r="N579" i="11"/>
  <c r="M579" i="11"/>
  <c r="L579" i="11"/>
  <c r="K579" i="11"/>
  <c r="J579" i="11"/>
  <c r="I579" i="11"/>
  <c r="H579" i="11"/>
  <c r="G579" i="11"/>
  <c r="F579" i="11"/>
  <c r="E579" i="11"/>
  <c r="D579" i="11"/>
  <c r="C579" i="11"/>
  <c r="B579" i="11"/>
  <c r="A579" i="11"/>
  <c r="Z578" i="11"/>
  <c r="Y578" i="11"/>
  <c r="X578" i="11"/>
  <c r="W578" i="11"/>
  <c r="V578" i="11"/>
  <c r="U578" i="11"/>
  <c r="T578" i="11"/>
  <c r="S578" i="11"/>
  <c r="R578" i="11"/>
  <c r="Q578" i="11"/>
  <c r="P578" i="11"/>
  <c r="O578" i="11"/>
  <c r="N578" i="11"/>
  <c r="M578" i="11"/>
  <c r="L578" i="11"/>
  <c r="K578" i="11"/>
  <c r="J578" i="11"/>
  <c r="I578" i="11"/>
  <c r="H578" i="11"/>
  <c r="G578" i="11"/>
  <c r="F578" i="11"/>
  <c r="E578" i="11"/>
  <c r="D578" i="11"/>
  <c r="C578" i="11"/>
  <c r="B578" i="11"/>
  <c r="A578" i="11"/>
  <c r="Z577" i="11"/>
  <c r="Y577" i="11"/>
  <c r="X577" i="11"/>
  <c r="W577" i="11"/>
  <c r="V577" i="11"/>
  <c r="U577" i="11"/>
  <c r="T577" i="11"/>
  <c r="S577" i="11"/>
  <c r="R577" i="11"/>
  <c r="Q577" i="11"/>
  <c r="P577" i="11"/>
  <c r="O577" i="11"/>
  <c r="N577" i="11"/>
  <c r="M577" i="11"/>
  <c r="L577" i="11"/>
  <c r="K577" i="11"/>
  <c r="J577" i="11"/>
  <c r="I577" i="11"/>
  <c r="H577" i="11"/>
  <c r="G577" i="11"/>
  <c r="F577" i="11"/>
  <c r="E577" i="11"/>
  <c r="D577" i="11"/>
  <c r="C577" i="11"/>
  <c r="B577" i="11"/>
  <c r="A577" i="11"/>
  <c r="Z576" i="11"/>
  <c r="Y576" i="11"/>
  <c r="X576" i="11"/>
  <c r="W576" i="11"/>
  <c r="V576" i="11"/>
  <c r="U576" i="11"/>
  <c r="T576" i="11"/>
  <c r="S576" i="11"/>
  <c r="R576" i="11"/>
  <c r="Q576" i="11"/>
  <c r="P576" i="11"/>
  <c r="O576" i="11"/>
  <c r="N576" i="11"/>
  <c r="M576" i="11"/>
  <c r="L576" i="11"/>
  <c r="K576" i="11"/>
  <c r="J576" i="11"/>
  <c r="I576" i="11"/>
  <c r="H576" i="11"/>
  <c r="G576" i="11"/>
  <c r="F576" i="11"/>
  <c r="E576" i="11"/>
  <c r="D576" i="11"/>
  <c r="C576" i="11"/>
  <c r="B576" i="11"/>
  <c r="A576" i="11"/>
  <c r="Z575" i="11"/>
  <c r="Y575" i="11"/>
  <c r="X575" i="11"/>
  <c r="W575" i="11"/>
  <c r="V575" i="11"/>
  <c r="U575" i="11"/>
  <c r="T575" i="11"/>
  <c r="S575" i="11"/>
  <c r="R575" i="11"/>
  <c r="Q575" i="11"/>
  <c r="P575" i="11"/>
  <c r="O575" i="11"/>
  <c r="N575" i="11"/>
  <c r="M575" i="11"/>
  <c r="L575" i="11"/>
  <c r="K575" i="11"/>
  <c r="J575" i="11"/>
  <c r="I575" i="11"/>
  <c r="H575" i="11"/>
  <c r="G575" i="11"/>
  <c r="F575" i="11"/>
  <c r="E575" i="11"/>
  <c r="D575" i="11"/>
  <c r="C575" i="11"/>
  <c r="B575" i="11"/>
  <c r="A575" i="11"/>
  <c r="Z574" i="11"/>
  <c r="Y574" i="11"/>
  <c r="X574" i="11"/>
  <c r="W574" i="11"/>
  <c r="V574" i="11"/>
  <c r="U574" i="11"/>
  <c r="T574" i="11"/>
  <c r="S574" i="11"/>
  <c r="R574" i="11"/>
  <c r="Q574" i="11"/>
  <c r="P574" i="11"/>
  <c r="O574" i="11"/>
  <c r="N574" i="11"/>
  <c r="M574" i="11"/>
  <c r="L574" i="11"/>
  <c r="K574" i="11"/>
  <c r="J574" i="11"/>
  <c r="I574" i="11"/>
  <c r="H574" i="11"/>
  <c r="G574" i="11"/>
  <c r="F574" i="11"/>
  <c r="E574" i="11"/>
  <c r="D574" i="11"/>
  <c r="C574" i="11"/>
  <c r="B574" i="11"/>
  <c r="A574" i="11"/>
  <c r="Z573" i="11"/>
  <c r="Y573" i="11"/>
  <c r="X573" i="11"/>
  <c r="W573" i="11"/>
  <c r="V573" i="11"/>
  <c r="U573" i="11"/>
  <c r="T573" i="11"/>
  <c r="S573" i="11"/>
  <c r="R573" i="11"/>
  <c r="Q573" i="11"/>
  <c r="P573" i="11"/>
  <c r="O573" i="11"/>
  <c r="N573" i="11"/>
  <c r="M573" i="11"/>
  <c r="L573" i="11"/>
  <c r="K573" i="11"/>
  <c r="J573" i="11"/>
  <c r="I573" i="11"/>
  <c r="H573" i="11"/>
  <c r="G573" i="11"/>
  <c r="F573" i="11"/>
  <c r="E573" i="11"/>
  <c r="D573" i="11"/>
  <c r="C573" i="11"/>
  <c r="B573" i="11"/>
  <c r="A573" i="11"/>
  <c r="Z572" i="11"/>
  <c r="Y572" i="11"/>
  <c r="X572" i="11"/>
  <c r="W572" i="11"/>
  <c r="V572" i="11"/>
  <c r="U572" i="11"/>
  <c r="T572" i="11"/>
  <c r="S572" i="11"/>
  <c r="R572" i="11"/>
  <c r="Q572" i="11"/>
  <c r="P572" i="11"/>
  <c r="O572" i="11"/>
  <c r="N572" i="11"/>
  <c r="M572" i="11"/>
  <c r="L572" i="11"/>
  <c r="K572" i="11"/>
  <c r="J572" i="11"/>
  <c r="I572" i="11"/>
  <c r="H572" i="11"/>
  <c r="G572" i="11"/>
  <c r="F572" i="11"/>
  <c r="E572" i="11"/>
  <c r="D572" i="11"/>
  <c r="C572" i="11"/>
  <c r="B572" i="11"/>
  <c r="A572" i="11"/>
  <c r="Z571" i="11"/>
  <c r="Y571" i="11"/>
  <c r="X571" i="11"/>
  <c r="W571" i="11"/>
  <c r="V571" i="11"/>
  <c r="U571" i="11"/>
  <c r="T571" i="11"/>
  <c r="S571" i="11"/>
  <c r="R571" i="11"/>
  <c r="Q571" i="11"/>
  <c r="P571" i="11"/>
  <c r="O571" i="11"/>
  <c r="N571" i="11"/>
  <c r="M571" i="11"/>
  <c r="L571" i="11"/>
  <c r="K571" i="11"/>
  <c r="J571" i="11"/>
  <c r="I571" i="11"/>
  <c r="H571" i="11"/>
  <c r="G571" i="11"/>
  <c r="F571" i="11"/>
  <c r="E571" i="11"/>
  <c r="D571" i="11"/>
  <c r="C571" i="11"/>
  <c r="B571" i="11"/>
  <c r="A571" i="11"/>
  <c r="Z570" i="11"/>
  <c r="Y570" i="11"/>
  <c r="X570" i="11"/>
  <c r="W570" i="11"/>
  <c r="V570" i="11"/>
  <c r="U570" i="11"/>
  <c r="T570" i="11"/>
  <c r="S570" i="11"/>
  <c r="R570" i="11"/>
  <c r="Q570" i="11"/>
  <c r="P570" i="11"/>
  <c r="O570" i="11"/>
  <c r="N570" i="11"/>
  <c r="M570" i="11"/>
  <c r="L570" i="11"/>
  <c r="K570" i="11"/>
  <c r="J570" i="11"/>
  <c r="I570" i="11"/>
  <c r="H570" i="11"/>
  <c r="G570" i="11"/>
  <c r="F570" i="11"/>
  <c r="E570" i="11"/>
  <c r="D570" i="11"/>
  <c r="C570" i="11"/>
  <c r="B570" i="11"/>
  <c r="A570" i="11"/>
  <c r="Z569" i="11"/>
  <c r="Y569" i="11"/>
  <c r="X569" i="11"/>
  <c r="W569" i="11"/>
  <c r="V569" i="11"/>
  <c r="U569" i="11"/>
  <c r="T569" i="11"/>
  <c r="S569" i="11"/>
  <c r="R569" i="11"/>
  <c r="Q569" i="11"/>
  <c r="P569" i="11"/>
  <c r="O569" i="11"/>
  <c r="N569" i="11"/>
  <c r="M569" i="11"/>
  <c r="L569" i="11"/>
  <c r="K569" i="11"/>
  <c r="J569" i="11"/>
  <c r="I569" i="11"/>
  <c r="H569" i="11"/>
  <c r="G569" i="11"/>
  <c r="F569" i="11"/>
  <c r="E569" i="11"/>
  <c r="D569" i="11"/>
  <c r="C569" i="11"/>
  <c r="B569" i="11"/>
  <c r="A569" i="11"/>
  <c r="Z568" i="11"/>
  <c r="Y568" i="11"/>
  <c r="X568" i="11"/>
  <c r="W568" i="11"/>
  <c r="V568" i="11"/>
  <c r="U568" i="11"/>
  <c r="T568" i="11"/>
  <c r="S568" i="11"/>
  <c r="R568" i="11"/>
  <c r="Q568" i="11"/>
  <c r="P568" i="11"/>
  <c r="O568" i="11"/>
  <c r="N568" i="11"/>
  <c r="M568" i="11"/>
  <c r="L568" i="11"/>
  <c r="K568" i="11"/>
  <c r="J568" i="11"/>
  <c r="I568" i="11"/>
  <c r="H568" i="11"/>
  <c r="G568" i="11"/>
  <c r="F568" i="11"/>
  <c r="E568" i="11"/>
  <c r="D568" i="11"/>
  <c r="C568" i="11"/>
  <c r="B568" i="11"/>
  <c r="A568" i="11"/>
  <c r="Z567" i="11"/>
  <c r="Y567" i="11"/>
  <c r="X567" i="11"/>
  <c r="W567" i="11"/>
  <c r="V567" i="11"/>
  <c r="U567" i="11"/>
  <c r="T567" i="11"/>
  <c r="S567" i="11"/>
  <c r="R567" i="11"/>
  <c r="Q567" i="11"/>
  <c r="P567" i="11"/>
  <c r="O567" i="11"/>
  <c r="N567" i="11"/>
  <c r="M567" i="11"/>
  <c r="L567" i="11"/>
  <c r="K567" i="11"/>
  <c r="J567" i="11"/>
  <c r="I567" i="11"/>
  <c r="H567" i="11"/>
  <c r="G567" i="11"/>
  <c r="F567" i="11"/>
  <c r="E567" i="11"/>
  <c r="D567" i="11"/>
  <c r="C567" i="11"/>
  <c r="B567" i="11"/>
  <c r="A567" i="11"/>
  <c r="Z566" i="11"/>
  <c r="Y566" i="11"/>
  <c r="X566" i="11"/>
  <c r="W566" i="11"/>
  <c r="V566" i="11"/>
  <c r="U566" i="11"/>
  <c r="T566" i="11"/>
  <c r="S566" i="11"/>
  <c r="R566" i="11"/>
  <c r="Q566" i="11"/>
  <c r="P566" i="11"/>
  <c r="O566" i="11"/>
  <c r="N566" i="11"/>
  <c r="M566" i="11"/>
  <c r="L566" i="11"/>
  <c r="K566" i="11"/>
  <c r="J566" i="11"/>
  <c r="I566" i="11"/>
  <c r="H566" i="11"/>
  <c r="G566" i="11"/>
  <c r="F566" i="11"/>
  <c r="E566" i="11"/>
  <c r="D566" i="11"/>
  <c r="C566" i="11"/>
  <c r="B566" i="11"/>
  <c r="A566" i="11"/>
  <c r="Z565" i="11"/>
  <c r="Y565" i="11"/>
  <c r="X565" i="11"/>
  <c r="W565" i="11"/>
  <c r="V565" i="11"/>
  <c r="U565" i="11"/>
  <c r="T565" i="11"/>
  <c r="S565" i="11"/>
  <c r="R565" i="11"/>
  <c r="Q565" i="11"/>
  <c r="P565" i="11"/>
  <c r="O565" i="11"/>
  <c r="N565" i="11"/>
  <c r="M565" i="11"/>
  <c r="L565" i="11"/>
  <c r="K565" i="11"/>
  <c r="J565" i="11"/>
  <c r="I565" i="11"/>
  <c r="H565" i="11"/>
  <c r="G565" i="11"/>
  <c r="F565" i="11"/>
  <c r="E565" i="11"/>
  <c r="D565" i="11"/>
  <c r="C565" i="11"/>
  <c r="B565" i="11"/>
  <c r="A565" i="11"/>
  <c r="Z564" i="11"/>
  <c r="Y564" i="11"/>
  <c r="X564" i="11"/>
  <c r="W564" i="11"/>
  <c r="V564" i="11"/>
  <c r="U564" i="11"/>
  <c r="T564" i="11"/>
  <c r="S564" i="11"/>
  <c r="R564" i="11"/>
  <c r="Q564" i="11"/>
  <c r="P564" i="11"/>
  <c r="O564" i="11"/>
  <c r="N564" i="11"/>
  <c r="M564" i="11"/>
  <c r="L564" i="11"/>
  <c r="K564" i="11"/>
  <c r="J564" i="11"/>
  <c r="I564" i="11"/>
  <c r="H564" i="11"/>
  <c r="G564" i="11"/>
  <c r="F564" i="11"/>
  <c r="E564" i="11"/>
  <c r="D564" i="11"/>
  <c r="C564" i="11"/>
  <c r="B564" i="11"/>
  <c r="A564" i="11"/>
  <c r="Z563" i="11"/>
  <c r="Y563" i="11"/>
  <c r="X563" i="11"/>
  <c r="W563" i="11"/>
  <c r="V563" i="11"/>
  <c r="U563" i="11"/>
  <c r="T563" i="11"/>
  <c r="S563" i="11"/>
  <c r="R563" i="11"/>
  <c r="Q563" i="11"/>
  <c r="P563" i="11"/>
  <c r="O563" i="11"/>
  <c r="N563" i="11"/>
  <c r="M563" i="11"/>
  <c r="L563" i="11"/>
  <c r="K563" i="11"/>
  <c r="J563" i="11"/>
  <c r="I563" i="11"/>
  <c r="H563" i="11"/>
  <c r="G563" i="11"/>
  <c r="F563" i="11"/>
  <c r="E563" i="11"/>
  <c r="D563" i="11"/>
  <c r="C563" i="11"/>
  <c r="B563" i="11"/>
  <c r="A563" i="11"/>
  <c r="Z562" i="11"/>
  <c r="Y562" i="11"/>
  <c r="X562" i="11"/>
  <c r="W562" i="11"/>
  <c r="V562" i="11"/>
  <c r="U562" i="11"/>
  <c r="T562" i="11"/>
  <c r="S562" i="11"/>
  <c r="R562" i="11"/>
  <c r="Q562" i="11"/>
  <c r="P562" i="11"/>
  <c r="O562" i="11"/>
  <c r="N562" i="11"/>
  <c r="M562" i="11"/>
  <c r="L562" i="11"/>
  <c r="K562" i="11"/>
  <c r="J562" i="11"/>
  <c r="I562" i="11"/>
  <c r="H562" i="11"/>
  <c r="G562" i="11"/>
  <c r="F562" i="11"/>
  <c r="E562" i="11"/>
  <c r="D562" i="11"/>
  <c r="C562" i="11"/>
  <c r="B562" i="11"/>
  <c r="A562" i="11"/>
  <c r="Z561" i="11"/>
  <c r="Y561" i="11"/>
  <c r="X561" i="11"/>
  <c r="W561" i="11"/>
  <c r="V561" i="11"/>
  <c r="U561" i="11"/>
  <c r="T561" i="11"/>
  <c r="S561" i="11"/>
  <c r="R561" i="11"/>
  <c r="Q561" i="11"/>
  <c r="P561" i="11"/>
  <c r="O561" i="11"/>
  <c r="N561" i="11"/>
  <c r="M561" i="11"/>
  <c r="L561" i="11"/>
  <c r="K561" i="11"/>
  <c r="J561" i="11"/>
  <c r="I561" i="11"/>
  <c r="H561" i="11"/>
  <c r="G561" i="11"/>
  <c r="F561" i="11"/>
  <c r="E561" i="11"/>
  <c r="D561" i="11"/>
  <c r="C561" i="11"/>
  <c r="B561" i="11"/>
  <c r="A561" i="11"/>
  <c r="Z560" i="11"/>
  <c r="Y560" i="11"/>
  <c r="X560" i="11"/>
  <c r="W560" i="11"/>
  <c r="V560" i="11"/>
  <c r="U560" i="11"/>
  <c r="T560" i="11"/>
  <c r="S560" i="11"/>
  <c r="R560" i="11"/>
  <c r="Q560" i="11"/>
  <c r="P560" i="11"/>
  <c r="O560" i="11"/>
  <c r="N560" i="11"/>
  <c r="M560" i="11"/>
  <c r="L560" i="11"/>
  <c r="K560" i="11"/>
  <c r="J560" i="11"/>
  <c r="I560" i="11"/>
  <c r="H560" i="11"/>
  <c r="G560" i="11"/>
  <c r="F560" i="11"/>
  <c r="E560" i="11"/>
  <c r="D560" i="11"/>
  <c r="C560" i="11"/>
  <c r="B560" i="11"/>
  <c r="A560" i="11"/>
  <c r="Z559" i="11"/>
  <c r="Y559" i="11"/>
  <c r="X559" i="11"/>
  <c r="W559" i="11"/>
  <c r="V559" i="11"/>
  <c r="U559" i="11"/>
  <c r="T559" i="11"/>
  <c r="S559" i="11"/>
  <c r="R559" i="11"/>
  <c r="Q559" i="11"/>
  <c r="P559" i="11"/>
  <c r="O559" i="11"/>
  <c r="N559" i="11"/>
  <c r="M559" i="11"/>
  <c r="L559" i="11"/>
  <c r="K559" i="11"/>
  <c r="J559" i="11"/>
  <c r="I559" i="11"/>
  <c r="H559" i="11"/>
  <c r="G559" i="11"/>
  <c r="F559" i="11"/>
  <c r="E559" i="11"/>
  <c r="D559" i="11"/>
  <c r="C559" i="11"/>
  <c r="B559" i="11"/>
  <c r="A559" i="11"/>
  <c r="Z558" i="11"/>
  <c r="Y558" i="11"/>
  <c r="X558" i="11"/>
  <c r="W558" i="11"/>
  <c r="V558" i="11"/>
  <c r="U558" i="11"/>
  <c r="T558" i="11"/>
  <c r="S558" i="11"/>
  <c r="R558" i="11"/>
  <c r="Q558" i="11"/>
  <c r="P558" i="11"/>
  <c r="O558" i="11"/>
  <c r="N558" i="11"/>
  <c r="M558" i="11"/>
  <c r="L558" i="11"/>
  <c r="K558" i="11"/>
  <c r="J558" i="11"/>
  <c r="I558" i="11"/>
  <c r="H558" i="11"/>
  <c r="G558" i="11"/>
  <c r="F558" i="11"/>
  <c r="E558" i="11"/>
  <c r="D558" i="11"/>
  <c r="C558" i="11"/>
  <c r="B558" i="11"/>
  <c r="A558" i="11"/>
  <c r="Z557" i="11"/>
  <c r="Y557" i="11"/>
  <c r="X557" i="11"/>
  <c r="W557" i="11"/>
  <c r="V557" i="11"/>
  <c r="U557" i="11"/>
  <c r="T557" i="11"/>
  <c r="S557" i="11"/>
  <c r="R557" i="11"/>
  <c r="Q557" i="11"/>
  <c r="P557" i="11"/>
  <c r="O557" i="11"/>
  <c r="N557" i="11"/>
  <c r="M557" i="11"/>
  <c r="L557" i="11"/>
  <c r="K557" i="11"/>
  <c r="J557" i="11"/>
  <c r="I557" i="11"/>
  <c r="H557" i="11"/>
  <c r="G557" i="11"/>
  <c r="F557" i="11"/>
  <c r="E557" i="11"/>
  <c r="D557" i="11"/>
  <c r="C557" i="11"/>
  <c r="B557" i="11"/>
  <c r="A557" i="11"/>
  <c r="Z556" i="11"/>
  <c r="Y556" i="11"/>
  <c r="X556" i="11"/>
  <c r="W556" i="11"/>
  <c r="V556" i="11"/>
  <c r="U556" i="11"/>
  <c r="T556" i="11"/>
  <c r="S556" i="11"/>
  <c r="R556" i="11"/>
  <c r="Q556" i="11"/>
  <c r="P556" i="11"/>
  <c r="O556" i="11"/>
  <c r="N556" i="11"/>
  <c r="M556" i="11"/>
  <c r="L556" i="11"/>
  <c r="K556" i="11"/>
  <c r="J556" i="11"/>
  <c r="I556" i="11"/>
  <c r="H556" i="11"/>
  <c r="G556" i="11"/>
  <c r="F556" i="11"/>
  <c r="E556" i="11"/>
  <c r="D556" i="11"/>
  <c r="C556" i="11"/>
  <c r="B556" i="11"/>
  <c r="A556" i="11"/>
  <c r="Z555" i="11"/>
  <c r="Y555" i="11"/>
  <c r="X555" i="11"/>
  <c r="W555" i="11"/>
  <c r="V555" i="11"/>
  <c r="U555" i="11"/>
  <c r="T555" i="11"/>
  <c r="S555" i="11"/>
  <c r="R555" i="11"/>
  <c r="Q555" i="11"/>
  <c r="P555" i="11"/>
  <c r="O555" i="11"/>
  <c r="N555" i="11"/>
  <c r="M555" i="11"/>
  <c r="L555" i="11"/>
  <c r="K555" i="11"/>
  <c r="J555" i="11"/>
  <c r="I555" i="11"/>
  <c r="H555" i="11"/>
  <c r="G555" i="11"/>
  <c r="F555" i="11"/>
  <c r="E555" i="11"/>
  <c r="D555" i="11"/>
  <c r="C555" i="11"/>
  <c r="B555" i="11"/>
  <c r="A555" i="11"/>
  <c r="Z554" i="11"/>
  <c r="Y554" i="11"/>
  <c r="X554" i="11"/>
  <c r="W554" i="11"/>
  <c r="V554" i="11"/>
  <c r="U554" i="11"/>
  <c r="T554" i="11"/>
  <c r="S554" i="11"/>
  <c r="R554" i="11"/>
  <c r="Q554" i="11"/>
  <c r="P554" i="11"/>
  <c r="O554" i="11"/>
  <c r="N554" i="11"/>
  <c r="M554" i="11"/>
  <c r="L554" i="11"/>
  <c r="K554" i="11"/>
  <c r="J554" i="11"/>
  <c r="I554" i="11"/>
  <c r="H554" i="11"/>
  <c r="G554" i="11"/>
  <c r="F554" i="11"/>
  <c r="E554" i="11"/>
  <c r="D554" i="11"/>
  <c r="C554" i="11"/>
  <c r="B554" i="11"/>
  <c r="A554" i="11"/>
  <c r="Z553" i="11"/>
  <c r="Y553" i="11"/>
  <c r="X553" i="11"/>
  <c r="W553" i="11"/>
  <c r="V553" i="11"/>
  <c r="U553" i="11"/>
  <c r="T553" i="11"/>
  <c r="S553" i="11"/>
  <c r="R553" i="11"/>
  <c r="Q553" i="11"/>
  <c r="P553" i="11"/>
  <c r="O553" i="11"/>
  <c r="N553" i="11"/>
  <c r="M553" i="11"/>
  <c r="L553" i="11"/>
  <c r="K553" i="11"/>
  <c r="J553" i="11"/>
  <c r="I553" i="11"/>
  <c r="H553" i="11"/>
  <c r="G553" i="11"/>
  <c r="F553" i="11"/>
  <c r="E553" i="11"/>
  <c r="D553" i="11"/>
  <c r="C553" i="11"/>
  <c r="B553" i="11"/>
  <c r="A553" i="11"/>
  <c r="Z552" i="11"/>
  <c r="Y552" i="11"/>
  <c r="X552" i="11"/>
  <c r="W552" i="11"/>
  <c r="V552" i="11"/>
  <c r="U552" i="11"/>
  <c r="T552" i="11"/>
  <c r="S552" i="11"/>
  <c r="R552" i="11"/>
  <c r="Q552" i="11"/>
  <c r="P552" i="11"/>
  <c r="O552" i="11"/>
  <c r="N552" i="11"/>
  <c r="M552" i="11"/>
  <c r="L552" i="11"/>
  <c r="K552" i="11"/>
  <c r="J552" i="11"/>
  <c r="I552" i="11"/>
  <c r="H552" i="11"/>
  <c r="G552" i="11"/>
  <c r="F552" i="11"/>
  <c r="E552" i="11"/>
  <c r="D552" i="11"/>
  <c r="C552" i="11"/>
  <c r="B552" i="11"/>
  <c r="A552" i="11"/>
  <c r="Z551" i="11"/>
  <c r="Y551" i="11"/>
  <c r="X551" i="11"/>
  <c r="W551" i="11"/>
  <c r="V551" i="11"/>
  <c r="U551" i="11"/>
  <c r="T551" i="11"/>
  <c r="S551" i="11"/>
  <c r="R551" i="11"/>
  <c r="Q551" i="11"/>
  <c r="P551" i="11"/>
  <c r="O551" i="11"/>
  <c r="N551" i="11"/>
  <c r="M551" i="11"/>
  <c r="L551" i="11"/>
  <c r="K551" i="11"/>
  <c r="J551" i="11"/>
  <c r="I551" i="11"/>
  <c r="H551" i="11"/>
  <c r="G551" i="11"/>
  <c r="F551" i="11"/>
  <c r="E551" i="11"/>
  <c r="D551" i="11"/>
  <c r="C551" i="11"/>
  <c r="B551" i="11"/>
  <c r="A551" i="11"/>
  <c r="Z550" i="11"/>
  <c r="Y550" i="11"/>
  <c r="X550" i="11"/>
  <c r="W550" i="11"/>
  <c r="V550" i="11"/>
  <c r="U550" i="11"/>
  <c r="T550" i="11"/>
  <c r="S550" i="11"/>
  <c r="R550" i="11"/>
  <c r="Q550" i="11"/>
  <c r="P550" i="11"/>
  <c r="O550" i="11"/>
  <c r="N550" i="11"/>
  <c r="M550" i="11"/>
  <c r="L550" i="11"/>
  <c r="K550" i="11"/>
  <c r="J550" i="11"/>
  <c r="I550" i="11"/>
  <c r="H550" i="11"/>
  <c r="G550" i="11"/>
  <c r="F550" i="11"/>
  <c r="E550" i="11"/>
  <c r="D550" i="11"/>
  <c r="C550" i="11"/>
  <c r="B550" i="11"/>
  <c r="A550" i="11"/>
  <c r="Z549" i="11"/>
  <c r="Y549" i="11"/>
  <c r="X549" i="11"/>
  <c r="W549" i="11"/>
  <c r="V549" i="11"/>
  <c r="U549" i="11"/>
  <c r="T549" i="11"/>
  <c r="S549" i="11"/>
  <c r="R549" i="11"/>
  <c r="Q549" i="11"/>
  <c r="P549" i="11"/>
  <c r="O549" i="11"/>
  <c r="N549" i="11"/>
  <c r="M549" i="11"/>
  <c r="L549" i="11"/>
  <c r="K549" i="11"/>
  <c r="J549" i="11"/>
  <c r="I549" i="11"/>
  <c r="H549" i="11"/>
  <c r="G549" i="11"/>
  <c r="F549" i="11"/>
  <c r="E549" i="11"/>
  <c r="D549" i="11"/>
  <c r="C549" i="11"/>
  <c r="B549" i="11"/>
  <c r="A549" i="11"/>
  <c r="Z548" i="11"/>
  <c r="Y548" i="11"/>
  <c r="X548" i="11"/>
  <c r="W548" i="11"/>
  <c r="V548" i="11"/>
  <c r="U548" i="11"/>
  <c r="T548" i="11"/>
  <c r="S548" i="11"/>
  <c r="R548" i="11"/>
  <c r="Q548" i="11"/>
  <c r="P548" i="11"/>
  <c r="O548" i="11"/>
  <c r="N548" i="11"/>
  <c r="M548" i="11"/>
  <c r="L548" i="11"/>
  <c r="K548" i="11"/>
  <c r="J548" i="11"/>
  <c r="I548" i="11"/>
  <c r="H548" i="11"/>
  <c r="G548" i="11"/>
  <c r="F548" i="11"/>
  <c r="E548" i="11"/>
  <c r="D548" i="11"/>
  <c r="C548" i="11"/>
  <c r="B548" i="11"/>
  <c r="A548" i="11"/>
  <c r="Z547" i="11"/>
  <c r="Y547" i="11"/>
  <c r="X547" i="11"/>
  <c r="W547" i="11"/>
  <c r="V547" i="11"/>
  <c r="U547" i="11"/>
  <c r="T547" i="11"/>
  <c r="S547" i="11"/>
  <c r="R547" i="11"/>
  <c r="Q547" i="11"/>
  <c r="P547" i="11"/>
  <c r="O547" i="11"/>
  <c r="N547" i="11"/>
  <c r="M547" i="11"/>
  <c r="L547" i="11"/>
  <c r="K547" i="11"/>
  <c r="J547" i="11"/>
  <c r="I547" i="11"/>
  <c r="H547" i="11"/>
  <c r="G547" i="11"/>
  <c r="F547" i="11"/>
  <c r="E547" i="11"/>
  <c r="D547" i="11"/>
  <c r="C547" i="11"/>
  <c r="B547" i="11"/>
  <c r="A547" i="11"/>
  <c r="Z546" i="11"/>
  <c r="Y546" i="11"/>
  <c r="X546" i="11"/>
  <c r="W546" i="11"/>
  <c r="V546" i="11"/>
  <c r="U546" i="11"/>
  <c r="T546" i="11"/>
  <c r="S546" i="11"/>
  <c r="R546" i="11"/>
  <c r="Q546" i="11"/>
  <c r="P546" i="11"/>
  <c r="O546" i="11"/>
  <c r="N546" i="11"/>
  <c r="M546" i="11"/>
  <c r="L546" i="11"/>
  <c r="K546" i="11"/>
  <c r="J546" i="11"/>
  <c r="I546" i="11"/>
  <c r="H546" i="11"/>
  <c r="G546" i="11"/>
  <c r="F546" i="11"/>
  <c r="E546" i="11"/>
  <c r="D546" i="11"/>
  <c r="C546" i="11"/>
  <c r="B546" i="11"/>
  <c r="A546" i="11"/>
  <c r="Z545" i="11"/>
  <c r="Y545" i="11"/>
  <c r="X545" i="11"/>
  <c r="W545" i="11"/>
  <c r="V545" i="11"/>
  <c r="U545" i="11"/>
  <c r="T545" i="11"/>
  <c r="S545" i="11"/>
  <c r="R545" i="11"/>
  <c r="Q545" i="11"/>
  <c r="P545" i="11"/>
  <c r="O545" i="11"/>
  <c r="N545" i="11"/>
  <c r="M545" i="11"/>
  <c r="L545" i="11"/>
  <c r="K545" i="11"/>
  <c r="J545" i="11"/>
  <c r="I545" i="11"/>
  <c r="H545" i="11"/>
  <c r="G545" i="11"/>
  <c r="F545" i="11"/>
  <c r="E545" i="11"/>
  <c r="D545" i="11"/>
  <c r="C545" i="11"/>
  <c r="B545" i="11"/>
  <c r="A545" i="11"/>
  <c r="Z544" i="11"/>
  <c r="Y544" i="11"/>
  <c r="X544" i="11"/>
  <c r="W544" i="11"/>
  <c r="V544" i="11"/>
  <c r="U544" i="11"/>
  <c r="T544" i="11"/>
  <c r="S544" i="11"/>
  <c r="R544" i="11"/>
  <c r="Q544" i="11"/>
  <c r="P544" i="11"/>
  <c r="O544" i="11"/>
  <c r="N544" i="11"/>
  <c r="M544" i="11"/>
  <c r="L544" i="11"/>
  <c r="K544" i="11"/>
  <c r="J544" i="11"/>
  <c r="I544" i="11"/>
  <c r="H544" i="11"/>
  <c r="G544" i="11"/>
  <c r="F544" i="11"/>
  <c r="E544" i="11"/>
  <c r="D544" i="11"/>
  <c r="C544" i="11"/>
  <c r="B544" i="11"/>
  <c r="A544" i="11"/>
  <c r="Z543" i="11"/>
  <c r="Y543" i="11"/>
  <c r="X543" i="11"/>
  <c r="W543" i="11"/>
  <c r="V543" i="11"/>
  <c r="U543" i="11"/>
  <c r="T543" i="11"/>
  <c r="S543" i="11"/>
  <c r="R543" i="11"/>
  <c r="Q543" i="11"/>
  <c r="P543" i="11"/>
  <c r="O543" i="11"/>
  <c r="N543" i="11"/>
  <c r="M543" i="11"/>
  <c r="L543" i="11"/>
  <c r="K543" i="11"/>
  <c r="J543" i="11"/>
  <c r="I543" i="11"/>
  <c r="H543" i="11"/>
  <c r="G543" i="11"/>
  <c r="F543" i="11"/>
  <c r="E543" i="11"/>
  <c r="D543" i="11"/>
  <c r="C543" i="11"/>
  <c r="B543" i="11"/>
  <c r="A543" i="11"/>
  <c r="Z542" i="11"/>
  <c r="Y542" i="11"/>
  <c r="X542" i="11"/>
  <c r="W542" i="11"/>
  <c r="V542" i="11"/>
  <c r="U542" i="11"/>
  <c r="T542" i="11"/>
  <c r="S542" i="11"/>
  <c r="R542" i="11"/>
  <c r="Q542" i="11"/>
  <c r="P542" i="11"/>
  <c r="O542" i="11"/>
  <c r="N542" i="11"/>
  <c r="M542" i="11"/>
  <c r="L542" i="11"/>
  <c r="K542" i="11"/>
  <c r="J542" i="11"/>
  <c r="I542" i="11"/>
  <c r="H542" i="11"/>
  <c r="G542" i="11"/>
  <c r="F542" i="11"/>
  <c r="E542" i="11"/>
  <c r="D542" i="11"/>
  <c r="C542" i="11"/>
  <c r="B542" i="11"/>
  <c r="A542" i="11"/>
  <c r="Z541" i="11"/>
  <c r="Y541" i="11"/>
  <c r="X541" i="11"/>
  <c r="W541" i="11"/>
  <c r="V541" i="11"/>
  <c r="U541" i="11"/>
  <c r="T541" i="11"/>
  <c r="S541" i="11"/>
  <c r="R541" i="11"/>
  <c r="Q541" i="11"/>
  <c r="P541" i="11"/>
  <c r="O541" i="11"/>
  <c r="N541" i="11"/>
  <c r="M541" i="11"/>
  <c r="L541" i="11"/>
  <c r="K541" i="11"/>
  <c r="J541" i="11"/>
  <c r="I541" i="11"/>
  <c r="H541" i="11"/>
  <c r="G541" i="11"/>
  <c r="F541" i="11"/>
  <c r="E541" i="11"/>
  <c r="D541" i="11"/>
  <c r="C541" i="11"/>
  <c r="B541" i="11"/>
  <c r="A541" i="11"/>
  <c r="Z540" i="11"/>
  <c r="Y540" i="11"/>
  <c r="X540" i="11"/>
  <c r="W540" i="11"/>
  <c r="V540" i="11"/>
  <c r="U540" i="11"/>
  <c r="T540" i="11"/>
  <c r="S540" i="11"/>
  <c r="R540" i="11"/>
  <c r="Q540" i="11"/>
  <c r="P540" i="11"/>
  <c r="O540" i="11"/>
  <c r="N540" i="11"/>
  <c r="M540" i="11"/>
  <c r="L540" i="11"/>
  <c r="K540" i="11"/>
  <c r="J540" i="11"/>
  <c r="I540" i="11"/>
  <c r="H540" i="11"/>
  <c r="G540" i="11"/>
  <c r="F540" i="11"/>
  <c r="E540" i="11"/>
  <c r="D540" i="11"/>
  <c r="C540" i="11"/>
  <c r="B540" i="11"/>
  <c r="A540" i="11"/>
  <c r="Z539" i="11"/>
  <c r="Y539" i="11"/>
  <c r="X539" i="11"/>
  <c r="W539" i="11"/>
  <c r="V539" i="11"/>
  <c r="U539" i="11"/>
  <c r="T539" i="11"/>
  <c r="S539" i="11"/>
  <c r="R539" i="11"/>
  <c r="Q539" i="11"/>
  <c r="P539" i="11"/>
  <c r="O539" i="11"/>
  <c r="N539" i="11"/>
  <c r="M539" i="11"/>
  <c r="L539" i="11"/>
  <c r="K539" i="11"/>
  <c r="J539" i="11"/>
  <c r="I539" i="11"/>
  <c r="H539" i="11"/>
  <c r="G539" i="11"/>
  <c r="F539" i="11"/>
  <c r="E539" i="11"/>
  <c r="D539" i="11"/>
  <c r="C539" i="11"/>
  <c r="B539" i="11"/>
  <c r="A539" i="11"/>
  <c r="Z538" i="11"/>
  <c r="Y538" i="11"/>
  <c r="X538" i="11"/>
  <c r="W538" i="11"/>
  <c r="V538" i="11"/>
  <c r="U538" i="11"/>
  <c r="T538" i="11"/>
  <c r="S538" i="11"/>
  <c r="R538" i="11"/>
  <c r="Q538" i="11"/>
  <c r="P538" i="11"/>
  <c r="O538" i="11"/>
  <c r="N538" i="11"/>
  <c r="M538" i="11"/>
  <c r="L538" i="11"/>
  <c r="K538" i="11"/>
  <c r="J538" i="11"/>
  <c r="I538" i="11"/>
  <c r="H538" i="11"/>
  <c r="G538" i="11"/>
  <c r="F538" i="11"/>
  <c r="E538" i="11"/>
  <c r="D538" i="11"/>
  <c r="C538" i="11"/>
  <c r="B538" i="11"/>
  <c r="A538" i="11"/>
  <c r="Z537" i="11"/>
  <c r="Y537" i="11"/>
  <c r="X537" i="11"/>
  <c r="W537" i="11"/>
  <c r="V537" i="11"/>
  <c r="U537" i="11"/>
  <c r="T537" i="11"/>
  <c r="S537" i="11"/>
  <c r="R537" i="11"/>
  <c r="Q537" i="11"/>
  <c r="P537" i="11"/>
  <c r="O537" i="11"/>
  <c r="N537" i="11"/>
  <c r="M537" i="11"/>
  <c r="L537" i="11"/>
  <c r="K537" i="11"/>
  <c r="J537" i="11"/>
  <c r="I537" i="11"/>
  <c r="H537" i="11"/>
  <c r="G537" i="11"/>
  <c r="F537" i="11"/>
  <c r="E537" i="11"/>
  <c r="D537" i="11"/>
  <c r="C537" i="11"/>
  <c r="B537" i="11"/>
  <c r="A537" i="11"/>
  <c r="Z536" i="11"/>
  <c r="Y536" i="11"/>
  <c r="X536" i="11"/>
  <c r="W536" i="11"/>
  <c r="V536" i="11"/>
  <c r="U536" i="11"/>
  <c r="T536" i="11"/>
  <c r="S536" i="11"/>
  <c r="R536" i="11"/>
  <c r="Q536" i="11"/>
  <c r="P536" i="11"/>
  <c r="O536" i="11"/>
  <c r="N536" i="11"/>
  <c r="M536" i="11"/>
  <c r="L536" i="11"/>
  <c r="K536" i="11"/>
  <c r="J536" i="11"/>
  <c r="I536" i="11"/>
  <c r="H536" i="11"/>
  <c r="G536" i="11"/>
  <c r="F536" i="11"/>
  <c r="E536" i="11"/>
  <c r="D536" i="11"/>
  <c r="C536" i="11"/>
  <c r="B536" i="11"/>
  <c r="A536" i="11"/>
  <c r="Z535" i="11"/>
  <c r="Y535" i="11"/>
  <c r="X535" i="11"/>
  <c r="W535" i="11"/>
  <c r="V535" i="11"/>
  <c r="U535" i="11"/>
  <c r="T535" i="11"/>
  <c r="S535" i="11"/>
  <c r="R535" i="11"/>
  <c r="Q535" i="11"/>
  <c r="P535" i="11"/>
  <c r="O535" i="11"/>
  <c r="N535" i="11"/>
  <c r="M535" i="11"/>
  <c r="L535" i="11"/>
  <c r="K535" i="11"/>
  <c r="J535" i="11"/>
  <c r="I535" i="11"/>
  <c r="H535" i="11"/>
  <c r="G535" i="11"/>
  <c r="F535" i="11"/>
  <c r="E535" i="11"/>
  <c r="D535" i="11"/>
  <c r="C535" i="11"/>
  <c r="B535" i="11"/>
  <c r="A535" i="11"/>
  <c r="Z534" i="11"/>
  <c r="Y534" i="11"/>
  <c r="X534" i="11"/>
  <c r="W534" i="11"/>
  <c r="V534" i="11"/>
  <c r="U534" i="11"/>
  <c r="T534" i="11"/>
  <c r="S534" i="11"/>
  <c r="R534" i="11"/>
  <c r="Q534" i="11"/>
  <c r="P534" i="11"/>
  <c r="O534" i="11"/>
  <c r="N534" i="11"/>
  <c r="M534" i="11"/>
  <c r="L534" i="11"/>
  <c r="K534" i="11"/>
  <c r="J534" i="11"/>
  <c r="I534" i="11"/>
  <c r="H534" i="11"/>
  <c r="G534" i="11"/>
  <c r="F534" i="11"/>
  <c r="E534" i="11"/>
  <c r="D534" i="11"/>
  <c r="C534" i="11"/>
  <c r="B534" i="11"/>
  <c r="A534" i="11"/>
  <c r="Z533" i="11"/>
  <c r="Y533" i="11"/>
  <c r="X533" i="11"/>
  <c r="W533" i="11"/>
  <c r="V533" i="11"/>
  <c r="U533" i="11"/>
  <c r="T533" i="11"/>
  <c r="S533" i="11"/>
  <c r="R533" i="11"/>
  <c r="Q533" i="11"/>
  <c r="P533" i="11"/>
  <c r="O533" i="11"/>
  <c r="N533" i="11"/>
  <c r="M533" i="11"/>
  <c r="L533" i="11"/>
  <c r="K533" i="11"/>
  <c r="J533" i="11"/>
  <c r="I533" i="11"/>
  <c r="H533" i="11"/>
  <c r="G533" i="11"/>
  <c r="F533" i="11"/>
  <c r="E533" i="11"/>
  <c r="D533" i="11"/>
  <c r="C533" i="11"/>
  <c r="B533" i="11"/>
  <c r="A533" i="11"/>
  <c r="Z532" i="11"/>
  <c r="Y532" i="11"/>
  <c r="X532" i="11"/>
  <c r="W532" i="11"/>
  <c r="V532" i="11"/>
  <c r="U532" i="11"/>
  <c r="T532" i="11"/>
  <c r="S532" i="11"/>
  <c r="R532" i="11"/>
  <c r="Q532" i="11"/>
  <c r="P532" i="11"/>
  <c r="O532" i="11"/>
  <c r="N532" i="11"/>
  <c r="M532" i="11"/>
  <c r="L532" i="11"/>
  <c r="K532" i="11"/>
  <c r="J532" i="11"/>
  <c r="I532" i="11"/>
  <c r="H532" i="11"/>
  <c r="G532" i="11"/>
  <c r="F532" i="11"/>
  <c r="E532" i="11"/>
  <c r="D532" i="11"/>
  <c r="C532" i="11"/>
  <c r="B532" i="11"/>
  <c r="A532" i="11"/>
  <c r="Z531" i="11"/>
  <c r="Y531" i="11"/>
  <c r="X531" i="11"/>
  <c r="W531" i="11"/>
  <c r="V531" i="11"/>
  <c r="U531" i="11"/>
  <c r="T531" i="11"/>
  <c r="S531" i="11"/>
  <c r="R531" i="11"/>
  <c r="Q531" i="11"/>
  <c r="P531" i="11"/>
  <c r="O531" i="11"/>
  <c r="N531" i="11"/>
  <c r="M531" i="11"/>
  <c r="L531" i="11"/>
  <c r="K531" i="11"/>
  <c r="J531" i="11"/>
  <c r="I531" i="11"/>
  <c r="H531" i="11"/>
  <c r="G531" i="11"/>
  <c r="F531" i="11"/>
  <c r="E531" i="11"/>
  <c r="D531" i="11"/>
  <c r="C531" i="11"/>
  <c r="B531" i="11"/>
  <c r="A531" i="11"/>
  <c r="Z530" i="11"/>
  <c r="Y530" i="11"/>
  <c r="X530" i="11"/>
  <c r="W530" i="11"/>
  <c r="V530" i="11"/>
  <c r="U530" i="11"/>
  <c r="T530" i="11"/>
  <c r="S530" i="11"/>
  <c r="R530" i="11"/>
  <c r="Q530" i="11"/>
  <c r="P530" i="11"/>
  <c r="O530" i="11"/>
  <c r="N530" i="11"/>
  <c r="M530" i="11"/>
  <c r="L530" i="11"/>
  <c r="K530" i="11"/>
  <c r="J530" i="11"/>
  <c r="I530" i="11"/>
  <c r="H530" i="11"/>
  <c r="G530" i="11"/>
  <c r="F530" i="11"/>
  <c r="E530" i="11"/>
  <c r="D530" i="11"/>
  <c r="C530" i="11"/>
  <c r="B530" i="11"/>
  <c r="A530" i="11"/>
  <c r="Z529" i="11"/>
  <c r="Y529" i="11"/>
  <c r="X529" i="11"/>
  <c r="W529" i="11"/>
  <c r="V529" i="11"/>
  <c r="U529" i="11"/>
  <c r="T529" i="11"/>
  <c r="S529" i="11"/>
  <c r="R529" i="11"/>
  <c r="Q529" i="11"/>
  <c r="P529" i="11"/>
  <c r="O529" i="11"/>
  <c r="N529" i="11"/>
  <c r="M529" i="11"/>
  <c r="L529" i="11"/>
  <c r="K529" i="11"/>
  <c r="J529" i="11"/>
  <c r="I529" i="11"/>
  <c r="H529" i="11"/>
  <c r="G529" i="11"/>
  <c r="F529" i="11"/>
  <c r="E529" i="11"/>
  <c r="D529" i="11"/>
  <c r="C529" i="11"/>
  <c r="B529" i="11"/>
  <c r="A529" i="11"/>
  <c r="Z528" i="11"/>
  <c r="Y528" i="11"/>
  <c r="X528" i="11"/>
  <c r="W528" i="11"/>
  <c r="V528" i="11"/>
  <c r="U528" i="11"/>
  <c r="T528" i="11"/>
  <c r="S528" i="11"/>
  <c r="R528" i="11"/>
  <c r="Q528" i="11"/>
  <c r="P528" i="11"/>
  <c r="O528" i="11"/>
  <c r="N528" i="11"/>
  <c r="M528" i="11"/>
  <c r="L528" i="11"/>
  <c r="K528" i="11"/>
  <c r="J528" i="11"/>
  <c r="I528" i="11"/>
  <c r="H528" i="11"/>
  <c r="G528" i="11"/>
  <c r="F528" i="11"/>
  <c r="E528" i="11"/>
  <c r="D528" i="11"/>
  <c r="C528" i="11"/>
  <c r="B528" i="11"/>
  <c r="A528" i="11"/>
  <c r="Z527" i="11"/>
  <c r="Y527" i="11"/>
  <c r="X527" i="11"/>
  <c r="W527" i="11"/>
  <c r="V527" i="11"/>
  <c r="U527" i="11"/>
  <c r="T527" i="11"/>
  <c r="S527" i="11"/>
  <c r="R527" i="11"/>
  <c r="Q527" i="11"/>
  <c r="P527" i="11"/>
  <c r="O527" i="11"/>
  <c r="N527" i="11"/>
  <c r="M527" i="11"/>
  <c r="L527" i="11"/>
  <c r="K527" i="11"/>
  <c r="J527" i="11"/>
  <c r="I527" i="11"/>
  <c r="H527" i="11"/>
  <c r="G527" i="11"/>
  <c r="F527" i="11"/>
  <c r="E527" i="11"/>
  <c r="D527" i="11"/>
  <c r="C527" i="11"/>
  <c r="B527" i="11"/>
  <c r="A527" i="11"/>
  <c r="Z526" i="11"/>
  <c r="Y526" i="11"/>
  <c r="X526" i="11"/>
  <c r="W526" i="11"/>
  <c r="V526" i="11"/>
  <c r="U526" i="11"/>
  <c r="T526" i="11"/>
  <c r="S526" i="11"/>
  <c r="R526" i="11"/>
  <c r="Q526" i="11"/>
  <c r="P526" i="11"/>
  <c r="O526" i="11"/>
  <c r="N526" i="11"/>
  <c r="M526" i="11"/>
  <c r="L526" i="11"/>
  <c r="K526" i="11"/>
  <c r="J526" i="11"/>
  <c r="I526" i="11"/>
  <c r="H526" i="11"/>
  <c r="G526" i="11"/>
  <c r="F526" i="11"/>
  <c r="E526" i="11"/>
  <c r="D526" i="11"/>
  <c r="C526" i="11"/>
  <c r="B526" i="11"/>
  <c r="A526" i="11"/>
  <c r="Z525" i="11"/>
  <c r="Y525" i="11"/>
  <c r="X525" i="11"/>
  <c r="W525" i="11"/>
  <c r="V525" i="11"/>
  <c r="U525" i="11"/>
  <c r="T525" i="11"/>
  <c r="S525" i="11"/>
  <c r="R525" i="11"/>
  <c r="Q525" i="11"/>
  <c r="P525" i="11"/>
  <c r="O525" i="11"/>
  <c r="N525" i="11"/>
  <c r="M525" i="11"/>
  <c r="L525" i="11"/>
  <c r="K525" i="11"/>
  <c r="J525" i="11"/>
  <c r="I525" i="11"/>
  <c r="H525" i="11"/>
  <c r="G525" i="11"/>
  <c r="F525" i="11"/>
  <c r="E525" i="11"/>
  <c r="D525" i="11"/>
  <c r="C525" i="11"/>
  <c r="B525" i="11"/>
  <c r="A525" i="11"/>
  <c r="Z524" i="11"/>
  <c r="Y524" i="11"/>
  <c r="X524" i="11"/>
  <c r="W524" i="11"/>
  <c r="V524" i="11"/>
  <c r="U524" i="11"/>
  <c r="T524" i="11"/>
  <c r="S524" i="11"/>
  <c r="R524" i="11"/>
  <c r="Q524" i="11"/>
  <c r="P524" i="11"/>
  <c r="O524" i="11"/>
  <c r="N524" i="11"/>
  <c r="M524" i="11"/>
  <c r="L524" i="11"/>
  <c r="K524" i="11"/>
  <c r="J524" i="11"/>
  <c r="I524" i="11"/>
  <c r="H524" i="11"/>
  <c r="G524" i="11"/>
  <c r="F524" i="11"/>
  <c r="E524" i="11"/>
  <c r="D524" i="11"/>
  <c r="C524" i="11"/>
  <c r="B524" i="11"/>
  <c r="A524" i="11"/>
  <c r="Z523" i="11"/>
  <c r="Y523" i="11"/>
  <c r="X523" i="11"/>
  <c r="W523" i="11"/>
  <c r="V523" i="11"/>
  <c r="U523" i="11"/>
  <c r="T523" i="11"/>
  <c r="S523" i="11"/>
  <c r="R523" i="11"/>
  <c r="Q523" i="11"/>
  <c r="P523" i="11"/>
  <c r="O523" i="11"/>
  <c r="N523" i="11"/>
  <c r="M523" i="11"/>
  <c r="L523" i="11"/>
  <c r="K523" i="11"/>
  <c r="J523" i="11"/>
  <c r="I523" i="11"/>
  <c r="H523" i="11"/>
  <c r="G523" i="11"/>
  <c r="F523" i="11"/>
  <c r="E523" i="11"/>
  <c r="D523" i="11"/>
  <c r="C523" i="11"/>
  <c r="B523" i="11"/>
  <c r="A523" i="11"/>
  <c r="Z522" i="11"/>
  <c r="Y522" i="11"/>
  <c r="X522" i="11"/>
  <c r="W522" i="11"/>
  <c r="V522" i="11"/>
  <c r="U522" i="11"/>
  <c r="T522" i="11"/>
  <c r="S522" i="11"/>
  <c r="R522" i="11"/>
  <c r="Q522" i="11"/>
  <c r="P522" i="11"/>
  <c r="O522" i="11"/>
  <c r="N522" i="11"/>
  <c r="M522" i="11"/>
  <c r="L522" i="11"/>
  <c r="K522" i="11"/>
  <c r="J522" i="11"/>
  <c r="I522" i="11"/>
  <c r="H522" i="11"/>
  <c r="G522" i="11"/>
  <c r="F522" i="11"/>
  <c r="E522" i="11"/>
  <c r="D522" i="11"/>
  <c r="C522" i="11"/>
  <c r="B522" i="11"/>
  <c r="A522" i="11"/>
  <c r="Z521" i="11"/>
  <c r="Y521" i="11"/>
  <c r="X521" i="11"/>
  <c r="W521" i="11"/>
  <c r="V521" i="11"/>
  <c r="U521" i="11"/>
  <c r="T521" i="11"/>
  <c r="S521" i="11"/>
  <c r="R521" i="11"/>
  <c r="Q521" i="11"/>
  <c r="P521" i="11"/>
  <c r="O521" i="11"/>
  <c r="N521" i="11"/>
  <c r="M521" i="11"/>
  <c r="L521" i="11"/>
  <c r="K521" i="11"/>
  <c r="J521" i="11"/>
  <c r="I521" i="11"/>
  <c r="H521" i="11"/>
  <c r="G521" i="11"/>
  <c r="F521" i="11"/>
  <c r="E521" i="11"/>
  <c r="D521" i="11"/>
  <c r="C521" i="11"/>
  <c r="B521" i="11"/>
  <c r="A521" i="11"/>
  <c r="Z520" i="11"/>
  <c r="Y520" i="11"/>
  <c r="X520" i="11"/>
  <c r="W520" i="11"/>
  <c r="V520" i="11"/>
  <c r="U520" i="11"/>
  <c r="T520" i="11"/>
  <c r="S520" i="11"/>
  <c r="R520" i="11"/>
  <c r="Q520" i="11"/>
  <c r="P520" i="11"/>
  <c r="O520" i="11"/>
  <c r="N520" i="11"/>
  <c r="M520" i="11"/>
  <c r="L520" i="11"/>
  <c r="K520" i="11"/>
  <c r="J520" i="11"/>
  <c r="I520" i="11"/>
  <c r="H520" i="11"/>
  <c r="G520" i="11"/>
  <c r="F520" i="11"/>
  <c r="E520" i="11"/>
  <c r="D520" i="11"/>
  <c r="C520" i="11"/>
  <c r="B520" i="11"/>
  <c r="A520" i="11"/>
  <c r="Z519" i="11"/>
  <c r="Y519" i="11"/>
  <c r="X519" i="11"/>
  <c r="W519" i="11"/>
  <c r="V519" i="11"/>
  <c r="U519" i="11"/>
  <c r="T519" i="11"/>
  <c r="S519" i="11"/>
  <c r="R519" i="11"/>
  <c r="Q519" i="11"/>
  <c r="P519" i="11"/>
  <c r="O519" i="11"/>
  <c r="N519" i="11"/>
  <c r="M519" i="11"/>
  <c r="L519" i="11"/>
  <c r="K519" i="11"/>
  <c r="J519" i="11"/>
  <c r="I519" i="11"/>
  <c r="H519" i="11"/>
  <c r="G519" i="11"/>
  <c r="F519" i="11"/>
  <c r="E519" i="11"/>
  <c r="D519" i="11"/>
  <c r="C519" i="11"/>
  <c r="B519" i="11"/>
  <c r="A519" i="11"/>
  <c r="Z518" i="11"/>
  <c r="Y518" i="11"/>
  <c r="X518" i="11"/>
  <c r="W518" i="11"/>
  <c r="V518" i="11"/>
  <c r="U518" i="11"/>
  <c r="T518" i="11"/>
  <c r="S518" i="11"/>
  <c r="R518" i="11"/>
  <c r="Q518" i="11"/>
  <c r="P518" i="11"/>
  <c r="O518" i="11"/>
  <c r="N518" i="11"/>
  <c r="M518" i="11"/>
  <c r="L518" i="11"/>
  <c r="K518" i="11"/>
  <c r="J518" i="11"/>
  <c r="I518" i="11"/>
  <c r="H518" i="11"/>
  <c r="G518" i="11"/>
  <c r="F518" i="11"/>
  <c r="E518" i="11"/>
  <c r="D518" i="11"/>
  <c r="C518" i="11"/>
  <c r="B518" i="11"/>
  <c r="A518" i="11"/>
  <c r="Z517" i="11"/>
  <c r="Y517" i="11"/>
  <c r="X517" i="11"/>
  <c r="W517" i="11"/>
  <c r="V517" i="11"/>
  <c r="U517" i="11"/>
  <c r="T517" i="11"/>
  <c r="S517" i="11"/>
  <c r="R517" i="11"/>
  <c r="Q517" i="11"/>
  <c r="P517" i="11"/>
  <c r="O517" i="11"/>
  <c r="N517" i="11"/>
  <c r="M517" i="11"/>
  <c r="L517" i="11"/>
  <c r="K517" i="11"/>
  <c r="J517" i="11"/>
  <c r="I517" i="11"/>
  <c r="H517" i="11"/>
  <c r="G517" i="11"/>
  <c r="F517" i="11"/>
  <c r="E517" i="11"/>
  <c r="D517" i="11"/>
  <c r="C517" i="11"/>
  <c r="B517" i="11"/>
  <c r="A517" i="11"/>
  <c r="Z516" i="11"/>
  <c r="Y516" i="11"/>
  <c r="X516" i="11"/>
  <c r="W516" i="11"/>
  <c r="V516" i="11"/>
  <c r="U516" i="11"/>
  <c r="T516" i="11"/>
  <c r="S516" i="11"/>
  <c r="R516" i="11"/>
  <c r="Q516" i="11"/>
  <c r="P516" i="11"/>
  <c r="O516" i="11"/>
  <c r="N516" i="11"/>
  <c r="M516" i="11"/>
  <c r="L516" i="11"/>
  <c r="K516" i="11"/>
  <c r="J516" i="11"/>
  <c r="I516" i="11"/>
  <c r="H516" i="11"/>
  <c r="G516" i="11"/>
  <c r="F516" i="11"/>
  <c r="E516" i="11"/>
  <c r="D516" i="11"/>
  <c r="C516" i="11"/>
  <c r="B516" i="11"/>
  <c r="A516" i="11"/>
  <c r="Z515" i="11"/>
  <c r="Y515" i="11"/>
  <c r="X515" i="11"/>
  <c r="W515" i="11"/>
  <c r="V515" i="11"/>
  <c r="U515" i="11"/>
  <c r="T515" i="11"/>
  <c r="S515" i="11"/>
  <c r="R515" i="11"/>
  <c r="Q515" i="11"/>
  <c r="P515" i="11"/>
  <c r="O515" i="11"/>
  <c r="N515" i="11"/>
  <c r="M515" i="11"/>
  <c r="L515" i="11"/>
  <c r="K515" i="11"/>
  <c r="J515" i="11"/>
  <c r="I515" i="11"/>
  <c r="H515" i="11"/>
  <c r="G515" i="11"/>
  <c r="F515" i="11"/>
  <c r="E515" i="11"/>
  <c r="D515" i="11"/>
  <c r="C515" i="11"/>
  <c r="B515" i="11"/>
  <c r="A515" i="11"/>
  <c r="Z514" i="11"/>
  <c r="Y514" i="11"/>
  <c r="X514" i="11"/>
  <c r="W514" i="11"/>
  <c r="V514" i="11"/>
  <c r="U514" i="11"/>
  <c r="T514" i="11"/>
  <c r="S514" i="11"/>
  <c r="R514" i="11"/>
  <c r="Q514" i="11"/>
  <c r="P514" i="11"/>
  <c r="O514" i="11"/>
  <c r="N514" i="11"/>
  <c r="M514" i="11"/>
  <c r="L514" i="11"/>
  <c r="K514" i="11"/>
  <c r="J514" i="11"/>
  <c r="I514" i="11"/>
  <c r="H514" i="11"/>
  <c r="G514" i="11"/>
  <c r="F514" i="11"/>
  <c r="E514" i="11"/>
  <c r="D514" i="11"/>
  <c r="C514" i="11"/>
  <c r="B514" i="11"/>
  <c r="A514" i="11"/>
  <c r="Z513" i="11"/>
  <c r="Y513" i="11"/>
  <c r="X513" i="11"/>
  <c r="W513" i="11"/>
  <c r="V513" i="11"/>
  <c r="U513" i="11"/>
  <c r="T513" i="11"/>
  <c r="S513" i="11"/>
  <c r="R513" i="11"/>
  <c r="Q513" i="11"/>
  <c r="P513" i="11"/>
  <c r="O513" i="11"/>
  <c r="N513" i="11"/>
  <c r="M513" i="11"/>
  <c r="L513" i="11"/>
  <c r="K513" i="11"/>
  <c r="J513" i="11"/>
  <c r="I513" i="11"/>
  <c r="H513" i="11"/>
  <c r="G513" i="11"/>
  <c r="F513" i="11"/>
  <c r="E513" i="11"/>
  <c r="D513" i="11"/>
  <c r="C513" i="11"/>
  <c r="B513" i="11"/>
  <c r="A513" i="11"/>
  <c r="Z512" i="11"/>
  <c r="Y512" i="11"/>
  <c r="X512" i="11"/>
  <c r="W512" i="11"/>
  <c r="V512" i="11"/>
  <c r="U512" i="11"/>
  <c r="T512" i="11"/>
  <c r="S512" i="11"/>
  <c r="R512" i="11"/>
  <c r="Q512" i="11"/>
  <c r="P512" i="11"/>
  <c r="O512" i="11"/>
  <c r="N512" i="11"/>
  <c r="M512" i="11"/>
  <c r="L512" i="11"/>
  <c r="K512" i="11"/>
  <c r="J512" i="11"/>
  <c r="I512" i="11"/>
  <c r="H512" i="11"/>
  <c r="G512" i="11"/>
  <c r="F512" i="11"/>
  <c r="E512" i="11"/>
  <c r="D512" i="11"/>
  <c r="C512" i="11"/>
  <c r="B512" i="11"/>
  <c r="A512" i="11"/>
  <c r="Z511" i="11"/>
  <c r="Y511" i="11"/>
  <c r="X511" i="11"/>
  <c r="W511" i="11"/>
  <c r="V511" i="11"/>
  <c r="U511" i="11"/>
  <c r="T511" i="11"/>
  <c r="S511" i="11"/>
  <c r="R511" i="11"/>
  <c r="Q511" i="11"/>
  <c r="P511" i="11"/>
  <c r="O511" i="11"/>
  <c r="N511" i="11"/>
  <c r="M511" i="11"/>
  <c r="L511" i="11"/>
  <c r="K511" i="11"/>
  <c r="J511" i="11"/>
  <c r="I511" i="11"/>
  <c r="H511" i="11"/>
  <c r="G511" i="11"/>
  <c r="F511" i="11"/>
  <c r="E511" i="11"/>
  <c r="D511" i="11"/>
  <c r="C511" i="11"/>
  <c r="B511" i="11"/>
  <c r="A511" i="11"/>
  <c r="Z510" i="11"/>
  <c r="Y510" i="11"/>
  <c r="X510" i="11"/>
  <c r="W510" i="11"/>
  <c r="V510" i="11"/>
  <c r="U510" i="11"/>
  <c r="T510" i="11"/>
  <c r="S510" i="11"/>
  <c r="R510" i="11"/>
  <c r="Q510" i="11"/>
  <c r="P510" i="11"/>
  <c r="O510" i="11"/>
  <c r="N510" i="11"/>
  <c r="M510" i="11"/>
  <c r="L510" i="11"/>
  <c r="K510" i="11"/>
  <c r="J510" i="11"/>
  <c r="I510" i="11"/>
  <c r="H510" i="11"/>
  <c r="G510" i="11"/>
  <c r="F510" i="11"/>
  <c r="E510" i="11"/>
  <c r="D510" i="11"/>
  <c r="C510" i="11"/>
  <c r="B510" i="11"/>
  <c r="A510" i="11"/>
  <c r="Z509" i="11"/>
  <c r="Y509" i="11"/>
  <c r="X509" i="11"/>
  <c r="W509" i="11"/>
  <c r="V509" i="11"/>
  <c r="U509" i="11"/>
  <c r="T509" i="11"/>
  <c r="S509" i="11"/>
  <c r="R509" i="11"/>
  <c r="Q509" i="11"/>
  <c r="P509" i="11"/>
  <c r="O509" i="11"/>
  <c r="N509" i="11"/>
  <c r="M509" i="11"/>
  <c r="L509" i="11"/>
  <c r="K509" i="11"/>
  <c r="J509" i="11"/>
  <c r="I509" i="11"/>
  <c r="H509" i="11"/>
  <c r="G509" i="11"/>
  <c r="F509" i="11"/>
  <c r="E509" i="11"/>
  <c r="D509" i="11"/>
  <c r="C509" i="11"/>
  <c r="B509" i="11"/>
  <c r="A509" i="11"/>
  <c r="Z508" i="11"/>
  <c r="Y508" i="11"/>
  <c r="X508" i="11"/>
  <c r="W508" i="11"/>
  <c r="V508" i="11"/>
  <c r="U508" i="11"/>
  <c r="T508" i="11"/>
  <c r="S508" i="11"/>
  <c r="R508" i="11"/>
  <c r="Q508" i="11"/>
  <c r="P508" i="11"/>
  <c r="O508" i="11"/>
  <c r="N508" i="11"/>
  <c r="M508" i="11"/>
  <c r="L508" i="11"/>
  <c r="K508" i="11"/>
  <c r="J508" i="11"/>
  <c r="I508" i="11"/>
  <c r="H508" i="11"/>
  <c r="G508" i="11"/>
  <c r="F508" i="11"/>
  <c r="E508" i="11"/>
  <c r="D508" i="11"/>
  <c r="C508" i="11"/>
  <c r="B508" i="11"/>
  <c r="A508" i="11"/>
  <c r="Z507" i="11"/>
  <c r="Y507" i="11"/>
  <c r="X507" i="11"/>
  <c r="W507" i="11"/>
  <c r="V507" i="11"/>
  <c r="U507" i="11"/>
  <c r="T507" i="11"/>
  <c r="S507" i="11"/>
  <c r="R507" i="11"/>
  <c r="Q507" i="11"/>
  <c r="P507" i="11"/>
  <c r="O507" i="11"/>
  <c r="N507" i="11"/>
  <c r="M507" i="11"/>
  <c r="L507" i="11"/>
  <c r="K507" i="11"/>
  <c r="J507" i="11"/>
  <c r="I507" i="11"/>
  <c r="H507" i="11"/>
  <c r="G507" i="11"/>
  <c r="F507" i="11"/>
  <c r="E507" i="11"/>
  <c r="D507" i="11"/>
  <c r="C507" i="11"/>
  <c r="B507" i="11"/>
  <c r="A507" i="11"/>
  <c r="Z506" i="11"/>
  <c r="Y506" i="11"/>
  <c r="X506" i="11"/>
  <c r="W506" i="11"/>
  <c r="V506" i="11"/>
  <c r="U506" i="11"/>
  <c r="T506" i="11"/>
  <c r="S506" i="11"/>
  <c r="R506" i="11"/>
  <c r="Q506" i="11"/>
  <c r="P506" i="11"/>
  <c r="O506" i="11"/>
  <c r="N506" i="11"/>
  <c r="M506" i="11"/>
  <c r="L506" i="11"/>
  <c r="K506" i="11"/>
  <c r="J506" i="11"/>
  <c r="I506" i="11"/>
  <c r="H506" i="11"/>
  <c r="G506" i="11"/>
  <c r="F506" i="11"/>
  <c r="E506" i="11"/>
  <c r="D506" i="11"/>
  <c r="C506" i="11"/>
  <c r="B506" i="11"/>
  <c r="A506" i="11"/>
  <c r="Z505" i="11"/>
  <c r="Y505" i="11"/>
  <c r="X505" i="11"/>
  <c r="W505" i="11"/>
  <c r="V505" i="11"/>
  <c r="U505" i="11"/>
  <c r="T505" i="11"/>
  <c r="S505" i="11"/>
  <c r="R505" i="11"/>
  <c r="Q505" i="11"/>
  <c r="P505" i="11"/>
  <c r="O505" i="11"/>
  <c r="N505" i="11"/>
  <c r="M505" i="11"/>
  <c r="L505" i="11"/>
  <c r="K505" i="11"/>
  <c r="J505" i="11"/>
  <c r="I505" i="11"/>
  <c r="H505" i="11"/>
  <c r="G505" i="11"/>
  <c r="F505" i="11"/>
  <c r="E505" i="11"/>
  <c r="D505" i="11"/>
  <c r="C505" i="11"/>
  <c r="B505" i="11"/>
  <c r="A505" i="11"/>
  <c r="Z504" i="11"/>
  <c r="Y504" i="11"/>
  <c r="X504" i="11"/>
  <c r="W504" i="11"/>
  <c r="V504" i="11"/>
  <c r="U504" i="11"/>
  <c r="T504" i="11"/>
  <c r="S504" i="11"/>
  <c r="R504" i="11"/>
  <c r="Q504" i="11"/>
  <c r="P504" i="11"/>
  <c r="O504" i="11"/>
  <c r="N504" i="11"/>
  <c r="M504" i="11"/>
  <c r="L504" i="11"/>
  <c r="K504" i="11"/>
  <c r="J504" i="11"/>
  <c r="I504" i="11"/>
  <c r="H504" i="11"/>
  <c r="G504" i="11"/>
  <c r="F504" i="11"/>
  <c r="E504" i="11"/>
  <c r="D504" i="11"/>
  <c r="C504" i="11"/>
  <c r="B504" i="11"/>
  <c r="A504" i="11"/>
  <c r="Z503" i="11"/>
  <c r="Y503" i="11"/>
  <c r="X503" i="11"/>
  <c r="W503" i="11"/>
  <c r="V503" i="11"/>
  <c r="U503" i="11"/>
  <c r="T503" i="11"/>
  <c r="S503" i="11"/>
  <c r="R503" i="11"/>
  <c r="Q503" i="11"/>
  <c r="P503" i="11"/>
  <c r="O503" i="11"/>
  <c r="N503" i="11"/>
  <c r="M503" i="11"/>
  <c r="L503" i="11"/>
  <c r="K503" i="11"/>
  <c r="J503" i="11"/>
  <c r="I503" i="11"/>
  <c r="H503" i="11"/>
  <c r="G503" i="11"/>
  <c r="F503" i="11"/>
  <c r="E503" i="11"/>
  <c r="D503" i="11"/>
  <c r="C503" i="11"/>
  <c r="B503" i="11"/>
  <c r="A503" i="11"/>
  <c r="Z502" i="11"/>
  <c r="Y502" i="11"/>
  <c r="X502" i="11"/>
  <c r="W502" i="11"/>
  <c r="V502" i="11"/>
  <c r="U502" i="11"/>
  <c r="T502" i="11"/>
  <c r="S502" i="11"/>
  <c r="R502" i="11"/>
  <c r="Q502" i="11"/>
  <c r="P502" i="11"/>
  <c r="O502" i="11"/>
  <c r="N502" i="11"/>
  <c r="M502" i="11"/>
  <c r="L502" i="11"/>
  <c r="K502" i="11"/>
  <c r="J502" i="11"/>
  <c r="I502" i="11"/>
  <c r="H502" i="11"/>
  <c r="G502" i="11"/>
  <c r="F502" i="11"/>
  <c r="E502" i="11"/>
  <c r="D502" i="11"/>
  <c r="C502" i="11"/>
  <c r="B502" i="11"/>
  <c r="A502" i="11"/>
  <c r="Z501" i="11"/>
  <c r="Y501" i="11"/>
  <c r="X501" i="11"/>
  <c r="W501" i="11"/>
  <c r="V501" i="11"/>
  <c r="U501" i="11"/>
  <c r="T501" i="11"/>
  <c r="S501" i="11"/>
  <c r="R501" i="11"/>
  <c r="Q501" i="11"/>
  <c r="P501" i="11"/>
  <c r="O501" i="11"/>
  <c r="N501" i="11"/>
  <c r="M501" i="11"/>
  <c r="L501" i="11"/>
  <c r="K501" i="11"/>
  <c r="J501" i="11"/>
  <c r="I501" i="11"/>
  <c r="H501" i="11"/>
  <c r="G501" i="11"/>
  <c r="F501" i="11"/>
  <c r="E501" i="11"/>
  <c r="D501" i="11"/>
  <c r="C501" i="11"/>
  <c r="B501" i="11"/>
  <c r="A501" i="11"/>
  <c r="Z500" i="11"/>
  <c r="Y500" i="11"/>
  <c r="X500" i="11"/>
  <c r="W500" i="11"/>
  <c r="V500" i="11"/>
  <c r="U500" i="11"/>
  <c r="T500" i="11"/>
  <c r="S500" i="11"/>
  <c r="R500" i="11"/>
  <c r="Q500" i="11"/>
  <c r="P500" i="11"/>
  <c r="O500" i="11"/>
  <c r="N500" i="11"/>
  <c r="M500" i="11"/>
  <c r="L500" i="11"/>
  <c r="K500" i="11"/>
  <c r="J500" i="11"/>
  <c r="I500" i="11"/>
  <c r="H500" i="11"/>
  <c r="G500" i="11"/>
  <c r="F500" i="11"/>
  <c r="E500" i="11"/>
  <c r="D500" i="11"/>
  <c r="C500" i="11"/>
  <c r="B500" i="11"/>
  <c r="A500" i="11"/>
  <c r="Z499" i="11"/>
  <c r="Y499" i="11"/>
  <c r="X499" i="11"/>
  <c r="W499" i="11"/>
  <c r="V499" i="11"/>
  <c r="U499" i="11"/>
  <c r="T499" i="11"/>
  <c r="S499" i="11"/>
  <c r="R499" i="11"/>
  <c r="Q499" i="11"/>
  <c r="P499" i="11"/>
  <c r="O499" i="11"/>
  <c r="N499" i="11"/>
  <c r="M499" i="11"/>
  <c r="L499" i="11"/>
  <c r="K499" i="11"/>
  <c r="J499" i="11"/>
  <c r="I499" i="11"/>
  <c r="H499" i="11"/>
  <c r="G499" i="11"/>
  <c r="F499" i="11"/>
  <c r="E499" i="11"/>
  <c r="D499" i="11"/>
  <c r="C499" i="11"/>
  <c r="B499" i="11"/>
  <c r="A499" i="11"/>
  <c r="Z498" i="11"/>
  <c r="Y498" i="11"/>
  <c r="X498" i="11"/>
  <c r="W498" i="11"/>
  <c r="V498" i="11"/>
  <c r="U498" i="11"/>
  <c r="T498" i="11"/>
  <c r="S498" i="11"/>
  <c r="R498" i="11"/>
  <c r="Q498" i="11"/>
  <c r="P498" i="11"/>
  <c r="O498" i="11"/>
  <c r="N498" i="11"/>
  <c r="M498" i="11"/>
  <c r="L498" i="11"/>
  <c r="K498" i="11"/>
  <c r="J498" i="11"/>
  <c r="I498" i="11"/>
  <c r="H498" i="11"/>
  <c r="G498" i="11"/>
  <c r="F498" i="11"/>
  <c r="E498" i="11"/>
  <c r="D498" i="11"/>
  <c r="C498" i="11"/>
  <c r="B498" i="11"/>
  <c r="A498" i="11"/>
  <c r="Z497" i="11"/>
  <c r="Y497" i="11"/>
  <c r="X497" i="11"/>
  <c r="W497" i="11"/>
  <c r="V497" i="11"/>
  <c r="U497" i="11"/>
  <c r="T497" i="11"/>
  <c r="S497" i="11"/>
  <c r="R497" i="11"/>
  <c r="Q497" i="11"/>
  <c r="P497" i="11"/>
  <c r="O497" i="11"/>
  <c r="N497" i="11"/>
  <c r="M497" i="11"/>
  <c r="L497" i="11"/>
  <c r="K497" i="11"/>
  <c r="J497" i="11"/>
  <c r="I497" i="11"/>
  <c r="H497" i="11"/>
  <c r="G497" i="11"/>
  <c r="F497" i="11"/>
  <c r="E497" i="11"/>
  <c r="D497" i="11"/>
  <c r="C497" i="11"/>
  <c r="B497" i="11"/>
  <c r="A497" i="11"/>
  <c r="Z496" i="11"/>
  <c r="Y496" i="11"/>
  <c r="X496" i="11"/>
  <c r="W496" i="11"/>
  <c r="V496" i="11"/>
  <c r="U496" i="11"/>
  <c r="T496" i="11"/>
  <c r="S496" i="11"/>
  <c r="R496" i="11"/>
  <c r="Q496" i="11"/>
  <c r="P496" i="11"/>
  <c r="O496" i="11"/>
  <c r="N496" i="11"/>
  <c r="M496" i="11"/>
  <c r="L496" i="11"/>
  <c r="K496" i="11"/>
  <c r="J496" i="11"/>
  <c r="I496" i="11"/>
  <c r="H496" i="11"/>
  <c r="G496" i="11"/>
  <c r="F496" i="11"/>
  <c r="E496" i="11"/>
  <c r="D496" i="11"/>
  <c r="C496" i="11"/>
  <c r="B496" i="11"/>
  <c r="A496" i="11"/>
  <c r="Z495" i="11"/>
  <c r="Y495" i="11"/>
  <c r="X495" i="11"/>
  <c r="W495" i="11"/>
  <c r="V495" i="11"/>
  <c r="U495" i="11"/>
  <c r="T495" i="11"/>
  <c r="S495" i="11"/>
  <c r="R495" i="11"/>
  <c r="Q495" i="11"/>
  <c r="P495" i="11"/>
  <c r="O495" i="11"/>
  <c r="N495" i="11"/>
  <c r="M495" i="11"/>
  <c r="L495" i="11"/>
  <c r="K495" i="11"/>
  <c r="J495" i="11"/>
  <c r="I495" i="11"/>
  <c r="H495" i="11"/>
  <c r="G495" i="11"/>
  <c r="F495" i="11"/>
  <c r="E495" i="11"/>
  <c r="D495" i="11"/>
  <c r="C495" i="11"/>
  <c r="B495" i="11"/>
  <c r="A495" i="11"/>
  <c r="Z494" i="11"/>
  <c r="Y494" i="11"/>
  <c r="X494" i="11"/>
  <c r="W494" i="11"/>
  <c r="V494" i="11"/>
  <c r="U494" i="11"/>
  <c r="T494" i="11"/>
  <c r="S494" i="11"/>
  <c r="R494" i="11"/>
  <c r="Q494" i="11"/>
  <c r="P494" i="11"/>
  <c r="O494" i="11"/>
  <c r="N494" i="11"/>
  <c r="M494" i="11"/>
  <c r="L494" i="11"/>
  <c r="K494" i="11"/>
  <c r="J494" i="11"/>
  <c r="I494" i="11"/>
  <c r="H494" i="11"/>
  <c r="G494" i="11"/>
  <c r="F494" i="11"/>
  <c r="E494" i="11"/>
  <c r="D494" i="11"/>
  <c r="C494" i="11"/>
  <c r="B494" i="11"/>
  <c r="A494" i="11"/>
  <c r="Z493" i="11"/>
  <c r="Y493" i="11"/>
  <c r="X493" i="11"/>
  <c r="W493" i="11"/>
  <c r="V493" i="11"/>
  <c r="U493" i="11"/>
  <c r="T493" i="11"/>
  <c r="S493" i="11"/>
  <c r="R493" i="11"/>
  <c r="Q493" i="11"/>
  <c r="P493" i="11"/>
  <c r="O493" i="11"/>
  <c r="N493" i="11"/>
  <c r="M493" i="11"/>
  <c r="L493" i="11"/>
  <c r="K493" i="11"/>
  <c r="J493" i="11"/>
  <c r="I493" i="11"/>
  <c r="H493" i="11"/>
  <c r="G493" i="11"/>
  <c r="F493" i="11"/>
  <c r="E493" i="11"/>
  <c r="D493" i="11"/>
  <c r="C493" i="11"/>
  <c r="B493" i="11"/>
  <c r="A493" i="11"/>
  <c r="Z492" i="11"/>
  <c r="Y492" i="11"/>
  <c r="X492" i="11"/>
  <c r="W492" i="11"/>
  <c r="V492" i="11"/>
  <c r="U492" i="11"/>
  <c r="T492" i="11"/>
  <c r="S492" i="11"/>
  <c r="R492" i="11"/>
  <c r="Q492" i="11"/>
  <c r="P492" i="11"/>
  <c r="O492" i="11"/>
  <c r="N492" i="11"/>
  <c r="M492" i="11"/>
  <c r="L492" i="11"/>
  <c r="K492" i="11"/>
  <c r="J492" i="11"/>
  <c r="I492" i="11"/>
  <c r="H492" i="11"/>
  <c r="G492" i="11"/>
  <c r="F492" i="11"/>
  <c r="E492" i="11"/>
  <c r="D492" i="11"/>
  <c r="C492" i="11"/>
  <c r="B492" i="11"/>
  <c r="A492" i="11"/>
  <c r="Z491" i="11"/>
  <c r="Y491" i="11"/>
  <c r="X491" i="11"/>
  <c r="W491" i="11"/>
  <c r="V491" i="11"/>
  <c r="U491" i="11"/>
  <c r="T491" i="11"/>
  <c r="S491" i="11"/>
  <c r="R491" i="11"/>
  <c r="Q491" i="11"/>
  <c r="P491" i="11"/>
  <c r="O491" i="11"/>
  <c r="N491" i="11"/>
  <c r="M491" i="11"/>
  <c r="L491" i="11"/>
  <c r="K491" i="11"/>
  <c r="J491" i="11"/>
  <c r="I491" i="11"/>
  <c r="H491" i="11"/>
  <c r="G491" i="11"/>
  <c r="F491" i="11"/>
  <c r="E491" i="11"/>
  <c r="D491" i="11"/>
  <c r="C491" i="11"/>
  <c r="B491" i="11"/>
  <c r="A491" i="11"/>
  <c r="Z490" i="11"/>
  <c r="Y490" i="11"/>
  <c r="X490" i="11"/>
  <c r="W490" i="11"/>
  <c r="V490" i="11"/>
  <c r="U490" i="11"/>
  <c r="T490" i="11"/>
  <c r="S490" i="11"/>
  <c r="R490" i="11"/>
  <c r="Q490" i="11"/>
  <c r="P490" i="11"/>
  <c r="O490" i="11"/>
  <c r="N490" i="11"/>
  <c r="M490" i="11"/>
  <c r="L490" i="11"/>
  <c r="K490" i="11"/>
  <c r="J490" i="11"/>
  <c r="I490" i="11"/>
  <c r="H490" i="11"/>
  <c r="G490" i="11"/>
  <c r="F490" i="11"/>
  <c r="E490" i="11"/>
  <c r="D490" i="11"/>
  <c r="C490" i="11"/>
  <c r="B490" i="11"/>
  <c r="A490" i="11"/>
  <c r="Z489" i="11"/>
  <c r="Y489" i="11"/>
  <c r="X489" i="11"/>
  <c r="W489" i="11"/>
  <c r="V489" i="11"/>
  <c r="U489" i="11"/>
  <c r="T489" i="11"/>
  <c r="S489" i="11"/>
  <c r="R489" i="11"/>
  <c r="Q489" i="11"/>
  <c r="P489" i="11"/>
  <c r="O489" i="11"/>
  <c r="N489" i="11"/>
  <c r="M489" i="11"/>
  <c r="L489" i="11"/>
  <c r="K489" i="11"/>
  <c r="J489" i="11"/>
  <c r="I489" i="11"/>
  <c r="H489" i="11"/>
  <c r="G489" i="11"/>
  <c r="F489" i="11"/>
  <c r="E489" i="11"/>
  <c r="D489" i="11"/>
  <c r="C489" i="11"/>
  <c r="B489" i="11"/>
  <c r="A489" i="11"/>
  <c r="Z488" i="11"/>
  <c r="Y488" i="11"/>
  <c r="X488" i="11"/>
  <c r="W488" i="11"/>
  <c r="V488" i="11"/>
  <c r="U488" i="11"/>
  <c r="T488" i="11"/>
  <c r="S488" i="11"/>
  <c r="R488" i="11"/>
  <c r="Q488" i="11"/>
  <c r="P488" i="11"/>
  <c r="O488" i="11"/>
  <c r="N488" i="11"/>
  <c r="M488" i="11"/>
  <c r="L488" i="11"/>
  <c r="K488" i="11"/>
  <c r="J488" i="11"/>
  <c r="I488" i="11"/>
  <c r="H488" i="11"/>
  <c r="G488" i="11"/>
  <c r="F488" i="11"/>
  <c r="E488" i="11"/>
  <c r="D488" i="11"/>
  <c r="C488" i="11"/>
  <c r="B488" i="11"/>
  <c r="A488" i="11"/>
  <c r="Z487" i="11"/>
  <c r="Y487" i="11"/>
  <c r="X487" i="11"/>
  <c r="W487" i="11"/>
  <c r="V487" i="11"/>
  <c r="U487" i="11"/>
  <c r="T487" i="11"/>
  <c r="S487" i="11"/>
  <c r="R487" i="11"/>
  <c r="Q487" i="11"/>
  <c r="P487" i="11"/>
  <c r="O487" i="11"/>
  <c r="N487" i="11"/>
  <c r="M487" i="11"/>
  <c r="L487" i="11"/>
  <c r="K487" i="11"/>
  <c r="J487" i="11"/>
  <c r="I487" i="11"/>
  <c r="H487" i="11"/>
  <c r="G487" i="11"/>
  <c r="F487" i="11"/>
  <c r="E487" i="11"/>
  <c r="D487" i="11"/>
  <c r="C487" i="11"/>
  <c r="B487" i="11"/>
  <c r="A487" i="11"/>
  <c r="Z486" i="11"/>
  <c r="Y486" i="11"/>
  <c r="X486" i="11"/>
  <c r="W486" i="11"/>
  <c r="V486" i="11"/>
  <c r="U486" i="11"/>
  <c r="T486" i="11"/>
  <c r="S486" i="11"/>
  <c r="R486" i="11"/>
  <c r="Q486" i="11"/>
  <c r="P486" i="11"/>
  <c r="O486" i="11"/>
  <c r="N486" i="11"/>
  <c r="M486" i="11"/>
  <c r="L486" i="11"/>
  <c r="K486" i="11"/>
  <c r="J486" i="11"/>
  <c r="I486" i="11"/>
  <c r="H486" i="11"/>
  <c r="G486" i="11"/>
  <c r="F486" i="11"/>
  <c r="E486" i="11"/>
  <c r="D486" i="11"/>
  <c r="C486" i="11"/>
  <c r="B486" i="11"/>
  <c r="A486" i="11"/>
  <c r="Z485" i="11"/>
  <c r="Y485" i="11"/>
  <c r="X485" i="11"/>
  <c r="W485" i="11"/>
  <c r="V485" i="11"/>
  <c r="U485" i="11"/>
  <c r="T485" i="11"/>
  <c r="S485" i="11"/>
  <c r="R485" i="11"/>
  <c r="Q485" i="11"/>
  <c r="P485" i="11"/>
  <c r="O485" i="11"/>
  <c r="N485" i="11"/>
  <c r="M485" i="11"/>
  <c r="L485" i="11"/>
  <c r="K485" i="11"/>
  <c r="J485" i="11"/>
  <c r="I485" i="11"/>
  <c r="H485" i="11"/>
  <c r="G485" i="11"/>
  <c r="F485" i="11"/>
  <c r="E485" i="11"/>
  <c r="D485" i="11"/>
  <c r="C485" i="11"/>
  <c r="B485" i="11"/>
  <c r="A485" i="11"/>
  <c r="Z484" i="11"/>
  <c r="Y484" i="11"/>
  <c r="X484" i="11"/>
  <c r="W484" i="11"/>
  <c r="V484" i="11"/>
  <c r="U484" i="11"/>
  <c r="T484" i="11"/>
  <c r="S484" i="11"/>
  <c r="R484" i="11"/>
  <c r="Q484" i="11"/>
  <c r="P484" i="11"/>
  <c r="O484" i="11"/>
  <c r="N484" i="11"/>
  <c r="M484" i="11"/>
  <c r="L484" i="11"/>
  <c r="K484" i="11"/>
  <c r="J484" i="11"/>
  <c r="I484" i="11"/>
  <c r="H484" i="11"/>
  <c r="G484" i="11"/>
  <c r="F484" i="11"/>
  <c r="E484" i="11"/>
  <c r="D484" i="11"/>
  <c r="C484" i="11"/>
  <c r="B484" i="11"/>
  <c r="A484" i="11"/>
  <c r="Z483" i="11"/>
  <c r="Y483" i="11"/>
  <c r="X483" i="11"/>
  <c r="W483" i="11"/>
  <c r="V483" i="11"/>
  <c r="U483" i="11"/>
  <c r="T483" i="11"/>
  <c r="S483" i="11"/>
  <c r="R483" i="11"/>
  <c r="Q483" i="11"/>
  <c r="P483" i="11"/>
  <c r="O483" i="11"/>
  <c r="N483" i="11"/>
  <c r="M483" i="11"/>
  <c r="L483" i="11"/>
  <c r="K483" i="11"/>
  <c r="J483" i="11"/>
  <c r="I483" i="11"/>
  <c r="H483" i="11"/>
  <c r="G483" i="11"/>
  <c r="F483" i="11"/>
  <c r="E483" i="11"/>
  <c r="D483" i="11"/>
  <c r="C483" i="11"/>
  <c r="B483" i="11"/>
  <c r="A483" i="11"/>
  <c r="Z482" i="11"/>
  <c r="Y482" i="11"/>
  <c r="X482" i="11"/>
  <c r="W482" i="11"/>
  <c r="V482" i="11"/>
  <c r="U482" i="11"/>
  <c r="T482" i="11"/>
  <c r="S482" i="11"/>
  <c r="R482" i="11"/>
  <c r="Q482" i="11"/>
  <c r="P482" i="11"/>
  <c r="O482" i="11"/>
  <c r="N482" i="11"/>
  <c r="M482" i="11"/>
  <c r="L482" i="11"/>
  <c r="K482" i="11"/>
  <c r="J482" i="11"/>
  <c r="I482" i="11"/>
  <c r="H482" i="11"/>
  <c r="G482" i="11"/>
  <c r="F482" i="11"/>
  <c r="E482" i="11"/>
  <c r="D482" i="11"/>
  <c r="C482" i="11"/>
  <c r="B482" i="11"/>
  <c r="A482" i="11"/>
  <c r="Z481" i="11"/>
  <c r="Y481" i="11"/>
  <c r="X481" i="11"/>
  <c r="W481" i="11"/>
  <c r="V481" i="11"/>
  <c r="U481" i="11"/>
  <c r="T481" i="11"/>
  <c r="S481" i="11"/>
  <c r="R481" i="11"/>
  <c r="Q481" i="11"/>
  <c r="P481" i="11"/>
  <c r="O481" i="11"/>
  <c r="N481" i="11"/>
  <c r="M481" i="11"/>
  <c r="L481" i="11"/>
  <c r="K481" i="11"/>
  <c r="J481" i="11"/>
  <c r="I481" i="11"/>
  <c r="H481" i="11"/>
  <c r="G481" i="11"/>
  <c r="F481" i="11"/>
  <c r="E481" i="11"/>
  <c r="D481" i="11"/>
  <c r="C481" i="11"/>
  <c r="B481" i="11"/>
  <c r="A481" i="11"/>
  <c r="Z480" i="11"/>
  <c r="Y480" i="11"/>
  <c r="X480" i="11"/>
  <c r="W480" i="11"/>
  <c r="V480" i="11"/>
  <c r="U480" i="11"/>
  <c r="T480" i="11"/>
  <c r="S480" i="11"/>
  <c r="R480" i="11"/>
  <c r="Q480" i="11"/>
  <c r="P480" i="11"/>
  <c r="O480" i="11"/>
  <c r="N480" i="11"/>
  <c r="M480" i="11"/>
  <c r="L480" i="11"/>
  <c r="K480" i="11"/>
  <c r="J480" i="11"/>
  <c r="I480" i="11"/>
  <c r="H480" i="11"/>
  <c r="G480" i="11"/>
  <c r="F480" i="11"/>
  <c r="E480" i="11"/>
  <c r="D480" i="11"/>
  <c r="C480" i="11"/>
  <c r="B480" i="11"/>
  <c r="A480" i="11"/>
  <c r="Z479" i="11"/>
  <c r="Y479" i="11"/>
  <c r="X479" i="11"/>
  <c r="W479" i="11"/>
  <c r="V479" i="11"/>
  <c r="U479" i="11"/>
  <c r="T479" i="11"/>
  <c r="S479" i="11"/>
  <c r="R479" i="11"/>
  <c r="Q479" i="11"/>
  <c r="P479" i="11"/>
  <c r="O479" i="11"/>
  <c r="N479" i="11"/>
  <c r="M479" i="11"/>
  <c r="L479" i="11"/>
  <c r="K479" i="11"/>
  <c r="J479" i="11"/>
  <c r="I479" i="11"/>
  <c r="H479" i="11"/>
  <c r="G479" i="11"/>
  <c r="F479" i="11"/>
  <c r="E479" i="11"/>
  <c r="D479" i="11"/>
  <c r="C479" i="11"/>
  <c r="B479" i="11"/>
  <c r="A479" i="11"/>
  <c r="Z478" i="11"/>
  <c r="Y478" i="11"/>
  <c r="X478" i="11"/>
  <c r="W478" i="11"/>
  <c r="V478" i="11"/>
  <c r="U478" i="11"/>
  <c r="T478" i="11"/>
  <c r="S478" i="11"/>
  <c r="R478" i="11"/>
  <c r="Q478" i="11"/>
  <c r="P478" i="11"/>
  <c r="O478" i="11"/>
  <c r="N478" i="11"/>
  <c r="M478" i="11"/>
  <c r="L478" i="11"/>
  <c r="K478" i="11"/>
  <c r="J478" i="11"/>
  <c r="I478" i="11"/>
  <c r="H478" i="11"/>
  <c r="G478" i="11"/>
  <c r="F478" i="11"/>
  <c r="E478" i="11"/>
  <c r="D478" i="11"/>
  <c r="C478" i="11"/>
  <c r="B478" i="11"/>
  <c r="A478" i="11"/>
  <c r="Z477" i="11"/>
  <c r="Y477" i="11"/>
  <c r="X477" i="11"/>
  <c r="W477" i="11"/>
  <c r="V477" i="11"/>
  <c r="U477" i="11"/>
  <c r="T477" i="11"/>
  <c r="S477" i="11"/>
  <c r="R477" i="11"/>
  <c r="Q477" i="11"/>
  <c r="P477" i="11"/>
  <c r="O477" i="11"/>
  <c r="N477" i="11"/>
  <c r="M477" i="11"/>
  <c r="L477" i="11"/>
  <c r="K477" i="11"/>
  <c r="J477" i="11"/>
  <c r="I477" i="11"/>
  <c r="H477" i="11"/>
  <c r="G477" i="11"/>
  <c r="F477" i="11"/>
  <c r="E477" i="11"/>
  <c r="D477" i="11"/>
  <c r="C477" i="11"/>
  <c r="B477" i="11"/>
  <c r="A477" i="11"/>
  <c r="Z476" i="11"/>
  <c r="Y476" i="11"/>
  <c r="X476" i="11"/>
  <c r="W476" i="11"/>
  <c r="V476" i="11"/>
  <c r="U476" i="11"/>
  <c r="T476" i="11"/>
  <c r="S476" i="11"/>
  <c r="R476" i="11"/>
  <c r="Q476" i="11"/>
  <c r="P476" i="11"/>
  <c r="O476" i="11"/>
  <c r="N476" i="11"/>
  <c r="M476" i="11"/>
  <c r="L476" i="11"/>
  <c r="K476" i="11"/>
  <c r="J476" i="11"/>
  <c r="I476" i="11"/>
  <c r="H476" i="11"/>
  <c r="G476" i="11"/>
  <c r="F476" i="11"/>
  <c r="E476" i="11"/>
  <c r="D476" i="11"/>
  <c r="C476" i="11"/>
  <c r="B476" i="11"/>
  <c r="A476" i="11"/>
  <c r="Z475" i="11"/>
  <c r="Y475" i="11"/>
  <c r="X475" i="11"/>
  <c r="W475" i="11"/>
  <c r="V475" i="11"/>
  <c r="U475" i="11"/>
  <c r="T475" i="11"/>
  <c r="S475" i="11"/>
  <c r="R475" i="11"/>
  <c r="Q475" i="11"/>
  <c r="P475" i="11"/>
  <c r="O475" i="11"/>
  <c r="N475" i="11"/>
  <c r="M475" i="11"/>
  <c r="L475" i="11"/>
  <c r="K475" i="11"/>
  <c r="J475" i="11"/>
  <c r="I475" i="11"/>
  <c r="H475" i="11"/>
  <c r="G475" i="11"/>
  <c r="F475" i="11"/>
  <c r="E475" i="11"/>
  <c r="D475" i="11"/>
  <c r="C475" i="11"/>
  <c r="B475" i="11"/>
  <c r="A475" i="11"/>
  <c r="Z474" i="11"/>
  <c r="Y474" i="11"/>
  <c r="X474" i="11"/>
  <c r="W474" i="11"/>
  <c r="V474" i="11"/>
  <c r="U474" i="11"/>
  <c r="T474" i="11"/>
  <c r="S474" i="11"/>
  <c r="R474" i="11"/>
  <c r="Q474" i="11"/>
  <c r="P474" i="11"/>
  <c r="O474" i="11"/>
  <c r="N474" i="11"/>
  <c r="M474" i="11"/>
  <c r="L474" i="11"/>
  <c r="K474" i="11"/>
  <c r="J474" i="11"/>
  <c r="I474" i="11"/>
  <c r="H474" i="11"/>
  <c r="G474" i="11"/>
  <c r="F474" i="11"/>
  <c r="E474" i="11"/>
  <c r="D474" i="11"/>
  <c r="C474" i="11"/>
  <c r="B474" i="11"/>
  <c r="A474" i="11"/>
  <c r="Z473" i="11"/>
  <c r="Y473" i="11"/>
  <c r="X473" i="11"/>
  <c r="W473" i="11"/>
  <c r="V473" i="11"/>
  <c r="U473" i="11"/>
  <c r="T473" i="11"/>
  <c r="S473" i="11"/>
  <c r="R473" i="11"/>
  <c r="Q473" i="11"/>
  <c r="P473" i="11"/>
  <c r="O473" i="11"/>
  <c r="N473" i="11"/>
  <c r="M473" i="11"/>
  <c r="L473" i="11"/>
  <c r="K473" i="11"/>
  <c r="J473" i="11"/>
  <c r="I473" i="11"/>
  <c r="H473" i="11"/>
  <c r="G473" i="11"/>
  <c r="F473" i="11"/>
  <c r="E473" i="11"/>
  <c r="D473" i="11"/>
  <c r="C473" i="11"/>
  <c r="B473" i="11"/>
  <c r="A473" i="11"/>
  <c r="Z472" i="11"/>
  <c r="Y472" i="11"/>
  <c r="X472" i="11"/>
  <c r="W472" i="11"/>
  <c r="V472" i="11"/>
  <c r="U472" i="11"/>
  <c r="T472" i="11"/>
  <c r="S472" i="11"/>
  <c r="R472" i="11"/>
  <c r="Q472" i="11"/>
  <c r="P472" i="11"/>
  <c r="O472" i="11"/>
  <c r="N472" i="11"/>
  <c r="M472" i="11"/>
  <c r="L472" i="11"/>
  <c r="K472" i="11"/>
  <c r="J472" i="11"/>
  <c r="I472" i="11"/>
  <c r="H472" i="11"/>
  <c r="G472" i="11"/>
  <c r="F472" i="11"/>
  <c r="E472" i="11"/>
  <c r="D472" i="11"/>
  <c r="C472" i="11"/>
  <c r="B472" i="11"/>
  <c r="A472" i="11"/>
  <c r="Z471" i="11"/>
  <c r="Y471" i="11"/>
  <c r="X471" i="11"/>
  <c r="W471" i="11"/>
  <c r="V471" i="11"/>
  <c r="U471" i="11"/>
  <c r="T471" i="11"/>
  <c r="S471" i="11"/>
  <c r="R471" i="11"/>
  <c r="Q471" i="11"/>
  <c r="P471" i="11"/>
  <c r="O471" i="11"/>
  <c r="N471" i="11"/>
  <c r="M471" i="11"/>
  <c r="L471" i="11"/>
  <c r="K471" i="11"/>
  <c r="J471" i="11"/>
  <c r="I471" i="11"/>
  <c r="H471" i="11"/>
  <c r="G471" i="11"/>
  <c r="F471" i="11"/>
  <c r="E471" i="11"/>
  <c r="D471" i="11"/>
  <c r="C471" i="11"/>
  <c r="B471" i="11"/>
  <c r="A471" i="11"/>
  <c r="Z470" i="11"/>
  <c r="Y470" i="11"/>
  <c r="X470" i="11"/>
  <c r="W470" i="11"/>
  <c r="V470" i="11"/>
  <c r="U470" i="11"/>
  <c r="T470" i="11"/>
  <c r="S470" i="11"/>
  <c r="R470" i="11"/>
  <c r="Q470" i="11"/>
  <c r="P470" i="11"/>
  <c r="O470" i="11"/>
  <c r="N470" i="11"/>
  <c r="M470" i="11"/>
  <c r="L470" i="11"/>
  <c r="K470" i="11"/>
  <c r="J470" i="11"/>
  <c r="I470" i="11"/>
  <c r="H470" i="11"/>
  <c r="G470" i="11"/>
  <c r="F470" i="11"/>
  <c r="E470" i="11"/>
  <c r="D470" i="11"/>
  <c r="C470" i="11"/>
  <c r="B470" i="11"/>
  <c r="A470" i="11"/>
  <c r="Z469" i="11"/>
  <c r="Y469" i="11"/>
  <c r="X469" i="11"/>
  <c r="W469" i="11"/>
  <c r="V469" i="11"/>
  <c r="U469" i="11"/>
  <c r="T469" i="11"/>
  <c r="S469" i="11"/>
  <c r="R469" i="11"/>
  <c r="Q469" i="11"/>
  <c r="P469" i="11"/>
  <c r="O469" i="11"/>
  <c r="N469" i="11"/>
  <c r="M469" i="11"/>
  <c r="L469" i="11"/>
  <c r="K469" i="11"/>
  <c r="J469" i="11"/>
  <c r="I469" i="11"/>
  <c r="H469" i="11"/>
  <c r="G469" i="11"/>
  <c r="F469" i="11"/>
  <c r="E469" i="11"/>
  <c r="D469" i="11"/>
  <c r="C469" i="11"/>
  <c r="B469" i="11"/>
  <c r="A469" i="11"/>
  <c r="Z468" i="11"/>
  <c r="Y468" i="11"/>
  <c r="X468" i="11"/>
  <c r="W468" i="11"/>
  <c r="V468" i="11"/>
  <c r="U468" i="11"/>
  <c r="T468" i="11"/>
  <c r="S468" i="11"/>
  <c r="R468" i="11"/>
  <c r="Q468" i="11"/>
  <c r="P468" i="11"/>
  <c r="O468" i="11"/>
  <c r="N468" i="11"/>
  <c r="M468" i="11"/>
  <c r="L468" i="11"/>
  <c r="K468" i="11"/>
  <c r="J468" i="11"/>
  <c r="I468" i="11"/>
  <c r="H468" i="11"/>
  <c r="G468" i="11"/>
  <c r="F468" i="11"/>
  <c r="E468" i="11"/>
  <c r="D468" i="11"/>
  <c r="C468" i="11"/>
  <c r="B468" i="11"/>
  <c r="A468" i="11"/>
  <c r="Z467" i="11"/>
  <c r="Y467" i="11"/>
  <c r="X467" i="11"/>
  <c r="W467" i="11"/>
  <c r="V467" i="11"/>
  <c r="U467" i="11"/>
  <c r="T467" i="11"/>
  <c r="S467" i="11"/>
  <c r="R467" i="11"/>
  <c r="Q467" i="11"/>
  <c r="P467" i="11"/>
  <c r="O467" i="11"/>
  <c r="N467" i="11"/>
  <c r="M467" i="11"/>
  <c r="L467" i="11"/>
  <c r="K467" i="11"/>
  <c r="J467" i="11"/>
  <c r="I467" i="11"/>
  <c r="H467" i="11"/>
  <c r="G467" i="11"/>
  <c r="F467" i="11"/>
  <c r="E467" i="11"/>
  <c r="D467" i="11"/>
  <c r="C467" i="11"/>
  <c r="B467" i="11"/>
  <c r="A467" i="11"/>
  <c r="Z466" i="11"/>
  <c r="Y466" i="11"/>
  <c r="X466" i="11"/>
  <c r="W466" i="11"/>
  <c r="V466" i="11"/>
  <c r="U466" i="11"/>
  <c r="T466" i="11"/>
  <c r="S466" i="11"/>
  <c r="R466" i="11"/>
  <c r="Q466" i="11"/>
  <c r="P466" i="11"/>
  <c r="O466" i="11"/>
  <c r="N466" i="11"/>
  <c r="M466" i="11"/>
  <c r="L466" i="11"/>
  <c r="K466" i="11"/>
  <c r="J466" i="11"/>
  <c r="I466" i="11"/>
  <c r="H466" i="11"/>
  <c r="G466" i="11"/>
  <c r="F466" i="11"/>
  <c r="E466" i="11"/>
  <c r="D466" i="11"/>
  <c r="C466" i="11"/>
  <c r="B466" i="11"/>
  <c r="A466" i="11"/>
  <c r="Z465" i="11"/>
  <c r="Y465" i="11"/>
  <c r="X465" i="11"/>
  <c r="W465" i="11"/>
  <c r="V465" i="11"/>
  <c r="U465" i="11"/>
  <c r="T465" i="11"/>
  <c r="S465" i="11"/>
  <c r="R465" i="11"/>
  <c r="Q465" i="11"/>
  <c r="P465" i="11"/>
  <c r="O465" i="11"/>
  <c r="N465" i="11"/>
  <c r="M465" i="11"/>
  <c r="L465" i="11"/>
  <c r="K465" i="11"/>
  <c r="J465" i="11"/>
  <c r="I465" i="11"/>
  <c r="H465" i="11"/>
  <c r="G465" i="11"/>
  <c r="F465" i="11"/>
  <c r="E465" i="11"/>
  <c r="D465" i="11"/>
  <c r="C465" i="11"/>
  <c r="B465" i="11"/>
  <c r="A465" i="11"/>
  <c r="Z464" i="11"/>
  <c r="Y464" i="11"/>
  <c r="X464" i="11"/>
  <c r="W464" i="11"/>
  <c r="V464" i="11"/>
  <c r="U464" i="11"/>
  <c r="T464" i="11"/>
  <c r="S464" i="11"/>
  <c r="R464" i="11"/>
  <c r="Q464" i="11"/>
  <c r="P464" i="11"/>
  <c r="O464" i="11"/>
  <c r="N464" i="11"/>
  <c r="M464" i="11"/>
  <c r="L464" i="11"/>
  <c r="K464" i="11"/>
  <c r="J464" i="11"/>
  <c r="I464" i="11"/>
  <c r="H464" i="11"/>
  <c r="G464" i="11"/>
  <c r="F464" i="11"/>
  <c r="E464" i="11"/>
  <c r="D464" i="11"/>
  <c r="C464" i="11"/>
  <c r="B464" i="11"/>
  <c r="A464" i="11"/>
  <c r="Z463" i="11"/>
  <c r="Y463" i="11"/>
  <c r="X463" i="11"/>
  <c r="W463" i="11"/>
  <c r="V463" i="11"/>
  <c r="U463" i="11"/>
  <c r="T463" i="11"/>
  <c r="S463" i="11"/>
  <c r="R463" i="11"/>
  <c r="Q463" i="11"/>
  <c r="P463" i="11"/>
  <c r="O463" i="11"/>
  <c r="N463" i="11"/>
  <c r="M463" i="11"/>
  <c r="L463" i="11"/>
  <c r="K463" i="11"/>
  <c r="J463" i="11"/>
  <c r="I463" i="11"/>
  <c r="H463" i="11"/>
  <c r="G463" i="11"/>
  <c r="F463" i="11"/>
  <c r="E463" i="11"/>
  <c r="D463" i="11"/>
  <c r="C463" i="11"/>
  <c r="B463" i="11"/>
  <c r="A463" i="11"/>
  <c r="Z462" i="11"/>
  <c r="Y462" i="11"/>
  <c r="X462" i="11"/>
  <c r="W462" i="11"/>
  <c r="V462" i="11"/>
  <c r="U462" i="11"/>
  <c r="T462" i="11"/>
  <c r="S462" i="11"/>
  <c r="R462" i="11"/>
  <c r="Q462" i="11"/>
  <c r="P462" i="11"/>
  <c r="O462" i="11"/>
  <c r="N462" i="11"/>
  <c r="M462" i="11"/>
  <c r="L462" i="11"/>
  <c r="K462" i="11"/>
  <c r="J462" i="11"/>
  <c r="I462" i="11"/>
  <c r="H462" i="11"/>
  <c r="G462" i="11"/>
  <c r="F462" i="11"/>
  <c r="E462" i="11"/>
  <c r="D462" i="11"/>
  <c r="C462" i="11"/>
  <c r="B462" i="11"/>
  <c r="A462" i="11"/>
  <c r="Z461" i="11"/>
  <c r="Y461" i="11"/>
  <c r="X461" i="11"/>
  <c r="W461" i="11"/>
  <c r="V461" i="11"/>
  <c r="U461" i="11"/>
  <c r="T461" i="11"/>
  <c r="S461" i="11"/>
  <c r="R461" i="11"/>
  <c r="Q461" i="11"/>
  <c r="P461" i="11"/>
  <c r="O461" i="11"/>
  <c r="N461" i="11"/>
  <c r="M461" i="11"/>
  <c r="L461" i="11"/>
  <c r="K461" i="11"/>
  <c r="J461" i="11"/>
  <c r="I461" i="11"/>
  <c r="H461" i="11"/>
  <c r="G461" i="11"/>
  <c r="F461" i="11"/>
  <c r="E461" i="11"/>
  <c r="D461" i="11"/>
  <c r="C461" i="11"/>
  <c r="B461" i="11"/>
  <c r="A461" i="11"/>
  <c r="Z460" i="11"/>
  <c r="Y460" i="11"/>
  <c r="X460" i="11"/>
  <c r="W460" i="11"/>
  <c r="V460" i="11"/>
  <c r="U460" i="11"/>
  <c r="T460" i="11"/>
  <c r="S460" i="11"/>
  <c r="R460" i="11"/>
  <c r="Q460" i="11"/>
  <c r="P460" i="11"/>
  <c r="O460" i="11"/>
  <c r="N460" i="11"/>
  <c r="M460" i="11"/>
  <c r="L460" i="11"/>
  <c r="K460" i="11"/>
  <c r="J460" i="11"/>
  <c r="I460" i="11"/>
  <c r="H460" i="11"/>
  <c r="G460" i="11"/>
  <c r="F460" i="11"/>
  <c r="E460" i="11"/>
  <c r="D460" i="11"/>
  <c r="C460" i="11"/>
  <c r="B460" i="11"/>
  <c r="A460" i="11"/>
  <c r="Z459" i="11"/>
  <c r="Y459" i="11"/>
  <c r="X459" i="11"/>
  <c r="W459" i="11"/>
  <c r="V459" i="11"/>
  <c r="U459" i="11"/>
  <c r="T459" i="11"/>
  <c r="S459" i="11"/>
  <c r="R459" i="11"/>
  <c r="Q459" i="11"/>
  <c r="P459" i="11"/>
  <c r="O459" i="11"/>
  <c r="N459" i="11"/>
  <c r="M459" i="11"/>
  <c r="L459" i="11"/>
  <c r="K459" i="11"/>
  <c r="J459" i="11"/>
  <c r="I459" i="11"/>
  <c r="H459" i="11"/>
  <c r="G459" i="11"/>
  <c r="F459" i="11"/>
  <c r="E459" i="11"/>
  <c r="D459" i="11"/>
  <c r="C459" i="11"/>
  <c r="B459" i="11"/>
  <c r="A459" i="11"/>
  <c r="Z458" i="11"/>
  <c r="Y458" i="11"/>
  <c r="X458" i="11"/>
  <c r="W458" i="11"/>
  <c r="V458" i="11"/>
  <c r="U458" i="11"/>
  <c r="T458" i="11"/>
  <c r="S458" i="11"/>
  <c r="R458" i="11"/>
  <c r="Q458" i="11"/>
  <c r="P458" i="11"/>
  <c r="O458" i="11"/>
  <c r="N458" i="11"/>
  <c r="M458" i="11"/>
  <c r="L458" i="11"/>
  <c r="K458" i="11"/>
  <c r="J458" i="11"/>
  <c r="I458" i="11"/>
  <c r="H458" i="11"/>
  <c r="G458" i="11"/>
  <c r="F458" i="11"/>
  <c r="E458" i="11"/>
  <c r="D458" i="11"/>
  <c r="C458" i="11"/>
  <c r="B458" i="11"/>
  <c r="A458" i="11"/>
  <c r="Z457" i="11"/>
  <c r="Y457" i="11"/>
  <c r="X457" i="11"/>
  <c r="W457" i="11"/>
  <c r="V457" i="11"/>
  <c r="U457" i="11"/>
  <c r="T457" i="11"/>
  <c r="S457" i="11"/>
  <c r="R457" i="11"/>
  <c r="Q457" i="11"/>
  <c r="P457" i="11"/>
  <c r="O457" i="11"/>
  <c r="N457" i="11"/>
  <c r="M457" i="11"/>
  <c r="L457" i="11"/>
  <c r="K457" i="11"/>
  <c r="J457" i="11"/>
  <c r="I457" i="11"/>
  <c r="H457" i="11"/>
  <c r="G457" i="11"/>
  <c r="F457" i="11"/>
  <c r="E457" i="11"/>
  <c r="D457" i="11"/>
  <c r="C457" i="11"/>
  <c r="B457" i="11"/>
  <c r="A457" i="11"/>
  <c r="Z456" i="11"/>
  <c r="Y456" i="11"/>
  <c r="X456" i="11"/>
  <c r="W456" i="11"/>
  <c r="V456" i="11"/>
  <c r="U456" i="11"/>
  <c r="T456" i="11"/>
  <c r="S456" i="11"/>
  <c r="R456" i="11"/>
  <c r="Q456" i="11"/>
  <c r="P456" i="11"/>
  <c r="O456" i="11"/>
  <c r="N456" i="11"/>
  <c r="M456" i="11"/>
  <c r="L456" i="11"/>
  <c r="K456" i="11"/>
  <c r="J456" i="11"/>
  <c r="I456" i="11"/>
  <c r="H456" i="11"/>
  <c r="G456" i="11"/>
  <c r="F456" i="11"/>
  <c r="E456" i="11"/>
  <c r="D456" i="11"/>
  <c r="C456" i="11"/>
  <c r="B456" i="11"/>
  <c r="A456" i="11"/>
  <c r="Z455" i="11"/>
  <c r="Y455" i="11"/>
  <c r="X455" i="11"/>
  <c r="W455" i="11"/>
  <c r="V455" i="11"/>
  <c r="U455" i="11"/>
  <c r="T455" i="11"/>
  <c r="S455" i="11"/>
  <c r="R455" i="11"/>
  <c r="Q455" i="11"/>
  <c r="P455" i="11"/>
  <c r="O455" i="11"/>
  <c r="N455" i="11"/>
  <c r="M455" i="11"/>
  <c r="L455" i="11"/>
  <c r="K455" i="11"/>
  <c r="J455" i="11"/>
  <c r="I455" i="11"/>
  <c r="H455" i="11"/>
  <c r="G455" i="11"/>
  <c r="F455" i="11"/>
  <c r="E455" i="11"/>
  <c r="D455" i="11"/>
  <c r="C455" i="11"/>
  <c r="B455" i="11"/>
  <c r="A455" i="11"/>
  <c r="Z454" i="11"/>
  <c r="Y454" i="11"/>
  <c r="X454" i="11"/>
  <c r="W454" i="11"/>
  <c r="V454" i="11"/>
  <c r="U454" i="11"/>
  <c r="T454" i="11"/>
  <c r="S454" i="11"/>
  <c r="R454" i="11"/>
  <c r="Q454" i="11"/>
  <c r="P454" i="11"/>
  <c r="O454" i="11"/>
  <c r="N454" i="11"/>
  <c r="M454" i="11"/>
  <c r="L454" i="11"/>
  <c r="K454" i="11"/>
  <c r="J454" i="11"/>
  <c r="I454" i="11"/>
  <c r="H454" i="11"/>
  <c r="G454" i="11"/>
  <c r="F454" i="11"/>
  <c r="E454" i="11"/>
  <c r="D454" i="11"/>
  <c r="C454" i="11"/>
  <c r="B454" i="11"/>
  <c r="A454" i="11"/>
  <c r="Z453" i="11"/>
  <c r="Y453" i="11"/>
  <c r="X453" i="11"/>
  <c r="W453" i="11"/>
  <c r="V453" i="11"/>
  <c r="U453" i="11"/>
  <c r="T453" i="11"/>
  <c r="S453" i="11"/>
  <c r="R453" i="11"/>
  <c r="Q453" i="11"/>
  <c r="P453" i="11"/>
  <c r="O453" i="11"/>
  <c r="N453" i="11"/>
  <c r="M453" i="11"/>
  <c r="L453" i="11"/>
  <c r="K453" i="11"/>
  <c r="J453" i="11"/>
  <c r="I453" i="11"/>
  <c r="H453" i="11"/>
  <c r="G453" i="11"/>
  <c r="F453" i="11"/>
  <c r="E453" i="11"/>
  <c r="D453" i="11"/>
  <c r="C453" i="11"/>
  <c r="B453" i="11"/>
  <c r="A453" i="11"/>
  <c r="Z452" i="11"/>
  <c r="Y452" i="11"/>
  <c r="X452" i="11"/>
  <c r="W452" i="11"/>
  <c r="V452" i="11"/>
  <c r="U452" i="11"/>
  <c r="T452" i="11"/>
  <c r="S452" i="11"/>
  <c r="R452" i="11"/>
  <c r="Q452" i="11"/>
  <c r="P452" i="11"/>
  <c r="O452" i="11"/>
  <c r="N452" i="11"/>
  <c r="M452" i="11"/>
  <c r="L452" i="11"/>
  <c r="K452" i="11"/>
  <c r="J452" i="11"/>
  <c r="I452" i="11"/>
  <c r="H452" i="11"/>
  <c r="G452" i="11"/>
  <c r="F452" i="11"/>
  <c r="E452" i="11"/>
  <c r="D452" i="11"/>
  <c r="C452" i="11"/>
  <c r="B452" i="11"/>
  <c r="A452" i="11"/>
  <c r="Z451" i="11"/>
  <c r="Y451" i="11"/>
  <c r="X451" i="11"/>
  <c r="W451" i="11"/>
  <c r="V451" i="11"/>
  <c r="U451" i="11"/>
  <c r="T451" i="11"/>
  <c r="S451" i="11"/>
  <c r="R451" i="11"/>
  <c r="Q451" i="11"/>
  <c r="P451" i="11"/>
  <c r="O451" i="11"/>
  <c r="N451" i="11"/>
  <c r="M451" i="11"/>
  <c r="L451" i="11"/>
  <c r="K451" i="11"/>
  <c r="J451" i="11"/>
  <c r="I451" i="11"/>
  <c r="H451" i="11"/>
  <c r="G451" i="11"/>
  <c r="F451" i="11"/>
  <c r="E451" i="11"/>
  <c r="D451" i="11"/>
  <c r="C451" i="11"/>
  <c r="B451" i="11"/>
  <c r="A451" i="11"/>
  <c r="Z450" i="11"/>
  <c r="Y450" i="11"/>
  <c r="X450" i="11"/>
  <c r="W450" i="11"/>
  <c r="V450" i="11"/>
  <c r="U450" i="11"/>
  <c r="T450" i="11"/>
  <c r="S450" i="11"/>
  <c r="R450" i="11"/>
  <c r="Q450" i="11"/>
  <c r="P450" i="11"/>
  <c r="O450" i="11"/>
  <c r="N450" i="11"/>
  <c r="M450" i="11"/>
  <c r="L450" i="11"/>
  <c r="K450" i="11"/>
  <c r="J450" i="11"/>
  <c r="I450" i="11"/>
  <c r="H450" i="11"/>
  <c r="G450" i="11"/>
  <c r="F450" i="11"/>
  <c r="E450" i="11"/>
  <c r="D450" i="11"/>
  <c r="C450" i="11"/>
  <c r="B450" i="11"/>
  <c r="A450" i="11"/>
  <c r="Z449" i="11"/>
  <c r="Y449" i="11"/>
  <c r="X449" i="11"/>
  <c r="W449" i="11"/>
  <c r="V449" i="11"/>
  <c r="U449" i="11"/>
  <c r="T449" i="11"/>
  <c r="S449" i="11"/>
  <c r="R449" i="11"/>
  <c r="Q449" i="11"/>
  <c r="P449" i="11"/>
  <c r="O449" i="11"/>
  <c r="N449" i="11"/>
  <c r="M449" i="11"/>
  <c r="L449" i="11"/>
  <c r="K449" i="11"/>
  <c r="J449" i="11"/>
  <c r="I449" i="11"/>
  <c r="H449" i="11"/>
  <c r="G449" i="11"/>
  <c r="F449" i="11"/>
  <c r="E449" i="11"/>
  <c r="D449" i="11"/>
  <c r="C449" i="11"/>
  <c r="B449" i="11"/>
  <c r="A449" i="11"/>
  <c r="Z448" i="11"/>
  <c r="Y448" i="11"/>
  <c r="X448" i="11"/>
  <c r="W448" i="11"/>
  <c r="V448" i="11"/>
  <c r="U448" i="11"/>
  <c r="T448" i="11"/>
  <c r="S448" i="11"/>
  <c r="R448" i="11"/>
  <c r="Q448" i="11"/>
  <c r="P448" i="11"/>
  <c r="O448" i="11"/>
  <c r="N448" i="11"/>
  <c r="M448" i="11"/>
  <c r="L448" i="11"/>
  <c r="K448" i="11"/>
  <c r="J448" i="11"/>
  <c r="I448" i="11"/>
  <c r="H448" i="11"/>
  <c r="G448" i="11"/>
  <c r="F448" i="11"/>
  <c r="E448" i="11"/>
  <c r="D448" i="11"/>
  <c r="C448" i="11"/>
  <c r="B448" i="11"/>
  <c r="A448" i="11"/>
  <c r="Z447" i="11"/>
  <c r="Y447" i="11"/>
  <c r="X447" i="11"/>
  <c r="W447" i="11"/>
  <c r="V447" i="11"/>
  <c r="U447" i="11"/>
  <c r="T447" i="11"/>
  <c r="S447" i="11"/>
  <c r="R447" i="11"/>
  <c r="Q447" i="11"/>
  <c r="P447" i="11"/>
  <c r="O447" i="11"/>
  <c r="N447" i="11"/>
  <c r="M447" i="11"/>
  <c r="L447" i="11"/>
  <c r="K447" i="11"/>
  <c r="J447" i="11"/>
  <c r="I447" i="11"/>
  <c r="H447" i="11"/>
  <c r="G447" i="11"/>
  <c r="F447" i="11"/>
  <c r="E447" i="11"/>
  <c r="D447" i="11"/>
  <c r="C447" i="11"/>
  <c r="B447" i="11"/>
  <c r="A447" i="11"/>
  <c r="Z446" i="11"/>
  <c r="Y446" i="11"/>
  <c r="X446" i="11"/>
  <c r="W446" i="11"/>
  <c r="V446" i="11"/>
  <c r="U446" i="11"/>
  <c r="T446" i="11"/>
  <c r="S446" i="11"/>
  <c r="R446" i="11"/>
  <c r="Q446" i="11"/>
  <c r="P446" i="11"/>
  <c r="O446" i="11"/>
  <c r="N446" i="11"/>
  <c r="M446" i="11"/>
  <c r="L446" i="11"/>
  <c r="K446" i="11"/>
  <c r="J446" i="11"/>
  <c r="I446" i="11"/>
  <c r="H446" i="11"/>
  <c r="G446" i="11"/>
  <c r="F446" i="11"/>
  <c r="E446" i="11"/>
  <c r="D446" i="11"/>
  <c r="C446" i="11"/>
  <c r="B446" i="11"/>
  <c r="A446" i="11"/>
  <c r="Z445" i="11"/>
  <c r="Y445" i="11"/>
  <c r="X445" i="11"/>
  <c r="W445" i="11"/>
  <c r="V445" i="11"/>
  <c r="U445" i="11"/>
  <c r="T445" i="11"/>
  <c r="S445" i="11"/>
  <c r="R445" i="11"/>
  <c r="Q445" i="11"/>
  <c r="P445" i="11"/>
  <c r="O445" i="11"/>
  <c r="N445" i="11"/>
  <c r="M445" i="11"/>
  <c r="L445" i="11"/>
  <c r="K445" i="11"/>
  <c r="J445" i="11"/>
  <c r="I445" i="11"/>
  <c r="H445" i="11"/>
  <c r="G445" i="11"/>
  <c r="F445" i="11"/>
  <c r="E445" i="11"/>
  <c r="D445" i="11"/>
  <c r="C445" i="11"/>
  <c r="B445" i="11"/>
  <c r="A445" i="11"/>
  <c r="Z444" i="11"/>
  <c r="Y444" i="11"/>
  <c r="X444" i="11"/>
  <c r="W444" i="11"/>
  <c r="V444" i="11"/>
  <c r="U444" i="11"/>
  <c r="T444" i="11"/>
  <c r="S444" i="11"/>
  <c r="R444" i="11"/>
  <c r="Q444" i="11"/>
  <c r="P444" i="11"/>
  <c r="O444" i="11"/>
  <c r="N444" i="11"/>
  <c r="M444" i="11"/>
  <c r="L444" i="11"/>
  <c r="K444" i="11"/>
  <c r="J444" i="11"/>
  <c r="I444" i="11"/>
  <c r="H444" i="11"/>
  <c r="G444" i="11"/>
  <c r="F444" i="11"/>
  <c r="E444" i="11"/>
  <c r="D444" i="11"/>
  <c r="C444" i="11"/>
  <c r="B444" i="11"/>
  <c r="A444" i="11"/>
  <c r="Z443" i="11"/>
  <c r="Y443" i="11"/>
  <c r="X443" i="11"/>
  <c r="W443" i="11"/>
  <c r="V443" i="11"/>
  <c r="U443" i="11"/>
  <c r="T443" i="11"/>
  <c r="S443" i="11"/>
  <c r="R443" i="11"/>
  <c r="Q443" i="11"/>
  <c r="P443" i="11"/>
  <c r="O443" i="11"/>
  <c r="N443" i="11"/>
  <c r="M443" i="11"/>
  <c r="L443" i="11"/>
  <c r="K443" i="11"/>
  <c r="J443" i="11"/>
  <c r="I443" i="11"/>
  <c r="H443" i="11"/>
  <c r="G443" i="11"/>
  <c r="F443" i="11"/>
  <c r="E443" i="11"/>
  <c r="D443" i="11"/>
  <c r="C443" i="11"/>
  <c r="B443" i="11"/>
  <c r="A443" i="11"/>
  <c r="Z442" i="11"/>
  <c r="Y442" i="11"/>
  <c r="X442" i="11"/>
  <c r="W442" i="11"/>
  <c r="V442" i="11"/>
  <c r="U442" i="11"/>
  <c r="T442" i="11"/>
  <c r="S442" i="11"/>
  <c r="R442" i="11"/>
  <c r="Q442" i="11"/>
  <c r="P442" i="11"/>
  <c r="O442" i="11"/>
  <c r="N442" i="11"/>
  <c r="M442" i="11"/>
  <c r="L442" i="11"/>
  <c r="K442" i="11"/>
  <c r="J442" i="11"/>
  <c r="I442" i="11"/>
  <c r="H442" i="11"/>
  <c r="G442" i="11"/>
  <c r="F442" i="11"/>
  <c r="E442" i="11"/>
  <c r="D442" i="11"/>
  <c r="C442" i="11"/>
  <c r="B442" i="11"/>
  <c r="A442" i="11"/>
  <c r="Z441" i="11"/>
  <c r="Y441" i="11"/>
  <c r="X441" i="11"/>
  <c r="W441" i="11"/>
  <c r="V441" i="11"/>
  <c r="U441" i="11"/>
  <c r="T441" i="11"/>
  <c r="S441" i="11"/>
  <c r="R441" i="11"/>
  <c r="Q441" i="11"/>
  <c r="P441" i="11"/>
  <c r="O441" i="11"/>
  <c r="N441" i="11"/>
  <c r="M441" i="11"/>
  <c r="L441" i="11"/>
  <c r="K441" i="11"/>
  <c r="J441" i="11"/>
  <c r="I441" i="11"/>
  <c r="H441" i="11"/>
  <c r="G441" i="11"/>
  <c r="F441" i="11"/>
  <c r="E441" i="11"/>
  <c r="D441" i="11"/>
  <c r="C441" i="11"/>
  <c r="B441" i="11"/>
  <c r="A441" i="11"/>
  <c r="Z440" i="11"/>
  <c r="Y440" i="11"/>
  <c r="X440" i="11"/>
  <c r="W440" i="11"/>
  <c r="V440" i="11"/>
  <c r="U440" i="11"/>
  <c r="T440" i="11"/>
  <c r="S440" i="11"/>
  <c r="R440" i="11"/>
  <c r="Q440" i="11"/>
  <c r="P440" i="11"/>
  <c r="O440" i="11"/>
  <c r="N440" i="11"/>
  <c r="M440" i="11"/>
  <c r="L440" i="11"/>
  <c r="K440" i="11"/>
  <c r="J440" i="11"/>
  <c r="I440" i="11"/>
  <c r="H440" i="11"/>
  <c r="G440" i="11"/>
  <c r="F440" i="11"/>
  <c r="E440" i="11"/>
  <c r="D440" i="11"/>
  <c r="C440" i="11"/>
  <c r="B440" i="11"/>
  <c r="A440" i="11"/>
  <c r="Z439" i="11"/>
  <c r="Y439" i="11"/>
  <c r="X439" i="11"/>
  <c r="W439" i="11"/>
  <c r="V439" i="11"/>
  <c r="U439" i="11"/>
  <c r="T439" i="11"/>
  <c r="S439" i="11"/>
  <c r="R439" i="11"/>
  <c r="Q439" i="11"/>
  <c r="P439" i="11"/>
  <c r="O439" i="11"/>
  <c r="N439" i="11"/>
  <c r="M439" i="11"/>
  <c r="L439" i="11"/>
  <c r="K439" i="11"/>
  <c r="J439" i="11"/>
  <c r="I439" i="11"/>
  <c r="H439" i="11"/>
  <c r="G439" i="11"/>
  <c r="F439" i="11"/>
  <c r="E439" i="11"/>
  <c r="D439" i="11"/>
  <c r="C439" i="11"/>
  <c r="B439" i="11"/>
  <c r="A439" i="11"/>
  <c r="Z438" i="11"/>
  <c r="Y438" i="11"/>
  <c r="X438" i="11"/>
  <c r="W438" i="11"/>
  <c r="V438" i="11"/>
  <c r="U438" i="11"/>
  <c r="T438" i="11"/>
  <c r="S438" i="11"/>
  <c r="R438" i="11"/>
  <c r="Q438" i="11"/>
  <c r="P438" i="11"/>
  <c r="O438" i="11"/>
  <c r="N438" i="11"/>
  <c r="M438" i="11"/>
  <c r="L438" i="11"/>
  <c r="K438" i="11"/>
  <c r="J438" i="11"/>
  <c r="I438" i="11"/>
  <c r="H438" i="11"/>
  <c r="G438" i="11"/>
  <c r="F438" i="11"/>
  <c r="E438" i="11"/>
  <c r="D438" i="11"/>
  <c r="C438" i="11"/>
  <c r="B438" i="11"/>
  <c r="A438" i="11"/>
  <c r="Z437" i="11"/>
  <c r="Y437" i="11"/>
  <c r="X437" i="11"/>
  <c r="W437" i="11"/>
  <c r="V437" i="11"/>
  <c r="U437" i="11"/>
  <c r="T437" i="11"/>
  <c r="S437" i="11"/>
  <c r="R437" i="11"/>
  <c r="Q437" i="11"/>
  <c r="P437" i="11"/>
  <c r="O437" i="11"/>
  <c r="N437" i="11"/>
  <c r="M437" i="11"/>
  <c r="L437" i="11"/>
  <c r="K437" i="11"/>
  <c r="J437" i="11"/>
  <c r="I437" i="11"/>
  <c r="H437" i="11"/>
  <c r="G437" i="11"/>
  <c r="F437" i="11"/>
  <c r="E437" i="11"/>
  <c r="D437" i="11"/>
  <c r="C437" i="11"/>
  <c r="B437" i="11"/>
  <c r="A437" i="11"/>
  <c r="Z436" i="11"/>
  <c r="Y436" i="11"/>
  <c r="X436" i="11"/>
  <c r="W436" i="11"/>
  <c r="V436" i="11"/>
  <c r="U436" i="11"/>
  <c r="T436" i="11"/>
  <c r="S436" i="11"/>
  <c r="R436" i="11"/>
  <c r="Q436" i="11"/>
  <c r="P436" i="11"/>
  <c r="O436" i="11"/>
  <c r="N436" i="11"/>
  <c r="M436" i="11"/>
  <c r="L436" i="11"/>
  <c r="K436" i="11"/>
  <c r="J436" i="11"/>
  <c r="I436" i="11"/>
  <c r="H436" i="11"/>
  <c r="G436" i="11"/>
  <c r="F436" i="11"/>
  <c r="E436" i="11"/>
  <c r="D436" i="11"/>
  <c r="C436" i="11"/>
  <c r="B436" i="11"/>
  <c r="A436" i="11"/>
  <c r="Z435" i="11"/>
  <c r="Y435" i="11"/>
  <c r="X435" i="11"/>
  <c r="W435" i="11"/>
  <c r="V435" i="11"/>
  <c r="U435" i="11"/>
  <c r="T435" i="11"/>
  <c r="S435" i="11"/>
  <c r="R435" i="11"/>
  <c r="Q435" i="11"/>
  <c r="P435" i="11"/>
  <c r="O435" i="11"/>
  <c r="N435" i="11"/>
  <c r="M435" i="11"/>
  <c r="L435" i="11"/>
  <c r="K435" i="11"/>
  <c r="J435" i="11"/>
  <c r="I435" i="11"/>
  <c r="H435" i="11"/>
  <c r="G435" i="11"/>
  <c r="F435" i="11"/>
  <c r="E435" i="11"/>
  <c r="D435" i="11"/>
  <c r="C435" i="11"/>
  <c r="B435" i="11"/>
  <c r="A435" i="11"/>
  <c r="Z434" i="11"/>
  <c r="Y434" i="11"/>
  <c r="X434" i="11"/>
  <c r="W434" i="11"/>
  <c r="V434" i="11"/>
  <c r="U434" i="11"/>
  <c r="T434" i="11"/>
  <c r="S434" i="11"/>
  <c r="R434" i="11"/>
  <c r="Q434" i="11"/>
  <c r="P434" i="11"/>
  <c r="O434" i="11"/>
  <c r="N434" i="11"/>
  <c r="M434" i="11"/>
  <c r="L434" i="11"/>
  <c r="K434" i="11"/>
  <c r="J434" i="11"/>
  <c r="I434" i="11"/>
  <c r="H434" i="11"/>
  <c r="G434" i="11"/>
  <c r="F434" i="11"/>
  <c r="E434" i="11"/>
  <c r="D434" i="11"/>
  <c r="C434" i="11"/>
  <c r="B434" i="11"/>
  <c r="A434" i="11"/>
  <c r="S433" i="11"/>
  <c r="K433" i="11"/>
  <c r="C433" i="11"/>
  <c r="Z432" i="11"/>
  <c r="Y432" i="11"/>
  <c r="X432" i="11"/>
  <c r="W432" i="11"/>
  <c r="V432" i="11"/>
  <c r="U432" i="11"/>
  <c r="T432" i="11"/>
  <c r="S432" i="11"/>
  <c r="R432" i="11"/>
  <c r="Q432" i="11"/>
  <c r="P432" i="11"/>
  <c r="O432" i="11"/>
  <c r="N432" i="11"/>
  <c r="M432" i="11"/>
  <c r="L432" i="11"/>
  <c r="K432" i="11"/>
  <c r="J432" i="11"/>
  <c r="I432" i="11"/>
  <c r="H432" i="11"/>
  <c r="G432" i="11"/>
  <c r="F432" i="11"/>
  <c r="E432" i="11"/>
  <c r="D432" i="11"/>
  <c r="C432" i="11"/>
  <c r="B432" i="11"/>
  <c r="A432" i="11"/>
  <c r="Z431" i="11"/>
  <c r="Y431" i="11"/>
  <c r="X431" i="11"/>
  <c r="W431" i="11"/>
  <c r="V431" i="11"/>
  <c r="U431" i="11"/>
  <c r="T431" i="11"/>
  <c r="S431" i="11"/>
  <c r="R431" i="11"/>
  <c r="Q431" i="11"/>
  <c r="P431" i="11"/>
  <c r="O431" i="11"/>
  <c r="N431" i="11"/>
  <c r="M431" i="11"/>
  <c r="L431" i="11"/>
  <c r="K431" i="11"/>
  <c r="J431" i="11"/>
  <c r="I431" i="11"/>
  <c r="H431" i="11"/>
  <c r="G431" i="11"/>
  <c r="F431" i="11"/>
  <c r="E431" i="11"/>
  <c r="D431" i="11"/>
  <c r="C431" i="11"/>
  <c r="B431" i="11"/>
  <c r="A431" i="11"/>
  <c r="Z430" i="11"/>
  <c r="Y430" i="11"/>
  <c r="X430" i="11"/>
  <c r="W430" i="11"/>
  <c r="V430" i="11"/>
  <c r="U430" i="11"/>
  <c r="T430" i="11"/>
  <c r="S430" i="11"/>
  <c r="R430" i="11"/>
  <c r="Q430" i="11"/>
  <c r="P430" i="11"/>
  <c r="O430" i="11"/>
  <c r="N430" i="11"/>
  <c r="M430" i="11"/>
  <c r="L430" i="11"/>
  <c r="K430" i="11"/>
  <c r="J430" i="11"/>
  <c r="I430" i="11"/>
  <c r="H430" i="11"/>
  <c r="G430" i="11"/>
  <c r="F430" i="11"/>
  <c r="E430" i="11"/>
  <c r="D430" i="11"/>
  <c r="C430" i="11"/>
  <c r="B430" i="11"/>
  <c r="A430" i="11"/>
  <c r="Z429" i="11"/>
  <c r="Y429" i="11"/>
  <c r="X429" i="11"/>
  <c r="W429" i="11"/>
  <c r="V429" i="11"/>
  <c r="U429" i="11"/>
  <c r="T429" i="11"/>
  <c r="S429" i="11"/>
  <c r="R429" i="11"/>
  <c r="Q429" i="11"/>
  <c r="P429" i="11"/>
  <c r="O429" i="11"/>
  <c r="N429" i="11"/>
  <c r="M429" i="11"/>
  <c r="L429" i="11"/>
  <c r="K429" i="11"/>
  <c r="J429" i="11"/>
  <c r="I429" i="11"/>
  <c r="H429" i="11"/>
  <c r="G429" i="11"/>
  <c r="F429" i="11"/>
  <c r="E429" i="11"/>
  <c r="D429" i="11"/>
  <c r="C429" i="11"/>
  <c r="B429" i="11"/>
  <c r="A429" i="11"/>
  <c r="Z428" i="11"/>
  <c r="Y428" i="11"/>
  <c r="X428" i="11"/>
  <c r="W428" i="11"/>
  <c r="V428" i="11"/>
  <c r="U428" i="11"/>
  <c r="T428" i="11"/>
  <c r="S428" i="11"/>
  <c r="R428" i="11"/>
  <c r="Q428" i="11"/>
  <c r="P428" i="11"/>
  <c r="O428" i="11"/>
  <c r="N428" i="11"/>
  <c r="M428" i="11"/>
  <c r="L428" i="11"/>
  <c r="K428" i="11"/>
  <c r="J428" i="11"/>
  <c r="I428" i="11"/>
  <c r="H428" i="11"/>
  <c r="G428" i="11"/>
  <c r="F428" i="11"/>
  <c r="E428" i="11"/>
  <c r="D428" i="11"/>
  <c r="C428" i="11"/>
  <c r="B428" i="11"/>
  <c r="A428" i="11"/>
  <c r="Z427" i="11"/>
  <c r="Y427" i="11"/>
  <c r="X427" i="11"/>
  <c r="W427" i="11"/>
  <c r="V427" i="11"/>
  <c r="U427" i="11"/>
  <c r="T427" i="11"/>
  <c r="S427" i="11"/>
  <c r="R427" i="11"/>
  <c r="Q427" i="11"/>
  <c r="P427" i="11"/>
  <c r="O427" i="11"/>
  <c r="N427" i="11"/>
  <c r="M427" i="11"/>
  <c r="L427" i="11"/>
  <c r="K427" i="11"/>
  <c r="J427" i="11"/>
  <c r="I427" i="11"/>
  <c r="H427" i="11"/>
  <c r="G427" i="11"/>
  <c r="F427" i="11"/>
  <c r="E427" i="11"/>
  <c r="D427" i="11"/>
  <c r="C427" i="11"/>
  <c r="B427" i="11"/>
  <c r="A427" i="11"/>
  <c r="Z426" i="11"/>
  <c r="Y426" i="11"/>
  <c r="X426" i="11"/>
  <c r="W426" i="11"/>
  <c r="V426" i="11"/>
  <c r="U426" i="11"/>
  <c r="T426" i="11"/>
  <c r="S426" i="11"/>
  <c r="R426" i="11"/>
  <c r="Q426" i="11"/>
  <c r="P426" i="11"/>
  <c r="O426" i="11"/>
  <c r="N426" i="11"/>
  <c r="M426" i="11"/>
  <c r="L426" i="11"/>
  <c r="K426" i="11"/>
  <c r="J426" i="11"/>
  <c r="I426" i="11"/>
  <c r="H426" i="11"/>
  <c r="G426" i="11"/>
  <c r="F426" i="11"/>
  <c r="E426" i="11"/>
  <c r="D426" i="11"/>
  <c r="C426" i="11"/>
  <c r="B426" i="11"/>
  <c r="A426" i="11"/>
  <c r="Z425" i="11"/>
  <c r="Y425" i="11"/>
  <c r="X425" i="11"/>
  <c r="W425" i="11"/>
  <c r="V425" i="11"/>
  <c r="U425" i="11"/>
  <c r="T425" i="11"/>
  <c r="S425" i="11"/>
  <c r="R425" i="11"/>
  <c r="Q425" i="11"/>
  <c r="P425" i="11"/>
  <c r="O425" i="11"/>
  <c r="N425" i="11"/>
  <c r="M425" i="11"/>
  <c r="L425" i="11"/>
  <c r="K425" i="11"/>
  <c r="J425" i="11"/>
  <c r="I425" i="11"/>
  <c r="H425" i="11"/>
  <c r="G425" i="11"/>
  <c r="F425" i="11"/>
  <c r="E425" i="11"/>
  <c r="D425" i="11"/>
  <c r="C425" i="11"/>
  <c r="B425" i="11"/>
  <c r="A425" i="11"/>
  <c r="Z424" i="11"/>
  <c r="Y424" i="11"/>
  <c r="X424" i="11"/>
  <c r="W424" i="11"/>
  <c r="V424" i="11"/>
  <c r="U424" i="11"/>
  <c r="T424" i="11"/>
  <c r="S424" i="11"/>
  <c r="R424" i="11"/>
  <c r="Q424" i="11"/>
  <c r="P424" i="11"/>
  <c r="O424" i="11"/>
  <c r="N424" i="11"/>
  <c r="M424" i="11"/>
  <c r="L424" i="11"/>
  <c r="K424" i="11"/>
  <c r="J424" i="11"/>
  <c r="I424" i="11"/>
  <c r="H424" i="11"/>
  <c r="G424" i="11"/>
  <c r="F424" i="11"/>
  <c r="E424" i="11"/>
  <c r="D424" i="11"/>
  <c r="C424" i="11"/>
  <c r="B424" i="11"/>
  <c r="A424" i="11"/>
  <c r="Z423" i="11"/>
  <c r="Y423" i="11"/>
  <c r="X423" i="11"/>
  <c r="W423" i="11"/>
  <c r="V423" i="11"/>
  <c r="U423" i="11"/>
  <c r="T423" i="11"/>
  <c r="S423" i="11"/>
  <c r="R423" i="11"/>
  <c r="Q423" i="11"/>
  <c r="P423" i="11"/>
  <c r="O423" i="11"/>
  <c r="N423" i="11"/>
  <c r="M423" i="11"/>
  <c r="L423" i="11"/>
  <c r="K423" i="11"/>
  <c r="J423" i="11"/>
  <c r="I423" i="11"/>
  <c r="H423" i="11"/>
  <c r="G423" i="11"/>
  <c r="F423" i="11"/>
  <c r="E423" i="11"/>
  <c r="D423" i="11"/>
  <c r="C423" i="11"/>
  <c r="B423" i="11"/>
  <c r="A423" i="11"/>
  <c r="Z422" i="11"/>
  <c r="Y422" i="11"/>
  <c r="X422" i="11"/>
  <c r="W422" i="11"/>
  <c r="V422" i="11"/>
  <c r="U422" i="11"/>
  <c r="T422" i="11"/>
  <c r="S422" i="11"/>
  <c r="R422" i="11"/>
  <c r="Q422" i="11"/>
  <c r="P422" i="11"/>
  <c r="O422" i="11"/>
  <c r="N422" i="11"/>
  <c r="M422" i="11"/>
  <c r="L422" i="11"/>
  <c r="K422" i="11"/>
  <c r="J422" i="11"/>
  <c r="I422" i="11"/>
  <c r="H422" i="11"/>
  <c r="G422" i="11"/>
  <c r="F422" i="11"/>
  <c r="E422" i="11"/>
  <c r="D422" i="11"/>
  <c r="C422" i="11"/>
  <c r="B422" i="11"/>
  <c r="A422" i="11"/>
  <c r="Z421" i="11"/>
  <c r="Y421" i="11"/>
  <c r="X421" i="11"/>
  <c r="W421" i="11"/>
  <c r="V421" i="11"/>
  <c r="U421" i="11"/>
  <c r="T421" i="11"/>
  <c r="S421" i="11"/>
  <c r="R421" i="11"/>
  <c r="Q421" i="11"/>
  <c r="P421" i="11"/>
  <c r="O421" i="11"/>
  <c r="N421" i="11"/>
  <c r="M421" i="11"/>
  <c r="L421" i="11"/>
  <c r="K421" i="11"/>
  <c r="J421" i="11"/>
  <c r="I421" i="11"/>
  <c r="H421" i="11"/>
  <c r="G421" i="11"/>
  <c r="F421" i="11"/>
  <c r="E421" i="11"/>
  <c r="D421" i="11"/>
  <c r="C421" i="11"/>
  <c r="B421" i="11"/>
  <c r="A421" i="11"/>
  <c r="Z420" i="11"/>
  <c r="Y420" i="11"/>
  <c r="X420" i="11"/>
  <c r="W420" i="11"/>
  <c r="V420" i="11"/>
  <c r="U420" i="11"/>
  <c r="T420" i="11"/>
  <c r="S420" i="11"/>
  <c r="R420" i="11"/>
  <c r="Q420" i="11"/>
  <c r="P420" i="11"/>
  <c r="O420" i="11"/>
  <c r="N420" i="11"/>
  <c r="M420" i="11"/>
  <c r="L420" i="11"/>
  <c r="K420" i="11"/>
  <c r="J420" i="11"/>
  <c r="I420" i="11"/>
  <c r="H420" i="11"/>
  <c r="G420" i="11"/>
  <c r="F420" i="11"/>
  <c r="E420" i="11"/>
  <c r="D420" i="11"/>
  <c r="C420" i="11"/>
  <c r="B420" i="11"/>
  <c r="A420" i="11"/>
  <c r="Z419" i="11"/>
  <c r="Y419" i="11"/>
  <c r="X419" i="11"/>
  <c r="W419" i="11"/>
  <c r="V419" i="11"/>
  <c r="U419" i="11"/>
  <c r="T419" i="11"/>
  <c r="S419" i="11"/>
  <c r="R419" i="11"/>
  <c r="Q419" i="11"/>
  <c r="P419" i="11"/>
  <c r="O419" i="11"/>
  <c r="N419" i="11"/>
  <c r="M419" i="11"/>
  <c r="L419" i="11"/>
  <c r="K419" i="11"/>
  <c r="J419" i="11"/>
  <c r="I419" i="11"/>
  <c r="H419" i="11"/>
  <c r="G419" i="11"/>
  <c r="F419" i="11"/>
  <c r="E419" i="11"/>
  <c r="D419" i="11"/>
  <c r="C419" i="11"/>
  <c r="B419" i="11"/>
  <c r="A419" i="11"/>
  <c r="Z418" i="11"/>
  <c r="Y418" i="11"/>
  <c r="X418" i="11"/>
  <c r="W418" i="11"/>
  <c r="V418" i="11"/>
  <c r="U418" i="11"/>
  <c r="T418" i="11"/>
  <c r="S418" i="11"/>
  <c r="R418" i="11"/>
  <c r="Q418" i="11"/>
  <c r="P418" i="11"/>
  <c r="O418" i="11"/>
  <c r="N418" i="11"/>
  <c r="M418" i="11"/>
  <c r="L418" i="11"/>
  <c r="K418" i="11"/>
  <c r="J418" i="11"/>
  <c r="I418" i="11"/>
  <c r="H418" i="11"/>
  <c r="G418" i="11"/>
  <c r="F418" i="11"/>
  <c r="E418" i="11"/>
  <c r="D418" i="11"/>
  <c r="C418" i="11"/>
  <c r="B418" i="11"/>
  <c r="A418" i="11"/>
  <c r="Z417" i="11"/>
  <c r="Y417" i="11"/>
  <c r="X417" i="11"/>
  <c r="W417" i="11"/>
  <c r="V417" i="11"/>
  <c r="U417" i="11"/>
  <c r="T417" i="11"/>
  <c r="S417" i="11"/>
  <c r="R417" i="11"/>
  <c r="Q417" i="11"/>
  <c r="P417" i="11"/>
  <c r="O417" i="11"/>
  <c r="N417" i="11"/>
  <c r="M417" i="11"/>
  <c r="L417" i="11"/>
  <c r="K417" i="11"/>
  <c r="J417" i="11"/>
  <c r="I417" i="11"/>
  <c r="H417" i="11"/>
  <c r="G417" i="11"/>
  <c r="F417" i="11"/>
  <c r="E417" i="11"/>
  <c r="D417" i="11"/>
  <c r="C417" i="11"/>
  <c r="B417" i="11"/>
  <c r="A417" i="11"/>
  <c r="Z416" i="11"/>
  <c r="Y416" i="11"/>
  <c r="X416" i="11"/>
  <c r="W416" i="11"/>
  <c r="V416" i="11"/>
  <c r="U416" i="11"/>
  <c r="T416" i="11"/>
  <c r="S416" i="11"/>
  <c r="R416" i="11"/>
  <c r="Q416" i="11"/>
  <c r="P416" i="11"/>
  <c r="O416" i="11"/>
  <c r="N416" i="11"/>
  <c r="M416" i="11"/>
  <c r="L416" i="11"/>
  <c r="K416" i="11"/>
  <c r="J416" i="11"/>
  <c r="I416" i="11"/>
  <c r="H416" i="11"/>
  <c r="G416" i="11"/>
  <c r="F416" i="11"/>
  <c r="E416" i="11"/>
  <c r="D416" i="11"/>
  <c r="C416" i="11"/>
  <c r="B416" i="11"/>
  <c r="A416" i="11"/>
  <c r="Z415" i="11"/>
  <c r="Y415" i="11"/>
  <c r="X415" i="11"/>
  <c r="W415" i="11"/>
  <c r="V415" i="11"/>
  <c r="U415" i="11"/>
  <c r="T415" i="11"/>
  <c r="S415" i="11"/>
  <c r="R415" i="11"/>
  <c r="Q415" i="11"/>
  <c r="P415" i="11"/>
  <c r="O415" i="11"/>
  <c r="N415" i="11"/>
  <c r="M415" i="11"/>
  <c r="L415" i="11"/>
  <c r="K415" i="11"/>
  <c r="J415" i="11"/>
  <c r="I415" i="11"/>
  <c r="H415" i="11"/>
  <c r="G415" i="11"/>
  <c r="F415" i="11"/>
  <c r="E415" i="11"/>
  <c r="D415" i="11"/>
  <c r="C415" i="11"/>
  <c r="B415" i="11"/>
  <c r="A415" i="11"/>
  <c r="Z414" i="11"/>
  <c r="Y414" i="11"/>
  <c r="X414" i="11"/>
  <c r="W414" i="11"/>
  <c r="V414" i="11"/>
  <c r="U414" i="11"/>
  <c r="T414" i="11"/>
  <c r="S414" i="11"/>
  <c r="R414" i="11"/>
  <c r="Q414" i="11"/>
  <c r="P414" i="11"/>
  <c r="O414" i="11"/>
  <c r="N414" i="11"/>
  <c r="M414" i="11"/>
  <c r="L414" i="11"/>
  <c r="K414" i="11"/>
  <c r="J414" i="11"/>
  <c r="I414" i="11"/>
  <c r="H414" i="11"/>
  <c r="G414" i="11"/>
  <c r="F414" i="11"/>
  <c r="E414" i="11"/>
  <c r="D414" i="11"/>
  <c r="C414" i="11"/>
  <c r="B414" i="11"/>
  <c r="A414" i="11"/>
  <c r="Z413" i="11"/>
  <c r="Y413" i="11"/>
  <c r="X413" i="11"/>
  <c r="W413" i="11"/>
  <c r="V413" i="11"/>
  <c r="U413" i="11"/>
  <c r="T413" i="11"/>
  <c r="S413" i="11"/>
  <c r="R413" i="11"/>
  <c r="Q413" i="11"/>
  <c r="P413" i="11"/>
  <c r="O413" i="11"/>
  <c r="N413" i="11"/>
  <c r="M413" i="11"/>
  <c r="L413" i="11"/>
  <c r="K413" i="11"/>
  <c r="J413" i="11"/>
  <c r="I413" i="11"/>
  <c r="H413" i="11"/>
  <c r="G413" i="11"/>
  <c r="F413" i="11"/>
  <c r="E413" i="11"/>
  <c r="D413" i="11"/>
  <c r="C413" i="11"/>
  <c r="B413" i="11"/>
  <c r="A413" i="11"/>
  <c r="Z412" i="11"/>
  <c r="Y412" i="11"/>
  <c r="X412" i="11"/>
  <c r="W412" i="11"/>
  <c r="V412" i="11"/>
  <c r="U412" i="11"/>
  <c r="T412" i="11"/>
  <c r="S412" i="11"/>
  <c r="R412" i="11"/>
  <c r="Q412" i="11"/>
  <c r="P412" i="11"/>
  <c r="O412" i="11"/>
  <c r="N412" i="11"/>
  <c r="M412" i="11"/>
  <c r="L412" i="11"/>
  <c r="K412" i="11"/>
  <c r="J412" i="11"/>
  <c r="I412" i="11"/>
  <c r="H412" i="11"/>
  <c r="G412" i="11"/>
  <c r="F412" i="11"/>
  <c r="E412" i="11"/>
  <c r="D412" i="11"/>
  <c r="C412" i="11"/>
  <c r="B412" i="11"/>
  <c r="A412" i="11"/>
  <c r="Z411" i="11"/>
  <c r="Y411" i="11"/>
  <c r="X411" i="11"/>
  <c r="W411" i="11"/>
  <c r="V411" i="11"/>
  <c r="U411" i="11"/>
  <c r="T411" i="11"/>
  <c r="S411" i="11"/>
  <c r="R411" i="11"/>
  <c r="Q411" i="11"/>
  <c r="P411" i="11"/>
  <c r="O411" i="11"/>
  <c r="N411" i="11"/>
  <c r="M411" i="11"/>
  <c r="L411" i="11"/>
  <c r="K411" i="11"/>
  <c r="J411" i="11"/>
  <c r="I411" i="11"/>
  <c r="H411" i="11"/>
  <c r="G411" i="11"/>
  <c r="F411" i="11"/>
  <c r="E411" i="11"/>
  <c r="D411" i="11"/>
  <c r="C411" i="11"/>
  <c r="B411" i="11"/>
  <c r="A411" i="11"/>
  <c r="Z410" i="11"/>
  <c r="Y410" i="11"/>
  <c r="X410" i="11"/>
  <c r="W410" i="11"/>
  <c r="V410" i="11"/>
  <c r="U410" i="11"/>
  <c r="T410" i="11"/>
  <c r="S410" i="11"/>
  <c r="R410" i="11"/>
  <c r="Q410" i="11"/>
  <c r="P410" i="11"/>
  <c r="O410" i="11"/>
  <c r="N410" i="11"/>
  <c r="M410" i="11"/>
  <c r="L410" i="11"/>
  <c r="K410" i="11"/>
  <c r="J410" i="11"/>
  <c r="I410" i="11"/>
  <c r="H410" i="11"/>
  <c r="G410" i="11"/>
  <c r="F410" i="11"/>
  <c r="E410" i="11"/>
  <c r="D410" i="11"/>
  <c r="C410" i="11"/>
  <c r="B410" i="11"/>
  <c r="A410" i="11"/>
  <c r="Z409" i="11"/>
  <c r="Y409" i="11"/>
  <c r="X409" i="11"/>
  <c r="W409" i="11"/>
  <c r="V409" i="11"/>
  <c r="U409" i="11"/>
  <c r="T409" i="11"/>
  <c r="S409" i="11"/>
  <c r="R409" i="11"/>
  <c r="Q409" i="11"/>
  <c r="P409" i="11"/>
  <c r="O409" i="11"/>
  <c r="N409" i="11"/>
  <c r="M409" i="11"/>
  <c r="L409" i="11"/>
  <c r="K409" i="11"/>
  <c r="J409" i="11"/>
  <c r="I409" i="11"/>
  <c r="H409" i="11"/>
  <c r="G409" i="11"/>
  <c r="F409" i="11"/>
  <c r="E409" i="11"/>
  <c r="D409" i="11"/>
  <c r="C409" i="11"/>
  <c r="B409" i="11"/>
  <c r="A409" i="11"/>
  <c r="Z408" i="11"/>
  <c r="Y408" i="11"/>
  <c r="X408" i="11"/>
  <c r="W408" i="11"/>
  <c r="V408" i="11"/>
  <c r="U408" i="11"/>
  <c r="T408" i="11"/>
  <c r="S408" i="11"/>
  <c r="R408" i="11"/>
  <c r="Q408" i="11"/>
  <c r="P408" i="11"/>
  <c r="O408" i="11"/>
  <c r="N408" i="11"/>
  <c r="M408" i="11"/>
  <c r="L408" i="11"/>
  <c r="K408" i="11"/>
  <c r="J408" i="11"/>
  <c r="I408" i="11"/>
  <c r="H408" i="11"/>
  <c r="G408" i="11"/>
  <c r="F408" i="11"/>
  <c r="E408" i="11"/>
  <c r="D408" i="11"/>
  <c r="C408" i="11"/>
  <c r="B408" i="11"/>
  <c r="A408" i="11"/>
  <c r="U407" i="11"/>
  <c r="M407" i="11"/>
  <c r="E407" i="11"/>
  <c r="Z406" i="11"/>
  <c r="Y406" i="11"/>
  <c r="X406" i="11"/>
  <c r="W406" i="11"/>
  <c r="V406" i="11"/>
  <c r="U406" i="11"/>
  <c r="T406" i="11"/>
  <c r="S406" i="11"/>
  <c r="R406" i="11"/>
  <c r="Q406" i="11"/>
  <c r="P406" i="11"/>
  <c r="O406" i="11"/>
  <c r="N406" i="11"/>
  <c r="M406" i="11"/>
  <c r="L406" i="11"/>
  <c r="K406" i="11"/>
  <c r="J406" i="11"/>
  <c r="I406" i="11"/>
  <c r="H406" i="11"/>
  <c r="G406" i="11"/>
  <c r="F406" i="11"/>
  <c r="E406" i="11"/>
  <c r="D406" i="11"/>
  <c r="C406" i="11"/>
  <c r="B406" i="11"/>
  <c r="A406" i="11"/>
  <c r="Z405" i="11"/>
  <c r="Y405" i="11"/>
  <c r="X405" i="11"/>
  <c r="W405" i="11"/>
  <c r="V405" i="11"/>
  <c r="U405" i="11"/>
  <c r="T405" i="11"/>
  <c r="S405" i="11"/>
  <c r="R405" i="11"/>
  <c r="Q405" i="11"/>
  <c r="P405" i="11"/>
  <c r="O405" i="11"/>
  <c r="N405" i="11"/>
  <c r="M405" i="11"/>
  <c r="L405" i="11"/>
  <c r="K405" i="11"/>
  <c r="J405" i="11"/>
  <c r="I405" i="11"/>
  <c r="H405" i="11"/>
  <c r="G405" i="11"/>
  <c r="F405" i="11"/>
  <c r="E405" i="11"/>
  <c r="D405" i="11"/>
  <c r="C405" i="11"/>
  <c r="B405" i="11"/>
  <c r="A405" i="11"/>
  <c r="Z404" i="11"/>
  <c r="Y404" i="11"/>
  <c r="X404" i="11"/>
  <c r="W404" i="11"/>
  <c r="V404" i="11"/>
  <c r="U404" i="11"/>
  <c r="T404" i="11"/>
  <c r="S404" i="11"/>
  <c r="R404" i="11"/>
  <c r="Q404" i="11"/>
  <c r="P404" i="11"/>
  <c r="O404" i="11"/>
  <c r="N404" i="11"/>
  <c r="M404" i="11"/>
  <c r="L404" i="11"/>
  <c r="K404" i="11"/>
  <c r="J404" i="11"/>
  <c r="I404" i="11"/>
  <c r="H404" i="11"/>
  <c r="G404" i="11"/>
  <c r="F404" i="11"/>
  <c r="E404" i="11"/>
  <c r="D404" i="11"/>
  <c r="C404" i="11"/>
  <c r="B404" i="11"/>
  <c r="A404" i="11"/>
  <c r="Z403" i="11"/>
  <c r="Y403" i="11"/>
  <c r="X403" i="11"/>
  <c r="W403" i="11"/>
  <c r="V403" i="11"/>
  <c r="U403" i="11"/>
  <c r="T403" i="11"/>
  <c r="S403" i="11"/>
  <c r="R403" i="11"/>
  <c r="Q403" i="11"/>
  <c r="P403" i="11"/>
  <c r="O403" i="11"/>
  <c r="N403" i="11"/>
  <c r="M403" i="11"/>
  <c r="L403" i="11"/>
  <c r="K403" i="11"/>
  <c r="J403" i="11"/>
  <c r="I403" i="11"/>
  <c r="H403" i="11"/>
  <c r="G403" i="11"/>
  <c r="F403" i="11"/>
  <c r="E403" i="11"/>
  <c r="D403" i="11"/>
  <c r="C403" i="11"/>
  <c r="B403" i="11"/>
  <c r="A403" i="11"/>
  <c r="Z402" i="11"/>
  <c r="Y402" i="11"/>
  <c r="X402" i="11"/>
  <c r="W402" i="11"/>
  <c r="V402" i="11"/>
  <c r="U402" i="11"/>
  <c r="T402" i="11"/>
  <c r="S402" i="11"/>
  <c r="R402" i="11"/>
  <c r="Q402" i="11"/>
  <c r="P402" i="11"/>
  <c r="O402" i="11"/>
  <c r="N402" i="11"/>
  <c r="M402" i="11"/>
  <c r="L402" i="11"/>
  <c r="K402" i="11"/>
  <c r="J402" i="11"/>
  <c r="I402" i="11"/>
  <c r="H402" i="11"/>
  <c r="G402" i="11"/>
  <c r="F402" i="11"/>
  <c r="E402" i="11"/>
  <c r="D402" i="11"/>
  <c r="C402" i="11"/>
  <c r="B402" i="11"/>
  <c r="A402" i="11"/>
  <c r="Z401" i="11"/>
  <c r="Y401" i="11"/>
  <c r="X401" i="11"/>
  <c r="W401" i="11"/>
  <c r="V401" i="11"/>
  <c r="U401" i="11"/>
  <c r="T401" i="11"/>
  <c r="S401" i="11"/>
  <c r="R401" i="11"/>
  <c r="Q401" i="11"/>
  <c r="P401" i="11"/>
  <c r="O401" i="11"/>
  <c r="N401" i="11"/>
  <c r="M401" i="11"/>
  <c r="L401" i="11"/>
  <c r="K401" i="11"/>
  <c r="J401" i="11"/>
  <c r="I401" i="11"/>
  <c r="H401" i="11"/>
  <c r="G401" i="11"/>
  <c r="F401" i="11"/>
  <c r="E401" i="11"/>
  <c r="D401" i="11"/>
  <c r="C401" i="11"/>
  <c r="B401" i="11"/>
  <c r="A401" i="11"/>
  <c r="Z400" i="11"/>
  <c r="Y400" i="11"/>
  <c r="X400" i="11"/>
  <c r="W400" i="11"/>
  <c r="V400" i="11"/>
  <c r="U400" i="11"/>
  <c r="T400" i="11"/>
  <c r="S400" i="11"/>
  <c r="R400" i="11"/>
  <c r="Q400" i="11"/>
  <c r="P400" i="11"/>
  <c r="O400" i="11"/>
  <c r="N400" i="11"/>
  <c r="M400" i="11"/>
  <c r="L400" i="11"/>
  <c r="K400" i="11"/>
  <c r="J400" i="11"/>
  <c r="I400" i="11"/>
  <c r="H400" i="11"/>
  <c r="G400" i="11"/>
  <c r="F400" i="11"/>
  <c r="E400" i="11"/>
  <c r="D400" i="11"/>
  <c r="C400" i="11"/>
  <c r="B400" i="11"/>
  <c r="A400" i="11"/>
  <c r="Z399" i="11"/>
  <c r="Y399" i="11"/>
  <c r="X399" i="11"/>
  <c r="W399" i="11"/>
  <c r="V399" i="11"/>
  <c r="U399" i="11"/>
  <c r="T399" i="11"/>
  <c r="S399" i="11"/>
  <c r="R399" i="11"/>
  <c r="Q399" i="11"/>
  <c r="P399" i="11"/>
  <c r="O399" i="11"/>
  <c r="N399" i="11"/>
  <c r="M399" i="11"/>
  <c r="L399" i="11"/>
  <c r="K399" i="11"/>
  <c r="J399" i="11"/>
  <c r="I399" i="11"/>
  <c r="H399" i="11"/>
  <c r="G399" i="11"/>
  <c r="F399" i="11"/>
  <c r="E399" i="11"/>
  <c r="D399" i="11"/>
  <c r="C399" i="11"/>
  <c r="B399" i="11"/>
  <c r="A399" i="11"/>
  <c r="Z398" i="11"/>
  <c r="Y398" i="11"/>
  <c r="X398" i="11"/>
  <c r="W398" i="11"/>
  <c r="V398" i="11"/>
  <c r="U398" i="11"/>
  <c r="T398" i="11"/>
  <c r="S398" i="11"/>
  <c r="R398" i="11"/>
  <c r="Q398" i="11"/>
  <c r="P398" i="11"/>
  <c r="O398" i="11"/>
  <c r="N398" i="11"/>
  <c r="M398" i="11"/>
  <c r="L398" i="11"/>
  <c r="K398" i="11"/>
  <c r="J398" i="11"/>
  <c r="I398" i="11"/>
  <c r="H398" i="11"/>
  <c r="G398" i="11"/>
  <c r="F398" i="11"/>
  <c r="E398" i="11"/>
  <c r="D398" i="11"/>
  <c r="C398" i="11"/>
  <c r="B398" i="11"/>
  <c r="A398" i="11"/>
  <c r="Z397" i="11"/>
  <c r="Y397" i="11"/>
  <c r="X397" i="11"/>
  <c r="W397" i="11"/>
  <c r="V397" i="11"/>
  <c r="U397" i="11"/>
  <c r="T397" i="11"/>
  <c r="S397" i="11"/>
  <c r="R397" i="11"/>
  <c r="Q397" i="11"/>
  <c r="P397" i="11"/>
  <c r="O397" i="11"/>
  <c r="N397" i="11"/>
  <c r="M397" i="11"/>
  <c r="L397" i="11"/>
  <c r="K397" i="11"/>
  <c r="J397" i="11"/>
  <c r="I397" i="11"/>
  <c r="H397" i="11"/>
  <c r="G397" i="11"/>
  <c r="F397" i="11"/>
  <c r="E397" i="11"/>
  <c r="D397" i="11"/>
  <c r="C397" i="11"/>
  <c r="B397" i="11"/>
  <c r="A397" i="11"/>
  <c r="Z396" i="11"/>
  <c r="Y396" i="11"/>
  <c r="X396" i="11"/>
  <c r="W396" i="11"/>
  <c r="V396" i="11"/>
  <c r="U396" i="11"/>
  <c r="T396" i="11"/>
  <c r="S396" i="11"/>
  <c r="R396" i="11"/>
  <c r="Q396" i="11"/>
  <c r="P396" i="11"/>
  <c r="O396" i="11"/>
  <c r="N396" i="11"/>
  <c r="M396" i="11"/>
  <c r="L396" i="11"/>
  <c r="K396" i="11"/>
  <c r="J396" i="11"/>
  <c r="I396" i="11"/>
  <c r="H396" i="11"/>
  <c r="G396" i="11"/>
  <c r="F396" i="11"/>
  <c r="E396" i="11"/>
  <c r="D396" i="11"/>
  <c r="C396" i="11"/>
  <c r="B396" i="11"/>
  <c r="A396" i="11"/>
  <c r="Z395" i="11"/>
  <c r="Y395" i="11"/>
  <c r="X395" i="11"/>
  <c r="W395" i="11"/>
  <c r="V395" i="11"/>
  <c r="U395" i="11"/>
  <c r="T395" i="11"/>
  <c r="S395" i="11"/>
  <c r="R395" i="11"/>
  <c r="Q395" i="11"/>
  <c r="P395" i="11"/>
  <c r="O395" i="11"/>
  <c r="N395" i="11"/>
  <c r="M395" i="11"/>
  <c r="L395" i="11"/>
  <c r="K395" i="11"/>
  <c r="J395" i="11"/>
  <c r="I395" i="11"/>
  <c r="H395" i="11"/>
  <c r="G395" i="11"/>
  <c r="F395" i="11"/>
  <c r="E395" i="11"/>
  <c r="D395" i="11"/>
  <c r="C395" i="11"/>
  <c r="B395" i="11"/>
  <c r="A395" i="11"/>
  <c r="Z394" i="11"/>
  <c r="Y394" i="11"/>
  <c r="X394" i="11"/>
  <c r="W394" i="11"/>
  <c r="V394" i="11"/>
  <c r="U394" i="11"/>
  <c r="T394" i="11"/>
  <c r="S394" i="11"/>
  <c r="R394" i="11"/>
  <c r="Q394" i="11"/>
  <c r="P394" i="11"/>
  <c r="O394" i="11"/>
  <c r="N394" i="11"/>
  <c r="M394" i="11"/>
  <c r="L394" i="11"/>
  <c r="K394" i="11"/>
  <c r="J394" i="11"/>
  <c r="I394" i="11"/>
  <c r="H394" i="11"/>
  <c r="G394" i="11"/>
  <c r="F394" i="11"/>
  <c r="E394" i="11"/>
  <c r="D394" i="11"/>
  <c r="C394" i="11"/>
  <c r="B394" i="11"/>
  <c r="A394" i="11"/>
  <c r="Z393" i="11"/>
  <c r="Y393" i="11"/>
  <c r="X393" i="11"/>
  <c r="W393" i="11"/>
  <c r="V393" i="11"/>
  <c r="U393" i="11"/>
  <c r="T393" i="11"/>
  <c r="S393" i="11"/>
  <c r="R393" i="11"/>
  <c r="Q393" i="11"/>
  <c r="P393" i="11"/>
  <c r="O393" i="11"/>
  <c r="N393" i="11"/>
  <c r="M393" i="11"/>
  <c r="L393" i="11"/>
  <c r="K393" i="11"/>
  <c r="J393" i="11"/>
  <c r="I393" i="11"/>
  <c r="H393" i="11"/>
  <c r="G393" i="11"/>
  <c r="F393" i="11"/>
  <c r="E393" i="11"/>
  <c r="D393" i="11"/>
  <c r="C393" i="11"/>
  <c r="B393" i="11"/>
  <c r="A393" i="11"/>
  <c r="Z392" i="11"/>
  <c r="Y392" i="11"/>
  <c r="X392" i="11"/>
  <c r="W392" i="11"/>
  <c r="V392" i="11"/>
  <c r="U392" i="11"/>
  <c r="T392" i="11"/>
  <c r="S392" i="11"/>
  <c r="R392" i="11"/>
  <c r="Q392" i="11"/>
  <c r="P392" i="11"/>
  <c r="O392" i="11"/>
  <c r="N392" i="11"/>
  <c r="M392" i="11"/>
  <c r="L392" i="11"/>
  <c r="K392" i="11"/>
  <c r="J392" i="11"/>
  <c r="I392" i="11"/>
  <c r="H392" i="11"/>
  <c r="G392" i="11"/>
  <c r="F392" i="11"/>
  <c r="E392" i="11"/>
  <c r="D392" i="11"/>
  <c r="C392" i="11"/>
  <c r="B392" i="11"/>
  <c r="A392" i="11"/>
  <c r="W391" i="11"/>
  <c r="O391" i="11"/>
  <c r="G391" i="11"/>
  <c r="Z390" i="11"/>
  <c r="Y390" i="11"/>
  <c r="X390" i="11"/>
  <c r="W390" i="11"/>
  <c r="V390" i="11"/>
  <c r="U390" i="11"/>
  <c r="T390" i="11"/>
  <c r="S390" i="11"/>
  <c r="R390" i="11"/>
  <c r="Q390" i="11"/>
  <c r="P390" i="11"/>
  <c r="O390" i="11"/>
  <c r="N390" i="11"/>
  <c r="M390" i="11"/>
  <c r="L390" i="11"/>
  <c r="K390" i="11"/>
  <c r="J390" i="11"/>
  <c r="I390" i="11"/>
  <c r="H390" i="11"/>
  <c r="G390" i="11"/>
  <c r="F390" i="11"/>
  <c r="E390" i="11"/>
  <c r="D390" i="11"/>
  <c r="C390" i="11"/>
  <c r="B390" i="11"/>
  <c r="A390" i="11"/>
  <c r="Z389" i="11"/>
  <c r="Y389" i="11"/>
  <c r="X389" i="11"/>
  <c r="W389" i="11"/>
  <c r="V389" i="11"/>
  <c r="U389" i="11"/>
  <c r="T389" i="11"/>
  <c r="S389" i="11"/>
  <c r="R389" i="11"/>
  <c r="Q389" i="11"/>
  <c r="P389" i="11"/>
  <c r="O389" i="11"/>
  <c r="N389" i="11"/>
  <c r="M389" i="11"/>
  <c r="L389" i="11"/>
  <c r="K389" i="11"/>
  <c r="J389" i="11"/>
  <c r="I389" i="11"/>
  <c r="H389" i="11"/>
  <c r="G389" i="11"/>
  <c r="F389" i="11"/>
  <c r="E389" i="11"/>
  <c r="D389" i="11"/>
  <c r="C389" i="11"/>
  <c r="B389" i="11"/>
  <c r="A389" i="11"/>
  <c r="Z388" i="11"/>
  <c r="Y388" i="11"/>
  <c r="X388" i="11"/>
  <c r="W388" i="11"/>
  <c r="V388" i="11"/>
  <c r="U388" i="11"/>
  <c r="T388" i="11"/>
  <c r="S388" i="11"/>
  <c r="R388" i="11"/>
  <c r="Q388" i="11"/>
  <c r="P388" i="11"/>
  <c r="O388" i="11"/>
  <c r="N388" i="11"/>
  <c r="M388" i="11"/>
  <c r="L388" i="11"/>
  <c r="K388" i="11"/>
  <c r="J388" i="11"/>
  <c r="I388" i="11"/>
  <c r="H388" i="11"/>
  <c r="G388" i="11"/>
  <c r="F388" i="11"/>
  <c r="E388" i="11"/>
  <c r="D388" i="11"/>
  <c r="C388" i="11"/>
  <c r="B388" i="11"/>
  <c r="A388" i="11"/>
  <c r="Z387" i="11"/>
  <c r="Y387" i="11"/>
  <c r="X387" i="11"/>
  <c r="W387" i="11"/>
  <c r="V387" i="11"/>
  <c r="U387" i="11"/>
  <c r="T387" i="11"/>
  <c r="S387" i="11"/>
  <c r="R387" i="11"/>
  <c r="Q387" i="11"/>
  <c r="P387" i="11"/>
  <c r="O387" i="11"/>
  <c r="N387" i="11"/>
  <c r="M387" i="11"/>
  <c r="L387" i="11"/>
  <c r="K387" i="11"/>
  <c r="J387" i="11"/>
  <c r="I387" i="11"/>
  <c r="H387" i="11"/>
  <c r="G387" i="11"/>
  <c r="F387" i="11"/>
  <c r="E387" i="11"/>
  <c r="D387" i="11"/>
  <c r="C387" i="11"/>
  <c r="B387" i="11"/>
  <c r="A387" i="11"/>
  <c r="Z386" i="11"/>
  <c r="Y386" i="11"/>
  <c r="X386" i="11"/>
  <c r="W386" i="11"/>
  <c r="V386" i="11"/>
  <c r="U386" i="11"/>
  <c r="T386" i="11"/>
  <c r="S386" i="11"/>
  <c r="R386" i="11"/>
  <c r="Q386" i="11"/>
  <c r="P386" i="11"/>
  <c r="O386" i="11"/>
  <c r="N386" i="11"/>
  <c r="M386" i="11"/>
  <c r="L386" i="11"/>
  <c r="K386" i="11"/>
  <c r="J386" i="11"/>
  <c r="I386" i="11"/>
  <c r="H386" i="11"/>
  <c r="G386" i="11"/>
  <c r="F386" i="11"/>
  <c r="E386" i="11"/>
  <c r="D386" i="11"/>
  <c r="C386" i="11"/>
  <c r="B386" i="11"/>
  <c r="A386" i="11"/>
  <c r="Z385" i="11"/>
  <c r="Y385" i="11"/>
  <c r="X385" i="11"/>
  <c r="W385" i="11"/>
  <c r="V385" i="11"/>
  <c r="U385" i="11"/>
  <c r="T385" i="11"/>
  <c r="S385" i="11"/>
  <c r="R385" i="11"/>
  <c r="Q385" i="11"/>
  <c r="P385" i="11"/>
  <c r="O385" i="11"/>
  <c r="N385" i="11"/>
  <c r="M385" i="11"/>
  <c r="L385" i="11"/>
  <c r="K385" i="11"/>
  <c r="J385" i="11"/>
  <c r="I385" i="11"/>
  <c r="H385" i="11"/>
  <c r="G385" i="11"/>
  <c r="F385" i="11"/>
  <c r="E385" i="11"/>
  <c r="D385" i="11"/>
  <c r="C385" i="11"/>
  <c r="B385" i="11"/>
  <c r="A385" i="11"/>
  <c r="Z384" i="11"/>
  <c r="Y384" i="11"/>
  <c r="X384" i="11"/>
  <c r="W384" i="11"/>
  <c r="V384" i="11"/>
  <c r="U384" i="11"/>
  <c r="T384" i="11"/>
  <c r="S384" i="11"/>
  <c r="R384" i="11"/>
  <c r="Q384" i="11"/>
  <c r="P384" i="11"/>
  <c r="O384" i="11"/>
  <c r="N384" i="11"/>
  <c r="M384" i="11"/>
  <c r="L384" i="11"/>
  <c r="K384" i="11"/>
  <c r="J384" i="11"/>
  <c r="I384" i="11"/>
  <c r="H384" i="11"/>
  <c r="G384" i="11"/>
  <c r="F384" i="11"/>
  <c r="E384" i="11"/>
  <c r="D384" i="11"/>
  <c r="C384" i="11"/>
  <c r="B384" i="11"/>
  <c r="A384" i="11"/>
  <c r="Z383" i="11"/>
  <c r="Y383" i="11"/>
  <c r="X383" i="11"/>
  <c r="W383" i="11"/>
  <c r="V383" i="11"/>
  <c r="U383" i="11"/>
  <c r="T383" i="11"/>
  <c r="S383" i="11"/>
  <c r="R383" i="11"/>
  <c r="Q383" i="11"/>
  <c r="P383" i="11"/>
  <c r="O383" i="11"/>
  <c r="N383" i="11"/>
  <c r="M383" i="11"/>
  <c r="L383" i="11"/>
  <c r="K383" i="11"/>
  <c r="J383" i="11"/>
  <c r="I383" i="11"/>
  <c r="H383" i="11"/>
  <c r="G383" i="11"/>
  <c r="F383" i="11"/>
  <c r="E383" i="11"/>
  <c r="D383" i="11"/>
  <c r="C383" i="11"/>
  <c r="B383" i="11"/>
  <c r="A383" i="11"/>
  <c r="Z382" i="11"/>
  <c r="Y382" i="11"/>
  <c r="X382" i="11"/>
  <c r="W382" i="11"/>
  <c r="V382" i="11"/>
  <c r="U382" i="11"/>
  <c r="T382" i="11"/>
  <c r="S382" i="11"/>
  <c r="R382" i="11"/>
  <c r="Q382" i="11"/>
  <c r="P382" i="11"/>
  <c r="O382" i="11"/>
  <c r="N382" i="11"/>
  <c r="M382" i="11"/>
  <c r="L382" i="11"/>
  <c r="K382" i="11"/>
  <c r="J382" i="11"/>
  <c r="I382" i="11"/>
  <c r="H382" i="11"/>
  <c r="G382" i="11"/>
  <c r="F382" i="11"/>
  <c r="E382" i="11"/>
  <c r="D382" i="11"/>
  <c r="C382" i="11"/>
  <c r="B382" i="11"/>
  <c r="A382" i="11"/>
  <c r="Z381" i="11"/>
  <c r="Y381" i="11"/>
  <c r="X381" i="11"/>
  <c r="W381" i="11"/>
  <c r="V381" i="11"/>
  <c r="U381" i="11"/>
  <c r="T381" i="11"/>
  <c r="S381" i="11"/>
  <c r="R381" i="11"/>
  <c r="Q381" i="11"/>
  <c r="P381" i="11"/>
  <c r="O381" i="11"/>
  <c r="N381" i="11"/>
  <c r="M381" i="11"/>
  <c r="L381" i="11"/>
  <c r="K381" i="11"/>
  <c r="J381" i="11"/>
  <c r="I381" i="11"/>
  <c r="H381" i="11"/>
  <c r="G381" i="11"/>
  <c r="F381" i="11"/>
  <c r="E381" i="11"/>
  <c r="D381" i="11"/>
  <c r="C381" i="11"/>
  <c r="B381" i="11"/>
  <c r="A381" i="11"/>
  <c r="Z380" i="11"/>
  <c r="Y380" i="11"/>
  <c r="X380" i="11"/>
  <c r="W380" i="11"/>
  <c r="V380" i="11"/>
  <c r="U380" i="11"/>
  <c r="T380" i="11"/>
  <c r="S380" i="11"/>
  <c r="R380" i="11"/>
  <c r="Q380" i="11"/>
  <c r="P380" i="11"/>
  <c r="O380" i="11"/>
  <c r="N380" i="11"/>
  <c r="M380" i="11"/>
  <c r="L380" i="11"/>
  <c r="K380" i="11"/>
  <c r="J380" i="11"/>
  <c r="I380" i="11"/>
  <c r="H380" i="11"/>
  <c r="G380" i="11"/>
  <c r="F380" i="11"/>
  <c r="E380" i="11"/>
  <c r="D380" i="11"/>
  <c r="C380" i="11"/>
  <c r="B380" i="11"/>
  <c r="A380" i="11"/>
  <c r="Z379" i="11"/>
  <c r="Y379" i="11"/>
  <c r="X379" i="11"/>
  <c r="W379" i="11"/>
  <c r="V379" i="11"/>
  <c r="U379" i="11"/>
  <c r="T379" i="11"/>
  <c r="S379" i="11"/>
  <c r="R379" i="11"/>
  <c r="Q379" i="11"/>
  <c r="P379" i="11"/>
  <c r="O379" i="11"/>
  <c r="N379" i="11"/>
  <c r="M379" i="11"/>
  <c r="L379" i="11"/>
  <c r="K379" i="11"/>
  <c r="J379" i="11"/>
  <c r="I379" i="11"/>
  <c r="H379" i="11"/>
  <c r="G379" i="11"/>
  <c r="F379" i="11"/>
  <c r="E379" i="11"/>
  <c r="D379" i="11"/>
  <c r="C379" i="11"/>
  <c r="B379" i="11"/>
  <c r="A379" i="11"/>
  <c r="Z378" i="11"/>
  <c r="Y378" i="11"/>
  <c r="X378" i="11"/>
  <c r="W378" i="11"/>
  <c r="V378" i="11"/>
  <c r="U378" i="11"/>
  <c r="T378" i="11"/>
  <c r="S378" i="11"/>
  <c r="R378" i="11"/>
  <c r="Q378" i="11"/>
  <c r="P378" i="11"/>
  <c r="O378" i="11"/>
  <c r="N378" i="11"/>
  <c r="M378" i="11"/>
  <c r="L378" i="11"/>
  <c r="K378" i="11"/>
  <c r="J378" i="11"/>
  <c r="I378" i="11"/>
  <c r="H378" i="11"/>
  <c r="G378" i="11"/>
  <c r="F378" i="11"/>
  <c r="E378" i="11"/>
  <c r="D378" i="11"/>
  <c r="C378" i="11"/>
  <c r="B378" i="11"/>
  <c r="A378" i="11"/>
  <c r="Z377" i="11"/>
  <c r="Y377" i="11"/>
  <c r="X377" i="11"/>
  <c r="W377" i="11"/>
  <c r="V377" i="11"/>
  <c r="U377" i="11"/>
  <c r="T377" i="11"/>
  <c r="S377" i="11"/>
  <c r="R377" i="11"/>
  <c r="Q377" i="11"/>
  <c r="P377" i="11"/>
  <c r="O377" i="11"/>
  <c r="N377" i="11"/>
  <c r="M377" i="11"/>
  <c r="L377" i="11"/>
  <c r="K377" i="11"/>
  <c r="J377" i="11"/>
  <c r="I377" i="11"/>
  <c r="H377" i="11"/>
  <c r="G377" i="11"/>
  <c r="F377" i="11"/>
  <c r="E377" i="11"/>
  <c r="D377" i="11"/>
  <c r="C377" i="11"/>
  <c r="B377" i="11"/>
  <c r="A377" i="11"/>
  <c r="Z376" i="11"/>
  <c r="Y376" i="11"/>
  <c r="X376" i="11"/>
  <c r="W376" i="11"/>
  <c r="V376" i="11"/>
  <c r="U376" i="11"/>
  <c r="T376" i="11"/>
  <c r="S376" i="11"/>
  <c r="R376" i="11"/>
  <c r="Q376" i="11"/>
  <c r="P376" i="11"/>
  <c r="O376" i="11"/>
  <c r="N376" i="11"/>
  <c r="M376" i="11"/>
  <c r="L376" i="11"/>
  <c r="K376" i="11"/>
  <c r="J376" i="11"/>
  <c r="I376" i="11"/>
  <c r="H376" i="11"/>
  <c r="G376" i="11"/>
  <c r="F376" i="11"/>
  <c r="E376" i="11"/>
  <c r="D376" i="11"/>
  <c r="C376" i="11"/>
  <c r="B376" i="11"/>
  <c r="A376" i="11"/>
  <c r="Z375" i="11"/>
  <c r="Y375" i="11"/>
  <c r="X375" i="11"/>
  <c r="W375" i="11"/>
  <c r="V375" i="11"/>
  <c r="U375" i="11"/>
  <c r="T375" i="11"/>
  <c r="S375" i="11"/>
  <c r="R375" i="11"/>
  <c r="Q375" i="11"/>
  <c r="P375" i="11"/>
  <c r="O375" i="11"/>
  <c r="N375" i="11"/>
  <c r="M375" i="11"/>
  <c r="L375" i="11"/>
  <c r="K375" i="11"/>
  <c r="J375" i="11"/>
  <c r="I375" i="11"/>
  <c r="H375" i="11"/>
  <c r="G375" i="11"/>
  <c r="F375" i="11"/>
  <c r="E375" i="11"/>
  <c r="D375" i="11"/>
  <c r="C375" i="11"/>
  <c r="B375" i="11"/>
  <c r="A375" i="11"/>
  <c r="Z374" i="11"/>
  <c r="Y374" i="11"/>
  <c r="X374" i="11"/>
  <c r="W374" i="11"/>
  <c r="V374" i="11"/>
  <c r="U374" i="11"/>
  <c r="T374" i="11"/>
  <c r="S374" i="11"/>
  <c r="R374" i="11"/>
  <c r="Q374" i="11"/>
  <c r="P374" i="11"/>
  <c r="O374" i="11"/>
  <c r="N374" i="11"/>
  <c r="M374" i="11"/>
  <c r="L374" i="11"/>
  <c r="K374" i="11"/>
  <c r="J374" i="11"/>
  <c r="I374" i="11"/>
  <c r="H374" i="11"/>
  <c r="G374" i="11"/>
  <c r="F374" i="11"/>
  <c r="E374" i="11"/>
  <c r="D374" i="11"/>
  <c r="C374" i="11"/>
  <c r="B374" i="11"/>
  <c r="A374" i="11"/>
  <c r="Z373" i="11"/>
  <c r="Y373" i="11"/>
  <c r="X373" i="11"/>
  <c r="W373" i="11"/>
  <c r="V373" i="11"/>
  <c r="U373" i="11"/>
  <c r="T373" i="11"/>
  <c r="S373" i="11"/>
  <c r="R373" i="11"/>
  <c r="Q373" i="11"/>
  <c r="P373" i="11"/>
  <c r="O373" i="11"/>
  <c r="N373" i="11"/>
  <c r="M373" i="11"/>
  <c r="L373" i="11"/>
  <c r="K373" i="11"/>
  <c r="J373" i="11"/>
  <c r="I373" i="11"/>
  <c r="H373" i="11"/>
  <c r="G373" i="11"/>
  <c r="F373" i="11"/>
  <c r="E373" i="11"/>
  <c r="D373" i="11"/>
  <c r="C373" i="11"/>
  <c r="B373" i="11"/>
  <c r="A373" i="11"/>
  <c r="Z372" i="11"/>
  <c r="Y372" i="11"/>
  <c r="X372" i="11"/>
  <c r="W372" i="11"/>
  <c r="V372" i="11"/>
  <c r="U372" i="11"/>
  <c r="T372" i="11"/>
  <c r="S372" i="11"/>
  <c r="R372" i="11"/>
  <c r="Q372" i="11"/>
  <c r="P372" i="11"/>
  <c r="O372" i="11"/>
  <c r="N372" i="11"/>
  <c r="M372" i="11"/>
  <c r="L372" i="11"/>
  <c r="K372" i="11"/>
  <c r="J372" i="11"/>
  <c r="I372" i="11"/>
  <c r="H372" i="11"/>
  <c r="G372" i="11"/>
  <c r="F372" i="11"/>
  <c r="E372" i="11"/>
  <c r="D372" i="11"/>
  <c r="C372" i="11"/>
  <c r="B372" i="11"/>
  <c r="A372" i="11"/>
  <c r="Z371" i="11"/>
  <c r="Y371" i="11"/>
  <c r="X371" i="11"/>
  <c r="W371" i="11"/>
  <c r="V371" i="11"/>
  <c r="U371" i="11"/>
  <c r="T371" i="11"/>
  <c r="S371" i="11"/>
  <c r="R371" i="11"/>
  <c r="Q371" i="11"/>
  <c r="P371" i="11"/>
  <c r="O371" i="11"/>
  <c r="N371" i="11"/>
  <c r="M371" i="11"/>
  <c r="L371" i="11"/>
  <c r="K371" i="11"/>
  <c r="J371" i="11"/>
  <c r="I371" i="11"/>
  <c r="H371" i="11"/>
  <c r="G371" i="11"/>
  <c r="F371" i="11"/>
  <c r="E371" i="11"/>
  <c r="D371" i="11"/>
  <c r="C371" i="11"/>
  <c r="B371" i="11"/>
  <c r="A371" i="11"/>
  <c r="Z370" i="11"/>
  <c r="Y370" i="11"/>
  <c r="X370" i="11"/>
  <c r="W370" i="11"/>
  <c r="V370" i="11"/>
  <c r="U370" i="11"/>
  <c r="T370" i="11"/>
  <c r="S370" i="11"/>
  <c r="R370" i="11"/>
  <c r="Q370" i="11"/>
  <c r="P370" i="11"/>
  <c r="O370" i="11"/>
  <c r="N370" i="11"/>
  <c r="M370" i="11"/>
  <c r="L370" i="11"/>
  <c r="K370" i="11"/>
  <c r="J370" i="11"/>
  <c r="I370" i="11"/>
  <c r="H370" i="11"/>
  <c r="G370" i="11"/>
  <c r="F370" i="11"/>
  <c r="E370" i="11"/>
  <c r="D370" i="11"/>
  <c r="C370" i="11"/>
  <c r="B370" i="11"/>
  <c r="A370" i="11"/>
  <c r="Z369" i="11"/>
  <c r="Y369" i="11"/>
  <c r="X369" i="11"/>
  <c r="W369" i="11"/>
  <c r="V369" i="11"/>
  <c r="U369" i="11"/>
  <c r="T369" i="11"/>
  <c r="S369" i="11"/>
  <c r="R369" i="11"/>
  <c r="Q369" i="11"/>
  <c r="P369" i="11"/>
  <c r="O369" i="11"/>
  <c r="N369" i="11"/>
  <c r="M369" i="11"/>
  <c r="L369" i="11"/>
  <c r="K369" i="11"/>
  <c r="J369" i="11"/>
  <c r="I369" i="11"/>
  <c r="H369" i="11"/>
  <c r="G369" i="11"/>
  <c r="F369" i="11"/>
  <c r="E369" i="11"/>
  <c r="D369" i="11"/>
  <c r="C369" i="11"/>
  <c r="B369" i="11"/>
  <c r="A369" i="11"/>
  <c r="Z368" i="11"/>
  <c r="Y368" i="11"/>
  <c r="X368" i="11"/>
  <c r="W368" i="11"/>
  <c r="V368" i="11"/>
  <c r="U368" i="11"/>
  <c r="T368" i="11"/>
  <c r="S368" i="11"/>
  <c r="R368" i="11"/>
  <c r="Q368" i="11"/>
  <c r="P368" i="11"/>
  <c r="O368" i="11"/>
  <c r="N368" i="11"/>
  <c r="M368" i="11"/>
  <c r="L368" i="11"/>
  <c r="K368" i="11"/>
  <c r="J368" i="11"/>
  <c r="I368" i="11"/>
  <c r="H368" i="11"/>
  <c r="G368" i="11"/>
  <c r="F368" i="11"/>
  <c r="E368" i="11"/>
  <c r="D368" i="11"/>
  <c r="C368" i="11"/>
  <c r="B368" i="11"/>
  <c r="A368" i="11"/>
  <c r="Z367" i="11"/>
  <c r="Y367" i="11"/>
  <c r="X367" i="11"/>
  <c r="W367" i="11"/>
  <c r="V367" i="11"/>
  <c r="U367" i="11"/>
  <c r="T367" i="11"/>
  <c r="S367" i="11"/>
  <c r="R367" i="11"/>
  <c r="Q367" i="11"/>
  <c r="P367" i="11"/>
  <c r="O367" i="11"/>
  <c r="N367" i="11"/>
  <c r="M367" i="11"/>
  <c r="L367" i="11"/>
  <c r="K367" i="11"/>
  <c r="J367" i="11"/>
  <c r="I367" i="11"/>
  <c r="H367" i="11"/>
  <c r="G367" i="11"/>
  <c r="F367" i="11"/>
  <c r="E367" i="11"/>
  <c r="D367" i="11"/>
  <c r="C367" i="11"/>
  <c r="B367" i="11"/>
  <c r="A367" i="11"/>
  <c r="Z366" i="11"/>
  <c r="Y366" i="11"/>
  <c r="X366" i="11"/>
  <c r="W366" i="11"/>
  <c r="V366" i="11"/>
  <c r="U366" i="11"/>
  <c r="T366" i="11"/>
  <c r="S366" i="11"/>
  <c r="R366" i="11"/>
  <c r="Q366" i="11"/>
  <c r="P366" i="11"/>
  <c r="O366" i="11"/>
  <c r="N366" i="11"/>
  <c r="M366" i="11"/>
  <c r="L366" i="11"/>
  <c r="K366" i="11"/>
  <c r="J366" i="11"/>
  <c r="I366" i="11"/>
  <c r="H366" i="11"/>
  <c r="G366" i="11"/>
  <c r="F366" i="11"/>
  <c r="E366" i="11"/>
  <c r="D366" i="11"/>
  <c r="C366" i="11"/>
  <c r="B366" i="11"/>
  <c r="A366" i="11"/>
  <c r="Z365" i="11"/>
  <c r="Y365" i="11"/>
  <c r="X365" i="11"/>
  <c r="W365" i="11"/>
  <c r="V365" i="11"/>
  <c r="U365" i="11"/>
  <c r="T365" i="11"/>
  <c r="S365" i="11"/>
  <c r="R365" i="11"/>
  <c r="Q365" i="11"/>
  <c r="P365" i="11"/>
  <c r="O365" i="11"/>
  <c r="N365" i="11"/>
  <c r="M365" i="11"/>
  <c r="L365" i="11"/>
  <c r="K365" i="11"/>
  <c r="J365" i="11"/>
  <c r="I365" i="11"/>
  <c r="H365" i="11"/>
  <c r="G365" i="11"/>
  <c r="F365" i="11"/>
  <c r="E365" i="11"/>
  <c r="D365" i="11"/>
  <c r="C365" i="11"/>
  <c r="B365" i="11"/>
  <c r="A365" i="11"/>
  <c r="Z364" i="11"/>
  <c r="Y364" i="11"/>
  <c r="X364" i="11"/>
  <c r="W364" i="11"/>
  <c r="V364" i="11"/>
  <c r="U364" i="11"/>
  <c r="T364" i="11"/>
  <c r="S364" i="11"/>
  <c r="R364" i="11"/>
  <c r="Q364" i="11"/>
  <c r="P364" i="11"/>
  <c r="O364" i="11"/>
  <c r="N364" i="11"/>
  <c r="M364" i="11"/>
  <c r="L364" i="11"/>
  <c r="K364" i="11"/>
  <c r="J364" i="11"/>
  <c r="I364" i="11"/>
  <c r="H364" i="11"/>
  <c r="G364" i="11"/>
  <c r="F364" i="11"/>
  <c r="E364" i="11"/>
  <c r="D364" i="11"/>
  <c r="C364" i="11"/>
  <c r="B364" i="11"/>
  <c r="A364" i="11"/>
  <c r="Z363" i="11"/>
  <c r="Y363" i="11"/>
  <c r="X363" i="11"/>
  <c r="W363" i="11"/>
  <c r="V363" i="11"/>
  <c r="U363" i="11"/>
  <c r="T363" i="11"/>
  <c r="S363" i="11"/>
  <c r="R363" i="11"/>
  <c r="Q363" i="11"/>
  <c r="P363" i="11"/>
  <c r="O363" i="11"/>
  <c r="N363" i="11"/>
  <c r="M363" i="11"/>
  <c r="L363" i="11"/>
  <c r="K363" i="11"/>
  <c r="J363" i="11"/>
  <c r="I363" i="11"/>
  <c r="H363" i="11"/>
  <c r="G363" i="11"/>
  <c r="F363" i="11"/>
  <c r="E363" i="11"/>
  <c r="D363" i="11"/>
  <c r="C363" i="11"/>
  <c r="B363" i="11"/>
  <c r="A363" i="11"/>
  <c r="Z362" i="11"/>
  <c r="Y362" i="11"/>
  <c r="X362" i="11"/>
  <c r="W362" i="11"/>
  <c r="V362" i="11"/>
  <c r="U362" i="11"/>
  <c r="T362" i="11"/>
  <c r="S362" i="11"/>
  <c r="R362" i="11"/>
  <c r="Q362" i="11"/>
  <c r="P362" i="11"/>
  <c r="O362" i="11"/>
  <c r="N362" i="11"/>
  <c r="M362" i="11"/>
  <c r="L362" i="11"/>
  <c r="K362" i="11"/>
  <c r="J362" i="11"/>
  <c r="I362" i="11"/>
  <c r="H362" i="11"/>
  <c r="G362" i="11"/>
  <c r="F362" i="11"/>
  <c r="E362" i="11"/>
  <c r="D362" i="11"/>
  <c r="C362" i="11"/>
  <c r="B362" i="11"/>
  <c r="A362" i="11"/>
  <c r="Z361" i="11"/>
  <c r="Y361" i="11"/>
  <c r="X361" i="11"/>
  <c r="W361" i="11"/>
  <c r="V361" i="11"/>
  <c r="U361" i="11"/>
  <c r="T361" i="11"/>
  <c r="S361" i="11"/>
  <c r="R361" i="11"/>
  <c r="Q361" i="11"/>
  <c r="P361" i="11"/>
  <c r="O361" i="11"/>
  <c r="N361" i="11"/>
  <c r="M361" i="11"/>
  <c r="L361" i="11"/>
  <c r="K361" i="11"/>
  <c r="J361" i="11"/>
  <c r="I361" i="11"/>
  <c r="H361" i="11"/>
  <c r="G361" i="11"/>
  <c r="F361" i="11"/>
  <c r="E361" i="11"/>
  <c r="D361" i="11"/>
  <c r="C361" i="11"/>
  <c r="B361" i="11"/>
  <c r="A361" i="11"/>
  <c r="Z360" i="11"/>
  <c r="Y360" i="11"/>
  <c r="X360" i="11"/>
  <c r="W360" i="11"/>
  <c r="V360" i="11"/>
  <c r="U360" i="11"/>
  <c r="T360" i="11"/>
  <c r="S360" i="11"/>
  <c r="R360" i="11"/>
  <c r="Q360" i="11"/>
  <c r="P360" i="11"/>
  <c r="O360" i="11"/>
  <c r="N360" i="11"/>
  <c r="M360" i="11"/>
  <c r="L360" i="11"/>
  <c r="K360" i="11"/>
  <c r="J360" i="11"/>
  <c r="I360" i="11"/>
  <c r="H360" i="11"/>
  <c r="G360" i="11"/>
  <c r="F360" i="11"/>
  <c r="E360" i="11"/>
  <c r="D360" i="11"/>
  <c r="C360" i="11"/>
  <c r="B360" i="11"/>
  <c r="A360" i="11"/>
  <c r="Z359" i="11"/>
  <c r="Y359" i="11"/>
  <c r="X359" i="11"/>
  <c r="W359" i="11"/>
  <c r="V359" i="11"/>
  <c r="U359" i="11"/>
  <c r="T359" i="11"/>
  <c r="S359" i="11"/>
  <c r="R359" i="11"/>
  <c r="Q359" i="11"/>
  <c r="P359" i="11"/>
  <c r="O359" i="11"/>
  <c r="N359" i="11"/>
  <c r="M359" i="11"/>
  <c r="L359" i="11"/>
  <c r="K359" i="11"/>
  <c r="J359" i="11"/>
  <c r="I359" i="11"/>
  <c r="H359" i="11"/>
  <c r="G359" i="11"/>
  <c r="F359" i="11"/>
  <c r="E359" i="11"/>
  <c r="D359" i="11"/>
  <c r="C359" i="11"/>
  <c r="B359" i="11"/>
  <c r="A359" i="11"/>
  <c r="Z358" i="11"/>
  <c r="Y358" i="11"/>
  <c r="X358" i="11"/>
  <c r="W358" i="11"/>
  <c r="V358" i="11"/>
  <c r="U358" i="11"/>
  <c r="T358" i="11"/>
  <c r="S358" i="11"/>
  <c r="R358" i="11"/>
  <c r="Q358" i="11"/>
  <c r="P358" i="11"/>
  <c r="O358" i="11"/>
  <c r="N358" i="11"/>
  <c r="M358" i="11"/>
  <c r="L358" i="11"/>
  <c r="K358" i="11"/>
  <c r="J358" i="11"/>
  <c r="I358" i="11"/>
  <c r="H358" i="11"/>
  <c r="G358" i="11"/>
  <c r="F358" i="11"/>
  <c r="E358" i="11"/>
  <c r="D358" i="11"/>
  <c r="C358" i="11"/>
  <c r="B358" i="11"/>
  <c r="A358" i="11"/>
  <c r="Z357" i="11"/>
  <c r="Y357" i="11"/>
  <c r="X357" i="11"/>
  <c r="W357" i="11"/>
  <c r="V357" i="11"/>
  <c r="U357" i="11"/>
  <c r="T357" i="11"/>
  <c r="S357" i="11"/>
  <c r="R357" i="11"/>
  <c r="Q357" i="11"/>
  <c r="P357" i="11"/>
  <c r="O357" i="11"/>
  <c r="N357" i="11"/>
  <c r="M357" i="11"/>
  <c r="L357" i="11"/>
  <c r="K357" i="11"/>
  <c r="J357" i="11"/>
  <c r="I357" i="11"/>
  <c r="H357" i="11"/>
  <c r="G357" i="11"/>
  <c r="F357" i="11"/>
  <c r="E357" i="11"/>
  <c r="D357" i="11"/>
  <c r="C357" i="11"/>
  <c r="B357" i="11"/>
  <c r="A357" i="11"/>
  <c r="Z356" i="11"/>
  <c r="Y356" i="11"/>
  <c r="X356" i="11"/>
  <c r="W356" i="11"/>
  <c r="V356" i="11"/>
  <c r="U356" i="11"/>
  <c r="T356" i="11"/>
  <c r="S356" i="11"/>
  <c r="R356" i="11"/>
  <c r="Q356" i="11"/>
  <c r="P356" i="11"/>
  <c r="O356" i="11"/>
  <c r="N356" i="11"/>
  <c r="M356" i="11"/>
  <c r="L356" i="11"/>
  <c r="K356" i="11"/>
  <c r="J356" i="11"/>
  <c r="I356" i="11"/>
  <c r="H356" i="11"/>
  <c r="G356" i="11"/>
  <c r="F356" i="11"/>
  <c r="E356" i="11"/>
  <c r="D356" i="11"/>
  <c r="C356" i="11"/>
  <c r="B356" i="11"/>
  <c r="A356" i="11"/>
  <c r="Z355" i="11"/>
  <c r="Y355" i="11"/>
  <c r="X355" i="11"/>
  <c r="W355" i="11"/>
  <c r="V355" i="11"/>
  <c r="U355" i="11"/>
  <c r="T355" i="11"/>
  <c r="S355" i="11"/>
  <c r="R355" i="11"/>
  <c r="Q355" i="11"/>
  <c r="P355" i="11"/>
  <c r="O355" i="11"/>
  <c r="N355" i="11"/>
  <c r="M355" i="11"/>
  <c r="L355" i="11"/>
  <c r="K355" i="11"/>
  <c r="J355" i="11"/>
  <c r="I355" i="11"/>
  <c r="H355" i="11"/>
  <c r="G355" i="11"/>
  <c r="F355" i="11"/>
  <c r="E355" i="11"/>
  <c r="D355" i="11"/>
  <c r="C355" i="11"/>
  <c r="B355" i="11"/>
  <c r="A355" i="11"/>
  <c r="Z354" i="11"/>
  <c r="Y354" i="11"/>
  <c r="X354" i="11"/>
  <c r="W354" i="11"/>
  <c r="V354" i="11"/>
  <c r="U354" i="11"/>
  <c r="T354" i="11"/>
  <c r="S354" i="11"/>
  <c r="R354" i="11"/>
  <c r="Q354" i="11"/>
  <c r="P354" i="11"/>
  <c r="O354" i="11"/>
  <c r="N354" i="11"/>
  <c r="M354" i="11"/>
  <c r="L354" i="11"/>
  <c r="K354" i="11"/>
  <c r="J354" i="11"/>
  <c r="I354" i="11"/>
  <c r="H354" i="11"/>
  <c r="G354" i="11"/>
  <c r="F354" i="11"/>
  <c r="E354" i="11"/>
  <c r="D354" i="11"/>
  <c r="C354" i="11"/>
  <c r="B354" i="11"/>
  <c r="A354" i="11"/>
  <c r="Z353" i="11"/>
  <c r="Y353" i="11"/>
  <c r="X353" i="11"/>
  <c r="W353" i="11"/>
  <c r="V353" i="11"/>
  <c r="U353" i="11"/>
  <c r="T353" i="11"/>
  <c r="S353" i="11"/>
  <c r="R353" i="11"/>
  <c r="Q353" i="11"/>
  <c r="P353" i="11"/>
  <c r="O353" i="11"/>
  <c r="N353" i="11"/>
  <c r="M353" i="11"/>
  <c r="L353" i="11"/>
  <c r="K353" i="11"/>
  <c r="J353" i="11"/>
  <c r="I353" i="11"/>
  <c r="H353" i="11"/>
  <c r="G353" i="11"/>
  <c r="F353" i="11"/>
  <c r="E353" i="11"/>
  <c r="D353" i="11"/>
  <c r="C353" i="11"/>
  <c r="B353" i="11"/>
  <c r="A353" i="11"/>
  <c r="Z352" i="11"/>
  <c r="Y352" i="11"/>
  <c r="X352" i="11"/>
  <c r="W352" i="11"/>
  <c r="V352" i="11"/>
  <c r="U352" i="11"/>
  <c r="T352" i="11"/>
  <c r="S352" i="11"/>
  <c r="R352" i="11"/>
  <c r="Q352" i="11"/>
  <c r="P352" i="11"/>
  <c r="O352" i="11"/>
  <c r="N352" i="11"/>
  <c r="M352" i="11"/>
  <c r="L352" i="11"/>
  <c r="K352" i="11"/>
  <c r="J352" i="11"/>
  <c r="I352" i="11"/>
  <c r="H352" i="11"/>
  <c r="G352" i="11"/>
  <c r="F352" i="11"/>
  <c r="E352" i="11"/>
  <c r="D352" i="11"/>
  <c r="C352" i="11"/>
  <c r="B352" i="11"/>
  <c r="A352" i="11"/>
  <c r="Z351" i="11"/>
  <c r="Y351" i="11"/>
  <c r="X351" i="11"/>
  <c r="W351" i="11"/>
  <c r="V351" i="11"/>
  <c r="U351" i="11"/>
  <c r="T351" i="11"/>
  <c r="S351" i="11"/>
  <c r="R351" i="11"/>
  <c r="Q351" i="11"/>
  <c r="P351" i="11"/>
  <c r="O351" i="11"/>
  <c r="N351" i="11"/>
  <c r="M351" i="11"/>
  <c r="L351" i="11"/>
  <c r="K351" i="11"/>
  <c r="J351" i="11"/>
  <c r="I351" i="11"/>
  <c r="H351" i="11"/>
  <c r="G351" i="11"/>
  <c r="F351" i="11"/>
  <c r="E351" i="11"/>
  <c r="D351" i="11"/>
  <c r="C351" i="11"/>
  <c r="B351" i="11"/>
  <c r="A351" i="11"/>
  <c r="Z350" i="11"/>
  <c r="Y350" i="11"/>
  <c r="X350" i="11"/>
  <c r="W350" i="11"/>
  <c r="V350" i="11"/>
  <c r="U350" i="11"/>
  <c r="T350" i="11"/>
  <c r="S350" i="11"/>
  <c r="R350" i="11"/>
  <c r="Q350" i="11"/>
  <c r="P350" i="11"/>
  <c r="O350" i="11"/>
  <c r="N350" i="11"/>
  <c r="M350" i="11"/>
  <c r="L350" i="11"/>
  <c r="K350" i="11"/>
  <c r="J350" i="11"/>
  <c r="I350" i="11"/>
  <c r="H350" i="11"/>
  <c r="G350" i="11"/>
  <c r="F350" i="11"/>
  <c r="E350" i="11"/>
  <c r="D350" i="11"/>
  <c r="C350" i="11"/>
  <c r="B350" i="11"/>
  <c r="A350" i="11"/>
  <c r="Z349" i="11"/>
  <c r="Y349" i="11"/>
  <c r="X349" i="11"/>
  <c r="W349" i="11"/>
  <c r="V349" i="11"/>
  <c r="U349" i="11"/>
  <c r="T349" i="11"/>
  <c r="S349" i="11"/>
  <c r="R349" i="11"/>
  <c r="Q349" i="11"/>
  <c r="P349" i="11"/>
  <c r="O349" i="11"/>
  <c r="N349" i="11"/>
  <c r="M349" i="11"/>
  <c r="L349" i="11"/>
  <c r="K349" i="11"/>
  <c r="J349" i="11"/>
  <c r="I349" i="11"/>
  <c r="H349" i="11"/>
  <c r="G349" i="11"/>
  <c r="F349" i="11"/>
  <c r="E349" i="11"/>
  <c r="D349" i="11"/>
  <c r="C349" i="11"/>
  <c r="B349" i="11"/>
  <c r="A349" i="11"/>
  <c r="Z348" i="11"/>
  <c r="Y348" i="11"/>
  <c r="X348" i="11"/>
  <c r="W348" i="11"/>
  <c r="V348" i="11"/>
  <c r="U348" i="11"/>
  <c r="T348" i="11"/>
  <c r="S348" i="11"/>
  <c r="R348" i="11"/>
  <c r="Q348" i="11"/>
  <c r="P348" i="11"/>
  <c r="O348" i="11"/>
  <c r="N348" i="11"/>
  <c r="M348" i="11"/>
  <c r="L348" i="11"/>
  <c r="K348" i="11"/>
  <c r="J348" i="11"/>
  <c r="I348" i="11"/>
  <c r="H348" i="11"/>
  <c r="G348" i="11"/>
  <c r="F348" i="11"/>
  <c r="E348" i="11"/>
  <c r="D348" i="11"/>
  <c r="C348" i="11"/>
  <c r="B348" i="11"/>
  <c r="A348" i="11"/>
  <c r="Z347" i="11"/>
  <c r="Y347" i="11"/>
  <c r="X347" i="11"/>
  <c r="W347" i="11"/>
  <c r="V347" i="11"/>
  <c r="U347" i="11"/>
  <c r="T347" i="11"/>
  <c r="S347" i="11"/>
  <c r="R347" i="11"/>
  <c r="Q347" i="11"/>
  <c r="P347" i="11"/>
  <c r="O347" i="11"/>
  <c r="N347" i="11"/>
  <c r="M347" i="11"/>
  <c r="L347" i="11"/>
  <c r="K347" i="11"/>
  <c r="J347" i="11"/>
  <c r="I347" i="11"/>
  <c r="H347" i="11"/>
  <c r="G347" i="11"/>
  <c r="F347" i="11"/>
  <c r="E347" i="11"/>
  <c r="D347" i="11"/>
  <c r="C347" i="11"/>
  <c r="B347" i="11"/>
  <c r="A347" i="11"/>
  <c r="Z346" i="11"/>
  <c r="Y346" i="11"/>
  <c r="X346" i="11"/>
  <c r="W346" i="11"/>
  <c r="V346" i="11"/>
  <c r="U346" i="11"/>
  <c r="T346" i="11"/>
  <c r="S346" i="11"/>
  <c r="R346" i="11"/>
  <c r="Q346" i="11"/>
  <c r="P346" i="11"/>
  <c r="O346" i="11"/>
  <c r="N346" i="11"/>
  <c r="M346" i="11"/>
  <c r="L346" i="11"/>
  <c r="K346" i="11"/>
  <c r="J346" i="11"/>
  <c r="I346" i="11"/>
  <c r="H346" i="11"/>
  <c r="G346" i="11"/>
  <c r="F346" i="11"/>
  <c r="E346" i="11"/>
  <c r="D346" i="11"/>
  <c r="C346" i="11"/>
  <c r="B346" i="11"/>
  <c r="A346" i="11"/>
  <c r="S345" i="11"/>
  <c r="K345" i="11"/>
  <c r="C345" i="11"/>
  <c r="Z344" i="11"/>
  <c r="Y344" i="11"/>
  <c r="X344" i="11"/>
  <c r="W344" i="11"/>
  <c r="V344" i="11"/>
  <c r="U344" i="11"/>
  <c r="T344" i="11"/>
  <c r="S344" i="11"/>
  <c r="R344" i="11"/>
  <c r="Q344" i="11"/>
  <c r="P344" i="11"/>
  <c r="O344" i="11"/>
  <c r="N344" i="11"/>
  <c r="M344" i="11"/>
  <c r="L344" i="11"/>
  <c r="K344" i="11"/>
  <c r="J344" i="11"/>
  <c r="I344" i="11"/>
  <c r="H344" i="11"/>
  <c r="G344" i="11"/>
  <c r="F344" i="11"/>
  <c r="E344" i="11"/>
  <c r="D344" i="11"/>
  <c r="C344" i="11"/>
  <c r="B344" i="11"/>
  <c r="A344" i="11"/>
  <c r="Z343" i="11"/>
  <c r="Y343" i="11"/>
  <c r="X343" i="11"/>
  <c r="W343" i="11"/>
  <c r="V343" i="11"/>
  <c r="U343" i="11"/>
  <c r="T343" i="11"/>
  <c r="S343" i="11"/>
  <c r="R343" i="11"/>
  <c r="Q343" i="11"/>
  <c r="P343" i="11"/>
  <c r="O343" i="11"/>
  <c r="N343" i="11"/>
  <c r="M343" i="11"/>
  <c r="L343" i="11"/>
  <c r="K343" i="11"/>
  <c r="J343" i="11"/>
  <c r="I343" i="11"/>
  <c r="H343" i="11"/>
  <c r="G343" i="11"/>
  <c r="F343" i="11"/>
  <c r="E343" i="11"/>
  <c r="D343" i="11"/>
  <c r="C343" i="11"/>
  <c r="B343" i="11"/>
  <c r="A343" i="11"/>
  <c r="Z342" i="11"/>
  <c r="Y342" i="11"/>
  <c r="X342" i="11"/>
  <c r="W342" i="11"/>
  <c r="V342" i="11"/>
  <c r="U342" i="11"/>
  <c r="T342" i="11"/>
  <c r="S342" i="11"/>
  <c r="R342" i="11"/>
  <c r="Q342" i="11"/>
  <c r="P342" i="11"/>
  <c r="O342" i="11"/>
  <c r="N342" i="11"/>
  <c r="M342" i="11"/>
  <c r="L342" i="11"/>
  <c r="K342" i="11"/>
  <c r="J342" i="11"/>
  <c r="I342" i="11"/>
  <c r="H342" i="11"/>
  <c r="G342" i="11"/>
  <c r="F342" i="11"/>
  <c r="E342" i="11"/>
  <c r="D342" i="11"/>
  <c r="C342" i="11"/>
  <c r="B342" i="11"/>
  <c r="A342" i="11"/>
  <c r="Z341" i="11"/>
  <c r="Y341" i="11"/>
  <c r="X341" i="11"/>
  <c r="W341" i="11"/>
  <c r="V341" i="11"/>
  <c r="U341" i="11"/>
  <c r="T341" i="11"/>
  <c r="S341" i="11"/>
  <c r="R341" i="11"/>
  <c r="Q341" i="11"/>
  <c r="P341" i="11"/>
  <c r="O341" i="11"/>
  <c r="N341" i="11"/>
  <c r="M341" i="11"/>
  <c r="L341" i="11"/>
  <c r="K341" i="11"/>
  <c r="J341" i="11"/>
  <c r="I341" i="11"/>
  <c r="H341" i="11"/>
  <c r="G341" i="11"/>
  <c r="F341" i="11"/>
  <c r="E341" i="11"/>
  <c r="D341" i="11"/>
  <c r="C341" i="11"/>
  <c r="B341" i="11"/>
  <c r="A341" i="11"/>
  <c r="Z340" i="11"/>
  <c r="Y340" i="11"/>
  <c r="X340" i="11"/>
  <c r="W340" i="11"/>
  <c r="V340" i="11"/>
  <c r="U340" i="11"/>
  <c r="T340" i="11"/>
  <c r="S340" i="11"/>
  <c r="R340" i="11"/>
  <c r="Q340" i="11"/>
  <c r="P340" i="11"/>
  <c r="O340" i="11"/>
  <c r="N340" i="11"/>
  <c r="M340" i="11"/>
  <c r="L340" i="11"/>
  <c r="K340" i="11"/>
  <c r="J340" i="11"/>
  <c r="I340" i="11"/>
  <c r="H340" i="11"/>
  <c r="G340" i="11"/>
  <c r="F340" i="11"/>
  <c r="E340" i="11"/>
  <c r="D340" i="11"/>
  <c r="C340" i="11"/>
  <c r="B340" i="11"/>
  <c r="A340" i="11"/>
  <c r="Z339" i="11"/>
  <c r="Y339" i="11"/>
  <c r="X339" i="11"/>
  <c r="W339" i="11"/>
  <c r="V339" i="11"/>
  <c r="U339" i="11"/>
  <c r="T339" i="11"/>
  <c r="S339" i="11"/>
  <c r="R339" i="11"/>
  <c r="Q339" i="11"/>
  <c r="P339" i="11"/>
  <c r="O339" i="11"/>
  <c r="N339" i="11"/>
  <c r="M339" i="11"/>
  <c r="L339" i="11"/>
  <c r="K339" i="11"/>
  <c r="J339" i="11"/>
  <c r="I339" i="11"/>
  <c r="H339" i="11"/>
  <c r="G339" i="11"/>
  <c r="F339" i="11"/>
  <c r="E339" i="11"/>
  <c r="D339" i="11"/>
  <c r="C339" i="11"/>
  <c r="B339" i="11"/>
  <c r="A339" i="11"/>
  <c r="Z338" i="11"/>
  <c r="Y338" i="11"/>
  <c r="X338" i="11"/>
  <c r="W338" i="11"/>
  <c r="V338" i="11"/>
  <c r="U338" i="11"/>
  <c r="T338" i="11"/>
  <c r="S338" i="11"/>
  <c r="R338" i="11"/>
  <c r="Q338" i="11"/>
  <c r="P338" i="11"/>
  <c r="O338" i="11"/>
  <c r="N338" i="11"/>
  <c r="M338" i="11"/>
  <c r="L338" i="11"/>
  <c r="K338" i="11"/>
  <c r="J338" i="11"/>
  <c r="I338" i="11"/>
  <c r="H338" i="11"/>
  <c r="G338" i="11"/>
  <c r="F338" i="11"/>
  <c r="E338" i="11"/>
  <c r="D338" i="11"/>
  <c r="C338" i="11"/>
  <c r="B338" i="11"/>
  <c r="A338" i="11"/>
  <c r="Z337" i="11"/>
  <c r="Y337" i="11"/>
  <c r="X337" i="11"/>
  <c r="W337" i="11"/>
  <c r="V337" i="11"/>
  <c r="U337" i="11"/>
  <c r="T337" i="11"/>
  <c r="S337" i="11"/>
  <c r="R337" i="11"/>
  <c r="Q337" i="11"/>
  <c r="P337" i="11"/>
  <c r="O337" i="11"/>
  <c r="N337" i="11"/>
  <c r="M337" i="11"/>
  <c r="L337" i="11"/>
  <c r="K337" i="11"/>
  <c r="J337" i="11"/>
  <c r="I337" i="11"/>
  <c r="H337" i="11"/>
  <c r="G337" i="11"/>
  <c r="F337" i="11"/>
  <c r="E337" i="11"/>
  <c r="D337" i="11"/>
  <c r="C337" i="11"/>
  <c r="B337" i="11"/>
  <c r="A337" i="11"/>
  <c r="Z336" i="11"/>
  <c r="Y336" i="11"/>
  <c r="X336" i="11"/>
  <c r="W336" i="11"/>
  <c r="V336" i="11"/>
  <c r="U336" i="11"/>
  <c r="T336" i="11"/>
  <c r="S336" i="11"/>
  <c r="R336" i="11"/>
  <c r="Q336" i="11"/>
  <c r="P336" i="11"/>
  <c r="O336" i="11"/>
  <c r="N336" i="11"/>
  <c r="M336" i="11"/>
  <c r="L336" i="11"/>
  <c r="K336" i="11"/>
  <c r="J336" i="11"/>
  <c r="I336" i="11"/>
  <c r="H336" i="11"/>
  <c r="G336" i="11"/>
  <c r="F336" i="11"/>
  <c r="E336" i="11"/>
  <c r="D336" i="11"/>
  <c r="C336" i="11"/>
  <c r="B336" i="11"/>
  <c r="A336" i="11"/>
  <c r="Z335" i="11"/>
  <c r="Y335" i="11"/>
  <c r="X335" i="11"/>
  <c r="W335" i="11"/>
  <c r="V335" i="11"/>
  <c r="U335" i="11"/>
  <c r="T335" i="11"/>
  <c r="S335" i="11"/>
  <c r="R335" i="11"/>
  <c r="Q335" i="11"/>
  <c r="P335" i="11"/>
  <c r="O335" i="11"/>
  <c r="N335" i="11"/>
  <c r="M335" i="11"/>
  <c r="L335" i="11"/>
  <c r="K335" i="11"/>
  <c r="J335" i="11"/>
  <c r="I335" i="11"/>
  <c r="H335" i="11"/>
  <c r="G335" i="11"/>
  <c r="F335" i="11"/>
  <c r="E335" i="11"/>
  <c r="D335" i="11"/>
  <c r="C335" i="11"/>
  <c r="B335" i="11"/>
  <c r="A335" i="11"/>
  <c r="Z334" i="11"/>
  <c r="Y334" i="11"/>
  <c r="X334" i="11"/>
  <c r="W334" i="11"/>
  <c r="V334" i="11"/>
  <c r="U334" i="11"/>
  <c r="T334" i="11"/>
  <c r="S334" i="11"/>
  <c r="R334" i="11"/>
  <c r="Q334" i="11"/>
  <c r="P334" i="11"/>
  <c r="O334" i="11"/>
  <c r="N334" i="11"/>
  <c r="M334" i="11"/>
  <c r="L334" i="11"/>
  <c r="K334" i="11"/>
  <c r="J334" i="11"/>
  <c r="I334" i="11"/>
  <c r="H334" i="11"/>
  <c r="G334" i="11"/>
  <c r="F334" i="11"/>
  <c r="E334" i="11"/>
  <c r="D334" i="11"/>
  <c r="C334" i="11"/>
  <c r="B334" i="11"/>
  <c r="A334" i="11"/>
  <c r="Z333" i="11"/>
  <c r="Y333" i="11"/>
  <c r="X333" i="11"/>
  <c r="W333" i="11"/>
  <c r="V333" i="11"/>
  <c r="U333" i="11"/>
  <c r="T333" i="11"/>
  <c r="S333" i="11"/>
  <c r="R333" i="11"/>
  <c r="Q333" i="11"/>
  <c r="P333" i="11"/>
  <c r="O333" i="11"/>
  <c r="N333" i="11"/>
  <c r="M333" i="11"/>
  <c r="L333" i="11"/>
  <c r="K333" i="11"/>
  <c r="J333" i="11"/>
  <c r="I333" i="11"/>
  <c r="H333" i="11"/>
  <c r="G333" i="11"/>
  <c r="F333" i="11"/>
  <c r="E333" i="11"/>
  <c r="D333" i="11"/>
  <c r="C333" i="11"/>
  <c r="B333" i="11"/>
  <c r="A333" i="11"/>
  <c r="Z332" i="11"/>
  <c r="Y332" i="11"/>
  <c r="X332" i="11"/>
  <c r="W332" i="11"/>
  <c r="V332" i="11"/>
  <c r="U332" i="11"/>
  <c r="T332" i="11"/>
  <c r="S332" i="11"/>
  <c r="R332" i="11"/>
  <c r="Q332" i="11"/>
  <c r="P332" i="11"/>
  <c r="O332" i="11"/>
  <c r="N332" i="11"/>
  <c r="M332" i="11"/>
  <c r="L332" i="11"/>
  <c r="K332" i="11"/>
  <c r="J332" i="11"/>
  <c r="I332" i="11"/>
  <c r="H332" i="11"/>
  <c r="G332" i="11"/>
  <c r="F332" i="11"/>
  <c r="E332" i="11"/>
  <c r="D332" i="11"/>
  <c r="C332" i="11"/>
  <c r="B332" i="11"/>
  <c r="A332" i="11"/>
  <c r="Z331" i="11"/>
  <c r="Y331" i="11"/>
  <c r="X331" i="11"/>
  <c r="W331" i="11"/>
  <c r="V331" i="11"/>
  <c r="U331" i="11"/>
  <c r="T331" i="11"/>
  <c r="S331" i="11"/>
  <c r="R331" i="11"/>
  <c r="Q331" i="11"/>
  <c r="P331" i="11"/>
  <c r="O331" i="11"/>
  <c r="N331" i="11"/>
  <c r="M331" i="11"/>
  <c r="L331" i="11"/>
  <c r="K331" i="11"/>
  <c r="J331" i="11"/>
  <c r="I331" i="11"/>
  <c r="H331" i="11"/>
  <c r="G331" i="11"/>
  <c r="F331" i="11"/>
  <c r="E331" i="11"/>
  <c r="D331" i="11"/>
  <c r="C331" i="11"/>
  <c r="B331" i="11"/>
  <c r="A331" i="11"/>
  <c r="Z330" i="11"/>
  <c r="Y330" i="11"/>
  <c r="X330" i="11"/>
  <c r="W330" i="11"/>
  <c r="V330" i="11"/>
  <c r="U330" i="11"/>
  <c r="T330" i="11"/>
  <c r="S330" i="11"/>
  <c r="R330" i="11"/>
  <c r="Q330" i="11"/>
  <c r="P330" i="11"/>
  <c r="O330" i="11"/>
  <c r="N330" i="11"/>
  <c r="M330" i="11"/>
  <c r="L330" i="11"/>
  <c r="K330" i="11"/>
  <c r="J330" i="11"/>
  <c r="I330" i="11"/>
  <c r="H330" i="11"/>
  <c r="G330" i="11"/>
  <c r="F330" i="11"/>
  <c r="E330" i="11"/>
  <c r="D330" i="11"/>
  <c r="C330" i="11"/>
  <c r="B330" i="11"/>
  <c r="A330" i="11"/>
  <c r="Z329" i="11"/>
  <c r="Y329" i="11"/>
  <c r="X329" i="11"/>
  <c r="W329" i="11"/>
  <c r="V329" i="11"/>
  <c r="U329" i="11"/>
  <c r="T329" i="11"/>
  <c r="S329" i="11"/>
  <c r="R329" i="11"/>
  <c r="Q329" i="11"/>
  <c r="P329" i="11"/>
  <c r="O329" i="11"/>
  <c r="N329" i="11"/>
  <c r="M329" i="11"/>
  <c r="L329" i="11"/>
  <c r="K329" i="11"/>
  <c r="J329" i="11"/>
  <c r="I329" i="11"/>
  <c r="H329" i="11"/>
  <c r="G329" i="11"/>
  <c r="F329" i="11"/>
  <c r="E329" i="11"/>
  <c r="D329" i="11"/>
  <c r="C329" i="11"/>
  <c r="B329" i="11"/>
  <c r="A329" i="11"/>
  <c r="Z328" i="11"/>
  <c r="Y328" i="11"/>
  <c r="X328" i="11"/>
  <c r="W328" i="11"/>
  <c r="V328" i="11"/>
  <c r="U328" i="11"/>
  <c r="T328" i="11"/>
  <c r="S328" i="11"/>
  <c r="R328" i="11"/>
  <c r="Q328" i="11"/>
  <c r="P328" i="11"/>
  <c r="O328" i="11"/>
  <c r="N328" i="11"/>
  <c r="M328" i="11"/>
  <c r="L328" i="11"/>
  <c r="K328" i="11"/>
  <c r="J328" i="11"/>
  <c r="I328" i="11"/>
  <c r="H328" i="11"/>
  <c r="G328" i="11"/>
  <c r="F328" i="11"/>
  <c r="E328" i="11"/>
  <c r="D328" i="11"/>
  <c r="C328" i="11"/>
  <c r="B328" i="11"/>
  <c r="A328" i="11"/>
  <c r="Z327" i="11"/>
  <c r="Y327" i="11"/>
  <c r="X327" i="11"/>
  <c r="W327" i="11"/>
  <c r="V327" i="11"/>
  <c r="U327" i="11"/>
  <c r="T327" i="11"/>
  <c r="S327" i="11"/>
  <c r="R327" i="11"/>
  <c r="Q327" i="11"/>
  <c r="P327" i="11"/>
  <c r="O327" i="11"/>
  <c r="N327" i="11"/>
  <c r="M327" i="11"/>
  <c r="L327" i="11"/>
  <c r="K327" i="11"/>
  <c r="J327" i="11"/>
  <c r="I327" i="11"/>
  <c r="H327" i="11"/>
  <c r="G327" i="11"/>
  <c r="F327" i="11"/>
  <c r="E327" i="11"/>
  <c r="D327" i="11"/>
  <c r="C327" i="11"/>
  <c r="B327" i="11"/>
  <c r="A327" i="11"/>
  <c r="Z326" i="11"/>
  <c r="Y326" i="11"/>
  <c r="X326" i="11"/>
  <c r="W326" i="11"/>
  <c r="V326" i="11"/>
  <c r="U326" i="11"/>
  <c r="T326" i="11"/>
  <c r="S326" i="11"/>
  <c r="R326" i="11"/>
  <c r="Q326" i="11"/>
  <c r="P326" i="11"/>
  <c r="O326" i="11"/>
  <c r="N326" i="11"/>
  <c r="M326" i="11"/>
  <c r="L326" i="11"/>
  <c r="K326" i="11"/>
  <c r="J326" i="11"/>
  <c r="I326" i="11"/>
  <c r="H326" i="11"/>
  <c r="G326" i="11"/>
  <c r="F326" i="11"/>
  <c r="E326" i="11"/>
  <c r="D326" i="11"/>
  <c r="C326" i="11"/>
  <c r="B326" i="11"/>
  <c r="A326" i="11"/>
  <c r="Z325" i="11"/>
  <c r="Y325" i="11"/>
  <c r="X325" i="11"/>
  <c r="W325" i="11"/>
  <c r="V325" i="11"/>
  <c r="U325" i="11"/>
  <c r="T325" i="11"/>
  <c r="S325" i="11"/>
  <c r="R325" i="11"/>
  <c r="Q325" i="11"/>
  <c r="P325" i="11"/>
  <c r="O325" i="11"/>
  <c r="N325" i="11"/>
  <c r="M325" i="11"/>
  <c r="L325" i="11"/>
  <c r="K325" i="11"/>
  <c r="J325" i="11"/>
  <c r="I325" i="11"/>
  <c r="H325" i="11"/>
  <c r="G325" i="11"/>
  <c r="F325" i="11"/>
  <c r="E325" i="11"/>
  <c r="D325" i="11"/>
  <c r="C325" i="11"/>
  <c r="B325" i="11"/>
  <c r="A325" i="11"/>
  <c r="Z324" i="11"/>
  <c r="Y324" i="11"/>
  <c r="X324" i="11"/>
  <c r="W324" i="11"/>
  <c r="V324" i="11"/>
  <c r="U324" i="11"/>
  <c r="T324" i="11"/>
  <c r="S324" i="11"/>
  <c r="R324" i="11"/>
  <c r="Q324" i="11"/>
  <c r="P324" i="11"/>
  <c r="O324" i="11"/>
  <c r="N324" i="11"/>
  <c r="M324" i="11"/>
  <c r="L324" i="11"/>
  <c r="K324" i="11"/>
  <c r="J324" i="11"/>
  <c r="I324" i="11"/>
  <c r="H324" i="11"/>
  <c r="G324" i="11"/>
  <c r="F324" i="11"/>
  <c r="E324" i="11"/>
  <c r="D324" i="11"/>
  <c r="C324" i="11"/>
  <c r="B324" i="11"/>
  <c r="A324" i="11"/>
  <c r="Z323" i="11"/>
  <c r="Y323" i="11"/>
  <c r="X323" i="11"/>
  <c r="W323" i="11"/>
  <c r="V323" i="11"/>
  <c r="U323" i="11"/>
  <c r="T323" i="11"/>
  <c r="S323" i="11"/>
  <c r="R323" i="11"/>
  <c r="Q323" i="11"/>
  <c r="P323" i="11"/>
  <c r="O323" i="11"/>
  <c r="N323" i="11"/>
  <c r="M323" i="11"/>
  <c r="L323" i="11"/>
  <c r="K323" i="11"/>
  <c r="J323" i="11"/>
  <c r="I323" i="11"/>
  <c r="H323" i="11"/>
  <c r="G323" i="11"/>
  <c r="F323" i="11"/>
  <c r="E323" i="11"/>
  <c r="D323" i="11"/>
  <c r="C323" i="11"/>
  <c r="B323" i="11"/>
  <c r="A323" i="11"/>
  <c r="Z322" i="11"/>
  <c r="Y322" i="11"/>
  <c r="X322" i="11"/>
  <c r="W322" i="11"/>
  <c r="V322" i="11"/>
  <c r="U322" i="11"/>
  <c r="T322" i="11"/>
  <c r="S322" i="11"/>
  <c r="R322" i="11"/>
  <c r="Q322" i="11"/>
  <c r="P322" i="11"/>
  <c r="O322" i="11"/>
  <c r="N322" i="11"/>
  <c r="M322" i="11"/>
  <c r="L322" i="11"/>
  <c r="K322" i="11"/>
  <c r="J322" i="11"/>
  <c r="I322" i="11"/>
  <c r="H322" i="11"/>
  <c r="G322" i="11"/>
  <c r="F322" i="11"/>
  <c r="E322" i="11"/>
  <c r="D322" i="11"/>
  <c r="C322" i="11"/>
  <c r="B322" i="11"/>
  <c r="A322" i="11"/>
  <c r="Z321" i="11"/>
  <c r="Y321" i="11"/>
  <c r="X321" i="11"/>
  <c r="W321" i="11"/>
  <c r="V321" i="11"/>
  <c r="U321" i="11"/>
  <c r="T321" i="11"/>
  <c r="S321" i="11"/>
  <c r="R321" i="11"/>
  <c r="Q321" i="11"/>
  <c r="P321" i="11"/>
  <c r="O321" i="11"/>
  <c r="N321" i="11"/>
  <c r="M321" i="11"/>
  <c r="L321" i="11"/>
  <c r="K321" i="11"/>
  <c r="J321" i="11"/>
  <c r="I321" i="11"/>
  <c r="H321" i="11"/>
  <c r="G321" i="11"/>
  <c r="F321" i="11"/>
  <c r="E321" i="11"/>
  <c r="D321" i="11"/>
  <c r="C321" i="11"/>
  <c r="B321" i="11"/>
  <c r="A321" i="11"/>
  <c r="Z320" i="11"/>
  <c r="Y320" i="11"/>
  <c r="X320" i="11"/>
  <c r="W320" i="11"/>
  <c r="V320" i="11"/>
  <c r="U320" i="11"/>
  <c r="T320" i="11"/>
  <c r="S320" i="11"/>
  <c r="R320" i="11"/>
  <c r="Q320" i="11"/>
  <c r="P320" i="11"/>
  <c r="O320" i="11"/>
  <c r="N320" i="11"/>
  <c r="M320" i="11"/>
  <c r="L320" i="11"/>
  <c r="K320" i="11"/>
  <c r="J320" i="11"/>
  <c r="I320" i="11"/>
  <c r="H320" i="11"/>
  <c r="G320" i="11"/>
  <c r="F320" i="11"/>
  <c r="E320" i="11"/>
  <c r="D320" i="11"/>
  <c r="C320" i="11"/>
  <c r="B320" i="11"/>
  <c r="A320" i="11"/>
  <c r="Z319" i="11"/>
  <c r="Y319" i="11"/>
  <c r="X319" i="11"/>
  <c r="W319" i="11"/>
  <c r="V319" i="11"/>
  <c r="U319" i="11"/>
  <c r="T319" i="11"/>
  <c r="S319" i="11"/>
  <c r="R319" i="11"/>
  <c r="Q319" i="11"/>
  <c r="P319" i="11"/>
  <c r="O319" i="11"/>
  <c r="N319" i="11"/>
  <c r="M319" i="11"/>
  <c r="L319" i="11"/>
  <c r="K319" i="11"/>
  <c r="J319" i="11"/>
  <c r="I319" i="11"/>
  <c r="H319" i="11"/>
  <c r="G319" i="11"/>
  <c r="F319" i="11"/>
  <c r="E319" i="11"/>
  <c r="D319" i="11"/>
  <c r="C319" i="11"/>
  <c r="B319" i="11"/>
  <c r="A319" i="11"/>
  <c r="Z318" i="11"/>
  <c r="Y318" i="11"/>
  <c r="X318" i="11"/>
  <c r="W318" i="11"/>
  <c r="V318" i="11"/>
  <c r="U318" i="11"/>
  <c r="T318" i="11"/>
  <c r="S318" i="11"/>
  <c r="R318" i="11"/>
  <c r="Q318" i="11"/>
  <c r="P318" i="11"/>
  <c r="O318" i="11"/>
  <c r="N318" i="11"/>
  <c r="M318" i="11"/>
  <c r="L318" i="11"/>
  <c r="K318" i="11"/>
  <c r="J318" i="11"/>
  <c r="I318" i="11"/>
  <c r="H318" i="11"/>
  <c r="G318" i="11"/>
  <c r="F318" i="11"/>
  <c r="E318" i="11"/>
  <c r="D318" i="11"/>
  <c r="C318" i="11"/>
  <c r="B318" i="11"/>
  <c r="A318" i="11"/>
  <c r="Z317" i="11"/>
  <c r="Y317" i="11"/>
  <c r="X317" i="11"/>
  <c r="W317" i="11"/>
  <c r="V317" i="11"/>
  <c r="U317" i="11"/>
  <c r="T317" i="11"/>
  <c r="S317" i="11"/>
  <c r="R317" i="11"/>
  <c r="Q317" i="11"/>
  <c r="P317" i="11"/>
  <c r="O317" i="11"/>
  <c r="N317" i="11"/>
  <c r="M317" i="11"/>
  <c r="L317" i="11"/>
  <c r="K317" i="11"/>
  <c r="J317" i="11"/>
  <c r="I317" i="11"/>
  <c r="H317" i="11"/>
  <c r="G317" i="11"/>
  <c r="F317" i="11"/>
  <c r="E317" i="11"/>
  <c r="D317" i="11"/>
  <c r="C317" i="11"/>
  <c r="B317" i="11"/>
  <c r="A317" i="11"/>
  <c r="Z316" i="11"/>
  <c r="Y316" i="11"/>
  <c r="X316" i="11"/>
  <c r="W316" i="11"/>
  <c r="V316" i="11"/>
  <c r="U316" i="11"/>
  <c r="T316" i="11"/>
  <c r="S316" i="11"/>
  <c r="R316" i="11"/>
  <c r="Q316" i="11"/>
  <c r="P316" i="11"/>
  <c r="O316" i="11"/>
  <c r="N316" i="11"/>
  <c r="M316" i="11"/>
  <c r="L316" i="11"/>
  <c r="K316" i="11"/>
  <c r="J316" i="11"/>
  <c r="I316" i="11"/>
  <c r="H316" i="11"/>
  <c r="G316" i="11"/>
  <c r="F316" i="11"/>
  <c r="E316" i="11"/>
  <c r="D316" i="11"/>
  <c r="C316" i="11"/>
  <c r="B316" i="11"/>
  <c r="A316" i="11"/>
  <c r="Z315" i="11"/>
  <c r="Y315" i="11"/>
  <c r="X315" i="11"/>
  <c r="W315" i="11"/>
  <c r="V315" i="11"/>
  <c r="U315" i="11"/>
  <c r="T315" i="11"/>
  <c r="S315" i="11"/>
  <c r="R315" i="11"/>
  <c r="Q315" i="11"/>
  <c r="P315" i="11"/>
  <c r="O315" i="11"/>
  <c r="N315" i="11"/>
  <c r="M315" i="11"/>
  <c r="L315" i="11"/>
  <c r="K315" i="11"/>
  <c r="J315" i="11"/>
  <c r="I315" i="11"/>
  <c r="H315" i="11"/>
  <c r="G315" i="11"/>
  <c r="F315" i="11"/>
  <c r="E315" i="11"/>
  <c r="D315" i="11"/>
  <c r="C315" i="11"/>
  <c r="B315" i="11"/>
  <c r="A315" i="11"/>
  <c r="Z314" i="11"/>
  <c r="Y314" i="11"/>
  <c r="X314" i="11"/>
  <c r="W314" i="11"/>
  <c r="V314" i="11"/>
  <c r="U314" i="11"/>
  <c r="T314" i="11"/>
  <c r="S314" i="11"/>
  <c r="R314" i="11"/>
  <c r="Q314" i="11"/>
  <c r="P314" i="11"/>
  <c r="O314" i="11"/>
  <c r="N314" i="11"/>
  <c r="M314" i="11"/>
  <c r="L314" i="11"/>
  <c r="K314" i="11"/>
  <c r="J314" i="11"/>
  <c r="I314" i="11"/>
  <c r="H314" i="11"/>
  <c r="G314" i="11"/>
  <c r="F314" i="11"/>
  <c r="E314" i="11"/>
  <c r="D314" i="11"/>
  <c r="C314" i="11"/>
  <c r="B314" i="11"/>
  <c r="A314" i="11"/>
  <c r="Z313" i="11"/>
  <c r="Y313" i="11"/>
  <c r="X313" i="11"/>
  <c r="W313" i="11"/>
  <c r="V313" i="11"/>
  <c r="U313" i="11"/>
  <c r="T313" i="11"/>
  <c r="S313" i="11"/>
  <c r="R313" i="11"/>
  <c r="Q313" i="11"/>
  <c r="P313" i="11"/>
  <c r="O313" i="11"/>
  <c r="N313" i="11"/>
  <c r="M313" i="11"/>
  <c r="L313" i="11"/>
  <c r="K313" i="11"/>
  <c r="J313" i="11"/>
  <c r="I313" i="11"/>
  <c r="H313" i="11"/>
  <c r="G313" i="11"/>
  <c r="F313" i="11"/>
  <c r="E313" i="11"/>
  <c r="D313" i="11"/>
  <c r="C313" i="11"/>
  <c r="B313" i="11"/>
  <c r="A313" i="11"/>
  <c r="Z312" i="11"/>
  <c r="Y312" i="11"/>
  <c r="X312" i="11"/>
  <c r="W312" i="11"/>
  <c r="V312" i="11"/>
  <c r="U312" i="11"/>
  <c r="T312" i="11"/>
  <c r="S312" i="11"/>
  <c r="R312" i="11"/>
  <c r="Q312" i="11"/>
  <c r="P312" i="11"/>
  <c r="O312" i="11"/>
  <c r="N312" i="11"/>
  <c r="M312" i="11"/>
  <c r="L312" i="11"/>
  <c r="K312" i="11"/>
  <c r="J312" i="11"/>
  <c r="I312" i="11"/>
  <c r="H312" i="11"/>
  <c r="G312" i="11"/>
  <c r="F312" i="11"/>
  <c r="E312" i="11"/>
  <c r="D312" i="11"/>
  <c r="C312" i="11"/>
  <c r="B312" i="11"/>
  <c r="A312" i="11"/>
  <c r="Z311" i="11"/>
  <c r="Y311" i="11"/>
  <c r="X311" i="11"/>
  <c r="W311" i="11"/>
  <c r="V311" i="11"/>
  <c r="U311" i="11"/>
  <c r="T311" i="11"/>
  <c r="S311" i="11"/>
  <c r="R311" i="11"/>
  <c r="Q311" i="11"/>
  <c r="P311" i="11"/>
  <c r="O311" i="11"/>
  <c r="N311" i="11"/>
  <c r="M311" i="11"/>
  <c r="L311" i="11"/>
  <c r="K311" i="11"/>
  <c r="J311" i="11"/>
  <c r="I311" i="11"/>
  <c r="H311" i="11"/>
  <c r="G311" i="11"/>
  <c r="F311" i="11"/>
  <c r="E311" i="11"/>
  <c r="D311" i="11"/>
  <c r="C311" i="11"/>
  <c r="B311" i="11"/>
  <c r="A311" i="11"/>
  <c r="Z310" i="11"/>
  <c r="Y310" i="11"/>
  <c r="X310" i="11"/>
  <c r="W310" i="11"/>
  <c r="V310" i="11"/>
  <c r="U310" i="11"/>
  <c r="T310" i="11"/>
  <c r="S310" i="11"/>
  <c r="R310" i="11"/>
  <c r="Q310" i="11"/>
  <c r="P310" i="11"/>
  <c r="O310" i="11"/>
  <c r="N310" i="11"/>
  <c r="M310" i="11"/>
  <c r="L310" i="11"/>
  <c r="K310" i="11"/>
  <c r="J310" i="11"/>
  <c r="I310" i="11"/>
  <c r="H310" i="11"/>
  <c r="G310" i="11"/>
  <c r="F310" i="11"/>
  <c r="E310" i="11"/>
  <c r="D310" i="11"/>
  <c r="C310" i="11"/>
  <c r="B310" i="11"/>
  <c r="A310" i="11"/>
  <c r="S309" i="11"/>
  <c r="K309" i="11"/>
  <c r="C309" i="11"/>
  <c r="U308" i="11"/>
  <c r="M308" i="11"/>
  <c r="E308" i="11"/>
  <c r="Z307" i="11"/>
  <c r="Y307" i="11"/>
  <c r="X307" i="11"/>
  <c r="W307" i="11"/>
  <c r="V307" i="11"/>
  <c r="U307" i="11"/>
  <c r="T307" i="11"/>
  <c r="S307" i="11"/>
  <c r="R307" i="11"/>
  <c r="Q307" i="11"/>
  <c r="P307" i="11"/>
  <c r="O307" i="11"/>
  <c r="N307" i="11"/>
  <c r="M307" i="11"/>
  <c r="L307" i="11"/>
  <c r="K307" i="11"/>
  <c r="J307" i="11"/>
  <c r="I307" i="11"/>
  <c r="H307" i="11"/>
  <c r="G307" i="11"/>
  <c r="F307" i="11"/>
  <c r="E307" i="11"/>
  <c r="D307" i="11"/>
  <c r="C307" i="11"/>
  <c r="B307" i="11"/>
  <c r="A307" i="11"/>
  <c r="Z306" i="11"/>
  <c r="Y306" i="11"/>
  <c r="X306" i="11"/>
  <c r="W306" i="11"/>
  <c r="V306" i="11"/>
  <c r="U306" i="11"/>
  <c r="T306" i="11"/>
  <c r="S306" i="11"/>
  <c r="R306" i="11"/>
  <c r="Q306" i="11"/>
  <c r="P306" i="11"/>
  <c r="O306" i="11"/>
  <c r="N306" i="11"/>
  <c r="M306" i="11"/>
  <c r="L306" i="11"/>
  <c r="K306" i="11"/>
  <c r="J306" i="11"/>
  <c r="I306" i="11"/>
  <c r="H306" i="11"/>
  <c r="G306" i="11"/>
  <c r="F306" i="11"/>
  <c r="E306" i="11"/>
  <c r="D306" i="11"/>
  <c r="C306" i="11"/>
  <c r="B306" i="11"/>
  <c r="A306" i="11"/>
  <c r="Z305" i="11"/>
  <c r="Y305" i="11"/>
  <c r="X305" i="11"/>
  <c r="W305" i="11"/>
  <c r="V305" i="11"/>
  <c r="U305" i="11"/>
  <c r="T305" i="11"/>
  <c r="S305" i="11"/>
  <c r="R305" i="11"/>
  <c r="Q305" i="11"/>
  <c r="P305" i="11"/>
  <c r="O305" i="11"/>
  <c r="N305" i="11"/>
  <c r="M305" i="11"/>
  <c r="L305" i="11"/>
  <c r="K305" i="11"/>
  <c r="J305" i="11"/>
  <c r="I305" i="11"/>
  <c r="H305" i="11"/>
  <c r="G305" i="11"/>
  <c r="F305" i="11"/>
  <c r="E305" i="11"/>
  <c r="D305" i="11"/>
  <c r="C305" i="11"/>
  <c r="B305" i="11"/>
  <c r="A305" i="11"/>
  <c r="Z304" i="11"/>
  <c r="Y304" i="11"/>
  <c r="X304" i="11"/>
  <c r="W304" i="11"/>
  <c r="V304" i="11"/>
  <c r="U304" i="11"/>
  <c r="T304" i="11"/>
  <c r="S304" i="11"/>
  <c r="R304" i="11"/>
  <c r="Q304" i="11"/>
  <c r="P304" i="11"/>
  <c r="O304" i="11"/>
  <c r="N304" i="11"/>
  <c r="M304" i="11"/>
  <c r="L304" i="11"/>
  <c r="K304" i="11"/>
  <c r="J304" i="11"/>
  <c r="I304" i="11"/>
  <c r="H304" i="11"/>
  <c r="G304" i="11"/>
  <c r="F304" i="11"/>
  <c r="E304" i="11"/>
  <c r="D304" i="11"/>
  <c r="C304" i="11"/>
  <c r="B304" i="11"/>
  <c r="A304" i="11"/>
  <c r="Z303" i="11"/>
  <c r="Y303" i="11"/>
  <c r="X303" i="11"/>
  <c r="W303" i="11"/>
  <c r="V303" i="11"/>
  <c r="U303" i="11"/>
  <c r="T303" i="11"/>
  <c r="S303" i="11"/>
  <c r="R303" i="11"/>
  <c r="Q303" i="11"/>
  <c r="P303" i="11"/>
  <c r="O303" i="11"/>
  <c r="N303" i="11"/>
  <c r="M303" i="11"/>
  <c r="L303" i="11"/>
  <c r="K303" i="11"/>
  <c r="J303" i="11"/>
  <c r="I303" i="11"/>
  <c r="H303" i="11"/>
  <c r="G303" i="11"/>
  <c r="F303" i="11"/>
  <c r="E303" i="11"/>
  <c r="D303" i="11"/>
  <c r="C303" i="11"/>
  <c r="B303" i="11"/>
  <c r="A303" i="11"/>
  <c r="Z302" i="11"/>
  <c r="Y302" i="11"/>
  <c r="X302" i="11"/>
  <c r="W302" i="11"/>
  <c r="V302" i="11"/>
  <c r="U302" i="11"/>
  <c r="T302" i="11"/>
  <c r="S302" i="11"/>
  <c r="R302" i="11"/>
  <c r="Q302" i="11"/>
  <c r="P302" i="11"/>
  <c r="O302" i="11"/>
  <c r="N302" i="11"/>
  <c r="M302" i="11"/>
  <c r="L302" i="11"/>
  <c r="K302" i="11"/>
  <c r="J302" i="11"/>
  <c r="I302" i="11"/>
  <c r="H302" i="11"/>
  <c r="G302" i="11"/>
  <c r="F302" i="11"/>
  <c r="E302" i="11"/>
  <c r="D302" i="11"/>
  <c r="C302" i="11"/>
  <c r="B302" i="11"/>
  <c r="A302" i="11"/>
  <c r="Z301" i="11"/>
  <c r="Y301" i="11"/>
  <c r="X301" i="11"/>
  <c r="W301" i="11"/>
  <c r="V301" i="11"/>
  <c r="U301" i="11"/>
  <c r="T301" i="11"/>
  <c r="S301" i="11"/>
  <c r="R301" i="11"/>
  <c r="Q301" i="11"/>
  <c r="P301" i="11"/>
  <c r="O301" i="11"/>
  <c r="N301" i="11"/>
  <c r="M301" i="11"/>
  <c r="L301" i="11"/>
  <c r="K301" i="11"/>
  <c r="J301" i="11"/>
  <c r="I301" i="11"/>
  <c r="H301" i="11"/>
  <c r="G301" i="11"/>
  <c r="F301" i="11"/>
  <c r="E301" i="11"/>
  <c r="D301" i="11"/>
  <c r="C301" i="11"/>
  <c r="B301" i="11"/>
  <c r="A301" i="11"/>
  <c r="Z300" i="11"/>
  <c r="Y300" i="11"/>
  <c r="X300" i="11"/>
  <c r="W300" i="11"/>
  <c r="V300" i="11"/>
  <c r="U300" i="11"/>
  <c r="T300" i="11"/>
  <c r="S300" i="11"/>
  <c r="R300" i="11"/>
  <c r="Q300" i="11"/>
  <c r="P300" i="11"/>
  <c r="O300" i="11"/>
  <c r="N300" i="11"/>
  <c r="M300" i="11"/>
  <c r="L300" i="11"/>
  <c r="K300" i="11"/>
  <c r="J300" i="11"/>
  <c r="I300" i="11"/>
  <c r="H300" i="11"/>
  <c r="G300" i="11"/>
  <c r="F300" i="11"/>
  <c r="E300" i="11"/>
  <c r="D300" i="11"/>
  <c r="C300" i="11"/>
  <c r="B300" i="11"/>
  <c r="A300" i="11"/>
  <c r="Z299" i="11"/>
  <c r="Y299" i="11"/>
  <c r="X299" i="11"/>
  <c r="W299" i="11"/>
  <c r="V299" i="11"/>
  <c r="U299" i="11"/>
  <c r="T299" i="11"/>
  <c r="S299" i="11"/>
  <c r="R299" i="11"/>
  <c r="Q299" i="11"/>
  <c r="P299" i="11"/>
  <c r="O299" i="11"/>
  <c r="N299" i="11"/>
  <c r="M299" i="11"/>
  <c r="L299" i="11"/>
  <c r="K299" i="11"/>
  <c r="J299" i="11"/>
  <c r="I299" i="11"/>
  <c r="H299" i="11"/>
  <c r="G299" i="11"/>
  <c r="F299" i="11"/>
  <c r="E299" i="11"/>
  <c r="D299" i="11"/>
  <c r="C299" i="11"/>
  <c r="B299" i="11"/>
  <c r="A299" i="11"/>
  <c r="Z298" i="11"/>
  <c r="Y298" i="11"/>
  <c r="X298" i="11"/>
  <c r="W298" i="11"/>
  <c r="V298" i="11"/>
  <c r="U298" i="11"/>
  <c r="T298" i="11"/>
  <c r="S298" i="11"/>
  <c r="R298" i="11"/>
  <c r="Q298" i="11"/>
  <c r="P298" i="11"/>
  <c r="O298" i="11"/>
  <c r="N298" i="11"/>
  <c r="M298" i="11"/>
  <c r="L298" i="11"/>
  <c r="K298" i="11"/>
  <c r="J298" i="11"/>
  <c r="I298" i="11"/>
  <c r="H298" i="11"/>
  <c r="G298" i="11"/>
  <c r="F298" i="11"/>
  <c r="E298" i="11"/>
  <c r="D298" i="11"/>
  <c r="C298" i="11"/>
  <c r="B298" i="11"/>
  <c r="A298" i="11"/>
  <c r="Z297" i="11"/>
  <c r="Y297" i="11"/>
  <c r="X297" i="11"/>
  <c r="W297" i="11"/>
  <c r="V297" i="11"/>
  <c r="U297" i="11"/>
  <c r="T297" i="11"/>
  <c r="S297" i="11"/>
  <c r="R297" i="11"/>
  <c r="Q297" i="11"/>
  <c r="P297" i="11"/>
  <c r="O297" i="11"/>
  <c r="N297" i="11"/>
  <c r="M297" i="11"/>
  <c r="L297" i="11"/>
  <c r="K297" i="11"/>
  <c r="J297" i="11"/>
  <c r="I297" i="11"/>
  <c r="H297" i="11"/>
  <c r="G297" i="11"/>
  <c r="F297" i="11"/>
  <c r="E297" i="11"/>
  <c r="D297" i="11"/>
  <c r="C297" i="11"/>
  <c r="B297" i="11"/>
  <c r="A297" i="11"/>
  <c r="Z296" i="11"/>
  <c r="Y296" i="11"/>
  <c r="X296" i="11"/>
  <c r="W296" i="11"/>
  <c r="V296" i="11"/>
  <c r="U296" i="11"/>
  <c r="T296" i="11"/>
  <c r="S296" i="11"/>
  <c r="R296" i="11"/>
  <c r="Q296" i="11"/>
  <c r="P296" i="11"/>
  <c r="O296" i="11"/>
  <c r="N296" i="11"/>
  <c r="M296" i="11"/>
  <c r="L296" i="11"/>
  <c r="K296" i="11"/>
  <c r="J296" i="11"/>
  <c r="I296" i="11"/>
  <c r="H296" i="11"/>
  <c r="G296" i="11"/>
  <c r="F296" i="11"/>
  <c r="E296" i="11"/>
  <c r="D296" i="11"/>
  <c r="C296" i="11"/>
  <c r="B296" i="11"/>
  <c r="A296" i="11"/>
  <c r="Z295" i="11"/>
  <c r="Y295" i="11"/>
  <c r="X295" i="11"/>
  <c r="W295" i="11"/>
  <c r="V295" i="11"/>
  <c r="U295" i="11"/>
  <c r="T295" i="11"/>
  <c r="S295" i="11"/>
  <c r="R295" i="11"/>
  <c r="Q295" i="11"/>
  <c r="P295" i="11"/>
  <c r="O295" i="11"/>
  <c r="N295" i="11"/>
  <c r="M295" i="11"/>
  <c r="L295" i="11"/>
  <c r="K295" i="11"/>
  <c r="J295" i="11"/>
  <c r="I295" i="11"/>
  <c r="H295" i="11"/>
  <c r="G295" i="11"/>
  <c r="F295" i="11"/>
  <c r="E295" i="11"/>
  <c r="D295" i="11"/>
  <c r="C295" i="11"/>
  <c r="B295" i="11"/>
  <c r="A295" i="11"/>
  <c r="Z294" i="11"/>
  <c r="Y294" i="11"/>
  <c r="X294" i="11"/>
  <c r="W294" i="11"/>
  <c r="V294" i="11"/>
  <c r="U294" i="11"/>
  <c r="T294" i="11"/>
  <c r="S294" i="11"/>
  <c r="R294" i="11"/>
  <c r="Q294" i="11"/>
  <c r="P294" i="11"/>
  <c r="O294" i="11"/>
  <c r="N294" i="11"/>
  <c r="M294" i="11"/>
  <c r="L294" i="11"/>
  <c r="K294" i="11"/>
  <c r="J294" i="11"/>
  <c r="I294" i="11"/>
  <c r="H294" i="11"/>
  <c r="G294" i="11"/>
  <c r="F294" i="11"/>
  <c r="E294" i="11"/>
  <c r="D294" i="11"/>
  <c r="C294" i="11"/>
  <c r="B294" i="11"/>
  <c r="A294" i="11"/>
  <c r="Z293" i="11"/>
  <c r="Y293" i="11"/>
  <c r="X293" i="11"/>
  <c r="W293" i="11"/>
  <c r="V293" i="11"/>
  <c r="U293" i="11"/>
  <c r="T293" i="11"/>
  <c r="S293" i="11"/>
  <c r="R293" i="11"/>
  <c r="Q293" i="11"/>
  <c r="P293" i="11"/>
  <c r="O293" i="11"/>
  <c r="N293" i="11"/>
  <c r="M293" i="11"/>
  <c r="L293" i="11"/>
  <c r="K293" i="11"/>
  <c r="J293" i="11"/>
  <c r="I293" i="11"/>
  <c r="H293" i="11"/>
  <c r="G293" i="11"/>
  <c r="F293" i="11"/>
  <c r="E293" i="11"/>
  <c r="D293" i="11"/>
  <c r="C293" i="11"/>
  <c r="B293" i="11"/>
  <c r="A293" i="11"/>
  <c r="Z292" i="11"/>
  <c r="Y292" i="11"/>
  <c r="X292" i="11"/>
  <c r="W292" i="11"/>
  <c r="V292" i="11"/>
  <c r="U292" i="11"/>
  <c r="T292" i="11"/>
  <c r="S292" i="11"/>
  <c r="R292" i="11"/>
  <c r="Q292" i="11"/>
  <c r="P292" i="11"/>
  <c r="O292" i="11"/>
  <c r="N292" i="11"/>
  <c r="M292" i="11"/>
  <c r="L292" i="11"/>
  <c r="K292" i="11"/>
  <c r="J292" i="11"/>
  <c r="I292" i="11"/>
  <c r="H292" i="11"/>
  <c r="G292" i="11"/>
  <c r="F292" i="11"/>
  <c r="E292" i="11"/>
  <c r="D292" i="11"/>
  <c r="C292" i="11"/>
  <c r="B292" i="11"/>
  <c r="A292" i="11"/>
  <c r="Y291" i="11"/>
  <c r="Q291" i="11"/>
  <c r="I291" i="11"/>
  <c r="A291" i="11"/>
  <c r="S290" i="11"/>
  <c r="K290" i="11"/>
  <c r="C290" i="11"/>
  <c r="U289" i="11"/>
  <c r="M289" i="11"/>
  <c r="E289" i="11"/>
  <c r="W288" i="11"/>
  <c r="O288" i="11"/>
  <c r="G288" i="11"/>
  <c r="Y287" i="11"/>
  <c r="Q287" i="11"/>
  <c r="I287" i="11"/>
  <c r="A287" i="11"/>
  <c r="Z286" i="11"/>
  <c r="Y286" i="11"/>
  <c r="X286" i="11"/>
  <c r="W286" i="11"/>
  <c r="V286" i="11"/>
  <c r="U286" i="11"/>
  <c r="T286" i="11"/>
  <c r="S286" i="11"/>
  <c r="R286" i="11"/>
  <c r="Q286" i="11"/>
  <c r="P286" i="11"/>
  <c r="O286" i="11"/>
  <c r="N286" i="11"/>
  <c r="M286" i="11"/>
  <c r="L286" i="11"/>
  <c r="K286" i="11"/>
  <c r="J286" i="11"/>
  <c r="I286" i="11"/>
  <c r="H286" i="11"/>
  <c r="G286" i="11"/>
  <c r="F286" i="11"/>
  <c r="E286" i="11"/>
  <c r="D286" i="11"/>
  <c r="C286" i="11"/>
  <c r="B286" i="11"/>
  <c r="A286" i="11"/>
  <c r="Z285" i="11"/>
  <c r="Y285" i="11"/>
  <c r="X285" i="11"/>
  <c r="W285" i="11"/>
  <c r="V285" i="11"/>
  <c r="U285" i="11"/>
  <c r="T285" i="11"/>
  <c r="S285" i="11"/>
  <c r="R285" i="11"/>
  <c r="Q285" i="11"/>
  <c r="P285" i="11"/>
  <c r="O285" i="11"/>
  <c r="N285" i="11"/>
  <c r="M285" i="11"/>
  <c r="L285" i="11"/>
  <c r="K285" i="11"/>
  <c r="J285" i="11"/>
  <c r="I285" i="11"/>
  <c r="H285" i="11"/>
  <c r="G285" i="11"/>
  <c r="F285" i="11"/>
  <c r="E285" i="11"/>
  <c r="D285" i="11"/>
  <c r="C285" i="11"/>
  <c r="B285" i="11"/>
  <c r="A285" i="11"/>
  <c r="Z284" i="11"/>
  <c r="Y284" i="11"/>
  <c r="X284" i="11"/>
  <c r="W284" i="11"/>
  <c r="V284" i="11"/>
  <c r="U284" i="11"/>
  <c r="T284" i="11"/>
  <c r="S284" i="11"/>
  <c r="R284" i="11"/>
  <c r="Q284" i="11"/>
  <c r="P284" i="11"/>
  <c r="O284" i="11"/>
  <c r="N284" i="11"/>
  <c r="M284" i="11"/>
  <c r="L284" i="11"/>
  <c r="K284" i="11"/>
  <c r="J284" i="11"/>
  <c r="I284" i="11"/>
  <c r="H284" i="11"/>
  <c r="G284" i="11"/>
  <c r="F284" i="11"/>
  <c r="E284" i="11"/>
  <c r="D284" i="11"/>
  <c r="C284" i="11"/>
  <c r="B284" i="11"/>
  <c r="A284" i="11"/>
  <c r="Z283" i="11"/>
  <c r="Y283" i="11"/>
  <c r="X283" i="11"/>
  <c r="W283" i="11"/>
  <c r="V283" i="11"/>
  <c r="U283" i="11"/>
  <c r="T283" i="11"/>
  <c r="S283" i="11"/>
  <c r="R283" i="11"/>
  <c r="Q283" i="11"/>
  <c r="P283" i="11"/>
  <c r="O283" i="11"/>
  <c r="N283" i="11"/>
  <c r="M283" i="11"/>
  <c r="L283" i="11"/>
  <c r="K283" i="11"/>
  <c r="J283" i="11"/>
  <c r="I283" i="11"/>
  <c r="H283" i="11"/>
  <c r="G283" i="11"/>
  <c r="F283" i="11"/>
  <c r="E283" i="11"/>
  <c r="D283" i="11"/>
  <c r="C283" i="11"/>
  <c r="B283" i="11"/>
  <c r="A283" i="11"/>
  <c r="Z282" i="11"/>
  <c r="Y282" i="11"/>
  <c r="X282" i="11"/>
  <c r="W282" i="11"/>
  <c r="V282" i="11"/>
  <c r="U282" i="11"/>
  <c r="T282" i="11"/>
  <c r="S282" i="11"/>
  <c r="R282" i="11"/>
  <c r="Q282" i="11"/>
  <c r="P282" i="11"/>
  <c r="O282" i="11"/>
  <c r="N282" i="11"/>
  <c r="M282" i="11"/>
  <c r="L282" i="11"/>
  <c r="K282" i="11"/>
  <c r="J282" i="11"/>
  <c r="I282" i="11"/>
  <c r="H282" i="11"/>
  <c r="G282" i="11"/>
  <c r="F282" i="11"/>
  <c r="E282" i="11"/>
  <c r="D282" i="11"/>
  <c r="C282" i="11"/>
  <c r="B282" i="11"/>
  <c r="A282" i="11"/>
  <c r="Z281" i="11"/>
  <c r="Y281" i="11"/>
  <c r="X281" i="11"/>
  <c r="W281" i="11"/>
  <c r="V281" i="11"/>
  <c r="U281" i="11"/>
  <c r="T281" i="11"/>
  <c r="S281" i="11"/>
  <c r="R281" i="11"/>
  <c r="Q281" i="11"/>
  <c r="P281" i="11"/>
  <c r="O281" i="11"/>
  <c r="N281" i="11"/>
  <c r="M281" i="11"/>
  <c r="L281" i="11"/>
  <c r="K281" i="11"/>
  <c r="J281" i="11"/>
  <c r="I281" i="11"/>
  <c r="H281" i="11"/>
  <c r="G281" i="11"/>
  <c r="F281" i="11"/>
  <c r="E281" i="11"/>
  <c r="D281" i="11"/>
  <c r="C281" i="11"/>
  <c r="B281" i="11"/>
  <c r="A281" i="11"/>
  <c r="Z280" i="11"/>
  <c r="Y280" i="11"/>
  <c r="X280" i="11"/>
  <c r="W280" i="11"/>
  <c r="V280" i="11"/>
  <c r="U280" i="11"/>
  <c r="T280" i="11"/>
  <c r="S280" i="11"/>
  <c r="R280" i="11"/>
  <c r="Q280" i="11"/>
  <c r="P280" i="11"/>
  <c r="O280" i="11"/>
  <c r="N280" i="11"/>
  <c r="M280" i="11"/>
  <c r="L280" i="11"/>
  <c r="K280" i="11"/>
  <c r="J280" i="11"/>
  <c r="I280" i="11"/>
  <c r="H280" i="11"/>
  <c r="G280" i="11"/>
  <c r="F280" i="11"/>
  <c r="E280" i="11"/>
  <c r="D280" i="11"/>
  <c r="C280" i="11"/>
  <c r="B280" i="11"/>
  <c r="A280" i="11"/>
  <c r="Z279" i="11"/>
  <c r="Y279" i="11"/>
  <c r="X279" i="11"/>
  <c r="W279" i="11"/>
  <c r="V279" i="11"/>
  <c r="U279" i="11"/>
  <c r="T279" i="11"/>
  <c r="S279" i="11"/>
  <c r="R279" i="11"/>
  <c r="Q279" i="11"/>
  <c r="P279" i="11"/>
  <c r="O279" i="11"/>
  <c r="N279" i="11"/>
  <c r="M279" i="11"/>
  <c r="L279" i="11"/>
  <c r="K279" i="11"/>
  <c r="J279" i="11"/>
  <c r="I279" i="11"/>
  <c r="H279" i="11"/>
  <c r="G279" i="11"/>
  <c r="F279" i="11"/>
  <c r="E279" i="11"/>
  <c r="D279" i="11"/>
  <c r="C279" i="11"/>
  <c r="B279" i="11"/>
  <c r="A279" i="11"/>
  <c r="Z278" i="11"/>
  <c r="Y278" i="11"/>
  <c r="X278" i="11"/>
  <c r="W278" i="11"/>
  <c r="V278" i="11"/>
  <c r="U278" i="11"/>
  <c r="T278" i="11"/>
  <c r="S278" i="11"/>
  <c r="R278" i="11"/>
  <c r="Q278" i="11"/>
  <c r="P278" i="11"/>
  <c r="O278" i="11"/>
  <c r="N278" i="11"/>
  <c r="M278" i="11"/>
  <c r="L278" i="11"/>
  <c r="K278" i="11"/>
  <c r="J278" i="11"/>
  <c r="I278" i="11"/>
  <c r="H278" i="11"/>
  <c r="G278" i="11"/>
  <c r="F278" i="11"/>
  <c r="E278" i="11"/>
  <c r="D278" i="11"/>
  <c r="C278" i="11"/>
  <c r="B278" i="11"/>
  <c r="A278" i="11"/>
  <c r="Z277" i="11"/>
  <c r="Y277" i="11"/>
  <c r="X277" i="11"/>
  <c r="W277" i="11"/>
  <c r="V277" i="11"/>
  <c r="U277" i="11"/>
  <c r="T277" i="11"/>
  <c r="S277" i="11"/>
  <c r="R277" i="11"/>
  <c r="Q277" i="11"/>
  <c r="P277" i="11"/>
  <c r="O277" i="11"/>
  <c r="N277" i="11"/>
  <c r="M277" i="11"/>
  <c r="L277" i="11"/>
  <c r="K277" i="11"/>
  <c r="J277" i="11"/>
  <c r="I277" i="11"/>
  <c r="H277" i="11"/>
  <c r="G277" i="11"/>
  <c r="F277" i="11"/>
  <c r="E277" i="11"/>
  <c r="D277" i="11"/>
  <c r="C277" i="11"/>
  <c r="B277" i="11"/>
  <c r="A277" i="11"/>
  <c r="Z276" i="11"/>
  <c r="Y276" i="11"/>
  <c r="X276" i="11"/>
  <c r="W276" i="11"/>
  <c r="V276" i="11"/>
  <c r="U276" i="11"/>
  <c r="T276" i="11"/>
  <c r="S276" i="11"/>
  <c r="R276" i="11"/>
  <c r="Q276" i="11"/>
  <c r="P276" i="11"/>
  <c r="O276" i="11"/>
  <c r="N276" i="11"/>
  <c r="M276" i="11"/>
  <c r="L276" i="11"/>
  <c r="K276" i="11"/>
  <c r="J276" i="11"/>
  <c r="I276" i="11"/>
  <c r="H276" i="11"/>
  <c r="G276" i="11"/>
  <c r="F276" i="11"/>
  <c r="E276" i="11"/>
  <c r="D276" i="11"/>
  <c r="C276" i="11"/>
  <c r="B276" i="11"/>
  <c r="A276" i="11"/>
  <c r="Z275" i="11"/>
  <c r="Y275" i="11"/>
  <c r="X275" i="11"/>
  <c r="W275" i="11"/>
  <c r="V275" i="11"/>
  <c r="U275" i="11"/>
  <c r="T275" i="11"/>
  <c r="S275" i="11"/>
  <c r="R275" i="11"/>
  <c r="Q275" i="11"/>
  <c r="P275" i="11"/>
  <c r="O275" i="11"/>
  <c r="N275" i="11"/>
  <c r="M275" i="11"/>
  <c r="L275" i="11"/>
  <c r="K275" i="11"/>
  <c r="J275" i="11"/>
  <c r="I275" i="11"/>
  <c r="H275" i="11"/>
  <c r="G275" i="11"/>
  <c r="F275" i="11"/>
  <c r="E275" i="11"/>
  <c r="D275" i="11"/>
  <c r="C275" i="11"/>
  <c r="B275" i="11"/>
  <c r="A275" i="11"/>
  <c r="Z274" i="11"/>
  <c r="Y274" i="11"/>
  <c r="X274" i="11"/>
  <c r="W274" i="11"/>
  <c r="V274" i="11"/>
  <c r="U274" i="11"/>
  <c r="T274" i="11"/>
  <c r="S274" i="11"/>
  <c r="R274" i="11"/>
  <c r="Q274" i="11"/>
  <c r="P274" i="11"/>
  <c r="O274" i="11"/>
  <c r="N274" i="11"/>
  <c r="M274" i="11"/>
  <c r="L274" i="11"/>
  <c r="K274" i="11"/>
  <c r="J274" i="11"/>
  <c r="I274" i="11"/>
  <c r="H274" i="11"/>
  <c r="G274" i="11"/>
  <c r="F274" i="11"/>
  <c r="E274" i="11"/>
  <c r="D274" i="11"/>
  <c r="C274" i="11"/>
  <c r="B274" i="11"/>
  <c r="A274" i="11"/>
  <c r="Z273" i="11"/>
  <c r="Y273" i="11"/>
  <c r="X273" i="11"/>
  <c r="W273" i="11"/>
  <c r="V273" i="11"/>
  <c r="U273" i="11"/>
  <c r="T273" i="11"/>
  <c r="S273" i="11"/>
  <c r="R273" i="11"/>
  <c r="Q273" i="11"/>
  <c r="P273" i="11"/>
  <c r="O273" i="11"/>
  <c r="N273" i="11"/>
  <c r="M273" i="11"/>
  <c r="L273" i="11"/>
  <c r="K273" i="11"/>
  <c r="J273" i="11"/>
  <c r="I273" i="11"/>
  <c r="H273" i="11"/>
  <c r="G273" i="11"/>
  <c r="F273" i="11"/>
  <c r="E273" i="11"/>
  <c r="D273" i="11"/>
  <c r="C273" i="11"/>
  <c r="B273" i="11"/>
  <c r="A273" i="11"/>
  <c r="Z272" i="11"/>
  <c r="Y272" i="11"/>
  <c r="X272" i="11"/>
  <c r="W272" i="11"/>
  <c r="V272" i="11"/>
  <c r="U272" i="11"/>
  <c r="T272" i="11"/>
  <c r="S272" i="11"/>
  <c r="R272" i="11"/>
  <c r="Q272" i="11"/>
  <c r="P272" i="11"/>
  <c r="O272" i="11"/>
  <c r="N272" i="11"/>
  <c r="M272" i="11"/>
  <c r="L272" i="11"/>
  <c r="K272" i="11"/>
  <c r="J272" i="11"/>
  <c r="I272" i="11"/>
  <c r="H272" i="11"/>
  <c r="G272" i="11"/>
  <c r="F272" i="11"/>
  <c r="E272" i="11"/>
  <c r="D272" i="11"/>
  <c r="C272" i="11"/>
  <c r="B272" i="11"/>
  <c r="A272" i="11"/>
  <c r="Z271" i="11"/>
  <c r="Y271" i="11"/>
  <c r="X271" i="11"/>
  <c r="W271" i="11"/>
  <c r="V271" i="11"/>
  <c r="U271" i="11"/>
  <c r="T271" i="11"/>
  <c r="S271" i="11"/>
  <c r="R271" i="11"/>
  <c r="Q271" i="11"/>
  <c r="P271" i="11"/>
  <c r="O271" i="11"/>
  <c r="N271" i="11"/>
  <c r="M271" i="11"/>
  <c r="L271" i="11"/>
  <c r="K271" i="11"/>
  <c r="J271" i="11"/>
  <c r="I271" i="11"/>
  <c r="H271" i="11"/>
  <c r="G271" i="11"/>
  <c r="F271" i="11"/>
  <c r="E271" i="11"/>
  <c r="D271" i="11"/>
  <c r="C271" i="11"/>
  <c r="B271" i="11"/>
  <c r="A271" i="11"/>
  <c r="Z270" i="11"/>
  <c r="Y270" i="11"/>
  <c r="X270" i="11"/>
  <c r="W270" i="11"/>
  <c r="V270" i="11"/>
  <c r="U270" i="11"/>
  <c r="T270" i="11"/>
  <c r="S270" i="11"/>
  <c r="R270" i="11"/>
  <c r="Q270" i="11"/>
  <c r="P270" i="11"/>
  <c r="O270" i="11"/>
  <c r="N270" i="11"/>
  <c r="M270" i="11"/>
  <c r="L270" i="11"/>
  <c r="K270" i="11"/>
  <c r="J270" i="11"/>
  <c r="I270" i="11"/>
  <c r="H270" i="11"/>
  <c r="G270" i="11"/>
  <c r="F270" i="11"/>
  <c r="E270" i="11"/>
  <c r="D270" i="11"/>
  <c r="C270" i="11"/>
  <c r="B270" i="11"/>
  <c r="A270" i="11"/>
  <c r="Z269" i="11"/>
  <c r="Y269" i="11"/>
  <c r="X269" i="11"/>
  <c r="W269" i="11"/>
  <c r="V269" i="11"/>
  <c r="U269" i="11"/>
  <c r="T269" i="11"/>
  <c r="S269" i="11"/>
  <c r="R269" i="11"/>
  <c r="Q269" i="11"/>
  <c r="P269" i="11"/>
  <c r="O269" i="11"/>
  <c r="N269" i="11"/>
  <c r="M269" i="11"/>
  <c r="L269" i="11"/>
  <c r="K269" i="11"/>
  <c r="J269" i="11"/>
  <c r="I269" i="11"/>
  <c r="H269" i="11"/>
  <c r="G269" i="11"/>
  <c r="F269" i="11"/>
  <c r="E269" i="11"/>
  <c r="D269" i="11"/>
  <c r="C269" i="11"/>
  <c r="B269" i="11"/>
  <c r="A269" i="11"/>
  <c r="Z268" i="11"/>
  <c r="Y268" i="11"/>
  <c r="X268" i="11"/>
  <c r="W268" i="11"/>
  <c r="V268" i="11"/>
  <c r="U268" i="11"/>
  <c r="T268" i="11"/>
  <c r="S268" i="11"/>
  <c r="R268" i="11"/>
  <c r="Q268" i="11"/>
  <c r="P268" i="11"/>
  <c r="O268" i="11"/>
  <c r="N268" i="11"/>
  <c r="M268" i="11"/>
  <c r="L268" i="11"/>
  <c r="K268" i="11"/>
  <c r="J268" i="11"/>
  <c r="I268" i="11"/>
  <c r="H268" i="11"/>
  <c r="G268" i="11"/>
  <c r="F268" i="11"/>
  <c r="E268" i="11"/>
  <c r="D268" i="11"/>
  <c r="C268" i="11"/>
  <c r="B268" i="11"/>
  <c r="A268" i="11"/>
  <c r="Z267" i="11"/>
  <c r="Y267" i="11"/>
  <c r="X267" i="11"/>
  <c r="W267" i="11"/>
  <c r="V267" i="11"/>
  <c r="U267" i="11"/>
  <c r="T267" i="11"/>
  <c r="S267" i="11"/>
  <c r="R267" i="11"/>
  <c r="Q267" i="11"/>
  <c r="P267" i="11"/>
  <c r="O267" i="11"/>
  <c r="N267" i="11"/>
  <c r="M267" i="11"/>
  <c r="L267" i="11"/>
  <c r="K267" i="11"/>
  <c r="J267" i="11"/>
  <c r="I267" i="11"/>
  <c r="H267" i="11"/>
  <c r="G267" i="11"/>
  <c r="F267" i="11"/>
  <c r="E267" i="11"/>
  <c r="D267" i="11"/>
  <c r="C267" i="11"/>
  <c r="B267" i="11"/>
  <c r="A267" i="11"/>
  <c r="Z266" i="11"/>
  <c r="Y266" i="11"/>
  <c r="X266" i="11"/>
  <c r="W266" i="11"/>
  <c r="V266" i="11"/>
  <c r="U266" i="11"/>
  <c r="T266" i="11"/>
  <c r="S266" i="11"/>
  <c r="R266" i="11"/>
  <c r="Q266" i="11"/>
  <c r="P266" i="11"/>
  <c r="O266" i="11"/>
  <c r="N266" i="11"/>
  <c r="M266" i="11"/>
  <c r="L266" i="11"/>
  <c r="K266" i="11"/>
  <c r="J266" i="11"/>
  <c r="I266" i="11"/>
  <c r="H266" i="11"/>
  <c r="G266" i="11"/>
  <c r="F266" i="11"/>
  <c r="E266" i="11"/>
  <c r="D266" i="11"/>
  <c r="C266" i="11"/>
  <c r="B266" i="11"/>
  <c r="A266" i="11"/>
  <c r="Z265" i="11"/>
  <c r="Y265" i="11"/>
  <c r="X265" i="11"/>
  <c r="W265" i="11"/>
  <c r="V265" i="11"/>
  <c r="U265" i="11"/>
  <c r="T265" i="11"/>
  <c r="S265" i="11"/>
  <c r="R265" i="11"/>
  <c r="Q265" i="11"/>
  <c r="P265" i="11"/>
  <c r="O265" i="11"/>
  <c r="N265" i="11"/>
  <c r="M265" i="11"/>
  <c r="L265" i="11"/>
  <c r="K265" i="11"/>
  <c r="J265" i="11"/>
  <c r="I265" i="11"/>
  <c r="H265" i="11"/>
  <c r="G265" i="11"/>
  <c r="F265" i="11"/>
  <c r="E265" i="11"/>
  <c r="D265" i="11"/>
  <c r="C265" i="11"/>
  <c r="B265" i="11"/>
  <c r="A265" i="11"/>
  <c r="U264" i="11"/>
  <c r="M264" i="11"/>
  <c r="E264" i="11"/>
  <c r="Z263" i="11"/>
  <c r="Y263" i="11"/>
  <c r="X263" i="11"/>
  <c r="W263" i="11"/>
  <c r="V263" i="11"/>
  <c r="U263" i="11"/>
  <c r="T263" i="11"/>
  <c r="S263" i="11"/>
  <c r="R263" i="11"/>
  <c r="Q263" i="11"/>
  <c r="P263" i="11"/>
  <c r="O263" i="11"/>
  <c r="N263" i="11"/>
  <c r="M263" i="11"/>
  <c r="L263" i="11"/>
  <c r="K263" i="11"/>
  <c r="J263" i="11"/>
  <c r="I263" i="11"/>
  <c r="H263" i="11"/>
  <c r="G263" i="11"/>
  <c r="F263" i="11"/>
  <c r="E263" i="11"/>
  <c r="D263" i="11"/>
  <c r="C263" i="11"/>
  <c r="B263" i="11"/>
  <c r="A263" i="11"/>
  <c r="Z262" i="11"/>
  <c r="Y262" i="11"/>
  <c r="X262" i="11"/>
  <c r="W262" i="11"/>
  <c r="V262" i="11"/>
  <c r="U262" i="11"/>
  <c r="T262" i="11"/>
  <c r="S262" i="11"/>
  <c r="R262" i="11"/>
  <c r="Q262" i="11"/>
  <c r="P262" i="11"/>
  <c r="O262" i="11"/>
  <c r="N262" i="11"/>
  <c r="M262" i="11"/>
  <c r="L262" i="11"/>
  <c r="K262" i="11"/>
  <c r="J262" i="11"/>
  <c r="I262" i="11"/>
  <c r="H262" i="11"/>
  <c r="G262" i="11"/>
  <c r="F262" i="11"/>
  <c r="E262" i="11"/>
  <c r="D262" i="11"/>
  <c r="C262" i="11"/>
  <c r="B262" i="11"/>
  <c r="A262" i="11"/>
  <c r="Z261" i="11"/>
  <c r="Y261" i="11"/>
  <c r="X261" i="11"/>
  <c r="W261" i="11"/>
  <c r="V261" i="11"/>
  <c r="U261" i="11"/>
  <c r="T261" i="11"/>
  <c r="S261" i="11"/>
  <c r="R261" i="11"/>
  <c r="Q261" i="11"/>
  <c r="P261" i="11"/>
  <c r="O261" i="11"/>
  <c r="N261" i="11"/>
  <c r="M261" i="11"/>
  <c r="L261" i="11"/>
  <c r="K261" i="11"/>
  <c r="J261" i="11"/>
  <c r="I261" i="11"/>
  <c r="H261" i="11"/>
  <c r="G261" i="11"/>
  <c r="F261" i="11"/>
  <c r="E261" i="11"/>
  <c r="D261" i="11"/>
  <c r="C261" i="11"/>
  <c r="B261" i="11"/>
  <c r="A261" i="11"/>
  <c r="Z260" i="11"/>
  <c r="Y260" i="11"/>
  <c r="X260" i="11"/>
  <c r="W260" i="11"/>
  <c r="V260" i="11"/>
  <c r="U260" i="11"/>
  <c r="T260" i="11"/>
  <c r="S260" i="11"/>
  <c r="R260" i="11"/>
  <c r="Q260" i="11"/>
  <c r="P260" i="11"/>
  <c r="O260" i="11"/>
  <c r="N260" i="11"/>
  <c r="M260" i="11"/>
  <c r="L260" i="11"/>
  <c r="K260" i="11"/>
  <c r="J260" i="11"/>
  <c r="I260" i="11"/>
  <c r="H260" i="11"/>
  <c r="G260" i="11"/>
  <c r="F260" i="11"/>
  <c r="E260" i="11"/>
  <c r="D260" i="11"/>
  <c r="C260" i="11"/>
  <c r="B260" i="11"/>
  <c r="A260" i="11"/>
  <c r="Z259" i="11"/>
  <c r="Y259" i="11"/>
  <c r="X259" i="11"/>
  <c r="W259" i="11"/>
  <c r="V259" i="11"/>
  <c r="U259" i="11"/>
  <c r="T259" i="11"/>
  <c r="S259" i="11"/>
  <c r="R259" i="11"/>
  <c r="Q259" i="11"/>
  <c r="P259" i="11"/>
  <c r="O259" i="11"/>
  <c r="N259" i="11"/>
  <c r="M259" i="11"/>
  <c r="L259" i="11"/>
  <c r="K259" i="11"/>
  <c r="J259" i="11"/>
  <c r="I259" i="11"/>
  <c r="H259" i="11"/>
  <c r="G259" i="11"/>
  <c r="F259" i="11"/>
  <c r="E259" i="11"/>
  <c r="D259" i="11"/>
  <c r="C259" i="11"/>
  <c r="B259" i="11"/>
  <c r="A259" i="11"/>
  <c r="Z258" i="11"/>
  <c r="Y258" i="11"/>
  <c r="X258" i="11"/>
  <c r="W258" i="11"/>
  <c r="V258" i="11"/>
  <c r="U258" i="11"/>
  <c r="T258" i="11"/>
  <c r="S258" i="11"/>
  <c r="R258" i="11"/>
  <c r="Q258" i="11"/>
  <c r="P258" i="11"/>
  <c r="O258" i="11"/>
  <c r="N258" i="11"/>
  <c r="M258" i="11"/>
  <c r="L258" i="11"/>
  <c r="K258" i="11"/>
  <c r="J258" i="11"/>
  <c r="I258" i="11"/>
  <c r="H258" i="11"/>
  <c r="G258" i="11"/>
  <c r="F258" i="11"/>
  <c r="E258" i="11"/>
  <c r="D258" i="11"/>
  <c r="C258" i="11"/>
  <c r="B258" i="11"/>
  <c r="A258" i="11"/>
  <c r="Z257" i="11"/>
  <c r="Y257" i="11"/>
  <c r="X257" i="11"/>
  <c r="W257" i="11"/>
  <c r="V257" i="11"/>
  <c r="U257" i="11"/>
  <c r="T257" i="11"/>
  <c r="S257" i="11"/>
  <c r="R257" i="11"/>
  <c r="Q257" i="11"/>
  <c r="P257" i="11"/>
  <c r="O257" i="11"/>
  <c r="N257" i="11"/>
  <c r="M257" i="11"/>
  <c r="L257" i="11"/>
  <c r="K257" i="11"/>
  <c r="J257" i="11"/>
  <c r="I257" i="11"/>
  <c r="H257" i="11"/>
  <c r="G257" i="11"/>
  <c r="F257" i="11"/>
  <c r="E257" i="11"/>
  <c r="D257" i="11"/>
  <c r="C257" i="11"/>
  <c r="B257" i="11"/>
  <c r="A257" i="11"/>
  <c r="Z256" i="11"/>
  <c r="Y256" i="11"/>
  <c r="X256" i="11"/>
  <c r="W256" i="11"/>
  <c r="V256" i="11"/>
  <c r="U256" i="11"/>
  <c r="T256" i="11"/>
  <c r="S256" i="11"/>
  <c r="R256" i="11"/>
  <c r="Q256" i="11"/>
  <c r="P256" i="11"/>
  <c r="O256" i="11"/>
  <c r="N256" i="11"/>
  <c r="M256" i="11"/>
  <c r="L256" i="11"/>
  <c r="K256" i="11"/>
  <c r="J256" i="11"/>
  <c r="I256" i="11"/>
  <c r="H256" i="11"/>
  <c r="G256" i="11"/>
  <c r="F256" i="11"/>
  <c r="E256" i="11"/>
  <c r="D256" i="11"/>
  <c r="C256" i="11"/>
  <c r="B256" i="11"/>
  <c r="A256" i="11"/>
  <c r="Z255" i="11"/>
  <c r="Y255" i="11"/>
  <c r="X255" i="11"/>
  <c r="W255" i="11"/>
  <c r="V255" i="11"/>
  <c r="U255" i="11"/>
  <c r="T255" i="11"/>
  <c r="S255" i="11"/>
  <c r="R255" i="11"/>
  <c r="Q255" i="11"/>
  <c r="P255" i="11"/>
  <c r="O255" i="11"/>
  <c r="N255" i="11"/>
  <c r="M255" i="11"/>
  <c r="L255" i="11"/>
  <c r="K255" i="11"/>
  <c r="J255" i="11"/>
  <c r="I255" i="11"/>
  <c r="H255" i="11"/>
  <c r="G255" i="11"/>
  <c r="F255" i="11"/>
  <c r="E255" i="11"/>
  <c r="D255" i="11"/>
  <c r="C255" i="11"/>
  <c r="B255" i="11"/>
  <c r="A255" i="11"/>
  <c r="Z254" i="11"/>
  <c r="Y254" i="11"/>
  <c r="X254" i="11"/>
  <c r="W254" i="11"/>
  <c r="V254" i="11"/>
  <c r="U254" i="11"/>
  <c r="T254" i="11"/>
  <c r="S254" i="11"/>
  <c r="R254" i="11"/>
  <c r="Q254" i="11"/>
  <c r="P254" i="11"/>
  <c r="O254" i="11"/>
  <c r="N254" i="11"/>
  <c r="M254" i="11"/>
  <c r="L254" i="11"/>
  <c r="K254" i="11"/>
  <c r="J254" i="11"/>
  <c r="I254" i="11"/>
  <c r="H254" i="11"/>
  <c r="G254" i="11"/>
  <c r="F254" i="11"/>
  <c r="E254" i="11"/>
  <c r="D254" i="11"/>
  <c r="C254" i="11"/>
  <c r="B254" i="11"/>
  <c r="A254" i="11"/>
  <c r="Z253" i="11"/>
  <c r="Y253" i="11"/>
  <c r="X253" i="11"/>
  <c r="W253" i="11"/>
  <c r="V253" i="11"/>
  <c r="U253" i="11"/>
  <c r="T253" i="11"/>
  <c r="S253" i="11"/>
  <c r="R253" i="11"/>
  <c r="Q253" i="11"/>
  <c r="P253" i="11"/>
  <c r="O253" i="11"/>
  <c r="N253" i="11"/>
  <c r="M253" i="11"/>
  <c r="L253" i="11"/>
  <c r="K253" i="11"/>
  <c r="J253" i="11"/>
  <c r="I253" i="11"/>
  <c r="H253" i="11"/>
  <c r="G253" i="11"/>
  <c r="F253" i="11"/>
  <c r="E253" i="11"/>
  <c r="D253" i="11"/>
  <c r="C253" i="11"/>
  <c r="B253" i="11"/>
  <c r="A253" i="11"/>
  <c r="Z252" i="11"/>
  <c r="Y252" i="11"/>
  <c r="X252" i="11"/>
  <c r="W252" i="11"/>
  <c r="V252" i="11"/>
  <c r="U252" i="11"/>
  <c r="T252" i="11"/>
  <c r="S252" i="11"/>
  <c r="R252" i="11"/>
  <c r="Q252" i="11"/>
  <c r="P252" i="11"/>
  <c r="O252" i="11"/>
  <c r="N252" i="11"/>
  <c r="M252" i="11"/>
  <c r="L252" i="11"/>
  <c r="K252" i="11"/>
  <c r="J252" i="11"/>
  <c r="I252" i="11"/>
  <c r="H252" i="11"/>
  <c r="G252" i="11"/>
  <c r="F252" i="11"/>
  <c r="E252" i="11"/>
  <c r="D252" i="11"/>
  <c r="C252" i="11"/>
  <c r="B252" i="11"/>
  <c r="A252" i="11"/>
  <c r="Z251" i="11"/>
  <c r="Y251" i="11"/>
  <c r="X251" i="11"/>
  <c r="W251" i="11"/>
  <c r="V251" i="11"/>
  <c r="U251" i="11"/>
  <c r="T251" i="11"/>
  <c r="S251" i="11"/>
  <c r="R251" i="11"/>
  <c r="Q251" i="11"/>
  <c r="P251" i="11"/>
  <c r="O251" i="11"/>
  <c r="N251" i="11"/>
  <c r="M251" i="11"/>
  <c r="L251" i="11"/>
  <c r="K251" i="11"/>
  <c r="J251" i="11"/>
  <c r="I251" i="11"/>
  <c r="H251" i="11"/>
  <c r="G251" i="11"/>
  <c r="F251" i="11"/>
  <c r="E251" i="11"/>
  <c r="D251" i="11"/>
  <c r="C251" i="11"/>
  <c r="B251" i="11"/>
  <c r="A251" i="11"/>
  <c r="Z250" i="11"/>
  <c r="Y250" i="11"/>
  <c r="X250" i="11"/>
  <c r="W250" i="11"/>
  <c r="V250" i="11"/>
  <c r="U250" i="11"/>
  <c r="T250" i="11"/>
  <c r="S250" i="11"/>
  <c r="R250" i="11"/>
  <c r="Q250" i="11"/>
  <c r="P250" i="11"/>
  <c r="O250" i="11"/>
  <c r="N250" i="11"/>
  <c r="M250" i="11"/>
  <c r="L250" i="11"/>
  <c r="K250" i="11"/>
  <c r="J250" i="11"/>
  <c r="I250" i="11"/>
  <c r="H250" i="11"/>
  <c r="G250" i="11"/>
  <c r="F250" i="11"/>
  <c r="E250" i="11"/>
  <c r="D250" i="11"/>
  <c r="C250" i="11"/>
  <c r="B250" i="11"/>
  <c r="A250" i="11"/>
  <c r="Z249" i="11"/>
  <c r="Y249" i="11"/>
  <c r="X249" i="11"/>
  <c r="W249" i="11"/>
  <c r="V249" i="11"/>
  <c r="U249" i="11"/>
  <c r="T249" i="11"/>
  <c r="S249" i="11"/>
  <c r="R249" i="11"/>
  <c r="Q249" i="11"/>
  <c r="P249" i="11"/>
  <c r="O249" i="11"/>
  <c r="N249" i="11"/>
  <c r="M249" i="11"/>
  <c r="L249" i="11"/>
  <c r="K249" i="11"/>
  <c r="J249" i="11"/>
  <c r="I249" i="11"/>
  <c r="H249" i="11"/>
  <c r="G249" i="11"/>
  <c r="F249" i="11"/>
  <c r="E249" i="11"/>
  <c r="D249" i="11"/>
  <c r="C249" i="11"/>
  <c r="B249" i="11"/>
  <c r="A249" i="11"/>
  <c r="Z248" i="11"/>
  <c r="Y248" i="11"/>
  <c r="X248" i="11"/>
  <c r="W248" i="11"/>
  <c r="V248" i="11"/>
  <c r="U248" i="11"/>
  <c r="T248" i="11"/>
  <c r="S248" i="11"/>
  <c r="R248" i="11"/>
  <c r="Q248" i="11"/>
  <c r="P248" i="11"/>
  <c r="O248" i="11"/>
  <c r="N248" i="11"/>
  <c r="M248" i="11"/>
  <c r="L248" i="11"/>
  <c r="K248" i="11"/>
  <c r="J248" i="11"/>
  <c r="I248" i="11"/>
  <c r="H248" i="11"/>
  <c r="G248" i="11"/>
  <c r="F248" i="11"/>
  <c r="E248" i="11"/>
  <c r="D248" i="11"/>
  <c r="C248" i="11"/>
  <c r="B248" i="11"/>
  <c r="A248" i="11"/>
  <c r="Z247" i="11"/>
  <c r="Y247" i="11"/>
  <c r="X247" i="11"/>
  <c r="W247" i="11"/>
  <c r="V247" i="11"/>
  <c r="U247" i="11"/>
  <c r="T247" i="11"/>
  <c r="S247" i="11"/>
  <c r="R247" i="11"/>
  <c r="Q247" i="11"/>
  <c r="P247" i="11"/>
  <c r="O247" i="11"/>
  <c r="N247" i="11"/>
  <c r="M247" i="11"/>
  <c r="L247" i="11"/>
  <c r="K247" i="11"/>
  <c r="J247" i="11"/>
  <c r="I247" i="11"/>
  <c r="H247" i="11"/>
  <c r="G247" i="11"/>
  <c r="F247" i="11"/>
  <c r="E247" i="11"/>
  <c r="D247" i="11"/>
  <c r="C247" i="11"/>
  <c r="B247" i="11"/>
  <c r="A247" i="11"/>
  <c r="Z246" i="11"/>
  <c r="Y246" i="11"/>
  <c r="X246" i="11"/>
  <c r="W246" i="11"/>
  <c r="V246" i="11"/>
  <c r="U246" i="11"/>
  <c r="T246" i="11"/>
  <c r="S246" i="11"/>
  <c r="R246" i="11"/>
  <c r="Q246" i="11"/>
  <c r="P246" i="11"/>
  <c r="O246" i="11"/>
  <c r="N246" i="11"/>
  <c r="M246" i="11"/>
  <c r="L246" i="11"/>
  <c r="K246" i="11"/>
  <c r="J246" i="11"/>
  <c r="I246" i="11"/>
  <c r="H246" i="11"/>
  <c r="G246" i="11"/>
  <c r="F246" i="11"/>
  <c r="E246" i="11"/>
  <c r="D246" i="11"/>
  <c r="C246" i="11"/>
  <c r="B246" i="11"/>
  <c r="A246" i="11"/>
  <c r="Z245" i="11"/>
  <c r="Y245" i="11"/>
  <c r="X245" i="11"/>
  <c r="W245" i="11"/>
  <c r="V245" i="11"/>
  <c r="U245" i="11"/>
  <c r="T245" i="11"/>
  <c r="S245" i="11"/>
  <c r="R245" i="11"/>
  <c r="Q245" i="11"/>
  <c r="P245" i="11"/>
  <c r="O245" i="11"/>
  <c r="N245" i="11"/>
  <c r="M245" i="11"/>
  <c r="L245" i="11"/>
  <c r="K245" i="11"/>
  <c r="J245" i="11"/>
  <c r="I245" i="11"/>
  <c r="H245" i="11"/>
  <c r="G245" i="11"/>
  <c r="F245" i="11"/>
  <c r="E245" i="11"/>
  <c r="D245" i="11"/>
  <c r="C245" i="11"/>
  <c r="B245" i="11"/>
  <c r="A245" i="11"/>
  <c r="Z244" i="11"/>
  <c r="Y244" i="11"/>
  <c r="X244" i="11"/>
  <c r="W244" i="11"/>
  <c r="V244" i="11"/>
  <c r="U244" i="11"/>
  <c r="T244" i="11"/>
  <c r="S244" i="11"/>
  <c r="R244" i="11"/>
  <c r="Q244" i="11"/>
  <c r="P244" i="11"/>
  <c r="O244" i="11"/>
  <c r="N244" i="11"/>
  <c r="M244" i="11"/>
  <c r="L244" i="11"/>
  <c r="K244" i="11"/>
  <c r="J244" i="11"/>
  <c r="I244" i="11"/>
  <c r="H244" i="11"/>
  <c r="G244" i="11"/>
  <c r="F244" i="11"/>
  <c r="E244" i="11"/>
  <c r="D244" i="11"/>
  <c r="C244" i="11"/>
  <c r="B244" i="11"/>
  <c r="A244" i="11"/>
  <c r="Z243" i="11"/>
  <c r="Y243" i="11"/>
  <c r="X243" i="11"/>
  <c r="W243" i="11"/>
  <c r="V243" i="11"/>
  <c r="U243" i="11"/>
  <c r="T243" i="11"/>
  <c r="S243" i="11"/>
  <c r="R243" i="11"/>
  <c r="Q243" i="11"/>
  <c r="P243" i="11"/>
  <c r="O243" i="11"/>
  <c r="N243" i="11"/>
  <c r="M243" i="11"/>
  <c r="L243" i="11"/>
  <c r="K243" i="11"/>
  <c r="J243" i="11"/>
  <c r="I243" i="11"/>
  <c r="H243" i="11"/>
  <c r="G243" i="11"/>
  <c r="F243" i="11"/>
  <c r="E243" i="11"/>
  <c r="D243" i="11"/>
  <c r="C243" i="11"/>
  <c r="B243" i="11"/>
  <c r="A243" i="11"/>
  <c r="Z242" i="11"/>
  <c r="Y242" i="11"/>
  <c r="X242" i="11"/>
  <c r="W242" i="11"/>
  <c r="V242" i="11"/>
  <c r="U242" i="11"/>
  <c r="T242" i="11"/>
  <c r="S242" i="11"/>
  <c r="R242" i="11"/>
  <c r="Q242" i="11"/>
  <c r="P242" i="11"/>
  <c r="O242" i="11"/>
  <c r="N242" i="11"/>
  <c r="M242" i="11"/>
  <c r="L242" i="11"/>
  <c r="K242" i="11"/>
  <c r="J242" i="11"/>
  <c r="I242" i="11"/>
  <c r="H242" i="11"/>
  <c r="G242" i="11"/>
  <c r="F242" i="11"/>
  <c r="E242" i="11"/>
  <c r="D242" i="11"/>
  <c r="C242" i="11"/>
  <c r="B242" i="11"/>
  <c r="A242" i="11"/>
  <c r="Z241" i="11"/>
  <c r="Y241" i="11"/>
  <c r="X241" i="11"/>
  <c r="W241" i="11"/>
  <c r="V241" i="11"/>
  <c r="U241" i="11"/>
  <c r="T241" i="11"/>
  <c r="S241" i="11"/>
  <c r="R241" i="11"/>
  <c r="Q241" i="11"/>
  <c r="P241" i="11"/>
  <c r="O241" i="11"/>
  <c r="N241" i="11"/>
  <c r="M241" i="11"/>
  <c r="L241" i="11"/>
  <c r="K241" i="11"/>
  <c r="J241" i="11"/>
  <c r="I241" i="11"/>
  <c r="H241" i="11"/>
  <c r="G241" i="11"/>
  <c r="F241" i="11"/>
  <c r="E241" i="11"/>
  <c r="D241" i="11"/>
  <c r="C241" i="11"/>
  <c r="B241" i="11"/>
  <c r="A241" i="11"/>
  <c r="Z240" i="11"/>
  <c r="Y240" i="11"/>
  <c r="X240" i="11"/>
  <c r="W240" i="11"/>
  <c r="V240" i="11"/>
  <c r="U240" i="11"/>
  <c r="T240" i="11"/>
  <c r="S240" i="11"/>
  <c r="R240" i="11"/>
  <c r="Q240" i="11"/>
  <c r="P240" i="11"/>
  <c r="O240" i="11"/>
  <c r="N240" i="11"/>
  <c r="M240" i="11"/>
  <c r="L240" i="11"/>
  <c r="K240" i="11"/>
  <c r="J240" i="11"/>
  <c r="I240" i="11"/>
  <c r="H240" i="11"/>
  <c r="G240" i="11"/>
  <c r="F240" i="11"/>
  <c r="E240" i="11"/>
  <c r="D240" i="11"/>
  <c r="C240" i="11"/>
  <c r="B240" i="11"/>
  <c r="A240" i="11"/>
  <c r="W239" i="11"/>
  <c r="O239" i="11"/>
  <c r="G239" i="11"/>
  <c r="Z238" i="11"/>
  <c r="Y238" i="11"/>
  <c r="X238" i="11"/>
  <c r="W238" i="11"/>
  <c r="V238" i="11"/>
  <c r="U238" i="11"/>
  <c r="T238" i="11"/>
  <c r="S238" i="11"/>
  <c r="R238" i="11"/>
  <c r="Q238" i="11"/>
  <c r="P238" i="11"/>
  <c r="O238" i="11"/>
  <c r="N238" i="11"/>
  <c r="M238" i="11"/>
  <c r="L238" i="11"/>
  <c r="K238" i="11"/>
  <c r="J238" i="11"/>
  <c r="I238" i="11"/>
  <c r="H238" i="11"/>
  <c r="G238" i="11"/>
  <c r="F238" i="11"/>
  <c r="E238" i="11"/>
  <c r="D238" i="11"/>
  <c r="C238" i="11"/>
  <c r="B238" i="11"/>
  <c r="A238" i="11"/>
  <c r="Z237" i="11"/>
  <c r="Y237" i="11"/>
  <c r="X237" i="11"/>
  <c r="W237" i="11"/>
  <c r="V237" i="11"/>
  <c r="U237" i="11"/>
  <c r="T237" i="11"/>
  <c r="S237" i="11"/>
  <c r="R237" i="11"/>
  <c r="Q237" i="11"/>
  <c r="P237" i="11"/>
  <c r="O237" i="11"/>
  <c r="N237" i="11"/>
  <c r="M237" i="11"/>
  <c r="L237" i="11"/>
  <c r="K237" i="11"/>
  <c r="J237" i="11"/>
  <c r="I237" i="11"/>
  <c r="H237" i="11"/>
  <c r="G237" i="11"/>
  <c r="F237" i="11"/>
  <c r="E237" i="11"/>
  <c r="D237" i="11"/>
  <c r="C237" i="11"/>
  <c r="B237" i="11"/>
  <c r="A237" i="11"/>
  <c r="Z236" i="11"/>
  <c r="Y236" i="11"/>
  <c r="X236" i="11"/>
  <c r="W236" i="11"/>
  <c r="V236" i="11"/>
  <c r="U236" i="11"/>
  <c r="T236" i="11"/>
  <c r="S236" i="11"/>
  <c r="R236" i="11"/>
  <c r="Q236" i="11"/>
  <c r="P236" i="11"/>
  <c r="O236" i="11"/>
  <c r="N236" i="11"/>
  <c r="M236" i="11"/>
  <c r="L236" i="11"/>
  <c r="K236" i="11"/>
  <c r="J236" i="11"/>
  <c r="I236" i="11"/>
  <c r="H236" i="11"/>
  <c r="G236" i="11"/>
  <c r="F236" i="11"/>
  <c r="E236" i="11"/>
  <c r="D236" i="11"/>
  <c r="C236" i="11"/>
  <c r="B236" i="11"/>
  <c r="A236" i="11"/>
  <c r="Z235" i="11"/>
  <c r="Y235" i="11"/>
  <c r="X235" i="11"/>
  <c r="W235" i="11"/>
  <c r="V235" i="11"/>
  <c r="U235" i="11"/>
  <c r="T235" i="11"/>
  <c r="S235" i="11"/>
  <c r="R235" i="11"/>
  <c r="Q235" i="11"/>
  <c r="P235" i="11"/>
  <c r="O235" i="11"/>
  <c r="N235" i="11"/>
  <c r="M235" i="11"/>
  <c r="L235" i="11"/>
  <c r="K235" i="11"/>
  <c r="J235" i="11"/>
  <c r="I235" i="11"/>
  <c r="H235" i="11"/>
  <c r="G235" i="11"/>
  <c r="F235" i="11"/>
  <c r="E235" i="11"/>
  <c r="D235" i="11"/>
  <c r="C235" i="11"/>
  <c r="B235" i="11"/>
  <c r="A235" i="11"/>
  <c r="Z234" i="11"/>
  <c r="Y234" i="11"/>
  <c r="X234" i="11"/>
  <c r="W234" i="11"/>
  <c r="V234" i="11"/>
  <c r="U234" i="11"/>
  <c r="T234" i="11"/>
  <c r="S234" i="11"/>
  <c r="R234" i="11"/>
  <c r="Q234" i="11"/>
  <c r="P234" i="11"/>
  <c r="O234" i="11"/>
  <c r="N234" i="11"/>
  <c r="M234" i="11"/>
  <c r="L234" i="11"/>
  <c r="K234" i="11"/>
  <c r="J234" i="11"/>
  <c r="I234" i="11"/>
  <c r="H234" i="11"/>
  <c r="G234" i="11"/>
  <c r="F234" i="11"/>
  <c r="E234" i="11"/>
  <c r="D234" i="11"/>
  <c r="C234" i="11"/>
  <c r="B234" i="11"/>
  <c r="A234" i="11"/>
  <c r="Z233" i="11"/>
  <c r="Y233" i="11"/>
  <c r="X233" i="11"/>
  <c r="W233" i="11"/>
  <c r="V233" i="11"/>
  <c r="U233" i="11"/>
  <c r="T233" i="11"/>
  <c r="S233" i="11"/>
  <c r="R233" i="11"/>
  <c r="Q233" i="11"/>
  <c r="P233" i="11"/>
  <c r="O233" i="11"/>
  <c r="N233" i="11"/>
  <c r="M233" i="11"/>
  <c r="L233" i="11"/>
  <c r="K233" i="11"/>
  <c r="J233" i="11"/>
  <c r="I233" i="11"/>
  <c r="H233" i="11"/>
  <c r="G233" i="11"/>
  <c r="F233" i="11"/>
  <c r="E233" i="11"/>
  <c r="D233" i="11"/>
  <c r="C233" i="11"/>
  <c r="B233" i="11"/>
  <c r="A233" i="11"/>
  <c r="Z232" i="11"/>
  <c r="Y232" i="11"/>
  <c r="X232" i="11"/>
  <c r="W232" i="11"/>
  <c r="V232" i="11"/>
  <c r="U232" i="11"/>
  <c r="T232" i="11"/>
  <c r="S232" i="11"/>
  <c r="R232" i="11"/>
  <c r="Q232" i="11"/>
  <c r="P232" i="11"/>
  <c r="O232" i="11"/>
  <c r="N232" i="11"/>
  <c r="M232" i="11"/>
  <c r="L232" i="11"/>
  <c r="K232" i="11"/>
  <c r="J232" i="11"/>
  <c r="I232" i="11"/>
  <c r="H232" i="11"/>
  <c r="G232" i="11"/>
  <c r="F232" i="11"/>
  <c r="E232" i="11"/>
  <c r="D232" i="11"/>
  <c r="C232" i="11"/>
  <c r="B232" i="11"/>
  <c r="A232" i="11"/>
  <c r="Z231" i="11"/>
  <c r="Y231" i="11"/>
  <c r="X231" i="11"/>
  <c r="W231" i="11"/>
  <c r="V231" i="11"/>
  <c r="U231" i="11"/>
  <c r="T231" i="11"/>
  <c r="S231" i="11"/>
  <c r="R231" i="11"/>
  <c r="Q231" i="11"/>
  <c r="P231" i="11"/>
  <c r="O231" i="11"/>
  <c r="N231" i="11"/>
  <c r="M231" i="11"/>
  <c r="L231" i="11"/>
  <c r="K231" i="11"/>
  <c r="J231" i="11"/>
  <c r="I231" i="11"/>
  <c r="H231" i="11"/>
  <c r="G231" i="11"/>
  <c r="F231" i="11"/>
  <c r="E231" i="11"/>
  <c r="D231" i="11"/>
  <c r="C231" i="11"/>
  <c r="B231" i="11"/>
  <c r="A231" i="11"/>
  <c r="Z230" i="11"/>
  <c r="Y230" i="11"/>
  <c r="X230" i="11"/>
  <c r="W230" i="11"/>
  <c r="V230" i="11"/>
  <c r="U230" i="11"/>
  <c r="T230" i="11"/>
  <c r="S230" i="11"/>
  <c r="R230" i="11"/>
  <c r="Q230" i="11"/>
  <c r="P230" i="11"/>
  <c r="O230" i="11"/>
  <c r="N230" i="11"/>
  <c r="M230" i="11"/>
  <c r="L230" i="11"/>
  <c r="K230" i="11"/>
  <c r="J230" i="11"/>
  <c r="I230" i="11"/>
  <c r="H230" i="11"/>
  <c r="G230" i="11"/>
  <c r="F230" i="11"/>
  <c r="E230" i="11"/>
  <c r="D230" i="11"/>
  <c r="C230" i="11"/>
  <c r="B230" i="11"/>
  <c r="A230" i="11"/>
  <c r="Z229" i="11"/>
  <c r="Y229" i="11"/>
  <c r="X229" i="11"/>
  <c r="W229" i="11"/>
  <c r="V229" i="11"/>
  <c r="U229" i="11"/>
  <c r="T229" i="11"/>
  <c r="S229" i="11"/>
  <c r="R229" i="11"/>
  <c r="Q229" i="11"/>
  <c r="P229" i="11"/>
  <c r="O229" i="11"/>
  <c r="N229" i="11"/>
  <c r="M229" i="11"/>
  <c r="L229" i="11"/>
  <c r="K229" i="11"/>
  <c r="J229" i="11"/>
  <c r="I229" i="11"/>
  <c r="H229" i="11"/>
  <c r="G229" i="11"/>
  <c r="F229" i="11"/>
  <c r="E229" i="11"/>
  <c r="D229" i="11"/>
  <c r="C229" i="11"/>
  <c r="B229" i="11"/>
  <c r="A229" i="11"/>
  <c r="Z228" i="11"/>
  <c r="Y228" i="11"/>
  <c r="X228" i="11"/>
  <c r="W228" i="11"/>
  <c r="V228" i="11"/>
  <c r="U228" i="11"/>
  <c r="T228" i="11"/>
  <c r="S228" i="11"/>
  <c r="R228" i="11"/>
  <c r="Q228" i="11"/>
  <c r="P228" i="11"/>
  <c r="O228" i="11"/>
  <c r="N228" i="11"/>
  <c r="M228" i="11"/>
  <c r="L228" i="11"/>
  <c r="K228" i="11"/>
  <c r="J228" i="11"/>
  <c r="I228" i="11"/>
  <c r="H228" i="11"/>
  <c r="G228" i="11"/>
  <c r="F228" i="11"/>
  <c r="E228" i="11"/>
  <c r="D228" i="11"/>
  <c r="C228" i="11"/>
  <c r="B228" i="11"/>
  <c r="A228" i="11"/>
  <c r="Z227" i="11"/>
  <c r="Y227" i="11"/>
  <c r="X227" i="11"/>
  <c r="W227" i="11"/>
  <c r="V227" i="11"/>
  <c r="U227" i="11"/>
  <c r="T227" i="11"/>
  <c r="S227" i="11"/>
  <c r="R227" i="11"/>
  <c r="Q227" i="11"/>
  <c r="P227" i="11"/>
  <c r="O227" i="11"/>
  <c r="N227" i="11"/>
  <c r="M227" i="11"/>
  <c r="L227" i="11"/>
  <c r="K227" i="11"/>
  <c r="J227" i="11"/>
  <c r="I227" i="11"/>
  <c r="H227" i="11"/>
  <c r="G227" i="11"/>
  <c r="F227" i="11"/>
  <c r="E227" i="11"/>
  <c r="D227" i="11"/>
  <c r="C227" i="11"/>
  <c r="B227" i="11"/>
  <c r="A227" i="11"/>
  <c r="Z226" i="11"/>
  <c r="Y226" i="11"/>
  <c r="X226" i="11"/>
  <c r="W226" i="11"/>
  <c r="V226" i="11"/>
  <c r="U226" i="11"/>
  <c r="T226" i="11"/>
  <c r="S226" i="11"/>
  <c r="R226" i="11"/>
  <c r="Q226" i="11"/>
  <c r="P226" i="11"/>
  <c r="O226" i="11"/>
  <c r="N226" i="11"/>
  <c r="M226" i="11"/>
  <c r="L226" i="11"/>
  <c r="K226" i="11"/>
  <c r="J226" i="11"/>
  <c r="I226" i="11"/>
  <c r="H226" i="11"/>
  <c r="G226" i="11"/>
  <c r="F226" i="11"/>
  <c r="E226" i="11"/>
  <c r="D226" i="11"/>
  <c r="C226" i="11"/>
  <c r="B226" i="11"/>
  <c r="A226" i="11"/>
  <c r="Z225" i="11"/>
  <c r="Y225" i="11"/>
  <c r="X225" i="11"/>
  <c r="W225" i="11"/>
  <c r="V225" i="11"/>
  <c r="U225" i="11"/>
  <c r="T225" i="11"/>
  <c r="S225" i="11"/>
  <c r="R225" i="11"/>
  <c r="Q225" i="11"/>
  <c r="P225" i="11"/>
  <c r="O225" i="11"/>
  <c r="N225" i="11"/>
  <c r="M225" i="11"/>
  <c r="L225" i="11"/>
  <c r="K225" i="11"/>
  <c r="J225" i="11"/>
  <c r="I225" i="11"/>
  <c r="H225" i="11"/>
  <c r="G225" i="11"/>
  <c r="F225" i="11"/>
  <c r="E225" i="11"/>
  <c r="D225" i="11"/>
  <c r="C225" i="11"/>
  <c r="B225" i="11"/>
  <c r="A225" i="11"/>
  <c r="Z224" i="11"/>
  <c r="Y224" i="11"/>
  <c r="X224" i="11"/>
  <c r="W224" i="11"/>
  <c r="V224" i="11"/>
  <c r="U224" i="11"/>
  <c r="T224" i="11"/>
  <c r="S224" i="11"/>
  <c r="R224" i="11"/>
  <c r="Q224" i="11"/>
  <c r="P224" i="11"/>
  <c r="O224" i="11"/>
  <c r="N224" i="11"/>
  <c r="M224" i="11"/>
  <c r="L224" i="11"/>
  <c r="K224" i="11"/>
  <c r="J224" i="11"/>
  <c r="I224" i="11"/>
  <c r="H224" i="11"/>
  <c r="G224" i="11"/>
  <c r="F224" i="11"/>
  <c r="E224" i="11"/>
  <c r="D224" i="11"/>
  <c r="C224" i="11"/>
  <c r="B224" i="11"/>
  <c r="A224" i="11"/>
  <c r="Z223" i="11"/>
  <c r="Y223" i="11"/>
  <c r="X223" i="11"/>
  <c r="W223" i="11"/>
  <c r="V223" i="11"/>
  <c r="U223" i="11"/>
  <c r="T223" i="11"/>
  <c r="S223" i="11"/>
  <c r="R223" i="11"/>
  <c r="Q223" i="11"/>
  <c r="P223" i="11"/>
  <c r="O223" i="11"/>
  <c r="N223" i="11"/>
  <c r="M223" i="11"/>
  <c r="L223" i="11"/>
  <c r="K223" i="11"/>
  <c r="J223" i="11"/>
  <c r="I223" i="11"/>
  <c r="H223" i="11"/>
  <c r="G223" i="11"/>
  <c r="F223" i="11"/>
  <c r="E223" i="11"/>
  <c r="D223" i="11"/>
  <c r="C223" i="11"/>
  <c r="B223" i="11"/>
  <c r="A223" i="11"/>
  <c r="Z222" i="11"/>
  <c r="Y222" i="11"/>
  <c r="X222" i="11"/>
  <c r="W222" i="11"/>
  <c r="V222" i="11"/>
  <c r="U222" i="11"/>
  <c r="T222" i="11"/>
  <c r="S222" i="11"/>
  <c r="R222" i="11"/>
  <c r="Q222" i="11"/>
  <c r="P222" i="11"/>
  <c r="O222" i="11"/>
  <c r="N222" i="11"/>
  <c r="M222" i="11"/>
  <c r="L222" i="11"/>
  <c r="K222" i="11"/>
  <c r="J222" i="11"/>
  <c r="I222" i="11"/>
  <c r="H222" i="11"/>
  <c r="G222" i="11"/>
  <c r="F222" i="11"/>
  <c r="E222" i="11"/>
  <c r="D222" i="11"/>
  <c r="C222" i="11"/>
  <c r="B222" i="11"/>
  <c r="A222" i="11"/>
  <c r="Z221" i="11"/>
  <c r="Y221" i="11"/>
  <c r="X221" i="11"/>
  <c r="W221" i="11"/>
  <c r="V221" i="11"/>
  <c r="U221" i="11"/>
  <c r="T221" i="11"/>
  <c r="S221" i="11"/>
  <c r="R221" i="11"/>
  <c r="Q221" i="11"/>
  <c r="P221" i="11"/>
  <c r="O221" i="11"/>
  <c r="N221" i="11"/>
  <c r="M221" i="11"/>
  <c r="L221" i="11"/>
  <c r="K221" i="11"/>
  <c r="J221" i="11"/>
  <c r="I221" i="11"/>
  <c r="H221" i="11"/>
  <c r="G221" i="11"/>
  <c r="F221" i="11"/>
  <c r="E221" i="11"/>
  <c r="D221" i="11"/>
  <c r="C221" i="11"/>
  <c r="B221" i="11"/>
  <c r="A221" i="11"/>
  <c r="Z220" i="11"/>
  <c r="Y220" i="11"/>
  <c r="X220" i="11"/>
  <c r="W220" i="11"/>
  <c r="V220" i="11"/>
  <c r="U220" i="11"/>
  <c r="T220" i="11"/>
  <c r="S220" i="11"/>
  <c r="R220" i="11"/>
  <c r="Q220" i="11"/>
  <c r="P220" i="11"/>
  <c r="O220" i="11"/>
  <c r="N220" i="11"/>
  <c r="M220" i="11"/>
  <c r="L220" i="11"/>
  <c r="K220" i="11"/>
  <c r="J220" i="11"/>
  <c r="I220" i="11"/>
  <c r="H220" i="11"/>
  <c r="G220" i="11"/>
  <c r="F220" i="11"/>
  <c r="E220" i="11"/>
  <c r="D220" i="11"/>
  <c r="C220" i="11"/>
  <c r="B220" i="11"/>
  <c r="A220" i="11"/>
  <c r="Z219" i="11"/>
  <c r="Y219" i="11"/>
  <c r="X219" i="11"/>
  <c r="W219" i="11"/>
  <c r="V219" i="11"/>
  <c r="U219" i="11"/>
  <c r="T219" i="11"/>
  <c r="S219" i="11"/>
  <c r="R219" i="11"/>
  <c r="Q219" i="11"/>
  <c r="P219" i="11"/>
  <c r="O219" i="11"/>
  <c r="N219" i="11"/>
  <c r="M219" i="11"/>
  <c r="L219" i="11"/>
  <c r="K219" i="11"/>
  <c r="J219" i="11"/>
  <c r="I219" i="11"/>
  <c r="H219" i="11"/>
  <c r="G219" i="11"/>
  <c r="F219" i="11"/>
  <c r="E219" i="11"/>
  <c r="D219" i="11"/>
  <c r="C219" i="11"/>
  <c r="B219" i="11"/>
  <c r="A219" i="11"/>
  <c r="Z218" i="11"/>
  <c r="Y218" i="11"/>
  <c r="X218" i="11"/>
  <c r="W218" i="11"/>
  <c r="V218" i="11"/>
  <c r="U218" i="11"/>
  <c r="T218" i="11"/>
  <c r="S218" i="11"/>
  <c r="R218" i="11"/>
  <c r="Q218" i="11"/>
  <c r="P218" i="11"/>
  <c r="O218" i="11"/>
  <c r="N218" i="11"/>
  <c r="M218" i="11"/>
  <c r="L218" i="11"/>
  <c r="K218" i="11"/>
  <c r="J218" i="11"/>
  <c r="I218" i="11"/>
  <c r="H218" i="11"/>
  <c r="G218" i="11"/>
  <c r="F218" i="11"/>
  <c r="E218" i="11"/>
  <c r="D218" i="11"/>
  <c r="C218" i="11"/>
  <c r="B218" i="11"/>
  <c r="A218" i="11"/>
  <c r="Z217" i="11"/>
  <c r="Y217" i="11"/>
  <c r="X217" i="11"/>
  <c r="W217" i="11"/>
  <c r="V217" i="11"/>
  <c r="U217" i="11"/>
  <c r="T217" i="11"/>
  <c r="S217" i="11"/>
  <c r="R217" i="11"/>
  <c r="Q217" i="11"/>
  <c r="P217" i="11"/>
  <c r="O217" i="11"/>
  <c r="N217" i="11"/>
  <c r="M217" i="11"/>
  <c r="L217" i="11"/>
  <c r="K217" i="11"/>
  <c r="J217" i="11"/>
  <c r="I217" i="11"/>
  <c r="H217" i="11"/>
  <c r="G217" i="11"/>
  <c r="F217" i="11"/>
  <c r="E217" i="11"/>
  <c r="D217" i="11"/>
  <c r="C217" i="11"/>
  <c r="B217" i="11"/>
  <c r="A217" i="11"/>
  <c r="Z216" i="11"/>
  <c r="Y216" i="11"/>
  <c r="X216" i="11"/>
  <c r="W216" i="11"/>
  <c r="V216" i="11"/>
  <c r="U216" i="11"/>
  <c r="T216" i="11"/>
  <c r="S216" i="11"/>
  <c r="R216" i="11"/>
  <c r="Q216" i="11"/>
  <c r="P216" i="11"/>
  <c r="O216" i="11"/>
  <c r="N216" i="11"/>
  <c r="M216" i="11"/>
  <c r="L216" i="11"/>
  <c r="K216" i="11"/>
  <c r="J216" i="11"/>
  <c r="I216" i="11"/>
  <c r="H216" i="11"/>
  <c r="G216" i="11"/>
  <c r="F216" i="11"/>
  <c r="E216" i="11"/>
  <c r="D216" i="11"/>
  <c r="C216" i="11"/>
  <c r="B216" i="11"/>
  <c r="A216" i="11"/>
  <c r="Z215" i="11"/>
  <c r="Y215" i="11"/>
  <c r="X215" i="11"/>
  <c r="W215" i="11"/>
  <c r="V215" i="11"/>
  <c r="U215" i="11"/>
  <c r="T215" i="11"/>
  <c r="S215" i="11"/>
  <c r="R215" i="11"/>
  <c r="Q215" i="11"/>
  <c r="P215" i="11"/>
  <c r="O215" i="11"/>
  <c r="N215" i="11"/>
  <c r="M215" i="11"/>
  <c r="L215" i="11"/>
  <c r="K215" i="11"/>
  <c r="J215" i="11"/>
  <c r="I215" i="11"/>
  <c r="H215" i="11"/>
  <c r="G215" i="11"/>
  <c r="F215" i="11"/>
  <c r="E215" i="11"/>
  <c r="D215" i="11"/>
  <c r="C215" i="11"/>
  <c r="B215" i="11"/>
  <c r="A215" i="11"/>
  <c r="Z214" i="11"/>
  <c r="Y214" i="11"/>
  <c r="X214" i="11"/>
  <c r="W214" i="11"/>
  <c r="V214" i="11"/>
  <c r="U214" i="11"/>
  <c r="T214" i="11"/>
  <c r="S214" i="11"/>
  <c r="R214" i="11"/>
  <c r="Q214" i="11"/>
  <c r="P214" i="11"/>
  <c r="O214" i="11"/>
  <c r="N214" i="11"/>
  <c r="M214" i="11"/>
  <c r="L214" i="11"/>
  <c r="K214" i="11"/>
  <c r="J214" i="11"/>
  <c r="I214" i="11"/>
  <c r="H214" i="11"/>
  <c r="G214" i="11"/>
  <c r="F214" i="11"/>
  <c r="E214" i="11"/>
  <c r="D214" i="11"/>
  <c r="C214" i="11"/>
  <c r="B214" i="11"/>
  <c r="A214" i="11"/>
  <c r="Z213" i="11"/>
  <c r="Y213" i="11"/>
  <c r="X213" i="11"/>
  <c r="W213" i="11"/>
  <c r="V213" i="11"/>
  <c r="U213" i="11"/>
  <c r="T213" i="11"/>
  <c r="S213" i="11"/>
  <c r="R213" i="11"/>
  <c r="Q213" i="11"/>
  <c r="P213" i="11"/>
  <c r="O213" i="11"/>
  <c r="N213" i="11"/>
  <c r="M213" i="11"/>
  <c r="L213" i="11"/>
  <c r="K213" i="11"/>
  <c r="J213" i="11"/>
  <c r="I213" i="11"/>
  <c r="H213" i="11"/>
  <c r="G213" i="11"/>
  <c r="F213" i="11"/>
  <c r="E213" i="11"/>
  <c r="D213" i="11"/>
  <c r="C213" i="11"/>
  <c r="B213" i="11"/>
  <c r="A213" i="11"/>
  <c r="Z212" i="11"/>
  <c r="Y212" i="11"/>
  <c r="X212" i="11"/>
  <c r="W212" i="11"/>
  <c r="V212" i="11"/>
  <c r="U212" i="11"/>
  <c r="T212" i="11"/>
  <c r="S212" i="11"/>
  <c r="R212" i="11"/>
  <c r="Q212" i="11"/>
  <c r="P212" i="11"/>
  <c r="O212" i="11"/>
  <c r="N212" i="11"/>
  <c r="M212" i="11"/>
  <c r="L212" i="11"/>
  <c r="K212" i="11"/>
  <c r="J212" i="11"/>
  <c r="I212" i="11"/>
  <c r="H212" i="11"/>
  <c r="G212" i="11"/>
  <c r="F212" i="11"/>
  <c r="E212" i="11"/>
  <c r="D212" i="11"/>
  <c r="C212" i="11"/>
  <c r="B212" i="11"/>
  <c r="A212" i="11"/>
  <c r="Z211" i="11"/>
  <c r="Y211" i="11"/>
  <c r="X211" i="11"/>
  <c r="W211" i="11"/>
  <c r="V211" i="11"/>
  <c r="U211" i="11"/>
  <c r="T211" i="11"/>
  <c r="S211" i="11"/>
  <c r="R211" i="11"/>
  <c r="Q211" i="11"/>
  <c r="P211" i="11"/>
  <c r="O211" i="11"/>
  <c r="N211" i="11"/>
  <c r="M211" i="11"/>
  <c r="L211" i="11"/>
  <c r="K211" i="11"/>
  <c r="J211" i="11"/>
  <c r="I211" i="11"/>
  <c r="H211" i="11"/>
  <c r="G211" i="11"/>
  <c r="F211" i="11"/>
  <c r="E211" i="11"/>
  <c r="D211" i="11"/>
  <c r="C211" i="11"/>
  <c r="B211" i="11"/>
  <c r="A211" i="11"/>
  <c r="Z210" i="11"/>
  <c r="Y210" i="11"/>
  <c r="X210" i="11"/>
  <c r="W210" i="11"/>
  <c r="V210" i="11"/>
  <c r="U210" i="11"/>
  <c r="T210" i="11"/>
  <c r="S210" i="11"/>
  <c r="R210" i="11"/>
  <c r="Q210" i="11"/>
  <c r="P210" i="11"/>
  <c r="O210" i="11"/>
  <c r="N210" i="11"/>
  <c r="M210" i="11"/>
  <c r="L210" i="11"/>
  <c r="K210" i="11"/>
  <c r="J210" i="11"/>
  <c r="I210" i="11"/>
  <c r="H210" i="11"/>
  <c r="G210" i="11"/>
  <c r="F210" i="11"/>
  <c r="E210" i="11"/>
  <c r="D210" i="11"/>
  <c r="C210" i="11"/>
  <c r="B210" i="11"/>
  <c r="A210" i="11"/>
  <c r="Z209" i="11"/>
  <c r="Y209" i="11"/>
  <c r="X209" i="11"/>
  <c r="W209" i="11"/>
  <c r="V209" i="11"/>
  <c r="U209" i="11"/>
  <c r="T209" i="11"/>
  <c r="S209" i="11"/>
  <c r="R209" i="11"/>
  <c r="Q209" i="11"/>
  <c r="P209" i="11"/>
  <c r="O209" i="11"/>
  <c r="N209" i="11"/>
  <c r="M209" i="11"/>
  <c r="L209" i="11"/>
  <c r="K209" i="11"/>
  <c r="J209" i="11"/>
  <c r="I209" i="11"/>
  <c r="H209" i="11"/>
  <c r="G209" i="11"/>
  <c r="F209" i="11"/>
  <c r="E209" i="11"/>
  <c r="D209" i="11"/>
  <c r="C209" i="11"/>
  <c r="B209" i="11"/>
  <c r="A209" i="11"/>
  <c r="Z208" i="11"/>
  <c r="Y208" i="11"/>
  <c r="X208" i="11"/>
  <c r="W208" i="11"/>
  <c r="V208" i="11"/>
  <c r="U208" i="11"/>
  <c r="T208" i="11"/>
  <c r="S208" i="11"/>
  <c r="R208" i="11"/>
  <c r="Q208" i="11"/>
  <c r="P208" i="11"/>
  <c r="O208" i="11"/>
  <c r="N208" i="11"/>
  <c r="M208" i="11"/>
  <c r="L208" i="11"/>
  <c r="K208" i="11"/>
  <c r="J208" i="11"/>
  <c r="I208" i="11"/>
  <c r="H208" i="11"/>
  <c r="G208" i="11"/>
  <c r="F208" i="11"/>
  <c r="E208" i="11"/>
  <c r="D208" i="11"/>
  <c r="C208" i="11"/>
  <c r="B208" i="11"/>
  <c r="A208" i="11"/>
  <c r="Z207" i="11"/>
  <c r="Y207" i="11"/>
  <c r="X207" i="11"/>
  <c r="W207" i="11"/>
  <c r="V207" i="11"/>
  <c r="U207" i="11"/>
  <c r="T207" i="11"/>
  <c r="S207" i="11"/>
  <c r="R207" i="11"/>
  <c r="Q207" i="11"/>
  <c r="P207" i="11"/>
  <c r="O207" i="11"/>
  <c r="N207" i="11"/>
  <c r="M207" i="11"/>
  <c r="L207" i="11"/>
  <c r="K207" i="11"/>
  <c r="J207" i="11"/>
  <c r="I207" i="11"/>
  <c r="H207" i="11"/>
  <c r="G207" i="11"/>
  <c r="F207" i="11"/>
  <c r="E207" i="11"/>
  <c r="D207" i="11"/>
  <c r="C207" i="11"/>
  <c r="B207" i="11"/>
  <c r="A207" i="11"/>
  <c r="Z206" i="11"/>
  <c r="Y206" i="11"/>
  <c r="X206" i="11"/>
  <c r="W206" i="11"/>
  <c r="V206" i="11"/>
  <c r="U206" i="11"/>
  <c r="T206" i="11"/>
  <c r="S206" i="11"/>
  <c r="R206" i="11"/>
  <c r="Q206" i="11"/>
  <c r="P206" i="11"/>
  <c r="O206" i="11"/>
  <c r="N206" i="11"/>
  <c r="M206" i="11"/>
  <c r="L206" i="11"/>
  <c r="K206" i="11"/>
  <c r="J206" i="11"/>
  <c r="I206" i="11"/>
  <c r="H206" i="11"/>
  <c r="G206" i="11"/>
  <c r="F206" i="11"/>
  <c r="E206" i="11"/>
  <c r="D206" i="11"/>
  <c r="C206" i="11"/>
  <c r="B206" i="11"/>
  <c r="A206" i="11"/>
  <c r="Z205" i="11"/>
  <c r="Y205" i="11"/>
  <c r="X205" i="11"/>
  <c r="W205" i="11"/>
  <c r="V205" i="11"/>
  <c r="U205" i="11"/>
  <c r="T205" i="11"/>
  <c r="S205" i="11"/>
  <c r="R205" i="11"/>
  <c r="Q205" i="11"/>
  <c r="P205" i="11"/>
  <c r="O205" i="11"/>
  <c r="N205" i="11"/>
  <c r="M205" i="11"/>
  <c r="L205" i="11"/>
  <c r="K205" i="11"/>
  <c r="J205" i="11"/>
  <c r="I205" i="11"/>
  <c r="H205" i="11"/>
  <c r="G205" i="11"/>
  <c r="F205" i="11"/>
  <c r="E205" i="11"/>
  <c r="D205" i="11"/>
  <c r="C205" i="11"/>
  <c r="B205" i="11"/>
  <c r="A205" i="11"/>
  <c r="Z204" i="11"/>
  <c r="Y204" i="11"/>
  <c r="X204" i="11"/>
  <c r="W204" i="11"/>
  <c r="V204" i="11"/>
  <c r="U204" i="11"/>
  <c r="T204" i="11"/>
  <c r="S204" i="11"/>
  <c r="R204" i="11"/>
  <c r="Q204" i="11"/>
  <c r="P204" i="11"/>
  <c r="O204" i="11"/>
  <c r="N204" i="11"/>
  <c r="M204" i="11"/>
  <c r="L204" i="11"/>
  <c r="K204" i="11"/>
  <c r="J204" i="11"/>
  <c r="I204" i="11"/>
  <c r="H204" i="11"/>
  <c r="G204" i="11"/>
  <c r="F204" i="11"/>
  <c r="E204" i="11"/>
  <c r="D204" i="11"/>
  <c r="C204" i="11"/>
  <c r="B204" i="11"/>
  <c r="A204" i="11"/>
  <c r="W203" i="11"/>
  <c r="O203" i="11"/>
  <c r="G203" i="11"/>
  <c r="Z202" i="11"/>
  <c r="Y202" i="11"/>
  <c r="X202" i="11"/>
  <c r="W202" i="11"/>
  <c r="V202" i="11"/>
  <c r="U202" i="11"/>
  <c r="T202" i="11"/>
  <c r="S202" i="11"/>
  <c r="R202" i="11"/>
  <c r="Q202" i="11"/>
  <c r="P202" i="11"/>
  <c r="O202" i="11"/>
  <c r="N202" i="11"/>
  <c r="M202" i="11"/>
  <c r="L202" i="11"/>
  <c r="K202" i="11"/>
  <c r="J202" i="11"/>
  <c r="I202" i="11"/>
  <c r="H202" i="11"/>
  <c r="G202" i="11"/>
  <c r="F202" i="11"/>
  <c r="E202" i="11"/>
  <c r="D202" i="11"/>
  <c r="C202" i="11"/>
  <c r="B202" i="11"/>
  <c r="A202" i="11"/>
  <c r="Z201" i="11"/>
  <c r="Y201" i="11"/>
  <c r="X201" i="11"/>
  <c r="W201" i="11"/>
  <c r="V201" i="11"/>
  <c r="U201" i="11"/>
  <c r="T201" i="11"/>
  <c r="S201" i="11"/>
  <c r="R201" i="11"/>
  <c r="Q201" i="11"/>
  <c r="P201" i="11"/>
  <c r="O201" i="11"/>
  <c r="N201" i="11"/>
  <c r="M201" i="11"/>
  <c r="L201" i="11"/>
  <c r="K201" i="11"/>
  <c r="J201" i="11"/>
  <c r="I201" i="11"/>
  <c r="H201" i="11"/>
  <c r="G201" i="11"/>
  <c r="F201" i="11"/>
  <c r="E201" i="11"/>
  <c r="D201" i="11"/>
  <c r="C201" i="11"/>
  <c r="B201" i="11"/>
  <c r="A201" i="11"/>
  <c r="Z200" i="11"/>
  <c r="Y200" i="11"/>
  <c r="X200" i="11"/>
  <c r="W200" i="11"/>
  <c r="V200" i="11"/>
  <c r="U200" i="11"/>
  <c r="T200" i="11"/>
  <c r="S200" i="11"/>
  <c r="R200" i="11"/>
  <c r="Q200" i="11"/>
  <c r="P200" i="11"/>
  <c r="O200" i="11"/>
  <c r="N200" i="11"/>
  <c r="M200" i="11"/>
  <c r="L200" i="11"/>
  <c r="K200" i="11"/>
  <c r="J200" i="11"/>
  <c r="I200" i="11"/>
  <c r="H200" i="11"/>
  <c r="G200" i="11"/>
  <c r="F200" i="11"/>
  <c r="E200" i="11"/>
  <c r="D200" i="11"/>
  <c r="C200" i="11"/>
  <c r="B200" i="11"/>
  <c r="A200" i="11"/>
  <c r="Z199" i="11"/>
  <c r="Y199" i="11"/>
  <c r="X199" i="11"/>
  <c r="W199" i="11"/>
  <c r="V199" i="11"/>
  <c r="U199" i="11"/>
  <c r="T199" i="11"/>
  <c r="S199" i="11"/>
  <c r="R199" i="11"/>
  <c r="Q199" i="11"/>
  <c r="P199" i="11"/>
  <c r="O199" i="11"/>
  <c r="N199" i="11"/>
  <c r="M199" i="11"/>
  <c r="L199" i="11"/>
  <c r="K199" i="11"/>
  <c r="J199" i="11"/>
  <c r="I199" i="11"/>
  <c r="H199" i="11"/>
  <c r="G199" i="11"/>
  <c r="F199" i="11"/>
  <c r="E199" i="11"/>
  <c r="D199" i="11"/>
  <c r="C199" i="11"/>
  <c r="B199" i="11"/>
  <c r="A199" i="11"/>
  <c r="Z198" i="11"/>
  <c r="Y198" i="11"/>
  <c r="X198" i="11"/>
  <c r="W198" i="11"/>
  <c r="V198" i="11"/>
  <c r="U198" i="11"/>
  <c r="T198" i="11"/>
  <c r="S198" i="11"/>
  <c r="R198" i="11"/>
  <c r="Q198" i="11"/>
  <c r="P198" i="11"/>
  <c r="O198" i="11"/>
  <c r="N198" i="11"/>
  <c r="M198" i="11"/>
  <c r="L198" i="11"/>
  <c r="K198" i="11"/>
  <c r="J198" i="11"/>
  <c r="I198" i="11"/>
  <c r="H198" i="11"/>
  <c r="G198" i="11"/>
  <c r="F198" i="11"/>
  <c r="E198" i="11"/>
  <c r="D198" i="11"/>
  <c r="C198" i="11"/>
  <c r="B198" i="11"/>
  <c r="A198" i="11"/>
  <c r="Z197" i="11"/>
  <c r="Y197" i="11"/>
  <c r="X197" i="11"/>
  <c r="W197" i="11"/>
  <c r="V197" i="11"/>
  <c r="U197" i="11"/>
  <c r="T197" i="11"/>
  <c r="S197" i="11"/>
  <c r="R197" i="11"/>
  <c r="Q197" i="11"/>
  <c r="P197" i="11"/>
  <c r="O197" i="11"/>
  <c r="N197" i="11"/>
  <c r="M197" i="11"/>
  <c r="L197" i="11"/>
  <c r="K197" i="11"/>
  <c r="J197" i="11"/>
  <c r="I197" i="11"/>
  <c r="H197" i="11"/>
  <c r="G197" i="11"/>
  <c r="F197" i="11"/>
  <c r="E197" i="11"/>
  <c r="D197" i="11"/>
  <c r="C197" i="11"/>
  <c r="B197" i="11"/>
  <c r="A197" i="11"/>
  <c r="Z196" i="11"/>
  <c r="Y196" i="11"/>
  <c r="X196" i="11"/>
  <c r="W196" i="11"/>
  <c r="V196" i="11"/>
  <c r="U196" i="11"/>
  <c r="T196" i="11"/>
  <c r="S196" i="11"/>
  <c r="R196" i="11"/>
  <c r="Q196" i="11"/>
  <c r="P196" i="11"/>
  <c r="O196" i="11"/>
  <c r="N196" i="11"/>
  <c r="M196" i="11"/>
  <c r="L196" i="11"/>
  <c r="K196" i="11"/>
  <c r="J196" i="11"/>
  <c r="I196" i="11"/>
  <c r="H196" i="11"/>
  <c r="G196" i="11"/>
  <c r="F196" i="11"/>
  <c r="E196" i="11"/>
  <c r="D196" i="11"/>
  <c r="C196" i="11"/>
  <c r="B196" i="11"/>
  <c r="A196" i="11"/>
  <c r="Z195" i="11"/>
  <c r="Y195" i="11"/>
  <c r="X195" i="11"/>
  <c r="W195" i="11"/>
  <c r="V195" i="11"/>
  <c r="U195" i="11"/>
  <c r="T195" i="11"/>
  <c r="S195" i="11"/>
  <c r="R195" i="11"/>
  <c r="Q195" i="11"/>
  <c r="P195" i="11"/>
  <c r="O195" i="11"/>
  <c r="N195" i="11"/>
  <c r="M195" i="11"/>
  <c r="L195" i="11"/>
  <c r="K195" i="11"/>
  <c r="J195" i="11"/>
  <c r="I195" i="11"/>
  <c r="H195" i="11"/>
  <c r="G195" i="11"/>
  <c r="F195" i="11"/>
  <c r="E195" i="11"/>
  <c r="D195" i="11"/>
  <c r="C195" i="11"/>
  <c r="B195" i="11"/>
  <c r="A195" i="11"/>
  <c r="Z194" i="11"/>
  <c r="Y194" i="11"/>
  <c r="X194" i="11"/>
  <c r="W194" i="11"/>
  <c r="V194" i="11"/>
  <c r="U194" i="11"/>
  <c r="T194" i="11"/>
  <c r="S194" i="11"/>
  <c r="R194" i="11"/>
  <c r="Q194" i="11"/>
  <c r="P194" i="11"/>
  <c r="O194" i="11"/>
  <c r="N194" i="11"/>
  <c r="M194" i="11"/>
  <c r="L194" i="11"/>
  <c r="K194" i="11"/>
  <c r="J194" i="11"/>
  <c r="I194" i="11"/>
  <c r="H194" i="11"/>
  <c r="G194" i="11"/>
  <c r="F194" i="11"/>
  <c r="E194" i="11"/>
  <c r="D194" i="11"/>
  <c r="C194" i="11"/>
  <c r="B194" i="11"/>
  <c r="A194" i="11"/>
  <c r="Z193" i="11"/>
  <c r="Y193" i="11"/>
  <c r="X193" i="11"/>
  <c r="W193" i="11"/>
  <c r="V193" i="11"/>
  <c r="U193" i="11"/>
  <c r="T193" i="11"/>
  <c r="S193" i="11"/>
  <c r="R193" i="11"/>
  <c r="Q193" i="11"/>
  <c r="P193" i="11"/>
  <c r="O193" i="11"/>
  <c r="N193" i="11"/>
  <c r="M193" i="11"/>
  <c r="L193" i="11"/>
  <c r="K193" i="11"/>
  <c r="J193" i="11"/>
  <c r="I193" i="11"/>
  <c r="H193" i="11"/>
  <c r="G193" i="11"/>
  <c r="F193" i="11"/>
  <c r="E193" i="11"/>
  <c r="D193" i="11"/>
  <c r="C193" i="11"/>
  <c r="B193" i="11"/>
  <c r="A193" i="11"/>
  <c r="Z192" i="11"/>
  <c r="Y192" i="11"/>
  <c r="X192" i="11"/>
  <c r="W192" i="11"/>
  <c r="V192" i="11"/>
  <c r="U192" i="11"/>
  <c r="T192" i="11"/>
  <c r="S192" i="11"/>
  <c r="R192" i="11"/>
  <c r="Q192" i="11"/>
  <c r="P192" i="11"/>
  <c r="O192" i="11"/>
  <c r="N192" i="11"/>
  <c r="M192" i="11"/>
  <c r="L192" i="11"/>
  <c r="K192" i="11"/>
  <c r="J192" i="11"/>
  <c r="I192" i="11"/>
  <c r="H192" i="11"/>
  <c r="G192" i="11"/>
  <c r="F192" i="11"/>
  <c r="E192" i="11"/>
  <c r="D192" i="11"/>
  <c r="C192" i="11"/>
  <c r="B192" i="11"/>
  <c r="A192" i="11"/>
  <c r="Z191" i="11"/>
  <c r="Y191" i="11"/>
  <c r="X191" i="11"/>
  <c r="W191" i="11"/>
  <c r="V191" i="11"/>
  <c r="U191" i="11"/>
  <c r="T191" i="11"/>
  <c r="S191" i="11"/>
  <c r="R191" i="11"/>
  <c r="Q191" i="11"/>
  <c r="P191" i="11"/>
  <c r="O191" i="11"/>
  <c r="N191" i="11"/>
  <c r="M191" i="11"/>
  <c r="L191" i="11"/>
  <c r="K191" i="11"/>
  <c r="J191" i="11"/>
  <c r="I191" i="11"/>
  <c r="H191" i="11"/>
  <c r="G191" i="11"/>
  <c r="F191" i="11"/>
  <c r="E191" i="11"/>
  <c r="D191" i="11"/>
  <c r="C191" i="11"/>
  <c r="B191" i="11"/>
  <c r="A191" i="11"/>
  <c r="Z190" i="11"/>
  <c r="Y190" i="11"/>
  <c r="X190" i="11"/>
  <c r="W190" i="11"/>
  <c r="V190" i="11"/>
  <c r="U190" i="11"/>
  <c r="T190" i="11"/>
  <c r="S190" i="11"/>
  <c r="R190" i="11"/>
  <c r="Q190" i="11"/>
  <c r="P190" i="11"/>
  <c r="O190" i="11"/>
  <c r="N190" i="11"/>
  <c r="M190" i="11"/>
  <c r="L190" i="11"/>
  <c r="K190" i="11"/>
  <c r="J190" i="11"/>
  <c r="I190" i="11"/>
  <c r="H190" i="11"/>
  <c r="G190" i="11"/>
  <c r="F190" i="11"/>
  <c r="E190" i="11"/>
  <c r="D190" i="11"/>
  <c r="C190" i="11"/>
  <c r="B190" i="11"/>
  <c r="A190" i="11"/>
  <c r="Z189" i="11"/>
  <c r="Y189" i="11"/>
  <c r="X189" i="11"/>
  <c r="W189" i="11"/>
  <c r="V189" i="11"/>
  <c r="U189" i="11"/>
  <c r="T189" i="11"/>
  <c r="S189" i="11"/>
  <c r="R189" i="11"/>
  <c r="Q189" i="11"/>
  <c r="P189" i="11"/>
  <c r="O189" i="11"/>
  <c r="N189" i="11"/>
  <c r="M189" i="11"/>
  <c r="L189" i="11"/>
  <c r="K189" i="11"/>
  <c r="J189" i="11"/>
  <c r="I189" i="11"/>
  <c r="H189" i="11"/>
  <c r="G189" i="11"/>
  <c r="F189" i="11"/>
  <c r="E189" i="11"/>
  <c r="D189" i="11"/>
  <c r="C189" i="11"/>
  <c r="B189" i="11"/>
  <c r="A189" i="11"/>
  <c r="Z188" i="11"/>
  <c r="Y188" i="11"/>
  <c r="X188" i="11"/>
  <c r="W188" i="11"/>
  <c r="V188" i="11"/>
  <c r="U188" i="11"/>
  <c r="T188" i="11"/>
  <c r="S188" i="11"/>
  <c r="R188" i="11"/>
  <c r="Q188" i="11"/>
  <c r="P188" i="11"/>
  <c r="O188" i="11"/>
  <c r="N188" i="11"/>
  <c r="M188" i="11"/>
  <c r="L188" i="11"/>
  <c r="K188" i="11"/>
  <c r="J188" i="11"/>
  <c r="I188" i="11"/>
  <c r="H188" i="11"/>
  <c r="G188" i="11"/>
  <c r="F188" i="11"/>
  <c r="E188" i="11"/>
  <c r="D188" i="11"/>
  <c r="C188" i="11"/>
  <c r="B188" i="11"/>
  <c r="A188" i="11"/>
  <c r="Z187" i="11"/>
  <c r="Y187" i="11"/>
  <c r="X187" i="11"/>
  <c r="W187" i="11"/>
  <c r="V187" i="11"/>
  <c r="U187" i="11"/>
  <c r="T187" i="11"/>
  <c r="S187" i="11"/>
  <c r="R187" i="11"/>
  <c r="Q187" i="11"/>
  <c r="P187" i="11"/>
  <c r="O187" i="11"/>
  <c r="N187" i="11"/>
  <c r="M187" i="11"/>
  <c r="L187" i="11"/>
  <c r="K187" i="11"/>
  <c r="J187" i="11"/>
  <c r="I187" i="11"/>
  <c r="H187" i="11"/>
  <c r="G187" i="11"/>
  <c r="F187" i="11"/>
  <c r="E187" i="11"/>
  <c r="D187" i="11"/>
  <c r="C187" i="11"/>
  <c r="B187" i="11"/>
  <c r="A187" i="11"/>
  <c r="Z186" i="11"/>
  <c r="Y186" i="11"/>
  <c r="X186" i="11"/>
  <c r="W186" i="11"/>
  <c r="V186" i="11"/>
  <c r="U186" i="11"/>
  <c r="T186" i="11"/>
  <c r="S186" i="11"/>
  <c r="R186" i="11"/>
  <c r="Q186" i="11"/>
  <c r="P186" i="11"/>
  <c r="O186" i="11"/>
  <c r="N186" i="11"/>
  <c r="M186" i="11"/>
  <c r="L186" i="11"/>
  <c r="K186" i="11"/>
  <c r="J186" i="11"/>
  <c r="I186" i="11"/>
  <c r="H186" i="11"/>
  <c r="G186" i="11"/>
  <c r="F186" i="11"/>
  <c r="E186" i="11"/>
  <c r="D186" i="11"/>
  <c r="C186" i="11"/>
  <c r="B186" i="11"/>
  <c r="A186" i="11"/>
  <c r="Z185" i="11"/>
  <c r="Y185" i="11"/>
  <c r="X185" i="11"/>
  <c r="W185" i="11"/>
  <c r="V185" i="11"/>
  <c r="U185" i="11"/>
  <c r="T185" i="11"/>
  <c r="S185" i="11"/>
  <c r="R185" i="11"/>
  <c r="Q185" i="11"/>
  <c r="P185" i="11"/>
  <c r="O185" i="11"/>
  <c r="N185" i="11"/>
  <c r="M185" i="11"/>
  <c r="L185" i="11"/>
  <c r="K185" i="11"/>
  <c r="J185" i="11"/>
  <c r="I185" i="11"/>
  <c r="H185" i="11"/>
  <c r="G185" i="11"/>
  <c r="F185" i="11"/>
  <c r="E185" i="11"/>
  <c r="D185" i="11"/>
  <c r="C185" i="11"/>
  <c r="B185" i="11"/>
  <c r="A185" i="11"/>
  <c r="Z184" i="11"/>
  <c r="Y184" i="11"/>
  <c r="X184" i="11"/>
  <c r="W184" i="11"/>
  <c r="V184" i="11"/>
  <c r="U184" i="11"/>
  <c r="T184" i="11"/>
  <c r="S184" i="11"/>
  <c r="R184" i="11"/>
  <c r="Q184" i="11"/>
  <c r="P184" i="11"/>
  <c r="O184" i="11"/>
  <c r="N184" i="11"/>
  <c r="M184" i="11"/>
  <c r="L184" i="11"/>
  <c r="K184" i="11"/>
  <c r="J184" i="11"/>
  <c r="I184" i="11"/>
  <c r="H184" i="11"/>
  <c r="G184" i="11"/>
  <c r="F184" i="11"/>
  <c r="E184" i="11"/>
  <c r="D184" i="11"/>
  <c r="C184" i="11"/>
  <c r="B184" i="11"/>
  <c r="A184" i="11"/>
  <c r="Z183" i="11"/>
  <c r="Y183" i="11"/>
  <c r="X183" i="11"/>
  <c r="W183" i="11"/>
  <c r="V183" i="11"/>
  <c r="U183" i="11"/>
  <c r="T183" i="11"/>
  <c r="S183" i="11"/>
  <c r="R183" i="11"/>
  <c r="Q183" i="11"/>
  <c r="P183" i="11"/>
  <c r="O183" i="11"/>
  <c r="N183" i="11"/>
  <c r="M183" i="11"/>
  <c r="L183" i="11"/>
  <c r="K183" i="11"/>
  <c r="J183" i="11"/>
  <c r="I183" i="11"/>
  <c r="H183" i="11"/>
  <c r="G183" i="11"/>
  <c r="F183" i="11"/>
  <c r="E183" i="11"/>
  <c r="D183" i="11"/>
  <c r="C183" i="11"/>
  <c r="B183" i="11"/>
  <c r="A183" i="11"/>
  <c r="Z182" i="11"/>
  <c r="Y182" i="11"/>
  <c r="X182" i="11"/>
  <c r="W182" i="11"/>
  <c r="V182" i="11"/>
  <c r="U182" i="11"/>
  <c r="T182" i="11"/>
  <c r="S182" i="11"/>
  <c r="R182" i="11"/>
  <c r="Q182" i="11"/>
  <c r="P182" i="11"/>
  <c r="O182" i="11"/>
  <c r="N182" i="11"/>
  <c r="M182" i="11"/>
  <c r="L182" i="11"/>
  <c r="K182" i="11"/>
  <c r="J182" i="11"/>
  <c r="I182" i="11"/>
  <c r="H182" i="11"/>
  <c r="G182" i="11"/>
  <c r="F182" i="11"/>
  <c r="E182" i="11"/>
  <c r="D182" i="11"/>
  <c r="C182" i="11"/>
  <c r="B182" i="11"/>
  <c r="A182" i="11"/>
  <c r="Z181" i="11"/>
  <c r="Y181" i="11"/>
  <c r="X181" i="11"/>
  <c r="W181" i="11"/>
  <c r="V181" i="11"/>
  <c r="U181" i="11"/>
  <c r="T181" i="11"/>
  <c r="S181" i="11"/>
  <c r="R181" i="11"/>
  <c r="Q181" i="11"/>
  <c r="P181" i="11"/>
  <c r="O181" i="11"/>
  <c r="N181" i="11"/>
  <c r="M181" i="11"/>
  <c r="L181" i="11"/>
  <c r="K181" i="11"/>
  <c r="J181" i="11"/>
  <c r="I181" i="11"/>
  <c r="H181" i="11"/>
  <c r="G181" i="11"/>
  <c r="F181" i="11"/>
  <c r="E181" i="11"/>
  <c r="D181" i="11"/>
  <c r="C181" i="11"/>
  <c r="B181" i="11"/>
  <c r="A181" i="11"/>
  <c r="Z180" i="11"/>
  <c r="Y180" i="11"/>
  <c r="X180" i="11"/>
  <c r="W180" i="11"/>
  <c r="V180" i="11"/>
  <c r="U180" i="11"/>
  <c r="T180" i="11"/>
  <c r="S180" i="11"/>
  <c r="R180" i="11"/>
  <c r="Q180" i="11"/>
  <c r="P180" i="11"/>
  <c r="O180" i="11"/>
  <c r="N180" i="11"/>
  <c r="M180" i="11"/>
  <c r="L180" i="11"/>
  <c r="K180" i="11"/>
  <c r="J180" i="11"/>
  <c r="I180" i="11"/>
  <c r="H180" i="11"/>
  <c r="G180" i="11"/>
  <c r="F180" i="11"/>
  <c r="E180" i="11"/>
  <c r="D180" i="11"/>
  <c r="C180" i="11"/>
  <c r="B180" i="11"/>
  <c r="A180" i="11"/>
  <c r="Z179" i="11"/>
  <c r="Y179" i="11"/>
  <c r="X179" i="11"/>
  <c r="W179" i="11"/>
  <c r="V179" i="11"/>
  <c r="U179" i="11"/>
  <c r="T179" i="11"/>
  <c r="S179" i="11"/>
  <c r="R179" i="11"/>
  <c r="Q179" i="11"/>
  <c r="P179" i="11"/>
  <c r="O179" i="11"/>
  <c r="N179" i="11"/>
  <c r="M179" i="11"/>
  <c r="L179" i="11"/>
  <c r="K179" i="11"/>
  <c r="J179" i="11"/>
  <c r="I179" i="11"/>
  <c r="H179" i="11"/>
  <c r="G179" i="11"/>
  <c r="F179" i="11"/>
  <c r="E179" i="11"/>
  <c r="D179" i="11"/>
  <c r="C179" i="11"/>
  <c r="B179" i="11"/>
  <c r="A179" i="11"/>
  <c r="Z178" i="11"/>
  <c r="Y178" i="11"/>
  <c r="X178" i="11"/>
  <c r="W178" i="11"/>
  <c r="V178" i="11"/>
  <c r="U178" i="11"/>
  <c r="T178" i="11"/>
  <c r="S178" i="11"/>
  <c r="R178" i="11"/>
  <c r="Q178" i="11"/>
  <c r="P178" i="11"/>
  <c r="O178" i="11"/>
  <c r="N178" i="11"/>
  <c r="M178" i="11"/>
  <c r="L178" i="11"/>
  <c r="K178" i="11"/>
  <c r="J178" i="11"/>
  <c r="I178" i="11"/>
  <c r="H178" i="11"/>
  <c r="G178" i="11"/>
  <c r="F178" i="11"/>
  <c r="E178" i="11"/>
  <c r="D178" i="11"/>
  <c r="C178" i="11"/>
  <c r="B178" i="11"/>
  <c r="A178" i="11"/>
  <c r="Z177" i="11"/>
  <c r="Y177" i="11"/>
  <c r="X177" i="11"/>
  <c r="W177" i="11"/>
  <c r="V177" i="11"/>
  <c r="U177" i="11"/>
  <c r="T177" i="11"/>
  <c r="S177" i="11"/>
  <c r="R177" i="11"/>
  <c r="Q177" i="11"/>
  <c r="P177" i="11"/>
  <c r="O177" i="11"/>
  <c r="N177" i="11"/>
  <c r="M177" i="11"/>
  <c r="L177" i="11"/>
  <c r="K177" i="11"/>
  <c r="J177" i="11"/>
  <c r="I177" i="11"/>
  <c r="H177" i="11"/>
  <c r="G177" i="11"/>
  <c r="F177" i="11"/>
  <c r="E177" i="11"/>
  <c r="D177" i="11"/>
  <c r="C177" i="11"/>
  <c r="B177" i="11"/>
  <c r="A177" i="11"/>
  <c r="Z176" i="11"/>
  <c r="Y176" i="11"/>
  <c r="X176" i="11"/>
  <c r="W176" i="11"/>
  <c r="V176" i="11"/>
  <c r="U176" i="11"/>
  <c r="T176" i="11"/>
  <c r="S176" i="11"/>
  <c r="R176" i="11"/>
  <c r="Q176" i="11"/>
  <c r="P176" i="11"/>
  <c r="O176" i="11"/>
  <c r="N176" i="11"/>
  <c r="M176" i="11"/>
  <c r="L176" i="11"/>
  <c r="K176" i="11"/>
  <c r="J176" i="11"/>
  <c r="I176" i="11"/>
  <c r="H176" i="11"/>
  <c r="G176" i="11"/>
  <c r="F176" i="11"/>
  <c r="E176" i="11"/>
  <c r="D176" i="11"/>
  <c r="C176" i="11"/>
  <c r="B176" i="11"/>
  <c r="A176" i="11"/>
  <c r="Z175" i="11"/>
  <c r="Y175" i="11"/>
  <c r="X175" i="11"/>
  <c r="W175" i="11"/>
  <c r="V175" i="11"/>
  <c r="U175" i="11"/>
  <c r="T175" i="11"/>
  <c r="S175" i="11"/>
  <c r="R175" i="11"/>
  <c r="Q175" i="11"/>
  <c r="P175" i="11"/>
  <c r="O175" i="11"/>
  <c r="N175" i="11"/>
  <c r="M175" i="11"/>
  <c r="L175" i="11"/>
  <c r="K175" i="11"/>
  <c r="J175" i="11"/>
  <c r="I175" i="11"/>
  <c r="H175" i="11"/>
  <c r="G175" i="11"/>
  <c r="F175" i="11"/>
  <c r="E175" i="11"/>
  <c r="D175" i="11"/>
  <c r="C175" i="11"/>
  <c r="B175" i="11"/>
  <c r="A175" i="11"/>
  <c r="Z174" i="11"/>
  <c r="Y174" i="11"/>
  <c r="X174" i="11"/>
  <c r="W174" i="11"/>
  <c r="V174" i="11"/>
  <c r="U174" i="11"/>
  <c r="T174" i="11"/>
  <c r="S174" i="11"/>
  <c r="R174" i="11"/>
  <c r="Q174" i="11"/>
  <c r="P174" i="11"/>
  <c r="O174" i="11"/>
  <c r="N174" i="11"/>
  <c r="M174" i="11"/>
  <c r="L174" i="11"/>
  <c r="K174" i="11"/>
  <c r="J174" i="11"/>
  <c r="I174" i="11"/>
  <c r="H174" i="11"/>
  <c r="G174" i="11"/>
  <c r="F174" i="11"/>
  <c r="E174" i="11"/>
  <c r="D174" i="11"/>
  <c r="C174" i="11"/>
  <c r="B174" i="11"/>
  <c r="A174" i="11"/>
  <c r="Z173" i="11"/>
  <c r="Y173" i="11"/>
  <c r="X173" i="11"/>
  <c r="W173" i="11"/>
  <c r="V173" i="11"/>
  <c r="U173" i="11"/>
  <c r="T173" i="11"/>
  <c r="S173" i="11"/>
  <c r="R173" i="11"/>
  <c r="Q173" i="11"/>
  <c r="P173" i="11"/>
  <c r="O173" i="11"/>
  <c r="N173" i="11"/>
  <c r="M173" i="11"/>
  <c r="L173" i="11"/>
  <c r="K173" i="11"/>
  <c r="J173" i="11"/>
  <c r="I173" i="11"/>
  <c r="H173" i="11"/>
  <c r="G173" i="11"/>
  <c r="F173" i="11"/>
  <c r="E173" i="11"/>
  <c r="D173" i="11"/>
  <c r="C173" i="11"/>
  <c r="B173" i="11"/>
  <c r="A173" i="11"/>
  <c r="Z172" i="11"/>
  <c r="Y172" i="11"/>
  <c r="X172" i="11"/>
  <c r="W172" i="11"/>
  <c r="V172" i="11"/>
  <c r="U172" i="11"/>
  <c r="T172" i="11"/>
  <c r="S172" i="11"/>
  <c r="R172" i="11"/>
  <c r="Q172" i="11"/>
  <c r="P172" i="11"/>
  <c r="O172" i="11"/>
  <c r="N172" i="11"/>
  <c r="M172" i="11"/>
  <c r="L172" i="11"/>
  <c r="K172" i="11"/>
  <c r="J172" i="11"/>
  <c r="I172" i="11"/>
  <c r="H172" i="11"/>
  <c r="G172" i="11"/>
  <c r="F172" i="11"/>
  <c r="E172" i="11"/>
  <c r="D172" i="11"/>
  <c r="C172" i="11"/>
  <c r="B172" i="11"/>
  <c r="A172" i="11"/>
  <c r="Z171" i="11"/>
  <c r="Y171" i="11"/>
  <c r="X171" i="11"/>
  <c r="W171" i="11"/>
  <c r="V171" i="11"/>
  <c r="U171" i="11"/>
  <c r="T171" i="11"/>
  <c r="S171" i="11"/>
  <c r="R171" i="11"/>
  <c r="Q171" i="11"/>
  <c r="P171" i="11"/>
  <c r="O171" i="11"/>
  <c r="N171" i="11"/>
  <c r="M171" i="11"/>
  <c r="L171" i="11"/>
  <c r="K171" i="11"/>
  <c r="J171" i="11"/>
  <c r="I171" i="11"/>
  <c r="H171" i="11"/>
  <c r="G171" i="11"/>
  <c r="F171" i="11"/>
  <c r="E171" i="11"/>
  <c r="D171" i="11"/>
  <c r="C171" i="11"/>
  <c r="B171" i="11"/>
  <c r="A171" i="11"/>
  <c r="Z170" i="11"/>
  <c r="Y170" i="11"/>
  <c r="X170" i="11"/>
  <c r="W170" i="11"/>
  <c r="V170" i="11"/>
  <c r="U170" i="11"/>
  <c r="T170" i="11"/>
  <c r="S170" i="11"/>
  <c r="R170" i="11"/>
  <c r="Q170" i="11"/>
  <c r="P170" i="11"/>
  <c r="O170" i="11"/>
  <c r="N170" i="11"/>
  <c r="M170" i="11"/>
  <c r="L170" i="11"/>
  <c r="K170" i="11"/>
  <c r="J170" i="11"/>
  <c r="I170" i="11"/>
  <c r="H170" i="11"/>
  <c r="G170" i="11"/>
  <c r="F170" i="11"/>
  <c r="E170" i="11"/>
  <c r="D170" i="11"/>
  <c r="C170" i="11"/>
  <c r="B170" i="11"/>
  <c r="A170" i="11"/>
  <c r="Z169" i="11"/>
  <c r="Y169" i="11"/>
  <c r="X169" i="11"/>
  <c r="W169" i="11"/>
  <c r="V169" i="11"/>
  <c r="U169" i="11"/>
  <c r="T169" i="11"/>
  <c r="S169" i="11"/>
  <c r="R169" i="11"/>
  <c r="Q169" i="11"/>
  <c r="P169" i="11"/>
  <c r="O169" i="11"/>
  <c r="N169" i="11"/>
  <c r="M169" i="11"/>
  <c r="L169" i="11"/>
  <c r="K169" i="11"/>
  <c r="J169" i="11"/>
  <c r="I169" i="11"/>
  <c r="H169" i="11"/>
  <c r="G169" i="11"/>
  <c r="F169" i="11"/>
  <c r="E169" i="11"/>
  <c r="D169" i="11"/>
  <c r="C169" i="11"/>
  <c r="B169" i="11"/>
  <c r="A169" i="11"/>
  <c r="Z168" i="11"/>
  <c r="Y168" i="11"/>
  <c r="X168" i="11"/>
  <c r="W168" i="11"/>
  <c r="V168" i="11"/>
  <c r="U168" i="11"/>
  <c r="T168" i="11"/>
  <c r="S168" i="11"/>
  <c r="R168" i="11"/>
  <c r="Q168" i="11"/>
  <c r="P168" i="11"/>
  <c r="O168" i="11"/>
  <c r="N168" i="11"/>
  <c r="M168" i="11"/>
  <c r="L168" i="11"/>
  <c r="K168" i="11"/>
  <c r="J168" i="11"/>
  <c r="I168" i="11"/>
  <c r="H168" i="11"/>
  <c r="G168" i="11"/>
  <c r="F168" i="11"/>
  <c r="E168" i="11"/>
  <c r="D168" i="11"/>
  <c r="C168" i="11"/>
  <c r="B168" i="11"/>
  <c r="A168" i="11"/>
  <c r="Z167" i="11"/>
  <c r="Y167" i="11"/>
  <c r="X167" i="11"/>
  <c r="W167" i="11"/>
  <c r="V167" i="11"/>
  <c r="U167" i="11"/>
  <c r="T167" i="11"/>
  <c r="S167" i="11"/>
  <c r="R167" i="11"/>
  <c r="Q167" i="11"/>
  <c r="P167" i="11"/>
  <c r="O167" i="11"/>
  <c r="N167" i="11"/>
  <c r="M167" i="11"/>
  <c r="L167" i="11"/>
  <c r="K167" i="11"/>
  <c r="J167" i="11"/>
  <c r="I167" i="11"/>
  <c r="H167" i="11"/>
  <c r="G167" i="11"/>
  <c r="F167" i="11"/>
  <c r="E167" i="11"/>
  <c r="D167" i="11"/>
  <c r="C167" i="11"/>
  <c r="B167" i="11"/>
  <c r="A167" i="11"/>
  <c r="Z166" i="11"/>
  <c r="Y166" i="11"/>
  <c r="X166" i="11"/>
  <c r="W166" i="11"/>
  <c r="V166" i="11"/>
  <c r="U166" i="11"/>
  <c r="T166" i="11"/>
  <c r="S166" i="11"/>
  <c r="R166" i="11"/>
  <c r="Q166" i="11"/>
  <c r="P166" i="11"/>
  <c r="O166" i="11"/>
  <c r="N166" i="11"/>
  <c r="M166" i="11"/>
  <c r="L166" i="11"/>
  <c r="K166" i="11"/>
  <c r="J166" i="11"/>
  <c r="I166" i="11"/>
  <c r="H166" i="11"/>
  <c r="G166" i="11"/>
  <c r="F166" i="11"/>
  <c r="E166" i="11"/>
  <c r="D166" i="11"/>
  <c r="C166" i="11"/>
  <c r="B166" i="11"/>
  <c r="A166" i="11"/>
  <c r="Z165" i="11"/>
  <c r="Y165" i="11"/>
  <c r="X165" i="11"/>
  <c r="W165" i="11"/>
  <c r="V165" i="11"/>
  <c r="U165" i="11"/>
  <c r="T165" i="11"/>
  <c r="S165" i="11"/>
  <c r="R165" i="11"/>
  <c r="Q165" i="11"/>
  <c r="P165" i="11"/>
  <c r="O165" i="11"/>
  <c r="N165" i="11"/>
  <c r="M165" i="11"/>
  <c r="L165" i="11"/>
  <c r="K165" i="11"/>
  <c r="J165" i="11"/>
  <c r="I165" i="11"/>
  <c r="H165" i="11"/>
  <c r="G165" i="11"/>
  <c r="F165" i="11"/>
  <c r="E165" i="11"/>
  <c r="D165" i="11"/>
  <c r="C165" i="11"/>
  <c r="B165" i="11"/>
  <c r="A165" i="11"/>
  <c r="Z164" i="11"/>
  <c r="Y164" i="11"/>
  <c r="X164" i="11"/>
  <c r="W164" i="11"/>
  <c r="V164" i="11"/>
  <c r="U164" i="11"/>
  <c r="T164" i="11"/>
  <c r="S164" i="11"/>
  <c r="R164" i="11"/>
  <c r="Q164" i="11"/>
  <c r="P164" i="11"/>
  <c r="O164" i="11"/>
  <c r="N164" i="11"/>
  <c r="M164" i="11"/>
  <c r="L164" i="11"/>
  <c r="K164" i="11"/>
  <c r="J164" i="11"/>
  <c r="I164" i="11"/>
  <c r="H164" i="11"/>
  <c r="G164" i="11"/>
  <c r="F164" i="11"/>
  <c r="E164" i="11"/>
  <c r="D164" i="11"/>
  <c r="C164" i="11"/>
  <c r="B164" i="11"/>
  <c r="A164" i="11"/>
  <c r="Z163" i="11"/>
  <c r="Y163" i="11"/>
  <c r="X163" i="11"/>
  <c r="W163" i="11"/>
  <c r="V163" i="11"/>
  <c r="U163" i="11"/>
  <c r="T163" i="11"/>
  <c r="S163" i="11"/>
  <c r="R163" i="11"/>
  <c r="Q163" i="11"/>
  <c r="P163" i="11"/>
  <c r="O163" i="11"/>
  <c r="N163" i="11"/>
  <c r="M163" i="11"/>
  <c r="L163" i="11"/>
  <c r="K163" i="11"/>
  <c r="J163" i="11"/>
  <c r="I163" i="11"/>
  <c r="H163" i="11"/>
  <c r="G163" i="11"/>
  <c r="F163" i="11"/>
  <c r="E163" i="11"/>
  <c r="D163" i="11"/>
  <c r="C163" i="11"/>
  <c r="B163" i="11"/>
  <c r="A163" i="11"/>
  <c r="Z162" i="11"/>
  <c r="Y162" i="11"/>
  <c r="X162" i="11"/>
  <c r="W162" i="11"/>
  <c r="V162" i="11"/>
  <c r="U162" i="11"/>
  <c r="T162" i="11"/>
  <c r="S162" i="11"/>
  <c r="R162" i="11"/>
  <c r="Q162" i="11"/>
  <c r="P162" i="11"/>
  <c r="O162" i="11"/>
  <c r="N162" i="11"/>
  <c r="M162" i="11"/>
  <c r="L162" i="11"/>
  <c r="K162" i="11"/>
  <c r="J162" i="11"/>
  <c r="I162" i="11"/>
  <c r="H162" i="11"/>
  <c r="G162" i="11"/>
  <c r="F162" i="11"/>
  <c r="E162" i="11"/>
  <c r="D162" i="11"/>
  <c r="C162" i="11"/>
  <c r="B162" i="11"/>
  <c r="A162" i="11"/>
  <c r="Z161" i="11"/>
  <c r="Y161" i="11"/>
  <c r="X161" i="11"/>
  <c r="W161" i="11"/>
  <c r="V161" i="11"/>
  <c r="U161" i="11"/>
  <c r="T161" i="11"/>
  <c r="S161" i="11"/>
  <c r="R161" i="11"/>
  <c r="Q161" i="11"/>
  <c r="P161" i="11"/>
  <c r="O161" i="11"/>
  <c r="N161" i="11"/>
  <c r="M161" i="11"/>
  <c r="L161" i="11"/>
  <c r="K161" i="11"/>
  <c r="J161" i="11"/>
  <c r="I161" i="11"/>
  <c r="H161" i="11"/>
  <c r="G161" i="11"/>
  <c r="F161" i="11"/>
  <c r="E161" i="11"/>
  <c r="D161" i="11"/>
  <c r="C161" i="11"/>
  <c r="B161" i="11"/>
  <c r="A161" i="11"/>
  <c r="Z160" i="11"/>
  <c r="Y160" i="11"/>
  <c r="X160" i="11"/>
  <c r="W160" i="11"/>
  <c r="V160" i="11"/>
  <c r="U160" i="11"/>
  <c r="T160" i="11"/>
  <c r="S160" i="11"/>
  <c r="R160" i="11"/>
  <c r="Q160" i="11"/>
  <c r="P160" i="11"/>
  <c r="O160" i="11"/>
  <c r="N160" i="11"/>
  <c r="M160" i="11"/>
  <c r="L160" i="11"/>
  <c r="K160" i="11"/>
  <c r="J160" i="11"/>
  <c r="I160" i="11"/>
  <c r="H160" i="11"/>
  <c r="G160" i="11"/>
  <c r="F160" i="11"/>
  <c r="E160" i="11"/>
  <c r="D160" i="11"/>
  <c r="C160" i="11"/>
  <c r="B160" i="11"/>
  <c r="A160" i="11"/>
  <c r="Z159" i="11"/>
  <c r="Y159" i="11"/>
  <c r="X159" i="11"/>
  <c r="W159" i="11"/>
  <c r="V159" i="11"/>
  <c r="U159" i="11"/>
  <c r="T159" i="11"/>
  <c r="S159" i="11"/>
  <c r="R159" i="11"/>
  <c r="Q159" i="11"/>
  <c r="P159" i="11"/>
  <c r="O159" i="11"/>
  <c r="N159" i="11"/>
  <c r="M159" i="11"/>
  <c r="L159" i="11"/>
  <c r="K159" i="11"/>
  <c r="J159" i="11"/>
  <c r="I159" i="11"/>
  <c r="H159" i="11"/>
  <c r="G159" i="11"/>
  <c r="F159" i="11"/>
  <c r="E159" i="11"/>
  <c r="D159" i="11"/>
  <c r="C159" i="11"/>
  <c r="B159" i="11"/>
  <c r="A159" i="11"/>
  <c r="Z158" i="11"/>
  <c r="Y158" i="11"/>
  <c r="X158" i="11"/>
  <c r="W158" i="11"/>
  <c r="V158" i="11"/>
  <c r="U158" i="11"/>
  <c r="T158" i="11"/>
  <c r="S158" i="11"/>
  <c r="R158" i="11"/>
  <c r="Q158" i="11"/>
  <c r="P158" i="11"/>
  <c r="O158" i="11"/>
  <c r="N158" i="11"/>
  <c r="M158" i="11"/>
  <c r="L158" i="11"/>
  <c r="K158" i="11"/>
  <c r="J158" i="11"/>
  <c r="I158" i="11"/>
  <c r="H158" i="11"/>
  <c r="G158" i="11"/>
  <c r="F158" i="11"/>
  <c r="E158" i="11"/>
  <c r="D158" i="11"/>
  <c r="C158" i="11"/>
  <c r="B158" i="11"/>
  <c r="A158" i="11"/>
  <c r="Z157" i="11"/>
  <c r="Y157" i="11"/>
  <c r="X157" i="11"/>
  <c r="W157" i="11"/>
  <c r="V157" i="11"/>
  <c r="U157" i="11"/>
  <c r="T157" i="11"/>
  <c r="S157" i="11"/>
  <c r="R157" i="11"/>
  <c r="Q157" i="11"/>
  <c r="P157" i="11"/>
  <c r="O157" i="11"/>
  <c r="N157" i="11"/>
  <c r="M157" i="11"/>
  <c r="L157" i="11"/>
  <c r="K157" i="11"/>
  <c r="J157" i="11"/>
  <c r="I157" i="11"/>
  <c r="H157" i="11"/>
  <c r="G157" i="11"/>
  <c r="F157" i="11"/>
  <c r="E157" i="11"/>
  <c r="D157" i="11"/>
  <c r="C157" i="11"/>
  <c r="B157" i="11"/>
  <c r="A157" i="11"/>
  <c r="Z156" i="11"/>
  <c r="Y156" i="11"/>
  <c r="X156" i="11"/>
  <c r="W156" i="11"/>
  <c r="V156" i="11"/>
  <c r="U156" i="11"/>
  <c r="T156" i="11"/>
  <c r="S156" i="11"/>
  <c r="R156" i="11"/>
  <c r="Q156" i="11"/>
  <c r="P156" i="11"/>
  <c r="O156" i="11"/>
  <c r="N156" i="11"/>
  <c r="M156" i="11"/>
  <c r="L156" i="11"/>
  <c r="K156" i="11"/>
  <c r="J156" i="11"/>
  <c r="I156" i="11"/>
  <c r="H156" i="11"/>
  <c r="G156" i="11"/>
  <c r="F156" i="11"/>
  <c r="E156" i="11"/>
  <c r="D156" i="11"/>
  <c r="C156" i="11"/>
  <c r="B156" i="11"/>
  <c r="A156" i="11"/>
  <c r="W155" i="11"/>
  <c r="O155" i="11"/>
  <c r="G155" i="11"/>
  <c r="Z154" i="11"/>
  <c r="Y154" i="11"/>
  <c r="X154" i="11"/>
  <c r="W154" i="11"/>
  <c r="V154" i="11"/>
  <c r="U154" i="11"/>
  <c r="T154" i="11"/>
  <c r="S154" i="11"/>
  <c r="R154" i="11"/>
  <c r="Q154" i="11"/>
  <c r="P154" i="11"/>
  <c r="O154" i="11"/>
  <c r="N154" i="11"/>
  <c r="M154" i="11"/>
  <c r="L154" i="11"/>
  <c r="K154" i="11"/>
  <c r="J154" i="11"/>
  <c r="I154" i="11"/>
  <c r="H154" i="11"/>
  <c r="G154" i="11"/>
  <c r="F154" i="11"/>
  <c r="E154" i="11"/>
  <c r="D154" i="11"/>
  <c r="C154" i="11"/>
  <c r="B154" i="11"/>
  <c r="A154" i="11"/>
  <c r="Z153" i="11"/>
  <c r="Y153" i="11"/>
  <c r="X153" i="11"/>
  <c r="W153" i="11"/>
  <c r="V153" i="11"/>
  <c r="U153" i="11"/>
  <c r="T153" i="11"/>
  <c r="S153" i="11"/>
  <c r="R153" i="11"/>
  <c r="Q153" i="11"/>
  <c r="P153" i="11"/>
  <c r="O153" i="11"/>
  <c r="N153" i="11"/>
  <c r="M153" i="11"/>
  <c r="L153" i="11"/>
  <c r="K153" i="11"/>
  <c r="J153" i="11"/>
  <c r="I153" i="11"/>
  <c r="H153" i="11"/>
  <c r="G153" i="11"/>
  <c r="F153" i="11"/>
  <c r="E153" i="11"/>
  <c r="D153" i="11"/>
  <c r="C153" i="11"/>
  <c r="B153" i="11"/>
  <c r="A153" i="11"/>
  <c r="Z152" i="11"/>
  <c r="Y152" i="11"/>
  <c r="X152" i="11"/>
  <c r="W152" i="11"/>
  <c r="V152" i="11"/>
  <c r="U152" i="11"/>
  <c r="T152" i="11"/>
  <c r="S152" i="11"/>
  <c r="R152" i="11"/>
  <c r="Q152" i="11"/>
  <c r="P152" i="11"/>
  <c r="O152" i="11"/>
  <c r="N152" i="11"/>
  <c r="M152" i="11"/>
  <c r="L152" i="11"/>
  <c r="K152" i="11"/>
  <c r="J152" i="11"/>
  <c r="I152" i="11"/>
  <c r="H152" i="11"/>
  <c r="G152" i="11"/>
  <c r="F152" i="11"/>
  <c r="E152" i="11"/>
  <c r="D152" i="11"/>
  <c r="C152" i="11"/>
  <c r="B152" i="11"/>
  <c r="A152" i="11"/>
  <c r="Z151" i="11"/>
  <c r="Y151" i="11"/>
  <c r="X151" i="11"/>
  <c r="W151" i="11"/>
  <c r="V151" i="11"/>
  <c r="U151" i="11"/>
  <c r="T151" i="11"/>
  <c r="S151" i="11"/>
  <c r="R151" i="11"/>
  <c r="Q151" i="11"/>
  <c r="P151" i="11"/>
  <c r="O151" i="11"/>
  <c r="N151" i="11"/>
  <c r="M151" i="11"/>
  <c r="L151" i="11"/>
  <c r="K151" i="11"/>
  <c r="J151" i="11"/>
  <c r="I151" i="11"/>
  <c r="H151" i="11"/>
  <c r="G151" i="11"/>
  <c r="F151" i="11"/>
  <c r="E151" i="11"/>
  <c r="D151" i="11"/>
  <c r="C151" i="11"/>
  <c r="B151" i="11"/>
  <c r="A151" i="11"/>
  <c r="Z150" i="11"/>
  <c r="Y150" i="11"/>
  <c r="X150" i="11"/>
  <c r="W150" i="11"/>
  <c r="V150" i="11"/>
  <c r="U150" i="11"/>
  <c r="T150" i="11"/>
  <c r="S150" i="11"/>
  <c r="R150" i="11"/>
  <c r="Q150" i="11"/>
  <c r="P150" i="11"/>
  <c r="O150" i="11"/>
  <c r="N150" i="11"/>
  <c r="M150" i="11"/>
  <c r="L150" i="11"/>
  <c r="K150" i="11"/>
  <c r="J150" i="11"/>
  <c r="I150" i="11"/>
  <c r="H150" i="11"/>
  <c r="G150" i="11"/>
  <c r="F150" i="11"/>
  <c r="E150" i="11"/>
  <c r="D150" i="11"/>
  <c r="C150" i="11"/>
  <c r="B150" i="11"/>
  <c r="A150" i="11"/>
  <c r="Z149" i="11"/>
  <c r="Y149" i="11"/>
  <c r="X149" i="11"/>
  <c r="W149" i="11"/>
  <c r="V149" i="11"/>
  <c r="U149" i="11"/>
  <c r="T149" i="11"/>
  <c r="S149" i="11"/>
  <c r="R149" i="11"/>
  <c r="Q149" i="11"/>
  <c r="P149" i="11"/>
  <c r="O149" i="11"/>
  <c r="N149" i="11"/>
  <c r="M149" i="11"/>
  <c r="L149" i="11"/>
  <c r="K149" i="11"/>
  <c r="J149" i="11"/>
  <c r="I149" i="11"/>
  <c r="H149" i="11"/>
  <c r="G149" i="11"/>
  <c r="F149" i="11"/>
  <c r="E149" i="11"/>
  <c r="D149" i="11"/>
  <c r="C149" i="11"/>
  <c r="B149" i="11"/>
  <c r="A149" i="11"/>
  <c r="Z148" i="11"/>
  <c r="Y148" i="11"/>
  <c r="X148" i="11"/>
  <c r="W148" i="11"/>
  <c r="V148" i="11"/>
  <c r="U148" i="11"/>
  <c r="T148" i="11"/>
  <c r="S148" i="11"/>
  <c r="R148" i="11"/>
  <c r="Q148" i="11"/>
  <c r="P148" i="11"/>
  <c r="O148" i="11"/>
  <c r="N148" i="11"/>
  <c r="M148" i="11"/>
  <c r="L148" i="11"/>
  <c r="K148" i="11"/>
  <c r="J148" i="11"/>
  <c r="I148" i="11"/>
  <c r="H148" i="11"/>
  <c r="G148" i="11"/>
  <c r="F148" i="11"/>
  <c r="E148" i="11"/>
  <c r="D148" i="11"/>
  <c r="C148" i="11"/>
  <c r="B148" i="11"/>
  <c r="A148" i="11"/>
  <c r="Z147" i="11"/>
  <c r="Y147" i="11"/>
  <c r="X147" i="11"/>
  <c r="W147" i="11"/>
  <c r="V147" i="11"/>
  <c r="U147" i="11"/>
  <c r="T147" i="11"/>
  <c r="S147" i="11"/>
  <c r="R147" i="11"/>
  <c r="Q147" i="11"/>
  <c r="P147" i="11"/>
  <c r="O147" i="11"/>
  <c r="N147" i="11"/>
  <c r="M147" i="11"/>
  <c r="L147" i="11"/>
  <c r="K147" i="11"/>
  <c r="J147" i="11"/>
  <c r="I147" i="11"/>
  <c r="H147" i="11"/>
  <c r="G147" i="11"/>
  <c r="F147" i="11"/>
  <c r="E147" i="11"/>
  <c r="D147" i="11"/>
  <c r="C147" i="11"/>
  <c r="B147" i="11"/>
  <c r="A147" i="11"/>
  <c r="Z146" i="11"/>
  <c r="Y146" i="11"/>
  <c r="X146" i="11"/>
  <c r="W146" i="11"/>
  <c r="V146" i="11"/>
  <c r="U146" i="11"/>
  <c r="T146" i="11"/>
  <c r="S146" i="11"/>
  <c r="R146" i="11"/>
  <c r="Q146" i="11"/>
  <c r="P146" i="11"/>
  <c r="O146" i="11"/>
  <c r="N146" i="11"/>
  <c r="M146" i="11"/>
  <c r="L146" i="11"/>
  <c r="K146" i="11"/>
  <c r="J146" i="11"/>
  <c r="I146" i="11"/>
  <c r="H146" i="11"/>
  <c r="G146" i="11"/>
  <c r="F146" i="11"/>
  <c r="E146" i="11"/>
  <c r="D146" i="11"/>
  <c r="C146" i="11"/>
  <c r="B146" i="11"/>
  <c r="A146" i="11"/>
  <c r="Z145" i="11"/>
  <c r="Y145" i="11"/>
  <c r="X145" i="11"/>
  <c r="W145" i="11"/>
  <c r="V145" i="11"/>
  <c r="U145" i="11"/>
  <c r="T145" i="11"/>
  <c r="S145" i="11"/>
  <c r="R145" i="11"/>
  <c r="Q145" i="11"/>
  <c r="P145" i="11"/>
  <c r="O145" i="11"/>
  <c r="N145" i="11"/>
  <c r="M145" i="11"/>
  <c r="L145" i="11"/>
  <c r="K145" i="11"/>
  <c r="J145" i="11"/>
  <c r="I145" i="11"/>
  <c r="H145" i="11"/>
  <c r="G145" i="11"/>
  <c r="F145" i="11"/>
  <c r="E145" i="11"/>
  <c r="D145" i="11"/>
  <c r="C145" i="11"/>
  <c r="B145" i="11"/>
  <c r="A145" i="11"/>
  <c r="Z144" i="11"/>
  <c r="Y144" i="11"/>
  <c r="X144" i="11"/>
  <c r="W144" i="11"/>
  <c r="V144" i="11"/>
  <c r="U144" i="11"/>
  <c r="T144" i="11"/>
  <c r="S144" i="11"/>
  <c r="R144" i="11"/>
  <c r="Q144" i="11"/>
  <c r="P144" i="11"/>
  <c r="O144" i="11"/>
  <c r="N144" i="11"/>
  <c r="M144" i="11"/>
  <c r="L144" i="11"/>
  <c r="K144" i="11"/>
  <c r="J144" i="11"/>
  <c r="I144" i="11"/>
  <c r="H144" i="11"/>
  <c r="G144" i="11"/>
  <c r="F144" i="11"/>
  <c r="E144" i="11"/>
  <c r="D144" i="11"/>
  <c r="C144" i="11"/>
  <c r="B144" i="11"/>
  <c r="A144" i="11"/>
  <c r="Z143" i="11"/>
  <c r="Y143" i="11"/>
  <c r="X143" i="11"/>
  <c r="W143" i="11"/>
  <c r="V143" i="11"/>
  <c r="U143" i="11"/>
  <c r="T143" i="11"/>
  <c r="S143" i="11"/>
  <c r="R143" i="11"/>
  <c r="Q143" i="11"/>
  <c r="P143" i="11"/>
  <c r="O143" i="11"/>
  <c r="N143" i="11"/>
  <c r="M143" i="11"/>
  <c r="L143" i="11"/>
  <c r="K143" i="11"/>
  <c r="J143" i="11"/>
  <c r="I143" i="11"/>
  <c r="H143" i="11"/>
  <c r="G143" i="11"/>
  <c r="F143" i="11"/>
  <c r="E143" i="11"/>
  <c r="D143" i="11"/>
  <c r="C143" i="11"/>
  <c r="B143" i="11"/>
  <c r="A143" i="11"/>
  <c r="Z142" i="11"/>
  <c r="Y142" i="11"/>
  <c r="X142" i="11"/>
  <c r="W142" i="11"/>
  <c r="V142" i="11"/>
  <c r="U142" i="11"/>
  <c r="T142" i="11"/>
  <c r="S142" i="11"/>
  <c r="R142" i="11"/>
  <c r="Q142" i="11"/>
  <c r="P142" i="11"/>
  <c r="O142" i="11"/>
  <c r="N142" i="11"/>
  <c r="M142" i="11"/>
  <c r="L142" i="11"/>
  <c r="K142" i="11"/>
  <c r="J142" i="11"/>
  <c r="I142" i="11"/>
  <c r="H142" i="11"/>
  <c r="G142" i="11"/>
  <c r="F142" i="11"/>
  <c r="E142" i="11"/>
  <c r="D142" i="11"/>
  <c r="C142" i="11"/>
  <c r="B142" i="11"/>
  <c r="A142" i="11"/>
  <c r="Z141" i="11"/>
  <c r="Y141" i="11"/>
  <c r="X141" i="11"/>
  <c r="W141" i="11"/>
  <c r="V141" i="11"/>
  <c r="U141" i="11"/>
  <c r="T141" i="11"/>
  <c r="S141" i="11"/>
  <c r="R141" i="11"/>
  <c r="Q141" i="11"/>
  <c r="P141" i="11"/>
  <c r="O141" i="11"/>
  <c r="N141" i="11"/>
  <c r="M141" i="11"/>
  <c r="L141" i="11"/>
  <c r="K141" i="11"/>
  <c r="J141" i="11"/>
  <c r="I141" i="11"/>
  <c r="H141" i="11"/>
  <c r="G141" i="11"/>
  <c r="F141" i="11"/>
  <c r="E141" i="11"/>
  <c r="D141" i="11"/>
  <c r="C141" i="11"/>
  <c r="B141" i="11"/>
  <c r="A141" i="11"/>
  <c r="Z140" i="11"/>
  <c r="Y140" i="11"/>
  <c r="X140" i="11"/>
  <c r="W140" i="11"/>
  <c r="V140" i="11"/>
  <c r="U140" i="11"/>
  <c r="T140" i="11"/>
  <c r="S140" i="11"/>
  <c r="R140" i="11"/>
  <c r="Q140" i="11"/>
  <c r="P140" i="11"/>
  <c r="O140" i="11"/>
  <c r="N140" i="11"/>
  <c r="M140" i="11"/>
  <c r="L140" i="11"/>
  <c r="K140" i="11"/>
  <c r="J140" i="11"/>
  <c r="I140" i="11"/>
  <c r="H140" i="11"/>
  <c r="G140" i="11"/>
  <c r="F140" i="11"/>
  <c r="E140" i="11"/>
  <c r="D140" i="11"/>
  <c r="C140" i="11"/>
  <c r="B140" i="11"/>
  <c r="A140" i="11"/>
  <c r="Z139" i="11"/>
  <c r="Y139" i="11"/>
  <c r="X139" i="11"/>
  <c r="W139" i="11"/>
  <c r="V139" i="11"/>
  <c r="U139" i="11"/>
  <c r="T139" i="11"/>
  <c r="S139" i="11"/>
  <c r="R139" i="11"/>
  <c r="Q139" i="11"/>
  <c r="P139" i="11"/>
  <c r="O139" i="11"/>
  <c r="N139" i="11"/>
  <c r="M139" i="11"/>
  <c r="L139" i="11"/>
  <c r="K139" i="11"/>
  <c r="J139" i="11"/>
  <c r="I139" i="11"/>
  <c r="H139" i="11"/>
  <c r="G139" i="11"/>
  <c r="F139" i="11"/>
  <c r="E139" i="11"/>
  <c r="D139" i="11"/>
  <c r="C139" i="11"/>
  <c r="B139" i="11"/>
  <c r="A139" i="11"/>
  <c r="Z138" i="11"/>
  <c r="Y138" i="11"/>
  <c r="X138" i="11"/>
  <c r="W138" i="11"/>
  <c r="V138" i="11"/>
  <c r="U138" i="11"/>
  <c r="T138" i="11"/>
  <c r="S138" i="11"/>
  <c r="R138" i="11"/>
  <c r="Q138" i="11"/>
  <c r="P138" i="11"/>
  <c r="O138" i="11"/>
  <c r="N138" i="11"/>
  <c r="M138" i="11"/>
  <c r="L138" i="11"/>
  <c r="K138" i="11"/>
  <c r="J138" i="11"/>
  <c r="I138" i="11"/>
  <c r="H138" i="11"/>
  <c r="G138" i="11"/>
  <c r="F138" i="11"/>
  <c r="E138" i="11"/>
  <c r="D138" i="11"/>
  <c r="C138" i="11"/>
  <c r="B138" i="11"/>
  <c r="A138" i="11"/>
  <c r="Z137" i="11"/>
  <c r="Y137" i="11"/>
  <c r="X137" i="11"/>
  <c r="W137" i="11"/>
  <c r="V137" i="11"/>
  <c r="U137" i="11"/>
  <c r="T137" i="11"/>
  <c r="S137" i="11"/>
  <c r="R137" i="11"/>
  <c r="Q137" i="11"/>
  <c r="P137" i="11"/>
  <c r="O137" i="11"/>
  <c r="N137" i="11"/>
  <c r="M137" i="11"/>
  <c r="L137" i="11"/>
  <c r="K137" i="11"/>
  <c r="J137" i="11"/>
  <c r="I137" i="11"/>
  <c r="H137" i="11"/>
  <c r="G137" i="11"/>
  <c r="F137" i="11"/>
  <c r="E137" i="11"/>
  <c r="D137" i="11"/>
  <c r="C137" i="11"/>
  <c r="B137" i="11"/>
  <c r="A137" i="11"/>
  <c r="Z136" i="11"/>
  <c r="Y136" i="11"/>
  <c r="X136" i="11"/>
  <c r="W136" i="11"/>
  <c r="V136" i="11"/>
  <c r="U136" i="11"/>
  <c r="T136" i="11"/>
  <c r="S136" i="11"/>
  <c r="R136" i="11"/>
  <c r="Q136" i="11"/>
  <c r="P136" i="11"/>
  <c r="O136" i="11"/>
  <c r="N136" i="11"/>
  <c r="M136" i="11"/>
  <c r="L136" i="11"/>
  <c r="K136" i="11"/>
  <c r="J136" i="11"/>
  <c r="I136" i="11"/>
  <c r="H136" i="11"/>
  <c r="G136" i="11"/>
  <c r="F136" i="11"/>
  <c r="E136" i="11"/>
  <c r="D136" i="11"/>
  <c r="C136" i="11"/>
  <c r="B136" i="11"/>
  <c r="A136" i="11"/>
  <c r="Z135" i="11"/>
  <c r="Y135" i="11"/>
  <c r="X135" i="11"/>
  <c r="W135" i="11"/>
  <c r="V135" i="11"/>
  <c r="U135" i="11"/>
  <c r="T135" i="11"/>
  <c r="S135" i="11"/>
  <c r="R135" i="11"/>
  <c r="Q135" i="11"/>
  <c r="P135" i="11"/>
  <c r="O135" i="11"/>
  <c r="N135" i="11"/>
  <c r="M135" i="11"/>
  <c r="L135" i="11"/>
  <c r="K135" i="11"/>
  <c r="J135" i="11"/>
  <c r="I135" i="11"/>
  <c r="H135" i="11"/>
  <c r="G135" i="11"/>
  <c r="F135" i="11"/>
  <c r="E135" i="11"/>
  <c r="D135" i="11"/>
  <c r="C135" i="11"/>
  <c r="B135" i="11"/>
  <c r="A135" i="11"/>
  <c r="Z134" i="11"/>
  <c r="Y134" i="11"/>
  <c r="X134" i="11"/>
  <c r="W134" i="11"/>
  <c r="V134" i="11"/>
  <c r="U134" i="11"/>
  <c r="T134" i="11"/>
  <c r="S134" i="11"/>
  <c r="R134" i="11"/>
  <c r="Q134" i="11"/>
  <c r="P134" i="11"/>
  <c r="O134" i="11"/>
  <c r="N134" i="11"/>
  <c r="M134" i="11"/>
  <c r="L134" i="11"/>
  <c r="K134" i="11"/>
  <c r="J134" i="11"/>
  <c r="I134" i="11"/>
  <c r="H134" i="11"/>
  <c r="G134" i="11"/>
  <c r="F134" i="11"/>
  <c r="E134" i="11"/>
  <c r="D134" i="11"/>
  <c r="C134" i="11"/>
  <c r="B134" i="11"/>
  <c r="A134" i="11"/>
  <c r="S133" i="11"/>
  <c r="K133" i="11"/>
  <c r="C133" i="11"/>
  <c r="Z132" i="11"/>
  <c r="Y132" i="11"/>
  <c r="X132" i="11"/>
  <c r="W132" i="11"/>
  <c r="V132" i="11"/>
  <c r="U132" i="11"/>
  <c r="T132" i="11"/>
  <c r="S132" i="11"/>
  <c r="R132" i="11"/>
  <c r="Q132" i="11"/>
  <c r="P132" i="11"/>
  <c r="O132" i="11"/>
  <c r="N132" i="11"/>
  <c r="M132" i="11"/>
  <c r="L132" i="11"/>
  <c r="K132" i="11"/>
  <c r="J132" i="11"/>
  <c r="I132" i="11"/>
  <c r="H132" i="11"/>
  <c r="G132" i="11"/>
  <c r="F132" i="11"/>
  <c r="E132" i="11"/>
  <c r="D132" i="11"/>
  <c r="C132" i="11"/>
  <c r="B132" i="11"/>
  <c r="A132" i="11"/>
  <c r="Z131" i="11"/>
  <c r="Y131" i="11"/>
  <c r="X131" i="11"/>
  <c r="W131" i="11"/>
  <c r="V131" i="11"/>
  <c r="U131" i="11"/>
  <c r="T131" i="11"/>
  <c r="S131" i="11"/>
  <c r="R131" i="11"/>
  <c r="Q131" i="11"/>
  <c r="P131" i="11"/>
  <c r="O131" i="11"/>
  <c r="N131" i="11"/>
  <c r="M131" i="11"/>
  <c r="L131" i="11"/>
  <c r="K131" i="11"/>
  <c r="J131" i="11"/>
  <c r="I131" i="11"/>
  <c r="H131" i="11"/>
  <c r="G131" i="11"/>
  <c r="F131" i="11"/>
  <c r="E131" i="11"/>
  <c r="D131" i="11"/>
  <c r="C131" i="11"/>
  <c r="B131" i="11"/>
  <c r="A131" i="11"/>
  <c r="Z130" i="11"/>
  <c r="Y130" i="11"/>
  <c r="X130" i="11"/>
  <c r="W130" i="11"/>
  <c r="V130" i="11"/>
  <c r="U130" i="11"/>
  <c r="T130" i="11"/>
  <c r="S130" i="11"/>
  <c r="R130" i="11"/>
  <c r="Q130" i="11"/>
  <c r="P130" i="11"/>
  <c r="O130" i="11"/>
  <c r="N130" i="11"/>
  <c r="M130" i="11"/>
  <c r="L130" i="11"/>
  <c r="K130" i="11"/>
  <c r="J130" i="11"/>
  <c r="I130" i="11"/>
  <c r="H130" i="11"/>
  <c r="G130" i="11"/>
  <c r="F130" i="11"/>
  <c r="E130" i="11"/>
  <c r="D130" i="11"/>
  <c r="C130" i="11"/>
  <c r="B130" i="11"/>
  <c r="A130" i="11"/>
  <c r="S129" i="11"/>
  <c r="K129" i="11"/>
  <c r="C129" i="11"/>
  <c r="Z128" i="11"/>
  <c r="Y128" i="11"/>
  <c r="X128" i="11"/>
  <c r="W128" i="11"/>
  <c r="V128" i="11"/>
  <c r="U128" i="11"/>
  <c r="T128" i="11"/>
  <c r="S128" i="11"/>
  <c r="R128" i="11"/>
  <c r="Q128" i="11"/>
  <c r="P128" i="11"/>
  <c r="O128" i="11"/>
  <c r="N128" i="11"/>
  <c r="M128" i="11"/>
  <c r="L128" i="11"/>
  <c r="K128" i="11"/>
  <c r="J128" i="11"/>
  <c r="I128" i="11"/>
  <c r="H128" i="11"/>
  <c r="G128" i="11"/>
  <c r="F128" i="11"/>
  <c r="E128" i="11"/>
  <c r="D128" i="11"/>
  <c r="C128" i="11"/>
  <c r="B128" i="11"/>
  <c r="A128" i="11"/>
  <c r="Z127" i="11"/>
  <c r="Y127" i="11"/>
  <c r="X127" i="11"/>
  <c r="W127" i="11"/>
  <c r="V127" i="11"/>
  <c r="U127" i="11"/>
  <c r="T127" i="11"/>
  <c r="S127" i="11"/>
  <c r="R127" i="11"/>
  <c r="Q127" i="11"/>
  <c r="P127" i="11"/>
  <c r="O127" i="11"/>
  <c r="N127" i="11"/>
  <c r="M127" i="11"/>
  <c r="L127" i="11"/>
  <c r="K127" i="11"/>
  <c r="J127" i="11"/>
  <c r="I127" i="11"/>
  <c r="H127" i="11"/>
  <c r="G127" i="11"/>
  <c r="F127" i="11"/>
  <c r="E127" i="11"/>
  <c r="D127" i="11"/>
  <c r="C127" i="11"/>
  <c r="B127" i="11"/>
  <c r="A127" i="11"/>
  <c r="Z126" i="11"/>
  <c r="Y126" i="11"/>
  <c r="X126" i="11"/>
  <c r="W126" i="11"/>
  <c r="V126" i="11"/>
  <c r="U126" i="11"/>
  <c r="T126" i="11"/>
  <c r="S126" i="11"/>
  <c r="R126" i="11"/>
  <c r="Q126" i="11"/>
  <c r="P126" i="11"/>
  <c r="O126" i="11"/>
  <c r="N126" i="11"/>
  <c r="M126" i="11"/>
  <c r="L126" i="11"/>
  <c r="K126" i="11"/>
  <c r="J126" i="11"/>
  <c r="I126" i="11"/>
  <c r="H126" i="11"/>
  <c r="G126" i="11"/>
  <c r="F126" i="11"/>
  <c r="E126" i="11"/>
  <c r="D126" i="11"/>
  <c r="C126" i="11"/>
  <c r="B126" i="11"/>
  <c r="A126" i="11"/>
  <c r="Z125" i="11"/>
  <c r="Y125" i="11"/>
  <c r="X125" i="11"/>
  <c r="W125" i="11"/>
  <c r="V125" i="11"/>
  <c r="U125" i="11"/>
  <c r="T125" i="11"/>
  <c r="S125" i="11"/>
  <c r="R125" i="11"/>
  <c r="Q125" i="11"/>
  <c r="P125" i="11"/>
  <c r="O125" i="11"/>
  <c r="N125" i="11"/>
  <c r="M125" i="11"/>
  <c r="L125" i="11"/>
  <c r="K125" i="11"/>
  <c r="J125" i="11"/>
  <c r="I125" i="11"/>
  <c r="H125" i="11"/>
  <c r="G125" i="11"/>
  <c r="F125" i="11"/>
  <c r="E125" i="11"/>
  <c r="D125" i="11"/>
  <c r="C125" i="11"/>
  <c r="B125" i="11"/>
  <c r="A125" i="11"/>
  <c r="Z124" i="11"/>
  <c r="Y124" i="11"/>
  <c r="X124" i="11"/>
  <c r="W124" i="11"/>
  <c r="V124" i="11"/>
  <c r="U124" i="11"/>
  <c r="T124" i="11"/>
  <c r="S124" i="11"/>
  <c r="R124" i="11"/>
  <c r="Q124" i="11"/>
  <c r="P124" i="11"/>
  <c r="O124" i="11"/>
  <c r="N124" i="11"/>
  <c r="M124" i="11"/>
  <c r="L124" i="11"/>
  <c r="K124" i="11"/>
  <c r="J124" i="11"/>
  <c r="I124" i="11"/>
  <c r="H124" i="11"/>
  <c r="G124" i="11"/>
  <c r="F124" i="11"/>
  <c r="E124" i="11"/>
  <c r="D124" i="11"/>
  <c r="C124" i="11"/>
  <c r="B124" i="11"/>
  <c r="A124" i="11"/>
  <c r="Z123" i="11"/>
  <c r="Y123" i="11"/>
  <c r="X123" i="11"/>
  <c r="W123" i="11"/>
  <c r="V123" i="11"/>
  <c r="U123" i="11"/>
  <c r="T123" i="11"/>
  <c r="S123" i="11"/>
  <c r="R123" i="11"/>
  <c r="Q123" i="11"/>
  <c r="P123" i="11"/>
  <c r="O123" i="11"/>
  <c r="N123" i="11"/>
  <c r="M123" i="11"/>
  <c r="L123" i="11"/>
  <c r="K123" i="11"/>
  <c r="J123" i="11"/>
  <c r="I123" i="11"/>
  <c r="H123" i="11"/>
  <c r="G123" i="11"/>
  <c r="F123" i="11"/>
  <c r="E123" i="11"/>
  <c r="D123" i="11"/>
  <c r="C123" i="11"/>
  <c r="B123" i="11"/>
  <c r="A123" i="11"/>
  <c r="Z122" i="11"/>
  <c r="Y122" i="11"/>
  <c r="X122" i="11"/>
  <c r="W122" i="11"/>
  <c r="V122" i="11"/>
  <c r="U122" i="11"/>
  <c r="T122" i="11"/>
  <c r="S122" i="11"/>
  <c r="R122" i="11"/>
  <c r="Q122" i="11"/>
  <c r="P122" i="11"/>
  <c r="O122" i="11"/>
  <c r="N122" i="11"/>
  <c r="M122" i="11"/>
  <c r="L122" i="11"/>
  <c r="K122" i="11"/>
  <c r="J122" i="11"/>
  <c r="I122" i="11"/>
  <c r="H122" i="11"/>
  <c r="G122" i="11"/>
  <c r="F122" i="11"/>
  <c r="E122" i="11"/>
  <c r="D122" i="11"/>
  <c r="C122" i="11"/>
  <c r="B122" i="11"/>
  <c r="A122" i="11"/>
  <c r="Z121" i="11"/>
  <c r="Y121" i="11"/>
  <c r="X121" i="11"/>
  <c r="W121" i="11"/>
  <c r="V121" i="11"/>
  <c r="U121" i="11"/>
  <c r="T121" i="11"/>
  <c r="S121" i="11"/>
  <c r="R121" i="11"/>
  <c r="Q121" i="11"/>
  <c r="P121" i="11"/>
  <c r="O121" i="11"/>
  <c r="N121" i="11"/>
  <c r="M121" i="11"/>
  <c r="L121" i="11"/>
  <c r="K121" i="11"/>
  <c r="J121" i="11"/>
  <c r="I121" i="11"/>
  <c r="H121" i="11"/>
  <c r="G121" i="11"/>
  <c r="F121" i="11"/>
  <c r="E121" i="11"/>
  <c r="D121" i="11"/>
  <c r="C121" i="11"/>
  <c r="B121" i="11"/>
  <c r="A121" i="11"/>
  <c r="U120" i="11"/>
  <c r="M120" i="11"/>
  <c r="E120" i="11"/>
  <c r="Z119" i="11"/>
  <c r="Y119" i="11"/>
  <c r="X119" i="11"/>
  <c r="W119" i="11"/>
  <c r="V119" i="11"/>
  <c r="U119" i="11"/>
  <c r="T119" i="11"/>
  <c r="S119" i="11"/>
  <c r="R119" i="11"/>
  <c r="Q119" i="11"/>
  <c r="P119" i="11"/>
  <c r="O119" i="11"/>
  <c r="N119" i="11"/>
  <c r="M119" i="11"/>
  <c r="L119" i="11"/>
  <c r="K119" i="11"/>
  <c r="J119" i="11"/>
  <c r="I119" i="11"/>
  <c r="H119" i="11"/>
  <c r="G119" i="11"/>
  <c r="F119" i="11"/>
  <c r="E119" i="11"/>
  <c r="D119" i="11"/>
  <c r="C119" i="11"/>
  <c r="B119" i="11"/>
  <c r="A119" i="11"/>
  <c r="Z118" i="11"/>
  <c r="Y118" i="11"/>
  <c r="X118" i="11"/>
  <c r="W118" i="11"/>
  <c r="V118" i="11"/>
  <c r="U118" i="11"/>
  <c r="T118" i="11"/>
  <c r="S118" i="11"/>
  <c r="R118" i="11"/>
  <c r="Q118" i="11"/>
  <c r="P118" i="11"/>
  <c r="O118" i="11"/>
  <c r="N118" i="11"/>
  <c r="M118" i="11"/>
  <c r="L118" i="11"/>
  <c r="K118" i="11"/>
  <c r="J118" i="11"/>
  <c r="I118" i="11"/>
  <c r="H118" i="11"/>
  <c r="G118" i="11"/>
  <c r="F118" i="11"/>
  <c r="E118" i="11"/>
  <c r="D118" i="11"/>
  <c r="C118" i="11"/>
  <c r="B118" i="11"/>
  <c r="A118" i="11"/>
  <c r="Z117" i="11"/>
  <c r="Y117" i="11"/>
  <c r="X117" i="11"/>
  <c r="W117" i="11"/>
  <c r="V117" i="11"/>
  <c r="U117" i="11"/>
  <c r="T117" i="11"/>
  <c r="S117" i="11"/>
  <c r="R117" i="11"/>
  <c r="Q117" i="11"/>
  <c r="P117" i="11"/>
  <c r="O117" i="11"/>
  <c r="N117" i="11"/>
  <c r="M117" i="11"/>
  <c r="L117" i="11"/>
  <c r="K117" i="11"/>
  <c r="J117" i="11"/>
  <c r="I117" i="11"/>
  <c r="H117" i="11"/>
  <c r="G117" i="11"/>
  <c r="F117" i="11"/>
  <c r="E117" i="11"/>
  <c r="D117" i="11"/>
  <c r="C117" i="11"/>
  <c r="B117" i="11"/>
  <c r="A117" i="11"/>
  <c r="Z116" i="11"/>
  <c r="Y116" i="11"/>
  <c r="X116" i="11"/>
  <c r="W116" i="11"/>
  <c r="V116" i="11"/>
  <c r="U116" i="11"/>
  <c r="T116" i="11"/>
  <c r="S116" i="11"/>
  <c r="R116" i="11"/>
  <c r="Q116" i="11"/>
  <c r="P116" i="11"/>
  <c r="O116" i="11"/>
  <c r="N116" i="11"/>
  <c r="M116" i="11"/>
  <c r="L116" i="11"/>
  <c r="K116" i="11"/>
  <c r="J116" i="11"/>
  <c r="I116" i="11"/>
  <c r="H116" i="11"/>
  <c r="G116" i="11"/>
  <c r="F116" i="11"/>
  <c r="E116" i="11"/>
  <c r="D116" i="11"/>
  <c r="C116" i="11"/>
  <c r="B116" i="11"/>
  <c r="A116" i="11"/>
  <c r="Z115" i="11"/>
  <c r="Y115" i="11"/>
  <c r="X115" i="11"/>
  <c r="W115" i="11"/>
  <c r="V115" i="11"/>
  <c r="U115" i="11"/>
  <c r="T115" i="11"/>
  <c r="S115" i="11"/>
  <c r="R115" i="11"/>
  <c r="Q115" i="11"/>
  <c r="P115" i="11"/>
  <c r="O115" i="11"/>
  <c r="N115" i="11"/>
  <c r="M115" i="11"/>
  <c r="L115" i="11"/>
  <c r="K115" i="11"/>
  <c r="J115" i="11"/>
  <c r="I115" i="11"/>
  <c r="H115" i="11"/>
  <c r="G115" i="11"/>
  <c r="F115" i="11"/>
  <c r="E115" i="11"/>
  <c r="D115" i="11"/>
  <c r="C115" i="11"/>
  <c r="B115" i="11"/>
  <c r="A115" i="11"/>
  <c r="Z114" i="11"/>
  <c r="Y114" i="11"/>
  <c r="X114" i="11"/>
  <c r="W114" i="11"/>
  <c r="V114" i="11"/>
  <c r="U114" i="11"/>
  <c r="T114" i="11"/>
  <c r="S114" i="11"/>
  <c r="R114" i="11"/>
  <c r="Q114" i="11"/>
  <c r="P114" i="11"/>
  <c r="O114" i="11"/>
  <c r="N114" i="11"/>
  <c r="M114" i="11"/>
  <c r="L114" i="11"/>
  <c r="K114" i="11"/>
  <c r="J114" i="11"/>
  <c r="I114" i="11"/>
  <c r="H114" i="11"/>
  <c r="G114" i="11"/>
  <c r="F114" i="11"/>
  <c r="E114" i="11"/>
  <c r="D114" i="11"/>
  <c r="C114" i="11"/>
  <c r="B114" i="11"/>
  <c r="A114" i="11"/>
  <c r="Z113" i="11"/>
  <c r="Y113" i="11"/>
  <c r="X113" i="11"/>
  <c r="W113" i="11"/>
  <c r="V113" i="11"/>
  <c r="U113" i="11"/>
  <c r="T113" i="11"/>
  <c r="S113" i="11"/>
  <c r="R113" i="11"/>
  <c r="Q113" i="11"/>
  <c r="P113" i="11"/>
  <c r="O113" i="11"/>
  <c r="N113" i="11"/>
  <c r="M113" i="11"/>
  <c r="L113" i="11"/>
  <c r="K113" i="11"/>
  <c r="J113" i="11"/>
  <c r="I113" i="11"/>
  <c r="H113" i="11"/>
  <c r="G113" i="11"/>
  <c r="F113" i="11"/>
  <c r="E113" i="11"/>
  <c r="D113" i="11"/>
  <c r="C113" i="11"/>
  <c r="B113" i="11"/>
  <c r="A113" i="11"/>
  <c r="U112" i="11"/>
  <c r="M112" i="11"/>
  <c r="E112" i="11"/>
  <c r="Z111" i="11"/>
  <c r="Y111" i="11"/>
  <c r="X111" i="11"/>
  <c r="W111" i="11"/>
  <c r="V111" i="11"/>
  <c r="U111" i="11"/>
  <c r="T111" i="11"/>
  <c r="S111" i="11"/>
  <c r="R111" i="11"/>
  <c r="Q111" i="11"/>
  <c r="P111" i="11"/>
  <c r="O111" i="11"/>
  <c r="N111" i="11"/>
  <c r="M111" i="11"/>
  <c r="L111" i="11"/>
  <c r="K111" i="11"/>
  <c r="J111" i="11"/>
  <c r="I111" i="11"/>
  <c r="H111" i="11"/>
  <c r="G111" i="11"/>
  <c r="F111" i="11"/>
  <c r="E111" i="11"/>
  <c r="D111" i="11"/>
  <c r="C111" i="11"/>
  <c r="B111" i="11"/>
  <c r="A111" i="11"/>
  <c r="Z110" i="11"/>
  <c r="Y110" i="11"/>
  <c r="X110" i="11"/>
  <c r="W110" i="11"/>
  <c r="V110" i="11"/>
  <c r="U110" i="11"/>
  <c r="T110" i="11"/>
  <c r="S110" i="11"/>
  <c r="R110" i="11"/>
  <c r="Q110" i="11"/>
  <c r="P110" i="11"/>
  <c r="O110" i="11"/>
  <c r="N110" i="11"/>
  <c r="M110" i="11"/>
  <c r="L110" i="11"/>
  <c r="K110" i="11"/>
  <c r="J110" i="11"/>
  <c r="I110" i="11"/>
  <c r="H110" i="11"/>
  <c r="G110" i="11"/>
  <c r="F110" i="11"/>
  <c r="E110" i="11"/>
  <c r="D110" i="11"/>
  <c r="C110" i="11"/>
  <c r="B110" i="11"/>
  <c r="A110" i="11"/>
  <c r="Z109" i="11"/>
  <c r="Y109" i="11"/>
  <c r="X109" i="11"/>
  <c r="W109" i="11"/>
  <c r="V109" i="11"/>
  <c r="U109" i="11"/>
  <c r="T109" i="11"/>
  <c r="S109" i="11"/>
  <c r="R109" i="11"/>
  <c r="Q109" i="11"/>
  <c r="P109" i="11"/>
  <c r="O109" i="11"/>
  <c r="N109" i="11"/>
  <c r="M109" i="11"/>
  <c r="L109" i="11"/>
  <c r="K109" i="11"/>
  <c r="J109" i="11"/>
  <c r="I109" i="11"/>
  <c r="H109" i="11"/>
  <c r="G109" i="11"/>
  <c r="F109" i="11"/>
  <c r="E109" i="11"/>
  <c r="D109" i="11"/>
  <c r="C109" i="11"/>
  <c r="B109" i="11"/>
  <c r="A109" i="11"/>
  <c r="Z108" i="11"/>
  <c r="Y108" i="11"/>
  <c r="X108" i="11"/>
  <c r="W108" i="11"/>
  <c r="V108" i="11"/>
  <c r="U108" i="11"/>
  <c r="T108" i="11"/>
  <c r="S108" i="11"/>
  <c r="R108" i="11"/>
  <c r="Q108" i="11"/>
  <c r="P108" i="11"/>
  <c r="O108" i="11"/>
  <c r="N108" i="11"/>
  <c r="M108" i="11"/>
  <c r="L108" i="11"/>
  <c r="K108" i="11"/>
  <c r="J108" i="11"/>
  <c r="I108" i="11"/>
  <c r="H108" i="11"/>
  <c r="G108" i="11"/>
  <c r="F108" i="11"/>
  <c r="E108" i="11"/>
  <c r="D108" i="11"/>
  <c r="C108" i="11"/>
  <c r="B108" i="11"/>
  <c r="A108" i="11"/>
  <c r="Z107" i="11"/>
  <c r="Y107" i="11"/>
  <c r="X107" i="11"/>
  <c r="W107" i="11"/>
  <c r="V107" i="11"/>
  <c r="U107" i="11"/>
  <c r="T107" i="11"/>
  <c r="S107" i="11"/>
  <c r="R107" i="11"/>
  <c r="Q107" i="11"/>
  <c r="P107" i="11"/>
  <c r="O107" i="11"/>
  <c r="N107" i="11"/>
  <c r="M107" i="11"/>
  <c r="L107" i="11"/>
  <c r="K107" i="11"/>
  <c r="J107" i="11"/>
  <c r="I107" i="11"/>
  <c r="H107" i="11"/>
  <c r="G107" i="11"/>
  <c r="F107" i="11"/>
  <c r="E107" i="11"/>
  <c r="D107" i="11"/>
  <c r="C107" i="11"/>
  <c r="B107" i="11"/>
  <c r="A107" i="11"/>
  <c r="Z106" i="11"/>
  <c r="Y106" i="11"/>
  <c r="X106" i="11"/>
  <c r="W106" i="11"/>
  <c r="V106" i="11"/>
  <c r="U106" i="11"/>
  <c r="T106" i="11"/>
  <c r="S106" i="11"/>
  <c r="R106" i="11"/>
  <c r="Q106" i="11"/>
  <c r="P106" i="11"/>
  <c r="O106" i="11"/>
  <c r="N106" i="11"/>
  <c r="M106" i="11"/>
  <c r="L106" i="11"/>
  <c r="K106" i="11"/>
  <c r="J106" i="11"/>
  <c r="I106" i="11"/>
  <c r="H106" i="11"/>
  <c r="G106" i="11"/>
  <c r="F106" i="11"/>
  <c r="E106" i="11"/>
  <c r="D106" i="11"/>
  <c r="C106" i="11"/>
  <c r="B106" i="11"/>
  <c r="A106" i="11"/>
  <c r="Z105" i="11"/>
  <c r="Y105" i="11"/>
  <c r="X105" i="11"/>
  <c r="W105" i="11"/>
  <c r="V105" i="11"/>
  <c r="U105" i="11"/>
  <c r="T105" i="11"/>
  <c r="S105" i="11"/>
  <c r="R105" i="11"/>
  <c r="Q105" i="11"/>
  <c r="P105" i="11"/>
  <c r="O105" i="11"/>
  <c r="N105" i="11"/>
  <c r="M105" i="11"/>
  <c r="L105" i="11"/>
  <c r="K105" i="11"/>
  <c r="J105" i="11"/>
  <c r="I105" i="11"/>
  <c r="H105" i="11"/>
  <c r="G105" i="11"/>
  <c r="F105" i="11"/>
  <c r="E105" i="11"/>
  <c r="D105" i="11"/>
  <c r="C105" i="11"/>
  <c r="B105" i="11"/>
  <c r="A105" i="11"/>
  <c r="Z104" i="11"/>
  <c r="Y104" i="11"/>
  <c r="X104" i="11"/>
  <c r="W104" i="11"/>
  <c r="V104" i="11"/>
  <c r="U104" i="11"/>
  <c r="T104" i="11"/>
  <c r="S104" i="11"/>
  <c r="R104" i="11"/>
  <c r="Q104" i="11"/>
  <c r="P104" i="11"/>
  <c r="O104" i="11"/>
  <c r="N104" i="11"/>
  <c r="M104" i="11"/>
  <c r="L104" i="11"/>
  <c r="K104" i="11"/>
  <c r="J104" i="11"/>
  <c r="I104" i="11"/>
  <c r="H104" i="11"/>
  <c r="G104" i="11"/>
  <c r="F104" i="11"/>
  <c r="E104" i="11"/>
  <c r="D104" i="11"/>
  <c r="C104" i="11"/>
  <c r="B104" i="11"/>
  <c r="A104" i="11"/>
  <c r="Z103" i="11"/>
  <c r="Y103" i="11"/>
  <c r="X103" i="11"/>
  <c r="W103" i="11"/>
  <c r="V103" i="11"/>
  <c r="U103" i="11"/>
  <c r="T103" i="11"/>
  <c r="S103" i="11"/>
  <c r="R103" i="11"/>
  <c r="Q103" i="11"/>
  <c r="P103" i="11"/>
  <c r="O103" i="11"/>
  <c r="N103" i="11"/>
  <c r="M103" i="11"/>
  <c r="L103" i="11"/>
  <c r="K103" i="11"/>
  <c r="J103" i="11"/>
  <c r="I103" i="11"/>
  <c r="H103" i="11"/>
  <c r="G103" i="11"/>
  <c r="F103" i="11"/>
  <c r="E103" i="11"/>
  <c r="D103" i="11"/>
  <c r="C103" i="11"/>
  <c r="B103" i="11"/>
  <c r="A103" i="11"/>
  <c r="Z102" i="11"/>
  <c r="Y102" i="11"/>
  <c r="X102" i="11"/>
  <c r="W102" i="11"/>
  <c r="V102" i="11"/>
  <c r="U102" i="11"/>
  <c r="T102" i="11"/>
  <c r="S102" i="11"/>
  <c r="R102" i="11"/>
  <c r="Q102" i="11"/>
  <c r="P102" i="11"/>
  <c r="O102" i="11"/>
  <c r="N102" i="11"/>
  <c r="M102" i="11"/>
  <c r="L102" i="11"/>
  <c r="K102" i="11"/>
  <c r="J102" i="11"/>
  <c r="I102" i="11"/>
  <c r="H102" i="11"/>
  <c r="G102" i="11"/>
  <c r="F102" i="11"/>
  <c r="E102" i="11"/>
  <c r="D102" i="11"/>
  <c r="C102" i="11"/>
  <c r="B102" i="11"/>
  <c r="A102" i="11"/>
  <c r="Z101" i="11"/>
  <c r="Y101" i="11"/>
  <c r="X101" i="11"/>
  <c r="W101" i="11"/>
  <c r="V101" i="11"/>
  <c r="U101" i="11"/>
  <c r="T101" i="11"/>
  <c r="S101" i="11"/>
  <c r="R101" i="11"/>
  <c r="Q101" i="11"/>
  <c r="P101" i="11"/>
  <c r="O101" i="11"/>
  <c r="N101" i="11"/>
  <c r="M101" i="11"/>
  <c r="L101" i="11"/>
  <c r="K101" i="11"/>
  <c r="J101" i="11"/>
  <c r="I101" i="11"/>
  <c r="H101" i="11"/>
  <c r="G101" i="11"/>
  <c r="F101" i="11"/>
  <c r="E101" i="11"/>
  <c r="D101" i="11"/>
  <c r="C101" i="11"/>
  <c r="B101" i="11"/>
  <c r="A101" i="11"/>
  <c r="Z100" i="11"/>
  <c r="Y100" i="11"/>
  <c r="X100" i="11"/>
  <c r="W100" i="11"/>
  <c r="V100" i="11"/>
  <c r="U100" i="11"/>
  <c r="T100" i="11"/>
  <c r="S100" i="11"/>
  <c r="R100" i="11"/>
  <c r="Q100" i="11"/>
  <c r="P100" i="11"/>
  <c r="O100" i="11"/>
  <c r="N100" i="11"/>
  <c r="M100" i="11"/>
  <c r="L100" i="11"/>
  <c r="K100" i="11"/>
  <c r="J100" i="11"/>
  <c r="I100" i="11"/>
  <c r="H100" i="11"/>
  <c r="G100" i="11"/>
  <c r="F100" i="11"/>
  <c r="E100" i="11"/>
  <c r="D100" i="11"/>
  <c r="C100" i="11"/>
  <c r="B100" i="11"/>
  <c r="A100" i="11"/>
  <c r="Z99" i="11"/>
  <c r="Y99" i="11"/>
  <c r="X99" i="11"/>
  <c r="W99" i="11"/>
  <c r="V99" i="11"/>
  <c r="U99" i="11"/>
  <c r="T99" i="11"/>
  <c r="S99" i="11"/>
  <c r="R99" i="11"/>
  <c r="Q99" i="11"/>
  <c r="P99" i="11"/>
  <c r="O99" i="11"/>
  <c r="N99" i="11"/>
  <c r="M99" i="11"/>
  <c r="L99" i="11"/>
  <c r="K99" i="11"/>
  <c r="J99" i="11"/>
  <c r="I99" i="11"/>
  <c r="H99" i="11"/>
  <c r="G99" i="11"/>
  <c r="F99" i="11"/>
  <c r="E99" i="11"/>
  <c r="D99" i="11"/>
  <c r="C99" i="11"/>
  <c r="B99" i="11"/>
  <c r="A99" i="11"/>
  <c r="Z98" i="11"/>
  <c r="Y98" i="11"/>
  <c r="X98" i="11"/>
  <c r="W98" i="11"/>
  <c r="V98" i="11"/>
  <c r="U98" i="11"/>
  <c r="T98" i="11"/>
  <c r="S98" i="11"/>
  <c r="R98" i="11"/>
  <c r="Q98" i="11"/>
  <c r="P98" i="11"/>
  <c r="O98" i="11"/>
  <c r="N98" i="11"/>
  <c r="M98" i="11"/>
  <c r="L98" i="11"/>
  <c r="K98" i="11"/>
  <c r="J98" i="11"/>
  <c r="I98" i="11"/>
  <c r="H98" i="11"/>
  <c r="G98" i="11"/>
  <c r="F98" i="11"/>
  <c r="E98" i="11"/>
  <c r="D98" i="11"/>
  <c r="C98" i="11"/>
  <c r="B98" i="11"/>
  <c r="A98" i="11"/>
  <c r="Z97" i="11"/>
  <c r="Y97" i="11"/>
  <c r="X97" i="11"/>
  <c r="W97" i="11"/>
  <c r="V97" i="11"/>
  <c r="U97" i="11"/>
  <c r="T97" i="11"/>
  <c r="S97" i="11"/>
  <c r="R97" i="11"/>
  <c r="Q97" i="11"/>
  <c r="P97" i="11"/>
  <c r="O97" i="11"/>
  <c r="N97" i="11"/>
  <c r="M97" i="11"/>
  <c r="L97" i="11"/>
  <c r="K97" i="11"/>
  <c r="J97" i="11"/>
  <c r="I97" i="11"/>
  <c r="H97" i="11"/>
  <c r="G97" i="11"/>
  <c r="F97" i="11"/>
  <c r="E97" i="11"/>
  <c r="D97" i="11"/>
  <c r="C97" i="11"/>
  <c r="B97" i="11"/>
  <c r="A97" i="11"/>
  <c r="Z96" i="11"/>
  <c r="Y96" i="11"/>
  <c r="X96" i="11"/>
  <c r="W96" i="11"/>
  <c r="V96" i="11"/>
  <c r="U96" i="11"/>
  <c r="T96" i="11"/>
  <c r="S96" i="11"/>
  <c r="R96" i="11"/>
  <c r="Q96" i="11"/>
  <c r="P96" i="11"/>
  <c r="O96" i="11"/>
  <c r="N96" i="11"/>
  <c r="M96" i="11"/>
  <c r="L96" i="11"/>
  <c r="K96" i="11"/>
  <c r="J96" i="11"/>
  <c r="I96" i="11"/>
  <c r="H96" i="11"/>
  <c r="G96" i="11"/>
  <c r="F96" i="11"/>
  <c r="E96" i="11"/>
  <c r="D96" i="11"/>
  <c r="C96" i="11"/>
  <c r="B96" i="11"/>
  <c r="A96" i="11"/>
  <c r="Z95" i="11"/>
  <c r="Y95" i="11"/>
  <c r="X95" i="11"/>
  <c r="W95" i="11"/>
  <c r="V95" i="11"/>
  <c r="U95" i="11"/>
  <c r="T95" i="11"/>
  <c r="S95" i="11"/>
  <c r="R95" i="11"/>
  <c r="Q95" i="11"/>
  <c r="P95" i="11"/>
  <c r="O95" i="11"/>
  <c r="N95" i="11"/>
  <c r="M95" i="11"/>
  <c r="L95" i="11"/>
  <c r="K95" i="11"/>
  <c r="J95" i="11"/>
  <c r="I95" i="11"/>
  <c r="H95" i="11"/>
  <c r="G95" i="11"/>
  <c r="F95" i="11"/>
  <c r="E95" i="11"/>
  <c r="D95" i="11"/>
  <c r="C95" i="11"/>
  <c r="B95" i="11"/>
  <c r="A95" i="11"/>
  <c r="Z94" i="11"/>
  <c r="Y94" i="11"/>
  <c r="X94" i="11"/>
  <c r="W94" i="11"/>
  <c r="V94" i="11"/>
  <c r="U94" i="11"/>
  <c r="T94" i="11"/>
  <c r="S94" i="11"/>
  <c r="R94" i="11"/>
  <c r="Q94" i="11"/>
  <c r="P94" i="11"/>
  <c r="O94" i="11"/>
  <c r="N94" i="11"/>
  <c r="M94" i="11"/>
  <c r="L94" i="11"/>
  <c r="K94" i="11"/>
  <c r="J94" i="11"/>
  <c r="I94" i="11"/>
  <c r="H94" i="11"/>
  <c r="G94" i="11"/>
  <c r="F94" i="11"/>
  <c r="E94" i="11"/>
  <c r="D94" i="11"/>
  <c r="C94" i="11"/>
  <c r="B94" i="11"/>
  <c r="A94" i="11"/>
  <c r="Z93" i="11"/>
  <c r="Y93" i="11"/>
  <c r="X93" i="11"/>
  <c r="W93" i="11"/>
  <c r="V93" i="11"/>
  <c r="U93" i="11"/>
  <c r="T93" i="11"/>
  <c r="S93" i="11"/>
  <c r="R93" i="11"/>
  <c r="Q93" i="11"/>
  <c r="P93" i="11"/>
  <c r="O93" i="11"/>
  <c r="N93" i="11"/>
  <c r="M93" i="11"/>
  <c r="L93" i="11"/>
  <c r="K93" i="11"/>
  <c r="J93" i="11"/>
  <c r="I93" i="11"/>
  <c r="H93" i="11"/>
  <c r="G93" i="11"/>
  <c r="F93" i="11"/>
  <c r="E93" i="11"/>
  <c r="D93" i="11"/>
  <c r="C93" i="11"/>
  <c r="B93" i="11"/>
  <c r="A93" i="11"/>
  <c r="Z92" i="11"/>
  <c r="Y92" i="11"/>
  <c r="X92" i="11"/>
  <c r="W92" i="11"/>
  <c r="V92" i="11"/>
  <c r="U92" i="11"/>
  <c r="T92" i="11"/>
  <c r="S92" i="11"/>
  <c r="R92" i="11"/>
  <c r="Q92" i="11"/>
  <c r="P92" i="11"/>
  <c r="O92" i="11"/>
  <c r="N92" i="11"/>
  <c r="M92" i="11"/>
  <c r="L92" i="11"/>
  <c r="K92" i="11"/>
  <c r="J92" i="11"/>
  <c r="I92" i="11"/>
  <c r="H92" i="11"/>
  <c r="G92" i="11"/>
  <c r="F92" i="11"/>
  <c r="E92" i="11"/>
  <c r="D92" i="11"/>
  <c r="C92" i="11"/>
  <c r="B92" i="11"/>
  <c r="A92" i="11"/>
  <c r="Z91" i="11"/>
  <c r="W91" i="11"/>
  <c r="R91" i="11"/>
  <c r="O91" i="11"/>
  <c r="J91" i="11"/>
  <c r="G91" i="11"/>
  <c r="B91" i="11"/>
  <c r="Z90" i="11"/>
  <c r="Y90" i="11"/>
  <c r="X90" i="11"/>
  <c r="W90" i="11"/>
  <c r="V90" i="11"/>
  <c r="U90" i="11"/>
  <c r="T90" i="11"/>
  <c r="S90" i="11"/>
  <c r="R90" i="11"/>
  <c r="Q90" i="11"/>
  <c r="P90" i="11"/>
  <c r="O90" i="11"/>
  <c r="N90" i="11"/>
  <c r="M90" i="11"/>
  <c r="L90" i="11"/>
  <c r="K90" i="11"/>
  <c r="J90" i="11"/>
  <c r="I90" i="11"/>
  <c r="H90" i="11"/>
  <c r="G90" i="11"/>
  <c r="F90" i="11"/>
  <c r="E90" i="11"/>
  <c r="D90" i="11"/>
  <c r="C90" i="11"/>
  <c r="B90" i="11"/>
  <c r="A90" i="11"/>
  <c r="Z89" i="11"/>
  <c r="Y89" i="11"/>
  <c r="X89" i="11"/>
  <c r="W89" i="11"/>
  <c r="V89" i="11"/>
  <c r="U89" i="11"/>
  <c r="T89" i="11"/>
  <c r="S89" i="11"/>
  <c r="R89" i="11"/>
  <c r="Q89" i="11"/>
  <c r="P89" i="11"/>
  <c r="O89" i="11"/>
  <c r="N89" i="11"/>
  <c r="M89" i="11"/>
  <c r="L89" i="11"/>
  <c r="K89" i="11"/>
  <c r="J89" i="11"/>
  <c r="I89" i="11"/>
  <c r="H89" i="11"/>
  <c r="G89" i="11"/>
  <c r="F89" i="11"/>
  <c r="E89" i="11"/>
  <c r="D89" i="11"/>
  <c r="C89" i="11"/>
  <c r="B89" i="11"/>
  <c r="A89" i="11"/>
  <c r="Z88" i="11"/>
  <c r="Y88" i="11"/>
  <c r="X88" i="11"/>
  <c r="W88" i="11"/>
  <c r="V88" i="11"/>
  <c r="U88" i="11"/>
  <c r="T88" i="11"/>
  <c r="S88" i="11"/>
  <c r="R88" i="11"/>
  <c r="Q88" i="11"/>
  <c r="P88" i="11"/>
  <c r="O88" i="11"/>
  <c r="N88" i="11"/>
  <c r="M88" i="11"/>
  <c r="L88" i="11"/>
  <c r="K88" i="11"/>
  <c r="J88" i="11"/>
  <c r="I88" i="11"/>
  <c r="H88" i="11"/>
  <c r="G88" i="11"/>
  <c r="F88" i="11"/>
  <c r="E88" i="11"/>
  <c r="D88" i="11"/>
  <c r="C88" i="11"/>
  <c r="B88" i="11"/>
  <c r="A88" i="11"/>
  <c r="Z87" i="11"/>
  <c r="Y87" i="11"/>
  <c r="X87" i="11"/>
  <c r="W87" i="11"/>
  <c r="V87" i="11"/>
  <c r="U87" i="11"/>
  <c r="T87" i="11"/>
  <c r="S87" i="11"/>
  <c r="R87" i="11"/>
  <c r="Q87" i="11"/>
  <c r="P87" i="11"/>
  <c r="O87" i="11"/>
  <c r="N87" i="11"/>
  <c r="M87" i="11"/>
  <c r="L87" i="11"/>
  <c r="K87" i="11"/>
  <c r="J87" i="11"/>
  <c r="I87" i="11"/>
  <c r="H87" i="11"/>
  <c r="G87" i="11"/>
  <c r="F87" i="11"/>
  <c r="E87" i="11"/>
  <c r="D87" i="11"/>
  <c r="C87" i="11"/>
  <c r="B87" i="11"/>
  <c r="A87" i="11"/>
  <c r="Z86" i="11"/>
  <c r="Y86" i="11"/>
  <c r="X86" i="11"/>
  <c r="W86" i="11"/>
  <c r="V86" i="11"/>
  <c r="U86" i="11"/>
  <c r="T86" i="11"/>
  <c r="S86" i="11"/>
  <c r="R86" i="11"/>
  <c r="Q86" i="11"/>
  <c r="P86" i="11"/>
  <c r="O86" i="11"/>
  <c r="N86" i="11"/>
  <c r="M86" i="11"/>
  <c r="L86" i="11"/>
  <c r="K86" i="11"/>
  <c r="J86" i="11"/>
  <c r="I86" i="11"/>
  <c r="H86" i="11"/>
  <c r="G86" i="11"/>
  <c r="F86" i="11"/>
  <c r="E86" i="11"/>
  <c r="D86" i="11"/>
  <c r="C86" i="11"/>
  <c r="B86" i="11"/>
  <c r="A86" i="11"/>
  <c r="Z85" i="11"/>
  <c r="Y85" i="11"/>
  <c r="X85" i="11"/>
  <c r="W85" i="11"/>
  <c r="V85" i="11"/>
  <c r="U85" i="11"/>
  <c r="T85" i="11"/>
  <c r="S85" i="11"/>
  <c r="R85" i="11"/>
  <c r="Q85" i="11"/>
  <c r="P85" i="11"/>
  <c r="O85" i="11"/>
  <c r="N85" i="11"/>
  <c r="M85" i="11"/>
  <c r="L85" i="11"/>
  <c r="K85" i="11"/>
  <c r="J85" i="11"/>
  <c r="I85" i="11"/>
  <c r="H85" i="11"/>
  <c r="G85" i="11"/>
  <c r="F85" i="11"/>
  <c r="E85" i="11"/>
  <c r="D85" i="11"/>
  <c r="C85" i="11"/>
  <c r="B85" i="11"/>
  <c r="A85" i="11"/>
  <c r="X84" i="11"/>
  <c r="U84" i="11"/>
  <c r="P84" i="11"/>
  <c r="M84" i="11"/>
  <c r="H84" i="11"/>
  <c r="E84" i="11"/>
  <c r="Z83" i="11"/>
  <c r="Y83" i="11"/>
  <c r="X83" i="11"/>
  <c r="W83" i="11"/>
  <c r="V83" i="11"/>
  <c r="U83" i="11"/>
  <c r="T83" i="11"/>
  <c r="S83" i="11"/>
  <c r="R83" i="11"/>
  <c r="Q83" i="11"/>
  <c r="P83" i="11"/>
  <c r="O83" i="11"/>
  <c r="N83" i="11"/>
  <c r="M83" i="11"/>
  <c r="L83" i="11"/>
  <c r="K83" i="11"/>
  <c r="J83" i="11"/>
  <c r="I83" i="11"/>
  <c r="H83" i="11"/>
  <c r="G83" i="11"/>
  <c r="F83" i="11"/>
  <c r="E83" i="11"/>
  <c r="D83" i="11"/>
  <c r="C83" i="11"/>
  <c r="B83" i="11"/>
  <c r="A83" i="11"/>
  <c r="Z82" i="11"/>
  <c r="Y82" i="11"/>
  <c r="X82" i="11"/>
  <c r="W82" i="11"/>
  <c r="V82" i="11"/>
  <c r="U82" i="11"/>
  <c r="T82" i="11"/>
  <c r="S82" i="11"/>
  <c r="R82" i="11"/>
  <c r="Q82" i="11"/>
  <c r="P82" i="11"/>
  <c r="O82" i="11"/>
  <c r="N82" i="11"/>
  <c r="M82" i="11"/>
  <c r="L82" i="11"/>
  <c r="K82" i="11"/>
  <c r="J82" i="11"/>
  <c r="I82" i="11"/>
  <c r="H82" i="11"/>
  <c r="G82" i="11"/>
  <c r="F82" i="11"/>
  <c r="E82" i="11"/>
  <c r="D82" i="11"/>
  <c r="C82" i="11"/>
  <c r="B82" i="11"/>
  <c r="A82" i="11"/>
  <c r="Z81" i="11"/>
  <c r="Y81" i="11"/>
  <c r="X81" i="11"/>
  <c r="W81" i="11"/>
  <c r="V81" i="11"/>
  <c r="U81" i="11"/>
  <c r="T81" i="11"/>
  <c r="S81" i="11"/>
  <c r="R81" i="11"/>
  <c r="Q81" i="11"/>
  <c r="P81" i="11"/>
  <c r="O81" i="11"/>
  <c r="N81" i="11"/>
  <c r="M81" i="11"/>
  <c r="L81" i="11"/>
  <c r="K81" i="11"/>
  <c r="J81" i="11"/>
  <c r="I81" i="11"/>
  <c r="H81" i="11"/>
  <c r="G81" i="11"/>
  <c r="F81" i="11"/>
  <c r="E81" i="11"/>
  <c r="D81" i="11"/>
  <c r="C81" i="11"/>
  <c r="B81" i="11"/>
  <c r="A81" i="11"/>
  <c r="Z80" i="11"/>
  <c r="Y80" i="11"/>
  <c r="X80" i="11"/>
  <c r="W80" i="11"/>
  <c r="V80" i="11"/>
  <c r="U80" i="11"/>
  <c r="T80" i="11"/>
  <c r="S80" i="11"/>
  <c r="R80" i="11"/>
  <c r="Q80" i="11"/>
  <c r="P80" i="11"/>
  <c r="O80" i="11"/>
  <c r="N80" i="11"/>
  <c r="M80" i="11"/>
  <c r="L80" i="11"/>
  <c r="K80" i="11"/>
  <c r="J80" i="11"/>
  <c r="I80" i="11"/>
  <c r="H80" i="11"/>
  <c r="G80" i="11"/>
  <c r="F80" i="11"/>
  <c r="E80" i="11"/>
  <c r="D80" i="11"/>
  <c r="C80" i="11"/>
  <c r="B80" i="11"/>
  <c r="A80" i="11"/>
  <c r="Z79" i="11"/>
  <c r="Y79" i="11"/>
  <c r="X79" i="11"/>
  <c r="W79" i="11"/>
  <c r="V79" i="11"/>
  <c r="U79" i="11"/>
  <c r="T79" i="11"/>
  <c r="S79" i="11"/>
  <c r="R79" i="11"/>
  <c r="Q79" i="11"/>
  <c r="P79" i="11"/>
  <c r="O79" i="11"/>
  <c r="N79" i="11"/>
  <c r="M79" i="11"/>
  <c r="L79" i="11"/>
  <c r="K79" i="11"/>
  <c r="J79" i="11"/>
  <c r="I79" i="11"/>
  <c r="H79" i="11"/>
  <c r="G79" i="11"/>
  <c r="F79" i="11"/>
  <c r="E79" i="11"/>
  <c r="D79" i="11"/>
  <c r="C79" i="11"/>
  <c r="B79" i="11"/>
  <c r="A79" i="11"/>
  <c r="Z78" i="11"/>
  <c r="Y78" i="11"/>
  <c r="X78" i="11"/>
  <c r="W78" i="11"/>
  <c r="V78" i="11"/>
  <c r="U78" i="11"/>
  <c r="T78" i="11"/>
  <c r="S78" i="11"/>
  <c r="R78" i="11"/>
  <c r="Q78" i="11"/>
  <c r="P78" i="11"/>
  <c r="O78" i="11"/>
  <c r="N78" i="11"/>
  <c r="M78" i="11"/>
  <c r="L78" i="11"/>
  <c r="K78" i="11"/>
  <c r="J78" i="11"/>
  <c r="I78" i="11"/>
  <c r="H78" i="11"/>
  <c r="G78" i="11"/>
  <c r="F78" i="11"/>
  <c r="E78" i="11"/>
  <c r="D78" i="11"/>
  <c r="C78" i="11"/>
  <c r="B78" i="11"/>
  <c r="A78" i="11"/>
  <c r="V77" i="11"/>
  <c r="S77" i="11"/>
  <c r="N77" i="11"/>
  <c r="K77" i="11"/>
  <c r="F77" i="11"/>
  <c r="C77" i="11"/>
  <c r="Z76" i="11"/>
  <c r="Y76" i="11"/>
  <c r="X76" i="11"/>
  <c r="W76" i="11"/>
  <c r="V76" i="11"/>
  <c r="U76" i="11"/>
  <c r="T76" i="11"/>
  <c r="S76" i="11"/>
  <c r="R76" i="11"/>
  <c r="Q76" i="11"/>
  <c r="P76" i="11"/>
  <c r="O76" i="11"/>
  <c r="N76" i="11"/>
  <c r="M76" i="11"/>
  <c r="L76" i="11"/>
  <c r="K76" i="11"/>
  <c r="J76" i="11"/>
  <c r="I76" i="11"/>
  <c r="H76" i="11"/>
  <c r="G76" i="11"/>
  <c r="F76" i="11"/>
  <c r="E76" i="11"/>
  <c r="D76" i="11"/>
  <c r="C76" i="11"/>
  <c r="B76" i="11"/>
  <c r="A76" i="11"/>
  <c r="Z75" i="11"/>
  <c r="Y75" i="11"/>
  <c r="X75" i="11"/>
  <c r="W75" i="11"/>
  <c r="V75" i="11"/>
  <c r="U75" i="11"/>
  <c r="T75" i="11"/>
  <c r="S75" i="11"/>
  <c r="R75" i="11"/>
  <c r="Q75" i="11"/>
  <c r="P75" i="11"/>
  <c r="O75" i="11"/>
  <c r="N75" i="11"/>
  <c r="M75" i="11"/>
  <c r="L75" i="11"/>
  <c r="K75" i="11"/>
  <c r="J75" i="11"/>
  <c r="I75" i="11"/>
  <c r="H75" i="11"/>
  <c r="G75" i="11"/>
  <c r="F75" i="11"/>
  <c r="E75" i="11"/>
  <c r="D75" i="11"/>
  <c r="C75" i="11"/>
  <c r="B75" i="11"/>
  <c r="A75" i="11"/>
  <c r="Z74" i="11"/>
  <c r="Y74" i="11"/>
  <c r="X74" i="11"/>
  <c r="W74" i="11"/>
  <c r="V74" i="11"/>
  <c r="U74" i="11"/>
  <c r="T74" i="11"/>
  <c r="S74" i="11"/>
  <c r="R74" i="11"/>
  <c r="Q74" i="11"/>
  <c r="P74" i="11"/>
  <c r="O74" i="11"/>
  <c r="N74" i="11"/>
  <c r="M74" i="11"/>
  <c r="L74" i="11"/>
  <c r="K74" i="11"/>
  <c r="J74" i="11"/>
  <c r="I74" i="11"/>
  <c r="H74" i="11"/>
  <c r="G74" i="11"/>
  <c r="F74" i="11"/>
  <c r="E74" i="11"/>
  <c r="D74" i="11"/>
  <c r="C74" i="11"/>
  <c r="B74" i="11"/>
  <c r="A74" i="11"/>
  <c r="Z73" i="11"/>
  <c r="Y73" i="11"/>
  <c r="X73" i="11"/>
  <c r="W73" i="11"/>
  <c r="V73" i="11"/>
  <c r="U73" i="11"/>
  <c r="T73" i="11"/>
  <c r="S73" i="11"/>
  <c r="R73" i="11"/>
  <c r="Q73" i="11"/>
  <c r="P73" i="11"/>
  <c r="O73" i="11"/>
  <c r="N73" i="11"/>
  <c r="M73" i="11"/>
  <c r="L73" i="11"/>
  <c r="K73" i="11"/>
  <c r="J73" i="11"/>
  <c r="I73" i="11"/>
  <c r="H73" i="11"/>
  <c r="G73" i="11"/>
  <c r="F73" i="11"/>
  <c r="E73" i="11"/>
  <c r="D73" i="11"/>
  <c r="C73" i="11"/>
  <c r="B73" i="11"/>
  <c r="A73" i="11"/>
  <c r="Z72" i="11"/>
  <c r="Y72" i="11"/>
  <c r="X72" i="11"/>
  <c r="W72" i="11"/>
  <c r="V72" i="11"/>
  <c r="U72" i="11"/>
  <c r="T72" i="11"/>
  <c r="S72" i="11"/>
  <c r="R72" i="11"/>
  <c r="Q72" i="11"/>
  <c r="P72" i="11"/>
  <c r="O72" i="11"/>
  <c r="N72" i="11"/>
  <c r="M72" i="11"/>
  <c r="L72" i="11"/>
  <c r="K72" i="11"/>
  <c r="J72" i="11"/>
  <c r="I72" i="11"/>
  <c r="H72" i="11"/>
  <c r="G72" i="11"/>
  <c r="F72" i="11"/>
  <c r="E72" i="11"/>
  <c r="D72" i="11"/>
  <c r="C72" i="11"/>
  <c r="B72" i="11"/>
  <c r="A72" i="11"/>
  <c r="Z71" i="11"/>
  <c r="Y71" i="11"/>
  <c r="X71" i="11"/>
  <c r="W71" i="11"/>
  <c r="V71" i="11"/>
  <c r="U71" i="11"/>
  <c r="T71" i="11"/>
  <c r="S71" i="11"/>
  <c r="R71" i="11"/>
  <c r="Q71" i="11"/>
  <c r="P71" i="11"/>
  <c r="O71" i="11"/>
  <c r="N71" i="11"/>
  <c r="M71" i="11"/>
  <c r="L71" i="11"/>
  <c r="K71" i="11"/>
  <c r="J71" i="11"/>
  <c r="I71" i="11"/>
  <c r="H71" i="11"/>
  <c r="G71" i="11"/>
  <c r="F71" i="11"/>
  <c r="E71" i="11"/>
  <c r="D71" i="11"/>
  <c r="C71" i="11"/>
  <c r="B71" i="11"/>
  <c r="A71" i="11"/>
  <c r="Z70" i="11"/>
  <c r="Y70" i="11"/>
  <c r="X70" i="11"/>
  <c r="W70" i="11"/>
  <c r="V70" i="11"/>
  <c r="U70" i="11"/>
  <c r="T70" i="11"/>
  <c r="S70" i="11"/>
  <c r="R70" i="11"/>
  <c r="Q70" i="11"/>
  <c r="P70" i="11"/>
  <c r="O70" i="11"/>
  <c r="N70" i="11"/>
  <c r="M70" i="11"/>
  <c r="L70" i="11"/>
  <c r="K70" i="11"/>
  <c r="J70" i="11"/>
  <c r="I70" i="11"/>
  <c r="H70" i="11"/>
  <c r="G70" i="11"/>
  <c r="F70" i="11"/>
  <c r="E70" i="11"/>
  <c r="D70" i="11"/>
  <c r="C70" i="11"/>
  <c r="B70" i="11"/>
  <c r="A70" i="11"/>
  <c r="Z69" i="11"/>
  <c r="Y69" i="11"/>
  <c r="X69" i="11"/>
  <c r="W69" i="11"/>
  <c r="V69" i="11"/>
  <c r="U69" i="11"/>
  <c r="T69" i="11"/>
  <c r="S69" i="11"/>
  <c r="R69" i="11"/>
  <c r="Q69" i="11"/>
  <c r="P69" i="11"/>
  <c r="O69" i="11"/>
  <c r="N69" i="11"/>
  <c r="M69" i="11"/>
  <c r="L69" i="11"/>
  <c r="K69" i="11"/>
  <c r="J69" i="11"/>
  <c r="I69" i="11"/>
  <c r="H69" i="11"/>
  <c r="G69" i="11"/>
  <c r="F69" i="11"/>
  <c r="E69" i="11"/>
  <c r="D69" i="11"/>
  <c r="C69" i="11"/>
  <c r="B69" i="11"/>
  <c r="A69" i="11"/>
  <c r="Z68" i="11"/>
  <c r="Y68" i="11"/>
  <c r="X68" i="11"/>
  <c r="W68" i="11"/>
  <c r="V68" i="11"/>
  <c r="U68" i="11"/>
  <c r="T68" i="11"/>
  <c r="S68" i="11"/>
  <c r="R68" i="11"/>
  <c r="Q68" i="11"/>
  <c r="P68" i="11"/>
  <c r="O68" i="11"/>
  <c r="N68" i="11"/>
  <c r="M68" i="11"/>
  <c r="L68" i="11"/>
  <c r="K68" i="11"/>
  <c r="J68" i="11"/>
  <c r="I68" i="11"/>
  <c r="H68" i="11"/>
  <c r="G68" i="11"/>
  <c r="F68" i="11"/>
  <c r="E68" i="11"/>
  <c r="D68" i="11"/>
  <c r="C68" i="11"/>
  <c r="B68" i="11"/>
  <c r="A68" i="11"/>
  <c r="Z67" i="11"/>
  <c r="Y67" i="11"/>
  <c r="X67" i="11"/>
  <c r="W67" i="11"/>
  <c r="V67" i="11"/>
  <c r="U67" i="11"/>
  <c r="T67" i="11"/>
  <c r="S67" i="11"/>
  <c r="R67" i="11"/>
  <c r="Q67" i="11"/>
  <c r="P67" i="11"/>
  <c r="O67" i="11"/>
  <c r="N67" i="11"/>
  <c r="M67" i="11"/>
  <c r="L67" i="11"/>
  <c r="K67" i="11"/>
  <c r="J67" i="11"/>
  <c r="I67" i="11"/>
  <c r="H67" i="11"/>
  <c r="G67" i="11"/>
  <c r="F67" i="11"/>
  <c r="E67" i="11"/>
  <c r="D67" i="11"/>
  <c r="C67" i="11"/>
  <c r="B67" i="11"/>
  <c r="A67" i="11"/>
  <c r="Z66" i="11"/>
  <c r="Y66" i="11"/>
  <c r="X66" i="11"/>
  <c r="W66" i="11"/>
  <c r="V66" i="11"/>
  <c r="U66" i="11"/>
  <c r="T66" i="11"/>
  <c r="S66" i="11"/>
  <c r="R66" i="11"/>
  <c r="Q66" i="11"/>
  <c r="P66" i="11"/>
  <c r="O66" i="11"/>
  <c r="N66" i="11"/>
  <c r="M66" i="11"/>
  <c r="L66" i="11"/>
  <c r="K66" i="11"/>
  <c r="J66" i="11"/>
  <c r="I66" i="11"/>
  <c r="H66" i="11"/>
  <c r="G66" i="11"/>
  <c r="F66" i="11"/>
  <c r="E66" i="11"/>
  <c r="D66" i="11"/>
  <c r="C66" i="11"/>
  <c r="B66" i="11"/>
  <c r="A66" i="11"/>
  <c r="Z65" i="11"/>
  <c r="Y65" i="11"/>
  <c r="X65" i="11"/>
  <c r="W65" i="11"/>
  <c r="V65" i="11"/>
  <c r="U65" i="11"/>
  <c r="T65" i="11"/>
  <c r="S65" i="11"/>
  <c r="R65" i="11"/>
  <c r="Q65" i="11"/>
  <c r="P65" i="11"/>
  <c r="O65" i="11"/>
  <c r="N65" i="11"/>
  <c r="M65" i="11"/>
  <c r="L65" i="11"/>
  <c r="K65" i="11"/>
  <c r="J65" i="11"/>
  <c r="I65" i="11"/>
  <c r="H65" i="11"/>
  <c r="G65" i="11"/>
  <c r="F65" i="11"/>
  <c r="E65" i="11"/>
  <c r="D65" i="11"/>
  <c r="C65" i="11"/>
  <c r="B65" i="11"/>
  <c r="A65" i="11"/>
  <c r="Z64" i="11"/>
  <c r="Y64" i="11"/>
  <c r="X64" i="11"/>
  <c r="W64" i="11"/>
  <c r="V64" i="11"/>
  <c r="U64" i="11"/>
  <c r="T64" i="11"/>
  <c r="S64" i="11"/>
  <c r="R64" i="11"/>
  <c r="Q64" i="11"/>
  <c r="P64" i="11"/>
  <c r="O64" i="11"/>
  <c r="N64" i="11"/>
  <c r="M64" i="11"/>
  <c r="L64" i="11"/>
  <c r="K64" i="11"/>
  <c r="J64" i="11"/>
  <c r="I64" i="11"/>
  <c r="H64" i="11"/>
  <c r="G64" i="11"/>
  <c r="F64" i="11"/>
  <c r="E64" i="11"/>
  <c r="D64" i="11"/>
  <c r="C64" i="11"/>
  <c r="B64" i="11"/>
  <c r="A64" i="11"/>
  <c r="Z63" i="11"/>
  <c r="Y63" i="11"/>
  <c r="X63" i="11"/>
  <c r="W63" i="11"/>
  <c r="V63" i="11"/>
  <c r="U63" i="11"/>
  <c r="T63" i="11"/>
  <c r="S63" i="11"/>
  <c r="R63" i="11"/>
  <c r="Q63" i="11"/>
  <c r="P63" i="11"/>
  <c r="O63" i="11"/>
  <c r="N63" i="11"/>
  <c r="M63" i="11"/>
  <c r="L63" i="11"/>
  <c r="K63" i="11"/>
  <c r="J63" i="11"/>
  <c r="I63" i="11"/>
  <c r="H63" i="11"/>
  <c r="G63" i="11"/>
  <c r="F63" i="11"/>
  <c r="E63" i="11"/>
  <c r="D63" i="11"/>
  <c r="C63" i="11"/>
  <c r="B63" i="11"/>
  <c r="A63" i="11"/>
  <c r="Z62" i="11"/>
  <c r="Y62" i="11"/>
  <c r="X62" i="11"/>
  <c r="W62" i="11"/>
  <c r="V62" i="11"/>
  <c r="U62" i="11"/>
  <c r="T62" i="11"/>
  <c r="S62" i="11"/>
  <c r="R62" i="11"/>
  <c r="Q62" i="11"/>
  <c r="P62" i="11"/>
  <c r="O62" i="11"/>
  <c r="N62" i="11"/>
  <c r="M62" i="11"/>
  <c r="L62" i="11"/>
  <c r="K62" i="11"/>
  <c r="J62" i="11"/>
  <c r="I62" i="11"/>
  <c r="H62" i="11"/>
  <c r="G62" i="11"/>
  <c r="F62" i="11"/>
  <c r="E62" i="11"/>
  <c r="D62" i="11"/>
  <c r="C62" i="11"/>
  <c r="B62" i="11"/>
  <c r="A62" i="11"/>
  <c r="Z61" i="11"/>
  <c r="Y61" i="11"/>
  <c r="X61" i="11"/>
  <c r="W61" i="11"/>
  <c r="V61" i="11"/>
  <c r="U61" i="11"/>
  <c r="T61" i="11"/>
  <c r="S61" i="11"/>
  <c r="R61" i="11"/>
  <c r="Q61" i="11"/>
  <c r="P61" i="11"/>
  <c r="O61" i="11"/>
  <c r="N61" i="11"/>
  <c r="M61" i="11"/>
  <c r="L61" i="11"/>
  <c r="K61" i="11"/>
  <c r="J61" i="11"/>
  <c r="I61" i="11"/>
  <c r="H61" i="11"/>
  <c r="G61" i="11"/>
  <c r="F61" i="11"/>
  <c r="E61" i="11"/>
  <c r="D61" i="11"/>
  <c r="C61" i="11"/>
  <c r="B61" i="11"/>
  <c r="A61" i="11"/>
  <c r="Y60" i="11"/>
  <c r="Q60" i="11"/>
  <c r="I60" i="11"/>
  <c r="A60" i="11"/>
  <c r="Z59" i="11"/>
  <c r="Y59" i="11"/>
  <c r="X59" i="11"/>
  <c r="W59" i="11"/>
  <c r="V59" i="11"/>
  <c r="U59" i="11"/>
  <c r="T59" i="11"/>
  <c r="S59" i="11"/>
  <c r="R59" i="11"/>
  <c r="Q59" i="11"/>
  <c r="P59" i="11"/>
  <c r="O59" i="11"/>
  <c r="N59" i="11"/>
  <c r="M59" i="11"/>
  <c r="L59" i="11"/>
  <c r="K59" i="11"/>
  <c r="J59" i="11"/>
  <c r="I59" i="11"/>
  <c r="H59" i="11"/>
  <c r="G59" i="11"/>
  <c r="F59" i="11"/>
  <c r="E59" i="11"/>
  <c r="D59" i="11"/>
  <c r="C59" i="11"/>
  <c r="B59" i="11"/>
  <c r="A59" i="11"/>
  <c r="Z58" i="11"/>
  <c r="Y58" i="11"/>
  <c r="X58" i="11"/>
  <c r="W58" i="11"/>
  <c r="V58" i="11"/>
  <c r="U58" i="11"/>
  <c r="T58" i="11"/>
  <c r="S58" i="11"/>
  <c r="R58" i="11"/>
  <c r="Q58" i="11"/>
  <c r="P58" i="11"/>
  <c r="O58" i="11"/>
  <c r="N58" i="11"/>
  <c r="M58" i="11"/>
  <c r="L58" i="11"/>
  <c r="K58" i="11"/>
  <c r="J58" i="11"/>
  <c r="I58" i="11"/>
  <c r="H58" i="11"/>
  <c r="G58" i="11"/>
  <c r="F58" i="11"/>
  <c r="E58" i="11"/>
  <c r="D58" i="11"/>
  <c r="C58" i="11"/>
  <c r="B58" i="11"/>
  <c r="A58" i="11"/>
  <c r="Z57" i="11"/>
  <c r="Y57" i="11"/>
  <c r="X57" i="11"/>
  <c r="W57" i="11"/>
  <c r="V57" i="11"/>
  <c r="U57" i="11"/>
  <c r="T57" i="11"/>
  <c r="S57" i="11"/>
  <c r="R57" i="11"/>
  <c r="Q57" i="11"/>
  <c r="P57" i="11"/>
  <c r="O57" i="11"/>
  <c r="N57" i="11"/>
  <c r="M57" i="11"/>
  <c r="L57" i="11"/>
  <c r="K57" i="11"/>
  <c r="J57" i="11"/>
  <c r="I57" i="11"/>
  <c r="H57" i="11"/>
  <c r="G57" i="11"/>
  <c r="F57" i="11"/>
  <c r="E57" i="11"/>
  <c r="D57" i="11"/>
  <c r="C57" i="11"/>
  <c r="B57" i="11"/>
  <c r="A57" i="11"/>
  <c r="Y56" i="11"/>
  <c r="Q56" i="11"/>
  <c r="I56" i="11"/>
  <c r="A56" i="11"/>
  <c r="Z55" i="11"/>
  <c r="Y55" i="11"/>
  <c r="X55" i="11"/>
  <c r="W55" i="11"/>
  <c r="V55" i="11"/>
  <c r="U55" i="11"/>
  <c r="T55" i="11"/>
  <c r="S55" i="11"/>
  <c r="R55" i="11"/>
  <c r="Q55" i="11"/>
  <c r="P55" i="11"/>
  <c r="O55" i="11"/>
  <c r="N55" i="11"/>
  <c r="M55" i="11"/>
  <c r="L55" i="11"/>
  <c r="K55" i="11"/>
  <c r="J55" i="11"/>
  <c r="I55" i="11"/>
  <c r="H55" i="11"/>
  <c r="G55" i="11"/>
  <c r="F55" i="11"/>
  <c r="E55" i="11"/>
  <c r="D55" i="11"/>
  <c r="C55" i="11"/>
  <c r="B55" i="11"/>
  <c r="A55" i="11"/>
  <c r="Z54" i="11"/>
  <c r="Y54" i="11"/>
  <c r="X54" i="11"/>
  <c r="W54" i="11"/>
  <c r="V54" i="11"/>
  <c r="U54" i="11"/>
  <c r="T54" i="11"/>
  <c r="S54" i="11"/>
  <c r="R54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54" i="11"/>
  <c r="B54" i="11"/>
  <c r="A54" i="11"/>
  <c r="Z53" i="11"/>
  <c r="Y53" i="11"/>
  <c r="X53" i="11"/>
  <c r="W53" i="11"/>
  <c r="V53" i="11"/>
  <c r="U53" i="11"/>
  <c r="T53" i="11"/>
  <c r="S53" i="11"/>
  <c r="R53" i="11"/>
  <c r="Q53" i="11"/>
  <c r="P53" i="11"/>
  <c r="O53" i="11"/>
  <c r="N53" i="11"/>
  <c r="M53" i="11"/>
  <c r="L53" i="11"/>
  <c r="K53" i="11"/>
  <c r="J53" i="11"/>
  <c r="I53" i="11"/>
  <c r="H53" i="11"/>
  <c r="G53" i="11"/>
  <c r="F53" i="11"/>
  <c r="E53" i="11"/>
  <c r="D53" i="11"/>
  <c r="C53" i="11"/>
  <c r="B53" i="11"/>
  <c r="A53" i="11"/>
  <c r="Q52" i="11"/>
  <c r="Z51" i="11"/>
  <c r="Y51" i="11"/>
  <c r="X51" i="11"/>
  <c r="W51" i="11"/>
  <c r="V51" i="11"/>
  <c r="U51" i="11"/>
  <c r="T51" i="11"/>
  <c r="S51" i="11"/>
  <c r="R51" i="11"/>
  <c r="Q51" i="11"/>
  <c r="P51" i="11"/>
  <c r="O51" i="11"/>
  <c r="N51" i="11"/>
  <c r="M51" i="11"/>
  <c r="L51" i="11"/>
  <c r="K51" i="11"/>
  <c r="J51" i="11"/>
  <c r="I51" i="11"/>
  <c r="H51" i="11"/>
  <c r="G51" i="11"/>
  <c r="F51" i="11"/>
  <c r="E51" i="11"/>
  <c r="D51" i="11"/>
  <c r="C51" i="11"/>
  <c r="B51" i="11"/>
  <c r="A51" i="11"/>
  <c r="Z50" i="11"/>
  <c r="Y50" i="11"/>
  <c r="X50" i="11"/>
  <c r="W50" i="11"/>
  <c r="V50" i="11"/>
  <c r="U50" i="11"/>
  <c r="T50" i="11"/>
  <c r="S50" i="11"/>
  <c r="R50" i="11"/>
  <c r="Q50" i="11"/>
  <c r="P50" i="11"/>
  <c r="O50" i="11"/>
  <c r="N50" i="11"/>
  <c r="M50" i="11"/>
  <c r="L50" i="11"/>
  <c r="K50" i="11"/>
  <c r="J50" i="11"/>
  <c r="I50" i="11"/>
  <c r="H50" i="11"/>
  <c r="G50" i="11"/>
  <c r="F50" i="11"/>
  <c r="E50" i="11"/>
  <c r="D50" i="11"/>
  <c r="C50" i="11"/>
  <c r="B50" i="11"/>
  <c r="A50" i="11"/>
  <c r="Z49" i="11"/>
  <c r="Y49" i="11"/>
  <c r="X49" i="11"/>
  <c r="W49" i="11"/>
  <c r="V49" i="11"/>
  <c r="U49" i="11"/>
  <c r="T49" i="11"/>
  <c r="S49" i="11"/>
  <c r="R49" i="11"/>
  <c r="Q49" i="11"/>
  <c r="P49" i="11"/>
  <c r="O49" i="11"/>
  <c r="N49" i="11"/>
  <c r="M49" i="11"/>
  <c r="L49" i="11"/>
  <c r="K49" i="11"/>
  <c r="J49" i="11"/>
  <c r="I49" i="11"/>
  <c r="H49" i="11"/>
  <c r="G49" i="11"/>
  <c r="F49" i="11"/>
  <c r="E49" i="11"/>
  <c r="D49" i="11"/>
  <c r="C49" i="11"/>
  <c r="B49" i="11"/>
  <c r="A49" i="11"/>
  <c r="Z47" i="11"/>
  <c r="Y47" i="11"/>
  <c r="X47" i="11"/>
  <c r="W47" i="11"/>
  <c r="V47" i="11"/>
  <c r="U47" i="11"/>
  <c r="T47" i="11"/>
  <c r="S47" i="11"/>
  <c r="R47" i="11"/>
  <c r="Q47" i="11"/>
  <c r="P47" i="11"/>
  <c r="O47" i="11"/>
  <c r="N47" i="11"/>
  <c r="M47" i="11"/>
  <c r="L47" i="11"/>
  <c r="K47" i="11"/>
  <c r="J47" i="11"/>
  <c r="I47" i="11"/>
  <c r="H47" i="11"/>
  <c r="G47" i="11"/>
  <c r="F47" i="11"/>
  <c r="E47" i="11"/>
  <c r="D47" i="11"/>
  <c r="C47" i="11"/>
  <c r="B47" i="11"/>
  <c r="A47" i="11"/>
  <c r="Z46" i="11"/>
  <c r="Y46" i="11"/>
  <c r="X46" i="11"/>
  <c r="W46" i="11"/>
  <c r="V46" i="11"/>
  <c r="U46" i="11"/>
  <c r="T46" i="11"/>
  <c r="S46" i="11"/>
  <c r="R46" i="11"/>
  <c r="Q46" i="11"/>
  <c r="P46" i="11"/>
  <c r="O46" i="11"/>
  <c r="N46" i="11"/>
  <c r="M46" i="11"/>
  <c r="L46" i="11"/>
  <c r="K46" i="11"/>
  <c r="J46" i="11"/>
  <c r="I46" i="11"/>
  <c r="H46" i="11"/>
  <c r="G46" i="11"/>
  <c r="F46" i="11"/>
  <c r="E46" i="11"/>
  <c r="D46" i="11"/>
  <c r="C46" i="11"/>
  <c r="B46" i="11"/>
  <c r="A46" i="11"/>
  <c r="Z45" i="11"/>
  <c r="Y45" i="11"/>
  <c r="X45" i="11"/>
  <c r="W45" i="11"/>
  <c r="V45" i="11"/>
  <c r="U45" i="11"/>
  <c r="T45" i="11"/>
  <c r="S45" i="11"/>
  <c r="R45" i="11"/>
  <c r="Q45" i="11"/>
  <c r="P45" i="11"/>
  <c r="O45" i="11"/>
  <c r="N45" i="11"/>
  <c r="M45" i="11"/>
  <c r="L45" i="11"/>
  <c r="K45" i="11"/>
  <c r="J45" i="11"/>
  <c r="I45" i="11"/>
  <c r="H45" i="11"/>
  <c r="G45" i="11"/>
  <c r="F45" i="11"/>
  <c r="E45" i="11"/>
  <c r="D45" i="11"/>
  <c r="C45" i="11"/>
  <c r="B45" i="11"/>
  <c r="A45" i="11"/>
  <c r="Y44" i="11"/>
  <c r="Q44" i="11"/>
  <c r="I44" i="11"/>
  <c r="A44" i="11"/>
  <c r="Z43" i="11"/>
  <c r="Y43" i="11"/>
  <c r="X43" i="11"/>
  <c r="W43" i="11"/>
  <c r="V43" i="11"/>
  <c r="U43" i="11"/>
  <c r="T43" i="11"/>
  <c r="S43" i="11"/>
  <c r="R43" i="11"/>
  <c r="Q43" i="11"/>
  <c r="P43" i="11"/>
  <c r="O43" i="11"/>
  <c r="N43" i="11"/>
  <c r="M43" i="11"/>
  <c r="L43" i="11"/>
  <c r="K43" i="11"/>
  <c r="J43" i="11"/>
  <c r="I43" i="11"/>
  <c r="H43" i="11"/>
  <c r="G43" i="11"/>
  <c r="F43" i="11"/>
  <c r="E43" i="11"/>
  <c r="D43" i="11"/>
  <c r="C43" i="11"/>
  <c r="B43" i="11"/>
  <c r="A43" i="11"/>
  <c r="Z42" i="11"/>
  <c r="Y42" i="11"/>
  <c r="X42" i="11"/>
  <c r="W42" i="11"/>
  <c r="V42" i="11"/>
  <c r="U42" i="11"/>
  <c r="T42" i="11"/>
  <c r="S42" i="11"/>
  <c r="R42" i="11"/>
  <c r="Q42" i="11"/>
  <c r="P42" i="11"/>
  <c r="O42" i="11"/>
  <c r="N42" i="11"/>
  <c r="M42" i="11"/>
  <c r="L42" i="11"/>
  <c r="K42" i="11"/>
  <c r="J42" i="11"/>
  <c r="I42" i="11"/>
  <c r="H42" i="11"/>
  <c r="G42" i="11"/>
  <c r="F42" i="11"/>
  <c r="E42" i="11"/>
  <c r="D42" i="11"/>
  <c r="C42" i="11"/>
  <c r="B42" i="11"/>
  <c r="A42" i="11"/>
  <c r="Z41" i="11"/>
  <c r="Y41" i="11"/>
  <c r="X41" i="11"/>
  <c r="W41" i="11"/>
  <c r="V41" i="11"/>
  <c r="U41" i="11"/>
  <c r="T41" i="11"/>
  <c r="S41" i="11"/>
  <c r="R41" i="11"/>
  <c r="Q41" i="11"/>
  <c r="P41" i="11"/>
  <c r="O41" i="11"/>
  <c r="N41" i="11"/>
  <c r="M41" i="11"/>
  <c r="L41" i="11"/>
  <c r="K41" i="11"/>
  <c r="J41" i="11"/>
  <c r="I41" i="11"/>
  <c r="H41" i="11"/>
  <c r="G41" i="11"/>
  <c r="F41" i="11"/>
  <c r="E41" i="11"/>
  <c r="D41" i="11"/>
  <c r="C41" i="11"/>
  <c r="B41" i="11"/>
  <c r="A41" i="11"/>
  <c r="Y40" i="11"/>
  <c r="Q40" i="11"/>
  <c r="I40" i="11"/>
  <c r="A40" i="11"/>
  <c r="Z39" i="11"/>
  <c r="Y39" i="11"/>
  <c r="X39" i="11"/>
  <c r="W39" i="11"/>
  <c r="V39" i="11"/>
  <c r="U39" i="11"/>
  <c r="T39" i="11"/>
  <c r="S39" i="11"/>
  <c r="R39" i="11"/>
  <c r="Q39" i="11"/>
  <c r="P39" i="11"/>
  <c r="O39" i="11"/>
  <c r="N39" i="11"/>
  <c r="M39" i="11"/>
  <c r="L39" i="11"/>
  <c r="K39" i="11"/>
  <c r="J39" i="11"/>
  <c r="I39" i="11"/>
  <c r="H39" i="11"/>
  <c r="G39" i="11"/>
  <c r="F39" i="11"/>
  <c r="E39" i="11"/>
  <c r="D39" i="11"/>
  <c r="C39" i="11"/>
  <c r="B39" i="11"/>
  <c r="A39" i="11"/>
  <c r="Z38" i="11"/>
  <c r="Y38" i="11"/>
  <c r="X38" i="11"/>
  <c r="W38" i="11"/>
  <c r="V38" i="11"/>
  <c r="U38" i="11"/>
  <c r="T38" i="11"/>
  <c r="S38" i="11"/>
  <c r="R38" i="11"/>
  <c r="Q38" i="11"/>
  <c r="P38" i="11"/>
  <c r="O38" i="11"/>
  <c r="N38" i="11"/>
  <c r="M38" i="11"/>
  <c r="L38" i="11"/>
  <c r="K38" i="11"/>
  <c r="J38" i="11"/>
  <c r="I38" i="11"/>
  <c r="H38" i="11"/>
  <c r="G38" i="11"/>
  <c r="F38" i="11"/>
  <c r="E38" i="11"/>
  <c r="D38" i="11"/>
  <c r="C38" i="11"/>
  <c r="B38" i="11"/>
  <c r="A38" i="11"/>
  <c r="Z37" i="11"/>
  <c r="Y37" i="11"/>
  <c r="X37" i="11"/>
  <c r="W37" i="11"/>
  <c r="V37" i="11"/>
  <c r="U37" i="11"/>
  <c r="T37" i="11"/>
  <c r="S37" i="11"/>
  <c r="R37" i="11"/>
  <c r="Q37" i="11"/>
  <c r="P37" i="11"/>
  <c r="O37" i="11"/>
  <c r="N37" i="11"/>
  <c r="M37" i="11"/>
  <c r="L37" i="11"/>
  <c r="K37" i="11"/>
  <c r="J37" i="11"/>
  <c r="I37" i="11"/>
  <c r="H37" i="11"/>
  <c r="G37" i="11"/>
  <c r="F37" i="11"/>
  <c r="E37" i="11"/>
  <c r="D37" i="11"/>
  <c r="C37" i="11"/>
  <c r="B37" i="11"/>
  <c r="A37" i="11"/>
  <c r="Y36" i="11"/>
  <c r="Q36" i="11"/>
  <c r="I36" i="11"/>
  <c r="A36" i="11"/>
  <c r="Z35" i="11"/>
  <c r="Y35" i="11"/>
  <c r="X35" i="11"/>
  <c r="W35" i="11"/>
  <c r="V35" i="11"/>
  <c r="U35" i="11"/>
  <c r="T35" i="11"/>
  <c r="S35" i="11"/>
  <c r="R35" i="11"/>
  <c r="Q35" i="1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B35" i="11"/>
  <c r="A35" i="11"/>
  <c r="Z34" i="11"/>
  <c r="W34" i="11"/>
  <c r="R34" i="11"/>
  <c r="O34" i="11"/>
  <c r="J34" i="11"/>
  <c r="G34" i="11"/>
  <c r="B34" i="11"/>
  <c r="Z33" i="11"/>
  <c r="Y33" i="11"/>
  <c r="X33" i="11"/>
  <c r="W33" i="11"/>
  <c r="V33" i="11"/>
  <c r="U33" i="11"/>
  <c r="T33" i="11"/>
  <c r="S33" i="11"/>
  <c r="R33" i="11"/>
  <c r="Q33" i="11"/>
  <c r="P33" i="11"/>
  <c r="O33" i="11"/>
  <c r="N33" i="11"/>
  <c r="M33" i="11"/>
  <c r="L33" i="11"/>
  <c r="K33" i="11"/>
  <c r="J33" i="11"/>
  <c r="I33" i="11"/>
  <c r="H33" i="11"/>
  <c r="G33" i="11"/>
  <c r="F33" i="11"/>
  <c r="E33" i="11"/>
  <c r="D33" i="11"/>
  <c r="C33" i="11"/>
  <c r="B33" i="11"/>
  <c r="A33" i="11"/>
  <c r="Y32" i="11"/>
  <c r="Q32" i="11"/>
  <c r="I32" i="11"/>
  <c r="A32" i="11"/>
  <c r="Z31" i="11"/>
  <c r="Y31" i="11"/>
  <c r="X31" i="11"/>
  <c r="W31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31" i="11"/>
  <c r="B31" i="11"/>
  <c r="A31" i="11"/>
  <c r="Z30" i="11"/>
  <c r="Y30" i="11"/>
  <c r="X30" i="11"/>
  <c r="W30" i="11"/>
  <c r="V30" i="11"/>
  <c r="U30" i="11"/>
  <c r="T30" i="11"/>
  <c r="S30" i="11"/>
  <c r="R30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C30" i="11"/>
  <c r="B30" i="11"/>
  <c r="A30" i="11"/>
  <c r="Z29" i="11"/>
  <c r="Y29" i="11"/>
  <c r="X29" i="11"/>
  <c r="W29" i="11"/>
  <c r="V29" i="11"/>
  <c r="U29" i="11"/>
  <c r="T29" i="11"/>
  <c r="S29" i="11"/>
  <c r="R29" i="11"/>
  <c r="Q29" i="11"/>
  <c r="P29" i="11"/>
  <c r="O29" i="11"/>
  <c r="N29" i="11"/>
  <c r="M29" i="11"/>
  <c r="L29" i="11"/>
  <c r="K29" i="11"/>
  <c r="J29" i="11"/>
  <c r="I29" i="11"/>
  <c r="H29" i="11"/>
  <c r="G29" i="11"/>
  <c r="F29" i="11"/>
  <c r="E29" i="11"/>
  <c r="D29" i="11"/>
  <c r="C29" i="11"/>
  <c r="B29" i="11"/>
  <c r="A29" i="11"/>
  <c r="Q28" i="11"/>
  <c r="D28" i="11"/>
  <c r="Z27" i="11"/>
  <c r="Y27" i="11"/>
  <c r="X27" i="11"/>
  <c r="W27" i="11"/>
  <c r="V27" i="11"/>
  <c r="U27" i="11"/>
  <c r="T27" i="11"/>
  <c r="S27" i="1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B27" i="11"/>
  <c r="A27" i="11"/>
  <c r="Z26" i="11"/>
  <c r="Y26" i="11"/>
  <c r="X26" i="11"/>
  <c r="W26" i="11"/>
  <c r="V26" i="11"/>
  <c r="U26" i="11"/>
  <c r="T26" i="11"/>
  <c r="S26" i="11"/>
  <c r="R26" i="11"/>
  <c r="Q26" i="11"/>
  <c r="P26" i="11"/>
  <c r="O26" i="11"/>
  <c r="N26" i="11"/>
  <c r="M26" i="11"/>
  <c r="L26" i="11"/>
  <c r="K26" i="11"/>
  <c r="J26" i="11"/>
  <c r="I26" i="11"/>
  <c r="H26" i="11"/>
  <c r="G26" i="11"/>
  <c r="F26" i="11"/>
  <c r="E26" i="11"/>
  <c r="D26" i="11"/>
  <c r="C26" i="11"/>
  <c r="B26" i="11"/>
  <c r="A26" i="11"/>
  <c r="Z25" i="11"/>
  <c r="Y25" i="11"/>
  <c r="X25" i="11"/>
  <c r="W25" i="11"/>
  <c r="V25" i="11"/>
  <c r="U25" i="11"/>
  <c r="T25" i="11"/>
  <c r="S25" i="11"/>
  <c r="R25" i="11"/>
  <c r="Q25" i="11"/>
  <c r="P25" i="11"/>
  <c r="O25" i="11"/>
  <c r="N25" i="11"/>
  <c r="M25" i="11"/>
  <c r="L25" i="11"/>
  <c r="K25" i="11"/>
  <c r="J25" i="11"/>
  <c r="I25" i="11"/>
  <c r="H25" i="11"/>
  <c r="G25" i="11"/>
  <c r="F25" i="11"/>
  <c r="E25" i="11"/>
  <c r="D25" i="11"/>
  <c r="C25" i="11"/>
  <c r="B25" i="11"/>
  <c r="A25" i="11"/>
  <c r="Y24" i="11"/>
  <c r="T24" i="11"/>
  <c r="Q24" i="11"/>
  <c r="L24" i="11"/>
  <c r="I24" i="11"/>
  <c r="D24" i="11"/>
  <c r="A24" i="11"/>
  <c r="Z23" i="11"/>
  <c r="Y23" i="11"/>
  <c r="X23" i="11"/>
  <c r="W23" i="11"/>
  <c r="V23" i="11"/>
  <c r="U23" i="11"/>
  <c r="T23" i="11"/>
  <c r="S23" i="11"/>
  <c r="R23" i="11"/>
  <c r="Q23" i="11"/>
  <c r="P23" i="11"/>
  <c r="O23" i="11"/>
  <c r="N23" i="11"/>
  <c r="M23" i="11"/>
  <c r="L23" i="11"/>
  <c r="K23" i="11"/>
  <c r="J23" i="11"/>
  <c r="I23" i="11"/>
  <c r="H23" i="11"/>
  <c r="G23" i="11"/>
  <c r="F23" i="11"/>
  <c r="E23" i="11"/>
  <c r="D23" i="11"/>
  <c r="C23" i="11"/>
  <c r="B23" i="11"/>
  <c r="A23" i="11"/>
  <c r="Z22" i="11"/>
  <c r="Y22" i="11"/>
  <c r="X22" i="11"/>
  <c r="W22" i="11"/>
  <c r="V22" i="11"/>
  <c r="U22" i="11"/>
  <c r="T22" i="11"/>
  <c r="S22" i="11"/>
  <c r="R22" i="11"/>
  <c r="Q22" i="11"/>
  <c r="P22" i="11"/>
  <c r="O22" i="11"/>
  <c r="N22" i="11"/>
  <c r="M22" i="11"/>
  <c r="L22" i="11"/>
  <c r="K22" i="11"/>
  <c r="J22" i="11"/>
  <c r="I22" i="11"/>
  <c r="H22" i="11"/>
  <c r="G22" i="11"/>
  <c r="F22" i="11"/>
  <c r="E22" i="11"/>
  <c r="D22" i="11"/>
  <c r="C22" i="11"/>
  <c r="B22" i="11"/>
  <c r="A22" i="11"/>
  <c r="Z21" i="11"/>
  <c r="Y21" i="11"/>
  <c r="X21" i="11"/>
  <c r="W21" i="11"/>
  <c r="V21" i="11"/>
  <c r="U21" i="11"/>
  <c r="T21" i="11"/>
  <c r="S21" i="11"/>
  <c r="R21" i="11"/>
  <c r="Q21" i="11"/>
  <c r="P21" i="11"/>
  <c r="O21" i="11"/>
  <c r="N21" i="11"/>
  <c r="M21" i="11"/>
  <c r="L21" i="11"/>
  <c r="K21" i="11"/>
  <c r="J21" i="11"/>
  <c r="I21" i="11"/>
  <c r="H21" i="11"/>
  <c r="G21" i="11"/>
  <c r="F21" i="11"/>
  <c r="E21" i="11"/>
  <c r="D21" i="11"/>
  <c r="C21" i="11"/>
  <c r="B21" i="11"/>
  <c r="A21" i="11"/>
  <c r="Y20" i="11"/>
  <c r="T20" i="11"/>
  <c r="Q20" i="11"/>
  <c r="L20" i="11"/>
  <c r="I20" i="11"/>
  <c r="D20" i="11"/>
  <c r="A20" i="11"/>
  <c r="Z19" i="11"/>
  <c r="Y19" i="11"/>
  <c r="X19" i="11"/>
  <c r="W19" i="11"/>
  <c r="V19" i="11"/>
  <c r="U19" i="11"/>
  <c r="T19" i="11"/>
  <c r="S19" i="11"/>
  <c r="R19" i="11"/>
  <c r="Q19" i="11"/>
  <c r="P19" i="11"/>
  <c r="O19" i="11"/>
  <c r="N19" i="11"/>
  <c r="M19" i="11"/>
  <c r="L19" i="11"/>
  <c r="K19" i="11"/>
  <c r="J19" i="11"/>
  <c r="I19" i="11"/>
  <c r="H19" i="11"/>
  <c r="G19" i="11"/>
  <c r="F19" i="11"/>
  <c r="E19" i="11"/>
  <c r="D19" i="11"/>
  <c r="C19" i="11"/>
  <c r="B19" i="11"/>
  <c r="A19" i="11"/>
  <c r="Z18" i="11"/>
  <c r="Y18" i="11"/>
  <c r="X18" i="11"/>
  <c r="W18" i="11"/>
  <c r="V18" i="11"/>
  <c r="U18" i="11"/>
  <c r="T18" i="11"/>
  <c r="S18" i="11"/>
  <c r="R18" i="11"/>
  <c r="Q18" i="11"/>
  <c r="P18" i="11"/>
  <c r="O18" i="11"/>
  <c r="N18" i="11"/>
  <c r="M18" i="11"/>
  <c r="L18" i="11"/>
  <c r="K18" i="11"/>
  <c r="J18" i="11"/>
  <c r="I18" i="11"/>
  <c r="H18" i="11"/>
  <c r="G18" i="11"/>
  <c r="F18" i="11"/>
  <c r="E18" i="11"/>
  <c r="D18" i="11"/>
  <c r="C18" i="11"/>
  <c r="B18" i="11"/>
  <c r="A18" i="11"/>
  <c r="Z17" i="11"/>
  <c r="U17" i="11"/>
  <c r="R17" i="11"/>
  <c r="M17" i="11"/>
  <c r="J17" i="11"/>
  <c r="E17" i="11"/>
  <c r="B17" i="11"/>
  <c r="Y16" i="11"/>
  <c r="T16" i="11"/>
  <c r="Q16" i="11"/>
  <c r="L16" i="11"/>
  <c r="I16" i="11"/>
  <c r="D16" i="11"/>
  <c r="A16" i="11"/>
  <c r="Z15" i="11"/>
  <c r="Y15" i="11"/>
  <c r="X15" i="11"/>
  <c r="W15" i="11"/>
  <c r="V15" i="11"/>
  <c r="U15" i="11"/>
  <c r="T15" i="11"/>
  <c r="S15" i="11"/>
  <c r="R15" i="11"/>
  <c r="Q15" i="11"/>
  <c r="P15" i="11"/>
  <c r="O15" i="11"/>
  <c r="N15" i="11"/>
  <c r="M15" i="11"/>
  <c r="L15" i="11"/>
  <c r="K15" i="11"/>
  <c r="J15" i="11"/>
  <c r="I15" i="11"/>
  <c r="H15" i="11"/>
  <c r="G15" i="11"/>
  <c r="F15" i="11"/>
  <c r="E15" i="11"/>
  <c r="D15" i="11"/>
  <c r="C15" i="11"/>
  <c r="B15" i="11"/>
  <c r="A15" i="11"/>
  <c r="Z14" i="11"/>
  <c r="Y14" i="11"/>
  <c r="X14" i="11"/>
  <c r="W14" i="11"/>
  <c r="V14" i="11"/>
  <c r="U14" i="11"/>
  <c r="T14" i="11"/>
  <c r="S14" i="11"/>
  <c r="R14" i="11"/>
  <c r="Q14" i="11"/>
  <c r="P14" i="11"/>
  <c r="O14" i="11"/>
  <c r="N14" i="11"/>
  <c r="M14" i="11"/>
  <c r="L14" i="11"/>
  <c r="K14" i="11"/>
  <c r="J14" i="11"/>
  <c r="I14" i="11"/>
  <c r="H14" i="11"/>
  <c r="G14" i="11"/>
  <c r="F14" i="11"/>
  <c r="E14" i="11"/>
  <c r="D14" i="11"/>
  <c r="C14" i="11"/>
  <c r="B14" i="11"/>
  <c r="A14" i="11"/>
  <c r="Z13" i="11"/>
  <c r="Y13" i="11"/>
  <c r="X13" i="11"/>
  <c r="W13" i="11"/>
  <c r="V13" i="11"/>
  <c r="U13" i="11"/>
  <c r="T13" i="11"/>
  <c r="S13" i="1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B13" i="11"/>
  <c r="A13" i="11"/>
  <c r="Y12" i="11"/>
  <c r="T12" i="11"/>
  <c r="Q12" i="11"/>
  <c r="L12" i="11"/>
  <c r="I12" i="11"/>
  <c r="D12" i="11"/>
  <c r="A12" i="11"/>
  <c r="Z11" i="11"/>
  <c r="Y11" i="11"/>
  <c r="X11" i="11"/>
  <c r="W11" i="11"/>
  <c r="V11" i="11"/>
  <c r="U11" i="11"/>
  <c r="T11" i="11"/>
  <c r="S11" i="1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B11" i="11"/>
  <c r="A11" i="11"/>
  <c r="Z10" i="11"/>
  <c r="U10" i="11"/>
  <c r="O10" i="11"/>
  <c r="N10" i="11"/>
  <c r="M10" i="11"/>
  <c r="L10" i="11"/>
  <c r="K10" i="11"/>
  <c r="J10" i="11"/>
  <c r="I10" i="11"/>
  <c r="G10" i="11"/>
  <c r="F10" i="11"/>
  <c r="E10" i="11"/>
  <c r="D10" i="11"/>
  <c r="C10" i="11"/>
  <c r="B10" i="11"/>
  <c r="Z9" i="11"/>
  <c r="W9" i="11"/>
  <c r="O9" i="11"/>
  <c r="M9" i="11"/>
  <c r="L9" i="11"/>
  <c r="K9" i="11"/>
  <c r="J9" i="11"/>
  <c r="I9" i="11"/>
  <c r="H9" i="11"/>
  <c r="G9" i="11"/>
  <c r="E9" i="11"/>
  <c r="D9" i="11"/>
  <c r="B9" i="11"/>
  <c r="A9" i="11"/>
  <c r="T8" i="11"/>
  <c r="Q8" i="11"/>
  <c r="L8" i="11"/>
  <c r="I8" i="11"/>
  <c r="D8" i="11"/>
  <c r="A8" i="11"/>
  <c r="V7" i="11"/>
  <c r="S7" i="11"/>
  <c r="O7" i="11"/>
  <c r="N7" i="11"/>
  <c r="M7" i="11"/>
  <c r="L7" i="11"/>
  <c r="K7" i="11"/>
  <c r="I7" i="11"/>
  <c r="H7" i="11"/>
  <c r="G7" i="11"/>
  <c r="E7" i="11"/>
  <c r="D7" i="11"/>
  <c r="C7" i="11"/>
  <c r="B7" i="11"/>
  <c r="A7" i="11"/>
  <c r="Z6" i="11"/>
  <c r="U6" i="11"/>
  <c r="P6" i="11"/>
  <c r="O6" i="11"/>
  <c r="M6" i="11"/>
  <c r="L6" i="11"/>
  <c r="K6" i="11"/>
  <c r="J6" i="11"/>
  <c r="I6" i="11"/>
  <c r="H6" i="11"/>
  <c r="G6" i="11"/>
  <c r="E6" i="11"/>
  <c r="D6" i="11"/>
  <c r="C6" i="11"/>
  <c r="B6" i="11"/>
  <c r="Z5" i="11"/>
  <c r="W5" i="11"/>
  <c r="O5" i="11"/>
  <c r="M5" i="11"/>
  <c r="L5" i="11"/>
  <c r="K5" i="11"/>
  <c r="J5" i="11"/>
  <c r="I5" i="11"/>
  <c r="H5" i="11"/>
  <c r="G5" i="11"/>
  <c r="E5" i="11"/>
  <c r="D5" i="11"/>
  <c r="C5" i="11"/>
  <c r="B5" i="11"/>
  <c r="T4" i="11"/>
  <c r="Q4" i="11"/>
  <c r="L4" i="11"/>
  <c r="I4" i="11"/>
  <c r="D4" i="11"/>
  <c r="A4" i="11"/>
  <c r="V3" i="11"/>
  <c r="O3" i="11"/>
  <c r="N3" i="11"/>
  <c r="M3" i="11"/>
  <c r="L3" i="11"/>
  <c r="I3" i="11"/>
  <c r="H3" i="11"/>
  <c r="G3" i="11"/>
  <c r="F3" i="11"/>
  <c r="E3" i="11"/>
  <c r="D3" i="11"/>
  <c r="C3" i="11"/>
  <c r="B3" i="11"/>
  <c r="A3" i="11"/>
  <c r="AB1" i="11"/>
  <c r="B17" i="10"/>
  <c r="B15" i="10"/>
  <c r="S11" i="10"/>
  <c r="C4" i="10"/>
  <c r="Z1" i="10"/>
  <c r="C4" i="9"/>
  <c r="I1" i="9"/>
  <c r="B117" i="8"/>
  <c r="B109" i="8"/>
  <c r="B101" i="8"/>
  <c r="B93" i="8"/>
  <c r="B85" i="8"/>
  <c r="B77" i="8"/>
  <c r="B69" i="8"/>
  <c r="B61" i="8"/>
  <c r="B18" i="8"/>
  <c r="B17" i="8"/>
  <c r="B16" i="8"/>
  <c r="B15" i="8"/>
  <c r="B14" i="8"/>
  <c r="B13" i="8"/>
  <c r="B12" i="8"/>
  <c r="B11" i="8"/>
  <c r="N4" i="8"/>
  <c r="M4" i="8"/>
  <c r="A7" i="8" s="1"/>
  <c r="L4" i="8"/>
  <c r="Q1" i="8"/>
  <c r="C126" i="7"/>
  <c r="C125" i="7"/>
  <c r="C124" i="7"/>
  <c r="C123" i="7"/>
  <c r="C122" i="7"/>
  <c r="C121" i="7"/>
  <c r="C120" i="7"/>
  <c r="C119" i="7"/>
  <c r="A49" i="7"/>
  <c r="A48" i="7"/>
  <c r="A47" i="7"/>
  <c r="A46" i="7"/>
  <c r="A45" i="7"/>
  <c r="A44" i="7"/>
  <c r="A43" i="7"/>
  <c r="A42" i="7"/>
  <c r="F38" i="7"/>
  <c r="M27" i="7" s="1"/>
  <c r="C4" i="7"/>
  <c r="Q2" i="7"/>
  <c r="A118" i="6"/>
  <c r="A117" i="6"/>
  <c r="A116" i="6"/>
  <c r="A115" i="6"/>
  <c r="A114" i="6"/>
  <c r="A113" i="6"/>
  <c r="A112" i="6"/>
  <c r="A111" i="6"/>
  <c r="A108" i="6"/>
  <c r="A107" i="6"/>
  <c r="A106" i="6"/>
  <c r="A105" i="6"/>
  <c r="A104" i="6"/>
  <c r="A103" i="6"/>
  <c r="A102" i="6"/>
  <c r="A101" i="6"/>
  <c r="C77" i="6"/>
  <c r="C76" i="6"/>
  <c r="C75" i="6"/>
  <c r="C74" i="6"/>
  <c r="C73" i="6"/>
  <c r="C72" i="6"/>
  <c r="C71" i="6"/>
  <c r="C70" i="6"/>
  <c r="E45" i="6"/>
  <c r="C4" i="6"/>
  <c r="R2" i="6"/>
  <c r="Q1" i="6"/>
  <c r="N1" i="6"/>
  <c r="A46" i="5"/>
  <c r="L2" i="5"/>
  <c r="N3" i="4"/>
  <c r="R2" i="4"/>
  <c r="AA1206" i="3"/>
  <c r="R1206" i="3"/>
  <c r="Z1206" i="3" s="1"/>
  <c r="E1206" i="3"/>
  <c r="D1201" i="13" s="1"/>
  <c r="AA1205" i="3"/>
  <c r="R1205" i="3"/>
  <c r="Z1205" i="3" s="1"/>
  <c r="E1205" i="3"/>
  <c r="D1200" i="13" s="1"/>
  <c r="AA1204" i="3"/>
  <c r="R1204" i="3"/>
  <c r="Z1204" i="3" s="1"/>
  <c r="E1204" i="3"/>
  <c r="D1199" i="13" s="1"/>
  <c r="AA1203" i="3"/>
  <c r="R1203" i="3"/>
  <c r="Z1203" i="3" s="1"/>
  <c r="E1203" i="3"/>
  <c r="D1198" i="13" s="1"/>
  <c r="AA1202" i="3"/>
  <c r="R1202" i="3"/>
  <c r="Z1202" i="3" s="1"/>
  <c r="E1202" i="3"/>
  <c r="D1197" i="13" s="1"/>
  <c r="AA1201" i="3"/>
  <c r="R1201" i="3"/>
  <c r="Z1201" i="3" s="1"/>
  <c r="E1201" i="3"/>
  <c r="D1196" i="13" s="1"/>
  <c r="AA1200" i="3"/>
  <c r="R1200" i="3"/>
  <c r="Z1200" i="3" s="1"/>
  <c r="E1200" i="3"/>
  <c r="D1195" i="13" s="1"/>
  <c r="AA1199" i="3"/>
  <c r="R1199" i="3"/>
  <c r="Z1199" i="3" s="1"/>
  <c r="E1199" i="3"/>
  <c r="D1194" i="13" s="1"/>
  <c r="AA1198" i="3"/>
  <c r="R1198" i="3"/>
  <c r="Z1198" i="3" s="1"/>
  <c r="E1198" i="3"/>
  <c r="D1193" i="13" s="1"/>
  <c r="AA1197" i="3"/>
  <c r="R1197" i="3"/>
  <c r="Z1197" i="3" s="1"/>
  <c r="E1197" i="3"/>
  <c r="D1192" i="13" s="1"/>
  <c r="AA1196" i="3"/>
  <c r="R1196" i="3"/>
  <c r="Z1196" i="3" s="1"/>
  <c r="E1196" i="3"/>
  <c r="D1191" i="13" s="1"/>
  <c r="AA1195" i="3"/>
  <c r="R1195" i="3"/>
  <c r="Z1195" i="3" s="1"/>
  <c r="E1195" i="3"/>
  <c r="D1190" i="13" s="1"/>
  <c r="AA1194" i="3"/>
  <c r="R1194" i="3"/>
  <c r="Z1194" i="3" s="1"/>
  <c r="E1194" i="3"/>
  <c r="D1189" i="13" s="1"/>
  <c r="AA1193" i="3"/>
  <c r="R1193" i="3"/>
  <c r="Z1193" i="3" s="1"/>
  <c r="E1193" i="3"/>
  <c r="D1188" i="13" s="1"/>
  <c r="AA1192" i="3"/>
  <c r="R1192" i="3"/>
  <c r="Z1192" i="3" s="1"/>
  <c r="E1192" i="3"/>
  <c r="D1187" i="13" s="1"/>
  <c r="AA1191" i="3"/>
  <c r="R1191" i="3"/>
  <c r="Z1191" i="3" s="1"/>
  <c r="E1191" i="3"/>
  <c r="D1186" i="13" s="1"/>
  <c r="AA1190" i="3"/>
  <c r="R1190" i="3"/>
  <c r="Z1190" i="3" s="1"/>
  <c r="E1190" i="3"/>
  <c r="D1185" i="13" s="1"/>
  <c r="AA1189" i="3"/>
  <c r="R1189" i="3"/>
  <c r="Z1189" i="3" s="1"/>
  <c r="E1189" i="3"/>
  <c r="D1184" i="13" s="1"/>
  <c r="AA1188" i="3"/>
  <c r="R1188" i="3"/>
  <c r="Z1188" i="3" s="1"/>
  <c r="E1188" i="3"/>
  <c r="D1183" i="13" s="1"/>
  <c r="AA1187" i="3"/>
  <c r="R1187" i="3"/>
  <c r="Z1187" i="3" s="1"/>
  <c r="E1187" i="3"/>
  <c r="D1182" i="13" s="1"/>
  <c r="AA1186" i="3"/>
  <c r="R1186" i="3"/>
  <c r="Z1186" i="3" s="1"/>
  <c r="E1186" i="3"/>
  <c r="D1181" i="13" s="1"/>
  <c r="AA1185" i="3"/>
  <c r="R1185" i="3"/>
  <c r="Z1185" i="3" s="1"/>
  <c r="E1185" i="3"/>
  <c r="D1180" i="13" s="1"/>
  <c r="AA1184" i="3"/>
  <c r="R1184" i="3"/>
  <c r="Z1184" i="3" s="1"/>
  <c r="E1184" i="3"/>
  <c r="D1179" i="13" s="1"/>
  <c r="AA1183" i="3"/>
  <c r="R1183" i="3"/>
  <c r="Z1183" i="3" s="1"/>
  <c r="E1183" i="3"/>
  <c r="D1178" i="13" s="1"/>
  <c r="AA1182" i="3"/>
  <c r="R1182" i="3"/>
  <c r="Z1182" i="3" s="1"/>
  <c r="E1182" i="3"/>
  <c r="D1177" i="13" s="1"/>
  <c r="AA1181" i="3"/>
  <c r="R1181" i="3"/>
  <c r="Z1181" i="3" s="1"/>
  <c r="E1181" i="3"/>
  <c r="D1176" i="13" s="1"/>
  <c r="AA1180" i="3"/>
  <c r="R1180" i="3"/>
  <c r="Z1180" i="3" s="1"/>
  <c r="E1180" i="3"/>
  <c r="D1175" i="13" s="1"/>
  <c r="AA1179" i="3"/>
  <c r="R1179" i="3"/>
  <c r="Z1179" i="3" s="1"/>
  <c r="E1179" i="3"/>
  <c r="D1174" i="13" s="1"/>
  <c r="AA1178" i="3"/>
  <c r="R1178" i="3"/>
  <c r="Z1178" i="3" s="1"/>
  <c r="E1178" i="3"/>
  <c r="D1173" i="13" s="1"/>
  <c r="AA1177" i="3"/>
  <c r="R1177" i="3"/>
  <c r="Z1177" i="3" s="1"/>
  <c r="E1177" i="3"/>
  <c r="D1172" i="13" s="1"/>
  <c r="AA1176" i="3"/>
  <c r="R1176" i="3"/>
  <c r="Z1176" i="3" s="1"/>
  <c r="E1176" i="3"/>
  <c r="D1171" i="13" s="1"/>
  <c r="AA1175" i="3"/>
  <c r="R1175" i="3"/>
  <c r="Z1175" i="3" s="1"/>
  <c r="E1175" i="3"/>
  <c r="D1170" i="13" s="1"/>
  <c r="AA1174" i="3"/>
  <c r="R1174" i="3"/>
  <c r="Z1174" i="3" s="1"/>
  <c r="E1174" i="3"/>
  <c r="D1169" i="13" s="1"/>
  <c r="AA1173" i="3"/>
  <c r="R1173" i="3"/>
  <c r="Z1173" i="3" s="1"/>
  <c r="E1173" i="3"/>
  <c r="D1168" i="13" s="1"/>
  <c r="AA1172" i="3"/>
  <c r="R1172" i="3"/>
  <c r="Z1172" i="3" s="1"/>
  <c r="E1172" i="3"/>
  <c r="D1167" i="13" s="1"/>
  <c r="AA1171" i="3"/>
  <c r="R1171" i="3"/>
  <c r="Z1171" i="3" s="1"/>
  <c r="E1171" i="3"/>
  <c r="D1166" i="13" s="1"/>
  <c r="AA1170" i="3"/>
  <c r="R1170" i="3"/>
  <c r="Z1170" i="3" s="1"/>
  <c r="E1170" i="3"/>
  <c r="D1165" i="13" s="1"/>
  <c r="AA1169" i="3"/>
  <c r="R1169" i="3"/>
  <c r="Z1169" i="3" s="1"/>
  <c r="E1169" i="3"/>
  <c r="D1164" i="13" s="1"/>
  <c r="AA1168" i="3"/>
  <c r="R1168" i="3"/>
  <c r="Z1168" i="3" s="1"/>
  <c r="E1168" i="3"/>
  <c r="D1163" i="13" s="1"/>
  <c r="AA1167" i="3"/>
  <c r="R1167" i="3"/>
  <c r="Z1167" i="3" s="1"/>
  <c r="E1167" i="3"/>
  <c r="D1162" i="13" s="1"/>
  <c r="AA1166" i="3"/>
  <c r="R1166" i="3"/>
  <c r="Z1166" i="3" s="1"/>
  <c r="E1166" i="3"/>
  <c r="D1161" i="13" s="1"/>
  <c r="AA1165" i="3"/>
  <c r="R1165" i="3"/>
  <c r="Z1165" i="3" s="1"/>
  <c r="E1165" i="3"/>
  <c r="D1160" i="13" s="1"/>
  <c r="AA1164" i="3"/>
  <c r="R1164" i="3"/>
  <c r="Z1164" i="3" s="1"/>
  <c r="E1164" i="3"/>
  <c r="D1159" i="13" s="1"/>
  <c r="AA1163" i="3"/>
  <c r="R1163" i="3"/>
  <c r="Z1163" i="3" s="1"/>
  <c r="E1163" i="3"/>
  <c r="D1158" i="13" s="1"/>
  <c r="AA1162" i="3"/>
  <c r="R1162" i="3"/>
  <c r="Z1162" i="3" s="1"/>
  <c r="E1162" i="3"/>
  <c r="D1157" i="13" s="1"/>
  <c r="AA1161" i="3"/>
  <c r="R1161" i="3"/>
  <c r="Z1161" i="3" s="1"/>
  <c r="E1161" i="3"/>
  <c r="D1156" i="13" s="1"/>
  <c r="AA1160" i="3"/>
  <c r="R1160" i="3"/>
  <c r="Z1160" i="3" s="1"/>
  <c r="E1160" i="3"/>
  <c r="D1155" i="13" s="1"/>
  <c r="AA1159" i="3"/>
  <c r="R1159" i="3"/>
  <c r="Z1159" i="3" s="1"/>
  <c r="E1159" i="3"/>
  <c r="D1154" i="13" s="1"/>
  <c r="AA1158" i="3"/>
  <c r="R1158" i="3"/>
  <c r="Z1158" i="3" s="1"/>
  <c r="E1158" i="3"/>
  <c r="D1153" i="13" s="1"/>
  <c r="AA1157" i="3"/>
  <c r="R1157" i="3"/>
  <c r="Z1157" i="3" s="1"/>
  <c r="E1157" i="3"/>
  <c r="D1152" i="13" s="1"/>
  <c r="AA1156" i="3"/>
  <c r="R1156" i="3"/>
  <c r="Z1156" i="3" s="1"/>
  <c r="E1156" i="3"/>
  <c r="D1151" i="13" s="1"/>
  <c r="AA1155" i="3"/>
  <c r="R1155" i="3"/>
  <c r="Z1155" i="3" s="1"/>
  <c r="E1155" i="3"/>
  <c r="D1150" i="13" s="1"/>
  <c r="AA1154" i="3"/>
  <c r="R1154" i="3"/>
  <c r="Z1154" i="3" s="1"/>
  <c r="E1154" i="3"/>
  <c r="D1149" i="13" s="1"/>
  <c r="AA1153" i="3"/>
  <c r="R1153" i="3"/>
  <c r="Z1153" i="3" s="1"/>
  <c r="E1153" i="3"/>
  <c r="D1148" i="13" s="1"/>
  <c r="AA1152" i="3"/>
  <c r="R1152" i="3"/>
  <c r="Z1152" i="3" s="1"/>
  <c r="E1152" i="3"/>
  <c r="D1147" i="13" s="1"/>
  <c r="AA1151" i="3"/>
  <c r="R1151" i="3"/>
  <c r="Z1151" i="3" s="1"/>
  <c r="E1151" i="3"/>
  <c r="D1146" i="13" s="1"/>
  <c r="AA1150" i="3"/>
  <c r="R1150" i="3"/>
  <c r="Z1150" i="3" s="1"/>
  <c r="E1150" i="3"/>
  <c r="D1145" i="13" s="1"/>
  <c r="AA1149" i="3"/>
  <c r="R1149" i="3"/>
  <c r="Z1149" i="3" s="1"/>
  <c r="E1149" i="3"/>
  <c r="D1144" i="13" s="1"/>
  <c r="AA1148" i="3"/>
  <c r="R1148" i="3"/>
  <c r="Z1148" i="3" s="1"/>
  <c r="E1148" i="3"/>
  <c r="D1143" i="13" s="1"/>
  <c r="AA1147" i="3"/>
  <c r="R1147" i="3"/>
  <c r="Z1147" i="3" s="1"/>
  <c r="E1147" i="3"/>
  <c r="D1142" i="13" s="1"/>
  <c r="AA1146" i="3"/>
  <c r="R1146" i="3"/>
  <c r="Z1146" i="3" s="1"/>
  <c r="E1146" i="3"/>
  <c r="D1141" i="13" s="1"/>
  <c r="AA1145" i="3"/>
  <c r="R1145" i="3"/>
  <c r="Z1145" i="3" s="1"/>
  <c r="E1145" i="3"/>
  <c r="D1140" i="13" s="1"/>
  <c r="AA1144" i="3"/>
  <c r="R1144" i="3"/>
  <c r="Z1144" i="3" s="1"/>
  <c r="E1144" i="3"/>
  <c r="D1139" i="13" s="1"/>
  <c r="AA1143" i="3"/>
  <c r="R1143" i="3"/>
  <c r="Z1143" i="3" s="1"/>
  <c r="E1143" i="3"/>
  <c r="D1138" i="13" s="1"/>
  <c r="AA1142" i="3"/>
  <c r="R1142" i="3"/>
  <c r="Z1142" i="3" s="1"/>
  <c r="E1142" i="3"/>
  <c r="D1137" i="13" s="1"/>
  <c r="AA1141" i="3"/>
  <c r="R1141" i="3"/>
  <c r="Z1141" i="3" s="1"/>
  <c r="E1141" i="3"/>
  <c r="D1136" i="13" s="1"/>
  <c r="AA1140" i="3"/>
  <c r="R1140" i="3"/>
  <c r="Z1140" i="3" s="1"/>
  <c r="E1140" i="3"/>
  <c r="D1135" i="13" s="1"/>
  <c r="AA1139" i="3"/>
  <c r="R1139" i="3"/>
  <c r="Z1139" i="3" s="1"/>
  <c r="E1139" i="3"/>
  <c r="D1134" i="13" s="1"/>
  <c r="AA1138" i="3"/>
  <c r="R1138" i="3"/>
  <c r="Z1138" i="3" s="1"/>
  <c r="E1138" i="3"/>
  <c r="D1133" i="13" s="1"/>
  <c r="AA1137" i="3"/>
  <c r="R1137" i="3"/>
  <c r="Z1137" i="3" s="1"/>
  <c r="E1137" i="3"/>
  <c r="D1132" i="13" s="1"/>
  <c r="AA1136" i="3"/>
  <c r="R1136" i="3"/>
  <c r="Z1136" i="3" s="1"/>
  <c r="E1136" i="3"/>
  <c r="D1131" i="13" s="1"/>
  <c r="AA1135" i="3"/>
  <c r="R1135" i="3"/>
  <c r="Z1135" i="3" s="1"/>
  <c r="E1135" i="3"/>
  <c r="D1130" i="13" s="1"/>
  <c r="AA1134" i="3"/>
  <c r="R1134" i="3"/>
  <c r="Z1134" i="3" s="1"/>
  <c r="E1134" i="3"/>
  <c r="D1129" i="13" s="1"/>
  <c r="AA1133" i="3"/>
  <c r="R1133" i="3"/>
  <c r="Z1133" i="3" s="1"/>
  <c r="E1133" i="3"/>
  <c r="D1128" i="13" s="1"/>
  <c r="AA1132" i="3"/>
  <c r="R1132" i="3"/>
  <c r="Z1132" i="3" s="1"/>
  <c r="E1132" i="3"/>
  <c r="D1127" i="13" s="1"/>
  <c r="AA1131" i="3"/>
  <c r="R1131" i="3"/>
  <c r="Z1131" i="3" s="1"/>
  <c r="E1131" i="3"/>
  <c r="D1126" i="13" s="1"/>
  <c r="AA1130" i="3"/>
  <c r="R1130" i="3"/>
  <c r="Z1130" i="3" s="1"/>
  <c r="E1130" i="3"/>
  <c r="D1125" i="13" s="1"/>
  <c r="AA1129" i="3"/>
  <c r="R1129" i="3"/>
  <c r="Z1129" i="3" s="1"/>
  <c r="E1129" i="3"/>
  <c r="D1124" i="13" s="1"/>
  <c r="AA1128" i="3"/>
  <c r="R1128" i="3"/>
  <c r="Z1128" i="3" s="1"/>
  <c r="E1128" i="3"/>
  <c r="D1123" i="13" s="1"/>
  <c r="AA1127" i="3"/>
  <c r="R1127" i="3"/>
  <c r="Z1127" i="3" s="1"/>
  <c r="E1127" i="3"/>
  <c r="D1122" i="13" s="1"/>
  <c r="AA1126" i="3"/>
  <c r="R1126" i="3"/>
  <c r="Z1126" i="3" s="1"/>
  <c r="E1126" i="3"/>
  <c r="D1121" i="13" s="1"/>
  <c r="AA1125" i="3"/>
  <c r="R1125" i="3"/>
  <c r="Z1125" i="3" s="1"/>
  <c r="E1125" i="3"/>
  <c r="D1120" i="13" s="1"/>
  <c r="AA1124" i="3"/>
  <c r="R1124" i="3"/>
  <c r="Z1124" i="3" s="1"/>
  <c r="E1124" i="3"/>
  <c r="D1119" i="13" s="1"/>
  <c r="AA1123" i="3"/>
  <c r="R1123" i="3"/>
  <c r="Z1123" i="3" s="1"/>
  <c r="E1123" i="3"/>
  <c r="D1118" i="13" s="1"/>
  <c r="AA1122" i="3"/>
  <c r="R1122" i="3"/>
  <c r="Z1122" i="3" s="1"/>
  <c r="E1122" i="3"/>
  <c r="D1117" i="13" s="1"/>
  <c r="AA1121" i="3"/>
  <c r="R1121" i="3"/>
  <c r="Z1121" i="3" s="1"/>
  <c r="E1121" i="3"/>
  <c r="D1116" i="13" s="1"/>
  <c r="AA1120" i="3"/>
  <c r="R1120" i="3"/>
  <c r="Z1120" i="3" s="1"/>
  <c r="E1120" i="3"/>
  <c r="D1115" i="13" s="1"/>
  <c r="AA1119" i="3"/>
  <c r="R1119" i="3"/>
  <c r="Z1119" i="3" s="1"/>
  <c r="E1119" i="3"/>
  <c r="D1114" i="13" s="1"/>
  <c r="AA1118" i="3"/>
  <c r="R1118" i="3"/>
  <c r="Z1118" i="3" s="1"/>
  <c r="E1118" i="3"/>
  <c r="D1113" i="13" s="1"/>
  <c r="AA1117" i="3"/>
  <c r="R1117" i="3"/>
  <c r="Z1117" i="3" s="1"/>
  <c r="E1117" i="3"/>
  <c r="D1112" i="13" s="1"/>
  <c r="AA1116" i="3"/>
  <c r="R1116" i="3"/>
  <c r="Z1116" i="3" s="1"/>
  <c r="E1116" i="3"/>
  <c r="D1111" i="13" s="1"/>
  <c r="AA1115" i="3"/>
  <c r="R1115" i="3"/>
  <c r="Z1115" i="3" s="1"/>
  <c r="E1115" i="3"/>
  <c r="D1110" i="13" s="1"/>
  <c r="AA1114" i="3"/>
  <c r="R1114" i="3"/>
  <c r="Z1114" i="3" s="1"/>
  <c r="E1114" i="3"/>
  <c r="D1109" i="13" s="1"/>
  <c r="AA1113" i="3"/>
  <c r="R1113" i="3"/>
  <c r="Z1113" i="3" s="1"/>
  <c r="E1113" i="3"/>
  <c r="D1108" i="13" s="1"/>
  <c r="AA1112" i="3"/>
  <c r="R1112" i="3"/>
  <c r="Z1112" i="3" s="1"/>
  <c r="E1112" i="3"/>
  <c r="D1107" i="13" s="1"/>
  <c r="AA1111" i="3"/>
  <c r="R1111" i="3"/>
  <c r="Z1111" i="3" s="1"/>
  <c r="E1111" i="3"/>
  <c r="D1106" i="13" s="1"/>
  <c r="AA1110" i="3"/>
  <c r="R1110" i="3"/>
  <c r="Z1110" i="3" s="1"/>
  <c r="E1110" i="3"/>
  <c r="D1105" i="13" s="1"/>
  <c r="AA1109" i="3"/>
  <c r="R1109" i="3"/>
  <c r="Z1109" i="3" s="1"/>
  <c r="E1109" i="3"/>
  <c r="D1104" i="13" s="1"/>
  <c r="AA1108" i="3"/>
  <c r="R1108" i="3"/>
  <c r="Z1108" i="3" s="1"/>
  <c r="E1108" i="3"/>
  <c r="D1103" i="13" s="1"/>
  <c r="AA1107" i="3"/>
  <c r="R1107" i="3"/>
  <c r="Z1107" i="3" s="1"/>
  <c r="E1107" i="3"/>
  <c r="D1102" i="13" s="1"/>
  <c r="AA1106" i="3"/>
  <c r="R1106" i="3"/>
  <c r="Z1106" i="3" s="1"/>
  <c r="E1106" i="3"/>
  <c r="D1101" i="13" s="1"/>
  <c r="AA1105" i="3"/>
  <c r="R1105" i="3"/>
  <c r="Z1105" i="3" s="1"/>
  <c r="E1105" i="3"/>
  <c r="D1100" i="13" s="1"/>
  <c r="AA1104" i="3"/>
  <c r="R1104" i="3"/>
  <c r="Z1104" i="3" s="1"/>
  <c r="E1104" i="3"/>
  <c r="D1099" i="13" s="1"/>
  <c r="AA1103" i="3"/>
  <c r="R1103" i="3"/>
  <c r="Z1103" i="3" s="1"/>
  <c r="E1103" i="3"/>
  <c r="D1098" i="13" s="1"/>
  <c r="AA1102" i="3"/>
  <c r="R1102" i="3"/>
  <c r="Z1102" i="3" s="1"/>
  <c r="E1102" i="3"/>
  <c r="D1097" i="13" s="1"/>
  <c r="AA1101" i="3"/>
  <c r="R1101" i="3"/>
  <c r="Z1101" i="3" s="1"/>
  <c r="E1101" i="3"/>
  <c r="D1096" i="13" s="1"/>
  <c r="AA1100" i="3"/>
  <c r="R1100" i="3"/>
  <c r="Z1100" i="3" s="1"/>
  <c r="E1100" i="3"/>
  <c r="D1095" i="13" s="1"/>
  <c r="AA1099" i="3"/>
  <c r="R1099" i="3"/>
  <c r="Z1099" i="3" s="1"/>
  <c r="E1099" i="3"/>
  <c r="D1094" i="13" s="1"/>
  <c r="AA1098" i="3"/>
  <c r="R1098" i="3"/>
  <c r="Z1098" i="3" s="1"/>
  <c r="E1098" i="3"/>
  <c r="D1093" i="13" s="1"/>
  <c r="AA1097" i="3"/>
  <c r="R1097" i="3"/>
  <c r="Z1097" i="3" s="1"/>
  <c r="E1097" i="3"/>
  <c r="D1092" i="13" s="1"/>
  <c r="AA1096" i="3"/>
  <c r="R1096" i="3"/>
  <c r="Z1096" i="3" s="1"/>
  <c r="E1096" i="3"/>
  <c r="D1091" i="13" s="1"/>
  <c r="AA1095" i="3"/>
  <c r="R1095" i="3"/>
  <c r="Z1095" i="3" s="1"/>
  <c r="E1095" i="3"/>
  <c r="D1090" i="13" s="1"/>
  <c r="AA1094" i="3"/>
  <c r="R1094" i="3"/>
  <c r="Z1094" i="3" s="1"/>
  <c r="E1094" i="3"/>
  <c r="D1089" i="13" s="1"/>
  <c r="AA1093" i="3"/>
  <c r="R1093" i="3"/>
  <c r="Z1093" i="3" s="1"/>
  <c r="E1093" i="3"/>
  <c r="D1088" i="13" s="1"/>
  <c r="AA1092" i="3"/>
  <c r="R1092" i="3"/>
  <c r="Z1092" i="3" s="1"/>
  <c r="E1092" i="3"/>
  <c r="D1087" i="13" s="1"/>
  <c r="AA1091" i="3"/>
  <c r="R1091" i="3"/>
  <c r="Z1091" i="3" s="1"/>
  <c r="E1091" i="3"/>
  <c r="D1086" i="13" s="1"/>
  <c r="AA1090" i="3"/>
  <c r="R1090" i="3"/>
  <c r="Z1090" i="3" s="1"/>
  <c r="E1090" i="3"/>
  <c r="D1085" i="13" s="1"/>
  <c r="AA1089" i="3"/>
  <c r="R1089" i="3"/>
  <c r="Z1089" i="3" s="1"/>
  <c r="E1089" i="3"/>
  <c r="D1084" i="13" s="1"/>
  <c r="AA1088" i="3"/>
  <c r="R1088" i="3"/>
  <c r="Z1088" i="3" s="1"/>
  <c r="E1088" i="3"/>
  <c r="D1083" i="13" s="1"/>
  <c r="AA1087" i="3"/>
  <c r="R1087" i="3"/>
  <c r="Z1087" i="3" s="1"/>
  <c r="E1087" i="3"/>
  <c r="D1082" i="13" s="1"/>
  <c r="AA1086" i="3"/>
  <c r="R1086" i="3"/>
  <c r="Z1086" i="3" s="1"/>
  <c r="E1086" i="3"/>
  <c r="D1081" i="13" s="1"/>
  <c r="AA1085" i="3"/>
  <c r="R1085" i="3"/>
  <c r="Z1085" i="3" s="1"/>
  <c r="E1085" i="3"/>
  <c r="D1080" i="13" s="1"/>
  <c r="AA1084" i="3"/>
  <c r="R1084" i="3"/>
  <c r="Z1084" i="3" s="1"/>
  <c r="E1084" i="3"/>
  <c r="D1079" i="13" s="1"/>
  <c r="AA1083" i="3"/>
  <c r="R1083" i="3"/>
  <c r="Z1083" i="3" s="1"/>
  <c r="E1083" i="3"/>
  <c r="D1078" i="13" s="1"/>
  <c r="AA1082" i="3"/>
  <c r="R1082" i="3"/>
  <c r="Z1082" i="3" s="1"/>
  <c r="E1082" i="3"/>
  <c r="D1077" i="13" s="1"/>
  <c r="AA1081" i="3"/>
  <c r="R1081" i="3"/>
  <c r="Z1081" i="3" s="1"/>
  <c r="E1081" i="3"/>
  <c r="D1076" i="13" s="1"/>
  <c r="AA1080" i="3"/>
  <c r="R1080" i="3"/>
  <c r="Z1080" i="3" s="1"/>
  <c r="E1080" i="3"/>
  <c r="D1075" i="13" s="1"/>
  <c r="AA1079" i="3"/>
  <c r="R1079" i="3"/>
  <c r="Z1079" i="3" s="1"/>
  <c r="E1079" i="3"/>
  <c r="D1074" i="13" s="1"/>
  <c r="AA1078" i="3"/>
  <c r="R1078" i="3"/>
  <c r="Z1078" i="3" s="1"/>
  <c r="E1078" i="3"/>
  <c r="D1073" i="13" s="1"/>
  <c r="AA1077" i="3"/>
  <c r="R1077" i="3"/>
  <c r="Z1077" i="3" s="1"/>
  <c r="E1077" i="3"/>
  <c r="D1072" i="13" s="1"/>
  <c r="AA1076" i="3"/>
  <c r="R1076" i="3"/>
  <c r="Z1076" i="3" s="1"/>
  <c r="E1076" i="3"/>
  <c r="D1071" i="13" s="1"/>
  <c r="AA1075" i="3"/>
  <c r="R1075" i="3"/>
  <c r="Z1075" i="3" s="1"/>
  <c r="E1075" i="3"/>
  <c r="D1070" i="13" s="1"/>
  <c r="AA1074" i="3"/>
  <c r="R1074" i="3"/>
  <c r="Z1074" i="3" s="1"/>
  <c r="E1074" i="3"/>
  <c r="D1069" i="13" s="1"/>
  <c r="AA1073" i="3"/>
  <c r="R1073" i="3"/>
  <c r="Z1073" i="3" s="1"/>
  <c r="E1073" i="3"/>
  <c r="D1068" i="13" s="1"/>
  <c r="AA1072" i="3"/>
  <c r="R1072" i="3"/>
  <c r="Z1072" i="3" s="1"/>
  <c r="E1072" i="3"/>
  <c r="D1067" i="13" s="1"/>
  <c r="AA1071" i="3"/>
  <c r="R1071" i="3"/>
  <c r="Z1071" i="3" s="1"/>
  <c r="E1071" i="3"/>
  <c r="D1066" i="13" s="1"/>
  <c r="AA1070" i="3"/>
  <c r="R1070" i="3"/>
  <c r="Z1070" i="3" s="1"/>
  <c r="E1070" i="3"/>
  <c r="D1065" i="13" s="1"/>
  <c r="AA1069" i="3"/>
  <c r="R1069" i="3"/>
  <c r="Z1069" i="3" s="1"/>
  <c r="E1069" i="3"/>
  <c r="D1064" i="13" s="1"/>
  <c r="AA1068" i="3"/>
  <c r="R1068" i="3"/>
  <c r="Z1068" i="3" s="1"/>
  <c r="E1068" i="3"/>
  <c r="D1063" i="13" s="1"/>
  <c r="AA1067" i="3"/>
  <c r="R1067" i="3"/>
  <c r="Z1067" i="3" s="1"/>
  <c r="E1067" i="3"/>
  <c r="D1062" i="13" s="1"/>
  <c r="AA1066" i="3"/>
  <c r="R1066" i="3"/>
  <c r="Z1066" i="3" s="1"/>
  <c r="E1066" i="3"/>
  <c r="D1061" i="13" s="1"/>
  <c r="AA1065" i="3"/>
  <c r="R1065" i="3"/>
  <c r="Z1065" i="3" s="1"/>
  <c r="E1065" i="3"/>
  <c r="D1060" i="13" s="1"/>
  <c r="AA1064" i="3"/>
  <c r="R1064" i="3"/>
  <c r="Z1064" i="3" s="1"/>
  <c r="E1064" i="3"/>
  <c r="D1059" i="13" s="1"/>
  <c r="AA1063" i="3"/>
  <c r="R1063" i="3"/>
  <c r="Z1063" i="3" s="1"/>
  <c r="E1063" i="3"/>
  <c r="D1058" i="13" s="1"/>
  <c r="AA1062" i="3"/>
  <c r="R1062" i="3"/>
  <c r="Z1062" i="3" s="1"/>
  <c r="E1062" i="3"/>
  <c r="D1057" i="13" s="1"/>
  <c r="AA1061" i="3"/>
  <c r="R1061" i="3"/>
  <c r="Z1061" i="3" s="1"/>
  <c r="E1061" i="3"/>
  <c r="D1056" i="13" s="1"/>
  <c r="AA1060" i="3"/>
  <c r="R1060" i="3"/>
  <c r="Z1060" i="3" s="1"/>
  <c r="E1060" i="3"/>
  <c r="D1055" i="13" s="1"/>
  <c r="AA1059" i="3"/>
  <c r="R1059" i="3"/>
  <c r="Z1059" i="3" s="1"/>
  <c r="E1059" i="3"/>
  <c r="D1054" i="13" s="1"/>
  <c r="AA1058" i="3"/>
  <c r="R1058" i="3"/>
  <c r="Z1058" i="3" s="1"/>
  <c r="E1058" i="3"/>
  <c r="D1053" i="13" s="1"/>
  <c r="AA1057" i="3"/>
  <c r="R1057" i="3"/>
  <c r="Z1057" i="3" s="1"/>
  <c r="E1057" i="3"/>
  <c r="D1052" i="13" s="1"/>
  <c r="AA1056" i="3"/>
  <c r="R1056" i="3"/>
  <c r="Z1056" i="3" s="1"/>
  <c r="E1056" i="3"/>
  <c r="D1051" i="13" s="1"/>
  <c r="AA1055" i="3"/>
  <c r="R1055" i="3"/>
  <c r="Z1055" i="3" s="1"/>
  <c r="E1055" i="3"/>
  <c r="D1050" i="13" s="1"/>
  <c r="AA1054" i="3"/>
  <c r="R1054" i="3"/>
  <c r="Z1054" i="3" s="1"/>
  <c r="E1054" i="3"/>
  <c r="D1049" i="13" s="1"/>
  <c r="AA1053" i="3"/>
  <c r="R1053" i="3"/>
  <c r="Z1053" i="3" s="1"/>
  <c r="E1053" i="3"/>
  <c r="D1048" i="13" s="1"/>
  <c r="AA1052" i="3"/>
  <c r="R1052" i="3"/>
  <c r="Z1052" i="3" s="1"/>
  <c r="E1052" i="3"/>
  <c r="D1047" i="13" s="1"/>
  <c r="AA1051" i="3"/>
  <c r="R1051" i="3"/>
  <c r="Z1051" i="3" s="1"/>
  <c r="E1051" i="3"/>
  <c r="D1046" i="13" s="1"/>
  <c r="AA1050" i="3"/>
  <c r="R1050" i="3"/>
  <c r="Z1050" i="3" s="1"/>
  <c r="E1050" i="3"/>
  <c r="D1045" i="13" s="1"/>
  <c r="AA1049" i="3"/>
  <c r="R1049" i="3"/>
  <c r="Z1049" i="3" s="1"/>
  <c r="E1049" i="3"/>
  <c r="D1044" i="13" s="1"/>
  <c r="AA1048" i="3"/>
  <c r="R1048" i="3"/>
  <c r="Z1048" i="3" s="1"/>
  <c r="E1048" i="3"/>
  <c r="D1043" i="13" s="1"/>
  <c r="AA1047" i="3"/>
  <c r="R1047" i="3"/>
  <c r="Z1047" i="3" s="1"/>
  <c r="E1047" i="3"/>
  <c r="D1042" i="13" s="1"/>
  <c r="AA1046" i="3"/>
  <c r="R1046" i="3"/>
  <c r="Z1046" i="3" s="1"/>
  <c r="E1046" i="3"/>
  <c r="D1041" i="13" s="1"/>
  <c r="AA1045" i="3"/>
  <c r="R1045" i="3"/>
  <c r="Z1045" i="3" s="1"/>
  <c r="E1045" i="3"/>
  <c r="D1040" i="13" s="1"/>
  <c r="AA1044" i="3"/>
  <c r="R1044" i="3"/>
  <c r="Z1044" i="3" s="1"/>
  <c r="E1044" i="3"/>
  <c r="D1039" i="13" s="1"/>
  <c r="AA1043" i="3"/>
  <c r="R1043" i="3"/>
  <c r="Z1043" i="3" s="1"/>
  <c r="E1043" i="3"/>
  <c r="D1038" i="13" s="1"/>
  <c r="AA1042" i="3"/>
  <c r="R1042" i="3"/>
  <c r="Z1042" i="3" s="1"/>
  <c r="E1042" i="3"/>
  <c r="D1037" i="13" s="1"/>
  <c r="AA1041" i="3"/>
  <c r="R1041" i="3"/>
  <c r="Z1041" i="3" s="1"/>
  <c r="E1041" i="3"/>
  <c r="D1036" i="13" s="1"/>
  <c r="AA1040" i="3"/>
  <c r="R1040" i="3"/>
  <c r="Z1040" i="3" s="1"/>
  <c r="E1040" i="3"/>
  <c r="D1035" i="13" s="1"/>
  <c r="AA1039" i="3"/>
  <c r="R1039" i="3"/>
  <c r="Z1039" i="3" s="1"/>
  <c r="E1039" i="3"/>
  <c r="D1034" i="13" s="1"/>
  <c r="AA1038" i="3"/>
  <c r="R1038" i="3"/>
  <c r="Z1038" i="3" s="1"/>
  <c r="E1038" i="3"/>
  <c r="D1033" i="13" s="1"/>
  <c r="AA1037" i="3"/>
  <c r="R1037" i="3"/>
  <c r="Z1037" i="3" s="1"/>
  <c r="E1037" i="3"/>
  <c r="D1032" i="13" s="1"/>
  <c r="AA1036" i="3"/>
  <c r="R1036" i="3"/>
  <c r="Z1036" i="3" s="1"/>
  <c r="E1036" i="3"/>
  <c r="D1031" i="13" s="1"/>
  <c r="AA1035" i="3"/>
  <c r="R1035" i="3"/>
  <c r="Z1035" i="3" s="1"/>
  <c r="E1035" i="3"/>
  <c r="D1030" i="13" s="1"/>
  <c r="AA1034" i="3"/>
  <c r="R1034" i="3"/>
  <c r="Z1034" i="3" s="1"/>
  <c r="E1034" i="3"/>
  <c r="D1029" i="13" s="1"/>
  <c r="AA1033" i="3"/>
  <c r="R1033" i="3"/>
  <c r="Z1033" i="3" s="1"/>
  <c r="E1033" i="3"/>
  <c r="D1028" i="13" s="1"/>
  <c r="AA1032" i="3"/>
  <c r="R1032" i="3"/>
  <c r="Z1032" i="3" s="1"/>
  <c r="E1032" i="3"/>
  <c r="D1027" i="13" s="1"/>
  <c r="AA1031" i="3"/>
  <c r="R1031" i="3"/>
  <c r="Z1031" i="3" s="1"/>
  <c r="E1031" i="3"/>
  <c r="D1026" i="13" s="1"/>
  <c r="AA1030" i="3"/>
  <c r="R1030" i="3"/>
  <c r="Z1030" i="3" s="1"/>
  <c r="E1030" i="3"/>
  <c r="D1025" i="13" s="1"/>
  <c r="AA1029" i="3"/>
  <c r="R1029" i="3"/>
  <c r="Z1029" i="3" s="1"/>
  <c r="E1029" i="3"/>
  <c r="D1024" i="13" s="1"/>
  <c r="AA1028" i="3"/>
  <c r="R1028" i="3"/>
  <c r="Z1028" i="3" s="1"/>
  <c r="E1028" i="3"/>
  <c r="D1023" i="13" s="1"/>
  <c r="AA1027" i="3"/>
  <c r="R1027" i="3"/>
  <c r="Z1027" i="3" s="1"/>
  <c r="E1027" i="3"/>
  <c r="D1022" i="13" s="1"/>
  <c r="AA1026" i="3"/>
  <c r="R1026" i="3"/>
  <c r="Z1026" i="3" s="1"/>
  <c r="E1026" i="3"/>
  <c r="D1021" i="13" s="1"/>
  <c r="AA1025" i="3"/>
  <c r="R1025" i="3"/>
  <c r="Z1025" i="3" s="1"/>
  <c r="E1025" i="3"/>
  <c r="D1020" i="13" s="1"/>
  <c r="AA1024" i="3"/>
  <c r="R1024" i="3"/>
  <c r="Z1024" i="3" s="1"/>
  <c r="E1024" i="3"/>
  <c r="D1019" i="13" s="1"/>
  <c r="AA1023" i="3"/>
  <c r="R1023" i="3"/>
  <c r="Z1023" i="3" s="1"/>
  <c r="E1023" i="3"/>
  <c r="D1018" i="13" s="1"/>
  <c r="AA1022" i="3"/>
  <c r="R1022" i="3"/>
  <c r="Z1022" i="3" s="1"/>
  <c r="E1022" i="3"/>
  <c r="D1017" i="13" s="1"/>
  <c r="AA1021" i="3"/>
  <c r="R1021" i="3"/>
  <c r="Z1021" i="3" s="1"/>
  <c r="E1021" i="3"/>
  <c r="D1016" i="13" s="1"/>
  <c r="AA1020" i="3"/>
  <c r="R1020" i="3"/>
  <c r="Z1020" i="3" s="1"/>
  <c r="E1020" i="3"/>
  <c r="D1015" i="13" s="1"/>
  <c r="AA1019" i="3"/>
  <c r="R1019" i="3"/>
  <c r="Z1019" i="3" s="1"/>
  <c r="E1019" i="3"/>
  <c r="D1014" i="13" s="1"/>
  <c r="AA1018" i="3"/>
  <c r="R1018" i="3"/>
  <c r="Z1018" i="3" s="1"/>
  <c r="E1018" i="3"/>
  <c r="D1013" i="13" s="1"/>
  <c r="AA1017" i="3"/>
  <c r="R1017" i="3"/>
  <c r="Z1017" i="3" s="1"/>
  <c r="E1017" i="3"/>
  <c r="D1012" i="13" s="1"/>
  <c r="AA1016" i="3"/>
  <c r="R1016" i="3"/>
  <c r="Z1016" i="3" s="1"/>
  <c r="E1016" i="3"/>
  <c r="D1011" i="13" s="1"/>
  <c r="AA1015" i="3"/>
  <c r="R1015" i="3"/>
  <c r="Z1015" i="3" s="1"/>
  <c r="E1015" i="3"/>
  <c r="D1010" i="13" s="1"/>
  <c r="AA1014" i="3"/>
  <c r="R1014" i="3"/>
  <c r="Z1014" i="3" s="1"/>
  <c r="E1014" i="3"/>
  <c r="D1009" i="13" s="1"/>
  <c r="AA1013" i="3"/>
  <c r="R1013" i="3"/>
  <c r="Z1013" i="3" s="1"/>
  <c r="E1013" i="3"/>
  <c r="D1008" i="13" s="1"/>
  <c r="AA1012" i="3"/>
  <c r="R1012" i="3"/>
  <c r="Z1012" i="3" s="1"/>
  <c r="E1012" i="3"/>
  <c r="D1007" i="13" s="1"/>
  <c r="AA1011" i="3"/>
  <c r="R1011" i="3"/>
  <c r="Z1011" i="3" s="1"/>
  <c r="E1011" i="3"/>
  <c r="D1006" i="13" s="1"/>
  <c r="AA1010" i="3"/>
  <c r="R1010" i="3"/>
  <c r="Z1010" i="3" s="1"/>
  <c r="E1010" i="3"/>
  <c r="D1005" i="13" s="1"/>
  <c r="AA1009" i="3"/>
  <c r="R1009" i="3"/>
  <c r="Z1009" i="3" s="1"/>
  <c r="E1009" i="3"/>
  <c r="D1004" i="13" s="1"/>
  <c r="AA1008" i="3"/>
  <c r="R1008" i="3"/>
  <c r="Z1008" i="3" s="1"/>
  <c r="E1008" i="3"/>
  <c r="D1003" i="13" s="1"/>
  <c r="AA1007" i="3"/>
  <c r="R1007" i="3"/>
  <c r="Z1007" i="3" s="1"/>
  <c r="E1007" i="3"/>
  <c r="D1002" i="13" s="1"/>
  <c r="AA1006" i="3"/>
  <c r="R1006" i="3"/>
  <c r="Z1006" i="3" s="1"/>
  <c r="E1006" i="3"/>
  <c r="D1001" i="13" s="1"/>
  <c r="AA1005" i="3"/>
  <c r="R1005" i="3"/>
  <c r="Z1005" i="3" s="1"/>
  <c r="E1005" i="3"/>
  <c r="D1000" i="13" s="1"/>
  <c r="AA1004" i="3"/>
  <c r="R1004" i="3"/>
  <c r="Z1004" i="3" s="1"/>
  <c r="E1004" i="3"/>
  <c r="D999" i="13" s="1"/>
  <c r="AA1003" i="3"/>
  <c r="R1003" i="3"/>
  <c r="Z1003" i="3" s="1"/>
  <c r="E1003" i="3"/>
  <c r="D998" i="13" s="1"/>
  <c r="AA1002" i="3"/>
  <c r="R1002" i="3"/>
  <c r="Z1002" i="3" s="1"/>
  <c r="E1002" i="3"/>
  <c r="D997" i="13" s="1"/>
  <c r="AA1001" i="3"/>
  <c r="R1001" i="3"/>
  <c r="Z1001" i="3" s="1"/>
  <c r="E1001" i="3"/>
  <c r="D996" i="13" s="1"/>
  <c r="AA1000" i="3"/>
  <c r="R1000" i="3"/>
  <c r="Z1000" i="3" s="1"/>
  <c r="E1000" i="3"/>
  <c r="D995" i="13" s="1"/>
  <c r="AA999" i="3"/>
  <c r="R999" i="3"/>
  <c r="Z999" i="3" s="1"/>
  <c r="E999" i="3"/>
  <c r="D994" i="13" s="1"/>
  <c r="AA998" i="3"/>
  <c r="R998" i="3"/>
  <c r="Z998" i="3" s="1"/>
  <c r="E998" i="3"/>
  <c r="D993" i="13" s="1"/>
  <c r="AA997" i="3"/>
  <c r="R997" i="3"/>
  <c r="Z997" i="3" s="1"/>
  <c r="E997" i="3"/>
  <c r="D992" i="13" s="1"/>
  <c r="AA996" i="3"/>
  <c r="R996" i="3"/>
  <c r="Z996" i="3" s="1"/>
  <c r="E996" i="3"/>
  <c r="D991" i="13" s="1"/>
  <c r="AA995" i="3"/>
  <c r="R995" i="3"/>
  <c r="Z995" i="3" s="1"/>
  <c r="E995" i="3"/>
  <c r="D990" i="13" s="1"/>
  <c r="AA994" i="3"/>
  <c r="R994" i="3"/>
  <c r="Z994" i="3" s="1"/>
  <c r="E994" i="3"/>
  <c r="D989" i="13" s="1"/>
  <c r="AA993" i="3"/>
  <c r="R993" i="3"/>
  <c r="Z993" i="3" s="1"/>
  <c r="E993" i="3"/>
  <c r="D988" i="13" s="1"/>
  <c r="AA992" i="3"/>
  <c r="R992" i="3"/>
  <c r="Z992" i="3" s="1"/>
  <c r="E992" i="3"/>
  <c r="D987" i="13" s="1"/>
  <c r="AA991" i="3"/>
  <c r="R991" i="3"/>
  <c r="Z991" i="3" s="1"/>
  <c r="E991" i="3"/>
  <c r="D986" i="13" s="1"/>
  <c r="AA990" i="3"/>
  <c r="R990" i="3"/>
  <c r="Z990" i="3" s="1"/>
  <c r="E990" i="3"/>
  <c r="D985" i="13" s="1"/>
  <c r="AA989" i="3"/>
  <c r="R989" i="3"/>
  <c r="Z989" i="3" s="1"/>
  <c r="E989" i="3"/>
  <c r="D984" i="13" s="1"/>
  <c r="AA988" i="3"/>
  <c r="R988" i="3"/>
  <c r="Z988" i="3" s="1"/>
  <c r="E988" i="3"/>
  <c r="D983" i="13" s="1"/>
  <c r="AA987" i="3"/>
  <c r="R987" i="3"/>
  <c r="Z987" i="3" s="1"/>
  <c r="E987" i="3"/>
  <c r="D982" i="13" s="1"/>
  <c r="AA986" i="3"/>
  <c r="R986" i="3"/>
  <c r="Z986" i="3" s="1"/>
  <c r="E986" i="3"/>
  <c r="D981" i="13" s="1"/>
  <c r="AA985" i="3"/>
  <c r="R985" i="3"/>
  <c r="Z985" i="3" s="1"/>
  <c r="E985" i="3"/>
  <c r="D980" i="13" s="1"/>
  <c r="AA984" i="3"/>
  <c r="R984" i="3"/>
  <c r="Z984" i="3" s="1"/>
  <c r="E984" i="3"/>
  <c r="D979" i="13" s="1"/>
  <c r="AA983" i="3"/>
  <c r="R983" i="3"/>
  <c r="Z983" i="3" s="1"/>
  <c r="E983" i="3"/>
  <c r="D978" i="13" s="1"/>
  <c r="AA982" i="3"/>
  <c r="R982" i="3"/>
  <c r="Z982" i="3" s="1"/>
  <c r="E982" i="3"/>
  <c r="D977" i="13" s="1"/>
  <c r="AA981" i="3"/>
  <c r="R981" i="3"/>
  <c r="Z981" i="3" s="1"/>
  <c r="E981" i="3"/>
  <c r="D976" i="13" s="1"/>
  <c r="AA980" i="3"/>
  <c r="R980" i="3"/>
  <c r="Z980" i="3" s="1"/>
  <c r="E980" i="3"/>
  <c r="D975" i="13" s="1"/>
  <c r="AA979" i="3"/>
  <c r="R979" i="3"/>
  <c r="Z979" i="3" s="1"/>
  <c r="E979" i="3"/>
  <c r="D974" i="13" s="1"/>
  <c r="AA978" i="3"/>
  <c r="R978" i="3"/>
  <c r="Z978" i="3" s="1"/>
  <c r="E978" i="3"/>
  <c r="D973" i="13" s="1"/>
  <c r="AA977" i="3"/>
  <c r="R977" i="3"/>
  <c r="Z977" i="3" s="1"/>
  <c r="E977" i="3"/>
  <c r="D972" i="13" s="1"/>
  <c r="AA976" i="3"/>
  <c r="R976" i="3"/>
  <c r="Z976" i="3" s="1"/>
  <c r="E976" i="3"/>
  <c r="D971" i="13" s="1"/>
  <c r="AA975" i="3"/>
  <c r="R975" i="3"/>
  <c r="Z975" i="3" s="1"/>
  <c r="E975" i="3"/>
  <c r="D970" i="13" s="1"/>
  <c r="AA974" i="3"/>
  <c r="R974" i="3"/>
  <c r="Z974" i="3" s="1"/>
  <c r="E974" i="3"/>
  <c r="D969" i="13" s="1"/>
  <c r="AA973" i="3"/>
  <c r="R973" i="3"/>
  <c r="Z973" i="3" s="1"/>
  <c r="E973" i="3"/>
  <c r="D968" i="13" s="1"/>
  <c r="AA972" i="3"/>
  <c r="R972" i="3"/>
  <c r="Z972" i="3" s="1"/>
  <c r="E972" i="3"/>
  <c r="D967" i="13" s="1"/>
  <c r="AA971" i="3"/>
  <c r="R971" i="3"/>
  <c r="Z971" i="3" s="1"/>
  <c r="E971" i="3"/>
  <c r="D966" i="13" s="1"/>
  <c r="AA970" i="3"/>
  <c r="R970" i="3"/>
  <c r="Z970" i="3" s="1"/>
  <c r="E970" i="3"/>
  <c r="D965" i="13" s="1"/>
  <c r="AA969" i="3"/>
  <c r="R969" i="3"/>
  <c r="Z969" i="3" s="1"/>
  <c r="E969" i="3"/>
  <c r="D964" i="13" s="1"/>
  <c r="AA968" i="3"/>
  <c r="R968" i="3"/>
  <c r="Z968" i="3" s="1"/>
  <c r="E968" i="3"/>
  <c r="D963" i="13" s="1"/>
  <c r="AA967" i="3"/>
  <c r="R967" i="3"/>
  <c r="Z967" i="3" s="1"/>
  <c r="E967" i="3"/>
  <c r="D962" i="13" s="1"/>
  <c r="AA966" i="3"/>
  <c r="R966" i="3"/>
  <c r="Z966" i="3" s="1"/>
  <c r="E966" i="3"/>
  <c r="D961" i="13" s="1"/>
  <c r="AA965" i="3"/>
  <c r="R965" i="3"/>
  <c r="Z965" i="3" s="1"/>
  <c r="E965" i="3"/>
  <c r="D960" i="13" s="1"/>
  <c r="AA964" i="3"/>
  <c r="R964" i="3"/>
  <c r="Z964" i="3" s="1"/>
  <c r="E964" i="3"/>
  <c r="D959" i="13" s="1"/>
  <c r="AA963" i="3"/>
  <c r="R963" i="3"/>
  <c r="Z963" i="3" s="1"/>
  <c r="E963" i="3"/>
  <c r="D958" i="13" s="1"/>
  <c r="AA962" i="3"/>
  <c r="R962" i="3"/>
  <c r="Z962" i="3" s="1"/>
  <c r="E962" i="3"/>
  <c r="D957" i="13" s="1"/>
  <c r="AA961" i="3"/>
  <c r="R961" i="3"/>
  <c r="Z961" i="3" s="1"/>
  <c r="E961" i="3"/>
  <c r="D956" i="13" s="1"/>
  <c r="AA960" i="3"/>
  <c r="R960" i="3"/>
  <c r="Z960" i="3" s="1"/>
  <c r="E960" i="3"/>
  <c r="D955" i="13" s="1"/>
  <c r="AA959" i="3"/>
  <c r="R959" i="3"/>
  <c r="Z959" i="3" s="1"/>
  <c r="E959" i="3"/>
  <c r="D954" i="13" s="1"/>
  <c r="AA958" i="3"/>
  <c r="R958" i="3"/>
  <c r="Z958" i="3" s="1"/>
  <c r="E958" i="3"/>
  <c r="D953" i="13" s="1"/>
  <c r="AA957" i="3"/>
  <c r="R957" i="3"/>
  <c r="Z957" i="3" s="1"/>
  <c r="E957" i="3"/>
  <c r="D952" i="13" s="1"/>
  <c r="AA956" i="3"/>
  <c r="R956" i="3"/>
  <c r="Z956" i="3" s="1"/>
  <c r="E956" i="3"/>
  <c r="D951" i="13" s="1"/>
  <c r="AA955" i="3"/>
  <c r="R955" i="3"/>
  <c r="Z955" i="3" s="1"/>
  <c r="E955" i="3"/>
  <c r="D950" i="13" s="1"/>
  <c r="AA954" i="3"/>
  <c r="R954" i="3"/>
  <c r="Z954" i="3" s="1"/>
  <c r="E954" i="3"/>
  <c r="D949" i="13" s="1"/>
  <c r="AA953" i="3"/>
  <c r="R953" i="3"/>
  <c r="Z953" i="3" s="1"/>
  <c r="E953" i="3"/>
  <c r="D948" i="13" s="1"/>
  <c r="AA952" i="3"/>
  <c r="R952" i="3"/>
  <c r="Z952" i="3" s="1"/>
  <c r="E952" i="3"/>
  <c r="D947" i="13" s="1"/>
  <c r="AA951" i="3"/>
  <c r="R951" i="3"/>
  <c r="Z951" i="3" s="1"/>
  <c r="E951" i="3"/>
  <c r="D946" i="13" s="1"/>
  <c r="AA950" i="3"/>
  <c r="R950" i="3"/>
  <c r="Z950" i="3" s="1"/>
  <c r="E950" i="3"/>
  <c r="D945" i="13" s="1"/>
  <c r="AA949" i="3"/>
  <c r="R949" i="3"/>
  <c r="Z949" i="3" s="1"/>
  <c r="E949" i="3"/>
  <c r="D944" i="13" s="1"/>
  <c r="AA948" i="3"/>
  <c r="R948" i="3"/>
  <c r="Z948" i="3" s="1"/>
  <c r="E948" i="3"/>
  <c r="D943" i="13" s="1"/>
  <c r="AA947" i="3"/>
  <c r="R947" i="3"/>
  <c r="Z947" i="3" s="1"/>
  <c r="E947" i="3"/>
  <c r="D942" i="13" s="1"/>
  <c r="AA946" i="3"/>
  <c r="R946" i="3"/>
  <c r="Z946" i="3" s="1"/>
  <c r="E946" i="3"/>
  <c r="D941" i="13" s="1"/>
  <c r="AA945" i="3"/>
  <c r="R945" i="3"/>
  <c r="Z945" i="3" s="1"/>
  <c r="E945" i="3"/>
  <c r="D940" i="13" s="1"/>
  <c r="AA944" i="3"/>
  <c r="R944" i="3"/>
  <c r="Z944" i="3" s="1"/>
  <c r="E944" i="3"/>
  <c r="D939" i="13" s="1"/>
  <c r="AA943" i="3"/>
  <c r="R943" i="3"/>
  <c r="Z943" i="3" s="1"/>
  <c r="E943" i="3"/>
  <c r="D938" i="13" s="1"/>
  <c r="AA942" i="3"/>
  <c r="R942" i="3"/>
  <c r="Z942" i="3" s="1"/>
  <c r="E942" i="3"/>
  <c r="D937" i="13" s="1"/>
  <c r="AA941" i="3"/>
  <c r="R941" i="3"/>
  <c r="Z941" i="3" s="1"/>
  <c r="E941" i="3"/>
  <c r="D936" i="13" s="1"/>
  <c r="AA940" i="3"/>
  <c r="R940" i="3"/>
  <c r="Z940" i="3" s="1"/>
  <c r="E940" i="3"/>
  <c r="D935" i="13" s="1"/>
  <c r="AA939" i="3"/>
  <c r="R939" i="3"/>
  <c r="Z939" i="3" s="1"/>
  <c r="E939" i="3"/>
  <c r="D934" i="13" s="1"/>
  <c r="AA938" i="3"/>
  <c r="R938" i="3"/>
  <c r="Z938" i="3" s="1"/>
  <c r="E938" i="3"/>
  <c r="D933" i="13" s="1"/>
  <c r="AA937" i="3"/>
  <c r="R937" i="3"/>
  <c r="Z937" i="3" s="1"/>
  <c r="E937" i="3"/>
  <c r="D932" i="13" s="1"/>
  <c r="AA936" i="3"/>
  <c r="R936" i="3"/>
  <c r="Z936" i="3" s="1"/>
  <c r="E936" i="3"/>
  <c r="D931" i="13" s="1"/>
  <c r="AA935" i="3"/>
  <c r="R935" i="3"/>
  <c r="Z935" i="3" s="1"/>
  <c r="E935" i="3"/>
  <c r="D930" i="13" s="1"/>
  <c r="AA934" i="3"/>
  <c r="R934" i="3"/>
  <c r="Z934" i="3" s="1"/>
  <c r="E934" i="3"/>
  <c r="D929" i="13" s="1"/>
  <c r="AA933" i="3"/>
  <c r="R933" i="3"/>
  <c r="Z933" i="3" s="1"/>
  <c r="E933" i="3"/>
  <c r="D928" i="13" s="1"/>
  <c r="AA932" i="3"/>
  <c r="R932" i="3"/>
  <c r="Z932" i="3" s="1"/>
  <c r="E932" i="3"/>
  <c r="D927" i="13" s="1"/>
  <c r="AA931" i="3"/>
  <c r="R931" i="3"/>
  <c r="Z931" i="3" s="1"/>
  <c r="E931" i="3"/>
  <c r="D926" i="13" s="1"/>
  <c r="AA930" i="3"/>
  <c r="R930" i="3"/>
  <c r="Z930" i="3" s="1"/>
  <c r="E930" i="3"/>
  <c r="D925" i="13" s="1"/>
  <c r="AA929" i="3"/>
  <c r="R929" i="3"/>
  <c r="Z929" i="3" s="1"/>
  <c r="E929" i="3"/>
  <c r="D924" i="13" s="1"/>
  <c r="AA928" i="3"/>
  <c r="R928" i="3"/>
  <c r="Z928" i="3" s="1"/>
  <c r="E928" i="3"/>
  <c r="D923" i="13" s="1"/>
  <c r="AA927" i="3"/>
  <c r="R927" i="3"/>
  <c r="Z927" i="3" s="1"/>
  <c r="E927" i="3"/>
  <c r="D922" i="13" s="1"/>
  <c r="AA926" i="3"/>
  <c r="R926" i="3"/>
  <c r="Z926" i="3" s="1"/>
  <c r="E926" i="3"/>
  <c r="D921" i="13" s="1"/>
  <c r="AA925" i="3"/>
  <c r="R925" i="3"/>
  <c r="Z925" i="3" s="1"/>
  <c r="E925" i="3"/>
  <c r="D920" i="13" s="1"/>
  <c r="AA924" i="3"/>
  <c r="R924" i="3"/>
  <c r="Z924" i="3" s="1"/>
  <c r="E924" i="3"/>
  <c r="D919" i="13" s="1"/>
  <c r="AA923" i="3"/>
  <c r="R923" i="3"/>
  <c r="Z923" i="3" s="1"/>
  <c r="E923" i="3"/>
  <c r="D918" i="13" s="1"/>
  <c r="AA922" i="3"/>
  <c r="R922" i="3"/>
  <c r="Z922" i="3" s="1"/>
  <c r="E922" i="3"/>
  <c r="D917" i="13" s="1"/>
  <c r="AA921" i="3"/>
  <c r="R921" i="3"/>
  <c r="Z921" i="3" s="1"/>
  <c r="E921" i="3"/>
  <c r="D916" i="13" s="1"/>
  <c r="AA920" i="3"/>
  <c r="R920" i="3"/>
  <c r="Z920" i="3" s="1"/>
  <c r="E920" i="3"/>
  <c r="D915" i="13" s="1"/>
  <c r="AA919" i="3"/>
  <c r="R919" i="3"/>
  <c r="Z919" i="3" s="1"/>
  <c r="E919" i="3"/>
  <c r="D914" i="13" s="1"/>
  <c r="AA918" i="3"/>
  <c r="R918" i="3"/>
  <c r="Z918" i="3" s="1"/>
  <c r="E918" i="3"/>
  <c r="D913" i="13" s="1"/>
  <c r="AA917" i="3"/>
  <c r="R917" i="3"/>
  <c r="Z917" i="3" s="1"/>
  <c r="E917" i="3"/>
  <c r="D912" i="13" s="1"/>
  <c r="AA916" i="3"/>
  <c r="R916" i="3"/>
  <c r="Z916" i="3" s="1"/>
  <c r="E916" i="3"/>
  <c r="D911" i="13" s="1"/>
  <c r="AA915" i="3"/>
  <c r="R915" i="3"/>
  <c r="Z915" i="3" s="1"/>
  <c r="E915" i="3"/>
  <c r="D910" i="13" s="1"/>
  <c r="AA914" i="3"/>
  <c r="R914" i="3"/>
  <c r="Z914" i="3" s="1"/>
  <c r="E914" i="3"/>
  <c r="D909" i="13" s="1"/>
  <c r="AA913" i="3"/>
  <c r="R913" i="3"/>
  <c r="Z913" i="3" s="1"/>
  <c r="E913" i="3"/>
  <c r="D908" i="13" s="1"/>
  <c r="AA912" i="3"/>
  <c r="R912" i="3"/>
  <c r="Z912" i="3" s="1"/>
  <c r="E912" i="3"/>
  <c r="D907" i="13" s="1"/>
  <c r="AA911" i="3"/>
  <c r="R911" i="3"/>
  <c r="Z911" i="3" s="1"/>
  <c r="E911" i="3"/>
  <c r="D906" i="13" s="1"/>
  <c r="AA910" i="3"/>
  <c r="R910" i="3"/>
  <c r="Z910" i="3" s="1"/>
  <c r="E910" i="3"/>
  <c r="D905" i="13" s="1"/>
  <c r="AA909" i="3"/>
  <c r="R909" i="3"/>
  <c r="Z909" i="3" s="1"/>
  <c r="E909" i="3"/>
  <c r="D904" i="13" s="1"/>
  <c r="AA908" i="3"/>
  <c r="R908" i="3"/>
  <c r="Z908" i="3" s="1"/>
  <c r="E908" i="3"/>
  <c r="D903" i="13" s="1"/>
  <c r="AA907" i="3"/>
  <c r="R907" i="3"/>
  <c r="Z907" i="3" s="1"/>
  <c r="E907" i="3"/>
  <c r="D902" i="13" s="1"/>
  <c r="AA906" i="3"/>
  <c r="R906" i="3"/>
  <c r="Z906" i="3" s="1"/>
  <c r="E906" i="3"/>
  <c r="D901" i="13" s="1"/>
  <c r="AA905" i="3"/>
  <c r="R905" i="3"/>
  <c r="Z905" i="3" s="1"/>
  <c r="E905" i="3"/>
  <c r="D900" i="13" s="1"/>
  <c r="AA904" i="3"/>
  <c r="R904" i="3"/>
  <c r="Z904" i="3" s="1"/>
  <c r="E904" i="3"/>
  <c r="D899" i="13" s="1"/>
  <c r="AA903" i="3"/>
  <c r="R903" i="3"/>
  <c r="Z903" i="3" s="1"/>
  <c r="E903" i="3"/>
  <c r="D898" i="13" s="1"/>
  <c r="AA902" i="3"/>
  <c r="R902" i="3"/>
  <c r="Z902" i="3" s="1"/>
  <c r="E902" i="3"/>
  <c r="D897" i="13" s="1"/>
  <c r="AA901" i="3"/>
  <c r="R901" i="3"/>
  <c r="Z901" i="3" s="1"/>
  <c r="E901" i="3"/>
  <c r="D896" i="13" s="1"/>
  <c r="AA900" i="3"/>
  <c r="R900" i="3"/>
  <c r="Z900" i="3" s="1"/>
  <c r="E900" i="3"/>
  <c r="D895" i="13" s="1"/>
  <c r="AA899" i="3"/>
  <c r="R899" i="3"/>
  <c r="Z899" i="3" s="1"/>
  <c r="E899" i="3"/>
  <c r="D894" i="13" s="1"/>
  <c r="AA898" i="3"/>
  <c r="R898" i="3"/>
  <c r="Z898" i="3" s="1"/>
  <c r="E898" i="3"/>
  <c r="D893" i="13" s="1"/>
  <c r="AA897" i="3"/>
  <c r="R897" i="3"/>
  <c r="Z897" i="3" s="1"/>
  <c r="E897" i="3"/>
  <c r="D892" i="13" s="1"/>
  <c r="AA896" i="3"/>
  <c r="R896" i="3"/>
  <c r="Z896" i="3" s="1"/>
  <c r="E896" i="3"/>
  <c r="D891" i="13" s="1"/>
  <c r="AA895" i="3"/>
  <c r="R895" i="3"/>
  <c r="Z895" i="3" s="1"/>
  <c r="E895" i="3"/>
  <c r="D890" i="13" s="1"/>
  <c r="AA894" i="3"/>
  <c r="R894" i="3"/>
  <c r="Z894" i="3" s="1"/>
  <c r="E894" i="3"/>
  <c r="D889" i="13" s="1"/>
  <c r="AA893" i="3"/>
  <c r="R893" i="3"/>
  <c r="Z893" i="3" s="1"/>
  <c r="E893" i="3"/>
  <c r="D888" i="13" s="1"/>
  <c r="AA892" i="3"/>
  <c r="R892" i="3"/>
  <c r="Z892" i="3" s="1"/>
  <c r="E892" i="3"/>
  <c r="D887" i="13" s="1"/>
  <c r="AA891" i="3"/>
  <c r="R891" i="3"/>
  <c r="Z891" i="3" s="1"/>
  <c r="E891" i="3"/>
  <c r="D886" i="13" s="1"/>
  <c r="AA890" i="3"/>
  <c r="R890" i="3"/>
  <c r="Z890" i="3" s="1"/>
  <c r="E890" i="3"/>
  <c r="D885" i="13" s="1"/>
  <c r="AA889" i="3"/>
  <c r="R889" i="3"/>
  <c r="Z889" i="3" s="1"/>
  <c r="E889" i="3"/>
  <c r="D884" i="13" s="1"/>
  <c r="AA888" i="3"/>
  <c r="R888" i="3"/>
  <c r="Z888" i="3" s="1"/>
  <c r="E888" i="3"/>
  <c r="D883" i="13" s="1"/>
  <c r="AA887" i="3"/>
  <c r="R887" i="3"/>
  <c r="Z887" i="3" s="1"/>
  <c r="E887" i="3"/>
  <c r="D882" i="13" s="1"/>
  <c r="AA886" i="3"/>
  <c r="R886" i="3"/>
  <c r="Z886" i="3" s="1"/>
  <c r="E886" i="3"/>
  <c r="D881" i="13" s="1"/>
  <c r="AA885" i="3"/>
  <c r="R885" i="3"/>
  <c r="Z885" i="3" s="1"/>
  <c r="E885" i="3"/>
  <c r="D880" i="13" s="1"/>
  <c r="AA884" i="3"/>
  <c r="R884" i="3"/>
  <c r="Z884" i="3" s="1"/>
  <c r="E884" i="3"/>
  <c r="D879" i="13" s="1"/>
  <c r="AA883" i="3"/>
  <c r="R883" i="3"/>
  <c r="Z883" i="3" s="1"/>
  <c r="E883" i="3"/>
  <c r="D878" i="13" s="1"/>
  <c r="AA882" i="3"/>
  <c r="R882" i="3"/>
  <c r="Z882" i="3" s="1"/>
  <c r="E882" i="3"/>
  <c r="D877" i="13" s="1"/>
  <c r="AA881" i="3"/>
  <c r="R881" i="3"/>
  <c r="Z881" i="3" s="1"/>
  <c r="E881" i="3"/>
  <c r="D876" i="13" s="1"/>
  <c r="AA880" i="3"/>
  <c r="R880" i="3"/>
  <c r="Z880" i="3" s="1"/>
  <c r="E880" i="3"/>
  <c r="D875" i="13" s="1"/>
  <c r="AA879" i="3"/>
  <c r="R879" i="3"/>
  <c r="Z879" i="3" s="1"/>
  <c r="E879" i="3"/>
  <c r="D874" i="13" s="1"/>
  <c r="AA878" i="3"/>
  <c r="R878" i="3"/>
  <c r="Z878" i="3" s="1"/>
  <c r="E878" i="3"/>
  <c r="D873" i="13" s="1"/>
  <c r="AA877" i="3"/>
  <c r="R877" i="3"/>
  <c r="Z877" i="3" s="1"/>
  <c r="E877" i="3"/>
  <c r="D872" i="13" s="1"/>
  <c r="AA876" i="3"/>
  <c r="R876" i="3"/>
  <c r="Z876" i="3" s="1"/>
  <c r="E876" i="3"/>
  <c r="D871" i="13" s="1"/>
  <c r="AA875" i="3"/>
  <c r="R875" i="3"/>
  <c r="Z875" i="3" s="1"/>
  <c r="E875" i="3"/>
  <c r="D870" i="13" s="1"/>
  <c r="AA874" i="3"/>
  <c r="R874" i="3"/>
  <c r="Z874" i="3" s="1"/>
  <c r="E874" i="3"/>
  <c r="D869" i="13" s="1"/>
  <c r="AA873" i="3"/>
  <c r="R873" i="3"/>
  <c r="Z873" i="3" s="1"/>
  <c r="E873" i="3"/>
  <c r="D868" i="13" s="1"/>
  <c r="AA872" i="3"/>
  <c r="R872" i="3"/>
  <c r="Z872" i="3" s="1"/>
  <c r="E872" i="3"/>
  <c r="D867" i="13" s="1"/>
  <c r="AA871" i="3"/>
  <c r="R871" i="3"/>
  <c r="Z871" i="3" s="1"/>
  <c r="E871" i="3"/>
  <c r="D866" i="13" s="1"/>
  <c r="AA870" i="3"/>
  <c r="R870" i="3"/>
  <c r="Z870" i="3" s="1"/>
  <c r="E870" i="3"/>
  <c r="D865" i="13" s="1"/>
  <c r="AA869" i="3"/>
  <c r="R869" i="3"/>
  <c r="Z869" i="3" s="1"/>
  <c r="E869" i="3"/>
  <c r="D864" i="13" s="1"/>
  <c r="AA868" i="3"/>
  <c r="R868" i="3"/>
  <c r="Z868" i="3" s="1"/>
  <c r="E868" i="3"/>
  <c r="D863" i="13" s="1"/>
  <c r="AA867" i="3"/>
  <c r="R867" i="3"/>
  <c r="Z867" i="3" s="1"/>
  <c r="E867" i="3"/>
  <c r="D862" i="13" s="1"/>
  <c r="AA866" i="3"/>
  <c r="R866" i="3"/>
  <c r="Z866" i="3" s="1"/>
  <c r="E866" i="3"/>
  <c r="D861" i="13" s="1"/>
  <c r="AA865" i="3"/>
  <c r="R865" i="3"/>
  <c r="Z865" i="3" s="1"/>
  <c r="E865" i="3"/>
  <c r="D860" i="13" s="1"/>
  <c r="AA864" i="3"/>
  <c r="R864" i="3"/>
  <c r="Z864" i="3" s="1"/>
  <c r="E864" i="3"/>
  <c r="D859" i="13" s="1"/>
  <c r="AA863" i="3"/>
  <c r="R863" i="3"/>
  <c r="Z863" i="3" s="1"/>
  <c r="E863" i="3"/>
  <c r="D858" i="13" s="1"/>
  <c r="AA862" i="3"/>
  <c r="R862" i="3"/>
  <c r="Z862" i="3" s="1"/>
  <c r="E862" i="3"/>
  <c r="D857" i="13" s="1"/>
  <c r="AA861" i="3"/>
  <c r="R861" i="3"/>
  <c r="Z861" i="3" s="1"/>
  <c r="E861" i="3"/>
  <c r="D856" i="13" s="1"/>
  <c r="AA860" i="3"/>
  <c r="R860" i="3"/>
  <c r="Z860" i="3" s="1"/>
  <c r="E860" i="3"/>
  <c r="D855" i="13" s="1"/>
  <c r="AA859" i="3"/>
  <c r="R859" i="3"/>
  <c r="Z859" i="3" s="1"/>
  <c r="E859" i="3"/>
  <c r="D854" i="13" s="1"/>
  <c r="AA858" i="3"/>
  <c r="R858" i="3"/>
  <c r="Z858" i="3" s="1"/>
  <c r="E858" i="3"/>
  <c r="D853" i="13" s="1"/>
  <c r="AA857" i="3"/>
  <c r="R857" i="3"/>
  <c r="Z857" i="3" s="1"/>
  <c r="E857" i="3"/>
  <c r="D852" i="13" s="1"/>
  <c r="AA856" i="3"/>
  <c r="R856" i="3"/>
  <c r="Z856" i="3" s="1"/>
  <c r="E856" i="3"/>
  <c r="D851" i="13" s="1"/>
  <c r="AA855" i="3"/>
  <c r="R855" i="3"/>
  <c r="Z855" i="3" s="1"/>
  <c r="E855" i="3"/>
  <c r="D850" i="13" s="1"/>
  <c r="AA854" i="3"/>
  <c r="R854" i="3"/>
  <c r="Z854" i="3" s="1"/>
  <c r="E854" i="3"/>
  <c r="D849" i="13" s="1"/>
  <c r="AA853" i="3"/>
  <c r="R853" i="3"/>
  <c r="Z853" i="3" s="1"/>
  <c r="E853" i="3"/>
  <c r="D848" i="13" s="1"/>
  <c r="AA852" i="3"/>
  <c r="R852" i="3"/>
  <c r="Z852" i="3" s="1"/>
  <c r="E852" i="3"/>
  <c r="D847" i="13" s="1"/>
  <c r="AA851" i="3"/>
  <c r="R851" i="3"/>
  <c r="Z851" i="3" s="1"/>
  <c r="E851" i="3"/>
  <c r="D846" i="13" s="1"/>
  <c r="AA850" i="3"/>
  <c r="R850" i="3"/>
  <c r="Z850" i="3" s="1"/>
  <c r="E850" i="3"/>
  <c r="D845" i="13" s="1"/>
  <c r="AA849" i="3"/>
  <c r="R849" i="3"/>
  <c r="Z849" i="3" s="1"/>
  <c r="E849" i="3"/>
  <c r="D844" i="13" s="1"/>
  <c r="AA848" i="3"/>
  <c r="R848" i="3"/>
  <c r="Z848" i="3" s="1"/>
  <c r="E848" i="3"/>
  <c r="D843" i="13" s="1"/>
  <c r="AA847" i="3"/>
  <c r="R847" i="3"/>
  <c r="Z847" i="3" s="1"/>
  <c r="E847" i="3"/>
  <c r="D842" i="13" s="1"/>
  <c r="AA846" i="3"/>
  <c r="R846" i="3"/>
  <c r="Z846" i="3" s="1"/>
  <c r="E846" i="3"/>
  <c r="D841" i="13" s="1"/>
  <c r="AA845" i="3"/>
  <c r="R845" i="3"/>
  <c r="Z845" i="3" s="1"/>
  <c r="E845" i="3"/>
  <c r="D840" i="13" s="1"/>
  <c r="AA844" i="3"/>
  <c r="R844" i="3"/>
  <c r="Z844" i="3" s="1"/>
  <c r="E844" i="3"/>
  <c r="D839" i="13" s="1"/>
  <c r="AA843" i="3"/>
  <c r="R843" i="3"/>
  <c r="Z843" i="3" s="1"/>
  <c r="E843" i="3"/>
  <c r="D838" i="13" s="1"/>
  <c r="AA842" i="3"/>
  <c r="R842" i="3"/>
  <c r="Z842" i="3" s="1"/>
  <c r="E842" i="3"/>
  <c r="D837" i="13" s="1"/>
  <c r="AA841" i="3"/>
  <c r="R841" i="3"/>
  <c r="Z841" i="3" s="1"/>
  <c r="E841" i="3"/>
  <c r="D836" i="13" s="1"/>
  <c r="AA840" i="3"/>
  <c r="R840" i="3"/>
  <c r="Z840" i="3" s="1"/>
  <c r="E840" i="3"/>
  <c r="D835" i="13" s="1"/>
  <c r="AA839" i="3"/>
  <c r="R839" i="3"/>
  <c r="Z839" i="3" s="1"/>
  <c r="E839" i="3"/>
  <c r="D834" i="13" s="1"/>
  <c r="AA838" i="3"/>
  <c r="R838" i="3"/>
  <c r="Z838" i="3" s="1"/>
  <c r="E838" i="3"/>
  <c r="D833" i="13" s="1"/>
  <c r="AA837" i="3"/>
  <c r="R837" i="3"/>
  <c r="Z837" i="3" s="1"/>
  <c r="E837" i="3"/>
  <c r="D832" i="13" s="1"/>
  <c r="AA836" i="3"/>
  <c r="R836" i="3"/>
  <c r="Z836" i="3" s="1"/>
  <c r="E836" i="3"/>
  <c r="D831" i="13" s="1"/>
  <c r="AA835" i="3"/>
  <c r="R835" i="3"/>
  <c r="Z835" i="3" s="1"/>
  <c r="E835" i="3"/>
  <c r="D830" i="13" s="1"/>
  <c r="AA834" i="3"/>
  <c r="R834" i="3"/>
  <c r="Z834" i="3" s="1"/>
  <c r="E834" i="3"/>
  <c r="D829" i="13" s="1"/>
  <c r="AA833" i="3"/>
  <c r="R833" i="3"/>
  <c r="Z833" i="3" s="1"/>
  <c r="E833" i="3"/>
  <c r="D828" i="13" s="1"/>
  <c r="AA832" i="3"/>
  <c r="R832" i="3"/>
  <c r="Z832" i="3" s="1"/>
  <c r="E832" i="3"/>
  <c r="D827" i="13" s="1"/>
  <c r="AA831" i="3"/>
  <c r="R831" i="3"/>
  <c r="Z831" i="3" s="1"/>
  <c r="E831" i="3"/>
  <c r="D826" i="13" s="1"/>
  <c r="AA830" i="3"/>
  <c r="R830" i="3"/>
  <c r="Z830" i="3" s="1"/>
  <c r="E830" i="3"/>
  <c r="D825" i="13" s="1"/>
  <c r="AA829" i="3"/>
  <c r="R829" i="3"/>
  <c r="Z829" i="3" s="1"/>
  <c r="E829" i="3"/>
  <c r="D824" i="13" s="1"/>
  <c r="AA828" i="3"/>
  <c r="R828" i="3"/>
  <c r="Z828" i="3" s="1"/>
  <c r="E828" i="3"/>
  <c r="D823" i="13" s="1"/>
  <c r="AA827" i="3"/>
  <c r="R827" i="3"/>
  <c r="Z827" i="3" s="1"/>
  <c r="E827" i="3"/>
  <c r="D822" i="13" s="1"/>
  <c r="AA826" i="3"/>
  <c r="R826" i="3"/>
  <c r="Z826" i="3" s="1"/>
  <c r="E826" i="3"/>
  <c r="D821" i="13" s="1"/>
  <c r="AA825" i="3"/>
  <c r="R825" i="3"/>
  <c r="Z825" i="3" s="1"/>
  <c r="E825" i="3"/>
  <c r="D820" i="13" s="1"/>
  <c r="AA824" i="3"/>
  <c r="R824" i="3"/>
  <c r="Z824" i="3" s="1"/>
  <c r="E824" i="3"/>
  <c r="D819" i="13" s="1"/>
  <c r="AA823" i="3"/>
  <c r="R823" i="3"/>
  <c r="Z823" i="3" s="1"/>
  <c r="E823" i="3"/>
  <c r="D818" i="13" s="1"/>
  <c r="AA822" i="3"/>
  <c r="R822" i="3"/>
  <c r="Z822" i="3" s="1"/>
  <c r="E822" i="3"/>
  <c r="D817" i="13" s="1"/>
  <c r="AA821" i="3"/>
  <c r="R821" i="3"/>
  <c r="Z821" i="3" s="1"/>
  <c r="E821" i="3"/>
  <c r="D816" i="13" s="1"/>
  <c r="AA820" i="3"/>
  <c r="R820" i="3"/>
  <c r="Z820" i="3" s="1"/>
  <c r="E820" i="3"/>
  <c r="D815" i="13" s="1"/>
  <c r="AA819" i="3"/>
  <c r="R819" i="3"/>
  <c r="Z819" i="3" s="1"/>
  <c r="E819" i="3"/>
  <c r="D814" i="13" s="1"/>
  <c r="AA818" i="3"/>
  <c r="R818" i="3"/>
  <c r="Z818" i="3" s="1"/>
  <c r="E818" i="3"/>
  <c r="D813" i="13" s="1"/>
  <c r="AA817" i="3"/>
  <c r="R817" i="3"/>
  <c r="Z817" i="3" s="1"/>
  <c r="E817" i="3"/>
  <c r="D812" i="13" s="1"/>
  <c r="AA816" i="3"/>
  <c r="R816" i="3"/>
  <c r="Z816" i="3" s="1"/>
  <c r="E816" i="3"/>
  <c r="D811" i="13" s="1"/>
  <c r="AA815" i="3"/>
  <c r="R815" i="3"/>
  <c r="Z815" i="3" s="1"/>
  <c r="E815" i="3"/>
  <c r="D810" i="13" s="1"/>
  <c r="AA814" i="3"/>
  <c r="R814" i="3"/>
  <c r="Z814" i="3" s="1"/>
  <c r="E814" i="3"/>
  <c r="D809" i="13" s="1"/>
  <c r="AA813" i="3"/>
  <c r="R813" i="3"/>
  <c r="Z813" i="3" s="1"/>
  <c r="E813" i="3"/>
  <c r="D808" i="13" s="1"/>
  <c r="AA812" i="3"/>
  <c r="R812" i="3"/>
  <c r="Z812" i="3" s="1"/>
  <c r="E812" i="3"/>
  <c r="D807" i="13" s="1"/>
  <c r="AA811" i="3"/>
  <c r="R811" i="3"/>
  <c r="Z811" i="3" s="1"/>
  <c r="E811" i="3"/>
  <c r="D806" i="13" s="1"/>
  <c r="AA810" i="3"/>
  <c r="R810" i="3"/>
  <c r="Z810" i="3" s="1"/>
  <c r="E810" i="3"/>
  <c r="D805" i="13" s="1"/>
  <c r="AA809" i="3"/>
  <c r="R809" i="3"/>
  <c r="Z809" i="3" s="1"/>
  <c r="E809" i="3"/>
  <c r="D804" i="13" s="1"/>
  <c r="AA808" i="3"/>
  <c r="R808" i="3"/>
  <c r="Z808" i="3" s="1"/>
  <c r="E808" i="3"/>
  <c r="D803" i="13" s="1"/>
  <c r="AA807" i="3"/>
  <c r="R807" i="3"/>
  <c r="Z807" i="3" s="1"/>
  <c r="E807" i="3"/>
  <c r="D802" i="13" s="1"/>
  <c r="AA806" i="3"/>
  <c r="R806" i="3"/>
  <c r="Z806" i="3" s="1"/>
  <c r="E806" i="3"/>
  <c r="D801" i="13" s="1"/>
  <c r="AA805" i="3"/>
  <c r="R805" i="3"/>
  <c r="Z805" i="3" s="1"/>
  <c r="E805" i="3"/>
  <c r="D800" i="13" s="1"/>
  <c r="AA804" i="3"/>
  <c r="R804" i="3"/>
  <c r="Z804" i="3" s="1"/>
  <c r="E804" i="3"/>
  <c r="D799" i="13" s="1"/>
  <c r="AA803" i="3"/>
  <c r="R803" i="3"/>
  <c r="Z803" i="3" s="1"/>
  <c r="E803" i="3"/>
  <c r="D798" i="13" s="1"/>
  <c r="AA802" i="3"/>
  <c r="R802" i="3"/>
  <c r="Z802" i="3" s="1"/>
  <c r="E802" i="3"/>
  <c r="D797" i="13" s="1"/>
  <c r="AA801" i="3"/>
  <c r="R801" i="3"/>
  <c r="Z801" i="3" s="1"/>
  <c r="E801" i="3"/>
  <c r="D796" i="13" s="1"/>
  <c r="AA800" i="3"/>
  <c r="R800" i="3"/>
  <c r="Z800" i="3" s="1"/>
  <c r="E800" i="3"/>
  <c r="D795" i="13" s="1"/>
  <c r="AA799" i="3"/>
  <c r="R799" i="3"/>
  <c r="Z799" i="3" s="1"/>
  <c r="E799" i="3"/>
  <c r="D794" i="13" s="1"/>
  <c r="AA798" i="3"/>
  <c r="R798" i="3"/>
  <c r="Z798" i="3" s="1"/>
  <c r="E798" i="3"/>
  <c r="D793" i="13" s="1"/>
  <c r="AA797" i="3"/>
  <c r="R797" i="3"/>
  <c r="Z797" i="3" s="1"/>
  <c r="E797" i="3"/>
  <c r="D792" i="13" s="1"/>
  <c r="AA796" i="3"/>
  <c r="R796" i="3"/>
  <c r="Z796" i="3" s="1"/>
  <c r="E796" i="3"/>
  <c r="D791" i="13" s="1"/>
  <c r="AA795" i="3"/>
  <c r="R795" i="3"/>
  <c r="Z795" i="3" s="1"/>
  <c r="E795" i="3"/>
  <c r="D790" i="13" s="1"/>
  <c r="AA794" i="3"/>
  <c r="R794" i="3"/>
  <c r="Z794" i="3" s="1"/>
  <c r="E794" i="3"/>
  <c r="D789" i="13" s="1"/>
  <c r="AA793" i="3"/>
  <c r="R793" i="3"/>
  <c r="Z793" i="3" s="1"/>
  <c r="E793" i="3"/>
  <c r="D788" i="13" s="1"/>
  <c r="AA792" i="3"/>
  <c r="R792" i="3"/>
  <c r="Z792" i="3" s="1"/>
  <c r="E792" i="3"/>
  <c r="D787" i="13" s="1"/>
  <c r="AA791" i="3"/>
  <c r="R791" i="3"/>
  <c r="Z791" i="3" s="1"/>
  <c r="E791" i="3"/>
  <c r="D786" i="13" s="1"/>
  <c r="AA790" i="3"/>
  <c r="R790" i="3"/>
  <c r="Z790" i="3" s="1"/>
  <c r="E790" i="3"/>
  <c r="D785" i="13" s="1"/>
  <c r="AA789" i="3"/>
  <c r="R789" i="3"/>
  <c r="Z789" i="3" s="1"/>
  <c r="E789" i="3"/>
  <c r="D784" i="13" s="1"/>
  <c r="AA788" i="3"/>
  <c r="R788" i="3"/>
  <c r="Z788" i="3" s="1"/>
  <c r="E788" i="3"/>
  <c r="D783" i="13" s="1"/>
  <c r="AA787" i="3"/>
  <c r="R787" i="3"/>
  <c r="Z787" i="3" s="1"/>
  <c r="E787" i="3"/>
  <c r="D782" i="13" s="1"/>
  <c r="AA786" i="3"/>
  <c r="R786" i="3"/>
  <c r="Z786" i="3" s="1"/>
  <c r="E786" i="3"/>
  <c r="D781" i="13" s="1"/>
  <c r="AA785" i="3"/>
  <c r="R785" i="3"/>
  <c r="Z785" i="3" s="1"/>
  <c r="E785" i="3"/>
  <c r="D780" i="13" s="1"/>
  <c r="AA784" i="3"/>
  <c r="R784" i="3"/>
  <c r="Z784" i="3" s="1"/>
  <c r="E784" i="3"/>
  <c r="D779" i="13" s="1"/>
  <c r="AA783" i="3"/>
  <c r="R783" i="3"/>
  <c r="Z783" i="3" s="1"/>
  <c r="E783" i="3"/>
  <c r="D778" i="13" s="1"/>
  <c r="AA782" i="3"/>
  <c r="R782" i="3"/>
  <c r="Z782" i="3" s="1"/>
  <c r="E782" i="3"/>
  <c r="D777" i="13" s="1"/>
  <c r="AA781" i="3"/>
  <c r="R781" i="3"/>
  <c r="Z781" i="3" s="1"/>
  <c r="E781" i="3"/>
  <c r="D776" i="13" s="1"/>
  <c r="AA780" i="3"/>
  <c r="R780" i="3"/>
  <c r="Z780" i="3" s="1"/>
  <c r="E780" i="3"/>
  <c r="D775" i="13" s="1"/>
  <c r="AA779" i="3"/>
  <c r="R779" i="3"/>
  <c r="Z779" i="3" s="1"/>
  <c r="E779" i="3"/>
  <c r="D774" i="13" s="1"/>
  <c r="AA778" i="3"/>
  <c r="R778" i="3"/>
  <c r="Z778" i="3" s="1"/>
  <c r="E778" i="3"/>
  <c r="D773" i="13" s="1"/>
  <c r="AA777" i="3"/>
  <c r="R777" i="3"/>
  <c r="Z777" i="3" s="1"/>
  <c r="E777" i="3"/>
  <c r="D772" i="13" s="1"/>
  <c r="AA776" i="3"/>
  <c r="R776" i="3"/>
  <c r="Z776" i="3" s="1"/>
  <c r="E776" i="3"/>
  <c r="D771" i="13" s="1"/>
  <c r="AA775" i="3"/>
  <c r="R775" i="3"/>
  <c r="Z775" i="3" s="1"/>
  <c r="E775" i="3"/>
  <c r="D770" i="13" s="1"/>
  <c r="AA774" i="3"/>
  <c r="R774" i="3"/>
  <c r="Z774" i="3" s="1"/>
  <c r="E774" i="3"/>
  <c r="D769" i="13" s="1"/>
  <c r="AA773" i="3"/>
  <c r="R773" i="3"/>
  <c r="Z773" i="3" s="1"/>
  <c r="E773" i="3"/>
  <c r="D768" i="13" s="1"/>
  <c r="AA772" i="3"/>
  <c r="R772" i="3"/>
  <c r="Z772" i="3" s="1"/>
  <c r="E772" i="3"/>
  <c r="D767" i="13" s="1"/>
  <c r="AA771" i="3"/>
  <c r="R771" i="3"/>
  <c r="Z771" i="3" s="1"/>
  <c r="E771" i="3"/>
  <c r="D766" i="13" s="1"/>
  <c r="AA770" i="3"/>
  <c r="R770" i="3"/>
  <c r="Z770" i="3" s="1"/>
  <c r="E770" i="3"/>
  <c r="D765" i="13" s="1"/>
  <c r="AA769" i="3"/>
  <c r="R769" i="3"/>
  <c r="Z769" i="3" s="1"/>
  <c r="E769" i="3"/>
  <c r="D764" i="13" s="1"/>
  <c r="AA768" i="3"/>
  <c r="R768" i="3"/>
  <c r="Z768" i="3" s="1"/>
  <c r="E768" i="3"/>
  <c r="D763" i="13" s="1"/>
  <c r="AA767" i="3"/>
  <c r="R767" i="3"/>
  <c r="Z767" i="3" s="1"/>
  <c r="E767" i="3"/>
  <c r="D762" i="13" s="1"/>
  <c r="AA766" i="3"/>
  <c r="R766" i="3"/>
  <c r="Z766" i="3" s="1"/>
  <c r="E766" i="3"/>
  <c r="D761" i="13" s="1"/>
  <c r="AA765" i="3"/>
  <c r="R765" i="3"/>
  <c r="Z765" i="3" s="1"/>
  <c r="E765" i="3"/>
  <c r="D760" i="13" s="1"/>
  <c r="AA764" i="3"/>
  <c r="R764" i="3"/>
  <c r="Z764" i="3" s="1"/>
  <c r="E764" i="3"/>
  <c r="D759" i="13" s="1"/>
  <c r="AA763" i="3"/>
  <c r="R763" i="3"/>
  <c r="Z763" i="3" s="1"/>
  <c r="E763" i="3"/>
  <c r="D758" i="13" s="1"/>
  <c r="AA762" i="3"/>
  <c r="R762" i="3"/>
  <c r="Z762" i="3" s="1"/>
  <c r="E762" i="3"/>
  <c r="D757" i="13" s="1"/>
  <c r="AA761" i="3"/>
  <c r="R761" i="3"/>
  <c r="Z761" i="3" s="1"/>
  <c r="E761" i="3"/>
  <c r="D756" i="13" s="1"/>
  <c r="AA760" i="3"/>
  <c r="R760" i="3"/>
  <c r="Z760" i="3" s="1"/>
  <c r="E760" i="3"/>
  <c r="D755" i="13" s="1"/>
  <c r="AA759" i="3"/>
  <c r="R759" i="3"/>
  <c r="Z759" i="3" s="1"/>
  <c r="E759" i="3"/>
  <c r="D754" i="13" s="1"/>
  <c r="AA758" i="3"/>
  <c r="R758" i="3"/>
  <c r="Z758" i="3" s="1"/>
  <c r="E758" i="3"/>
  <c r="D753" i="13" s="1"/>
  <c r="AA757" i="3"/>
  <c r="R757" i="3"/>
  <c r="Z757" i="3" s="1"/>
  <c r="E757" i="3"/>
  <c r="D752" i="13" s="1"/>
  <c r="AA756" i="3"/>
  <c r="R756" i="3"/>
  <c r="Z756" i="3" s="1"/>
  <c r="E756" i="3"/>
  <c r="D751" i="13" s="1"/>
  <c r="AA755" i="3"/>
  <c r="R755" i="3"/>
  <c r="Z755" i="3" s="1"/>
  <c r="E755" i="3"/>
  <c r="D750" i="13" s="1"/>
  <c r="AA754" i="3"/>
  <c r="R754" i="3"/>
  <c r="Z754" i="3" s="1"/>
  <c r="E754" i="3"/>
  <c r="D749" i="13" s="1"/>
  <c r="AA753" i="3"/>
  <c r="R753" i="3"/>
  <c r="Z753" i="3" s="1"/>
  <c r="E753" i="3"/>
  <c r="D748" i="13" s="1"/>
  <c r="AA752" i="3"/>
  <c r="R752" i="3"/>
  <c r="Z752" i="3" s="1"/>
  <c r="E752" i="3"/>
  <c r="D747" i="13" s="1"/>
  <c r="AA751" i="3"/>
  <c r="R751" i="3"/>
  <c r="Z751" i="3" s="1"/>
  <c r="E751" i="3"/>
  <c r="D746" i="13" s="1"/>
  <c r="AA750" i="3"/>
  <c r="R750" i="3"/>
  <c r="Z750" i="3" s="1"/>
  <c r="E750" i="3"/>
  <c r="D745" i="13" s="1"/>
  <c r="AA749" i="3"/>
  <c r="R749" i="3"/>
  <c r="Z749" i="3" s="1"/>
  <c r="E749" i="3"/>
  <c r="D744" i="13" s="1"/>
  <c r="AA748" i="3"/>
  <c r="R748" i="3"/>
  <c r="Z748" i="3" s="1"/>
  <c r="E748" i="3"/>
  <c r="D743" i="13" s="1"/>
  <c r="AA747" i="3"/>
  <c r="R747" i="3"/>
  <c r="Z747" i="3" s="1"/>
  <c r="E747" i="3"/>
  <c r="D742" i="13" s="1"/>
  <c r="AA746" i="3"/>
  <c r="R746" i="3"/>
  <c r="Z746" i="3" s="1"/>
  <c r="E746" i="3"/>
  <c r="D741" i="13" s="1"/>
  <c r="AA745" i="3"/>
  <c r="R745" i="3"/>
  <c r="Z745" i="3" s="1"/>
  <c r="E745" i="3"/>
  <c r="D740" i="13" s="1"/>
  <c r="AA744" i="3"/>
  <c r="R744" i="3"/>
  <c r="Z744" i="3" s="1"/>
  <c r="E744" i="3"/>
  <c r="D739" i="13" s="1"/>
  <c r="AA743" i="3"/>
  <c r="R743" i="3"/>
  <c r="Z743" i="3" s="1"/>
  <c r="E743" i="3"/>
  <c r="D738" i="13" s="1"/>
  <c r="AA742" i="3"/>
  <c r="R742" i="3"/>
  <c r="Z742" i="3" s="1"/>
  <c r="E742" i="3"/>
  <c r="D737" i="13" s="1"/>
  <c r="AA741" i="3"/>
  <c r="R741" i="3"/>
  <c r="Z741" i="3" s="1"/>
  <c r="E741" i="3"/>
  <c r="D736" i="13" s="1"/>
  <c r="AA740" i="3"/>
  <c r="R740" i="3"/>
  <c r="Z740" i="3" s="1"/>
  <c r="E740" i="3"/>
  <c r="D735" i="13" s="1"/>
  <c r="AA739" i="3"/>
  <c r="R739" i="3"/>
  <c r="Z739" i="3" s="1"/>
  <c r="E739" i="3"/>
  <c r="D734" i="13" s="1"/>
  <c r="AA738" i="3"/>
  <c r="R738" i="3"/>
  <c r="Z738" i="3" s="1"/>
  <c r="E738" i="3"/>
  <c r="D733" i="13" s="1"/>
  <c r="AA737" i="3"/>
  <c r="R737" i="3"/>
  <c r="Z737" i="3" s="1"/>
  <c r="E737" i="3"/>
  <c r="D732" i="13" s="1"/>
  <c r="AA736" i="3"/>
  <c r="R736" i="3"/>
  <c r="Z736" i="3" s="1"/>
  <c r="E736" i="3"/>
  <c r="D731" i="13" s="1"/>
  <c r="AA735" i="3"/>
  <c r="R735" i="3"/>
  <c r="Z735" i="3" s="1"/>
  <c r="E735" i="3"/>
  <c r="D730" i="13" s="1"/>
  <c r="AA734" i="3"/>
  <c r="R734" i="3"/>
  <c r="Z734" i="3" s="1"/>
  <c r="E734" i="3"/>
  <c r="D729" i="13" s="1"/>
  <c r="AA733" i="3"/>
  <c r="R733" i="3"/>
  <c r="Z733" i="3" s="1"/>
  <c r="E733" i="3"/>
  <c r="D728" i="13" s="1"/>
  <c r="AA732" i="3"/>
  <c r="R732" i="3"/>
  <c r="Z732" i="3" s="1"/>
  <c r="E732" i="3"/>
  <c r="D727" i="13" s="1"/>
  <c r="AA731" i="3"/>
  <c r="R731" i="3"/>
  <c r="Z731" i="3" s="1"/>
  <c r="E731" i="3"/>
  <c r="D726" i="13" s="1"/>
  <c r="AA730" i="3"/>
  <c r="R730" i="3"/>
  <c r="Z730" i="3" s="1"/>
  <c r="E730" i="3"/>
  <c r="D725" i="13" s="1"/>
  <c r="AA729" i="3"/>
  <c r="R729" i="3"/>
  <c r="Z729" i="3" s="1"/>
  <c r="E729" i="3"/>
  <c r="D724" i="13" s="1"/>
  <c r="AA728" i="3"/>
  <c r="R728" i="3"/>
  <c r="Z728" i="3" s="1"/>
  <c r="E728" i="3"/>
  <c r="D723" i="13" s="1"/>
  <c r="AA727" i="3"/>
  <c r="R727" i="3"/>
  <c r="Z727" i="3" s="1"/>
  <c r="E727" i="3"/>
  <c r="D722" i="13" s="1"/>
  <c r="AA726" i="3"/>
  <c r="R726" i="3"/>
  <c r="Z726" i="3" s="1"/>
  <c r="E726" i="3"/>
  <c r="D721" i="13" s="1"/>
  <c r="AA725" i="3"/>
  <c r="R725" i="3"/>
  <c r="Z725" i="3" s="1"/>
  <c r="E725" i="3"/>
  <c r="D720" i="13" s="1"/>
  <c r="AA724" i="3"/>
  <c r="R724" i="3"/>
  <c r="Z724" i="3" s="1"/>
  <c r="E724" i="3"/>
  <c r="D719" i="13" s="1"/>
  <c r="AA723" i="3"/>
  <c r="R723" i="3"/>
  <c r="Z723" i="3" s="1"/>
  <c r="E723" i="3"/>
  <c r="D718" i="13" s="1"/>
  <c r="AA722" i="3"/>
  <c r="R722" i="3"/>
  <c r="Z722" i="3" s="1"/>
  <c r="E722" i="3"/>
  <c r="D717" i="13" s="1"/>
  <c r="AA721" i="3"/>
  <c r="R721" i="3"/>
  <c r="Z721" i="3" s="1"/>
  <c r="E721" i="3"/>
  <c r="D716" i="13" s="1"/>
  <c r="AA720" i="3"/>
  <c r="R720" i="3"/>
  <c r="Z720" i="3" s="1"/>
  <c r="E720" i="3"/>
  <c r="D715" i="13" s="1"/>
  <c r="AA719" i="3"/>
  <c r="R719" i="3"/>
  <c r="Z719" i="3" s="1"/>
  <c r="E719" i="3"/>
  <c r="D714" i="13" s="1"/>
  <c r="AA718" i="3"/>
  <c r="R718" i="3"/>
  <c r="Z718" i="3" s="1"/>
  <c r="E718" i="3"/>
  <c r="D713" i="13" s="1"/>
  <c r="AA717" i="3"/>
  <c r="R717" i="3"/>
  <c r="Z717" i="3" s="1"/>
  <c r="E717" i="3"/>
  <c r="D712" i="13" s="1"/>
  <c r="AA716" i="3"/>
  <c r="R716" i="3"/>
  <c r="Z716" i="3" s="1"/>
  <c r="E716" i="3"/>
  <c r="D711" i="13" s="1"/>
  <c r="AA715" i="3"/>
  <c r="R715" i="3"/>
  <c r="Z715" i="3" s="1"/>
  <c r="E715" i="3"/>
  <c r="D710" i="13" s="1"/>
  <c r="AA714" i="3"/>
  <c r="R714" i="3"/>
  <c r="Z714" i="3" s="1"/>
  <c r="E714" i="3"/>
  <c r="D709" i="13" s="1"/>
  <c r="AA713" i="3"/>
  <c r="R713" i="3"/>
  <c r="Z713" i="3" s="1"/>
  <c r="E713" i="3"/>
  <c r="D708" i="13" s="1"/>
  <c r="AA712" i="3"/>
  <c r="R712" i="3"/>
  <c r="Z712" i="3" s="1"/>
  <c r="E712" i="3"/>
  <c r="D707" i="13" s="1"/>
  <c r="AA711" i="3"/>
  <c r="R711" i="3"/>
  <c r="Z711" i="3" s="1"/>
  <c r="E711" i="3"/>
  <c r="D706" i="13" s="1"/>
  <c r="AA710" i="3"/>
  <c r="R710" i="3"/>
  <c r="Z710" i="3" s="1"/>
  <c r="E710" i="3"/>
  <c r="D705" i="13" s="1"/>
  <c r="AA709" i="3"/>
  <c r="R709" i="3"/>
  <c r="Z709" i="3" s="1"/>
  <c r="E709" i="3"/>
  <c r="D704" i="13" s="1"/>
  <c r="AA708" i="3"/>
  <c r="R708" i="3"/>
  <c r="Z708" i="3" s="1"/>
  <c r="E708" i="3"/>
  <c r="D703" i="13" s="1"/>
  <c r="AA707" i="3"/>
  <c r="R707" i="3"/>
  <c r="Z707" i="3" s="1"/>
  <c r="E707" i="3"/>
  <c r="D702" i="13" s="1"/>
  <c r="AA706" i="3"/>
  <c r="R706" i="3"/>
  <c r="Z706" i="3" s="1"/>
  <c r="E706" i="3"/>
  <c r="D701" i="13" s="1"/>
  <c r="AA705" i="3"/>
  <c r="R705" i="3"/>
  <c r="Z705" i="3" s="1"/>
  <c r="E705" i="3"/>
  <c r="D700" i="13" s="1"/>
  <c r="AA704" i="3"/>
  <c r="R704" i="3"/>
  <c r="Z704" i="3" s="1"/>
  <c r="E704" i="3"/>
  <c r="D699" i="13" s="1"/>
  <c r="AA703" i="3"/>
  <c r="R703" i="3"/>
  <c r="Z703" i="3" s="1"/>
  <c r="E703" i="3"/>
  <c r="D698" i="13" s="1"/>
  <c r="AA702" i="3"/>
  <c r="R702" i="3"/>
  <c r="Z702" i="3" s="1"/>
  <c r="E702" i="3"/>
  <c r="D697" i="13" s="1"/>
  <c r="AA701" i="3"/>
  <c r="R701" i="3"/>
  <c r="Z701" i="3" s="1"/>
  <c r="E701" i="3"/>
  <c r="D696" i="13" s="1"/>
  <c r="AA700" i="3"/>
  <c r="R700" i="3"/>
  <c r="Z700" i="3" s="1"/>
  <c r="E700" i="3"/>
  <c r="D695" i="13" s="1"/>
  <c r="AA699" i="3"/>
  <c r="R699" i="3"/>
  <c r="Z699" i="3" s="1"/>
  <c r="E699" i="3"/>
  <c r="D694" i="13" s="1"/>
  <c r="AA698" i="3"/>
  <c r="R698" i="3"/>
  <c r="Z698" i="3" s="1"/>
  <c r="E698" i="3"/>
  <c r="D693" i="13" s="1"/>
  <c r="AA697" i="3"/>
  <c r="R697" i="3"/>
  <c r="Z697" i="3" s="1"/>
  <c r="E697" i="3"/>
  <c r="D692" i="13" s="1"/>
  <c r="AA696" i="3"/>
  <c r="R696" i="3"/>
  <c r="Z696" i="3" s="1"/>
  <c r="E696" i="3"/>
  <c r="D691" i="13" s="1"/>
  <c r="AA695" i="3"/>
  <c r="R695" i="3"/>
  <c r="Z695" i="3" s="1"/>
  <c r="E695" i="3"/>
  <c r="D690" i="13" s="1"/>
  <c r="AA694" i="3"/>
  <c r="R694" i="3"/>
  <c r="Z694" i="3" s="1"/>
  <c r="E694" i="3"/>
  <c r="D689" i="13" s="1"/>
  <c r="AA693" i="3"/>
  <c r="R693" i="3"/>
  <c r="Z693" i="3" s="1"/>
  <c r="E693" i="3"/>
  <c r="D688" i="13" s="1"/>
  <c r="AA692" i="3"/>
  <c r="R692" i="3"/>
  <c r="Z692" i="3" s="1"/>
  <c r="E692" i="3"/>
  <c r="D687" i="13" s="1"/>
  <c r="AA691" i="3"/>
  <c r="R691" i="3"/>
  <c r="Z691" i="3" s="1"/>
  <c r="E691" i="3"/>
  <c r="D686" i="13" s="1"/>
  <c r="AA690" i="3"/>
  <c r="R690" i="3"/>
  <c r="Z690" i="3" s="1"/>
  <c r="E690" i="3"/>
  <c r="D685" i="13" s="1"/>
  <c r="AA689" i="3"/>
  <c r="R689" i="3"/>
  <c r="Z689" i="3" s="1"/>
  <c r="E689" i="3"/>
  <c r="D684" i="13" s="1"/>
  <c r="AA688" i="3"/>
  <c r="R688" i="3"/>
  <c r="Z688" i="3" s="1"/>
  <c r="E688" i="3"/>
  <c r="D683" i="13" s="1"/>
  <c r="AA687" i="3"/>
  <c r="R687" i="3"/>
  <c r="Z687" i="3" s="1"/>
  <c r="E687" i="3"/>
  <c r="D682" i="13" s="1"/>
  <c r="AA686" i="3"/>
  <c r="R686" i="3"/>
  <c r="Z686" i="3" s="1"/>
  <c r="E686" i="3"/>
  <c r="D681" i="13" s="1"/>
  <c r="AA685" i="3"/>
  <c r="R685" i="3"/>
  <c r="Z685" i="3" s="1"/>
  <c r="E685" i="3"/>
  <c r="D680" i="13" s="1"/>
  <c r="AA684" i="3"/>
  <c r="R684" i="3"/>
  <c r="Z684" i="3" s="1"/>
  <c r="E684" i="3"/>
  <c r="D679" i="13" s="1"/>
  <c r="AA683" i="3"/>
  <c r="R683" i="3"/>
  <c r="Z683" i="3" s="1"/>
  <c r="E683" i="3"/>
  <c r="D678" i="13" s="1"/>
  <c r="AA682" i="3"/>
  <c r="R682" i="3"/>
  <c r="Z682" i="3" s="1"/>
  <c r="E682" i="3"/>
  <c r="D677" i="13" s="1"/>
  <c r="AA681" i="3"/>
  <c r="R681" i="3"/>
  <c r="Z681" i="3" s="1"/>
  <c r="E681" i="3"/>
  <c r="D676" i="13" s="1"/>
  <c r="AA680" i="3"/>
  <c r="R680" i="3"/>
  <c r="Z680" i="3" s="1"/>
  <c r="E680" i="3"/>
  <c r="D675" i="13" s="1"/>
  <c r="AA679" i="3"/>
  <c r="R679" i="3"/>
  <c r="Z679" i="3" s="1"/>
  <c r="E679" i="3"/>
  <c r="D674" i="13" s="1"/>
  <c r="AA678" i="3"/>
  <c r="R678" i="3"/>
  <c r="Z678" i="3" s="1"/>
  <c r="E678" i="3"/>
  <c r="D673" i="13" s="1"/>
  <c r="AA677" i="3"/>
  <c r="R677" i="3"/>
  <c r="Z677" i="3" s="1"/>
  <c r="E677" i="3"/>
  <c r="D672" i="13" s="1"/>
  <c r="AA676" i="3"/>
  <c r="R676" i="3"/>
  <c r="Z676" i="3" s="1"/>
  <c r="E676" i="3"/>
  <c r="D671" i="13" s="1"/>
  <c r="AA675" i="3"/>
  <c r="R675" i="3"/>
  <c r="Z675" i="3" s="1"/>
  <c r="E675" i="3"/>
  <c r="D670" i="13" s="1"/>
  <c r="AA674" i="3"/>
  <c r="R674" i="3"/>
  <c r="Z674" i="3" s="1"/>
  <c r="E674" i="3"/>
  <c r="D669" i="13" s="1"/>
  <c r="AA673" i="3"/>
  <c r="R673" i="3"/>
  <c r="Z673" i="3" s="1"/>
  <c r="E673" i="3"/>
  <c r="D668" i="13" s="1"/>
  <c r="AA672" i="3"/>
  <c r="R672" i="3"/>
  <c r="Z672" i="3" s="1"/>
  <c r="E672" i="3"/>
  <c r="D667" i="13" s="1"/>
  <c r="AA671" i="3"/>
  <c r="R671" i="3"/>
  <c r="Z671" i="3" s="1"/>
  <c r="E671" i="3"/>
  <c r="D666" i="13" s="1"/>
  <c r="AA670" i="3"/>
  <c r="R670" i="3"/>
  <c r="Z670" i="3" s="1"/>
  <c r="E670" i="3"/>
  <c r="D665" i="13" s="1"/>
  <c r="AA669" i="3"/>
  <c r="R669" i="3"/>
  <c r="Z669" i="3" s="1"/>
  <c r="E669" i="3"/>
  <c r="D664" i="13" s="1"/>
  <c r="AA668" i="3"/>
  <c r="R668" i="3"/>
  <c r="Z668" i="3" s="1"/>
  <c r="E668" i="3"/>
  <c r="D663" i="13" s="1"/>
  <c r="AA667" i="3"/>
  <c r="R667" i="3"/>
  <c r="Z667" i="3" s="1"/>
  <c r="E667" i="3"/>
  <c r="D662" i="13" s="1"/>
  <c r="AA666" i="3"/>
  <c r="R666" i="3"/>
  <c r="Z666" i="3" s="1"/>
  <c r="E666" i="3"/>
  <c r="D661" i="13" s="1"/>
  <c r="AA665" i="3"/>
  <c r="R665" i="3"/>
  <c r="Z665" i="3" s="1"/>
  <c r="E665" i="3"/>
  <c r="D660" i="13" s="1"/>
  <c r="AA664" i="3"/>
  <c r="R664" i="3"/>
  <c r="Z664" i="3" s="1"/>
  <c r="E664" i="3"/>
  <c r="D659" i="13" s="1"/>
  <c r="AA663" i="3"/>
  <c r="R663" i="3"/>
  <c r="Z663" i="3" s="1"/>
  <c r="E663" i="3"/>
  <c r="D658" i="13" s="1"/>
  <c r="AA662" i="3"/>
  <c r="R662" i="3"/>
  <c r="Z662" i="3" s="1"/>
  <c r="E662" i="3"/>
  <c r="D657" i="13" s="1"/>
  <c r="AA661" i="3"/>
  <c r="R661" i="3"/>
  <c r="Z661" i="3" s="1"/>
  <c r="E661" i="3"/>
  <c r="D656" i="13" s="1"/>
  <c r="AA660" i="3"/>
  <c r="R660" i="3"/>
  <c r="Z660" i="3" s="1"/>
  <c r="E660" i="3"/>
  <c r="D655" i="13" s="1"/>
  <c r="AA659" i="3"/>
  <c r="R659" i="3"/>
  <c r="Z659" i="3" s="1"/>
  <c r="E659" i="3"/>
  <c r="D654" i="13" s="1"/>
  <c r="AA658" i="3"/>
  <c r="R658" i="3"/>
  <c r="Z658" i="3" s="1"/>
  <c r="E658" i="3"/>
  <c r="D653" i="13" s="1"/>
  <c r="AA657" i="3"/>
  <c r="R657" i="3"/>
  <c r="Z657" i="3" s="1"/>
  <c r="E657" i="3"/>
  <c r="D652" i="13" s="1"/>
  <c r="AA656" i="3"/>
  <c r="R656" i="3"/>
  <c r="Z656" i="3" s="1"/>
  <c r="E656" i="3"/>
  <c r="D651" i="13" s="1"/>
  <c r="AA655" i="3"/>
  <c r="R655" i="3"/>
  <c r="Z655" i="3" s="1"/>
  <c r="E655" i="3"/>
  <c r="D650" i="13" s="1"/>
  <c r="AA654" i="3"/>
  <c r="R654" i="3"/>
  <c r="Z654" i="3" s="1"/>
  <c r="E654" i="3"/>
  <c r="D649" i="13" s="1"/>
  <c r="AA653" i="3"/>
  <c r="R653" i="3"/>
  <c r="Z653" i="3" s="1"/>
  <c r="E653" i="3"/>
  <c r="D648" i="13" s="1"/>
  <c r="AA652" i="3"/>
  <c r="R652" i="3"/>
  <c r="Z652" i="3" s="1"/>
  <c r="E652" i="3"/>
  <c r="D647" i="13" s="1"/>
  <c r="AA651" i="3"/>
  <c r="R651" i="3"/>
  <c r="Z651" i="3" s="1"/>
  <c r="E651" i="3"/>
  <c r="D646" i="13" s="1"/>
  <c r="AA650" i="3"/>
  <c r="R650" i="3"/>
  <c r="Z650" i="3" s="1"/>
  <c r="E650" i="3"/>
  <c r="D645" i="13" s="1"/>
  <c r="AA649" i="3"/>
  <c r="R649" i="3"/>
  <c r="Z649" i="3" s="1"/>
  <c r="E649" i="3"/>
  <c r="D644" i="13" s="1"/>
  <c r="AA648" i="3"/>
  <c r="R648" i="3"/>
  <c r="Z648" i="3" s="1"/>
  <c r="E648" i="3"/>
  <c r="D643" i="13" s="1"/>
  <c r="AA647" i="3"/>
  <c r="R647" i="3"/>
  <c r="Z647" i="3" s="1"/>
  <c r="E647" i="3"/>
  <c r="D642" i="13" s="1"/>
  <c r="AA646" i="3"/>
  <c r="R646" i="3"/>
  <c r="Z646" i="3" s="1"/>
  <c r="E646" i="3"/>
  <c r="D641" i="13" s="1"/>
  <c r="AA645" i="3"/>
  <c r="R645" i="3"/>
  <c r="Z645" i="3" s="1"/>
  <c r="E645" i="3"/>
  <c r="D640" i="13" s="1"/>
  <c r="AA644" i="3"/>
  <c r="R644" i="3"/>
  <c r="Z644" i="3" s="1"/>
  <c r="E644" i="3"/>
  <c r="D639" i="13" s="1"/>
  <c r="AA643" i="3"/>
  <c r="R643" i="3"/>
  <c r="Z643" i="3" s="1"/>
  <c r="E643" i="3"/>
  <c r="D638" i="13" s="1"/>
  <c r="AA642" i="3"/>
  <c r="R642" i="3"/>
  <c r="Z642" i="3" s="1"/>
  <c r="E642" i="3"/>
  <c r="D637" i="13" s="1"/>
  <c r="AA641" i="3"/>
  <c r="R641" i="3"/>
  <c r="Z641" i="3" s="1"/>
  <c r="E641" i="3"/>
  <c r="D636" i="13" s="1"/>
  <c r="AA640" i="3"/>
  <c r="R640" i="3"/>
  <c r="Z640" i="3" s="1"/>
  <c r="E640" i="3"/>
  <c r="D635" i="13" s="1"/>
  <c r="AA639" i="3"/>
  <c r="R639" i="3"/>
  <c r="Z639" i="3" s="1"/>
  <c r="E639" i="3"/>
  <c r="D634" i="13" s="1"/>
  <c r="AA638" i="3"/>
  <c r="R638" i="3"/>
  <c r="Z638" i="3" s="1"/>
  <c r="E638" i="3"/>
  <c r="D633" i="13" s="1"/>
  <c r="AA637" i="3"/>
  <c r="R637" i="3"/>
  <c r="Z637" i="3" s="1"/>
  <c r="E637" i="3"/>
  <c r="D632" i="13" s="1"/>
  <c r="AA636" i="3"/>
  <c r="R636" i="3"/>
  <c r="Z636" i="3" s="1"/>
  <c r="E636" i="3"/>
  <c r="D631" i="13" s="1"/>
  <c r="AA635" i="3"/>
  <c r="R635" i="3"/>
  <c r="Z635" i="3" s="1"/>
  <c r="E635" i="3"/>
  <c r="D630" i="13" s="1"/>
  <c r="AA634" i="3"/>
  <c r="R634" i="3"/>
  <c r="Z634" i="3" s="1"/>
  <c r="E634" i="3"/>
  <c r="D629" i="13" s="1"/>
  <c r="AA633" i="3"/>
  <c r="R633" i="3"/>
  <c r="Z633" i="3" s="1"/>
  <c r="E633" i="3"/>
  <c r="D628" i="13" s="1"/>
  <c r="AA632" i="3"/>
  <c r="R632" i="3"/>
  <c r="Z632" i="3" s="1"/>
  <c r="E632" i="3"/>
  <c r="D627" i="13" s="1"/>
  <c r="AA631" i="3"/>
  <c r="R631" i="3"/>
  <c r="Z631" i="3" s="1"/>
  <c r="E631" i="3"/>
  <c r="D626" i="13" s="1"/>
  <c r="AA630" i="3"/>
  <c r="R630" i="3"/>
  <c r="Z630" i="3" s="1"/>
  <c r="E630" i="3"/>
  <c r="D625" i="13" s="1"/>
  <c r="AA629" i="3"/>
  <c r="R629" i="3"/>
  <c r="Z629" i="3" s="1"/>
  <c r="E629" i="3"/>
  <c r="D624" i="13" s="1"/>
  <c r="AA628" i="3"/>
  <c r="R628" i="3"/>
  <c r="Z628" i="3" s="1"/>
  <c r="E628" i="3"/>
  <c r="D623" i="13" s="1"/>
  <c r="AA627" i="3"/>
  <c r="R627" i="3"/>
  <c r="Z627" i="3" s="1"/>
  <c r="E627" i="3"/>
  <c r="D622" i="13" s="1"/>
  <c r="AA626" i="3"/>
  <c r="R626" i="3"/>
  <c r="Z626" i="3" s="1"/>
  <c r="E626" i="3"/>
  <c r="D621" i="13" s="1"/>
  <c r="AA625" i="3"/>
  <c r="R625" i="3"/>
  <c r="Z625" i="3" s="1"/>
  <c r="E625" i="3"/>
  <c r="D620" i="13" s="1"/>
  <c r="AA624" i="3"/>
  <c r="R624" i="3"/>
  <c r="Z624" i="3" s="1"/>
  <c r="E624" i="3"/>
  <c r="D619" i="13" s="1"/>
  <c r="AA623" i="3"/>
  <c r="R623" i="3"/>
  <c r="Z623" i="3" s="1"/>
  <c r="E623" i="3"/>
  <c r="D618" i="13" s="1"/>
  <c r="AA622" i="3"/>
  <c r="R622" i="3"/>
  <c r="Z622" i="3" s="1"/>
  <c r="E622" i="3"/>
  <c r="D617" i="13" s="1"/>
  <c r="AA621" i="3"/>
  <c r="R621" i="3"/>
  <c r="Z621" i="3" s="1"/>
  <c r="E621" i="3"/>
  <c r="D616" i="13" s="1"/>
  <c r="AA620" i="3"/>
  <c r="R620" i="3"/>
  <c r="Z620" i="3" s="1"/>
  <c r="E620" i="3"/>
  <c r="D615" i="13" s="1"/>
  <c r="AA619" i="3"/>
  <c r="R619" i="3"/>
  <c r="Z619" i="3" s="1"/>
  <c r="E619" i="3"/>
  <c r="D614" i="13" s="1"/>
  <c r="AA618" i="3"/>
  <c r="R618" i="3"/>
  <c r="Z618" i="3" s="1"/>
  <c r="E618" i="3"/>
  <c r="D613" i="13" s="1"/>
  <c r="AA617" i="3"/>
  <c r="R617" i="3"/>
  <c r="Z617" i="3" s="1"/>
  <c r="E617" i="3"/>
  <c r="D612" i="13" s="1"/>
  <c r="AA616" i="3"/>
  <c r="R616" i="3"/>
  <c r="Z616" i="3" s="1"/>
  <c r="E616" i="3"/>
  <c r="D611" i="13" s="1"/>
  <c r="AA615" i="3"/>
  <c r="R615" i="3"/>
  <c r="Z615" i="3" s="1"/>
  <c r="E615" i="3"/>
  <c r="D610" i="13" s="1"/>
  <c r="AA614" i="3"/>
  <c r="R614" i="3"/>
  <c r="Z614" i="3" s="1"/>
  <c r="E614" i="3"/>
  <c r="D609" i="13" s="1"/>
  <c r="AA613" i="3"/>
  <c r="R613" i="3"/>
  <c r="Z613" i="3" s="1"/>
  <c r="E613" i="3"/>
  <c r="D608" i="13" s="1"/>
  <c r="AA612" i="3"/>
  <c r="R612" i="3"/>
  <c r="Z612" i="3" s="1"/>
  <c r="E612" i="3"/>
  <c r="D607" i="13" s="1"/>
  <c r="AA611" i="3"/>
  <c r="R611" i="3"/>
  <c r="Z611" i="3" s="1"/>
  <c r="E611" i="3"/>
  <c r="D606" i="13" s="1"/>
  <c r="AA610" i="3"/>
  <c r="R610" i="3"/>
  <c r="Z610" i="3" s="1"/>
  <c r="E610" i="3"/>
  <c r="D605" i="13" s="1"/>
  <c r="AA609" i="3"/>
  <c r="R609" i="3"/>
  <c r="Z609" i="3" s="1"/>
  <c r="E609" i="3"/>
  <c r="D604" i="13" s="1"/>
  <c r="AA608" i="3"/>
  <c r="R608" i="3"/>
  <c r="Z608" i="3" s="1"/>
  <c r="E608" i="3"/>
  <c r="D603" i="13" s="1"/>
  <c r="AA607" i="3"/>
  <c r="R607" i="3"/>
  <c r="Z607" i="3" s="1"/>
  <c r="E607" i="3"/>
  <c r="D602" i="13" s="1"/>
  <c r="AA606" i="3"/>
  <c r="R606" i="3"/>
  <c r="Z606" i="3" s="1"/>
  <c r="E606" i="3"/>
  <c r="D601" i="13" s="1"/>
  <c r="AA605" i="3"/>
  <c r="R605" i="3"/>
  <c r="Z605" i="3" s="1"/>
  <c r="E605" i="3"/>
  <c r="D600" i="13" s="1"/>
  <c r="AA604" i="3"/>
  <c r="R604" i="3"/>
  <c r="Z604" i="3" s="1"/>
  <c r="E604" i="3"/>
  <c r="D599" i="13" s="1"/>
  <c r="AA603" i="3"/>
  <c r="R603" i="3"/>
  <c r="Z603" i="3" s="1"/>
  <c r="E603" i="3"/>
  <c r="D598" i="13" s="1"/>
  <c r="AA602" i="3"/>
  <c r="R602" i="3"/>
  <c r="Z602" i="3" s="1"/>
  <c r="E602" i="3"/>
  <c r="D597" i="13" s="1"/>
  <c r="AA601" i="3"/>
  <c r="R601" i="3"/>
  <c r="Z601" i="3" s="1"/>
  <c r="E601" i="3"/>
  <c r="D596" i="13" s="1"/>
  <c r="AA600" i="3"/>
  <c r="R600" i="3"/>
  <c r="Z600" i="3" s="1"/>
  <c r="E600" i="3"/>
  <c r="D595" i="13" s="1"/>
  <c r="AA599" i="3"/>
  <c r="R599" i="3"/>
  <c r="Z599" i="3" s="1"/>
  <c r="E599" i="3"/>
  <c r="D594" i="13" s="1"/>
  <c r="AA598" i="3"/>
  <c r="R598" i="3"/>
  <c r="Z598" i="3" s="1"/>
  <c r="E598" i="3"/>
  <c r="D593" i="13" s="1"/>
  <c r="AA597" i="3"/>
  <c r="R597" i="3"/>
  <c r="Z597" i="3" s="1"/>
  <c r="E597" i="3"/>
  <c r="D592" i="13" s="1"/>
  <c r="AA596" i="3"/>
  <c r="R596" i="3"/>
  <c r="Z596" i="3" s="1"/>
  <c r="E596" i="3"/>
  <c r="D591" i="13" s="1"/>
  <c r="AA595" i="3"/>
  <c r="R595" i="3"/>
  <c r="Z595" i="3" s="1"/>
  <c r="E595" i="3"/>
  <c r="D590" i="13" s="1"/>
  <c r="AA594" i="3"/>
  <c r="R594" i="3"/>
  <c r="Z594" i="3" s="1"/>
  <c r="E594" i="3"/>
  <c r="D589" i="13" s="1"/>
  <c r="AA593" i="3"/>
  <c r="R593" i="3"/>
  <c r="Z593" i="3" s="1"/>
  <c r="E593" i="3"/>
  <c r="D588" i="13" s="1"/>
  <c r="AA592" i="3"/>
  <c r="R592" i="3"/>
  <c r="Z592" i="3" s="1"/>
  <c r="E592" i="3"/>
  <c r="D587" i="13" s="1"/>
  <c r="AA591" i="3"/>
  <c r="R591" i="3"/>
  <c r="Z591" i="3" s="1"/>
  <c r="E591" i="3"/>
  <c r="D586" i="13" s="1"/>
  <c r="AA590" i="3"/>
  <c r="R590" i="3"/>
  <c r="Z590" i="3" s="1"/>
  <c r="E590" i="3"/>
  <c r="D585" i="13" s="1"/>
  <c r="AA589" i="3"/>
  <c r="R589" i="3"/>
  <c r="Z589" i="3" s="1"/>
  <c r="E589" i="3"/>
  <c r="D584" i="13" s="1"/>
  <c r="AA588" i="3"/>
  <c r="R588" i="3"/>
  <c r="Z588" i="3" s="1"/>
  <c r="E588" i="3"/>
  <c r="D583" i="13" s="1"/>
  <c r="AA587" i="3"/>
  <c r="R587" i="3"/>
  <c r="Z587" i="3" s="1"/>
  <c r="E587" i="3"/>
  <c r="D582" i="13" s="1"/>
  <c r="AA586" i="3"/>
  <c r="R586" i="3"/>
  <c r="Z586" i="3" s="1"/>
  <c r="E586" i="3"/>
  <c r="D581" i="13" s="1"/>
  <c r="AA585" i="3"/>
  <c r="R585" i="3"/>
  <c r="Z585" i="3" s="1"/>
  <c r="E585" i="3"/>
  <c r="D580" i="13" s="1"/>
  <c r="AA584" i="3"/>
  <c r="R584" i="3"/>
  <c r="Z584" i="3" s="1"/>
  <c r="E584" i="3"/>
  <c r="D579" i="13" s="1"/>
  <c r="AA583" i="3"/>
  <c r="R583" i="3"/>
  <c r="Z583" i="3" s="1"/>
  <c r="E583" i="3"/>
  <c r="D578" i="13" s="1"/>
  <c r="AA582" i="3"/>
  <c r="R582" i="3"/>
  <c r="Z582" i="3" s="1"/>
  <c r="E582" i="3"/>
  <c r="D577" i="13" s="1"/>
  <c r="AA581" i="3"/>
  <c r="R581" i="3"/>
  <c r="Z581" i="3" s="1"/>
  <c r="E581" i="3"/>
  <c r="D576" i="13" s="1"/>
  <c r="AA580" i="3"/>
  <c r="R580" i="3"/>
  <c r="Z580" i="3" s="1"/>
  <c r="E580" i="3"/>
  <c r="D575" i="13" s="1"/>
  <c r="AA579" i="3"/>
  <c r="R579" i="3"/>
  <c r="Z579" i="3" s="1"/>
  <c r="E579" i="3"/>
  <c r="D574" i="13" s="1"/>
  <c r="AA578" i="3"/>
  <c r="R578" i="3"/>
  <c r="Z578" i="3" s="1"/>
  <c r="E578" i="3"/>
  <c r="D573" i="13" s="1"/>
  <c r="AA577" i="3"/>
  <c r="R577" i="3"/>
  <c r="Z577" i="3" s="1"/>
  <c r="E577" i="3"/>
  <c r="D572" i="13" s="1"/>
  <c r="AA576" i="3"/>
  <c r="R576" i="3"/>
  <c r="Z576" i="3" s="1"/>
  <c r="E576" i="3"/>
  <c r="D571" i="13" s="1"/>
  <c r="AA575" i="3"/>
  <c r="R575" i="3"/>
  <c r="Z575" i="3" s="1"/>
  <c r="E575" i="3"/>
  <c r="D570" i="13" s="1"/>
  <c r="AA574" i="3"/>
  <c r="R574" i="3"/>
  <c r="Z574" i="3" s="1"/>
  <c r="E574" i="3"/>
  <c r="D569" i="13" s="1"/>
  <c r="AA573" i="3"/>
  <c r="R573" i="3"/>
  <c r="Z573" i="3" s="1"/>
  <c r="E573" i="3"/>
  <c r="D568" i="13" s="1"/>
  <c r="AA572" i="3"/>
  <c r="R572" i="3"/>
  <c r="Z572" i="3" s="1"/>
  <c r="E572" i="3"/>
  <c r="D567" i="13" s="1"/>
  <c r="AA571" i="3"/>
  <c r="R571" i="3"/>
  <c r="Z571" i="3" s="1"/>
  <c r="E571" i="3"/>
  <c r="D566" i="13" s="1"/>
  <c r="AA570" i="3"/>
  <c r="R570" i="3"/>
  <c r="Z570" i="3" s="1"/>
  <c r="E570" i="3"/>
  <c r="D565" i="13" s="1"/>
  <c r="AA569" i="3"/>
  <c r="R569" i="3"/>
  <c r="Z569" i="3" s="1"/>
  <c r="E569" i="3"/>
  <c r="D564" i="13" s="1"/>
  <c r="AA568" i="3"/>
  <c r="R568" i="3"/>
  <c r="Z568" i="3" s="1"/>
  <c r="E568" i="3"/>
  <c r="D563" i="13" s="1"/>
  <c r="AA567" i="3"/>
  <c r="R567" i="3"/>
  <c r="Z567" i="3" s="1"/>
  <c r="E567" i="3"/>
  <c r="D562" i="13" s="1"/>
  <c r="AA566" i="3"/>
  <c r="R566" i="3"/>
  <c r="Z566" i="3" s="1"/>
  <c r="E566" i="3"/>
  <c r="D561" i="13" s="1"/>
  <c r="AA565" i="3"/>
  <c r="R565" i="3"/>
  <c r="Z565" i="3" s="1"/>
  <c r="E565" i="3"/>
  <c r="D560" i="13" s="1"/>
  <c r="AA564" i="3"/>
  <c r="R564" i="3"/>
  <c r="Z564" i="3" s="1"/>
  <c r="E564" i="3"/>
  <c r="D559" i="13" s="1"/>
  <c r="AA563" i="3"/>
  <c r="R563" i="3"/>
  <c r="Z563" i="3" s="1"/>
  <c r="E563" i="3"/>
  <c r="D558" i="13" s="1"/>
  <c r="AA562" i="3"/>
  <c r="R562" i="3"/>
  <c r="Z562" i="3" s="1"/>
  <c r="E562" i="3"/>
  <c r="D557" i="13" s="1"/>
  <c r="AA561" i="3"/>
  <c r="R561" i="3"/>
  <c r="Z561" i="3" s="1"/>
  <c r="E561" i="3"/>
  <c r="D556" i="13" s="1"/>
  <c r="AA560" i="3"/>
  <c r="R560" i="3"/>
  <c r="Z560" i="3" s="1"/>
  <c r="E560" i="3"/>
  <c r="D555" i="13" s="1"/>
  <c r="AA559" i="3"/>
  <c r="R559" i="3"/>
  <c r="Z559" i="3" s="1"/>
  <c r="E559" i="3"/>
  <c r="D554" i="13" s="1"/>
  <c r="AA558" i="3"/>
  <c r="R558" i="3"/>
  <c r="Z558" i="3" s="1"/>
  <c r="E558" i="3"/>
  <c r="D553" i="13" s="1"/>
  <c r="AA557" i="3"/>
  <c r="R557" i="3"/>
  <c r="Z557" i="3" s="1"/>
  <c r="E557" i="3"/>
  <c r="D552" i="13" s="1"/>
  <c r="AA556" i="3"/>
  <c r="R556" i="3"/>
  <c r="Z556" i="3" s="1"/>
  <c r="E556" i="3"/>
  <c r="D551" i="13" s="1"/>
  <c r="AA555" i="3"/>
  <c r="R555" i="3"/>
  <c r="Z555" i="3" s="1"/>
  <c r="E555" i="3"/>
  <c r="D550" i="13" s="1"/>
  <c r="AA554" i="3"/>
  <c r="R554" i="3"/>
  <c r="Z554" i="3" s="1"/>
  <c r="E554" i="3"/>
  <c r="D549" i="13" s="1"/>
  <c r="AA553" i="3"/>
  <c r="R553" i="3"/>
  <c r="Z553" i="3" s="1"/>
  <c r="E553" i="3"/>
  <c r="D548" i="13" s="1"/>
  <c r="AA552" i="3"/>
  <c r="R552" i="3"/>
  <c r="Z552" i="3" s="1"/>
  <c r="E552" i="3"/>
  <c r="D547" i="13" s="1"/>
  <c r="AA551" i="3"/>
  <c r="R551" i="3"/>
  <c r="Z551" i="3" s="1"/>
  <c r="E551" i="3"/>
  <c r="D546" i="13" s="1"/>
  <c r="AA550" i="3"/>
  <c r="R550" i="3"/>
  <c r="Z550" i="3" s="1"/>
  <c r="E550" i="3"/>
  <c r="D545" i="13" s="1"/>
  <c r="AA549" i="3"/>
  <c r="R549" i="3"/>
  <c r="Z549" i="3" s="1"/>
  <c r="E549" i="3"/>
  <c r="D544" i="13" s="1"/>
  <c r="AA548" i="3"/>
  <c r="R548" i="3"/>
  <c r="Z548" i="3" s="1"/>
  <c r="E548" i="3"/>
  <c r="D543" i="13" s="1"/>
  <c r="AA547" i="3"/>
  <c r="R547" i="3"/>
  <c r="Z547" i="3" s="1"/>
  <c r="E547" i="3"/>
  <c r="D542" i="13" s="1"/>
  <c r="AA546" i="3"/>
  <c r="R546" i="3"/>
  <c r="Z546" i="3" s="1"/>
  <c r="E546" i="3"/>
  <c r="D541" i="13" s="1"/>
  <c r="AA545" i="3"/>
  <c r="R545" i="3"/>
  <c r="Z545" i="3" s="1"/>
  <c r="E545" i="3"/>
  <c r="D540" i="13" s="1"/>
  <c r="AA544" i="3"/>
  <c r="R544" i="3"/>
  <c r="Z544" i="3" s="1"/>
  <c r="E544" i="3"/>
  <c r="D539" i="13" s="1"/>
  <c r="AA543" i="3"/>
  <c r="R543" i="3"/>
  <c r="Z543" i="3" s="1"/>
  <c r="E543" i="3"/>
  <c r="D538" i="13" s="1"/>
  <c r="AA542" i="3"/>
  <c r="R542" i="3"/>
  <c r="Z542" i="3" s="1"/>
  <c r="E542" i="3"/>
  <c r="D537" i="13" s="1"/>
  <c r="AA541" i="3"/>
  <c r="R541" i="3"/>
  <c r="Z541" i="3" s="1"/>
  <c r="E541" i="3"/>
  <c r="D536" i="13" s="1"/>
  <c r="AA540" i="3"/>
  <c r="R540" i="3"/>
  <c r="Z540" i="3" s="1"/>
  <c r="E540" i="3"/>
  <c r="D535" i="13" s="1"/>
  <c r="AA539" i="3"/>
  <c r="R539" i="3"/>
  <c r="Z539" i="3" s="1"/>
  <c r="E539" i="3"/>
  <c r="D534" i="13" s="1"/>
  <c r="AA538" i="3"/>
  <c r="R538" i="3"/>
  <c r="Z538" i="3" s="1"/>
  <c r="E538" i="3"/>
  <c r="D533" i="13" s="1"/>
  <c r="AA537" i="3"/>
  <c r="R537" i="3"/>
  <c r="Z537" i="3" s="1"/>
  <c r="E537" i="3"/>
  <c r="D532" i="13" s="1"/>
  <c r="AA536" i="3"/>
  <c r="R536" i="3"/>
  <c r="Z536" i="3" s="1"/>
  <c r="E536" i="3"/>
  <c r="D531" i="13" s="1"/>
  <c r="AA535" i="3"/>
  <c r="R535" i="3"/>
  <c r="Z535" i="3" s="1"/>
  <c r="E535" i="3"/>
  <c r="D530" i="13" s="1"/>
  <c r="AA534" i="3"/>
  <c r="R534" i="3"/>
  <c r="Z534" i="3" s="1"/>
  <c r="E534" i="3"/>
  <c r="D529" i="13" s="1"/>
  <c r="AA533" i="3"/>
  <c r="R533" i="3"/>
  <c r="Z533" i="3" s="1"/>
  <c r="E533" i="3"/>
  <c r="D528" i="13" s="1"/>
  <c r="AA532" i="3"/>
  <c r="R532" i="3"/>
  <c r="Z532" i="3" s="1"/>
  <c r="E532" i="3"/>
  <c r="D527" i="13" s="1"/>
  <c r="AA531" i="3"/>
  <c r="R531" i="3"/>
  <c r="Z531" i="3" s="1"/>
  <c r="E531" i="3"/>
  <c r="D526" i="13" s="1"/>
  <c r="AA530" i="3"/>
  <c r="R530" i="3"/>
  <c r="Z530" i="3" s="1"/>
  <c r="E530" i="3"/>
  <c r="D525" i="13" s="1"/>
  <c r="AA529" i="3"/>
  <c r="R529" i="3"/>
  <c r="Z529" i="3" s="1"/>
  <c r="E529" i="3"/>
  <c r="D524" i="13" s="1"/>
  <c r="AA528" i="3"/>
  <c r="R528" i="3"/>
  <c r="Z528" i="3" s="1"/>
  <c r="E528" i="3"/>
  <c r="D523" i="13" s="1"/>
  <c r="AA527" i="3"/>
  <c r="R527" i="3"/>
  <c r="Z527" i="3" s="1"/>
  <c r="E527" i="3"/>
  <c r="D522" i="13" s="1"/>
  <c r="AA526" i="3"/>
  <c r="R526" i="3"/>
  <c r="Z526" i="3" s="1"/>
  <c r="E526" i="3"/>
  <c r="D521" i="13" s="1"/>
  <c r="AA525" i="3"/>
  <c r="R525" i="3"/>
  <c r="Z525" i="3" s="1"/>
  <c r="E525" i="3"/>
  <c r="D520" i="13" s="1"/>
  <c r="AA524" i="3"/>
  <c r="R524" i="3"/>
  <c r="Z524" i="3" s="1"/>
  <c r="E524" i="3"/>
  <c r="D519" i="13" s="1"/>
  <c r="AA523" i="3"/>
  <c r="R523" i="3"/>
  <c r="Z523" i="3" s="1"/>
  <c r="E523" i="3"/>
  <c r="D518" i="13" s="1"/>
  <c r="AA522" i="3"/>
  <c r="R522" i="3"/>
  <c r="Z522" i="3" s="1"/>
  <c r="E522" i="3"/>
  <c r="D517" i="13" s="1"/>
  <c r="AA521" i="3"/>
  <c r="R521" i="3"/>
  <c r="Z521" i="3" s="1"/>
  <c r="E521" i="3"/>
  <c r="D516" i="13" s="1"/>
  <c r="AA520" i="3"/>
  <c r="R520" i="3"/>
  <c r="Z520" i="3" s="1"/>
  <c r="E520" i="3"/>
  <c r="D515" i="13" s="1"/>
  <c r="AA519" i="3"/>
  <c r="R519" i="3"/>
  <c r="Z519" i="3" s="1"/>
  <c r="E519" i="3"/>
  <c r="D514" i="13" s="1"/>
  <c r="AA518" i="3"/>
  <c r="R518" i="3"/>
  <c r="Z518" i="3" s="1"/>
  <c r="E518" i="3"/>
  <c r="D513" i="13" s="1"/>
  <c r="AA517" i="3"/>
  <c r="R517" i="3"/>
  <c r="Z517" i="3" s="1"/>
  <c r="E517" i="3"/>
  <c r="D512" i="13" s="1"/>
  <c r="AA516" i="3"/>
  <c r="R516" i="3"/>
  <c r="Z516" i="3" s="1"/>
  <c r="E516" i="3"/>
  <c r="D511" i="13" s="1"/>
  <c r="AA515" i="3"/>
  <c r="R515" i="3"/>
  <c r="Z515" i="3" s="1"/>
  <c r="E515" i="3"/>
  <c r="D510" i="13" s="1"/>
  <c r="AA514" i="3"/>
  <c r="R514" i="3"/>
  <c r="Z514" i="3" s="1"/>
  <c r="E514" i="3"/>
  <c r="D509" i="13" s="1"/>
  <c r="AA513" i="3"/>
  <c r="R513" i="3"/>
  <c r="Z513" i="3" s="1"/>
  <c r="E513" i="3"/>
  <c r="D508" i="13" s="1"/>
  <c r="AA512" i="3"/>
  <c r="R512" i="3"/>
  <c r="Z512" i="3" s="1"/>
  <c r="E512" i="3"/>
  <c r="D507" i="13" s="1"/>
  <c r="AA511" i="3"/>
  <c r="R511" i="3"/>
  <c r="Z511" i="3" s="1"/>
  <c r="E511" i="3"/>
  <c r="D506" i="13" s="1"/>
  <c r="AA510" i="3"/>
  <c r="R510" i="3"/>
  <c r="Z510" i="3" s="1"/>
  <c r="E510" i="3"/>
  <c r="D505" i="13" s="1"/>
  <c r="AA509" i="3"/>
  <c r="R509" i="3"/>
  <c r="Z509" i="3" s="1"/>
  <c r="E509" i="3"/>
  <c r="D504" i="13" s="1"/>
  <c r="AA508" i="3"/>
  <c r="R508" i="3"/>
  <c r="Z508" i="3" s="1"/>
  <c r="E508" i="3"/>
  <c r="D503" i="13" s="1"/>
  <c r="AA507" i="3"/>
  <c r="R507" i="3"/>
  <c r="Z507" i="3" s="1"/>
  <c r="E507" i="3"/>
  <c r="D502" i="13" s="1"/>
  <c r="AA506" i="3"/>
  <c r="R506" i="3"/>
  <c r="Z506" i="3" s="1"/>
  <c r="E506" i="3"/>
  <c r="D501" i="13" s="1"/>
  <c r="AA505" i="3"/>
  <c r="R505" i="3"/>
  <c r="Z505" i="3" s="1"/>
  <c r="E505" i="3"/>
  <c r="D500" i="13" s="1"/>
  <c r="AA504" i="3"/>
  <c r="R504" i="3"/>
  <c r="Z504" i="3" s="1"/>
  <c r="E504" i="3"/>
  <c r="D499" i="13" s="1"/>
  <c r="AA503" i="3"/>
  <c r="R503" i="3"/>
  <c r="Z503" i="3" s="1"/>
  <c r="E503" i="3"/>
  <c r="D498" i="13" s="1"/>
  <c r="AA502" i="3"/>
  <c r="R502" i="3"/>
  <c r="Z502" i="3" s="1"/>
  <c r="E502" i="3"/>
  <c r="D497" i="13" s="1"/>
  <c r="AA501" i="3"/>
  <c r="R501" i="3"/>
  <c r="Z501" i="3" s="1"/>
  <c r="E501" i="3"/>
  <c r="D496" i="13" s="1"/>
  <c r="AA500" i="3"/>
  <c r="R500" i="3"/>
  <c r="Z500" i="3" s="1"/>
  <c r="E500" i="3"/>
  <c r="D495" i="13" s="1"/>
  <c r="AA499" i="3"/>
  <c r="R499" i="3"/>
  <c r="Z499" i="3" s="1"/>
  <c r="E499" i="3"/>
  <c r="D494" i="13" s="1"/>
  <c r="AA498" i="3"/>
  <c r="R498" i="3"/>
  <c r="Z498" i="3" s="1"/>
  <c r="E498" i="3"/>
  <c r="D493" i="13" s="1"/>
  <c r="AA497" i="3"/>
  <c r="R497" i="3"/>
  <c r="Z497" i="3" s="1"/>
  <c r="E497" i="3"/>
  <c r="D492" i="13" s="1"/>
  <c r="AA496" i="3"/>
  <c r="R496" i="3"/>
  <c r="Z496" i="3" s="1"/>
  <c r="E496" i="3"/>
  <c r="D491" i="13" s="1"/>
  <c r="AA495" i="3"/>
  <c r="R495" i="3"/>
  <c r="Z495" i="3" s="1"/>
  <c r="E495" i="3"/>
  <c r="D490" i="13" s="1"/>
  <c r="AA494" i="3"/>
  <c r="R494" i="3"/>
  <c r="Z494" i="3" s="1"/>
  <c r="E494" i="3"/>
  <c r="D489" i="13" s="1"/>
  <c r="AA493" i="3"/>
  <c r="R493" i="3"/>
  <c r="Z493" i="3" s="1"/>
  <c r="E493" i="3"/>
  <c r="D488" i="13" s="1"/>
  <c r="AA492" i="3"/>
  <c r="R492" i="3"/>
  <c r="Z492" i="3" s="1"/>
  <c r="E492" i="3"/>
  <c r="D487" i="13" s="1"/>
  <c r="AA491" i="3"/>
  <c r="R491" i="3"/>
  <c r="Z491" i="3" s="1"/>
  <c r="E491" i="3"/>
  <c r="D486" i="13" s="1"/>
  <c r="AA490" i="3"/>
  <c r="R490" i="3"/>
  <c r="Z490" i="3" s="1"/>
  <c r="E490" i="3"/>
  <c r="D485" i="13" s="1"/>
  <c r="AA489" i="3"/>
  <c r="R489" i="3"/>
  <c r="Z489" i="3" s="1"/>
  <c r="E489" i="3"/>
  <c r="D484" i="13" s="1"/>
  <c r="AA488" i="3"/>
  <c r="R488" i="3"/>
  <c r="Z488" i="3" s="1"/>
  <c r="E488" i="3"/>
  <c r="D483" i="13" s="1"/>
  <c r="AA487" i="3"/>
  <c r="R487" i="3"/>
  <c r="Z487" i="3" s="1"/>
  <c r="E487" i="3"/>
  <c r="D482" i="13" s="1"/>
  <c r="AA486" i="3"/>
  <c r="R486" i="3"/>
  <c r="Z486" i="3" s="1"/>
  <c r="E486" i="3"/>
  <c r="D481" i="13" s="1"/>
  <c r="AA485" i="3"/>
  <c r="R485" i="3"/>
  <c r="Z485" i="3" s="1"/>
  <c r="E485" i="3"/>
  <c r="D480" i="13" s="1"/>
  <c r="AA484" i="3"/>
  <c r="R484" i="3"/>
  <c r="Z484" i="3" s="1"/>
  <c r="E484" i="3"/>
  <c r="D479" i="13" s="1"/>
  <c r="AA483" i="3"/>
  <c r="R483" i="3"/>
  <c r="Z483" i="3" s="1"/>
  <c r="E483" i="3"/>
  <c r="D478" i="13" s="1"/>
  <c r="AA482" i="3"/>
  <c r="R482" i="3"/>
  <c r="Z482" i="3" s="1"/>
  <c r="E482" i="3"/>
  <c r="D477" i="13" s="1"/>
  <c r="AA481" i="3"/>
  <c r="R481" i="3"/>
  <c r="Z481" i="3" s="1"/>
  <c r="E481" i="3"/>
  <c r="D476" i="13" s="1"/>
  <c r="AA480" i="3"/>
  <c r="R480" i="3"/>
  <c r="Z480" i="3" s="1"/>
  <c r="E480" i="3"/>
  <c r="D475" i="13" s="1"/>
  <c r="AA479" i="3"/>
  <c r="R479" i="3"/>
  <c r="Z479" i="3" s="1"/>
  <c r="E479" i="3"/>
  <c r="D474" i="13" s="1"/>
  <c r="AA478" i="3"/>
  <c r="R478" i="3"/>
  <c r="Z478" i="3" s="1"/>
  <c r="E478" i="3"/>
  <c r="D473" i="13" s="1"/>
  <c r="AA477" i="3"/>
  <c r="R477" i="3"/>
  <c r="Z477" i="3" s="1"/>
  <c r="E477" i="3"/>
  <c r="D472" i="13" s="1"/>
  <c r="AA476" i="3"/>
  <c r="R476" i="3"/>
  <c r="Z476" i="3" s="1"/>
  <c r="E476" i="3"/>
  <c r="D471" i="13" s="1"/>
  <c r="AA475" i="3"/>
  <c r="R475" i="3"/>
  <c r="Z475" i="3" s="1"/>
  <c r="E475" i="3"/>
  <c r="D470" i="13" s="1"/>
  <c r="AA474" i="3"/>
  <c r="R474" i="3"/>
  <c r="Z474" i="3" s="1"/>
  <c r="E474" i="3"/>
  <c r="D469" i="13" s="1"/>
  <c r="AA473" i="3"/>
  <c r="R473" i="3"/>
  <c r="Z473" i="3" s="1"/>
  <c r="E473" i="3"/>
  <c r="D468" i="13" s="1"/>
  <c r="AA472" i="3"/>
  <c r="R472" i="3"/>
  <c r="Z472" i="3" s="1"/>
  <c r="E472" i="3"/>
  <c r="D467" i="13" s="1"/>
  <c r="AA471" i="3"/>
  <c r="R471" i="3"/>
  <c r="Z471" i="3" s="1"/>
  <c r="E471" i="3"/>
  <c r="D466" i="13" s="1"/>
  <c r="AA470" i="3"/>
  <c r="R470" i="3"/>
  <c r="Z470" i="3" s="1"/>
  <c r="E470" i="3"/>
  <c r="D465" i="13" s="1"/>
  <c r="AA469" i="3"/>
  <c r="R469" i="3"/>
  <c r="Z469" i="3" s="1"/>
  <c r="E469" i="3"/>
  <c r="D464" i="13" s="1"/>
  <c r="AA468" i="3"/>
  <c r="R468" i="3"/>
  <c r="Z468" i="3" s="1"/>
  <c r="E468" i="3"/>
  <c r="D463" i="13" s="1"/>
  <c r="AA467" i="3"/>
  <c r="R467" i="3"/>
  <c r="Z467" i="3" s="1"/>
  <c r="E467" i="3"/>
  <c r="D462" i="13" s="1"/>
  <c r="AA466" i="3"/>
  <c r="R466" i="3"/>
  <c r="Z466" i="3" s="1"/>
  <c r="E466" i="3"/>
  <c r="D461" i="13" s="1"/>
  <c r="AA465" i="3"/>
  <c r="R465" i="3"/>
  <c r="Z465" i="3" s="1"/>
  <c r="E465" i="3"/>
  <c r="D460" i="13" s="1"/>
  <c r="AA464" i="3"/>
  <c r="R464" i="3"/>
  <c r="Z464" i="3" s="1"/>
  <c r="E464" i="3"/>
  <c r="D459" i="13" s="1"/>
  <c r="AA463" i="3"/>
  <c r="R463" i="3"/>
  <c r="Z463" i="3" s="1"/>
  <c r="E463" i="3"/>
  <c r="D458" i="13" s="1"/>
  <c r="AA462" i="3"/>
  <c r="R462" i="3"/>
  <c r="Z462" i="3" s="1"/>
  <c r="E462" i="3"/>
  <c r="D457" i="13" s="1"/>
  <c r="AA461" i="3"/>
  <c r="R461" i="3"/>
  <c r="Z461" i="3" s="1"/>
  <c r="E461" i="3"/>
  <c r="D456" i="13" s="1"/>
  <c r="AA460" i="3"/>
  <c r="R460" i="3"/>
  <c r="Z460" i="3" s="1"/>
  <c r="E460" i="3"/>
  <c r="D455" i="13" s="1"/>
  <c r="AA459" i="3"/>
  <c r="R459" i="3"/>
  <c r="Z459" i="3" s="1"/>
  <c r="E459" i="3"/>
  <c r="D454" i="13" s="1"/>
  <c r="AA458" i="3"/>
  <c r="R458" i="3"/>
  <c r="Z458" i="3" s="1"/>
  <c r="E458" i="3"/>
  <c r="D453" i="13" s="1"/>
  <c r="AA457" i="3"/>
  <c r="R457" i="3"/>
  <c r="Z457" i="3" s="1"/>
  <c r="E457" i="3"/>
  <c r="D452" i="13" s="1"/>
  <c r="AA456" i="3"/>
  <c r="R456" i="3"/>
  <c r="Z456" i="3" s="1"/>
  <c r="E456" i="3"/>
  <c r="D451" i="13" s="1"/>
  <c r="AA455" i="3"/>
  <c r="R455" i="3"/>
  <c r="Z455" i="3" s="1"/>
  <c r="E455" i="3"/>
  <c r="D450" i="13" s="1"/>
  <c r="AA454" i="3"/>
  <c r="R454" i="3"/>
  <c r="Z454" i="3" s="1"/>
  <c r="E454" i="3"/>
  <c r="D449" i="13" s="1"/>
  <c r="AA453" i="3"/>
  <c r="R453" i="3"/>
  <c r="Z453" i="3" s="1"/>
  <c r="E453" i="3"/>
  <c r="D448" i="13" s="1"/>
  <c r="AA452" i="3"/>
  <c r="R452" i="3"/>
  <c r="Z452" i="3" s="1"/>
  <c r="E452" i="3"/>
  <c r="D447" i="13" s="1"/>
  <c r="AA451" i="3"/>
  <c r="R451" i="3"/>
  <c r="Z451" i="3" s="1"/>
  <c r="E451" i="3"/>
  <c r="D446" i="13" s="1"/>
  <c r="AA450" i="3"/>
  <c r="R450" i="3"/>
  <c r="Z450" i="3" s="1"/>
  <c r="E450" i="3"/>
  <c r="D445" i="13" s="1"/>
  <c r="AA449" i="3"/>
  <c r="R449" i="3"/>
  <c r="Z449" i="3" s="1"/>
  <c r="E449" i="3"/>
  <c r="D444" i="13" s="1"/>
  <c r="AA448" i="3"/>
  <c r="R448" i="3"/>
  <c r="Z448" i="3" s="1"/>
  <c r="E448" i="3"/>
  <c r="D443" i="13" s="1"/>
  <c r="AA447" i="3"/>
  <c r="R447" i="3"/>
  <c r="Z447" i="3" s="1"/>
  <c r="E447" i="3"/>
  <c r="D442" i="13" s="1"/>
  <c r="AA446" i="3"/>
  <c r="R446" i="3"/>
  <c r="Z446" i="3" s="1"/>
  <c r="E446" i="3"/>
  <c r="D441" i="13" s="1"/>
  <c r="AA445" i="3"/>
  <c r="R445" i="3"/>
  <c r="Z445" i="3" s="1"/>
  <c r="E445" i="3"/>
  <c r="D440" i="13" s="1"/>
  <c r="AA444" i="3"/>
  <c r="R444" i="3"/>
  <c r="Z444" i="3" s="1"/>
  <c r="E444" i="3"/>
  <c r="D439" i="13" s="1"/>
  <c r="AA443" i="3"/>
  <c r="R443" i="3"/>
  <c r="Z443" i="3" s="1"/>
  <c r="E443" i="3"/>
  <c r="D438" i="13" s="1"/>
  <c r="AA442" i="3"/>
  <c r="R442" i="3"/>
  <c r="Z442" i="3" s="1"/>
  <c r="E442" i="3"/>
  <c r="D437" i="13" s="1"/>
  <c r="AA441" i="3"/>
  <c r="R441" i="3"/>
  <c r="Z441" i="3" s="1"/>
  <c r="E441" i="3"/>
  <c r="D436" i="13" s="1"/>
  <c r="AA440" i="3"/>
  <c r="R440" i="3"/>
  <c r="Z440" i="3" s="1"/>
  <c r="E440" i="3"/>
  <c r="D435" i="13" s="1"/>
  <c r="AA439" i="3"/>
  <c r="R439" i="3"/>
  <c r="Z439" i="3" s="1"/>
  <c r="E439" i="3"/>
  <c r="D434" i="13" s="1"/>
  <c r="AA438" i="3"/>
  <c r="R438" i="3"/>
  <c r="Z438" i="3" s="1"/>
  <c r="E438" i="3"/>
  <c r="D433" i="13" s="1"/>
  <c r="AA437" i="3"/>
  <c r="R437" i="3"/>
  <c r="Z437" i="3" s="1"/>
  <c r="E437" i="3"/>
  <c r="D432" i="13" s="1"/>
  <c r="AA436" i="3"/>
  <c r="R436" i="3"/>
  <c r="Z436" i="3" s="1"/>
  <c r="E436" i="3"/>
  <c r="D431" i="13" s="1"/>
  <c r="AA435" i="3"/>
  <c r="R435" i="3"/>
  <c r="Z435" i="3" s="1"/>
  <c r="E435" i="3"/>
  <c r="D430" i="13" s="1"/>
  <c r="AA434" i="3"/>
  <c r="R434" i="3"/>
  <c r="Z434" i="3" s="1"/>
  <c r="E434" i="3"/>
  <c r="D429" i="13" s="1"/>
  <c r="AA433" i="3"/>
  <c r="R433" i="3"/>
  <c r="Z433" i="3" s="1"/>
  <c r="E433" i="3"/>
  <c r="D428" i="13" s="1"/>
  <c r="AA432" i="3"/>
  <c r="R432" i="3"/>
  <c r="Z432" i="3" s="1"/>
  <c r="E432" i="3"/>
  <c r="D427" i="13" s="1"/>
  <c r="AA431" i="3"/>
  <c r="R431" i="3"/>
  <c r="Z431" i="3" s="1"/>
  <c r="E431" i="3"/>
  <c r="D426" i="13" s="1"/>
  <c r="AA430" i="3"/>
  <c r="R430" i="3"/>
  <c r="Z430" i="3" s="1"/>
  <c r="E430" i="3"/>
  <c r="D425" i="13" s="1"/>
  <c r="AA429" i="3"/>
  <c r="R429" i="3"/>
  <c r="Z429" i="3" s="1"/>
  <c r="E429" i="3"/>
  <c r="D424" i="13" s="1"/>
  <c r="AA428" i="3"/>
  <c r="R428" i="3"/>
  <c r="Z428" i="3" s="1"/>
  <c r="E428" i="3"/>
  <c r="D423" i="13" s="1"/>
  <c r="AA427" i="3"/>
  <c r="R427" i="3"/>
  <c r="Z427" i="3" s="1"/>
  <c r="E427" i="3"/>
  <c r="D422" i="13" s="1"/>
  <c r="AA426" i="3"/>
  <c r="R426" i="3"/>
  <c r="Z426" i="3" s="1"/>
  <c r="E426" i="3"/>
  <c r="D421" i="13" s="1"/>
  <c r="AA425" i="3"/>
  <c r="R425" i="3"/>
  <c r="Z425" i="3" s="1"/>
  <c r="E425" i="3"/>
  <c r="D420" i="13" s="1"/>
  <c r="AA424" i="3"/>
  <c r="R424" i="3"/>
  <c r="Z424" i="3" s="1"/>
  <c r="E424" i="3"/>
  <c r="D419" i="13" s="1"/>
  <c r="AA423" i="3"/>
  <c r="R423" i="3"/>
  <c r="Z423" i="3" s="1"/>
  <c r="E423" i="3"/>
  <c r="D418" i="13" s="1"/>
  <c r="AA422" i="3"/>
  <c r="R422" i="3"/>
  <c r="Z422" i="3" s="1"/>
  <c r="E422" i="3"/>
  <c r="D417" i="13" s="1"/>
  <c r="AA421" i="3"/>
  <c r="R421" i="3"/>
  <c r="Z421" i="3" s="1"/>
  <c r="E421" i="3"/>
  <c r="D416" i="13" s="1"/>
  <c r="AA420" i="3"/>
  <c r="R420" i="3"/>
  <c r="Z420" i="3" s="1"/>
  <c r="E420" i="3"/>
  <c r="D415" i="13" s="1"/>
  <c r="AA419" i="3"/>
  <c r="R419" i="3"/>
  <c r="Z419" i="3" s="1"/>
  <c r="E419" i="3"/>
  <c r="D414" i="13" s="1"/>
  <c r="AA418" i="3"/>
  <c r="R418" i="3"/>
  <c r="Z418" i="3" s="1"/>
  <c r="E418" i="3"/>
  <c r="D413" i="13" s="1"/>
  <c r="AA417" i="3"/>
  <c r="R417" i="3"/>
  <c r="Z417" i="3" s="1"/>
  <c r="E417" i="3"/>
  <c r="D412" i="13" s="1"/>
  <c r="AA416" i="3"/>
  <c r="R416" i="3"/>
  <c r="Z416" i="3" s="1"/>
  <c r="E416" i="3"/>
  <c r="D411" i="13" s="1"/>
  <c r="AA415" i="3"/>
  <c r="R415" i="3"/>
  <c r="Z415" i="3" s="1"/>
  <c r="E415" i="3"/>
  <c r="D410" i="13" s="1"/>
  <c r="AA414" i="3"/>
  <c r="R414" i="3"/>
  <c r="Z414" i="3" s="1"/>
  <c r="E414" i="3"/>
  <c r="D409" i="13" s="1"/>
  <c r="AA413" i="3"/>
  <c r="R413" i="3"/>
  <c r="Z413" i="3" s="1"/>
  <c r="E413" i="3"/>
  <c r="D408" i="13" s="1"/>
  <c r="AA412" i="3"/>
  <c r="R412" i="3"/>
  <c r="Z412" i="3" s="1"/>
  <c r="E412" i="3"/>
  <c r="D407" i="13" s="1"/>
  <c r="AA411" i="3"/>
  <c r="R411" i="3"/>
  <c r="Z411" i="3" s="1"/>
  <c r="E411" i="3"/>
  <c r="D406" i="13" s="1"/>
  <c r="AA410" i="3"/>
  <c r="R410" i="3"/>
  <c r="Z410" i="3" s="1"/>
  <c r="E410" i="3"/>
  <c r="D405" i="13" s="1"/>
  <c r="AA409" i="3"/>
  <c r="R409" i="3"/>
  <c r="Z409" i="3" s="1"/>
  <c r="E409" i="3"/>
  <c r="D404" i="13" s="1"/>
  <c r="AA408" i="3"/>
  <c r="R408" i="3"/>
  <c r="Z408" i="3" s="1"/>
  <c r="E408" i="3"/>
  <c r="D403" i="13" s="1"/>
  <c r="AA407" i="3"/>
  <c r="R407" i="3"/>
  <c r="Z407" i="3" s="1"/>
  <c r="E407" i="3"/>
  <c r="D402" i="13" s="1"/>
  <c r="AA406" i="3"/>
  <c r="R406" i="3"/>
  <c r="Z406" i="3" s="1"/>
  <c r="E406" i="3"/>
  <c r="D401" i="13" s="1"/>
  <c r="AA405" i="3"/>
  <c r="R405" i="3"/>
  <c r="Z405" i="3" s="1"/>
  <c r="E405" i="3"/>
  <c r="D400" i="13" s="1"/>
  <c r="AA404" i="3"/>
  <c r="R404" i="3"/>
  <c r="Z404" i="3" s="1"/>
  <c r="E404" i="3"/>
  <c r="D399" i="13" s="1"/>
  <c r="AA403" i="3"/>
  <c r="R403" i="3"/>
  <c r="Z403" i="3" s="1"/>
  <c r="E403" i="3"/>
  <c r="D398" i="13" s="1"/>
  <c r="AA402" i="3"/>
  <c r="R402" i="3"/>
  <c r="Z402" i="3" s="1"/>
  <c r="E402" i="3"/>
  <c r="D397" i="13" s="1"/>
  <c r="AA401" i="3"/>
  <c r="R401" i="3"/>
  <c r="Z401" i="3" s="1"/>
  <c r="E401" i="3"/>
  <c r="D396" i="13" s="1"/>
  <c r="AA400" i="3"/>
  <c r="R400" i="3"/>
  <c r="Z400" i="3" s="1"/>
  <c r="E400" i="3"/>
  <c r="D395" i="13" s="1"/>
  <c r="AA399" i="3"/>
  <c r="R399" i="3"/>
  <c r="Z399" i="3" s="1"/>
  <c r="E399" i="3"/>
  <c r="D394" i="13" s="1"/>
  <c r="AA398" i="3"/>
  <c r="R398" i="3"/>
  <c r="Z398" i="3" s="1"/>
  <c r="E398" i="3"/>
  <c r="D393" i="13" s="1"/>
  <c r="AA397" i="3"/>
  <c r="R397" i="3"/>
  <c r="Z397" i="3" s="1"/>
  <c r="E397" i="3"/>
  <c r="D392" i="13" s="1"/>
  <c r="AA396" i="3"/>
  <c r="R396" i="3"/>
  <c r="Z396" i="3" s="1"/>
  <c r="E396" i="3"/>
  <c r="D391" i="13" s="1"/>
  <c r="AA395" i="3"/>
  <c r="R395" i="3"/>
  <c r="Z395" i="3" s="1"/>
  <c r="E395" i="3"/>
  <c r="D390" i="13" s="1"/>
  <c r="AA394" i="3"/>
  <c r="R394" i="3"/>
  <c r="Z394" i="3" s="1"/>
  <c r="E394" i="3"/>
  <c r="D389" i="13" s="1"/>
  <c r="AA393" i="3"/>
  <c r="R393" i="3"/>
  <c r="Z393" i="3" s="1"/>
  <c r="E393" i="3"/>
  <c r="D388" i="13" s="1"/>
  <c r="AA392" i="3"/>
  <c r="R392" i="3"/>
  <c r="Z392" i="3" s="1"/>
  <c r="E392" i="3"/>
  <c r="D387" i="13" s="1"/>
  <c r="AA391" i="3"/>
  <c r="R391" i="3"/>
  <c r="Z391" i="3" s="1"/>
  <c r="E391" i="3"/>
  <c r="D386" i="13" s="1"/>
  <c r="AA390" i="3"/>
  <c r="R390" i="3"/>
  <c r="Z390" i="3" s="1"/>
  <c r="E390" i="3"/>
  <c r="D385" i="13" s="1"/>
  <c r="AA389" i="3"/>
  <c r="R389" i="3"/>
  <c r="Z389" i="3" s="1"/>
  <c r="E389" i="3"/>
  <c r="D384" i="13" s="1"/>
  <c r="AA388" i="3"/>
  <c r="R388" i="3"/>
  <c r="Z388" i="3" s="1"/>
  <c r="E388" i="3"/>
  <c r="D383" i="13" s="1"/>
  <c r="AA387" i="3"/>
  <c r="R387" i="3"/>
  <c r="Z387" i="3" s="1"/>
  <c r="E387" i="3"/>
  <c r="D382" i="13" s="1"/>
  <c r="AA386" i="3"/>
  <c r="R386" i="3"/>
  <c r="Z386" i="3" s="1"/>
  <c r="E386" i="3"/>
  <c r="D381" i="13" s="1"/>
  <c r="AA385" i="3"/>
  <c r="R385" i="3"/>
  <c r="Z385" i="3" s="1"/>
  <c r="E385" i="3"/>
  <c r="D380" i="13" s="1"/>
  <c r="AA384" i="3"/>
  <c r="R384" i="3"/>
  <c r="Z384" i="3" s="1"/>
  <c r="E384" i="3"/>
  <c r="D379" i="13" s="1"/>
  <c r="AA383" i="3"/>
  <c r="R383" i="3"/>
  <c r="Z383" i="3" s="1"/>
  <c r="E383" i="3"/>
  <c r="D378" i="13" s="1"/>
  <c r="AA382" i="3"/>
  <c r="R382" i="3"/>
  <c r="Z382" i="3" s="1"/>
  <c r="E382" i="3"/>
  <c r="D377" i="13" s="1"/>
  <c r="AA381" i="3"/>
  <c r="R381" i="3"/>
  <c r="Z381" i="3" s="1"/>
  <c r="E381" i="3"/>
  <c r="D376" i="13" s="1"/>
  <c r="AA380" i="3"/>
  <c r="R380" i="3"/>
  <c r="Z380" i="3" s="1"/>
  <c r="E380" i="3"/>
  <c r="D375" i="13" s="1"/>
  <c r="AA379" i="3"/>
  <c r="R379" i="3"/>
  <c r="Z379" i="3" s="1"/>
  <c r="E379" i="3"/>
  <c r="D374" i="13" s="1"/>
  <c r="AA378" i="3"/>
  <c r="R378" i="3"/>
  <c r="Z378" i="3" s="1"/>
  <c r="E378" i="3"/>
  <c r="D373" i="13" s="1"/>
  <c r="AA377" i="3"/>
  <c r="R377" i="3"/>
  <c r="Z377" i="3" s="1"/>
  <c r="E377" i="3"/>
  <c r="D372" i="13" s="1"/>
  <c r="AA376" i="3"/>
  <c r="R376" i="3"/>
  <c r="Z376" i="3" s="1"/>
  <c r="E376" i="3"/>
  <c r="D371" i="13" s="1"/>
  <c r="AA375" i="3"/>
  <c r="R375" i="3"/>
  <c r="Z375" i="3" s="1"/>
  <c r="E375" i="3"/>
  <c r="D370" i="13" s="1"/>
  <c r="AA374" i="3"/>
  <c r="R374" i="3"/>
  <c r="Z374" i="3" s="1"/>
  <c r="E374" i="3"/>
  <c r="D369" i="13" s="1"/>
  <c r="AA373" i="3"/>
  <c r="R373" i="3"/>
  <c r="Z373" i="3" s="1"/>
  <c r="E373" i="3"/>
  <c r="D368" i="13" s="1"/>
  <c r="AA372" i="3"/>
  <c r="R372" i="3"/>
  <c r="Z372" i="3" s="1"/>
  <c r="E372" i="3"/>
  <c r="D367" i="13" s="1"/>
  <c r="AA371" i="3"/>
  <c r="R371" i="3"/>
  <c r="Z371" i="3" s="1"/>
  <c r="E371" i="3"/>
  <c r="D366" i="13" s="1"/>
  <c r="AA370" i="3"/>
  <c r="R370" i="3"/>
  <c r="Z370" i="3" s="1"/>
  <c r="E370" i="3"/>
  <c r="D365" i="13" s="1"/>
  <c r="AA369" i="3"/>
  <c r="R369" i="3"/>
  <c r="Z369" i="3" s="1"/>
  <c r="E369" i="3"/>
  <c r="D364" i="13" s="1"/>
  <c r="AA368" i="3"/>
  <c r="R368" i="3"/>
  <c r="Z368" i="3" s="1"/>
  <c r="E368" i="3"/>
  <c r="D363" i="13" s="1"/>
  <c r="AA367" i="3"/>
  <c r="R367" i="3"/>
  <c r="Z367" i="3" s="1"/>
  <c r="E367" i="3"/>
  <c r="D362" i="13" s="1"/>
  <c r="AA366" i="3"/>
  <c r="R366" i="3"/>
  <c r="Z366" i="3" s="1"/>
  <c r="E366" i="3"/>
  <c r="D361" i="13" s="1"/>
  <c r="AA365" i="3"/>
  <c r="R365" i="3"/>
  <c r="Z365" i="3" s="1"/>
  <c r="E365" i="3"/>
  <c r="D360" i="13" s="1"/>
  <c r="AA364" i="3"/>
  <c r="R364" i="3"/>
  <c r="Z364" i="3" s="1"/>
  <c r="E364" i="3"/>
  <c r="D359" i="13" s="1"/>
  <c r="AA363" i="3"/>
  <c r="R363" i="3"/>
  <c r="Z363" i="3" s="1"/>
  <c r="E363" i="3"/>
  <c r="D358" i="13" s="1"/>
  <c r="AA362" i="3"/>
  <c r="R362" i="3"/>
  <c r="Z362" i="3" s="1"/>
  <c r="E362" i="3"/>
  <c r="D357" i="13" s="1"/>
  <c r="AA361" i="3"/>
  <c r="R361" i="3"/>
  <c r="Z361" i="3" s="1"/>
  <c r="E361" i="3"/>
  <c r="D356" i="13" s="1"/>
  <c r="AA360" i="3"/>
  <c r="R360" i="3"/>
  <c r="Z360" i="3" s="1"/>
  <c r="E360" i="3"/>
  <c r="D355" i="13" s="1"/>
  <c r="AA359" i="3"/>
  <c r="R359" i="3"/>
  <c r="Z359" i="3" s="1"/>
  <c r="E359" i="3"/>
  <c r="D354" i="13" s="1"/>
  <c r="AA358" i="3"/>
  <c r="R358" i="3"/>
  <c r="Z358" i="3" s="1"/>
  <c r="E358" i="3"/>
  <c r="D353" i="13" s="1"/>
  <c r="AA357" i="3"/>
  <c r="R357" i="3"/>
  <c r="Z357" i="3" s="1"/>
  <c r="E357" i="3"/>
  <c r="D352" i="13" s="1"/>
  <c r="AA356" i="3"/>
  <c r="R356" i="3"/>
  <c r="Z356" i="3" s="1"/>
  <c r="E356" i="3"/>
  <c r="D351" i="13" s="1"/>
  <c r="AA355" i="3"/>
  <c r="R355" i="3"/>
  <c r="Z355" i="3" s="1"/>
  <c r="E355" i="3"/>
  <c r="D350" i="13" s="1"/>
  <c r="AA354" i="3"/>
  <c r="R354" i="3"/>
  <c r="Z354" i="3" s="1"/>
  <c r="E354" i="3"/>
  <c r="D349" i="13" s="1"/>
  <c r="AA353" i="3"/>
  <c r="R353" i="3"/>
  <c r="Z353" i="3" s="1"/>
  <c r="E353" i="3"/>
  <c r="D348" i="13" s="1"/>
  <c r="AA352" i="3"/>
  <c r="R352" i="3"/>
  <c r="Z352" i="3" s="1"/>
  <c r="E352" i="3"/>
  <c r="D347" i="13" s="1"/>
  <c r="AA351" i="3"/>
  <c r="R351" i="3"/>
  <c r="Z351" i="3" s="1"/>
  <c r="E351" i="3"/>
  <c r="D346" i="13" s="1"/>
  <c r="AA350" i="3"/>
  <c r="R350" i="3"/>
  <c r="Z350" i="3" s="1"/>
  <c r="E350" i="3"/>
  <c r="D345" i="13" s="1"/>
  <c r="AA349" i="3"/>
  <c r="R349" i="3"/>
  <c r="Z349" i="3" s="1"/>
  <c r="E349" i="3"/>
  <c r="D344" i="13" s="1"/>
  <c r="AA348" i="3"/>
  <c r="R348" i="3"/>
  <c r="Z348" i="3" s="1"/>
  <c r="E348" i="3"/>
  <c r="D343" i="13" s="1"/>
  <c r="AA347" i="3"/>
  <c r="R347" i="3"/>
  <c r="Z347" i="3" s="1"/>
  <c r="E347" i="3"/>
  <c r="D342" i="13" s="1"/>
  <c r="AA346" i="3"/>
  <c r="R346" i="3"/>
  <c r="Z346" i="3" s="1"/>
  <c r="E346" i="3"/>
  <c r="D341" i="13" s="1"/>
  <c r="AA345" i="3"/>
  <c r="R345" i="3"/>
  <c r="Z345" i="3" s="1"/>
  <c r="E345" i="3"/>
  <c r="D340" i="13" s="1"/>
  <c r="AA344" i="3"/>
  <c r="R344" i="3"/>
  <c r="Z344" i="3" s="1"/>
  <c r="E344" i="3"/>
  <c r="D339" i="13" s="1"/>
  <c r="AA343" i="3"/>
  <c r="R343" i="3"/>
  <c r="Z343" i="3" s="1"/>
  <c r="E343" i="3"/>
  <c r="D338" i="13" s="1"/>
  <c r="AA342" i="3"/>
  <c r="R342" i="3"/>
  <c r="Z342" i="3" s="1"/>
  <c r="E342" i="3"/>
  <c r="D337" i="13" s="1"/>
  <c r="AA341" i="3"/>
  <c r="R341" i="3"/>
  <c r="Z341" i="3" s="1"/>
  <c r="E341" i="3"/>
  <c r="D336" i="13" s="1"/>
  <c r="AA340" i="3"/>
  <c r="R340" i="3"/>
  <c r="Z340" i="3" s="1"/>
  <c r="E340" i="3"/>
  <c r="D335" i="13" s="1"/>
  <c r="AA339" i="3"/>
  <c r="R339" i="3"/>
  <c r="Z339" i="3" s="1"/>
  <c r="E339" i="3"/>
  <c r="D334" i="13" s="1"/>
  <c r="AA338" i="3"/>
  <c r="R338" i="3"/>
  <c r="Z338" i="3" s="1"/>
  <c r="E338" i="3"/>
  <c r="D333" i="13" s="1"/>
  <c r="AA337" i="3"/>
  <c r="R337" i="3"/>
  <c r="Z337" i="3" s="1"/>
  <c r="E337" i="3"/>
  <c r="D332" i="13" s="1"/>
  <c r="AA336" i="3"/>
  <c r="R336" i="3"/>
  <c r="Z336" i="3" s="1"/>
  <c r="E336" i="3"/>
  <c r="D331" i="13" s="1"/>
  <c r="AA335" i="3"/>
  <c r="R335" i="3"/>
  <c r="Z335" i="3" s="1"/>
  <c r="E335" i="3"/>
  <c r="D330" i="13" s="1"/>
  <c r="AA334" i="3"/>
  <c r="R334" i="3"/>
  <c r="Z334" i="3" s="1"/>
  <c r="E334" i="3"/>
  <c r="D329" i="13" s="1"/>
  <c r="AA333" i="3"/>
  <c r="R333" i="3"/>
  <c r="Z333" i="3" s="1"/>
  <c r="E333" i="3"/>
  <c r="D328" i="13" s="1"/>
  <c r="AA332" i="3"/>
  <c r="R332" i="3"/>
  <c r="Z332" i="3" s="1"/>
  <c r="E332" i="3"/>
  <c r="D327" i="13" s="1"/>
  <c r="AA331" i="3"/>
  <c r="R331" i="3"/>
  <c r="Z331" i="3" s="1"/>
  <c r="E331" i="3"/>
  <c r="D326" i="13" s="1"/>
  <c r="AA330" i="3"/>
  <c r="R330" i="3"/>
  <c r="Z330" i="3" s="1"/>
  <c r="E330" i="3"/>
  <c r="D325" i="13" s="1"/>
  <c r="AA329" i="3"/>
  <c r="R329" i="3"/>
  <c r="Z329" i="3" s="1"/>
  <c r="E329" i="3"/>
  <c r="D324" i="13" s="1"/>
  <c r="AA328" i="3"/>
  <c r="R328" i="3"/>
  <c r="Z328" i="3" s="1"/>
  <c r="E328" i="3"/>
  <c r="D323" i="13" s="1"/>
  <c r="AA327" i="3"/>
  <c r="R327" i="3"/>
  <c r="Z327" i="3" s="1"/>
  <c r="E327" i="3"/>
  <c r="D322" i="13" s="1"/>
  <c r="AA326" i="3"/>
  <c r="R326" i="3"/>
  <c r="Z326" i="3" s="1"/>
  <c r="E326" i="3"/>
  <c r="D321" i="13" s="1"/>
  <c r="AA325" i="3"/>
  <c r="R325" i="3"/>
  <c r="Z325" i="3" s="1"/>
  <c r="E325" i="3"/>
  <c r="D320" i="13" s="1"/>
  <c r="AA324" i="3"/>
  <c r="R324" i="3"/>
  <c r="Z324" i="3" s="1"/>
  <c r="E324" i="3"/>
  <c r="D319" i="13" s="1"/>
  <c r="AA323" i="3"/>
  <c r="R323" i="3"/>
  <c r="Z323" i="3" s="1"/>
  <c r="E323" i="3"/>
  <c r="D318" i="13" s="1"/>
  <c r="AA322" i="3"/>
  <c r="R322" i="3"/>
  <c r="Z322" i="3" s="1"/>
  <c r="E322" i="3"/>
  <c r="D317" i="13" s="1"/>
  <c r="AA321" i="3"/>
  <c r="R321" i="3"/>
  <c r="Z321" i="3" s="1"/>
  <c r="E321" i="3"/>
  <c r="D316" i="13" s="1"/>
  <c r="AA320" i="3"/>
  <c r="R320" i="3"/>
  <c r="Z320" i="3" s="1"/>
  <c r="E320" i="3"/>
  <c r="D315" i="13" s="1"/>
  <c r="AA319" i="3"/>
  <c r="R319" i="3"/>
  <c r="Z319" i="3" s="1"/>
  <c r="E319" i="3"/>
  <c r="D314" i="13" s="1"/>
  <c r="AA318" i="3"/>
  <c r="R318" i="3"/>
  <c r="Z318" i="3" s="1"/>
  <c r="E318" i="3"/>
  <c r="D313" i="13" s="1"/>
  <c r="AA317" i="3"/>
  <c r="R317" i="3"/>
  <c r="Z317" i="3" s="1"/>
  <c r="E317" i="3"/>
  <c r="D312" i="13" s="1"/>
  <c r="AA316" i="3"/>
  <c r="R316" i="3"/>
  <c r="Z316" i="3" s="1"/>
  <c r="E316" i="3"/>
  <c r="D311" i="13" s="1"/>
  <c r="AA315" i="3"/>
  <c r="R315" i="3"/>
  <c r="Z315" i="3" s="1"/>
  <c r="E315" i="3"/>
  <c r="D310" i="13" s="1"/>
  <c r="AA314" i="3"/>
  <c r="R314" i="3"/>
  <c r="Z314" i="3" s="1"/>
  <c r="E314" i="3"/>
  <c r="D309" i="13" s="1"/>
  <c r="AA313" i="3"/>
  <c r="R313" i="3"/>
  <c r="Z313" i="3" s="1"/>
  <c r="E313" i="3"/>
  <c r="D308" i="13" s="1"/>
  <c r="AA312" i="3"/>
  <c r="R312" i="3"/>
  <c r="Z312" i="3" s="1"/>
  <c r="E312" i="3"/>
  <c r="D307" i="13" s="1"/>
  <c r="AA311" i="3"/>
  <c r="R311" i="3"/>
  <c r="Z311" i="3" s="1"/>
  <c r="E311" i="3"/>
  <c r="D306" i="13" s="1"/>
  <c r="AA310" i="3"/>
  <c r="R310" i="3"/>
  <c r="Z310" i="3" s="1"/>
  <c r="E310" i="3"/>
  <c r="D305" i="13" s="1"/>
  <c r="AA309" i="3"/>
  <c r="R309" i="3"/>
  <c r="Z309" i="3" s="1"/>
  <c r="E309" i="3"/>
  <c r="D304" i="13" s="1"/>
  <c r="AA308" i="3"/>
  <c r="R308" i="3"/>
  <c r="Z308" i="3" s="1"/>
  <c r="E308" i="3"/>
  <c r="D303" i="13" s="1"/>
  <c r="AA307" i="3"/>
  <c r="R307" i="3"/>
  <c r="Z307" i="3" s="1"/>
  <c r="E307" i="3"/>
  <c r="D302" i="13" s="1"/>
  <c r="AA306" i="3"/>
  <c r="R306" i="3"/>
  <c r="Z306" i="3" s="1"/>
  <c r="E306" i="3"/>
  <c r="D301" i="13" s="1"/>
  <c r="AA305" i="3"/>
  <c r="R305" i="3"/>
  <c r="Z305" i="3" s="1"/>
  <c r="E305" i="3"/>
  <c r="D300" i="13" s="1"/>
  <c r="AA304" i="3"/>
  <c r="R304" i="3"/>
  <c r="Z304" i="3" s="1"/>
  <c r="E304" i="3"/>
  <c r="D299" i="13" s="1"/>
  <c r="AA303" i="3"/>
  <c r="R303" i="3"/>
  <c r="Z303" i="3" s="1"/>
  <c r="E303" i="3"/>
  <c r="D298" i="13" s="1"/>
  <c r="AA302" i="3"/>
  <c r="R302" i="3"/>
  <c r="Z302" i="3" s="1"/>
  <c r="E302" i="3"/>
  <c r="D297" i="13" s="1"/>
  <c r="AA301" i="3"/>
  <c r="R301" i="3"/>
  <c r="Z301" i="3" s="1"/>
  <c r="E301" i="3"/>
  <c r="D296" i="13" s="1"/>
  <c r="AA300" i="3"/>
  <c r="R300" i="3"/>
  <c r="Z300" i="3" s="1"/>
  <c r="E300" i="3"/>
  <c r="D295" i="13" s="1"/>
  <c r="AA299" i="3"/>
  <c r="R299" i="3"/>
  <c r="Z299" i="3" s="1"/>
  <c r="E299" i="3"/>
  <c r="D294" i="13" s="1"/>
  <c r="AA298" i="3"/>
  <c r="R298" i="3"/>
  <c r="Z298" i="3" s="1"/>
  <c r="E298" i="3"/>
  <c r="D293" i="13" s="1"/>
  <c r="AA297" i="3"/>
  <c r="R297" i="3"/>
  <c r="Z297" i="3" s="1"/>
  <c r="E297" i="3"/>
  <c r="D292" i="13" s="1"/>
  <c r="AA296" i="3"/>
  <c r="R296" i="3"/>
  <c r="Z296" i="3" s="1"/>
  <c r="E296" i="3"/>
  <c r="D291" i="13" s="1"/>
  <c r="AA295" i="3"/>
  <c r="R295" i="3"/>
  <c r="Z295" i="3" s="1"/>
  <c r="E295" i="3"/>
  <c r="D290" i="13" s="1"/>
  <c r="AA294" i="3"/>
  <c r="R294" i="3"/>
  <c r="Z294" i="3" s="1"/>
  <c r="E294" i="3"/>
  <c r="D289" i="13" s="1"/>
  <c r="AA293" i="3"/>
  <c r="R293" i="3"/>
  <c r="Z293" i="3" s="1"/>
  <c r="E293" i="3"/>
  <c r="D288" i="13" s="1"/>
  <c r="AA292" i="3"/>
  <c r="R292" i="3"/>
  <c r="Z292" i="3" s="1"/>
  <c r="E292" i="3"/>
  <c r="D287" i="13" s="1"/>
  <c r="AA291" i="3"/>
  <c r="R291" i="3"/>
  <c r="Z291" i="3" s="1"/>
  <c r="E291" i="3"/>
  <c r="D286" i="13" s="1"/>
  <c r="AA290" i="3"/>
  <c r="R290" i="3"/>
  <c r="Z290" i="3" s="1"/>
  <c r="E290" i="3"/>
  <c r="D285" i="13" s="1"/>
  <c r="AA289" i="3"/>
  <c r="R289" i="3"/>
  <c r="Z289" i="3" s="1"/>
  <c r="E289" i="3"/>
  <c r="D284" i="13" s="1"/>
  <c r="AA288" i="3"/>
  <c r="R288" i="3"/>
  <c r="Z288" i="3" s="1"/>
  <c r="E288" i="3"/>
  <c r="D283" i="13" s="1"/>
  <c r="AA287" i="3"/>
  <c r="R287" i="3"/>
  <c r="Z287" i="3" s="1"/>
  <c r="E287" i="3"/>
  <c r="D282" i="13" s="1"/>
  <c r="AA286" i="3"/>
  <c r="R286" i="3"/>
  <c r="Z286" i="3" s="1"/>
  <c r="E286" i="3"/>
  <c r="D281" i="13" s="1"/>
  <c r="AA285" i="3"/>
  <c r="R285" i="3"/>
  <c r="Z285" i="3" s="1"/>
  <c r="E285" i="3"/>
  <c r="D280" i="13" s="1"/>
  <c r="AA284" i="3"/>
  <c r="R284" i="3"/>
  <c r="Z284" i="3" s="1"/>
  <c r="E284" i="3"/>
  <c r="D279" i="13" s="1"/>
  <c r="AA283" i="3"/>
  <c r="R283" i="3"/>
  <c r="Z283" i="3" s="1"/>
  <c r="E283" i="3"/>
  <c r="D278" i="13" s="1"/>
  <c r="AA282" i="3"/>
  <c r="R282" i="3"/>
  <c r="Z282" i="3" s="1"/>
  <c r="E282" i="3"/>
  <c r="D277" i="13" s="1"/>
  <c r="AA281" i="3"/>
  <c r="R281" i="3"/>
  <c r="Z281" i="3" s="1"/>
  <c r="E281" i="3"/>
  <c r="D276" i="13" s="1"/>
  <c r="AA280" i="3"/>
  <c r="R280" i="3"/>
  <c r="Z280" i="3" s="1"/>
  <c r="E280" i="3"/>
  <c r="D275" i="13" s="1"/>
  <c r="AA279" i="3"/>
  <c r="R279" i="3"/>
  <c r="Z279" i="3" s="1"/>
  <c r="E279" i="3"/>
  <c r="D274" i="13" s="1"/>
  <c r="AA278" i="3"/>
  <c r="R278" i="3"/>
  <c r="Z278" i="3" s="1"/>
  <c r="E278" i="3"/>
  <c r="D273" i="13" s="1"/>
  <c r="AA277" i="3"/>
  <c r="R277" i="3"/>
  <c r="Z277" i="3" s="1"/>
  <c r="E277" i="3"/>
  <c r="D272" i="13" s="1"/>
  <c r="AA276" i="3"/>
  <c r="R276" i="3"/>
  <c r="Z276" i="3" s="1"/>
  <c r="E276" i="3"/>
  <c r="D271" i="13" s="1"/>
  <c r="AA275" i="3"/>
  <c r="R275" i="3"/>
  <c r="Z275" i="3" s="1"/>
  <c r="E275" i="3"/>
  <c r="D270" i="13" s="1"/>
  <c r="AA274" i="3"/>
  <c r="R274" i="3"/>
  <c r="Z274" i="3" s="1"/>
  <c r="E274" i="3"/>
  <c r="D269" i="13" s="1"/>
  <c r="AA273" i="3"/>
  <c r="R273" i="3"/>
  <c r="Z273" i="3" s="1"/>
  <c r="E273" i="3"/>
  <c r="D268" i="13" s="1"/>
  <c r="AA272" i="3"/>
  <c r="R272" i="3"/>
  <c r="Z272" i="3" s="1"/>
  <c r="E272" i="3"/>
  <c r="D267" i="13" s="1"/>
  <c r="AA271" i="3"/>
  <c r="R271" i="3"/>
  <c r="Z271" i="3" s="1"/>
  <c r="E271" i="3"/>
  <c r="D266" i="13" s="1"/>
  <c r="AA270" i="3"/>
  <c r="R270" i="3"/>
  <c r="Z270" i="3" s="1"/>
  <c r="E270" i="3"/>
  <c r="D265" i="13" s="1"/>
  <c r="AA269" i="3"/>
  <c r="R269" i="3"/>
  <c r="Z269" i="3" s="1"/>
  <c r="E269" i="3"/>
  <c r="D264" i="13" s="1"/>
  <c r="AA268" i="3"/>
  <c r="R268" i="3"/>
  <c r="Z268" i="3" s="1"/>
  <c r="E268" i="3"/>
  <c r="D263" i="13" s="1"/>
  <c r="AA267" i="3"/>
  <c r="R267" i="3"/>
  <c r="Z267" i="3" s="1"/>
  <c r="E267" i="3"/>
  <c r="D262" i="13" s="1"/>
  <c r="AA266" i="3"/>
  <c r="R266" i="3"/>
  <c r="Z266" i="3" s="1"/>
  <c r="E266" i="3"/>
  <c r="D261" i="13" s="1"/>
  <c r="AA265" i="3"/>
  <c r="R265" i="3"/>
  <c r="Z265" i="3" s="1"/>
  <c r="E265" i="3"/>
  <c r="D260" i="13" s="1"/>
  <c r="AA264" i="3"/>
  <c r="R264" i="3"/>
  <c r="Z264" i="3" s="1"/>
  <c r="E264" i="3"/>
  <c r="D259" i="13" s="1"/>
  <c r="AA263" i="3"/>
  <c r="R263" i="3"/>
  <c r="Z263" i="3" s="1"/>
  <c r="E263" i="3"/>
  <c r="D258" i="13" s="1"/>
  <c r="AA262" i="3"/>
  <c r="R262" i="3"/>
  <c r="Z262" i="3" s="1"/>
  <c r="E262" i="3"/>
  <c r="D257" i="13" s="1"/>
  <c r="AA261" i="3"/>
  <c r="R261" i="3"/>
  <c r="Z261" i="3" s="1"/>
  <c r="E261" i="3"/>
  <c r="D256" i="13" s="1"/>
  <c r="AA260" i="3"/>
  <c r="R260" i="3"/>
  <c r="Z260" i="3" s="1"/>
  <c r="E260" i="3"/>
  <c r="D255" i="13" s="1"/>
  <c r="AA259" i="3"/>
  <c r="R259" i="3"/>
  <c r="Z259" i="3" s="1"/>
  <c r="E259" i="3"/>
  <c r="D254" i="13" s="1"/>
  <c r="AA258" i="3"/>
  <c r="R258" i="3"/>
  <c r="Z258" i="3" s="1"/>
  <c r="E258" i="3"/>
  <c r="D253" i="13" s="1"/>
  <c r="AA257" i="3"/>
  <c r="R257" i="3"/>
  <c r="Z257" i="3" s="1"/>
  <c r="E257" i="3"/>
  <c r="D252" i="13" s="1"/>
  <c r="AA256" i="3"/>
  <c r="R256" i="3"/>
  <c r="Z256" i="3" s="1"/>
  <c r="E256" i="3"/>
  <c r="D251" i="13" s="1"/>
  <c r="AA255" i="3"/>
  <c r="R255" i="3"/>
  <c r="Z255" i="3" s="1"/>
  <c r="E255" i="3"/>
  <c r="D250" i="13" s="1"/>
  <c r="AA254" i="3"/>
  <c r="R254" i="3"/>
  <c r="Z254" i="3" s="1"/>
  <c r="E254" i="3"/>
  <c r="D249" i="13" s="1"/>
  <c r="AA253" i="3"/>
  <c r="R253" i="3"/>
  <c r="Z253" i="3" s="1"/>
  <c r="E253" i="3"/>
  <c r="D248" i="13" s="1"/>
  <c r="AA252" i="3"/>
  <c r="R252" i="3"/>
  <c r="Z252" i="3" s="1"/>
  <c r="E252" i="3"/>
  <c r="D247" i="13" s="1"/>
  <c r="AA251" i="3"/>
  <c r="R251" i="3"/>
  <c r="Z251" i="3" s="1"/>
  <c r="E251" i="3"/>
  <c r="D246" i="13" s="1"/>
  <c r="AA250" i="3"/>
  <c r="R250" i="3"/>
  <c r="Z250" i="3" s="1"/>
  <c r="E250" i="3"/>
  <c r="D245" i="13" s="1"/>
  <c r="AA249" i="3"/>
  <c r="R249" i="3"/>
  <c r="Z249" i="3" s="1"/>
  <c r="E249" i="3"/>
  <c r="D244" i="13" s="1"/>
  <c r="AA248" i="3"/>
  <c r="R248" i="3"/>
  <c r="Z248" i="3" s="1"/>
  <c r="E248" i="3"/>
  <c r="D243" i="13" s="1"/>
  <c r="AA247" i="3"/>
  <c r="R247" i="3"/>
  <c r="Z247" i="3" s="1"/>
  <c r="E247" i="3"/>
  <c r="D242" i="13" s="1"/>
  <c r="AA246" i="3"/>
  <c r="R246" i="3"/>
  <c r="Z246" i="3" s="1"/>
  <c r="E246" i="3"/>
  <c r="D241" i="13" s="1"/>
  <c r="AA245" i="3"/>
  <c r="R245" i="3"/>
  <c r="Z245" i="3" s="1"/>
  <c r="E245" i="3"/>
  <c r="D240" i="13" s="1"/>
  <c r="AA244" i="3"/>
  <c r="R244" i="3"/>
  <c r="Z244" i="3" s="1"/>
  <c r="E244" i="3"/>
  <c r="D239" i="13" s="1"/>
  <c r="AA243" i="3"/>
  <c r="R243" i="3"/>
  <c r="Z243" i="3" s="1"/>
  <c r="E243" i="3"/>
  <c r="D238" i="13" s="1"/>
  <c r="AA242" i="3"/>
  <c r="R242" i="3"/>
  <c r="Z242" i="3" s="1"/>
  <c r="E242" i="3"/>
  <c r="D237" i="13" s="1"/>
  <c r="AA241" i="3"/>
  <c r="R241" i="3"/>
  <c r="Z241" i="3" s="1"/>
  <c r="E241" i="3"/>
  <c r="D236" i="13" s="1"/>
  <c r="AA240" i="3"/>
  <c r="R240" i="3"/>
  <c r="Z240" i="3" s="1"/>
  <c r="E240" i="3"/>
  <c r="D235" i="13" s="1"/>
  <c r="AA239" i="3"/>
  <c r="R239" i="3"/>
  <c r="Z239" i="3" s="1"/>
  <c r="E239" i="3"/>
  <c r="D234" i="13" s="1"/>
  <c r="AA238" i="3"/>
  <c r="R238" i="3"/>
  <c r="Z238" i="3" s="1"/>
  <c r="E238" i="3"/>
  <c r="D233" i="13" s="1"/>
  <c r="AA237" i="3"/>
  <c r="R237" i="3"/>
  <c r="Z237" i="3" s="1"/>
  <c r="E237" i="3"/>
  <c r="D232" i="13" s="1"/>
  <c r="AA236" i="3"/>
  <c r="R236" i="3"/>
  <c r="Z236" i="3" s="1"/>
  <c r="E236" i="3"/>
  <c r="D231" i="13" s="1"/>
  <c r="AA235" i="3"/>
  <c r="R235" i="3"/>
  <c r="Z235" i="3" s="1"/>
  <c r="E235" i="3"/>
  <c r="D230" i="13" s="1"/>
  <c r="AA234" i="3"/>
  <c r="R234" i="3"/>
  <c r="Z234" i="3" s="1"/>
  <c r="E234" i="3"/>
  <c r="D229" i="13" s="1"/>
  <c r="AA233" i="3"/>
  <c r="R233" i="3"/>
  <c r="Z233" i="3" s="1"/>
  <c r="E233" i="3"/>
  <c r="D228" i="13" s="1"/>
  <c r="AA232" i="3"/>
  <c r="R232" i="3"/>
  <c r="Z232" i="3" s="1"/>
  <c r="E232" i="3"/>
  <c r="D227" i="13" s="1"/>
  <c r="AA231" i="3"/>
  <c r="R231" i="3"/>
  <c r="Z231" i="3" s="1"/>
  <c r="E231" i="3"/>
  <c r="D226" i="13" s="1"/>
  <c r="AA230" i="3"/>
  <c r="R230" i="3"/>
  <c r="Z230" i="3" s="1"/>
  <c r="E230" i="3"/>
  <c r="D225" i="13" s="1"/>
  <c r="AA229" i="3"/>
  <c r="R229" i="3"/>
  <c r="Z229" i="3" s="1"/>
  <c r="E229" i="3"/>
  <c r="D224" i="13" s="1"/>
  <c r="AA228" i="3"/>
  <c r="R228" i="3"/>
  <c r="Z228" i="3" s="1"/>
  <c r="E228" i="3"/>
  <c r="D223" i="13" s="1"/>
  <c r="AA227" i="3"/>
  <c r="R227" i="3"/>
  <c r="Z227" i="3" s="1"/>
  <c r="E227" i="3"/>
  <c r="D222" i="13" s="1"/>
  <c r="AA226" i="3"/>
  <c r="R226" i="3"/>
  <c r="Z226" i="3" s="1"/>
  <c r="E226" i="3"/>
  <c r="D221" i="13" s="1"/>
  <c r="AA225" i="3"/>
  <c r="R225" i="3"/>
  <c r="Z225" i="3" s="1"/>
  <c r="E225" i="3"/>
  <c r="D220" i="13" s="1"/>
  <c r="AA224" i="3"/>
  <c r="R224" i="3"/>
  <c r="Z224" i="3" s="1"/>
  <c r="E224" i="3"/>
  <c r="D219" i="13" s="1"/>
  <c r="AA223" i="3"/>
  <c r="R223" i="3"/>
  <c r="Z223" i="3" s="1"/>
  <c r="E223" i="3"/>
  <c r="D218" i="13" s="1"/>
  <c r="AA222" i="3"/>
  <c r="R222" i="3"/>
  <c r="Z222" i="3" s="1"/>
  <c r="E222" i="3"/>
  <c r="D217" i="13" s="1"/>
  <c r="AA221" i="3"/>
  <c r="R221" i="3"/>
  <c r="Z221" i="3" s="1"/>
  <c r="E221" i="3"/>
  <c r="D216" i="13" s="1"/>
  <c r="AA220" i="3"/>
  <c r="R220" i="3"/>
  <c r="Z220" i="3" s="1"/>
  <c r="E220" i="3"/>
  <c r="D215" i="13" s="1"/>
  <c r="AA219" i="3"/>
  <c r="R219" i="3"/>
  <c r="Z219" i="3" s="1"/>
  <c r="E219" i="3"/>
  <c r="D214" i="13" s="1"/>
  <c r="AA218" i="3"/>
  <c r="R218" i="3"/>
  <c r="Z218" i="3" s="1"/>
  <c r="E218" i="3"/>
  <c r="D213" i="13" s="1"/>
  <c r="AA217" i="3"/>
  <c r="R217" i="3"/>
  <c r="Z217" i="3" s="1"/>
  <c r="E217" i="3"/>
  <c r="D212" i="13" s="1"/>
  <c r="AA216" i="3"/>
  <c r="R216" i="3"/>
  <c r="Z216" i="3" s="1"/>
  <c r="E216" i="3"/>
  <c r="D211" i="13" s="1"/>
  <c r="AA215" i="3"/>
  <c r="R215" i="3"/>
  <c r="Z215" i="3" s="1"/>
  <c r="E215" i="3"/>
  <c r="D210" i="13" s="1"/>
  <c r="AA214" i="3"/>
  <c r="R214" i="3"/>
  <c r="Z214" i="3" s="1"/>
  <c r="E214" i="3"/>
  <c r="D209" i="13" s="1"/>
  <c r="AA213" i="3"/>
  <c r="R213" i="3"/>
  <c r="Z213" i="3" s="1"/>
  <c r="E213" i="3"/>
  <c r="D208" i="13" s="1"/>
  <c r="AA212" i="3"/>
  <c r="R212" i="3"/>
  <c r="Z212" i="3" s="1"/>
  <c r="E212" i="3"/>
  <c r="D207" i="13" s="1"/>
  <c r="AA211" i="3"/>
  <c r="R211" i="3"/>
  <c r="Z211" i="3" s="1"/>
  <c r="E211" i="3"/>
  <c r="D206" i="13" s="1"/>
  <c r="AA210" i="3"/>
  <c r="R210" i="3"/>
  <c r="Z210" i="3" s="1"/>
  <c r="E210" i="3"/>
  <c r="D205" i="13" s="1"/>
  <c r="AA209" i="3"/>
  <c r="R209" i="3"/>
  <c r="Z209" i="3" s="1"/>
  <c r="E209" i="3"/>
  <c r="D204" i="13" s="1"/>
  <c r="AA208" i="3"/>
  <c r="R208" i="3"/>
  <c r="Z208" i="3" s="1"/>
  <c r="E208" i="3"/>
  <c r="D203" i="13" s="1"/>
  <c r="AA207" i="3"/>
  <c r="R207" i="3"/>
  <c r="Z207" i="3" s="1"/>
  <c r="E207" i="3"/>
  <c r="D202" i="13" s="1"/>
  <c r="AA206" i="3"/>
  <c r="R206" i="3"/>
  <c r="Z206" i="3" s="1"/>
  <c r="E206" i="3"/>
  <c r="D201" i="13" s="1"/>
  <c r="AA205" i="3"/>
  <c r="R205" i="3"/>
  <c r="Z205" i="3" s="1"/>
  <c r="E205" i="3"/>
  <c r="D200" i="13" s="1"/>
  <c r="AA204" i="3"/>
  <c r="R204" i="3"/>
  <c r="Z204" i="3" s="1"/>
  <c r="E204" i="3"/>
  <c r="D199" i="13" s="1"/>
  <c r="AA203" i="3"/>
  <c r="R203" i="3"/>
  <c r="Z203" i="3" s="1"/>
  <c r="E203" i="3"/>
  <c r="D198" i="13" s="1"/>
  <c r="AA202" i="3"/>
  <c r="R202" i="3"/>
  <c r="Z202" i="3" s="1"/>
  <c r="E202" i="3"/>
  <c r="D197" i="13" s="1"/>
  <c r="AA201" i="3"/>
  <c r="R201" i="3"/>
  <c r="Z201" i="3" s="1"/>
  <c r="E201" i="3"/>
  <c r="D196" i="13" s="1"/>
  <c r="AA200" i="3"/>
  <c r="R200" i="3"/>
  <c r="Z200" i="3" s="1"/>
  <c r="E200" i="3"/>
  <c r="D195" i="13" s="1"/>
  <c r="AA199" i="3"/>
  <c r="R199" i="3"/>
  <c r="Z199" i="3" s="1"/>
  <c r="E199" i="3"/>
  <c r="D194" i="13" s="1"/>
  <c r="AA198" i="3"/>
  <c r="R198" i="3"/>
  <c r="Z198" i="3" s="1"/>
  <c r="E198" i="3"/>
  <c r="D193" i="13" s="1"/>
  <c r="AA197" i="3"/>
  <c r="R197" i="3"/>
  <c r="Z197" i="3" s="1"/>
  <c r="E197" i="3"/>
  <c r="D192" i="13" s="1"/>
  <c r="AA196" i="3"/>
  <c r="R196" i="3"/>
  <c r="Z196" i="3" s="1"/>
  <c r="E196" i="3"/>
  <c r="D191" i="13" s="1"/>
  <c r="AA195" i="3"/>
  <c r="R195" i="3"/>
  <c r="Z195" i="3" s="1"/>
  <c r="E195" i="3"/>
  <c r="D190" i="13" s="1"/>
  <c r="AA194" i="3"/>
  <c r="R194" i="3"/>
  <c r="Z194" i="3" s="1"/>
  <c r="E194" i="3"/>
  <c r="D189" i="13" s="1"/>
  <c r="AA193" i="3"/>
  <c r="R193" i="3"/>
  <c r="Z193" i="3" s="1"/>
  <c r="E193" i="3"/>
  <c r="D188" i="13" s="1"/>
  <c r="AA192" i="3"/>
  <c r="R192" i="3"/>
  <c r="Z192" i="3" s="1"/>
  <c r="E192" i="3"/>
  <c r="D187" i="13" s="1"/>
  <c r="AA191" i="3"/>
  <c r="R191" i="3"/>
  <c r="Z191" i="3" s="1"/>
  <c r="E191" i="3"/>
  <c r="D186" i="13" s="1"/>
  <c r="AA190" i="3"/>
  <c r="R190" i="3"/>
  <c r="Z190" i="3" s="1"/>
  <c r="E190" i="3"/>
  <c r="D185" i="13" s="1"/>
  <c r="AA189" i="3"/>
  <c r="R189" i="3"/>
  <c r="Z189" i="3" s="1"/>
  <c r="E189" i="3"/>
  <c r="D184" i="13" s="1"/>
  <c r="AA188" i="3"/>
  <c r="R188" i="3"/>
  <c r="Z188" i="3" s="1"/>
  <c r="E188" i="3"/>
  <c r="D183" i="13" s="1"/>
  <c r="AA187" i="3"/>
  <c r="R187" i="3"/>
  <c r="Z187" i="3" s="1"/>
  <c r="E187" i="3"/>
  <c r="D182" i="13" s="1"/>
  <c r="AA186" i="3"/>
  <c r="R186" i="3"/>
  <c r="Z186" i="3" s="1"/>
  <c r="E186" i="3"/>
  <c r="D181" i="13" s="1"/>
  <c r="AA185" i="3"/>
  <c r="R185" i="3"/>
  <c r="Z185" i="3" s="1"/>
  <c r="E185" i="3"/>
  <c r="D180" i="13" s="1"/>
  <c r="AA184" i="3"/>
  <c r="R184" i="3"/>
  <c r="Z184" i="3" s="1"/>
  <c r="E184" i="3"/>
  <c r="D179" i="13" s="1"/>
  <c r="AA183" i="3"/>
  <c r="R183" i="3"/>
  <c r="Z183" i="3" s="1"/>
  <c r="E183" i="3"/>
  <c r="D178" i="13" s="1"/>
  <c r="AA182" i="3"/>
  <c r="R182" i="3"/>
  <c r="Z182" i="3" s="1"/>
  <c r="E182" i="3"/>
  <c r="D177" i="13" s="1"/>
  <c r="AA181" i="3"/>
  <c r="R181" i="3"/>
  <c r="Z181" i="3" s="1"/>
  <c r="E181" i="3"/>
  <c r="D176" i="13" s="1"/>
  <c r="AA180" i="3"/>
  <c r="R180" i="3"/>
  <c r="Z180" i="3" s="1"/>
  <c r="E180" i="3"/>
  <c r="D175" i="13" s="1"/>
  <c r="AA179" i="3"/>
  <c r="R179" i="3"/>
  <c r="Z179" i="3" s="1"/>
  <c r="E179" i="3"/>
  <c r="D174" i="13" s="1"/>
  <c r="AA178" i="3"/>
  <c r="R178" i="3"/>
  <c r="Z178" i="3" s="1"/>
  <c r="E178" i="3"/>
  <c r="D173" i="13" s="1"/>
  <c r="AA177" i="3"/>
  <c r="R177" i="3"/>
  <c r="Z177" i="3" s="1"/>
  <c r="E177" i="3"/>
  <c r="D172" i="13" s="1"/>
  <c r="AA176" i="3"/>
  <c r="R176" i="3"/>
  <c r="Z176" i="3" s="1"/>
  <c r="E176" i="3"/>
  <c r="D171" i="13" s="1"/>
  <c r="AA175" i="3"/>
  <c r="R175" i="3"/>
  <c r="Z175" i="3" s="1"/>
  <c r="E175" i="3"/>
  <c r="D170" i="13" s="1"/>
  <c r="AA174" i="3"/>
  <c r="R174" i="3"/>
  <c r="Z174" i="3" s="1"/>
  <c r="E174" i="3"/>
  <c r="D169" i="13" s="1"/>
  <c r="AA173" i="3"/>
  <c r="R173" i="3"/>
  <c r="Z173" i="3" s="1"/>
  <c r="E173" i="3"/>
  <c r="D168" i="13" s="1"/>
  <c r="AA172" i="3"/>
  <c r="R172" i="3"/>
  <c r="Z172" i="3" s="1"/>
  <c r="E172" i="3"/>
  <c r="D167" i="13" s="1"/>
  <c r="AA171" i="3"/>
  <c r="R171" i="3"/>
  <c r="Z171" i="3" s="1"/>
  <c r="E171" i="3"/>
  <c r="D166" i="13" s="1"/>
  <c r="AA170" i="3"/>
  <c r="R170" i="3"/>
  <c r="Z170" i="3" s="1"/>
  <c r="E170" i="3"/>
  <c r="D165" i="13" s="1"/>
  <c r="AA169" i="3"/>
  <c r="R169" i="3"/>
  <c r="Z169" i="3" s="1"/>
  <c r="E169" i="3"/>
  <c r="D164" i="13" s="1"/>
  <c r="AA168" i="3"/>
  <c r="R168" i="3"/>
  <c r="Z168" i="3" s="1"/>
  <c r="E168" i="3"/>
  <c r="D163" i="13" s="1"/>
  <c r="AA167" i="3"/>
  <c r="R167" i="3"/>
  <c r="Z167" i="3" s="1"/>
  <c r="E167" i="3"/>
  <c r="D162" i="13" s="1"/>
  <c r="AA166" i="3"/>
  <c r="R166" i="3"/>
  <c r="Z166" i="3" s="1"/>
  <c r="E166" i="3"/>
  <c r="D161" i="13" s="1"/>
  <c r="AA165" i="3"/>
  <c r="R165" i="3"/>
  <c r="Z165" i="3" s="1"/>
  <c r="E165" i="3"/>
  <c r="D160" i="13" s="1"/>
  <c r="AA164" i="3"/>
  <c r="R164" i="3"/>
  <c r="Z164" i="3" s="1"/>
  <c r="E164" i="3"/>
  <c r="D159" i="13" s="1"/>
  <c r="AA163" i="3"/>
  <c r="R163" i="3"/>
  <c r="Z163" i="3" s="1"/>
  <c r="E163" i="3"/>
  <c r="D158" i="13" s="1"/>
  <c r="AA162" i="3"/>
  <c r="R162" i="3"/>
  <c r="Z162" i="3" s="1"/>
  <c r="E162" i="3"/>
  <c r="D157" i="13" s="1"/>
  <c r="AA161" i="3"/>
  <c r="R161" i="3"/>
  <c r="Z161" i="3" s="1"/>
  <c r="E161" i="3"/>
  <c r="D156" i="13" s="1"/>
  <c r="AA160" i="3"/>
  <c r="R160" i="3"/>
  <c r="Z160" i="3" s="1"/>
  <c r="E160" i="3"/>
  <c r="D155" i="13" s="1"/>
  <c r="AA159" i="3"/>
  <c r="R159" i="3"/>
  <c r="Z159" i="3" s="1"/>
  <c r="E159" i="3"/>
  <c r="D154" i="13" s="1"/>
  <c r="AA158" i="3"/>
  <c r="R158" i="3"/>
  <c r="Z158" i="3" s="1"/>
  <c r="E158" i="3"/>
  <c r="D153" i="13" s="1"/>
  <c r="AA157" i="3"/>
  <c r="R157" i="3"/>
  <c r="Z157" i="3" s="1"/>
  <c r="E157" i="3"/>
  <c r="D152" i="13" s="1"/>
  <c r="AA156" i="3"/>
  <c r="R156" i="3"/>
  <c r="Z156" i="3" s="1"/>
  <c r="E156" i="3"/>
  <c r="D151" i="13" s="1"/>
  <c r="AA155" i="3"/>
  <c r="R155" i="3"/>
  <c r="Z155" i="3" s="1"/>
  <c r="E155" i="3"/>
  <c r="D150" i="13" s="1"/>
  <c r="AA154" i="3"/>
  <c r="R154" i="3"/>
  <c r="Z154" i="3" s="1"/>
  <c r="E154" i="3"/>
  <c r="D149" i="13" s="1"/>
  <c r="AA153" i="3"/>
  <c r="R153" i="3"/>
  <c r="Z153" i="3" s="1"/>
  <c r="E153" i="3"/>
  <c r="D148" i="13" s="1"/>
  <c r="AA152" i="3"/>
  <c r="R152" i="3"/>
  <c r="Z152" i="3" s="1"/>
  <c r="E152" i="3"/>
  <c r="D147" i="13" s="1"/>
  <c r="AA151" i="3"/>
  <c r="R151" i="3"/>
  <c r="Z151" i="3" s="1"/>
  <c r="E151" i="3"/>
  <c r="D146" i="13" s="1"/>
  <c r="AA150" i="3"/>
  <c r="R150" i="3"/>
  <c r="Z150" i="3" s="1"/>
  <c r="E150" i="3"/>
  <c r="D145" i="13" s="1"/>
  <c r="AA149" i="3"/>
  <c r="R149" i="3"/>
  <c r="Z149" i="3" s="1"/>
  <c r="E149" i="3"/>
  <c r="D144" i="13" s="1"/>
  <c r="AA148" i="3"/>
  <c r="R148" i="3"/>
  <c r="Z148" i="3" s="1"/>
  <c r="E148" i="3"/>
  <c r="D143" i="13" s="1"/>
  <c r="AA147" i="3"/>
  <c r="R147" i="3"/>
  <c r="Z147" i="3" s="1"/>
  <c r="E147" i="3"/>
  <c r="D142" i="13" s="1"/>
  <c r="AA146" i="3"/>
  <c r="R146" i="3"/>
  <c r="Z146" i="3" s="1"/>
  <c r="E146" i="3"/>
  <c r="D141" i="13" s="1"/>
  <c r="AA145" i="3"/>
  <c r="R145" i="3"/>
  <c r="Z145" i="3" s="1"/>
  <c r="E145" i="3"/>
  <c r="D140" i="13" s="1"/>
  <c r="AA144" i="3"/>
  <c r="R144" i="3"/>
  <c r="Z144" i="3" s="1"/>
  <c r="E144" i="3"/>
  <c r="D139" i="13" s="1"/>
  <c r="AA143" i="3"/>
  <c r="R143" i="3"/>
  <c r="Z143" i="3" s="1"/>
  <c r="E143" i="3"/>
  <c r="D138" i="13" s="1"/>
  <c r="AA142" i="3"/>
  <c r="R142" i="3"/>
  <c r="Z142" i="3" s="1"/>
  <c r="E142" i="3"/>
  <c r="D137" i="13" s="1"/>
  <c r="AA141" i="3"/>
  <c r="R141" i="3"/>
  <c r="Z141" i="3" s="1"/>
  <c r="E141" i="3"/>
  <c r="D136" i="13" s="1"/>
  <c r="AA140" i="3"/>
  <c r="R140" i="3"/>
  <c r="Z140" i="3" s="1"/>
  <c r="E140" i="3"/>
  <c r="D135" i="13" s="1"/>
  <c r="AA139" i="3"/>
  <c r="R139" i="3"/>
  <c r="Z139" i="3" s="1"/>
  <c r="E139" i="3"/>
  <c r="D134" i="13" s="1"/>
  <c r="AA138" i="3"/>
  <c r="R138" i="3"/>
  <c r="Z138" i="3" s="1"/>
  <c r="E138" i="3"/>
  <c r="D133" i="13" s="1"/>
  <c r="AA137" i="3"/>
  <c r="R137" i="3"/>
  <c r="Z137" i="3" s="1"/>
  <c r="E137" i="3"/>
  <c r="D132" i="13" s="1"/>
  <c r="AA136" i="3"/>
  <c r="R136" i="3"/>
  <c r="Z136" i="3" s="1"/>
  <c r="E136" i="3"/>
  <c r="D131" i="13" s="1"/>
  <c r="AA135" i="3"/>
  <c r="R135" i="3"/>
  <c r="Z135" i="3" s="1"/>
  <c r="E135" i="3"/>
  <c r="D130" i="13" s="1"/>
  <c r="AA134" i="3"/>
  <c r="R134" i="3"/>
  <c r="Z134" i="3" s="1"/>
  <c r="E134" i="3"/>
  <c r="D129" i="13" s="1"/>
  <c r="AA133" i="3"/>
  <c r="R133" i="3"/>
  <c r="Z133" i="3" s="1"/>
  <c r="E133" i="3"/>
  <c r="D128" i="13" s="1"/>
  <c r="AA132" i="3"/>
  <c r="R132" i="3"/>
  <c r="Z132" i="3" s="1"/>
  <c r="E132" i="3"/>
  <c r="D127" i="13" s="1"/>
  <c r="AA131" i="3"/>
  <c r="R131" i="3"/>
  <c r="Z131" i="3" s="1"/>
  <c r="E131" i="3"/>
  <c r="D126" i="13" s="1"/>
  <c r="AA130" i="3"/>
  <c r="R130" i="3"/>
  <c r="Z130" i="3" s="1"/>
  <c r="E130" i="3"/>
  <c r="D125" i="13" s="1"/>
  <c r="AA129" i="3"/>
  <c r="R129" i="3"/>
  <c r="Z129" i="3" s="1"/>
  <c r="E129" i="3"/>
  <c r="D124" i="13" s="1"/>
  <c r="AA128" i="3"/>
  <c r="R128" i="3"/>
  <c r="Z128" i="3" s="1"/>
  <c r="E128" i="3"/>
  <c r="D123" i="13" s="1"/>
  <c r="AA127" i="3"/>
  <c r="R127" i="3"/>
  <c r="Z127" i="3" s="1"/>
  <c r="E127" i="3"/>
  <c r="D122" i="13" s="1"/>
  <c r="AA126" i="3"/>
  <c r="R126" i="3"/>
  <c r="Z126" i="3" s="1"/>
  <c r="E126" i="3"/>
  <c r="D121" i="13" s="1"/>
  <c r="AA125" i="3"/>
  <c r="R125" i="3"/>
  <c r="Z125" i="3" s="1"/>
  <c r="E125" i="3"/>
  <c r="D120" i="13" s="1"/>
  <c r="AA124" i="3"/>
  <c r="R124" i="3"/>
  <c r="Z124" i="3" s="1"/>
  <c r="E124" i="3"/>
  <c r="D119" i="13" s="1"/>
  <c r="AA123" i="3"/>
  <c r="R123" i="3"/>
  <c r="Z123" i="3" s="1"/>
  <c r="E123" i="3"/>
  <c r="D118" i="13" s="1"/>
  <c r="AA122" i="3"/>
  <c r="R122" i="3"/>
  <c r="Z122" i="3" s="1"/>
  <c r="E122" i="3"/>
  <c r="D117" i="13" s="1"/>
  <c r="AA121" i="3"/>
  <c r="R121" i="3"/>
  <c r="Z121" i="3" s="1"/>
  <c r="E121" i="3"/>
  <c r="D116" i="13" s="1"/>
  <c r="AA120" i="3"/>
  <c r="R120" i="3"/>
  <c r="Z120" i="3" s="1"/>
  <c r="E120" i="3"/>
  <c r="D115" i="13" s="1"/>
  <c r="AA119" i="3"/>
  <c r="R119" i="3"/>
  <c r="Z119" i="3" s="1"/>
  <c r="E119" i="3"/>
  <c r="D114" i="13" s="1"/>
  <c r="AA118" i="3"/>
  <c r="R118" i="3"/>
  <c r="Z118" i="3" s="1"/>
  <c r="E118" i="3"/>
  <c r="D113" i="13" s="1"/>
  <c r="AA117" i="3"/>
  <c r="R117" i="3"/>
  <c r="Z117" i="3" s="1"/>
  <c r="E117" i="3"/>
  <c r="D112" i="13" s="1"/>
  <c r="AA116" i="3"/>
  <c r="R116" i="3"/>
  <c r="Z116" i="3" s="1"/>
  <c r="E116" i="3"/>
  <c r="D111" i="13" s="1"/>
  <c r="AA115" i="3"/>
  <c r="R115" i="3"/>
  <c r="Z115" i="3" s="1"/>
  <c r="E115" i="3"/>
  <c r="D110" i="13" s="1"/>
  <c r="AA114" i="3"/>
  <c r="R114" i="3"/>
  <c r="Z114" i="3" s="1"/>
  <c r="E114" i="3"/>
  <c r="D109" i="13" s="1"/>
  <c r="AA113" i="3"/>
  <c r="R113" i="3"/>
  <c r="Z113" i="3" s="1"/>
  <c r="E113" i="3"/>
  <c r="D108" i="13" s="1"/>
  <c r="AA112" i="3"/>
  <c r="R112" i="3"/>
  <c r="Z112" i="3" s="1"/>
  <c r="E112" i="3"/>
  <c r="D107" i="13" s="1"/>
  <c r="AA111" i="3"/>
  <c r="R111" i="3"/>
  <c r="Z111" i="3" s="1"/>
  <c r="E111" i="3"/>
  <c r="D106" i="13" s="1"/>
  <c r="AA110" i="3"/>
  <c r="R110" i="3"/>
  <c r="Z110" i="3" s="1"/>
  <c r="E110" i="3"/>
  <c r="D105" i="13" s="1"/>
  <c r="AA109" i="3"/>
  <c r="R109" i="3"/>
  <c r="Z109" i="3" s="1"/>
  <c r="E109" i="3"/>
  <c r="D104" i="13" s="1"/>
  <c r="AA108" i="3"/>
  <c r="R108" i="3"/>
  <c r="Z108" i="3" s="1"/>
  <c r="E108" i="3"/>
  <c r="D103" i="13" s="1"/>
  <c r="AA107" i="3"/>
  <c r="R107" i="3"/>
  <c r="Z107" i="3" s="1"/>
  <c r="E107" i="3"/>
  <c r="D102" i="13" s="1"/>
  <c r="AA106" i="3"/>
  <c r="R106" i="3"/>
  <c r="Z106" i="3" s="1"/>
  <c r="E106" i="3"/>
  <c r="D101" i="13" s="1"/>
  <c r="AA105" i="3"/>
  <c r="R105" i="3"/>
  <c r="Z105" i="3" s="1"/>
  <c r="E105" i="3"/>
  <c r="D100" i="13" s="1"/>
  <c r="AA104" i="3"/>
  <c r="R104" i="3"/>
  <c r="Z104" i="3" s="1"/>
  <c r="E104" i="3"/>
  <c r="D99" i="13" s="1"/>
  <c r="AA103" i="3"/>
  <c r="R103" i="3"/>
  <c r="Z103" i="3" s="1"/>
  <c r="E103" i="3"/>
  <c r="D98" i="13" s="1"/>
  <c r="AA102" i="3"/>
  <c r="R102" i="3"/>
  <c r="Z102" i="3" s="1"/>
  <c r="E102" i="3"/>
  <c r="D97" i="13" s="1"/>
  <c r="AA101" i="3"/>
  <c r="R101" i="3"/>
  <c r="Z101" i="3" s="1"/>
  <c r="E101" i="3"/>
  <c r="D96" i="13" s="1"/>
  <c r="AA100" i="3"/>
  <c r="R100" i="3"/>
  <c r="Z100" i="3" s="1"/>
  <c r="E100" i="3"/>
  <c r="D95" i="13" s="1"/>
  <c r="AA99" i="3"/>
  <c r="R99" i="3"/>
  <c r="Z99" i="3" s="1"/>
  <c r="E99" i="3"/>
  <c r="D94" i="13" s="1"/>
  <c r="AA98" i="3"/>
  <c r="R98" i="3"/>
  <c r="Z98" i="3" s="1"/>
  <c r="E98" i="3"/>
  <c r="D93" i="13" s="1"/>
  <c r="AA97" i="3"/>
  <c r="R97" i="3"/>
  <c r="Z97" i="3" s="1"/>
  <c r="E97" i="3"/>
  <c r="D92" i="13" s="1"/>
  <c r="AA96" i="3"/>
  <c r="R96" i="3"/>
  <c r="Z96" i="3" s="1"/>
  <c r="E96" i="3"/>
  <c r="D91" i="13" s="1"/>
  <c r="AA95" i="3"/>
  <c r="R95" i="3"/>
  <c r="Z95" i="3" s="1"/>
  <c r="E95" i="3"/>
  <c r="D90" i="13" s="1"/>
  <c r="AA94" i="3"/>
  <c r="R94" i="3"/>
  <c r="Z94" i="3" s="1"/>
  <c r="E94" i="3"/>
  <c r="D89" i="13" s="1"/>
  <c r="AA93" i="3"/>
  <c r="R93" i="3"/>
  <c r="Z93" i="3" s="1"/>
  <c r="E93" i="3"/>
  <c r="D88" i="13" s="1"/>
  <c r="AA92" i="3"/>
  <c r="R92" i="3"/>
  <c r="Z92" i="3" s="1"/>
  <c r="E92" i="3"/>
  <c r="D87" i="13" s="1"/>
  <c r="AA91" i="3"/>
  <c r="R91" i="3"/>
  <c r="Z91" i="3" s="1"/>
  <c r="E91" i="3"/>
  <c r="D86" i="13" s="1"/>
  <c r="AA90" i="3"/>
  <c r="R90" i="3"/>
  <c r="Z90" i="3" s="1"/>
  <c r="E90" i="3"/>
  <c r="D85" i="13" s="1"/>
  <c r="AA89" i="3"/>
  <c r="R89" i="3"/>
  <c r="Z89" i="3" s="1"/>
  <c r="E89" i="3"/>
  <c r="D84" i="13" s="1"/>
  <c r="AA88" i="3"/>
  <c r="R88" i="3"/>
  <c r="Z88" i="3" s="1"/>
  <c r="E88" i="3"/>
  <c r="D83" i="13" s="1"/>
  <c r="AA87" i="3"/>
  <c r="R87" i="3"/>
  <c r="Z87" i="3" s="1"/>
  <c r="E87" i="3"/>
  <c r="D82" i="13" s="1"/>
  <c r="AA86" i="3"/>
  <c r="R86" i="3"/>
  <c r="Z86" i="3" s="1"/>
  <c r="E86" i="3"/>
  <c r="D81" i="13" s="1"/>
  <c r="AA85" i="3"/>
  <c r="R85" i="3"/>
  <c r="Z85" i="3" s="1"/>
  <c r="E85" i="3"/>
  <c r="D80" i="13" s="1"/>
  <c r="AA84" i="3"/>
  <c r="R84" i="3"/>
  <c r="Z84" i="3" s="1"/>
  <c r="E84" i="3"/>
  <c r="D79" i="13" s="1"/>
  <c r="AA83" i="3"/>
  <c r="R83" i="3"/>
  <c r="Z83" i="3" s="1"/>
  <c r="E83" i="3"/>
  <c r="D78" i="13" s="1"/>
  <c r="AA82" i="3"/>
  <c r="R82" i="3"/>
  <c r="Z82" i="3" s="1"/>
  <c r="E82" i="3"/>
  <c r="D77" i="13" s="1"/>
  <c r="AA81" i="3"/>
  <c r="R81" i="3"/>
  <c r="Z81" i="3" s="1"/>
  <c r="E81" i="3"/>
  <c r="D76" i="13" s="1"/>
  <c r="AA80" i="3"/>
  <c r="R80" i="3"/>
  <c r="Z80" i="3" s="1"/>
  <c r="E80" i="3"/>
  <c r="D75" i="13" s="1"/>
  <c r="AA79" i="3"/>
  <c r="R79" i="3"/>
  <c r="Z79" i="3" s="1"/>
  <c r="E79" i="3"/>
  <c r="D74" i="13" s="1"/>
  <c r="AA78" i="3"/>
  <c r="R78" i="3"/>
  <c r="Z78" i="3" s="1"/>
  <c r="E78" i="3"/>
  <c r="D73" i="13" s="1"/>
  <c r="AA77" i="3"/>
  <c r="R77" i="3"/>
  <c r="Z77" i="3" s="1"/>
  <c r="E77" i="3"/>
  <c r="D72" i="13" s="1"/>
  <c r="AA76" i="3"/>
  <c r="R76" i="3"/>
  <c r="Z76" i="3" s="1"/>
  <c r="E76" i="3"/>
  <c r="D71" i="13" s="1"/>
  <c r="AA75" i="3"/>
  <c r="R75" i="3"/>
  <c r="Z75" i="3" s="1"/>
  <c r="E75" i="3"/>
  <c r="D70" i="13" s="1"/>
  <c r="AA74" i="3"/>
  <c r="R74" i="3"/>
  <c r="Z74" i="3" s="1"/>
  <c r="E74" i="3"/>
  <c r="D69" i="13" s="1"/>
  <c r="AA73" i="3"/>
  <c r="R73" i="3"/>
  <c r="Z73" i="3" s="1"/>
  <c r="E73" i="3"/>
  <c r="D68" i="13" s="1"/>
  <c r="AA72" i="3"/>
  <c r="R72" i="3"/>
  <c r="Z72" i="3" s="1"/>
  <c r="E72" i="3"/>
  <c r="D67" i="13" s="1"/>
  <c r="AA71" i="3"/>
  <c r="R71" i="3"/>
  <c r="Z71" i="3" s="1"/>
  <c r="E71" i="3"/>
  <c r="D66" i="13" s="1"/>
  <c r="AA70" i="3"/>
  <c r="R70" i="3"/>
  <c r="Z70" i="3" s="1"/>
  <c r="E70" i="3"/>
  <c r="D65" i="13" s="1"/>
  <c r="AA69" i="3"/>
  <c r="R69" i="3"/>
  <c r="Z69" i="3" s="1"/>
  <c r="E69" i="3"/>
  <c r="D64" i="13" s="1"/>
  <c r="AA68" i="3"/>
  <c r="R68" i="3"/>
  <c r="Z68" i="3" s="1"/>
  <c r="E68" i="3"/>
  <c r="D63" i="13" s="1"/>
  <c r="AA67" i="3"/>
  <c r="R67" i="3"/>
  <c r="Z67" i="3" s="1"/>
  <c r="E67" i="3"/>
  <c r="D62" i="13" s="1"/>
  <c r="AA66" i="3"/>
  <c r="R66" i="3"/>
  <c r="Z66" i="3" s="1"/>
  <c r="E66" i="3"/>
  <c r="D61" i="13" s="1"/>
  <c r="AA65" i="3"/>
  <c r="R65" i="3"/>
  <c r="Z65" i="3" s="1"/>
  <c r="E65" i="3"/>
  <c r="D60" i="13" s="1"/>
  <c r="AA64" i="3"/>
  <c r="R64" i="3"/>
  <c r="Z64" i="3" s="1"/>
  <c r="E64" i="3"/>
  <c r="D59" i="13" s="1"/>
  <c r="AA63" i="3"/>
  <c r="R63" i="3"/>
  <c r="Z63" i="3" s="1"/>
  <c r="E63" i="3"/>
  <c r="D58" i="13" s="1"/>
  <c r="AA62" i="3"/>
  <c r="R62" i="3"/>
  <c r="Z62" i="3" s="1"/>
  <c r="E62" i="3"/>
  <c r="D57" i="13" s="1"/>
  <c r="AA61" i="3"/>
  <c r="R61" i="3"/>
  <c r="Z61" i="3" s="1"/>
  <c r="E61" i="3"/>
  <c r="D56" i="13" s="1"/>
  <c r="AA60" i="3"/>
  <c r="R60" i="3"/>
  <c r="Z60" i="3" s="1"/>
  <c r="E60" i="3"/>
  <c r="D55" i="13" s="1"/>
  <c r="AA59" i="3"/>
  <c r="R59" i="3"/>
  <c r="Z59" i="3" s="1"/>
  <c r="E59" i="3"/>
  <c r="D54" i="13" s="1"/>
  <c r="AA58" i="3"/>
  <c r="R58" i="3"/>
  <c r="Z58" i="3" s="1"/>
  <c r="E58" i="3"/>
  <c r="D53" i="13" s="1"/>
  <c r="AA57" i="3"/>
  <c r="R57" i="3"/>
  <c r="Z57" i="3" s="1"/>
  <c r="E57" i="3"/>
  <c r="D52" i="13" s="1"/>
  <c r="AA56" i="3"/>
  <c r="R56" i="3"/>
  <c r="Z56" i="3" s="1"/>
  <c r="E56" i="3"/>
  <c r="D51" i="13" s="1"/>
  <c r="AA55" i="3"/>
  <c r="R55" i="3"/>
  <c r="Z55" i="3" s="1"/>
  <c r="E55" i="3"/>
  <c r="D50" i="13" s="1"/>
  <c r="AA54" i="3"/>
  <c r="R54" i="3"/>
  <c r="Z54" i="3" s="1"/>
  <c r="E54" i="3"/>
  <c r="D49" i="13" s="1"/>
  <c r="AA53" i="3"/>
  <c r="R53" i="3"/>
  <c r="Z53" i="3" s="1"/>
  <c r="E53" i="3"/>
  <c r="D48" i="13" s="1"/>
  <c r="AA52" i="3"/>
  <c r="R52" i="3"/>
  <c r="Z52" i="3" s="1"/>
  <c r="E52" i="3"/>
  <c r="D47" i="13" s="1"/>
  <c r="AA51" i="3"/>
  <c r="R51" i="3"/>
  <c r="Z51" i="3" s="1"/>
  <c r="E51" i="3"/>
  <c r="D46" i="13" s="1"/>
  <c r="AA50" i="3"/>
  <c r="R50" i="3"/>
  <c r="Z50" i="3" s="1"/>
  <c r="E50" i="3"/>
  <c r="D45" i="13" s="1"/>
  <c r="AA49" i="3"/>
  <c r="R49" i="3"/>
  <c r="Z49" i="3" s="1"/>
  <c r="E49" i="3"/>
  <c r="D44" i="13" s="1"/>
  <c r="AA48" i="3"/>
  <c r="R48" i="3"/>
  <c r="Z48" i="3" s="1"/>
  <c r="E48" i="3"/>
  <c r="D43" i="13" s="1"/>
  <c r="AA47" i="3"/>
  <c r="R47" i="3"/>
  <c r="Z47" i="3" s="1"/>
  <c r="E47" i="3"/>
  <c r="D42" i="13" s="1"/>
  <c r="AA46" i="3"/>
  <c r="R46" i="3"/>
  <c r="Z46" i="3" s="1"/>
  <c r="E46" i="3"/>
  <c r="D41" i="13" s="1"/>
  <c r="AA45" i="3"/>
  <c r="R45" i="3"/>
  <c r="Z45" i="3" s="1"/>
  <c r="E45" i="3"/>
  <c r="D40" i="13" s="1"/>
  <c r="AA44" i="3"/>
  <c r="R44" i="3"/>
  <c r="Z44" i="3" s="1"/>
  <c r="E44" i="3"/>
  <c r="D39" i="13" s="1"/>
  <c r="AA43" i="3"/>
  <c r="R43" i="3"/>
  <c r="Z43" i="3" s="1"/>
  <c r="E43" i="3"/>
  <c r="D38" i="13" s="1"/>
  <c r="AA42" i="3"/>
  <c r="R42" i="3"/>
  <c r="Z42" i="3" s="1"/>
  <c r="E42" i="3"/>
  <c r="D37" i="13" s="1"/>
  <c r="AA41" i="3"/>
  <c r="R41" i="3"/>
  <c r="Z41" i="3" s="1"/>
  <c r="E41" i="3"/>
  <c r="D36" i="13" s="1"/>
  <c r="AA40" i="3"/>
  <c r="R40" i="3"/>
  <c r="Z40" i="3" s="1"/>
  <c r="E40" i="3"/>
  <c r="D35" i="13" s="1"/>
  <c r="AA39" i="3"/>
  <c r="R39" i="3"/>
  <c r="Z39" i="3" s="1"/>
  <c r="E39" i="3"/>
  <c r="D34" i="13" s="1"/>
  <c r="AA38" i="3"/>
  <c r="R38" i="3"/>
  <c r="Z38" i="3" s="1"/>
  <c r="E38" i="3"/>
  <c r="D33" i="13" s="1"/>
  <c r="AA37" i="3"/>
  <c r="R37" i="3"/>
  <c r="Z37" i="3" s="1"/>
  <c r="E37" i="3"/>
  <c r="D32" i="13" s="1"/>
  <c r="AA36" i="3"/>
  <c r="R36" i="3"/>
  <c r="Z36" i="3" s="1"/>
  <c r="E36" i="3"/>
  <c r="D31" i="13" s="1"/>
  <c r="AA35" i="3"/>
  <c r="R35" i="3"/>
  <c r="Z35" i="3" s="1"/>
  <c r="E35" i="3"/>
  <c r="D30" i="13" s="1"/>
  <c r="AA34" i="3"/>
  <c r="R34" i="3"/>
  <c r="Z34" i="3" s="1"/>
  <c r="E34" i="3"/>
  <c r="D29" i="13" s="1"/>
  <c r="AA33" i="3"/>
  <c r="R33" i="3"/>
  <c r="Z33" i="3" s="1"/>
  <c r="E33" i="3"/>
  <c r="D28" i="13" s="1"/>
  <c r="AA32" i="3"/>
  <c r="R32" i="3"/>
  <c r="Z32" i="3" s="1"/>
  <c r="E32" i="3"/>
  <c r="D27" i="13" s="1"/>
  <c r="AA31" i="3"/>
  <c r="R31" i="3"/>
  <c r="Z31" i="3" s="1"/>
  <c r="E31" i="3"/>
  <c r="D26" i="13" s="1"/>
  <c r="AA30" i="3"/>
  <c r="R30" i="3"/>
  <c r="Z30" i="3" s="1"/>
  <c r="E30" i="3"/>
  <c r="D25" i="13" s="1"/>
  <c r="AA29" i="3"/>
  <c r="R29" i="3"/>
  <c r="Z29" i="3" s="1"/>
  <c r="E29" i="3"/>
  <c r="D24" i="13" s="1"/>
  <c r="AA28" i="3"/>
  <c r="R28" i="3"/>
  <c r="Z28" i="3" s="1"/>
  <c r="E28" i="3"/>
  <c r="D23" i="13" s="1"/>
  <c r="AA27" i="3"/>
  <c r="R27" i="3"/>
  <c r="Z27" i="3" s="1"/>
  <c r="E27" i="3"/>
  <c r="D22" i="13" s="1"/>
  <c r="AA26" i="3"/>
  <c r="R26" i="3"/>
  <c r="Z26" i="3" s="1"/>
  <c r="E26" i="3"/>
  <c r="D21" i="13" s="1"/>
  <c r="AA25" i="3"/>
  <c r="R25" i="3"/>
  <c r="Z25" i="3" s="1"/>
  <c r="E25" i="3"/>
  <c r="D20" i="13" s="1"/>
  <c r="AA24" i="3"/>
  <c r="R24" i="3"/>
  <c r="Z24" i="3" s="1"/>
  <c r="E24" i="3"/>
  <c r="D19" i="13" s="1"/>
  <c r="AA23" i="3"/>
  <c r="R23" i="3"/>
  <c r="Z23" i="3" s="1"/>
  <c r="E23" i="3"/>
  <c r="D18" i="13" s="1"/>
  <c r="AA22" i="3"/>
  <c r="R22" i="3"/>
  <c r="Z22" i="3" s="1"/>
  <c r="E22" i="3"/>
  <c r="D17" i="13" s="1"/>
  <c r="AA21" i="3"/>
  <c r="R21" i="3"/>
  <c r="Z21" i="3" s="1"/>
  <c r="E21" i="3"/>
  <c r="D16" i="13" s="1"/>
  <c r="AA20" i="3"/>
  <c r="R20" i="3"/>
  <c r="Z20" i="3" s="1"/>
  <c r="E20" i="3"/>
  <c r="D15" i="13" s="1"/>
  <c r="AA19" i="3"/>
  <c r="R19" i="3"/>
  <c r="Z19" i="3" s="1"/>
  <c r="E19" i="3"/>
  <c r="D14" i="13" s="1"/>
  <c r="AA18" i="3"/>
  <c r="R18" i="3"/>
  <c r="Z18" i="3" s="1"/>
  <c r="E18" i="3"/>
  <c r="D13" i="13" s="1"/>
  <c r="AA17" i="3"/>
  <c r="R17" i="3"/>
  <c r="Z17" i="3" s="1"/>
  <c r="E17" i="3"/>
  <c r="D12" i="13" s="1"/>
  <c r="AA16" i="3"/>
  <c r="R16" i="3"/>
  <c r="Z16" i="3" s="1"/>
  <c r="E16" i="3"/>
  <c r="D11" i="13" s="1"/>
  <c r="AA15" i="3"/>
  <c r="E15" i="3"/>
  <c r="D10" i="13" s="1"/>
  <c r="AA14" i="3"/>
  <c r="E14" i="3"/>
  <c r="AA13" i="3"/>
  <c r="E13" i="3"/>
  <c r="D8" i="13" s="1"/>
  <c r="AA12" i="3"/>
  <c r="E12" i="3"/>
  <c r="D7" i="13" s="1"/>
  <c r="AA11" i="3"/>
  <c r="E11" i="3"/>
  <c r="AA10" i="3"/>
  <c r="E10" i="3"/>
  <c r="D5" i="13" s="1"/>
  <c r="AA9" i="3"/>
  <c r="E9" i="3"/>
  <c r="D4" i="13" s="1"/>
  <c r="AA8" i="3"/>
  <c r="E8" i="3"/>
  <c r="AA7" i="3"/>
  <c r="D2" i="13"/>
  <c r="X1" i="3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2" i="2"/>
  <c r="C231" i="1"/>
  <c r="E224" i="1"/>
  <c r="E223" i="1"/>
  <c r="C223" i="1"/>
  <c r="C59" i="1" s="1"/>
  <c r="E222" i="1"/>
  <c r="E221" i="1"/>
  <c r="E220" i="1"/>
  <c r="B60" i="1"/>
  <c r="B59" i="1"/>
  <c r="B58" i="1"/>
  <c r="B57" i="1"/>
  <c r="B56" i="1"/>
  <c r="I47" i="1"/>
  <c r="E47" i="1"/>
  <c r="A47" i="1"/>
  <c r="I43" i="1"/>
  <c r="E43" i="1"/>
  <c r="A43" i="1"/>
  <c r="I39" i="1"/>
  <c r="E39" i="1"/>
  <c r="A39" i="1"/>
  <c r="I35" i="1"/>
  <c r="E35" i="1"/>
  <c r="A35" i="1"/>
  <c r="K19" i="1"/>
  <c r="A3" i="1"/>
  <c r="C14" i="10" l="1"/>
  <c r="C8" i="10"/>
  <c r="C10" i="10"/>
  <c r="C11" i="10"/>
  <c r="C17" i="10"/>
  <c r="C16" i="10"/>
  <c r="C15" i="10"/>
  <c r="C13" i="10"/>
  <c r="C12" i="10"/>
  <c r="C9" i="10"/>
  <c r="D14" i="10"/>
  <c r="D15" i="10"/>
  <c r="D16" i="10"/>
  <c r="D13" i="10"/>
  <c r="D11" i="10"/>
  <c r="D17" i="10"/>
  <c r="D10" i="10"/>
  <c r="D9" i="10"/>
  <c r="D8" i="10"/>
  <c r="A2" i="10"/>
  <c r="D12" i="10"/>
  <c r="AN1169" i="13"/>
  <c r="AJ1164" i="13"/>
  <c r="AL1162" i="13"/>
  <c r="AJ1118" i="13"/>
  <c r="AM1110" i="13"/>
  <c r="AI1109" i="13"/>
  <c r="AJ1106" i="13"/>
  <c r="AN1025" i="13"/>
  <c r="AL1017" i="13"/>
  <c r="AJ954" i="13"/>
  <c r="AM928" i="13"/>
  <c r="AH838" i="13"/>
  <c r="AO725" i="13"/>
  <c r="AL693" i="13"/>
  <c r="AM669" i="13"/>
  <c r="AJ669" i="13"/>
  <c r="AM665" i="13"/>
  <c r="AL574" i="13"/>
  <c r="AN551" i="13"/>
  <c r="AJ423" i="13"/>
  <c r="AM399" i="13"/>
  <c r="AM359" i="13"/>
  <c r="AN357" i="13"/>
  <c r="AI351" i="13"/>
  <c r="AM343" i="13"/>
  <c r="AI340" i="13"/>
  <c r="AJ328" i="13"/>
  <c r="AL274" i="13"/>
  <c r="AH119" i="13"/>
  <c r="AM76" i="13"/>
  <c r="AL63" i="13"/>
  <c r="L2" i="11"/>
  <c r="F2" i="11"/>
  <c r="O2" i="11"/>
  <c r="N2" i="11"/>
  <c r="D2" i="11"/>
  <c r="M2" i="11"/>
  <c r="BB981" i="13"/>
  <c r="U981" i="11"/>
  <c r="M981" i="11"/>
  <c r="E981" i="11"/>
  <c r="X981" i="11"/>
  <c r="P981" i="11"/>
  <c r="H981" i="11"/>
  <c r="D223" i="1"/>
  <c r="B287" i="11"/>
  <c r="J287" i="11"/>
  <c r="R287" i="11"/>
  <c r="Z287" i="11"/>
  <c r="H288" i="11"/>
  <c r="P288" i="11"/>
  <c r="X288" i="11"/>
  <c r="F289" i="11"/>
  <c r="N289" i="11"/>
  <c r="V289" i="11"/>
  <c r="D290" i="11"/>
  <c r="L290" i="11"/>
  <c r="T290" i="11"/>
  <c r="B291" i="11"/>
  <c r="J291" i="11"/>
  <c r="R291" i="11"/>
  <c r="Z291" i="11"/>
  <c r="F407" i="11"/>
  <c r="N407" i="11"/>
  <c r="V407" i="11"/>
  <c r="A924" i="11"/>
  <c r="K924" i="11"/>
  <c r="T924" i="11"/>
  <c r="C925" i="11"/>
  <c r="L925" i="11"/>
  <c r="U925" i="11"/>
  <c r="D926" i="11"/>
  <c r="M926" i="11"/>
  <c r="W926" i="11"/>
  <c r="A981" i="11"/>
  <c r="K981" i="11"/>
  <c r="V981" i="11"/>
  <c r="I1032" i="11"/>
  <c r="T1032" i="11"/>
  <c r="AK189" i="13"/>
  <c r="AO189" i="13"/>
  <c r="AU623" i="13"/>
  <c r="BB712" i="13"/>
  <c r="Z712" i="11"/>
  <c r="R712" i="11"/>
  <c r="J712" i="11"/>
  <c r="BB847" i="13"/>
  <c r="T847" i="11"/>
  <c r="L847" i="11"/>
  <c r="D847" i="11"/>
  <c r="B42" i="7"/>
  <c r="D221" i="1"/>
  <c r="E57" i="1" s="1"/>
  <c r="B144" i="7"/>
  <c r="B2" i="11"/>
  <c r="C287" i="11"/>
  <c r="K287" i="11"/>
  <c r="S287" i="11"/>
  <c r="A288" i="11"/>
  <c r="I288" i="11"/>
  <c r="Q288" i="11"/>
  <c r="Y288" i="11"/>
  <c r="G289" i="11"/>
  <c r="O289" i="11"/>
  <c r="W289" i="11"/>
  <c r="E290" i="11"/>
  <c r="M290" i="11"/>
  <c r="U290" i="11"/>
  <c r="C291" i="11"/>
  <c r="K291" i="11"/>
  <c r="S291" i="11"/>
  <c r="G407" i="11"/>
  <c r="O407" i="11"/>
  <c r="W407" i="11"/>
  <c r="C924" i="11"/>
  <c r="L924" i="11"/>
  <c r="U924" i="11"/>
  <c r="D925" i="11"/>
  <c r="M925" i="11"/>
  <c r="V925" i="11"/>
  <c r="E926" i="11"/>
  <c r="O926" i="11"/>
  <c r="B981" i="11"/>
  <c r="L981" i="11"/>
  <c r="W981" i="11"/>
  <c r="K1032" i="11"/>
  <c r="J2" i="11"/>
  <c r="AU87" i="13"/>
  <c r="AC87" i="13"/>
  <c r="BA101" i="13"/>
  <c r="BB101" i="13"/>
  <c r="AJ168" i="13"/>
  <c r="BA417" i="13"/>
  <c r="BB417" i="13"/>
  <c r="AU793" i="13"/>
  <c r="BA926" i="13"/>
  <c r="V926" i="11"/>
  <c r="N926" i="11"/>
  <c r="F926" i="11"/>
  <c r="BA1032" i="13"/>
  <c r="BB1032" i="13"/>
  <c r="W1032" i="11"/>
  <c r="O1032" i="11"/>
  <c r="G1032" i="11"/>
  <c r="Z1032" i="11"/>
  <c r="R1032" i="11"/>
  <c r="J1032" i="11"/>
  <c r="B1032" i="11"/>
  <c r="C221" i="1"/>
  <c r="A7" i="7"/>
  <c r="D44" i="7"/>
  <c r="O44" i="7" s="1"/>
  <c r="S17" i="10"/>
  <c r="H10" i="10"/>
  <c r="H12" i="10"/>
  <c r="D287" i="11"/>
  <c r="L287" i="11"/>
  <c r="T287" i="11"/>
  <c r="B288" i="11"/>
  <c r="J288" i="11"/>
  <c r="R288" i="11"/>
  <c r="Z288" i="11"/>
  <c r="H289" i="11"/>
  <c r="P289" i="11"/>
  <c r="X289" i="11"/>
  <c r="F290" i="11"/>
  <c r="N290" i="11"/>
  <c r="V290" i="11"/>
  <c r="D291" i="11"/>
  <c r="L291" i="11"/>
  <c r="T291" i="11"/>
  <c r="H407" i="11"/>
  <c r="P407" i="11"/>
  <c r="X407" i="11"/>
  <c r="D924" i="11"/>
  <c r="M924" i="11"/>
  <c r="E925" i="11"/>
  <c r="N925" i="11"/>
  <c r="W925" i="11"/>
  <c r="G926" i="11"/>
  <c r="P926" i="11"/>
  <c r="Y926" i="11"/>
  <c r="C981" i="11"/>
  <c r="N981" i="11"/>
  <c r="Y981" i="11"/>
  <c r="A1032" i="11"/>
  <c r="L1032" i="11"/>
  <c r="V1032" i="11"/>
  <c r="AU28" i="13"/>
  <c r="AC28" i="13"/>
  <c r="BA39" i="13"/>
  <c r="BB39" i="13"/>
  <c r="AU121" i="13"/>
  <c r="BA162" i="13"/>
  <c r="BB162" i="13"/>
  <c r="AK180" i="13"/>
  <c r="AM180" i="13"/>
  <c r="AU398" i="13"/>
  <c r="AC398" i="13"/>
  <c r="BB924" i="13"/>
  <c r="Z924" i="11"/>
  <c r="R924" i="11"/>
  <c r="J924" i="11"/>
  <c r="B924" i="11"/>
  <c r="C234" i="1"/>
  <c r="D224" i="1"/>
  <c r="E60" i="1" s="1"/>
  <c r="C13" i="7"/>
  <c r="B44" i="7"/>
  <c r="P10" i="10"/>
  <c r="K12" i="10"/>
  <c r="E287" i="11"/>
  <c r="M287" i="11"/>
  <c r="U287" i="11"/>
  <c r="C288" i="11"/>
  <c r="K288" i="11"/>
  <c r="S288" i="11"/>
  <c r="A289" i="11"/>
  <c r="I289" i="11"/>
  <c r="Q289" i="11"/>
  <c r="Y289" i="11"/>
  <c r="G290" i="11"/>
  <c r="O290" i="11"/>
  <c r="W290" i="11"/>
  <c r="E291" i="11"/>
  <c r="M291" i="11"/>
  <c r="U291" i="11"/>
  <c r="A407" i="11"/>
  <c r="I407" i="11"/>
  <c r="Q407" i="11"/>
  <c r="Y407" i="11"/>
  <c r="E924" i="11"/>
  <c r="N924" i="11"/>
  <c r="W924" i="11"/>
  <c r="F925" i="11"/>
  <c r="O925" i="11"/>
  <c r="Y925" i="11"/>
  <c r="H926" i="11"/>
  <c r="Q926" i="11"/>
  <c r="Z926" i="11"/>
  <c r="D981" i="11"/>
  <c r="O981" i="11"/>
  <c r="Z981" i="11"/>
  <c r="C1032" i="11"/>
  <c r="M1032" i="11"/>
  <c r="X1032" i="11"/>
  <c r="AO26" i="13"/>
  <c r="AC96" i="13"/>
  <c r="AU96" i="13"/>
  <c r="Y186" i="13"/>
  <c r="AN346" i="13"/>
  <c r="BA390" i="13"/>
  <c r="BB390" i="13"/>
  <c r="BB439" i="13"/>
  <c r="BA471" i="13"/>
  <c r="BB471" i="13"/>
  <c r="AU701" i="13"/>
  <c r="AU898" i="13"/>
  <c r="C224" i="1"/>
  <c r="C60" i="1" s="1"/>
  <c r="F221" i="1"/>
  <c r="C222" i="1"/>
  <c r="F12" i="6"/>
  <c r="E13" i="7"/>
  <c r="D45" i="7"/>
  <c r="O45" i="7" s="1"/>
  <c r="U10" i="10"/>
  <c r="F287" i="11"/>
  <c r="N287" i="11"/>
  <c r="V287" i="11"/>
  <c r="D288" i="11"/>
  <c r="L288" i="11"/>
  <c r="T288" i="11"/>
  <c r="B289" i="11"/>
  <c r="J289" i="11"/>
  <c r="R289" i="11"/>
  <c r="Z289" i="11"/>
  <c r="H290" i="11"/>
  <c r="P290" i="11"/>
  <c r="X290" i="11"/>
  <c r="F291" i="11"/>
  <c r="N291" i="11"/>
  <c r="V291" i="11"/>
  <c r="B407" i="11"/>
  <c r="J407" i="11"/>
  <c r="R407" i="11"/>
  <c r="Z407" i="11"/>
  <c r="F924" i="11"/>
  <c r="O924" i="11"/>
  <c r="X924" i="11"/>
  <c r="G925" i="11"/>
  <c r="Q925" i="11"/>
  <c r="I926" i="11"/>
  <c r="R926" i="11"/>
  <c r="F981" i="11"/>
  <c r="Q981" i="11"/>
  <c r="D1032" i="11"/>
  <c r="N1032" i="11"/>
  <c r="Y1032" i="11"/>
  <c r="AI35" i="13"/>
  <c r="AC71" i="13"/>
  <c r="BA89" i="13"/>
  <c r="BB89" i="13"/>
  <c r="AU173" i="13"/>
  <c r="BB197" i="13"/>
  <c r="BA197" i="13"/>
  <c r="AI383" i="13"/>
  <c r="AC411" i="13"/>
  <c r="AU411" i="13"/>
  <c r="X925" i="11"/>
  <c r="P925" i="11"/>
  <c r="H925" i="11"/>
  <c r="C220" i="1"/>
  <c r="F224" i="1"/>
  <c r="E14" i="6"/>
  <c r="F27" i="7"/>
  <c r="K27" i="7" s="1"/>
  <c r="C45" i="7"/>
  <c r="N45" i="7" s="1"/>
  <c r="M8" i="10"/>
  <c r="G287" i="11"/>
  <c r="O287" i="11"/>
  <c r="W287" i="11"/>
  <c r="E288" i="11"/>
  <c r="M288" i="11"/>
  <c r="U288" i="11"/>
  <c r="C289" i="11"/>
  <c r="K289" i="11"/>
  <c r="S289" i="11"/>
  <c r="A290" i="11"/>
  <c r="I290" i="11"/>
  <c r="Q290" i="11"/>
  <c r="Y290" i="11"/>
  <c r="G291" i="11"/>
  <c r="O291" i="11"/>
  <c r="W291" i="11"/>
  <c r="C407" i="11"/>
  <c r="K407" i="11"/>
  <c r="S407" i="11"/>
  <c r="G924" i="11"/>
  <c r="P924" i="11"/>
  <c r="Y924" i="11"/>
  <c r="I925" i="11"/>
  <c r="R925" i="11"/>
  <c r="A926" i="11"/>
  <c r="J926" i="11"/>
  <c r="S926" i="11"/>
  <c r="G981" i="11"/>
  <c r="R981" i="11"/>
  <c r="E1032" i="11"/>
  <c r="P1032" i="11"/>
  <c r="AJ380" i="13"/>
  <c r="AN402" i="13"/>
  <c r="BA432" i="13"/>
  <c r="BB432" i="13"/>
  <c r="AU13" i="13"/>
  <c r="AC13" i="13"/>
  <c r="D222" i="1"/>
  <c r="E58" i="1" s="1"/>
  <c r="D220" i="1"/>
  <c r="E56" i="1" s="1"/>
  <c r="C228" i="1"/>
  <c r="D20" i="6"/>
  <c r="L9" i="6" s="1"/>
  <c r="H287" i="11"/>
  <c r="P287" i="11"/>
  <c r="X287" i="11"/>
  <c r="F288" i="11"/>
  <c r="N288" i="11"/>
  <c r="V288" i="11"/>
  <c r="D289" i="11"/>
  <c r="L289" i="11"/>
  <c r="T289" i="11"/>
  <c r="B290" i="11"/>
  <c r="J290" i="11"/>
  <c r="R290" i="11"/>
  <c r="Z290" i="11"/>
  <c r="H291" i="11"/>
  <c r="P291" i="11"/>
  <c r="X291" i="11"/>
  <c r="D407" i="11"/>
  <c r="L407" i="11"/>
  <c r="H924" i="11"/>
  <c r="Q924" i="11"/>
  <c r="A925" i="11"/>
  <c r="J925" i="11"/>
  <c r="S925" i="11"/>
  <c r="B926" i="11"/>
  <c r="K926" i="11"/>
  <c r="T926" i="11"/>
  <c r="I981" i="11"/>
  <c r="S981" i="11"/>
  <c r="F1032" i="11"/>
  <c r="Q1032" i="11"/>
  <c r="AU103" i="13"/>
  <c r="AC103" i="13"/>
  <c r="BA379" i="13"/>
  <c r="BB379" i="13"/>
  <c r="BA401" i="13"/>
  <c r="BB401" i="13"/>
  <c r="D987" i="11"/>
  <c r="L987" i="11"/>
  <c r="T987" i="11"/>
  <c r="D1019" i="11"/>
  <c r="L1019" i="11"/>
  <c r="T1019" i="11"/>
  <c r="F1122" i="11"/>
  <c r="N1122" i="11"/>
  <c r="V1122" i="11"/>
  <c r="F1190" i="11"/>
  <c r="N1190" i="11"/>
  <c r="V1190" i="11"/>
  <c r="D1191" i="11"/>
  <c r="L1191" i="11"/>
  <c r="T1191" i="11"/>
  <c r="B1192" i="11"/>
  <c r="J1192" i="11"/>
  <c r="R1192" i="11"/>
  <c r="Z1192" i="11"/>
  <c r="H1193" i="11"/>
  <c r="P1193" i="11"/>
  <c r="X1193" i="11"/>
  <c r="F1194" i="11"/>
  <c r="N1194" i="11"/>
  <c r="V1194" i="11"/>
  <c r="Q5" i="11"/>
  <c r="BB54" i="13"/>
  <c r="AN63" i="13"/>
  <c r="BB85" i="13"/>
  <c r="AI91" i="13"/>
  <c r="AN114" i="13"/>
  <c r="AL121" i="13"/>
  <c r="AL130" i="13"/>
  <c r="BB145" i="13"/>
  <c r="AL149" i="13"/>
  <c r="AI223" i="13"/>
  <c r="AI227" i="13"/>
  <c r="AN286" i="13"/>
  <c r="AN349" i="13"/>
  <c r="AU355" i="13"/>
  <c r="AN381" i="13"/>
  <c r="AJ382" i="13"/>
  <c r="AL436" i="13"/>
  <c r="BA545" i="13"/>
  <c r="BB545" i="13"/>
  <c r="BA569" i="13"/>
  <c r="BB569" i="13"/>
  <c r="AC644" i="13"/>
  <c r="AU644" i="13"/>
  <c r="BA861" i="13"/>
  <c r="BB861" i="13"/>
  <c r="AU918" i="13"/>
  <c r="AR973" i="13"/>
  <c r="AC973" i="13"/>
  <c r="AO85" i="13"/>
  <c r="AU88" i="13"/>
  <c r="AL114" i="13"/>
  <c r="AJ124" i="13"/>
  <c r="AH155" i="13"/>
  <c r="AU196" i="13"/>
  <c r="AO234" i="13"/>
  <c r="AO307" i="13"/>
  <c r="AH315" i="13"/>
  <c r="AO319" i="13"/>
  <c r="AO327" i="13"/>
  <c r="AH385" i="13"/>
  <c r="AO446" i="13"/>
  <c r="AC1073" i="13"/>
  <c r="AU1073" i="13"/>
  <c r="H23" i="6" a="1"/>
  <c r="H23" i="6" s="1"/>
  <c r="AJ97" i="13"/>
  <c r="AU100" i="13"/>
  <c r="AM110" i="13"/>
  <c r="AU137" i="13"/>
  <c r="AO173" i="13"/>
  <c r="AI239" i="13"/>
  <c r="AI243" i="13"/>
  <c r="AO246" i="13"/>
  <c r="AI251" i="13"/>
  <c r="AI255" i="13"/>
  <c r="AO258" i="13"/>
  <c r="AI259" i="13"/>
  <c r="AO262" i="13"/>
  <c r="AU379" i="13"/>
  <c r="AL427" i="13"/>
  <c r="AU539" i="13"/>
  <c r="AC539" i="13"/>
  <c r="AU1010" i="13"/>
  <c r="AC1010" i="13"/>
  <c r="I24" i="6" a="1"/>
  <c r="I24" i="6" s="1"/>
  <c r="AC40" i="13"/>
  <c r="AU116" i="13"/>
  <c r="AJ129" i="13"/>
  <c r="AN134" i="13"/>
  <c r="AL270" i="13"/>
  <c r="AN362" i="13"/>
  <c r="AH363" i="13"/>
  <c r="AR653" i="13"/>
  <c r="AC653" i="13"/>
  <c r="AJ690" i="13"/>
  <c r="BA777" i="13"/>
  <c r="BB777" i="13"/>
  <c r="A987" i="11"/>
  <c r="I987" i="11"/>
  <c r="Q987" i="11"/>
  <c r="Y987" i="11"/>
  <c r="A1019" i="11"/>
  <c r="I1019" i="11"/>
  <c r="Q1019" i="11"/>
  <c r="C1122" i="11"/>
  <c r="K1122" i="11"/>
  <c r="S1122" i="11"/>
  <c r="C1190" i="11"/>
  <c r="K1190" i="11"/>
  <c r="A1191" i="11"/>
  <c r="I1191" i="11"/>
  <c r="Q1191" i="11"/>
  <c r="Y1191" i="11"/>
  <c r="G1192" i="11"/>
  <c r="O1192" i="11"/>
  <c r="W1192" i="11"/>
  <c r="E1193" i="11"/>
  <c r="M1193" i="11"/>
  <c r="U1193" i="11"/>
  <c r="C1194" i="11"/>
  <c r="K1194" i="11"/>
  <c r="S1194" i="11"/>
  <c r="Y152" i="13"/>
  <c r="AM170" i="13"/>
  <c r="AI180" i="13"/>
  <c r="AL286" i="13"/>
  <c r="AH379" i="13"/>
  <c r="AL399" i="13"/>
  <c r="AH401" i="13"/>
  <c r="BA478" i="13"/>
  <c r="BB478" i="13"/>
  <c r="BA808" i="13"/>
  <c r="BB808" i="13"/>
  <c r="BA880" i="13"/>
  <c r="BB880" i="13"/>
  <c r="AU1165" i="13"/>
  <c r="AC1165" i="13"/>
  <c r="BA539" i="13"/>
  <c r="BB594" i="13"/>
  <c r="AM603" i="13"/>
  <c r="AM604" i="13"/>
  <c r="BA623" i="13"/>
  <c r="AO625" i="13"/>
  <c r="AJ928" i="13"/>
  <c r="BA931" i="13"/>
  <c r="AI946" i="13"/>
  <c r="AM968" i="13"/>
  <c r="BA973" i="13"/>
  <c r="AO975" i="13"/>
  <c r="AO1074" i="13"/>
  <c r="AI1088" i="13"/>
  <c r="AU535" i="13"/>
  <c r="AH539" i="13"/>
  <c r="AO608" i="13"/>
  <c r="AO609" i="13"/>
  <c r="BA614" i="13"/>
  <c r="AU672" i="13"/>
  <c r="AL679" i="13"/>
  <c r="AH681" i="13"/>
  <c r="AU684" i="13"/>
  <c r="AC685" i="13"/>
  <c r="AC693" i="13"/>
  <c r="AJ747" i="13"/>
  <c r="AI779" i="13"/>
  <c r="AL832" i="13"/>
  <c r="AH834" i="13"/>
  <c r="AJ835" i="13"/>
  <c r="AU857" i="13"/>
  <c r="BB902" i="13"/>
  <c r="AL917" i="13"/>
  <c r="AU920" i="13"/>
  <c r="AO959" i="13"/>
  <c r="AJ969" i="13"/>
  <c r="AN981" i="13"/>
  <c r="AN987" i="13"/>
  <c r="AH1010" i="13"/>
  <c r="AI1021" i="13"/>
  <c r="AO1022" i="13"/>
  <c r="BA1039" i="13"/>
  <c r="AI1073" i="13"/>
  <c r="AJ1117" i="13"/>
  <c r="AL1118" i="13"/>
  <c r="AM1124" i="13"/>
  <c r="AH1150" i="13"/>
  <c r="AJ1165" i="13"/>
  <c r="BB1168" i="13"/>
  <c r="AH584" i="13"/>
  <c r="AH639" i="13"/>
  <c r="AN766" i="13"/>
  <c r="AC908" i="13"/>
  <c r="AH960" i="13"/>
  <c r="AH962" i="13"/>
  <c r="AH1079" i="13"/>
  <c r="AN473" i="13"/>
  <c r="AJ479" i="13"/>
  <c r="AN529" i="13"/>
  <c r="AU536" i="13"/>
  <c r="AO560" i="13"/>
  <c r="AN567" i="13"/>
  <c r="AM595" i="13"/>
  <c r="BB618" i="13"/>
  <c r="AU627" i="13"/>
  <c r="AO645" i="13"/>
  <c r="AN666" i="13"/>
  <c r="AU673" i="13"/>
  <c r="AN684" i="13"/>
  <c r="AJ692" i="13"/>
  <c r="AU709" i="13"/>
  <c r="AU720" i="13"/>
  <c r="AM760" i="13"/>
  <c r="BB846" i="13"/>
  <c r="AU859" i="13"/>
  <c r="BB892" i="13"/>
  <c r="AU936" i="13"/>
  <c r="AN944" i="13"/>
  <c r="AU986" i="13"/>
  <c r="AJ1026" i="13"/>
  <c r="AL1027" i="13"/>
  <c r="BB1064" i="13"/>
  <c r="AU1070" i="13"/>
  <c r="AU1075" i="13"/>
  <c r="AL1080" i="13"/>
  <c r="AU1086" i="13"/>
  <c r="AH1138" i="13"/>
  <c r="AC1151" i="13"/>
  <c r="AL1156" i="13"/>
  <c r="AL448" i="13"/>
  <c r="AN449" i="13"/>
  <c r="AN505" i="13"/>
  <c r="AN509" i="13"/>
  <c r="AL512" i="13"/>
  <c r="BA532" i="13"/>
  <c r="AO553" i="13"/>
  <c r="AN575" i="13"/>
  <c r="BB590" i="13"/>
  <c r="AM627" i="13"/>
  <c r="BA641" i="13"/>
  <c r="AN680" i="13"/>
  <c r="AL718" i="13"/>
  <c r="AM729" i="13"/>
  <c r="AU744" i="13"/>
  <c r="BA752" i="13"/>
  <c r="AM770" i="13"/>
  <c r="AH850" i="13"/>
  <c r="AN858" i="13"/>
  <c r="BB903" i="13"/>
  <c r="AU912" i="13"/>
  <c r="AI976" i="13"/>
  <c r="AI977" i="13"/>
  <c r="AO979" i="13"/>
  <c r="AL1041" i="13"/>
  <c r="AU1041" i="13"/>
  <c r="AL1052" i="13"/>
  <c r="AJ1069" i="13"/>
  <c r="AU1094" i="13"/>
  <c r="BB1114" i="13"/>
  <c r="AM1149" i="13"/>
  <c r="AU1162" i="13"/>
  <c r="AM1166" i="13"/>
  <c r="BA1169" i="13"/>
  <c r="BB1177" i="13"/>
  <c r="AJ476" i="13"/>
  <c r="AL482" i="13"/>
  <c r="AH484" i="13"/>
  <c r="AN485" i="13"/>
  <c r="BB517" i="13"/>
  <c r="AL590" i="13"/>
  <c r="AC636" i="13"/>
  <c r="BB642" i="13"/>
  <c r="AN647" i="13"/>
  <c r="AN654" i="13"/>
  <c r="BB659" i="13"/>
  <c r="AC660" i="13"/>
  <c r="AN664" i="13"/>
  <c r="AC669" i="13"/>
  <c r="BB677" i="13"/>
  <c r="BB689" i="13"/>
  <c r="AJ721" i="13"/>
  <c r="AJ821" i="13"/>
  <c r="AC854" i="13"/>
  <c r="AH863" i="13"/>
  <c r="AH890" i="13"/>
  <c r="AL965" i="13"/>
  <c r="AL986" i="13"/>
  <c r="AN1029" i="13"/>
  <c r="AL1031" i="13"/>
  <c r="AN1063" i="13"/>
  <c r="AO1078" i="13"/>
  <c r="BB1108" i="13"/>
  <c r="AL1114" i="13"/>
  <c r="BB1115" i="13"/>
  <c r="BB1126" i="13"/>
  <c r="AL1132" i="13"/>
  <c r="AU1145" i="13"/>
  <c r="AO544" i="13"/>
  <c r="AL861" i="13"/>
  <c r="AU930" i="13"/>
  <c r="AU982" i="13"/>
  <c r="AU1035" i="13"/>
  <c r="AU1047" i="13"/>
  <c r="AL1140" i="13"/>
  <c r="AO1155" i="13"/>
  <c r="C232" i="1"/>
  <c r="AL508" i="13"/>
  <c r="AL818" i="13"/>
  <c r="AK1094" i="13"/>
  <c r="AJ81" i="13"/>
  <c r="AL402" i="13"/>
  <c r="AM634" i="13"/>
  <c r="AM709" i="13"/>
  <c r="AI767" i="13"/>
  <c r="AL982" i="13"/>
  <c r="AM990" i="13"/>
  <c r="AL992" i="13"/>
  <c r="AL1069" i="13"/>
  <c r="AM1170" i="13"/>
  <c r="G2" i="11"/>
  <c r="U2" i="11"/>
  <c r="AI31" i="13"/>
  <c r="AI83" i="13"/>
  <c r="AH124" i="13"/>
  <c r="AI286" i="13"/>
  <c r="AL309" i="13"/>
  <c r="AI343" i="13"/>
  <c r="AI359" i="13"/>
  <c r="AK394" i="13"/>
  <c r="AN417" i="13"/>
  <c r="AL418" i="13"/>
  <c r="AM543" i="13"/>
  <c r="AL582" i="13"/>
  <c r="AN658" i="13"/>
  <c r="AI663" i="13"/>
  <c r="AJ670" i="13"/>
  <c r="AJ680" i="13"/>
  <c r="AJ681" i="13"/>
  <c r="AM721" i="13"/>
  <c r="AI759" i="13"/>
  <c r="AN870" i="13"/>
  <c r="AN900" i="13"/>
  <c r="AI926" i="13"/>
  <c r="AN958" i="13"/>
  <c r="AO987" i="13"/>
  <c r="AN1017" i="13"/>
  <c r="AO1052" i="13"/>
  <c r="AO1125" i="13"/>
  <c r="AN1133" i="13"/>
  <c r="AI1169" i="13"/>
  <c r="AM1179" i="13"/>
  <c r="AJ1186" i="13"/>
  <c r="H2" i="11"/>
  <c r="AM161" i="13"/>
  <c r="AN347" i="13"/>
  <c r="AN483" i="13"/>
  <c r="AJ654" i="13"/>
  <c r="AM733" i="13"/>
  <c r="AO870" i="13"/>
  <c r="AI1017" i="13"/>
  <c r="AK1018" i="13"/>
  <c r="AJ1027" i="13"/>
  <c r="AI1122" i="13"/>
  <c r="AL1194" i="13"/>
  <c r="I2" i="11"/>
  <c r="AM81" i="13"/>
  <c r="AL333" i="13"/>
  <c r="AI399" i="13"/>
  <c r="AI401" i="13"/>
  <c r="AN583" i="13"/>
  <c r="AH667" i="13"/>
  <c r="AN733" i="13"/>
  <c r="AN821" i="13"/>
  <c r="AI968" i="13"/>
  <c r="AH1002" i="13"/>
  <c r="AJ1031" i="13"/>
  <c r="AJ1051" i="13"/>
  <c r="AO1153" i="13"/>
  <c r="AJ1184" i="13"/>
  <c r="AH128" i="13"/>
  <c r="AM196" i="13"/>
  <c r="AM271" i="13"/>
  <c r="AM375" i="13"/>
  <c r="AJ401" i="13"/>
  <c r="AN461" i="13"/>
  <c r="AI482" i="13"/>
  <c r="AK665" i="13"/>
  <c r="AI667" i="13"/>
  <c r="AH687" i="13"/>
  <c r="AK731" i="13"/>
  <c r="AL1102" i="13"/>
  <c r="AJ1125" i="13"/>
  <c r="AH1136" i="13"/>
  <c r="AL1148" i="13"/>
  <c r="AN1166" i="13"/>
  <c r="AJ1193" i="13"/>
  <c r="AK370" i="13"/>
  <c r="AJ511" i="13"/>
  <c r="AH777" i="13"/>
  <c r="AI801" i="13"/>
  <c r="AJ1040" i="13"/>
  <c r="AJ1102" i="13"/>
  <c r="AK1105" i="13"/>
  <c r="AJ1135" i="13"/>
  <c r="AI1154" i="13"/>
  <c r="AI1164" i="13"/>
  <c r="AO195" i="13"/>
  <c r="AK195" i="13"/>
  <c r="B46" i="7"/>
  <c r="C46" i="7"/>
  <c r="N46" i="7" s="1"/>
  <c r="AK179" i="13"/>
  <c r="AO179" i="13"/>
  <c r="AL105" i="13"/>
  <c r="AJ105" i="13"/>
  <c r="C45" i="6"/>
  <c r="C22" i="6"/>
  <c r="D13" i="6"/>
  <c r="E75" i="6" s="1"/>
  <c r="C26" i="6"/>
  <c r="E20" i="6"/>
  <c r="E8" i="6"/>
  <c r="C49" i="6"/>
  <c r="H24" i="6" a="1"/>
  <c r="H24" i="6" s="1"/>
  <c r="F19" i="6"/>
  <c r="M8" i="6" s="1"/>
  <c r="C12" i="6"/>
  <c r="E105" i="6" s="1"/>
  <c r="B49" i="6"/>
  <c r="F49" i="6" s="1"/>
  <c r="C24" i="6"/>
  <c r="E19" i="6"/>
  <c r="E11" i="6"/>
  <c r="B47" i="6"/>
  <c r="I23" i="6" a="1"/>
  <c r="I23" i="6" s="1"/>
  <c r="E15" i="6"/>
  <c r="B118" i="6" s="1"/>
  <c r="D11" i="6"/>
  <c r="J11" i="6" s="1"/>
  <c r="D45" i="6"/>
  <c r="G45" i="6" s="1"/>
  <c r="D23" i="6"/>
  <c r="L12" i="6" s="1"/>
  <c r="F13" i="6"/>
  <c r="D9" i="6"/>
  <c r="D48" i="7"/>
  <c r="O48" i="7" s="1"/>
  <c r="C48" i="7"/>
  <c r="N48" i="7" s="1"/>
  <c r="AU622" i="13"/>
  <c r="AU846" i="13"/>
  <c r="AC846" i="13"/>
  <c r="BB1124" i="13"/>
  <c r="BA1124" i="13"/>
  <c r="U88" i="12"/>
  <c r="P90" i="12"/>
  <c r="U91" i="12"/>
  <c r="U96" i="12"/>
  <c r="P98" i="12"/>
  <c r="U99" i="12"/>
  <c r="U104" i="12"/>
  <c r="P106" i="12"/>
  <c r="U107" i="12"/>
  <c r="U112" i="12"/>
  <c r="P114" i="12"/>
  <c r="U115" i="12"/>
  <c r="U120" i="12"/>
  <c r="P122" i="12"/>
  <c r="U123" i="12"/>
  <c r="S125" i="12"/>
  <c r="Q2" i="11"/>
  <c r="Q3" i="11"/>
  <c r="Z7" i="11"/>
  <c r="BB47" i="13"/>
  <c r="AC48" i="13"/>
  <c r="BB58" i="13"/>
  <c r="AH67" i="13"/>
  <c r="BB67" i="13"/>
  <c r="AC72" i="13"/>
  <c r="BA75" i="13"/>
  <c r="BA88" i="13"/>
  <c r="AU112" i="13"/>
  <c r="AL126" i="13"/>
  <c r="AU160" i="13"/>
  <c r="AU169" i="13"/>
  <c r="AU182" i="13"/>
  <c r="AU201" i="13"/>
  <c r="Y219" i="13"/>
  <c r="AU236" i="13"/>
  <c r="AM241" i="13"/>
  <c r="BB247" i="13"/>
  <c r="BA410" i="13"/>
  <c r="BB410" i="13"/>
  <c r="E20" i="7"/>
  <c r="C44" i="7"/>
  <c r="N44" i="7" s="1"/>
  <c r="H9" i="10"/>
  <c r="P12" i="10"/>
  <c r="O17" i="10"/>
  <c r="E89" i="12"/>
  <c r="E97" i="12"/>
  <c r="E105" i="12"/>
  <c r="E113" i="12"/>
  <c r="E121" i="12"/>
  <c r="Y2" i="11"/>
  <c r="Y3" i="11"/>
  <c r="J3" i="11"/>
  <c r="Q7" i="11"/>
  <c r="BB18" i="13"/>
  <c r="AC21" i="13"/>
  <c r="AI27" i="13"/>
  <c r="BB30" i="13"/>
  <c r="AI59" i="13"/>
  <c r="AH63" i="13"/>
  <c r="AC76" i="13"/>
  <c r="AJ112" i="13"/>
  <c r="AU117" i="13"/>
  <c r="AU133" i="13"/>
  <c r="AJ141" i="13"/>
  <c r="AU141" i="13"/>
  <c r="AJ160" i="13"/>
  <c r="AL166" i="13"/>
  <c r="Y198" i="13"/>
  <c r="AU198" i="13"/>
  <c r="BA205" i="13"/>
  <c r="AU212" i="13"/>
  <c r="AH213" i="13"/>
  <c r="AO378" i="13"/>
  <c r="AH387" i="13"/>
  <c r="K11" i="10"/>
  <c r="S12" i="10"/>
  <c r="L15" i="10"/>
  <c r="C2" i="11"/>
  <c r="Q9" i="11"/>
  <c r="AU49" i="13"/>
  <c r="Y50" i="13"/>
  <c r="AU92" i="13"/>
  <c r="AU113" i="13"/>
  <c r="AN126" i="13"/>
  <c r="AJ128" i="13"/>
  <c r="AM137" i="13"/>
  <c r="BB141" i="13"/>
  <c r="AJ152" i="13"/>
  <c r="AU153" i="13"/>
  <c r="AU180" i="13"/>
  <c r="BB187" i="13"/>
  <c r="AI196" i="13"/>
  <c r="AC208" i="13"/>
  <c r="BB219" i="13"/>
  <c r="BA425" i="13"/>
  <c r="BB425" i="13"/>
  <c r="BA492" i="13"/>
  <c r="BB492" i="13"/>
  <c r="AO592" i="13"/>
  <c r="AM592" i="13"/>
  <c r="N11" i="10"/>
  <c r="C131" i="12"/>
  <c r="BB22" i="13"/>
  <c r="AU33" i="13"/>
  <c r="AL61" i="13"/>
  <c r="BA72" i="13"/>
  <c r="Y90" i="13"/>
  <c r="AM105" i="13"/>
  <c r="AN111" i="13"/>
  <c r="AC120" i="13"/>
  <c r="AU125" i="13"/>
  <c r="AM145" i="13"/>
  <c r="AU157" i="13"/>
  <c r="AN166" i="13"/>
  <c r="AU373" i="13"/>
  <c r="AU459" i="13"/>
  <c r="AC606" i="13"/>
  <c r="AU606" i="13"/>
  <c r="U87" i="12"/>
  <c r="U92" i="12"/>
  <c r="P94" i="12"/>
  <c r="U95" i="12"/>
  <c r="U100" i="12"/>
  <c r="P102" i="12"/>
  <c r="U103" i="12"/>
  <c r="U108" i="12"/>
  <c r="P110" i="12"/>
  <c r="U111" i="12"/>
  <c r="U116" i="12"/>
  <c r="P118" i="12"/>
  <c r="U119" i="12"/>
  <c r="U124" i="12"/>
  <c r="AU9" i="13"/>
  <c r="S9" i="11"/>
  <c r="S10" i="11"/>
  <c r="AI11" i="13"/>
  <c r="BB14" i="13"/>
  <c r="AI19" i="13"/>
  <c r="AI23" i="13"/>
  <c r="AI39" i="13"/>
  <c r="BB42" i="13"/>
  <c r="BB51" i="13"/>
  <c r="AC52" i="13"/>
  <c r="BA64" i="13"/>
  <c r="BB69" i="13"/>
  <c r="BB81" i="13"/>
  <c r="AM92" i="13"/>
  <c r="BB94" i="13"/>
  <c r="AC104" i="13"/>
  <c r="AL118" i="13"/>
  <c r="AJ125" i="13"/>
  <c r="BB125" i="13"/>
  <c r="AL133" i="13"/>
  <c r="AM141" i="13"/>
  <c r="AL153" i="13"/>
  <c r="BB157" i="13"/>
  <c r="AO177" i="13"/>
  <c r="BA196" i="13"/>
  <c r="Y197" i="13"/>
  <c r="BA199" i="13"/>
  <c r="BB215" i="13"/>
  <c r="AU221" i="13"/>
  <c r="AJ350" i="13"/>
  <c r="AC383" i="13"/>
  <c r="AU383" i="13"/>
  <c r="BA414" i="13"/>
  <c r="BB414" i="13"/>
  <c r="AO458" i="13"/>
  <c r="AH458" i="13"/>
  <c r="BA587" i="13"/>
  <c r="M10" i="10"/>
  <c r="I16" i="10"/>
  <c r="E93" i="12"/>
  <c r="E101" i="12"/>
  <c r="E109" i="12"/>
  <c r="E117" i="12"/>
  <c r="E125" i="12"/>
  <c r="V2" i="11"/>
  <c r="AI15" i="13"/>
  <c r="BB61" i="13"/>
  <c r="AM85" i="13"/>
  <c r="AM89" i="13"/>
  <c r="AC91" i="13"/>
  <c r="AI99" i="13"/>
  <c r="BA99" i="13"/>
  <c r="AM101" i="13"/>
  <c r="AJ121" i="13"/>
  <c r="AU129" i="13"/>
  <c r="AL134" i="13"/>
  <c r="AM153" i="13"/>
  <c r="AM154" i="13"/>
  <c r="AM162" i="13"/>
  <c r="AU165" i="13"/>
  <c r="AK173" i="13"/>
  <c r="AU178" i="13"/>
  <c r="BA188" i="13"/>
  <c r="AN204" i="13"/>
  <c r="BA208" i="13"/>
  <c r="AM229" i="13"/>
  <c r="AO230" i="13"/>
  <c r="AU233" i="13"/>
  <c r="BB243" i="13"/>
  <c r="BA457" i="13"/>
  <c r="BB457" i="13"/>
  <c r="BA509" i="13"/>
  <c r="BB509" i="13"/>
  <c r="W2" i="11"/>
  <c r="W3" i="11"/>
  <c r="AC17" i="13"/>
  <c r="AO18" i="13"/>
  <c r="AO42" i="13"/>
  <c r="AU45" i="13"/>
  <c r="Y46" i="13"/>
  <c r="AC67" i="13"/>
  <c r="AC75" i="13"/>
  <c r="AK91" i="13"/>
  <c r="AC100" i="13"/>
  <c r="AN103" i="13"/>
  <c r="AU104" i="13"/>
  <c r="BB130" i="13"/>
  <c r="AH135" i="13"/>
  <c r="BB149" i="13"/>
  <c r="AH171" i="13"/>
  <c r="BA181" i="13"/>
  <c r="AO185" i="13"/>
  <c r="AU194" i="13"/>
  <c r="Y247" i="13"/>
  <c r="BB255" i="13"/>
  <c r="BB554" i="13"/>
  <c r="BA554" i="13"/>
  <c r="AN275" i="13"/>
  <c r="AO279" i="13"/>
  <c r="AU302" i="13"/>
  <c r="BB355" i="13"/>
  <c r="AJ369" i="13"/>
  <c r="AL380" i="13"/>
  <c r="AJ406" i="13"/>
  <c r="AN420" i="13"/>
  <c r="AL426" i="13"/>
  <c r="AJ480" i="13"/>
  <c r="AU496" i="13"/>
  <c r="AU559" i="13"/>
  <c r="BA613" i="13"/>
  <c r="BB613" i="13"/>
  <c r="BA628" i="13"/>
  <c r="BB628" i="13"/>
  <c r="AU650" i="13"/>
  <c r="BA671" i="13"/>
  <c r="BB671" i="13"/>
  <c r="BA734" i="13"/>
  <c r="BB734" i="13"/>
  <c r="AK785" i="13"/>
  <c r="AM785" i="13"/>
  <c r="BB802" i="13"/>
  <c r="BA802" i="13"/>
  <c r="AI263" i="13"/>
  <c r="AC270" i="13"/>
  <c r="AU278" i="13"/>
  <c r="BA285" i="13"/>
  <c r="BB293" i="13"/>
  <c r="AU330" i="13"/>
  <c r="AO346" i="13"/>
  <c r="AL359" i="13"/>
  <c r="BB359" i="13"/>
  <c r="AM367" i="13"/>
  <c r="AJ377" i="13"/>
  <c r="AN389" i="13"/>
  <c r="AI393" i="13"/>
  <c r="AC402" i="13"/>
  <c r="AN412" i="13"/>
  <c r="AL422" i="13"/>
  <c r="AJ427" i="13"/>
  <c r="AU433" i="13"/>
  <c r="BB440" i="13"/>
  <c r="AC441" i="13"/>
  <c r="AD441" i="13" s="1"/>
  <c r="AJ459" i="13"/>
  <c r="BB460" i="13"/>
  <c r="AC462" i="13"/>
  <c r="AH487" i="13"/>
  <c r="BB497" i="13"/>
  <c r="AN513" i="13"/>
  <c r="AH522" i="13"/>
  <c r="BB526" i="13"/>
  <c r="AM539" i="13"/>
  <c r="BB570" i="13"/>
  <c r="AI582" i="13"/>
  <c r="AL642" i="13"/>
  <c r="AJ811" i="13"/>
  <c r="AM822" i="13"/>
  <c r="AC834" i="13"/>
  <c r="AD834" i="13" s="1"/>
  <c r="AU834" i="13"/>
  <c r="AU279" i="13"/>
  <c r="AU298" i="13"/>
  <c r="AJ341" i="13"/>
  <c r="AJ343" i="13"/>
  <c r="AU343" i="13"/>
  <c r="AL346" i="13"/>
  <c r="AU347" i="13"/>
  <c r="BB357" i="13"/>
  <c r="BB370" i="13"/>
  <c r="BB374" i="13"/>
  <c r="AJ378" i="13"/>
  <c r="AC378" i="13"/>
  <c r="AN387" i="13"/>
  <c r="AL406" i="13"/>
  <c r="BB419" i="13"/>
  <c r="AU423" i="13"/>
  <c r="AN433" i="13"/>
  <c r="AU484" i="13"/>
  <c r="AJ489" i="13"/>
  <c r="AH514" i="13"/>
  <c r="AU537" i="13"/>
  <c r="AN539" i="13"/>
  <c r="AM540" i="13"/>
  <c r="AM551" i="13"/>
  <c r="BB557" i="13"/>
  <c r="AM575" i="13"/>
  <c r="AJ607" i="13"/>
  <c r="AM608" i="13"/>
  <c r="AC619" i="13"/>
  <c r="AU619" i="13"/>
  <c r="AR649" i="13"/>
  <c r="AG649" i="13"/>
  <c r="AL649" i="13" s="1"/>
  <c r="BA685" i="13"/>
  <c r="BB685" i="13"/>
  <c r="AK768" i="13"/>
  <c r="AN768" i="13"/>
  <c r="BA933" i="13"/>
  <c r="BB933" i="13"/>
  <c r="AI272" i="13"/>
  <c r="AC299" i="13"/>
  <c r="AD299" i="13" s="1"/>
  <c r="BB321" i="13"/>
  <c r="AC334" i="13"/>
  <c r="BB343" i="13"/>
  <c r="BB348" i="13"/>
  <c r="AC354" i="13"/>
  <c r="AD354" i="13" s="1"/>
  <c r="AH366" i="13"/>
  <c r="AI375" i="13"/>
  <c r="AK378" i="13"/>
  <c r="AJ385" i="13"/>
  <c r="BB393" i="13"/>
  <c r="AU399" i="13"/>
  <c r="AO402" i="13"/>
  <c r="AN407" i="13"/>
  <c r="BB412" i="13"/>
  <c r="AH418" i="13"/>
  <c r="AJ419" i="13"/>
  <c r="AU429" i="13"/>
  <c r="AL452" i="13"/>
  <c r="AU467" i="13"/>
  <c r="AC475" i="13"/>
  <c r="AL478" i="13"/>
  <c r="BB484" i="13"/>
  <c r="AN497" i="13"/>
  <c r="AL516" i="13"/>
  <c r="BB518" i="13"/>
  <c r="AN525" i="13"/>
  <c r="AH526" i="13"/>
  <c r="AJ527" i="13"/>
  <c r="AU527" i="13"/>
  <c r="AH531" i="13"/>
  <c r="BB553" i="13"/>
  <c r="AN559" i="13"/>
  <c r="BA571" i="13"/>
  <c r="BB577" i="13"/>
  <c r="AC590" i="13"/>
  <c r="AU603" i="13"/>
  <c r="AM612" i="13"/>
  <c r="AC712" i="13"/>
  <c r="AM798" i="13"/>
  <c r="AO798" i="13"/>
  <c r="AC826" i="13"/>
  <c r="AU826" i="13"/>
  <c r="AC267" i="13"/>
  <c r="AC344" i="13"/>
  <c r="AL347" i="13"/>
  <c r="AM351" i="13"/>
  <c r="AC362" i="13"/>
  <c r="AD362" i="13" s="1"/>
  <c r="AN373" i="13"/>
  <c r="AJ375" i="13"/>
  <c r="BB375" i="13"/>
  <c r="AN377" i="13"/>
  <c r="AL378" i="13"/>
  <c r="AU385" i="13"/>
  <c r="AN419" i="13"/>
  <c r="AH426" i="13"/>
  <c r="AU437" i="13"/>
  <c r="AU447" i="13"/>
  <c r="AM472" i="13"/>
  <c r="AN479" i="13"/>
  <c r="AU492" i="13"/>
  <c r="AN501" i="13"/>
  <c r="AN517" i="13"/>
  <c r="AC587" i="13"/>
  <c r="AD587" i="13" s="1"/>
  <c r="BA599" i="13"/>
  <c r="BA603" i="13"/>
  <c r="BB608" i="13"/>
  <c r="BB612" i="13"/>
  <c r="BA619" i="13"/>
  <c r="AU646" i="13"/>
  <c r="BA674" i="13"/>
  <c r="BB674" i="13"/>
  <c r="BB697" i="13"/>
  <c r="AN719" i="13"/>
  <c r="AU261" i="13"/>
  <c r="Y262" i="13"/>
  <c r="AM270" i="13"/>
  <c r="AU274" i="13"/>
  <c r="AM282" i="13"/>
  <c r="BA282" i="13"/>
  <c r="AO283" i="13"/>
  <c r="BB313" i="13"/>
  <c r="AU338" i="13"/>
  <c r="AU349" i="13"/>
  <c r="AC350" i="13"/>
  <c r="BB358" i="13"/>
  <c r="AM361" i="13"/>
  <c r="AI367" i="13"/>
  <c r="BB371" i="13"/>
  <c r="AC386" i="13"/>
  <c r="AD386" i="13" s="1"/>
  <c r="AU389" i="13"/>
  <c r="AU403" i="13"/>
  <c r="AJ410" i="13"/>
  <c r="AU431" i="13"/>
  <c r="AU449" i="13"/>
  <c r="AL464" i="13"/>
  <c r="AL474" i="13"/>
  <c r="AH490" i="13"/>
  <c r="AU520" i="13"/>
  <c r="AU528" i="13"/>
  <c r="AM548" i="13"/>
  <c r="AL566" i="13"/>
  <c r="AM607" i="13"/>
  <c r="AR664" i="13"/>
  <c r="AU664" i="13"/>
  <c r="AC900" i="13"/>
  <c r="AU900" i="13"/>
  <c r="BA925" i="13"/>
  <c r="BB925" i="13"/>
  <c r="BA976" i="13"/>
  <c r="BB976" i="13"/>
  <c r="BB977" i="13"/>
  <c r="BA977" i="13"/>
  <c r="AM266" i="13"/>
  <c r="AN270" i="13"/>
  <c r="AI274" i="13"/>
  <c r="Y297" i="13"/>
  <c r="AI301" i="13"/>
  <c r="AU363" i="13"/>
  <c r="AN378" i="13"/>
  <c r="AJ386" i="13"/>
  <c r="AL414" i="13"/>
  <c r="AL420" i="13"/>
  <c r="AJ421" i="13"/>
  <c r="AJ426" i="13"/>
  <c r="AU439" i="13"/>
  <c r="AL442" i="13"/>
  <c r="AU451" i="13"/>
  <c r="AU480" i="13"/>
  <c r="AL504" i="13"/>
  <c r="AU512" i="13"/>
  <c r="AM552" i="13"/>
  <c r="BA563" i="13"/>
  <c r="AM572" i="13"/>
  <c r="AM584" i="13"/>
  <c r="AM587" i="13"/>
  <c r="AN607" i="13"/>
  <c r="AL645" i="13"/>
  <c r="AU656" i="13"/>
  <c r="AC656" i="13"/>
  <c r="AJ662" i="13"/>
  <c r="Y692" i="13"/>
  <c r="BB751" i="13"/>
  <c r="BA751" i="13"/>
  <c r="BB857" i="13"/>
  <c r="AL865" i="13"/>
  <c r="AU875" i="13"/>
  <c r="AJ883" i="13"/>
  <c r="AC1002" i="13"/>
  <c r="AU1002" i="13"/>
  <c r="BA1012" i="13"/>
  <c r="BB1012" i="13"/>
  <c r="AO1076" i="13"/>
  <c r="AL1076" i="13"/>
  <c r="BA1134" i="13"/>
  <c r="BB1134" i="13"/>
  <c r="AJ1146" i="13"/>
  <c r="BA1170" i="13"/>
  <c r="BB1170" i="13"/>
  <c r="AJ619" i="13"/>
  <c r="BA622" i="13"/>
  <c r="AO629" i="13"/>
  <c r="AU632" i="13"/>
  <c r="AI644" i="13"/>
  <c r="AK644" i="13"/>
  <c r="BB651" i="13"/>
  <c r="AL653" i="13"/>
  <c r="AJ664" i="13"/>
  <c r="AH677" i="13"/>
  <c r="BB678" i="13"/>
  <c r="AL681" i="13"/>
  <c r="AJ682" i="13"/>
  <c r="BB682" i="13"/>
  <c r="AM685" i="13"/>
  <c r="AH699" i="13"/>
  <c r="AL703" i="13"/>
  <c r="BA727" i="13"/>
  <c r="AO733" i="13"/>
  <c r="AJ739" i="13"/>
  <c r="AO763" i="13"/>
  <c r="AC776" i="13"/>
  <c r="AM790" i="13"/>
  <c r="AU815" i="13"/>
  <c r="BA826" i="13"/>
  <c r="BB834" i="13"/>
  <c r="AJ843" i="13"/>
  <c r="AM846" i="13"/>
  <c r="AM857" i="13"/>
  <c r="AU863" i="13"/>
  <c r="AM865" i="13"/>
  <c r="AJ875" i="13"/>
  <c r="BB875" i="13"/>
  <c r="BB879" i="13"/>
  <c r="AC909" i="13"/>
  <c r="AD909" i="13" s="1"/>
  <c r="AU909" i="13"/>
  <c r="AO921" i="13"/>
  <c r="AJ930" i="13"/>
  <c r="AU942" i="13"/>
  <c r="BA950" i="13"/>
  <c r="BB950" i="13"/>
  <c r="AC993" i="13"/>
  <c r="AD993" i="13" s="1"/>
  <c r="AM1011" i="13"/>
  <c r="BB1026" i="13"/>
  <c r="BA1026" i="13"/>
  <c r="AU1038" i="13"/>
  <c r="BA615" i="13"/>
  <c r="Y616" i="13"/>
  <c r="BA636" i="13"/>
  <c r="AN642" i="13"/>
  <c r="AJ644" i="13"/>
  <c r="AM653" i="13"/>
  <c r="AU653" i="13"/>
  <c r="BA660" i="13"/>
  <c r="BB667" i="13"/>
  <c r="BB669" i="13"/>
  <c r="AM681" i="13"/>
  <c r="BB683" i="13"/>
  <c r="AU708" i="13"/>
  <c r="AN727" i="13"/>
  <c r="BA740" i="13"/>
  <c r="AM774" i="13"/>
  <c r="AM781" i="13"/>
  <c r="AM789" i="13"/>
  <c r="BB795" i="13"/>
  <c r="AM801" i="13"/>
  <c r="AJ809" i="13"/>
  <c r="AL812" i="13"/>
  <c r="BB816" i="13"/>
  <c r="BB820" i="13"/>
  <c r="AO823" i="13"/>
  <c r="AO828" i="13"/>
  <c r="BA830" i="13"/>
  <c r="AC837" i="13"/>
  <c r="AD837" i="13" s="1"/>
  <c r="BB844" i="13"/>
  <c r="AI848" i="13"/>
  <c r="AC849" i="13"/>
  <c r="BB854" i="13"/>
  <c r="AN861" i="13"/>
  <c r="AU869" i="13"/>
  <c r="AJ876" i="13"/>
  <c r="AU887" i="13"/>
  <c r="BA901" i="13"/>
  <c r="Y913" i="13"/>
  <c r="AI930" i="13"/>
  <c r="AN930" i="13"/>
  <c r="AK989" i="13"/>
  <c r="AC1051" i="13"/>
  <c r="AU1051" i="13"/>
  <c r="AC1098" i="13"/>
  <c r="AD1098" i="13" s="1"/>
  <c r="AU1098" i="13"/>
  <c r="AH644" i="13"/>
  <c r="AC648" i="13"/>
  <c r="Y670" i="13"/>
  <c r="AN670" i="13"/>
  <c r="AL673" i="13"/>
  <c r="AJ689" i="13"/>
  <c r="AH693" i="13"/>
  <c r="AO746" i="13"/>
  <c r="BB746" i="13"/>
  <c r="BA776" i="13"/>
  <c r="AC784" i="13"/>
  <c r="AC797" i="13"/>
  <c r="AC810" i="13"/>
  <c r="AC817" i="13"/>
  <c r="AD817" i="13" s="1"/>
  <c r="AC821" i="13"/>
  <c r="AD821" i="13" s="1"/>
  <c r="AN823" i="13"/>
  <c r="AC845" i="13"/>
  <c r="AC860" i="13"/>
  <c r="AJ864" i="13"/>
  <c r="AN873" i="13"/>
  <c r="AC888" i="13"/>
  <c r="BB905" i="13"/>
  <c r="BB919" i="13"/>
  <c r="BA919" i="13"/>
  <c r="BA929" i="13"/>
  <c r="BB929" i="13"/>
  <c r="BA972" i="13"/>
  <c r="BB972" i="13"/>
  <c r="BA1001" i="13"/>
  <c r="BB1001" i="13"/>
  <c r="BB1089" i="13"/>
  <c r="BA1089" i="13"/>
  <c r="AM657" i="13"/>
  <c r="AO662" i="13"/>
  <c r="AH675" i="13"/>
  <c r="AH685" i="13"/>
  <c r="AN717" i="13"/>
  <c r="AL728" i="13"/>
  <c r="AC747" i="13"/>
  <c r="AD747" i="13" s="1"/>
  <c r="AC762" i="13"/>
  <c r="AC777" i="13"/>
  <c r="AU871" i="13"/>
  <c r="BA910" i="13"/>
  <c r="BB910" i="13"/>
  <c r="BA1096" i="13"/>
  <c r="BB1096" i="13"/>
  <c r="AM1121" i="13"/>
  <c r="AJ1121" i="13"/>
  <c r="AC1125" i="13"/>
  <c r="AU1125" i="13"/>
  <c r="AL633" i="13"/>
  <c r="AC649" i="13"/>
  <c r="AL665" i="13"/>
  <c r="AU668" i="13"/>
  <c r="AL689" i="13"/>
  <c r="AM694" i="13"/>
  <c r="AL699" i="13"/>
  <c r="AC705" i="13"/>
  <c r="AL732" i="13"/>
  <c r="AM741" i="13"/>
  <c r="AC758" i="13"/>
  <c r="AU797" i="13"/>
  <c r="BA810" i="13"/>
  <c r="AU814" i="13"/>
  <c r="AI821" i="13"/>
  <c r="AJ823" i="13"/>
  <c r="BB832" i="13"/>
  <c r="AN845" i="13"/>
  <c r="AN849" i="13"/>
  <c r="AM855" i="13"/>
  <c r="BB891" i="13"/>
  <c r="AO898" i="13"/>
  <c r="BB898" i="13"/>
  <c r="BB907" i="13"/>
  <c r="AC926" i="13"/>
  <c r="AU926" i="13"/>
  <c r="AJ947" i="13"/>
  <c r="AL955" i="13"/>
  <c r="AC959" i="13"/>
  <c r="AD959" i="13" s="1"/>
  <c r="AC1043" i="13"/>
  <c r="AD1043" i="13" s="1"/>
  <c r="AH632" i="13"/>
  <c r="AJ642" i="13"/>
  <c r="AU642" i="13"/>
  <c r="AN644" i="13"/>
  <c r="BA668" i="13"/>
  <c r="AU676" i="13"/>
  <c r="AJ685" i="13"/>
  <c r="AM689" i="13"/>
  <c r="AH695" i="13"/>
  <c r="AN698" i="13"/>
  <c r="BB711" i="13"/>
  <c r="AI771" i="13"/>
  <c r="AJ807" i="13"/>
  <c r="AU818" i="13"/>
  <c r="AC829" i="13"/>
  <c r="AD829" i="13" s="1"/>
  <c r="AL836" i="13"/>
  <c r="BB840" i="13"/>
  <c r="AH842" i="13"/>
  <c r="BB852" i="13"/>
  <c r="AU861" i="13"/>
  <c r="AU867" i="13"/>
  <c r="AH871" i="13"/>
  <c r="AU883" i="13"/>
  <c r="AJ959" i="13"/>
  <c r="BA986" i="13"/>
  <c r="AC1027" i="13"/>
  <c r="AC1147" i="13"/>
  <c r="AU1147" i="13"/>
  <c r="AJ1047" i="13"/>
  <c r="Y1048" i="13"/>
  <c r="AH1087" i="13"/>
  <c r="BA1132" i="13"/>
  <c r="AM920" i="13"/>
  <c r="AC924" i="13"/>
  <c r="AN928" i="13"/>
  <c r="BB943" i="13"/>
  <c r="Y944" i="13"/>
  <c r="AL947" i="13"/>
  <c r="AH994" i="13"/>
  <c r="AU1023" i="13"/>
  <c r="AM1031" i="13"/>
  <c r="BA1036" i="13"/>
  <c r="BA1040" i="13"/>
  <c r="AJ1043" i="13"/>
  <c r="AN1073" i="13"/>
  <c r="AL1082" i="13"/>
  <c r="AU1083" i="13"/>
  <c r="AM1090" i="13"/>
  <c r="AI1094" i="13"/>
  <c r="AU1102" i="13"/>
  <c r="AO1105" i="13"/>
  <c r="AC1106" i="13"/>
  <c r="AC1123" i="13"/>
  <c r="AN1124" i="13"/>
  <c r="AN1171" i="13"/>
  <c r="AC1178" i="13"/>
  <c r="AN1179" i="13"/>
  <c r="Y910" i="13"/>
  <c r="AO913" i="13"/>
  <c r="AC916" i="13"/>
  <c r="AN920" i="13"/>
  <c r="BB926" i="13"/>
  <c r="AU954" i="13"/>
  <c r="AI958" i="13"/>
  <c r="AK961" i="13"/>
  <c r="AK965" i="13"/>
  <c r="BA969" i="13"/>
  <c r="AI1000" i="13"/>
  <c r="AL1008" i="13"/>
  <c r="AU1017" i="13"/>
  <c r="Y1018" i="13"/>
  <c r="AC1037" i="13"/>
  <c r="AD1037" i="13" s="1"/>
  <c r="AL1038" i="13"/>
  <c r="AJ1039" i="13"/>
  <c r="BB1048" i="13"/>
  <c r="Y1049" i="13"/>
  <c r="BA1068" i="13"/>
  <c r="BB1078" i="13"/>
  <c r="AU1087" i="13"/>
  <c r="AN1090" i="13"/>
  <c r="AO1092" i="13"/>
  <c r="BB1094" i="13"/>
  <c r="AO1096" i="13"/>
  <c r="BA1102" i="13"/>
  <c r="AH1106" i="13"/>
  <c r="AM1107" i="13"/>
  <c r="AI1110" i="13"/>
  <c r="AO1113" i="13"/>
  <c r="AJ1122" i="13"/>
  <c r="AC1131" i="13"/>
  <c r="BA1144" i="13"/>
  <c r="AH1154" i="13"/>
  <c r="BA1154" i="13"/>
  <c r="AU1174" i="13"/>
  <c r="Y1186" i="13"/>
  <c r="AJ1201" i="13"/>
  <c r="AC904" i="13"/>
  <c r="AI910" i="13"/>
  <c r="AL943" i="13"/>
  <c r="AU944" i="13"/>
  <c r="BB954" i="13"/>
  <c r="AC955" i="13"/>
  <c r="AL961" i="13"/>
  <c r="AK969" i="13"/>
  <c r="AL984" i="13"/>
  <c r="AU987" i="13"/>
  <c r="AU994" i="13"/>
  <c r="BB1000" i="13"/>
  <c r="BB1025" i="13"/>
  <c r="AM1027" i="13"/>
  <c r="BB1028" i="13"/>
  <c r="AN1030" i="13"/>
  <c r="AN1036" i="13"/>
  <c r="AO1040" i="13"/>
  <c r="BB1052" i="13"/>
  <c r="Y1053" i="13"/>
  <c r="AC1058" i="13"/>
  <c r="AC1063" i="13"/>
  <c r="AD1063" i="13" s="1"/>
  <c r="AC1069" i="13"/>
  <c r="AD1069" i="13" s="1"/>
  <c r="AU1095" i="13"/>
  <c r="AI1100" i="13"/>
  <c r="AN1107" i="13"/>
  <c r="AN1109" i="13"/>
  <c r="BA1116" i="13"/>
  <c r="AN1120" i="13"/>
  <c r="BA1123" i="13"/>
  <c r="AO1138" i="13"/>
  <c r="BB1151" i="13"/>
  <c r="AO1187" i="13"/>
  <c r="AU906" i="13"/>
  <c r="AN916" i="13"/>
  <c r="AN926" i="13"/>
  <c r="Y930" i="13"/>
  <c r="AU950" i="13"/>
  <c r="AI988" i="13"/>
  <c r="AU988" i="13"/>
  <c r="AM994" i="13"/>
  <c r="AC1026" i="13"/>
  <c r="AI1029" i="13"/>
  <c r="AN1032" i="13"/>
  <c r="AO1082" i="13"/>
  <c r="AI1089" i="13"/>
  <c r="BA1103" i="13"/>
  <c r="Y1121" i="13"/>
  <c r="AO1121" i="13"/>
  <c r="AL1143" i="13"/>
  <c r="BB1182" i="13"/>
  <c r="Y1197" i="13"/>
  <c r="AJ938" i="13"/>
  <c r="AU946" i="13"/>
  <c r="BB958" i="13"/>
  <c r="AI989" i="13"/>
  <c r="AI992" i="13"/>
  <c r="AU1006" i="13"/>
  <c r="AC1013" i="13"/>
  <c r="BB1021" i="13"/>
  <c r="AC1022" i="13"/>
  <c r="AC1030" i="13"/>
  <c r="AL1044" i="13"/>
  <c r="AC1050" i="13"/>
  <c r="AN1066" i="13"/>
  <c r="BA1085" i="13"/>
  <c r="AO1091" i="13"/>
  <c r="AM1106" i="13"/>
  <c r="AN1144" i="13"/>
  <c r="BB1145" i="13"/>
  <c r="AU1156" i="13"/>
  <c r="AI1161" i="13"/>
  <c r="AJ1166" i="13"/>
  <c r="AU1187" i="13"/>
  <c r="BA1191" i="13"/>
  <c r="AN983" i="13"/>
  <c r="AJ1034" i="13"/>
  <c r="Y1043" i="13"/>
  <c r="AL1073" i="13"/>
  <c r="AH1078" i="13"/>
  <c r="Y1097" i="13"/>
  <c r="AI1102" i="13"/>
  <c r="AM1113" i="13"/>
  <c r="AL1170" i="13"/>
  <c r="AJ1197" i="13"/>
  <c r="T2" i="13"/>
  <c r="H22" i="6" s="1" a="1"/>
  <c r="H22" i="6" s="1"/>
  <c r="K2" i="11"/>
  <c r="T3" i="13"/>
  <c r="K3" i="11"/>
  <c r="AC73" i="13"/>
  <c r="AR73" i="13"/>
  <c r="AO73" i="13"/>
  <c r="AJ73" i="13"/>
  <c r="BB84" i="13"/>
  <c r="T84" i="11"/>
  <c r="L84" i="11"/>
  <c r="D84" i="11"/>
  <c r="S84" i="11"/>
  <c r="K84" i="11"/>
  <c r="C84" i="11"/>
  <c r="Z84" i="11"/>
  <c r="R84" i="11"/>
  <c r="J84" i="11"/>
  <c r="B84" i="11"/>
  <c r="Y84" i="11"/>
  <c r="Q84" i="11"/>
  <c r="I84" i="11"/>
  <c r="A84" i="11"/>
  <c r="W84" i="11"/>
  <c r="O84" i="11"/>
  <c r="G84" i="11"/>
  <c r="V84" i="11"/>
  <c r="N84" i="11"/>
  <c r="F84" i="11"/>
  <c r="BB264" i="13"/>
  <c r="T264" i="11"/>
  <c r="L264" i="11"/>
  <c r="D264" i="11"/>
  <c r="BA264" i="13"/>
  <c r="S264" i="11"/>
  <c r="K264" i="11"/>
  <c r="C264" i="11"/>
  <c r="Z264" i="11"/>
  <c r="R264" i="11"/>
  <c r="J264" i="11"/>
  <c r="B264" i="11"/>
  <c r="Y264" i="11"/>
  <c r="Q264" i="11"/>
  <c r="I264" i="11"/>
  <c r="A264" i="11"/>
  <c r="X264" i="11"/>
  <c r="P264" i="11"/>
  <c r="H264" i="11"/>
  <c r="W264" i="11"/>
  <c r="O264" i="11"/>
  <c r="G264" i="11"/>
  <c r="V264" i="11"/>
  <c r="N264" i="11"/>
  <c r="F264" i="11"/>
  <c r="AL356" i="13"/>
  <c r="AJ356" i="13"/>
  <c r="AK356" i="13"/>
  <c r="BA433" i="13"/>
  <c r="BB433" i="13"/>
  <c r="Z433" i="11"/>
  <c r="R433" i="11"/>
  <c r="J433" i="11"/>
  <c r="B433" i="11"/>
  <c r="Y433" i="11"/>
  <c r="Q433" i="11"/>
  <c r="I433" i="11"/>
  <c r="A433" i="11"/>
  <c r="X433" i="11"/>
  <c r="P433" i="11"/>
  <c r="H433" i="11"/>
  <c r="W433" i="11"/>
  <c r="O433" i="11"/>
  <c r="G433" i="11"/>
  <c r="V433" i="11"/>
  <c r="N433" i="11"/>
  <c r="F433" i="11"/>
  <c r="U433" i="11"/>
  <c r="M433" i="11"/>
  <c r="E433" i="11"/>
  <c r="T433" i="11"/>
  <c r="L433" i="11"/>
  <c r="D433" i="11"/>
  <c r="Q10" i="13"/>
  <c r="H10" i="11"/>
  <c r="BA34" i="13"/>
  <c r="V34" i="11"/>
  <c r="N34" i="11"/>
  <c r="F34" i="11"/>
  <c r="BB34" i="13"/>
  <c r="U34" i="11"/>
  <c r="M34" i="11"/>
  <c r="E34" i="11"/>
  <c r="T34" i="11"/>
  <c r="L34" i="11"/>
  <c r="D34" i="11"/>
  <c r="S34" i="11"/>
  <c r="K34" i="11"/>
  <c r="C34" i="11"/>
  <c r="Y34" i="11"/>
  <c r="Q34" i="11"/>
  <c r="I34" i="11"/>
  <c r="A34" i="11"/>
  <c r="X34" i="11"/>
  <c r="P34" i="11"/>
  <c r="H34" i="11"/>
  <c r="AR66" i="13"/>
  <c r="BA133" i="13"/>
  <c r="Z133" i="11"/>
  <c r="R133" i="11"/>
  <c r="J133" i="11"/>
  <c r="B133" i="11"/>
  <c r="BB133" i="13"/>
  <c r="Y133" i="11"/>
  <c r="Q133" i="11"/>
  <c r="I133" i="11"/>
  <c r="A133" i="11"/>
  <c r="X133" i="11"/>
  <c r="P133" i="11"/>
  <c r="H133" i="11"/>
  <c r="W133" i="11"/>
  <c r="O133" i="11"/>
  <c r="G133" i="11"/>
  <c r="V133" i="11"/>
  <c r="N133" i="11"/>
  <c r="F133" i="11"/>
  <c r="U133" i="11"/>
  <c r="M133" i="11"/>
  <c r="E133" i="11"/>
  <c r="T133" i="11"/>
  <c r="L133" i="11"/>
  <c r="D133" i="11"/>
  <c r="AU322" i="13"/>
  <c r="AC322" i="13"/>
  <c r="AO354" i="13"/>
  <c r="AN354" i="13"/>
  <c r="AR29" i="13"/>
  <c r="AO77" i="13"/>
  <c r="AL77" i="13"/>
  <c r="AO93" i="13"/>
  <c r="AL93" i="13"/>
  <c r="AU95" i="13"/>
  <c r="AC95" i="13"/>
  <c r="BA129" i="13"/>
  <c r="BB129" i="13"/>
  <c r="Z129" i="11"/>
  <c r="R129" i="11"/>
  <c r="J129" i="11"/>
  <c r="B129" i="11"/>
  <c r="Y129" i="11"/>
  <c r="Q129" i="11"/>
  <c r="I129" i="11"/>
  <c r="A129" i="11"/>
  <c r="X129" i="11"/>
  <c r="P129" i="11"/>
  <c r="H129" i="11"/>
  <c r="W129" i="11"/>
  <c r="O129" i="11"/>
  <c r="G129" i="11"/>
  <c r="V129" i="11"/>
  <c r="N129" i="11"/>
  <c r="F129" i="11"/>
  <c r="U129" i="11"/>
  <c r="M129" i="11"/>
  <c r="E129" i="11"/>
  <c r="T129" i="11"/>
  <c r="L129" i="11"/>
  <c r="D129" i="11"/>
  <c r="BA203" i="13"/>
  <c r="V203" i="11"/>
  <c r="N203" i="11"/>
  <c r="F203" i="11"/>
  <c r="BB203" i="13"/>
  <c r="U203" i="11"/>
  <c r="M203" i="11"/>
  <c r="E203" i="11"/>
  <c r="T203" i="11"/>
  <c r="L203" i="11"/>
  <c r="D203" i="11"/>
  <c r="S203" i="11"/>
  <c r="K203" i="11"/>
  <c r="C203" i="11"/>
  <c r="Z203" i="11"/>
  <c r="R203" i="11"/>
  <c r="J203" i="11"/>
  <c r="B203" i="11"/>
  <c r="Y203" i="11"/>
  <c r="Q203" i="11"/>
  <c r="I203" i="11"/>
  <c r="A203" i="11"/>
  <c r="X203" i="11"/>
  <c r="P203" i="11"/>
  <c r="H203" i="11"/>
  <c r="AK249" i="13"/>
  <c r="AO281" i="13"/>
  <c r="AI281" i="13"/>
  <c r="AJ388" i="13"/>
  <c r="AL388" i="13"/>
  <c r="AG9" i="13"/>
  <c r="C9" i="11"/>
  <c r="BB17" i="13"/>
  <c r="Y17" i="11"/>
  <c r="Q17" i="11"/>
  <c r="I17" i="11"/>
  <c r="A17" i="11"/>
  <c r="X17" i="11"/>
  <c r="P17" i="11"/>
  <c r="H17" i="11"/>
  <c r="W17" i="11"/>
  <c r="O17" i="11"/>
  <c r="G17" i="11"/>
  <c r="V17" i="11"/>
  <c r="N17" i="11"/>
  <c r="F17" i="11"/>
  <c r="T17" i="11"/>
  <c r="L17" i="11"/>
  <c r="D17" i="11"/>
  <c r="S17" i="11"/>
  <c r="K17" i="11"/>
  <c r="C17" i="11"/>
  <c r="I52" i="11"/>
  <c r="BA52" i="13"/>
  <c r="A52" i="11"/>
  <c r="Y52" i="11"/>
  <c r="AC57" i="13"/>
  <c r="AU57" i="13"/>
  <c r="BA77" i="13"/>
  <c r="Z77" i="11"/>
  <c r="R77" i="11"/>
  <c r="J77" i="11"/>
  <c r="B77" i="11"/>
  <c r="Y77" i="11"/>
  <c r="Q77" i="11"/>
  <c r="I77" i="11"/>
  <c r="A77" i="11"/>
  <c r="X77" i="11"/>
  <c r="P77" i="11"/>
  <c r="H77" i="11"/>
  <c r="W77" i="11"/>
  <c r="O77" i="11"/>
  <c r="G77" i="11"/>
  <c r="U77" i="11"/>
  <c r="M77" i="11"/>
  <c r="E77" i="11"/>
  <c r="BB77" i="13"/>
  <c r="T77" i="11"/>
  <c r="L77" i="11"/>
  <c r="D77" i="11"/>
  <c r="AU83" i="13"/>
  <c r="AC83" i="13"/>
  <c r="AD83" i="13" s="1"/>
  <c r="BB120" i="13"/>
  <c r="T120" i="11"/>
  <c r="L120" i="11"/>
  <c r="D120" i="11"/>
  <c r="S120" i="11"/>
  <c r="K120" i="11"/>
  <c r="C120" i="11"/>
  <c r="Z120" i="11"/>
  <c r="R120" i="11"/>
  <c r="J120" i="11"/>
  <c r="B120" i="11"/>
  <c r="Y120" i="11"/>
  <c r="Q120" i="11"/>
  <c r="I120" i="11"/>
  <c r="A120" i="11"/>
  <c r="X120" i="11"/>
  <c r="P120" i="11"/>
  <c r="H120" i="11"/>
  <c r="W120" i="11"/>
  <c r="O120" i="11"/>
  <c r="G120" i="11"/>
  <c r="V120" i="11"/>
  <c r="N120" i="11"/>
  <c r="F120" i="11"/>
  <c r="BB155" i="13"/>
  <c r="V155" i="11"/>
  <c r="N155" i="11"/>
  <c r="F155" i="11"/>
  <c r="U155" i="11"/>
  <c r="M155" i="11"/>
  <c r="E155" i="11"/>
  <c r="T155" i="11"/>
  <c r="L155" i="11"/>
  <c r="D155" i="11"/>
  <c r="S155" i="11"/>
  <c r="K155" i="11"/>
  <c r="C155" i="11"/>
  <c r="Z155" i="11"/>
  <c r="R155" i="11"/>
  <c r="J155" i="11"/>
  <c r="B155" i="11"/>
  <c r="Y155" i="11"/>
  <c r="Q155" i="11"/>
  <c r="I155" i="11"/>
  <c r="A155" i="11"/>
  <c r="X155" i="11"/>
  <c r="P155" i="11"/>
  <c r="H155" i="11"/>
  <c r="AO193" i="13"/>
  <c r="AK193" i="13"/>
  <c r="BA239" i="13"/>
  <c r="BB239" i="13"/>
  <c r="V239" i="11"/>
  <c r="N239" i="11"/>
  <c r="F239" i="11"/>
  <c r="U239" i="11"/>
  <c r="M239" i="11"/>
  <c r="E239" i="11"/>
  <c r="T239" i="11"/>
  <c r="L239" i="11"/>
  <c r="D239" i="11"/>
  <c r="S239" i="11"/>
  <c r="K239" i="11"/>
  <c r="C239" i="11"/>
  <c r="Z239" i="11"/>
  <c r="R239" i="11"/>
  <c r="J239" i="11"/>
  <c r="B239" i="11"/>
  <c r="Y239" i="11"/>
  <c r="Q239" i="11"/>
  <c r="I239" i="11"/>
  <c r="A239" i="11"/>
  <c r="X239" i="11"/>
  <c r="P239" i="11"/>
  <c r="H239" i="11"/>
  <c r="AR244" i="13"/>
  <c r="AU244" i="13"/>
  <c r="AC244" i="13"/>
  <c r="AD244" i="13" s="1"/>
  <c r="AC397" i="13"/>
  <c r="AU397" i="13"/>
  <c r="AC401" i="13"/>
  <c r="AD401" i="13" s="1"/>
  <c r="AR401" i="13"/>
  <c r="AU401" i="13"/>
  <c r="A24" i="1"/>
  <c r="A28" i="11"/>
  <c r="BA28" i="13"/>
  <c r="Y28" i="11"/>
  <c r="T28" i="11"/>
  <c r="L28" i="11"/>
  <c r="I28" i="11"/>
  <c r="AU80" i="13"/>
  <c r="AC80" i="13"/>
  <c r="AO97" i="13"/>
  <c r="AC105" i="13"/>
  <c r="AD105" i="13" s="1"/>
  <c r="AU105" i="13"/>
  <c r="AR105" i="13"/>
  <c r="AL233" i="13"/>
  <c r="AM233" i="13"/>
  <c r="BB308" i="13"/>
  <c r="T308" i="11"/>
  <c r="L308" i="11"/>
  <c r="D308" i="11"/>
  <c r="S308" i="11"/>
  <c r="K308" i="11"/>
  <c r="C308" i="11"/>
  <c r="Z308" i="11"/>
  <c r="R308" i="11"/>
  <c r="J308" i="11"/>
  <c r="B308" i="11"/>
  <c r="Y308" i="11"/>
  <c r="Q308" i="11"/>
  <c r="I308" i="11"/>
  <c r="A308" i="11"/>
  <c r="X308" i="11"/>
  <c r="P308" i="11"/>
  <c r="H308" i="11"/>
  <c r="W308" i="11"/>
  <c r="O308" i="11"/>
  <c r="G308" i="11"/>
  <c r="V308" i="11"/>
  <c r="N308" i="11"/>
  <c r="F308" i="11"/>
  <c r="BA309" i="13"/>
  <c r="Z309" i="11"/>
  <c r="R309" i="11"/>
  <c r="J309" i="11"/>
  <c r="B309" i="11"/>
  <c r="Y309" i="11"/>
  <c r="Q309" i="11"/>
  <c r="I309" i="11"/>
  <c r="A309" i="11"/>
  <c r="BB309" i="13"/>
  <c r="X309" i="11"/>
  <c r="P309" i="11"/>
  <c r="H309" i="11"/>
  <c r="W309" i="11"/>
  <c r="O309" i="11"/>
  <c r="G309" i="11"/>
  <c r="V309" i="11"/>
  <c r="N309" i="11"/>
  <c r="F309" i="11"/>
  <c r="U309" i="11"/>
  <c r="M309" i="11"/>
  <c r="E309" i="11"/>
  <c r="T309" i="11"/>
  <c r="L309" i="11"/>
  <c r="D309" i="11"/>
  <c r="AG395" i="13"/>
  <c r="AR395" i="13"/>
  <c r="G13" i="6"/>
  <c r="J13" i="6"/>
  <c r="W6" i="13"/>
  <c r="N6" i="11"/>
  <c r="AU68" i="13"/>
  <c r="AC68" i="13"/>
  <c r="BB91" i="13"/>
  <c r="V91" i="11"/>
  <c r="N91" i="11"/>
  <c r="F91" i="11"/>
  <c r="U91" i="11"/>
  <c r="M91" i="11"/>
  <c r="E91" i="11"/>
  <c r="T91" i="11"/>
  <c r="L91" i="11"/>
  <c r="D91" i="11"/>
  <c r="S91" i="11"/>
  <c r="K91" i="11"/>
  <c r="C91" i="11"/>
  <c r="BA91" i="13"/>
  <c r="Y91" i="11"/>
  <c r="Q91" i="11"/>
  <c r="I91" i="11"/>
  <c r="A91" i="11"/>
  <c r="X91" i="11"/>
  <c r="P91" i="11"/>
  <c r="H91" i="11"/>
  <c r="AO101" i="13"/>
  <c r="AL101" i="13"/>
  <c r="AL372" i="13"/>
  <c r="AJ372" i="13"/>
  <c r="AJ390" i="13"/>
  <c r="AH390" i="13"/>
  <c r="O13" i="6"/>
  <c r="I15" i="10"/>
  <c r="I13" i="10"/>
  <c r="Q16" i="10"/>
  <c r="A5" i="11"/>
  <c r="T17" i="10"/>
  <c r="N16" i="10"/>
  <c r="AU5" i="13"/>
  <c r="L17" i="10"/>
  <c r="K14" i="10"/>
  <c r="G17" i="10"/>
  <c r="AC5" i="13"/>
  <c r="AD5" i="13" s="1"/>
  <c r="AR41" i="13"/>
  <c r="AO69" i="13"/>
  <c r="AL69" i="13"/>
  <c r="Z76" i="13"/>
  <c r="AR76" i="13"/>
  <c r="AU124" i="13"/>
  <c r="AC124" i="13"/>
  <c r="AD124" i="13" s="1"/>
  <c r="AG144" i="13"/>
  <c r="AR144" i="13"/>
  <c r="AL217" i="13"/>
  <c r="AM217" i="13"/>
  <c r="AR225" i="13"/>
  <c r="AU225" i="13"/>
  <c r="AC225" i="13"/>
  <c r="AD225" i="13" s="1"/>
  <c r="AO303" i="13"/>
  <c r="AM303" i="13"/>
  <c r="BA345" i="13"/>
  <c r="BB345" i="13"/>
  <c r="Z345" i="11"/>
  <c r="R345" i="11"/>
  <c r="J345" i="11"/>
  <c r="B345" i="11"/>
  <c r="Y345" i="11"/>
  <c r="Q345" i="11"/>
  <c r="I345" i="11"/>
  <c r="A345" i="11"/>
  <c r="X345" i="11"/>
  <c r="P345" i="11"/>
  <c r="H345" i="11"/>
  <c r="W345" i="11"/>
  <c r="O345" i="11"/>
  <c r="G345" i="11"/>
  <c r="V345" i="11"/>
  <c r="N345" i="11"/>
  <c r="F345" i="11"/>
  <c r="U345" i="11"/>
  <c r="M345" i="11"/>
  <c r="E345" i="11"/>
  <c r="T345" i="11"/>
  <c r="L345" i="11"/>
  <c r="D345" i="11"/>
  <c r="G224" i="1"/>
  <c r="G60" i="1" s="1"/>
  <c r="Y48" i="11"/>
  <c r="Q48" i="11"/>
  <c r="I48" i="11"/>
  <c r="A48" i="11"/>
  <c r="AO54" i="13"/>
  <c r="AN60" i="13"/>
  <c r="AH60" i="13"/>
  <c r="AM93" i="13"/>
  <c r="AC109" i="13"/>
  <c r="AU109" i="13"/>
  <c r="AR109" i="13"/>
  <c r="AL109" i="13"/>
  <c r="AJ109" i="13"/>
  <c r="BB112" i="13"/>
  <c r="T112" i="11"/>
  <c r="L112" i="11"/>
  <c r="D112" i="11"/>
  <c r="S112" i="11"/>
  <c r="K112" i="11"/>
  <c r="C112" i="11"/>
  <c r="Z112" i="11"/>
  <c r="R112" i="11"/>
  <c r="J112" i="11"/>
  <c r="B112" i="11"/>
  <c r="Y112" i="11"/>
  <c r="Q112" i="11"/>
  <c r="I112" i="11"/>
  <c r="A112" i="11"/>
  <c r="X112" i="11"/>
  <c r="P112" i="11"/>
  <c r="H112" i="11"/>
  <c r="W112" i="11"/>
  <c r="O112" i="11"/>
  <c r="G112" i="11"/>
  <c r="V112" i="11"/>
  <c r="N112" i="11"/>
  <c r="F112" i="11"/>
  <c r="AG342" i="13"/>
  <c r="AR342" i="13"/>
  <c r="BA391" i="13"/>
  <c r="BB391" i="13"/>
  <c r="V391" i="11"/>
  <c r="N391" i="11"/>
  <c r="F391" i="11"/>
  <c r="U391" i="11"/>
  <c r="M391" i="11"/>
  <c r="E391" i="11"/>
  <c r="T391" i="11"/>
  <c r="L391" i="11"/>
  <c r="D391" i="11"/>
  <c r="S391" i="11"/>
  <c r="K391" i="11"/>
  <c r="C391" i="11"/>
  <c r="Z391" i="11"/>
  <c r="R391" i="11"/>
  <c r="J391" i="11"/>
  <c r="B391" i="11"/>
  <c r="Y391" i="11"/>
  <c r="Q391" i="11"/>
  <c r="I391" i="11"/>
  <c r="A391" i="11"/>
  <c r="X391" i="11"/>
  <c r="P391" i="11"/>
  <c r="H391" i="11"/>
  <c r="T2" i="11"/>
  <c r="T3" i="11"/>
  <c r="AR5" i="13"/>
  <c r="W6" i="11"/>
  <c r="W7" i="11"/>
  <c r="T9" i="11"/>
  <c r="Q10" i="11"/>
  <c r="BB19" i="13"/>
  <c r="AC20" i="13"/>
  <c r="BB23" i="13"/>
  <c r="AC24" i="13"/>
  <c r="BB26" i="13"/>
  <c r="Y27" i="13"/>
  <c r="AU29" i="13"/>
  <c r="Y30" i="13"/>
  <c r="AC36" i="13"/>
  <c r="AD36" i="13" s="1"/>
  <c r="BB38" i="13"/>
  <c r="AU41" i="13"/>
  <c r="Y42" i="13"/>
  <c r="AU53" i="13"/>
  <c r="Y54" i="13"/>
  <c r="AR57" i="13"/>
  <c r="Y58" i="13"/>
  <c r="AR60" i="13"/>
  <c r="AO61" i="13"/>
  <c r="AI63" i="13"/>
  <c r="BB66" i="13"/>
  <c r="AR68" i="13"/>
  <c r="BB74" i="13"/>
  <c r="AH76" i="13"/>
  <c r="AJ76" i="13"/>
  <c r="AR80" i="13"/>
  <c r="AR83" i="13"/>
  <c r="AM84" i="13"/>
  <c r="AR84" i="13"/>
  <c r="BB86" i="13"/>
  <c r="BA96" i="13"/>
  <c r="AL106" i="13"/>
  <c r="BB106" i="13"/>
  <c r="BB114" i="13"/>
  <c r="AG117" i="13"/>
  <c r="BB118" i="13"/>
  <c r="AR124" i="13"/>
  <c r="Z124" i="13"/>
  <c r="AL125" i="13"/>
  <c r="AC128" i="13"/>
  <c r="AM129" i="13"/>
  <c r="AM133" i="13"/>
  <c r="AU152" i="13"/>
  <c r="AR152" i="13"/>
  <c r="AC152" i="13"/>
  <c r="AR165" i="13"/>
  <c r="AC176" i="13"/>
  <c r="AD176" i="13" s="1"/>
  <c r="BB193" i="13"/>
  <c r="BA193" i="13"/>
  <c r="AU200" i="13"/>
  <c r="AC200" i="13"/>
  <c r="BA252" i="13"/>
  <c r="AM257" i="13"/>
  <c r="AN271" i="13"/>
  <c r="AL281" i="13"/>
  <c r="AO287" i="13"/>
  <c r="AM287" i="13"/>
  <c r="AL321" i="13"/>
  <c r="AN355" i="13"/>
  <c r="BA356" i="13"/>
  <c r="BB356" i="13"/>
  <c r="AC369" i="13"/>
  <c r="AD369" i="13" s="1"/>
  <c r="AU369" i="13"/>
  <c r="Z369" i="13"/>
  <c r="AJ374" i="13"/>
  <c r="AH374" i="13"/>
  <c r="AC393" i="13"/>
  <c r="AU393" i="13"/>
  <c r="AR393" i="13"/>
  <c r="BA395" i="13"/>
  <c r="BB395" i="13"/>
  <c r="AR405" i="13"/>
  <c r="Z405" i="13"/>
  <c r="AU406" i="13"/>
  <c r="AR406" i="13"/>
  <c r="AR425" i="13"/>
  <c r="AU426" i="13"/>
  <c r="AR426" i="13"/>
  <c r="AC426" i="13"/>
  <c r="AD426" i="13" s="1"/>
  <c r="AK462" i="13"/>
  <c r="Z467" i="13"/>
  <c r="AR467" i="13"/>
  <c r="U3" i="11"/>
  <c r="S5" i="11"/>
  <c r="S7" i="13"/>
  <c r="Y10" i="11"/>
  <c r="BB11" i="13"/>
  <c r="AC12" i="13"/>
  <c r="AD12" i="13" s="1"/>
  <c r="BB15" i="13"/>
  <c r="AC16" i="13"/>
  <c r="AD16" i="13" s="1"/>
  <c r="AR36" i="13"/>
  <c r="BB46" i="13"/>
  <c r="BB50" i="13"/>
  <c r="AU60" i="13"/>
  <c r="AG65" i="13"/>
  <c r="AI75" i="13"/>
  <c r="AR81" i="13"/>
  <c r="AU84" i="13"/>
  <c r="AO89" i="13"/>
  <c r="BB98" i="13"/>
  <c r="AC107" i="13"/>
  <c r="AL110" i="13"/>
  <c r="BB110" i="13"/>
  <c r="AG113" i="13"/>
  <c r="AL113" i="13" s="1"/>
  <c r="AC115" i="13"/>
  <c r="AD115" i="13" s="1"/>
  <c r="AJ117" i="13"/>
  <c r="AC119" i="13"/>
  <c r="AR121" i="13"/>
  <c r="AR127" i="13"/>
  <c r="AU136" i="13"/>
  <c r="AC136" i="13"/>
  <c r="AN154" i="13"/>
  <c r="AO202" i="13"/>
  <c r="AU205" i="13"/>
  <c r="AC205" i="13"/>
  <c r="AN212" i="13"/>
  <c r="AK212" i="13"/>
  <c r="AR237" i="13"/>
  <c r="AU237" i="13"/>
  <c r="AC237" i="13"/>
  <c r="AD237" i="13" s="1"/>
  <c r="AC276" i="13"/>
  <c r="AU276" i="13"/>
  <c r="AR317" i="13"/>
  <c r="AC317" i="13"/>
  <c r="AD317" i="13" s="1"/>
  <c r="AR325" i="13"/>
  <c r="AK346" i="13"/>
  <c r="AH355" i="13"/>
  <c r="AU358" i="13"/>
  <c r="AR358" i="13"/>
  <c r="AC358" i="13"/>
  <c r="AO358" i="13"/>
  <c r="AJ361" i="13"/>
  <c r="AC365" i="13"/>
  <c r="AD365" i="13" s="1"/>
  <c r="AU365" i="13"/>
  <c r="BA367" i="13"/>
  <c r="BB367" i="13"/>
  <c r="AC375" i="13"/>
  <c r="AU375" i="13"/>
  <c r="AR375" i="13"/>
  <c r="AO386" i="13"/>
  <c r="AN386" i="13"/>
  <c r="AK386" i="13"/>
  <c r="AO396" i="13"/>
  <c r="AL396" i="13"/>
  <c r="AJ396" i="13"/>
  <c r="AO404" i="13"/>
  <c r="AL404" i="13"/>
  <c r="AJ404" i="13"/>
  <c r="T5" i="11"/>
  <c r="Y31" i="13"/>
  <c r="AR33" i="13"/>
  <c r="Y37" i="13"/>
  <c r="AH100" i="13"/>
  <c r="AJ100" i="13"/>
  <c r="AN106" i="13"/>
  <c r="AC111" i="13"/>
  <c r="AD111" i="13" s="1"/>
  <c r="AN118" i="13"/>
  <c r="AC132" i="13"/>
  <c r="AD132" i="13" s="1"/>
  <c r="AN138" i="13"/>
  <c r="AR209" i="13"/>
  <c r="AC209" i="13"/>
  <c r="BA211" i="13"/>
  <c r="BB211" i="13"/>
  <c r="BB299" i="13"/>
  <c r="BA299" i="13"/>
  <c r="AU306" i="13"/>
  <c r="BA346" i="13"/>
  <c r="BB346" i="13"/>
  <c r="BA350" i="13"/>
  <c r="BB350" i="13"/>
  <c r="AL364" i="13"/>
  <c r="AK364" i="13"/>
  <c r="AJ364" i="13"/>
  <c r="AC417" i="13"/>
  <c r="AU417" i="13"/>
  <c r="Z449" i="13"/>
  <c r="AR449" i="13"/>
  <c r="U5" i="11"/>
  <c r="AC8" i="13"/>
  <c r="AD8" i="13" s="1"/>
  <c r="T10" i="11"/>
  <c r="AR12" i="13"/>
  <c r="AR16" i="13"/>
  <c r="AC25" i="13"/>
  <c r="AD25" i="13" s="1"/>
  <c r="Y34" i="13"/>
  <c r="AC37" i="13"/>
  <c r="AR64" i="13"/>
  <c r="AM73" i="13"/>
  <c r="Y77" i="13"/>
  <c r="BA83" i="13"/>
  <c r="BB90" i="13"/>
  <c r="AC92" i="13"/>
  <c r="AD92" i="13" s="1"/>
  <c r="AR99" i="13"/>
  <c r="AC99" i="13"/>
  <c r="AJ104" i="13"/>
  <c r="AK104" i="13"/>
  <c r="AH104" i="13"/>
  <c r="AC108" i="13"/>
  <c r="AD108" i="13" s="1"/>
  <c r="AM109" i="13"/>
  <c r="AN110" i="13"/>
  <c r="AR111" i="13"/>
  <c r="AL117" i="13"/>
  <c r="BB121" i="13"/>
  <c r="BA165" i="13"/>
  <c r="BB165" i="13"/>
  <c r="AU168" i="13"/>
  <c r="AR168" i="13"/>
  <c r="AC168" i="13"/>
  <c r="Y181" i="13"/>
  <c r="AO183" i="13"/>
  <c r="AK183" i="13"/>
  <c r="AU188" i="13"/>
  <c r="AC188" i="13"/>
  <c r="AD188" i="13" s="1"/>
  <c r="AC192" i="13"/>
  <c r="Y199" i="13"/>
  <c r="AR216" i="13"/>
  <c r="AU216" i="13"/>
  <c r="BB236" i="13"/>
  <c r="BA236" i="13"/>
  <c r="AL261" i="13"/>
  <c r="AM261" i="13"/>
  <c r="AK261" i="13"/>
  <c r="AL267" i="13"/>
  <c r="AH267" i="13"/>
  <c r="AU272" i="13"/>
  <c r="AL283" i="13"/>
  <c r="AH283" i="13"/>
  <c r="AO291" i="13"/>
  <c r="AM291" i="13"/>
  <c r="AO296" i="13"/>
  <c r="AM296" i="13"/>
  <c r="AL358" i="13"/>
  <c r="AJ358" i="13"/>
  <c r="AH358" i="13"/>
  <c r="AU370" i="13"/>
  <c r="AC370" i="13"/>
  <c r="AK372" i="13"/>
  <c r="AC394" i="13"/>
  <c r="AO398" i="13"/>
  <c r="AJ398" i="13"/>
  <c r="AK416" i="13"/>
  <c r="AN416" i="13"/>
  <c r="AL416" i="13"/>
  <c r="Z3" i="11"/>
  <c r="F5" i="11"/>
  <c r="N5" i="11"/>
  <c r="S6" i="11"/>
  <c r="AI7" i="13"/>
  <c r="AR8" i="13"/>
  <c r="W9" i="13"/>
  <c r="N13" i="10" s="1"/>
  <c r="AR13" i="13"/>
  <c r="Y14" i="13"/>
  <c r="AR21" i="13"/>
  <c r="Y22" i="13"/>
  <c r="AR40" i="13"/>
  <c r="BB43" i="13"/>
  <c r="AC44" i="13"/>
  <c r="AI47" i="13"/>
  <c r="BB55" i="13"/>
  <c r="AC56" i="13"/>
  <c r="AD56" i="13" s="1"/>
  <c r="BB59" i="13"/>
  <c r="AJ63" i="13"/>
  <c r="AC64" i="13"/>
  <c r="AD64" i="13" s="1"/>
  <c r="BB65" i="13"/>
  <c r="Y66" i="13"/>
  <c r="BB70" i="13"/>
  <c r="BB73" i="13"/>
  <c r="AO81" i="13"/>
  <c r="AL85" i="13"/>
  <c r="AH92" i="13"/>
  <c r="AJ92" i="13"/>
  <c r="BB93" i="13"/>
  <c r="Y94" i="13"/>
  <c r="AR96" i="13"/>
  <c r="AR97" i="13"/>
  <c r="AM100" i="13"/>
  <c r="BB102" i="13"/>
  <c r="BB105" i="13"/>
  <c r="AR108" i="13"/>
  <c r="AH108" i="13"/>
  <c r="AH112" i="13"/>
  <c r="BB117" i="13"/>
  <c r="AM121" i="13"/>
  <c r="AL129" i="13"/>
  <c r="AJ132" i="13"/>
  <c r="AN150" i="13"/>
  <c r="AC156" i="13"/>
  <c r="AD156" i="13" s="1"/>
  <c r="AU156" i="13"/>
  <c r="AR156" i="13"/>
  <c r="AM209" i="13"/>
  <c r="AK209" i="13"/>
  <c r="AU209" i="13"/>
  <c r="Y210" i="13"/>
  <c r="AL221" i="13"/>
  <c r="AK221" i="13"/>
  <c r="BA227" i="13"/>
  <c r="BB227" i="13"/>
  <c r="AR256" i="13"/>
  <c r="AU256" i="13"/>
  <c r="AK267" i="13"/>
  <c r="AU286" i="13"/>
  <c r="AC286" i="13"/>
  <c r="BA337" i="13"/>
  <c r="BB337" i="13"/>
  <c r="AL337" i="13"/>
  <c r="AC340" i="13"/>
  <c r="AU340" i="13"/>
  <c r="AI345" i="13"/>
  <c r="AL351" i="13"/>
  <c r="AC359" i="13"/>
  <c r="AR359" i="13"/>
  <c r="BA361" i="13"/>
  <c r="BB361" i="13"/>
  <c r="AO362" i="13"/>
  <c r="AJ370" i="13"/>
  <c r="AC376" i="13"/>
  <c r="AD376" i="13" s="1"/>
  <c r="AI385" i="13"/>
  <c r="AI391" i="13"/>
  <c r="AL391" i="13"/>
  <c r="AJ394" i="13"/>
  <c r="AK402" i="13"/>
  <c r="BA416" i="13"/>
  <c r="BB416" i="13"/>
  <c r="AK422" i="13"/>
  <c r="AU3" i="13"/>
  <c r="AU4" i="13"/>
  <c r="AC4" i="13"/>
  <c r="AD4" i="13" s="1"/>
  <c r="T6" i="11"/>
  <c r="T7" i="11"/>
  <c r="V10" i="11"/>
  <c r="AR17" i="13"/>
  <c r="Y18" i="13"/>
  <c r="AR25" i="13"/>
  <c r="AR28" i="13"/>
  <c r="BB31" i="13"/>
  <c r="AR37" i="13"/>
  <c r="AI43" i="13"/>
  <c r="AR48" i="13"/>
  <c r="AR52" i="13"/>
  <c r="AI55" i="13"/>
  <c r="BA68" i="13"/>
  <c r="Y69" i="13"/>
  <c r="AC79" i="13"/>
  <c r="BA80" i="13"/>
  <c r="AR91" i="13"/>
  <c r="AM97" i="13"/>
  <c r="Y98" i="13"/>
  <c r="BB109" i="13"/>
  <c r="BB113" i="13"/>
  <c r="AR120" i="13"/>
  <c r="AC123" i="13"/>
  <c r="AD123" i="13" s="1"/>
  <c r="AM125" i="13"/>
  <c r="AN130" i="13"/>
  <c r="AL137" i="13"/>
  <c r="AJ137" i="13"/>
  <c r="AU140" i="13"/>
  <c r="AR140" i="13"/>
  <c r="AR149" i="13"/>
  <c r="BA153" i="13"/>
  <c r="BB153" i="13"/>
  <c r="AK172" i="13"/>
  <c r="BB177" i="13"/>
  <c r="BA177" i="13"/>
  <c r="AU184" i="13"/>
  <c r="AC184" i="13"/>
  <c r="AD184" i="13" s="1"/>
  <c r="AO210" i="13"/>
  <c r="AM210" i="13"/>
  <c r="AM245" i="13"/>
  <c r="AO265" i="13"/>
  <c r="AI265" i="13"/>
  <c r="BB267" i="13"/>
  <c r="BA267" i="13"/>
  <c r="AC269" i="13"/>
  <c r="AD269" i="13" s="1"/>
  <c r="AU282" i="13"/>
  <c r="AR282" i="13"/>
  <c r="AC282" i="13"/>
  <c r="AD282" i="13" s="1"/>
  <c r="AC310" i="13"/>
  <c r="AJ345" i="13"/>
  <c r="BA351" i="13"/>
  <c r="BB351" i="13"/>
  <c r="AK362" i="13"/>
  <c r="AO370" i="13"/>
  <c r="AN370" i="13"/>
  <c r="Y374" i="13"/>
  <c r="BA385" i="13"/>
  <c r="BB385" i="13"/>
  <c r="AM391" i="13"/>
  <c r="BA402" i="13"/>
  <c r="BB402" i="13"/>
  <c r="AU410" i="13"/>
  <c r="AC410" i="13"/>
  <c r="AD410" i="13" s="1"/>
  <c r="Z410" i="13"/>
  <c r="AR4" i="13"/>
  <c r="V5" i="11"/>
  <c r="U7" i="11"/>
  <c r="AR9" i="13"/>
  <c r="W10" i="11"/>
  <c r="Y15" i="13"/>
  <c r="Y26" i="13"/>
  <c r="AC32" i="13"/>
  <c r="Y38" i="13"/>
  <c r="AR44" i="13"/>
  <c r="AR56" i="13"/>
  <c r="AM61" i="13"/>
  <c r="AU61" i="13"/>
  <c r="AC63" i="13"/>
  <c r="BB82" i="13"/>
  <c r="AH84" i="13"/>
  <c r="AJ84" i="13"/>
  <c r="AR88" i="13"/>
  <c r="AR89" i="13"/>
  <c r="AN107" i="13"/>
  <c r="AN119" i="13"/>
  <c r="BA137" i="13"/>
  <c r="BB137" i="13"/>
  <c r="AJ149" i="13"/>
  <c r="AC163" i="13"/>
  <c r="AO199" i="13"/>
  <c r="AK199" i="13"/>
  <c r="AR204" i="13"/>
  <c r="AU204" i="13"/>
  <c r="AC204" i="13"/>
  <c r="Y244" i="13"/>
  <c r="Y275" i="13"/>
  <c r="BB278" i="13"/>
  <c r="BA278" i="13"/>
  <c r="AM279" i="13"/>
  <c r="AN279" i="13"/>
  <c r="AL279" i="13"/>
  <c r="AR287" i="13"/>
  <c r="Y322" i="13"/>
  <c r="AL348" i="13"/>
  <c r="AK348" i="13"/>
  <c r="AJ348" i="13"/>
  <c r="AJ354" i="13"/>
  <c r="BA366" i="13"/>
  <c r="BB366" i="13"/>
  <c r="AC371" i="13"/>
  <c r="AU371" i="13"/>
  <c r="AR371" i="13"/>
  <c r="AU374" i="13"/>
  <c r="AR374" i="13"/>
  <c r="AC374" i="13"/>
  <c r="AR409" i="13"/>
  <c r="Z409" i="13"/>
  <c r="AC414" i="13"/>
  <c r="AU434" i="13"/>
  <c r="AC434" i="13"/>
  <c r="AD434" i="13" s="1"/>
  <c r="AN123" i="13"/>
  <c r="AR136" i="13"/>
  <c r="AU144" i="13"/>
  <c r="AC147" i="13"/>
  <c r="AD147" i="13" s="1"/>
  <c r="AU149" i="13"/>
  <c r="BB158" i="13"/>
  <c r="AL162" i="13"/>
  <c r="AC164" i="13"/>
  <c r="AM165" i="13"/>
  <c r="AR181" i="13"/>
  <c r="AC181" i="13"/>
  <c r="AM185" i="13"/>
  <c r="AR197" i="13"/>
  <c r="AC197" i="13"/>
  <c r="AM201" i="13"/>
  <c r="AK205" i="13"/>
  <c r="AR206" i="13"/>
  <c r="AR213" i="13"/>
  <c r="AI215" i="13"/>
  <c r="AM221" i="13"/>
  <c r="AK225" i="13"/>
  <c r="AC229" i="13"/>
  <c r="Y235" i="13"/>
  <c r="AK237" i="13"/>
  <c r="BA240" i="13"/>
  <c r="AR253" i="13"/>
  <c r="AC253" i="13"/>
  <c r="BB259" i="13"/>
  <c r="AC260" i="13"/>
  <c r="AD260" i="13" s="1"/>
  <c r="AR266" i="13"/>
  <c r="AM267" i="13"/>
  <c r="AC273" i="13"/>
  <c r="AD273" i="13" s="1"/>
  <c r="BA279" i="13"/>
  <c r="AK282" i="13"/>
  <c r="AR283" i="13"/>
  <c r="BA283" i="13"/>
  <c r="Y284" i="13"/>
  <c r="AK291" i="13"/>
  <c r="AR306" i="13"/>
  <c r="AC314" i="13"/>
  <c r="AD314" i="13" s="1"/>
  <c r="AJ320" i="13"/>
  <c r="BA325" i="13"/>
  <c r="AR334" i="13"/>
  <c r="AH335" i="13"/>
  <c r="AJ340" i="13"/>
  <c r="BB347" i="13"/>
  <c r="AR351" i="13"/>
  <c r="AI353" i="13"/>
  <c r="AL355" i="13"/>
  <c r="AJ359" i="13"/>
  <c r="AU361" i="13"/>
  <c r="BB362" i="13"/>
  <c r="AN366" i="13"/>
  <c r="AR367" i="13"/>
  <c r="AH369" i="13"/>
  <c r="AN371" i="13"/>
  <c r="AH371" i="13"/>
  <c r="AN375" i="13"/>
  <c r="AL375" i="13"/>
  <c r="AU377" i="13"/>
  <c r="AU381" i="13"/>
  <c r="BB382" i="13"/>
  <c r="BB383" i="13"/>
  <c r="AL386" i="13"/>
  <c r="AR387" i="13"/>
  <c r="AH393" i="13"/>
  <c r="AU395" i="13"/>
  <c r="BB398" i="13"/>
  <c r="BA408" i="13"/>
  <c r="BB408" i="13"/>
  <c r="AL408" i="13"/>
  <c r="AR413" i="13"/>
  <c r="Z413" i="13"/>
  <c r="AJ414" i="13"/>
  <c r="BB420" i="13"/>
  <c r="AU430" i="13"/>
  <c r="AC430" i="13"/>
  <c r="AD430" i="13" s="1"/>
  <c r="AC435" i="13"/>
  <c r="AU435" i="13"/>
  <c r="AR435" i="13"/>
  <c r="BA464" i="13"/>
  <c r="BB464" i="13"/>
  <c r="AM126" i="13"/>
  <c r="AN127" i="13"/>
  <c r="AN135" i="13"/>
  <c r="AL146" i="13"/>
  <c r="AM149" i="13"/>
  <c r="AL158" i="13"/>
  <c r="AC159" i="13"/>
  <c r="AJ161" i="13"/>
  <c r="AH163" i="13"/>
  <c r="AN172" i="13"/>
  <c r="Y174" i="13"/>
  <c r="AI184" i="13"/>
  <c r="Y187" i="13"/>
  <c r="Y190" i="13"/>
  <c r="Y194" i="13"/>
  <c r="AI200" i="13"/>
  <c r="AJ202" i="13"/>
  <c r="AI204" i="13"/>
  <c r="AL205" i="13"/>
  <c r="BB207" i="13"/>
  <c r="BB223" i="13"/>
  <c r="Y226" i="13"/>
  <c r="AI231" i="13"/>
  <c r="Y238" i="13"/>
  <c r="AM249" i="13"/>
  <c r="Y263" i="13"/>
  <c r="AU266" i="13"/>
  <c r="AN267" i="13"/>
  <c r="BA269" i="13"/>
  <c r="Y277" i="13"/>
  <c r="BA289" i="13"/>
  <c r="AI296" i="13"/>
  <c r="AI297" i="13"/>
  <c r="BA301" i="13"/>
  <c r="BA303" i="13"/>
  <c r="AR310" i="13"/>
  <c r="AO315" i="13"/>
  <c r="BA317" i="13"/>
  <c r="AR322" i="13"/>
  <c r="AC326" i="13"/>
  <c r="AR329" i="13"/>
  <c r="AC329" i="13"/>
  <c r="AI332" i="13"/>
  <c r="AR341" i="13"/>
  <c r="AC341" i="13"/>
  <c r="AD341" i="13" s="1"/>
  <c r="AN345" i="13"/>
  <c r="AU345" i="13"/>
  <c r="AN350" i="13"/>
  <c r="AR350" i="13"/>
  <c r="AU351" i="13"/>
  <c r="AR353" i="13"/>
  <c r="Z353" i="13"/>
  <c r="AL354" i="13"/>
  <c r="AR355" i="13"/>
  <c r="AN359" i="13"/>
  <c r="AC360" i="13"/>
  <c r="AN361" i="13"/>
  <c r="AR366" i="13"/>
  <c r="AU367" i="13"/>
  <c r="AI369" i="13"/>
  <c r="AL370" i="13"/>
  <c r="BB377" i="13"/>
  <c r="BB378" i="13"/>
  <c r="BB381" i="13"/>
  <c r="AC384" i="13"/>
  <c r="AN385" i="13"/>
  <c r="AU387" i="13"/>
  <c r="AR391" i="13"/>
  <c r="AL394" i="13"/>
  <c r="BB397" i="13"/>
  <c r="AN401" i="13"/>
  <c r="AK414" i="13"/>
  <c r="AU418" i="13"/>
  <c r="AR418" i="13"/>
  <c r="AC418" i="13"/>
  <c r="AD418" i="13" s="1"/>
  <c r="AC421" i="13"/>
  <c r="AU421" i="13"/>
  <c r="BA426" i="13"/>
  <c r="BB426" i="13"/>
  <c r="AO450" i="13"/>
  <c r="AH450" i="13"/>
  <c r="AK458" i="13"/>
  <c r="AL122" i="13"/>
  <c r="BB122" i="13"/>
  <c r="AN139" i="13"/>
  <c r="AL142" i="13"/>
  <c r="AC143" i="13"/>
  <c r="AJ145" i="13"/>
  <c r="AH147" i="13"/>
  <c r="BB154" i="13"/>
  <c r="AJ157" i="13"/>
  <c r="Y160" i="13"/>
  <c r="AR161" i="13"/>
  <c r="AN162" i="13"/>
  <c r="AR164" i="13"/>
  <c r="AC171" i="13"/>
  <c r="BA176" i="13"/>
  <c r="AC180" i="13"/>
  <c r="AD180" i="13" s="1"/>
  <c r="AJ186" i="13"/>
  <c r="BA192" i="13"/>
  <c r="AC196" i="13"/>
  <c r="AU202" i="13"/>
  <c r="AM205" i="13"/>
  <c r="AR208" i="13"/>
  <c r="AI208" i="13"/>
  <c r="AK213" i="13"/>
  <c r="AR217" i="13"/>
  <c r="AI219" i="13"/>
  <c r="AR220" i="13"/>
  <c r="AR224" i="13"/>
  <c r="AC224" i="13"/>
  <c r="AM225" i="13"/>
  <c r="AU232" i="13"/>
  <c r="BB235" i="13"/>
  <c r="AM237" i="13"/>
  <c r="BA244" i="13"/>
  <c r="AI247" i="13"/>
  <c r="AR248" i="13"/>
  <c r="AK253" i="13"/>
  <c r="AR257" i="13"/>
  <c r="BA266" i="13"/>
  <c r="AI270" i="13"/>
  <c r="BB273" i="13"/>
  <c r="AK283" i="13"/>
  <c r="AC283" i="13"/>
  <c r="AD283" i="13" s="1"/>
  <c r="AK286" i="13"/>
  <c r="Y292" i="13"/>
  <c r="AC294" i="13"/>
  <c r="Y300" i="13"/>
  <c r="Y308" i="13"/>
  <c r="AR314" i="13"/>
  <c r="AC318" i="13"/>
  <c r="AC321" i="13"/>
  <c r="AD321" i="13" s="1"/>
  <c r="AR336" i="13"/>
  <c r="AN343" i="13"/>
  <c r="AL343" i="13"/>
  <c r="Y352" i="13"/>
  <c r="AJ353" i="13"/>
  <c r="BB365" i="13"/>
  <c r="AK380" i="13"/>
  <c r="AC382" i="13"/>
  <c r="AD382" i="13" s="1"/>
  <c r="AJ383" i="13"/>
  <c r="AR385" i="13"/>
  <c r="BB387" i="13"/>
  <c r="AR390" i="13"/>
  <c r="AU391" i="13"/>
  <c r="AJ399" i="13"/>
  <c r="AC407" i="13"/>
  <c r="AR407" i="13"/>
  <c r="BB423" i="13"/>
  <c r="BB427" i="13"/>
  <c r="AO438" i="13"/>
  <c r="AH438" i="13"/>
  <c r="BB442" i="13"/>
  <c r="AC454" i="13"/>
  <c r="AD454" i="13" s="1"/>
  <c r="AO470" i="13"/>
  <c r="AH470" i="13"/>
  <c r="BB134" i="13"/>
  <c r="Y144" i="13"/>
  <c r="AR145" i="13"/>
  <c r="AN146" i="13"/>
  <c r="AC155" i="13"/>
  <c r="AD155" i="13" s="1"/>
  <c r="AR157" i="13"/>
  <c r="AN158" i="13"/>
  <c r="AL161" i="13"/>
  <c r="AU161" i="13"/>
  <c r="BB166" i="13"/>
  <c r="AG169" i="13"/>
  <c r="AL170" i="13"/>
  <c r="AU181" i="13"/>
  <c r="AM184" i="13"/>
  <c r="AU197" i="13"/>
  <c r="AM200" i="13"/>
  <c r="AU213" i="13"/>
  <c r="AU220" i="13"/>
  <c r="AK229" i="13"/>
  <c r="AR233" i="13"/>
  <c r="AI235" i="13"/>
  <c r="AR236" i="13"/>
  <c r="AU241" i="13"/>
  <c r="Y242" i="13"/>
  <c r="AU248" i="13"/>
  <c r="BB251" i="13"/>
  <c r="AU253" i="13"/>
  <c r="Y254" i="13"/>
  <c r="AU260" i="13"/>
  <c r="BB263" i="13"/>
  <c r="AL265" i="13"/>
  <c r="AK271" i="13"/>
  <c r="AN272" i="13"/>
  <c r="AC285" i="13"/>
  <c r="AM286" i="13"/>
  <c r="BA287" i="13"/>
  <c r="AC290" i="13"/>
  <c r="AD290" i="13" s="1"/>
  <c r="AC305" i="13"/>
  <c r="AD305" i="13" s="1"/>
  <c r="AI312" i="13"/>
  <c r="AK321" i="13"/>
  <c r="AR326" i="13"/>
  <c r="AR333" i="13"/>
  <c r="AC333" i="13"/>
  <c r="AU336" i="13"/>
  <c r="AR338" i="13"/>
  <c r="Y339" i="13"/>
  <c r="AK341" i="13"/>
  <c r="AC342" i="13"/>
  <c r="AD342" i="13" s="1"/>
  <c r="BB349" i="13"/>
  <c r="AH350" i="13"/>
  <c r="Y358" i="13"/>
  <c r="AJ362" i="13"/>
  <c r="AH377" i="13"/>
  <c r="AN383" i="13"/>
  <c r="AL383" i="13"/>
  <c r="BB394" i="13"/>
  <c r="AR399" i="13"/>
  <c r="AN403" i="13"/>
  <c r="AH403" i="13"/>
  <c r="AR403" i="13"/>
  <c r="BB415" i="13"/>
  <c r="AR421" i="13"/>
  <c r="AL424" i="13"/>
  <c r="BA435" i="13"/>
  <c r="BB435" i="13"/>
  <c r="AU438" i="13"/>
  <c r="AC438" i="13"/>
  <c r="AR447" i="13"/>
  <c r="AM521" i="13"/>
  <c r="AN521" i="13"/>
  <c r="AN122" i="13"/>
  <c r="AR123" i="13"/>
  <c r="AC127" i="13"/>
  <c r="AD127" i="13" s="1"/>
  <c r="AC131" i="13"/>
  <c r="AD131" i="13" s="1"/>
  <c r="AJ133" i="13"/>
  <c r="AC135" i="13"/>
  <c r="AL138" i="13"/>
  <c r="BB138" i="13"/>
  <c r="AR141" i="13"/>
  <c r="AN142" i="13"/>
  <c r="AL145" i="13"/>
  <c r="AU145" i="13"/>
  <c r="BB150" i="13"/>
  <c r="AL154" i="13"/>
  <c r="AC167" i="13"/>
  <c r="AD167" i="13" s="1"/>
  <c r="Y173" i="13"/>
  <c r="AR178" i="13"/>
  <c r="Y182" i="13"/>
  <c r="AR185" i="13"/>
  <c r="Y189" i="13"/>
  <c r="AR194" i="13"/>
  <c r="AR201" i="13"/>
  <c r="AM202" i="13"/>
  <c r="AN208" i="13"/>
  <c r="AM213" i="13"/>
  <c r="AK217" i="13"/>
  <c r="AR221" i="13"/>
  <c r="AU229" i="13"/>
  <c r="BA248" i="13"/>
  <c r="AR252" i="13"/>
  <c r="AC252" i="13"/>
  <c r="AD252" i="13" s="1"/>
  <c r="AM253" i="13"/>
  <c r="AK257" i="13"/>
  <c r="AR261" i="13"/>
  <c r="AR264" i="13"/>
  <c r="AC264" i="13"/>
  <c r="AK266" i="13"/>
  <c r="AR267" i="13"/>
  <c r="AO267" i="13"/>
  <c r="Y268" i="13"/>
  <c r="AL271" i="13"/>
  <c r="AM283" i="13"/>
  <c r="Y293" i="13"/>
  <c r="AR309" i="13"/>
  <c r="AR312" i="13"/>
  <c r="Y319" i="13"/>
  <c r="AR337" i="13"/>
  <c r="AC337" i="13"/>
  <c r="AD337" i="13" s="1"/>
  <c r="AL341" i="13"/>
  <c r="Y342" i="13"/>
  <c r="AJ346" i="13"/>
  <c r="AC346" i="13"/>
  <c r="AD346" i="13" s="1"/>
  <c r="AM347" i="13"/>
  <c r="AH347" i="13"/>
  <c r="AJ351" i="13"/>
  <c r="AU353" i="13"/>
  <c r="BB354" i="13"/>
  <c r="AN358" i="13"/>
  <c r="AI361" i="13"/>
  <c r="AL363" i="13"/>
  <c r="AC366" i="13"/>
  <c r="AJ367" i="13"/>
  <c r="Y372" i="13"/>
  <c r="AI377" i="13"/>
  <c r="AN379" i="13"/>
  <c r="AH382" i="13"/>
  <c r="AM383" i="13"/>
  <c r="BB389" i="13"/>
  <c r="AO394" i="13"/>
  <c r="AK396" i="13"/>
  <c r="BA399" i="13"/>
  <c r="BB399" i="13"/>
  <c r="BA403" i="13"/>
  <c r="BB403" i="13"/>
  <c r="BA411" i="13"/>
  <c r="BB411" i="13"/>
  <c r="AG415" i="13"/>
  <c r="AR415" i="13"/>
  <c r="BA418" i="13"/>
  <c r="BB418" i="13"/>
  <c r="AC419" i="13"/>
  <c r="AD419" i="13" s="1"/>
  <c r="AU419" i="13"/>
  <c r="AR419" i="13"/>
  <c r="BA421" i="13"/>
  <c r="BB421" i="13"/>
  <c r="Z445" i="13"/>
  <c r="AR445" i="13"/>
  <c r="AO477" i="13"/>
  <c r="AN477" i="13"/>
  <c r="AL477" i="13"/>
  <c r="AR131" i="13"/>
  <c r="AR133" i="13"/>
  <c r="AR135" i="13"/>
  <c r="AC139" i="13"/>
  <c r="AD139" i="13" s="1"/>
  <c r="AL150" i="13"/>
  <c r="AC151" i="13"/>
  <c r="AJ153" i="13"/>
  <c r="AM157" i="13"/>
  <c r="AJ165" i="13"/>
  <c r="Y168" i="13"/>
  <c r="AN170" i="13"/>
  <c r="AJ172" i="13"/>
  <c r="Y179" i="13"/>
  <c r="Y195" i="13"/>
  <c r="AH205" i="13"/>
  <c r="AR212" i="13"/>
  <c r="AU217" i="13"/>
  <c r="BA224" i="13"/>
  <c r="AR228" i="13"/>
  <c r="AC228" i="13"/>
  <c r="AD228" i="13" s="1"/>
  <c r="AK233" i="13"/>
  <c r="AR240" i="13"/>
  <c r="AC240" i="13"/>
  <c r="AU245" i="13"/>
  <c r="AR249" i="13"/>
  <c r="AC249" i="13"/>
  <c r="AD249" i="13" s="1"/>
  <c r="AU257" i="13"/>
  <c r="AK270" i="13"/>
  <c r="BA271" i="13"/>
  <c r="Y272" i="13"/>
  <c r="AN283" i="13"/>
  <c r="AU288" i="13"/>
  <c r="Y291" i="13"/>
  <c r="BA294" i="13"/>
  <c r="AI300" i="13"/>
  <c r="AU300" i="13"/>
  <c r="Y301" i="13"/>
  <c r="AR303" i="13"/>
  <c r="AR313" i="13"/>
  <c r="AC313" i="13"/>
  <c r="AR343" i="13"/>
  <c r="AR345" i="13"/>
  <c r="Z345" i="13"/>
  <c r="AC352" i="13"/>
  <c r="AN353" i="13"/>
  <c r="BB353" i="13"/>
  <c r="AK354" i="13"/>
  <c r="AU357" i="13"/>
  <c r="AR361" i="13"/>
  <c r="Z361" i="13"/>
  <c r="AL362" i="13"/>
  <c r="AR363" i="13"/>
  <c r="AL367" i="13"/>
  <c r="AR379" i="13"/>
  <c r="AK388" i="13"/>
  <c r="AC390" i="13"/>
  <c r="AJ391" i="13"/>
  <c r="AJ402" i="13"/>
  <c r="BA407" i="13"/>
  <c r="BB407" i="13"/>
  <c r="AJ422" i="13"/>
  <c r="AC465" i="13"/>
  <c r="AU465" i="13"/>
  <c r="AR465" i="13"/>
  <c r="AR437" i="13"/>
  <c r="AC442" i="13"/>
  <c r="AK450" i="13"/>
  <c r="AR453" i="13"/>
  <c r="AR455" i="13"/>
  <c r="AN457" i="13"/>
  <c r="BB461" i="13"/>
  <c r="AJ487" i="13"/>
  <c r="AL493" i="13"/>
  <c r="BB493" i="13"/>
  <c r="AR504" i="13"/>
  <c r="AC507" i="13"/>
  <c r="AD507" i="13" s="1"/>
  <c r="AR512" i="13"/>
  <c r="AC515" i="13"/>
  <c r="AD515" i="13" s="1"/>
  <c r="AR520" i="13"/>
  <c r="AC523" i="13"/>
  <c r="BA537" i="13"/>
  <c r="BB537" i="13"/>
  <c r="AO593" i="13"/>
  <c r="AJ593" i="13"/>
  <c r="BA600" i="13"/>
  <c r="BB600" i="13"/>
  <c r="AU405" i="13"/>
  <c r="AK410" i="13"/>
  <c r="AJ418" i="13"/>
  <c r="BB431" i="13"/>
  <c r="BB444" i="13"/>
  <c r="AK446" i="13"/>
  <c r="BB446" i="13"/>
  <c r="BB448" i="13"/>
  <c r="AL450" i="13"/>
  <c r="BB450" i="13"/>
  <c r="AN453" i="13"/>
  <c r="AU453" i="13"/>
  <c r="AU455" i="13"/>
  <c r="AC458" i="13"/>
  <c r="AD458" i="13" s="1"/>
  <c r="BB459" i="13"/>
  <c r="AK466" i="13"/>
  <c r="BB466" i="13"/>
  <c r="AL468" i="13"/>
  <c r="AR469" i="13"/>
  <c r="AR471" i="13"/>
  <c r="AJ473" i="13"/>
  <c r="AJ475" i="13"/>
  <c r="AN475" i="13"/>
  <c r="AU476" i="13"/>
  <c r="BB477" i="13"/>
  <c r="AC479" i="13"/>
  <c r="AM480" i="13"/>
  <c r="BB480" i="13"/>
  <c r="Y481" i="13"/>
  <c r="BB482" i="13"/>
  <c r="AR484" i="13"/>
  <c r="BB485" i="13"/>
  <c r="AN487" i="13"/>
  <c r="AR491" i="13"/>
  <c r="BB496" i="13"/>
  <c r="AR499" i="13"/>
  <c r="Y500" i="13"/>
  <c r="AL501" i="13"/>
  <c r="AU504" i="13"/>
  <c r="AR531" i="13"/>
  <c r="AU531" i="13"/>
  <c r="AC531" i="13"/>
  <c r="AO538" i="13"/>
  <c r="AK538" i="13"/>
  <c r="BB541" i="13"/>
  <c r="AL558" i="13"/>
  <c r="BA561" i="13"/>
  <c r="BB561" i="13"/>
  <c r="AH568" i="13"/>
  <c r="AR579" i="13"/>
  <c r="AU579" i="13"/>
  <c r="AR598" i="13"/>
  <c r="AU598" i="13"/>
  <c r="AC598" i="13"/>
  <c r="AR607" i="13"/>
  <c r="AU607" i="13"/>
  <c r="AO617" i="13"/>
  <c r="AJ617" i="13"/>
  <c r="BA620" i="13"/>
  <c r="BB620" i="13"/>
  <c r="AM640" i="13"/>
  <c r="Y400" i="13"/>
  <c r="BB405" i="13"/>
  <c r="AL410" i="13"/>
  <c r="AU415" i="13"/>
  <c r="AK418" i="13"/>
  <c r="AR422" i="13"/>
  <c r="AK426" i="13"/>
  <c r="BB429" i="13"/>
  <c r="AH430" i="13"/>
  <c r="AJ435" i="13"/>
  <c r="BB437" i="13"/>
  <c r="AK442" i="13"/>
  <c r="AL444" i="13"/>
  <c r="AL446" i="13"/>
  <c r="AR451" i="13"/>
  <c r="BB453" i="13"/>
  <c r="BB455" i="13"/>
  <c r="Y465" i="13"/>
  <c r="AL466" i="13"/>
  <c r="AU469" i="13"/>
  <c r="AU471" i="13"/>
  <c r="BB476" i="13"/>
  <c r="AR481" i="13"/>
  <c r="AC483" i="13"/>
  <c r="AN493" i="13"/>
  <c r="BB494" i="13"/>
  <c r="Y495" i="13"/>
  <c r="BB502" i="13"/>
  <c r="BB504" i="13"/>
  <c r="AR507" i="13"/>
  <c r="BB510" i="13"/>
  <c r="Y511" i="13"/>
  <c r="BB512" i="13"/>
  <c r="AR515" i="13"/>
  <c r="Y516" i="13"/>
  <c r="BB520" i="13"/>
  <c r="AR523" i="13"/>
  <c r="BB525" i="13"/>
  <c r="AJ528" i="13"/>
  <c r="AR528" i="13"/>
  <c r="AI541" i="13"/>
  <c r="AC542" i="13"/>
  <c r="AD542" i="13" s="1"/>
  <c r="BA549" i="13"/>
  <c r="BB549" i="13"/>
  <c r="AR551" i="13"/>
  <c r="AU551" i="13"/>
  <c r="AC551" i="13"/>
  <c r="BA566" i="13"/>
  <c r="BB566" i="13"/>
  <c r="AO601" i="13"/>
  <c r="AJ601" i="13"/>
  <c r="AJ666" i="13"/>
  <c r="AO666" i="13"/>
  <c r="AI697" i="13"/>
  <c r="AL697" i="13"/>
  <c r="AH697" i="13"/>
  <c r="BA699" i="13"/>
  <c r="BB699" i="13"/>
  <c r="BB469" i="13"/>
  <c r="BB473" i="13"/>
  <c r="AR475" i="13"/>
  <c r="AR489" i="13"/>
  <c r="AH494" i="13"/>
  <c r="AC495" i="13"/>
  <c r="AR500" i="13"/>
  <c r="AC503" i="13"/>
  <c r="AD503" i="13" s="1"/>
  <c r="AC511" i="13"/>
  <c r="Y527" i="13"/>
  <c r="AO536" i="13"/>
  <c r="AK536" i="13"/>
  <c r="Y556" i="13"/>
  <c r="AO585" i="13"/>
  <c r="AJ585" i="13"/>
  <c r="BA624" i="13"/>
  <c r="BB624" i="13"/>
  <c r="AG696" i="13"/>
  <c r="AJ696" i="13" s="1"/>
  <c r="AR696" i="13"/>
  <c r="AK404" i="13"/>
  <c r="AH408" i="13"/>
  <c r="AN409" i="13"/>
  <c r="AO434" i="13"/>
  <c r="AR443" i="13"/>
  <c r="AJ447" i="13"/>
  <c r="AL458" i="13"/>
  <c r="AL462" i="13"/>
  <c r="BB462" i="13"/>
  <c r="AC470" i="13"/>
  <c r="AI474" i="13"/>
  <c r="BA475" i="13"/>
  <c r="AJ477" i="13"/>
  <c r="AJ483" i="13"/>
  <c r="AI486" i="13"/>
  <c r="AN489" i="13"/>
  <c r="BB489" i="13"/>
  <c r="AU500" i="13"/>
  <c r="AR508" i="13"/>
  <c r="AR516" i="13"/>
  <c r="AC519" i="13"/>
  <c r="AD519" i="13" s="1"/>
  <c r="AR524" i="13"/>
  <c r="AR526" i="13"/>
  <c r="AC527" i="13"/>
  <c r="AL528" i="13"/>
  <c r="BB528" i="13"/>
  <c r="Y537" i="13"/>
  <c r="Y548" i="13"/>
  <c r="BA550" i="13"/>
  <c r="BB550" i="13"/>
  <c r="BB578" i="13"/>
  <c r="BA578" i="13"/>
  <c r="AL599" i="13"/>
  <c r="AM599" i="13"/>
  <c r="BB611" i="13"/>
  <c r="BA611" i="13"/>
  <c r="AL657" i="13"/>
  <c r="BA695" i="13"/>
  <c r="BB695" i="13"/>
  <c r="AU764" i="13"/>
  <c r="AC764" i="13"/>
  <c r="AD764" i="13" s="1"/>
  <c r="AK406" i="13"/>
  <c r="AU409" i="13"/>
  <c r="AH412" i="13"/>
  <c r="AU413" i="13"/>
  <c r="AH420" i="13"/>
  <c r="BB424" i="13"/>
  <c r="BB428" i="13"/>
  <c r="AK430" i="13"/>
  <c r="BB430" i="13"/>
  <c r="Y431" i="13"/>
  <c r="AL432" i="13"/>
  <c r="AK434" i="13"/>
  <c r="AH434" i="13"/>
  <c r="AK438" i="13"/>
  <c r="AL440" i="13"/>
  <c r="AR441" i="13"/>
  <c r="AU443" i="13"/>
  <c r="AU445" i="13"/>
  <c r="BB447" i="13"/>
  <c r="BB449" i="13"/>
  <c r="AC450" i="13"/>
  <c r="AD450" i="13" s="1"/>
  <c r="AK454" i="13"/>
  <c r="BB456" i="13"/>
  <c r="BB458" i="13"/>
  <c r="AL460" i="13"/>
  <c r="AR463" i="13"/>
  <c r="AN465" i="13"/>
  <c r="BB467" i="13"/>
  <c r="AH478" i="13"/>
  <c r="BA483" i="13"/>
  <c r="AJ485" i="13"/>
  <c r="AL485" i="13"/>
  <c r="AL486" i="13"/>
  <c r="BB486" i="13"/>
  <c r="AU488" i="13"/>
  <c r="AL492" i="13"/>
  <c r="AR495" i="13"/>
  <c r="AL497" i="13"/>
  <c r="AL500" i="13"/>
  <c r="BB500" i="13"/>
  <c r="AR503" i="13"/>
  <c r="BB505" i="13"/>
  <c r="AU508" i="13"/>
  <c r="AU516" i="13"/>
  <c r="AU524" i="13"/>
  <c r="AM528" i="13"/>
  <c r="AM531" i="13"/>
  <c r="AC543" i="13"/>
  <c r="AD543" i="13" s="1"/>
  <c r="Y561" i="13"/>
  <c r="AJ623" i="13"/>
  <c r="AN631" i="13"/>
  <c r="AO631" i="13"/>
  <c r="AK631" i="13"/>
  <c r="AG646" i="13"/>
  <c r="AI646" i="13" s="1"/>
  <c r="AR646" i="13"/>
  <c r="BB743" i="13"/>
  <c r="BA743" i="13"/>
  <c r="BB409" i="13"/>
  <c r="BB413" i="13"/>
  <c r="AC422" i="13"/>
  <c r="AD422" i="13" s="1"/>
  <c r="AR423" i="13"/>
  <c r="AN424" i="13"/>
  <c r="AU425" i="13"/>
  <c r="AR427" i="13"/>
  <c r="AN428" i="13"/>
  <c r="AL430" i="13"/>
  <c r="AL434" i="13"/>
  <c r="BB436" i="13"/>
  <c r="AL438" i="13"/>
  <c r="BB438" i="13"/>
  <c r="BB443" i="13"/>
  <c r="BB445" i="13"/>
  <c r="AH446" i="13"/>
  <c r="AC446" i="13"/>
  <c r="BB452" i="13"/>
  <c r="Y453" i="13"/>
  <c r="AL454" i="13"/>
  <c r="BB454" i="13"/>
  <c r="AL456" i="13"/>
  <c r="AR457" i="13"/>
  <c r="AR461" i="13"/>
  <c r="AU463" i="13"/>
  <c r="BB465" i="13"/>
  <c r="AH466" i="13"/>
  <c r="AC466" i="13"/>
  <c r="AD466" i="13" s="1"/>
  <c r="AK470" i="13"/>
  <c r="AO473" i="13"/>
  <c r="BB474" i="13"/>
  <c r="AM476" i="13"/>
  <c r="BB481" i="13"/>
  <c r="AJ484" i="13"/>
  <c r="AC487" i="13"/>
  <c r="AD487" i="13" s="1"/>
  <c r="AL488" i="13"/>
  <c r="BB488" i="13"/>
  <c r="BB490" i="13"/>
  <c r="AJ493" i="13"/>
  <c r="BB498" i="13"/>
  <c r="BB508" i="13"/>
  <c r="AR511" i="13"/>
  <c r="BB516" i="13"/>
  <c r="AR519" i="13"/>
  <c r="AL524" i="13"/>
  <c r="BB524" i="13"/>
  <c r="AN528" i="13"/>
  <c r="BB529" i="13"/>
  <c r="Y533" i="13"/>
  <c r="Y549" i="13"/>
  <c r="BA573" i="13"/>
  <c r="BB573" i="13"/>
  <c r="AR583" i="13"/>
  <c r="AU583" i="13"/>
  <c r="AC583" i="13"/>
  <c r="AL615" i="13"/>
  <c r="AM615" i="13"/>
  <c r="AK615" i="13"/>
  <c r="AL623" i="13"/>
  <c r="AM623" i="13"/>
  <c r="BB676" i="13"/>
  <c r="BA676" i="13"/>
  <c r="AU427" i="13"/>
  <c r="AR431" i="13"/>
  <c r="BB434" i="13"/>
  <c r="AR439" i="13"/>
  <c r="BB441" i="13"/>
  <c r="AU457" i="13"/>
  <c r="AR459" i="13"/>
  <c r="AU461" i="13"/>
  <c r="BB463" i="13"/>
  <c r="BB468" i="13"/>
  <c r="AL470" i="13"/>
  <c r="BB472" i="13"/>
  <c r="AM484" i="13"/>
  <c r="AC491" i="13"/>
  <c r="AD491" i="13" s="1"/>
  <c r="AR493" i="13"/>
  <c r="AR496" i="13"/>
  <c r="AH498" i="13"/>
  <c r="AC499" i="13"/>
  <c r="BB506" i="13"/>
  <c r="BB514" i="13"/>
  <c r="AR522" i="13"/>
  <c r="BB522" i="13"/>
  <c r="AC533" i="13"/>
  <c r="AD533" i="13" s="1"/>
  <c r="AR533" i="13"/>
  <c r="AJ553" i="13"/>
  <c r="AL570" i="13"/>
  <c r="AN603" i="13"/>
  <c r="AR610" i="13"/>
  <c r="AU610" i="13"/>
  <c r="AO616" i="13"/>
  <c r="AM616" i="13"/>
  <c r="AC661" i="13"/>
  <c r="AU661" i="13"/>
  <c r="BB533" i="13"/>
  <c r="Y534" i="13"/>
  <c r="Y553" i="13"/>
  <c r="AR555" i="13"/>
  <c r="AC555" i="13"/>
  <c r="AD555" i="13" s="1"/>
  <c r="AR558" i="13"/>
  <c r="Y567" i="13"/>
  <c r="AI574" i="13"/>
  <c r="BB585" i="13"/>
  <c r="AK587" i="13"/>
  <c r="AN591" i="13"/>
  <c r="AU591" i="13"/>
  <c r="AR595" i="13"/>
  <c r="Y601" i="13"/>
  <c r="BB605" i="13"/>
  <c r="AL607" i="13"/>
  <c r="Y613" i="13"/>
  <c r="BB617" i="13"/>
  <c r="AK619" i="13"/>
  <c r="BB621" i="13"/>
  <c r="AK627" i="13"/>
  <c r="AM638" i="13"/>
  <c r="AK648" i="13"/>
  <c r="AN652" i="13"/>
  <c r="BA658" i="13"/>
  <c r="BB658" i="13"/>
  <c r="AL658" i="13"/>
  <c r="AU658" i="13"/>
  <c r="AJ661" i="13"/>
  <c r="AL661" i="13"/>
  <c r="AH661" i="13"/>
  <c r="AC664" i="13"/>
  <c r="AR668" i="13"/>
  <c r="Y679" i="13"/>
  <c r="AI679" i="13"/>
  <c r="BA701" i="13"/>
  <c r="BB701" i="13"/>
  <c r="Z702" i="13"/>
  <c r="AR702" i="13"/>
  <c r="AC704" i="13"/>
  <c r="AU704" i="13"/>
  <c r="AR704" i="13"/>
  <c r="AR710" i="13"/>
  <c r="AL716" i="13"/>
  <c r="BA718" i="13"/>
  <c r="BB718" i="13"/>
  <c r="AU723" i="13"/>
  <c r="AC723" i="13"/>
  <c r="AD723" i="13" s="1"/>
  <c r="AK728" i="13"/>
  <c r="BA732" i="13"/>
  <c r="BA783" i="13"/>
  <c r="BB783" i="13"/>
  <c r="AK793" i="13"/>
  <c r="AM793" i="13"/>
  <c r="AU872" i="13"/>
  <c r="AR872" i="13"/>
  <c r="AC872" i="13"/>
  <c r="AO540" i="13"/>
  <c r="AM544" i="13"/>
  <c r="AL562" i="13"/>
  <c r="AK562" i="13"/>
  <c r="AM563" i="13"/>
  <c r="Y564" i="13"/>
  <c r="AR567" i="13"/>
  <c r="AN579" i="13"/>
  <c r="AM583" i="13"/>
  <c r="AO584" i="13"/>
  <c r="AR586" i="13"/>
  <c r="AC586" i="13"/>
  <c r="AD586" i="13" s="1"/>
  <c r="BA591" i="13"/>
  <c r="Y592" i="13"/>
  <c r="AC595" i="13"/>
  <c r="AD595" i="13" s="1"/>
  <c r="AL598" i="13"/>
  <c r="BB602" i="13"/>
  <c r="AR606" i="13"/>
  <c r="AK607" i="13"/>
  <c r="AN611" i="13"/>
  <c r="AU611" i="13"/>
  <c r="AC615" i="13"/>
  <c r="AR618" i="13"/>
  <c r="AC618" i="13"/>
  <c r="BB625" i="13"/>
  <c r="AO635" i="13"/>
  <c r="BB638" i="13"/>
  <c r="AU640" i="13"/>
  <c r="Y642" i="13"/>
  <c r="AO647" i="13"/>
  <c r="BA648" i="13"/>
  <c r="AJ653" i="13"/>
  <c r="AK657" i="13"/>
  <c r="AM658" i="13"/>
  <c r="AM661" i="13"/>
  <c r="AN662" i="13"/>
  <c r="BA663" i="13"/>
  <c r="BB663" i="13"/>
  <c r="BA673" i="13"/>
  <c r="BB673" i="13"/>
  <c r="AU715" i="13"/>
  <c r="AC715" i="13"/>
  <c r="AD715" i="13" s="1"/>
  <c r="AN764" i="13"/>
  <c r="AK764" i="13"/>
  <c r="AM764" i="13"/>
  <c r="AR789" i="13"/>
  <c r="AU789" i="13"/>
  <c r="AC789" i="13"/>
  <c r="AC575" i="13"/>
  <c r="BA579" i="13"/>
  <c r="Y580" i="13"/>
  <c r="BB581" i="13"/>
  <c r="BB593" i="13"/>
  <c r="AK595" i="13"/>
  <c r="AN599" i="13"/>
  <c r="Y609" i="13"/>
  <c r="AJ615" i="13"/>
  <c r="AC626" i="13"/>
  <c r="AD626" i="13" s="1"/>
  <c r="Y628" i="13"/>
  <c r="BB629" i="13"/>
  <c r="BB634" i="13"/>
  <c r="Y637" i="13"/>
  <c r="Y641" i="13"/>
  <c r="BA654" i="13"/>
  <c r="BB654" i="13"/>
  <c r="AU689" i="13"/>
  <c r="AC689" i="13"/>
  <c r="AD689" i="13" s="1"/>
  <c r="Y742" i="13"/>
  <c r="AO761" i="13"/>
  <c r="AI761" i="13"/>
  <c r="AU766" i="13"/>
  <c r="AC766" i="13"/>
  <c r="AO786" i="13"/>
  <c r="AM786" i="13"/>
  <c r="AK806" i="13"/>
  <c r="AH806" i="13"/>
  <c r="AC819" i="13"/>
  <c r="AD819" i="13" s="1"/>
  <c r="AU819" i="13"/>
  <c r="AR819" i="13"/>
  <c r="BA824" i="13"/>
  <c r="BB824" i="13"/>
  <c r="AG825" i="13"/>
  <c r="AI825" i="13" s="1"/>
  <c r="AR825" i="13"/>
  <c r="AG829" i="13"/>
  <c r="AJ829" i="13" s="1"/>
  <c r="AR829" i="13"/>
  <c r="AO866" i="13"/>
  <c r="AN866" i="13"/>
  <c r="BA562" i="13"/>
  <c r="BB565" i="13"/>
  <c r="AK567" i="13"/>
  <c r="AC571" i="13"/>
  <c r="AD571" i="13" s="1"/>
  <c r="Y573" i="13"/>
  <c r="AM576" i="13"/>
  <c r="AN587" i="13"/>
  <c r="AC591" i="13"/>
  <c r="AC594" i="13"/>
  <c r="AD594" i="13" s="1"/>
  <c r="BA598" i="13"/>
  <c r="Y600" i="13"/>
  <c r="AC603" i="13"/>
  <c r="AD603" i="13" s="1"/>
  <c r="AL606" i="13"/>
  <c r="BB610" i="13"/>
  <c r="AN619" i="13"/>
  <c r="AN623" i="13"/>
  <c r="Y624" i="13"/>
  <c r="AO624" i="13"/>
  <c r="AM624" i="13"/>
  <c r="AN627" i="13"/>
  <c r="AN635" i="13"/>
  <c r="AK635" i="13"/>
  <c r="AR637" i="13"/>
  <c r="AC637" i="13"/>
  <c r="AD637" i="13" s="1"/>
  <c r="AR644" i="13"/>
  <c r="Z644" i="13"/>
  <c r="AI653" i="13"/>
  <c r="AH653" i="13"/>
  <c r="AO659" i="13"/>
  <c r="AU665" i="13"/>
  <c r="AC665" i="13"/>
  <c r="AR684" i="13"/>
  <c r="Z688" i="13"/>
  <c r="AR688" i="13"/>
  <c r="AU694" i="13"/>
  <c r="AR694" i="13"/>
  <c r="AK705" i="13"/>
  <c r="AM782" i="13"/>
  <c r="AO782" i="13"/>
  <c r="AI542" i="13"/>
  <c r="AR547" i="13"/>
  <c r="AO552" i="13"/>
  <c r="AR554" i="13"/>
  <c r="AC554" i="13"/>
  <c r="AD554" i="13" s="1"/>
  <c r="Y557" i="13"/>
  <c r="AR559" i="13"/>
  <c r="AR566" i="13"/>
  <c r="AC566" i="13"/>
  <c r="AM567" i="13"/>
  <c r="AN571" i="13"/>
  <c r="AM571" i="13"/>
  <c r="AM580" i="13"/>
  <c r="Y585" i="13"/>
  <c r="BB596" i="13"/>
  <c r="Y597" i="13"/>
  <c r="AO600" i="13"/>
  <c r="BB601" i="13"/>
  <c r="AK603" i="13"/>
  <c r="AJ609" i="13"/>
  <c r="AC614" i="13"/>
  <c r="AD614" i="13" s="1"/>
  <c r="BB616" i="13"/>
  <c r="Y617" i="13"/>
  <c r="AU626" i="13"/>
  <c r="AM633" i="13"/>
  <c r="AL635" i="13"/>
  <c r="BA639" i="13"/>
  <c r="AJ640" i="13"/>
  <c r="BB645" i="13"/>
  <c r="AR652" i="13"/>
  <c r="BB655" i="13"/>
  <c r="BB657" i="13"/>
  <c r="Y658" i="13"/>
  <c r="Y666" i="13"/>
  <c r="AR669" i="13"/>
  <c r="Z669" i="13"/>
  <c r="AJ684" i="13"/>
  <c r="AJ688" i="13"/>
  <c r="BA693" i="13"/>
  <c r="BB693" i="13"/>
  <c r="AH701" i="13"/>
  <c r="AL701" i="13"/>
  <c r="Z717" i="13"/>
  <c r="AR717" i="13"/>
  <c r="AG853" i="13"/>
  <c r="AR853" i="13"/>
  <c r="AU972" i="13"/>
  <c r="BA974" i="13"/>
  <c r="BB974" i="13"/>
  <c r="AO991" i="13"/>
  <c r="AJ991" i="13"/>
  <c r="BA534" i="13"/>
  <c r="AL538" i="13"/>
  <c r="AR563" i="13"/>
  <c r="AI566" i="13"/>
  <c r="AR570" i="13"/>
  <c r="BB586" i="13"/>
  <c r="AR590" i="13"/>
  <c r="AK591" i="13"/>
  <c r="AN595" i="13"/>
  <c r="AU595" i="13"/>
  <c r="AR599" i="13"/>
  <c r="AC599" i="13"/>
  <c r="AM600" i="13"/>
  <c r="AR602" i="13"/>
  <c r="AC602" i="13"/>
  <c r="AD602" i="13" s="1"/>
  <c r="BA606" i="13"/>
  <c r="BA607" i="13"/>
  <c r="Y608" i="13"/>
  <c r="AJ611" i="13"/>
  <c r="AC611" i="13"/>
  <c r="AL614" i="13"/>
  <c r="AM620" i="13"/>
  <c r="BB626" i="13"/>
  <c r="AU630" i="13"/>
  <c r="BA633" i="13"/>
  <c r="BB633" i="13"/>
  <c r="AO633" i="13"/>
  <c r="AI640" i="13"/>
  <c r="AC641" i="13"/>
  <c r="AR642" i="13"/>
  <c r="AJ652" i="13"/>
  <c r="AK652" i="13"/>
  <c r="AI652" i="13"/>
  <c r="AO658" i="13"/>
  <c r="AJ658" i="13"/>
  <c r="AR662" i="13"/>
  <c r="AK669" i="13"/>
  <c r="Z676" i="13"/>
  <c r="AR676" i="13"/>
  <c r="Z700" i="13"/>
  <c r="AR700" i="13"/>
  <c r="AN710" i="13"/>
  <c r="AK712" i="13"/>
  <c r="AR752" i="13"/>
  <c r="AU752" i="13"/>
  <c r="AC752" i="13"/>
  <c r="AD752" i="13" s="1"/>
  <c r="AN762" i="13"/>
  <c r="AK762" i="13"/>
  <c r="AM762" i="13"/>
  <c r="BA842" i="13"/>
  <c r="BB842" i="13"/>
  <c r="BA530" i="13"/>
  <c r="AR539" i="13"/>
  <c r="Y541" i="13"/>
  <c r="AL542" i="13"/>
  <c r="AU547" i="13"/>
  <c r="AO549" i="13"/>
  <c r="AC563" i="13"/>
  <c r="AO568" i="13"/>
  <c r="AC570" i="13"/>
  <c r="AU571" i="13"/>
  <c r="AU575" i="13"/>
  <c r="BB582" i="13"/>
  <c r="AR587" i="13"/>
  <c r="AM591" i="13"/>
  <c r="BB592" i="13"/>
  <c r="Y593" i="13"/>
  <c r="AU594" i="13"/>
  <c r="BA595" i="13"/>
  <c r="BB597" i="13"/>
  <c r="BB604" i="13"/>
  <c r="Y605" i="13"/>
  <c r="BB609" i="13"/>
  <c r="AK611" i="13"/>
  <c r="AU614" i="13"/>
  <c r="AN615" i="13"/>
  <c r="Y625" i="13"/>
  <c r="BA630" i="13"/>
  <c r="BB630" i="13"/>
  <c r="BA653" i="13"/>
  <c r="Y654" i="13"/>
  <c r="BA665" i="13"/>
  <c r="BB665" i="13"/>
  <c r="AR681" i="13"/>
  <c r="Z681" i="13"/>
  <c r="AR685" i="13"/>
  <c r="Z685" i="13"/>
  <c r="AJ686" i="13"/>
  <c r="BA698" i="13"/>
  <c r="BB698" i="13"/>
  <c r="AJ702" i="13"/>
  <c r="Z708" i="13"/>
  <c r="AR708" i="13"/>
  <c r="AK747" i="13"/>
  <c r="AR748" i="13"/>
  <c r="AC748" i="13"/>
  <c r="AU748" i="13"/>
  <c r="AK676" i="13"/>
  <c r="AK693" i="13"/>
  <c r="AM701" i="13"/>
  <c r="AM706" i="13"/>
  <c r="AJ710" i="13"/>
  <c r="Y718" i="13"/>
  <c r="AC725" i="13"/>
  <c r="AR725" i="13"/>
  <c r="AJ725" i="13"/>
  <c r="AO760" i="13"/>
  <c r="AK760" i="13"/>
  <c r="AN760" i="13"/>
  <c r="AU770" i="13"/>
  <c r="AC770" i="13"/>
  <c r="AD770" i="13" s="1"/>
  <c r="Y773" i="13"/>
  <c r="AO802" i="13"/>
  <c r="AH802" i="13"/>
  <c r="AN813" i="13"/>
  <c r="AI813" i="13"/>
  <c r="AR831" i="13"/>
  <c r="Z837" i="13"/>
  <c r="AR837" i="13"/>
  <c r="AC838" i="13"/>
  <c r="AU838" i="13"/>
  <c r="BA865" i="13"/>
  <c r="BB865" i="13"/>
  <c r="AK880" i="13"/>
  <c r="AC910" i="13"/>
  <c r="AU910" i="13"/>
  <c r="AJ939" i="13"/>
  <c r="AK939" i="13"/>
  <c r="BB1016" i="13"/>
  <c r="BA1016" i="13"/>
  <c r="BA1038" i="13"/>
  <c r="BB1038" i="13"/>
  <c r="Y1041" i="13"/>
  <c r="AR1194" i="13"/>
  <c r="AC1194" i="13"/>
  <c r="AD1194" i="13" s="1"/>
  <c r="Y1200" i="13"/>
  <c r="AO773" i="13"/>
  <c r="AI773" i="13"/>
  <c r="AM854" i="13"/>
  <c r="AH854" i="13"/>
  <c r="AI872" i="13"/>
  <c r="AL872" i="13"/>
  <c r="AK872" i="13"/>
  <c r="AC877" i="13"/>
  <c r="AR895" i="13"/>
  <c r="AK904" i="13"/>
  <c r="AR904" i="13"/>
  <c r="AO909" i="13"/>
  <c r="AK909" i="13"/>
  <c r="AO933" i="13"/>
  <c r="AL933" i="13"/>
  <c r="AC952" i="13"/>
  <c r="AU989" i="13"/>
  <c r="AC989" i="13"/>
  <c r="AL622" i="13"/>
  <c r="AJ625" i="13"/>
  <c r="AR627" i="13"/>
  <c r="AJ627" i="13"/>
  <c r="Y634" i="13"/>
  <c r="AN648" i="13"/>
  <c r="AK653" i="13"/>
  <c r="AK661" i="13"/>
  <c r="BA670" i="13"/>
  <c r="BB670" i="13"/>
  <c r="AR673" i="13"/>
  <c r="Z673" i="13"/>
  <c r="AJ673" i="13"/>
  <c r="AC677" i="13"/>
  <c r="AR680" i="13"/>
  <c r="AM682" i="13"/>
  <c r="Y683" i="13"/>
  <c r="AR686" i="13"/>
  <c r="AN690" i="13"/>
  <c r="AR692" i="13"/>
  <c r="AC692" i="13"/>
  <c r="AD692" i="13" s="1"/>
  <c r="AM693" i="13"/>
  <c r="AR697" i="13"/>
  <c r="AJ697" i="13"/>
  <c r="AR706" i="13"/>
  <c r="BA710" i="13"/>
  <c r="BB710" i="13"/>
  <c r="AM713" i="13"/>
  <c r="AU719" i="13"/>
  <c r="AC719" i="13"/>
  <c r="AR719" i="13"/>
  <c r="Y729" i="13"/>
  <c r="AC735" i="13"/>
  <c r="Y745" i="13"/>
  <c r="BA750" i="13"/>
  <c r="BB750" i="13"/>
  <c r="AO757" i="13"/>
  <c r="AI757" i="13"/>
  <c r="AO765" i="13"/>
  <c r="AI765" i="13"/>
  <c r="AN770" i="13"/>
  <c r="AK770" i="13"/>
  <c r="AR785" i="13"/>
  <c r="AU785" i="13"/>
  <c r="AC785" i="13"/>
  <c r="AD785" i="13" s="1"/>
  <c r="BA787" i="13"/>
  <c r="BB787" i="13"/>
  <c r="AM802" i="13"/>
  <c r="AN815" i="13"/>
  <c r="AG817" i="13"/>
  <c r="AH817" i="13" s="1"/>
  <c r="AR817" i="13"/>
  <c r="AL820" i="13"/>
  <c r="AH820" i="13"/>
  <c r="BB837" i="13"/>
  <c r="BA837" i="13"/>
  <c r="AI840" i="13"/>
  <c r="AU850" i="13"/>
  <c r="AC850" i="13"/>
  <c r="AR883" i="13"/>
  <c r="BA885" i="13"/>
  <c r="BB885" i="13"/>
  <c r="Y891" i="13"/>
  <c r="BA893" i="13"/>
  <c r="BB893" i="13"/>
  <c r="BB918" i="13"/>
  <c r="AJ951" i="13"/>
  <c r="AK951" i="13"/>
  <c r="BB985" i="13"/>
  <c r="BA985" i="13"/>
  <c r="AR1026" i="13"/>
  <c r="Z1026" i="13"/>
  <c r="AH1026" i="13"/>
  <c r="AR1085" i="13"/>
  <c r="AC1085" i="13"/>
  <c r="AU1085" i="13"/>
  <c r="AR1165" i="13"/>
  <c r="AK673" i="13"/>
  <c r="AJ677" i="13"/>
  <c r="AC681" i="13"/>
  <c r="AK697" i="13"/>
  <c r="BA714" i="13"/>
  <c r="BB714" i="13"/>
  <c r="Y746" i="13"/>
  <c r="AN774" i="13"/>
  <c r="AC800" i="13"/>
  <c r="AD800" i="13" s="1"/>
  <c r="BA804" i="13"/>
  <c r="BB804" i="13"/>
  <c r="AG805" i="13"/>
  <c r="AR805" i="13"/>
  <c r="AO827" i="13"/>
  <c r="AM827" i="13"/>
  <c r="AJ827" i="13"/>
  <c r="Z839" i="13"/>
  <c r="AR839" i="13"/>
  <c r="AJ839" i="13"/>
  <c r="AU891" i="13"/>
  <c r="AR891" i="13"/>
  <c r="AU896" i="13"/>
  <c r="AR896" i="13"/>
  <c r="AC896" i="13"/>
  <c r="AD896" i="13" s="1"/>
  <c r="AK916" i="13"/>
  <c r="AK1026" i="13"/>
  <c r="AR856" i="13"/>
  <c r="BA868" i="13"/>
  <c r="BB868" i="13"/>
  <c r="AL868" i="13"/>
  <c r="AU884" i="13"/>
  <c r="AR884" i="13"/>
  <c r="AC884" i="13"/>
  <c r="AD884" i="13" s="1"/>
  <c r="Z902" i="13"/>
  <c r="AR902" i="13"/>
  <c r="Y925" i="13"/>
  <c r="AR927" i="13"/>
  <c r="AC927" i="13"/>
  <c r="AH927" i="13"/>
  <c r="BA942" i="13"/>
  <c r="BB942" i="13"/>
  <c r="AO963" i="13"/>
  <c r="AJ963" i="13"/>
  <c r="AK963" i="13"/>
  <c r="Y981" i="13"/>
  <c r="AC997" i="13"/>
  <c r="BA1004" i="13"/>
  <c r="BB1004" i="13"/>
  <c r="BA1005" i="13"/>
  <c r="BB1005" i="13"/>
  <c r="AM1019" i="13"/>
  <c r="AI1019" i="13"/>
  <c r="Y621" i="13"/>
  <c r="AO634" i="13"/>
  <c r="AN638" i="13"/>
  <c r="Y639" i="13"/>
  <c r="AI648" i="13"/>
  <c r="BB650" i="13"/>
  <c r="AM654" i="13"/>
  <c r="AJ665" i="13"/>
  <c r="AM673" i="13"/>
  <c r="BB675" i="13"/>
  <c r="AL677" i="13"/>
  <c r="AC680" i="13"/>
  <c r="AD680" i="13" s="1"/>
  <c r="AU680" i="13"/>
  <c r="AN682" i="13"/>
  <c r="AI685" i="13"/>
  <c r="AL685" i="13"/>
  <c r="BB687" i="13"/>
  <c r="AC688" i="13"/>
  <c r="AU692" i="13"/>
  <c r="AU696" i="13"/>
  <c r="AC696" i="13"/>
  <c r="AM697" i="13"/>
  <c r="Y698" i="13"/>
  <c r="AR701" i="13"/>
  <c r="AJ701" i="13"/>
  <c r="BA716" i="13"/>
  <c r="Y717" i="13"/>
  <c r="AN725" i="13"/>
  <c r="BA726" i="13"/>
  <c r="BB726" i="13"/>
  <c r="AU731" i="13"/>
  <c r="AC731" i="13"/>
  <c r="AO749" i="13"/>
  <c r="AM752" i="13"/>
  <c r="AC755" i="13"/>
  <c r="AD755" i="13" s="1"/>
  <c r="AC778" i="13"/>
  <c r="AD778" i="13" s="1"/>
  <c r="AU778" i="13"/>
  <c r="AU792" i="13"/>
  <c r="AC792" i="13"/>
  <c r="AU809" i="13"/>
  <c r="AC809" i="13"/>
  <c r="AJ813" i="13"/>
  <c r="Y831" i="13"/>
  <c r="AN831" i="13"/>
  <c r="BA850" i="13"/>
  <c r="BB850" i="13"/>
  <c r="AC913" i="13"/>
  <c r="BA978" i="13"/>
  <c r="BB978" i="13"/>
  <c r="AO996" i="13"/>
  <c r="AI996" i="13"/>
  <c r="AR1080" i="13"/>
  <c r="Z1080" i="13"/>
  <c r="AR648" i="13"/>
  <c r="AJ657" i="13"/>
  <c r="AR660" i="13"/>
  <c r="Z660" i="13"/>
  <c r="Y662" i="13"/>
  <c r="AI665" i="13"/>
  <c r="AH665" i="13"/>
  <c r="AM677" i="13"/>
  <c r="AN694" i="13"/>
  <c r="BA703" i="13"/>
  <c r="BB703" i="13"/>
  <c r="BA707" i="13"/>
  <c r="BB707" i="13"/>
  <c r="AJ709" i="13"/>
  <c r="AO713" i="13"/>
  <c r="AJ713" i="13"/>
  <c r="AO717" i="13"/>
  <c r="AJ717" i="13"/>
  <c r="BA722" i="13"/>
  <c r="BB722" i="13"/>
  <c r="AR724" i="13"/>
  <c r="AU724" i="13"/>
  <c r="AC724" i="13"/>
  <c r="AD724" i="13" s="1"/>
  <c r="AU743" i="13"/>
  <c r="AR743" i="13"/>
  <c r="AU760" i="13"/>
  <c r="AC760" i="13"/>
  <c r="AO769" i="13"/>
  <c r="AI769" i="13"/>
  <c r="AO778" i="13"/>
  <c r="AM778" i="13"/>
  <c r="BA799" i="13"/>
  <c r="BB799" i="13"/>
  <c r="AU813" i="13"/>
  <c r="AC813" i="13"/>
  <c r="AR813" i="13"/>
  <c r="AM819" i="13"/>
  <c r="AJ819" i="13"/>
  <c r="AC831" i="13"/>
  <c r="AU831" i="13"/>
  <c r="AO856" i="13"/>
  <c r="AJ856" i="13"/>
  <c r="AK856" i="13"/>
  <c r="AO886" i="13"/>
  <c r="AH886" i="13"/>
  <c r="BB912" i="13"/>
  <c r="BA912" i="13"/>
  <c r="AC938" i="13"/>
  <c r="AD938" i="13" s="1"/>
  <c r="AU938" i="13"/>
  <c r="AR938" i="13"/>
  <c r="AR939" i="13"/>
  <c r="AC939" i="13"/>
  <c r="AD939" i="13" s="1"/>
  <c r="AU940" i="13"/>
  <c r="AC940" i="13"/>
  <c r="AD940" i="13" s="1"/>
  <c r="BA996" i="13"/>
  <c r="BB996" i="13"/>
  <c r="AJ1059" i="13"/>
  <c r="AH1059" i="13"/>
  <c r="AU1077" i="13"/>
  <c r="AK701" i="13"/>
  <c r="AJ706" i="13"/>
  <c r="AJ723" i="13"/>
  <c r="AL724" i="13"/>
  <c r="Y738" i="13"/>
  <c r="Y757" i="13"/>
  <c r="AK766" i="13"/>
  <c r="AM766" i="13"/>
  <c r="AR771" i="13"/>
  <c r="Y778" i="13"/>
  <c r="AC796" i="13"/>
  <c r="AD796" i="13" s="1"/>
  <c r="AC811" i="13"/>
  <c r="AD811" i="13" s="1"/>
  <c r="AU811" i="13"/>
  <c r="AO811" i="13"/>
  <c r="Y819" i="13"/>
  <c r="AC823" i="13"/>
  <c r="AR823" i="13"/>
  <c r="AU841" i="13"/>
  <c r="AR841" i="13"/>
  <c r="AC841" i="13"/>
  <c r="AD841" i="13" s="1"/>
  <c r="Y851" i="13"/>
  <c r="AU864" i="13"/>
  <c r="AR864" i="13"/>
  <c r="AR877" i="13"/>
  <c r="AC881" i="13"/>
  <c r="AD881" i="13" s="1"/>
  <c r="BB883" i="13"/>
  <c r="BA889" i="13"/>
  <c r="BB889" i="13"/>
  <c r="Y900" i="13"/>
  <c r="AJ900" i="13"/>
  <c r="AR917" i="13"/>
  <c r="AO917" i="13"/>
  <c r="AK927" i="13"/>
  <c r="AJ931" i="13"/>
  <c r="AK931" i="13"/>
  <c r="AR940" i="13"/>
  <c r="AO941" i="13"/>
  <c r="AO949" i="13"/>
  <c r="AH949" i="13"/>
  <c r="BA960" i="13"/>
  <c r="BB960" i="13"/>
  <c r="BB964" i="13"/>
  <c r="AI972" i="13"/>
  <c r="AI973" i="13"/>
  <c r="AN1028" i="13"/>
  <c r="AL1028" i="13"/>
  <c r="AR1081" i="13"/>
  <c r="AJ1161" i="13"/>
  <c r="AR1201" i="13"/>
  <c r="AM904" i="13"/>
  <c r="BA906" i="13"/>
  <c r="BB906" i="13"/>
  <c r="AC922" i="13"/>
  <c r="AU922" i="13"/>
  <c r="AU928" i="13"/>
  <c r="AR928" i="13"/>
  <c r="AC928" i="13"/>
  <c r="Y932" i="13"/>
  <c r="BA938" i="13"/>
  <c r="BB938" i="13"/>
  <c r="AL939" i="13"/>
  <c r="BB961" i="13"/>
  <c r="BA961" i="13"/>
  <c r="BA988" i="13"/>
  <c r="BB988" i="13"/>
  <c r="BA997" i="13"/>
  <c r="BB997" i="13"/>
  <c r="AO1007" i="13"/>
  <c r="AH1007" i="13"/>
  <c r="AC1009" i="13"/>
  <c r="AR1014" i="13"/>
  <c r="AU1014" i="13"/>
  <c r="AC1014" i="13"/>
  <c r="AD1014" i="13" s="1"/>
  <c r="BB1084" i="13"/>
  <c r="BA1084" i="13"/>
  <c r="AR1089" i="13"/>
  <c r="AU1089" i="13"/>
  <c r="AC1089" i="13"/>
  <c r="AC1190" i="13"/>
  <c r="AO674" i="13"/>
  <c r="AI675" i="13"/>
  <c r="AL675" i="13"/>
  <c r="AN676" i="13"/>
  <c r="Y677" i="13"/>
  <c r="BB679" i="13"/>
  <c r="AK685" i="13"/>
  <c r="BB686" i="13"/>
  <c r="AC700" i="13"/>
  <c r="AN702" i="13"/>
  <c r="BB702" i="13"/>
  <c r="AR705" i="13"/>
  <c r="AJ705" i="13"/>
  <c r="BB706" i="13"/>
  <c r="AR720" i="13"/>
  <c r="AO737" i="13"/>
  <c r="AC739" i="13"/>
  <c r="BA747" i="13"/>
  <c r="Y753" i="13"/>
  <c r="Y767" i="13"/>
  <c r="AU772" i="13"/>
  <c r="AC772" i="13"/>
  <c r="AU774" i="13"/>
  <c r="AC774" i="13"/>
  <c r="BA775" i="13"/>
  <c r="BB775" i="13"/>
  <c r="AU803" i="13"/>
  <c r="AO807" i="13"/>
  <c r="BB809" i="13"/>
  <c r="BA809" i="13"/>
  <c r="AM811" i="13"/>
  <c r="AR822" i="13"/>
  <c r="AU822" i="13"/>
  <c r="AC822" i="13"/>
  <c r="AU823" i="13"/>
  <c r="AN827" i="13"/>
  <c r="AL828" i="13"/>
  <c r="AC833" i="13"/>
  <c r="BA841" i="13"/>
  <c r="AI852" i="13"/>
  <c r="AI855" i="13"/>
  <c r="AG860" i="13"/>
  <c r="AK864" i="13"/>
  <c r="BB869" i="13"/>
  <c r="Y870" i="13"/>
  <c r="AC873" i="13"/>
  <c r="AD873" i="13" s="1"/>
  <c r="AU876" i="13"/>
  <c r="AR876" i="13"/>
  <c r="AC876" i="13"/>
  <c r="AR892" i="13"/>
  <c r="AC897" i="13"/>
  <c r="AD897" i="13" s="1"/>
  <c r="AR900" i="13"/>
  <c r="AN904" i="13"/>
  <c r="AO905" i="13"/>
  <c r="AH905" i="13"/>
  <c r="AL913" i="13"/>
  <c r="AJ914" i="13"/>
  <c r="AR932" i="13"/>
  <c r="AU932" i="13"/>
  <c r="AC932" i="13"/>
  <c r="AD932" i="13" s="1"/>
  <c r="AN948" i="13"/>
  <c r="AC957" i="13"/>
  <c r="AD957" i="13" s="1"/>
  <c r="AK959" i="13"/>
  <c r="BB967" i="13"/>
  <c r="BA967" i="13"/>
  <c r="AK973" i="13"/>
  <c r="Y974" i="13"/>
  <c r="AL989" i="13"/>
  <c r="AN989" i="13"/>
  <c r="AC1031" i="13"/>
  <c r="AU1031" i="13"/>
  <c r="AR1031" i="13"/>
  <c r="AU1046" i="13"/>
  <c r="AC1046" i="13"/>
  <c r="AD1046" i="13" s="1"/>
  <c r="AK1074" i="13"/>
  <c r="Y1096" i="13"/>
  <c r="AR1116" i="13"/>
  <c r="AC1116" i="13"/>
  <c r="AU1116" i="13"/>
  <c r="AO812" i="13"/>
  <c r="AJ815" i="13"/>
  <c r="AR815" i="13"/>
  <c r="AK826" i="13"/>
  <c r="AL826" i="13"/>
  <c r="Y853" i="13"/>
  <c r="Y856" i="13"/>
  <c r="AC865" i="13"/>
  <c r="AU865" i="13"/>
  <c r="AU879" i="13"/>
  <c r="BB881" i="13"/>
  <c r="AH882" i="13"/>
  <c r="AI884" i="13"/>
  <c r="AK884" i="13"/>
  <c r="AJ888" i="13"/>
  <c r="AK900" i="13"/>
  <c r="AU914" i="13"/>
  <c r="Z920" i="13"/>
  <c r="AR920" i="13"/>
  <c r="AK923" i="13"/>
  <c r="AO929" i="13"/>
  <c r="AL929" i="13"/>
  <c r="AJ935" i="13"/>
  <c r="AK935" i="13"/>
  <c r="AU962" i="13"/>
  <c r="Y970" i="13"/>
  <c r="AO984" i="13"/>
  <c r="AO999" i="13"/>
  <c r="AH999" i="13"/>
  <c r="AU1001" i="13"/>
  <c r="AC1001" i="13"/>
  <c r="AD1001" i="13" s="1"/>
  <c r="BA1008" i="13"/>
  <c r="BB1008" i="13"/>
  <c r="AC1021" i="13"/>
  <c r="AU1021" i="13"/>
  <c r="AH1030" i="13"/>
  <c r="AK1030" i="13"/>
  <c r="BA1044" i="13"/>
  <c r="BB1044" i="13"/>
  <c r="AM1100" i="13"/>
  <c r="Y1103" i="13"/>
  <c r="AC1110" i="13"/>
  <c r="AR1110" i="13"/>
  <c r="BA1141" i="13"/>
  <c r="BB1141" i="13"/>
  <c r="AC1144" i="13"/>
  <c r="AD1144" i="13" s="1"/>
  <c r="AU1144" i="13"/>
  <c r="AR1147" i="13"/>
  <c r="AN686" i="13"/>
  <c r="AN688" i="13"/>
  <c r="AR689" i="13"/>
  <c r="BB690" i="13"/>
  <c r="BB694" i="13"/>
  <c r="AN706" i="13"/>
  <c r="AK709" i="13"/>
  <c r="AR716" i="13"/>
  <c r="AL720" i="13"/>
  <c r="AK720" i="13"/>
  <c r="BB728" i="13"/>
  <c r="BA728" i="13"/>
  <c r="AO729" i="13"/>
  <c r="AR732" i="13"/>
  <c r="AR740" i="13"/>
  <c r="AN758" i="13"/>
  <c r="AM758" i="13"/>
  <c r="Y763" i="13"/>
  <c r="AM772" i="13"/>
  <c r="AK772" i="13"/>
  <c r="AO779" i="13"/>
  <c r="AO794" i="13"/>
  <c r="AM794" i="13"/>
  <c r="AM797" i="13"/>
  <c r="AI805" i="13"/>
  <c r="AC805" i="13"/>
  <c r="AL806" i="13"/>
  <c r="AJ810" i="13"/>
  <c r="AK810" i="13"/>
  <c r="AR811" i="13"/>
  <c r="AC825" i="13"/>
  <c r="AD825" i="13" s="1"/>
  <c r="BB828" i="13"/>
  <c r="AR835" i="13"/>
  <c r="BB838" i="13"/>
  <c r="Y839" i="13"/>
  <c r="AC853" i="13"/>
  <c r="AJ868" i="13"/>
  <c r="AC868" i="13"/>
  <c r="AD868" i="13" s="1"/>
  <c r="AK876" i="13"/>
  <c r="AU885" i="13"/>
  <c r="AK888" i="13"/>
  <c r="AR888" i="13"/>
  <c r="BA896" i="13"/>
  <c r="BB896" i="13"/>
  <c r="AU897" i="13"/>
  <c r="BA900" i="13"/>
  <c r="AJ904" i="13"/>
  <c r="AJ912" i="13"/>
  <c r="BA922" i="13"/>
  <c r="BB922" i="13"/>
  <c r="AL923" i="13"/>
  <c r="AN932" i="13"/>
  <c r="AJ932" i="13"/>
  <c r="AM932" i="13"/>
  <c r="AC943" i="13"/>
  <c r="AR947" i="13"/>
  <c r="AC947" i="13"/>
  <c r="AD947" i="13" s="1"/>
  <c r="AR958" i="13"/>
  <c r="AC958" i="13"/>
  <c r="AU958" i="13"/>
  <c r="BB965" i="13"/>
  <c r="BA965" i="13"/>
  <c r="AC966" i="13"/>
  <c r="AC985" i="13"/>
  <c r="AD985" i="13" s="1"/>
  <c r="AO1003" i="13"/>
  <c r="BA1020" i="13"/>
  <c r="BB1020" i="13"/>
  <c r="BA1023" i="13"/>
  <c r="BB1023" i="13"/>
  <c r="AK1034" i="13"/>
  <c r="BA1045" i="13"/>
  <c r="BB1045" i="13"/>
  <c r="AI1053" i="13"/>
  <c r="AL1053" i="13"/>
  <c r="Y1059" i="13"/>
  <c r="BA1061" i="13"/>
  <c r="BB1061" i="13"/>
  <c r="Z1069" i="13"/>
  <c r="AR1069" i="13"/>
  <c r="AM1074" i="13"/>
  <c r="AK645" i="13"/>
  <c r="Y650" i="13"/>
  <c r="Y659" i="13"/>
  <c r="AL662" i="13"/>
  <c r="BB662" i="13"/>
  <c r="AL669" i="13"/>
  <c r="AK677" i="13"/>
  <c r="AK681" i="13"/>
  <c r="AR682" i="13"/>
  <c r="AK689" i="13"/>
  <c r="AR693" i="13"/>
  <c r="AJ693" i="13"/>
  <c r="AJ698" i="13"/>
  <c r="AM705" i="13"/>
  <c r="AL709" i="13"/>
  <c r="BB709" i="13"/>
  <c r="AC716" i="13"/>
  <c r="AD716" i="13" s="1"/>
  <c r="AJ719" i="13"/>
  <c r="AI719" i="13"/>
  <c r="BA724" i="13"/>
  <c r="Y725" i="13"/>
  <c r="AL726" i="13"/>
  <c r="AU727" i="13"/>
  <c r="AR727" i="13"/>
  <c r="AC727" i="13"/>
  <c r="AD727" i="13" s="1"/>
  <c r="AJ731" i="13"/>
  <c r="AU732" i="13"/>
  <c r="AJ735" i="13"/>
  <c r="AK735" i="13"/>
  <c r="AR736" i="13"/>
  <c r="BB739" i="13"/>
  <c r="BA739" i="13"/>
  <c r="AU740" i="13"/>
  <c r="BA742" i="13"/>
  <c r="BB742" i="13"/>
  <c r="BB754" i="13"/>
  <c r="AK758" i="13"/>
  <c r="Y761" i="13"/>
  <c r="AU768" i="13"/>
  <c r="AC768" i="13"/>
  <c r="AD768" i="13" s="1"/>
  <c r="AO768" i="13"/>
  <c r="AN772" i="13"/>
  <c r="AN778" i="13"/>
  <c r="AM806" i="13"/>
  <c r="AU807" i="13"/>
  <c r="AL810" i="13"/>
  <c r="AM810" i="13"/>
  <c r="AC814" i="13"/>
  <c r="AD814" i="13" s="1"/>
  <c r="AO831" i="13"/>
  <c r="AJ833" i="13"/>
  <c r="AK833" i="13"/>
  <c r="AR833" i="13"/>
  <c r="Y843" i="13"/>
  <c r="AO843" i="13"/>
  <c r="BB845" i="13"/>
  <c r="BA845" i="13"/>
  <c r="AR849" i="13"/>
  <c r="AL852" i="13"/>
  <c r="BB860" i="13"/>
  <c r="AK868" i="13"/>
  <c r="AN869" i="13"/>
  <c r="AL873" i="13"/>
  <c r="BB873" i="13"/>
  <c r="AJ879" i="13"/>
  <c r="AU880" i="13"/>
  <c r="AR880" i="13"/>
  <c r="AC880" i="13"/>
  <c r="AU889" i="13"/>
  <c r="AC889" i="13"/>
  <c r="AD889" i="13" s="1"/>
  <c r="AO894" i="13"/>
  <c r="AH894" i="13"/>
  <c r="AM900" i="13"/>
  <c r="Y906" i="13"/>
  <c r="Z924" i="13"/>
  <c r="AR924" i="13"/>
  <c r="BB930" i="13"/>
  <c r="AH931" i="13"/>
  <c r="AL931" i="13"/>
  <c r="AJ942" i="13"/>
  <c r="AI942" i="13"/>
  <c r="BA946" i="13"/>
  <c r="BB946" i="13"/>
  <c r="AJ955" i="13"/>
  <c r="AK955" i="13"/>
  <c r="AN959" i="13"/>
  <c r="AC960" i="13"/>
  <c r="AR960" i="13"/>
  <c r="Y965" i="13"/>
  <c r="Y988" i="13"/>
  <c r="AR1019" i="13"/>
  <c r="BA1031" i="13"/>
  <c r="BB1031" i="13"/>
  <c r="AH1043" i="13"/>
  <c r="AM1069" i="13"/>
  <c r="Z1073" i="13"/>
  <c r="AR1073" i="13"/>
  <c r="BB1086" i="13"/>
  <c r="BA1086" i="13"/>
  <c r="Z1087" i="13"/>
  <c r="AR1087" i="13"/>
  <c r="AC1133" i="13"/>
  <c r="AD1133" i="13" s="1"/>
  <c r="AU1133" i="13"/>
  <c r="AR1133" i="13"/>
  <c r="AU1140" i="13"/>
  <c r="AC1140" i="13"/>
  <c r="AD1140" i="13" s="1"/>
  <c r="BB730" i="13"/>
  <c r="AN737" i="13"/>
  <c r="AR744" i="13"/>
  <c r="AC756" i="13"/>
  <c r="AD756" i="13" s="1"/>
  <c r="AR777" i="13"/>
  <c r="AR781" i="13"/>
  <c r="BB791" i="13"/>
  <c r="AR801" i="13"/>
  <c r="Y807" i="13"/>
  <c r="AI809" i="13"/>
  <c r="AN809" i="13"/>
  <c r="AM815" i="13"/>
  <c r="AR830" i="13"/>
  <c r="AJ831" i="13"/>
  <c r="AI836" i="13"/>
  <c r="Y846" i="13"/>
  <c r="BB848" i="13"/>
  <c r="AJ855" i="13"/>
  <c r="AI857" i="13"/>
  <c r="AJ872" i="13"/>
  <c r="AJ880" i="13"/>
  <c r="AJ884" i="13"/>
  <c r="AL888" i="13"/>
  <c r="BB888" i="13"/>
  <c r="AR893" i="13"/>
  <c r="AH913" i="13"/>
  <c r="BB914" i="13"/>
  <c r="Y915" i="13"/>
  <c r="AL919" i="13"/>
  <c r="AI920" i="13"/>
  <c r="AL927" i="13"/>
  <c r="BA927" i="13"/>
  <c r="AC934" i="13"/>
  <c r="AD934" i="13" s="1"/>
  <c r="AU934" i="13"/>
  <c r="Y938" i="13"/>
  <c r="AJ946" i="13"/>
  <c r="AM948" i="13"/>
  <c r="AL951" i="13"/>
  <c r="AR952" i="13"/>
  <c r="Y956" i="13"/>
  <c r="AM959" i="13"/>
  <c r="AR985" i="13"/>
  <c r="AM991" i="13"/>
  <c r="AO992" i="13"/>
  <c r="AC998" i="13"/>
  <c r="AL1000" i="13"/>
  <c r="AU1018" i="13"/>
  <c r="AR1018" i="13"/>
  <c r="BA1019" i="13"/>
  <c r="BB1019" i="13"/>
  <c r="AL1019" i="13"/>
  <c r="AC1029" i="13"/>
  <c r="AD1029" i="13" s="1"/>
  <c r="AU1029" i="13"/>
  <c r="AL1084" i="13"/>
  <c r="AU1093" i="13"/>
  <c r="AC1093" i="13"/>
  <c r="AJ1147" i="13"/>
  <c r="BA1174" i="13"/>
  <c r="BB1174" i="13"/>
  <c r="AJ1175" i="13"/>
  <c r="AR728" i="13"/>
  <c r="BB736" i="13"/>
  <c r="Y737" i="13"/>
  <c r="AL744" i="13"/>
  <c r="AM744" i="13"/>
  <c r="AI747" i="13"/>
  <c r="AM749" i="13"/>
  <c r="AC751" i="13"/>
  <c r="AR757" i="13"/>
  <c r="AR763" i="13"/>
  <c r="AI763" i="13"/>
  <c r="Y779" i="13"/>
  <c r="Y783" i="13"/>
  <c r="AC788" i="13"/>
  <c r="AR793" i="13"/>
  <c r="AK797" i="13"/>
  <c r="Y799" i="13"/>
  <c r="AN811" i="13"/>
  <c r="AO815" i="13"/>
  <c r="AI817" i="13"/>
  <c r="AO820" i="13"/>
  <c r="AM823" i="13"/>
  <c r="AC830" i="13"/>
  <c r="AM834" i="13"/>
  <c r="BB836" i="13"/>
  <c r="AR842" i="13"/>
  <c r="AC842" i="13"/>
  <c r="AD842" i="13" s="1"/>
  <c r="AK849" i="13"/>
  <c r="AM850" i="13"/>
  <c r="AR854" i="13"/>
  <c r="AC856" i="13"/>
  <c r="AJ863" i="13"/>
  <c r="AL876" i="13"/>
  <c r="AL880" i="13"/>
  <c r="AL884" i="13"/>
  <c r="AR887" i="13"/>
  <c r="AC892" i="13"/>
  <c r="AD892" i="13" s="1"/>
  <c r="AM917" i="13"/>
  <c r="AN924" i="13"/>
  <c r="AJ926" i="13"/>
  <c r="AR935" i="13"/>
  <c r="AM940" i="13"/>
  <c r="AU956" i="13"/>
  <c r="Y968" i="13"/>
  <c r="AR970" i="13"/>
  <c r="AC970" i="13"/>
  <c r="AK977" i="13"/>
  <c r="AR978" i="13"/>
  <c r="AU978" i="13"/>
  <c r="AC978" i="13"/>
  <c r="AO981" i="13"/>
  <c r="AJ981" i="13"/>
  <c r="AR988" i="13"/>
  <c r="BB992" i="13"/>
  <c r="AO995" i="13"/>
  <c r="AM1010" i="13"/>
  <c r="AJ1018" i="13"/>
  <c r="AJ1022" i="13"/>
  <c r="AC1025" i="13"/>
  <c r="AD1025" i="13" s="1"/>
  <c r="AU1025" i="13"/>
  <c r="AL1032" i="13"/>
  <c r="AR1051" i="13"/>
  <c r="BB1056" i="13"/>
  <c r="AU1065" i="13"/>
  <c r="AC1065" i="13"/>
  <c r="AK1068" i="13"/>
  <c r="AL1068" i="13"/>
  <c r="AK1073" i="13"/>
  <c r="AJ1073" i="13"/>
  <c r="AR1079" i="13"/>
  <c r="AM1084" i="13"/>
  <c r="Y754" i="13"/>
  <c r="Y765" i="13"/>
  <c r="Y786" i="13"/>
  <c r="AR806" i="13"/>
  <c r="AC806" i="13"/>
  <c r="AD806" i="13" s="1"/>
  <c r="Y815" i="13"/>
  <c r="AN819" i="13"/>
  <c r="AM831" i="13"/>
  <c r="AM838" i="13"/>
  <c r="AJ851" i="13"/>
  <c r="AO858" i="13"/>
  <c r="AO862" i="13"/>
  <c r="AR867" i="13"/>
  <c r="AI875" i="13"/>
  <c r="Y881" i="13"/>
  <c r="AR889" i="13"/>
  <c r="AK913" i="13"/>
  <c r="Y918" i="13"/>
  <c r="AN922" i="13"/>
  <c r="AH923" i="13"/>
  <c r="AR954" i="13"/>
  <c r="BB956" i="13"/>
  <c r="AC968" i="13"/>
  <c r="AU968" i="13"/>
  <c r="AR982" i="13"/>
  <c r="AI982" i="13"/>
  <c r="AH991" i="13"/>
  <c r="AC1005" i="13"/>
  <c r="AD1005" i="13" s="1"/>
  <c r="AO1011" i="13"/>
  <c r="BA1053" i="13"/>
  <c r="BB1053" i="13"/>
  <c r="AL1061" i="13"/>
  <c r="Y1062" i="13"/>
  <c r="AU1080" i="13"/>
  <c r="AC1080" i="13"/>
  <c r="AD1080" i="13" s="1"/>
  <c r="BB1082" i="13"/>
  <c r="AC1127" i="13"/>
  <c r="AD1127" i="13" s="1"/>
  <c r="AR1055" i="13"/>
  <c r="AC1055" i="13"/>
  <c r="AN1062" i="13"/>
  <c r="AH1062" i="13"/>
  <c r="AN1067" i="13"/>
  <c r="Y1078" i="13"/>
  <c r="BA1100" i="13"/>
  <c r="BB1100" i="13"/>
  <c r="BB1106" i="13"/>
  <c r="BA1106" i="13"/>
  <c r="AR1128" i="13"/>
  <c r="AU1128" i="13"/>
  <c r="AN1148" i="13"/>
  <c r="AK1148" i="13"/>
  <c r="BB1165" i="13"/>
  <c r="BA1165" i="13"/>
  <c r="AM1196" i="13"/>
  <c r="AH1196" i="13"/>
  <c r="AR931" i="13"/>
  <c r="AL935" i="13"/>
  <c r="Y941" i="13"/>
  <c r="AR944" i="13"/>
  <c r="AO945" i="13"/>
  <c r="AK947" i="13"/>
  <c r="AJ973" i="13"/>
  <c r="AU976" i="13"/>
  <c r="AM982" i="13"/>
  <c r="AJ984" i="13"/>
  <c r="Y987" i="13"/>
  <c r="Y989" i="13"/>
  <c r="AR990" i="13"/>
  <c r="BB1024" i="13"/>
  <c r="BA1027" i="13"/>
  <c r="BB1027" i="13"/>
  <c r="AR1039" i="13"/>
  <c r="AU1039" i="13"/>
  <c r="AC1039" i="13"/>
  <c r="AJ1041" i="13"/>
  <c r="AH1066" i="13"/>
  <c r="AI1068" i="13"/>
  <c r="AM1073" i="13"/>
  <c r="AK1076" i="13"/>
  <c r="BB1080" i="13"/>
  <c r="BA1080" i="13"/>
  <c r="AO1084" i="13"/>
  <c r="AO1103" i="13"/>
  <c r="AC1128" i="13"/>
  <c r="AD1128" i="13" s="1"/>
  <c r="BA1137" i="13"/>
  <c r="BB1137" i="13"/>
  <c r="AR1145" i="13"/>
  <c r="AL1157" i="13"/>
  <c r="AU1173" i="13"/>
  <c r="AR1173" i="13"/>
  <c r="AC1173" i="13"/>
  <c r="AD1173" i="13" s="1"/>
  <c r="BA1181" i="13"/>
  <c r="BB1181" i="13"/>
  <c r="Y1191" i="13"/>
  <c r="BB1112" i="13"/>
  <c r="BA1112" i="13"/>
  <c r="AJ1113" i="13"/>
  <c r="AH1113" i="13"/>
  <c r="AR1155" i="13"/>
  <c r="AU1155" i="13"/>
  <c r="AC1155" i="13"/>
  <c r="AD1155" i="13" s="1"/>
  <c r="BB1162" i="13"/>
  <c r="BA1162" i="13"/>
  <c r="BB970" i="13"/>
  <c r="AR974" i="13"/>
  <c r="AC974" i="13"/>
  <c r="AR977" i="13"/>
  <c r="AC977" i="13"/>
  <c r="AD977" i="13" s="1"/>
  <c r="AN986" i="13"/>
  <c r="AR987" i="13"/>
  <c r="AJ987" i="13"/>
  <c r="AH990" i="13"/>
  <c r="AC990" i="13"/>
  <c r="AM995" i="13"/>
  <c r="AR996" i="13"/>
  <c r="AR1008" i="13"/>
  <c r="AI1008" i="13"/>
  <c r="AM1014" i="13"/>
  <c r="Y1016" i="13"/>
  <c r="AR1025" i="13"/>
  <c r="AJ1030" i="13"/>
  <c r="AO1032" i="13"/>
  <c r="AU1033" i="13"/>
  <c r="AC1034" i="13"/>
  <c r="AD1034" i="13" s="1"/>
  <c r="AO1044" i="13"/>
  <c r="BB1049" i="13"/>
  <c r="AU1055" i="13"/>
  <c r="Y1056" i="13"/>
  <c r="BA1057" i="13"/>
  <c r="BB1057" i="13"/>
  <c r="BB1069" i="13"/>
  <c r="AJ1071" i="13"/>
  <c r="AU1072" i="13"/>
  <c r="AC1072" i="13"/>
  <c r="AJ1081" i="13"/>
  <c r="AL1090" i="13"/>
  <c r="AK1090" i="13"/>
  <c r="BA1090" i="13"/>
  <c r="AC1136" i="13"/>
  <c r="AU1136" i="13"/>
  <c r="AO1152" i="13"/>
  <c r="AM1162" i="13"/>
  <c r="Y1168" i="13"/>
  <c r="AC1180" i="13"/>
  <c r="AD1180" i="13" s="1"/>
  <c r="AR1180" i="13"/>
  <c r="Y1193" i="13"/>
  <c r="AK943" i="13"/>
  <c r="AM944" i="13"/>
  <c r="AR948" i="13"/>
  <c r="AR951" i="13"/>
  <c r="AR956" i="13"/>
  <c r="AM958" i="13"/>
  <c r="Y964" i="13"/>
  <c r="AJ977" i="13"/>
  <c r="AH982" i="13"/>
  <c r="AC983" i="13"/>
  <c r="AD983" i="13" s="1"/>
  <c r="BB984" i="13"/>
  <c r="AK987" i="13"/>
  <c r="AL990" i="13"/>
  <c r="AM998" i="13"/>
  <c r="AM1003" i="13"/>
  <c r="AR1004" i="13"/>
  <c r="AI1004" i="13"/>
  <c r="AM1006" i="13"/>
  <c r="AN1014" i="13"/>
  <c r="AI1040" i="13"/>
  <c r="AU1042" i="13"/>
  <c r="AC1042" i="13"/>
  <c r="AD1042" i="13" s="1"/>
  <c r="AR1047" i="13"/>
  <c r="AI1061" i="13"/>
  <c r="AU1064" i="13"/>
  <c r="AC1064" i="13"/>
  <c r="AD1064" i="13" s="1"/>
  <c r="AO1066" i="13"/>
  <c r="BA1081" i="13"/>
  <c r="BB1081" i="13"/>
  <c r="Y1082" i="13"/>
  <c r="AN1082" i="13"/>
  <c r="AR1084" i="13"/>
  <c r="AJ1084" i="13"/>
  <c r="AR1095" i="13"/>
  <c r="AC1111" i="13"/>
  <c r="AD1111" i="13" s="1"/>
  <c r="AU1111" i="13"/>
  <c r="AR1111" i="13"/>
  <c r="Y1133" i="13"/>
  <c r="AU1161" i="13"/>
  <c r="AR1161" i="13"/>
  <c r="AC1161" i="13"/>
  <c r="AN1162" i="13"/>
  <c r="AO1167" i="13"/>
  <c r="AN1167" i="13"/>
  <c r="AC1170" i="13"/>
  <c r="AN1034" i="13"/>
  <c r="AC1035" i="13"/>
  <c r="AR1037" i="13"/>
  <c r="AJ1055" i="13"/>
  <c r="AR1059" i="13"/>
  <c r="AL1060" i="13"/>
  <c r="BB1060" i="13"/>
  <c r="Y1061" i="13"/>
  <c r="AL1070" i="13"/>
  <c r="AM1071" i="13"/>
  <c r="AN1074" i="13"/>
  <c r="AL1078" i="13"/>
  <c r="AJ1080" i="13"/>
  <c r="Y1088" i="13"/>
  <c r="AM1117" i="13"/>
  <c r="AR1124" i="13"/>
  <c r="AC1124" i="13"/>
  <c r="AD1124" i="13" s="1"/>
  <c r="AO1133" i="13"/>
  <c r="AM1133" i="13"/>
  <c r="AK1136" i="13"/>
  <c r="AJ1136" i="13"/>
  <c r="AR1138" i="13"/>
  <c r="BB1142" i="13"/>
  <c r="AR1158" i="13"/>
  <c r="AU1158" i="13"/>
  <c r="AL1161" i="13"/>
  <c r="AU1169" i="13"/>
  <c r="AC1169" i="13"/>
  <c r="AO1171" i="13"/>
  <c r="BA1098" i="13"/>
  <c r="BA1101" i="13"/>
  <c r="Y1102" i="13"/>
  <c r="AM1103" i="13"/>
  <c r="AH1110" i="13"/>
  <c r="AN1113" i="13"/>
  <c r="AN1117" i="13"/>
  <c r="BA1118" i="13"/>
  <c r="BB1118" i="13"/>
  <c r="AH1121" i="13"/>
  <c r="AN1121" i="13"/>
  <c r="AR1129" i="13"/>
  <c r="BB1138" i="13"/>
  <c r="AU1143" i="13"/>
  <c r="AC1143" i="13"/>
  <c r="AL1178" i="13"/>
  <c r="BA1178" i="13"/>
  <c r="AC1195" i="13"/>
  <c r="AI1198" i="13"/>
  <c r="AN1199" i="13"/>
  <c r="AM1017" i="13"/>
  <c r="AI1023" i="13"/>
  <c r="Y1028" i="13"/>
  <c r="BB1029" i="13"/>
  <c r="BB1033" i="13"/>
  <c r="Y1045" i="13"/>
  <c r="BB1062" i="13"/>
  <c r="BA1070" i="13"/>
  <c r="BA1072" i="13"/>
  <c r="BA1083" i="13"/>
  <c r="AR1090" i="13"/>
  <c r="Y1092" i="13"/>
  <c r="AM1096" i="13"/>
  <c r="AK1107" i="13"/>
  <c r="AO1117" i="13"/>
  <c r="Y1130" i="13"/>
  <c r="AU1139" i="13"/>
  <c r="AC1139" i="13"/>
  <c r="AU1154" i="13"/>
  <c r="AC1154" i="13"/>
  <c r="AD1154" i="13" s="1"/>
  <c r="Y1157" i="13"/>
  <c r="AC1158" i="13"/>
  <c r="AO1164" i="13"/>
  <c r="AR1184" i="13"/>
  <c r="AO1196" i="13"/>
  <c r="AO1070" i="13"/>
  <c r="AR1075" i="13"/>
  <c r="AI1077" i="13"/>
  <c r="Y1081" i="13"/>
  <c r="AI1084" i="13"/>
  <c r="Y1100" i="13"/>
  <c r="AH1117" i="13"/>
  <c r="AN1125" i="13"/>
  <c r="AU1132" i="13"/>
  <c r="AR1141" i="13"/>
  <c r="BA1148" i="13"/>
  <c r="AM1156" i="13"/>
  <c r="AK1156" i="13"/>
  <c r="BA1158" i="13"/>
  <c r="BB1158" i="13"/>
  <c r="AJ1171" i="13"/>
  <c r="Y1175" i="13"/>
  <c r="BB1176" i="13"/>
  <c r="AC1182" i="13"/>
  <c r="AD1182" i="13" s="1"/>
  <c r="AC1189" i="13"/>
  <c r="AD1189" i="13" s="1"/>
  <c r="AR1189" i="13"/>
  <c r="AU1191" i="13"/>
  <c r="AU1195" i="13"/>
  <c r="BA1097" i="13"/>
  <c r="AO1107" i="13"/>
  <c r="AN1116" i="13"/>
  <c r="AC1119" i="13"/>
  <c r="AD1119" i="13" s="1"/>
  <c r="BB1130" i="13"/>
  <c r="Y1131" i="13"/>
  <c r="AI1134" i="13"/>
  <c r="AL1136" i="13"/>
  <c r="Y1158" i="13"/>
  <c r="AR1169" i="13"/>
  <c r="AH1170" i="13"/>
  <c r="BB1171" i="13"/>
  <c r="AO1176" i="13"/>
  <c r="AL1182" i="13"/>
  <c r="BA1186" i="13"/>
  <c r="AL1198" i="13"/>
  <c r="AR1106" i="13"/>
  <c r="Y1111" i="13"/>
  <c r="BB1122" i="13"/>
  <c r="AO1126" i="13"/>
  <c r="AJ1126" i="13"/>
  <c r="AK1132" i="13"/>
  <c r="AC1135" i="13"/>
  <c r="BB1146" i="13"/>
  <c r="AK1150" i="13"/>
  <c r="Y1152" i="13"/>
  <c r="AK1154" i="13"/>
  <c r="AR1162" i="13"/>
  <c r="Z1169" i="13"/>
  <c r="AH1176" i="13"/>
  <c r="AK1179" i="13"/>
  <c r="AJ1179" i="13"/>
  <c r="BB1184" i="13"/>
  <c r="AR1187" i="13"/>
  <c r="AN1191" i="13"/>
  <c r="AM1191" i="13"/>
  <c r="AO1100" i="13"/>
  <c r="AM1102" i="13"/>
  <c r="BB1104" i="13"/>
  <c r="Y1105" i="13"/>
  <c r="AL1106" i="13"/>
  <c r="AK1106" i="13"/>
  <c r="Z1106" i="13"/>
  <c r="Y1112" i="13"/>
  <c r="AC1115" i="13"/>
  <c r="AD1115" i="13" s="1"/>
  <c r="AM1116" i="13"/>
  <c r="AL1116" i="13"/>
  <c r="AR1120" i="13"/>
  <c r="AL1126" i="13"/>
  <c r="BB1128" i="13"/>
  <c r="Y1129" i="13"/>
  <c r="AN1136" i="13"/>
  <c r="AR1142" i="13"/>
  <c r="AI1147" i="13"/>
  <c r="BB1152" i="13"/>
  <c r="AI1165" i="13"/>
  <c r="AI1166" i="13"/>
  <c r="AR1174" i="13"/>
  <c r="AL1176" i="13"/>
  <c r="AM1180" i="13"/>
  <c r="BB1180" i="13"/>
  <c r="AM1183" i="13"/>
  <c r="Z1183" i="13"/>
  <c r="AU1199" i="13"/>
  <c r="D3" i="13"/>
  <c r="AE4" i="13" s="1"/>
  <c r="AE98" i="13"/>
  <c r="AS98" i="13"/>
  <c r="AB98" i="13"/>
  <c r="AP98" i="13"/>
  <c r="AT98" i="13"/>
  <c r="AA98" i="13"/>
  <c r="AE405" i="13"/>
  <c r="AT405" i="13"/>
  <c r="AD405" i="13"/>
  <c r="AS405" i="13"/>
  <c r="AB405" i="13"/>
  <c r="AA405" i="13"/>
  <c r="AP405" i="13"/>
  <c r="AS654" i="13"/>
  <c r="AA654" i="13"/>
  <c r="AP654" i="13"/>
  <c r="AB654" i="13"/>
  <c r="AT654" i="13"/>
  <c r="AE654" i="13"/>
  <c r="AS693" i="13"/>
  <c r="AB693" i="13"/>
  <c r="AA693" i="13"/>
  <c r="AE693" i="13"/>
  <c r="AT693" i="13"/>
  <c r="AP693" i="13"/>
  <c r="AD693" i="13"/>
  <c r="D6" i="13"/>
  <c r="AE22" i="13"/>
  <c r="AT22" i="13"/>
  <c r="AS22" i="13"/>
  <c r="AB22" i="13"/>
  <c r="AA22" i="13"/>
  <c r="AP22" i="13"/>
  <c r="AT25" i="13"/>
  <c r="AS25" i="13"/>
  <c r="AB25" i="13"/>
  <c r="AA25" i="13"/>
  <c r="AP25" i="13"/>
  <c r="AE25" i="13"/>
  <c r="AP35" i="13"/>
  <c r="AE35" i="13"/>
  <c r="AT35" i="13"/>
  <c r="AS35" i="13"/>
  <c r="AB35" i="13"/>
  <c r="AA35" i="13"/>
  <c r="AE42" i="13"/>
  <c r="AT42" i="13"/>
  <c r="AS42" i="13"/>
  <c r="AB42" i="13"/>
  <c r="AA42" i="13"/>
  <c r="AP42" i="13"/>
  <c r="AS61" i="13"/>
  <c r="AA61" i="13"/>
  <c r="AT61" i="13"/>
  <c r="AP61" i="13"/>
  <c r="AE61" i="13"/>
  <c r="AD61" i="13"/>
  <c r="AB61" i="13"/>
  <c r="AE78" i="13"/>
  <c r="AS78" i="13"/>
  <c r="AB78" i="13"/>
  <c r="AP78" i="13"/>
  <c r="AT78" i="13"/>
  <c r="AA78" i="13"/>
  <c r="AE107" i="13"/>
  <c r="AT107" i="13"/>
  <c r="AD107" i="13"/>
  <c r="AS107" i="13"/>
  <c r="AB107" i="13"/>
  <c r="AA107" i="13"/>
  <c r="AP107" i="13"/>
  <c r="AE126" i="13"/>
  <c r="AS126" i="13"/>
  <c r="AB126" i="13"/>
  <c r="AA126" i="13"/>
  <c r="AP126" i="13"/>
  <c r="AT126" i="13"/>
  <c r="AS133" i="13"/>
  <c r="AA133" i="13"/>
  <c r="AP133" i="13"/>
  <c r="AE133" i="13"/>
  <c r="AB133" i="13"/>
  <c r="AT133" i="13"/>
  <c r="AD133" i="13"/>
  <c r="AE150" i="13"/>
  <c r="AT150" i="13"/>
  <c r="AS150" i="13"/>
  <c r="AB150" i="13"/>
  <c r="AA150" i="13"/>
  <c r="AP150" i="13"/>
  <c r="AS153" i="13"/>
  <c r="AB153" i="13"/>
  <c r="AA153" i="13"/>
  <c r="AP153" i="13"/>
  <c r="AE153" i="13"/>
  <c r="AT153" i="13"/>
  <c r="AD153" i="13"/>
  <c r="AE163" i="13"/>
  <c r="AT163" i="13"/>
  <c r="AD163" i="13"/>
  <c r="AS163" i="13"/>
  <c r="AB163" i="13"/>
  <c r="AA163" i="13"/>
  <c r="AP163" i="13"/>
  <c r="AE170" i="13"/>
  <c r="AT170" i="13"/>
  <c r="AS170" i="13"/>
  <c r="AB170" i="13"/>
  <c r="AA170" i="13"/>
  <c r="AP170" i="13"/>
  <c r="AT189" i="13"/>
  <c r="AD189" i="13"/>
  <c r="AB189" i="13"/>
  <c r="AA189" i="13"/>
  <c r="AS189" i="13"/>
  <c r="AE189" i="13"/>
  <c r="AP189" i="13"/>
  <c r="AT206" i="13"/>
  <c r="AD206" i="13"/>
  <c r="AS206" i="13"/>
  <c r="AA206" i="13"/>
  <c r="AP206" i="13"/>
  <c r="AE206" i="13"/>
  <c r="AB206" i="13"/>
  <c r="AP235" i="13"/>
  <c r="AE235" i="13"/>
  <c r="AT235" i="13"/>
  <c r="AS235" i="13"/>
  <c r="AB235" i="13"/>
  <c r="AA235" i="13"/>
  <c r="AE254" i="13"/>
  <c r="AT254" i="13"/>
  <c r="AS254" i="13"/>
  <c r="AB254" i="13"/>
  <c r="AA254" i="13"/>
  <c r="AP254" i="13"/>
  <c r="AT261" i="13"/>
  <c r="AD261" i="13"/>
  <c r="AS261" i="13"/>
  <c r="AB261" i="13"/>
  <c r="AA261" i="13"/>
  <c r="AP261" i="13"/>
  <c r="AE261" i="13"/>
  <c r="AT299" i="13"/>
  <c r="AB299" i="13"/>
  <c r="AA299" i="13"/>
  <c r="AS299" i="13"/>
  <c r="AE299" i="13"/>
  <c r="AP299" i="13"/>
  <c r="AS357" i="13"/>
  <c r="AB357" i="13"/>
  <c r="AA357" i="13"/>
  <c r="AT357" i="13"/>
  <c r="AP357" i="13"/>
  <c r="AE357" i="13"/>
  <c r="AD357" i="13"/>
  <c r="AE386" i="13"/>
  <c r="AA386" i="13"/>
  <c r="AB386" i="13"/>
  <c r="AT386" i="13"/>
  <c r="AS386" i="13"/>
  <c r="AP386" i="13"/>
  <c r="AE450" i="13"/>
  <c r="AT450" i="13"/>
  <c r="AS450" i="13"/>
  <c r="AB450" i="13"/>
  <c r="AA450" i="13"/>
  <c r="AP450" i="13"/>
  <c r="AE514" i="13"/>
  <c r="AT514" i="13"/>
  <c r="AS514" i="13"/>
  <c r="AB514" i="13"/>
  <c r="AA514" i="13"/>
  <c r="AP514" i="13"/>
  <c r="AB578" i="13"/>
  <c r="AP578" i="13"/>
  <c r="AE578" i="13"/>
  <c r="AS578" i="13"/>
  <c r="AD578" i="13"/>
  <c r="AT578" i="13"/>
  <c r="AA578" i="13"/>
  <c r="AE686" i="13"/>
  <c r="AT686" i="13"/>
  <c r="AS686" i="13"/>
  <c r="AA686" i="13"/>
  <c r="AP686" i="13"/>
  <c r="AB686" i="13"/>
  <c r="AE699" i="13"/>
  <c r="AS699" i="13"/>
  <c r="AB699" i="13"/>
  <c r="AA699" i="13"/>
  <c r="AT699" i="13"/>
  <c r="AP699" i="13"/>
  <c r="AT725" i="13"/>
  <c r="AD725" i="13"/>
  <c r="AS725" i="13"/>
  <c r="AA725" i="13"/>
  <c r="AP725" i="13"/>
  <c r="AE725" i="13"/>
  <c r="AB725" i="13"/>
  <c r="AS105" i="13"/>
  <c r="AA105" i="13"/>
  <c r="AP105" i="13"/>
  <c r="AE105" i="13"/>
  <c r="AB105" i="13"/>
  <c r="AT105" i="13"/>
  <c r="AB283" i="13"/>
  <c r="AA283" i="13"/>
  <c r="AP283" i="13"/>
  <c r="AE283" i="13"/>
  <c r="AT283" i="13"/>
  <c r="AS283" i="13"/>
  <c r="AT302" i="13"/>
  <c r="AD302" i="13"/>
  <c r="AB302" i="13"/>
  <c r="AP302" i="13"/>
  <c r="AE302" i="13"/>
  <c r="AS302" i="13"/>
  <c r="AA302" i="13"/>
  <c r="AE398" i="13"/>
  <c r="AA398" i="13"/>
  <c r="AP398" i="13"/>
  <c r="AD398" i="13"/>
  <c r="AB398" i="13"/>
  <c r="AT398" i="13"/>
  <c r="AS398" i="13"/>
  <c r="AP533" i="13"/>
  <c r="AS533" i="13"/>
  <c r="AB533" i="13"/>
  <c r="AA533" i="13"/>
  <c r="AT533" i="13"/>
  <c r="AE533" i="13"/>
  <c r="G221" i="1"/>
  <c r="G220" i="1"/>
  <c r="G222" i="1"/>
  <c r="C58" i="1"/>
  <c r="AE18" i="13"/>
  <c r="AT18" i="13"/>
  <c r="AS18" i="13"/>
  <c r="AB18" i="13"/>
  <c r="AA18" i="13"/>
  <c r="AP18" i="13"/>
  <c r="AS81" i="13"/>
  <c r="AA81" i="13"/>
  <c r="AP81" i="13"/>
  <c r="AB81" i="13"/>
  <c r="AT81" i="13"/>
  <c r="AE81" i="13"/>
  <c r="AD81" i="13"/>
  <c r="AS117" i="13"/>
  <c r="AA117" i="13"/>
  <c r="AP117" i="13"/>
  <c r="AE117" i="13"/>
  <c r="AB117" i="13"/>
  <c r="AT117" i="13"/>
  <c r="AD117" i="13"/>
  <c r="AE123" i="13"/>
  <c r="AT123" i="13"/>
  <c r="AS123" i="13"/>
  <c r="AB123" i="13"/>
  <c r="AA123" i="13"/>
  <c r="AP123" i="13"/>
  <c r="AE130" i="13"/>
  <c r="AS130" i="13"/>
  <c r="AB130" i="13"/>
  <c r="AA130" i="13"/>
  <c r="AP130" i="13"/>
  <c r="AT130" i="13"/>
  <c r="AS137" i="13"/>
  <c r="AA137" i="13"/>
  <c r="AP137" i="13"/>
  <c r="AE137" i="13"/>
  <c r="AD137" i="13"/>
  <c r="AB137" i="13"/>
  <c r="AT137" i="13"/>
  <c r="AE146" i="13"/>
  <c r="AT146" i="13"/>
  <c r="AS146" i="13"/>
  <c r="AB146" i="13"/>
  <c r="AA146" i="13"/>
  <c r="AP146" i="13"/>
  <c r="AT209" i="13"/>
  <c r="AD209" i="13"/>
  <c r="AB209" i="13"/>
  <c r="AA209" i="13"/>
  <c r="AE209" i="13"/>
  <c r="AS209" i="13"/>
  <c r="AP209" i="13"/>
  <c r="AT245" i="13"/>
  <c r="AD245" i="13"/>
  <c r="AS245" i="13"/>
  <c r="AB245" i="13"/>
  <c r="AA245" i="13"/>
  <c r="AP245" i="13"/>
  <c r="AE245" i="13"/>
  <c r="AP251" i="13"/>
  <c r="AE251" i="13"/>
  <c r="AT251" i="13"/>
  <c r="AS251" i="13"/>
  <c r="AB251" i="13"/>
  <c r="AA251" i="13"/>
  <c r="AE258" i="13"/>
  <c r="AT258" i="13"/>
  <c r="AS258" i="13"/>
  <c r="AB258" i="13"/>
  <c r="AA258" i="13"/>
  <c r="AP258" i="13"/>
  <c r="AE265" i="13"/>
  <c r="AP265" i="13"/>
  <c r="AB265" i="13"/>
  <c r="AA265" i="13"/>
  <c r="AT265" i="13"/>
  <c r="AS265" i="13"/>
  <c r="AP274" i="13"/>
  <c r="AE274" i="13"/>
  <c r="AD274" i="13"/>
  <c r="AB274" i="13"/>
  <c r="AA274" i="13"/>
  <c r="AT274" i="13"/>
  <c r="AS274" i="13"/>
  <c r="AE277" i="13"/>
  <c r="AT277" i="13"/>
  <c r="AS277" i="13"/>
  <c r="AP277" i="13"/>
  <c r="AB277" i="13"/>
  <c r="AA277" i="13"/>
  <c r="AB313" i="13"/>
  <c r="AA313" i="13"/>
  <c r="AP313" i="13"/>
  <c r="AE313" i="13"/>
  <c r="AS313" i="13"/>
  <c r="AD313" i="13"/>
  <c r="AT313" i="13"/>
  <c r="AT318" i="13"/>
  <c r="AD318" i="13"/>
  <c r="AS318" i="13"/>
  <c r="AB318" i="13"/>
  <c r="AA318" i="13"/>
  <c r="AP318" i="13"/>
  <c r="AE318" i="13"/>
  <c r="AE354" i="13"/>
  <c r="AA354" i="13"/>
  <c r="AB354" i="13"/>
  <c r="AT354" i="13"/>
  <c r="AS354" i="13"/>
  <c r="AP354" i="13"/>
  <c r="AS393" i="13"/>
  <c r="AP393" i="13"/>
  <c r="AE393" i="13"/>
  <c r="AD393" i="13"/>
  <c r="AB393" i="13"/>
  <c r="AA393" i="13"/>
  <c r="AT393" i="13"/>
  <c r="AE457" i="13"/>
  <c r="AT457" i="13"/>
  <c r="AD457" i="13"/>
  <c r="AS457" i="13"/>
  <c r="AB457" i="13"/>
  <c r="AA457" i="13"/>
  <c r="AP457" i="13"/>
  <c r="AE521" i="13"/>
  <c r="AT521" i="13"/>
  <c r="AS521" i="13"/>
  <c r="AB521" i="13"/>
  <c r="AA521" i="13"/>
  <c r="AP521" i="13"/>
  <c r="AP585" i="13"/>
  <c r="AE585" i="13"/>
  <c r="AT585" i="13"/>
  <c r="AS585" i="13"/>
  <c r="AB585" i="13"/>
  <c r="AA585" i="13"/>
  <c r="AE718" i="13"/>
  <c r="AS718" i="13"/>
  <c r="AB718" i="13"/>
  <c r="AT718" i="13"/>
  <c r="AA718" i="13"/>
  <c r="AP718" i="13"/>
  <c r="AP731" i="13"/>
  <c r="AE731" i="13"/>
  <c r="AT731" i="13"/>
  <c r="AD731" i="13"/>
  <c r="AB731" i="13"/>
  <c r="AS731" i="13"/>
  <c r="AA731" i="13"/>
  <c r="AB757" i="13"/>
  <c r="AS757" i="13"/>
  <c r="AP757" i="13"/>
  <c r="AE757" i="13"/>
  <c r="AA757" i="13"/>
  <c r="AT757" i="13"/>
  <c r="AP219" i="13"/>
  <c r="AE219" i="13"/>
  <c r="AT219" i="13"/>
  <c r="AS219" i="13"/>
  <c r="AB219" i="13"/>
  <c r="AA219" i="13"/>
  <c r="AE469" i="13"/>
  <c r="AT469" i="13"/>
  <c r="AD469" i="13"/>
  <c r="AS469" i="13"/>
  <c r="AB469" i="13"/>
  <c r="AA469" i="13"/>
  <c r="AP469" i="13"/>
  <c r="AT5" i="13"/>
  <c r="AS5" i="13"/>
  <c r="AB5" i="13"/>
  <c r="AA5" i="13"/>
  <c r="AP11" i="13"/>
  <c r="AE11" i="13"/>
  <c r="AT11" i="13"/>
  <c r="AS11" i="13"/>
  <c r="AB11" i="13"/>
  <c r="AA11" i="13"/>
  <c r="AE30" i="13"/>
  <c r="AT30" i="13"/>
  <c r="AS30" i="13"/>
  <c r="AB30" i="13"/>
  <c r="AA30" i="13"/>
  <c r="AP30" i="13"/>
  <c r="AT37" i="13"/>
  <c r="AD37" i="13"/>
  <c r="AS37" i="13"/>
  <c r="AB37" i="13"/>
  <c r="AA37" i="13"/>
  <c r="AP37" i="13"/>
  <c r="AE37" i="13"/>
  <c r="AE74" i="13"/>
  <c r="AS74" i="13"/>
  <c r="AB74" i="13"/>
  <c r="AP74" i="13"/>
  <c r="AT74" i="13"/>
  <c r="AA74" i="13"/>
  <c r="AE110" i="13"/>
  <c r="AS110" i="13"/>
  <c r="AB110" i="13"/>
  <c r="AA110" i="13"/>
  <c r="AP110" i="13"/>
  <c r="AT110" i="13"/>
  <c r="AE139" i="13"/>
  <c r="AT139" i="13"/>
  <c r="AS139" i="13"/>
  <c r="AB139" i="13"/>
  <c r="AA139" i="13"/>
  <c r="AP139" i="13"/>
  <c r="AE158" i="13"/>
  <c r="AT158" i="13"/>
  <c r="AS158" i="13"/>
  <c r="AB158" i="13"/>
  <c r="AA158" i="13"/>
  <c r="AP158" i="13"/>
  <c r="AS165" i="13"/>
  <c r="AB165" i="13"/>
  <c r="AA165" i="13"/>
  <c r="AP165" i="13"/>
  <c r="AE165" i="13"/>
  <c r="AD165" i="13"/>
  <c r="AT165" i="13"/>
  <c r="AT182" i="13"/>
  <c r="AD182" i="13"/>
  <c r="AS182" i="13"/>
  <c r="AP182" i="13"/>
  <c r="AE182" i="13"/>
  <c r="AB182" i="13"/>
  <c r="AA182" i="13"/>
  <c r="AT185" i="13"/>
  <c r="AD185" i="13"/>
  <c r="AB185" i="13"/>
  <c r="AA185" i="13"/>
  <c r="AP185" i="13"/>
  <c r="AS185" i="13"/>
  <c r="AE185" i="13"/>
  <c r="AP195" i="13"/>
  <c r="AE195" i="13"/>
  <c r="AB195" i="13"/>
  <c r="AT195" i="13"/>
  <c r="AD195" i="13"/>
  <c r="AS195" i="13"/>
  <c r="AA195" i="13"/>
  <c r="AT202" i="13"/>
  <c r="AD202" i="13"/>
  <c r="AS202" i="13"/>
  <c r="AA202" i="13"/>
  <c r="AP202" i="13"/>
  <c r="AE202" i="13"/>
  <c r="AB202" i="13"/>
  <c r="AT221" i="13"/>
  <c r="AD221" i="13"/>
  <c r="AS221" i="13"/>
  <c r="AB221" i="13"/>
  <c r="AA221" i="13"/>
  <c r="AP221" i="13"/>
  <c r="AE221" i="13"/>
  <c r="AE238" i="13"/>
  <c r="AT238" i="13"/>
  <c r="AS238" i="13"/>
  <c r="AB238" i="13"/>
  <c r="AA238" i="13"/>
  <c r="AP238" i="13"/>
  <c r="AB267" i="13"/>
  <c r="AA267" i="13"/>
  <c r="AP267" i="13"/>
  <c r="AE267" i="13"/>
  <c r="AD267" i="13"/>
  <c r="AT267" i="13"/>
  <c r="AS267" i="13"/>
  <c r="AB293" i="13"/>
  <c r="AP293" i="13"/>
  <c r="AE293" i="13"/>
  <c r="AT293" i="13"/>
  <c r="AD293" i="13"/>
  <c r="AS293" i="13"/>
  <c r="AA293" i="13"/>
  <c r="AE315" i="13"/>
  <c r="AT315" i="13"/>
  <c r="AS315" i="13"/>
  <c r="AB315" i="13"/>
  <c r="AA315" i="13"/>
  <c r="AP315" i="13"/>
  <c r="AB329" i="13"/>
  <c r="AA329" i="13"/>
  <c r="AP329" i="13"/>
  <c r="AE329" i="13"/>
  <c r="AD329" i="13"/>
  <c r="AT329" i="13"/>
  <c r="AS329" i="13"/>
  <c r="AT334" i="13"/>
  <c r="AD334" i="13"/>
  <c r="AS334" i="13"/>
  <c r="AB334" i="13"/>
  <c r="AA334" i="13"/>
  <c r="AP334" i="13"/>
  <c r="AE334" i="13"/>
  <c r="AP617" i="13"/>
  <c r="AE617" i="13"/>
  <c r="AT617" i="13"/>
  <c r="AS617" i="13"/>
  <c r="AB617" i="13"/>
  <c r="AA617" i="13"/>
  <c r="AP750" i="13"/>
  <c r="AE750" i="13"/>
  <c r="AT750" i="13"/>
  <c r="AS750" i="13"/>
  <c r="AB750" i="13"/>
  <c r="AA750" i="13"/>
  <c r="AS85" i="13"/>
  <c r="AA85" i="13"/>
  <c r="AP85" i="13"/>
  <c r="AT85" i="13"/>
  <c r="AE85" i="13"/>
  <c r="AD85" i="13"/>
  <c r="AB85" i="13"/>
  <c r="AT233" i="13"/>
  <c r="AD233" i="13"/>
  <c r="AS233" i="13"/>
  <c r="AB233" i="13"/>
  <c r="AA233" i="13"/>
  <c r="AP233" i="13"/>
  <c r="AE233" i="13"/>
  <c r="AB341" i="13"/>
  <c r="AA341" i="13"/>
  <c r="AP341" i="13"/>
  <c r="AE341" i="13"/>
  <c r="AT341" i="13"/>
  <c r="AS341" i="13"/>
  <c r="AE462" i="13"/>
  <c r="AT462" i="13"/>
  <c r="AD462" i="13"/>
  <c r="AS462" i="13"/>
  <c r="AB462" i="13"/>
  <c r="AA462" i="13"/>
  <c r="AP462" i="13"/>
  <c r="AE738" i="13"/>
  <c r="AT738" i="13"/>
  <c r="AS738" i="13"/>
  <c r="AB738" i="13"/>
  <c r="AP738" i="13"/>
  <c r="AA738" i="13"/>
  <c r="C57" i="1"/>
  <c r="D9" i="13"/>
  <c r="AE54" i="13"/>
  <c r="AT54" i="13"/>
  <c r="AS54" i="13"/>
  <c r="AB54" i="13"/>
  <c r="AA54" i="13"/>
  <c r="AP54" i="13"/>
  <c r="AT57" i="13"/>
  <c r="AD57" i="13"/>
  <c r="AS57" i="13"/>
  <c r="AB57" i="13"/>
  <c r="AA57" i="13"/>
  <c r="AP57" i="13"/>
  <c r="AE57" i="13"/>
  <c r="AE67" i="13"/>
  <c r="AB67" i="13"/>
  <c r="AS67" i="13"/>
  <c r="AD67" i="13"/>
  <c r="AP67" i="13"/>
  <c r="AA67" i="13"/>
  <c r="AT67" i="13"/>
  <c r="AS93" i="13"/>
  <c r="AA93" i="13"/>
  <c r="AP93" i="13"/>
  <c r="AT93" i="13"/>
  <c r="AE93" i="13"/>
  <c r="AD93" i="13"/>
  <c r="AB93" i="13"/>
  <c r="AT21" i="13"/>
  <c r="AD21" i="13"/>
  <c r="AS21" i="13"/>
  <c r="AB21" i="13"/>
  <c r="AA21" i="13"/>
  <c r="AP21" i="13"/>
  <c r="AE21" i="13"/>
  <c r="AP27" i="13"/>
  <c r="AE27" i="13"/>
  <c r="AT27" i="13"/>
  <c r="AS27" i="13"/>
  <c r="AB27" i="13"/>
  <c r="AA27" i="13"/>
  <c r="AE34" i="13"/>
  <c r="AT34" i="13"/>
  <c r="AS34" i="13"/>
  <c r="AB34" i="13"/>
  <c r="AA34" i="13"/>
  <c r="AP34" i="13"/>
  <c r="AT41" i="13"/>
  <c r="AD41" i="13"/>
  <c r="AS41" i="13"/>
  <c r="AB41" i="13"/>
  <c r="AA41" i="13"/>
  <c r="AP41" i="13"/>
  <c r="AE41" i="13"/>
  <c r="AE50" i="13"/>
  <c r="AT50" i="13"/>
  <c r="AS50" i="13"/>
  <c r="AB50" i="13"/>
  <c r="AA50" i="13"/>
  <c r="AP50" i="13"/>
  <c r="AS113" i="13"/>
  <c r="AA113" i="13"/>
  <c r="AP113" i="13"/>
  <c r="AE113" i="13"/>
  <c r="AD113" i="13"/>
  <c r="AB113" i="13"/>
  <c r="AT113" i="13"/>
  <c r="AS149" i="13"/>
  <c r="AB149" i="13"/>
  <c r="AA149" i="13"/>
  <c r="AP149" i="13"/>
  <c r="AE149" i="13"/>
  <c r="AD149" i="13"/>
  <c r="AT149" i="13"/>
  <c r="AE155" i="13"/>
  <c r="AT155" i="13"/>
  <c r="AS155" i="13"/>
  <c r="AB155" i="13"/>
  <c r="AA155" i="13"/>
  <c r="AP155" i="13"/>
  <c r="AE162" i="13"/>
  <c r="AT162" i="13"/>
  <c r="AS162" i="13"/>
  <c r="AB162" i="13"/>
  <c r="AA162" i="13"/>
  <c r="AP162" i="13"/>
  <c r="AS169" i="13"/>
  <c r="AB169" i="13"/>
  <c r="AA169" i="13"/>
  <c r="AP169" i="13"/>
  <c r="AE169" i="13"/>
  <c r="AT169" i="13"/>
  <c r="AD169" i="13"/>
  <c r="AT178" i="13"/>
  <c r="AD178" i="13"/>
  <c r="AS178" i="13"/>
  <c r="AP178" i="13"/>
  <c r="AA178" i="13"/>
  <c r="AE178" i="13"/>
  <c r="AB178" i="13"/>
  <c r="AT241" i="13"/>
  <c r="AD241" i="13"/>
  <c r="AS241" i="13"/>
  <c r="AB241" i="13"/>
  <c r="AA241" i="13"/>
  <c r="AP241" i="13"/>
  <c r="AE241" i="13"/>
  <c r="AT290" i="13"/>
  <c r="AB290" i="13"/>
  <c r="AP290" i="13"/>
  <c r="AE290" i="13"/>
  <c r="AS290" i="13"/>
  <c r="AA290" i="13"/>
  <c r="AE331" i="13"/>
  <c r="AT331" i="13"/>
  <c r="AS331" i="13"/>
  <c r="AB331" i="13"/>
  <c r="AA331" i="13"/>
  <c r="AP331" i="13"/>
  <c r="AE366" i="13"/>
  <c r="AA366" i="13"/>
  <c r="AP366" i="13"/>
  <c r="AD366" i="13"/>
  <c r="AB366" i="13"/>
  <c r="AT366" i="13"/>
  <c r="AS366" i="13"/>
  <c r="AS373" i="13"/>
  <c r="AB373" i="13"/>
  <c r="AA373" i="13"/>
  <c r="AT373" i="13"/>
  <c r="AP373" i="13"/>
  <c r="AE373" i="13"/>
  <c r="AD373" i="13"/>
  <c r="AA411" i="13"/>
  <c r="AP411" i="13"/>
  <c r="AE411" i="13"/>
  <c r="AS411" i="13"/>
  <c r="AD411" i="13"/>
  <c r="AT411" i="13"/>
  <c r="AB411" i="13"/>
  <c r="AE430" i="13"/>
  <c r="AT430" i="13"/>
  <c r="AS430" i="13"/>
  <c r="AB430" i="13"/>
  <c r="AA430" i="13"/>
  <c r="AP430" i="13"/>
  <c r="AE437" i="13"/>
  <c r="AT437" i="13"/>
  <c r="AD437" i="13"/>
  <c r="AS437" i="13"/>
  <c r="AB437" i="13"/>
  <c r="AA437" i="13"/>
  <c r="AP437" i="13"/>
  <c r="AA475" i="13"/>
  <c r="AE475" i="13"/>
  <c r="AT475" i="13"/>
  <c r="AD475" i="13"/>
  <c r="AS475" i="13"/>
  <c r="AB475" i="13"/>
  <c r="AP475" i="13"/>
  <c r="AE494" i="13"/>
  <c r="AT494" i="13"/>
  <c r="AS494" i="13"/>
  <c r="AB494" i="13"/>
  <c r="AA494" i="13"/>
  <c r="AP494" i="13"/>
  <c r="AE501" i="13"/>
  <c r="AT501" i="13"/>
  <c r="AS501" i="13"/>
  <c r="AB501" i="13"/>
  <c r="AA501" i="13"/>
  <c r="AP501" i="13"/>
  <c r="AT539" i="13"/>
  <c r="AD539" i="13"/>
  <c r="AB539" i="13"/>
  <c r="AS539" i="13"/>
  <c r="AE539" i="13"/>
  <c r="AP539" i="13"/>
  <c r="AA539" i="13"/>
  <c r="AB558" i="13"/>
  <c r="AP558" i="13"/>
  <c r="AE558" i="13"/>
  <c r="AD558" i="13"/>
  <c r="AT558" i="13"/>
  <c r="AA558" i="13"/>
  <c r="AS558" i="13"/>
  <c r="AP565" i="13"/>
  <c r="AE565" i="13"/>
  <c r="AT565" i="13"/>
  <c r="AS565" i="13"/>
  <c r="AA565" i="13"/>
  <c r="AB565" i="13"/>
  <c r="AB610" i="13"/>
  <c r="AP610" i="13"/>
  <c r="AE610" i="13"/>
  <c r="AD610" i="13"/>
  <c r="AT610" i="13"/>
  <c r="AA610" i="13"/>
  <c r="AS610" i="13"/>
  <c r="AA649" i="13"/>
  <c r="AS649" i="13"/>
  <c r="AE649" i="13"/>
  <c r="AP649" i="13"/>
  <c r="AD649" i="13"/>
  <c r="AB649" i="13"/>
  <c r="AT649" i="13"/>
  <c r="AT49" i="13"/>
  <c r="AD49" i="13"/>
  <c r="AS49" i="13"/>
  <c r="AB49" i="13"/>
  <c r="AA49" i="13"/>
  <c r="AP49" i="13"/>
  <c r="AE49" i="13"/>
  <c r="AE114" i="13"/>
  <c r="AS114" i="13"/>
  <c r="AB114" i="13"/>
  <c r="AA114" i="13"/>
  <c r="AP114" i="13"/>
  <c r="AT114" i="13"/>
  <c r="AT177" i="13"/>
  <c r="AD177" i="13"/>
  <c r="AB177" i="13"/>
  <c r="AA177" i="13"/>
  <c r="AS177" i="13"/>
  <c r="AE177" i="13"/>
  <c r="AP177" i="13"/>
  <c r="AE226" i="13"/>
  <c r="AT226" i="13"/>
  <c r="AS226" i="13"/>
  <c r="AB226" i="13"/>
  <c r="AA226" i="13"/>
  <c r="AP226" i="13"/>
  <c r="AE242" i="13"/>
  <c r="AT242" i="13"/>
  <c r="AS242" i="13"/>
  <c r="AB242" i="13"/>
  <c r="AA242" i="13"/>
  <c r="AP242" i="13"/>
  <c r="AB297" i="13"/>
  <c r="AP297" i="13"/>
  <c r="AE297" i="13"/>
  <c r="AT297" i="13"/>
  <c r="AS297" i="13"/>
  <c r="AA297" i="13"/>
  <c r="AT338" i="13"/>
  <c r="AD338" i="13"/>
  <c r="AS338" i="13"/>
  <c r="AB338" i="13"/>
  <c r="AA338" i="13"/>
  <c r="AP338" i="13"/>
  <c r="AE338" i="13"/>
  <c r="AA443" i="13"/>
  <c r="AP443" i="13"/>
  <c r="AE443" i="13"/>
  <c r="AT443" i="13"/>
  <c r="AD443" i="13"/>
  <c r="AS443" i="13"/>
  <c r="AB443" i="13"/>
  <c r="AT571" i="13"/>
  <c r="AB571" i="13"/>
  <c r="AA571" i="13"/>
  <c r="AP571" i="13"/>
  <c r="AE571" i="13"/>
  <c r="AS571" i="13"/>
  <c r="AE14" i="13"/>
  <c r="AT14" i="13"/>
  <c r="AS14" i="13"/>
  <c r="AB14" i="13"/>
  <c r="AA14" i="13"/>
  <c r="AP14" i="13"/>
  <c r="AP43" i="13"/>
  <c r="AE43" i="13"/>
  <c r="AT43" i="13"/>
  <c r="AS43" i="13"/>
  <c r="AB43" i="13"/>
  <c r="AA43" i="13"/>
  <c r="AE62" i="13"/>
  <c r="AS62" i="13"/>
  <c r="AB62" i="13"/>
  <c r="AA62" i="13"/>
  <c r="AT62" i="13"/>
  <c r="AP62" i="13"/>
  <c r="AS69" i="13"/>
  <c r="AA69" i="13"/>
  <c r="AP69" i="13"/>
  <c r="AT69" i="13"/>
  <c r="AE69" i="13"/>
  <c r="AD69" i="13"/>
  <c r="AB69" i="13"/>
  <c r="AE86" i="13"/>
  <c r="AS86" i="13"/>
  <c r="AB86" i="13"/>
  <c r="AP86" i="13"/>
  <c r="AT86" i="13"/>
  <c r="AA86" i="13"/>
  <c r="AS89" i="13"/>
  <c r="AA89" i="13"/>
  <c r="AP89" i="13"/>
  <c r="AB89" i="13"/>
  <c r="AT89" i="13"/>
  <c r="AE89" i="13"/>
  <c r="AD89" i="13"/>
  <c r="AE99" i="13"/>
  <c r="AT99" i="13"/>
  <c r="AD99" i="13"/>
  <c r="AB99" i="13"/>
  <c r="AS99" i="13"/>
  <c r="AA99" i="13"/>
  <c r="AP99" i="13"/>
  <c r="AE106" i="13"/>
  <c r="AS106" i="13"/>
  <c r="AB106" i="13"/>
  <c r="AA106" i="13"/>
  <c r="AP106" i="13"/>
  <c r="AT106" i="13"/>
  <c r="AS125" i="13"/>
  <c r="AA125" i="13"/>
  <c r="AP125" i="13"/>
  <c r="AE125" i="13"/>
  <c r="AD125" i="13"/>
  <c r="AB125" i="13"/>
  <c r="AT125" i="13"/>
  <c r="AE142" i="13"/>
  <c r="AT142" i="13"/>
  <c r="AS142" i="13"/>
  <c r="AB142" i="13"/>
  <c r="AA142" i="13"/>
  <c r="AP142" i="13"/>
  <c r="AE171" i="13"/>
  <c r="AT171" i="13"/>
  <c r="AD171" i="13"/>
  <c r="AS171" i="13"/>
  <c r="AB171" i="13"/>
  <c r="AA171" i="13"/>
  <c r="AP171" i="13"/>
  <c r="AT190" i="13"/>
  <c r="AS190" i="13"/>
  <c r="AP190" i="13"/>
  <c r="AE190" i="13"/>
  <c r="AB190" i="13"/>
  <c r="AA190" i="13"/>
  <c r="AT197" i="13"/>
  <c r="AD197" i="13"/>
  <c r="AB197" i="13"/>
  <c r="AA197" i="13"/>
  <c r="AS197" i="13"/>
  <c r="AE197" i="13"/>
  <c r="AP197" i="13"/>
  <c r="AE214" i="13"/>
  <c r="AT214" i="13"/>
  <c r="AS214" i="13"/>
  <c r="AB214" i="13"/>
  <c r="AA214" i="13"/>
  <c r="AP214" i="13"/>
  <c r="AT217" i="13"/>
  <c r="AD217" i="13"/>
  <c r="AS217" i="13"/>
  <c r="AB217" i="13"/>
  <c r="AA217" i="13"/>
  <c r="AP217" i="13"/>
  <c r="AE217" i="13"/>
  <c r="AP227" i="13"/>
  <c r="AE227" i="13"/>
  <c r="AT227" i="13"/>
  <c r="AS227" i="13"/>
  <c r="AB227" i="13"/>
  <c r="AA227" i="13"/>
  <c r="AE234" i="13"/>
  <c r="AT234" i="13"/>
  <c r="AS234" i="13"/>
  <c r="AB234" i="13"/>
  <c r="AA234" i="13"/>
  <c r="AP234" i="13"/>
  <c r="AT253" i="13"/>
  <c r="AD253" i="13"/>
  <c r="AS253" i="13"/>
  <c r="AB253" i="13"/>
  <c r="AA253" i="13"/>
  <c r="AP253" i="13"/>
  <c r="AE253" i="13"/>
  <c r="AP270" i="13"/>
  <c r="AT270" i="13"/>
  <c r="AS270" i="13"/>
  <c r="AE270" i="13"/>
  <c r="AD270" i="13"/>
  <c r="AB270" i="13"/>
  <c r="AA270" i="13"/>
  <c r="AT306" i="13"/>
  <c r="AD306" i="13"/>
  <c r="AS306" i="13"/>
  <c r="AB306" i="13"/>
  <c r="AA306" i="13"/>
  <c r="AP306" i="13"/>
  <c r="AE306" i="13"/>
  <c r="AB309" i="13"/>
  <c r="AA309" i="13"/>
  <c r="AP309" i="13"/>
  <c r="AE309" i="13"/>
  <c r="AD309" i="13"/>
  <c r="AT309" i="13"/>
  <c r="AS309" i="13"/>
  <c r="AS345" i="13"/>
  <c r="AP345" i="13"/>
  <c r="AE345" i="13"/>
  <c r="AD345" i="13"/>
  <c r="AB345" i="13"/>
  <c r="AA345" i="13"/>
  <c r="AT345" i="13"/>
  <c r="AE350" i="13"/>
  <c r="AA350" i="13"/>
  <c r="AP350" i="13"/>
  <c r="AD350" i="13"/>
  <c r="AB350" i="13"/>
  <c r="AT350" i="13"/>
  <c r="AS350" i="13"/>
  <c r="AE418" i="13"/>
  <c r="AS418" i="13"/>
  <c r="AA418" i="13"/>
  <c r="AT418" i="13"/>
  <c r="AB418" i="13"/>
  <c r="AP418" i="13"/>
  <c r="AE482" i="13"/>
  <c r="AS482" i="13"/>
  <c r="AB482" i="13"/>
  <c r="AT482" i="13"/>
  <c r="AA482" i="13"/>
  <c r="AP482" i="13"/>
  <c r="AB546" i="13"/>
  <c r="AP546" i="13"/>
  <c r="AE546" i="13"/>
  <c r="AS546" i="13"/>
  <c r="AD546" i="13"/>
  <c r="AA546" i="13"/>
  <c r="AT546" i="13"/>
  <c r="AP597" i="13"/>
  <c r="AE597" i="13"/>
  <c r="AT597" i="13"/>
  <c r="AS597" i="13"/>
  <c r="AB597" i="13"/>
  <c r="AA597" i="13"/>
  <c r="AS642" i="13"/>
  <c r="AP642" i="13"/>
  <c r="AT642" i="13"/>
  <c r="AE642" i="13"/>
  <c r="AD642" i="13"/>
  <c r="AB642" i="13"/>
  <c r="AA642" i="13"/>
  <c r="AS681" i="13"/>
  <c r="AB681" i="13"/>
  <c r="AA681" i="13"/>
  <c r="AE681" i="13"/>
  <c r="AP681" i="13"/>
  <c r="AD681" i="13"/>
  <c r="AT681" i="13"/>
  <c r="AA507" i="13"/>
  <c r="AP507" i="13"/>
  <c r="AE507" i="13"/>
  <c r="AT507" i="13"/>
  <c r="AS507" i="13"/>
  <c r="AB507" i="13"/>
  <c r="AE667" i="13"/>
  <c r="AS667" i="13"/>
  <c r="AB667" i="13"/>
  <c r="AA667" i="13"/>
  <c r="AT667" i="13"/>
  <c r="AP667" i="13"/>
  <c r="AT17" i="13"/>
  <c r="AD17" i="13"/>
  <c r="AS17" i="13"/>
  <c r="AB17" i="13"/>
  <c r="AA17" i="13"/>
  <c r="AP17" i="13"/>
  <c r="AE17" i="13"/>
  <c r="AT53" i="13"/>
  <c r="AD53" i="13"/>
  <c r="AS53" i="13"/>
  <c r="AB53" i="13"/>
  <c r="AA53" i="13"/>
  <c r="AP53" i="13"/>
  <c r="AE53" i="13"/>
  <c r="AP59" i="13"/>
  <c r="AE59" i="13"/>
  <c r="AT59" i="13"/>
  <c r="AS59" i="13"/>
  <c r="AB59" i="13"/>
  <c r="AA59" i="13"/>
  <c r="AE66" i="13"/>
  <c r="AS66" i="13"/>
  <c r="AP66" i="13"/>
  <c r="AB66" i="13"/>
  <c r="AA66" i="13"/>
  <c r="AT66" i="13"/>
  <c r="AS73" i="13"/>
  <c r="AA73" i="13"/>
  <c r="AP73" i="13"/>
  <c r="AB73" i="13"/>
  <c r="AT73" i="13"/>
  <c r="AE73" i="13"/>
  <c r="AD73" i="13"/>
  <c r="AE82" i="13"/>
  <c r="AS82" i="13"/>
  <c r="AB82" i="13"/>
  <c r="AP82" i="13"/>
  <c r="AT82" i="13"/>
  <c r="AA82" i="13"/>
  <c r="AS145" i="13"/>
  <c r="AB145" i="13"/>
  <c r="AA145" i="13"/>
  <c r="AP145" i="13"/>
  <c r="AE145" i="13"/>
  <c r="AT145" i="13"/>
  <c r="AD145" i="13"/>
  <c r="AT181" i="13"/>
  <c r="AD181" i="13"/>
  <c r="AB181" i="13"/>
  <c r="AA181" i="13"/>
  <c r="AS181" i="13"/>
  <c r="AE181" i="13"/>
  <c r="AP181" i="13"/>
  <c r="AP187" i="13"/>
  <c r="AE187" i="13"/>
  <c r="AB187" i="13"/>
  <c r="AT187" i="13"/>
  <c r="AD187" i="13"/>
  <c r="AS187" i="13"/>
  <c r="AA187" i="13"/>
  <c r="AT194" i="13"/>
  <c r="AD194" i="13"/>
  <c r="AS194" i="13"/>
  <c r="AP194" i="13"/>
  <c r="AA194" i="13"/>
  <c r="AE194" i="13"/>
  <c r="AB194" i="13"/>
  <c r="AT201" i="13"/>
  <c r="AD201" i="13"/>
  <c r="AB201" i="13"/>
  <c r="AA201" i="13"/>
  <c r="AP201" i="13"/>
  <c r="AE201" i="13"/>
  <c r="AS201" i="13"/>
  <c r="AT210" i="13"/>
  <c r="AS210" i="13"/>
  <c r="AA210" i="13"/>
  <c r="AP210" i="13"/>
  <c r="AE210" i="13"/>
  <c r="AB210" i="13"/>
  <c r="AE273" i="13"/>
  <c r="AB273" i="13"/>
  <c r="AA273" i="13"/>
  <c r="AT273" i="13"/>
  <c r="AS273" i="13"/>
  <c r="AP273" i="13"/>
  <c r="AB325" i="13"/>
  <c r="AA325" i="13"/>
  <c r="AP325" i="13"/>
  <c r="AE325" i="13"/>
  <c r="AT325" i="13"/>
  <c r="AS325" i="13"/>
  <c r="AD325" i="13"/>
  <c r="AS347" i="13"/>
  <c r="AP347" i="13"/>
  <c r="AE347" i="13"/>
  <c r="AD347" i="13"/>
  <c r="AB347" i="13"/>
  <c r="AA347" i="13"/>
  <c r="AT347" i="13"/>
  <c r="AS361" i="13"/>
  <c r="AP361" i="13"/>
  <c r="AE361" i="13"/>
  <c r="AD361" i="13"/>
  <c r="AB361" i="13"/>
  <c r="AA361" i="13"/>
  <c r="AT361" i="13"/>
  <c r="AE425" i="13"/>
  <c r="AT425" i="13"/>
  <c r="AD425" i="13"/>
  <c r="AS425" i="13"/>
  <c r="AB425" i="13"/>
  <c r="AA425" i="13"/>
  <c r="AP425" i="13"/>
  <c r="AE489" i="13"/>
  <c r="AS489" i="13"/>
  <c r="AA489" i="13"/>
  <c r="AP489" i="13"/>
  <c r="AT489" i="13"/>
  <c r="AB489" i="13"/>
  <c r="AP553" i="13"/>
  <c r="AE553" i="13"/>
  <c r="AT553" i="13"/>
  <c r="AS553" i="13"/>
  <c r="AB553" i="13"/>
  <c r="AA553" i="13"/>
  <c r="AB590" i="13"/>
  <c r="AP590" i="13"/>
  <c r="AE590" i="13"/>
  <c r="AT590" i="13"/>
  <c r="AA590" i="13"/>
  <c r="AS590" i="13"/>
  <c r="AD590" i="13"/>
  <c r="AT603" i="13"/>
  <c r="AB603" i="13"/>
  <c r="AA603" i="13"/>
  <c r="AP603" i="13"/>
  <c r="AE603" i="13"/>
  <c r="AS603" i="13"/>
  <c r="AA629" i="13"/>
  <c r="AT629" i="13"/>
  <c r="AS629" i="13"/>
  <c r="AP629" i="13"/>
  <c r="AE629" i="13"/>
  <c r="AB629" i="13"/>
  <c r="AE674" i="13"/>
  <c r="AT674" i="13"/>
  <c r="AS674" i="13"/>
  <c r="AA674" i="13"/>
  <c r="AP674" i="13"/>
  <c r="AB674" i="13"/>
  <c r="AT713" i="13"/>
  <c r="AD713" i="13"/>
  <c r="AS713" i="13"/>
  <c r="AA713" i="13"/>
  <c r="AP713" i="13"/>
  <c r="AE713" i="13"/>
  <c r="AB713" i="13"/>
  <c r="AE91" i="13"/>
  <c r="AT91" i="13"/>
  <c r="AD91" i="13"/>
  <c r="AB91" i="13"/>
  <c r="AS91" i="13"/>
  <c r="AA91" i="13"/>
  <c r="AP91" i="13"/>
  <c r="AT213" i="13"/>
  <c r="AD213" i="13"/>
  <c r="AS213" i="13"/>
  <c r="AB213" i="13"/>
  <c r="AA213" i="13"/>
  <c r="AE213" i="13"/>
  <c r="AP213" i="13"/>
  <c r="AS379" i="13"/>
  <c r="AP379" i="13"/>
  <c r="AE379" i="13"/>
  <c r="AD379" i="13"/>
  <c r="AB379" i="13"/>
  <c r="AA379" i="13"/>
  <c r="AT379" i="13"/>
  <c r="AE526" i="13"/>
  <c r="AT526" i="13"/>
  <c r="AS526" i="13"/>
  <c r="AB526" i="13"/>
  <c r="AA526" i="13"/>
  <c r="AP526" i="13"/>
  <c r="AT10" i="13"/>
  <c r="AS10" i="13"/>
  <c r="AA10" i="13"/>
  <c r="AT29" i="13"/>
  <c r="AD29" i="13"/>
  <c r="AS29" i="13"/>
  <c r="AB29" i="13"/>
  <c r="AA29" i="13"/>
  <c r="AP29" i="13"/>
  <c r="AE29" i="13"/>
  <c r="AE46" i="13"/>
  <c r="AT46" i="13"/>
  <c r="AS46" i="13"/>
  <c r="AB46" i="13"/>
  <c r="AA46" i="13"/>
  <c r="AP46" i="13"/>
  <c r="AE75" i="13"/>
  <c r="AT75" i="13"/>
  <c r="AD75" i="13"/>
  <c r="AB75" i="13"/>
  <c r="AS75" i="13"/>
  <c r="AA75" i="13"/>
  <c r="AP75" i="13"/>
  <c r="AE94" i="13"/>
  <c r="AS94" i="13"/>
  <c r="AB94" i="13"/>
  <c r="AP94" i="13"/>
  <c r="AT94" i="13"/>
  <c r="AA94" i="13"/>
  <c r="AS101" i="13"/>
  <c r="AA101" i="13"/>
  <c r="AP101" i="13"/>
  <c r="AT101" i="13"/>
  <c r="AE101" i="13"/>
  <c r="AD101" i="13"/>
  <c r="AB101" i="13"/>
  <c r="AE118" i="13"/>
  <c r="AS118" i="13"/>
  <c r="AB118" i="13"/>
  <c r="AA118" i="13"/>
  <c r="AP118" i="13"/>
  <c r="AT118" i="13"/>
  <c r="AS121" i="13"/>
  <c r="AA121" i="13"/>
  <c r="AP121" i="13"/>
  <c r="AE121" i="13"/>
  <c r="AD121" i="13"/>
  <c r="AB121" i="13"/>
  <c r="AT121" i="13"/>
  <c r="AE131" i="13"/>
  <c r="AT131" i="13"/>
  <c r="AS131" i="13"/>
  <c r="AB131" i="13"/>
  <c r="AA131" i="13"/>
  <c r="AP131" i="13"/>
  <c r="AE138" i="13"/>
  <c r="AS138" i="13"/>
  <c r="AB138" i="13"/>
  <c r="AA138" i="13"/>
  <c r="AP138" i="13"/>
  <c r="AT138" i="13"/>
  <c r="AS157" i="13"/>
  <c r="AB157" i="13"/>
  <c r="AA157" i="13"/>
  <c r="AP157" i="13"/>
  <c r="AE157" i="13"/>
  <c r="AD157" i="13"/>
  <c r="AT157" i="13"/>
  <c r="AT174" i="13"/>
  <c r="AS174" i="13"/>
  <c r="AP174" i="13"/>
  <c r="AE174" i="13"/>
  <c r="AB174" i="13"/>
  <c r="AA174" i="13"/>
  <c r="AP203" i="13"/>
  <c r="AE203" i="13"/>
  <c r="AS203" i="13"/>
  <c r="AB203" i="13"/>
  <c r="AA203" i="13"/>
  <c r="AT203" i="13"/>
  <c r="AE222" i="13"/>
  <c r="AT222" i="13"/>
  <c r="AS222" i="13"/>
  <c r="AB222" i="13"/>
  <c r="AA222" i="13"/>
  <c r="AP222" i="13"/>
  <c r="AT229" i="13"/>
  <c r="AD229" i="13"/>
  <c r="AS229" i="13"/>
  <c r="AB229" i="13"/>
  <c r="AA229" i="13"/>
  <c r="AP229" i="13"/>
  <c r="AE229" i="13"/>
  <c r="AE246" i="13"/>
  <c r="AT246" i="13"/>
  <c r="AS246" i="13"/>
  <c r="AB246" i="13"/>
  <c r="AA246" i="13"/>
  <c r="AP246" i="13"/>
  <c r="AT249" i="13"/>
  <c r="AS249" i="13"/>
  <c r="AB249" i="13"/>
  <c r="AA249" i="13"/>
  <c r="AP249" i="13"/>
  <c r="AE249" i="13"/>
  <c r="AP259" i="13"/>
  <c r="AE259" i="13"/>
  <c r="AT259" i="13"/>
  <c r="AS259" i="13"/>
  <c r="AB259" i="13"/>
  <c r="AA259" i="13"/>
  <c r="AP266" i="13"/>
  <c r="AB266" i="13"/>
  <c r="AA266" i="13"/>
  <c r="AT266" i="13"/>
  <c r="AS266" i="13"/>
  <c r="AE266" i="13"/>
  <c r="AD266" i="13"/>
  <c r="AE281" i="13"/>
  <c r="AP281" i="13"/>
  <c r="AB281" i="13"/>
  <c r="AA281" i="13"/>
  <c r="AT281" i="13"/>
  <c r="AS281" i="13"/>
  <c r="AP286" i="13"/>
  <c r="AT286" i="13"/>
  <c r="AS286" i="13"/>
  <c r="AE286" i="13"/>
  <c r="AD286" i="13"/>
  <c r="AB286" i="13"/>
  <c r="AA286" i="13"/>
  <c r="AT322" i="13"/>
  <c r="AD322" i="13"/>
  <c r="AS322" i="13"/>
  <c r="AB322" i="13"/>
  <c r="AA322" i="13"/>
  <c r="AP322" i="13"/>
  <c r="AE322" i="13"/>
  <c r="AB622" i="13"/>
  <c r="AP622" i="13"/>
  <c r="AE622" i="13"/>
  <c r="AT622" i="13"/>
  <c r="AA622" i="13"/>
  <c r="AS622" i="13"/>
  <c r="AD622" i="13"/>
  <c r="AE635" i="13"/>
  <c r="AB635" i="13"/>
  <c r="AT635" i="13"/>
  <c r="AP635" i="13"/>
  <c r="AS635" i="13"/>
  <c r="AA635" i="13"/>
  <c r="AA661" i="13"/>
  <c r="AT661" i="13"/>
  <c r="AS661" i="13"/>
  <c r="AE661" i="13"/>
  <c r="AP661" i="13"/>
  <c r="AD661" i="13"/>
  <c r="AB661" i="13"/>
  <c r="AE706" i="13"/>
  <c r="AT706" i="13"/>
  <c r="AS706" i="13"/>
  <c r="AA706" i="13"/>
  <c r="AP706" i="13"/>
  <c r="AB706" i="13"/>
  <c r="AT745" i="13"/>
  <c r="AS745" i="13"/>
  <c r="AB745" i="13"/>
  <c r="AA745" i="13"/>
  <c r="AP745" i="13"/>
  <c r="AE745" i="13"/>
  <c r="AT770" i="13"/>
  <c r="AP770" i="13"/>
  <c r="AB770" i="13"/>
  <c r="AA770" i="13"/>
  <c r="AS770" i="13"/>
  <c r="AE770" i="13"/>
  <c r="AT782" i="13"/>
  <c r="AD782" i="13"/>
  <c r="AS782" i="13"/>
  <c r="AA782" i="13"/>
  <c r="AP782" i="13"/>
  <c r="AE782" i="13"/>
  <c r="AB782" i="13"/>
  <c r="AT789" i="13"/>
  <c r="AD789" i="13"/>
  <c r="AB789" i="13"/>
  <c r="AA789" i="13"/>
  <c r="AE789" i="13"/>
  <c r="AS789" i="13"/>
  <c r="AP789" i="13"/>
  <c r="AP795" i="13"/>
  <c r="AE795" i="13"/>
  <c r="AS795" i="13"/>
  <c r="AB795" i="13"/>
  <c r="AT795" i="13"/>
  <c r="AA795" i="13"/>
  <c r="AP809" i="13"/>
  <c r="AE809" i="13"/>
  <c r="AT809" i="13"/>
  <c r="AD809" i="13"/>
  <c r="AS809" i="13"/>
  <c r="AB809" i="13"/>
  <c r="AA809" i="13"/>
  <c r="AB814" i="13"/>
  <c r="AA814" i="13"/>
  <c r="AT814" i="13"/>
  <c r="AE814" i="13"/>
  <c r="AS814" i="13"/>
  <c r="AP814" i="13"/>
  <c r="AB841" i="13"/>
  <c r="AA841" i="13"/>
  <c r="AP841" i="13"/>
  <c r="AE841" i="13"/>
  <c r="AT841" i="13"/>
  <c r="AS841" i="13"/>
  <c r="AE866" i="13"/>
  <c r="AT866" i="13"/>
  <c r="AS866" i="13"/>
  <c r="AB866" i="13"/>
  <c r="AA866" i="13"/>
  <c r="AP866" i="13"/>
  <c r="AA891" i="13"/>
  <c r="AP891" i="13"/>
  <c r="AE891" i="13"/>
  <c r="AT891" i="13"/>
  <c r="AS891" i="13"/>
  <c r="AB891" i="13"/>
  <c r="AB905" i="13"/>
  <c r="AA905" i="13"/>
  <c r="AS905" i="13"/>
  <c r="AE905" i="13"/>
  <c r="AP905" i="13"/>
  <c r="AD905" i="13"/>
  <c r="AT905" i="13"/>
  <c r="AP910" i="13"/>
  <c r="AT910" i="13"/>
  <c r="AD910" i="13"/>
  <c r="AS910" i="13"/>
  <c r="AE910" i="13"/>
  <c r="AB910" i="13"/>
  <c r="AA910" i="13"/>
  <c r="AB917" i="13"/>
  <c r="AA917" i="13"/>
  <c r="AT917" i="13"/>
  <c r="AS917" i="13"/>
  <c r="AE917" i="13"/>
  <c r="AP917" i="13"/>
  <c r="AB923" i="13"/>
  <c r="AA923" i="13"/>
  <c r="AE923" i="13"/>
  <c r="AS923" i="13"/>
  <c r="AP923" i="13"/>
  <c r="AT923" i="13"/>
  <c r="AD923" i="13"/>
  <c r="AP930" i="13"/>
  <c r="AE930" i="13"/>
  <c r="AT930" i="13"/>
  <c r="AD930" i="13"/>
  <c r="AS930" i="13"/>
  <c r="AB930" i="13"/>
  <c r="AA930" i="13"/>
  <c r="AE937" i="13"/>
  <c r="AT937" i="13"/>
  <c r="AS937" i="13"/>
  <c r="AB937" i="13"/>
  <c r="AA937" i="13"/>
  <c r="AP937" i="13"/>
  <c r="AP942" i="13"/>
  <c r="AE942" i="13"/>
  <c r="AT942" i="13"/>
  <c r="AD942" i="13"/>
  <c r="AS942" i="13"/>
  <c r="AB942" i="13"/>
  <c r="AA942" i="13"/>
  <c r="AE949" i="13"/>
  <c r="AT949" i="13"/>
  <c r="AS949" i="13"/>
  <c r="AB949" i="13"/>
  <c r="AA949" i="13"/>
  <c r="AP949" i="13"/>
  <c r="AB955" i="13"/>
  <c r="AA955" i="13"/>
  <c r="AP955" i="13"/>
  <c r="AE955" i="13"/>
  <c r="AD955" i="13"/>
  <c r="AT955" i="13"/>
  <c r="AS955" i="13"/>
  <c r="AB962" i="13"/>
  <c r="AP962" i="13"/>
  <c r="AE962" i="13"/>
  <c r="AD962" i="13"/>
  <c r="AA962" i="13"/>
  <c r="AT962" i="13"/>
  <c r="AS962" i="13"/>
  <c r="AA969" i="13"/>
  <c r="AP969" i="13"/>
  <c r="AE969" i="13"/>
  <c r="AT969" i="13"/>
  <c r="AB969" i="13"/>
  <c r="AS969" i="13"/>
  <c r="AT974" i="13"/>
  <c r="AD974" i="13"/>
  <c r="AS974" i="13"/>
  <c r="AB974" i="13"/>
  <c r="AA974" i="13"/>
  <c r="AP974" i="13"/>
  <c r="AE974" i="13"/>
  <c r="AP981" i="13"/>
  <c r="AE981" i="13"/>
  <c r="AT981" i="13"/>
  <c r="AB981" i="13"/>
  <c r="AA981" i="13"/>
  <c r="AS981" i="13"/>
  <c r="AT987" i="13"/>
  <c r="AD987" i="13"/>
  <c r="AA987" i="13"/>
  <c r="AE987" i="13"/>
  <c r="AB987" i="13"/>
  <c r="AS987" i="13"/>
  <c r="AP987" i="13"/>
  <c r="AT994" i="13"/>
  <c r="AD994" i="13"/>
  <c r="AB994" i="13"/>
  <c r="AA994" i="13"/>
  <c r="AS994" i="13"/>
  <c r="AE994" i="13"/>
  <c r="AP994" i="13"/>
  <c r="AB1001" i="13"/>
  <c r="AP1001" i="13"/>
  <c r="AE1001" i="13"/>
  <c r="AT1001" i="13"/>
  <c r="AS1001" i="13"/>
  <c r="AA1001" i="13"/>
  <c r="AT1006" i="13"/>
  <c r="AD1006" i="13"/>
  <c r="AB1006" i="13"/>
  <c r="AA1006" i="13"/>
  <c r="AS1006" i="13"/>
  <c r="AE1006" i="13"/>
  <c r="AP1006" i="13"/>
  <c r="AB1013" i="13"/>
  <c r="AA1013" i="13"/>
  <c r="AP1013" i="13"/>
  <c r="AE1013" i="13"/>
  <c r="AD1013" i="13"/>
  <c r="AT1013" i="13"/>
  <c r="AS1013" i="13"/>
  <c r="AS1019" i="13"/>
  <c r="AE1019" i="13"/>
  <c r="AD1019" i="13"/>
  <c r="AP1019" i="13"/>
  <c r="AB1019" i="13"/>
  <c r="AA1019" i="13"/>
  <c r="AT1019" i="13"/>
  <c r="AA1026" i="13"/>
  <c r="AE1026" i="13"/>
  <c r="AT1026" i="13"/>
  <c r="AD1026" i="13"/>
  <c r="AS1026" i="13"/>
  <c r="AB1026" i="13"/>
  <c r="AP1026" i="13"/>
  <c r="AE1033" i="13"/>
  <c r="AT1033" i="13"/>
  <c r="AD1033" i="13"/>
  <c r="AS1033" i="13"/>
  <c r="AB1033" i="13"/>
  <c r="AP1033" i="13"/>
  <c r="AA1033" i="13"/>
  <c r="AB1038" i="13"/>
  <c r="AT1038" i="13"/>
  <c r="AA1038" i="13"/>
  <c r="AS1038" i="13"/>
  <c r="AP1038" i="13"/>
  <c r="AE1038" i="13"/>
  <c r="AD1038" i="13"/>
  <c r="AE1045" i="13"/>
  <c r="AS1045" i="13"/>
  <c r="AB1045" i="13"/>
  <c r="AP1045" i="13"/>
  <c r="AT1045" i="13"/>
  <c r="AA1045" i="13"/>
  <c r="AA1051" i="13"/>
  <c r="AT1051" i="13"/>
  <c r="AD1051" i="13"/>
  <c r="AS1051" i="13"/>
  <c r="AE1051" i="13"/>
  <c r="AB1051" i="13"/>
  <c r="AP1051" i="13"/>
  <c r="AE1058" i="13"/>
  <c r="AT1058" i="13"/>
  <c r="AD1058" i="13"/>
  <c r="AB1058" i="13"/>
  <c r="AS1058" i="13"/>
  <c r="AA1058" i="13"/>
  <c r="AP1058" i="13"/>
  <c r="AP1065" i="13"/>
  <c r="AA1065" i="13"/>
  <c r="AS1065" i="13"/>
  <c r="AD1065" i="13"/>
  <c r="AB1065" i="13"/>
  <c r="AE1065" i="13"/>
  <c r="AT1065" i="13"/>
  <c r="AB1070" i="13"/>
  <c r="AA1070" i="13"/>
  <c r="AD1070" i="13"/>
  <c r="AT1070" i="13"/>
  <c r="AP1070" i="13"/>
  <c r="AE1070" i="13"/>
  <c r="AS1070" i="13"/>
  <c r="AS1077" i="13"/>
  <c r="AP1077" i="13"/>
  <c r="AD1077" i="13"/>
  <c r="AB1077" i="13"/>
  <c r="AA1077" i="13"/>
  <c r="AT1077" i="13"/>
  <c r="AE1077" i="13"/>
  <c r="AT1083" i="13"/>
  <c r="AD1083" i="13"/>
  <c r="AE1083" i="13"/>
  <c r="AS1083" i="13"/>
  <c r="AB1083" i="13"/>
  <c r="AA1083" i="13"/>
  <c r="AP1083" i="13"/>
  <c r="AT1090" i="13"/>
  <c r="AD1090" i="13"/>
  <c r="AB1090" i="13"/>
  <c r="AA1090" i="13"/>
  <c r="AP1090" i="13"/>
  <c r="AE1090" i="13"/>
  <c r="AS1090" i="13"/>
  <c r="AE1097" i="13"/>
  <c r="AT1097" i="13"/>
  <c r="AP1097" i="13"/>
  <c r="AB1097" i="13"/>
  <c r="AA1097" i="13"/>
  <c r="AS1097" i="13"/>
  <c r="AT1102" i="13"/>
  <c r="AE1102" i="13"/>
  <c r="AP1102" i="13"/>
  <c r="AD1102" i="13"/>
  <c r="AB1102" i="13"/>
  <c r="AA1102" i="13"/>
  <c r="AS1102" i="13"/>
  <c r="AE1109" i="13"/>
  <c r="AT1109" i="13"/>
  <c r="AP1109" i="13"/>
  <c r="AB1109" i="13"/>
  <c r="AA1109" i="13"/>
  <c r="AS1109" i="13"/>
  <c r="AP1115" i="13"/>
  <c r="AE1115" i="13"/>
  <c r="AS1115" i="13"/>
  <c r="AT1115" i="13"/>
  <c r="AB1115" i="13"/>
  <c r="AA1115" i="13"/>
  <c r="AE1122" i="13"/>
  <c r="AS1122" i="13"/>
  <c r="AA1122" i="13"/>
  <c r="AT1122" i="13"/>
  <c r="AP1122" i="13"/>
  <c r="AB1122" i="13"/>
  <c r="AT1129" i="13"/>
  <c r="AS1129" i="13"/>
  <c r="AA1129" i="13"/>
  <c r="AP1129" i="13"/>
  <c r="AB1129" i="13"/>
  <c r="AE1129" i="13"/>
  <c r="AE1134" i="13"/>
  <c r="AS1134" i="13"/>
  <c r="AB1134" i="13"/>
  <c r="AT1134" i="13"/>
  <c r="AA1134" i="13"/>
  <c r="AP1134" i="13"/>
  <c r="AT1141" i="13"/>
  <c r="AD1141" i="13"/>
  <c r="AS1141" i="13"/>
  <c r="AA1141" i="13"/>
  <c r="AP1141" i="13"/>
  <c r="AE1141" i="13"/>
  <c r="AB1141" i="13"/>
  <c r="AP1147" i="13"/>
  <c r="AB1147" i="13"/>
  <c r="AT1147" i="13"/>
  <c r="AD1147" i="13"/>
  <c r="AS1147" i="13"/>
  <c r="AE1147" i="13"/>
  <c r="AA1147" i="13"/>
  <c r="AE1154" i="13"/>
  <c r="AT1154" i="13"/>
  <c r="AA1154" i="13"/>
  <c r="AP1154" i="13"/>
  <c r="AS1154" i="13"/>
  <c r="AB1154" i="13"/>
  <c r="AP1161" i="13"/>
  <c r="AE1161" i="13"/>
  <c r="AB1161" i="13"/>
  <c r="AS1161" i="13"/>
  <c r="AD1161" i="13"/>
  <c r="AA1161" i="13"/>
  <c r="AT1161" i="13"/>
  <c r="AT1166" i="13"/>
  <c r="AB1166" i="13"/>
  <c r="AS1166" i="13"/>
  <c r="AA1166" i="13"/>
  <c r="AE1166" i="13"/>
  <c r="AP1166" i="13"/>
  <c r="AE1173" i="13"/>
  <c r="AT1173" i="13"/>
  <c r="AA1173" i="13"/>
  <c r="AP1173" i="13"/>
  <c r="AB1173" i="13"/>
  <c r="AS1173" i="13"/>
  <c r="AA1179" i="13"/>
  <c r="AT1179" i="13"/>
  <c r="AD1179" i="13"/>
  <c r="AS1179" i="13"/>
  <c r="AE1179" i="13"/>
  <c r="AP1179" i="13"/>
  <c r="AB1179" i="13"/>
  <c r="AP1186" i="13"/>
  <c r="AA1186" i="13"/>
  <c r="AE1186" i="13"/>
  <c r="AT1186" i="13"/>
  <c r="AS1186" i="13"/>
  <c r="AB1186" i="13"/>
  <c r="AP1193" i="13"/>
  <c r="AE1193" i="13"/>
  <c r="AT1193" i="13"/>
  <c r="AS1193" i="13"/>
  <c r="AA1193" i="13"/>
  <c r="AB1193" i="13"/>
  <c r="AB1198" i="13"/>
  <c r="AP1198" i="13"/>
  <c r="AE1198" i="13"/>
  <c r="AD1198" i="13"/>
  <c r="AT1198" i="13"/>
  <c r="AA1198" i="13"/>
  <c r="AS1198" i="13"/>
  <c r="AB763" i="13"/>
  <c r="AS763" i="13"/>
  <c r="AP763" i="13"/>
  <c r="AE763" i="13"/>
  <c r="AA763" i="13"/>
  <c r="AT763" i="13"/>
  <c r="AB777" i="13"/>
  <c r="AA777" i="13"/>
  <c r="AT777" i="13"/>
  <c r="AE777" i="13"/>
  <c r="AS777" i="13"/>
  <c r="AD777" i="13"/>
  <c r="AP777" i="13"/>
  <c r="AB802" i="13"/>
  <c r="AA802" i="13"/>
  <c r="AS802" i="13"/>
  <c r="AE802" i="13"/>
  <c r="AP802" i="13"/>
  <c r="AT802" i="13"/>
  <c r="AP821" i="13"/>
  <c r="AE821" i="13"/>
  <c r="AT821" i="13"/>
  <c r="AA821" i="13"/>
  <c r="AS821" i="13"/>
  <c r="AB821" i="13"/>
  <c r="AT827" i="13"/>
  <c r="AD827" i="13"/>
  <c r="AS827" i="13"/>
  <c r="AA827" i="13"/>
  <c r="AP827" i="13"/>
  <c r="AE827" i="13"/>
  <c r="AB827" i="13"/>
  <c r="AS834" i="13"/>
  <c r="AB834" i="13"/>
  <c r="AA834" i="13"/>
  <c r="AE834" i="13"/>
  <c r="AT834" i="13"/>
  <c r="AP834" i="13"/>
  <c r="AT846" i="13"/>
  <c r="AD846" i="13"/>
  <c r="AS846" i="13"/>
  <c r="AB846" i="13"/>
  <c r="AA846" i="13"/>
  <c r="AP846" i="13"/>
  <c r="AE846" i="13"/>
  <c r="AB853" i="13"/>
  <c r="AA853" i="13"/>
  <c r="AP853" i="13"/>
  <c r="AE853" i="13"/>
  <c r="AT853" i="13"/>
  <c r="AD853" i="13"/>
  <c r="AS853" i="13"/>
  <c r="AE859" i="13"/>
  <c r="AT859" i="13"/>
  <c r="AD859" i="13"/>
  <c r="AS859" i="13"/>
  <c r="AP859" i="13"/>
  <c r="AA859" i="13"/>
  <c r="AB859" i="13"/>
  <c r="AS873" i="13"/>
  <c r="AB873" i="13"/>
  <c r="AA873" i="13"/>
  <c r="AP873" i="13"/>
  <c r="AE873" i="13"/>
  <c r="AT873" i="13"/>
  <c r="AE878" i="13"/>
  <c r="AT878" i="13"/>
  <c r="AS878" i="13"/>
  <c r="AB878" i="13"/>
  <c r="AA878" i="13"/>
  <c r="AP878" i="13"/>
  <c r="AE885" i="13"/>
  <c r="AT885" i="13"/>
  <c r="AD885" i="13"/>
  <c r="AS885" i="13"/>
  <c r="AB885" i="13"/>
  <c r="AA885" i="13"/>
  <c r="AP885" i="13"/>
  <c r="AS898" i="13"/>
  <c r="AE898" i="13"/>
  <c r="AD898" i="13"/>
  <c r="AB898" i="13"/>
  <c r="AT898" i="13"/>
  <c r="AA898" i="13"/>
  <c r="AP898" i="13"/>
  <c r="AB8" i="13"/>
  <c r="AA8" i="13"/>
  <c r="AT8" i="13"/>
  <c r="AS8" i="13"/>
  <c r="AT13" i="13"/>
  <c r="AD13" i="13"/>
  <c r="AS13" i="13"/>
  <c r="AB13" i="13"/>
  <c r="AA13" i="13"/>
  <c r="AP13" i="13"/>
  <c r="AE13" i="13"/>
  <c r="AP19" i="13"/>
  <c r="AE19" i="13"/>
  <c r="AT19" i="13"/>
  <c r="AS19" i="13"/>
  <c r="AB19" i="13"/>
  <c r="AA19" i="13"/>
  <c r="AE26" i="13"/>
  <c r="AT26" i="13"/>
  <c r="AS26" i="13"/>
  <c r="AB26" i="13"/>
  <c r="AA26" i="13"/>
  <c r="AP26" i="13"/>
  <c r="AT33" i="13"/>
  <c r="AD33" i="13"/>
  <c r="AS33" i="13"/>
  <c r="AB33" i="13"/>
  <c r="AA33" i="13"/>
  <c r="AP33" i="13"/>
  <c r="AE33" i="13"/>
  <c r="AE38" i="13"/>
  <c r="AT38" i="13"/>
  <c r="AS38" i="13"/>
  <c r="AB38" i="13"/>
  <c r="AA38" i="13"/>
  <c r="AP38" i="13"/>
  <c r="AT45" i="13"/>
  <c r="AD45" i="13"/>
  <c r="AS45" i="13"/>
  <c r="AB45" i="13"/>
  <c r="AA45" i="13"/>
  <c r="AP45" i="13"/>
  <c r="AE45" i="13"/>
  <c r="AP51" i="13"/>
  <c r="AE51" i="13"/>
  <c r="AT51" i="13"/>
  <c r="AS51" i="13"/>
  <c r="AB51" i="13"/>
  <c r="AA51" i="13"/>
  <c r="AE58" i="13"/>
  <c r="AT58" i="13"/>
  <c r="AS58" i="13"/>
  <c r="AB58" i="13"/>
  <c r="AA58" i="13"/>
  <c r="AP58" i="13"/>
  <c r="AS65" i="13"/>
  <c r="AA65" i="13"/>
  <c r="AE65" i="13"/>
  <c r="AP65" i="13"/>
  <c r="AD65" i="13"/>
  <c r="AB65" i="13"/>
  <c r="AT65" i="13"/>
  <c r="AE70" i="13"/>
  <c r="AS70" i="13"/>
  <c r="AB70" i="13"/>
  <c r="AP70" i="13"/>
  <c r="AT70" i="13"/>
  <c r="AA70" i="13"/>
  <c r="AS77" i="13"/>
  <c r="AA77" i="13"/>
  <c r="AP77" i="13"/>
  <c r="AT77" i="13"/>
  <c r="AE77" i="13"/>
  <c r="AD77" i="13"/>
  <c r="AB77" i="13"/>
  <c r="AE83" i="13"/>
  <c r="AT83" i="13"/>
  <c r="AB83" i="13"/>
  <c r="AS83" i="13"/>
  <c r="AA83" i="13"/>
  <c r="AP83" i="13"/>
  <c r="AE90" i="13"/>
  <c r="AS90" i="13"/>
  <c r="AB90" i="13"/>
  <c r="AP90" i="13"/>
  <c r="AT90" i="13"/>
  <c r="AA90" i="13"/>
  <c r="AS97" i="13"/>
  <c r="AA97" i="13"/>
  <c r="AP97" i="13"/>
  <c r="AB97" i="13"/>
  <c r="AT97" i="13"/>
  <c r="AE97" i="13"/>
  <c r="AD97" i="13"/>
  <c r="AE102" i="13"/>
  <c r="AS102" i="13"/>
  <c r="AB102" i="13"/>
  <c r="AP102" i="13"/>
  <c r="AT102" i="13"/>
  <c r="AA102" i="13"/>
  <c r="AS109" i="13"/>
  <c r="AA109" i="13"/>
  <c r="AP109" i="13"/>
  <c r="AE109" i="13"/>
  <c r="AD109" i="13"/>
  <c r="AB109" i="13"/>
  <c r="AT109" i="13"/>
  <c r="AE115" i="13"/>
  <c r="AT115" i="13"/>
  <c r="AS115" i="13"/>
  <c r="AB115" i="13"/>
  <c r="AA115" i="13"/>
  <c r="AP115" i="13"/>
  <c r="AE122" i="13"/>
  <c r="AS122" i="13"/>
  <c r="AB122" i="13"/>
  <c r="AA122" i="13"/>
  <c r="AP122" i="13"/>
  <c r="AT122" i="13"/>
  <c r="AS129" i="13"/>
  <c r="AA129" i="13"/>
  <c r="AP129" i="13"/>
  <c r="AE129" i="13"/>
  <c r="AD129" i="13"/>
  <c r="AB129" i="13"/>
  <c r="AT129" i="13"/>
  <c r="AE134" i="13"/>
  <c r="AS134" i="13"/>
  <c r="AB134" i="13"/>
  <c r="AA134" i="13"/>
  <c r="AP134" i="13"/>
  <c r="AT134" i="13"/>
  <c r="AS141" i="13"/>
  <c r="AB141" i="13"/>
  <c r="AA141" i="13"/>
  <c r="AP141" i="13"/>
  <c r="AE141" i="13"/>
  <c r="AD141" i="13"/>
  <c r="AT141" i="13"/>
  <c r="AE147" i="13"/>
  <c r="AT147" i="13"/>
  <c r="AS147" i="13"/>
  <c r="AB147" i="13"/>
  <c r="AA147" i="13"/>
  <c r="AP147" i="13"/>
  <c r="AE154" i="13"/>
  <c r="AT154" i="13"/>
  <c r="AS154" i="13"/>
  <c r="AB154" i="13"/>
  <c r="AA154" i="13"/>
  <c r="AP154" i="13"/>
  <c r="AS161" i="13"/>
  <c r="AB161" i="13"/>
  <c r="AA161" i="13"/>
  <c r="AP161" i="13"/>
  <c r="AE161" i="13"/>
  <c r="AT161" i="13"/>
  <c r="AD161" i="13"/>
  <c r="AE166" i="13"/>
  <c r="AT166" i="13"/>
  <c r="AS166" i="13"/>
  <c r="AB166" i="13"/>
  <c r="AA166" i="13"/>
  <c r="AP166" i="13"/>
  <c r="AT173" i="13"/>
  <c r="AD173" i="13"/>
  <c r="AB173" i="13"/>
  <c r="AA173" i="13"/>
  <c r="AS173" i="13"/>
  <c r="AE173" i="13"/>
  <c r="AP173" i="13"/>
  <c r="AP179" i="13"/>
  <c r="AE179" i="13"/>
  <c r="AB179" i="13"/>
  <c r="AT179" i="13"/>
  <c r="AD179" i="13"/>
  <c r="AS179" i="13"/>
  <c r="AA179" i="13"/>
  <c r="AT186" i="13"/>
  <c r="AD186" i="13"/>
  <c r="AS186" i="13"/>
  <c r="AP186" i="13"/>
  <c r="AE186" i="13"/>
  <c r="AB186" i="13"/>
  <c r="AA186" i="13"/>
  <c r="AT193" i="13"/>
  <c r="AD193" i="13"/>
  <c r="AB193" i="13"/>
  <c r="AA193" i="13"/>
  <c r="AS193" i="13"/>
  <c r="AE193" i="13"/>
  <c r="AP193" i="13"/>
  <c r="AT198" i="13"/>
  <c r="AD198" i="13"/>
  <c r="AS198" i="13"/>
  <c r="AP198" i="13"/>
  <c r="AE198" i="13"/>
  <c r="AB198" i="13"/>
  <c r="AA198" i="13"/>
  <c r="AT205" i="13"/>
  <c r="AD205" i="13"/>
  <c r="AB205" i="13"/>
  <c r="AA205" i="13"/>
  <c r="AE205" i="13"/>
  <c r="AS205" i="13"/>
  <c r="AP205" i="13"/>
  <c r="AP211" i="13"/>
  <c r="AE211" i="13"/>
  <c r="AS211" i="13"/>
  <c r="AB211" i="13"/>
  <c r="AA211" i="13"/>
  <c r="AT211" i="13"/>
  <c r="AE218" i="13"/>
  <c r="AT218" i="13"/>
  <c r="AS218" i="13"/>
  <c r="AB218" i="13"/>
  <c r="AA218" i="13"/>
  <c r="AP218" i="13"/>
  <c r="AT225" i="13"/>
  <c r="AS225" i="13"/>
  <c r="AB225" i="13"/>
  <c r="AA225" i="13"/>
  <c r="AP225" i="13"/>
  <c r="AE225" i="13"/>
  <c r="AE230" i="13"/>
  <c r="AT230" i="13"/>
  <c r="AS230" i="13"/>
  <c r="AB230" i="13"/>
  <c r="AA230" i="13"/>
  <c r="AP230" i="13"/>
  <c r="AT237" i="13"/>
  <c r="AS237" i="13"/>
  <c r="AB237" i="13"/>
  <c r="AA237" i="13"/>
  <c r="AP237" i="13"/>
  <c r="AE237" i="13"/>
  <c r="AP243" i="13"/>
  <c r="AE243" i="13"/>
  <c r="AT243" i="13"/>
  <c r="AS243" i="13"/>
  <c r="AB243" i="13"/>
  <c r="AA243" i="13"/>
  <c r="AE250" i="13"/>
  <c r="AT250" i="13"/>
  <c r="AS250" i="13"/>
  <c r="AB250" i="13"/>
  <c r="AA250" i="13"/>
  <c r="AP250" i="13"/>
  <c r="AT257" i="13"/>
  <c r="AD257" i="13"/>
  <c r="AS257" i="13"/>
  <c r="AB257" i="13"/>
  <c r="AA257" i="13"/>
  <c r="AP257" i="13"/>
  <c r="AE257" i="13"/>
  <c r="AE262" i="13"/>
  <c r="AT262" i="13"/>
  <c r="AS262" i="13"/>
  <c r="AB262" i="13"/>
  <c r="AA262" i="13"/>
  <c r="AP262" i="13"/>
  <c r="AE269" i="13"/>
  <c r="AP269" i="13"/>
  <c r="AB269" i="13"/>
  <c r="AA269" i="13"/>
  <c r="AT269" i="13"/>
  <c r="AS269" i="13"/>
  <c r="AB275" i="13"/>
  <c r="AA275" i="13"/>
  <c r="AT275" i="13"/>
  <c r="AS275" i="13"/>
  <c r="AP275" i="13"/>
  <c r="AE275" i="13"/>
  <c r="AP282" i="13"/>
  <c r="AB282" i="13"/>
  <c r="AA282" i="13"/>
  <c r="AT282" i="13"/>
  <c r="AS282" i="13"/>
  <c r="AE282" i="13"/>
  <c r="AB289" i="13"/>
  <c r="AP289" i="13"/>
  <c r="AE289" i="13"/>
  <c r="AT289" i="13"/>
  <c r="AD289" i="13"/>
  <c r="AS289" i="13"/>
  <c r="AA289" i="13"/>
  <c r="AT294" i="13"/>
  <c r="AD294" i="13"/>
  <c r="AB294" i="13"/>
  <c r="AP294" i="13"/>
  <c r="AE294" i="13"/>
  <c r="AS294" i="13"/>
  <c r="AA294" i="13"/>
  <c r="AB301" i="13"/>
  <c r="AP301" i="13"/>
  <c r="AE301" i="13"/>
  <c r="AS301" i="13"/>
  <c r="AA301" i="13"/>
  <c r="AT301" i="13"/>
  <c r="AE307" i="13"/>
  <c r="AT307" i="13"/>
  <c r="AS307" i="13"/>
  <c r="AB307" i="13"/>
  <c r="AA307" i="13"/>
  <c r="AP307" i="13"/>
  <c r="AT314" i="13"/>
  <c r="AS314" i="13"/>
  <c r="AB314" i="13"/>
  <c r="AA314" i="13"/>
  <c r="AP314" i="13"/>
  <c r="AE314" i="13"/>
  <c r="AB321" i="13"/>
  <c r="AA321" i="13"/>
  <c r="AP321" i="13"/>
  <c r="AE321" i="13"/>
  <c r="AT321" i="13"/>
  <c r="AS321" i="13"/>
  <c r="AT326" i="13"/>
  <c r="AD326" i="13"/>
  <c r="AS326" i="13"/>
  <c r="AB326" i="13"/>
  <c r="AA326" i="13"/>
  <c r="AP326" i="13"/>
  <c r="AE326" i="13"/>
  <c r="AB333" i="13"/>
  <c r="AA333" i="13"/>
  <c r="AP333" i="13"/>
  <c r="AE333" i="13"/>
  <c r="AD333" i="13"/>
  <c r="AT333" i="13"/>
  <c r="AS333" i="13"/>
  <c r="AE339" i="13"/>
  <c r="AT339" i="13"/>
  <c r="AS339" i="13"/>
  <c r="AB339" i="13"/>
  <c r="AA339" i="13"/>
  <c r="AP339" i="13"/>
  <c r="AE346" i="13"/>
  <c r="AA346" i="13"/>
  <c r="AB346" i="13"/>
  <c r="AT346" i="13"/>
  <c r="AS346" i="13"/>
  <c r="AP346" i="13"/>
  <c r="AS353" i="13"/>
  <c r="AP353" i="13"/>
  <c r="AE353" i="13"/>
  <c r="AD353" i="13"/>
  <c r="AB353" i="13"/>
  <c r="AA353" i="13"/>
  <c r="AT353" i="13"/>
  <c r="AE358" i="13"/>
  <c r="AA358" i="13"/>
  <c r="AP358" i="13"/>
  <c r="AD358" i="13"/>
  <c r="AB358" i="13"/>
  <c r="AT358" i="13"/>
  <c r="AS358" i="13"/>
  <c r="AS365" i="13"/>
  <c r="AB365" i="13"/>
  <c r="AA365" i="13"/>
  <c r="AT365" i="13"/>
  <c r="AP365" i="13"/>
  <c r="AE365" i="13"/>
  <c r="AS371" i="13"/>
  <c r="AP371" i="13"/>
  <c r="AE371" i="13"/>
  <c r="AD371" i="13"/>
  <c r="AB371" i="13"/>
  <c r="AA371" i="13"/>
  <c r="AT371" i="13"/>
  <c r="AE378" i="13"/>
  <c r="AA378" i="13"/>
  <c r="AB378" i="13"/>
  <c r="AT378" i="13"/>
  <c r="AS378" i="13"/>
  <c r="AP378" i="13"/>
  <c r="AD378" i="13"/>
  <c r="AS385" i="13"/>
  <c r="AP385" i="13"/>
  <c r="AE385" i="13"/>
  <c r="AD385" i="13"/>
  <c r="AB385" i="13"/>
  <c r="AA385" i="13"/>
  <c r="AT385" i="13"/>
  <c r="AE390" i="13"/>
  <c r="AA390" i="13"/>
  <c r="AP390" i="13"/>
  <c r="AD390" i="13"/>
  <c r="AB390" i="13"/>
  <c r="AT390" i="13"/>
  <c r="AS390" i="13"/>
  <c r="AS397" i="13"/>
  <c r="AB397" i="13"/>
  <c r="AA397" i="13"/>
  <c r="AT397" i="13"/>
  <c r="AP397" i="13"/>
  <c r="AE397" i="13"/>
  <c r="AD397" i="13"/>
  <c r="AS403" i="13"/>
  <c r="AP403" i="13"/>
  <c r="AE403" i="13"/>
  <c r="AD403" i="13"/>
  <c r="AB403" i="13"/>
  <c r="AA403" i="13"/>
  <c r="AT403" i="13"/>
  <c r="AE410" i="13"/>
  <c r="AS410" i="13"/>
  <c r="AA410" i="13"/>
  <c r="AT410" i="13"/>
  <c r="AB410" i="13"/>
  <c r="AP410" i="13"/>
  <c r="AE417" i="13"/>
  <c r="AT417" i="13"/>
  <c r="AD417" i="13"/>
  <c r="AS417" i="13"/>
  <c r="AA417" i="13"/>
  <c r="AB417" i="13"/>
  <c r="AP417" i="13"/>
  <c r="AE422" i="13"/>
  <c r="AS422" i="13"/>
  <c r="AA422" i="13"/>
  <c r="AB422" i="13"/>
  <c r="AP422" i="13"/>
  <c r="AT422" i="13"/>
  <c r="AE429" i="13"/>
  <c r="AT429" i="13"/>
  <c r="AD429" i="13"/>
  <c r="AS429" i="13"/>
  <c r="AB429" i="13"/>
  <c r="AA429" i="13"/>
  <c r="AP429" i="13"/>
  <c r="AA435" i="13"/>
  <c r="AP435" i="13"/>
  <c r="AE435" i="13"/>
  <c r="AT435" i="13"/>
  <c r="AD435" i="13"/>
  <c r="AS435" i="13"/>
  <c r="AB435" i="13"/>
  <c r="AE442" i="13"/>
  <c r="AT442" i="13"/>
  <c r="AD442" i="13"/>
  <c r="AS442" i="13"/>
  <c r="AB442" i="13"/>
  <c r="AA442" i="13"/>
  <c r="AP442" i="13"/>
  <c r="AE449" i="13"/>
  <c r="AT449" i="13"/>
  <c r="AD449" i="13"/>
  <c r="AS449" i="13"/>
  <c r="AB449" i="13"/>
  <c r="AA449" i="13"/>
  <c r="AP449" i="13"/>
  <c r="AE454" i="13"/>
  <c r="AT454" i="13"/>
  <c r="AS454" i="13"/>
  <c r="AB454" i="13"/>
  <c r="AA454" i="13"/>
  <c r="AP454" i="13"/>
  <c r="AE461" i="13"/>
  <c r="AT461" i="13"/>
  <c r="AD461" i="13"/>
  <c r="AS461" i="13"/>
  <c r="AB461" i="13"/>
  <c r="AA461" i="13"/>
  <c r="AP461" i="13"/>
  <c r="AA467" i="13"/>
  <c r="AP467" i="13"/>
  <c r="AE467" i="13"/>
  <c r="AT467" i="13"/>
  <c r="AD467" i="13"/>
  <c r="AS467" i="13"/>
  <c r="AB467" i="13"/>
  <c r="AE474" i="13"/>
  <c r="AS474" i="13"/>
  <c r="AB474" i="13"/>
  <c r="AA474" i="13"/>
  <c r="AP474" i="13"/>
  <c r="AT474" i="13"/>
  <c r="AE481" i="13"/>
  <c r="AS481" i="13"/>
  <c r="AA481" i="13"/>
  <c r="AP481" i="13"/>
  <c r="AT481" i="13"/>
  <c r="AB481" i="13"/>
  <c r="AE486" i="13"/>
  <c r="AS486" i="13"/>
  <c r="AB486" i="13"/>
  <c r="AT486" i="13"/>
  <c r="AA486" i="13"/>
  <c r="AP486" i="13"/>
  <c r="AE493" i="13"/>
  <c r="AT493" i="13"/>
  <c r="AS493" i="13"/>
  <c r="AB493" i="13"/>
  <c r="AA493" i="13"/>
  <c r="AP493" i="13"/>
  <c r="AA499" i="13"/>
  <c r="AP499" i="13"/>
  <c r="AE499" i="13"/>
  <c r="AT499" i="13"/>
  <c r="AD499" i="13"/>
  <c r="AS499" i="13"/>
  <c r="AB499" i="13"/>
  <c r="AE506" i="13"/>
  <c r="AT506" i="13"/>
  <c r="AS506" i="13"/>
  <c r="AB506" i="13"/>
  <c r="AA506" i="13"/>
  <c r="AP506" i="13"/>
  <c r="AE513" i="13"/>
  <c r="AT513" i="13"/>
  <c r="AS513" i="13"/>
  <c r="AB513" i="13"/>
  <c r="AA513" i="13"/>
  <c r="AP513" i="13"/>
  <c r="AE518" i="13"/>
  <c r="AT518" i="13"/>
  <c r="AS518" i="13"/>
  <c r="AB518" i="13"/>
  <c r="AA518" i="13"/>
  <c r="AP518" i="13"/>
  <c r="AE525" i="13"/>
  <c r="AT525" i="13"/>
  <c r="AS525" i="13"/>
  <c r="AB525" i="13"/>
  <c r="AA525" i="13"/>
  <c r="AP525" i="13"/>
  <c r="AT531" i="13"/>
  <c r="AD531" i="13"/>
  <c r="AB531" i="13"/>
  <c r="AE531" i="13"/>
  <c r="AP531" i="13"/>
  <c r="AA531" i="13"/>
  <c r="AS531" i="13"/>
  <c r="AB538" i="13"/>
  <c r="AP538" i="13"/>
  <c r="AE538" i="13"/>
  <c r="AT538" i="13"/>
  <c r="AS538" i="13"/>
  <c r="AD538" i="13"/>
  <c r="AA538" i="13"/>
  <c r="AP545" i="13"/>
  <c r="AE545" i="13"/>
  <c r="AT545" i="13"/>
  <c r="AS545" i="13"/>
  <c r="AB545" i="13"/>
  <c r="AA545" i="13"/>
  <c r="AB550" i="13"/>
  <c r="AP550" i="13"/>
  <c r="AE550" i="13"/>
  <c r="AD550" i="13"/>
  <c r="AT550" i="13"/>
  <c r="AA550" i="13"/>
  <c r="AS550" i="13"/>
  <c r="AP557" i="13"/>
  <c r="AE557" i="13"/>
  <c r="AT557" i="13"/>
  <c r="AS557" i="13"/>
  <c r="AB557" i="13"/>
  <c r="AA557" i="13"/>
  <c r="AT563" i="13"/>
  <c r="AD563" i="13"/>
  <c r="AB563" i="13"/>
  <c r="AA563" i="13"/>
  <c r="AP563" i="13"/>
  <c r="AE563" i="13"/>
  <c r="AS563" i="13"/>
  <c r="AB570" i="13"/>
  <c r="AP570" i="13"/>
  <c r="AE570" i="13"/>
  <c r="AT570" i="13"/>
  <c r="AA570" i="13"/>
  <c r="AS570" i="13"/>
  <c r="AD570" i="13"/>
  <c r="AP577" i="13"/>
  <c r="AE577" i="13"/>
  <c r="AT577" i="13"/>
  <c r="AS577" i="13"/>
  <c r="AB577" i="13"/>
  <c r="AA577" i="13"/>
  <c r="AB582" i="13"/>
  <c r="AP582" i="13"/>
  <c r="AE582" i="13"/>
  <c r="AD582" i="13"/>
  <c r="AT582" i="13"/>
  <c r="AA582" i="13"/>
  <c r="AS582" i="13"/>
  <c r="AP589" i="13"/>
  <c r="AE589" i="13"/>
  <c r="AT589" i="13"/>
  <c r="AS589" i="13"/>
  <c r="AB589" i="13"/>
  <c r="AA589" i="13"/>
  <c r="AT595" i="13"/>
  <c r="AB595" i="13"/>
  <c r="AA595" i="13"/>
  <c r="AP595" i="13"/>
  <c r="AE595" i="13"/>
  <c r="AS595" i="13"/>
  <c r="AB602" i="13"/>
  <c r="AP602" i="13"/>
  <c r="AE602" i="13"/>
  <c r="AT602" i="13"/>
  <c r="AA602" i="13"/>
  <c r="AS602" i="13"/>
  <c r="AP609" i="13"/>
  <c r="AE609" i="13"/>
  <c r="AT609" i="13"/>
  <c r="AS609" i="13"/>
  <c r="AB609" i="13"/>
  <c r="AA609" i="13"/>
  <c r="AB614" i="13"/>
  <c r="AP614" i="13"/>
  <c r="AE614" i="13"/>
  <c r="AT614" i="13"/>
  <c r="AA614" i="13"/>
  <c r="AS614" i="13"/>
  <c r="AP621" i="13"/>
  <c r="AE621" i="13"/>
  <c r="AT621" i="13"/>
  <c r="AS621" i="13"/>
  <c r="AB621" i="13"/>
  <c r="AA621" i="13"/>
  <c r="AT627" i="13"/>
  <c r="AD627" i="13"/>
  <c r="AB627" i="13"/>
  <c r="AA627" i="13"/>
  <c r="AP627" i="13"/>
  <c r="AE627" i="13"/>
  <c r="AS627" i="13"/>
  <c r="AS634" i="13"/>
  <c r="AP634" i="13"/>
  <c r="AA634" i="13"/>
  <c r="AT634" i="13"/>
  <c r="AE634" i="13"/>
  <c r="AB634" i="13"/>
  <c r="AA641" i="13"/>
  <c r="AP641" i="13"/>
  <c r="AE641" i="13"/>
  <c r="AD641" i="13"/>
  <c r="AB641" i="13"/>
  <c r="AT641" i="13"/>
  <c r="AS641" i="13"/>
  <c r="AS646" i="13"/>
  <c r="AP646" i="13"/>
  <c r="AE646" i="13"/>
  <c r="AD646" i="13"/>
  <c r="AB646" i="13"/>
  <c r="AA646" i="13"/>
  <c r="AT646" i="13"/>
  <c r="AA653" i="13"/>
  <c r="AE653" i="13"/>
  <c r="AP653" i="13"/>
  <c r="AD653" i="13"/>
  <c r="AB653" i="13"/>
  <c r="AT653" i="13"/>
  <c r="AS653" i="13"/>
  <c r="AE659" i="13"/>
  <c r="AS659" i="13"/>
  <c r="AB659" i="13"/>
  <c r="AT659" i="13"/>
  <c r="AP659" i="13"/>
  <c r="AA659" i="13"/>
  <c r="AE666" i="13"/>
  <c r="AT666" i="13"/>
  <c r="AS666" i="13"/>
  <c r="AA666" i="13"/>
  <c r="AP666" i="13"/>
  <c r="AB666" i="13"/>
  <c r="AS673" i="13"/>
  <c r="AB673" i="13"/>
  <c r="AA673" i="13"/>
  <c r="AP673" i="13"/>
  <c r="AE673" i="13"/>
  <c r="AD673" i="13"/>
  <c r="AT673" i="13"/>
  <c r="AE678" i="13"/>
  <c r="AT678" i="13"/>
  <c r="AS678" i="13"/>
  <c r="AA678" i="13"/>
  <c r="AP678" i="13"/>
  <c r="AB678" i="13"/>
  <c r="AS685" i="13"/>
  <c r="AB685" i="13"/>
  <c r="AA685" i="13"/>
  <c r="AE685" i="13"/>
  <c r="AP685" i="13"/>
  <c r="AD685" i="13"/>
  <c r="AT685" i="13"/>
  <c r="AE691" i="13"/>
  <c r="AS691" i="13"/>
  <c r="AB691" i="13"/>
  <c r="AA691" i="13"/>
  <c r="AT691" i="13"/>
  <c r="AP691" i="13"/>
  <c r="AE698" i="13"/>
  <c r="AT698" i="13"/>
  <c r="AS698" i="13"/>
  <c r="AA698" i="13"/>
  <c r="AP698" i="13"/>
  <c r="AB698" i="13"/>
  <c r="AS705" i="13"/>
  <c r="AB705" i="13"/>
  <c r="AA705" i="13"/>
  <c r="AE705" i="13"/>
  <c r="AD705" i="13"/>
  <c r="AT705" i="13"/>
  <c r="AP705" i="13"/>
  <c r="AE710" i="13"/>
  <c r="AT710" i="13"/>
  <c r="AS710" i="13"/>
  <c r="AB710" i="13"/>
  <c r="AA710" i="13"/>
  <c r="AP710" i="13"/>
  <c r="AT717" i="13"/>
  <c r="AD717" i="13"/>
  <c r="AS717" i="13"/>
  <c r="AA717" i="13"/>
  <c r="AP717" i="13"/>
  <c r="AE717" i="13"/>
  <c r="AB717" i="13"/>
  <c r="AP723" i="13"/>
  <c r="AE723" i="13"/>
  <c r="AT723" i="13"/>
  <c r="AS723" i="13"/>
  <c r="AB723" i="13"/>
  <c r="AA723" i="13"/>
  <c r="AE730" i="13"/>
  <c r="AT730" i="13"/>
  <c r="AS730" i="13"/>
  <c r="AB730" i="13"/>
  <c r="AP730" i="13"/>
  <c r="AA730" i="13"/>
  <c r="AT737" i="13"/>
  <c r="AS737" i="13"/>
  <c r="AB737" i="13"/>
  <c r="AA737" i="13"/>
  <c r="AP737" i="13"/>
  <c r="AE737" i="13"/>
  <c r="AE742" i="13"/>
  <c r="AT742" i="13"/>
  <c r="AS742" i="13"/>
  <c r="AB742" i="13"/>
  <c r="AA742" i="13"/>
  <c r="AP742" i="13"/>
  <c r="AT749" i="13"/>
  <c r="AS749" i="13"/>
  <c r="AB749" i="13"/>
  <c r="AA749" i="13"/>
  <c r="AP749" i="13"/>
  <c r="AE749" i="13"/>
  <c r="AB755" i="13"/>
  <c r="AP755" i="13"/>
  <c r="AE755" i="13"/>
  <c r="AT755" i="13"/>
  <c r="AA755" i="13"/>
  <c r="AS755" i="13"/>
  <c r="AT762" i="13"/>
  <c r="AD762" i="13"/>
  <c r="AP762" i="13"/>
  <c r="AB762" i="13"/>
  <c r="AA762" i="13"/>
  <c r="AS762" i="13"/>
  <c r="AE762" i="13"/>
  <c r="AB769" i="13"/>
  <c r="AS769" i="13"/>
  <c r="AP769" i="13"/>
  <c r="AE769" i="13"/>
  <c r="AA769" i="13"/>
  <c r="AT769" i="13"/>
  <c r="AT774" i="13"/>
  <c r="AD774" i="13"/>
  <c r="AP774" i="13"/>
  <c r="AB774" i="13"/>
  <c r="AA774" i="13"/>
  <c r="AS774" i="13"/>
  <c r="AE774" i="13"/>
  <c r="AT781" i="13"/>
  <c r="AD781" i="13"/>
  <c r="AB781" i="13"/>
  <c r="AA781" i="13"/>
  <c r="AE781" i="13"/>
  <c r="AS781" i="13"/>
  <c r="AP781" i="13"/>
  <c r="AP787" i="13"/>
  <c r="AE787" i="13"/>
  <c r="AS787" i="13"/>
  <c r="AB787" i="13"/>
  <c r="AT787" i="13"/>
  <c r="AA787" i="13"/>
  <c r="AT794" i="13"/>
  <c r="AD794" i="13"/>
  <c r="AS794" i="13"/>
  <c r="AA794" i="13"/>
  <c r="AP794" i="13"/>
  <c r="AE794" i="13"/>
  <c r="AB794" i="13"/>
  <c r="AT801" i="13"/>
  <c r="AD801" i="13"/>
  <c r="AP801" i="13"/>
  <c r="AE801" i="13"/>
  <c r="AB801" i="13"/>
  <c r="AA801" i="13"/>
  <c r="AS801" i="13"/>
  <c r="AB806" i="13"/>
  <c r="AA806" i="13"/>
  <c r="AP806" i="13"/>
  <c r="AT806" i="13"/>
  <c r="AS806" i="13"/>
  <c r="AE806" i="13"/>
  <c r="AP813" i="13"/>
  <c r="AE813" i="13"/>
  <c r="AT813" i="13"/>
  <c r="AD813" i="13"/>
  <c r="AA813" i="13"/>
  <c r="AS813" i="13"/>
  <c r="AB813" i="13"/>
  <c r="AT819" i="13"/>
  <c r="AS819" i="13"/>
  <c r="AA819" i="13"/>
  <c r="AP819" i="13"/>
  <c r="AE819" i="13"/>
  <c r="AB819" i="13"/>
  <c r="AB826" i="13"/>
  <c r="AA826" i="13"/>
  <c r="AS826" i="13"/>
  <c r="AD826" i="13"/>
  <c r="AP826" i="13"/>
  <c r="AT826" i="13"/>
  <c r="AE826" i="13"/>
  <c r="AA833" i="13"/>
  <c r="AP833" i="13"/>
  <c r="AE833" i="13"/>
  <c r="AT833" i="13"/>
  <c r="AD833" i="13"/>
  <c r="AS833" i="13"/>
  <c r="AB833" i="13"/>
  <c r="AS838" i="13"/>
  <c r="AB838" i="13"/>
  <c r="AA838" i="13"/>
  <c r="AP838" i="13"/>
  <c r="AE838" i="13"/>
  <c r="AD838" i="13"/>
  <c r="AT838" i="13"/>
  <c r="AB845" i="13"/>
  <c r="AA845" i="13"/>
  <c r="AP845" i="13"/>
  <c r="AE845" i="13"/>
  <c r="AT845" i="13"/>
  <c r="AD845" i="13"/>
  <c r="AS845" i="13"/>
  <c r="AE851" i="13"/>
  <c r="AT851" i="13"/>
  <c r="AS851" i="13"/>
  <c r="AA851" i="13"/>
  <c r="AP851" i="13"/>
  <c r="AB851" i="13"/>
  <c r="AE858" i="13"/>
  <c r="AT858" i="13"/>
  <c r="AS858" i="13"/>
  <c r="AB858" i="13"/>
  <c r="AA858" i="13"/>
  <c r="AP858" i="13"/>
  <c r="AS865" i="13"/>
  <c r="AB865" i="13"/>
  <c r="AA865" i="13"/>
  <c r="AP865" i="13"/>
  <c r="AE865" i="13"/>
  <c r="AD865" i="13"/>
  <c r="AT865" i="13"/>
  <c r="AE870" i="13"/>
  <c r="AT870" i="13"/>
  <c r="AS870" i="13"/>
  <c r="AB870" i="13"/>
  <c r="AA870" i="13"/>
  <c r="AP870" i="13"/>
  <c r="AT877" i="13"/>
  <c r="AD877" i="13"/>
  <c r="AS877" i="13"/>
  <c r="AB877" i="13"/>
  <c r="AA877" i="13"/>
  <c r="AP877" i="13"/>
  <c r="AE877" i="13"/>
  <c r="AA883" i="13"/>
  <c r="AP883" i="13"/>
  <c r="AE883" i="13"/>
  <c r="AT883" i="13"/>
  <c r="AD883" i="13"/>
  <c r="AS883" i="13"/>
  <c r="AB883" i="13"/>
  <c r="AE890" i="13"/>
  <c r="AT890" i="13"/>
  <c r="AS890" i="13"/>
  <c r="AB890" i="13"/>
  <c r="AA890" i="13"/>
  <c r="AP890" i="13"/>
  <c r="AA897" i="13"/>
  <c r="AP897" i="13"/>
  <c r="AE897" i="13"/>
  <c r="AT897" i="13"/>
  <c r="AS897" i="13"/>
  <c r="AB897" i="13"/>
  <c r="AP902" i="13"/>
  <c r="AT902" i="13"/>
  <c r="AD902" i="13"/>
  <c r="AS902" i="13"/>
  <c r="AE902" i="13"/>
  <c r="AB902" i="13"/>
  <c r="AA902" i="13"/>
  <c r="AB909" i="13"/>
  <c r="AA909" i="13"/>
  <c r="AT909" i="13"/>
  <c r="AS909" i="13"/>
  <c r="AE909" i="13"/>
  <c r="AP909" i="13"/>
  <c r="AB915" i="13"/>
  <c r="AE915" i="13"/>
  <c r="AT915" i="13"/>
  <c r="AS915" i="13"/>
  <c r="AD915" i="13"/>
  <c r="AP915" i="13"/>
  <c r="AA915" i="13"/>
  <c r="AP922" i="13"/>
  <c r="AE922" i="13"/>
  <c r="AT922" i="13"/>
  <c r="AD922" i="13"/>
  <c r="AS922" i="13"/>
  <c r="AA922" i="13"/>
  <c r="AB922" i="13"/>
  <c r="AE929" i="13"/>
  <c r="AS929" i="13"/>
  <c r="AB929" i="13"/>
  <c r="AA929" i="13"/>
  <c r="AT929" i="13"/>
  <c r="AP929" i="13"/>
  <c r="AP934" i="13"/>
  <c r="AE934" i="13"/>
  <c r="AT934" i="13"/>
  <c r="AS934" i="13"/>
  <c r="AB934" i="13"/>
  <c r="AA934" i="13"/>
  <c r="AE941" i="13"/>
  <c r="AT941" i="13"/>
  <c r="AS941" i="13"/>
  <c r="AB941" i="13"/>
  <c r="AA941" i="13"/>
  <c r="AP941" i="13"/>
  <c r="AB947" i="13"/>
  <c r="AA947" i="13"/>
  <c r="AP947" i="13"/>
  <c r="AE947" i="13"/>
  <c r="AS947" i="13"/>
  <c r="AT947" i="13"/>
  <c r="AP954" i="13"/>
  <c r="AE954" i="13"/>
  <c r="AT954" i="13"/>
  <c r="AD954" i="13"/>
  <c r="AS954" i="13"/>
  <c r="AB954" i="13"/>
  <c r="AA954" i="13"/>
  <c r="AP961" i="13"/>
  <c r="AE961" i="13"/>
  <c r="AT961" i="13"/>
  <c r="AS961" i="13"/>
  <c r="AB961" i="13"/>
  <c r="AA961" i="13"/>
  <c r="AB966" i="13"/>
  <c r="AP966" i="13"/>
  <c r="AT966" i="13"/>
  <c r="AD966" i="13"/>
  <c r="AS966" i="13"/>
  <c r="AA966" i="13"/>
  <c r="AE966" i="13"/>
  <c r="AB973" i="13"/>
  <c r="AA973" i="13"/>
  <c r="AP973" i="13"/>
  <c r="AE973" i="13"/>
  <c r="AT973" i="13"/>
  <c r="AD973" i="13"/>
  <c r="AS973" i="13"/>
  <c r="AE979" i="13"/>
  <c r="AT979" i="13"/>
  <c r="AS979" i="13"/>
  <c r="AB979" i="13"/>
  <c r="AA979" i="13"/>
  <c r="AP979" i="13"/>
  <c r="AB986" i="13"/>
  <c r="AT986" i="13"/>
  <c r="AS986" i="13"/>
  <c r="AP986" i="13"/>
  <c r="AE986" i="13"/>
  <c r="AD986" i="13"/>
  <c r="AA986" i="13"/>
  <c r="AB993" i="13"/>
  <c r="AP993" i="13"/>
  <c r="AE993" i="13"/>
  <c r="AT993" i="13"/>
  <c r="AS993" i="13"/>
  <c r="AA993" i="13"/>
  <c r="AT998" i="13"/>
  <c r="AD998" i="13"/>
  <c r="AB998" i="13"/>
  <c r="AA998" i="13"/>
  <c r="AS998" i="13"/>
  <c r="AE998" i="13"/>
  <c r="AP998" i="13"/>
  <c r="AB1005" i="13"/>
  <c r="AP1005" i="13"/>
  <c r="AE1005" i="13"/>
  <c r="AS1005" i="13"/>
  <c r="AA1005" i="13"/>
  <c r="AT1005" i="13"/>
  <c r="AT1011" i="13"/>
  <c r="AS1011" i="13"/>
  <c r="AA1011" i="13"/>
  <c r="AP1011" i="13"/>
  <c r="AE1011" i="13"/>
  <c r="AB1011" i="13"/>
  <c r="AA1018" i="13"/>
  <c r="AE1018" i="13"/>
  <c r="AT1018" i="13"/>
  <c r="AS1018" i="13"/>
  <c r="AP1018" i="13"/>
  <c r="AB1018" i="13"/>
  <c r="AE1025" i="13"/>
  <c r="AT1025" i="13"/>
  <c r="AS1025" i="13"/>
  <c r="AB1025" i="13"/>
  <c r="AA1025" i="13"/>
  <c r="AP1025" i="13"/>
  <c r="AA1030" i="13"/>
  <c r="AE1030" i="13"/>
  <c r="AT1030" i="13"/>
  <c r="AD1030" i="13"/>
  <c r="AS1030" i="13"/>
  <c r="AB1030" i="13"/>
  <c r="AP1030" i="13"/>
  <c r="AP1037" i="13"/>
  <c r="AT1037" i="13"/>
  <c r="AB1037" i="13"/>
  <c r="AS1037" i="13"/>
  <c r="AA1037" i="13"/>
  <c r="AE1037" i="13"/>
  <c r="AA1043" i="13"/>
  <c r="AT1043" i="13"/>
  <c r="AS1043" i="13"/>
  <c r="AE1043" i="13"/>
  <c r="AB1043" i="13"/>
  <c r="AP1043" i="13"/>
  <c r="AE1050" i="13"/>
  <c r="AT1050" i="13"/>
  <c r="AD1050" i="13"/>
  <c r="AB1050" i="13"/>
  <c r="AS1050" i="13"/>
  <c r="AA1050" i="13"/>
  <c r="AP1050" i="13"/>
  <c r="AE1057" i="13"/>
  <c r="AS1057" i="13"/>
  <c r="AB1057" i="13"/>
  <c r="AP1057" i="13"/>
  <c r="AT1057" i="13"/>
  <c r="AA1057" i="13"/>
  <c r="AE1062" i="13"/>
  <c r="AS1062" i="13"/>
  <c r="AP1062" i="13"/>
  <c r="AD1062" i="13"/>
  <c r="AB1062" i="13"/>
  <c r="AT1062" i="13"/>
  <c r="AA1062" i="13"/>
  <c r="AP1069" i="13"/>
  <c r="AS1069" i="13"/>
  <c r="AT1069" i="13"/>
  <c r="AE1069" i="13"/>
  <c r="AB1069" i="13"/>
  <c r="AA1069" i="13"/>
  <c r="AT1075" i="13"/>
  <c r="AD1075" i="13"/>
  <c r="AS1075" i="13"/>
  <c r="AP1075" i="13"/>
  <c r="AE1075" i="13"/>
  <c r="AB1075" i="13"/>
  <c r="AA1075" i="13"/>
  <c r="AE1082" i="13"/>
  <c r="AS1082" i="13"/>
  <c r="AB1082" i="13"/>
  <c r="AA1082" i="13"/>
  <c r="AT1082" i="13"/>
  <c r="AP1082" i="13"/>
  <c r="AB1089" i="13"/>
  <c r="AP1089" i="13"/>
  <c r="AE1089" i="13"/>
  <c r="AT1089" i="13"/>
  <c r="AA1089" i="13"/>
  <c r="AS1089" i="13"/>
  <c r="AD1089" i="13"/>
  <c r="AE1094" i="13"/>
  <c r="AD1094" i="13"/>
  <c r="AT1094" i="13"/>
  <c r="AB1094" i="13"/>
  <c r="AP1094" i="13"/>
  <c r="AS1094" i="13"/>
  <c r="AA1094" i="13"/>
  <c r="AE1101" i="13"/>
  <c r="AT1101" i="13"/>
  <c r="AD1101" i="13"/>
  <c r="AP1101" i="13"/>
  <c r="AB1101" i="13"/>
  <c r="AA1101" i="13"/>
  <c r="AS1101" i="13"/>
  <c r="AA1107" i="13"/>
  <c r="AP1107" i="13"/>
  <c r="AB1107" i="13"/>
  <c r="AS1107" i="13"/>
  <c r="AE1107" i="13"/>
  <c r="AT1107" i="13"/>
  <c r="AD1107" i="13"/>
  <c r="AE1114" i="13"/>
  <c r="AS1114" i="13"/>
  <c r="AT1114" i="13"/>
  <c r="AB1114" i="13"/>
  <c r="AA1114" i="13"/>
  <c r="AP1114" i="13"/>
  <c r="AT1121" i="13"/>
  <c r="AS1121" i="13"/>
  <c r="AA1121" i="13"/>
  <c r="AE1121" i="13"/>
  <c r="AP1121" i="13"/>
  <c r="AB1121" i="13"/>
  <c r="AE1126" i="13"/>
  <c r="AS1126" i="13"/>
  <c r="AP1126" i="13"/>
  <c r="AB1126" i="13"/>
  <c r="AT1126" i="13"/>
  <c r="AA1126" i="13"/>
  <c r="AT1133" i="13"/>
  <c r="AS1133" i="13"/>
  <c r="AA1133" i="13"/>
  <c r="AP1133" i="13"/>
  <c r="AE1133" i="13"/>
  <c r="AB1133" i="13"/>
  <c r="AP1139" i="13"/>
  <c r="AE1139" i="13"/>
  <c r="AD1139" i="13"/>
  <c r="AA1139" i="13"/>
  <c r="AT1139" i="13"/>
  <c r="AB1139" i="13"/>
  <c r="AS1139" i="13"/>
  <c r="AE1146" i="13"/>
  <c r="AS1146" i="13"/>
  <c r="AA1146" i="13"/>
  <c r="AT1146" i="13"/>
  <c r="AB1146" i="13"/>
  <c r="AP1146" i="13"/>
  <c r="AE1153" i="13"/>
  <c r="AT1153" i="13"/>
  <c r="AS1153" i="13"/>
  <c r="AB1153" i="13"/>
  <c r="AP1153" i="13"/>
  <c r="AA1153" i="13"/>
  <c r="AB1158" i="13"/>
  <c r="AA1158" i="13"/>
  <c r="AP1158" i="13"/>
  <c r="AE1158" i="13"/>
  <c r="AD1158" i="13"/>
  <c r="AT1158" i="13"/>
  <c r="AS1158" i="13"/>
  <c r="AP1165" i="13"/>
  <c r="AE1165" i="13"/>
  <c r="AB1165" i="13"/>
  <c r="AA1165" i="13"/>
  <c r="AD1165" i="13"/>
  <c r="AS1165" i="13"/>
  <c r="AT1165" i="13"/>
  <c r="AS1171" i="13"/>
  <c r="AA1171" i="13"/>
  <c r="AP1171" i="13"/>
  <c r="AE1171" i="13"/>
  <c r="AT1171" i="13"/>
  <c r="AB1171" i="13"/>
  <c r="AE1178" i="13"/>
  <c r="AB1178" i="13"/>
  <c r="AT1178" i="13"/>
  <c r="AD1178" i="13"/>
  <c r="AP1178" i="13"/>
  <c r="AA1178" i="13"/>
  <c r="AS1178" i="13"/>
  <c r="AT1185" i="13"/>
  <c r="AS1185" i="13"/>
  <c r="AB1185" i="13"/>
  <c r="AE1185" i="13"/>
  <c r="AP1185" i="13"/>
  <c r="AA1185" i="13"/>
  <c r="AB1190" i="13"/>
  <c r="AP1190" i="13"/>
  <c r="AS1190" i="13"/>
  <c r="AE1190" i="13"/>
  <c r="AD1190" i="13"/>
  <c r="AA1190" i="13"/>
  <c r="AT1190" i="13"/>
  <c r="AP1197" i="13"/>
  <c r="AE1197" i="13"/>
  <c r="AT1197" i="13"/>
  <c r="AS1197" i="13"/>
  <c r="AB1197" i="13"/>
  <c r="AA1197" i="13"/>
  <c r="AS363" i="13"/>
  <c r="AP363" i="13"/>
  <c r="AE363" i="13"/>
  <c r="AD363" i="13"/>
  <c r="AB363" i="13"/>
  <c r="AA363" i="13"/>
  <c r="AT363" i="13"/>
  <c r="AE370" i="13"/>
  <c r="AA370" i="13"/>
  <c r="AB370" i="13"/>
  <c r="AT370" i="13"/>
  <c r="AS370" i="13"/>
  <c r="AP370" i="13"/>
  <c r="AD370" i="13"/>
  <c r="AS377" i="13"/>
  <c r="AP377" i="13"/>
  <c r="AE377" i="13"/>
  <c r="AD377" i="13"/>
  <c r="AB377" i="13"/>
  <c r="AA377" i="13"/>
  <c r="AT377" i="13"/>
  <c r="AE382" i="13"/>
  <c r="AA382" i="13"/>
  <c r="AP382" i="13"/>
  <c r="AB382" i="13"/>
  <c r="AT382" i="13"/>
  <c r="AS382" i="13"/>
  <c r="AS389" i="13"/>
  <c r="AB389" i="13"/>
  <c r="AA389" i="13"/>
  <c r="AT389" i="13"/>
  <c r="AP389" i="13"/>
  <c r="AE389" i="13"/>
  <c r="AD389" i="13"/>
  <c r="AS395" i="13"/>
  <c r="AP395" i="13"/>
  <c r="AE395" i="13"/>
  <c r="AD395" i="13"/>
  <c r="AB395" i="13"/>
  <c r="AA395" i="13"/>
  <c r="AT395" i="13"/>
  <c r="AE402" i="13"/>
  <c r="AA402" i="13"/>
  <c r="AB402" i="13"/>
  <c r="AT402" i="13"/>
  <c r="AS402" i="13"/>
  <c r="AP402" i="13"/>
  <c r="AD402" i="13"/>
  <c r="AE409" i="13"/>
  <c r="AT409" i="13"/>
  <c r="AD409" i="13"/>
  <c r="AS409" i="13"/>
  <c r="AA409" i="13"/>
  <c r="AP409" i="13"/>
  <c r="AB409" i="13"/>
  <c r="AE414" i="13"/>
  <c r="AS414" i="13"/>
  <c r="AA414" i="13"/>
  <c r="AT414" i="13"/>
  <c r="AD414" i="13"/>
  <c r="AB414" i="13"/>
  <c r="AP414" i="13"/>
  <c r="AE421" i="13"/>
  <c r="AT421" i="13"/>
  <c r="AD421" i="13"/>
  <c r="AS421" i="13"/>
  <c r="AA421" i="13"/>
  <c r="AB421" i="13"/>
  <c r="AP421" i="13"/>
  <c r="AA427" i="13"/>
  <c r="AP427" i="13"/>
  <c r="AE427" i="13"/>
  <c r="AS427" i="13"/>
  <c r="AD427" i="13"/>
  <c r="AB427" i="13"/>
  <c r="AT427" i="13"/>
  <c r="AE434" i="13"/>
  <c r="AT434" i="13"/>
  <c r="AS434" i="13"/>
  <c r="AB434" i="13"/>
  <c r="AA434" i="13"/>
  <c r="AP434" i="13"/>
  <c r="AE441" i="13"/>
  <c r="AT441" i="13"/>
  <c r="AS441" i="13"/>
  <c r="AB441" i="13"/>
  <c r="AA441" i="13"/>
  <c r="AP441" i="13"/>
  <c r="AE446" i="13"/>
  <c r="AT446" i="13"/>
  <c r="AD446" i="13"/>
  <c r="AS446" i="13"/>
  <c r="AB446" i="13"/>
  <c r="AA446" i="13"/>
  <c r="AP446" i="13"/>
  <c r="AE453" i="13"/>
  <c r="AT453" i="13"/>
  <c r="AD453" i="13"/>
  <c r="AS453" i="13"/>
  <c r="AB453" i="13"/>
  <c r="AA453" i="13"/>
  <c r="AP453" i="13"/>
  <c r="AA459" i="13"/>
  <c r="AP459" i="13"/>
  <c r="AE459" i="13"/>
  <c r="AT459" i="13"/>
  <c r="AD459" i="13"/>
  <c r="AS459" i="13"/>
  <c r="AB459" i="13"/>
  <c r="AE466" i="13"/>
  <c r="AT466" i="13"/>
  <c r="AS466" i="13"/>
  <c r="AB466" i="13"/>
  <c r="AA466" i="13"/>
  <c r="AP466" i="13"/>
  <c r="AE473" i="13"/>
  <c r="AS473" i="13"/>
  <c r="AA473" i="13"/>
  <c r="AP473" i="13"/>
  <c r="AT473" i="13"/>
  <c r="AB473" i="13"/>
  <c r="AE478" i="13"/>
  <c r="AS478" i="13"/>
  <c r="AB478" i="13"/>
  <c r="AT478" i="13"/>
  <c r="AA478" i="13"/>
  <c r="AP478" i="13"/>
  <c r="AE485" i="13"/>
  <c r="AS485" i="13"/>
  <c r="AA485" i="13"/>
  <c r="AP485" i="13"/>
  <c r="AB485" i="13"/>
  <c r="AT485" i="13"/>
  <c r="AA491" i="13"/>
  <c r="AP491" i="13"/>
  <c r="AE491" i="13"/>
  <c r="AT491" i="13"/>
  <c r="AS491" i="13"/>
  <c r="AB491" i="13"/>
  <c r="AE498" i="13"/>
  <c r="AT498" i="13"/>
  <c r="AS498" i="13"/>
  <c r="AB498" i="13"/>
  <c r="AA498" i="13"/>
  <c r="AP498" i="13"/>
  <c r="AE505" i="13"/>
  <c r="AT505" i="13"/>
  <c r="AS505" i="13"/>
  <c r="AB505" i="13"/>
  <c r="AA505" i="13"/>
  <c r="AP505" i="13"/>
  <c r="AE510" i="13"/>
  <c r="AT510" i="13"/>
  <c r="AS510" i="13"/>
  <c r="AB510" i="13"/>
  <c r="AA510" i="13"/>
  <c r="AP510" i="13"/>
  <c r="AE517" i="13"/>
  <c r="AT517" i="13"/>
  <c r="AS517" i="13"/>
  <c r="AB517" i="13"/>
  <c r="AA517" i="13"/>
  <c r="AP517" i="13"/>
  <c r="AA523" i="13"/>
  <c r="AP523" i="13"/>
  <c r="AE523" i="13"/>
  <c r="AT523" i="13"/>
  <c r="AD523" i="13"/>
  <c r="AS523" i="13"/>
  <c r="AB523" i="13"/>
  <c r="AB530" i="13"/>
  <c r="AP530" i="13"/>
  <c r="AE530" i="13"/>
  <c r="AA530" i="13"/>
  <c r="AT530" i="13"/>
  <c r="AS530" i="13"/>
  <c r="AP537" i="13"/>
  <c r="AS537" i="13"/>
  <c r="AT537" i="13"/>
  <c r="AE537" i="13"/>
  <c r="AD537" i="13"/>
  <c r="AB537" i="13"/>
  <c r="AA537" i="13"/>
  <c r="AB542" i="13"/>
  <c r="AP542" i="13"/>
  <c r="AE542" i="13"/>
  <c r="AS542" i="13"/>
  <c r="AA542" i="13"/>
  <c r="AT542" i="13"/>
  <c r="AP549" i="13"/>
  <c r="AE549" i="13"/>
  <c r="AT549" i="13"/>
  <c r="AS549" i="13"/>
  <c r="AB549" i="13"/>
  <c r="AA549" i="13"/>
  <c r="AT555" i="13"/>
  <c r="AB555" i="13"/>
  <c r="AA555" i="13"/>
  <c r="AP555" i="13"/>
  <c r="AS555" i="13"/>
  <c r="AE555" i="13"/>
  <c r="AB562" i="13"/>
  <c r="AP562" i="13"/>
  <c r="AE562" i="13"/>
  <c r="AD562" i="13"/>
  <c r="AT562" i="13"/>
  <c r="AA562" i="13"/>
  <c r="AS562" i="13"/>
  <c r="AP569" i="13"/>
  <c r="AE569" i="13"/>
  <c r="AT569" i="13"/>
  <c r="AS569" i="13"/>
  <c r="AB569" i="13"/>
  <c r="AA569" i="13"/>
  <c r="AB574" i="13"/>
  <c r="AP574" i="13"/>
  <c r="AE574" i="13"/>
  <c r="AT574" i="13"/>
  <c r="AA574" i="13"/>
  <c r="AS574" i="13"/>
  <c r="AD574" i="13"/>
  <c r="AP581" i="13"/>
  <c r="AE581" i="13"/>
  <c r="AT581" i="13"/>
  <c r="AS581" i="13"/>
  <c r="AB581" i="13"/>
  <c r="AA581" i="13"/>
  <c r="AT587" i="13"/>
  <c r="AB587" i="13"/>
  <c r="AA587" i="13"/>
  <c r="AP587" i="13"/>
  <c r="AE587" i="13"/>
  <c r="AS587" i="13"/>
  <c r="AB594" i="13"/>
  <c r="AP594" i="13"/>
  <c r="AE594" i="13"/>
  <c r="AT594" i="13"/>
  <c r="AA594" i="13"/>
  <c r="AS594" i="13"/>
  <c r="AP601" i="13"/>
  <c r="AE601" i="13"/>
  <c r="AT601" i="13"/>
  <c r="AS601" i="13"/>
  <c r="AB601" i="13"/>
  <c r="AA601" i="13"/>
  <c r="AB606" i="13"/>
  <c r="AP606" i="13"/>
  <c r="AE606" i="13"/>
  <c r="AT606" i="13"/>
  <c r="AA606" i="13"/>
  <c r="AS606" i="13"/>
  <c r="AD606" i="13"/>
  <c r="AP613" i="13"/>
  <c r="AE613" i="13"/>
  <c r="AT613" i="13"/>
  <c r="AS613" i="13"/>
  <c r="AB613" i="13"/>
  <c r="AA613" i="13"/>
  <c r="AT619" i="13"/>
  <c r="AD619" i="13"/>
  <c r="AB619" i="13"/>
  <c r="AA619" i="13"/>
  <c r="AP619" i="13"/>
  <c r="AE619" i="13"/>
  <c r="AS619" i="13"/>
  <c r="AB626" i="13"/>
  <c r="AP626" i="13"/>
  <c r="AE626" i="13"/>
  <c r="AT626" i="13"/>
  <c r="AA626" i="13"/>
  <c r="AS626" i="13"/>
  <c r="AA633" i="13"/>
  <c r="AT633" i="13"/>
  <c r="AP633" i="13"/>
  <c r="AE633" i="13"/>
  <c r="AS633" i="13"/>
  <c r="AB633" i="13"/>
  <c r="AS638" i="13"/>
  <c r="AP638" i="13"/>
  <c r="AA638" i="13"/>
  <c r="AT638" i="13"/>
  <c r="AE638" i="13"/>
  <c r="AB638" i="13"/>
  <c r="AA645" i="13"/>
  <c r="AB645" i="13"/>
  <c r="AT645" i="13"/>
  <c r="AS645" i="13"/>
  <c r="AE645" i="13"/>
  <c r="AD645" i="13"/>
  <c r="AP645" i="13"/>
  <c r="AE651" i="13"/>
  <c r="AS651" i="13"/>
  <c r="AB651" i="13"/>
  <c r="AT651" i="13"/>
  <c r="AP651" i="13"/>
  <c r="AA651" i="13"/>
  <c r="AS658" i="13"/>
  <c r="AA658" i="13"/>
  <c r="AP658" i="13"/>
  <c r="AT658" i="13"/>
  <c r="AE658" i="13"/>
  <c r="AD658" i="13"/>
  <c r="AB658" i="13"/>
  <c r="AS665" i="13"/>
  <c r="AA665" i="13"/>
  <c r="AE665" i="13"/>
  <c r="AD665" i="13"/>
  <c r="AP665" i="13"/>
  <c r="AB665" i="13"/>
  <c r="AT665" i="13"/>
  <c r="AE670" i="13"/>
  <c r="AT670" i="13"/>
  <c r="AS670" i="13"/>
  <c r="AA670" i="13"/>
  <c r="AP670" i="13"/>
  <c r="AB670" i="13"/>
  <c r="AS677" i="13"/>
  <c r="AB677" i="13"/>
  <c r="AA677" i="13"/>
  <c r="AE677" i="13"/>
  <c r="AT677" i="13"/>
  <c r="AD677" i="13"/>
  <c r="AP677" i="13"/>
  <c r="AE683" i="13"/>
  <c r="AS683" i="13"/>
  <c r="AB683" i="13"/>
  <c r="AA683" i="13"/>
  <c r="AP683" i="13"/>
  <c r="AT683" i="13"/>
  <c r="AE690" i="13"/>
  <c r="AT690" i="13"/>
  <c r="AS690" i="13"/>
  <c r="AA690" i="13"/>
  <c r="AP690" i="13"/>
  <c r="AB690" i="13"/>
  <c r="AS697" i="13"/>
  <c r="AB697" i="13"/>
  <c r="AA697" i="13"/>
  <c r="AE697" i="13"/>
  <c r="AD697" i="13"/>
  <c r="AT697" i="13"/>
  <c r="AP697" i="13"/>
  <c r="AE702" i="13"/>
  <c r="AT702" i="13"/>
  <c r="AS702" i="13"/>
  <c r="AA702" i="13"/>
  <c r="AP702" i="13"/>
  <c r="AB702" i="13"/>
  <c r="AS709" i="13"/>
  <c r="AB709" i="13"/>
  <c r="AA709" i="13"/>
  <c r="AP709" i="13"/>
  <c r="AE709" i="13"/>
  <c r="AT709" i="13"/>
  <c r="AD709" i="13"/>
  <c r="AP715" i="13"/>
  <c r="AE715" i="13"/>
  <c r="AT715" i="13"/>
  <c r="AS715" i="13"/>
  <c r="AB715" i="13"/>
  <c r="AA715" i="13"/>
  <c r="AE722" i="13"/>
  <c r="AS722" i="13"/>
  <c r="AB722" i="13"/>
  <c r="AA722" i="13"/>
  <c r="AP722" i="13"/>
  <c r="AT722" i="13"/>
  <c r="AT729" i="13"/>
  <c r="AS729" i="13"/>
  <c r="AB729" i="13"/>
  <c r="AA729" i="13"/>
  <c r="AP729" i="13"/>
  <c r="AE729" i="13"/>
  <c r="AE734" i="13"/>
  <c r="AT734" i="13"/>
  <c r="AS734" i="13"/>
  <c r="AB734" i="13"/>
  <c r="AP734" i="13"/>
  <c r="AA734" i="13"/>
  <c r="AT741" i="13"/>
  <c r="AS741" i="13"/>
  <c r="AB741" i="13"/>
  <c r="AA741" i="13"/>
  <c r="AP741" i="13"/>
  <c r="AE741" i="13"/>
  <c r="AP747" i="13"/>
  <c r="AE747" i="13"/>
  <c r="AT747" i="13"/>
  <c r="AB747" i="13"/>
  <c r="AS747" i="13"/>
  <c r="AA747" i="13"/>
  <c r="AP754" i="13"/>
  <c r="AE754" i="13"/>
  <c r="AT754" i="13"/>
  <c r="AS754" i="13"/>
  <c r="AB754" i="13"/>
  <c r="AA754" i="13"/>
  <c r="AB761" i="13"/>
  <c r="AS761" i="13"/>
  <c r="AP761" i="13"/>
  <c r="AE761" i="13"/>
  <c r="AA761" i="13"/>
  <c r="AT761" i="13"/>
  <c r="AT766" i="13"/>
  <c r="AD766" i="13"/>
  <c r="AP766" i="13"/>
  <c r="AB766" i="13"/>
  <c r="AA766" i="13"/>
  <c r="AS766" i="13"/>
  <c r="AE766" i="13"/>
  <c r="AB773" i="13"/>
  <c r="AS773" i="13"/>
  <c r="AP773" i="13"/>
  <c r="AE773" i="13"/>
  <c r="AA773" i="13"/>
  <c r="AT773" i="13"/>
  <c r="AE779" i="13"/>
  <c r="AS779" i="13"/>
  <c r="AB779" i="13"/>
  <c r="AT779" i="13"/>
  <c r="AA779" i="13"/>
  <c r="AP779" i="13"/>
  <c r="AT786" i="13"/>
  <c r="AD786" i="13"/>
  <c r="AS786" i="13"/>
  <c r="AA786" i="13"/>
  <c r="AP786" i="13"/>
  <c r="AE786" i="13"/>
  <c r="AB786" i="13"/>
  <c r="AT793" i="13"/>
  <c r="AD793" i="13"/>
  <c r="AB793" i="13"/>
  <c r="AA793" i="13"/>
  <c r="AE793" i="13"/>
  <c r="AS793" i="13"/>
  <c r="AP793" i="13"/>
  <c r="AT798" i="13"/>
  <c r="AD798" i="13"/>
  <c r="AS798" i="13"/>
  <c r="AA798" i="13"/>
  <c r="AP798" i="13"/>
  <c r="AE798" i="13"/>
  <c r="AB798" i="13"/>
  <c r="AP805" i="13"/>
  <c r="AE805" i="13"/>
  <c r="AT805" i="13"/>
  <c r="AD805" i="13"/>
  <c r="AS805" i="13"/>
  <c r="AB805" i="13"/>
  <c r="AA805" i="13"/>
  <c r="AT811" i="13"/>
  <c r="AS811" i="13"/>
  <c r="AA811" i="13"/>
  <c r="AP811" i="13"/>
  <c r="AE811" i="13"/>
  <c r="AB811" i="13"/>
  <c r="AB818" i="13"/>
  <c r="AA818" i="13"/>
  <c r="AS818" i="13"/>
  <c r="AD818" i="13"/>
  <c r="AP818" i="13"/>
  <c r="AE818" i="13"/>
  <c r="AT818" i="13"/>
  <c r="AP825" i="13"/>
  <c r="AE825" i="13"/>
  <c r="AT825" i="13"/>
  <c r="AS825" i="13"/>
  <c r="AB825" i="13"/>
  <c r="AA825" i="13"/>
  <c r="AB830" i="13"/>
  <c r="AA830" i="13"/>
  <c r="AT830" i="13"/>
  <c r="AE830" i="13"/>
  <c r="AS830" i="13"/>
  <c r="AD830" i="13"/>
  <c r="AP830" i="13"/>
  <c r="AA837" i="13"/>
  <c r="AP837" i="13"/>
  <c r="AE837" i="13"/>
  <c r="AT837" i="13"/>
  <c r="AS837" i="13"/>
  <c r="AB837" i="13"/>
  <c r="AE843" i="13"/>
  <c r="AT843" i="13"/>
  <c r="AS843" i="13"/>
  <c r="AA843" i="13"/>
  <c r="AP843" i="13"/>
  <c r="AB843" i="13"/>
  <c r="AT850" i="13"/>
  <c r="AD850" i="13"/>
  <c r="AS850" i="13"/>
  <c r="AB850" i="13"/>
  <c r="AA850" i="13"/>
  <c r="AE850" i="13"/>
  <c r="AP850" i="13"/>
  <c r="AS857" i="13"/>
  <c r="AB857" i="13"/>
  <c r="AP857" i="13"/>
  <c r="AE857" i="13"/>
  <c r="AA857" i="13"/>
  <c r="AD857" i="13"/>
  <c r="AT857" i="13"/>
  <c r="AE862" i="13"/>
  <c r="AT862" i="13"/>
  <c r="AS862" i="13"/>
  <c r="AB862" i="13"/>
  <c r="AA862" i="13"/>
  <c r="AP862" i="13"/>
  <c r="AS869" i="13"/>
  <c r="AB869" i="13"/>
  <c r="AA869" i="13"/>
  <c r="AP869" i="13"/>
  <c r="AE869" i="13"/>
  <c r="AD869" i="13"/>
  <c r="AT869" i="13"/>
  <c r="AE875" i="13"/>
  <c r="AT875" i="13"/>
  <c r="AD875" i="13"/>
  <c r="AS875" i="13"/>
  <c r="AB875" i="13"/>
  <c r="AP875" i="13"/>
  <c r="AA875" i="13"/>
  <c r="AE882" i="13"/>
  <c r="AT882" i="13"/>
  <c r="AS882" i="13"/>
  <c r="AB882" i="13"/>
  <c r="AA882" i="13"/>
  <c r="AP882" i="13"/>
  <c r="AE889" i="13"/>
  <c r="AT889" i="13"/>
  <c r="AS889" i="13"/>
  <c r="AB889" i="13"/>
  <c r="AA889" i="13"/>
  <c r="AP889" i="13"/>
  <c r="AE894" i="13"/>
  <c r="AT894" i="13"/>
  <c r="AS894" i="13"/>
  <c r="AB894" i="13"/>
  <c r="AA894" i="13"/>
  <c r="AP894" i="13"/>
  <c r="AB901" i="13"/>
  <c r="AA901" i="13"/>
  <c r="AE901" i="13"/>
  <c r="AP901" i="13"/>
  <c r="AD901" i="13"/>
  <c r="AT901" i="13"/>
  <c r="AS901" i="13"/>
  <c r="AB907" i="13"/>
  <c r="AE907" i="13"/>
  <c r="AS907" i="13"/>
  <c r="AD907" i="13"/>
  <c r="AP907" i="13"/>
  <c r="AA907" i="13"/>
  <c r="AT907" i="13"/>
  <c r="AP914" i="13"/>
  <c r="AT914" i="13"/>
  <c r="AD914" i="13"/>
  <c r="AS914" i="13"/>
  <c r="AE914" i="13"/>
  <c r="AB914" i="13"/>
  <c r="AA914" i="13"/>
  <c r="AE921" i="13"/>
  <c r="AS921" i="13"/>
  <c r="AB921" i="13"/>
  <c r="AA921" i="13"/>
  <c r="AP921" i="13"/>
  <c r="AT921" i="13"/>
  <c r="AP926" i="13"/>
  <c r="AE926" i="13"/>
  <c r="AT926" i="13"/>
  <c r="AD926" i="13"/>
  <c r="AS926" i="13"/>
  <c r="AB926" i="13"/>
  <c r="AA926" i="13"/>
  <c r="AE933" i="13"/>
  <c r="AS933" i="13"/>
  <c r="AB933" i="13"/>
  <c r="AA933" i="13"/>
  <c r="AT933" i="13"/>
  <c r="AP933" i="13"/>
  <c r="AB939" i="13"/>
  <c r="AA939" i="13"/>
  <c r="AP939" i="13"/>
  <c r="AE939" i="13"/>
  <c r="AT939" i="13"/>
  <c r="AS939" i="13"/>
  <c r="AP946" i="13"/>
  <c r="AE946" i="13"/>
  <c r="AT946" i="13"/>
  <c r="AD946" i="13"/>
  <c r="AS946" i="13"/>
  <c r="AB946" i="13"/>
  <c r="AA946" i="13"/>
  <c r="AE953" i="13"/>
  <c r="AT953" i="13"/>
  <c r="AS953" i="13"/>
  <c r="AB953" i="13"/>
  <c r="AA953" i="13"/>
  <c r="AP953" i="13"/>
  <c r="AB958" i="13"/>
  <c r="AS958" i="13"/>
  <c r="AP958" i="13"/>
  <c r="AE958" i="13"/>
  <c r="AD958" i="13"/>
  <c r="AA958" i="13"/>
  <c r="AT958" i="13"/>
  <c r="AP965" i="13"/>
  <c r="AE965" i="13"/>
  <c r="AT965" i="13"/>
  <c r="AS965" i="13"/>
  <c r="AB965" i="13"/>
  <c r="AA965" i="13"/>
  <c r="AE971" i="13"/>
  <c r="AT971" i="13"/>
  <c r="AS971" i="13"/>
  <c r="AB971" i="13"/>
  <c r="AA971" i="13"/>
  <c r="AP971" i="13"/>
  <c r="AT978" i="13"/>
  <c r="AD978" i="13"/>
  <c r="AS978" i="13"/>
  <c r="AB978" i="13"/>
  <c r="AA978" i="13"/>
  <c r="AP978" i="13"/>
  <c r="AE978" i="13"/>
  <c r="AP985" i="13"/>
  <c r="AE985" i="13"/>
  <c r="AB985" i="13"/>
  <c r="AA985" i="13"/>
  <c r="AT985" i="13"/>
  <c r="AS985" i="13"/>
  <c r="AB990" i="13"/>
  <c r="AA990" i="13"/>
  <c r="AT990" i="13"/>
  <c r="AS990" i="13"/>
  <c r="AE990" i="13"/>
  <c r="AP990" i="13"/>
  <c r="AD990" i="13"/>
  <c r="AB997" i="13"/>
  <c r="AP997" i="13"/>
  <c r="AE997" i="13"/>
  <c r="AS997" i="13"/>
  <c r="AA997" i="13"/>
  <c r="AT997" i="13"/>
  <c r="AD997" i="13"/>
  <c r="AT1003" i="13"/>
  <c r="AD1003" i="13"/>
  <c r="AS1003" i="13"/>
  <c r="AA1003" i="13"/>
  <c r="AE1003" i="13"/>
  <c r="AB1003" i="13"/>
  <c r="AP1003" i="13"/>
  <c r="AT1010" i="13"/>
  <c r="AD1010" i="13"/>
  <c r="AB1010" i="13"/>
  <c r="AA1010" i="13"/>
  <c r="AS1010" i="13"/>
  <c r="AE1010" i="13"/>
  <c r="AP1010" i="13"/>
  <c r="AS1017" i="13"/>
  <c r="AB1017" i="13"/>
  <c r="AT1017" i="13"/>
  <c r="AE1017" i="13"/>
  <c r="AP1017" i="13"/>
  <c r="AD1017" i="13"/>
  <c r="AA1017" i="13"/>
  <c r="AA1022" i="13"/>
  <c r="AE1022" i="13"/>
  <c r="AT1022" i="13"/>
  <c r="AD1022" i="13"/>
  <c r="AS1022" i="13"/>
  <c r="AB1022" i="13"/>
  <c r="AP1022" i="13"/>
  <c r="AE1029" i="13"/>
  <c r="AT1029" i="13"/>
  <c r="AS1029" i="13"/>
  <c r="AB1029" i="13"/>
  <c r="AA1029" i="13"/>
  <c r="AP1029" i="13"/>
  <c r="AS1035" i="13"/>
  <c r="AA1035" i="13"/>
  <c r="AP1035" i="13"/>
  <c r="AE1035" i="13"/>
  <c r="AD1035" i="13"/>
  <c r="AT1035" i="13"/>
  <c r="AB1035" i="13"/>
  <c r="AE1042" i="13"/>
  <c r="AT1042" i="13"/>
  <c r="AB1042" i="13"/>
  <c r="AS1042" i="13"/>
  <c r="AA1042" i="13"/>
  <c r="AP1042" i="13"/>
  <c r="AE1049" i="13"/>
  <c r="AS1049" i="13"/>
  <c r="AB1049" i="13"/>
  <c r="AP1049" i="13"/>
  <c r="AT1049" i="13"/>
  <c r="AA1049" i="13"/>
  <c r="AE1054" i="13"/>
  <c r="AT1054" i="13"/>
  <c r="AD1054" i="13"/>
  <c r="AB1054" i="13"/>
  <c r="AS1054" i="13"/>
  <c r="AA1054" i="13"/>
  <c r="AP1054" i="13"/>
  <c r="AE1061" i="13"/>
  <c r="AS1061" i="13"/>
  <c r="AB1061" i="13"/>
  <c r="AP1061" i="13"/>
  <c r="AT1061" i="13"/>
  <c r="AA1061" i="13"/>
  <c r="AT1067" i="13"/>
  <c r="AS1067" i="13"/>
  <c r="AP1067" i="13"/>
  <c r="AA1067" i="13"/>
  <c r="AE1067" i="13"/>
  <c r="AB1067" i="13"/>
  <c r="AB1074" i="13"/>
  <c r="AA1074" i="13"/>
  <c r="AT1074" i="13"/>
  <c r="AP1074" i="13"/>
  <c r="AE1074" i="13"/>
  <c r="AS1074" i="13"/>
  <c r="AS1081" i="13"/>
  <c r="AA1081" i="13"/>
  <c r="AP1081" i="13"/>
  <c r="AB1081" i="13"/>
  <c r="AE1081" i="13"/>
  <c r="AD1081" i="13"/>
  <c r="AT1081" i="13"/>
  <c r="AT1086" i="13"/>
  <c r="AD1086" i="13"/>
  <c r="AB1086" i="13"/>
  <c r="AP1086" i="13"/>
  <c r="AA1086" i="13"/>
  <c r="AS1086" i="13"/>
  <c r="AE1086" i="13"/>
  <c r="AB1093" i="13"/>
  <c r="AP1093" i="13"/>
  <c r="AE1093" i="13"/>
  <c r="AS1093" i="13"/>
  <c r="AD1093" i="13"/>
  <c r="AA1093" i="13"/>
  <c r="AT1093" i="13"/>
  <c r="AA1099" i="13"/>
  <c r="AP1099" i="13"/>
  <c r="AD1099" i="13"/>
  <c r="AB1099" i="13"/>
  <c r="AT1099" i="13"/>
  <c r="AS1099" i="13"/>
  <c r="AE1099" i="13"/>
  <c r="AP1106" i="13"/>
  <c r="AD1106" i="13"/>
  <c r="AB1106" i="13"/>
  <c r="AA1106" i="13"/>
  <c r="AE1106" i="13"/>
  <c r="AS1106" i="13"/>
  <c r="AT1106" i="13"/>
  <c r="AT1113" i="13"/>
  <c r="AS1113" i="13"/>
  <c r="AA1113" i="13"/>
  <c r="AP1113" i="13"/>
  <c r="AB1113" i="13"/>
  <c r="AE1113" i="13"/>
  <c r="AE1118" i="13"/>
  <c r="AS1118" i="13"/>
  <c r="AT1118" i="13"/>
  <c r="AB1118" i="13"/>
  <c r="AA1118" i="13"/>
  <c r="AP1118" i="13"/>
  <c r="AT1125" i="13"/>
  <c r="AD1125" i="13"/>
  <c r="AS1125" i="13"/>
  <c r="AA1125" i="13"/>
  <c r="AP1125" i="13"/>
  <c r="AE1125" i="13"/>
  <c r="AB1125" i="13"/>
  <c r="AP1131" i="13"/>
  <c r="AE1131" i="13"/>
  <c r="AT1131" i="13"/>
  <c r="AD1131" i="13"/>
  <c r="AS1131" i="13"/>
  <c r="AB1131" i="13"/>
  <c r="AA1131" i="13"/>
  <c r="AE1138" i="13"/>
  <c r="AS1138" i="13"/>
  <c r="AP1138" i="13"/>
  <c r="AB1138" i="13"/>
  <c r="AT1138" i="13"/>
  <c r="AA1138" i="13"/>
  <c r="AT1145" i="13"/>
  <c r="AD1145" i="13"/>
  <c r="AS1145" i="13"/>
  <c r="AA1145" i="13"/>
  <c r="AP1145" i="13"/>
  <c r="AE1145" i="13"/>
  <c r="AB1145" i="13"/>
  <c r="AE1150" i="13"/>
  <c r="AT1150" i="13"/>
  <c r="AA1150" i="13"/>
  <c r="AB1150" i="13"/>
  <c r="AS1150" i="13"/>
  <c r="AP1150" i="13"/>
  <c r="AP1157" i="13"/>
  <c r="AA1157" i="13"/>
  <c r="AT1157" i="13"/>
  <c r="AS1157" i="13"/>
  <c r="AE1157" i="13"/>
  <c r="AB1157" i="13"/>
  <c r="AT1163" i="13"/>
  <c r="AS1163" i="13"/>
  <c r="AB1163" i="13"/>
  <c r="AA1163" i="13"/>
  <c r="AE1163" i="13"/>
  <c r="AP1163" i="13"/>
  <c r="AA1170" i="13"/>
  <c r="AS1170" i="13"/>
  <c r="AB1170" i="13"/>
  <c r="AE1170" i="13"/>
  <c r="AD1170" i="13"/>
  <c r="AT1170" i="13"/>
  <c r="AP1170" i="13"/>
  <c r="AS1177" i="13"/>
  <c r="AP1177" i="13"/>
  <c r="AB1177" i="13"/>
  <c r="AT1177" i="13"/>
  <c r="AA1177" i="13"/>
  <c r="AE1177" i="13"/>
  <c r="AP1182" i="13"/>
  <c r="AE1182" i="13"/>
  <c r="AB1182" i="13"/>
  <c r="AT1182" i="13"/>
  <c r="AS1182" i="13"/>
  <c r="AA1182" i="13"/>
  <c r="AP1189" i="13"/>
  <c r="AT1189" i="13"/>
  <c r="AB1189" i="13"/>
  <c r="AA1189" i="13"/>
  <c r="AS1189" i="13"/>
  <c r="AE1189" i="13"/>
  <c r="AT1195" i="13"/>
  <c r="AD1195" i="13"/>
  <c r="AB1195" i="13"/>
  <c r="AA1195" i="13"/>
  <c r="AP1195" i="13"/>
  <c r="AS1195" i="13"/>
  <c r="AE1195" i="13"/>
  <c r="AS2" i="13"/>
  <c r="AB2" i="13"/>
  <c r="AA2" i="13"/>
  <c r="AP278" i="13"/>
  <c r="AD278" i="13"/>
  <c r="AB278" i="13"/>
  <c r="AA278" i="13"/>
  <c r="AT278" i="13"/>
  <c r="AS278" i="13"/>
  <c r="AE278" i="13"/>
  <c r="AE285" i="13"/>
  <c r="AP285" i="13"/>
  <c r="AD285" i="13"/>
  <c r="AB285" i="13"/>
  <c r="AA285" i="13"/>
  <c r="AT285" i="13"/>
  <c r="AS285" i="13"/>
  <c r="AT291" i="13"/>
  <c r="AB291" i="13"/>
  <c r="AA291" i="13"/>
  <c r="AS291" i="13"/>
  <c r="AE291" i="13"/>
  <c r="AP291" i="13"/>
  <c r="AT298" i="13"/>
  <c r="AD298" i="13"/>
  <c r="AB298" i="13"/>
  <c r="AP298" i="13"/>
  <c r="AS298" i="13"/>
  <c r="AA298" i="13"/>
  <c r="AE298" i="13"/>
  <c r="AB305" i="13"/>
  <c r="AA305" i="13"/>
  <c r="AP305" i="13"/>
  <c r="AE305" i="13"/>
  <c r="AT305" i="13"/>
  <c r="AS305" i="13"/>
  <c r="AT310" i="13"/>
  <c r="AD310" i="13"/>
  <c r="AS310" i="13"/>
  <c r="AB310" i="13"/>
  <c r="AA310" i="13"/>
  <c r="AP310" i="13"/>
  <c r="AE310" i="13"/>
  <c r="AB317" i="13"/>
  <c r="AA317" i="13"/>
  <c r="AP317" i="13"/>
  <c r="AE317" i="13"/>
  <c r="AT317" i="13"/>
  <c r="AS317" i="13"/>
  <c r="AE323" i="13"/>
  <c r="AT323" i="13"/>
  <c r="AS323" i="13"/>
  <c r="AB323" i="13"/>
  <c r="AA323" i="13"/>
  <c r="AP323" i="13"/>
  <c r="AT330" i="13"/>
  <c r="AD330" i="13"/>
  <c r="AS330" i="13"/>
  <c r="AB330" i="13"/>
  <c r="AA330" i="13"/>
  <c r="AP330" i="13"/>
  <c r="AE330" i="13"/>
  <c r="AB337" i="13"/>
  <c r="AA337" i="13"/>
  <c r="AP337" i="13"/>
  <c r="AE337" i="13"/>
  <c r="AT337" i="13"/>
  <c r="AS337" i="13"/>
  <c r="AE342" i="13"/>
  <c r="AA342" i="13"/>
  <c r="AP342" i="13"/>
  <c r="AB342" i="13"/>
  <c r="AT342" i="13"/>
  <c r="AS342" i="13"/>
  <c r="AS349" i="13"/>
  <c r="AB349" i="13"/>
  <c r="AA349" i="13"/>
  <c r="AT349" i="13"/>
  <c r="AD349" i="13"/>
  <c r="AP349" i="13"/>
  <c r="AE349" i="13"/>
  <c r="AS355" i="13"/>
  <c r="AP355" i="13"/>
  <c r="AE355" i="13"/>
  <c r="AD355" i="13"/>
  <c r="AB355" i="13"/>
  <c r="AA355" i="13"/>
  <c r="AT355" i="13"/>
  <c r="AE362" i="13"/>
  <c r="AA362" i="13"/>
  <c r="AB362" i="13"/>
  <c r="AT362" i="13"/>
  <c r="AS362" i="13"/>
  <c r="AP362" i="13"/>
  <c r="AS369" i="13"/>
  <c r="AP369" i="13"/>
  <c r="AE369" i="13"/>
  <c r="AB369" i="13"/>
  <c r="AA369" i="13"/>
  <c r="AT369" i="13"/>
  <c r="AE374" i="13"/>
  <c r="AA374" i="13"/>
  <c r="AP374" i="13"/>
  <c r="AD374" i="13"/>
  <c r="AB374" i="13"/>
  <c r="AT374" i="13"/>
  <c r="AS374" i="13"/>
  <c r="AS381" i="13"/>
  <c r="AB381" i="13"/>
  <c r="AA381" i="13"/>
  <c r="AT381" i="13"/>
  <c r="AP381" i="13"/>
  <c r="AE381" i="13"/>
  <c r="AD381" i="13"/>
  <c r="AS387" i="13"/>
  <c r="AP387" i="13"/>
  <c r="AE387" i="13"/>
  <c r="AD387" i="13"/>
  <c r="AB387" i="13"/>
  <c r="AA387" i="13"/>
  <c r="AT387" i="13"/>
  <c r="AE394" i="13"/>
  <c r="AA394" i="13"/>
  <c r="AB394" i="13"/>
  <c r="AT394" i="13"/>
  <c r="AS394" i="13"/>
  <c r="AP394" i="13"/>
  <c r="AD394" i="13"/>
  <c r="AS401" i="13"/>
  <c r="AP401" i="13"/>
  <c r="AE401" i="13"/>
  <c r="AB401" i="13"/>
  <c r="AA401" i="13"/>
  <c r="AT401" i="13"/>
  <c r="AE406" i="13"/>
  <c r="AS406" i="13"/>
  <c r="AA406" i="13"/>
  <c r="AB406" i="13"/>
  <c r="AP406" i="13"/>
  <c r="AD406" i="13"/>
  <c r="AT406" i="13"/>
  <c r="AE413" i="13"/>
  <c r="AT413" i="13"/>
  <c r="AD413" i="13"/>
  <c r="AS413" i="13"/>
  <c r="AA413" i="13"/>
  <c r="AP413" i="13"/>
  <c r="AB413" i="13"/>
  <c r="AA419" i="13"/>
  <c r="AP419" i="13"/>
  <c r="AE419" i="13"/>
  <c r="AS419" i="13"/>
  <c r="AT419" i="13"/>
  <c r="AB419" i="13"/>
  <c r="AE426" i="13"/>
  <c r="AT426" i="13"/>
  <c r="AS426" i="13"/>
  <c r="AA426" i="13"/>
  <c r="AP426" i="13"/>
  <c r="AB426" i="13"/>
  <c r="AE433" i="13"/>
  <c r="AT433" i="13"/>
  <c r="AD433" i="13"/>
  <c r="AS433" i="13"/>
  <c r="AB433" i="13"/>
  <c r="AA433" i="13"/>
  <c r="AP433" i="13"/>
  <c r="AE438" i="13"/>
  <c r="AT438" i="13"/>
  <c r="AD438" i="13"/>
  <c r="AS438" i="13"/>
  <c r="AB438" i="13"/>
  <c r="AA438" i="13"/>
  <c r="AP438" i="13"/>
  <c r="AE445" i="13"/>
  <c r="AT445" i="13"/>
  <c r="AD445" i="13"/>
  <c r="AS445" i="13"/>
  <c r="AB445" i="13"/>
  <c r="AA445" i="13"/>
  <c r="AP445" i="13"/>
  <c r="AA451" i="13"/>
  <c r="AP451" i="13"/>
  <c r="AE451" i="13"/>
  <c r="AT451" i="13"/>
  <c r="AD451" i="13"/>
  <c r="AS451" i="13"/>
  <c r="AB451" i="13"/>
  <c r="AE458" i="13"/>
  <c r="AT458" i="13"/>
  <c r="AS458" i="13"/>
  <c r="AB458" i="13"/>
  <c r="AA458" i="13"/>
  <c r="AP458" i="13"/>
  <c r="AE465" i="13"/>
  <c r="AT465" i="13"/>
  <c r="AD465" i="13"/>
  <c r="AS465" i="13"/>
  <c r="AB465" i="13"/>
  <c r="AA465" i="13"/>
  <c r="AP465" i="13"/>
  <c r="AE470" i="13"/>
  <c r="AT470" i="13"/>
  <c r="AD470" i="13"/>
  <c r="AS470" i="13"/>
  <c r="AB470" i="13"/>
  <c r="AA470" i="13"/>
  <c r="AP470" i="13"/>
  <c r="AE477" i="13"/>
  <c r="AS477" i="13"/>
  <c r="AA477" i="13"/>
  <c r="AP477" i="13"/>
  <c r="AT477" i="13"/>
  <c r="AB477" i="13"/>
  <c r="AA483" i="13"/>
  <c r="AE483" i="13"/>
  <c r="AT483" i="13"/>
  <c r="AD483" i="13"/>
  <c r="AB483" i="13"/>
  <c r="AP483" i="13"/>
  <c r="AS483" i="13"/>
  <c r="AE490" i="13"/>
  <c r="AT490" i="13"/>
  <c r="AS490" i="13"/>
  <c r="AB490" i="13"/>
  <c r="AA490" i="13"/>
  <c r="AP490" i="13"/>
  <c r="AE497" i="13"/>
  <c r="AT497" i="13"/>
  <c r="AS497" i="13"/>
  <c r="AB497" i="13"/>
  <c r="AA497" i="13"/>
  <c r="AP497" i="13"/>
  <c r="AE502" i="13"/>
  <c r="AT502" i="13"/>
  <c r="AS502" i="13"/>
  <c r="AB502" i="13"/>
  <c r="AA502" i="13"/>
  <c r="AP502" i="13"/>
  <c r="AE509" i="13"/>
  <c r="AT509" i="13"/>
  <c r="AS509" i="13"/>
  <c r="AB509" i="13"/>
  <c r="AA509" i="13"/>
  <c r="AP509" i="13"/>
  <c r="AA515" i="13"/>
  <c r="AP515" i="13"/>
  <c r="AE515" i="13"/>
  <c r="AT515" i="13"/>
  <c r="AS515" i="13"/>
  <c r="AB515" i="13"/>
  <c r="AE522" i="13"/>
  <c r="AT522" i="13"/>
  <c r="AS522" i="13"/>
  <c r="AB522" i="13"/>
  <c r="AA522" i="13"/>
  <c r="AP522" i="13"/>
  <c r="AE529" i="13"/>
  <c r="AT529" i="13"/>
  <c r="AS529" i="13"/>
  <c r="AB529" i="13"/>
  <c r="AA529" i="13"/>
  <c r="AP529" i="13"/>
  <c r="AB534" i="13"/>
  <c r="AP534" i="13"/>
  <c r="AE534" i="13"/>
  <c r="AS534" i="13"/>
  <c r="AD534" i="13"/>
  <c r="AA534" i="13"/>
  <c r="AT534" i="13"/>
  <c r="AP541" i="13"/>
  <c r="AE541" i="13"/>
  <c r="AS541" i="13"/>
  <c r="AT541" i="13"/>
  <c r="AB541" i="13"/>
  <c r="AA541" i="13"/>
  <c r="AT547" i="13"/>
  <c r="AD547" i="13"/>
  <c r="AB547" i="13"/>
  <c r="AA547" i="13"/>
  <c r="AP547" i="13"/>
  <c r="AE547" i="13"/>
  <c r="AS547" i="13"/>
  <c r="AB554" i="13"/>
  <c r="AP554" i="13"/>
  <c r="AE554" i="13"/>
  <c r="AT554" i="13"/>
  <c r="AA554" i="13"/>
  <c r="AS554" i="13"/>
  <c r="AP561" i="13"/>
  <c r="AE561" i="13"/>
  <c r="AT561" i="13"/>
  <c r="AS561" i="13"/>
  <c r="AB561" i="13"/>
  <c r="AA561" i="13"/>
  <c r="AB566" i="13"/>
  <c r="AP566" i="13"/>
  <c r="AE566" i="13"/>
  <c r="AD566" i="13"/>
  <c r="AT566" i="13"/>
  <c r="AA566" i="13"/>
  <c r="AS566" i="13"/>
  <c r="AP573" i="13"/>
  <c r="AE573" i="13"/>
  <c r="AT573" i="13"/>
  <c r="AS573" i="13"/>
  <c r="AB573" i="13"/>
  <c r="AA573" i="13"/>
  <c r="AT579" i="13"/>
  <c r="AD579" i="13"/>
  <c r="AB579" i="13"/>
  <c r="AA579" i="13"/>
  <c r="AP579" i="13"/>
  <c r="AE579" i="13"/>
  <c r="AS579" i="13"/>
  <c r="AB586" i="13"/>
  <c r="AP586" i="13"/>
  <c r="AE586" i="13"/>
  <c r="AT586" i="13"/>
  <c r="AA586" i="13"/>
  <c r="AS586" i="13"/>
  <c r="AP593" i="13"/>
  <c r="AE593" i="13"/>
  <c r="AT593" i="13"/>
  <c r="AS593" i="13"/>
  <c r="AB593" i="13"/>
  <c r="AA593" i="13"/>
  <c r="AB598" i="13"/>
  <c r="AP598" i="13"/>
  <c r="AE598" i="13"/>
  <c r="AT598" i="13"/>
  <c r="AA598" i="13"/>
  <c r="AS598" i="13"/>
  <c r="AD598" i="13"/>
  <c r="AP605" i="13"/>
  <c r="AE605" i="13"/>
  <c r="AT605" i="13"/>
  <c r="AS605" i="13"/>
  <c r="AB605" i="13"/>
  <c r="AA605" i="13"/>
  <c r="AT611" i="13"/>
  <c r="AD611" i="13"/>
  <c r="AB611" i="13"/>
  <c r="AA611" i="13"/>
  <c r="AP611" i="13"/>
  <c r="AE611" i="13"/>
  <c r="AS611" i="13"/>
  <c r="AB618" i="13"/>
  <c r="AP618" i="13"/>
  <c r="AE618" i="13"/>
  <c r="AD618" i="13"/>
  <c r="AT618" i="13"/>
  <c r="AA618" i="13"/>
  <c r="AS618" i="13"/>
  <c r="AP625" i="13"/>
  <c r="AE625" i="13"/>
  <c r="AT625" i="13"/>
  <c r="AS625" i="13"/>
  <c r="AB625" i="13"/>
  <c r="AA625" i="13"/>
  <c r="AS630" i="13"/>
  <c r="AP630" i="13"/>
  <c r="AD630" i="13"/>
  <c r="AB630" i="13"/>
  <c r="AA630" i="13"/>
  <c r="AE630" i="13"/>
  <c r="AT630" i="13"/>
  <c r="AA637" i="13"/>
  <c r="AP637" i="13"/>
  <c r="AE637" i="13"/>
  <c r="AB637" i="13"/>
  <c r="AT637" i="13"/>
  <c r="AS637" i="13"/>
  <c r="AE643" i="13"/>
  <c r="AB643" i="13"/>
  <c r="AA643" i="13"/>
  <c r="AT643" i="13"/>
  <c r="AS643" i="13"/>
  <c r="AP643" i="13"/>
  <c r="AS650" i="13"/>
  <c r="AA650" i="13"/>
  <c r="AP650" i="13"/>
  <c r="AE650" i="13"/>
  <c r="AD650" i="13"/>
  <c r="AB650" i="13"/>
  <c r="AT650" i="13"/>
  <c r="AA657" i="13"/>
  <c r="AB657" i="13"/>
  <c r="AT657" i="13"/>
  <c r="AS657" i="13"/>
  <c r="AE657" i="13"/>
  <c r="AD657" i="13"/>
  <c r="AP657" i="13"/>
  <c r="AE662" i="13"/>
  <c r="AS662" i="13"/>
  <c r="AA662" i="13"/>
  <c r="AP662" i="13"/>
  <c r="AT662" i="13"/>
  <c r="AB662" i="13"/>
  <c r="AS669" i="13"/>
  <c r="AB669" i="13"/>
  <c r="AA669" i="13"/>
  <c r="AE669" i="13"/>
  <c r="AT669" i="13"/>
  <c r="AD669" i="13"/>
  <c r="AP669" i="13"/>
  <c r="AE675" i="13"/>
  <c r="AS675" i="13"/>
  <c r="AB675" i="13"/>
  <c r="AA675" i="13"/>
  <c r="AT675" i="13"/>
  <c r="AP675" i="13"/>
  <c r="AE682" i="13"/>
  <c r="AT682" i="13"/>
  <c r="AS682" i="13"/>
  <c r="AA682" i="13"/>
  <c r="AP682" i="13"/>
  <c r="AB682" i="13"/>
  <c r="AS689" i="13"/>
  <c r="AB689" i="13"/>
  <c r="AA689" i="13"/>
  <c r="AE689" i="13"/>
  <c r="AT689" i="13"/>
  <c r="AP689" i="13"/>
  <c r="AE694" i="13"/>
  <c r="AT694" i="13"/>
  <c r="AS694" i="13"/>
  <c r="AA694" i="13"/>
  <c r="AP694" i="13"/>
  <c r="AB694" i="13"/>
  <c r="AS701" i="13"/>
  <c r="AB701" i="13"/>
  <c r="AA701" i="13"/>
  <c r="AE701" i="13"/>
  <c r="AD701" i="13"/>
  <c r="AT701" i="13"/>
  <c r="AP701" i="13"/>
  <c r="AE707" i="13"/>
  <c r="AT707" i="13"/>
  <c r="AS707" i="13"/>
  <c r="AB707" i="13"/>
  <c r="AA707" i="13"/>
  <c r="AP707" i="13"/>
  <c r="AE714" i="13"/>
  <c r="AS714" i="13"/>
  <c r="AB714" i="13"/>
  <c r="AA714" i="13"/>
  <c r="AP714" i="13"/>
  <c r="AT714" i="13"/>
  <c r="AT721" i="13"/>
  <c r="AD721" i="13"/>
  <c r="AS721" i="13"/>
  <c r="AA721" i="13"/>
  <c r="AP721" i="13"/>
  <c r="AE721" i="13"/>
  <c r="AB721" i="13"/>
  <c r="AE726" i="13"/>
  <c r="AS726" i="13"/>
  <c r="AB726" i="13"/>
  <c r="AT726" i="13"/>
  <c r="AA726" i="13"/>
  <c r="AP726" i="13"/>
  <c r="AT733" i="13"/>
  <c r="AS733" i="13"/>
  <c r="AB733" i="13"/>
  <c r="AA733" i="13"/>
  <c r="AP733" i="13"/>
  <c r="AE733" i="13"/>
  <c r="AP739" i="13"/>
  <c r="AE739" i="13"/>
  <c r="AT739" i="13"/>
  <c r="AD739" i="13"/>
  <c r="AB739" i="13"/>
  <c r="AA739" i="13"/>
  <c r="AS739" i="13"/>
  <c r="AE746" i="13"/>
  <c r="AT746" i="13"/>
  <c r="AS746" i="13"/>
  <c r="AB746" i="13"/>
  <c r="AA746" i="13"/>
  <c r="AP746" i="13"/>
  <c r="AT753" i="13"/>
  <c r="AS753" i="13"/>
  <c r="AB753" i="13"/>
  <c r="AA753" i="13"/>
  <c r="AP753" i="13"/>
  <c r="AE753" i="13"/>
  <c r="AT758" i="13"/>
  <c r="AD758" i="13"/>
  <c r="AP758" i="13"/>
  <c r="AB758" i="13"/>
  <c r="AA758" i="13"/>
  <c r="AS758" i="13"/>
  <c r="AE758" i="13"/>
  <c r="AB765" i="13"/>
  <c r="AS765" i="13"/>
  <c r="AP765" i="13"/>
  <c r="AE765" i="13"/>
  <c r="AA765" i="13"/>
  <c r="AT765" i="13"/>
  <c r="AB771" i="13"/>
  <c r="AS771" i="13"/>
  <c r="AP771" i="13"/>
  <c r="AE771" i="13"/>
  <c r="AA771" i="13"/>
  <c r="AT771" i="13"/>
  <c r="AT778" i="13"/>
  <c r="AS778" i="13"/>
  <c r="AA778" i="13"/>
  <c r="AP778" i="13"/>
  <c r="AE778" i="13"/>
  <c r="AB778" i="13"/>
  <c r="AT785" i="13"/>
  <c r="AB785" i="13"/>
  <c r="AA785" i="13"/>
  <c r="AE785" i="13"/>
  <c r="AS785" i="13"/>
  <c r="AP785" i="13"/>
  <c r="AT790" i="13"/>
  <c r="AD790" i="13"/>
  <c r="AS790" i="13"/>
  <c r="AA790" i="13"/>
  <c r="AP790" i="13"/>
  <c r="AE790" i="13"/>
  <c r="AB790" i="13"/>
  <c r="AT797" i="13"/>
  <c r="AD797" i="13"/>
  <c r="AB797" i="13"/>
  <c r="AA797" i="13"/>
  <c r="AE797" i="13"/>
  <c r="AS797" i="13"/>
  <c r="AP797" i="13"/>
  <c r="AT803" i="13"/>
  <c r="AD803" i="13"/>
  <c r="AS803" i="13"/>
  <c r="AP803" i="13"/>
  <c r="AE803" i="13"/>
  <c r="AB803" i="13"/>
  <c r="AA803" i="13"/>
  <c r="AB810" i="13"/>
  <c r="AA810" i="13"/>
  <c r="AS810" i="13"/>
  <c r="AE810" i="13"/>
  <c r="AD810" i="13"/>
  <c r="AP810" i="13"/>
  <c r="AT810" i="13"/>
  <c r="AP817" i="13"/>
  <c r="AE817" i="13"/>
  <c r="AT817" i="13"/>
  <c r="AS817" i="13"/>
  <c r="AB817" i="13"/>
  <c r="AA817" i="13"/>
  <c r="AB822" i="13"/>
  <c r="AA822" i="13"/>
  <c r="AT822" i="13"/>
  <c r="AE822" i="13"/>
  <c r="AS822" i="13"/>
  <c r="AD822" i="13"/>
  <c r="AP822" i="13"/>
  <c r="AP829" i="13"/>
  <c r="AE829" i="13"/>
  <c r="AT829" i="13"/>
  <c r="AA829" i="13"/>
  <c r="AS829" i="13"/>
  <c r="AB829" i="13"/>
  <c r="AE835" i="13"/>
  <c r="AT835" i="13"/>
  <c r="AS835" i="13"/>
  <c r="AA835" i="13"/>
  <c r="AP835" i="13"/>
  <c r="AB835" i="13"/>
  <c r="AT842" i="13"/>
  <c r="AS842" i="13"/>
  <c r="AB842" i="13"/>
  <c r="AA842" i="13"/>
  <c r="AP842" i="13"/>
  <c r="AE842" i="13"/>
  <c r="AB849" i="13"/>
  <c r="AA849" i="13"/>
  <c r="AP849" i="13"/>
  <c r="AE849" i="13"/>
  <c r="AT849" i="13"/>
  <c r="AD849" i="13"/>
  <c r="AS849" i="13"/>
  <c r="AT854" i="13"/>
  <c r="AD854" i="13"/>
  <c r="AS854" i="13"/>
  <c r="AB854" i="13"/>
  <c r="AA854" i="13"/>
  <c r="AE854" i="13"/>
  <c r="AP854" i="13"/>
  <c r="AS861" i="13"/>
  <c r="AB861" i="13"/>
  <c r="AA861" i="13"/>
  <c r="AP861" i="13"/>
  <c r="AE861" i="13"/>
  <c r="AD861" i="13"/>
  <c r="AT861" i="13"/>
  <c r="AE867" i="13"/>
  <c r="AT867" i="13"/>
  <c r="AD867" i="13"/>
  <c r="AS867" i="13"/>
  <c r="AP867" i="13"/>
  <c r="AA867" i="13"/>
  <c r="AB867" i="13"/>
  <c r="AE874" i="13"/>
  <c r="AT874" i="13"/>
  <c r="AS874" i="13"/>
  <c r="AB874" i="13"/>
  <c r="AA874" i="13"/>
  <c r="AP874" i="13"/>
  <c r="AE881" i="13"/>
  <c r="AT881" i="13"/>
  <c r="AS881" i="13"/>
  <c r="AB881" i="13"/>
  <c r="AA881" i="13"/>
  <c r="AP881" i="13"/>
  <c r="AE886" i="13"/>
  <c r="AT886" i="13"/>
  <c r="AS886" i="13"/>
  <c r="AB886" i="13"/>
  <c r="AA886" i="13"/>
  <c r="AP886" i="13"/>
  <c r="AE893" i="13"/>
  <c r="AT893" i="13"/>
  <c r="AD893" i="13"/>
  <c r="AS893" i="13"/>
  <c r="AB893" i="13"/>
  <c r="AA893" i="13"/>
  <c r="AP893" i="13"/>
  <c r="AE899" i="13"/>
  <c r="AP899" i="13"/>
  <c r="AD899" i="13"/>
  <c r="AB899" i="13"/>
  <c r="AA899" i="13"/>
  <c r="AT899" i="13"/>
  <c r="AS899" i="13"/>
  <c r="AP906" i="13"/>
  <c r="AT906" i="13"/>
  <c r="AD906" i="13"/>
  <c r="AS906" i="13"/>
  <c r="AE906" i="13"/>
  <c r="AB906" i="13"/>
  <c r="AA906" i="13"/>
  <c r="AB913" i="13"/>
  <c r="AA913" i="13"/>
  <c r="AT913" i="13"/>
  <c r="AS913" i="13"/>
  <c r="AE913" i="13"/>
  <c r="AP913" i="13"/>
  <c r="AD913" i="13"/>
  <c r="AP918" i="13"/>
  <c r="AT918" i="13"/>
  <c r="AD918" i="13"/>
  <c r="AS918" i="13"/>
  <c r="AE918" i="13"/>
  <c r="AB918" i="13"/>
  <c r="AA918" i="13"/>
  <c r="AE925" i="13"/>
  <c r="AS925" i="13"/>
  <c r="AB925" i="13"/>
  <c r="AA925" i="13"/>
  <c r="AT925" i="13"/>
  <c r="AP925" i="13"/>
  <c r="AB931" i="13"/>
  <c r="AA931" i="13"/>
  <c r="AE931" i="13"/>
  <c r="AT931" i="13"/>
  <c r="AD931" i="13"/>
  <c r="AS931" i="13"/>
  <c r="AP931" i="13"/>
  <c r="AP938" i="13"/>
  <c r="AE938" i="13"/>
  <c r="AT938" i="13"/>
  <c r="AS938" i="13"/>
  <c r="AB938" i="13"/>
  <c r="AA938" i="13"/>
  <c r="AE945" i="13"/>
  <c r="AT945" i="13"/>
  <c r="AS945" i="13"/>
  <c r="AB945" i="13"/>
  <c r="AA945" i="13"/>
  <c r="AP945" i="13"/>
  <c r="AP950" i="13"/>
  <c r="AE950" i="13"/>
  <c r="AT950" i="13"/>
  <c r="AD950" i="13"/>
  <c r="AS950" i="13"/>
  <c r="AB950" i="13"/>
  <c r="AA950" i="13"/>
  <c r="AP957" i="13"/>
  <c r="AE957" i="13"/>
  <c r="AB957" i="13"/>
  <c r="AA957" i="13"/>
  <c r="AT957" i="13"/>
  <c r="AS957" i="13"/>
  <c r="AT963" i="13"/>
  <c r="AA963" i="13"/>
  <c r="AS963" i="13"/>
  <c r="AP963" i="13"/>
  <c r="AE963" i="13"/>
  <c r="AB963" i="13"/>
  <c r="AT970" i="13"/>
  <c r="AD970" i="13"/>
  <c r="AS970" i="13"/>
  <c r="AB970" i="13"/>
  <c r="AA970" i="13"/>
  <c r="AP970" i="13"/>
  <c r="AE970" i="13"/>
  <c r="AB977" i="13"/>
  <c r="AA977" i="13"/>
  <c r="AP977" i="13"/>
  <c r="AE977" i="13"/>
  <c r="AT977" i="13"/>
  <c r="AS977" i="13"/>
  <c r="AB982" i="13"/>
  <c r="AA982" i="13"/>
  <c r="AT982" i="13"/>
  <c r="AS982" i="13"/>
  <c r="AP982" i="13"/>
  <c r="AE982" i="13"/>
  <c r="AD982" i="13"/>
  <c r="AP989" i="13"/>
  <c r="AE989" i="13"/>
  <c r="AB989" i="13"/>
  <c r="AA989" i="13"/>
  <c r="AT989" i="13"/>
  <c r="AS989" i="13"/>
  <c r="AD989" i="13"/>
  <c r="AT995" i="13"/>
  <c r="AD995" i="13"/>
  <c r="AS995" i="13"/>
  <c r="AA995" i="13"/>
  <c r="AE995" i="13"/>
  <c r="AB995" i="13"/>
  <c r="AP995" i="13"/>
  <c r="AT1002" i="13"/>
  <c r="AD1002" i="13"/>
  <c r="AB1002" i="13"/>
  <c r="AA1002" i="13"/>
  <c r="AS1002" i="13"/>
  <c r="AE1002" i="13"/>
  <c r="AP1002" i="13"/>
  <c r="AB1009" i="13"/>
  <c r="AP1009" i="13"/>
  <c r="AE1009" i="13"/>
  <c r="AT1009" i="13"/>
  <c r="AD1009" i="13"/>
  <c r="AS1009" i="13"/>
  <c r="AA1009" i="13"/>
  <c r="AT1014" i="13"/>
  <c r="AS1014" i="13"/>
  <c r="AB1014" i="13"/>
  <c r="AA1014" i="13"/>
  <c r="AP1014" i="13"/>
  <c r="AE1014" i="13"/>
  <c r="AT1021" i="13"/>
  <c r="AS1021" i="13"/>
  <c r="AB1021" i="13"/>
  <c r="AE1021" i="13"/>
  <c r="AP1021" i="13"/>
  <c r="AD1021" i="13"/>
  <c r="AA1021" i="13"/>
  <c r="AS1027" i="13"/>
  <c r="AA1027" i="13"/>
  <c r="AP1027" i="13"/>
  <c r="AD1027" i="13"/>
  <c r="AT1027" i="13"/>
  <c r="AB1027" i="13"/>
  <c r="AE1027" i="13"/>
  <c r="AA1034" i="13"/>
  <c r="AE1034" i="13"/>
  <c r="AT1034" i="13"/>
  <c r="AP1034" i="13"/>
  <c r="AS1034" i="13"/>
  <c r="AB1034" i="13"/>
  <c r="AS1041" i="13"/>
  <c r="AP1041" i="13"/>
  <c r="AT1041" i="13"/>
  <c r="AE1041" i="13"/>
  <c r="AD1041" i="13"/>
  <c r="AB1041" i="13"/>
  <c r="AA1041" i="13"/>
  <c r="AE1046" i="13"/>
  <c r="AT1046" i="13"/>
  <c r="AB1046" i="13"/>
  <c r="AS1046" i="13"/>
  <c r="AA1046" i="13"/>
  <c r="AP1046" i="13"/>
  <c r="AE1053" i="13"/>
  <c r="AS1053" i="13"/>
  <c r="AB1053" i="13"/>
  <c r="AP1053" i="13"/>
  <c r="AT1053" i="13"/>
  <c r="AA1053" i="13"/>
  <c r="AA1059" i="13"/>
  <c r="AT1059" i="13"/>
  <c r="AD1059" i="13"/>
  <c r="AS1059" i="13"/>
  <c r="AE1059" i="13"/>
  <c r="AB1059" i="13"/>
  <c r="AP1059" i="13"/>
  <c r="AB1066" i="13"/>
  <c r="AA1066" i="13"/>
  <c r="AP1066" i="13"/>
  <c r="AT1066" i="13"/>
  <c r="AS1066" i="13"/>
  <c r="AE1066" i="13"/>
  <c r="AP1073" i="13"/>
  <c r="AE1073" i="13"/>
  <c r="AD1073" i="13"/>
  <c r="AB1073" i="13"/>
  <c r="AT1073" i="13"/>
  <c r="AA1073" i="13"/>
  <c r="AS1073" i="13"/>
  <c r="AE1078" i="13"/>
  <c r="AS1078" i="13"/>
  <c r="AB1078" i="13"/>
  <c r="AA1078" i="13"/>
  <c r="AT1078" i="13"/>
  <c r="AP1078" i="13"/>
  <c r="AP1085" i="13"/>
  <c r="AE1085" i="13"/>
  <c r="AT1085" i="13"/>
  <c r="AB1085" i="13"/>
  <c r="AS1085" i="13"/>
  <c r="AA1085" i="13"/>
  <c r="AD1085" i="13"/>
  <c r="AT1091" i="13"/>
  <c r="AS1091" i="13"/>
  <c r="AB1091" i="13"/>
  <c r="AA1091" i="13"/>
  <c r="AE1091" i="13"/>
  <c r="AP1091" i="13"/>
  <c r="AB1098" i="13"/>
  <c r="AT1098" i="13"/>
  <c r="AS1098" i="13"/>
  <c r="AE1098" i="13"/>
  <c r="AA1098" i="13"/>
  <c r="AP1098" i="13"/>
  <c r="AE1105" i="13"/>
  <c r="AT1105" i="13"/>
  <c r="AB1105" i="13"/>
  <c r="AS1105" i="13"/>
  <c r="AA1105" i="13"/>
  <c r="AP1105" i="13"/>
  <c r="AP1110" i="13"/>
  <c r="AD1110" i="13"/>
  <c r="AB1110" i="13"/>
  <c r="AA1110" i="13"/>
  <c r="AT1110" i="13"/>
  <c r="AS1110" i="13"/>
  <c r="AE1110" i="13"/>
  <c r="AT1117" i="13"/>
  <c r="AS1117" i="13"/>
  <c r="AA1117" i="13"/>
  <c r="AE1117" i="13"/>
  <c r="AB1117" i="13"/>
  <c r="AP1117" i="13"/>
  <c r="AP1123" i="13"/>
  <c r="AE1123" i="13"/>
  <c r="AS1123" i="13"/>
  <c r="AD1123" i="13"/>
  <c r="AT1123" i="13"/>
  <c r="AB1123" i="13"/>
  <c r="AA1123" i="13"/>
  <c r="AE1130" i="13"/>
  <c r="AS1130" i="13"/>
  <c r="AB1130" i="13"/>
  <c r="AP1130" i="13"/>
  <c r="AA1130" i="13"/>
  <c r="AT1130" i="13"/>
  <c r="AS1137" i="13"/>
  <c r="AA1137" i="13"/>
  <c r="AT1137" i="13"/>
  <c r="AP1137" i="13"/>
  <c r="AE1137" i="13"/>
  <c r="AB1137" i="13"/>
  <c r="AE1142" i="13"/>
  <c r="AS1142" i="13"/>
  <c r="AP1142" i="13"/>
  <c r="AB1142" i="13"/>
  <c r="AA1142" i="13"/>
  <c r="AT1142" i="13"/>
  <c r="AT1149" i="13"/>
  <c r="AS1149" i="13"/>
  <c r="AB1149" i="13"/>
  <c r="AP1149" i="13"/>
  <c r="AE1149" i="13"/>
  <c r="AA1149" i="13"/>
  <c r="AT1155" i="13"/>
  <c r="AS1155" i="13"/>
  <c r="AA1155" i="13"/>
  <c r="AP1155" i="13"/>
  <c r="AE1155" i="13"/>
  <c r="AB1155" i="13"/>
  <c r="AB1162" i="13"/>
  <c r="AA1162" i="13"/>
  <c r="AP1162" i="13"/>
  <c r="AT1162" i="13"/>
  <c r="AS1162" i="13"/>
  <c r="AE1162" i="13"/>
  <c r="AD1162" i="13"/>
  <c r="AE1169" i="13"/>
  <c r="AT1169" i="13"/>
  <c r="AD1169" i="13"/>
  <c r="AS1169" i="13"/>
  <c r="AA1169" i="13"/>
  <c r="AP1169" i="13"/>
  <c r="AB1169" i="13"/>
  <c r="AA1174" i="13"/>
  <c r="AS1174" i="13"/>
  <c r="AB1174" i="13"/>
  <c r="AP1174" i="13"/>
  <c r="AT1174" i="13"/>
  <c r="AE1174" i="13"/>
  <c r="AD1174" i="13"/>
  <c r="AE1181" i="13"/>
  <c r="AS1181" i="13"/>
  <c r="AP1181" i="13"/>
  <c r="AB1181" i="13"/>
  <c r="AT1181" i="13"/>
  <c r="AA1181" i="13"/>
  <c r="AT1187" i="13"/>
  <c r="AD1187" i="13"/>
  <c r="AB1187" i="13"/>
  <c r="AP1187" i="13"/>
  <c r="AA1187" i="13"/>
  <c r="AE1187" i="13"/>
  <c r="AS1187" i="13"/>
  <c r="AB1194" i="13"/>
  <c r="AP1194" i="13"/>
  <c r="AE1194" i="13"/>
  <c r="AT1194" i="13"/>
  <c r="AA1194" i="13"/>
  <c r="AS1194" i="13"/>
  <c r="AP1201" i="13"/>
  <c r="AE1201" i="13"/>
  <c r="AT1201" i="13"/>
  <c r="AS1201" i="13"/>
  <c r="AB1201" i="13"/>
  <c r="AA1201" i="13"/>
  <c r="F20" i="7"/>
  <c r="D34" i="7"/>
  <c r="B45" i="7"/>
  <c r="D43" i="7"/>
  <c r="O43" i="7" s="1"/>
  <c r="B43" i="7"/>
  <c r="AB4" i="13"/>
  <c r="AA4" i="13"/>
  <c r="AP4" i="13"/>
  <c r="AT4" i="13"/>
  <c r="AS4" i="13"/>
  <c r="AB12" i="13"/>
  <c r="AA12" i="13"/>
  <c r="AP12" i="13"/>
  <c r="AE12" i="13"/>
  <c r="AT12" i="13"/>
  <c r="AS12" i="13"/>
  <c r="AB20" i="13"/>
  <c r="AA20" i="13"/>
  <c r="AP20" i="13"/>
  <c r="AE20" i="13"/>
  <c r="AT20" i="13"/>
  <c r="AD20" i="13"/>
  <c r="AS20" i="13"/>
  <c r="AB28" i="13"/>
  <c r="AA28" i="13"/>
  <c r="AP28" i="13"/>
  <c r="AE28" i="13"/>
  <c r="AT28" i="13"/>
  <c r="AD28" i="13"/>
  <c r="AS28" i="13"/>
  <c r="AB36" i="13"/>
  <c r="AA36" i="13"/>
  <c r="AP36" i="13"/>
  <c r="AE36" i="13"/>
  <c r="AT36" i="13"/>
  <c r="AS36" i="13"/>
  <c r="AB44" i="13"/>
  <c r="AA44" i="13"/>
  <c r="AP44" i="13"/>
  <c r="AE44" i="13"/>
  <c r="AT44" i="13"/>
  <c r="AD44" i="13"/>
  <c r="AS44" i="13"/>
  <c r="AB52" i="13"/>
  <c r="AA52" i="13"/>
  <c r="AP52" i="13"/>
  <c r="AE52" i="13"/>
  <c r="AT52" i="13"/>
  <c r="AD52" i="13"/>
  <c r="AS52" i="13"/>
  <c r="AA60" i="13"/>
  <c r="AP60" i="13"/>
  <c r="AE60" i="13"/>
  <c r="AD60" i="13"/>
  <c r="AB60" i="13"/>
  <c r="AT60" i="13"/>
  <c r="AS60" i="13"/>
  <c r="AA68" i="13"/>
  <c r="AT68" i="13"/>
  <c r="AD68" i="13"/>
  <c r="AE68" i="13"/>
  <c r="AP68" i="13"/>
  <c r="AB68" i="13"/>
  <c r="AS68" i="13"/>
  <c r="AA76" i="13"/>
  <c r="AT76" i="13"/>
  <c r="AD76" i="13"/>
  <c r="AB76" i="13"/>
  <c r="AP76" i="13"/>
  <c r="AS76" i="13"/>
  <c r="AE76" i="13"/>
  <c r="AA84" i="13"/>
  <c r="AT84" i="13"/>
  <c r="AD84" i="13"/>
  <c r="AB84" i="13"/>
  <c r="AP84" i="13"/>
  <c r="AS84" i="13"/>
  <c r="AE84" i="13"/>
  <c r="AA92" i="13"/>
  <c r="AT92" i="13"/>
  <c r="AB92" i="13"/>
  <c r="AP92" i="13"/>
  <c r="AS92" i="13"/>
  <c r="AE92" i="13"/>
  <c r="AA100" i="13"/>
  <c r="AT100" i="13"/>
  <c r="AD100" i="13"/>
  <c r="AB100" i="13"/>
  <c r="AP100" i="13"/>
  <c r="AS100" i="13"/>
  <c r="AE100" i="13"/>
  <c r="AA108" i="13"/>
  <c r="AE108" i="13"/>
  <c r="AT108" i="13"/>
  <c r="AS108" i="13"/>
  <c r="AB108" i="13"/>
  <c r="AP108" i="13"/>
  <c r="AA116" i="13"/>
  <c r="AE116" i="13"/>
  <c r="AT116" i="13"/>
  <c r="AD116" i="13"/>
  <c r="AS116" i="13"/>
  <c r="AP116" i="13"/>
  <c r="AB116" i="13"/>
  <c r="AA124" i="13"/>
  <c r="AE124" i="13"/>
  <c r="AT124" i="13"/>
  <c r="AS124" i="13"/>
  <c r="AB124" i="13"/>
  <c r="AP124" i="13"/>
  <c r="AA132" i="13"/>
  <c r="AE132" i="13"/>
  <c r="AT132" i="13"/>
  <c r="AS132" i="13"/>
  <c r="AP132" i="13"/>
  <c r="AB132" i="13"/>
  <c r="AA140" i="13"/>
  <c r="AP140" i="13"/>
  <c r="AE140" i="13"/>
  <c r="AT140" i="13"/>
  <c r="AD140" i="13"/>
  <c r="AS140" i="13"/>
  <c r="AB140" i="13"/>
  <c r="AA148" i="13"/>
  <c r="AP148" i="13"/>
  <c r="AE148" i="13"/>
  <c r="AT148" i="13"/>
  <c r="AD148" i="13"/>
  <c r="AS148" i="13"/>
  <c r="AB148" i="13"/>
  <c r="AA156" i="13"/>
  <c r="AP156" i="13"/>
  <c r="AE156" i="13"/>
  <c r="AT156" i="13"/>
  <c r="AS156" i="13"/>
  <c r="AB156" i="13"/>
  <c r="AA164" i="13"/>
  <c r="AP164" i="13"/>
  <c r="AE164" i="13"/>
  <c r="AT164" i="13"/>
  <c r="AD164" i="13"/>
  <c r="AS164" i="13"/>
  <c r="AB164" i="13"/>
  <c r="AP172" i="13"/>
  <c r="AT172" i="13"/>
  <c r="AB172" i="13"/>
  <c r="AA172" i="13"/>
  <c r="AS172" i="13"/>
  <c r="AE172" i="13"/>
  <c r="AB180" i="13"/>
  <c r="AP180" i="13"/>
  <c r="AT180" i="13"/>
  <c r="AE180" i="13"/>
  <c r="AS180" i="13"/>
  <c r="AA180" i="13"/>
  <c r="AB188" i="13"/>
  <c r="AP188" i="13"/>
  <c r="AT188" i="13"/>
  <c r="AA188" i="13"/>
  <c r="AE188" i="13"/>
  <c r="AS188" i="13"/>
  <c r="AB196" i="13"/>
  <c r="AP196" i="13"/>
  <c r="AT196" i="13"/>
  <c r="AD196" i="13"/>
  <c r="AE196" i="13"/>
  <c r="AS196" i="13"/>
  <c r="AA196" i="13"/>
  <c r="AB204" i="13"/>
  <c r="AP204" i="13"/>
  <c r="AE204" i="13"/>
  <c r="AT204" i="13"/>
  <c r="AD204" i="13"/>
  <c r="AA204" i="13"/>
  <c r="AS204" i="13"/>
  <c r="AB212" i="13"/>
  <c r="AP212" i="13"/>
  <c r="AE212" i="13"/>
  <c r="AT212" i="13"/>
  <c r="AD212" i="13"/>
  <c r="AA212" i="13"/>
  <c r="AS212" i="13"/>
  <c r="AB220" i="13"/>
  <c r="AA220" i="13"/>
  <c r="AP220" i="13"/>
  <c r="AE220" i="13"/>
  <c r="AT220" i="13"/>
  <c r="AD220" i="13"/>
  <c r="AS220" i="13"/>
  <c r="AB228" i="13"/>
  <c r="AA228" i="13"/>
  <c r="AP228" i="13"/>
  <c r="AE228" i="13"/>
  <c r="AT228" i="13"/>
  <c r="AS228" i="13"/>
  <c r="AB236" i="13"/>
  <c r="AA236" i="13"/>
  <c r="AP236" i="13"/>
  <c r="AE236" i="13"/>
  <c r="AT236" i="13"/>
  <c r="AD236" i="13"/>
  <c r="AS236" i="13"/>
  <c r="AB244" i="13"/>
  <c r="AA244" i="13"/>
  <c r="AP244" i="13"/>
  <c r="AE244" i="13"/>
  <c r="AT244" i="13"/>
  <c r="AS244" i="13"/>
  <c r="AB252" i="13"/>
  <c r="AA252" i="13"/>
  <c r="AP252" i="13"/>
  <c r="AE252" i="13"/>
  <c r="AT252" i="13"/>
  <c r="AS252" i="13"/>
  <c r="AB260" i="13"/>
  <c r="AA260" i="13"/>
  <c r="AP260" i="13"/>
  <c r="AE260" i="13"/>
  <c r="AT260" i="13"/>
  <c r="AS260" i="13"/>
  <c r="AT268" i="13"/>
  <c r="AS268" i="13"/>
  <c r="AP268" i="13"/>
  <c r="AE268" i="13"/>
  <c r="AB268" i="13"/>
  <c r="AA268" i="13"/>
  <c r="AT276" i="13"/>
  <c r="AD276" i="13"/>
  <c r="AS276" i="13"/>
  <c r="AP276" i="13"/>
  <c r="AE276" i="13"/>
  <c r="AB276" i="13"/>
  <c r="AA276" i="13"/>
  <c r="AT284" i="13"/>
  <c r="AS284" i="13"/>
  <c r="AP284" i="13"/>
  <c r="AE284" i="13"/>
  <c r="AB284" i="13"/>
  <c r="AA284" i="13"/>
  <c r="AP292" i="13"/>
  <c r="AT292" i="13"/>
  <c r="AD292" i="13"/>
  <c r="AS292" i="13"/>
  <c r="AE292" i="13"/>
  <c r="AB292" i="13"/>
  <c r="AA292" i="13"/>
  <c r="AP300" i="13"/>
  <c r="AT300" i="13"/>
  <c r="AD300" i="13"/>
  <c r="AS300" i="13"/>
  <c r="AE300" i="13"/>
  <c r="AB300" i="13"/>
  <c r="AA300" i="13"/>
  <c r="AP308" i="13"/>
  <c r="AE308" i="13"/>
  <c r="AT308" i="13"/>
  <c r="AS308" i="13"/>
  <c r="AB308" i="13"/>
  <c r="AA308" i="13"/>
  <c r="AP316" i="13"/>
  <c r="AE316" i="13"/>
  <c r="AT316" i="13"/>
  <c r="AS316" i="13"/>
  <c r="AB316" i="13"/>
  <c r="AA316" i="13"/>
  <c r="AP324" i="13"/>
  <c r="AE324" i="13"/>
  <c r="AT324" i="13"/>
  <c r="AS324" i="13"/>
  <c r="AB324" i="13"/>
  <c r="AA324" i="13"/>
  <c r="AP332" i="13"/>
  <c r="AE332" i="13"/>
  <c r="AT332" i="13"/>
  <c r="AS332" i="13"/>
  <c r="AB332" i="13"/>
  <c r="AA332" i="13"/>
  <c r="AP340" i="13"/>
  <c r="AE340" i="13"/>
  <c r="AT340" i="13"/>
  <c r="AD340" i="13"/>
  <c r="AS340" i="13"/>
  <c r="AB340" i="13"/>
  <c r="AA340" i="13"/>
  <c r="AA348" i="13"/>
  <c r="AE348" i="13"/>
  <c r="AS348" i="13"/>
  <c r="AP348" i="13"/>
  <c r="AB348" i="13"/>
  <c r="AT348" i="13"/>
  <c r="AA356" i="13"/>
  <c r="AE356" i="13"/>
  <c r="AS356" i="13"/>
  <c r="AP356" i="13"/>
  <c r="AB356" i="13"/>
  <c r="AT356" i="13"/>
  <c r="AA364" i="13"/>
  <c r="AE364" i="13"/>
  <c r="AS364" i="13"/>
  <c r="AP364" i="13"/>
  <c r="AT364" i="13"/>
  <c r="AB364" i="13"/>
  <c r="AA372" i="13"/>
  <c r="AE372" i="13"/>
  <c r="AS372" i="13"/>
  <c r="AP372" i="13"/>
  <c r="AB372" i="13"/>
  <c r="AT372" i="13"/>
  <c r="AA380" i="13"/>
  <c r="AE380" i="13"/>
  <c r="AS380" i="13"/>
  <c r="AP380" i="13"/>
  <c r="AB380" i="13"/>
  <c r="AT380" i="13"/>
  <c r="AA388" i="13"/>
  <c r="AE388" i="13"/>
  <c r="AS388" i="13"/>
  <c r="AP388" i="13"/>
  <c r="AB388" i="13"/>
  <c r="AT388" i="13"/>
  <c r="AA396" i="13"/>
  <c r="AE396" i="13"/>
  <c r="AS396" i="13"/>
  <c r="AP396" i="13"/>
  <c r="AB396" i="13"/>
  <c r="AT396" i="13"/>
  <c r="AA404" i="13"/>
  <c r="AE404" i="13"/>
  <c r="AS404" i="13"/>
  <c r="AP404" i="13"/>
  <c r="AB404" i="13"/>
  <c r="AT404" i="13"/>
  <c r="AS412" i="13"/>
  <c r="AB412" i="13"/>
  <c r="AA412" i="13"/>
  <c r="AE412" i="13"/>
  <c r="AT412" i="13"/>
  <c r="AD412" i="13"/>
  <c r="AP412" i="13"/>
  <c r="AS420" i="13"/>
  <c r="AB420" i="13"/>
  <c r="AA420" i="13"/>
  <c r="AE420" i="13"/>
  <c r="AT420" i="13"/>
  <c r="AD420" i="13"/>
  <c r="AP420" i="13"/>
  <c r="AS428" i="13"/>
  <c r="AB428" i="13"/>
  <c r="AA428" i="13"/>
  <c r="AP428" i="13"/>
  <c r="AE428" i="13"/>
  <c r="AT428" i="13"/>
  <c r="AD428" i="13"/>
  <c r="AS436" i="13"/>
  <c r="AB436" i="13"/>
  <c r="AA436" i="13"/>
  <c r="AP436" i="13"/>
  <c r="AE436" i="13"/>
  <c r="AD436" i="13"/>
  <c r="AT436" i="13"/>
  <c r="AS444" i="13"/>
  <c r="AB444" i="13"/>
  <c r="AA444" i="13"/>
  <c r="AP444" i="13"/>
  <c r="AE444" i="13"/>
  <c r="AT444" i="13"/>
  <c r="AD444" i="13"/>
  <c r="AS452" i="13"/>
  <c r="AB452" i="13"/>
  <c r="AA452" i="13"/>
  <c r="AP452" i="13"/>
  <c r="AE452" i="13"/>
  <c r="AD452" i="13"/>
  <c r="AT452" i="13"/>
  <c r="AS460" i="13"/>
  <c r="AB460" i="13"/>
  <c r="AA460" i="13"/>
  <c r="AP460" i="13"/>
  <c r="AE460" i="13"/>
  <c r="AD460" i="13"/>
  <c r="AT460" i="13"/>
  <c r="AS468" i="13"/>
  <c r="AB468" i="13"/>
  <c r="AA468" i="13"/>
  <c r="AP468" i="13"/>
  <c r="AE468" i="13"/>
  <c r="AT468" i="13"/>
  <c r="AD468" i="13"/>
  <c r="AS476" i="13"/>
  <c r="AA476" i="13"/>
  <c r="AD476" i="13"/>
  <c r="AB476" i="13"/>
  <c r="AP476" i="13"/>
  <c r="AE476" i="13"/>
  <c r="AT476" i="13"/>
  <c r="AS484" i="13"/>
  <c r="AA484" i="13"/>
  <c r="AT484" i="13"/>
  <c r="AE484" i="13"/>
  <c r="AD484" i="13"/>
  <c r="AB484" i="13"/>
  <c r="AP484" i="13"/>
  <c r="AS492" i="13"/>
  <c r="AB492" i="13"/>
  <c r="AA492" i="13"/>
  <c r="AP492" i="13"/>
  <c r="AE492" i="13"/>
  <c r="AD492" i="13"/>
  <c r="AT492" i="13"/>
  <c r="AS500" i="13"/>
  <c r="AB500" i="13"/>
  <c r="AA500" i="13"/>
  <c r="AP500" i="13"/>
  <c r="AE500" i="13"/>
  <c r="AT500" i="13"/>
  <c r="AD500" i="13"/>
  <c r="AS508" i="13"/>
  <c r="AB508" i="13"/>
  <c r="AA508" i="13"/>
  <c r="AP508" i="13"/>
  <c r="AE508" i="13"/>
  <c r="AD508" i="13"/>
  <c r="AT508" i="13"/>
  <c r="AS516" i="13"/>
  <c r="AB516" i="13"/>
  <c r="AA516" i="13"/>
  <c r="AP516" i="13"/>
  <c r="AE516" i="13"/>
  <c r="AT516" i="13"/>
  <c r="AD516" i="13"/>
  <c r="AS524" i="13"/>
  <c r="AB524" i="13"/>
  <c r="AA524" i="13"/>
  <c r="AP524" i="13"/>
  <c r="AE524" i="13"/>
  <c r="AD524" i="13"/>
  <c r="AT524" i="13"/>
  <c r="AT532" i="13"/>
  <c r="AD532" i="13"/>
  <c r="AA532" i="13"/>
  <c r="AE532" i="13"/>
  <c r="AP532" i="13"/>
  <c r="AB532" i="13"/>
  <c r="AS532" i="13"/>
  <c r="AT540" i="13"/>
  <c r="AD540" i="13"/>
  <c r="AS540" i="13"/>
  <c r="AA540" i="13"/>
  <c r="AE540" i="13"/>
  <c r="AB540" i="13"/>
  <c r="AP540" i="13"/>
  <c r="AT548" i="13"/>
  <c r="AS548" i="13"/>
  <c r="AB548" i="13"/>
  <c r="AA548" i="13"/>
  <c r="AE548" i="13"/>
  <c r="AP548" i="13"/>
  <c r="AT556" i="13"/>
  <c r="AS556" i="13"/>
  <c r="AB556" i="13"/>
  <c r="AA556" i="13"/>
  <c r="AE556" i="13"/>
  <c r="AP556" i="13"/>
  <c r="AT564" i="13"/>
  <c r="AS564" i="13"/>
  <c r="AB564" i="13"/>
  <c r="AA564" i="13"/>
  <c r="AP564" i="13"/>
  <c r="AE564" i="13"/>
  <c r="AT572" i="13"/>
  <c r="AS572" i="13"/>
  <c r="AB572" i="13"/>
  <c r="AA572" i="13"/>
  <c r="AE572" i="13"/>
  <c r="AP572" i="13"/>
  <c r="AT580" i="13"/>
  <c r="AS580" i="13"/>
  <c r="AB580" i="13"/>
  <c r="AA580" i="13"/>
  <c r="AE580" i="13"/>
  <c r="AP580" i="13"/>
  <c r="AT588" i="13"/>
  <c r="AS588" i="13"/>
  <c r="AB588" i="13"/>
  <c r="AA588" i="13"/>
  <c r="AP588" i="13"/>
  <c r="AE588" i="13"/>
  <c r="AT596" i="13"/>
  <c r="AS596" i="13"/>
  <c r="AB596" i="13"/>
  <c r="AA596" i="13"/>
  <c r="AP596" i="13"/>
  <c r="AE596" i="13"/>
  <c r="AT604" i="13"/>
  <c r="AS604" i="13"/>
  <c r="AB604" i="13"/>
  <c r="AA604" i="13"/>
  <c r="AP604" i="13"/>
  <c r="AE604" i="13"/>
  <c r="AT612" i="13"/>
  <c r="AS612" i="13"/>
  <c r="AB612" i="13"/>
  <c r="AA612" i="13"/>
  <c r="AP612" i="13"/>
  <c r="AE612" i="13"/>
  <c r="AT620" i="13"/>
  <c r="AS620" i="13"/>
  <c r="AB620" i="13"/>
  <c r="AA620" i="13"/>
  <c r="AP620" i="13"/>
  <c r="AE620" i="13"/>
  <c r="AT628" i="13"/>
  <c r="AS628" i="13"/>
  <c r="AB628" i="13"/>
  <c r="AA628" i="13"/>
  <c r="AP628" i="13"/>
  <c r="AE628" i="13"/>
  <c r="AT636" i="13"/>
  <c r="AD636" i="13"/>
  <c r="AA636" i="13"/>
  <c r="AS636" i="13"/>
  <c r="AB636" i="13"/>
  <c r="AP636" i="13"/>
  <c r="AE636" i="13"/>
  <c r="AT644" i="13"/>
  <c r="AD644" i="13"/>
  <c r="AS644" i="13"/>
  <c r="AP644" i="13"/>
  <c r="AE644" i="13"/>
  <c r="AB644" i="13"/>
  <c r="AA644" i="13"/>
  <c r="AE652" i="13"/>
  <c r="AT652" i="13"/>
  <c r="AD652" i="13"/>
  <c r="AS652" i="13"/>
  <c r="AP652" i="13"/>
  <c r="AB652" i="13"/>
  <c r="AA652" i="13"/>
  <c r="AE660" i="13"/>
  <c r="AT660" i="13"/>
  <c r="AD660" i="13"/>
  <c r="AA660" i="13"/>
  <c r="AS660" i="13"/>
  <c r="AP660" i="13"/>
  <c r="AB660" i="13"/>
  <c r="AA668" i="13"/>
  <c r="AP668" i="13"/>
  <c r="AE668" i="13"/>
  <c r="AT668" i="13"/>
  <c r="AD668" i="13"/>
  <c r="AS668" i="13"/>
  <c r="AB668" i="13"/>
  <c r="AA676" i="13"/>
  <c r="AP676" i="13"/>
  <c r="AE676" i="13"/>
  <c r="AT676" i="13"/>
  <c r="AD676" i="13"/>
  <c r="AS676" i="13"/>
  <c r="AB676" i="13"/>
  <c r="AA684" i="13"/>
  <c r="AP684" i="13"/>
  <c r="AE684" i="13"/>
  <c r="AT684" i="13"/>
  <c r="AD684" i="13"/>
  <c r="AS684" i="13"/>
  <c r="AB684" i="13"/>
  <c r="AA692" i="13"/>
  <c r="AP692" i="13"/>
  <c r="AE692" i="13"/>
  <c r="AT692" i="13"/>
  <c r="AS692" i="13"/>
  <c r="AB692" i="13"/>
  <c r="AA700" i="13"/>
  <c r="AP700" i="13"/>
  <c r="AE700" i="13"/>
  <c r="AT700" i="13"/>
  <c r="AD700" i="13"/>
  <c r="AS700" i="13"/>
  <c r="AB700" i="13"/>
  <c r="AA708" i="13"/>
  <c r="AP708" i="13"/>
  <c r="AE708" i="13"/>
  <c r="AT708" i="13"/>
  <c r="AD708" i="13"/>
  <c r="AS708" i="13"/>
  <c r="AB708" i="13"/>
  <c r="AB716" i="13"/>
  <c r="AA716" i="13"/>
  <c r="AT716" i="13"/>
  <c r="AE716" i="13"/>
  <c r="AS716" i="13"/>
  <c r="AP716" i="13"/>
  <c r="AB724" i="13"/>
  <c r="AA724" i="13"/>
  <c r="AT724" i="13"/>
  <c r="AE724" i="13"/>
  <c r="AS724" i="13"/>
  <c r="AP724" i="13"/>
  <c r="AB732" i="13"/>
  <c r="AA732" i="13"/>
  <c r="AP732" i="13"/>
  <c r="AE732" i="13"/>
  <c r="AD732" i="13"/>
  <c r="AT732" i="13"/>
  <c r="AS732" i="13"/>
  <c r="AB740" i="13"/>
  <c r="AA740" i="13"/>
  <c r="AP740" i="13"/>
  <c r="AD740" i="13"/>
  <c r="AT740" i="13"/>
  <c r="AS740" i="13"/>
  <c r="AE740" i="13"/>
  <c r="AB748" i="13"/>
  <c r="AA748" i="13"/>
  <c r="AP748" i="13"/>
  <c r="AS748" i="13"/>
  <c r="AE748" i="13"/>
  <c r="AD748" i="13"/>
  <c r="AT748" i="13"/>
  <c r="AT756" i="13"/>
  <c r="AE756" i="13"/>
  <c r="AB756" i="13"/>
  <c r="AS756" i="13"/>
  <c r="AA756" i="13"/>
  <c r="AP756" i="13"/>
  <c r="AP764" i="13"/>
  <c r="AT764" i="13"/>
  <c r="AB764" i="13"/>
  <c r="AA764" i="13"/>
  <c r="AS764" i="13"/>
  <c r="AE764" i="13"/>
  <c r="AP772" i="13"/>
  <c r="AT772" i="13"/>
  <c r="AD772" i="13"/>
  <c r="AB772" i="13"/>
  <c r="AA772" i="13"/>
  <c r="AS772" i="13"/>
  <c r="AE772" i="13"/>
  <c r="AB780" i="13"/>
  <c r="AP780" i="13"/>
  <c r="AE780" i="13"/>
  <c r="AT780" i="13"/>
  <c r="AD780" i="13"/>
  <c r="AA780" i="13"/>
  <c r="AS780" i="13"/>
  <c r="AB788" i="13"/>
  <c r="AP788" i="13"/>
  <c r="AE788" i="13"/>
  <c r="AT788" i="13"/>
  <c r="AD788" i="13"/>
  <c r="AA788" i="13"/>
  <c r="AS788" i="13"/>
  <c r="AB796" i="13"/>
  <c r="AP796" i="13"/>
  <c r="AE796" i="13"/>
  <c r="AT796" i="13"/>
  <c r="AA796" i="13"/>
  <c r="AS796" i="13"/>
  <c r="AE804" i="13"/>
  <c r="AS804" i="13"/>
  <c r="AB804" i="13"/>
  <c r="AT804" i="13"/>
  <c r="AA804" i="13"/>
  <c r="AP804" i="13"/>
  <c r="AE812" i="13"/>
  <c r="AS812" i="13"/>
  <c r="AB812" i="13"/>
  <c r="AT812" i="13"/>
  <c r="AA812" i="13"/>
  <c r="AP812" i="13"/>
  <c r="AE820" i="13"/>
  <c r="AS820" i="13"/>
  <c r="AB820" i="13"/>
  <c r="AT820" i="13"/>
  <c r="AA820" i="13"/>
  <c r="AP820" i="13"/>
  <c r="AE828" i="13"/>
  <c r="AS828" i="13"/>
  <c r="AB828" i="13"/>
  <c r="AT828" i="13"/>
  <c r="AA828" i="13"/>
  <c r="AP828" i="13"/>
  <c r="AE836" i="13"/>
  <c r="AS836" i="13"/>
  <c r="AB836" i="13"/>
  <c r="AA836" i="13"/>
  <c r="AT836" i="13"/>
  <c r="AP836" i="13"/>
  <c r="AP844" i="13"/>
  <c r="AE844" i="13"/>
  <c r="AS844" i="13"/>
  <c r="AB844" i="13"/>
  <c r="AA844" i="13"/>
  <c r="AT844" i="13"/>
  <c r="AP852" i="13"/>
  <c r="AE852" i="13"/>
  <c r="AS852" i="13"/>
  <c r="AB852" i="13"/>
  <c r="AT852" i="13"/>
  <c r="AA852" i="13"/>
  <c r="AA860" i="13"/>
  <c r="AP860" i="13"/>
  <c r="AE860" i="13"/>
  <c r="AS860" i="13"/>
  <c r="AB860" i="13"/>
  <c r="AT860" i="13"/>
  <c r="AD860" i="13"/>
  <c r="AA868" i="13"/>
  <c r="AP868" i="13"/>
  <c r="AE868" i="13"/>
  <c r="AS868" i="13"/>
  <c r="AB868" i="13"/>
  <c r="AT868" i="13"/>
  <c r="AA876" i="13"/>
  <c r="AP876" i="13"/>
  <c r="AE876" i="13"/>
  <c r="AT876" i="13"/>
  <c r="AD876" i="13"/>
  <c r="AS876" i="13"/>
  <c r="AB876" i="13"/>
  <c r="AS884" i="13"/>
  <c r="AB884" i="13"/>
  <c r="AA884" i="13"/>
  <c r="AP884" i="13"/>
  <c r="AE884" i="13"/>
  <c r="AT884" i="13"/>
  <c r="AS892" i="13"/>
  <c r="AB892" i="13"/>
  <c r="AA892" i="13"/>
  <c r="AP892" i="13"/>
  <c r="AE892" i="13"/>
  <c r="AT892" i="13"/>
  <c r="AT900" i="13"/>
  <c r="AD900" i="13"/>
  <c r="AP900" i="13"/>
  <c r="AB900" i="13"/>
  <c r="AA900" i="13"/>
  <c r="AS900" i="13"/>
  <c r="AE900" i="13"/>
  <c r="AT908" i="13"/>
  <c r="AD908" i="13"/>
  <c r="AP908" i="13"/>
  <c r="AS908" i="13"/>
  <c r="AE908" i="13"/>
  <c r="AB908" i="13"/>
  <c r="AA908" i="13"/>
  <c r="AT916" i="13"/>
  <c r="AD916" i="13"/>
  <c r="AP916" i="13"/>
  <c r="AS916" i="13"/>
  <c r="AE916" i="13"/>
  <c r="AB916" i="13"/>
  <c r="AA916" i="13"/>
  <c r="AT924" i="13"/>
  <c r="AD924" i="13"/>
  <c r="AS924" i="13"/>
  <c r="AA924" i="13"/>
  <c r="AP924" i="13"/>
  <c r="AB924" i="13"/>
  <c r="AE924" i="13"/>
  <c r="AT932" i="13"/>
  <c r="AS932" i="13"/>
  <c r="AA932" i="13"/>
  <c r="AP932" i="13"/>
  <c r="AE932" i="13"/>
  <c r="AB932" i="13"/>
  <c r="AT940" i="13"/>
  <c r="AS940" i="13"/>
  <c r="AB940" i="13"/>
  <c r="AA940" i="13"/>
  <c r="AP940" i="13"/>
  <c r="AE940" i="13"/>
  <c r="AT948" i="13"/>
  <c r="AD948" i="13"/>
  <c r="AS948" i="13"/>
  <c r="AB948" i="13"/>
  <c r="AA948" i="13"/>
  <c r="AP948" i="13"/>
  <c r="AE948" i="13"/>
  <c r="AS956" i="13"/>
  <c r="AP956" i="13"/>
  <c r="AE956" i="13"/>
  <c r="AD956" i="13"/>
  <c r="AB956" i="13"/>
  <c r="AA956" i="13"/>
  <c r="AT956" i="13"/>
  <c r="AS964" i="13"/>
  <c r="AB964" i="13"/>
  <c r="AA964" i="13"/>
  <c r="AT964" i="13"/>
  <c r="AP964" i="13"/>
  <c r="AE964" i="13"/>
  <c r="AD964" i="13"/>
  <c r="AP972" i="13"/>
  <c r="AE972" i="13"/>
  <c r="AT972" i="13"/>
  <c r="AD972" i="13"/>
  <c r="AS972" i="13"/>
  <c r="AB972" i="13"/>
  <c r="AA972" i="13"/>
  <c r="AS980" i="13"/>
  <c r="AA980" i="13"/>
  <c r="AP980" i="13"/>
  <c r="AE980" i="13"/>
  <c r="AT980" i="13"/>
  <c r="AB980" i="13"/>
  <c r="AS988" i="13"/>
  <c r="AP988" i="13"/>
  <c r="AE988" i="13"/>
  <c r="AD988" i="13"/>
  <c r="AB988" i="13"/>
  <c r="AA988" i="13"/>
  <c r="AT988" i="13"/>
  <c r="AP996" i="13"/>
  <c r="AE996" i="13"/>
  <c r="AS996" i="13"/>
  <c r="AT996" i="13"/>
  <c r="AB996" i="13"/>
  <c r="AA996" i="13"/>
  <c r="AP1004" i="13"/>
  <c r="AE1004" i="13"/>
  <c r="AS1004" i="13"/>
  <c r="AT1004" i="13"/>
  <c r="AB1004" i="13"/>
  <c r="AA1004" i="13"/>
  <c r="AP1012" i="13"/>
  <c r="AE1012" i="13"/>
  <c r="AT1012" i="13"/>
  <c r="AS1012" i="13"/>
  <c r="AB1012" i="13"/>
  <c r="AA1012" i="13"/>
  <c r="AE1020" i="13"/>
  <c r="AA1020" i="13"/>
  <c r="AP1020" i="13"/>
  <c r="AB1020" i="13"/>
  <c r="AT1020" i="13"/>
  <c r="AS1020" i="13"/>
  <c r="AE1028" i="13"/>
  <c r="AS1028" i="13"/>
  <c r="AB1028" i="13"/>
  <c r="AA1028" i="13"/>
  <c r="AP1028" i="13"/>
  <c r="AT1028" i="13"/>
  <c r="AE1036" i="13"/>
  <c r="AT1036" i="13"/>
  <c r="AS1036" i="13"/>
  <c r="AB1036" i="13"/>
  <c r="AA1036" i="13"/>
  <c r="AP1036" i="13"/>
  <c r="AS1044" i="13"/>
  <c r="AA1044" i="13"/>
  <c r="AP1044" i="13"/>
  <c r="AT1044" i="13"/>
  <c r="AE1044" i="13"/>
  <c r="AD1044" i="13"/>
  <c r="AB1044" i="13"/>
  <c r="AS1052" i="13"/>
  <c r="AA1052" i="13"/>
  <c r="AP1052" i="13"/>
  <c r="AT1052" i="13"/>
  <c r="AE1052" i="13"/>
  <c r="AD1052" i="13"/>
  <c r="AB1052" i="13"/>
  <c r="AS1060" i="13"/>
  <c r="AA1060" i="13"/>
  <c r="AP1060" i="13"/>
  <c r="AT1060" i="13"/>
  <c r="AE1060" i="13"/>
  <c r="AD1060" i="13"/>
  <c r="AB1060" i="13"/>
  <c r="AE1068" i="13"/>
  <c r="AT1068" i="13"/>
  <c r="AS1068" i="13"/>
  <c r="AB1068" i="13"/>
  <c r="AP1068" i="13"/>
  <c r="AA1068" i="13"/>
  <c r="AE1076" i="13"/>
  <c r="AT1076" i="13"/>
  <c r="AS1076" i="13"/>
  <c r="AP1076" i="13"/>
  <c r="AB1076" i="13"/>
  <c r="AA1076" i="13"/>
  <c r="AP1084" i="13"/>
  <c r="AT1084" i="13"/>
  <c r="AB1084" i="13"/>
  <c r="AA1084" i="13"/>
  <c r="AS1084" i="13"/>
  <c r="AE1084" i="13"/>
  <c r="AP1092" i="13"/>
  <c r="AE1092" i="13"/>
  <c r="AT1092" i="13"/>
  <c r="AS1092" i="13"/>
  <c r="AB1092" i="13"/>
  <c r="AA1092" i="13"/>
  <c r="AS1100" i="13"/>
  <c r="AB1100" i="13"/>
  <c r="AT1100" i="13"/>
  <c r="AP1100" i="13"/>
  <c r="AE1100" i="13"/>
  <c r="AA1100" i="13"/>
  <c r="AS1108" i="13"/>
  <c r="AB1108" i="13"/>
  <c r="AP1108" i="13"/>
  <c r="AA1108" i="13"/>
  <c r="AE1108" i="13"/>
  <c r="AT1108" i="13"/>
  <c r="AB1116" i="13"/>
  <c r="AA1116" i="13"/>
  <c r="AT1116" i="13"/>
  <c r="AS1116" i="13"/>
  <c r="AE1116" i="13"/>
  <c r="AP1116" i="13"/>
  <c r="AD1116" i="13"/>
  <c r="AB1124" i="13"/>
  <c r="AA1124" i="13"/>
  <c r="AT1124" i="13"/>
  <c r="AS1124" i="13"/>
  <c r="AE1124" i="13"/>
  <c r="AP1124" i="13"/>
  <c r="AB1132" i="13"/>
  <c r="AA1132" i="13"/>
  <c r="AP1132" i="13"/>
  <c r="AE1132" i="13"/>
  <c r="AD1132" i="13"/>
  <c r="AS1132" i="13"/>
  <c r="AT1132" i="13"/>
  <c r="AB1140" i="13"/>
  <c r="AA1140" i="13"/>
  <c r="AS1140" i="13"/>
  <c r="AE1140" i="13"/>
  <c r="AP1140" i="13"/>
  <c r="AT1140" i="13"/>
  <c r="AB1148" i="13"/>
  <c r="AA1148" i="13"/>
  <c r="AP1148" i="13"/>
  <c r="AE1148" i="13"/>
  <c r="AS1148" i="13"/>
  <c r="AT1148" i="13"/>
  <c r="AP1156" i="13"/>
  <c r="AE1156" i="13"/>
  <c r="AD1156" i="13"/>
  <c r="AS1156" i="13"/>
  <c r="AB1156" i="13"/>
  <c r="AT1156" i="13"/>
  <c r="AA1156" i="13"/>
  <c r="AE1164" i="13"/>
  <c r="AT1164" i="13"/>
  <c r="AS1164" i="13"/>
  <c r="AB1164" i="13"/>
  <c r="AA1164" i="13"/>
  <c r="AP1164" i="13"/>
  <c r="AE1172" i="13"/>
  <c r="AS1172" i="13"/>
  <c r="AB1172" i="13"/>
  <c r="AA1172" i="13"/>
  <c r="AP1172" i="13"/>
  <c r="AT1172" i="13"/>
  <c r="AT1180" i="13"/>
  <c r="AS1180" i="13"/>
  <c r="AA1180" i="13"/>
  <c r="AB1180" i="13"/>
  <c r="AP1180" i="13"/>
  <c r="AE1180" i="13"/>
  <c r="AT1188" i="13"/>
  <c r="AB1188" i="13"/>
  <c r="AP1188" i="13"/>
  <c r="AA1188" i="13"/>
  <c r="AS1188" i="13"/>
  <c r="AE1188" i="13"/>
  <c r="AT1196" i="13"/>
  <c r="AS1196" i="13"/>
  <c r="AB1196" i="13"/>
  <c r="AA1196" i="13"/>
  <c r="AP1196" i="13"/>
  <c r="AE1196" i="13"/>
  <c r="B94" i="6"/>
  <c r="E47" i="6"/>
  <c r="C46" i="6"/>
  <c r="E43" i="6"/>
  <c r="C42" i="6"/>
  <c r="D34" i="6"/>
  <c r="D32" i="6"/>
  <c r="D30" i="6"/>
  <c r="E26" i="6"/>
  <c r="F25" i="6"/>
  <c r="M14" i="6" s="1"/>
  <c r="E48" i="6"/>
  <c r="C47" i="6"/>
  <c r="E44" i="6"/>
  <c r="C43" i="6"/>
  <c r="I26" i="6" a="1"/>
  <c r="I26" i="6" s="1"/>
  <c r="D48" i="6"/>
  <c r="B45" i="6"/>
  <c r="B43" i="6"/>
  <c r="I20" i="6" a="1"/>
  <c r="I20" i="6" s="1"/>
  <c r="C20" i="6"/>
  <c r="D19" i="6"/>
  <c r="E13" i="6"/>
  <c r="C11" i="6"/>
  <c r="F10" i="6"/>
  <c r="D8" i="6"/>
  <c r="C48" i="6"/>
  <c r="E46" i="6"/>
  <c r="H26" i="6" a="1"/>
  <c r="H26" i="6" s="1"/>
  <c r="B48" i="6"/>
  <c r="D46" i="6"/>
  <c r="D44" i="6"/>
  <c r="G44" i="6" s="1"/>
  <c r="H20" i="6" a="1"/>
  <c r="H20" i="6" s="1"/>
  <c r="B95" i="6"/>
  <c r="E49" i="6"/>
  <c r="B46" i="6"/>
  <c r="F46" i="6" s="1"/>
  <c r="C44" i="6"/>
  <c r="E42" i="6"/>
  <c r="D31" i="6"/>
  <c r="F24" i="6"/>
  <c r="M13" i="6" s="1"/>
  <c r="F23" i="6"/>
  <c r="M12" i="6" s="1"/>
  <c r="F22" i="6"/>
  <c r="M11" i="6" s="1"/>
  <c r="H19" i="6" a="1"/>
  <c r="H19" i="6" s="1"/>
  <c r="D15" i="6"/>
  <c r="E12" i="6"/>
  <c r="F9" i="6"/>
  <c r="D49" i="6"/>
  <c r="D42" i="6"/>
  <c r="F26" i="6"/>
  <c r="M15" i="6" s="1"/>
  <c r="E25" i="6"/>
  <c r="E24" i="6"/>
  <c r="E23" i="6"/>
  <c r="E22" i="6"/>
  <c r="F21" i="6"/>
  <c r="M10" i="6" s="1"/>
  <c r="C15" i="6"/>
  <c r="F14" i="6"/>
  <c r="D12" i="6"/>
  <c r="E9" i="6"/>
  <c r="C9" i="6"/>
  <c r="E10" i="6"/>
  <c r="F11" i="6"/>
  <c r="G11" i="6" s="1"/>
  <c r="C19" i="6"/>
  <c r="F20" i="6"/>
  <c r="M9" i="6" s="1"/>
  <c r="D22" i="6"/>
  <c r="D24" i="6"/>
  <c r="D26" i="6"/>
  <c r="C114" i="6"/>
  <c r="D117" i="6"/>
  <c r="D13" i="7"/>
  <c r="F21" i="7"/>
  <c r="C24" i="7"/>
  <c r="D36" i="7"/>
  <c r="C43" i="7"/>
  <c r="N43" i="7" s="1"/>
  <c r="D49" i="7"/>
  <c r="O49" i="7" s="1"/>
  <c r="C49" i="7"/>
  <c r="N49" i="7" s="1"/>
  <c r="B49" i="7"/>
  <c r="A8" i="9"/>
  <c r="A10" i="9"/>
  <c r="A11" i="9"/>
  <c r="A9" i="9"/>
  <c r="A12" i="9"/>
  <c r="P2" i="11"/>
  <c r="D114" i="6"/>
  <c r="D43" i="6"/>
  <c r="D47" i="6"/>
  <c r="F114" i="6"/>
  <c r="C15" i="7"/>
  <c r="C25" i="7"/>
  <c r="F36" i="7"/>
  <c r="M25" i="7" s="1"/>
  <c r="D118" i="6"/>
  <c r="C118" i="6"/>
  <c r="AP7" i="13"/>
  <c r="AT7" i="13"/>
  <c r="AS7" i="13"/>
  <c r="AB7" i="13"/>
  <c r="AA7" i="13"/>
  <c r="AP15" i="13"/>
  <c r="AE15" i="13"/>
  <c r="AT15" i="13"/>
  <c r="AS15" i="13"/>
  <c r="AB15" i="13"/>
  <c r="AA15" i="13"/>
  <c r="AP23" i="13"/>
  <c r="AE23" i="13"/>
  <c r="AT23" i="13"/>
  <c r="AS23" i="13"/>
  <c r="AB23" i="13"/>
  <c r="AA23" i="13"/>
  <c r="AP31" i="13"/>
  <c r="AE31" i="13"/>
  <c r="AT31" i="13"/>
  <c r="AS31" i="13"/>
  <c r="AB31" i="13"/>
  <c r="AA31" i="13"/>
  <c r="AP39" i="13"/>
  <c r="AE39" i="13"/>
  <c r="AT39" i="13"/>
  <c r="AS39" i="13"/>
  <c r="AB39" i="13"/>
  <c r="AA39" i="13"/>
  <c r="AP47" i="13"/>
  <c r="AE47" i="13"/>
  <c r="AT47" i="13"/>
  <c r="AS47" i="13"/>
  <c r="AB47" i="13"/>
  <c r="AA47" i="13"/>
  <c r="AP55" i="13"/>
  <c r="AE55" i="13"/>
  <c r="AT55" i="13"/>
  <c r="AS55" i="13"/>
  <c r="AB55" i="13"/>
  <c r="AA55" i="13"/>
  <c r="AE63" i="13"/>
  <c r="AS63" i="13"/>
  <c r="AP63" i="13"/>
  <c r="AD63" i="13"/>
  <c r="AB63" i="13"/>
  <c r="AA63" i="13"/>
  <c r="AT63" i="13"/>
  <c r="AE71" i="13"/>
  <c r="AT71" i="13"/>
  <c r="AD71" i="13"/>
  <c r="AB71" i="13"/>
  <c r="AP71" i="13"/>
  <c r="AS71" i="13"/>
  <c r="AA71" i="13"/>
  <c r="AE79" i="13"/>
  <c r="AT79" i="13"/>
  <c r="AD79" i="13"/>
  <c r="AB79" i="13"/>
  <c r="AP79" i="13"/>
  <c r="AS79" i="13"/>
  <c r="AA79" i="13"/>
  <c r="AE87" i="13"/>
  <c r="AT87" i="13"/>
  <c r="AD87" i="13"/>
  <c r="AB87" i="13"/>
  <c r="AP87" i="13"/>
  <c r="AS87" i="13"/>
  <c r="AA87" i="13"/>
  <c r="AE95" i="13"/>
  <c r="AT95" i="13"/>
  <c r="AD95" i="13"/>
  <c r="AB95" i="13"/>
  <c r="AP95" i="13"/>
  <c r="AS95" i="13"/>
  <c r="AA95" i="13"/>
  <c r="AE103" i="13"/>
  <c r="AT103" i="13"/>
  <c r="AD103" i="13"/>
  <c r="AS103" i="13"/>
  <c r="AB103" i="13"/>
  <c r="AP103" i="13"/>
  <c r="AA103" i="13"/>
  <c r="AE111" i="13"/>
  <c r="AT111" i="13"/>
  <c r="AS111" i="13"/>
  <c r="AB111" i="13"/>
  <c r="AA111" i="13"/>
  <c r="AP111" i="13"/>
  <c r="AE119" i="13"/>
  <c r="AT119" i="13"/>
  <c r="AD119" i="13"/>
  <c r="AS119" i="13"/>
  <c r="AB119" i="13"/>
  <c r="AA119" i="13"/>
  <c r="AP119" i="13"/>
  <c r="AE127" i="13"/>
  <c r="AT127" i="13"/>
  <c r="AS127" i="13"/>
  <c r="AB127" i="13"/>
  <c r="AA127" i="13"/>
  <c r="AP127" i="13"/>
  <c r="AE135" i="13"/>
  <c r="AT135" i="13"/>
  <c r="AD135" i="13"/>
  <c r="AS135" i="13"/>
  <c r="AB135" i="13"/>
  <c r="AA135" i="13"/>
  <c r="AP135" i="13"/>
  <c r="AE143" i="13"/>
  <c r="AT143" i="13"/>
  <c r="AD143" i="13"/>
  <c r="AS143" i="13"/>
  <c r="AB143" i="13"/>
  <c r="AA143" i="13"/>
  <c r="AP143" i="13"/>
  <c r="AE151" i="13"/>
  <c r="AT151" i="13"/>
  <c r="AD151" i="13"/>
  <c r="AS151" i="13"/>
  <c r="AB151" i="13"/>
  <c r="AA151" i="13"/>
  <c r="AP151" i="13"/>
  <c r="AE159" i="13"/>
  <c r="AT159" i="13"/>
  <c r="AD159" i="13"/>
  <c r="AS159" i="13"/>
  <c r="AB159" i="13"/>
  <c r="AA159" i="13"/>
  <c r="AP159" i="13"/>
  <c r="AE167" i="13"/>
  <c r="AT167" i="13"/>
  <c r="AS167" i="13"/>
  <c r="AB167" i="13"/>
  <c r="AA167" i="13"/>
  <c r="AP167" i="13"/>
  <c r="AP175" i="13"/>
  <c r="AE175" i="13"/>
  <c r="AB175" i="13"/>
  <c r="AA175" i="13"/>
  <c r="AT175" i="13"/>
  <c r="AD175" i="13"/>
  <c r="AS175" i="13"/>
  <c r="AP183" i="13"/>
  <c r="AE183" i="13"/>
  <c r="AB183" i="13"/>
  <c r="AT183" i="13"/>
  <c r="AD183" i="13"/>
  <c r="AS183" i="13"/>
  <c r="AA183" i="13"/>
  <c r="AP191" i="13"/>
  <c r="AE191" i="13"/>
  <c r="AB191" i="13"/>
  <c r="AA191" i="13"/>
  <c r="AT191" i="13"/>
  <c r="AD191" i="13"/>
  <c r="AS191" i="13"/>
  <c r="AP199" i="13"/>
  <c r="AE199" i="13"/>
  <c r="AB199" i="13"/>
  <c r="AT199" i="13"/>
  <c r="AD199" i="13"/>
  <c r="AS199" i="13"/>
  <c r="AA199" i="13"/>
  <c r="AP207" i="13"/>
  <c r="AE207" i="13"/>
  <c r="AS207" i="13"/>
  <c r="AB207" i="13"/>
  <c r="AT207" i="13"/>
  <c r="AA207" i="13"/>
  <c r="AP215" i="13"/>
  <c r="AE215" i="13"/>
  <c r="AT215" i="13"/>
  <c r="AS215" i="13"/>
  <c r="AB215" i="13"/>
  <c r="AA215" i="13"/>
  <c r="AP223" i="13"/>
  <c r="AE223" i="13"/>
  <c r="AT223" i="13"/>
  <c r="AS223" i="13"/>
  <c r="AB223" i="13"/>
  <c r="AA223" i="13"/>
  <c r="AP231" i="13"/>
  <c r="AE231" i="13"/>
  <c r="AT231" i="13"/>
  <c r="AS231" i="13"/>
  <c r="AB231" i="13"/>
  <c r="AA231" i="13"/>
  <c r="AP239" i="13"/>
  <c r="AE239" i="13"/>
  <c r="AT239" i="13"/>
  <c r="AS239" i="13"/>
  <c r="AB239" i="13"/>
  <c r="AA239" i="13"/>
  <c r="AP247" i="13"/>
  <c r="AE247" i="13"/>
  <c r="AT247" i="13"/>
  <c r="AS247" i="13"/>
  <c r="AB247" i="13"/>
  <c r="AA247" i="13"/>
  <c r="AP255" i="13"/>
  <c r="AE255" i="13"/>
  <c r="AT255" i="13"/>
  <c r="AS255" i="13"/>
  <c r="AB255" i="13"/>
  <c r="AA255" i="13"/>
  <c r="AP263" i="13"/>
  <c r="AE263" i="13"/>
  <c r="AT263" i="13"/>
  <c r="AS263" i="13"/>
  <c r="AB263" i="13"/>
  <c r="AA263" i="13"/>
  <c r="AB271" i="13"/>
  <c r="AA271" i="13"/>
  <c r="AE271" i="13"/>
  <c r="AT271" i="13"/>
  <c r="AS271" i="13"/>
  <c r="AP271" i="13"/>
  <c r="AB279" i="13"/>
  <c r="AA279" i="13"/>
  <c r="AT279" i="13"/>
  <c r="AS279" i="13"/>
  <c r="AP279" i="13"/>
  <c r="AE279" i="13"/>
  <c r="AD279" i="13"/>
  <c r="AT287" i="13"/>
  <c r="AD287" i="13"/>
  <c r="AB287" i="13"/>
  <c r="AA287" i="13"/>
  <c r="AS287" i="13"/>
  <c r="AE287" i="13"/>
  <c r="AP287" i="13"/>
  <c r="AT295" i="13"/>
  <c r="AB295" i="13"/>
  <c r="AA295" i="13"/>
  <c r="AP295" i="13"/>
  <c r="AS295" i="13"/>
  <c r="AE295" i="13"/>
  <c r="AT303" i="13"/>
  <c r="AB303" i="13"/>
  <c r="AA303" i="13"/>
  <c r="AS303" i="13"/>
  <c r="AE303" i="13"/>
  <c r="AP303" i="13"/>
  <c r="AE311" i="13"/>
  <c r="AT311" i="13"/>
  <c r="AS311" i="13"/>
  <c r="AB311" i="13"/>
  <c r="AA311" i="13"/>
  <c r="AP311" i="13"/>
  <c r="AE319" i="13"/>
  <c r="AT319" i="13"/>
  <c r="AS319" i="13"/>
  <c r="AB319" i="13"/>
  <c r="AA319" i="13"/>
  <c r="AP319" i="13"/>
  <c r="AE327" i="13"/>
  <c r="AT327" i="13"/>
  <c r="AS327" i="13"/>
  <c r="AB327" i="13"/>
  <c r="AA327" i="13"/>
  <c r="AP327" i="13"/>
  <c r="AE335" i="13"/>
  <c r="AT335" i="13"/>
  <c r="AS335" i="13"/>
  <c r="AB335" i="13"/>
  <c r="AA335" i="13"/>
  <c r="AP335" i="13"/>
  <c r="AS343" i="13"/>
  <c r="AT343" i="13"/>
  <c r="AP343" i="13"/>
  <c r="AE343" i="13"/>
  <c r="AD343" i="13"/>
  <c r="AB343" i="13"/>
  <c r="AA343" i="13"/>
  <c r="AS351" i="13"/>
  <c r="AT351" i="13"/>
  <c r="AP351" i="13"/>
  <c r="AE351" i="13"/>
  <c r="AD351" i="13"/>
  <c r="AB351" i="13"/>
  <c r="AA351" i="13"/>
  <c r="AS359" i="13"/>
  <c r="AT359" i="13"/>
  <c r="AP359" i="13"/>
  <c r="AE359" i="13"/>
  <c r="AD359" i="13"/>
  <c r="AA359" i="13"/>
  <c r="AB359" i="13"/>
  <c r="AS367" i="13"/>
  <c r="AT367" i="13"/>
  <c r="AP367" i="13"/>
  <c r="AE367" i="13"/>
  <c r="AD367" i="13"/>
  <c r="AB367" i="13"/>
  <c r="AA367" i="13"/>
  <c r="AS375" i="13"/>
  <c r="AT375" i="13"/>
  <c r="AP375" i="13"/>
  <c r="AE375" i="13"/>
  <c r="AD375" i="13"/>
  <c r="AB375" i="13"/>
  <c r="AA375" i="13"/>
  <c r="AS383" i="13"/>
  <c r="AT383" i="13"/>
  <c r="AP383" i="13"/>
  <c r="AE383" i="13"/>
  <c r="AD383" i="13"/>
  <c r="AB383" i="13"/>
  <c r="AA383" i="13"/>
  <c r="AS391" i="13"/>
  <c r="AT391" i="13"/>
  <c r="AP391" i="13"/>
  <c r="AE391" i="13"/>
  <c r="AD391" i="13"/>
  <c r="AB391" i="13"/>
  <c r="AA391" i="13"/>
  <c r="AS399" i="13"/>
  <c r="AT399" i="13"/>
  <c r="AP399" i="13"/>
  <c r="AE399" i="13"/>
  <c r="AD399" i="13"/>
  <c r="AB399" i="13"/>
  <c r="AA399" i="13"/>
  <c r="AA407" i="13"/>
  <c r="AP407" i="13"/>
  <c r="AE407" i="13"/>
  <c r="AS407" i="13"/>
  <c r="AT407" i="13"/>
  <c r="AD407" i="13"/>
  <c r="AB407" i="13"/>
  <c r="AA415" i="13"/>
  <c r="AP415" i="13"/>
  <c r="AE415" i="13"/>
  <c r="AS415" i="13"/>
  <c r="AD415" i="13"/>
  <c r="AT415" i="13"/>
  <c r="AB415" i="13"/>
  <c r="AA423" i="13"/>
  <c r="AP423" i="13"/>
  <c r="AE423" i="13"/>
  <c r="AS423" i="13"/>
  <c r="AB423" i="13"/>
  <c r="AT423" i="13"/>
  <c r="AD423" i="13"/>
  <c r="AA431" i="13"/>
  <c r="AP431" i="13"/>
  <c r="AE431" i="13"/>
  <c r="AT431" i="13"/>
  <c r="AD431" i="13"/>
  <c r="AS431" i="13"/>
  <c r="AB431" i="13"/>
  <c r="AA439" i="13"/>
  <c r="AP439" i="13"/>
  <c r="AE439" i="13"/>
  <c r="AT439" i="13"/>
  <c r="AD439" i="13"/>
  <c r="AS439" i="13"/>
  <c r="AB439" i="13"/>
  <c r="AA447" i="13"/>
  <c r="AP447" i="13"/>
  <c r="AE447" i="13"/>
  <c r="AT447" i="13"/>
  <c r="AD447" i="13"/>
  <c r="AS447" i="13"/>
  <c r="AB447" i="13"/>
  <c r="AA455" i="13"/>
  <c r="AP455" i="13"/>
  <c r="AE455" i="13"/>
  <c r="AT455" i="13"/>
  <c r="AD455" i="13"/>
  <c r="AS455" i="13"/>
  <c r="AB455" i="13"/>
  <c r="AA463" i="13"/>
  <c r="AP463" i="13"/>
  <c r="AE463" i="13"/>
  <c r="AT463" i="13"/>
  <c r="AD463" i="13"/>
  <c r="AS463" i="13"/>
  <c r="AB463" i="13"/>
  <c r="AA471" i="13"/>
  <c r="AP471" i="13"/>
  <c r="AE471" i="13"/>
  <c r="AT471" i="13"/>
  <c r="AD471" i="13"/>
  <c r="AS471" i="13"/>
  <c r="AB471" i="13"/>
  <c r="AA479" i="13"/>
  <c r="AE479" i="13"/>
  <c r="AT479" i="13"/>
  <c r="AD479" i="13"/>
  <c r="AP479" i="13"/>
  <c r="AS479" i="13"/>
  <c r="AB479" i="13"/>
  <c r="AA487" i="13"/>
  <c r="AE487" i="13"/>
  <c r="AT487" i="13"/>
  <c r="AS487" i="13"/>
  <c r="AB487" i="13"/>
  <c r="AP487" i="13"/>
  <c r="AA495" i="13"/>
  <c r="AP495" i="13"/>
  <c r="AE495" i="13"/>
  <c r="AT495" i="13"/>
  <c r="AD495" i="13"/>
  <c r="AS495" i="13"/>
  <c r="AB495" i="13"/>
  <c r="AA503" i="13"/>
  <c r="AP503" i="13"/>
  <c r="AE503" i="13"/>
  <c r="AT503" i="13"/>
  <c r="AS503" i="13"/>
  <c r="AB503" i="13"/>
  <c r="AA511" i="13"/>
  <c r="AP511" i="13"/>
  <c r="AE511" i="13"/>
  <c r="AT511" i="13"/>
  <c r="AD511" i="13"/>
  <c r="AS511" i="13"/>
  <c r="AB511" i="13"/>
  <c r="AA519" i="13"/>
  <c r="AP519" i="13"/>
  <c r="AE519" i="13"/>
  <c r="AT519" i="13"/>
  <c r="AS519" i="13"/>
  <c r="AB519" i="13"/>
  <c r="AA527" i="13"/>
  <c r="AP527" i="13"/>
  <c r="AE527" i="13"/>
  <c r="AT527" i="13"/>
  <c r="AD527" i="13"/>
  <c r="AS527" i="13"/>
  <c r="AB527" i="13"/>
  <c r="AT535" i="13"/>
  <c r="AD535" i="13"/>
  <c r="AB535" i="13"/>
  <c r="AS535" i="13"/>
  <c r="AE535" i="13"/>
  <c r="AP535" i="13"/>
  <c r="AA535" i="13"/>
  <c r="AT543" i="13"/>
  <c r="AB543" i="13"/>
  <c r="AA543" i="13"/>
  <c r="AS543" i="13"/>
  <c r="AE543" i="13"/>
  <c r="AP543" i="13"/>
  <c r="AT551" i="13"/>
  <c r="AD551" i="13"/>
  <c r="AB551" i="13"/>
  <c r="AA551" i="13"/>
  <c r="AP551" i="13"/>
  <c r="AS551" i="13"/>
  <c r="AE551" i="13"/>
  <c r="AT559" i="13"/>
  <c r="AD559" i="13"/>
  <c r="AB559" i="13"/>
  <c r="AA559" i="13"/>
  <c r="AP559" i="13"/>
  <c r="AE559" i="13"/>
  <c r="AS559" i="13"/>
  <c r="AT567" i="13"/>
  <c r="AD567" i="13"/>
  <c r="AB567" i="13"/>
  <c r="AA567" i="13"/>
  <c r="AP567" i="13"/>
  <c r="AE567" i="13"/>
  <c r="AS567" i="13"/>
  <c r="AT575" i="13"/>
  <c r="AD575" i="13"/>
  <c r="AB575" i="13"/>
  <c r="AA575" i="13"/>
  <c r="AP575" i="13"/>
  <c r="AE575" i="13"/>
  <c r="AS575" i="13"/>
  <c r="AT583" i="13"/>
  <c r="AD583" i="13"/>
  <c r="AB583" i="13"/>
  <c r="AA583" i="13"/>
  <c r="AP583" i="13"/>
  <c r="AS583" i="13"/>
  <c r="AE583" i="13"/>
  <c r="AT591" i="13"/>
  <c r="AD591" i="13"/>
  <c r="AB591" i="13"/>
  <c r="AA591" i="13"/>
  <c r="AP591" i="13"/>
  <c r="AE591" i="13"/>
  <c r="AS591" i="13"/>
  <c r="AT599" i="13"/>
  <c r="AD599" i="13"/>
  <c r="AB599" i="13"/>
  <c r="AA599" i="13"/>
  <c r="AP599" i="13"/>
  <c r="AE599" i="13"/>
  <c r="AS599" i="13"/>
  <c r="AT607" i="13"/>
  <c r="AD607" i="13"/>
  <c r="AB607" i="13"/>
  <c r="AA607" i="13"/>
  <c r="AP607" i="13"/>
  <c r="AE607" i="13"/>
  <c r="AS607" i="13"/>
  <c r="AT615" i="13"/>
  <c r="AD615" i="13"/>
  <c r="AB615" i="13"/>
  <c r="AA615" i="13"/>
  <c r="AP615" i="13"/>
  <c r="AE615" i="13"/>
  <c r="AS615" i="13"/>
  <c r="AT623" i="13"/>
  <c r="AD623" i="13"/>
  <c r="AB623" i="13"/>
  <c r="AA623" i="13"/>
  <c r="AP623" i="13"/>
  <c r="AE623" i="13"/>
  <c r="AS623" i="13"/>
  <c r="AE631" i="13"/>
  <c r="AB631" i="13"/>
  <c r="AA631" i="13"/>
  <c r="AT631" i="13"/>
  <c r="AS631" i="13"/>
  <c r="AP631" i="13"/>
  <c r="AE639" i="13"/>
  <c r="AB639" i="13"/>
  <c r="AP639" i="13"/>
  <c r="AA639" i="13"/>
  <c r="AT639" i="13"/>
  <c r="AS639" i="13"/>
  <c r="AE647" i="13"/>
  <c r="AB647" i="13"/>
  <c r="AA647" i="13"/>
  <c r="AT647" i="13"/>
  <c r="AS647" i="13"/>
  <c r="AP647" i="13"/>
  <c r="AE655" i="13"/>
  <c r="AS655" i="13"/>
  <c r="AB655" i="13"/>
  <c r="AP655" i="13"/>
  <c r="AA655" i="13"/>
  <c r="AT655" i="13"/>
  <c r="AE663" i="13"/>
  <c r="AS663" i="13"/>
  <c r="AB663" i="13"/>
  <c r="AT663" i="13"/>
  <c r="AA663" i="13"/>
  <c r="AP663" i="13"/>
  <c r="AE671" i="13"/>
  <c r="AS671" i="13"/>
  <c r="AB671" i="13"/>
  <c r="AP671" i="13"/>
  <c r="AT671" i="13"/>
  <c r="AA671" i="13"/>
  <c r="AE679" i="13"/>
  <c r="AS679" i="13"/>
  <c r="AB679" i="13"/>
  <c r="AA679" i="13"/>
  <c r="AT679" i="13"/>
  <c r="AP679" i="13"/>
  <c r="AE687" i="13"/>
  <c r="AS687" i="13"/>
  <c r="AB687" i="13"/>
  <c r="AA687" i="13"/>
  <c r="AT687" i="13"/>
  <c r="AP687" i="13"/>
  <c r="AE695" i="13"/>
  <c r="AS695" i="13"/>
  <c r="AB695" i="13"/>
  <c r="AA695" i="13"/>
  <c r="AT695" i="13"/>
  <c r="AP695" i="13"/>
  <c r="AE703" i="13"/>
  <c r="AS703" i="13"/>
  <c r="AB703" i="13"/>
  <c r="AA703" i="13"/>
  <c r="AT703" i="13"/>
  <c r="AP703" i="13"/>
  <c r="AE711" i="13"/>
  <c r="AT711" i="13"/>
  <c r="AS711" i="13"/>
  <c r="AB711" i="13"/>
  <c r="AA711" i="13"/>
  <c r="AP711" i="13"/>
  <c r="AP719" i="13"/>
  <c r="AE719" i="13"/>
  <c r="AT719" i="13"/>
  <c r="AD719" i="13"/>
  <c r="AS719" i="13"/>
  <c r="AB719" i="13"/>
  <c r="AA719" i="13"/>
  <c r="AP727" i="13"/>
  <c r="AE727" i="13"/>
  <c r="AT727" i="13"/>
  <c r="AS727" i="13"/>
  <c r="AB727" i="13"/>
  <c r="AA727" i="13"/>
  <c r="AP735" i="13"/>
  <c r="AE735" i="13"/>
  <c r="AT735" i="13"/>
  <c r="AD735" i="13"/>
  <c r="AS735" i="13"/>
  <c r="AA735" i="13"/>
  <c r="AB735" i="13"/>
  <c r="AP743" i="13"/>
  <c r="AE743" i="13"/>
  <c r="AT743" i="13"/>
  <c r="AD743" i="13"/>
  <c r="AB743" i="13"/>
  <c r="AS743" i="13"/>
  <c r="AA743" i="13"/>
  <c r="AB751" i="13"/>
  <c r="AP751" i="13"/>
  <c r="AE751" i="13"/>
  <c r="AT751" i="13"/>
  <c r="AD751" i="13"/>
  <c r="AS751" i="13"/>
  <c r="AA751" i="13"/>
  <c r="AB759" i="13"/>
  <c r="AS759" i="13"/>
  <c r="AP759" i="13"/>
  <c r="AE759" i="13"/>
  <c r="AA759" i="13"/>
  <c r="AT759" i="13"/>
  <c r="AB767" i="13"/>
  <c r="AS767" i="13"/>
  <c r="AP767" i="13"/>
  <c r="AE767" i="13"/>
  <c r="AA767" i="13"/>
  <c r="AT767" i="13"/>
  <c r="AE775" i="13"/>
  <c r="AS775" i="13"/>
  <c r="AB775" i="13"/>
  <c r="AP775" i="13"/>
  <c r="AT775" i="13"/>
  <c r="AA775" i="13"/>
  <c r="AP783" i="13"/>
  <c r="AE783" i="13"/>
  <c r="AS783" i="13"/>
  <c r="AB783" i="13"/>
  <c r="AT783" i="13"/>
  <c r="AA783" i="13"/>
  <c r="AP791" i="13"/>
  <c r="AE791" i="13"/>
  <c r="AS791" i="13"/>
  <c r="AB791" i="13"/>
  <c r="AT791" i="13"/>
  <c r="AA791" i="13"/>
  <c r="AP799" i="13"/>
  <c r="AE799" i="13"/>
  <c r="AS799" i="13"/>
  <c r="AB799" i="13"/>
  <c r="AT799" i="13"/>
  <c r="AA799" i="13"/>
  <c r="AT807" i="13"/>
  <c r="AD807" i="13"/>
  <c r="AS807" i="13"/>
  <c r="AA807" i="13"/>
  <c r="AP807" i="13"/>
  <c r="AE807" i="13"/>
  <c r="AB807" i="13"/>
  <c r="AT815" i="13"/>
  <c r="AD815" i="13"/>
  <c r="AS815" i="13"/>
  <c r="AA815" i="13"/>
  <c r="AP815" i="13"/>
  <c r="AE815" i="13"/>
  <c r="AB815" i="13"/>
  <c r="AT823" i="13"/>
  <c r="AD823" i="13"/>
  <c r="AS823" i="13"/>
  <c r="AA823" i="13"/>
  <c r="AP823" i="13"/>
  <c r="AE823" i="13"/>
  <c r="AB823" i="13"/>
  <c r="AT831" i="13"/>
  <c r="AD831" i="13"/>
  <c r="AS831" i="13"/>
  <c r="AA831" i="13"/>
  <c r="AP831" i="13"/>
  <c r="AE831" i="13"/>
  <c r="AB831" i="13"/>
  <c r="AE839" i="13"/>
  <c r="AT839" i="13"/>
  <c r="AS839" i="13"/>
  <c r="AA839" i="13"/>
  <c r="AP839" i="13"/>
  <c r="AB839" i="13"/>
  <c r="AE847" i="13"/>
  <c r="AT847" i="13"/>
  <c r="AS847" i="13"/>
  <c r="AA847" i="13"/>
  <c r="AP847" i="13"/>
  <c r="AB847" i="13"/>
  <c r="AT855" i="13"/>
  <c r="AD855" i="13"/>
  <c r="AS855" i="13"/>
  <c r="AE855" i="13"/>
  <c r="AB855" i="13"/>
  <c r="AA855" i="13"/>
  <c r="AP855" i="13"/>
  <c r="AE863" i="13"/>
  <c r="AT863" i="13"/>
  <c r="AD863" i="13"/>
  <c r="AS863" i="13"/>
  <c r="AB863" i="13"/>
  <c r="AA863" i="13"/>
  <c r="AP863" i="13"/>
  <c r="AE871" i="13"/>
  <c r="AT871" i="13"/>
  <c r="AD871" i="13"/>
  <c r="AS871" i="13"/>
  <c r="AB871" i="13"/>
  <c r="AA871" i="13"/>
  <c r="AP871" i="13"/>
  <c r="AP879" i="13"/>
  <c r="AE879" i="13"/>
  <c r="AT879" i="13"/>
  <c r="AD879" i="13"/>
  <c r="AS879" i="13"/>
  <c r="AA879" i="13"/>
  <c r="AB879" i="13"/>
  <c r="AA887" i="13"/>
  <c r="AP887" i="13"/>
  <c r="AE887" i="13"/>
  <c r="AT887" i="13"/>
  <c r="AD887" i="13"/>
  <c r="AS887" i="13"/>
  <c r="AB887" i="13"/>
  <c r="AA895" i="13"/>
  <c r="AP895" i="13"/>
  <c r="AE895" i="13"/>
  <c r="AT895" i="13"/>
  <c r="AS895" i="13"/>
  <c r="AB895" i="13"/>
  <c r="AB903" i="13"/>
  <c r="AE903" i="13"/>
  <c r="AD903" i="13"/>
  <c r="AP903" i="13"/>
  <c r="AA903" i="13"/>
  <c r="AT903" i="13"/>
  <c r="AS903" i="13"/>
  <c r="AB911" i="13"/>
  <c r="AE911" i="13"/>
  <c r="AT911" i="13"/>
  <c r="AS911" i="13"/>
  <c r="AD911" i="13"/>
  <c r="AP911" i="13"/>
  <c r="AA911" i="13"/>
  <c r="AB919" i="13"/>
  <c r="AE919" i="13"/>
  <c r="AT919" i="13"/>
  <c r="AS919" i="13"/>
  <c r="AD919" i="13"/>
  <c r="AP919" i="13"/>
  <c r="AA919" i="13"/>
  <c r="AB927" i="13"/>
  <c r="AA927" i="13"/>
  <c r="AE927" i="13"/>
  <c r="AT927" i="13"/>
  <c r="AD927" i="13"/>
  <c r="AS927" i="13"/>
  <c r="AP927" i="13"/>
  <c r="AB935" i="13"/>
  <c r="AA935" i="13"/>
  <c r="AP935" i="13"/>
  <c r="AE935" i="13"/>
  <c r="AD935" i="13"/>
  <c r="AT935" i="13"/>
  <c r="AS935" i="13"/>
  <c r="AB943" i="13"/>
  <c r="AA943" i="13"/>
  <c r="AP943" i="13"/>
  <c r="AE943" i="13"/>
  <c r="AT943" i="13"/>
  <c r="AS943" i="13"/>
  <c r="AD943" i="13"/>
  <c r="AB951" i="13"/>
  <c r="AA951" i="13"/>
  <c r="AP951" i="13"/>
  <c r="AE951" i="13"/>
  <c r="AD951" i="13"/>
  <c r="AT951" i="13"/>
  <c r="AS951" i="13"/>
  <c r="AT959" i="13"/>
  <c r="AA959" i="13"/>
  <c r="AB959" i="13"/>
  <c r="AS959" i="13"/>
  <c r="AP959" i="13"/>
  <c r="AE959" i="13"/>
  <c r="AE967" i="13"/>
  <c r="AT967" i="13"/>
  <c r="AB967" i="13"/>
  <c r="AA967" i="13"/>
  <c r="AP967" i="13"/>
  <c r="AS967" i="13"/>
  <c r="AE975" i="13"/>
  <c r="AT975" i="13"/>
  <c r="AS975" i="13"/>
  <c r="AB975" i="13"/>
  <c r="AA975" i="13"/>
  <c r="AP975" i="13"/>
  <c r="AT983" i="13"/>
  <c r="AA983" i="13"/>
  <c r="AP983" i="13"/>
  <c r="AE983" i="13"/>
  <c r="AB983" i="13"/>
  <c r="AS983" i="13"/>
  <c r="AT991" i="13"/>
  <c r="AD991" i="13"/>
  <c r="AS991" i="13"/>
  <c r="AA991" i="13"/>
  <c r="AP991" i="13"/>
  <c r="AE991" i="13"/>
  <c r="AB991" i="13"/>
  <c r="AT999" i="13"/>
  <c r="AD999" i="13"/>
  <c r="AS999" i="13"/>
  <c r="AA999" i="13"/>
  <c r="AE999" i="13"/>
  <c r="AB999" i="13"/>
  <c r="AP999" i="13"/>
  <c r="AT1007" i="13"/>
  <c r="AD1007" i="13"/>
  <c r="AS1007" i="13"/>
  <c r="AA1007" i="13"/>
  <c r="AE1007" i="13"/>
  <c r="AB1007" i="13"/>
  <c r="AP1007" i="13"/>
  <c r="AS1015" i="13"/>
  <c r="AE1015" i="13"/>
  <c r="AT1015" i="13"/>
  <c r="AB1015" i="13"/>
  <c r="AA1015" i="13"/>
  <c r="AP1015" i="13"/>
  <c r="AS1023" i="13"/>
  <c r="AP1023" i="13"/>
  <c r="AB1023" i="13"/>
  <c r="AA1023" i="13"/>
  <c r="AT1023" i="13"/>
  <c r="AE1023" i="13"/>
  <c r="AD1023" i="13"/>
  <c r="AS1031" i="13"/>
  <c r="AA1031" i="13"/>
  <c r="AP1031" i="13"/>
  <c r="AE1031" i="13"/>
  <c r="AD1031" i="13"/>
  <c r="AT1031" i="13"/>
  <c r="AB1031" i="13"/>
  <c r="AT1039" i="13"/>
  <c r="AD1039" i="13"/>
  <c r="AP1039" i="13"/>
  <c r="AE1039" i="13"/>
  <c r="AB1039" i="13"/>
  <c r="AA1039" i="13"/>
  <c r="AS1039" i="13"/>
  <c r="AA1047" i="13"/>
  <c r="AT1047" i="13"/>
  <c r="AD1047" i="13"/>
  <c r="AS1047" i="13"/>
  <c r="AE1047" i="13"/>
  <c r="AB1047" i="13"/>
  <c r="AP1047" i="13"/>
  <c r="AA1055" i="13"/>
  <c r="AT1055" i="13"/>
  <c r="AD1055" i="13"/>
  <c r="AS1055" i="13"/>
  <c r="AE1055" i="13"/>
  <c r="AB1055" i="13"/>
  <c r="AP1055" i="13"/>
  <c r="AT1063" i="13"/>
  <c r="AP1063" i="13"/>
  <c r="AA1063" i="13"/>
  <c r="AE1063" i="13"/>
  <c r="AB1063" i="13"/>
  <c r="AS1063" i="13"/>
  <c r="AT1071" i="13"/>
  <c r="AD1071" i="13"/>
  <c r="AS1071" i="13"/>
  <c r="AP1071" i="13"/>
  <c r="AB1071" i="13"/>
  <c r="AE1071" i="13"/>
  <c r="AA1071" i="13"/>
  <c r="AE1079" i="13"/>
  <c r="AT1079" i="13"/>
  <c r="AS1079" i="13"/>
  <c r="AA1079" i="13"/>
  <c r="AP1079" i="13"/>
  <c r="AB1079" i="13"/>
  <c r="AT1087" i="13"/>
  <c r="AD1087" i="13"/>
  <c r="AS1087" i="13"/>
  <c r="AE1087" i="13"/>
  <c r="AP1087" i="13"/>
  <c r="AB1087" i="13"/>
  <c r="AA1087" i="13"/>
  <c r="AA1095" i="13"/>
  <c r="AP1095" i="13"/>
  <c r="AS1095" i="13"/>
  <c r="AE1095" i="13"/>
  <c r="AD1095" i="13"/>
  <c r="AT1095" i="13"/>
  <c r="AB1095" i="13"/>
  <c r="AA1103" i="13"/>
  <c r="AP1103" i="13"/>
  <c r="AB1103" i="13"/>
  <c r="AT1103" i="13"/>
  <c r="AS1103" i="13"/>
  <c r="AE1103" i="13"/>
  <c r="AA1111" i="13"/>
  <c r="AP1111" i="13"/>
  <c r="AS1111" i="13"/>
  <c r="AE1111" i="13"/>
  <c r="AB1111" i="13"/>
  <c r="AT1111" i="13"/>
  <c r="AP1119" i="13"/>
  <c r="AE1119" i="13"/>
  <c r="AS1119" i="13"/>
  <c r="AT1119" i="13"/>
  <c r="AB1119" i="13"/>
  <c r="AA1119" i="13"/>
  <c r="AP1127" i="13"/>
  <c r="AE1127" i="13"/>
  <c r="AS1127" i="13"/>
  <c r="AT1127" i="13"/>
  <c r="AB1127" i="13"/>
  <c r="AA1127" i="13"/>
  <c r="AP1135" i="13"/>
  <c r="AE1135" i="13"/>
  <c r="AT1135" i="13"/>
  <c r="AD1135" i="13"/>
  <c r="AB1135" i="13"/>
  <c r="AA1135" i="13"/>
  <c r="AS1135" i="13"/>
  <c r="AP1143" i="13"/>
  <c r="AE1143" i="13"/>
  <c r="AB1143" i="13"/>
  <c r="AD1143" i="13"/>
  <c r="AT1143" i="13"/>
  <c r="AS1143" i="13"/>
  <c r="AA1143" i="13"/>
  <c r="AP1151" i="13"/>
  <c r="AS1151" i="13"/>
  <c r="AE1151" i="13"/>
  <c r="AD1151" i="13"/>
  <c r="AB1151" i="13"/>
  <c r="AA1151" i="13"/>
  <c r="AT1151" i="13"/>
  <c r="AT1159" i="13"/>
  <c r="AS1159" i="13"/>
  <c r="AB1159" i="13"/>
  <c r="AP1159" i="13"/>
  <c r="AE1159" i="13"/>
  <c r="AA1159" i="13"/>
  <c r="AA1167" i="13"/>
  <c r="AP1167" i="13"/>
  <c r="AB1167" i="13"/>
  <c r="AT1167" i="13"/>
  <c r="AS1167" i="13"/>
  <c r="AE1167" i="13"/>
  <c r="AD1167" i="13"/>
  <c r="AT1175" i="13"/>
  <c r="AS1175" i="13"/>
  <c r="AA1175" i="13"/>
  <c r="AP1175" i="13"/>
  <c r="AE1175" i="13"/>
  <c r="AB1175" i="13"/>
  <c r="AB1183" i="13"/>
  <c r="AA1183" i="13"/>
  <c r="AT1183" i="13"/>
  <c r="AD1183" i="13"/>
  <c r="AS1183" i="13"/>
  <c r="AE1183" i="13"/>
  <c r="AP1183" i="13"/>
  <c r="AT1191" i="13"/>
  <c r="AD1191" i="13"/>
  <c r="AB1191" i="13"/>
  <c r="AP1191" i="13"/>
  <c r="AS1191" i="13"/>
  <c r="AE1191" i="13"/>
  <c r="AA1191" i="13"/>
  <c r="AT1199" i="13"/>
  <c r="AD1199" i="13"/>
  <c r="AS1199" i="13"/>
  <c r="AB1199" i="13"/>
  <c r="AA1199" i="13"/>
  <c r="AP1199" i="13"/>
  <c r="AE1199" i="13"/>
  <c r="F8" i="6"/>
  <c r="J9" i="6"/>
  <c r="C13" i="6"/>
  <c r="D14" i="6"/>
  <c r="F15" i="6"/>
  <c r="C23" i="6"/>
  <c r="C25" i="6"/>
  <c r="D25" i="7"/>
  <c r="C32" i="7"/>
  <c r="D38" i="7"/>
  <c r="P10" i="11"/>
  <c r="AB16" i="13"/>
  <c r="AA16" i="13"/>
  <c r="AP16" i="13"/>
  <c r="AE16" i="13"/>
  <c r="AT16" i="13"/>
  <c r="AS16" i="13"/>
  <c r="AB24" i="13"/>
  <c r="AA24" i="13"/>
  <c r="AP24" i="13"/>
  <c r="AE24" i="13"/>
  <c r="AT24" i="13"/>
  <c r="AD24" i="13"/>
  <c r="AS24" i="13"/>
  <c r="AB32" i="13"/>
  <c r="AA32" i="13"/>
  <c r="AP32" i="13"/>
  <c r="AE32" i="13"/>
  <c r="AT32" i="13"/>
  <c r="AD32" i="13"/>
  <c r="AS32" i="13"/>
  <c r="AB40" i="13"/>
  <c r="AA40" i="13"/>
  <c r="AP40" i="13"/>
  <c r="AE40" i="13"/>
  <c r="AT40" i="13"/>
  <c r="AD40" i="13"/>
  <c r="AS40" i="13"/>
  <c r="AB48" i="13"/>
  <c r="AA48" i="13"/>
  <c r="AP48" i="13"/>
  <c r="AE48" i="13"/>
  <c r="AT48" i="13"/>
  <c r="AD48" i="13"/>
  <c r="AS48" i="13"/>
  <c r="AB56" i="13"/>
  <c r="AA56" i="13"/>
  <c r="AP56" i="13"/>
  <c r="AE56" i="13"/>
  <c r="AT56" i="13"/>
  <c r="AS56" i="13"/>
  <c r="AA64" i="13"/>
  <c r="AT64" i="13"/>
  <c r="AE64" i="13"/>
  <c r="AP64" i="13"/>
  <c r="AB64" i="13"/>
  <c r="AS64" i="13"/>
  <c r="AA72" i="13"/>
  <c r="AT72" i="13"/>
  <c r="AD72" i="13"/>
  <c r="AS72" i="13"/>
  <c r="AE72" i="13"/>
  <c r="AB72" i="13"/>
  <c r="AP72" i="13"/>
  <c r="AA80" i="13"/>
  <c r="AT80" i="13"/>
  <c r="AD80" i="13"/>
  <c r="AS80" i="13"/>
  <c r="AE80" i="13"/>
  <c r="AB80" i="13"/>
  <c r="AP80" i="13"/>
  <c r="AA88" i="13"/>
  <c r="AT88" i="13"/>
  <c r="AD88" i="13"/>
  <c r="AS88" i="13"/>
  <c r="AE88" i="13"/>
  <c r="AB88" i="13"/>
  <c r="AP88" i="13"/>
  <c r="AA96" i="13"/>
  <c r="AT96" i="13"/>
  <c r="AD96" i="13"/>
  <c r="AS96" i="13"/>
  <c r="AE96" i="13"/>
  <c r="AB96" i="13"/>
  <c r="AP96" i="13"/>
  <c r="AA104" i="13"/>
  <c r="AE104" i="13"/>
  <c r="AT104" i="13"/>
  <c r="AD104" i="13"/>
  <c r="AS104" i="13"/>
  <c r="AB104" i="13"/>
  <c r="AP104" i="13"/>
  <c r="AA112" i="13"/>
  <c r="AE112" i="13"/>
  <c r="AT112" i="13"/>
  <c r="AD112" i="13"/>
  <c r="AS112" i="13"/>
  <c r="AB112" i="13"/>
  <c r="AP112" i="13"/>
  <c r="AA120" i="13"/>
  <c r="AE120" i="13"/>
  <c r="AT120" i="13"/>
  <c r="AD120" i="13"/>
  <c r="AS120" i="13"/>
  <c r="AP120" i="13"/>
  <c r="AB120" i="13"/>
  <c r="AA128" i="13"/>
  <c r="AE128" i="13"/>
  <c r="AT128" i="13"/>
  <c r="AD128" i="13"/>
  <c r="AS128" i="13"/>
  <c r="AB128" i="13"/>
  <c r="AP128" i="13"/>
  <c r="AA136" i="13"/>
  <c r="AE136" i="13"/>
  <c r="AT136" i="13"/>
  <c r="AD136" i="13"/>
  <c r="AS136" i="13"/>
  <c r="AP136" i="13"/>
  <c r="AB136" i="13"/>
  <c r="AA144" i="13"/>
  <c r="AP144" i="13"/>
  <c r="AE144" i="13"/>
  <c r="AT144" i="13"/>
  <c r="AD144" i="13"/>
  <c r="AS144" i="13"/>
  <c r="AB144" i="13"/>
  <c r="AA152" i="13"/>
  <c r="AP152" i="13"/>
  <c r="AE152" i="13"/>
  <c r="AT152" i="13"/>
  <c r="AD152" i="13"/>
  <c r="AS152" i="13"/>
  <c r="AB152" i="13"/>
  <c r="AA160" i="13"/>
  <c r="AP160" i="13"/>
  <c r="AE160" i="13"/>
  <c r="AT160" i="13"/>
  <c r="AD160" i="13"/>
  <c r="AS160" i="13"/>
  <c r="AB160" i="13"/>
  <c r="AA168" i="13"/>
  <c r="AP168" i="13"/>
  <c r="AE168" i="13"/>
  <c r="AT168" i="13"/>
  <c r="AD168" i="13"/>
  <c r="AS168" i="13"/>
  <c r="AB168" i="13"/>
  <c r="AB176" i="13"/>
  <c r="AP176" i="13"/>
  <c r="AT176" i="13"/>
  <c r="AE176" i="13"/>
  <c r="AS176" i="13"/>
  <c r="AA176" i="13"/>
  <c r="AB184" i="13"/>
  <c r="AP184" i="13"/>
  <c r="AT184" i="13"/>
  <c r="AE184" i="13"/>
  <c r="AS184" i="13"/>
  <c r="AA184" i="13"/>
  <c r="AB192" i="13"/>
  <c r="AP192" i="13"/>
  <c r="AT192" i="13"/>
  <c r="AD192" i="13"/>
  <c r="AE192" i="13"/>
  <c r="AS192" i="13"/>
  <c r="AA192" i="13"/>
  <c r="AB200" i="13"/>
  <c r="AP200" i="13"/>
  <c r="AT200" i="13"/>
  <c r="AD200" i="13"/>
  <c r="AE200" i="13"/>
  <c r="AS200" i="13"/>
  <c r="AA200" i="13"/>
  <c r="AB208" i="13"/>
  <c r="AP208" i="13"/>
  <c r="AE208" i="13"/>
  <c r="AT208" i="13"/>
  <c r="AD208" i="13"/>
  <c r="AA208" i="13"/>
  <c r="AS208" i="13"/>
  <c r="AB216" i="13"/>
  <c r="AA216" i="13"/>
  <c r="AP216" i="13"/>
  <c r="AE216" i="13"/>
  <c r="AT216" i="13"/>
  <c r="AD216" i="13"/>
  <c r="AS216" i="13"/>
  <c r="AB224" i="13"/>
  <c r="AA224" i="13"/>
  <c r="AP224" i="13"/>
  <c r="AE224" i="13"/>
  <c r="AT224" i="13"/>
  <c r="AD224" i="13"/>
  <c r="AS224" i="13"/>
  <c r="AB232" i="13"/>
  <c r="AA232" i="13"/>
  <c r="AP232" i="13"/>
  <c r="AE232" i="13"/>
  <c r="AT232" i="13"/>
  <c r="AD232" i="13"/>
  <c r="AS232" i="13"/>
  <c r="AB240" i="13"/>
  <c r="AA240" i="13"/>
  <c r="AP240" i="13"/>
  <c r="AE240" i="13"/>
  <c r="AT240" i="13"/>
  <c r="AD240" i="13"/>
  <c r="AS240" i="13"/>
  <c r="AB248" i="13"/>
  <c r="AA248" i="13"/>
  <c r="AP248" i="13"/>
  <c r="AE248" i="13"/>
  <c r="AT248" i="13"/>
  <c r="AD248" i="13"/>
  <c r="AS248" i="13"/>
  <c r="AB256" i="13"/>
  <c r="AA256" i="13"/>
  <c r="AP256" i="13"/>
  <c r="AE256" i="13"/>
  <c r="AT256" i="13"/>
  <c r="AD256" i="13"/>
  <c r="AS256" i="13"/>
  <c r="AB264" i="13"/>
  <c r="AA264" i="13"/>
  <c r="AP264" i="13"/>
  <c r="AE264" i="13"/>
  <c r="AT264" i="13"/>
  <c r="AD264" i="13"/>
  <c r="AS264" i="13"/>
  <c r="AT272" i="13"/>
  <c r="AD272" i="13"/>
  <c r="AS272" i="13"/>
  <c r="AP272" i="13"/>
  <c r="AE272" i="13"/>
  <c r="AB272" i="13"/>
  <c r="AA272" i="13"/>
  <c r="AT280" i="13"/>
  <c r="AD280" i="13"/>
  <c r="AS280" i="13"/>
  <c r="AB280" i="13"/>
  <c r="AA280" i="13"/>
  <c r="AP280" i="13"/>
  <c r="AE280" i="13"/>
  <c r="AP288" i="13"/>
  <c r="AT288" i="13"/>
  <c r="AD288" i="13"/>
  <c r="AS288" i="13"/>
  <c r="AB288" i="13"/>
  <c r="AA288" i="13"/>
  <c r="AE288" i="13"/>
  <c r="AP296" i="13"/>
  <c r="AT296" i="13"/>
  <c r="AD296" i="13"/>
  <c r="AS296" i="13"/>
  <c r="AE296" i="13"/>
  <c r="AB296" i="13"/>
  <c r="AA296" i="13"/>
  <c r="AP304" i="13"/>
  <c r="AT304" i="13"/>
  <c r="AS304" i="13"/>
  <c r="AB304" i="13"/>
  <c r="AA304" i="13"/>
  <c r="AE304" i="13"/>
  <c r="AP312" i="13"/>
  <c r="AE312" i="13"/>
  <c r="AT312" i="13"/>
  <c r="AS312" i="13"/>
  <c r="AB312" i="13"/>
  <c r="AA312" i="13"/>
  <c r="AP320" i="13"/>
  <c r="AE320" i="13"/>
  <c r="AT320" i="13"/>
  <c r="AS320" i="13"/>
  <c r="AA320" i="13"/>
  <c r="AB320" i="13"/>
  <c r="AP328" i="13"/>
  <c r="AE328" i="13"/>
  <c r="AT328" i="13"/>
  <c r="AS328" i="13"/>
  <c r="AB328" i="13"/>
  <c r="AA328" i="13"/>
  <c r="AP336" i="13"/>
  <c r="AE336" i="13"/>
  <c r="AT336" i="13"/>
  <c r="AD336" i="13"/>
  <c r="AS336" i="13"/>
  <c r="AB336" i="13"/>
  <c r="AA336" i="13"/>
  <c r="AA344" i="13"/>
  <c r="AE344" i="13"/>
  <c r="AD344" i="13"/>
  <c r="AB344" i="13"/>
  <c r="AT344" i="13"/>
  <c r="AS344" i="13"/>
  <c r="AP344" i="13"/>
  <c r="AA352" i="13"/>
  <c r="AE352" i="13"/>
  <c r="AD352" i="13"/>
  <c r="AB352" i="13"/>
  <c r="AT352" i="13"/>
  <c r="AS352" i="13"/>
  <c r="AP352" i="13"/>
  <c r="AA360" i="13"/>
  <c r="AE360" i="13"/>
  <c r="AD360" i="13"/>
  <c r="AB360" i="13"/>
  <c r="AT360" i="13"/>
  <c r="AS360" i="13"/>
  <c r="AP360" i="13"/>
  <c r="AA368" i="13"/>
  <c r="AE368" i="13"/>
  <c r="AB368" i="13"/>
  <c r="AT368" i="13"/>
  <c r="AS368" i="13"/>
  <c r="AP368" i="13"/>
  <c r="AA376" i="13"/>
  <c r="AE376" i="13"/>
  <c r="AB376" i="13"/>
  <c r="AT376" i="13"/>
  <c r="AS376" i="13"/>
  <c r="AP376" i="13"/>
  <c r="AA384" i="13"/>
  <c r="AE384" i="13"/>
  <c r="AD384" i="13"/>
  <c r="AB384" i="13"/>
  <c r="AT384" i="13"/>
  <c r="AS384" i="13"/>
  <c r="AP384" i="13"/>
  <c r="AA392" i="13"/>
  <c r="AE392" i="13"/>
  <c r="AB392" i="13"/>
  <c r="AT392" i="13"/>
  <c r="AS392" i="13"/>
  <c r="AP392" i="13"/>
  <c r="AA400" i="13"/>
  <c r="AE400" i="13"/>
  <c r="AB400" i="13"/>
  <c r="AT400" i="13"/>
  <c r="AS400" i="13"/>
  <c r="AP400" i="13"/>
  <c r="AS408" i="13"/>
  <c r="AB408" i="13"/>
  <c r="AA408" i="13"/>
  <c r="AE408" i="13"/>
  <c r="AP408" i="13"/>
  <c r="AD408" i="13"/>
  <c r="AT408" i="13"/>
  <c r="AS416" i="13"/>
  <c r="AB416" i="13"/>
  <c r="AA416" i="13"/>
  <c r="AE416" i="13"/>
  <c r="AT416" i="13"/>
  <c r="AD416" i="13"/>
  <c r="AP416" i="13"/>
  <c r="AS424" i="13"/>
  <c r="AB424" i="13"/>
  <c r="AA424" i="13"/>
  <c r="AP424" i="13"/>
  <c r="AE424" i="13"/>
  <c r="AD424" i="13"/>
  <c r="AT424" i="13"/>
  <c r="AS432" i="13"/>
  <c r="AB432" i="13"/>
  <c r="AA432" i="13"/>
  <c r="AP432" i="13"/>
  <c r="AE432" i="13"/>
  <c r="AT432" i="13"/>
  <c r="AD432" i="13"/>
  <c r="AS440" i="13"/>
  <c r="AB440" i="13"/>
  <c r="AA440" i="13"/>
  <c r="AP440" i="13"/>
  <c r="AE440" i="13"/>
  <c r="AD440" i="13"/>
  <c r="AT440" i="13"/>
  <c r="AS448" i="13"/>
  <c r="AB448" i="13"/>
  <c r="AA448" i="13"/>
  <c r="AP448" i="13"/>
  <c r="AE448" i="13"/>
  <c r="AD448" i="13"/>
  <c r="AT448" i="13"/>
  <c r="AS456" i="13"/>
  <c r="AB456" i="13"/>
  <c r="AA456" i="13"/>
  <c r="AP456" i="13"/>
  <c r="AE456" i="13"/>
  <c r="AT456" i="13"/>
  <c r="AD456" i="13"/>
  <c r="AS464" i="13"/>
  <c r="AB464" i="13"/>
  <c r="AA464" i="13"/>
  <c r="AP464" i="13"/>
  <c r="AE464" i="13"/>
  <c r="AT464" i="13"/>
  <c r="AD464" i="13"/>
  <c r="AS472" i="13"/>
  <c r="AA472" i="13"/>
  <c r="AP472" i="13"/>
  <c r="AT472" i="13"/>
  <c r="AE472" i="13"/>
  <c r="AD472" i="13"/>
  <c r="AB472" i="13"/>
  <c r="AS480" i="13"/>
  <c r="AA480" i="13"/>
  <c r="AT480" i="13"/>
  <c r="AE480" i="13"/>
  <c r="AD480" i="13"/>
  <c r="AB480" i="13"/>
  <c r="AP480" i="13"/>
  <c r="AS488" i="13"/>
  <c r="AA488" i="13"/>
  <c r="AE488" i="13"/>
  <c r="AD488" i="13"/>
  <c r="AT488" i="13"/>
  <c r="AB488" i="13"/>
  <c r="AP488" i="13"/>
  <c r="AS496" i="13"/>
  <c r="AB496" i="13"/>
  <c r="AA496" i="13"/>
  <c r="AP496" i="13"/>
  <c r="AE496" i="13"/>
  <c r="AD496" i="13"/>
  <c r="AT496" i="13"/>
  <c r="AS504" i="13"/>
  <c r="AB504" i="13"/>
  <c r="AA504" i="13"/>
  <c r="AP504" i="13"/>
  <c r="AE504" i="13"/>
  <c r="AT504" i="13"/>
  <c r="AD504" i="13"/>
  <c r="AS512" i="13"/>
  <c r="AB512" i="13"/>
  <c r="AA512" i="13"/>
  <c r="AP512" i="13"/>
  <c r="AE512" i="13"/>
  <c r="AD512" i="13"/>
  <c r="AT512" i="13"/>
  <c r="AS520" i="13"/>
  <c r="AB520" i="13"/>
  <c r="AA520" i="13"/>
  <c r="AP520" i="13"/>
  <c r="AE520" i="13"/>
  <c r="AT520" i="13"/>
  <c r="AD520" i="13"/>
  <c r="AS528" i="13"/>
  <c r="AB528" i="13"/>
  <c r="AA528" i="13"/>
  <c r="AP528" i="13"/>
  <c r="AE528" i="13"/>
  <c r="AT528" i="13"/>
  <c r="AD528" i="13"/>
  <c r="AT536" i="13"/>
  <c r="AD536" i="13"/>
  <c r="AA536" i="13"/>
  <c r="AS536" i="13"/>
  <c r="AE536" i="13"/>
  <c r="AP536" i="13"/>
  <c r="AB536" i="13"/>
  <c r="AT544" i="13"/>
  <c r="AS544" i="13"/>
  <c r="AB544" i="13"/>
  <c r="AA544" i="13"/>
  <c r="AE544" i="13"/>
  <c r="AP544" i="13"/>
  <c r="AT552" i="13"/>
  <c r="AS552" i="13"/>
  <c r="AB552" i="13"/>
  <c r="AA552" i="13"/>
  <c r="AE552" i="13"/>
  <c r="AP552" i="13"/>
  <c r="AT560" i="13"/>
  <c r="AS560" i="13"/>
  <c r="AB560" i="13"/>
  <c r="AA560" i="13"/>
  <c r="AP560" i="13"/>
  <c r="AE560" i="13"/>
  <c r="AT568" i="13"/>
  <c r="AS568" i="13"/>
  <c r="AB568" i="13"/>
  <c r="AA568" i="13"/>
  <c r="AP568" i="13"/>
  <c r="AE568" i="13"/>
  <c r="AT576" i="13"/>
  <c r="AS576" i="13"/>
  <c r="AB576" i="13"/>
  <c r="AA576" i="13"/>
  <c r="AE576" i="13"/>
  <c r="AP576" i="13"/>
  <c r="AT584" i="13"/>
  <c r="AS584" i="13"/>
  <c r="AB584" i="13"/>
  <c r="AA584" i="13"/>
  <c r="AE584" i="13"/>
  <c r="AP584" i="13"/>
  <c r="AT592" i="13"/>
  <c r="AS592" i="13"/>
  <c r="AB592" i="13"/>
  <c r="AA592" i="13"/>
  <c r="AE592" i="13"/>
  <c r="AP592" i="13"/>
  <c r="AT600" i="13"/>
  <c r="AS600" i="13"/>
  <c r="AB600" i="13"/>
  <c r="AA600" i="13"/>
  <c r="AE600" i="13"/>
  <c r="AP600" i="13"/>
  <c r="AT608" i="13"/>
  <c r="AS608" i="13"/>
  <c r="AB608" i="13"/>
  <c r="AA608" i="13"/>
  <c r="AE608" i="13"/>
  <c r="AP608" i="13"/>
  <c r="AT616" i="13"/>
  <c r="AS616" i="13"/>
  <c r="AB616" i="13"/>
  <c r="AA616" i="13"/>
  <c r="AE616" i="13"/>
  <c r="AP616" i="13"/>
  <c r="AT624" i="13"/>
  <c r="AS624" i="13"/>
  <c r="AB624" i="13"/>
  <c r="AA624" i="13"/>
  <c r="AE624" i="13"/>
  <c r="AP624" i="13"/>
  <c r="AT632" i="13"/>
  <c r="AD632" i="13"/>
  <c r="AB632" i="13"/>
  <c r="AA632" i="13"/>
  <c r="AS632" i="13"/>
  <c r="AP632" i="13"/>
  <c r="AE632" i="13"/>
  <c r="AT640" i="13"/>
  <c r="AD640" i="13"/>
  <c r="AA640" i="13"/>
  <c r="AS640" i="13"/>
  <c r="AP640" i="13"/>
  <c r="AE640" i="13"/>
  <c r="AB640" i="13"/>
  <c r="AE648" i="13"/>
  <c r="AT648" i="13"/>
  <c r="AD648" i="13"/>
  <c r="AS648" i="13"/>
  <c r="AP648" i="13"/>
  <c r="AB648" i="13"/>
  <c r="AA648" i="13"/>
  <c r="AE656" i="13"/>
  <c r="AT656" i="13"/>
  <c r="AD656" i="13"/>
  <c r="AP656" i="13"/>
  <c r="AB656" i="13"/>
  <c r="AA656" i="13"/>
  <c r="AS656" i="13"/>
  <c r="AA664" i="13"/>
  <c r="AE664" i="13"/>
  <c r="AT664" i="13"/>
  <c r="AD664" i="13"/>
  <c r="AB664" i="13"/>
  <c r="AP664" i="13"/>
  <c r="AS664" i="13"/>
  <c r="AA672" i="13"/>
  <c r="AP672" i="13"/>
  <c r="AE672" i="13"/>
  <c r="AT672" i="13"/>
  <c r="AD672" i="13"/>
  <c r="AS672" i="13"/>
  <c r="AB672" i="13"/>
  <c r="AA680" i="13"/>
  <c r="AP680" i="13"/>
  <c r="AE680" i="13"/>
  <c r="AT680" i="13"/>
  <c r="AS680" i="13"/>
  <c r="AB680" i="13"/>
  <c r="AA688" i="13"/>
  <c r="AP688" i="13"/>
  <c r="AE688" i="13"/>
  <c r="AT688" i="13"/>
  <c r="AD688" i="13"/>
  <c r="AS688" i="13"/>
  <c r="AB688" i="13"/>
  <c r="AA696" i="13"/>
  <c r="AP696" i="13"/>
  <c r="AE696" i="13"/>
  <c r="AT696" i="13"/>
  <c r="AD696" i="13"/>
  <c r="AS696" i="13"/>
  <c r="AB696" i="13"/>
  <c r="AA704" i="13"/>
  <c r="AP704" i="13"/>
  <c r="AE704" i="13"/>
  <c r="AT704" i="13"/>
  <c r="AD704" i="13"/>
  <c r="AS704" i="13"/>
  <c r="AB704" i="13"/>
  <c r="AA712" i="13"/>
  <c r="AP712" i="13"/>
  <c r="AD712" i="13"/>
  <c r="AB712" i="13"/>
  <c r="AT712" i="13"/>
  <c r="AS712" i="13"/>
  <c r="AE712" i="13"/>
  <c r="AB720" i="13"/>
  <c r="AA720" i="13"/>
  <c r="AP720" i="13"/>
  <c r="AT720" i="13"/>
  <c r="AE720" i="13"/>
  <c r="AS720" i="13"/>
  <c r="AD720" i="13"/>
  <c r="AB728" i="13"/>
  <c r="AA728" i="13"/>
  <c r="AP728" i="13"/>
  <c r="AT728" i="13"/>
  <c r="AE728" i="13"/>
  <c r="AS728" i="13"/>
  <c r="AD728" i="13"/>
  <c r="AB736" i="13"/>
  <c r="AA736" i="13"/>
  <c r="AP736" i="13"/>
  <c r="AE736" i="13"/>
  <c r="AD736" i="13"/>
  <c r="AT736" i="13"/>
  <c r="AS736" i="13"/>
  <c r="AB744" i="13"/>
  <c r="AA744" i="13"/>
  <c r="AP744" i="13"/>
  <c r="AT744" i="13"/>
  <c r="AS744" i="13"/>
  <c r="AE744" i="13"/>
  <c r="AD744" i="13"/>
  <c r="AT752" i="13"/>
  <c r="AB752" i="13"/>
  <c r="AA752" i="13"/>
  <c r="AP752" i="13"/>
  <c r="AS752" i="13"/>
  <c r="AE752" i="13"/>
  <c r="AP760" i="13"/>
  <c r="AT760" i="13"/>
  <c r="AD760" i="13"/>
  <c r="AB760" i="13"/>
  <c r="AA760" i="13"/>
  <c r="AS760" i="13"/>
  <c r="AE760" i="13"/>
  <c r="AP768" i="13"/>
  <c r="AT768" i="13"/>
  <c r="AB768" i="13"/>
  <c r="AA768" i="13"/>
  <c r="AS768" i="13"/>
  <c r="AE768" i="13"/>
  <c r="AP776" i="13"/>
  <c r="AE776" i="13"/>
  <c r="AT776" i="13"/>
  <c r="AD776" i="13"/>
  <c r="AS776" i="13"/>
  <c r="AB776" i="13"/>
  <c r="AA776" i="13"/>
  <c r="AB784" i="13"/>
  <c r="AP784" i="13"/>
  <c r="AE784" i="13"/>
  <c r="AT784" i="13"/>
  <c r="AD784" i="13"/>
  <c r="AA784" i="13"/>
  <c r="AS784" i="13"/>
  <c r="AB792" i="13"/>
  <c r="AP792" i="13"/>
  <c r="AE792" i="13"/>
  <c r="AT792" i="13"/>
  <c r="AD792" i="13"/>
  <c r="AA792" i="13"/>
  <c r="AS792" i="13"/>
  <c r="AB800" i="13"/>
  <c r="AP800" i="13"/>
  <c r="AE800" i="13"/>
  <c r="AT800" i="13"/>
  <c r="AA800" i="13"/>
  <c r="AS800" i="13"/>
  <c r="AE808" i="13"/>
  <c r="AS808" i="13"/>
  <c r="AB808" i="13"/>
  <c r="AA808" i="13"/>
  <c r="AP808" i="13"/>
  <c r="AT808" i="13"/>
  <c r="AE816" i="13"/>
  <c r="AS816" i="13"/>
  <c r="AB816" i="13"/>
  <c r="AT816" i="13"/>
  <c r="AA816" i="13"/>
  <c r="AP816" i="13"/>
  <c r="AE824" i="13"/>
  <c r="AS824" i="13"/>
  <c r="AB824" i="13"/>
  <c r="AT824" i="13"/>
  <c r="AA824" i="13"/>
  <c r="AP824" i="13"/>
  <c r="AE832" i="13"/>
  <c r="AS832" i="13"/>
  <c r="AB832" i="13"/>
  <c r="AT832" i="13"/>
  <c r="AP832" i="13"/>
  <c r="AA832" i="13"/>
  <c r="AP840" i="13"/>
  <c r="AE840" i="13"/>
  <c r="AS840" i="13"/>
  <c r="AB840" i="13"/>
  <c r="AA840" i="13"/>
  <c r="AT840" i="13"/>
  <c r="AP848" i="13"/>
  <c r="AE848" i="13"/>
  <c r="AS848" i="13"/>
  <c r="AB848" i="13"/>
  <c r="AT848" i="13"/>
  <c r="AA848" i="13"/>
  <c r="AA856" i="13"/>
  <c r="AP856" i="13"/>
  <c r="AE856" i="13"/>
  <c r="AB856" i="13"/>
  <c r="AT856" i="13"/>
  <c r="AS856" i="13"/>
  <c r="AD856" i="13"/>
  <c r="AA864" i="13"/>
  <c r="AP864" i="13"/>
  <c r="AE864" i="13"/>
  <c r="AT864" i="13"/>
  <c r="AD864" i="13"/>
  <c r="AS864" i="13"/>
  <c r="AB864" i="13"/>
  <c r="AA872" i="13"/>
  <c r="AP872" i="13"/>
  <c r="AE872" i="13"/>
  <c r="AT872" i="13"/>
  <c r="AD872" i="13"/>
  <c r="AS872" i="13"/>
  <c r="AB872" i="13"/>
  <c r="AS880" i="13"/>
  <c r="AB880" i="13"/>
  <c r="AA880" i="13"/>
  <c r="AP880" i="13"/>
  <c r="AE880" i="13"/>
  <c r="AT880" i="13"/>
  <c r="AD880" i="13"/>
  <c r="AS888" i="13"/>
  <c r="AB888" i="13"/>
  <c r="AA888" i="13"/>
  <c r="AP888" i="13"/>
  <c r="AE888" i="13"/>
  <c r="AD888" i="13"/>
  <c r="AT888" i="13"/>
  <c r="AS896" i="13"/>
  <c r="AB896" i="13"/>
  <c r="AA896" i="13"/>
  <c r="AP896" i="13"/>
  <c r="AE896" i="13"/>
  <c r="AT896" i="13"/>
  <c r="AT904" i="13"/>
  <c r="AD904" i="13"/>
  <c r="AP904" i="13"/>
  <c r="AE904" i="13"/>
  <c r="AB904" i="13"/>
  <c r="AA904" i="13"/>
  <c r="AS904" i="13"/>
  <c r="AT912" i="13"/>
  <c r="AD912" i="13"/>
  <c r="AP912" i="13"/>
  <c r="AS912" i="13"/>
  <c r="AE912" i="13"/>
  <c r="AB912" i="13"/>
  <c r="AA912" i="13"/>
  <c r="AT920" i="13"/>
  <c r="AD920" i="13"/>
  <c r="AS920" i="13"/>
  <c r="AP920" i="13"/>
  <c r="AB920" i="13"/>
  <c r="AA920" i="13"/>
  <c r="AE920" i="13"/>
  <c r="AT928" i="13"/>
  <c r="AD928" i="13"/>
  <c r="AS928" i="13"/>
  <c r="AA928" i="13"/>
  <c r="AP928" i="13"/>
  <c r="AE928" i="13"/>
  <c r="AB928" i="13"/>
  <c r="AT936" i="13"/>
  <c r="AD936" i="13"/>
  <c r="AS936" i="13"/>
  <c r="AB936" i="13"/>
  <c r="AA936" i="13"/>
  <c r="AP936" i="13"/>
  <c r="AE936" i="13"/>
  <c r="AT944" i="13"/>
  <c r="AD944" i="13"/>
  <c r="AS944" i="13"/>
  <c r="AB944" i="13"/>
  <c r="AA944" i="13"/>
  <c r="AP944" i="13"/>
  <c r="AE944" i="13"/>
  <c r="AT952" i="13"/>
  <c r="AD952" i="13"/>
  <c r="AS952" i="13"/>
  <c r="AB952" i="13"/>
  <c r="AA952" i="13"/>
  <c r="AP952" i="13"/>
  <c r="AE952" i="13"/>
  <c r="AS960" i="13"/>
  <c r="AP960" i="13"/>
  <c r="AE960" i="13"/>
  <c r="AD960" i="13"/>
  <c r="AB960" i="13"/>
  <c r="AA960" i="13"/>
  <c r="AT960" i="13"/>
  <c r="AT968" i="13"/>
  <c r="AD968" i="13"/>
  <c r="AS968" i="13"/>
  <c r="AB968" i="13"/>
  <c r="AE968" i="13"/>
  <c r="AA968" i="13"/>
  <c r="AP968" i="13"/>
  <c r="AP976" i="13"/>
  <c r="AE976" i="13"/>
  <c r="AT976" i="13"/>
  <c r="AD976" i="13"/>
  <c r="AS976" i="13"/>
  <c r="AB976" i="13"/>
  <c r="AA976" i="13"/>
  <c r="AS984" i="13"/>
  <c r="AT984" i="13"/>
  <c r="AP984" i="13"/>
  <c r="AE984" i="13"/>
  <c r="AB984" i="13"/>
  <c r="AA984" i="13"/>
  <c r="AP992" i="13"/>
  <c r="AE992" i="13"/>
  <c r="AS992" i="13"/>
  <c r="AT992" i="13"/>
  <c r="AB992" i="13"/>
  <c r="AA992" i="13"/>
  <c r="AP1000" i="13"/>
  <c r="AE1000" i="13"/>
  <c r="AS1000" i="13"/>
  <c r="AT1000" i="13"/>
  <c r="AB1000" i="13"/>
  <c r="AA1000" i="13"/>
  <c r="AP1008" i="13"/>
  <c r="AE1008" i="13"/>
  <c r="AS1008" i="13"/>
  <c r="AT1008" i="13"/>
  <c r="AB1008" i="13"/>
  <c r="AA1008" i="13"/>
  <c r="AE1016" i="13"/>
  <c r="AD1016" i="13"/>
  <c r="AT1016" i="13"/>
  <c r="AB1016" i="13"/>
  <c r="AS1016" i="13"/>
  <c r="AA1016" i="13"/>
  <c r="AP1016" i="13"/>
  <c r="AE1024" i="13"/>
  <c r="AS1024" i="13"/>
  <c r="AB1024" i="13"/>
  <c r="AA1024" i="13"/>
  <c r="AP1024" i="13"/>
  <c r="AT1024" i="13"/>
  <c r="AE1032" i="13"/>
  <c r="AS1032" i="13"/>
  <c r="AB1032" i="13"/>
  <c r="AA1032" i="13"/>
  <c r="AP1032" i="13"/>
  <c r="AT1032" i="13"/>
  <c r="AP1040" i="13"/>
  <c r="AE1040" i="13"/>
  <c r="AT1040" i="13"/>
  <c r="AB1040" i="13"/>
  <c r="AS1040" i="13"/>
  <c r="AA1040" i="13"/>
  <c r="AS1048" i="13"/>
  <c r="AA1048" i="13"/>
  <c r="AP1048" i="13"/>
  <c r="AT1048" i="13"/>
  <c r="AE1048" i="13"/>
  <c r="AB1048" i="13"/>
  <c r="AS1056" i="13"/>
  <c r="AA1056" i="13"/>
  <c r="AP1056" i="13"/>
  <c r="AT1056" i="13"/>
  <c r="AE1056" i="13"/>
  <c r="AB1056" i="13"/>
  <c r="AB1064" i="13"/>
  <c r="AT1064" i="13"/>
  <c r="AP1064" i="13"/>
  <c r="AE1064" i="13"/>
  <c r="AA1064" i="13"/>
  <c r="AS1064" i="13"/>
  <c r="AE1072" i="13"/>
  <c r="AA1072" i="13"/>
  <c r="AT1072" i="13"/>
  <c r="AD1072" i="13"/>
  <c r="AS1072" i="13"/>
  <c r="AB1072" i="13"/>
  <c r="AP1072" i="13"/>
  <c r="AA1080" i="13"/>
  <c r="AE1080" i="13"/>
  <c r="AT1080" i="13"/>
  <c r="AS1080" i="13"/>
  <c r="AP1080" i="13"/>
  <c r="AB1080" i="13"/>
  <c r="AP1088" i="13"/>
  <c r="AE1088" i="13"/>
  <c r="AT1088" i="13"/>
  <c r="AS1088" i="13"/>
  <c r="AB1088" i="13"/>
  <c r="AA1088" i="13"/>
  <c r="AS1096" i="13"/>
  <c r="AB1096" i="13"/>
  <c r="AT1096" i="13"/>
  <c r="AE1096" i="13"/>
  <c r="AA1096" i="13"/>
  <c r="AP1096" i="13"/>
  <c r="AS1104" i="13"/>
  <c r="AB1104" i="13"/>
  <c r="AT1104" i="13"/>
  <c r="AP1104" i="13"/>
  <c r="AE1104" i="13"/>
  <c r="AA1104" i="13"/>
  <c r="AT1112" i="13"/>
  <c r="AS1112" i="13"/>
  <c r="AB1112" i="13"/>
  <c r="AP1112" i="13"/>
  <c r="AE1112" i="13"/>
  <c r="AA1112" i="13"/>
  <c r="AB1120" i="13"/>
  <c r="AA1120" i="13"/>
  <c r="AT1120" i="13"/>
  <c r="AS1120" i="13"/>
  <c r="AP1120" i="13"/>
  <c r="AE1120" i="13"/>
  <c r="AD1120" i="13"/>
  <c r="AB1128" i="13"/>
  <c r="AA1128" i="13"/>
  <c r="AT1128" i="13"/>
  <c r="AE1128" i="13"/>
  <c r="AS1128" i="13"/>
  <c r="AP1128" i="13"/>
  <c r="AA1136" i="13"/>
  <c r="AP1136" i="13"/>
  <c r="AE1136" i="13"/>
  <c r="AB1136" i="13"/>
  <c r="AT1136" i="13"/>
  <c r="AS1136" i="13"/>
  <c r="AD1136" i="13"/>
  <c r="AB1144" i="13"/>
  <c r="AA1144" i="13"/>
  <c r="AE1144" i="13"/>
  <c r="AP1144" i="13"/>
  <c r="AT1144" i="13"/>
  <c r="AS1144" i="13"/>
  <c r="AS1152" i="13"/>
  <c r="AB1152" i="13"/>
  <c r="AA1152" i="13"/>
  <c r="AP1152" i="13"/>
  <c r="AT1152" i="13"/>
  <c r="AE1152" i="13"/>
  <c r="AE1160" i="13"/>
  <c r="AT1160" i="13"/>
  <c r="AS1160" i="13"/>
  <c r="AB1160" i="13"/>
  <c r="AA1160" i="13"/>
  <c r="AP1160" i="13"/>
  <c r="AE1168" i="13"/>
  <c r="AS1168" i="13"/>
  <c r="AB1168" i="13"/>
  <c r="AT1168" i="13"/>
  <c r="AP1168" i="13"/>
  <c r="AA1168" i="13"/>
  <c r="AA1176" i="13"/>
  <c r="AT1176" i="13"/>
  <c r="AS1176" i="13"/>
  <c r="AP1176" i="13"/>
  <c r="AE1176" i="13"/>
  <c r="AD1176" i="13"/>
  <c r="AB1176" i="13"/>
  <c r="AT1184" i="13"/>
  <c r="AD1184" i="13"/>
  <c r="AS1184" i="13"/>
  <c r="AA1184" i="13"/>
  <c r="AB1184" i="13"/>
  <c r="AE1184" i="13"/>
  <c r="AP1184" i="13"/>
  <c r="AT1192" i="13"/>
  <c r="AS1192" i="13"/>
  <c r="AB1192" i="13"/>
  <c r="AP1192" i="13"/>
  <c r="AE1192" i="13"/>
  <c r="AA1192" i="13"/>
  <c r="AE1200" i="13"/>
  <c r="AT1200" i="13"/>
  <c r="AS1200" i="13"/>
  <c r="AB1200" i="13"/>
  <c r="AA1200" i="13"/>
  <c r="AP1200" i="13"/>
  <c r="A2" i="5"/>
  <c r="F37" i="7"/>
  <c r="M26" i="7" s="1"/>
  <c r="C36" i="7"/>
  <c r="E34" i="7"/>
  <c r="D31" i="7"/>
  <c r="E27" i="7"/>
  <c r="F26" i="7"/>
  <c r="C21" i="7"/>
  <c r="D20" i="7"/>
  <c r="F15" i="7"/>
  <c r="C14" i="7"/>
  <c r="D37" i="7"/>
  <c r="F35" i="7"/>
  <c r="M24" i="7" s="1"/>
  <c r="C34" i="7"/>
  <c r="E32" i="7"/>
  <c r="C27" i="7"/>
  <c r="D26" i="7"/>
  <c r="E25" i="7"/>
  <c r="F24" i="7"/>
  <c r="D15" i="7"/>
  <c r="F13" i="7"/>
  <c r="G13" i="7" s="1"/>
  <c r="C12" i="7"/>
  <c r="B143" i="7"/>
  <c r="C38" i="7"/>
  <c r="F31" i="7"/>
  <c r="M20" i="7" s="1"/>
  <c r="D27" i="7"/>
  <c r="E21" i="7"/>
  <c r="C20" i="7"/>
  <c r="E35" i="7"/>
  <c r="E31" i="7"/>
  <c r="F23" i="7"/>
  <c r="D21" i="7"/>
  <c r="F16" i="7"/>
  <c r="E37" i="7"/>
  <c r="D35" i="7"/>
  <c r="C31" i="7"/>
  <c r="E23" i="7"/>
  <c r="E16" i="7"/>
  <c r="E14" i="7"/>
  <c r="D12" i="7"/>
  <c r="C37" i="7"/>
  <c r="C35" i="7"/>
  <c r="E24" i="7"/>
  <c r="D23" i="7"/>
  <c r="D16" i="7"/>
  <c r="D14" i="7"/>
  <c r="F32" i="7"/>
  <c r="M21" i="7" s="1"/>
  <c r="F25" i="7"/>
  <c r="D24" i="7"/>
  <c r="C23" i="7"/>
  <c r="C16" i="7"/>
  <c r="C26" i="7"/>
  <c r="D32" i="7"/>
  <c r="E38" i="7"/>
  <c r="D47" i="7"/>
  <c r="O47" i="7" s="1"/>
  <c r="B47" i="7"/>
  <c r="C47" i="7"/>
  <c r="N47" i="7" s="1"/>
  <c r="G126" i="7"/>
  <c r="P3" i="11"/>
  <c r="S3" i="13"/>
  <c r="AJ3" i="13" s="1"/>
  <c r="P4" i="11"/>
  <c r="H4" i="11"/>
  <c r="W4" i="11"/>
  <c r="O4" i="11"/>
  <c r="G4" i="11"/>
  <c r="V4" i="11"/>
  <c r="N4" i="11"/>
  <c r="F4" i="11"/>
  <c r="U4" i="11"/>
  <c r="M4" i="11"/>
  <c r="E4" i="11"/>
  <c r="S4" i="11"/>
  <c r="K4" i="11"/>
  <c r="C4" i="11"/>
  <c r="D131" i="12"/>
  <c r="Z4" i="11"/>
  <c r="J4" i="11"/>
  <c r="B4" i="11"/>
  <c r="S6" i="13"/>
  <c r="BB6" i="13" s="1"/>
  <c r="Y13" i="13"/>
  <c r="Y16" i="13"/>
  <c r="AL17" i="13"/>
  <c r="AK17" i="13"/>
  <c r="AJ17" i="13"/>
  <c r="AI17" i="13"/>
  <c r="AH17" i="13"/>
  <c r="AO17" i="13"/>
  <c r="AN17" i="13"/>
  <c r="AM17" i="13"/>
  <c r="Y19" i="13"/>
  <c r="AJ20" i="13"/>
  <c r="AI20" i="13"/>
  <c r="AH20" i="13"/>
  <c r="AO20" i="13"/>
  <c r="AN20" i="13"/>
  <c r="AM20" i="13"/>
  <c r="AL20" i="13"/>
  <c r="AU22" i="13"/>
  <c r="AC22" i="13"/>
  <c r="AD22" i="13" s="1"/>
  <c r="AR22" i="13"/>
  <c r="AH23" i="13"/>
  <c r="AO23" i="13"/>
  <c r="AN23" i="13"/>
  <c r="AM23" i="13"/>
  <c r="AL23" i="13"/>
  <c r="AK23" i="13"/>
  <c r="AJ23" i="13"/>
  <c r="Y28" i="13"/>
  <c r="AL29" i="13"/>
  <c r="AK29" i="13"/>
  <c r="AJ29" i="13"/>
  <c r="AI29" i="13"/>
  <c r="AH29" i="13"/>
  <c r="AO29" i="13"/>
  <c r="AN29" i="13"/>
  <c r="AM29" i="13"/>
  <c r="X36" i="11"/>
  <c r="P36" i="11"/>
  <c r="H36" i="11"/>
  <c r="W36" i="11"/>
  <c r="O36" i="11"/>
  <c r="G36" i="11"/>
  <c r="V36" i="11"/>
  <c r="N36" i="11"/>
  <c r="F36" i="11"/>
  <c r="U36" i="11"/>
  <c r="M36" i="11"/>
  <c r="E36" i="11"/>
  <c r="T36" i="11"/>
  <c r="L36" i="11"/>
  <c r="D36" i="11"/>
  <c r="S36" i="11"/>
  <c r="K36" i="11"/>
  <c r="C36" i="11"/>
  <c r="BB36" i="13"/>
  <c r="Z36" i="11"/>
  <c r="R36" i="11"/>
  <c r="J36" i="11"/>
  <c r="B36" i="11"/>
  <c r="AU38" i="13"/>
  <c r="AC38" i="13"/>
  <c r="AD38" i="13" s="1"/>
  <c r="AR38" i="13"/>
  <c r="AH39" i="13"/>
  <c r="AO39" i="13"/>
  <c r="AN39" i="13"/>
  <c r="AM39" i="13"/>
  <c r="AL39" i="13"/>
  <c r="AK39" i="13"/>
  <c r="AJ39" i="13"/>
  <c r="Y44" i="13"/>
  <c r="AL45" i="13"/>
  <c r="AK45" i="13"/>
  <c r="AJ45" i="13"/>
  <c r="AI45" i="13"/>
  <c r="AH45" i="13"/>
  <c r="AO45" i="13"/>
  <c r="AN45" i="13"/>
  <c r="AM45" i="13"/>
  <c r="Y47" i="13"/>
  <c r="AJ48" i="13"/>
  <c r="AI48" i="13"/>
  <c r="AH48" i="13"/>
  <c r="AO48" i="13"/>
  <c r="AN48" i="13"/>
  <c r="AM48" i="13"/>
  <c r="AL48" i="13"/>
  <c r="AU50" i="13"/>
  <c r="AC50" i="13"/>
  <c r="AD50" i="13" s="1"/>
  <c r="AR50" i="13"/>
  <c r="AH51" i="13"/>
  <c r="AO51" i="13"/>
  <c r="AN51" i="13"/>
  <c r="AM51" i="13"/>
  <c r="AL51" i="13"/>
  <c r="AK51" i="13"/>
  <c r="AJ51" i="13"/>
  <c r="BA60" i="13"/>
  <c r="X60" i="11"/>
  <c r="P60" i="11"/>
  <c r="H60" i="11"/>
  <c r="W60" i="11"/>
  <c r="O60" i="11"/>
  <c r="G60" i="11"/>
  <c r="V60" i="11"/>
  <c r="N60" i="11"/>
  <c r="F60" i="11"/>
  <c r="U60" i="11"/>
  <c r="M60" i="11"/>
  <c r="E60" i="11"/>
  <c r="T60" i="11"/>
  <c r="L60" i="11"/>
  <c r="D60" i="11"/>
  <c r="S60" i="11"/>
  <c r="K60" i="11"/>
  <c r="C60" i="11"/>
  <c r="Z60" i="11"/>
  <c r="R60" i="11"/>
  <c r="J60" i="11"/>
  <c r="B60" i="11"/>
  <c r="Y62" i="13"/>
  <c r="AM74" i="13"/>
  <c r="AK74" i="13"/>
  <c r="AJ74" i="13"/>
  <c r="AH74" i="13"/>
  <c r="AL74" i="13"/>
  <c r="AI74" i="13"/>
  <c r="AO74" i="13"/>
  <c r="AN74" i="13"/>
  <c r="AI88" i="13"/>
  <c r="AO88" i="13"/>
  <c r="AN88" i="13"/>
  <c r="AL88" i="13"/>
  <c r="AJ88" i="13"/>
  <c r="AH88" i="13"/>
  <c r="AM88" i="13"/>
  <c r="AO131" i="13"/>
  <c r="AM131" i="13"/>
  <c r="AL131" i="13"/>
  <c r="AK131" i="13"/>
  <c r="AJ131" i="13"/>
  <c r="AI131" i="13"/>
  <c r="AN131" i="13"/>
  <c r="AH131" i="13"/>
  <c r="AN174" i="13"/>
  <c r="AL174" i="13"/>
  <c r="AK174" i="13"/>
  <c r="AH174" i="13"/>
  <c r="AO174" i="13"/>
  <c r="AM174" i="13"/>
  <c r="AJ174" i="13"/>
  <c r="AI174" i="13"/>
  <c r="AH327" i="13"/>
  <c r="Y327" i="13"/>
  <c r="P5" i="11"/>
  <c r="AH11" i="13"/>
  <c r="AO11" i="13"/>
  <c r="AN11" i="13"/>
  <c r="AM11" i="13"/>
  <c r="AL11" i="13"/>
  <c r="AK11" i="13"/>
  <c r="AJ11" i="13"/>
  <c r="X20" i="11"/>
  <c r="P20" i="11"/>
  <c r="H20" i="11"/>
  <c r="W20" i="11"/>
  <c r="O20" i="11"/>
  <c r="G20" i="11"/>
  <c r="V20" i="11"/>
  <c r="N20" i="11"/>
  <c r="F20" i="11"/>
  <c r="U20" i="11"/>
  <c r="M20" i="11"/>
  <c r="E20" i="11"/>
  <c r="S20" i="11"/>
  <c r="K20" i="11"/>
  <c r="C20" i="11"/>
  <c r="BB20" i="13"/>
  <c r="Z20" i="11"/>
  <c r="R20" i="11"/>
  <c r="J20" i="11"/>
  <c r="B20" i="11"/>
  <c r="AN22" i="13"/>
  <c r="AM22" i="13"/>
  <c r="AL22" i="13"/>
  <c r="AK22" i="13"/>
  <c r="AJ22" i="13"/>
  <c r="AI22" i="13"/>
  <c r="AH22" i="13"/>
  <c r="AJ32" i="13"/>
  <c r="AI32" i="13"/>
  <c r="AH32" i="13"/>
  <c r="AO32" i="13"/>
  <c r="AN32" i="13"/>
  <c r="AM32" i="13"/>
  <c r="AL32" i="13"/>
  <c r="AN38" i="13"/>
  <c r="AM38" i="13"/>
  <c r="AL38" i="13"/>
  <c r="AK38" i="13"/>
  <c r="AJ38" i="13"/>
  <c r="AI38" i="13"/>
  <c r="AH38" i="13"/>
  <c r="X48" i="11"/>
  <c r="P48" i="11"/>
  <c r="H48" i="11"/>
  <c r="W48" i="11"/>
  <c r="O48" i="11"/>
  <c r="G48" i="11"/>
  <c r="V48" i="11"/>
  <c r="N48" i="11"/>
  <c r="F48" i="11"/>
  <c r="U48" i="11"/>
  <c r="M48" i="11"/>
  <c r="E48" i="11"/>
  <c r="T48" i="11"/>
  <c r="L48" i="11"/>
  <c r="D48" i="11"/>
  <c r="S48" i="11"/>
  <c r="K48" i="11"/>
  <c r="C48" i="11"/>
  <c r="BB48" i="13"/>
  <c r="Z48" i="11"/>
  <c r="R48" i="11"/>
  <c r="J48" i="11"/>
  <c r="B48" i="11"/>
  <c r="AN50" i="13"/>
  <c r="AM50" i="13"/>
  <c r="AL50" i="13"/>
  <c r="AK50" i="13"/>
  <c r="AJ50" i="13"/>
  <c r="AI50" i="13"/>
  <c r="AH50" i="13"/>
  <c r="AR62" i="13"/>
  <c r="AI64" i="13"/>
  <c r="AO64" i="13"/>
  <c r="AL64" i="13"/>
  <c r="AN64" i="13"/>
  <c r="AM64" i="13"/>
  <c r="AK64" i="13"/>
  <c r="AJ64" i="13"/>
  <c r="AI72" i="13"/>
  <c r="AO72" i="13"/>
  <c r="AN72" i="13"/>
  <c r="AL72" i="13"/>
  <c r="AJ72" i="13"/>
  <c r="AH72" i="13"/>
  <c r="AM72" i="13"/>
  <c r="AI80" i="13"/>
  <c r="AO80" i="13"/>
  <c r="AN80" i="13"/>
  <c r="AL80" i="13"/>
  <c r="AJ80" i="13"/>
  <c r="AH80" i="13"/>
  <c r="AM80" i="13"/>
  <c r="AK88" i="13"/>
  <c r="AO171" i="13"/>
  <c r="AN171" i="13"/>
  <c r="AM171" i="13"/>
  <c r="AL171" i="13"/>
  <c r="AK171" i="13"/>
  <c r="AJ171" i="13"/>
  <c r="AI171" i="13"/>
  <c r="AU10" i="13"/>
  <c r="AC10" i="13"/>
  <c r="AD10" i="13" s="1"/>
  <c r="A10" i="11"/>
  <c r="AR10" i="13"/>
  <c r="BA20" i="13"/>
  <c r="Y21" i="13"/>
  <c r="AO22" i="13"/>
  <c r="Y24" i="13"/>
  <c r="AL25" i="13"/>
  <c r="AK25" i="13"/>
  <c r="AJ25" i="13"/>
  <c r="AI25" i="13"/>
  <c r="AH25" i="13"/>
  <c r="AO25" i="13"/>
  <c r="AN25" i="13"/>
  <c r="AM25" i="13"/>
  <c r="X32" i="11"/>
  <c r="P32" i="11"/>
  <c r="H32" i="11"/>
  <c r="W32" i="11"/>
  <c r="O32" i="11"/>
  <c r="G32" i="11"/>
  <c r="V32" i="11"/>
  <c r="N32" i="11"/>
  <c r="F32" i="11"/>
  <c r="U32" i="11"/>
  <c r="M32" i="11"/>
  <c r="E32" i="11"/>
  <c r="T32" i="11"/>
  <c r="L32" i="11"/>
  <c r="D32" i="11"/>
  <c r="S32" i="11"/>
  <c r="K32" i="11"/>
  <c r="C32" i="11"/>
  <c r="BB32" i="13"/>
  <c r="Z32" i="11"/>
  <c r="R32" i="11"/>
  <c r="J32" i="11"/>
  <c r="B32" i="11"/>
  <c r="AU34" i="13"/>
  <c r="AC34" i="13"/>
  <c r="AD34" i="13" s="1"/>
  <c r="AR34" i="13"/>
  <c r="AH35" i="13"/>
  <c r="AO35" i="13"/>
  <c r="AN35" i="13"/>
  <c r="AM35" i="13"/>
  <c r="AL35" i="13"/>
  <c r="AK35" i="13"/>
  <c r="AJ35" i="13"/>
  <c r="AO38" i="13"/>
  <c r="Y40" i="13"/>
  <c r="AL41" i="13"/>
  <c r="AK41" i="13"/>
  <c r="AJ41" i="13"/>
  <c r="AI41" i="13"/>
  <c r="AH41" i="13"/>
  <c r="AO41" i="13"/>
  <c r="AN41" i="13"/>
  <c r="AM41" i="13"/>
  <c r="BA48" i="13"/>
  <c r="Y49" i="13"/>
  <c r="AO50" i="13"/>
  <c r="Y52" i="13"/>
  <c r="AL53" i="13"/>
  <c r="AK53" i="13"/>
  <c r="AJ53" i="13"/>
  <c r="AI53" i="13"/>
  <c r="AH53" i="13"/>
  <c r="AO53" i="13"/>
  <c r="AN53" i="13"/>
  <c r="AM53" i="13"/>
  <c r="Y55" i="13"/>
  <c r="AJ56" i="13"/>
  <c r="AI56" i="13"/>
  <c r="AH56" i="13"/>
  <c r="AO56" i="13"/>
  <c r="AN56" i="13"/>
  <c r="AM56" i="13"/>
  <c r="AL56" i="13"/>
  <c r="AU58" i="13"/>
  <c r="AC58" i="13"/>
  <c r="AD58" i="13" s="1"/>
  <c r="AR58" i="13"/>
  <c r="AH59" i="13"/>
  <c r="AO59" i="13"/>
  <c r="AN59" i="13"/>
  <c r="AM59" i="13"/>
  <c r="AL59" i="13"/>
  <c r="AK59" i="13"/>
  <c r="AJ59" i="13"/>
  <c r="BB60" i="13"/>
  <c r="Y61" i="13"/>
  <c r="AH61" i="13"/>
  <c r="AH64" i="13"/>
  <c r="AR67" i="13"/>
  <c r="Z67" i="13"/>
  <c r="AI68" i="13"/>
  <c r="AO68" i="13"/>
  <c r="AL68" i="13"/>
  <c r="AN68" i="13"/>
  <c r="AM68" i="13"/>
  <c r="AK68" i="13"/>
  <c r="AJ68" i="13"/>
  <c r="AK72" i="13"/>
  <c r="Y102" i="13"/>
  <c r="AO163" i="13"/>
  <c r="AN163" i="13"/>
  <c r="AM163" i="13"/>
  <c r="AL163" i="13"/>
  <c r="AK163" i="13"/>
  <c r="AJ163" i="13"/>
  <c r="AI163" i="13"/>
  <c r="AH3" i="13"/>
  <c r="AO3" i="13"/>
  <c r="AN3" i="13"/>
  <c r="AM3" i="13"/>
  <c r="AL3" i="13"/>
  <c r="AK3" i="13"/>
  <c r="Y7" i="13"/>
  <c r="P7" i="11"/>
  <c r="BB7" i="13"/>
  <c r="D95" i="6" s="1"/>
  <c r="P8" i="11"/>
  <c r="H8" i="11"/>
  <c r="W8" i="11"/>
  <c r="O8" i="11"/>
  <c r="G8" i="11"/>
  <c r="V8" i="11"/>
  <c r="N8" i="11"/>
  <c r="F8" i="11"/>
  <c r="U8" i="11"/>
  <c r="M8" i="11"/>
  <c r="E8" i="11"/>
  <c r="S8" i="11"/>
  <c r="K8" i="11"/>
  <c r="C8" i="11"/>
  <c r="Z8" i="11"/>
  <c r="J8" i="11"/>
  <c r="B8" i="11"/>
  <c r="S10" i="13"/>
  <c r="R10" i="11" s="1"/>
  <c r="Y12" i="13"/>
  <c r="AL13" i="13"/>
  <c r="AK13" i="13"/>
  <c r="AJ13" i="13"/>
  <c r="AI13" i="13"/>
  <c r="AH13" i="13"/>
  <c r="AO13" i="13"/>
  <c r="AN13" i="13"/>
  <c r="AM13" i="13"/>
  <c r="AJ16" i="13"/>
  <c r="AI16" i="13"/>
  <c r="AH16" i="13"/>
  <c r="AO16" i="13"/>
  <c r="AN16" i="13"/>
  <c r="AM16" i="13"/>
  <c r="AL16" i="13"/>
  <c r="AU18" i="13"/>
  <c r="AC18" i="13"/>
  <c r="AD18" i="13" s="1"/>
  <c r="AR18" i="13"/>
  <c r="AH19" i="13"/>
  <c r="AO19" i="13"/>
  <c r="AN19" i="13"/>
  <c r="AM19" i="13"/>
  <c r="AL19" i="13"/>
  <c r="AK19" i="13"/>
  <c r="AJ19" i="13"/>
  <c r="AJ28" i="13"/>
  <c r="AI28" i="13"/>
  <c r="AH28" i="13"/>
  <c r="AO28" i="13"/>
  <c r="AN28" i="13"/>
  <c r="AM28" i="13"/>
  <c r="AL28" i="13"/>
  <c r="Y33" i="13"/>
  <c r="AN34" i="13"/>
  <c r="AM34" i="13"/>
  <c r="AL34" i="13"/>
  <c r="AK34" i="13"/>
  <c r="AJ34" i="13"/>
  <c r="AI34" i="13"/>
  <c r="AH34" i="13"/>
  <c r="Y43" i="13"/>
  <c r="AJ44" i="13"/>
  <c r="AI44" i="13"/>
  <c r="AH44" i="13"/>
  <c r="AO44" i="13"/>
  <c r="AN44" i="13"/>
  <c r="AM44" i="13"/>
  <c r="AL44" i="13"/>
  <c r="AU46" i="13"/>
  <c r="AC46" i="13"/>
  <c r="AD46" i="13" s="1"/>
  <c r="AR46" i="13"/>
  <c r="AH47" i="13"/>
  <c r="AO47" i="13"/>
  <c r="AN47" i="13"/>
  <c r="AM47" i="13"/>
  <c r="AL47" i="13"/>
  <c r="AK47" i="13"/>
  <c r="AJ47" i="13"/>
  <c r="X56" i="11"/>
  <c r="P56" i="11"/>
  <c r="H56" i="11"/>
  <c r="W56" i="11"/>
  <c r="O56" i="11"/>
  <c r="G56" i="11"/>
  <c r="V56" i="11"/>
  <c r="N56" i="11"/>
  <c r="F56" i="11"/>
  <c r="U56" i="11"/>
  <c r="M56" i="11"/>
  <c r="E56" i="11"/>
  <c r="T56" i="11"/>
  <c r="L56" i="11"/>
  <c r="D56" i="11"/>
  <c r="S56" i="11"/>
  <c r="K56" i="11"/>
  <c r="C56" i="11"/>
  <c r="BB56" i="13"/>
  <c r="Z56" i="11"/>
  <c r="R56" i="11"/>
  <c r="J56" i="11"/>
  <c r="B56" i="11"/>
  <c r="AN58" i="13"/>
  <c r="AM58" i="13"/>
  <c r="AL58" i="13"/>
  <c r="AK58" i="13"/>
  <c r="AJ58" i="13"/>
  <c r="AI58" i="13"/>
  <c r="AH58" i="13"/>
  <c r="AM62" i="13"/>
  <c r="AK62" i="13"/>
  <c r="AN62" i="13"/>
  <c r="AL62" i="13"/>
  <c r="AJ62" i="13"/>
  <c r="AI62" i="13"/>
  <c r="AH62" i="13"/>
  <c r="AO62" i="13"/>
  <c r="AI120" i="13"/>
  <c r="AO120" i="13"/>
  <c r="AN120" i="13"/>
  <c r="AM120" i="13"/>
  <c r="AL120" i="13"/>
  <c r="AK120" i="13"/>
  <c r="AJ120" i="13"/>
  <c r="AH120" i="13"/>
  <c r="AO155" i="13"/>
  <c r="AN155" i="13"/>
  <c r="AM155" i="13"/>
  <c r="AL155" i="13"/>
  <c r="AK155" i="13"/>
  <c r="AJ155" i="13"/>
  <c r="AI155" i="13"/>
  <c r="AJ264" i="13"/>
  <c r="AI264" i="13"/>
  <c r="AH264" i="13"/>
  <c r="AO264" i="13"/>
  <c r="AN264" i="13"/>
  <c r="AM264" i="13"/>
  <c r="AL264" i="13"/>
  <c r="AK264" i="13"/>
  <c r="AU2" i="13"/>
  <c r="AC2" i="13"/>
  <c r="A2" i="11"/>
  <c r="AR2" i="13"/>
  <c r="AL5" i="13"/>
  <c r="AK5" i="13"/>
  <c r="AI5" i="13"/>
  <c r="AH5" i="13"/>
  <c r="AO5" i="13"/>
  <c r="AN5" i="13"/>
  <c r="AM5" i="13"/>
  <c r="AU7" i="13"/>
  <c r="P9" i="11"/>
  <c r="X16" i="11"/>
  <c r="P16" i="11"/>
  <c r="H16" i="11"/>
  <c r="W16" i="11"/>
  <c r="O16" i="11"/>
  <c r="G16" i="11"/>
  <c r="V16" i="11"/>
  <c r="N16" i="11"/>
  <c r="F16" i="11"/>
  <c r="U16" i="11"/>
  <c r="M16" i="11"/>
  <c r="E16" i="11"/>
  <c r="S16" i="11"/>
  <c r="K16" i="11"/>
  <c r="C16" i="11"/>
  <c r="BB16" i="13"/>
  <c r="Z16" i="11"/>
  <c r="R16" i="11"/>
  <c r="J16" i="11"/>
  <c r="B16" i="11"/>
  <c r="AN18" i="13"/>
  <c r="AM18" i="13"/>
  <c r="AL18" i="13"/>
  <c r="AK18" i="13"/>
  <c r="AJ18" i="13"/>
  <c r="AI18" i="13"/>
  <c r="AH18" i="13"/>
  <c r="X28" i="11"/>
  <c r="P28" i="11"/>
  <c r="H28" i="11"/>
  <c r="W28" i="11"/>
  <c r="O28" i="11"/>
  <c r="G28" i="11"/>
  <c r="V28" i="11"/>
  <c r="N28" i="11"/>
  <c r="F28" i="11"/>
  <c r="U28" i="11"/>
  <c r="M28" i="11"/>
  <c r="E28" i="11"/>
  <c r="S28" i="11"/>
  <c r="K28" i="11"/>
  <c r="C28" i="11"/>
  <c r="BB28" i="13"/>
  <c r="Z28" i="11"/>
  <c r="R28" i="11"/>
  <c r="J28" i="11"/>
  <c r="B28" i="11"/>
  <c r="AU30" i="13"/>
  <c r="AC30" i="13"/>
  <c r="AD30" i="13" s="1"/>
  <c r="AR30" i="13"/>
  <c r="AH31" i="13"/>
  <c r="AO31" i="13"/>
  <c r="AN31" i="13"/>
  <c r="AM31" i="13"/>
  <c r="AL31" i="13"/>
  <c r="AK31" i="13"/>
  <c r="AJ31" i="13"/>
  <c r="AO34" i="13"/>
  <c r="Y36" i="13"/>
  <c r="AL37" i="13"/>
  <c r="AK37" i="13"/>
  <c r="AJ37" i="13"/>
  <c r="AI37" i="13"/>
  <c r="AH37" i="13"/>
  <c r="AO37" i="13"/>
  <c r="AN37" i="13"/>
  <c r="AM37" i="13"/>
  <c r="X44" i="11"/>
  <c r="P44" i="11"/>
  <c r="H44" i="11"/>
  <c r="W44" i="11"/>
  <c r="O44" i="11"/>
  <c r="G44" i="11"/>
  <c r="V44" i="11"/>
  <c r="N44" i="11"/>
  <c r="F44" i="11"/>
  <c r="U44" i="11"/>
  <c r="M44" i="11"/>
  <c r="E44" i="11"/>
  <c r="T44" i="11"/>
  <c r="L44" i="11"/>
  <c r="D44" i="11"/>
  <c r="S44" i="11"/>
  <c r="K44" i="11"/>
  <c r="C44" i="11"/>
  <c r="BB44" i="13"/>
  <c r="Z44" i="11"/>
  <c r="R44" i="11"/>
  <c r="J44" i="11"/>
  <c r="B44" i="11"/>
  <c r="AN46" i="13"/>
  <c r="AM46" i="13"/>
  <c r="AL46" i="13"/>
  <c r="AK46" i="13"/>
  <c r="AJ46" i="13"/>
  <c r="AI46" i="13"/>
  <c r="AH46" i="13"/>
  <c r="BA56" i="13"/>
  <c r="Y57" i="13"/>
  <c r="AO58" i="13"/>
  <c r="AN61" i="13"/>
  <c r="Y82" i="13"/>
  <c r="Y86" i="13"/>
  <c r="Y97" i="13"/>
  <c r="Y101" i="13"/>
  <c r="Y116" i="13"/>
  <c r="AH116" i="13"/>
  <c r="AO147" i="13"/>
  <c r="AN147" i="13"/>
  <c r="AM147" i="13"/>
  <c r="AL147" i="13"/>
  <c r="AK147" i="13"/>
  <c r="AJ147" i="13"/>
  <c r="AI147" i="13"/>
  <c r="AL197" i="13"/>
  <c r="AJ197" i="13"/>
  <c r="AI197" i="13"/>
  <c r="AN197" i="13"/>
  <c r="AO197" i="13"/>
  <c r="AM197" i="13"/>
  <c r="AK197" i="13"/>
  <c r="AH197" i="13"/>
  <c r="S2" i="13"/>
  <c r="BA2" i="13" s="1"/>
  <c r="Y17" i="13"/>
  <c r="Y20" i="13"/>
  <c r="AL21" i="13"/>
  <c r="AK21" i="13"/>
  <c r="AJ21" i="13"/>
  <c r="AI21" i="13"/>
  <c r="AH21" i="13"/>
  <c r="AO21" i="13"/>
  <c r="AN21" i="13"/>
  <c r="AM21" i="13"/>
  <c r="Y23" i="13"/>
  <c r="AJ24" i="13"/>
  <c r="AI24" i="13"/>
  <c r="AH24" i="13"/>
  <c r="AO24" i="13"/>
  <c r="AN24" i="13"/>
  <c r="AM24" i="13"/>
  <c r="AL24" i="13"/>
  <c r="Y29" i="13"/>
  <c r="AN30" i="13"/>
  <c r="AM30" i="13"/>
  <c r="AL30" i="13"/>
  <c r="AK30" i="13"/>
  <c r="AJ30" i="13"/>
  <c r="AI30" i="13"/>
  <c r="AH30" i="13"/>
  <c r="Y39" i="13"/>
  <c r="AJ40" i="13"/>
  <c r="AI40" i="13"/>
  <c r="AH40" i="13"/>
  <c r="AO40" i="13"/>
  <c r="AN40" i="13"/>
  <c r="AM40" i="13"/>
  <c r="AL40" i="13"/>
  <c r="BA44" i="13"/>
  <c r="Y45" i="13"/>
  <c r="AO46" i="13"/>
  <c r="Y48" i="13"/>
  <c r="AL49" i="13"/>
  <c r="AK49" i="13"/>
  <c r="AJ49" i="13"/>
  <c r="AI49" i="13"/>
  <c r="AH49" i="13"/>
  <c r="AO49" i="13"/>
  <c r="AN49" i="13"/>
  <c r="AM49" i="13"/>
  <c r="Y51" i="13"/>
  <c r="AJ52" i="13"/>
  <c r="AI52" i="13"/>
  <c r="AH52" i="13"/>
  <c r="AO52" i="13"/>
  <c r="AN52" i="13"/>
  <c r="AM52" i="13"/>
  <c r="AL52" i="13"/>
  <c r="AU54" i="13"/>
  <c r="AC54" i="13"/>
  <c r="AD54" i="13" s="1"/>
  <c r="AR54" i="13"/>
  <c r="AH55" i="13"/>
  <c r="AO55" i="13"/>
  <c r="AN55" i="13"/>
  <c r="AM55" i="13"/>
  <c r="AL55" i="13"/>
  <c r="AK55" i="13"/>
  <c r="AJ55" i="13"/>
  <c r="Y70" i="13"/>
  <c r="Y74" i="13"/>
  <c r="Y78" i="13"/>
  <c r="Y89" i="13"/>
  <c r="Y93" i="13"/>
  <c r="AM98" i="13"/>
  <c r="AK98" i="13"/>
  <c r="AJ98" i="13"/>
  <c r="AH98" i="13"/>
  <c r="AL98" i="13"/>
  <c r="AI98" i="13"/>
  <c r="AO98" i="13"/>
  <c r="AN98" i="13"/>
  <c r="AO115" i="13"/>
  <c r="AM115" i="13"/>
  <c r="AL115" i="13"/>
  <c r="AK115" i="13"/>
  <c r="AJ115" i="13"/>
  <c r="AI115" i="13"/>
  <c r="AN115" i="13"/>
  <c r="AH115" i="13"/>
  <c r="AH187" i="13"/>
  <c r="AN187" i="13"/>
  <c r="AM187" i="13"/>
  <c r="AJ187" i="13"/>
  <c r="AO187" i="13"/>
  <c r="AL187" i="13"/>
  <c r="AK187" i="13"/>
  <c r="AI187" i="13"/>
  <c r="AH7" i="13"/>
  <c r="AO7" i="13"/>
  <c r="AN7" i="13"/>
  <c r="AM7" i="13"/>
  <c r="AL7" i="13"/>
  <c r="AK7" i="13"/>
  <c r="AJ7" i="13"/>
  <c r="S9" i="13"/>
  <c r="BB9" i="13" s="1"/>
  <c r="Y11" i="13"/>
  <c r="AJ12" i="13"/>
  <c r="AI12" i="13"/>
  <c r="AH12" i="13"/>
  <c r="AO12" i="13"/>
  <c r="AN12" i="13"/>
  <c r="AM12" i="13"/>
  <c r="AL12" i="13"/>
  <c r="AU14" i="13"/>
  <c r="AC14" i="13"/>
  <c r="AD14" i="13" s="1"/>
  <c r="AR14" i="13"/>
  <c r="AH15" i="13"/>
  <c r="AO15" i="13"/>
  <c r="AN15" i="13"/>
  <c r="AM15" i="13"/>
  <c r="AL15" i="13"/>
  <c r="AK15" i="13"/>
  <c r="AJ15" i="13"/>
  <c r="X24" i="11"/>
  <c r="P24" i="11"/>
  <c r="H24" i="11"/>
  <c r="W24" i="11"/>
  <c r="O24" i="11"/>
  <c r="G24" i="11"/>
  <c r="V24" i="11"/>
  <c r="N24" i="11"/>
  <c r="F24" i="11"/>
  <c r="U24" i="11"/>
  <c r="M24" i="11"/>
  <c r="E24" i="11"/>
  <c r="S24" i="11"/>
  <c r="K24" i="11"/>
  <c r="C24" i="11"/>
  <c r="BB24" i="13"/>
  <c r="Z24" i="11"/>
  <c r="R24" i="11"/>
  <c r="J24" i="11"/>
  <c r="B24" i="11"/>
  <c r="AU26" i="13"/>
  <c r="AC26" i="13"/>
  <c r="AD26" i="13" s="1"/>
  <c r="AR26" i="13"/>
  <c r="AH27" i="13"/>
  <c r="AO27" i="13"/>
  <c r="AN27" i="13"/>
  <c r="AM27" i="13"/>
  <c r="AL27" i="13"/>
  <c r="AK27" i="13"/>
  <c r="AJ27" i="13"/>
  <c r="AO30" i="13"/>
  <c r="Y32" i="13"/>
  <c r="AL33" i="13"/>
  <c r="AK33" i="13"/>
  <c r="AJ33" i="13"/>
  <c r="AI33" i="13"/>
  <c r="AH33" i="13"/>
  <c r="AO33" i="13"/>
  <c r="AN33" i="13"/>
  <c r="AM33" i="13"/>
  <c r="X40" i="11"/>
  <c r="P40" i="11"/>
  <c r="H40" i="11"/>
  <c r="W40" i="11"/>
  <c r="O40" i="11"/>
  <c r="G40" i="11"/>
  <c r="V40" i="11"/>
  <c r="N40" i="11"/>
  <c r="F40" i="11"/>
  <c r="U40" i="11"/>
  <c r="M40" i="11"/>
  <c r="E40" i="11"/>
  <c r="T40" i="11"/>
  <c r="L40" i="11"/>
  <c r="D40" i="11"/>
  <c r="S40" i="11"/>
  <c r="K40" i="11"/>
  <c r="C40" i="11"/>
  <c r="BB40" i="13"/>
  <c r="Z40" i="11"/>
  <c r="R40" i="11"/>
  <c r="J40" i="11"/>
  <c r="B40" i="11"/>
  <c r="AU42" i="13"/>
  <c r="AC42" i="13"/>
  <c r="AD42" i="13" s="1"/>
  <c r="AR42" i="13"/>
  <c r="AH43" i="13"/>
  <c r="AO43" i="13"/>
  <c r="AN43" i="13"/>
  <c r="AM43" i="13"/>
  <c r="AL43" i="13"/>
  <c r="AK43" i="13"/>
  <c r="AJ43" i="13"/>
  <c r="X52" i="11"/>
  <c r="P52" i="11"/>
  <c r="H52" i="11"/>
  <c r="W52" i="11"/>
  <c r="O52" i="11"/>
  <c r="G52" i="11"/>
  <c r="V52" i="11"/>
  <c r="N52" i="11"/>
  <c r="F52" i="11"/>
  <c r="U52" i="11"/>
  <c r="M52" i="11"/>
  <c r="E52" i="11"/>
  <c r="T52" i="11"/>
  <c r="L52" i="11"/>
  <c r="D52" i="11"/>
  <c r="S52" i="11"/>
  <c r="K52" i="11"/>
  <c r="C52" i="11"/>
  <c r="BB52" i="13"/>
  <c r="Z52" i="11"/>
  <c r="R52" i="11"/>
  <c r="J52" i="11"/>
  <c r="B52" i="11"/>
  <c r="AN54" i="13"/>
  <c r="AM54" i="13"/>
  <c r="AL54" i="13"/>
  <c r="AK54" i="13"/>
  <c r="AJ54" i="13"/>
  <c r="AI54" i="13"/>
  <c r="AH54" i="13"/>
  <c r="Y65" i="13"/>
  <c r="AM66" i="13"/>
  <c r="AK66" i="13"/>
  <c r="AH66" i="13"/>
  <c r="AO66" i="13"/>
  <c r="AN66" i="13"/>
  <c r="AL66" i="13"/>
  <c r="AJ66" i="13"/>
  <c r="AI66" i="13"/>
  <c r="Y73" i="13"/>
  <c r="Y81" i="13"/>
  <c r="Y85" i="13"/>
  <c r="AM90" i="13"/>
  <c r="AK90" i="13"/>
  <c r="AJ90" i="13"/>
  <c r="AH90" i="13"/>
  <c r="AL90" i="13"/>
  <c r="AI90" i="13"/>
  <c r="AO90" i="13"/>
  <c r="AN90" i="13"/>
  <c r="AI136" i="13"/>
  <c r="AO136" i="13"/>
  <c r="AN136" i="13"/>
  <c r="AM136" i="13"/>
  <c r="AL136" i="13"/>
  <c r="AK136" i="13"/>
  <c r="AJ136" i="13"/>
  <c r="AH136" i="13"/>
  <c r="AJ176" i="13"/>
  <c r="AH176" i="13"/>
  <c r="AO176" i="13"/>
  <c r="AL176" i="13"/>
  <c r="AM176" i="13"/>
  <c r="AK176" i="13"/>
  <c r="AI176" i="13"/>
  <c r="AN176" i="13"/>
  <c r="D46" i="7"/>
  <c r="O46" i="7" s="1"/>
  <c r="B48" i="7"/>
  <c r="AU6" i="13"/>
  <c r="AC6" i="13"/>
  <c r="A6" i="11"/>
  <c r="AR6" i="13"/>
  <c r="BA7" i="13"/>
  <c r="X12" i="11"/>
  <c r="P12" i="11"/>
  <c r="H12" i="11"/>
  <c r="W12" i="11"/>
  <c r="O12" i="11"/>
  <c r="G12" i="11"/>
  <c r="V12" i="11"/>
  <c r="N12" i="11"/>
  <c r="F12" i="11"/>
  <c r="U12" i="11"/>
  <c r="M12" i="11"/>
  <c r="E12" i="11"/>
  <c r="S12" i="11"/>
  <c r="K12" i="11"/>
  <c r="C12" i="11"/>
  <c r="BB12" i="13"/>
  <c r="Z12" i="11"/>
  <c r="R12" i="11"/>
  <c r="J12" i="11"/>
  <c r="B12" i="11"/>
  <c r="AN14" i="13"/>
  <c r="AM14" i="13"/>
  <c r="AL14" i="13"/>
  <c r="AK14" i="13"/>
  <c r="AJ14" i="13"/>
  <c r="AI14" i="13"/>
  <c r="AH14" i="13"/>
  <c r="Y25" i="13"/>
  <c r="AN26" i="13"/>
  <c r="AM26" i="13"/>
  <c r="AL26" i="13"/>
  <c r="AK26" i="13"/>
  <c r="AJ26" i="13"/>
  <c r="AI26" i="13"/>
  <c r="AH26" i="13"/>
  <c r="Y35" i="13"/>
  <c r="AJ36" i="13"/>
  <c r="AI36" i="13"/>
  <c r="AH36" i="13"/>
  <c r="AO36" i="13"/>
  <c r="AN36" i="13"/>
  <c r="AM36" i="13"/>
  <c r="AL36" i="13"/>
  <c r="Y41" i="13"/>
  <c r="AN42" i="13"/>
  <c r="AM42" i="13"/>
  <c r="AL42" i="13"/>
  <c r="AK42" i="13"/>
  <c r="AJ42" i="13"/>
  <c r="AI42" i="13"/>
  <c r="AH42" i="13"/>
  <c r="Y53" i="13"/>
  <c r="Y56" i="13"/>
  <c r="AL57" i="13"/>
  <c r="AK57" i="13"/>
  <c r="AJ57" i="13"/>
  <c r="AI57" i="13"/>
  <c r="AH57" i="13"/>
  <c r="AO57" i="13"/>
  <c r="AN57" i="13"/>
  <c r="AM57" i="13"/>
  <c r="Y59" i="13"/>
  <c r="AM82" i="13"/>
  <c r="AK82" i="13"/>
  <c r="AJ82" i="13"/>
  <c r="AH82" i="13"/>
  <c r="AL82" i="13"/>
  <c r="AI82" i="13"/>
  <c r="AO82" i="13"/>
  <c r="AN82" i="13"/>
  <c r="AI96" i="13"/>
  <c r="AO96" i="13"/>
  <c r="AN96" i="13"/>
  <c r="AL96" i="13"/>
  <c r="AJ96" i="13"/>
  <c r="AH96" i="13"/>
  <c r="AM96" i="13"/>
  <c r="Y132" i="13"/>
  <c r="AH132" i="13"/>
  <c r="AN194" i="13"/>
  <c r="AL194" i="13"/>
  <c r="AK194" i="13"/>
  <c r="AH194" i="13"/>
  <c r="AO194" i="13"/>
  <c r="AM194" i="13"/>
  <c r="AJ194" i="13"/>
  <c r="AI194" i="13"/>
  <c r="AG278" i="13"/>
  <c r="AR278" i="13"/>
  <c r="K8" i="10"/>
  <c r="I9" i="10"/>
  <c r="N10" i="10"/>
  <c r="B11" i="10"/>
  <c r="L11" i="10"/>
  <c r="T11" i="10"/>
  <c r="I12" i="10"/>
  <c r="Q12" i="10"/>
  <c r="G13" i="10"/>
  <c r="O13" i="10"/>
  <c r="B14" i="10"/>
  <c r="L14" i="10"/>
  <c r="J15" i="10"/>
  <c r="R15" i="10"/>
  <c r="G16" i="10"/>
  <c r="O16" i="10"/>
  <c r="M17" i="10"/>
  <c r="U17" i="10"/>
  <c r="F87" i="12"/>
  <c r="Q88" i="12"/>
  <c r="F89" i="12"/>
  <c r="Q90" i="12"/>
  <c r="F91" i="12"/>
  <c r="Q92" i="12"/>
  <c r="F93" i="12"/>
  <c r="Q94" i="12"/>
  <c r="F95" i="12"/>
  <c r="Q96" i="12"/>
  <c r="F97" i="12"/>
  <c r="Q98" i="12"/>
  <c r="F99" i="12"/>
  <c r="Q100" i="12"/>
  <c r="F101" i="12"/>
  <c r="Q102" i="12"/>
  <c r="F103" i="12"/>
  <c r="Q104" i="12"/>
  <c r="F105" i="12"/>
  <c r="Q106" i="12"/>
  <c r="F107" i="12"/>
  <c r="Q108" i="12"/>
  <c r="F109" i="12"/>
  <c r="Q110" i="12"/>
  <c r="F111" i="12"/>
  <c r="Q112" i="12"/>
  <c r="F113" i="12"/>
  <c r="Q114" i="12"/>
  <c r="F115" i="12"/>
  <c r="Q116" i="12"/>
  <c r="F117" i="12"/>
  <c r="Q118" i="12"/>
  <c r="F119" i="12"/>
  <c r="Q120" i="12"/>
  <c r="F121" i="12"/>
  <c r="Q122" i="12"/>
  <c r="F123" i="12"/>
  <c r="Q124" i="12"/>
  <c r="F125" i="12"/>
  <c r="Q126" i="12"/>
  <c r="AR3" i="13"/>
  <c r="AR7" i="13"/>
  <c r="AR11" i="13"/>
  <c r="AR15" i="13"/>
  <c r="AR19" i="13"/>
  <c r="AR23" i="13"/>
  <c r="AR27" i="13"/>
  <c r="AR31" i="13"/>
  <c r="AR35" i="13"/>
  <c r="AR39" i="13"/>
  <c r="AR43" i="13"/>
  <c r="AR47" i="13"/>
  <c r="AR51" i="13"/>
  <c r="AR55" i="13"/>
  <c r="AR59" i="13"/>
  <c r="AJ60" i="13"/>
  <c r="AO67" i="13"/>
  <c r="AM67" i="13"/>
  <c r="AJ67" i="13"/>
  <c r="AI67" i="13"/>
  <c r="AM69" i="13"/>
  <c r="AM70" i="13"/>
  <c r="AK70" i="13"/>
  <c r="AJ70" i="13"/>
  <c r="AH70" i="13"/>
  <c r="AM77" i="13"/>
  <c r="AM78" i="13"/>
  <c r="AK78" i="13"/>
  <c r="AJ78" i="13"/>
  <c r="AH78" i="13"/>
  <c r="AM86" i="13"/>
  <c r="AK86" i="13"/>
  <c r="AJ86" i="13"/>
  <c r="AH86" i="13"/>
  <c r="AM94" i="13"/>
  <c r="AK94" i="13"/>
  <c r="AJ94" i="13"/>
  <c r="AH94" i="13"/>
  <c r="AM102" i="13"/>
  <c r="AK102" i="13"/>
  <c r="AJ102" i="13"/>
  <c r="AH102" i="13"/>
  <c r="Y107" i="13"/>
  <c r="Y109" i="13"/>
  <c r="Z111" i="13"/>
  <c r="AR116" i="13"/>
  <c r="Y118" i="13"/>
  <c r="Y123" i="13"/>
  <c r="Y125" i="13"/>
  <c r="Z127" i="13"/>
  <c r="AR132" i="13"/>
  <c r="AK133" i="13"/>
  <c r="Y134" i="13"/>
  <c r="Y139" i="13"/>
  <c r="Y143" i="13"/>
  <c r="Y151" i="13"/>
  <c r="Y159" i="13"/>
  <c r="Y167" i="13"/>
  <c r="AC190" i="13"/>
  <c r="AD190" i="13" s="1"/>
  <c r="AU190" i="13"/>
  <c r="AR190" i="13"/>
  <c r="AH203" i="13"/>
  <c r="AN203" i="13"/>
  <c r="AM203" i="13"/>
  <c r="AK203" i="13"/>
  <c r="AJ203" i="13"/>
  <c r="AO203" i="13"/>
  <c r="AL203" i="13"/>
  <c r="AI203" i="13"/>
  <c r="AH207" i="13"/>
  <c r="AN207" i="13"/>
  <c r="AM207" i="13"/>
  <c r="AK207" i="13"/>
  <c r="AJ207" i="13"/>
  <c r="AO207" i="13"/>
  <c r="AL207" i="13"/>
  <c r="AI207" i="13"/>
  <c r="BB212" i="13"/>
  <c r="BA212" i="13"/>
  <c r="Y222" i="13"/>
  <c r="Y230" i="13"/>
  <c r="AN242" i="13"/>
  <c r="AM242" i="13"/>
  <c r="AL242" i="13"/>
  <c r="AK242" i="13"/>
  <c r="AJ242" i="13"/>
  <c r="AI242" i="13"/>
  <c r="AH242" i="13"/>
  <c r="AO242" i="13"/>
  <c r="Y265" i="13"/>
  <c r="B8" i="10"/>
  <c r="L8" i="10"/>
  <c r="G10" i="10"/>
  <c r="O10" i="10"/>
  <c r="M11" i="10"/>
  <c r="U11" i="10"/>
  <c r="J12" i="10"/>
  <c r="R12" i="10"/>
  <c r="H13" i="10"/>
  <c r="M14" i="10"/>
  <c r="K15" i="10"/>
  <c r="S15" i="10"/>
  <c r="H16" i="10"/>
  <c r="P16" i="10"/>
  <c r="N17" i="10"/>
  <c r="R88" i="12"/>
  <c r="R90" i="12"/>
  <c r="R92" i="12"/>
  <c r="R94" i="12"/>
  <c r="R96" i="12"/>
  <c r="R98" i="12"/>
  <c r="R100" i="12"/>
  <c r="R102" i="12"/>
  <c r="R104" i="12"/>
  <c r="R106" i="12"/>
  <c r="R108" i="12"/>
  <c r="R110" i="12"/>
  <c r="R112" i="12"/>
  <c r="R114" i="12"/>
  <c r="R116" i="12"/>
  <c r="R118" i="12"/>
  <c r="R120" i="12"/>
  <c r="R122" i="12"/>
  <c r="R124" i="12"/>
  <c r="R126" i="12"/>
  <c r="AC3" i="13"/>
  <c r="AC7" i="13"/>
  <c r="AD7" i="13" s="1"/>
  <c r="AC11" i="13"/>
  <c r="AD11" i="13" s="1"/>
  <c r="AC15" i="13"/>
  <c r="AD15" i="13" s="1"/>
  <c r="AC19" i="13"/>
  <c r="AD19" i="13" s="1"/>
  <c r="AC23" i="13"/>
  <c r="AD23" i="13" s="1"/>
  <c r="AC27" i="13"/>
  <c r="AD27" i="13" s="1"/>
  <c r="AC31" i="13"/>
  <c r="AD31" i="13" s="1"/>
  <c r="AC35" i="13"/>
  <c r="AD35" i="13" s="1"/>
  <c r="AC39" i="13"/>
  <c r="AD39" i="13" s="1"/>
  <c r="AC43" i="13"/>
  <c r="AD43" i="13" s="1"/>
  <c r="AC47" i="13"/>
  <c r="AD47" i="13" s="1"/>
  <c r="AC51" i="13"/>
  <c r="AD51" i="13" s="1"/>
  <c r="AC55" i="13"/>
  <c r="AD55" i="13" s="1"/>
  <c r="AC59" i="13"/>
  <c r="AD59" i="13" s="1"/>
  <c r="AK60" i="13"/>
  <c r="AK63" i="13"/>
  <c r="AU65" i="13"/>
  <c r="AK67" i="13"/>
  <c r="AU70" i="13"/>
  <c r="AC70" i="13"/>
  <c r="AD70" i="13" s="1"/>
  <c r="AR70" i="13"/>
  <c r="AI70" i="13"/>
  <c r="Z72" i="13"/>
  <c r="AK73" i="13"/>
  <c r="AI73" i="13"/>
  <c r="AH73" i="13"/>
  <c r="AN73" i="13"/>
  <c r="AU73" i="13"/>
  <c r="AO75" i="13"/>
  <c r="AM75" i="13"/>
  <c r="AL75" i="13"/>
  <c r="AJ75" i="13"/>
  <c r="AN75" i="13"/>
  <c r="Y76" i="13"/>
  <c r="AU78" i="13"/>
  <c r="AC78" i="13"/>
  <c r="AD78" i="13" s="1"/>
  <c r="AR78" i="13"/>
  <c r="AI78" i="13"/>
  <c r="Z80" i="13"/>
  <c r="AK81" i="13"/>
  <c r="AI81" i="13"/>
  <c r="AH81" i="13"/>
  <c r="AN81" i="13"/>
  <c r="AU81" i="13"/>
  <c r="AO83" i="13"/>
  <c r="AM83" i="13"/>
  <c r="AL83" i="13"/>
  <c r="AJ83" i="13"/>
  <c r="AN83" i="13"/>
  <c r="Y84" i="13"/>
  <c r="AU86" i="13"/>
  <c r="AC86" i="13"/>
  <c r="AD86" i="13" s="1"/>
  <c r="AR86" i="13"/>
  <c r="AI86" i="13"/>
  <c r="Z88" i="13"/>
  <c r="AK89" i="13"/>
  <c r="AI89" i="13"/>
  <c r="AH89" i="13"/>
  <c r="AN89" i="13"/>
  <c r="AU89" i="13"/>
  <c r="AO91" i="13"/>
  <c r="AM91" i="13"/>
  <c r="AL91" i="13"/>
  <c r="AJ91" i="13"/>
  <c r="AN91" i="13"/>
  <c r="Y92" i="13"/>
  <c r="AU94" i="13"/>
  <c r="AC94" i="13"/>
  <c r="AD94" i="13" s="1"/>
  <c r="AR94" i="13"/>
  <c r="AI94" i="13"/>
  <c r="Z96" i="13"/>
  <c r="AK97" i="13"/>
  <c r="AI97" i="13"/>
  <c r="AH97" i="13"/>
  <c r="AN97" i="13"/>
  <c r="AU97" i="13"/>
  <c r="AO99" i="13"/>
  <c r="AM99" i="13"/>
  <c r="AL99" i="13"/>
  <c r="AJ99" i="13"/>
  <c r="AN99" i="13"/>
  <c r="Y100" i="13"/>
  <c r="AU102" i="13"/>
  <c r="AC102" i="13"/>
  <c r="AD102" i="13" s="1"/>
  <c r="AR102" i="13"/>
  <c r="AI102" i="13"/>
  <c r="AO111" i="13"/>
  <c r="AM111" i="13"/>
  <c r="AL111" i="13"/>
  <c r="AK111" i="13"/>
  <c r="AJ111" i="13"/>
  <c r="AI111" i="13"/>
  <c r="Y112" i="13"/>
  <c r="AI116" i="13"/>
  <c r="AO116" i="13"/>
  <c r="AN116" i="13"/>
  <c r="AM116" i="13"/>
  <c r="AL116" i="13"/>
  <c r="AK116" i="13"/>
  <c r="AO127" i="13"/>
  <c r="AM127" i="13"/>
  <c r="AL127" i="13"/>
  <c r="AK127" i="13"/>
  <c r="AJ127" i="13"/>
  <c r="AI127" i="13"/>
  <c r="Y128" i="13"/>
  <c r="AI132" i="13"/>
  <c r="AO132" i="13"/>
  <c r="AN132" i="13"/>
  <c r="AM132" i="13"/>
  <c r="AL132" i="13"/>
  <c r="AK132" i="13"/>
  <c r="AI152" i="13"/>
  <c r="AH152" i="13"/>
  <c r="AO152" i="13"/>
  <c r="AN152" i="13"/>
  <c r="AM152" i="13"/>
  <c r="AL152" i="13"/>
  <c r="AK152" i="13"/>
  <c r="AI160" i="13"/>
  <c r="AH160" i="13"/>
  <c r="AO160" i="13"/>
  <c r="AN160" i="13"/>
  <c r="AM160" i="13"/>
  <c r="AL160" i="13"/>
  <c r="AK160" i="13"/>
  <c r="AI168" i="13"/>
  <c r="AH168" i="13"/>
  <c r="AO168" i="13"/>
  <c r="AN168" i="13"/>
  <c r="AM168" i="13"/>
  <c r="AL168" i="13"/>
  <c r="AK168" i="13"/>
  <c r="Y175" i="13"/>
  <c r="AN190" i="13"/>
  <c r="AL190" i="13"/>
  <c r="AK190" i="13"/>
  <c r="AH190" i="13"/>
  <c r="AO190" i="13"/>
  <c r="AM190" i="13"/>
  <c r="AJ190" i="13"/>
  <c r="AI190" i="13"/>
  <c r="AJ192" i="13"/>
  <c r="AH192" i="13"/>
  <c r="AO192" i="13"/>
  <c r="AL192" i="13"/>
  <c r="AM192" i="13"/>
  <c r="AK192" i="13"/>
  <c r="AI192" i="13"/>
  <c r="AN192" i="13"/>
  <c r="Y206" i="13"/>
  <c r="AL213" i="13"/>
  <c r="Y404" i="13"/>
  <c r="AH404" i="13"/>
  <c r="O87" i="12"/>
  <c r="S88" i="12"/>
  <c r="O89" i="12"/>
  <c r="S90" i="12"/>
  <c r="O91" i="12"/>
  <c r="S92" i="12"/>
  <c r="O93" i="12"/>
  <c r="S94" i="12"/>
  <c r="O95" i="12"/>
  <c r="S96" i="12"/>
  <c r="O97" i="12"/>
  <c r="S98" i="12"/>
  <c r="O99" i="12"/>
  <c r="S100" i="12"/>
  <c r="O101" i="12"/>
  <c r="S102" i="12"/>
  <c r="O103" i="12"/>
  <c r="S104" i="12"/>
  <c r="O105" i="12"/>
  <c r="S106" i="12"/>
  <c r="O107" i="12"/>
  <c r="S108" i="12"/>
  <c r="O109" i="12"/>
  <c r="S110" i="12"/>
  <c r="O111" i="12"/>
  <c r="S112" i="12"/>
  <c r="O113" i="12"/>
  <c r="S114" i="12"/>
  <c r="O115" i="12"/>
  <c r="S116" i="12"/>
  <c r="O117" i="12"/>
  <c r="S118" i="12"/>
  <c r="O119" i="12"/>
  <c r="S120" i="12"/>
  <c r="O121" i="12"/>
  <c r="S122" i="12"/>
  <c r="O123" i="12"/>
  <c r="S124" i="12"/>
  <c r="O125" i="12"/>
  <c r="S126" i="12"/>
  <c r="Z5" i="13"/>
  <c r="Y5" i="11" s="1"/>
  <c r="Z9" i="13"/>
  <c r="Y9" i="11" s="1"/>
  <c r="Z13" i="13"/>
  <c r="Z17" i="13"/>
  <c r="Z21" i="13"/>
  <c r="Z45" i="13"/>
  <c r="Z49" i="13"/>
  <c r="Z53" i="13"/>
  <c r="Z57" i="13"/>
  <c r="AL60" i="13"/>
  <c r="Y63" i="13"/>
  <c r="Z64" i="13"/>
  <c r="AL67" i="13"/>
  <c r="Z68" i="13"/>
  <c r="AL70" i="13"/>
  <c r="Y71" i="13"/>
  <c r="AH71" i="13"/>
  <c r="AL78" i="13"/>
  <c r="Y79" i="13"/>
  <c r="AH79" i="13"/>
  <c r="Z83" i="13"/>
  <c r="AL86" i="13"/>
  <c r="Y87" i="13"/>
  <c r="AH87" i="13"/>
  <c r="Z91" i="13"/>
  <c r="AL94" i="13"/>
  <c r="Y95" i="13"/>
  <c r="AH95" i="13"/>
  <c r="Z99" i="13"/>
  <c r="AL102" i="13"/>
  <c r="Y103" i="13"/>
  <c r="AH103" i="13"/>
  <c r="Y104" i="13"/>
  <c r="Y105" i="13"/>
  <c r="AM106" i="13"/>
  <c r="Z107" i="13"/>
  <c r="AR112" i="13"/>
  <c r="Y114" i="13"/>
  <c r="Y119" i="13"/>
  <c r="Y121" i="13"/>
  <c r="AM122" i="13"/>
  <c r="Z123" i="13"/>
  <c r="AR128" i="13"/>
  <c r="AK129" i="13"/>
  <c r="Y130" i="13"/>
  <c r="Y135" i="13"/>
  <c r="Y137" i="13"/>
  <c r="AM138" i="13"/>
  <c r="Y141" i="13"/>
  <c r="Y142" i="13"/>
  <c r="Y149" i="13"/>
  <c r="Y150" i="13"/>
  <c r="Y157" i="13"/>
  <c r="Y158" i="13"/>
  <c r="Y165" i="13"/>
  <c r="Y166" i="13"/>
  <c r="Y177" i="13"/>
  <c r="Y178" i="13"/>
  <c r="AN186" i="13"/>
  <c r="AL186" i="13"/>
  <c r="AK186" i="13"/>
  <c r="AH186" i="13"/>
  <c r="AI186" i="13"/>
  <c r="AO186" i="13"/>
  <c r="AM186" i="13"/>
  <c r="Y202" i="13"/>
  <c r="Y204" i="13"/>
  <c r="Y211" i="13"/>
  <c r="Y234" i="13"/>
  <c r="AJ236" i="13"/>
  <c r="AI236" i="13"/>
  <c r="AH236" i="13"/>
  <c r="AO236" i="13"/>
  <c r="AN236" i="13"/>
  <c r="AM236" i="13"/>
  <c r="AL236" i="13"/>
  <c r="AK236" i="13"/>
  <c r="Y246" i="13"/>
  <c r="AJ248" i="13"/>
  <c r="AI248" i="13"/>
  <c r="AH248" i="13"/>
  <c r="AO248" i="13"/>
  <c r="AN248" i="13"/>
  <c r="AM248" i="13"/>
  <c r="AL248" i="13"/>
  <c r="AK248" i="13"/>
  <c r="AU254" i="13"/>
  <c r="AC254" i="13"/>
  <c r="AD254" i="13" s="1"/>
  <c r="AR254" i="13"/>
  <c r="Y307" i="13"/>
  <c r="AH307" i="13"/>
  <c r="BB344" i="13"/>
  <c r="BA344" i="13"/>
  <c r="N8" i="10"/>
  <c r="B9" i="10"/>
  <c r="L9" i="10"/>
  <c r="I10" i="10"/>
  <c r="Q10" i="10"/>
  <c r="G11" i="10"/>
  <c r="O11" i="10"/>
  <c r="B12" i="10"/>
  <c r="L12" i="10"/>
  <c r="T12" i="10"/>
  <c r="G14" i="10"/>
  <c r="O14" i="10"/>
  <c r="M15" i="10"/>
  <c r="U15" i="10"/>
  <c r="J16" i="10"/>
  <c r="R16" i="10"/>
  <c r="H17" i="10"/>
  <c r="P17" i="10"/>
  <c r="P87" i="12"/>
  <c r="E88" i="12"/>
  <c r="P89" i="12"/>
  <c r="E90" i="12"/>
  <c r="P91" i="12"/>
  <c r="E92" i="12"/>
  <c r="P93" i="12"/>
  <c r="E94" i="12"/>
  <c r="P95" i="12"/>
  <c r="E96" i="12"/>
  <c r="P97" i="12"/>
  <c r="E98" i="12"/>
  <c r="P99" i="12"/>
  <c r="E100" i="12"/>
  <c r="P101" i="12"/>
  <c r="E102" i="12"/>
  <c r="P103" i="12"/>
  <c r="E104" i="12"/>
  <c r="P105" i="12"/>
  <c r="E106" i="12"/>
  <c r="P107" i="12"/>
  <c r="E108" i="12"/>
  <c r="P109" i="12"/>
  <c r="E110" i="12"/>
  <c r="P111" i="12"/>
  <c r="E112" i="12"/>
  <c r="P113" i="12"/>
  <c r="E114" i="12"/>
  <c r="P115" i="12"/>
  <c r="E116" i="12"/>
  <c r="P117" i="12"/>
  <c r="E118" i="12"/>
  <c r="P119" i="12"/>
  <c r="E120" i="12"/>
  <c r="P121" i="12"/>
  <c r="E122" i="12"/>
  <c r="P123" i="12"/>
  <c r="E124" i="12"/>
  <c r="P125" i="12"/>
  <c r="E126" i="12"/>
  <c r="Y60" i="13"/>
  <c r="AM60" i="13"/>
  <c r="AR63" i="13"/>
  <c r="BA63" i="13"/>
  <c r="AN67" i="13"/>
  <c r="AR69" i="13"/>
  <c r="AN70" i="13"/>
  <c r="AI71" i="13"/>
  <c r="AL73" i="13"/>
  <c r="AI76" i="13"/>
  <c r="AO76" i="13"/>
  <c r="AN76" i="13"/>
  <c r="AL76" i="13"/>
  <c r="AK76" i="13"/>
  <c r="AR77" i="13"/>
  <c r="AN78" i="13"/>
  <c r="AI79" i="13"/>
  <c r="AL81" i="13"/>
  <c r="AI84" i="13"/>
  <c r="AO84" i="13"/>
  <c r="AN84" i="13"/>
  <c r="AL84" i="13"/>
  <c r="AK84" i="13"/>
  <c r="AR85" i="13"/>
  <c r="AN86" i="13"/>
  <c r="AI87" i="13"/>
  <c r="AL89" i="13"/>
  <c r="AI92" i="13"/>
  <c r="AO92" i="13"/>
  <c r="AN92" i="13"/>
  <c r="AL92" i="13"/>
  <c r="AK92" i="13"/>
  <c r="AR93" i="13"/>
  <c r="AN94" i="13"/>
  <c r="AI95" i="13"/>
  <c r="AL97" i="13"/>
  <c r="AI100" i="13"/>
  <c r="AO100" i="13"/>
  <c r="AN100" i="13"/>
  <c r="AL100" i="13"/>
  <c r="AK100" i="13"/>
  <c r="AR101" i="13"/>
  <c r="AN102" i="13"/>
  <c r="AI103" i="13"/>
  <c r="AO107" i="13"/>
  <c r="AM107" i="13"/>
  <c r="AL107" i="13"/>
  <c r="AK107" i="13"/>
  <c r="AJ107" i="13"/>
  <c r="AI107" i="13"/>
  <c r="Y108" i="13"/>
  <c r="AH111" i="13"/>
  <c r="AI112" i="13"/>
  <c r="AO112" i="13"/>
  <c r="AN112" i="13"/>
  <c r="AM112" i="13"/>
  <c r="AL112" i="13"/>
  <c r="AK112" i="13"/>
  <c r="AO123" i="13"/>
  <c r="AM123" i="13"/>
  <c r="AL123" i="13"/>
  <c r="AK123" i="13"/>
  <c r="AJ123" i="13"/>
  <c r="AI123" i="13"/>
  <c r="Y124" i="13"/>
  <c r="AH127" i="13"/>
  <c r="AI128" i="13"/>
  <c r="AO128" i="13"/>
  <c r="AN128" i="13"/>
  <c r="AM128" i="13"/>
  <c r="AL128" i="13"/>
  <c r="AK128" i="13"/>
  <c r="AO139" i="13"/>
  <c r="AM139" i="13"/>
  <c r="AL139" i="13"/>
  <c r="AK139" i="13"/>
  <c r="AJ139" i="13"/>
  <c r="AI139" i="13"/>
  <c r="Y140" i="13"/>
  <c r="AO143" i="13"/>
  <c r="AN143" i="13"/>
  <c r="AM143" i="13"/>
  <c r="AL143" i="13"/>
  <c r="AK143" i="13"/>
  <c r="AJ143" i="13"/>
  <c r="AI143" i="13"/>
  <c r="AH143" i="13"/>
  <c r="Y148" i="13"/>
  <c r="AO151" i="13"/>
  <c r="AN151" i="13"/>
  <c r="AM151" i="13"/>
  <c r="AL151" i="13"/>
  <c r="AK151" i="13"/>
  <c r="AJ151" i="13"/>
  <c r="AI151" i="13"/>
  <c r="AH151" i="13"/>
  <c r="Y156" i="13"/>
  <c r="AO159" i="13"/>
  <c r="AN159" i="13"/>
  <c r="AM159" i="13"/>
  <c r="AL159" i="13"/>
  <c r="AK159" i="13"/>
  <c r="AJ159" i="13"/>
  <c r="AI159" i="13"/>
  <c r="AH159" i="13"/>
  <c r="Y164" i="13"/>
  <c r="AO167" i="13"/>
  <c r="AN167" i="13"/>
  <c r="AM167" i="13"/>
  <c r="AL167" i="13"/>
  <c r="AK167" i="13"/>
  <c r="AJ167" i="13"/>
  <c r="AI167" i="13"/>
  <c r="AH167" i="13"/>
  <c r="Y172" i="13"/>
  <c r="BB173" i="13"/>
  <c r="BA173" i="13"/>
  <c r="BB179" i="13"/>
  <c r="BA179" i="13"/>
  <c r="AN182" i="13"/>
  <c r="AL182" i="13"/>
  <c r="AK182" i="13"/>
  <c r="AH182" i="13"/>
  <c r="AM182" i="13"/>
  <c r="AJ182" i="13"/>
  <c r="AI182" i="13"/>
  <c r="AO182" i="13"/>
  <c r="Y185" i="13"/>
  <c r="AH185" i="13"/>
  <c r="Y191" i="13"/>
  <c r="BB341" i="13"/>
  <c r="BA341" i="13"/>
  <c r="G8" i="10"/>
  <c r="O8" i="10"/>
  <c r="M9" i="10"/>
  <c r="J10" i="10"/>
  <c r="R10" i="10"/>
  <c r="H11" i="10"/>
  <c r="P11" i="10"/>
  <c r="M12" i="10"/>
  <c r="U12" i="10"/>
  <c r="K13" i="10"/>
  <c r="H14" i="10"/>
  <c r="N15" i="10"/>
  <c r="K16" i="10"/>
  <c r="S16" i="10"/>
  <c r="I17" i="10"/>
  <c r="Q17" i="10"/>
  <c r="Q87" i="12"/>
  <c r="F88" i="12"/>
  <c r="Q89" i="12"/>
  <c r="F90" i="12"/>
  <c r="Q91" i="12"/>
  <c r="F92" i="12"/>
  <c r="Q93" i="12"/>
  <c r="F94" i="12"/>
  <c r="Q95" i="12"/>
  <c r="F96" i="12"/>
  <c r="Q97" i="12"/>
  <c r="F98" i="12"/>
  <c r="Q99" i="12"/>
  <c r="F100" i="12"/>
  <c r="Q101" i="12"/>
  <c r="F102" i="12"/>
  <c r="Q103" i="12"/>
  <c r="F104" i="12"/>
  <c r="Q105" i="12"/>
  <c r="F106" i="12"/>
  <c r="Q107" i="12"/>
  <c r="F108" i="12"/>
  <c r="Q109" i="12"/>
  <c r="F110" i="12"/>
  <c r="Q111" i="12"/>
  <c r="F112" i="12"/>
  <c r="Q113" i="12"/>
  <c r="F114" i="12"/>
  <c r="Q115" i="12"/>
  <c r="F116" i="12"/>
  <c r="Q117" i="12"/>
  <c r="F118" i="12"/>
  <c r="Q119" i="12"/>
  <c r="F120" i="12"/>
  <c r="Q121" i="12"/>
  <c r="F122" i="12"/>
  <c r="Q123" i="12"/>
  <c r="F124" i="12"/>
  <c r="F126" i="12"/>
  <c r="Z4" i="13"/>
  <c r="Y4" i="11" s="1"/>
  <c r="Z8" i="13"/>
  <c r="Y8" i="11" s="1"/>
  <c r="Z12" i="13"/>
  <c r="Z16" i="13"/>
  <c r="Z20" i="13"/>
  <c r="Z24" i="13"/>
  <c r="Z28" i="13"/>
  <c r="Z32" i="13"/>
  <c r="Z36" i="13"/>
  <c r="Z40" i="13"/>
  <c r="Z44" i="13"/>
  <c r="Z48" i="13"/>
  <c r="Z52" i="13"/>
  <c r="Z56" i="13"/>
  <c r="AK61" i="13"/>
  <c r="AI61" i="13"/>
  <c r="AO63" i="13"/>
  <c r="AM63" i="13"/>
  <c r="AO70" i="13"/>
  <c r="AR71" i="13"/>
  <c r="BA71" i="13"/>
  <c r="BA76" i="13"/>
  <c r="AO78" i="13"/>
  <c r="BA79" i="13"/>
  <c r="BA84" i="13"/>
  <c r="AO86" i="13"/>
  <c r="AR87" i="13"/>
  <c r="BA87" i="13"/>
  <c r="BA92" i="13"/>
  <c r="AO94" i="13"/>
  <c r="AR95" i="13"/>
  <c r="BA95" i="13"/>
  <c r="BA100" i="13"/>
  <c r="AO102" i="13"/>
  <c r="AR103" i="13"/>
  <c r="AI104" i="13"/>
  <c r="AO104" i="13"/>
  <c r="AN104" i="13"/>
  <c r="AM104" i="13"/>
  <c r="AL104" i="13"/>
  <c r="AK109" i="13"/>
  <c r="Y110" i="13"/>
  <c r="Y115" i="13"/>
  <c r="Y117" i="13"/>
  <c r="AM118" i="13"/>
  <c r="Z119" i="13"/>
  <c r="AK125" i="13"/>
  <c r="Y126" i="13"/>
  <c r="Y131" i="13"/>
  <c r="Y133" i="13"/>
  <c r="AM134" i="13"/>
  <c r="Z135" i="13"/>
  <c r="AK141" i="13"/>
  <c r="AM142" i="13"/>
  <c r="Y147" i="13"/>
  <c r="AK149" i="13"/>
  <c r="AM150" i="13"/>
  <c r="Y155" i="13"/>
  <c r="AK157" i="13"/>
  <c r="AM158" i="13"/>
  <c r="Y163" i="13"/>
  <c r="AK165" i="13"/>
  <c r="AM166" i="13"/>
  <c r="Y171" i="13"/>
  <c r="AH175" i="13"/>
  <c r="AN175" i="13"/>
  <c r="AM175" i="13"/>
  <c r="AJ175" i="13"/>
  <c r="AO175" i="13"/>
  <c r="AL175" i="13"/>
  <c r="AK175" i="13"/>
  <c r="AI175" i="13"/>
  <c r="Y193" i="13"/>
  <c r="Y214" i="13"/>
  <c r="AU226" i="13"/>
  <c r="AC226" i="13"/>
  <c r="AD226" i="13" s="1"/>
  <c r="AR226" i="13"/>
  <c r="H8" i="10"/>
  <c r="N9" i="10"/>
  <c r="K10" i="10"/>
  <c r="S10" i="10"/>
  <c r="I11" i="10"/>
  <c r="Q11" i="10"/>
  <c r="N12" i="10"/>
  <c r="B13" i="10"/>
  <c r="L13" i="10"/>
  <c r="I14" i="10"/>
  <c r="G15" i="10"/>
  <c r="O15" i="10"/>
  <c r="B16" i="10"/>
  <c r="L16" i="10"/>
  <c r="T16" i="10"/>
  <c r="J17" i="10"/>
  <c r="R17" i="10"/>
  <c r="BA13" i="13"/>
  <c r="BA17" i="13"/>
  <c r="BA21" i="13"/>
  <c r="BA25" i="13"/>
  <c r="BA29" i="13"/>
  <c r="BA33" i="13"/>
  <c r="BA37" i="13"/>
  <c r="BA41" i="13"/>
  <c r="BA45" i="13"/>
  <c r="BA49" i="13"/>
  <c r="BA53" i="13"/>
  <c r="BA57" i="13"/>
  <c r="AI60" i="13"/>
  <c r="AO60" i="13"/>
  <c r="AR61" i="13"/>
  <c r="AU62" i="13"/>
  <c r="AC62" i="13"/>
  <c r="AD62" i="13" s="1"/>
  <c r="Y64" i="13"/>
  <c r="Y67" i="13"/>
  <c r="Y68" i="13"/>
  <c r="AK69" i="13"/>
  <c r="AI69" i="13"/>
  <c r="AH69" i="13"/>
  <c r="AN69" i="13"/>
  <c r="AU69" i="13"/>
  <c r="AO71" i="13"/>
  <c r="AM71" i="13"/>
  <c r="AL71" i="13"/>
  <c r="AJ71" i="13"/>
  <c r="AN71" i="13"/>
  <c r="Y72" i="13"/>
  <c r="AU74" i="13"/>
  <c r="AC74" i="13"/>
  <c r="AD74" i="13" s="1"/>
  <c r="AR74" i="13"/>
  <c r="AK77" i="13"/>
  <c r="AI77" i="13"/>
  <c r="AH77" i="13"/>
  <c r="AN77" i="13"/>
  <c r="AU77" i="13"/>
  <c r="AO79" i="13"/>
  <c r="AM79" i="13"/>
  <c r="AL79" i="13"/>
  <c r="AJ79" i="13"/>
  <c r="AN79" i="13"/>
  <c r="Y80" i="13"/>
  <c r="AU82" i="13"/>
  <c r="AC82" i="13"/>
  <c r="AD82" i="13" s="1"/>
  <c r="AR82" i="13"/>
  <c r="AK85" i="13"/>
  <c r="AI85" i="13"/>
  <c r="AH85" i="13"/>
  <c r="AN85" i="13"/>
  <c r="AU85" i="13"/>
  <c r="AO87" i="13"/>
  <c r="AM87" i="13"/>
  <c r="AL87" i="13"/>
  <c r="AJ87" i="13"/>
  <c r="AN87" i="13"/>
  <c r="Y88" i="13"/>
  <c r="AU90" i="13"/>
  <c r="AC90" i="13"/>
  <c r="AD90" i="13" s="1"/>
  <c r="AR90" i="13"/>
  <c r="AK93" i="13"/>
  <c r="AI93" i="13"/>
  <c r="AH93" i="13"/>
  <c r="AN93" i="13"/>
  <c r="AU93" i="13"/>
  <c r="AO95" i="13"/>
  <c r="AM95" i="13"/>
  <c r="AL95" i="13"/>
  <c r="AJ95" i="13"/>
  <c r="AN95" i="13"/>
  <c r="Y96" i="13"/>
  <c r="AU98" i="13"/>
  <c r="AC98" i="13"/>
  <c r="AD98" i="13" s="1"/>
  <c r="AR98" i="13"/>
  <c r="AK101" i="13"/>
  <c r="AI101" i="13"/>
  <c r="AH101" i="13"/>
  <c r="AN101" i="13"/>
  <c r="AU101" i="13"/>
  <c r="AO103" i="13"/>
  <c r="AM103" i="13"/>
  <c r="AL103" i="13"/>
  <c r="AK103" i="13"/>
  <c r="AJ103" i="13"/>
  <c r="AH107" i="13"/>
  <c r="AI108" i="13"/>
  <c r="AO108" i="13"/>
  <c r="AN108" i="13"/>
  <c r="AM108" i="13"/>
  <c r="AL108" i="13"/>
  <c r="AK108" i="13"/>
  <c r="AO119" i="13"/>
  <c r="AM119" i="13"/>
  <c r="AL119" i="13"/>
  <c r="AK119" i="13"/>
  <c r="AJ119" i="13"/>
  <c r="AI119" i="13"/>
  <c r="Y120" i="13"/>
  <c r="AH123" i="13"/>
  <c r="AI124" i="13"/>
  <c r="AO124" i="13"/>
  <c r="AN124" i="13"/>
  <c r="AM124" i="13"/>
  <c r="AL124" i="13"/>
  <c r="AK124" i="13"/>
  <c r="AO135" i="13"/>
  <c r="AM135" i="13"/>
  <c r="AL135" i="13"/>
  <c r="AK135" i="13"/>
  <c r="AJ135" i="13"/>
  <c r="AI135" i="13"/>
  <c r="Y136" i="13"/>
  <c r="AH139" i="13"/>
  <c r="AI140" i="13"/>
  <c r="AH140" i="13"/>
  <c r="AO140" i="13"/>
  <c r="AN140" i="13"/>
  <c r="AM140" i="13"/>
  <c r="AL140" i="13"/>
  <c r="AK140" i="13"/>
  <c r="AI148" i="13"/>
  <c r="AH148" i="13"/>
  <c r="AO148" i="13"/>
  <c r="AN148" i="13"/>
  <c r="AM148" i="13"/>
  <c r="AL148" i="13"/>
  <c r="AK148" i="13"/>
  <c r="AI156" i="13"/>
  <c r="AH156" i="13"/>
  <c r="AO156" i="13"/>
  <c r="AN156" i="13"/>
  <c r="AM156" i="13"/>
  <c r="AL156" i="13"/>
  <c r="AK156" i="13"/>
  <c r="AI164" i="13"/>
  <c r="AH164" i="13"/>
  <c r="AO164" i="13"/>
  <c r="AN164" i="13"/>
  <c r="AM164" i="13"/>
  <c r="AL164" i="13"/>
  <c r="AK164" i="13"/>
  <c r="AN178" i="13"/>
  <c r="AL178" i="13"/>
  <c r="AK178" i="13"/>
  <c r="AH178" i="13"/>
  <c r="AO178" i="13"/>
  <c r="AM178" i="13"/>
  <c r="AJ178" i="13"/>
  <c r="AI178" i="13"/>
  <c r="AL181" i="13"/>
  <c r="AJ181" i="13"/>
  <c r="AI181" i="13"/>
  <c r="AN181" i="13"/>
  <c r="AO181" i="13"/>
  <c r="AM181" i="13"/>
  <c r="AK181" i="13"/>
  <c r="AH181" i="13"/>
  <c r="Y183" i="13"/>
  <c r="BB189" i="13"/>
  <c r="BA189" i="13"/>
  <c r="BB195" i="13"/>
  <c r="BA195" i="13"/>
  <c r="AN198" i="13"/>
  <c r="AL198" i="13"/>
  <c r="AK198" i="13"/>
  <c r="AH198" i="13"/>
  <c r="AM198" i="13"/>
  <c r="AJ198" i="13"/>
  <c r="AI198" i="13"/>
  <c r="AO198" i="13"/>
  <c r="Y201" i="13"/>
  <c r="AH201" i="13"/>
  <c r="Y207" i="13"/>
  <c r="Y209" i="13"/>
  <c r="AH209" i="13"/>
  <c r="AH211" i="13"/>
  <c r="AN211" i="13"/>
  <c r="AM211" i="13"/>
  <c r="AK211" i="13"/>
  <c r="AJ211" i="13"/>
  <c r="AO211" i="13"/>
  <c r="AL211" i="13"/>
  <c r="AI211" i="13"/>
  <c r="Y258" i="13"/>
  <c r="I8" i="10"/>
  <c r="G9" i="10"/>
  <c r="O9" i="10"/>
  <c r="B10" i="10"/>
  <c r="L10" i="10"/>
  <c r="T10" i="10"/>
  <c r="J11" i="10"/>
  <c r="R11" i="10"/>
  <c r="G12" i="10"/>
  <c r="O12" i="10"/>
  <c r="M13" i="10"/>
  <c r="H15" i="10"/>
  <c r="P15" i="10"/>
  <c r="M16" i="10"/>
  <c r="U16" i="10"/>
  <c r="K17" i="10"/>
  <c r="AU66" i="13"/>
  <c r="AC66" i="13"/>
  <c r="AD66" i="13" s="1"/>
  <c r="AJ69" i="13"/>
  <c r="Y75" i="13"/>
  <c r="AH75" i="13"/>
  <c r="AJ77" i="13"/>
  <c r="Y83" i="13"/>
  <c r="AH83" i="13"/>
  <c r="AJ85" i="13"/>
  <c r="Y91" i="13"/>
  <c r="AH91" i="13"/>
  <c r="AJ93" i="13"/>
  <c r="Y99" i="13"/>
  <c r="AH99" i="13"/>
  <c r="AJ101" i="13"/>
  <c r="BB103" i="13"/>
  <c r="BA103" i="13"/>
  <c r="BB104" i="13"/>
  <c r="BA104" i="13"/>
  <c r="AK105" i="13"/>
  <c r="Y106" i="13"/>
  <c r="Y111" i="13"/>
  <c r="Y113" i="13"/>
  <c r="AM114" i="13"/>
  <c r="Z115" i="13"/>
  <c r="AK121" i="13"/>
  <c r="Y122" i="13"/>
  <c r="Y127" i="13"/>
  <c r="Y129" i="13"/>
  <c r="AM130" i="13"/>
  <c r="Z131" i="13"/>
  <c r="AK137" i="13"/>
  <c r="Y138" i="13"/>
  <c r="AJ140" i="13"/>
  <c r="Y145" i="13"/>
  <c r="Y146" i="13"/>
  <c r="AJ148" i="13"/>
  <c r="Y153" i="13"/>
  <c r="Y154" i="13"/>
  <c r="AJ156" i="13"/>
  <c r="Y161" i="13"/>
  <c r="Y162" i="13"/>
  <c r="AJ164" i="13"/>
  <c r="Y169" i="13"/>
  <c r="Y170" i="13"/>
  <c r="AC174" i="13"/>
  <c r="AD174" i="13" s="1"/>
  <c r="AU174" i="13"/>
  <c r="AR174" i="13"/>
  <c r="AH191" i="13"/>
  <c r="AN191" i="13"/>
  <c r="AM191" i="13"/>
  <c r="AJ191" i="13"/>
  <c r="AO191" i="13"/>
  <c r="AL191" i="13"/>
  <c r="AK191" i="13"/>
  <c r="AI191" i="13"/>
  <c r="Y203" i="13"/>
  <c r="AC210" i="13"/>
  <c r="AD210" i="13" s="1"/>
  <c r="AU210" i="13"/>
  <c r="AR210" i="13"/>
  <c r="Y218" i="13"/>
  <c r="AJ220" i="13"/>
  <c r="AI220" i="13"/>
  <c r="AH220" i="13"/>
  <c r="AO220" i="13"/>
  <c r="AN220" i="13"/>
  <c r="AM220" i="13"/>
  <c r="AL220" i="13"/>
  <c r="AK220" i="13"/>
  <c r="Y250" i="13"/>
  <c r="Y281" i="13"/>
  <c r="AO106" i="13"/>
  <c r="BA108" i="13"/>
  <c r="AO110" i="13"/>
  <c r="BA112" i="13"/>
  <c r="AO114" i="13"/>
  <c r="BA116" i="13"/>
  <c r="AO118" i="13"/>
  <c r="BA120" i="13"/>
  <c r="AO122" i="13"/>
  <c r="BA124" i="13"/>
  <c r="AO126" i="13"/>
  <c r="BA128" i="13"/>
  <c r="AO130" i="13"/>
  <c r="BA132" i="13"/>
  <c r="AO134" i="13"/>
  <c r="BA136" i="13"/>
  <c r="AO138" i="13"/>
  <c r="BA140" i="13"/>
  <c r="AO142" i="13"/>
  <c r="BA144" i="13"/>
  <c r="AO146" i="13"/>
  <c r="BA148" i="13"/>
  <c r="AO150" i="13"/>
  <c r="BA152" i="13"/>
  <c r="AO154" i="13"/>
  <c r="BA156" i="13"/>
  <c r="AO158" i="13"/>
  <c r="BA160" i="13"/>
  <c r="AO162" i="13"/>
  <c r="BA164" i="13"/>
  <c r="AO166" i="13"/>
  <c r="BA168" i="13"/>
  <c r="AO170" i="13"/>
  <c r="AM177" i="13"/>
  <c r="AL183" i="13"/>
  <c r="Y184" i="13"/>
  <c r="AU187" i="13"/>
  <c r="AR187" i="13"/>
  <c r="AM193" i="13"/>
  <c r="AL199" i="13"/>
  <c r="Y200" i="13"/>
  <c r="AH223" i="13"/>
  <c r="AO223" i="13"/>
  <c r="AN223" i="13"/>
  <c r="AM223" i="13"/>
  <c r="AL223" i="13"/>
  <c r="AK223" i="13"/>
  <c r="AJ223" i="13"/>
  <c r="AH225" i="13"/>
  <c r="Y225" i="13"/>
  <c r="AN226" i="13"/>
  <c r="AM226" i="13"/>
  <c r="AL226" i="13"/>
  <c r="AK226" i="13"/>
  <c r="AJ226" i="13"/>
  <c r="AI226" i="13"/>
  <c r="AH226" i="13"/>
  <c r="Y228" i="13"/>
  <c r="AH239" i="13"/>
  <c r="AO239" i="13"/>
  <c r="AN239" i="13"/>
  <c r="AM239" i="13"/>
  <c r="AL239" i="13"/>
  <c r="AK239" i="13"/>
  <c r="AJ239" i="13"/>
  <c r="AH241" i="13"/>
  <c r="Y241" i="13"/>
  <c r="AH251" i="13"/>
  <c r="AO251" i="13"/>
  <c r="AN251" i="13"/>
  <c r="AM251" i="13"/>
  <c r="AL251" i="13"/>
  <c r="AK251" i="13"/>
  <c r="AJ251" i="13"/>
  <c r="AH253" i="13"/>
  <c r="Y253" i="13"/>
  <c r="AN254" i="13"/>
  <c r="AM254" i="13"/>
  <c r="AL254" i="13"/>
  <c r="AK254" i="13"/>
  <c r="AJ254" i="13"/>
  <c r="AI254" i="13"/>
  <c r="AH254" i="13"/>
  <c r="Y256" i="13"/>
  <c r="Y269" i="13"/>
  <c r="Y273" i="13"/>
  <c r="Y285" i="13"/>
  <c r="Y313" i="13"/>
  <c r="Y315" i="13"/>
  <c r="AJ324" i="13"/>
  <c r="AL329" i="13"/>
  <c r="Y335" i="13"/>
  <c r="Y388" i="13"/>
  <c r="AH388" i="13"/>
  <c r="AM469" i="13"/>
  <c r="AL469" i="13"/>
  <c r="AK469" i="13"/>
  <c r="AJ469" i="13"/>
  <c r="AI469" i="13"/>
  <c r="AH469" i="13"/>
  <c r="AO469" i="13"/>
  <c r="AN469" i="13"/>
  <c r="AR75" i="13"/>
  <c r="AR79" i="13"/>
  <c r="AN105" i="13"/>
  <c r="AH106" i="13"/>
  <c r="AN109" i="13"/>
  <c r="AH110" i="13"/>
  <c r="AH114" i="13"/>
  <c r="AH118" i="13"/>
  <c r="AN121" i="13"/>
  <c r="AH122" i="13"/>
  <c r="AN125" i="13"/>
  <c r="AH126" i="13"/>
  <c r="AN129" i="13"/>
  <c r="AH130" i="13"/>
  <c r="AN133" i="13"/>
  <c r="AH134" i="13"/>
  <c r="AN137" i="13"/>
  <c r="AH138" i="13"/>
  <c r="AR139" i="13"/>
  <c r="AN141" i="13"/>
  <c r="AH142" i="13"/>
  <c r="AR143" i="13"/>
  <c r="AN145" i="13"/>
  <c r="AH146" i="13"/>
  <c r="AR147" i="13"/>
  <c r="AN149" i="13"/>
  <c r="AH150" i="13"/>
  <c r="AR151" i="13"/>
  <c r="AN153" i="13"/>
  <c r="AH154" i="13"/>
  <c r="AR155" i="13"/>
  <c r="AN157" i="13"/>
  <c r="AH158" i="13"/>
  <c r="AR159" i="13"/>
  <c r="AN161" i="13"/>
  <c r="AH162" i="13"/>
  <c r="AR163" i="13"/>
  <c r="AN165" i="13"/>
  <c r="AH166" i="13"/>
  <c r="AR167" i="13"/>
  <c r="AH170" i="13"/>
  <c r="AR171" i="13"/>
  <c r="AI172" i="13"/>
  <c r="AJ180" i="13"/>
  <c r="AH180" i="13"/>
  <c r="AO180" i="13"/>
  <c r="AL180" i="13"/>
  <c r="AN180" i="13"/>
  <c r="AR182" i="13"/>
  <c r="AR184" i="13"/>
  <c r="BA184" i="13"/>
  <c r="AL185" i="13"/>
  <c r="AJ185" i="13"/>
  <c r="AI185" i="13"/>
  <c r="AN185" i="13"/>
  <c r="AU185" i="13"/>
  <c r="AJ196" i="13"/>
  <c r="AH196" i="13"/>
  <c r="AO196" i="13"/>
  <c r="AL196" i="13"/>
  <c r="AN196" i="13"/>
  <c r="AR198" i="13"/>
  <c r="AR200" i="13"/>
  <c r="BA200" i="13"/>
  <c r="AL201" i="13"/>
  <c r="AN202" i="13"/>
  <c r="AL202" i="13"/>
  <c r="AK202" i="13"/>
  <c r="AI202" i="13"/>
  <c r="AH202" i="13"/>
  <c r="AU206" i="13"/>
  <c r="Y208" i="13"/>
  <c r="AI212" i="13"/>
  <c r="Y213" i="13"/>
  <c r="Y215" i="13"/>
  <c r="AJ216" i="13"/>
  <c r="AI216" i="13"/>
  <c r="AH216" i="13"/>
  <c r="AO216" i="13"/>
  <c r="AN216" i="13"/>
  <c r="AM216" i="13"/>
  <c r="AL216" i="13"/>
  <c r="AU222" i="13"/>
  <c r="AC222" i="13"/>
  <c r="AD222" i="13" s="1"/>
  <c r="AR222" i="13"/>
  <c r="AO226" i="13"/>
  <c r="AL229" i="13"/>
  <c r="Y231" i="13"/>
  <c r="AJ232" i="13"/>
  <c r="AI232" i="13"/>
  <c r="AH232" i="13"/>
  <c r="AO232" i="13"/>
  <c r="AN232" i="13"/>
  <c r="AM232" i="13"/>
  <c r="AL232" i="13"/>
  <c r="AU238" i="13"/>
  <c r="AC238" i="13"/>
  <c r="AD238" i="13" s="1"/>
  <c r="AR238" i="13"/>
  <c r="AU250" i="13"/>
  <c r="AC250" i="13"/>
  <c r="AD250" i="13" s="1"/>
  <c r="AR250" i="13"/>
  <c r="AO254" i="13"/>
  <c r="AL257" i="13"/>
  <c r="Y259" i="13"/>
  <c r="AJ260" i="13"/>
  <c r="AI260" i="13"/>
  <c r="AH260" i="13"/>
  <c r="AO260" i="13"/>
  <c r="AN260" i="13"/>
  <c r="AM260" i="13"/>
  <c r="AL260" i="13"/>
  <c r="AN266" i="13"/>
  <c r="Y267" i="13"/>
  <c r="AN274" i="13"/>
  <c r="AO275" i="13"/>
  <c r="AU277" i="13"/>
  <c r="AR277" i="13"/>
  <c r="AC277" i="13"/>
  <c r="AD277" i="13" s="1"/>
  <c r="AN282" i="13"/>
  <c r="Y283" i="13"/>
  <c r="AR291" i="13"/>
  <c r="AU291" i="13"/>
  <c r="AC291" i="13"/>
  <c r="AD291" i="13" s="1"/>
  <c r="BB302" i="13"/>
  <c r="BA302" i="13"/>
  <c r="AH303" i="13"/>
  <c r="Y303" i="13"/>
  <c r="AH304" i="13"/>
  <c r="AN304" i="13"/>
  <c r="AL304" i="13"/>
  <c r="AK304" i="13"/>
  <c r="AO304" i="13"/>
  <c r="AM304" i="13"/>
  <c r="AJ304" i="13"/>
  <c r="AI304" i="13"/>
  <c r="BB329" i="13"/>
  <c r="BA329" i="13"/>
  <c r="Y380" i="13"/>
  <c r="AH380" i="13"/>
  <c r="AU388" i="13"/>
  <c r="AR388" i="13"/>
  <c r="AC388" i="13"/>
  <c r="AD388" i="13" s="1"/>
  <c r="AI523" i="13"/>
  <c r="AH523" i="13"/>
  <c r="AO523" i="13"/>
  <c r="AN523" i="13"/>
  <c r="AM523" i="13"/>
  <c r="AL523" i="13"/>
  <c r="AK523" i="13"/>
  <c r="AJ523" i="13"/>
  <c r="AO105" i="13"/>
  <c r="AI106" i="13"/>
  <c r="BA107" i="13"/>
  <c r="AO109" i="13"/>
  <c r="AI110" i="13"/>
  <c r="BA111" i="13"/>
  <c r="AI114" i="13"/>
  <c r="BA115" i="13"/>
  <c r="AI118" i="13"/>
  <c r="BA119" i="13"/>
  <c r="AO121" i="13"/>
  <c r="AI122" i="13"/>
  <c r="BA123" i="13"/>
  <c r="AO125" i="13"/>
  <c r="AI126" i="13"/>
  <c r="BA127" i="13"/>
  <c r="AO129" i="13"/>
  <c r="AI130" i="13"/>
  <c r="BA131" i="13"/>
  <c r="AO133" i="13"/>
  <c r="AI134" i="13"/>
  <c r="BA135" i="13"/>
  <c r="AO137" i="13"/>
  <c r="AI138" i="13"/>
  <c r="BA139" i="13"/>
  <c r="AO141" i="13"/>
  <c r="AI142" i="13"/>
  <c r="BA143" i="13"/>
  <c r="AO145" i="13"/>
  <c r="AI146" i="13"/>
  <c r="BA147" i="13"/>
  <c r="AO149" i="13"/>
  <c r="AI150" i="13"/>
  <c r="BA151" i="13"/>
  <c r="AO153" i="13"/>
  <c r="AI154" i="13"/>
  <c r="BA155" i="13"/>
  <c r="AO157" i="13"/>
  <c r="AI158" i="13"/>
  <c r="BA159" i="13"/>
  <c r="AO161" i="13"/>
  <c r="AI162" i="13"/>
  <c r="BA163" i="13"/>
  <c r="AO165" i="13"/>
  <c r="AI166" i="13"/>
  <c r="BA167" i="13"/>
  <c r="AI170" i="13"/>
  <c r="BA171" i="13"/>
  <c r="AU175" i="13"/>
  <c r="AR175" i="13"/>
  <c r="Y188" i="13"/>
  <c r="AU191" i="13"/>
  <c r="AR191" i="13"/>
  <c r="BA201" i="13"/>
  <c r="AU203" i="13"/>
  <c r="AC203" i="13"/>
  <c r="AD203" i="13" s="1"/>
  <c r="AR203" i="13"/>
  <c r="AJ204" i="13"/>
  <c r="AH204" i="13"/>
  <c r="AO204" i="13"/>
  <c r="AM204" i="13"/>
  <c r="AL204" i="13"/>
  <c r="AH219" i="13"/>
  <c r="AO219" i="13"/>
  <c r="AN219" i="13"/>
  <c r="AM219" i="13"/>
  <c r="AL219" i="13"/>
  <c r="AK219" i="13"/>
  <c r="AJ219" i="13"/>
  <c r="BA220" i="13"/>
  <c r="AH221" i="13"/>
  <c r="Y221" i="13"/>
  <c r="AN222" i="13"/>
  <c r="AM222" i="13"/>
  <c r="AL222" i="13"/>
  <c r="AK222" i="13"/>
  <c r="AJ222" i="13"/>
  <c r="AI222" i="13"/>
  <c r="AH222" i="13"/>
  <c r="Y224" i="13"/>
  <c r="AH235" i="13"/>
  <c r="AO235" i="13"/>
  <c r="AN235" i="13"/>
  <c r="AM235" i="13"/>
  <c r="AL235" i="13"/>
  <c r="AK235" i="13"/>
  <c r="AJ235" i="13"/>
  <c r="AH237" i="13"/>
  <c r="Y237" i="13"/>
  <c r="AN238" i="13"/>
  <c r="AM238" i="13"/>
  <c r="AL238" i="13"/>
  <c r="AK238" i="13"/>
  <c r="AJ238" i="13"/>
  <c r="AI238" i="13"/>
  <c r="AH238" i="13"/>
  <c r="Y240" i="13"/>
  <c r="Y243" i="13"/>
  <c r="AJ244" i="13"/>
  <c r="AI244" i="13"/>
  <c r="AH244" i="13"/>
  <c r="AO244" i="13"/>
  <c r="AN244" i="13"/>
  <c r="AM244" i="13"/>
  <c r="AL244" i="13"/>
  <c r="AH247" i="13"/>
  <c r="AO247" i="13"/>
  <c r="AN247" i="13"/>
  <c r="AM247" i="13"/>
  <c r="AL247" i="13"/>
  <c r="AK247" i="13"/>
  <c r="AJ247" i="13"/>
  <c r="AH249" i="13"/>
  <c r="Y249" i="13"/>
  <c r="AN250" i="13"/>
  <c r="AM250" i="13"/>
  <c r="AL250" i="13"/>
  <c r="AK250" i="13"/>
  <c r="AJ250" i="13"/>
  <c r="AI250" i="13"/>
  <c r="AH250" i="13"/>
  <c r="Y252" i="13"/>
  <c r="AH263" i="13"/>
  <c r="AO263" i="13"/>
  <c r="AN263" i="13"/>
  <c r="AM263" i="13"/>
  <c r="AL263" i="13"/>
  <c r="AK263" i="13"/>
  <c r="AJ263" i="13"/>
  <c r="BB274" i="13"/>
  <c r="BA274" i="13"/>
  <c r="Y299" i="13"/>
  <c r="AJ325" i="13"/>
  <c r="AI325" i="13"/>
  <c r="AH325" i="13"/>
  <c r="AO325" i="13"/>
  <c r="AN325" i="13"/>
  <c r="AM325" i="13"/>
  <c r="AL325" i="13"/>
  <c r="AK325" i="13"/>
  <c r="Y364" i="13"/>
  <c r="AH364" i="13"/>
  <c r="AU380" i="13"/>
  <c r="AR380" i="13"/>
  <c r="AC380" i="13"/>
  <c r="AD380" i="13" s="1"/>
  <c r="Z397" i="13"/>
  <c r="AR397" i="13"/>
  <c r="AH105" i="13"/>
  <c r="AJ106" i="13"/>
  <c r="AR106" i="13"/>
  <c r="AH109" i="13"/>
  <c r="AJ110" i="13"/>
  <c r="AR110" i="13"/>
  <c r="AJ114" i="13"/>
  <c r="AR114" i="13"/>
  <c r="AJ118" i="13"/>
  <c r="AR118" i="13"/>
  <c r="AH121" i="13"/>
  <c r="AJ122" i="13"/>
  <c r="AR122" i="13"/>
  <c r="AH125" i="13"/>
  <c r="AJ126" i="13"/>
  <c r="AR126" i="13"/>
  <c r="AH129" i="13"/>
  <c r="AJ130" i="13"/>
  <c r="AR130" i="13"/>
  <c r="AH133" i="13"/>
  <c r="AJ134" i="13"/>
  <c r="AR134" i="13"/>
  <c r="AH137" i="13"/>
  <c r="AJ138" i="13"/>
  <c r="AR138" i="13"/>
  <c r="AH141" i="13"/>
  <c r="AJ142" i="13"/>
  <c r="AR142" i="13"/>
  <c r="AH145" i="13"/>
  <c r="AJ146" i="13"/>
  <c r="AR146" i="13"/>
  <c r="AH149" i="13"/>
  <c r="AJ150" i="13"/>
  <c r="AR150" i="13"/>
  <c r="AH153" i="13"/>
  <c r="AJ154" i="13"/>
  <c r="AR154" i="13"/>
  <c r="AH157" i="13"/>
  <c r="AJ158" i="13"/>
  <c r="AR158" i="13"/>
  <c r="AH161" i="13"/>
  <c r="AJ162" i="13"/>
  <c r="AR162" i="13"/>
  <c r="AH165" i="13"/>
  <c r="AJ166" i="13"/>
  <c r="AR166" i="13"/>
  <c r="AJ170" i="13"/>
  <c r="AR170" i="13"/>
  <c r="BA172" i="13"/>
  <c r="AL173" i="13"/>
  <c r="AJ173" i="13"/>
  <c r="AI173" i="13"/>
  <c r="AN173" i="13"/>
  <c r="BA175" i="13"/>
  <c r="AH179" i="13"/>
  <c r="AN179" i="13"/>
  <c r="AM179" i="13"/>
  <c r="AJ179" i="13"/>
  <c r="AJ184" i="13"/>
  <c r="AH184" i="13"/>
  <c r="AO184" i="13"/>
  <c r="AL184" i="13"/>
  <c r="AN184" i="13"/>
  <c r="AR186" i="13"/>
  <c r="AL189" i="13"/>
  <c r="AJ189" i="13"/>
  <c r="AI189" i="13"/>
  <c r="AN189" i="13"/>
  <c r="BA191" i="13"/>
  <c r="AH195" i="13"/>
  <c r="AN195" i="13"/>
  <c r="AM195" i="13"/>
  <c r="AJ195" i="13"/>
  <c r="AJ200" i="13"/>
  <c r="AH200" i="13"/>
  <c r="AO200" i="13"/>
  <c r="AL200" i="13"/>
  <c r="AN200" i="13"/>
  <c r="AN206" i="13"/>
  <c r="AL206" i="13"/>
  <c r="AK206" i="13"/>
  <c r="AI206" i="13"/>
  <c r="AH206" i="13"/>
  <c r="Y212" i="13"/>
  <c r="AU218" i="13"/>
  <c r="AC218" i="13"/>
  <c r="AD218" i="13" s="1"/>
  <c r="AR218" i="13"/>
  <c r="AO222" i="13"/>
  <c r="AL225" i="13"/>
  <c r="Y227" i="13"/>
  <c r="AJ228" i="13"/>
  <c r="AI228" i="13"/>
  <c r="AH228" i="13"/>
  <c r="AO228" i="13"/>
  <c r="AN228" i="13"/>
  <c r="AM228" i="13"/>
  <c r="AL228" i="13"/>
  <c r="AU234" i="13"/>
  <c r="AC234" i="13"/>
  <c r="AD234" i="13" s="1"/>
  <c r="AR234" i="13"/>
  <c r="AO238" i="13"/>
  <c r="AU246" i="13"/>
  <c r="AC246" i="13"/>
  <c r="AD246" i="13" s="1"/>
  <c r="AR246" i="13"/>
  <c r="AO250" i="13"/>
  <c r="AL253" i="13"/>
  <c r="Y255" i="13"/>
  <c r="AJ256" i="13"/>
  <c r="AI256" i="13"/>
  <c r="AH256" i="13"/>
  <c r="AO256" i="13"/>
  <c r="AN256" i="13"/>
  <c r="AM256" i="13"/>
  <c r="AL256" i="13"/>
  <c r="AU262" i="13"/>
  <c r="AC262" i="13"/>
  <c r="AD262" i="13" s="1"/>
  <c r="AR262" i="13"/>
  <c r="AN269" i="13"/>
  <c r="AM269" i="13"/>
  <c r="AO269" i="13"/>
  <c r="AL269" i="13"/>
  <c r="AK269" i="13"/>
  <c r="AJ269" i="13"/>
  <c r="AI269" i="13"/>
  <c r="AH269" i="13"/>
  <c r="AR273" i="13"/>
  <c r="AG273" i="13"/>
  <c r="AN277" i="13"/>
  <c r="AM277" i="13"/>
  <c r="AJ277" i="13"/>
  <c r="AI277" i="13"/>
  <c r="AH277" i="13"/>
  <c r="AO277" i="13"/>
  <c r="AL277" i="13"/>
  <c r="Y279" i="13"/>
  <c r="AH279" i="13"/>
  <c r="Y280" i="13"/>
  <c r="AN285" i="13"/>
  <c r="AM285" i="13"/>
  <c r="AO285" i="13"/>
  <c r="AL285" i="13"/>
  <c r="AK285" i="13"/>
  <c r="AJ285" i="13"/>
  <c r="AI285" i="13"/>
  <c r="AH285" i="13"/>
  <c r="Y288" i="13"/>
  <c r="AH291" i="13"/>
  <c r="AR297" i="13"/>
  <c r="AU297" i="13"/>
  <c r="AC297" i="13"/>
  <c r="AD297" i="13" s="1"/>
  <c r="AH323" i="13"/>
  <c r="Y323" i="13"/>
  <c r="Y331" i="13"/>
  <c r="Y356" i="13"/>
  <c r="AH356" i="13"/>
  <c r="Z357" i="13"/>
  <c r="AR357" i="13"/>
  <c r="AU372" i="13"/>
  <c r="AR372" i="13"/>
  <c r="AC372" i="13"/>
  <c r="AD372" i="13" s="1"/>
  <c r="Y390" i="13"/>
  <c r="AI105" i="13"/>
  <c r="AC106" i="13"/>
  <c r="AD106" i="13" s="1"/>
  <c r="AK106" i="13"/>
  <c r="AI109" i="13"/>
  <c r="AC110" i="13"/>
  <c r="AD110" i="13" s="1"/>
  <c r="AK110" i="13"/>
  <c r="AC114" i="13"/>
  <c r="AD114" i="13" s="1"/>
  <c r="AK114" i="13"/>
  <c r="AC118" i="13"/>
  <c r="AD118" i="13" s="1"/>
  <c r="AK118" i="13"/>
  <c r="AI121" i="13"/>
  <c r="AC122" i="13"/>
  <c r="AD122" i="13" s="1"/>
  <c r="AK122" i="13"/>
  <c r="AI125" i="13"/>
  <c r="AC126" i="13"/>
  <c r="AD126" i="13" s="1"/>
  <c r="AK126" i="13"/>
  <c r="AI129" i="13"/>
  <c r="AC130" i="13"/>
  <c r="AD130" i="13" s="1"/>
  <c r="AK130" i="13"/>
  <c r="AI133" i="13"/>
  <c r="AC134" i="13"/>
  <c r="AD134" i="13" s="1"/>
  <c r="AK134" i="13"/>
  <c r="AI137" i="13"/>
  <c r="AC138" i="13"/>
  <c r="AD138" i="13" s="1"/>
  <c r="AK138" i="13"/>
  <c r="AI141" i="13"/>
  <c r="AC142" i="13"/>
  <c r="AD142" i="13" s="1"/>
  <c r="AK142" i="13"/>
  <c r="AI145" i="13"/>
  <c r="AC146" i="13"/>
  <c r="AD146" i="13" s="1"/>
  <c r="AK146" i="13"/>
  <c r="AI149" i="13"/>
  <c r="AC150" i="13"/>
  <c r="AD150" i="13" s="1"/>
  <c r="AK150" i="13"/>
  <c r="AI153" i="13"/>
  <c r="AC154" i="13"/>
  <c r="AD154" i="13" s="1"/>
  <c r="AK154" i="13"/>
  <c r="AI157" i="13"/>
  <c r="AC158" i="13"/>
  <c r="AD158" i="13" s="1"/>
  <c r="AK158" i="13"/>
  <c r="AI161" i="13"/>
  <c r="AC162" i="13"/>
  <c r="AD162" i="13" s="1"/>
  <c r="AK162" i="13"/>
  <c r="AI165" i="13"/>
  <c r="AC166" i="13"/>
  <c r="AD166" i="13" s="1"/>
  <c r="AK166" i="13"/>
  <c r="AC170" i="13"/>
  <c r="AD170" i="13" s="1"/>
  <c r="AK170" i="13"/>
  <c r="AR172" i="13"/>
  <c r="AR173" i="13"/>
  <c r="AH173" i="13"/>
  <c r="Y176" i="13"/>
  <c r="AU179" i="13"/>
  <c r="AR179" i="13"/>
  <c r="AI179" i="13"/>
  <c r="BA185" i="13"/>
  <c r="AU186" i="13"/>
  <c r="AR189" i="13"/>
  <c r="AH189" i="13"/>
  <c r="Y192" i="13"/>
  <c r="AU195" i="13"/>
  <c r="AR195" i="13"/>
  <c r="AI195" i="13"/>
  <c r="AJ206" i="13"/>
  <c r="AU207" i="13"/>
  <c r="AC207" i="13"/>
  <c r="AD207" i="13" s="1"/>
  <c r="AR207" i="13"/>
  <c r="AJ208" i="13"/>
  <c r="AH208" i="13"/>
  <c r="AO208" i="13"/>
  <c r="AM208" i="13"/>
  <c r="AL208" i="13"/>
  <c r="AH215" i="13"/>
  <c r="AO215" i="13"/>
  <c r="AN215" i="13"/>
  <c r="AM215" i="13"/>
  <c r="AL215" i="13"/>
  <c r="AK215" i="13"/>
  <c r="AJ215" i="13"/>
  <c r="BA216" i="13"/>
  <c r="AH217" i="13"/>
  <c r="Y217" i="13"/>
  <c r="AN218" i="13"/>
  <c r="AM218" i="13"/>
  <c r="AL218" i="13"/>
  <c r="AK218" i="13"/>
  <c r="AJ218" i="13"/>
  <c r="AI218" i="13"/>
  <c r="AH218" i="13"/>
  <c r="Y220" i="13"/>
  <c r="AH231" i="13"/>
  <c r="AO231" i="13"/>
  <c r="AN231" i="13"/>
  <c r="AM231" i="13"/>
  <c r="AL231" i="13"/>
  <c r="AK231" i="13"/>
  <c r="AJ231" i="13"/>
  <c r="BA232" i="13"/>
  <c r="AH233" i="13"/>
  <c r="Y233" i="13"/>
  <c r="AN234" i="13"/>
  <c r="AM234" i="13"/>
  <c r="AL234" i="13"/>
  <c r="AK234" i="13"/>
  <c r="AJ234" i="13"/>
  <c r="AI234" i="13"/>
  <c r="AH234" i="13"/>
  <c r="Y236" i="13"/>
  <c r="AN246" i="13"/>
  <c r="AM246" i="13"/>
  <c r="AL246" i="13"/>
  <c r="AK246" i="13"/>
  <c r="AJ246" i="13"/>
  <c r="AI246" i="13"/>
  <c r="AH246" i="13"/>
  <c r="Y248" i="13"/>
  <c r="AH259" i="13"/>
  <c r="AO259" i="13"/>
  <c r="AN259" i="13"/>
  <c r="AM259" i="13"/>
  <c r="AL259" i="13"/>
  <c r="AK259" i="13"/>
  <c r="AJ259" i="13"/>
  <c r="BA260" i="13"/>
  <c r="AH261" i="13"/>
  <c r="Y261" i="13"/>
  <c r="AN262" i="13"/>
  <c r="AM262" i="13"/>
  <c r="AL262" i="13"/>
  <c r="AK262" i="13"/>
  <c r="AJ262" i="13"/>
  <c r="AI262" i="13"/>
  <c r="AH262" i="13"/>
  <c r="Y264" i="13"/>
  <c r="AC268" i="13"/>
  <c r="AD268" i="13" s="1"/>
  <c r="AU268" i="13"/>
  <c r="AR268" i="13"/>
  <c r="Y276" i="13"/>
  <c r="AC284" i="13"/>
  <c r="AD284" i="13" s="1"/>
  <c r="AU284" i="13"/>
  <c r="AR284" i="13"/>
  <c r="Y296" i="13"/>
  <c r="Y311" i="13"/>
  <c r="AN311" i="13"/>
  <c r="AM311" i="13"/>
  <c r="AL311" i="13"/>
  <c r="AK311" i="13"/>
  <c r="AJ311" i="13"/>
  <c r="AI311" i="13"/>
  <c r="AO311" i="13"/>
  <c r="AH311" i="13"/>
  <c r="AU331" i="13"/>
  <c r="AC331" i="13"/>
  <c r="AD331" i="13" s="1"/>
  <c r="AR331" i="13"/>
  <c r="Y382" i="13"/>
  <c r="Y396" i="13"/>
  <c r="AR176" i="13"/>
  <c r="AL177" i="13"/>
  <c r="AJ177" i="13"/>
  <c r="AI177" i="13"/>
  <c r="AN177" i="13"/>
  <c r="AH183" i="13"/>
  <c r="AN183" i="13"/>
  <c r="AM183" i="13"/>
  <c r="AJ183" i="13"/>
  <c r="AR188" i="13"/>
  <c r="AG188" i="13"/>
  <c r="AR192" i="13"/>
  <c r="AL193" i="13"/>
  <c r="AJ193" i="13"/>
  <c r="AI193" i="13"/>
  <c r="AN193" i="13"/>
  <c r="AH199" i="13"/>
  <c r="AN199" i="13"/>
  <c r="AM199" i="13"/>
  <c r="AJ199" i="13"/>
  <c r="Y205" i="13"/>
  <c r="AL209" i="13"/>
  <c r="AN210" i="13"/>
  <c r="AL210" i="13"/>
  <c r="AK210" i="13"/>
  <c r="AI210" i="13"/>
  <c r="AH210" i="13"/>
  <c r="BB213" i="13"/>
  <c r="BA213" i="13"/>
  <c r="AU214" i="13"/>
  <c r="AC214" i="13"/>
  <c r="AD214" i="13" s="1"/>
  <c r="AR214" i="13"/>
  <c r="Y223" i="13"/>
  <c r="AJ224" i="13"/>
  <c r="AI224" i="13"/>
  <c r="AH224" i="13"/>
  <c r="AO224" i="13"/>
  <c r="AN224" i="13"/>
  <c r="AM224" i="13"/>
  <c r="AL224" i="13"/>
  <c r="AU230" i="13"/>
  <c r="AC230" i="13"/>
  <c r="AD230" i="13" s="1"/>
  <c r="AR230" i="13"/>
  <c r="Y239" i="13"/>
  <c r="AJ240" i="13"/>
  <c r="AI240" i="13"/>
  <c r="AH240" i="13"/>
  <c r="AO240" i="13"/>
  <c r="AN240" i="13"/>
  <c r="AM240" i="13"/>
  <c r="AL240" i="13"/>
  <c r="AH243" i="13"/>
  <c r="AO243" i="13"/>
  <c r="AN243" i="13"/>
  <c r="AM243" i="13"/>
  <c r="AL243" i="13"/>
  <c r="AK243" i="13"/>
  <c r="AJ243" i="13"/>
  <c r="AH245" i="13"/>
  <c r="Y245" i="13"/>
  <c r="Y251" i="13"/>
  <c r="AJ252" i="13"/>
  <c r="AI252" i="13"/>
  <c r="AH252" i="13"/>
  <c r="AO252" i="13"/>
  <c r="AN252" i="13"/>
  <c r="AM252" i="13"/>
  <c r="AL252" i="13"/>
  <c r="AU258" i="13"/>
  <c r="AC258" i="13"/>
  <c r="AD258" i="13" s="1"/>
  <c r="AR258" i="13"/>
  <c r="Y271" i="13"/>
  <c r="AH271" i="13"/>
  <c r="AR275" i="13"/>
  <c r="AC275" i="13"/>
  <c r="AD275" i="13" s="1"/>
  <c r="AU275" i="13"/>
  <c r="AH287" i="13"/>
  <c r="Y287" i="13"/>
  <c r="AJ293" i="13"/>
  <c r="AH293" i="13"/>
  <c r="AN293" i="13"/>
  <c r="AM293" i="13"/>
  <c r="AK293" i="13"/>
  <c r="AI293" i="13"/>
  <c r="AO293" i="13"/>
  <c r="AJ297" i="13"/>
  <c r="AH297" i="13"/>
  <c r="AN297" i="13"/>
  <c r="AM297" i="13"/>
  <c r="AO297" i="13"/>
  <c r="AL297" i="13"/>
  <c r="AK297" i="13"/>
  <c r="AH300" i="13"/>
  <c r="AN300" i="13"/>
  <c r="AL300" i="13"/>
  <c r="AK300" i="13"/>
  <c r="AO300" i="13"/>
  <c r="AM300" i="13"/>
  <c r="AJ300" i="13"/>
  <c r="Y348" i="13"/>
  <c r="AH348" i="13"/>
  <c r="AH398" i="13"/>
  <c r="Y398" i="13"/>
  <c r="AR480" i="13"/>
  <c r="Z480" i="13"/>
  <c r="AH172" i="13"/>
  <c r="AO172" i="13"/>
  <c r="AL172" i="13"/>
  <c r="AC172" i="13"/>
  <c r="AD172" i="13" s="1"/>
  <c r="AM173" i="13"/>
  <c r="AR177" i="13"/>
  <c r="AH177" i="13"/>
  <c r="AL179" i="13"/>
  <c r="Y180" i="13"/>
  <c r="AU183" i="13"/>
  <c r="AR183" i="13"/>
  <c r="AI183" i="13"/>
  <c r="AM189" i="13"/>
  <c r="AR193" i="13"/>
  <c r="AH193" i="13"/>
  <c r="AL195" i="13"/>
  <c r="Y196" i="13"/>
  <c r="AU199" i="13"/>
  <c r="AR199" i="13"/>
  <c r="AI199" i="13"/>
  <c r="AR202" i="13"/>
  <c r="AK204" i="13"/>
  <c r="AR205" i="13"/>
  <c r="AO206" i="13"/>
  <c r="BA209" i="13"/>
  <c r="AJ210" i="13"/>
  <c r="AU211" i="13"/>
  <c r="AC211" i="13"/>
  <c r="AD211" i="13" s="1"/>
  <c r="AR211" i="13"/>
  <c r="AJ212" i="13"/>
  <c r="AH212" i="13"/>
  <c r="AO212" i="13"/>
  <c r="AM212" i="13"/>
  <c r="AL212" i="13"/>
  <c r="AN214" i="13"/>
  <c r="AM214" i="13"/>
  <c r="AL214" i="13"/>
  <c r="AK214" i="13"/>
  <c r="AJ214" i="13"/>
  <c r="AI214" i="13"/>
  <c r="AH214" i="13"/>
  <c r="Y216" i="13"/>
  <c r="AH227" i="13"/>
  <c r="AO227" i="13"/>
  <c r="AN227" i="13"/>
  <c r="AM227" i="13"/>
  <c r="AL227" i="13"/>
  <c r="AK227" i="13"/>
  <c r="AJ227" i="13"/>
  <c r="BA228" i="13"/>
  <c r="AH229" i="13"/>
  <c r="Y229" i="13"/>
  <c r="AN230" i="13"/>
  <c r="AM230" i="13"/>
  <c r="AL230" i="13"/>
  <c r="AK230" i="13"/>
  <c r="AJ230" i="13"/>
  <c r="AI230" i="13"/>
  <c r="AH230" i="13"/>
  <c r="Y232" i="13"/>
  <c r="AU242" i="13"/>
  <c r="AC242" i="13"/>
  <c r="AD242" i="13" s="1"/>
  <c r="AR242" i="13"/>
  <c r="AH255" i="13"/>
  <c r="AO255" i="13"/>
  <c r="AN255" i="13"/>
  <c r="AM255" i="13"/>
  <c r="AL255" i="13"/>
  <c r="AK255" i="13"/>
  <c r="AJ255" i="13"/>
  <c r="BA256" i="13"/>
  <c r="AH257" i="13"/>
  <c r="Y257" i="13"/>
  <c r="AN258" i="13"/>
  <c r="AM258" i="13"/>
  <c r="AL258" i="13"/>
  <c r="AK258" i="13"/>
  <c r="AJ258" i="13"/>
  <c r="AI258" i="13"/>
  <c r="AH258" i="13"/>
  <c r="Y260" i="13"/>
  <c r="Y266" i="13"/>
  <c r="AL268" i="13"/>
  <c r="AK268" i="13"/>
  <c r="AJ268" i="13"/>
  <c r="AI268" i="13"/>
  <c r="AH268" i="13"/>
  <c r="AO268" i="13"/>
  <c r="AN268" i="13"/>
  <c r="AM268" i="13"/>
  <c r="AL276" i="13"/>
  <c r="AK276" i="13"/>
  <c r="AO276" i="13"/>
  <c r="AN276" i="13"/>
  <c r="AM276" i="13"/>
  <c r="AJ276" i="13"/>
  <c r="AI276" i="13"/>
  <c r="AH276" i="13"/>
  <c r="AR280" i="13"/>
  <c r="AG280" i="13"/>
  <c r="Y282" i="13"/>
  <c r="AL284" i="13"/>
  <c r="AK284" i="13"/>
  <c r="AJ284" i="13"/>
  <c r="AI284" i="13"/>
  <c r="AH284" i="13"/>
  <c r="AO284" i="13"/>
  <c r="AN284" i="13"/>
  <c r="AM284" i="13"/>
  <c r="AH288" i="13"/>
  <c r="AN288" i="13"/>
  <c r="AL288" i="13"/>
  <c r="AK288" i="13"/>
  <c r="AO288" i="13"/>
  <c r="AM288" i="13"/>
  <c r="AJ288" i="13"/>
  <c r="AI288" i="13"/>
  <c r="Y289" i="13"/>
  <c r="Y294" i="13"/>
  <c r="Y295" i="13"/>
  <c r="AH295" i="13"/>
  <c r="Y304" i="13"/>
  <c r="AG316" i="13"/>
  <c r="AR316" i="13"/>
  <c r="AU339" i="13"/>
  <c r="AC339" i="13"/>
  <c r="AD339" i="13" s="1"/>
  <c r="AR339" i="13"/>
  <c r="AN363" i="13"/>
  <c r="Y366" i="13"/>
  <c r="AN201" i="13"/>
  <c r="AN205" i="13"/>
  <c r="AN209" i="13"/>
  <c r="AN213" i="13"/>
  <c r="AR215" i="13"/>
  <c r="AN217" i="13"/>
  <c r="AR219" i="13"/>
  <c r="AN221" i="13"/>
  <c r="AR223" i="13"/>
  <c r="AN225" i="13"/>
  <c r="AR227" i="13"/>
  <c r="AN229" i="13"/>
  <c r="AR231" i="13"/>
  <c r="AN233" i="13"/>
  <c r="AR235" i="13"/>
  <c r="AN237" i="13"/>
  <c r="AR239" i="13"/>
  <c r="AN241" i="13"/>
  <c r="AR243" i="13"/>
  <c r="AN245" i="13"/>
  <c r="AR247" i="13"/>
  <c r="AN249" i="13"/>
  <c r="AR251" i="13"/>
  <c r="AN253" i="13"/>
  <c r="AR255" i="13"/>
  <c r="AN257" i="13"/>
  <c r="AR259" i="13"/>
  <c r="AN261" i="13"/>
  <c r="AR263" i="13"/>
  <c r="AJ265" i="13"/>
  <c r="AR269" i="13"/>
  <c r="AJ271" i="13"/>
  <c r="AI271" i="13"/>
  <c r="AJ272" i="13"/>
  <c r="AJ274" i="13"/>
  <c r="AR276" i="13"/>
  <c r="AJ281" i="13"/>
  <c r="AR285" i="13"/>
  <c r="AR290" i="13"/>
  <c r="AG290" i="13"/>
  <c r="AR292" i="13"/>
  <c r="AN295" i="13"/>
  <c r="AL295" i="13"/>
  <c r="AJ295" i="13"/>
  <c r="AI295" i="13"/>
  <c r="BA297" i="13"/>
  <c r="AJ301" i="13"/>
  <c r="AH301" i="13"/>
  <c r="AN301" i="13"/>
  <c r="AM301" i="13"/>
  <c r="AU304" i="13"/>
  <c r="AC304" i="13"/>
  <c r="AD304" i="13" s="1"/>
  <c r="AN307" i="13"/>
  <c r="AM307" i="13"/>
  <c r="AL307" i="13"/>
  <c r="AK307" i="13"/>
  <c r="AJ307" i="13"/>
  <c r="AI307" i="13"/>
  <c r="Y309" i="13"/>
  <c r="AH312" i="13"/>
  <c r="AO312" i="13"/>
  <c r="AN312" i="13"/>
  <c r="AM312" i="13"/>
  <c r="AL312" i="13"/>
  <c r="AK312" i="13"/>
  <c r="Y318" i="13"/>
  <c r="AJ321" i="13"/>
  <c r="AI321" i="13"/>
  <c r="AH321" i="13"/>
  <c r="AO321" i="13"/>
  <c r="AN321" i="13"/>
  <c r="AM321" i="13"/>
  <c r="AU327" i="13"/>
  <c r="AC327" i="13"/>
  <c r="AD327" i="13" s="1"/>
  <c r="AR327" i="13"/>
  <c r="AR332" i="13"/>
  <c r="Y336" i="13"/>
  <c r="AR340" i="13"/>
  <c r="AI344" i="13"/>
  <c r="AM344" i="13"/>
  <c r="AO344" i="13"/>
  <c r="AN344" i="13"/>
  <c r="AL344" i="13"/>
  <c r="AK344" i="13"/>
  <c r="AJ344" i="13"/>
  <c r="AH344" i="13"/>
  <c r="Y350" i="13"/>
  <c r="Y351" i="13"/>
  <c r="AH351" i="13"/>
  <c r="Z354" i="13"/>
  <c r="AR354" i="13"/>
  <c r="AK357" i="13"/>
  <c r="AO357" i="13"/>
  <c r="AM357" i="13"/>
  <c r="AL357" i="13"/>
  <c r="AJ357" i="13"/>
  <c r="AI357" i="13"/>
  <c r="AH357" i="13"/>
  <c r="Y360" i="13"/>
  <c r="BA392" i="13"/>
  <c r="AK397" i="13"/>
  <c r="AO397" i="13"/>
  <c r="AM397" i="13"/>
  <c r="AL397" i="13"/>
  <c r="AJ397" i="13"/>
  <c r="AI397" i="13"/>
  <c r="AH397" i="13"/>
  <c r="AI400" i="13"/>
  <c r="AM400" i="13"/>
  <c r="AO400" i="13"/>
  <c r="AN400" i="13"/>
  <c r="AL400" i="13"/>
  <c r="AK400" i="13"/>
  <c r="AJ400" i="13"/>
  <c r="AH400" i="13"/>
  <c r="AU404" i="13"/>
  <c r="AR404" i="13"/>
  <c r="AC404" i="13"/>
  <c r="AD404" i="13" s="1"/>
  <c r="AH424" i="13"/>
  <c r="Y424" i="13"/>
  <c r="Y455" i="13"/>
  <c r="AO201" i="13"/>
  <c r="AO205" i="13"/>
  <c r="AO209" i="13"/>
  <c r="AO213" i="13"/>
  <c r="AC215" i="13"/>
  <c r="AD215" i="13" s="1"/>
  <c r="AO217" i="13"/>
  <c r="AC219" i="13"/>
  <c r="AD219" i="13" s="1"/>
  <c r="AO221" i="13"/>
  <c r="AC223" i="13"/>
  <c r="AD223" i="13" s="1"/>
  <c r="AO225" i="13"/>
  <c r="AC227" i="13"/>
  <c r="AD227" i="13" s="1"/>
  <c r="AO229" i="13"/>
  <c r="AC231" i="13"/>
  <c r="AD231" i="13" s="1"/>
  <c r="AO233" i="13"/>
  <c r="AC235" i="13"/>
  <c r="AD235" i="13" s="1"/>
  <c r="AO237" i="13"/>
  <c r="AC239" i="13"/>
  <c r="AD239" i="13" s="1"/>
  <c r="AO241" i="13"/>
  <c r="AC243" i="13"/>
  <c r="AD243" i="13" s="1"/>
  <c r="AO245" i="13"/>
  <c r="AC247" i="13"/>
  <c r="AD247" i="13" s="1"/>
  <c r="AO249" i="13"/>
  <c r="AC251" i="13"/>
  <c r="AD251" i="13" s="1"/>
  <c r="AO253" i="13"/>
  <c r="AC255" i="13"/>
  <c r="AD255" i="13" s="1"/>
  <c r="AO257" i="13"/>
  <c r="AC259" i="13"/>
  <c r="AD259" i="13" s="1"/>
  <c r="AO261" i="13"/>
  <c r="AC263" i="13"/>
  <c r="AD263" i="13" s="1"/>
  <c r="AK265" i="13"/>
  <c r="AH266" i="13"/>
  <c r="AO266" i="13"/>
  <c r="Y270" i="13"/>
  <c r="AM272" i="13"/>
  <c r="AK274" i="13"/>
  <c r="BA275" i="13"/>
  <c r="AR279" i="13"/>
  <c r="AK281" i="13"/>
  <c r="AH282" i="13"/>
  <c r="AO282" i="13"/>
  <c r="Y286" i="13"/>
  <c r="BA291" i="13"/>
  <c r="AU292" i="13"/>
  <c r="AR295" i="13"/>
  <c r="Y298" i="13"/>
  <c r="AR301" i="13"/>
  <c r="AU301" i="13"/>
  <c r="Y305" i="13"/>
  <c r="AH308" i="13"/>
  <c r="AO308" i="13"/>
  <c r="AN308" i="13"/>
  <c r="AM308" i="13"/>
  <c r="AL308" i="13"/>
  <c r="AK308" i="13"/>
  <c r="Y314" i="13"/>
  <c r="AJ317" i="13"/>
  <c r="AI317" i="13"/>
  <c r="AH317" i="13"/>
  <c r="AO317" i="13"/>
  <c r="AN317" i="13"/>
  <c r="AM317" i="13"/>
  <c r="AU323" i="13"/>
  <c r="AC323" i="13"/>
  <c r="AD323" i="13" s="1"/>
  <c r="AR323" i="13"/>
  <c r="AR328" i="13"/>
  <c r="Y332" i="13"/>
  <c r="AN335" i="13"/>
  <c r="AM335" i="13"/>
  <c r="AL335" i="13"/>
  <c r="AK335" i="13"/>
  <c r="AJ335" i="13"/>
  <c r="AI335" i="13"/>
  <c r="Y340" i="13"/>
  <c r="AU348" i="13"/>
  <c r="AR348" i="13"/>
  <c r="AC348" i="13"/>
  <c r="AD348" i="13" s="1"/>
  <c r="BA360" i="13"/>
  <c r="Y362" i="13"/>
  <c r="AH362" i="13"/>
  <c r="AO364" i="13"/>
  <c r="Z365" i="13"/>
  <c r="AR365" i="13"/>
  <c r="Y368" i="13"/>
  <c r="BA368" i="13"/>
  <c r="Y376" i="13"/>
  <c r="BA376" i="13"/>
  <c r="Y384" i="13"/>
  <c r="BA384" i="13"/>
  <c r="Y392" i="13"/>
  <c r="Y399" i="13"/>
  <c r="AH399" i="13"/>
  <c r="AR414" i="13"/>
  <c r="Z414" i="13"/>
  <c r="Y442" i="13"/>
  <c r="AH442" i="13"/>
  <c r="AI447" i="13"/>
  <c r="AH447" i="13"/>
  <c r="AO447" i="13"/>
  <c r="AN447" i="13"/>
  <c r="AM447" i="13"/>
  <c r="AL447" i="13"/>
  <c r="AK447" i="13"/>
  <c r="AJ275" i="13"/>
  <c r="AI275" i="13"/>
  <c r="AJ289" i="13"/>
  <c r="AH289" i="13"/>
  <c r="AN289" i="13"/>
  <c r="AM289" i="13"/>
  <c r="AH292" i="13"/>
  <c r="AN292" i="13"/>
  <c r="AL292" i="13"/>
  <c r="AK292" i="13"/>
  <c r="AR294" i="13"/>
  <c r="AG294" i="13"/>
  <c r="BA298" i="13"/>
  <c r="AN299" i="13"/>
  <c r="AL299" i="13"/>
  <c r="AJ299" i="13"/>
  <c r="AI299" i="13"/>
  <c r="AC303" i="13"/>
  <c r="AD303" i="13" s="1"/>
  <c r="BA305" i="13"/>
  <c r="Y310" i="13"/>
  <c r="AJ313" i="13"/>
  <c r="AI313" i="13"/>
  <c r="AH313" i="13"/>
  <c r="AO313" i="13"/>
  <c r="AN313" i="13"/>
  <c r="AM313" i="13"/>
  <c r="AU319" i="13"/>
  <c r="AC319" i="13"/>
  <c r="AD319" i="13" s="1"/>
  <c r="AR319" i="13"/>
  <c r="AR324" i="13"/>
  <c r="Y328" i="13"/>
  <c r="AN331" i="13"/>
  <c r="AM331" i="13"/>
  <c r="AL331" i="13"/>
  <c r="AK331" i="13"/>
  <c r="AJ331" i="13"/>
  <c r="AI331" i="13"/>
  <c r="Y333" i="13"/>
  <c r="AH336" i="13"/>
  <c r="AO336" i="13"/>
  <c r="AN336" i="13"/>
  <c r="AM336" i="13"/>
  <c r="AL336" i="13"/>
  <c r="AK336" i="13"/>
  <c r="Y337" i="13"/>
  <c r="AN339" i="13"/>
  <c r="AM339" i="13"/>
  <c r="AL339" i="13"/>
  <c r="AK339" i="13"/>
  <c r="AJ339" i="13"/>
  <c r="AI339" i="13"/>
  <c r="AO350" i="13"/>
  <c r="AI352" i="13"/>
  <c r="AM352" i="13"/>
  <c r="AO352" i="13"/>
  <c r="AN352" i="13"/>
  <c r="AL352" i="13"/>
  <c r="AK352" i="13"/>
  <c r="AJ352" i="13"/>
  <c r="AH352" i="13"/>
  <c r="Y359" i="13"/>
  <c r="AH359" i="13"/>
  <c r="AK365" i="13"/>
  <c r="AO365" i="13"/>
  <c r="AM365" i="13"/>
  <c r="AL365" i="13"/>
  <c r="AJ365" i="13"/>
  <c r="AI365" i="13"/>
  <c r="AH365" i="13"/>
  <c r="Y370" i="13"/>
  <c r="AH370" i="13"/>
  <c r="AO372" i="13"/>
  <c r="Z373" i="13"/>
  <c r="AR373" i="13"/>
  <c r="AO380" i="13"/>
  <c r="Z381" i="13"/>
  <c r="AR381" i="13"/>
  <c r="AO388" i="13"/>
  <c r="Z389" i="13"/>
  <c r="AR389" i="13"/>
  <c r="Y394" i="13"/>
  <c r="AH394" i="13"/>
  <c r="AH444" i="13"/>
  <c r="Y444" i="13"/>
  <c r="BA174" i="13"/>
  <c r="BA178" i="13"/>
  <c r="BA182" i="13"/>
  <c r="BA186" i="13"/>
  <c r="BA190" i="13"/>
  <c r="BA194" i="13"/>
  <c r="BA198" i="13"/>
  <c r="AI201" i="13"/>
  <c r="BA202" i="13"/>
  <c r="AI205" i="13"/>
  <c r="BA206" i="13"/>
  <c r="AI209" i="13"/>
  <c r="BA210" i="13"/>
  <c r="AI213" i="13"/>
  <c r="BA214" i="13"/>
  <c r="AI217" i="13"/>
  <c r="BA218" i="13"/>
  <c r="AI221" i="13"/>
  <c r="BA222" i="13"/>
  <c r="AI225" i="13"/>
  <c r="BA226" i="13"/>
  <c r="AI229" i="13"/>
  <c r="BA230" i="13"/>
  <c r="AI233" i="13"/>
  <c r="BA234" i="13"/>
  <c r="AI237" i="13"/>
  <c r="BA238" i="13"/>
  <c r="AI241" i="13"/>
  <c r="BA242" i="13"/>
  <c r="AI245" i="13"/>
  <c r="BA246" i="13"/>
  <c r="AI249" i="13"/>
  <c r="BA250" i="13"/>
  <c r="AI253" i="13"/>
  <c r="BA254" i="13"/>
  <c r="AI257" i="13"/>
  <c r="BA258" i="13"/>
  <c r="AI261" i="13"/>
  <c r="BA262" i="13"/>
  <c r="AC265" i="13"/>
  <c r="AD265" i="13" s="1"/>
  <c r="AI266" i="13"/>
  <c r="AH270" i="13"/>
  <c r="AO270" i="13"/>
  <c r="BA270" i="13"/>
  <c r="AU271" i="13"/>
  <c r="Y274" i="13"/>
  <c r="AM274" i="13"/>
  <c r="AH275" i="13"/>
  <c r="BA277" i="13"/>
  <c r="AU280" i="13"/>
  <c r="AC281" i="13"/>
  <c r="AD281" i="13" s="1"/>
  <c r="AI282" i="13"/>
  <c r="AH286" i="13"/>
  <c r="AO286" i="13"/>
  <c r="BA286" i="13"/>
  <c r="AR289" i="13"/>
  <c r="AU289" i="13"/>
  <c r="AI289" i="13"/>
  <c r="AI292" i="13"/>
  <c r="AM295" i="13"/>
  <c r="BA295" i="13"/>
  <c r="AU296" i="13"/>
  <c r="AR299" i="13"/>
  <c r="AH299" i="13"/>
  <c r="AL301" i="13"/>
  <c r="Y302" i="13"/>
  <c r="Y306" i="13"/>
  <c r="AI308" i="13"/>
  <c r="AJ309" i="13"/>
  <c r="AI309" i="13"/>
  <c r="AH309" i="13"/>
  <c r="AO309" i="13"/>
  <c r="AN309" i="13"/>
  <c r="AM309" i="13"/>
  <c r="AJ312" i="13"/>
  <c r="AK313" i="13"/>
  <c r="AU315" i="13"/>
  <c r="AC315" i="13"/>
  <c r="AD315" i="13" s="1"/>
  <c r="AR315" i="13"/>
  <c r="AL317" i="13"/>
  <c r="AR320" i="13"/>
  <c r="Y324" i="13"/>
  <c r="AN327" i="13"/>
  <c r="AM327" i="13"/>
  <c r="AL327" i="13"/>
  <c r="AK327" i="13"/>
  <c r="AJ327" i="13"/>
  <c r="AI327" i="13"/>
  <c r="Y329" i="13"/>
  <c r="AH331" i="13"/>
  <c r="AH332" i="13"/>
  <c r="AO332" i="13"/>
  <c r="AN332" i="13"/>
  <c r="AM332" i="13"/>
  <c r="AL332" i="13"/>
  <c r="AK332" i="13"/>
  <c r="BA333" i="13"/>
  <c r="AO335" i="13"/>
  <c r="AH339" i="13"/>
  <c r="AH340" i="13"/>
  <c r="AO340" i="13"/>
  <c r="AN340" i="13"/>
  <c r="AM340" i="13"/>
  <c r="AL340" i="13"/>
  <c r="AK340" i="13"/>
  <c r="Y341" i="13"/>
  <c r="Y344" i="13"/>
  <c r="AN351" i="13"/>
  <c r="AU356" i="13"/>
  <c r="AR356" i="13"/>
  <c r="AC356" i="13"/>
  <c r="AD356" i="13" s="1"/>
  <c r="Z362" i="13"/>
  <c r="AR362" i="13"/>
  <c r="AK373" i="13"/>
  <c r="AO373" i="13"/>
  <c r="AM373" i="13"/>
  <c r="AL373" i="13"/>
  <c r="AJ373" i="13"/>
  <c r="AI373" i="13"/>
  <c r="AH373" i="13"/>
  <c r="Y378" i="13"/>
  <c r="AH378" i="13"/>
  <c r="AK381" i="13"/>
  <c r="AO381" i="13"/>
  <c r="AM381" i="13"/>
  <c r="AL381" i="13"/>
  <c r="AJ381" i="13"/>
  <c r="AI381" i="13"/>
  <c r="AH381" i="13"/>
  <c r="Y386" i="13"/>
  <c r="AH386" i="13"/>
  <c r="AK389" i="13"/>
  <c r="AO389" i="13"/>
  <c r="AM389" i="13"/>
  <c r="AL389" i="13"/>
  <c r="AJ389" i="13"/>
  <c r="AI389" i="13"/>
  <c r="AH389" i="13"/>
  <c r="AN393" i="13"/>
  <c r="AI405" i="13"/>
  <c r="Y418" i="13"/>
  <c r="AM433" i="13"/>
  <c r="AL433" i="13"/>
  <c r="AK433" i="13"/>
  <c r="AJ433" i="13"/>
  <c r="AI433" i="13"/>
  <c r="AH433" i="13"/>
  <c r="AO433" i="13"/>
  <c r="Y441" i="13"/>
  <c r="Y454" i="13"/>
  <c r="AH454" i="13"/>
  <c r="AM457" i="13"/>
  <c r="AL457" i="13"/>
  <c r="AK457" i="13"/>
  <c r="AJ457" i="13"/>
  <c r="AI457" i="13"/>
  <c r="AH457" i="13"/>
  <c r="AO457" i="13"/>
  <c r="AJ201" i="13"/>
  <c r="AJ205" i="13"/>
  <c r="AJ209" i="13"/>
  <c r="AJ213" i="13"/>
  <c r="AJ217" i="13"/>
  <c r="AJ221" i="13"/>
  <c r="AJ225" i="13"/>
  <c r="AJ229" i="13"/>
  <c r="AJ233" i="13"/>
  <c r="AJ237" i="13"/>
  <c r="AJ241" i="13"/>
  <c r="AR241" i="13"/>
  <c r="AJ245" i="13"/>
  <c r="AR245" i="13"/>
  <c r="AJ249" i="13"/>
  <c r="AJ253" i="13"/>
  <c r="AJ257" i="13"/>
  <c r="AJ261" i="13"/>
  <c r="AJ266" i="13"/>
  <c r="AR270" i="13"/>
  <c r="AC271" i="13"/>
  <c r="AD271" i="13" s="1"/>
  <c r="AK275" i="13"/>
  <c r="AJ279" i="13"/>
  <c r="AI279" i="13"/>
  <c r="AJ282" i="13"/>
  <c r="AR286" i="13"/>
  <c r="AN287" i="13"/>
  <c r="AL287" i="13"/>
  <c r="AJ287" i="13"/>
  <c r="AI287" i="13"/>
  <c r="AU287" i="13"/>
  <c r="AK289" i="13"/>
  <c r="AJ292" i="13"/>
  <c r="AO295" i="13"/>
  <c r="AH296" i="13"/>
  <c r="AN296" i="13"/>
  <c r="AL296" i="13"/>
  <c r="AK296" i="13"/>
  <c r="AR298" i="13"/>
  <c r="AG298" i="13"/>
  <c r="AK299" i="13"/>
  <c r="AR300" i="13"/>
  <c r="AO301" i="13"/>
  <c r="AN303" i="13"/>
  <c r="AL303" i="13"/>
  <c r="AJ303" i="13"/>
  <c r="AI303" i="13"/>
  <c r="AU303" i="13"/>
  <c r="AJ305" i="13"/>
  <c r="AI305" i="13"/>
  <c r="AH305" i="13"/>
  <c r="AO305" i="13"/>
  <c r="AN305" i="13"/>
  <c r="AM305" i="13"/>
  <c r="AJ308" i="13"/>
  <c r="AU311" i="13"/>
  <c r="AC311" i="13"/>
  <c r="AD311" i="13" s="1"/>
  <c r="AR311" i="13"/>
  <c r="AL313" i="13"/>
  <c r="Y320" i="13"/>
  <c r="AN323" i="13"/>
  <c r="AM323" i="13"/>
  <c r="AL323" i="13"/>
  <c r="AK323" i="13"/>
  <c r="AJ323" i="13"/>
  <c r="AI323" i="13"/>
  <c r="Y325" i="13"/>
  <c r="AH328" i="13"/>
  <c r="AO328" i="13"/>
  <c r="AN328" i="13"/>
  <c r="AM328" i="13"/>
  <c r="AL328" i="13"/>
  <c r="AK328" i="13"/>
  <c r="AO331" i="13"/>
  <c r="Y334" i="13"/>
  <c r="AI336" i="13"/>
  <c r="AO339" i="13"/>
  <c r="Y346" i="13"/>
  <c r="AH346" i="13"/>
  <c r="AO348" i="13"/>
  <c r="AN365" i="13"/>
  <c r="Y367" i="13"/>
  <c r="AH367" i="13"/>
  <c r="AN369" i="13"/>
  <c r="Y375" i="13"/>
  <c r="AH375" i="13"/>
  <c r="AM377" i="13"/>
  <c r="Y383" i="13"/>
  <c r="AH383" i="13"/>
  <c r="AM385" i="13"/>
  <c r="Y391" i="13"/>
  <c r="AH391" i="13"/>
  <c r="AI392" i="13"/>
  <c r="AM392" i="13"/>
  <c r="AO392" i="13"/>
  <c r="AN392" i="13"/>
  <c r="AL392" i="13"/>
  <c r="AK392" i="13"/>
  <c r="AJ392" i="13"/>
  <c r="AH392" i="13"/>
  <c r="AN399" i="13"/>
  <c r="BA400" i="13"/>
  <c r="AM413" i="13"/>
  <c r="AL413" i="13"/>
  <c r="AK413" i="13"/>
  <c r="AI413" i="13"/>
  <c r="AO413" i="13"/>
  <c r="AN413" i="13"/>
  <c r="AJ413" i="13"/>
  <c r="AH413" i="13"/>
  <c r="Y417" i="13"/>
  <c r="AH417" i="13"/>
  <c r="AN421" i="13"/>
  <c r="AL423" i="13"/>
  <c r="AH456" i="13"/>
  <c r="Y456" i="13"/>
  <c r="AI459" i="13"/>
  <c r="AH459" i="13"/>
  <c r="AO459" i="13"/>
  <c r="AN459" i="13"/>
  <c r="AM459" i="13"/>
  <c r="AL459" i="13"/>
  <c r="AK459" i="13"/>
  <c r="Y467" i="13"/>
  <c r="AL535" i="13"/>
  <c r="AJ535" i="13"/>
  <c r="AO535" i="13"/>
  <c r="AH535" i="13"/>
  <c r="AN535" i="13"/>
  <c r="AM535" i="13"/>
  <c r="AK535" i="13"/>
  <c r="AI535" i="13"/>
  <c r="BA217" i="13"/>
  <c r="BA221" i="13"/>
  <c r="BA225" i="13"/>
  <c r="BA229" i="13"/>
  <c r="BA233" i="13"/>
  <c r="BA237" i="13"/>
  <c r="AK241" i="13"/>
  <c r="BA241" i="13"/>
  <c r="AK245" i="13"/>
  <c r="BA245" i="13"/>
  <c r="BA249" i="13"/>
  <c r="BA253" i="13"/>
  <c r="BA257" i="13"/>
  <c r="BA261" i="13"/>
  <c r="AN265" i="13"/>
  <c r="AM265" i="13"/>
  <c r="BA265" i="13"/>
  <c r="AL272" i="13"/>
  <c r="AK272" i="13"/>
  <c r="AH274" i="13"/>
  <c r="AO274" i="13"/>
  <c r="AL275" i="13"/>
  <c r="Y278" i="13"/>
  <c r="AN281" i="13"/>
  <c r="AM281" i="13"/>
  <c r="BA281" i="13"/>
  <c r="AL289" i="13"/>
  <c r="Y290" i="13"/>
  <c r="AM292" i="13"/>
  <c r="AR293" i="13"/>
  <c r="AU293" i="13"/>
  <c r="AM299" i="13"/>
  <c r="AU307" i="13"/>
  <c r="AC307" i="13"/>
  <c r="AD307" i="13" s="1"/>
  <c r="AR307" i="13"/>
  <c r="Y316" i="13"/>
  <c r="AN319" i="13"/>
  <c r="AM319" i="13"/>
  <c r="AL319" i="13"/>
  <c r="AK319" i="13"/>
  <c r="AJ319" i="13"/>
  <c r="AI319" i="13"/>
  <c r="Y321" i="13"/>
  <c r="AH324" i="13"/>
  <c r="AO324" i="13"/>
  <c r="AN324" i="13"/>
  <c r="AM324" i="13"/>
  <c r="AL324" i="13"/>
  <c r="AK324" i="13"/>
  <c r="Y330" i="13"/>
  <c r="AJ333" i="13"/>
  <c r="AI333" i="13"/>
  <c r="AH333" i="13"/>
  <c r="AO333" i="13"/>
  <c r="AN333" i="13"/>
  <c r="AM333" i="13"/>
  <c r="AJ336" i="13"/>
  <c r="Y338" i="13"/>
  <c r="Z349" i="13"/>
  <c r="AR349" i="13"/>
  <c r="AI360" i="13"/>
  <c r="AM360" i="13"/>
  <c r="AO360" i="13"/>
  <c r="AN360" i="13"/>
  <c r="AL360" i="13"/>
  <c r="AK360" i="13"/>
  <c r="AJ360" i="13"/>
  <c r="AH360" i="13"/>
  <c r="AI368" i="13"/>
  <c r="AM368" i="13"/>
  <c r="AO368" i="13"/>
  <c r="AN368" i="13"/>
  <c r="AL368" i="13"/>
  <c r="AK368" i="13"/>
  <c r="AJ368" i="13"/>
  <c r="AH368" i="13"/>
  <c r="AI376" i="13"/>
  <c r="AM376" i="13"/>
  <c r="AO376" i="13"/>
  <c r="AN376" i="13"/>
  <c r="AL376" i="13"/>
  <c r="AK376" i="13"/>
  <c r="AJ376" i="13"/>
  <c r="AH376" i="13"/>
  <c r="AI384" i="13"/>
  <c r="AM384" i="13"/>
  <c r="AO384" i="13"/>
  <c r="AN384" i="13"/>
  <c r="AL384" i="13"/>
  <c r="AK384" i="13"/>
  <c r="AJ384" i="13"/>
  <c r="AH384" i="13"/>
  <c r="AU396" i="13"/>
  <c r="AR396" i="13"/>
  <c r="AC396" i="13"/>
  <c r="AD396" i="13" s="1"/>
  <c r="Y402" i="13"/>
  <c r="AH402" i="13"/>
  <c r="AI411" i="13"/>
  <c r="AH411" i="13"/>
  <c r="AO411" i="13"/>
  <c r="AM411" i="13"/>
  <c r="AK411" i="13"/>
  <c r="AN411" i="13"/>
  <c r="AL411" i="13"/>
  <c r="AJ411" i="13"/>
  <c r="Y416" i="13"/>
  <c r="AH416" i="13"/>
  <c r="AK448" i="13"/>
  <c r="AH265" i="13"/>
  <c r="AR265" i="13"/>
  <c r="AL266" i="13"/>
  <c r="AJ267" i="13"/>
  <c r="AI267" i="13"/>
  <c r="AJ270" i="13"/>
  <c r="AO271" i="13"/>
  <c r="AH272" i="13"/>
  <c r="AR272" i="13"/>
  <c r="AR274" i="13"/>
  <c r="AM275" i="13"/>
  <c r="AK279" i="13"/>
  <c r="AH281" i="13"/>
  <c r="AR281" i="13"/>
  <c r="AL282" i="13"/>
  <c r="AJ283" i="13"/>
  <c r="AI283" i="13"/>
  <c r="AJ286" i="13"/>
  <c r="AK287" i="13"/>
  <c r="AR288" i="13"/>
  <c r="AO289" i="13"/>
  <c r="BA290" i="13"/>
  <c r="AN291" i="13"/>
  <c r="AL291" i="13"/>
  <c r="AJ291" i="13"/>
  <c r="AI291" i="13"/>
  <c r="AO292" i="13"/>
  <c r="AC295" i="13"/>
  <c r="AD295" i="13" s="1"/>
  <c r="AJ296" i="13"/>
  <c r="AO299" i="13"/>
  <c r="AC301" i="13"/>
  <c r="AD301" i="13" s="1"/>
  <c r="AR302" i="13"/>
  <c r="AG302" i="13"/>
  <c r="AK303" i="13"/>
  <c r="AR304" i="13"/>
  <c r="AL305" i="13"/>
  <c r="AR308" i="13"/>
  <c r="Y312" i="13"/>
  <c r="AN315" i="13"/>
  <c r="AM315" i="13"/>
  <c r="AL315" i="13"/>
  <c r="AK315" i="13"/>
  <c r="AJ315" i="13"/>
  <c r="AI315" i="13"/>
  <c r="Y317" i="13"/>
  <c r="AH319" i="13"/>
  <c r="AH320" i="13"/>
  <c r="AO320" i="13"/>
  <c r="AN320" i="13"/>
  <c r="AM320" i="13"/>
  <c r="AL320" i="13"/>
  <c r="AK320" i="13"/>
  <c r="AO323" i="13"/>
  <c r="Y326" i="13"/>
  <c r="AI328" i="13"/>
  <c r="AJ329" i="13"/>
  <c r="AI329" i="13"/>
  <c r="AH329" i="13"/>
  <c r="AO329" i="13"/>
  <c r="AN329" i="13"/>
  <c r="AM329" i="13"/>
  <c r="AJ332" i="13"/>
  <c r="AK333" i="13"/>
  <c r="AU335" i="13"/>
  <c r="AC335" i="13"/>
  <c r="AD335" i="13" s="1"/>
  <c r="AR335" i="13"/>
  <c r="AJ337" i="13"/>
  <c r="Y343" i="13"/>
  <c r="AH343" i="13"/>
  <c r="Z346" i="13"/>
  <c r="AR346" i="13"/>
  <c r="AK349" i="13"/>
  <c r="AO349" i="13"/>
  <c r="AM349" i="13"/>
  <c r="AL349" i="13"/>
  <c r="AJ349" i="13"/>
  <c r="AI349" i="13"/>
  <c r="AH349" i="13"/>
  <c r="BA352" i="13"/>
  <c r="Y354" i="13"/>
  <c r="AH354" i="13"/>
  <c r="AO356" i="13"/>
  <c r="AU364" i="13"/>
  <c r="AR364" i="13"/>
  <c r="AC364" i="13"/>
  <c r="AD364" i="13" s="1"/>
  <c r="AO366" i="13"/>
  <c r="AO374" i="13"/>
  <c r="AO382" i="13"/>
  <c r="AO390" i="13"/>
  <c r="Y415" i="13"/>
  <c r="AR417" i="13"/>
  <c r="Z417" i="13"/>
  <c r="AO418" i="13"/>
  <c r="AI435" i="13"/>
  <c r="AH435" i="13"/>
  <c r="AO435" i="13"/>
  <c r="AN435" i="13"/>
  <c r="AM435" i="13"/>
  <c r="AL435" i="13"/>
  <c r="AK435" i="13"/>
  <c r="Y473" i="13"/>
  <c r="BA268" i="13"/>
  <c r="BA272" i="13"/>
  <c r="BA276" i="13"/>
  <c r="BA280" i="13"/>
  <c r="BA284" i="13"/>
  <c r="BA288" i="13"/>
  <c r="BA292" i="13"/>
  <c r="BA296" i="13"/>
  <c r="BA300" i="13"/>
  <c r="BA304" i="13"/>
  <c r="AU305" i="13"/>
  <c r="AG306" i="13"/>
  <c r="AC308" i="13"/>
  <c r="AD308" i="13" s="1"/>
  <c r="BA308" i="13"/>
  <c r="AU309" i="13"/>
  <c r="AG310" i="13"/>
  <c r="AC312" i="13"/>
  <c r="AD312" i="13" s="1"/>
  <c r="BA312" i="13"/>
  <c r="AU313" i="13"/>
  <c r="AG314" i="13"/>
  <c r="AC316" i="13"/>
  <c r="AD316" i="13" s="1"/>
  <c r="BA316" i="13"/>
  <c r="AU317" i="13"/>
  <c r="AG318" i="13"/>
  <c r="AC320" i="13"/>
  <c r="AD320" i="13" s="1"/>
  <c r="BA320" i="13"/>
  <c r="AU321" i="13"/>
  <c r="AG322" i="13"/>
  <c r="AC324" i="13"/>
  <c r="AD324" i="13" s="1"/>
  <c r="BA324" i="13"/>
  <c r="AU325" i="13"/>
  <c r="AG326" i="13"/>
  <c r="AC328" i="13"/>
  <c r="AD328" i="13" s="1"/>
  <c r="BA328" i="13"/>
  <c r="AU329" i="13"/>
  <c r="AG330" i="13"/>
  <c r="AC332" i="13"/>
  <c r="AD332" i="13" s="1"/>
  <c r="BA332" i="13"/>
  <c r="AU333" i="13"/>
  <c r="AG334" i="13"/>
  <c r="BA336" i="13"/>
  <c r="AM337" i="13"/>
  <c r="AU337" i="13"/>
  <c r="AG338" i="13"/>
  <c r="BA340" i="13"/>
  <c r="AM341" i="13"/>
  <c r="AU341" i="13"/>
  <c r="AR344" i="13"/>
  <c r="AL345" i="13"/>
  <c r="AI347" i="13"/>
  <c r="AN348" i="13"/>
  <c r="AK350" i="13"/>
  <c r="AR352" i="13"/>
  <c r="AL353" i="13"/>
  <c r="AI355" i="13"/>
  <c r="AN356" i="13"/>
  <c r="AK358" i="13"/>
  <c r="AR360" i="13"/>
  <c r="AL361" i="13"/>
  <c r="AI363" i="13"/>
  <c r="AN364" i="13"/>
  <c r="AK366" i="13"/>
  <c r="AR368" i="13"/>
  <c r="AL369" i="13"/>
  <c r="AI371" i="13"/>
  <c r="AN372" i="13"/>
  <c r="AK374" i="13"/>
  <c r="AR376" i="13"/>
  <c r="AL377" i="13"/>
  <c r="AI379" i="13"/>
  <c r="AN380" i="13"/>
  <c r="AK382" i="13"/>
  <c r="AR384" i="13"/>
  <c r="AL385" i="13"/>
  <c r="AI387" i="13"/>
  <c r="AN388" i="13"/>
  <c r="AK390" i="13"/>
  <c r="AR392" i="13"/>
  <c r="AL393" i="13"/>
  <c r="AN396" i="13"/>
  <c r="AK398" i="13"/>
  <c r="AR400" i="13"/>
  <c r="AL401" i="13"/>
  <c r="AI403" i="13"/>
  <c r="AN404" i="13"/>
  <c r="Y406" i="13"/>
  <c r="AO406" i="13"/>
  <c r="AK408" i="13"/>
  <c r="AH409" i="13"/>
  <c r="AM417" i="13"/>
  <c r="AL417" i="13"/>
  <c r="AK417" i="13"/>
  <c r="AI417" i="13"/>
  <c r="AO417" i="13"/>
  <c r="AL419" i="13"/>
  <c r="Y420" i="13"/>
  <c r="Y421" i="13"/>
  <c r="AO422" i="13"/>
  <c r="Y425" i="13"/>
  <c r="AM429" i="13"/>
  <c r="AL429" i="13"/>
  <c r="AK429" i="13"/>
  <c r="AJ429" i="13"/>
  <c r="AI429" i="13"/>
  <c r="AH429" i="13"/>
  <c r="AO429" i="13"/>
  <c r="AN429" i="13"/>
  <c r="AO430" i="13"/>
  <c r="AI431" i="13"/>
  <c r="AH431" i="13"/>
  <c r="AO431" i="13"/>
  <c r="AN431" i="13"/>
  <c r="AM431" i="13"/>
  <c r="AL431" i="13"/>
  <c r="AK431" i="13"/>
  <c r="AJ431" i="13"/>
  <c r="Y443" i="13"/>
  <c r="AM445" i="13"/>
  <c r="AL445" i="13"/>
  <c r="AK445" i="13"/>
  <c r="AJ445" i="13"/>
  <c r="AI445" i="13"/>
  <c r="AH445" i="13"/>
  <c r="AO445" i="13"/>
  <c r="AK456" i="13"/>
  <c r="Y462" i="13"/>
  <c r="AH464" i="13"/>
  <c r="Y464" i="13"/>
  <c r="AO466" i="13"/>
  <c r="AI467" i="13"/>
  <c r="AH467" i="13"/>
  <c r="AO467" i="13"/>
  <c r="AN467" i="13"/>
  <c r="AM467" i="13"/>
  <c r="AL467" i="13"/>
  <c r="AK467" i="13"/>
  <c r="AJ467" i="13"/>
  <c r="Y478" i="13"/>
  <c r="AR487" i="13"/>
  <c r="Z487" i="13"/>
  <c r="Y489" i="13"/>
  <c r="AO518" i="13"/>
  <c r="AN518" i="13"/>
  <c r="AM518" i="13"/>
  <c r="AL518" i="13"/>
  <c r="AK518" i="13"/>
  <c r="AJ518" i="13"/>
  <c r="AI518" i="13"/>
  <c r="AH518" i="13"/>
  <c r="AH633" i="13"/>
  <c r="Y633" i="13"/>
  <c r="AN337" i="13"/>
  <c r="AN341" i="13"/>
  <c r="AO343" i="13"/>
  <c r="AK343" i="13"/>
  <c r="Y345" i="13"/>
  <c r="AM346" i="13"/>
  <c r="AI346" i="13"/>
  <c r="AJ347" i="13"/>
  <c r="AL350" i="13"/>
  <c r="AO351" i="13"/>
  <c r="AK351" i="13"/>
  <c r="Y353" i="13"/>
  <c r="AM354" i="13"/>
  <c r="AI354" i="13"/>
  <c r="AJ355" i="13"/>
  <c r="AO359" i="13"/>
  <c r="AK359" i="13"/>
  <c r="Y361" i="13"/>
  <c r="AM362" i="13"/>
  <c r="AI362" i="13"/>
  <c r="AJ363" i="13"/>
  <c r="AL366" i="13"/>
  <c r="AO367" i="13"/>
  <c r="AK367" i="13"/>
  <c r="Y369" i="13"/>
  <c r="AM369" i="13"/>
  <c r="AM370" i="13"/>
  <c r="AI370" i="13"/>
  <c r="AJ371" i="13"/>
  <c r="AL374" i="13"/>
  <c r="AO375" i="13"/>
  <c r="AK375" i="13"/>
  <c r="Y377" i="13"/>
  <c r="AM378" i="13"/>
  <c r="AI378" i="13"/>
  <c r="AJ379" i="13"/>
  <c r="AL382" i="13"/>
  <c r="AO383" i="13"/>
  <c r="AK383" i="13"/>
  <c r="Y385" i="13"/>
  <c r="AM386" i="13"/>
  <c r="AI386" i="13"/>
  <c r="AJ387" i="13"/>
  <c r="AL390" i="13"/>
  <c r="AO391" i="13"/>
  <c r="AK391" i="13"/>
  <c r="Y393" i="13"/>
  <c r="AM393" i="13"/>
  <c r="AM394" i="13"/>
  <c r="AI394" i="13"/>
  <c r="AL398" i="13"/>
  <c r="AO399" i="13"/>
  <c r="AK399" i="13"/>
  <c r="Y401" i="13"/>
  <c r="AM401" i="13"/>
  <c r="AM402" i="13"/>
  <c r="AI402" i="13"/>
  <c r="AJ403" i="13"/>
  <c r="AJ407" i="13"/>
  <c r="AJ409" i="13"/>
  <c r="AI415" i="13"/>
  <c r="AH415" i="13"/>
  <c r="AO415" i="13"/>
  <c r="AM415" i="13"/>
  <c r="AK415" i="13"/>
  <c r="Y419" i="13"/>
  <c r="Y422" i="13"/>
  <c r="AH422" i="13"/>
  <c r="AO426" i="13"/>
  <c r="AK428" i="13"/>
  <c r="Y437" i="13"/>
  <c r="Y438" i="13"/>
  <c r="AH440" i="13"/>
  <c r="Y440" i="13"/>
  <c r="AK444" i="13"/>
  <c r="Y450" i="13"/>
  <c r="AH452" i="13"/>
  <c r="Y452" i="13"/>
  <c r="AO454" i="13"/>
  <c r="AI455" i="13"/>
  <c r="AH455" i="13"/>
  <c r="AO455" i="13"/>
  <c r="AN455" i="13"/>
  <c r="AM455" i="13"/>
  <c r="AL455" i="13"/>
  <c r="AK455" i="13"/>
  <c r="AJ455" i="13"/>
  <c r="Y461" i="13"/>
  <c r="Y463" i="13"/>
  <c r="AM465" i="13"/>
  <c r="AL465" i="13"/>
  <c r="AK465" i="13"/>
  <c r="AJ465" i="13"/>
  <c r="AI465" i="13"/>
  <c r="AH465" i="13"/>
  <c r="AO465" i="13"/>
  <c r="Y477" i="13"/>
  <c r="Y485" i="13"/>
  <c r="AL555" i="13"/>
  <c r="AJ555" i="13"/>
  <c r="AI555" i="13"/>
  <c r="AH555" i="13"/>
  <c r="AO555" i="13"/>
  <c r="AN555" i="13"/>
  <c r="AM555" i="13"/>
  <c r="AK555" i="13"/>
  <c r="AN556" i="13"/>
  <c r="AL556" i="13"/>
  <c r="AK556" i="13"/>
  <c r="AJ556" i="13"/>
  <c r="AI556" i="13"/>
  <c r="AO556" i="13"/>
  <c r="AM556" i="13"/>
  <c r="AH556" i="13"/>
  <c r="BB574" i="13"/>
  <c r="BA574" i="13"/>
  <c r="BA307" i="13"/>
  <c r="BA311" i="13"/>
  <c r="BA315" i="13"/>
  <c r="BA319" i="13"/>
  <c r="BA323" i="13"/>
  <c r="BA327" i="13"/>
  <c r="BA331" i="13"/>
  <c r="BA335" i="13"/>
  <c r="AO337" i="13"/>
  <c r="BA339" i="13"/>
  <c r="AO341" i="13"/>
  <c r="AR370" i="13"/>
  <c r="AL371" i="13"/>
  <c r="AN374" i="13"/>
  <c r="AR378" i="13"/>
  <c r="AL379" i="13"/>
  <c r="AN382" i="13"/>
  <c r="AR386" i="13"/>
  <c r="AL387" i="13"/>
  <c r="AN390" i="13"/>
  <c r="AR394" i="13"/>
  <c r="AN398" i="13"/>
  <c r="AR402" i="13"/>
  <c r="AL403" i="13"/>
  <c r="BB404" i="13"/>
  <c r="BB406" i="13"/>
  <c r="AL407" i="13"/>
  <c r="Y408" i="13"/>
  <c r="Y409" i="13"/>
  <c r="AO410" i="13"/>
  <c r="AK412" i="13"/>
  <c r="AM421" i="13"/>
  <c r="AL421" i="13"/>
  <c r="AK421" i="13"/>
  <c r="AI421" i="13"/>
  <c r="AO421" i="13"/>
  <c r="Z425" i="13"/>
  <c r="Y427" i="13"/>
  <c r="Y439" i="13"/>
  <c r="AM441" i="13"/>
  <c r="AL441" i="13"/>
  <c r="AK441" i="13"/>
  <c r="AJ441" i="13"/>
  <c r="AI441" i="13"/>
  <c r="AH441" i="13"/>
  <c r="AO441" i="13"/>
  <c r="AN441" i="13"/>
  <c r="AO442" i="13"/>
  <c r="AI443" i="13"/>
  <c r="AH443" i="13"/>
  <c r="AO443" i="13"/>
  <c r="AN443" i="13"/>
  <c r="AM443" i="13"/>
  <c r="AL443" i="13"/>
  <c r="AK443" i="13"/>
  <c r="AJ443" i="13"/>
  <c r="Y449" i="13"/>
  <c r="Y451" i="13"/>
  <c r="AM453" i="13"/>
  <c r="AL453" i="13"/>
  <c r="AK453" i="13"/>
  <c r="AJ453" i="13"/>
  <c r="AI453" i="13"/>
  <c r="AH453" i="13"/>
  <c r="AO453" i="13"/>
  <c r="AK464" i="13"/>
  <c r="Y470" i="13"/>
  <c r="AO502" i="13"/>
  <c r="AN502" i="13"/>
  <c r="AM502" i="13"/>
  <c r="AL502" i="13"/>
  <c r="AK502" i="13"/>
  <c r="AJ502" i="13"/>
  <c r="AI502" i="13"/>
  <c r="AH502" i="13"/>
  <c r="AI507" i="13"/>
  <c r="AH507" i="13"/>
  <c r="AO507" i="13"/>
  <c r="AN507" i="13"/>
  <c r="AM507" i="13"/>
  <c r="AL507" i="13"/>
  <c r="AK507" i="13"/>
  <c r="AJ507" i="13"/>
  <c r="AJ530" i="13"/>
  <c r="AH530" i="13"/>
  <c r="AM530" i="13"/>
  <c r="AO530" i="13"/>
  <c r="AN530" i="13"/>
  <c r="AL530" i="13"/>
  <c r="AK530" i="13"/>
  <c r="AI530" i="13"/>
  <c r="AH337" i="13"/>
  <c r="AH341" i="13"/>
  <c r="AK345" i="13"/>
  <c r="AO345" i="13"/>
  <c r="Y347" i="13"/>
  <c r="AI348" i="13"/>
  <c r="AM348" i="13"/>
  <c r="AK353" i="13"/>
  <c r="AO353" i="13"/>
  <c r="Y355" i="13"/>
  <c r="AI356" i="13"/>
  <c r="AM356" i="13"/>
  <c r="AK361" i="13"/>
  <c r="AO361" i="13"/>
  <c r="Y363" i="13"/>
  <c r="AM363" i="13"/>
  <c r="AI364" i="13"/>
  <c r="AM364" i="13"/>
  <c r="BA364" i="13"/>
  <c r="AK369" i="13"/>
  <c r="AO369" i="13"/>
  <c r="Y371" i="13"/>
  <c r="AM371" i="13"/>
  <c r="AI372" i="13"/>
  <c r="AM372" i="13"/>
  <c r="BA372" i="13"/>
  <c r="AK377" i="13"/>
  <c r="AO377" i="13"/>
  <c r="Y379" i="13"/>
  <c r="AM379" i="13"/>
  <c r="AI380" i="13"/>
  <c r="AM380" i="13"/>
  <c r="BA380" i="13"/>
  <c r="AK385" i="13"/>
  <c r="AO385" i="13"/>
  <c r="Y387" i="13"/>
  <c r="AM387" i="13"/>
  <c r="AI388" i="13"/>
  <c r="AM388" i="13"/>
  <c r="BA388" i="13"/>
  <c r="AK393" i="13"/>
  <c r="AO393" i="13"/>
  <c r="Y395" i="13"/>
  <c r="AI396" i="13"/>
  <c r="AM396" i="13"/>
  <c r="BA396" i="13"/>
  <c r="AK401" i="13"/>
  <c r="AO401" i="13"/>
  <c r="Y403" i="13"/>
  <c r="AM403" i="13"/>
  <c r="AI404" i="13"/>
  <c r="AM404" i="13"/>
  <c r="Y405" i="13"/>
  <c r="AH405" i="13"/>
  <c r="Y407" i="13"/>
  <c r="Y410" i="13"/>
  <c r="AH410" i="13"/>
  <c r="AI419" i="13"/>
  <c r="AH419" i="13"/>
  <c r="AO419" i="13"/>
  <c r="AM419" i="13"/>
  <c r="AK419" i="13"/>
  <c r="Y423" i="13"/>
  <c r="AM425" i="13"/>
  <c r="AL425" i="13"/>
  <c r="AK425" i="13"/>
  <c r="AJ425" i="13"/>
  <c r="AI425" i="13"/>
  <c r="AO425" i="13"/>
  <c r="Y433" i="13"/>
  <c r="Y434" i="13"/>
  <c r="AH436" i="13"/>
  <c r="Y436" i="13"/>
  <c r="Y458" i="13"/>
  <c r="AH460" i="13"/>
  <c r="Y460" i="13"/>
  <c r="AO462" i="13"/>
  <c r="AI463" i="13"/>
  <c r="AH463" i="13"/>
  <c r="AO463" i="13"/>
  <c r="AN463" i="13"/>
  <c r="AM463" i="13"/>
  <c r="AL463" i="13"/>
  <c r="AK463" i="13"/>
  <c r="AJ463" i="13"/>
  <c r="Y469" i="13"/>
  <c r="Y471" i="13"/>
  <c r="AI491" i="13"/>
  <c r="AH491" i="13"/>
  <c r="AO491" i="13"/>
  <c r="AN491" i="13"/>
  <c r="AM491" i="13"/>
  <c r="AL491" i="13"/>
  <c r="AK491" i="13"/>
  <c r="AJ491" i="13"/>
  <c r="AH544" i="13"/>
  <c r="Y544" i="13"/>
  <c r="AH561" i="13"/>
  <c r="AN561" i="13"/>
  <c r="AM561" i="13"/>
  <c r="AL561" i="13"/>
  <c r="AK561" i="13"/>
  <c r="AO561" i="13"/>
  <c r="AJ561" i="13"/>
  <c r="AI561" i="13"/>
  <c r="BA306" i="13"/>
  <c r="BA310" i="13"/>
  <c r="BA314" i="13"/>
  <c r="BA318" i="13"/>
  <c r="BA322" i="13"/>
  <c r="BA326" i="13"/>
  <c r="BA330" i="13"/>
  <c r="BA334" i="13"/>
  <c r="AI337" i="13"/>
  <c r="BA338" i="13"/>
  <c r="AI341" i="13"/>
  <c r="AC368" i="13"/>
  <c r="AD368" i="13" s="1"/>
  <c r="AH372" i="13"/>
  <c r="AC392" i="13"/>
  <c r="AD392" i="13" s="1"/>
  <c r="AH396" i="13"/>
  <c r="AC400" i="13"/>
  <c r="AD400" i="13" s="1"/>
  <c r="AM409" i="13"/>
  <c r="AL409" i="13"/>
  <c r="AK409" i="13"/>
  <c r="AI409" i="13"/>
  <c r="AO409" i="13"/>
  <c r="Y412" i="13"/>
  <c r="Y413" i="13"/>
  <c r="AO414" i="13"/>
  <c r="AH425" i="13"/>
  <c r="Y426" i="13"/>
  <c r="AI427" i="13"/>
  <c r="AH427" i="13"/>
  <c r="AO427" i="13"/>
  <c r="AN427" i="13"/>
  <c r="AM427" i="13"/>
  <c r="AK427" i="13"/>
  <c r="Y435" i="13"/>
  <c r="AM437" i="13"/>
  <c r="AL437" i="13"/>
  <c r="AK437" i="13"/>
  <c r="AJ437" i="13"/>
  <c r="AI437" i="13"/>
  <c r="AH437" i="13"/>
  <c r="AO437" i="13"/>
  <c r="AN437" i="13"/>
  <c r="AI439" i="13"/>
  <c r="AH439" i="13"/>
  <c r="AO439" i="13"/>
  <c r="AN439" i="13"/>
  <c r="AM439" i="13"/>
  <c r="AL439" i="13"/>
  <c r="AK439" i="13"/>
  <c r="AJ439" i="13"/>
  <c r="Y446" i="13"/>
  <c r="AH448" i="13"/>
  <c r="Y448" i="13"/>
  <c r="AI451" i="13"/>
  <c r="AH451" i="13"/>
  <c r="AO451" i="13"/>
  <c r="AN451" i="13"/>
  <c r="AM451" i="13"/>
  <c r="AL451" i="13"/>
  <c r="AK451" i="13"/>
  <c r="AJ451" i="13"/>
  <c r="Y457" i="13"/>
  <c r="Y459" i="13"/>
  <c r="AM461" i="13"/>
  <c r="AL461" i="13"/>
  <c r="AK461" i="13"/>
  <c r="AJ461" i="13"/>
  <c r="AI461" i="13"/>
  <c r="AH461" i="13"/>
  <c r="AO461" i="13"/>
  <c r="AH537" i="13"/>
  <c r="AN537" i="13"/>
  <c r="AK537" i="13"/>
  <c r="AO537" i="13"/>
  <c r="AM537" i="13"/>
  <c r="AL537" i="13"/>
  <c r="AJ537" i="13"/>
  <c r="AI537" i="13"/>
  <c r="Z656" i="13"/>
  <c r="AR656" i="13"/>
  <c r="AH345" i="13"/>
  <c r="AO347" i="13"/>
  <c r="AK347" i="13"/>
  <c r="Y349" i="13"/>
  <c r="AM350" i="13"/>
  <c r="AI350" i="13"/>
  <c r="AH353" i="13"/>
  <c r="AO355" i="13"/>
  <c r="AK355" i="13"/>
  <c r="Y357" i="13"/>
  <c r="AM358" i="13"/>
  <c r="AI358" i="13"/>
  <c r="AH361" i="13"/>
  <c r="AO363" i="13"/>
  <c r="AK363" i="13"/>
  <c r="Y365" i="13"/>
  <c r="AM366" i="13"/>
  <c r="AI366" i="13"/>
  <c r="AO371" i="13"/>
  <c r="AK371" i="13"/>
  <c r="Y373" i="13"/>
  <c r="AM374" i="13"/>
  <c r="AI374" i="13"/>
  <c r="AO379" i="13"/>
  <c r="AK379" i="13"/>
  <c r="Y381" i="13"/>
  <c r="AM382" i="13"/>
  <c r="AI382" i="13"/>
  <c r="AO387" i="13"/>
  <c r="AK387" i="13"/>
  <c r="Y389" i="13"/>
  <c r="AM390" i="13"/>
  <c r="AI390" i="13"/>
  <c r="Y397" i="13"/>
  <c r="AM398" i="13"/>
  <c r="AI398" i="13"/>
  <c r="AO403" i="13"/>
  <c r="AK403" i="13"/>
  <c r="AM405" i="13"/>
  <c r="AL405" i="13"/>
  <c r="AK405" i="13"/>
  <c r="AO405" i="13"/>
  <c r="AJ405" i="13"/>
  <c r="AI407" i="13"/>
  <c r="AH407" i="13"/>
  <c r="AO407" i="13"/>
  <c r="AM407" i="13"/>
  <c r="AK407" i="13"/>
  <c r="Y411" i="13"/>
  <c r="Y414" i="13"/>
  <c r="AH414" i="13"/>
  <c r="AI423" i="13"/>
  <c r="AH423" i="13"/>
  <c r="AO423" i="13"/>
  <c r="AN423" i="13"/>
  <c r="AM423" i="13"/>
  <c r="AK423" i="13"/>
  <c r="AN425" i="13"/>
  <c r="AH428" i="13"/>
  <c r="Y428" i="13"/>
  <c r="Y429" i="13"/>
  <c r="Y430" i="13"/>
  <c r="AH432" i="13"/>
  <c r="Y432" i="13"/>
  <c r="AK436" i="13"/>
  <c r="Y445" i="13"/>
  <c r="Y447" i="13"/>
  <c r="AM449" i="13"/>
  <c r="AL449" i="13"/>
  <c r="AK449" i="13"/>
  <c r="AJ449" i="13"/>
  <c r="AI449" i="13"/>
  <c r="AH449" i="13"/>
  <c r="AO449" i="13"/>
  <c r="AK460" i="13"/>
  <c r="Y466" i="13"/>
  <c r="AH468" i="13"/>
  <c r="Y468" i="13"/>
  <c r="AI471" i="13"/>
  <c r="AH471" i="13"/>
  <c r="AO471" i="13"/>
  <c r="AN471" i="13"/>
  <c r="AM471" i="13"/>
  <c r="AL471" i="13"/>
  <c r="AK471" i="13"/>
  <c r="AJ471" i="13"/>
  <c r="AR488" i="13"/>
  <c r="Z488" i="13"/>
  <c r="AI406" i="13"/>
  <c r="AM408" i="13"/>
  <c r="AU408" i="13"/>
  <c r="AI410" i="13"/>
  <c r="AM412" i="13"/>
  <c r="AU412" i="13"/>
  <c r="AI414" i="13"/>
  <c r="AM416" i="13"/>
  <c r="AU416" i="13"/>
  <c r="AI418" i="13"/>
  <c r="AM420" i="13"/>
  <c r="AU420" i="13"/>
  <c r="AI422" i="13"/>
  <c r="AM424" i="13"/>
  <c r="AU424" i="13"/>
  <c r="AI426" i="13"/>
  <c r="AM428" i="13"/>
  <c r="AU428" i="13"/>
  <c r="AI430" i="13"/>
  <c r="AM432" i="13"/>
  <c r="AU432" i="13"/>
  <c r="AI434" i="13"/>
  <c r="AM436" i="13"/>
  <c r="AU436" i="13"/>
  <c r="AI438" i="13"/>
  <c r="AM440" i="13"/>
  <c r="AU440" i="13"/>
  <c r="AI442" i="13"/>
  <c r="AM444" i="13"/>
  <c r="AU444" i="13"/>
  <c r="AI446" i="13"/>
  <c r="AM448" i="13"/>
  <c r="AU448" i="13"/>
  <c r="AI450" i="13"/>
  <c r="AM452" i="13"/>
  <c r="AU452" i="13"/>
  <c r="AI454" i="13"/>
  <c r="AM456" i="13"/>
  <c r="AU456" i="13"/>
  <c r="AI458" i="13"/>
  <c r="AM460" i="13"/>
  <c r="AU460" i="13"/>
  <c r="AI462" i="13"/>
  <c r="AM464" i="13"/>
  <c r="AU464" i="13"/>
  <c r="AI466" i="13"/>
  <c r="AM468" i="13"/>
  <c r="AU468" i="13"/>
  <c r="AI470" i="13"/>
  <c r="AR472" i="13"/>
  <c r="AL473" i="13"/>
  <c r="Y476" i="13"/>
  <c r="AH476" i="13"/>
  <c r="AI478" i="13"/>
  <c r="AR479" i="13"/>
  <c r="AK480" i="13"/>
  <c r="AI480" i="13"/>
  <c r="AO480" i="13"/>
  <c r="AN480" i="13"/>
  <c r="AL480" i="13"/>
  <c r="AO482" i="13"/>
  <c r="AM482" i="13"/>
  <c r="AK482" i="13"/>
  <c r="AJ482" i="13"/>
  <c r="AN482" i="13"/>
  <c r="Y483" i="13"/>
  <c r="AH483" i="13"/>
  <c r="AU485" i="13"/>
  <c r="AC485" i="13"/>
  <c r="AD485" i="13" s="1"/>
  <c r="AM485" i="13"/>
  <c r="AK485" i="13"/>
  <c r="AI485" i="13"/>
  <c r="AH485" i="13"/>
  <c r="AI487" i="13"/>
  <c r="AO487" i="13"/>
  <c r="AM487" i="13"/>
  <c r="AL487" i="13"/>
  <c r="AK487" i="13"/>
  <c r="AK488" i="13"/>
  <c r="AI488" i="13"/>
  <c r="AO488" i="13"/>
  <c r="AN488" i="13"/>
  <c r="AM488" i="13"/>
  <c r="Y494" i="13"/>
  <c r="AK496" i="13"/>
  <c r="AJ496" i="13"/>
  <c r="AI496" i="13"/>
  <c r="AH496" i="13"/>
  <c r="AO496" i="13"/>
  <c r="AN496" i="13"/>
  <c r="AM496" i="13"/>
  <c r="AM501" i="13"/>
  <c r="Y505" i="13"/>
  <c r="Y510" i="13"/>
  <c r="AK512" i="13"/>
  <c r="AJ512" i="13"/>
  <c r="AI512" i="13"/>
  <c r="AH512" i="13"/>
  <c r="AO512" i="13"/>
  <c r="AN512" i="13"/>
  <c r="AM512" i="13"/>
  <c r="AM517" i="13"/>
  <c r="Y521" i="13"/>
  <c r="Y526" i="13"/>
  <c r="AK528" i="13"/>
  <c r="AM529" i="13"/>
  <c r="BB536" i="13"/>
  <c r="BA536" i="13"/>
  <c r="BB538" i="13"/>
  <c r="BA538" i="13"/>
  <c r="Y540" i="13"/>
  <c r="AH540" i="13"/>
  <c r="AH541" i="13"/>
  <c r="AN541" i="13"/>
  <c r="AM541" i="13"/>
  <c r="AK541" i="13"/>
  <c r="AO541" i="13"/>
  <c r="AL541" i="13"/>
  <c r="AJ541" i="13"/>
  <c r="AJ546" i="13"/>
  <c r="AH546" i="13"/>
  <c r="AO546" i="13"/>
  <c r="AN546" i="13"/>
  <c r="AM546" i="13"/>
  <c r="AL546" i="13"/>
  <c r="AK546" i="13"/>
  <c r="AI546" i="13"/>
  <c r="Y552" i="13"/>
  <c r="Y577" i="13"/>
  <c r="Y584" i="13"/>
  <c r="Y635" i="13"/>
  <c r="AH635" i="13"/>
  <c r="AJ430" i="13"/>
  <c r="AR430" i="13"/>
  <c r="AN432" i="13"/>
  <c r="AJ434" i="13"/>
  <c r="AR434" i="13"/>
  <c r="AN436" i="13"/>
  <c r="AJ438" i="13"/>
  <c r="AR438" i="13"/>
  <c r="AN440" i="13"/>
  <c r="AJ442" i="13"/>
  <c r="AR442" i="13"/>
  <c r="AN444" i="13"/>
  <c r="AJ446" i="13"/>
  <c r="AR446" i="13"/>
  <c r="AN448" i="13"/>
  <c r="AJ450" i="13"/>
  <c r="AR450" i="13"/>
  <c r="AN452" i="13"/>
  <c r="AJ454" i="13"/>
  <c r="AR454" i="13"/>
  <c r="AN456" i="13"/>
  <c r="AJ458" i="13"/>
  <c r="AR458" i="13"/>
  <c r="AN460" i="13"/>
  <c r="AJ462" i="13"/>
  <c r="AR462" i="13"/>
  <c r="AN464" i="13"/>
  <c r="AJ466" i="13"/>
  <c r="AR466" i="13"/>
  <c r="AN468" i="13"/>
  <c r="AJ470" i="13"/>
  <c r="AR470" i="13"/>
  <c r="Y474" i="13"/>
  <c r="AH474" i="13"/>
  <c r="AO490" i="13"/>
  <c r="AN490" i="13"/>
  <c r="AM490" i="13"/>
  <c r="AL490" i="13"/>
  <c r="AK490" i="13"/>
  <c r="AJ490" i="13"/>
  <c r="AI490" i="13"/>
  <c r="Y493" i="13"/>
  <c r="AI495" i="13"/>
  <c r="AH495" i="13"/>
  <c r="AO495" i="13"/>
  <c r="AN495" i="13"/>
  <c r="AM495" i="13"/>
  <c r="AL495" i="13"/>
  <c r="AK495" i="13"/>
  <c r="Y499" i="13"/>
  <c r="Y504" i="13"/>
  <c r="AO506" i="13"/>
  <c r="AN506" i="13"/>
  <c r="AM506" i="13"/>
  <c r="AL506" i="13"/>
  <c r="AK506" i="13"/>
  <c r="AJ506" i="13"/>
  <c r="AI506" i="13"/>
  <c r="AI511" i="13"/>
  <c r="AH511" i="13"/>
  <c r="AO511" i="13"/>
  <c r="AN511" i="13"/>
  <c r="AM511" i="13"/>
  <c r="AL511" i="13"/>
  <c r="AK511" i="13"/>
  <c r="Y515" i="13"/>
  <c r="Y520" i="13"/>
  <c r="AO522" i="13"/>
  <c r="AN522" i="13"/>
  <c r="AM522" i="13"/>
  <c r="AL522" i="13"/>
  <c r="AK522" i="13"/>
  <c r="AJ522" i="13"/>
  <c r="AI522" i="13"/>
  <c r="Z526" i="13"/>
  <c r="AI527" i="13"/>
  <c r="AH527" i="13"/>
  <c r="AO527" i="13"/>
  <c r="AN527" i="13"/>
  <c r="AM527" i="13"/>
  <c r="AL527" i="13"/>
  <c r="AK527" i="13"/>
  <c r="Y532" i="13"/>
  <c r="AJ534" i="13"/>
  <c r="AH534" i="13"/>
  <c r="AM534" i="13"/>
  <c r="AO534" i="13"/>
  <c r="AN534" i="13"/>
  <c r="AL534" i="13"/>
  <c r="AK534" i="13"/>
  <c r="AI534" i="13"/>
  <c r="Y560" i="13"/>
  <c r="AH560" i="13"/>
  <c r="Y569" i="13"/>
  <c r="Y572" i="13"/>
  <c r="AH573" i="13"/>
  <c r="AN573" i="13"/>
  <c r="AM573" i="13"/>
  <c r="AL573" i="13"/>
  <c r="AK573" i="13"/>
  <c r="AO573" i="13"/>
  <c r="AJ573" i="13"/>
  <c r="AI573" i="13"/>
  <c r="Y581" i="13"/>
  <c r="Y589" i="13"/>
  <c r="BB649" i="13"/>
  <c r="BA649" i="13"/>
  <c r="Y705" i="13"/>
  <c r="AH705" i="13"/>
  <c r="AN722" i="13"/>
  <c r="AM722" i="13"/>
  <c r="AK722" i="13"/>
  <c r="AJ722" i="13"/>
  <c r="AO722" i="13"/>
  <c r="AL722" i="13"/>
  <c r="AI722" i="13"/>
  <c r="AH722" i="13"/>
  <c r="AO408" i="13"/>
  <c r="AO412" i="13"/>
  <c r="AO416" i="13"/>
  <c r="AO420" i="13"/>
  <c r="AO424" i="13"/>
  <c r="AO428" i="13"/>
  <c r="AO432" i="13"/>
  <c r="AO436" i="13"/>
  <c r="AO440" i="13"/>
  <c r="AO444" i="13"/>
  <c r="AO448" i="13"/>
  <c r="AO452" i="13"/>
  <c r="AO456" i="13"/>
  <c r="AO460" i="13"/>
  <c r="AO464" i="13"/>
  <c r="AO468" i="13"/>
  <c r="Y472" i="13"/>
  <c r="AH472" i="13"/>
  <c r="AU472" i="13"/>
  <c r="AK476" i="13"/>
  <c r="AI476" i="13"/>
  <c r="AO476" i="13"/>
  <c r="AN476" i="13"/>
  <c r="AL476" i="13"/>
  <c r="AO478" i="13"/>
  <c r="AM478" i="13"/>
  <c r="AK478" i="13"/>
  <c r="AJ478" i="13"/>
  <c r="AN478" i="13"/>
  <c r="Y479" i="13"/>
  <c r="AH479" i="13"/>
  <c r="AU481" i="13"/>
  <c r="AC481" i="13"/>
  <c r="AD481" i="13" s="1"/>
  <c r="AM481" i="13"/>
  <c r="AK481" i="13"/>
  <c r="AI481" i="13"/>
  <c r="AH481" i="13"/>
  <c r="AI483" i="13"/>
  <c r="AO483" i="13"/>
  <c r="AM483" i="13"/>
  <c r="AL483" i="13"/>
  <c r="AK483" i="13"/>
  <c r="AJ495" i="13"/>
  <c r="Y498" i="13"/>
  <c r="AK500" i="13"/>
  <c r="AJ500" i="13"/>
  <c r="AI500" i="13"/>
  <c r="AH500" i="13"/>
  <c r="AO500" i="13"/>
  <c r="AN500" i="13"/>
  <c r="AM500" i="13"/>
  <c r="AM505" i="13"/>
  <c r="Y509" i="13"/>
  <c r="Y514" i="13"/>
  <c r="AK516" i="13"/>
  <c r="AJ516" i="13"/>
  <c r="AI516" i="13"/>
  <c r="AH516" i="13"/>
  <c r="AO516" i="13"/>
  <c r="AN516" i="13"/>
  <c r="AM516" i="13"/>
  <c r="Y525" i="13"/>
  <c r="AH533" i="13"/>
  <c r="AN533" i="13"/>
  <c r="AK533" i="13"/>
  <c r="AO533" i="13"/>
  <c r="AM533" i="13"/>
  <c r="AL533" i="13"/>
  <c r="AJ533" i="13"/>
  <c r="AI533" i="13"/>
  <c r="Y565" i="13"/>
  <c r="AU625" i="13"/>
  <c r="AC625" i="13"/>
  <c r="AD625" i="13" s="1"/>
  <c r="AR625" i="13"/>
  <c r="AU631" i="13"/>
  <c r="AR631" i="13"/>
  <c r="AC631" i="13"/>
  <c r="AD631" i="13" s="1"/>
  <c r="AC634" i="13"/>
  <c r="AD634" i="13" s="1"/>
  <c r="AU634" i="13"/>
  <c r="AR634" i="13"/>
  <c r="Y486" i="13"/>
  <c r="AH486" i="13"/>
  <c r="Y492" i="13"/>
  <c r="AO494" i="13"/>
  <c r="AN494" i="13"/>
  <c r="AM494" i="13"/>
  <c r="AL494" i="13"/>
  <c r="AK494" i="13"/>
  <c r="AJ494" i="13"/>
  <c r="AI494" i="13"/>
  <c r="AI499" i="13"/>
  <c r="AH499" i="13"/>
  <c r="AO499" i="13"/>
  <c r="AN499" i="13"/>
  <c r="AM499" i="13"/>
  <c r="AL499" i="13"/>
  <c r="AK499" i="13"/>
  <c r="Y503" i="13"/>
  <c r="Y508" i="13"/>
  <c r="AO510" i="13"/>
  <c r="AN510" i="13"/>
  <c r="AM510" i="13"/>
  <c r="AL510" i="13"/>
  <c r="AK510" i="13"/>
  <c r="AJ510" i="13"/>
  <c r="AI510" i="13"/>
  <c r="AI515" i="13"/>
  <c r="AH515" i="13"/>
  <c r="AO515" i="13"/>
  <c r="AN515" i="13"/>
  <c r="AM515" i="13"/>
  <c r="AL515" i="13"/>
  <c r="AK515" i="13"/>
  <c r="Y519" i="13"/>
  <c r="Y524" i="13"/>
  <c r="AO526" i="13"/>
  <c r="AN526" i="13"/>
  <c r="AM526" i="13"/>
  <c r="AL526" i="13"/>
  <c r="AK526" i="13"/>
  <c r="AJ526" i="13"/>
  <c r="AI526" i="13"/>
  <c r="Y545" i="13"/>
  <c r="AN547" i="13"/>
  <c r="AH577" i="13"/>
  <c r="AN577" i="13"/>
  <c r="AM577" i="13"/>
  <c r="AL577" i="13"/>
  <c r="AK577" i="13"/>
  <c r="AO577" i="13"/>
  <c r="AJ577" i="13"/>
  <c r="AI577" i="13"/>
  <c r="AU585" i="13"/>
  <c r="AC585" i="13"/>
  <c r="AD585" i="13" s="1"/>
  <c r="AR585" i="13"/>
  <c r="Y588" i="13"/>
  <c r="AU593" i="13"/>
  <c r="AC593" i="13"/>
  <c r="AD593" i="13" s="1"/>
  <c r="AR593" i="13"/>
  <c r="Y596" i="13"/>
  <c r="AU601" i="13"/>
  <c r="AC601" i="13"/>
  <c r="AD601" i="13" s="1"/>
  <c r="AR601" i="13"/>
  <c r="Y604" i="13"/>
  <c r="AU609" i="13"/>
  <c r="AC609" i="13"/>
  <c r="AD609" i="13" s="1"/>
  <c r="AR609" i="13"/>
  <c r="Y612" i="13"/>
  <c r="AU617" i="13"/>
  <c r="AC617" i="13"/>
  <c r="AD617" i="13" s="1"/>
  <c r="AR617" i="13"/>
  <c r="Y620" i="13"/>
  <c r="Y638" i="13"/>
  <c r="AM639" i="13"/>
  <c r="AJ639" i="13"/>
  <c r="AO639" i="13"/>
  <c r="AN639" i="13"/>
  <c r="AL639" i="13"/>
  <c r="AK639" i="13"/>
  <c r="AI639" i="13"/>
  <c r="AU647" i="13"/>
  <c r="AR647" i="13"/>
  <c r="AC647" i="13"/>
  <c r="AD647" i="13" s="1"/>
  <c r="AM406" i="13"/>
  <c r="AI408" i="13"/>
  <c r="AM410" i="13"/>
  <c r="AI412" i="13"/>
  <c r="AM414" i="13"/>
  <c r="AI416" i="13"/>
  <c r="AM418" i="13"/>
  <c r="AI420" i="13"/>
  <c r="AM422" i="13"/>
  <c r="AI424" i="13"/>
  <c r="AM426" i="13"/>
  <c r="AI428" i="13"/>
  <c r="AM430" i="13"/>
  <c r="AI432" i="13"/>
  <c r="AM434" i="13"/>
  <c r="AI436" i="13"/>
  <c r="AM438" i="13"/>
  <c r="AI440" i="13"/>
  <c r="AM442" i="13"/>
  <c r="AI444" i="13"/>
  <c r="AM446" i="13"/>
  <c r="AI448" i="13"/>
  <c r="AM450" i="13"/>
  <c r="AI452" i="13"/>
  <c r="AM454" i="13"/>
  <c r="AI456" i="13"/>
  <c r="AM458" i="13"/>
  <c r="AI460" i="13"/>
  <c r="AM462" i="13"/>
  <c r="AI464" i="13"/>
  <c r="AM466" i="13"/>
  <c r="AI468" i="13"/>
  <c r="AM470" i="13"/>
  <c r="AK472" i="13"/>
  <c r="AI472" i="13"/>
  <c r="AO472" i="13"/>
  <c r="AN472" i="13"/>
  <c r="AL472" i="13"/>
  <c r="AO474" i="13"/>
  <c r="AM474" i="13"/>
  <c r="AK474" i="13"/>
  <c r="AJ474" i="13"/>
  <c r="AN474" i="13"/>
  <c r="Y475" i="13"/>
  <c r="AH475" i="13"/>
  <c r="AU477" i="13"/>
  <c r="AC477" i="13"/>
  <c r="AD477" i="13" s="1"/>
  <c r="AM477" i="13"/>
  <c r="AK477" i="13"/>
  <c r="AI477" i="13"/>
  <c r="AH477" i="13"/>
  <c r="AI479" i="13"/>
  <c r="AO479" i="13"/>
  <c r="AM479" i="13"/>
  <c r="AL479" i="13"/>
  <c r="AK479" i="13"/>
  <c r="AL481" i="13"/>
  <c r="Z483" i="13"/>
  <c r="Y484" i="13"/>
  <c r="AO485" i="13"/>
  <c r="AH488" i="13"/>
  <c r="Y497" i="13"/>
  <c r="AJ499" i="13"/>
  <c r="Y502" i="13"/>
  <c r="AK504" i="13"/>
  <c r="AJ504" i="13"/>
  <c r="AI504" i="13"/>
  <c r="AH504" i="13"/>
  <c r="AO504" i="13"/>
  <c r="AN504" i="13"/>
  <c r="AM504" i="13"/>
  <c r="AM509" i="13"/>
  <c r="Y513" i="13"/>
  <c r="AJ515" i="13"/>
  <c r="Y518" i="13"/>
  <c r="AK520" i="13"/>
  <c r="AJ520" i="13"/>
  <c r="AI520" i="13"/>
  <c r="AH520" i="13"/>
  <c r="AO520" i="13"/>
  <c r="AN520" i="13"/>
  <c r="AM520" i="13"/>
  <c r="AM525" i="13"/>
  <c r="Y530" i="13"/>
  <c r="AN532" i="13"/>
  <c r="AL532" i="13"/>
  <c r="AI532" i="13"/>
  <c r="AO532" i="13"/>
  <c r="AM532" i="13"/>
  <c r="AK532" i="13"/>
  <c r="AJ532" i="13"/>
  <c r="AH532" i="13"/>
  <c r="Y536" i="13"/>
  <c r="Y538" i="13"/>
  <c r="BB543" i="13"/>
  <c r="BA543" i="13"/>
  <c r="AU553" i="13"/>
  <c r="AC553" i="13"/>
  <c r="AD553" i="13" s="1"/>
  <c r="AR553" i="13"/>
  <c r="AH569" i="13"/>
  <c r="AN569" i="13"/>
  <c r="AM569" i="13"/>
  <c r="AL569" i="13"/>
  <c r="AK569" i="13"/>
  <c r="AO569" i="13"/>
  <c r="AJ569" i="13"/>
  <c r="AI569" i="13"/>
  <c r="AH576" i="13"/>
  <c r="Y576" i="13"/>
  <c r="AH581" i="13"/>
  <c r="AN581" i="13"/>
  <c r="AM581" i="13"/>
  <c r="AL581" i="13"/>
  <c r="AK581" i="13"/>
  <c r="AJ581" i="13"/>
  <c r="AI581" i="13"/>
  <c r="AH589" i="13"/>
  <c r="AN589" i="13"/>
  <c r="AM589" i="13"/>
  <c r="AL589" i="13"/>
  <c r="AK589" i="13"/>
  <c r="AO589" i="13"/>
  <c r="AJ589" i="13"/>
  <c r="AI589" i="13"/>
  <c r="AH597" i="13"/>
  <c r="AN597" i="13"/>
  <c r="AM597" i="13"/>
  <c r="AL597" i="13"/>
  <c r="AK597" i="13"/>
  <c r="AO597" i="13"/>
  <c r="AJ597" i="13"/>
  <c r="AI597" i="13"/>
  <c r="AH605" i="13"/>
  <c r="AN605" i="13"/>
  <c r="AM605" i="13"/>
  <c r="AL605" i="13"/>
  <c r="AK605" i="13"/>
  <c r="AO605" i="13"/>
  <c r="AJ605" i="13"/>
  <c r="AI605" i="13"/>
  <c r="AH613" i="13"/>
  <c r="AN613" i="13"/>
  <c r="AM613" i="13"/>
  <c r="AL613" i="13"/>
  <c r="AK613" i="13"/>
  <c r="AO613" i="13"/>
  <c r="AJ613" i="13"/>
  <c r="AI613" i="13"/>
  <c r="AH621" i="13"/>
  <c r="AN621" i="13"/>
  <c r="AM621" i="13"/>
  <c r="AL621" i="13"/>
  <c r="AK621" i="13"/>
  <c r="AO621" i="13"/>
  <c r="AJ621" i="13"/>
  <c r="AI621" i="13"/>
  <c r="BB632" i="13"/>
  <c r="BA632" i="13"/>
  <c r="AN406" i="13"/>
  <c r="AJ408" i="13"/>
  <c r="AR408" i="13"/>
  <c r="AN410" i="13"/>
  <c r="AJ412" i="13"/>
  <c r="AR412" i="13"/>
  <c r="AN414" i="13"/>
  <c r="AJ416" i="13"/>
  <c r="AR416" i="13"/>
  <c r="AN418" i="13"/>
  <c r="AJ420" i="13"/>
  <c r="AR420" i="13"/>
  <c r="AN422" i="13"/>
  <c r="AJ424" i="13"/>
  <c r="AR424" i="13"/>
  <c r="AN426" i="13"/>
  <c r="AJ428" i="13"/>
  <c r="AR428" i="13"/>
  <c r="AN430" i="13"/>
  <c r="AJ432" i="13"/>
  <c r="AR432" i="13"/>
  <c r="AN434" i="13"/>
  <c r="AJ436" i="13"/>
  <c r="AR436" i="13"/>
  <c r="AN438" i="13"/>
  <c r="AJ440" i="13"/>
  <c r="AR440" i="13"/>
  <c r="AN442" i="13"/>
  <c r="AJ444" i="13"/>
  <c r="AR444" i="13"/>
  <c r="AN446" i="13"/>
  <c r="AJ448" i="13"/>
  <c r="AR448" i="13"/>
  <c r="AN450" i="13"/>
  <c r="AJ452" i="13"/>
  <c r="AR452" i="13"/>
  <c r="AN454" i="13"/>
  <c r="AJ456" i="13"/>
  <c r="AR456" i="13"/>
  <c r="AN458" i="13"/>
  <c r="AJ460" i="13"/>
  <c r="AR460" i="13"/>
  <c r="AN462" i="13"/>
  <c r="AJ464" i="13"/>
  <c r="AR464" i="13"/>
  <c r="AN466" i="13"/>
  <c r="AJ468" i="13"/>
  <c r="AR468" i="13"/>
  <c r="AN470" i="13"/>
  <c r="BA479" i="13"/>
  <c r="AN481" i="13"/>
  <c r="Y482" i="13"/>
  <c r="AH482" i="13"/>
  <c r="AM489" i="13"/>
  <c r="Y491" i="13"/>
  <c r="Y496" i="13"/>
  <c r="AO498" i="13"/>
  <c r="AN498" i="13"/>
  <c r="AM498" i="13"/>
  <c r="AL498" i="13"/>
  <c r="AK498" i="13"/>
  <c r="AJ498" i="13"/>
  <c r="AI498" i="13"/>
  <c r="AI503" i="13"/>
  <c r="AH503" i="13"/>
  <c r="AO503" i="13"/>
  <c r="AN503" i="13"/>
  <c r="AM503" i="13"/>
  <c r="AL503" i="13"/>
  <c r="AK503" i="13"/>
  <c r="Y507" i="13"/>
  <c r="Y512" i="13"/>
  <c r="AO514" i="13"/>
  <c r="AN514" i="13"/>
  <c r="AM514" i="13"/>
  <c r="AL514" i="13"/>
  <c r="AK514" i="13"/>
  <c r="AJ514" i="13"/>
  <c r="AI514" i="13"/>
  <c r="AI519" i="13"/>
  <c r="AH519" i="13"/>
  <c r="AO519" i="13"/>
  <c r="AN519" i="13"/>
  <c r="AM519" i="13"/>
  <c r="AL519" i="13"/>
  <c r="AK519" i="13"/>
  <c r="Y523" i="13"/>
  <c r="AH549" i="13"/>
  <c r="AN549" i="13"/>
  <c r="AM549" i="13"/>
  <c r="AL549" i="13"/>
  <c r="AK549" i="13"/>
  <c r="AJ549" i="13"/>
  <c r="AI549" i="13"/>
  <c r="AH557" i="13"/>
  <c r="AN557" i="13"/>
  <c r="AM557" i="13"/>
  <c r="AL557" i="13"/>
  <c r="AK557" i="13"/>
  <c r="AO557" i="13"/>
  <c r="AJ557" i="13"/>
  <c r="AC576" i="13"/>
  <c r="AD576" i="13" s="1"/>
  <c r="AR576" i="13"/>
  <c r="AU576" i="13"/>
  <c r="AJ578" i="13"/>
  <c r="AH578" i="13"/>
  <c r="AO578" i="13"/>
  <c r="AN578" i="13"/>
  <c r="AM578" i="13"/>
  <c r="AL578" i="13"/>
  <c r="AK578" i="13"/>
  <c r="AI578" i="13"/>
  <c r="AU473" i="13"/>
  <c r="AC473" i="13"/>
  <c r="AD473" i="13" s="1"/>
  <c r="AM473" i="13"/>
  <c r="AK473" i="13"/>
  <c r="AI473" i="13"/>
  <c r="AH473" i="13"/>
  <c r="AI475" i="13"/>
  <c r="AO475" i="13"/>
  <c r="AM475" i="13"/>
  <c r="AL475" i="13"/>
  <c r="AK475" i="13"/>
  <c r="Y480" i="13"/>
  <c r="AH480" i="13"/>
  <c r="AO481" i="13"/>
  <c r="AK484" i="13"/>
  <c r="AI484" i="13"/>
  <c r="AO484" i="13"/>
  <c r="AN484" i="13"/>
  <c r="AL484" i="13"/>
  <c r="AO486" i="13"/>
  <c r="AM486" i="13"/>
  <c r="AK486" i="13"/>
  <c r="AJ486" i="13"/>
  <c r="AN486" i="13"/>
  <c r="Y487" i="13"/>
  <c r="Y488" i="13"/>
  <c r="Y490" i="13"/>
  <c r="AK492" i="13"/>
  <c r="AJ492" i="13"/>
  <c r="AI492" i="13"/>
  <c r="AH492" i="13"/>
  <c r="AO492" i="13"/>
  <c r="AN492" i="13"/>
  <c r="AM492" i="13"/>
  <c r="AM497" i="13"/>
  <c r="Y501" i="13"/>
  <c r="AJ503" i="13"/>
  <c r="Y506" i="13"/>
  <c r="AK508" i="13"/>
  <c r="AJ508" i="13"/>
  <c r="AI508" i="13"/>
  <c r="AH508" i="13"/>
  <c r="AO508" i="13"/>
  <c r="AN508" i="13"/>
  <c r="AM508" i="13"/>
  <c r="AM513" i="13"/>
  <c r="Y517" i="13"/>
  <c r="AJ519" i="13"/>
  <c r="Y522" i="13"/>
  <c r="AK524" i="13"/>
  <c r="AJ524" i="13"/>
  <c r="AI524" i="13"/>
  <c r="AH524" i="13"/>
  <c r="AO524" i="13"/>
  <c r="AN524" i="13"/>
  <c r="AM524" i="13"/>
  <c r="AH528" i="13"/>
  <c r="Y528" i="13"/>
  <c r="Y529" i="13"/>
  <c r="AG545" i="13"/>
  <c r="AR545" i="13"/>
  <c r="BB551" i="13"/>
  <c r="BA551" i="13"/>
  <c r="Y558" i="13"/>
  <c r="Y568" i="13"/>
  <c r="BB583" i="13"/>
  <c r="BA583" i="13"/>
  <c r="Y629" i="13"/>
  <c r="AK630" i="13"/>
  <c r="AH630" i="13"/>
  <c r="AN630" i="13"/>
  <c r="AM630" i="13"/>
  <c r="AL630" i="13"/>
  <c r="AJ630" i="13"/>
  <c r="AO630" i="13"/>
  <c r="AI630" i="13"/>
  <c r="BA487" i="13"/>
  <c r="AO489" i="13"/>
  <c r="BA491" i="13"/>
  <c r="AO493" i="13"/>
  <c r="BA495" i="13"/>
  <c r="AO497" i="13"/>
  <c r="BA499" i="13"/>
  <c r="AO501" i="13"/>
  <c r="BA503" i="13"/>
  <c r="AO505" i="13"/>
  <c r="BA507" i="13"/>
  <c r="AO509" i="13"/>
  <c r="BA511" i="13"/>
  <c r="AO513" i="13"/>
  <c r="BA515" i="13"/>
  <c r="AO517" i="13"/>
  <c r="BA519" i="13"/>
  <c r="AO521" i="13"/>
  <c r="BA523" i="13"/>
  <c r="AO525" i="13"/>
  <c r="BA527" i="13"/>
  <c r="AO529" i="13"/>
  <c r="AC548" i="13"/>
  <c r="AD548" i="13" s="1"/>
  <c r="AR548" i="13"/>
  <c r="AJ550" i="13"/>
  <c r="AH550" i="13"/>
  <c r="AO550" i="13"/>
  <c r="AN550" i="13"/>
  <c r="AM550" i="13"/>
  <c r="AU557" i="13"/>
  <c r="AC557" i="13"/>
  <c r="AD557" i="13" s="1"/>
  <c r="AL559" i="13"/>
  <c r="AJ559" i="13"/>
  <c r="AI559" i="13"/>
  <c r="AH559" i="13"/>
  <c r="AO559" i="13"/>
  <c r="AN560" i="13"/>
  <c r="AL560" i="13"/>
  <c r="AK560" i="13"/>
  <c r="AJ560" i="13"/>
  <c r="AI560" i="13"/>
  <c r="Y562" i="13"/>
  <c r="AH565" i="13"/>
  <c r="AN565" i="13"/>
  <c r="AM565" i="13"/>
  <c r="AL565" i="13"/>
  <c r="AK565" i="13"/>
  <c r="AI570" i="13"/>
  <c r="Y571" i="13"/>
  <c r="AK579" i="13"/>
  <c r="AC580" i="13"/>
  <c r="AD580" i="13" s="1"/>
  <c r="AR580" i="13"/>
  <c r="AJ582" i="13"/>
  <c r="AH582" i="13"/>
  <c r="AO582" i="13"/>
  <c r="AN582" i="13"/>
  <c r="AM582" i="13"/>
  <c r="AI590" i="13"/>
  <c r="AC592" i="13"/>
  <c r="AD592" i="13" s="1"/>
  <c r="AR592" i="13"/>
  <c r="AI598" i="13"/>
  <c r="AC600" i="13"/>
  <c r="AD600" i="13" s="1"/>
  <c r="AR600" i="13"/>
  <c r="AI606" i="13"/>
  <c r="AC608" i="13"/>
  <c r="AD608" i="13" s="1"/>
  <c r="AR608" i="13"/>
  <c r="AI614" i="13"/>
  <c r="AC616" i="13"/>
  <c r="AD616" i="13" s="1"/>
  <c r="AR616" i="13"/>
  <c r="AI622" i="13"/>
  <c r="AC624" i="13"/>
  <c r="AD624" i="13" s="1"/>
  <c r="AR624" i="13"/>
  <c r="AR633" i="13"/>
  <c r="Y636" i="13"/>
  <c r="Y645" i="13"/>
  <c r="AH645" i="13"/>
  <c r="AK646" i="13"/>
  <c r="AH646" i="13"/>
  <c r="AN646" i="13"/>
  <c r="AM646" i="13"/>
  <c r="AL646" i="13"/>
  <c r="AO656" i="13"/>
  <c r="AM656" i="13"/>
  <c r="AL656" i="13"/>
  <c r="AN656" i="13"/>
  <c r="AK656" i="13"/>
  <c r="AJ656" i="13"/>
  <c r="AI656" i="13"/>
  <c r="Z657" i="13"/>
  <c r="AR657" i="13"/>
  <c r="BB672" i="13"/>
  <c r="BA672" i="13"/>
  <c r="AM686" i="13"/>
  <c r="AO711" i="13"/>
  <c r="AN711" i="13"/>
  <c r="AM711" i="13"/>
  <c r="AL711" i="13"/>
  <c r="AK711" i="13"/>
  <c r="AJ711" i="13"/>
  <c r="AI711" i="13"/>
  <c r="Y721" i="13"/>
  <c r="AR474" i="13"/>
  <c r="AR478" i="13"/>
  <c r="AR482" i="13"/>
  <c r="AR486" i="13"/>
  <c r="AH489" i="13"/>
  <c r="AR490" i="13"/>
  <c r="AH493" i="13"/>
  <c r="AR494" i="13"/>
  <c r="AH497" i="13"/>
  <c r="AR498" i="13"/>
  <c r="AH501" i="13"/>
  <c r="AR502" i="13"/>
  <c r="AH505" i="13"/>
  <c r="AR506" i="13"/>
  <c r="AH509" i="13"/>
  <c r="AR510" i="13"/>
  <c r="AH513" i="13"/>
  <c r="AR514" i="13"/>
  <c r="AH517" i="13"/>
  <c r="AR518" i="13"/>
  <c r="AH521" i="13"/>
  <c r="AH525" i="13"/>
  <c r="AH529" i="13"/>
  <c r="AL531" i="13"/>
  <c r="AJ531" i="13"/>
  <c r="AO531" i="13"/>
  <c r="AI531" i="13"/>
  <c r="AU532" i="13"/>
  <c r="AM536" i="13"/>
  <c r="AN538" i="13"/>
  <c r="AR540" i="13"/>
  <c r="Y542" i="13"/>
  <c r="BA546" i="13"/>
  <c r="AM547" i="13"/>
  <c r="AR549" i="13"/>
  <c r="AC552" i="13"/>
  <c r="AD552" i="13" s="1"/>
  <c r="AR552" i="13"/>
  <c r="AJ554" i="13"/>
  <c r="AH554" i="13"/>
  <c r="AO554" i="13"/>
  <c r="AN554" i="13"/>
  <c r="AM554" i="13"/>
  <c r="BA555" i="13"/>
  <c r="AU561" i="13"/>
  <c r="AC561" i="13"/>
  <c r="AD561" i="13" s="1"/>
  <c r="AR562" i="13"/>
  <c r="AL563" i="13"/>
  <c r="AJ563" i="13"/>
  <c r="AI563" i="13"/>
  <c r="AH563" i="13"/>
  <c r="AO563" i="13"/>
  <c r="AN564" i="13"/>
  <c r="AL564" i="13"/>
  <c r="AK564" i="13"/>
  <c r="AJ564" i="13"/>
  <c r="AI564" i="13"/>
  <c r="AI565" i="13"/>
  <c r="Y566" i="13"/>
  <c r="AK570" i="13"/>
  <c r="Y575" i="13"/>
  <c r="AM579" i="13"/>
  <c r="AC584" i="13"/>
  <c r="AD584" i="13" s="1"/>
  <c r="AR584" i="13"/>
  <c r="AJ586" i="13"/>
  <c r="AH586" i="13"/>
  <c r="AO586" i="13"/>
  <c r="AN586" i="13"/>
  <c r="AM586" i="13"/>
  <c r="AN588" i="13"/>
  <c r="AL588" i="13"/>
  <c r="AK588" i="13"/>
  <c r="AJ588" i="13"/>
  <c r="AI588" i="13"/>
  <c r="AK590" i="13"/>
  <c r="AH591" i="13"/>
  <c r="Y591" i="13"/>
  <c r="AJ594" i="13"/>
  <c r="AH594" i="13"/>
  <c r="AO594" i="13"/>
  <c r="AN594" i="13"/>
  <c r="AM594" i="13"/>
  <c r="AN596" i="13"/>
  <c r="AL596" i="13"/>
  <c r="AK596" i="13"/>
  <c r="AJ596" i="13"/>
  <c r="AI596" i="13"/>
  <c r="AK598" i="13"/>
  <c r="AH599" i="13"/>
  <c r="Y599" i="13"/>
  <c r="AJ602" i="13"/>
  <c r="AH602" i="13"/>
  <c r="AO602" i="13"/>
  <c r="AN602" i="13"/>
  <c r="AM602" i="13"/>
  <c r="AN604" i="13"/>
  <c r="AL604" i="13"/>
  <c r="AK604" i="13"/>
  <c r="AJ604" i="13"/>
  <c r="AI604" i="13"/>
  <c r="AK606" i="13"/>
  <c r="AH607" i="13"/>
  <c r="Y607" i="13"/>
  <c r="AJ610" i="13"/>
  <c r="AH610" i="13"/>
  <c r="AO610" i="13"/>
  <c r="AN610" i="13"/>
  <c r="AM610" i="13"/>
  <c r="AN612" i="13"/>
  <c r="AL612" i="13"/>
  <c r="AK612" i="13"/>
  <c r="AJ612" i="13"/>
  <c r="AI612" i="13"/>
  <c r="AK614" i="13"/>
  <c r="AH615" i="13"/>
  <c r="Y615" i="13"/>
  <c r="AJ618" i="13"/>
  <c r="AH618" i="13"/>
  <c r="AO618" i="13"/>
  <c r="AN618" i="13"/>
  <c r="AM618" i="13"/>
  <c r="AN620" i="13"/>
  <c r="AL620" i="13"/>
  <c r="AK620" i="13"/>
  <c r="AJ620" i="13"/>
  <c r="AI620" i="13"/>
  <c r="AK622" i="13"/>
  <c r="AH623" i="13"/>
  <c r="Y623" i="13"/>
  <c r="AJ626" i="13"/>
  <c r="AH626" i="13"/>
  <c r="AO626" i="13"/>
  <c r="AN626" i="13"/>
  <c r="AM626" i="13"/>
  <c r="AN628" i="13"/>
  <c r="AL628" i="13"/>
  <c r="AK628" i="13"/>
  <c r="AJ628" i="13"/>
  <c r="AI628" i="13"/>
  <c r="AK634" i="13"/>
  <c r="AH634" i="13"/>
  <c r="AN634" i="13"/>
  <c r="AL634" i="13"/>
  <c r="AJ634" i="13"/>
  <c r="AI634" i="13"/>
  <c r="BA637" i="13"/>
  <c r="AM643" i="13"/>
  <c r="AJ643" i="13"/>
  <c r="AO643" i="13"/>
  <c r="AN643" i="13"/>
  <c r="AL643" i="13"/>
  <c r="AK643" i="13"/>
  <c r="AI643" i="13"/>
  <c r="AH643" i="13"/>
  <c r="AK650" i="13"/>
  <c r="AI650" i="13"/>
  <c r="AH650" i="13"/>
  <c r="AO650" i="13"/>
  <c r="AN650" i="13"/>
  <c r="AM650" i="13"/>
  <c r="AL650" i="13"/>
  <c r="AM651" i="13"/>
  <c r="AK651" i="13"/>
  <c r="AJ651" i="13"/>
  <c r="AO651" i="13"/>
  <c r="AN651" i="13"/>
  <c r="AL651" i="13"/>
  <c r="AH651" i="13"/>
  <c r="AO671" i="13"/>
  <c r="AN671" i="13"/>
  <c r="AM671" i="13"/>
  <c r="AK671" i="13"/>
  <c r="AJ671" i="13"/>
  <c r="AL671" i="13"/>
  <c r="AI671" i="13"/>
  <c r="AH671" i="13"/>
  <c r="AC474" i="13"/>
  <c r="AD474" i="13" s="1"/>
  <c r="AC478" i="13"/>
  <c r="AD478" i="13" s="1"/>
  <c r="AC482" i="13"/>
  <c r="AD482" i="13" s="1"/>
  <c r="AC486" i="13"/>
  <c r="AD486" i="13" s="1"/>
  <c r="AI489" i="13"/>
  <c r="AC490" i="13"/>
  <c r="AD490" i="13" s="1"/>
  <c r="AI493" i="13"/>
  <c r="AC494" i="13"/>
  <c r="AD494" i="13" s="1"/>
  <c r="AI497" i="13"/>
  <c r="AC498" i="13"/>
  <c r="AD498" i="13" s="1"/>
  <c r="AI501" i="13"/>
  <c r="AC502" i="13"/>
  <c r="AD502" i="13" s="1"/>
  <c r="AI505" i="13"/>
  <c r="AC506" i="13"/>
  <c r="AD506" i="13" s="1"/>
  <c r="AI509" i="13"/>
  <c r="AC510" i="13"/>
  <c r="AD510" i="13" s="1"/>
  <c r="AI513" i="13"/>
  <c r="AC514" i="13"/>
  <c r="AD514" i="13" s="1"/>
  <c r="AI517" i="13"/>
  <c r="AC518" i="13"/>
  <c r="AD518" i="13" s="1"/>
  <c r="AI521" i="13"/>
  <c r="AC522" i="13"/>
  <c r="AD522" i="13" s="1"/>
  <c r="AI525" i="13"/>
  <c r="AC526" i="13"/>
  <c r="AD526" i="13" s="1"/>
  <c r="AO528" i="13"/>
  <c r="AI529" i="13"/>
  <c r="AK531" i="13"/>
  <c r="BA535" i="13"/>
  <c r="Y539" i="13"/>
  <c r="AN540" i="13"/>
  <c r="AL540" i="13"/>
  <c r="AK540" i="13"/>
  <c r="AI540" i="13"/>
  <c r="AU540" i="13"/>
  <c r="BA542" i="13"/>
  <c r="Y547" i="13"/>
  <c r="AC556" i="13"/>
  <c r="AD556" i="13" s="1"/>
  <c r="AR556" i="13"/>
  <c r="AJ558" i="13"/>
  <c r="AH558" i="13"/>
  <c r="AO558" i="13"/>
  <c r="AN558" i="13"/>
  <c r="AM558" i="13"/>
  <c r="BA559" i="13"/>
  <c r="AM560" i="13"/>
  <c r="AH564" i="13"/>
  <c r="AU565" i="13"/>
  <c r="AC565" i="13"/>
  <c r="AD565" i="13" s="1"/>
  <c r="AJ565" i="13"/>
  <c r="AL567" i="13"/>
  <c r="AJ567" i="13"/>
  <c r="AI567" i="13"/>
  <c r="AH567" i="13"/>
  <c r="AO567" i="13"/>
  <c r="AN568" i="13"/>
  <c r="AL568" i="13"/>
  <c r="AK568" i="13"/>
  <c r="AJ568" i="13"/>
  <c r="AI568" i="13"/>
  <c r="Y570" i="13"/>
  <c r="Y579" i="13"/>
  <c r="AH588" i="13"/>
  <c r="Y590" i="13"/>
  <c r="AH596" i="13"/>
  <c r="Y598" i="13"/>
  <c r="AH604" i="13"/>
  <c r="Y606" i="13"/>
  <c r="AH612" i="13"/>
  <c r="Y614" i="13"/>
  <c r="AH620" i="13"/>
  <c r="Y622" i="13"/>
  <c r="AH628" i="13"/>
  <c r="Y630" i="13"/>
  <c r="AR630" i="13"/>
  <c r="AG636" i="13"/>
  <c r="AR636" i="13"/>
  <c r="AC638" i="13"/>
  <c r="AD638" i="13" s="1"/>
  <c r="AU638" i="13"/>
  <c r="AR638" i="13"/>
  <c r="AJ650" i="13"/>
  <c r="AI651" i="13"/>
  <c r="AM655" i="13"/>
  <c r="AK655" i="13"/>
  <c r="AJ655" i="13"/>
  <c r="AO655" i="13"/>
  <c r="AN655" i="13"/>
  <c r="AL655" i="13"/>
  <c r="AI655" i="13"/>
  <c r="AH655" i="13"/>
  <c r="AH656" i="13"/>
  <c r="AR665" i="13"/>
  <c r="Z665" i="13"/>
  <c r="AI668" i="13"/>
  <c r="AH668" i="13"/>
  <c r="AO668" i="13"/>
  <c r="AM668" i="13"/>
  <c r="AL668" i="13"/>
  <c r="AN668" i="13"/>
  <c r="AK668" i="13"/>
  <c r="AJ668" i="13"/>
  <c r="AJ727" i="13"/>
  <c r="Z492" i="13"/>
  <c r="AJ497" i="13"/>
  <c r="AR497" i="13"/>
  <c r="AJ501" i="13"/>
  <c r="AR501" i="13"/>
  <c r="AJ505" i="13"/>
  <c r="AR505" i="13"/>
  <c r="AJ509" i="13"/>
  <c r="AR509" i="13"/>
  <c r="AJ513" i="13"/>
  <c r="AR513" i="13"/>
  <c r="AJ517" i="13"/>
  <c r="AR517" i="13"/>
  <c r="AJ521" i="13"/>
  <c r="AR521" i="13"/>
  <c r="AJ525" i="13"/>
  <c r="AR525" i="13"/>
  <c r="AJ529" i="13"/>
  <c r="AR529" i="13"/>
  <c r="Y543" i="13"/>
  <c r="AH543" i="13"/>
  <c r="AU548" i="13"/>
  <c r="AI550" i="13"/>
  <c r="Y551" i="13"/>
  <c r="AC560" i="13"/>
  <c r="AD560" i="13" s="1"/>
  <c r="AR560" i="13"/>
  <c r="AJ562" i="13"/>
  <c r="AH562" i="13"/>
  <c r="AO562" i="13"/>
  <c r="AN562" i="13"/>
  <c r="AM562" i="13"/>
  <c r="AU569" i="13"/>
  <c r="AC569" i="13"/>
  <c r="AD569" i="13" s="1"/>
  <c r="AL571" i="13"/>
  <c r="AJ571" i="13"/>
  <c r="AI571" i="13"/>
  <c r="AH571" i="13"/>
  <c r="AO571" i="13"/>
  <c r="AN572" i="13"/>
  <c r="AL572" i="13"/>
  <c r="AK572" i="13"/>
  <c r="AJ572" i="13"/>
  <c r="AI572" i="13"/>
  <c r="Y574" i="13"/>
  <c r="Y583" i="13"/>
  <c r="AL587" i="13"/>
  <c r="AU589" i="13"/>
  <c r="AC589" i="13"/>
  <c r="AD589" i="13" s="1"/>
  <c r="AL595" i="13"/>
  <c r="AU597" i="13"/>
  <c r="AC597" i="13"/>
  <c r="AD597" i="13" s="1"/>
  <c r="AL603" i="13"/>
  <c r="AU605" i="13"/>
  <c r="AC605" i="13"/>
  <c r="AD605" i="13" s="1"/>
  <c r="AL611" i="13"/>
  <c r="AU613" i="13"/>
  <c r="AC613" i="13"/>
  <c r="AD613" i="13" s="1"/>
  <c r="AL619" i="13"/>
  <c r="AU621" i="13"/>
  <c r="AC621" i="13"/>
  <c r="AD621" i="13" s="1"/>
  <c r="AR622" i="13"/>
  <c r="AL627" i="13"/>
  <c r="BA627" i="13"/>
  <c r="AM628" i="13"/>
  <c r="AC629" i="13"/>
  <c r="AD629" i="13" s="1"/>
  <c r="AR629" i="13"/>
  <c r="AL629" i="13"/>
  <c r="AI637" i="13"/>
  <c r="AN637" i="13"/>
  <c r="AH637" i="13"/>
  <c r="AO637" i="13"/>
  <c r="AM637" i="13"/>
  <c r="AL637" i="13"/>
  <c r="BB652" i="13"/>
  <c r="BA652" i="13"/>
  <c r="Y678" i="13"/>
  <c r="AO695" i="13"/>
  <c r="AN695" i="13"/>
  <c r="AM695" i="13"/>
  <c r="AK695" i="13"/>
  <c r="AJ695" i="13"/>
  <c r="AI695" i="13"/>
  <c r="AL695" i="13"/>
  <c r="AI700" i="13"/>
  <c r="AH700" i="13"/>
  <c r="AO700" i="13"/>
  <c r="AM700" i="13"/>
  <c r="AL700" i="13"/>
  <c r="AK700" i="13"/>
  <c r="AN700" i="13"/>
  <c r="AJ700" i="13"/>
  <c r="AI704" i="13"/>
  <c r="AH704" i="13"/>
  <c r="AO704" i="13"/>
  <c r="AM704" i="13"/>
  <c r="AL704" i="13"/>
  <c r="AK704" i="13"/>
  <c r="AN704" i="13"/>
  <c r="AJ704" i="13"/>
  <c r="AH795" i="13"/>
  <c r="AN795" i="13"/>
  <c r="AM795" i="13"/>
  <c r="AK795" i="13"/>
  <c r="AJ795" i="13"/>
  <c r="AO795" i="13"/>
  <c r="AL795" i="13"/>
  <c r="AI795" i="13"/>
  <c r="AC489" i="13"/>
  <c r="AD489" i="13" s="1"/>
  <c r="AK489" i="13"/>
  <c r="AC493" i="13"/>
  <c r="AD493" i="13" s="1"/>
  <c r="AK493" i="13"/>
  <c r="AC497" i="13"/>
  <c r="AD497" i="13" s="1"/>
  <c r="AK497" i="13"/>
  <c r="AC501" i="13"/>
  <c r="AD501" i="13" s="1"/>
  <c r="AK501" i="13"/>
  <c r="AC505" i="13"/>
  <c r="AD505" i="13" s="1"/>
  <c r="AK505" i="13"/>
  <c r="AC509" i="13"/>
  <c r="AD509" i="13" s="1"/>
  <c r="AK509" i="13"/>
  <c r="AC513" i="13"/>
  <c r="AD513" i="13" s="1"/>
  <c r="AK513" i="13"/>
  <c r="AC517" i="13"/>
  <c r="AD517" i="13" s="1"/>
  <c r="AK517" i="13"/>
  <c r="AC521" i="13"/>
  <c r="AD521" i="13" s="1"/>
  <c r="AK521" i="13"/>
  <c r="AC525" i="13"/>
  <c r="AD525" i="13" s="1"/>
  <c r="AK525" i="13"/>
  <c r="AI528" i="13"/>
  <c r="AC529" i="13"/>
  <c r="AD529" i="13" s="1"/>
  <c r="AK529" i="13"/>
  <c r="AN531" i="13"/>
  <c r="BA531" i="13"/>
  <c r="Y535" i="13"/>
  <c r="AR538" i="13"/>
  <c r="AU538" i="13"/>
  <c r="AJ540" i="13"/>
  <c r="AJ542" i="13"/>
  <c r="AH542" i="13"/>
  <c r="AO542" i="13"/>
  <c r="AM542" i="13"/>
  <c r="AN542" i="13"/>
  <c r="AR543" i="13"/>
  <c r="AN544" i="13"/>
  <c r="AL544" i="13"/>
  <c r="AK544" i="13"/>
  <c r="AJ544" i="13"/>
  <c r="AI544" i="13"/>
  <c r="Y546" i="13"/>
  <c r="AK550" i="13"/>
  <c r="AU552" i="13"/>
  <c r="AI554" i="13"/>
  <c r="Y555" i="13"/>
  <c r="BA558" i="13"/>
  <c r="AM559" i="13"/>
  <c r="AR561" i="13"/>
  <c r="AK563" i="13"/>
  <c r="AC564" i="13"/>
  <c r="AD564" i="13" s="1"/>
  <c r="AR564" i="13"/>
  <c r="AO564" i="13"/>
  <c r="AJ566" i="13"/>
  <c r="AH566" i="13"/>
  <c r="AO566" i="13"/>
  <c r="AN566" i="13"/>
  <c r="AM566" i="13"/>
  <c r="BA567" i="13"/>
  <c r="AM568" i="13"/>
  <c r="AH572" i="13"/>
  <c r="AU573" i="13"/>
  <c r="AC573" i="13"/>
  <c r="AD573" i="13" s="1"/>
  <c r="AR574" i="13"/>
  <c r="AL575" i="13"/>
  <c r="AJ575" i="13"/>
  <c r="AI575" i="13"/>
  <c r="AH575" i="13"/>
  <c r="AO575" i="13"/>
  <c r="AN576" i="13"/>
  <c r="AL576" i="13"/>
  <c r="AK576" i="13"/>
  <c r="AJ576" i="13"/>
  <c r="AI576" i="13"/>
  <c r="Y578" i="13"/>
  <c r="AK582" i="13"/>
  <c r="AU584" i="13"/>
  <c r="AI586" i="13"/>
  <c r="AC588" i="13"/>
  <c r="AD588" i="13" s="1"/>
  <c r="AR588" i="13"/>
  <c r="AO588" i="13"/>
  <c r="AI594" i="13"/>
  <c r="AC596" i="13"/>
  <c r="AD596" i="13" s="1"/>
  <c r="AR596" i="13"/>
  <c r="AO596" i="13"/>
  <c r="AI602" i="13"/>
  <c r="AC604" i="13"/>
  <c r="AD604" i="13" s="1"/>
  <c r="AR604" i="13"/>
  <c r="AO604" i="13"/>
  <c r="AI610" i="13"/>
  <c r="AC612" i="13"/>
  <c r="AD612" i="13" s="1"/>
  <c r="AR612" i="13"/>
  <c r="AO612" i="13"/>
  <c r="AI618" i="13"/>
  <c r="AC620" i="13"/>
  <c r="AD620" i="13" s="1"/>
  <c r="AR620" i="13"/>
  <c r="AO620" i="13"/>
  <c r="AI626" i="13"/>
  <c r="AC628" i="13"/>
  <c r="AD628" i="13" s="1"/>
  <c r="AR628" i="13"/>
  <c r="AO628" i="13"/>
  <c r="AR632" i="13"/>
  <c r="AC633" i="13"/>
  <c r="AD633" i="13" s="1"/>
  <c r="AU633" i="13"/>
  <c r="AJ637" i="13"/>
  <c r="AK638" i="13"/>
  <c r="AH638" i="13"/>
  <c r="AL638" i="13"/>
  <c r="AJ638" i="13"/>
  <c r="AI638" i="13"/>
  <c r="AO638" i="13"/>
  <c r="Y640" i="13"/>
  <c r="BA643" i="13"/>
  <c r="Y674" i="13"/>
  <c r="AM678" i="13"/>
  <c r="AL678" i="13"/>
  <c r="AK678" i="13"/>
  <c r="AI678" i="13"/>
  <c r="AH678" i="13"/>
  <c r="AO678" i="13"/>
  <c r="AN678" i="13"/>
  <c r="Y696" i="13"/>
  <c r="Y707" i="13"/>
  <c r="AH707" i="13"/>
  <c r="AJ715" i="13"/>
  <c r="AC733" i="13"/>
  <c r="AD733" i="13" s="1"/>
  <c r="AR733" i="13"/>
  <c r="AU733" i="13"/>
  <c r="BB735" i="13"/>
  <c r="BA735" i="13"/>
  <c r="AH743" i="13"/>
  <c r="AO743" i="13"/>
  <c r="AN743" i="13"/>
  <c r="AM743" i="13"/>
  <c r="AL743" i="13"/>
  <c r="AK743" i="13"/>
  <c r="AJ743" i="13"/>
  <c r="AI743" i="13"/>
  <c r="AL745" i="13"/>
  <c r="AK745" i="13"/>
  <c r="AJ745" i="13"/>
  <c r="AI745" i="13"/>
  <c r="AH745" i="13"/>
  <c r="AO745" i="13"/>
  <c r="AN745" i="13"/>
  <c r="AM745" i="13"/>
  <c r="AL505" i="13"/>
  <c r="AL509" i="13"/>
  <c r="AL513" i="13"/>
  <c r="AL517" i="13"/>
  <c r="AL521" i="13"/>
  <c r="AL525" i="13"/>
  <c r="AL529" i="13"/>
  <c r="AR535" i="13"/>
  <c r="AN536" i="13"/>
  <c r="AL536" i="13"/>
  <c r="AI536" i="13"/>
  <c r="AJ538" i="13"/>
  <c r="AH538" i="13"/>
  <c r="AM538" i="13"/>
  <c r="AL539" i="13"/>
  <c r="AJ539" i="13"/>
  <c r="AO539" i="13"/>
  <c r="AI539" i="13"/>
  <c r="BB540" i="13"/>
  <c r="BA540" i="13"/>
  <c r="AU545" i="13"/>
  <c r="AC545" i="13"/>
  <c r="AD545" i="13" s="1"/>
  <c r="AR546" i="13"/>
  <c r="AL547" i="13"/>
  <c r="AJ547" i="13"/>
  <c r="AI547" i="13"/>
  <c r="AH547" i="13"/>
  <c r="AO547" i="13"/>
  <c r="AN548" i="13"/>
  <c r="AL548" i="13"/>
  <c r="AK548" i="13"/>
  <c r="AJ548" i="13"/>
  <c r="AI548" i="13"/>
  <c r="Y550" i="13"/>
  <c r="AL550" i="13"/>
  <c r="AH553" i="13"/>
  <c r="AN553" i="13"/>
  <c r="AM553" i="13"/>
  <c r="AL553" i="13"/>
  <c r="AK553" i="13"/>
  <c r="Y559" i="13"/>
  <c r="AC568" i="13"/>
  <c r="AD568" i="13" s="1"/>
  <c r="AR568" i="13"/>
  <c r="AJ570" i="13"/>
  <c r="AH570" i="13"/>
  <c r="AO570" i="13"/>
  <c r="AN570" i="13"/>
  <c r="AM570" i="13"/>
  <c r="AU577" i="13"/>
  <c r="AC577" i="13"/>
  <c r="AD577" i="13" s="1"/>
  <c r="AR578" i="13"/>
  <c r="AL579" i="13"/>
  <c r="AJ579" i="13"/>
  <c r="AI579" i="13"/>
  <c r="AH579" i="13"/>
  <c r="AO579" i="13"/>
  <c r="AN580" i="13"/>
  <c r="AL580" i="13"/>
  <c r="AK580" i="13"/>
  <c r="AJ580" i="13"/>
  <c r="AI580" i="13"/>
  <c r="Y582" i="13"/>
  <c r="AH585" i="13"/>
  <c r="AN585" i="13"/>
  <c r="AM585" i="13"/>
  <c r="AL585" i="13"/>
  <c r="AK585" i="13"/>
  <c r="AH587" i="13"/>
  <c r="Y587" i="13"/>
  <c r="AJ590" i="13"/>
  <c r="AH590" i="13"/>
  <c r="AO590" i="13"/>
  <c r="AN590" i="13"/>
  <c r="AM590" i="13"/>
  <c r="AN592" i="13"/>
  <c r="AL592" i="13"/>
  <c r="AK592" i="13"/>
  <c r="AJ592" i="13"/>
  <c r="AI592" i="13"/>
  <c r="AH593" i="13"/>
  <c r="AN593" i="13"/>
  <c r="AM593" i="13"/>
  <c r="AL593" i="13"/>
  <c r="AK593" i="13"/>
  <c r="AH595" i="13"/>
  <c r="Y595" i="13"/>
  <c r="AJ598" i="13"/>
  <c r="AH598" i="13"/>
  <c r="AO598" i="13"/>
  <c r="AN598" i="13"/>
  <c r="AM598" i="13"/>
  <c r="AN600" i="13"/>
  <c r="AL600" i="13"/>
  <c r="AK600" i="13"/>
  <c r="AJ600" i="13"/>
  <c r="AI600" i="13"/>
  <c r="AH601" i="13"/>
  <c r="AN601" i="13"/>
  <c r="AM601" i="13"/>
  <c r="AL601" i="13"/>
  <c r="AK601" i="13"/>
  <c r="AH603" i="13"/>
  <c r="Y603" i="13"/>
  <c r="AJ606" i="13"/>
  <c r="AH606" i="13"/>
  <c r="AO606" i="13"/>
  <c r="AN606" i="13"/>
  <c r="AM606" i="13"/>
  <c r="AN608" i="13"/>
  <c r="AL608" i="13"/>
  <c r="AK608" i="13"/>
  <c r="AJ608" i="13"/>
  <c r="AI608" i="13"/>
  <c r="AH609" i="13"/>
  <c r="AN609" i="13"/>
  <c r="AM609" i="13"/>
  <c r="AL609" i="13"/>
  <c r="AK609" i="13"/>
  <c r="AH611" i="13"/>
  <c r="Y611" i="13"/>
  <c r="AJ614" i="13"/>
  <c r="AH614" i="13"/>
  <c r="AO614" i="13"/>
  <c r="AN614" i="13"/>
  <c r="AM614" i="13"/>
  <c r="AN616" i="13"/>
  <c r="AL616" i="13"/>
  <c r="AK616" i="13"/>
  <c r="AJ616" i="13"/>
  <c r="AI616" i="13"/>
  <c r="AH617" i="13"/>
  <c r="AN617" i="13"/>
  <c r="AM617" i="13"/>
  <c r="AL617" i="13"/>
  <c r="AK617" i="13"/>
  <c r="AH619" i="13"/>
  <c r="Y619" i="13"/>
  <c r="AJ622" i="13"/>
  <c r="AH622" i="13"/>
  <c r="AO622" i="13"/>
  <c r="AN622" i="13"/>
  <c r="AM622" i="13"/>
  <c r="AN624" i="13"/>
  <c r="AL624" i="13"/>
  <c r="AK624" i="13"/>
  <c r="AJ624" i="13"/>
  <c r="AI624" i="13"/>
  <c r="AH625" i="13"/>
  <c r="AN625" i="13"/>
  <c r="AM625" i="13"/>
  <c r="AL625" i="13"/>
  <c r="AK625" i="13"/>
  <c r="AH627" i="13"/>
  <c r="Y627" i="13"/>
  <c r="AI629" i="13"/>
  <c r="AN629" i="13"/>
  <c r="AM629" i="13"/>
  <c r="AK629" i="13"/>
  <c r="AJ629" i="13"/>
  <c r="AH629" i="13"/>
  <c r="AK637" i="13"/>
  <c r="AI641" i="13"/>
  <c r="AN641" i="13"/>
  <c r="AO641" i="13"/>
  <c r="AM641" i="13"/>
  <c r="AL641" i="13"/>
  <c r="AK641" i="13"/>
  <c r="AJ641" i="13"/>
  <c r="Y643" i="13"/>
  <c r="Y646" i="13"/>
  <c r="AC654" i="13"/>
  <c r="AD654" i="13" s="1"/>
  <c r="AU654" i="13"/>
  <c r="Y655" i="13"/>
  <c r="Y702" i="13"/>
  <c r="AR530" i="13"/>
  <c r="AU530" i="13"/>
  <c r="AC530" i="13"/>
  <c r="AD530" i="13" s="1"/>
  <c r="Y531" i="13"/>
  <c r="AR534" i="13"/>
  <c r="AU534" i="13"/>
  <c r="AH536" i="13"/>
  <c r="AI538" i="13"/>
  <c r="AK539" i="13"/>
  <c r="AU541" i="13"/>
  <c r="AC541" i="13"/>
  <c r="AD541" i="13" s="1"/>
  <c r="AL543" i="13"/>
  <c r="AJ543" i="13"/>
  <c r="AI543" i="13"/>
  <c r="AO543" i="13"/>
  <c r="AN543" i="13"/>
  <c r="AC544" i="13"/>
  <c r="AD544" i="13" s="1"/>
  <c r="AR544" i="13"/>
  <c r="AH548" i="13"/>
  <c r="AU549" i="13"/>
  <c r="AC549" i="13"/>
  <c r="AD549" i="13" s="1"/>
  <c r="AR550" i="13"/>
  <c r="AL551" i="13"/>
  <c r="AJ551" i="13"/>
  <c r="AI551" i="13"/>
  <c r="AH551" i="13"/>
  <c r="AO551" i="13"/>
  <c r="AN552" i="13"/>
  <c r="AL552" i="13"/>
  <c r="AK552" i="13"/>
  <c r="AJ552" i="13"/>
  <c r="AI552" i="13"/>
  <c r="AI553" i="13"/>
  <c r="Y554" i="13"/>
  <c r="AL554" i="13"/>
  <c r="AK558" i="13"/>
  <c r="AU560" i="13"/>
  <c r="AI562" i="13"/>
  <c r="Y563" i="13"/>
  <c r="AN563" i="13"/>
  <c r="AR569" i="13"/>
  <c r="AK571" i="13"/>
  <c r="AC572" i="13"/>
  <c r="AD572" i="13" s="1"/>
  <c r="AR572" i="13"/>
  <c r="AO572" i="13"/>
  <c r="AJ574" i="13"/>
  <c r="AH574" i="13"/>
  <c r="AO574" i="13"/>
  <c r="AN574" i="13"/>
  <c r="AM574" i="13"/>
  <c r="BA575" i="13"/>
  <c r="AH580" i="13"/>
  <c r="AU581" i="13"/>
  <c r="AC581" i="13"/>
  <c r="AD581" i="13" s="1"/>
  <c r="AR582" i="13"/>
  <c r="AL583" i="13"/>
  <c r="AJ583" i="13"/>
  <c r="AI583" i="13"/>
  <c r="AH583" i="13"/>
  <c r="AO583" i="13"/>
  <c r="AN584" i="13"/>
  <c r="AL584" i="13"/>
  <c r="AK584" i="13"/>
  <c r="AJ584" i="13"/>
  <c r="AI584" i="13"/>
  <c r="AI585" i="13"/>
  <c r="Y586" i="13"/>
  <c r="AL586" i="13"/>
  <c r="AR589" i="13"/>
  <c r="AH592" i="13"/>
  <c r="AI593" i="13"/>
  <c r="Y594" i="13"/>
  <c r="AL594" i="13"/>
  <c r="AR597" i="13"/>
  <c r="AH600" i="13"/>
  <c r="AI601" i="13"/>
  <c r="Y602" i="13"/>
  <c r="AL602" i="13"/>
  <c r="AR605" i="13"/>
  <c r="AH608" i="13"/>
  <c r="AI609" i="13"/>
  <c r="Y610" i="13"/>
  <c r="AL610" i="13"/>
  <c r="AR613" i="13"/>
  <c r="AH616" i="13"/>
  <c r="AI617" i="13"/>
  <c r="Y618" i="13"/>
  <c r="AL618" i="13"/>
  <c r="AR621" i="13"/>
  <c r="AH624" i="13"/>
  <c r="AI625" i="13"/>
  <c r="Y626" i="13"/>
  <c r="AL626" i="13"/>
  <c r="Y631" i="13"/>
  <c r="AO632" i="13"/>
  <c r="AL632" i="13"/>
  <c r="AN632" i="13"/>
  <c r="AM632" i="13"/>
  <c r="AK632" i="13"/>
  <c r="AJ632" i="13"/>
  <c r="Z640" i="13"/>
  <c r="AR640" i="13"/>
  <c r="AH641" i="13"/>
  <c r="AO642" i="13"/>
  <c r="Y647" i="13"/>
  <c r="Y651" i="13"/>
  <c r="AU655" i="13"/>
  <c r="AC655" i="13"/>
  <c r="AD655" i="13" s="1"/>
  <c r="AR655" i="13"/>
  <c r="Y657" i="13"/>
  <c r="AH657" i="13"/>
  <c r="Y660" i="13"/>
  <c r="AI677" i="13"/>
  <c r="Y680" i="13"/>
  <c r="AO691" i="13"/>
  <c r="AN691" i="13"/>
  <c r="AM691" i="13"/>
  <c r="AK691" i="13"/>
  <c r="AJ691" i="13"/>
  <c r="AI691" i="13"/>
  <c r="AL691" i="13"/>
  <c r="AH691" i="13"/>
  <c r="AI693" i="13"/>
  <c r="Y708" i="13"/>
  <c r="Y714" i="13"/>
  <c r="AU542" i="13"/>
  <c r="AU546" i="13"/>
  <c r="AU550" i="13"/>
  <c r="AU554" i="13"/>
  <c r="AU558" i="13"/>
  <c r="AU562" i="13"/>
  <c r="AU566" i="13"/>
  <c r="AU570" i="13"/>
  <c r="AU574" i="13"/>
  <c r="AU578" i="13"/>
  <c r="AU582" i="13"/>
  <c r="AO587" i="13"/>
  <c r="AO591" i="13"/>
  <c r="AO595" i="13"/>
  <c r="AO599" i="13"/>
  <c r="AO603" i="13"/>
  <c r="AO607" i="13"/>
  <c r="AO611" i="13"/>
  <c r="AO615" i="13"/>
  <c r="AO619" i="13"/>
  <c r="AO623" i="13"/>
  <c r="AO627" i="13"/>
  <c r="BA631" i="13"/>
  <c r="AU635" i="13"/>
  <c r="AR635" i="13"/>
  <c r="AC635" i="13"/>
  <c r="AD635" i="13" s="1"/>
  <c r="AU637" i="13"/>
  <c r="AO640" i="13"/>
  <c r="AL640" i="13"/>
  <c r="AM642" i="13"/>
  <c r="Y644" i="13"/>
  <c r="AI645" i="13"/>
  <c r="AN645" i="13"/>
  <c r="BB647" i="13"/>
  <c r="Z652" i="13"/>
  <c r="AK654" i="13"/>
  <c r="AI654" i="13"/>
  <c r="AH654" i="13"/>
  <c r="AI657" i="13"/>
  <c r="AU659" i="13"/>
  <c r="AC659" i="13"/>
  <c r="AD659" i="13" s="1"/>
  <c r="AR659" i="13"/>
  <c r="Y661" i="13"/>
  <c r="BA661" i="13"/>
  <c r="AO663" i="13"/>
  <c r="AM663" i="13"/>
  <c r="AK663" i="13"/>
  <c r="AJ663" i="13"/>
  <c r="AN663" i="13"/>
  <c r="Y664" i="13"/>
  <c r="AH664" i="13"/>
  <c r="AO667" i="13"/>
  <c r="AN667" i="13"/>
  <c r="AM667" i="13"/>
  <c r="AK667" i="13"/>
  <c r="AJ667" i="13"/>
  <c r="AJ672" i="13"/>
  <c r="AI673" i="13"/>
  <c r="AM674" i="13"/>
  <c r="AL674" i="13"/>
  <c r="AK674" i="13"/>
  <c r="AI674" i="13"/>
  <c r="AH674" i="13"/>
  <c r="Y676" i="13"/>
  <c r="AU678" i="13"/>
  <c r="AC678" i="13"/>
  <c r="AD678" i="13" s="1"/>
  <c r="AI680" i="13"/>
  <c r="AH680" i="13"/>
  <c r="AO680" i="13"/>
  <c r="AM680" i="13"/>
  <c r="AL680" i="13"/>
  <c r="AO687" i="13"/>
  <c r="AN687" i="13"/>
  <c r="AM687" i="13"/>
  <c r="AK687" i="13"/>
  <c r="AJ687" i="13"/>
  <c r="AI687" i="13"/>
  <c r="Y688" i="13"/>
  <c r="AI689" i="13"/>
  <c r="Y694" i="13"/>
  <c r="AO696" i="13"/>
  <c r="AM696" i="13"/>
  <c r="AK696" i="13"/>
  <c r="Y701" i="13"/>
  <c r="AI708" i="13"/>
  <c r="AH708" i="13"/>
  <c r="AO708" i="13"/>
  <c r="AN708" i="13"/>
  <c r="AM708" i="13"/>
  <c r="AL708" i="13"/>
  <c r="AK708" i="13"/>
  <c r="AI709" i="13"/>
  <c r="Y730" i="13"/>
  <c r="Y734" i="13"/>
  <c r="Z615" i="13"/>
  <c r="Z619" i="13"/>
  <c r="Z623" i="13"/>
  <c r="Z627" i="13"/>
  <c r="AM631" i="13"/>
  <c r="AJ631" i="13"/>
  <c r="AM647" i="13"/>
  <c r="AJ647" i="13"/>
  <c r="Y648" i="13"/>
  <c r="AM659" i="13"/>
  <c r="AK659" i="13"/>
  <c r="AJ659" i="13"/>
  <c r="AO660" i="13"/>
  <c r="AM660" i="13"/>
  <c r="AL660" i="13"/>
  <c r="AH660" i="13"/>
  <c r="AK672" i="13"/>
  <c r="Y673" i="13"/>
  <c r="AH673" i="13"/>
  <c r="Y675" i="13"/>
  <c r="AO683" i="13"/>
  <c r="AN683" i="13"/>
  <c r="AM683" i="13"/>
  <c r="AK683" i="13"/>
  <c r="AJ683" i="13"/>
  <c r="AI683" i="13"/>
  <c r="Y684" i="13"/>
  <c r="Y690" i="13"/>
  <c r="AI692" i="13"/>
  <c r="AH692" i="13"/>
  <c r="AO692" i="13"/>
  <c r="AM692" i="13"/>
  <c r="AL692" i="13"/>
  <c r="AK692" i="13"/>
  <c r="Y697" i="13"/>
  <c r="Y703" i="13"/>
  <c r="Z705" i="13"/>
  <c r="AN718" i="13"/>
  <c r="AM718" i="13"/>
  <c r="AK718" i="13"/>
  <c r="AJ718" i="13"/>
  <c r="AI718" i="13"/>
  <c r="AH718" i="13"/>
  <c r="AO718" i="13"/>
  <c r="AO721" i="13"/>
  <c r="Y726" i="13"/>
  <c r="AU746" i="13"/>
  <c r="AC746" i="13"/>
  <c r="AD746" i="13" s="1"/>
  <c r="AR746" i="13"/>
  <c r="Y749" i="13"/>
  <c r="AN808" i="13"/>
  <c r="AM808" i="13"/>
  <c r="AK808" i="13"/>
  <c r="AJ808" i="13"/>
  <c r="AO808" i="13"/>
  <c r="AL808" i="13"/>
  <c r="AI808" i="13"/>
  <c r="AH808" i="13"/>
  <c r="BA544" i="13"/>
  <c r="BA548" i="13"/>
  <c r="BA552" i="13"/>
  <c r="BA556" i="13"/>
  <c r="BA560" i="13"/>
  <c r="BA564" i="13"/>
  <c r="BA568" i="13"/>
  <c r="BA572" i="13"/>
  <c r="BA576" i="13"/>
  <c r="BA580" i="13"/>
  <c r="BA584" i="13"/>
  <c r="AI587" i="13"/>
  <c r="AI591" i="13"/>
  <c r="AI595" i="13"/>
  <c r="AI599" i="13"/>
  <c r="AI603" i="13"/>
  <c r="AI607" i="13"/>
  <c r="AI611" i="13"/>
  <c r="AI615" i="13"/>
  <c r="AI619" i="13"/>
  <c r="AI623" i="13"/>
  <c r="AI627" i="13"/>
  <c r="AH631" i="13"/>
  <c r="Y632" i="13"/>
  <c r="AI633" i="13"/>
  <c r="AN633" i="13"/>
  <c r="BA635" i="13"/>
  <c r="AU639" i="13"/>
  <c r="AR639" i="13"/>
  <c r="AC639" i="13"/>
  <c r="AD639" i="13" s="1"/>
  <c r="AH640" i="13"/>
  <c r="AO644" i="13"/>
  <c r="AL644" i="13"/>
  <c r="AJ645" i="13"/>
  <c r="AH647" i="13"/>
  <c r="Y649" i="13"/>
  <c r="AL654" i="13"/>
  <c r="AK658" i="13"/>
  <c r="AI658" i="13"/>
  <c r="AH658" i="13"/>
  <c r="AH659" i="13"/>
  <c r="AI660" i="13"/>
  <c r="AI661" i="13"/>
  <c r="AR661" i="13"/>
  <c r="AU662" i="13"/>
  <c r="AC662" i="13"/>
  <c r="AD662" i="13" s="1"/>
  <c r="AM662" i="13"/>
  <c r="AK662" i="13"/>
  <c r="AI662" i="13"/>
  <c r="AH662" i="13"/>
  <c r="AI664" i="13"/>
  <c r="AO664" i="13"/>
  <c r="AM664" i="13"/>
  <c r="AL664" i="13"/>
  <c r="AK664" i="13"/>
  <c r="AI669" i="13"/>
  <c r="AM670" i="13"/>
  <c r="AL670" i="13"/>
  <c r="AK670" i="13"/>
  <c r="AI670" i="13"/>
  <c r="AH670" i="13"/>
  <c r="Y672" i="13"/>
  <c r="AU674" i="13"/>
  <c r="AC674" i="13"/>
  <c r="AD674" i="13" s="1"/>
  <c r="AN674" i="13"/>
  <c r="AI676" i="13"/>
  <c r="AH676" i="13"/>
  <c r="AO676" i="13"/>
  <c r="AM676" i="13"/>
  <c r="AL676" i="13"/>
  <c r="Z677" i="13"/>
  <c r="AO679" i="13"/>
  <c r="AN679" i="13"/>
  <c r="AM679" i="13"/>
  <c r="AK679" i="13"/>
  <c r="AJ679" i="13"/>
  <c r="AI681" i="13"/>
  <c r="AH683" i="13"/>
  <c r="Y686" i="13"/>
  <c r="AL687" i="13"/>
  <c r="AI688" i="13"/>
  <c r="AH688" i="13"/>
  <c r="AO688" i="13"/>
  <c r="AM688" i="13"/>
  <c r="AL688" i="13"/>
  <c r="AK688" i="13"/>
  <c r="Y693" i="13"/>
  <c r="Y699" i="13"/>
  <c r="Z701" i="13"/>
  <c r="AM702" i="13"/>
  <c r="AO707" i="13"/>
  <c r="AN707" i="13"/>
  <c r="AM707" i="13"/>
  <c r="AL707" i="13"/>
  <c r="AK707" i="13"/>
  <c r="AJ707" i="13"/>
  <c r="AI707" i="13"/>
  <c r="Y713" i="13"/>
  <c r="AN714" i="13"/>
  <c r="AM714" i="13"/>
  <c r="AK714" i="13"/>
  <c r="AJ714" i="13"/>
  <c r="AO714" i="13"/>
  <c r="AL714" i="13"/>
  <c r="AI714" i="13"/>
  <c r="AH714" i="13"/>
  <c r="AM736" i="13"/>
  <c r="AN738" i="13"/>
  <c r="AM738" i="13"/>
  <c r="AL738" i="13"/>
  <c r="AK738" i="13"/>
  <c r="AJ738" i="13"/>
  <c r="AO738" i="13"/>
  <c r="AI738" i="13"/>
  <c r="AH738" i="13"/>
  <c r="AM740" i="13"/>
  <c r="Y769" i="13"/>
  <c r="AJ587" i="13"/>
  <c r="AJ591" i="13"/>
  <c r="AJ595" i="13"/>
  <c r="AJ599" i="13"/>
  <c r="AJ603" i="13"/>
  <c r="AI631" i="13"/>
  <c r="AM635" i="13"/>
  <c r="AJ635" i="13"/>
  <c r="BA644" i="13"/>
  <c r="AI647" i="13"/>
  <c r="AO648" i="13"/>
  <c r="AM648" i="13"/>
  <c r="AL648" i="13"/>
  <c r="AH648" i="13"/>
  <c r="Y652" i="13"/>
  <c r="AI659" i="13"/>
  <c r="AJ660" i="13"/>
  <c r="AU666" i="13"/>
  <c r="AC666" i="13"/>
  <c r="AD666" i="13" s="1"/>
  <c r="AM666" i="13"/>
  <c r="AK666" i="13"/>
  <c r="AI666" i="13"/>
  <c r="AH666" i="13"/>
  <c r="Y669" i="13"/>
  <c r="AH669" i="13"/>
  <c r="Y671" i="13"/>
  <c r="Y682" i="13"/>
  <c r="AL683" i="13"/>
  <c r="AI684" i="13"/>
  <c r="AH684" i="13"/>
  <c r="AO684" i="13"/>
  <c r="AM684" i="13"/>
  <c r="AL684" i="13"/>
  <c r="AK684" i="13"/>
  <c r="Y689" i="13"/>
  <c r="Y695" i="13"/>
  <c r="Z697" i="13"/>
  <c r="AM698" i="13"/>
  <c r="Y712" i="13"/>
  <c r="AN730" i="13"/>
  <c r="AM730" i="13"/>
  <c r="AL730" i="13"/>
  <c r="AK730" i="13"/>
  <c r="AJ730" i="13"/>
  <c r="AO730" i="13"/>
  <c r="AI730" i="13"/>
  <c r="AH730" i="13"/>
  <c r="AN734" i="13"/>
  <c r="AM734" i="13"/>
  <c r="AL734" i="13"/>
  <c r="AK734" i="13"/>
  <c r="AJ734" i="13"/>
  <c r="AO734" i="13"/>
  <c r="AI734" i="13"/>
  <c r="AH734" i="13"/>
  <c r="AN746" i="13"/>
  <c r="AM746" i="13"/>
  <c r="AL746" i="13"/>
  <c r="AK746" i="13"/>
  <c r="AJ746" i="13"/>
  <c r="AI746" i="13"/>
  <c r="AH746" i="13"/>
  <c r="AK642" i="13"/>
  <c r="AH642" i="13"/>
  <c r="AU643" i="13"/>
  <c r="AR643" i="13"/>
  <c r="AC643" i="13"/>
  <c r="AD643" i="13" s="1"/>
  <c r="AU645" i="13"/>
  <c r="AK647" i="13"/>
  <c r="AU651" i="13"/>
  <c r="AC651" i="13"/>
  <c r="AD651" i="13" s="1"/>
  <c r="AR651" i="13"/>
  <c r="Y653" i="13"/>
  <c r="BA664" i="13"/>
  <c r="Y668" i="13"/>
  <c r="AU670" i="13"/>
  <c r="AC670" i="13"/>
  <c r="AD670" i="13" s="1"/>
  <c r="AI672" i="13"/>
  <c r="AH672" i="13"/>
  <c r="AO672" i="13"/>
  <c r="AM672" i="13"/>
  <c r="AL672" i="13"/>
  <c r="AO675" i="13"/>
  <c r="AN675" i="13"/>
  <c r="AM675" i="13"/>
  <c r="AK675" i="13"/>
  <c r="AJ675" i="13"/>
  <c r="Y685" i="13"/>
  <c r="Y691" i="13"/>
  <c r="Z693" i="13"/>
  <c r="AO703" i="13"/>
  <c r="AN703" i="13"/>
  <c r="AM703" i="13"/>
  <c r="AK703" i="13"/>
  <c r="AJ703" i="13"/>
  <c r="AI703" i="13"/>
  <c r="Y704" i="13"/>
  <c r="AI705" i="13"/>
  <c r="Y711" i="13"/>
  <c r="Y722" i="13"/>
  <c r="AN726" i="13"/>
  <c r="AM726" i="13"/>
  <c r="AK726" i="13"/>
  <c r="AJ726" i="13"/>
  <c r="AI726" i="13"/>
  <c r="AH726" i="13"/>
  <c r="AO726" i="13"/>
  <c r="Y741" i="13"/>
  <c r="AO741" i="13"/>
  <c r="BB744" i="13"/>
  <c r="BA744" i="13"/>
  <c r="AJ748" i="13"/>
  <c r="AI748" i="13"/>
  <c r="AH748" i="13"/>
  <c r="AO748" i="13"/>
  <c r="AN748" i="13"/>
  <c r="AM748" i="13"/>
  <c r="AL748" i="13"/>
  <c r="AK748" i="13"/>
  <c r="Y750" i="13"/>
  <c r="AH750" i="13"/>
  <c r="AN750" i="13"/>
  <c r="AM750" i="13"/>
  <c r="AL750" i="13"/>
  <c r="AK750" i="13"/>
  <c r="AJ750" i="13"/>
  <c r="AO750" i="13"/>
  <c r="AI750" i="13"/>
  <c r="AL631" i="13"/>
  <c r="AK633" i="13"/>
  <c r="AI635" i="13"/>
  <c r="AK640" i="13"/>
  <c r="AI642" i="13"/>
  <c r="AM645" i="13"/>
  <c r="AL647" i="13"/>
  <c r="AJ648" i="13"/>
  <c r="AR650" i="13"/>
  <c r="AO652" i="13"/>
  <c r="AM652" i="13"/>
  <c r="AL652" i="13"/>
  <c r="AH652" i="13"/>
  <c r="AO654" i="13"/>
  <c r="Y656" i="13"/>
  <c r="BA656" i="13"/>
  <c r="AN659" i="13"/>
  <c r="AN660" i="13"/>
  <c r="Y663" i="13"/>
  <c r="AH663" i="13"/>
  <c r="Y665" i="13"/>
  <c r="AL666" i="13"/>
  <c r="Y667" i="13"/>
  <c r="AL667" i="13"/>
  <c r="AO670" i="13"/>
  <c r="AR674" i="13"/>
  <c r="AH679" i="13"/>
  <c r="AK680" i="13"/>
  <c r="BA680" i="13"/>
  <c r="Y681" i="13"/>
  <c r="Y687" i="13"/>
  <c r="Z689" i="13"/>
  <c r="AM690" i="13"/>
  <c r="AN692" i="13"/>
  <c r="AO699" i="13"/>
  <c r="AN699" i="13"/>
  <c r="AM699" i="13"/>
  <c r="AK699" i="13"/>
  <c r="AJ699" i="13"/>
  <c r="AI699" i="13"/>
  <c r="Y700" i="13"/>
  <c r="AI701" i="13"/>
  <c r="AH703" i="13"/>
  <c r="Y706" i="13"/>
  <c r="AH709" i="13"/>
  <c r="Y709" i="13"/>
  <c r="Y710" i="13"/>
  <c r="Y733" i="13"/>
  <c r="AH754" i="13"/>
  <c r="AN754" i="13"/>
  <c r="AM754" i="13"/>
  <c r="AL754" i="13"/>
  <c r="AK754" i="13"/>
  <c r="AJ754" i="13"/>
  <c r="AO754" i="13"/>
  <c r="AI754" i="13"/>
  <c r="Y759" i="13"/>
  <c r="AO682" i="13"/>
  <c r="BA684" i="13"/>
  <c r="AO686" i="13"/>
  <c r="BA688" i="13"/>
  <c r="AO690" i="13"/>
  <c r="BA692" i="13"/>
  <c r="AO694" i="13"/>
  <c r="BA696" i="13"/>
  <c r="AO698" i="13"/>
  <c r="BA700" i="13"/>
  <c r="AO702" i="13"/>
  <c r="BA704" i="13"/>
  <c r="AO706" i="13"/>
  <c r="BA708" i="13"/>
  <c r="AO710" i="13"/>
  <c r="AI712" i="13"/>
  <c r="AO712" i="13"/>
  <c r="AN712" i="13"/>
  <c r="Y719" i="13"/>
  <c r="Y727" i="13"/>
  <c r="AI727" i="13"/>
  <c r="AI731" i="13"/>
  <c r="BA731" i="13"/>
  <c r="Y732" i="13"/>
  <c r="AL736" i="13"/>
  <c r="AC737" i="13"/>
  <c r="AD737" i="13" s="1"/>
  <c r="AR737" i="13"/>
  <c r="AK740" i="13"/>
  <c r="AN741" i="13"/>
  <c r="AH747" i="13"/>
  <c r="AO747" i="13"/>
  <c r="AN747" i="13"/>
  <c r="AM747" i="13"/>
  <c r="AL747" i="13"/>
  <c r="AR747" i="13"/>
  <c r="AR751" i="13"/>
  <c r="AG751" i="13"/>
  <c r="AC753" i="13"/>
  <c r="AD753" i="13" s="1"/>
  <c r="AR753" i="13"/>
  <c r="AO758" i="13"/>
  <c r="Y762" i="13"/>
  <c r="AO766" i="13"/>
  <c r="Y770" i="13"/>
  <c r="AO774" i="13"/>
  <c r="AN775" i="13"/>
  <c r="AM775" i="13"/>
  <c r="AK775" i="13"/>
  <c r="AJ775" i="13"/>
  <c r="AO775" i="13"/>
  <c r="AL775" i="13"/>
  <c r="AI775" i="13"/>
  <c r="AH775" i="13"/>
  <c r="Y787" i="13"/>
  <c r="Y855" i="13"/>
  <c r="AH855" i="13"/>
  <c r="AN653" i="13"/>
  <c r="AN657" i="13"/>
  <c r="AN661" i="13"/>
  <c r="AR663" i="13"/>
  <c r="AN665" i="13"/>
  <c r="AR667" i="13"/>
  <c r="AN669" i="13"/>
  <c r="AR671" i="13"/>
  <c r="AN673" i="13"/>
  <c r="AR675" i="13"/>
  <c r="AN677" i="13"/>
  <c r="AR679" i="13"/>
  <c r="AN681" i="13"/>
  <c r="AH682" i="13"/>
  <c r="AR683" i="13"/>
  <c r="AN685" i="13"/>
  <c r="AH686" i="13"/>
  <c r="AR687" i="13"/>
  <c r="AN689" i="13"/>
  <c r="AH690" i="13"/>
  <c r="AR691" i="13"/>
  <c r="AN693" i="13"/>
  <c r="AH694" i="13"/>
  <c r="AR695" i="13"/>
  <c r="AN697" i="13"/>
  <c r="AH698" i="13"/>
  <c r="AR699" i="13"/>
  <c r="AN701" i="13"/>
  <c r="AH702" i="13"/>
  <c r="AR703" i="13"/>
  <c r="AN705" i="13"/>
  <c r="AH706" i="13"/>
  <c r="AR707" i="13"/>
  <c r="AN709" i="13"/>
  <c r="AH710" i="13"/>
  <c r="AR711" i="13"/>
  <c r="AH712" i="13"/>
  <c r="AN713" i="13"/>
  <c r="AU714" i="13"/>
  <c r="AC714" i="13"/>
  <c r="AD714" i="13" s="1"/>
  <c r="AR714" i="13"/>
  <c r="AR715" i="13"/>
  <c r="AJ716" i="13"/>
  <c r="AI716" i="13"/>
  <c r="AO716" i="13"/>
  <c r="AN716" i="13"/>
  <c r="AM716" i="13"/>
  <c r="AU717" i="13"/>
  <c r="AN721" i="13"/>
  <c r="AU722" i="13"/>
  <c r="AC722" i="13"/>
  <c r="AD722" i="13" s="1"/>
  <c r="AR722" i="13"/>
  <c r="AR723" i="13"/>
  <c r="AJ724" i="13"/>
  <c r="AI724" i="13"/>
  <c r="AO724" i="13"/>
  <c r="AN724" i="13"/>
  <c r="AM724" i="13"/>
  <c r="AU725" i="13"/>
  <c r="AI735" i="13"/>
  <c r="Y736" i="13"/>
  <c r="AL740" i="13"/>
  <c r="AC741" i="13"/>
  <c r="AD741" i="13" s="1"/>
  <c r="AR741" i="13"/>
  <c r="AK744" i="13"/>
  <c r="AL752" i="13"/>
  <c r="AJ752" i="13"/>
  <c r="AI752" i="13"/>
  <c r="AH752" i="13"/>
  <c r="AO752" i="13"/>
  <c r="AN752" i="13"/>
  <c r="AU754" i="13"/>
  <c r="AC754" i="13"/>
  <c r="AD754" i="13" s="1"/>
  <c r="AR754" i="13"/>
  <c r="AL777" i="13"/>
  <c r="Y782" i="13"/>
  <c r="AH783" i="13"/>
  <c r="AN783" i="13"/>
  <c r="AM783" i="13"/>
  <c r="AK783" i="13"/>
  <c r="AJ783" i="13"/>
  <c r="AO783" i="13"/>
  <c r="AL783" i="13"/>
  <c r="AI783" i="13"/>
  <c r="Y798" i="13"/>
  <c r="AH799" i="13"/>
  <c r="AN799" i="13"/>
  <c r="AM799" i="13"/>
  <c r="AK799" i="13"/>
  <c r="AJ799" i="13"/>
  <c r="AO799" i="13"/>
  <c r="AL799" i="13"/>
  <c r="AI799" i="13"/>
  <c r="AL803" i="13"/>
  <c r="AK803" i="13"/>
  <c r="AH803" i="13"/>
  <c r="AO803" i="13"/>
  <c r="AN803" i="13"/>
  <c r="AM803" i="13"/>
  <c r="AJ803" i="13"/>
  <c r="AI803" i="13"/>
  <c r="AO653" i="13"/>
  <c r="AO657" i="13"/>
  <c r="AO661" i="13"/>
  <c r="AC663" i="13"/>
  <c r="AD663" i="13" s="1"/>
  <c r="AO665" i="13"/>
  <c r="AC667" i="13"/>
  <c r="AD667" i="13" s="1"/>
  <c r="AO669" i="13"/>
  <c r="AC671" i="13"/>
  <c r="AD671" i="13" s="1"/>
  <c r="AO673" i="13"/>
  <c r="AC675" i="13"/>
  <c r="AD675" i="13" s="1"/>
  <c r="AO677" i="13"/>
  <c r="AC679" i="13"/>
  <c r="AD679" i="13" s="1"/>
  <c r="AO681" i="13"/>
  <c r="AI682" i="13"/>
  <c r="AC683" i="13"/>
  <c r="AD683" i="13" s="1"/>
  <c r="AO685" i="13"/>
  <c r="AI686" i="13"/>
  <c r="AC687" i="13"/>
  <c r="AD687" i="13" s="1"/>
  <c r="AO689" i="13"/>
  <c r="AI690" i="13"/>
  <c r="AC691" i="13"/>
  <c r="AD691" i="13" s="1"/>
  <c r="AO693" i="13"/>
  <c r="AI694" i="13"/>
  <c r="AC695" i="13"/>
  <c r="AD695" i="13" s="1"/>
  <c r="AO697" i="13"/>
  <c r="AI698" i="13"/>
  <c r="AC699" i="13"/>
  <c r="AD699" i="13" s="1"/>
  <c r="AO701" i="13"/>
  <c r="AI702" i="13"/>
  <c r="AC703" i="13"/>
  <c r="AD703" i="13" s="1"/>
  <c r="AO705" i="13"/>
  <c r="AI706" i="13"/>
  <c r="AC707" i="13"/>
  <c r="AD707" i="13" s="1"/>
  <c r="AO709" i="13"/>
  <c r="AI710" i="13"/>
  <c r="AC711" i="13"/>
  <c r="AD711" i="13" s="1"/>
  <c r="AJ712" i="13"/>
  <c r="AL717" i="13"/>
  <c r="AK717" i="13"/>
  <c r="AI717" i="13"/>
  <c r="AH717" i="13"/>
  <c r="AH719" i="13"/>
  <c r="AO719" i="13"/>
  <c r="AM719" i="13"/>
  <c r="AL719" i="13"/>
  <c r="AK719" i="13"/>
  <c r="Y720" i="13"/>
  <c r="AH720" i="13"/>
  <c r="AL725" i="13"/>
  <c r="AK725" i="13"/>
  <c r="AI725" i="13"/>
  <c r="AH725" i="13"/>
  <c r="AH727" i="13"/>
  <c r="AO727" i="13"/>
  <c r="AM727" i="13"/>
  <c r="AL727" i="13"/>
  <c r="AK727" i="13"/>
  <c r="Y728" i="13"/>
  <c r="AH728" i="13"/>
  <c r="AL729" i="13"/>
  <c r="AK729" i="13"/>
  <c r="AJ729" i="13"/>
  <c r="AI729" i="13"/>
  <c r="AH729" i="13"/>
  <c r="Y731" i="13"/>
  <c r="AI739" i="13"/>
  <c r="Y740" i="13"/>
  <c r="AC745" i="13"/>
  <c r="AD745" i="13" s="1"/>
  <c r="AR745" i="13"/>
  <c r="AK752" i="13"/>
  <c r="Y755" i="13"/>
  <c r="BA755" i="13"/>
  <c r="Y756" i="13"/>
  <c r="Y760" i="13"/>
  <c r="AO764" i="13"/>
  <c r="Y768" i="13"/>
  <c r="Y771" i="13"/>
  <c r="AO772" i="13"/>
  <c r="Y791" i="13"/>
  <c r="Z709" i="13"/>
  <c r="AU730" i="13"/>
  <c r="AC730" i="13"/>
  <c r="AD730" i="13" s="1"/>
  <c r="AR730" i="13"/>
  <c r="AJ732" i="13"/>
  <c r="AI732" i="13"/>
  <c r="AH732" i="13"/>
  <c r="AO732" i="13"/>
  <c r="AN732" i="13"/>
  <c r="Y735" i="13"/>
  <c r="AN742" i="13"/>
  <c r="AM742" i="13"/>
  <c r="AL742" i="13"/>
  <c r="AK742" i="13"/>
  <c r="AJ742" i="13"/>
  <c r="Y744" i="13"/>
  <c r="AC749" i="13"/>
  <c r="AD749" i="13" s="1"/>
  <c r="AR749" i="13"/>
  <c r="AN753" i="13"/>
  <c r="AL753" i="13"/>
  <c r="AK753" i="13"/>
  <c r="AJ753" i="13"/>
  <c r="AI753" i="13"/>
  <c r="AH753" i="13"/>
  <c r="AG776" i="13"/>
  <c r="AR776" i="13"/>
  <c r="AH787" i="13"/>
  <c r="AN787" i="13"/>
  <c r="AM787" i="13"/>
  <c r="AK787" i="13"/>
  <c r="AJ787" i="13"/>
  <c r="AO787" i="13"/>
  <c r="AL787" i="13"/>
  <c r="AI787" i="13"/>
  <c r="AC682" i="13"/>
  <c r="AD682" i="13" s="1"/>
  <c r="AK682" i="13"/>
  <c r="AC686" i="13"/>
  <c r="AD686" i="13" s="1"/>
  <c r="AK686" i="13"/>
  <c r="AC690" i="13"/>
  <c r="AD690" i="13" s="1"/>
  <c r="AK690" i="13"/>
  <c r="AC694" i="13"/>
  <c r="AD694" i="13" s="1"/>
  <c r="AK694" i="13"/>
  <c r="AC698" i="13"/>
  <c r="AD698" i="13" s="1"/>
  <c r="AK698" i="13"/>
  <c r="AC702" i="13"/>
  <c r="AD702" i="13" s="1"/>
  <c r="AK702" i="13"/>
  <c r="AC706" i="13"/>
  <c r="AD706" i="13" s="1"/>
  <c r="AK706" i="13"/>
  <c r="AC710" i="13"/>
  <c r="AD710" i="13" s="1"/>
  <c r="AK710" i="13"/>
  <c r="AR712" i="13"/>
  <c r="AL712" i="13"/>
  <c r="BA712" i="13"/>
  <c r="AR713" i="13"/>
  <c r="Y715" i="13"/>
  <c r="AI715" i="13"/>
  <c r="AM717" i="13"/>
  <c r="BA720" i="13"/>
  <c r="AR721" i="13"/>
  <c r="Y723" i="13"/>
  <c r="AI723" i="13"/>
  <c r="AM725" i="13"/>
  <c r="AN729" i="13"/>
  <c r="AH731" i="13"/>
  <c r="AO731" i="13"/>
  <c r="AN731" i="13"/>
  <c r="AM731" i="13"/>
  <c r="AL731" i="13"/>
  <c r="AR731" i="13"/>
  <c r="AL733" i="13"/>
  <c r="AK733" i="13"/>
  <c r="AJ733" i="13"/>
  <c r="AI733" i="13"/>
  <c r="AH733" i="13"/>
  <c r="AU734" i="13"/>
  <c r="AC734" i="13"/>
  <c r="AD734" i="13" s="1"/>
  <c r="AR734" i="13"/>
  <c r="AJ736" i="13"/>
  <c r="AI736" i="13"/>
  <c r="AH736" i="13"/>
  <c r="AO736" i="13"/>
  <c r="AN736" i="13"/>
  <c r="Y739" i="13"/>
  <c r="AH742" i="13"/>
  <c r="AU745" i="13"/>
  <c r="Y748" i="13"/>
  <c r="AU750" i="13"/>
  <c r="AC750" i="13"/>
  <c r="AD750" i="13" s="1"/>
  <c r="AR750" i="13"/>
  <c r="AM753" i="13"/>
  <c r="Y758" i="13"/>
  <c r="AO762" i="13"/>
  <c r="Y766" i="13"/>
  <c r="AO770" i="13"/>
  <c r="Y774" i="13"/>
  <c r="Y795" i="13"/>
  <c r="AL682" i="13"/>
  <c r="AL686" i="13"/>
  <c r="AL690" i="13"/>
  <c r="AL694" i="13"/>
  <c r="AL698" i="13"/>
  <c r="AL702" i="13"/>
  <c r="AL706" i="13"/>
  <c r="AL710" i="13"/>
  <c r="AM712" i="13"/>
  <c r="AU713" i="13"/>
  <c r="AU718" i="13"/>
  <c r="AC718" i="13"/>
  <c r="AD718" i="13" s="1"/>
  <c r="AR718" i="13"/>
  <c r="AJ720" i="13"/>
  <c r="AI720" i="13"/>
  <c r="AO720" i="13"/>
  <c r="AN720" i="13"/>
  <c r="AM720" i="13"/>
  <c r="AU721" i="13"/>
  <c r="AU726" i="13"/>
  <c r="AC726" i="13"/>
  <c r="AD726" i="13" s="1"/>
  <c r="AR726" i="13"/>
  <c r="AJ728" i="13"/>
  <c r="AI728" i="13"/>
  <c r="AO728" i="13"/>
  <c r="AN728" i="13"/>
  <c r="AM728" i="13"/>
  <c r="AC729" i="13"/>
  <c r="AD729" i="13" s="1"/>
  <c r="AR729" i="13"/>
  <c r="AH735" i="13"/>
  <c r="AO735" i="13"/>
  <c r="AN735" i="13"/>
  <c r="AM735" i="13"/>
  <c r="AL735" i="13"/>
  <c r="AR735" i="13"/>
  <c r="AL737" i="13"/>
  <c r="AK737" i="13"/>
  <c r="AJ737" i="13"/>
  <c r="AI737" i="13"/>
  <c r="AH737" i="13"/>
  <c r="AU738" i="13"/>
  <c r="AC738" i="13"/>
  <c r="AD738" i="13" s="1"/>
  <c r="AR738" i="13"/>
  <c r="AJ740" i="13"/>
  <c r="AI740" i="13"/>
  <c r="AH740" i="13"/>
  <c r="AO740" i="13"/>
  <c r="AN740" i="13"/>
  <c r="AI742" i="13"/>
  <c r="Y743" i="13"/>
  <c r="Y751" i="13"/>
  <c r="AO753" i="13"/>
  <c r="AR755" i="13"/>
  <c r="AG755" i="13"/>
  <c r="AL756" i="13"/>
  <c r="AN756" i="13"/>
  <c r="AM756" i="13"/>
  <c r="AK756" i="13"/>
  <c r="AJ756" i="13"/>
  <c r="AI756" i="13"/>
  <c r="AH756" i="13"/>
  <c r="AO756" i="13"/>
  <c r="Y775" i="13"/>
  <c r="Y790" i="13"/>
  <c r="AH791" i="13"/>
  <c r="AN791" i="13"/>
  <c r="AM791" i="13"/>
  <c r="AK791" i="13"/>
  <c r="AJ791" i="13"/>
  <c r="AO791" i="13"/>
  <c r="AL791" i="13"/>
  <c r="AI791" i="13"/>
  <c r="AL713" i="13"/>
  <c r="AK713" i="13"/>
  <c r="AI713" i="13"/>
  <c r="AH713" i="13"/>
  <c r="AH715" i="13"/>
  <c r="AO715" i="13"/>
  <c r="AM715" i="13"/>
  <c r="AL715" i="13"/>
  <c r="AK715" i="13"/>
  <c r="BA715" i="13"/>
  <c r="Y716" i="13"/>
  <c r="AH716" i="13"/>
  <c r="AL721" i="13"/>
  <c r="AK721" i="13"/>
  <c r="AI721" i="13"/>
  <c r="AH721" i="13"/>
  <c r="AH723" i="13"/>
  <c r="AO723" i="13"/>
  <c r="AM723" i="13"/>
  <c r="AL723" i="13"/>
  <c r="AK723" i="13"/>
  <c r="BA723" i="13"/>
  <c r="Y724" i="13"/>
  <c r="AH724" i="13"/>
  <c r="AK732" i="13"/>
  <c r="AM737" i="13"/>
  <c r="AH739" i="13"/>
  <c r="AO739" i="13"/>
  <c r="AN739" i="13"/>
  <c r="AM739" i="13"/>
  <c r="AL739" i="13"/>
  <c r="AR739" i="13"/>
  <c r="AL741" i="13"/>
  <c r="AK741" i="13"/>
  <c r="AJ741" i="13"/>
  <c r="AI741" i="13"/>
  <c r="AH741" i="13"/>
  <c r="AU742" i="13"/>
  <c r="AC742" i="13"/>
  <c r="AD742" i="13" s="1"/>
  <c r="AR742" i="13"/>
  <c r="AO742" i="13"/>
  <c r="AJ744" i="13"/>
  <c r="AI744" i="13"/>
  <c r="AH744" i="13"/>
  <c r="AO744" i="13"/>
  <c r="AN744" i="13"/>
  <c r="Y747" i="13"/>
  <c r="AN749" i="13"/>
  <c r="AL749" i="13"/>
  <c r="AK749" i="13"/>
  <c r="AJ749" i="13"/>
  <c r="AI749" i="13"/>
  <c r="AH749" i="13"/>
  <c r="Y752" i="13"/>
  <c r="Y764" i="13"/>
  <c r="Y772" i="13"/>
  <c r="Y777" i="13"/>
  <c r="AK757" i="13"/>
  <c r="AU757" i="13"/>
  <c r="AK759" i="13"/>
  <c r="AU759" i="13"/>
  <c r="AK761" i="13"/>
  <c r="AU761" i="13"/>
  <c r="AK763" i="13"/>
  <c r="AU763" i="13"/>
  <c r="AK765" i="13"/>
  <c r="AU765" i="13"/>
  <c r="AK767" i="13"/>
  <c r="AU767" i="13"/>
  <c r="AK769" i="13"/>
  <c r="AU769" i="13"/>
  <c r="AK771" i="13"/>
  <c r="AU771" i="13"/>
  <c r="AK773" i="13"/>
  <c r="AU773" i="13"/>
  <c r="BA774" i="13"/>
  <c r="AK777" i="13"/>
  <c r="AL779" i="13"/>
  <c r="AR782" i="13"/>
  <c r="AR786" i="13"/>
  <c r="AR790" i="13"/>
  <c r="AR794" i="13"/>
  <c r="AR798" i="13"/>
  <c r="AN804" i="13"/>
  <c r="AM804" i="13"/>
  <c r="AK804" i="13"/>
  <c r="AJ804" i="13"/>
  <c r="AO804" i="13"/>
  <c r="AL804" i="13"/>
  <c r="AI804" i="13"/>
  <c r="AH804" i="13"/>
  <c r="AN807" i="13"/>
  <c r="Y812" i="13"/>
  <c r="AJ814" i="13"/>
  <c r="AI814" i="13"/>
  <c r="AO814" i="13"/>
  <c r="AN814" i="13"/>
  <c r="AL814" i="13"/>
  <c r="AK814" i="13"/>
  <c r="AH814" i="13"/>
  <c r="Y828" i="13"/>
  <c r="AJ830" i="13"/>
  <c r="AI830" i="13"/>
  <c r="AO830" i="13"/>
  <c r="AN830" i="13"/>
  <c r="AL830" i="13"/>
  <c r="AK830" i="13"/>
  <c r="AH830" i="13"/>
  <c r="Y835" i="13"/>
  <c r="AO835" i="13"/>
  <c r="Y847" i="13"/>
  <c r="AN847" i="13"/>
  <c r="AM847" i="13"/>
  <c r="AL847" i="13"/>
  <c r="AK847" i="13"/>
  <c r="AI847" i="13"/>
  <c r="AH847" i="13"/>
  <c r="AO847" i="13"/>
  <c r="AJ847" i="13"/>
  <c r="BA756" i="13"/>
  <c r="AL757" i="13"/>
  <c r="BA758" i="13"/>
  <c r="AL759" i="13"/>
  <c r="BA760" i="13"/>
  <c r="AL761" i="13"/>
  <c r="BA762" i="13"/>
  <c r="AL763" i="13"/>
  <c r="BA764" i="13"/>
  <c r="AL765" i="13"/>
  <c r="BA766" i="13"/>
  <c r="AL767" i="13"/>
  <c r="BA768" i="13"/>
  <c r="AL769" i="13"/>
  <c r="BA770" i="13"/>
  <c r="AL771" i="13"/>
  <c r="BA772" i="13"/>
  <c r="AL773" i="13"/>
  <c r="AU775" i="13"/>
  <c r="AC775" i="13"/>
  <c r="AD775" i="13" s="1"/>
  <c r="AR775" i="13"/>
  <c r="AR778" i="13"/>
  <c r="Y780" i="13"/>
  <c r="AL781" i="13"/>
  <c r="AJ781" i="13"/>
  <c r="AI781" i="13"/>
  <c r="AO781" i="13"/>
  <c r="AN781" i="13"/>
  <c r="AU782" i="13"/>
  <c r="Y784" i="13"/>
  <c r="AL785" i="13"/>
  <c r="AJ785" i="13"/>
  <c r="AI785" i="13"/>
  <c r="AO785" i="13"/>
  <c r="AN785" i="13"/>
  <c r="AU786" i="13"/>
  <c r="Y788" i="13"/>
  <c r="AL789" i="13"/>
  <c r="AJ789" i="13"/>
  <c r="AI789" i="13"/>
  <c r="AO789" i="13"/>
  <c r="AN789" i="13"/>
  <c r="AU790" i="13"/>
  <c r="Y792" i="13"/>
  <c r="AL793" i="13"/>
  <c r="AJ793" i="13"/>
  <c r="AI793" i="13"/>
  <c r="AO793" i="13"/>
  <c r="AN793" i="13"/>
  <c r="AU794" i="13"/>
  <c r="Y796" i="13"/>
  <c r="AL797" i="13"/>
  <c r="AJ797" i="13"/>
  <c r="AI797" i="13"/>
  <c r="AO797" i="13"/>
  <c r="AN797" i="13"/>
  <c r="AU798" i="13"/>
  <c r="Y800" i="13"/>
  <c r="Y803" i="13"/>
  <c r="Y811" i="13"/>
  <c r="AU812" i="13"/>
  <c r="AC812" i="13"/>
  <c r="AD812" i="13" s="1"/>
  <c r="AR812" i="13"/>
  <c r="AM814" i="13"/>
  <c r="Y823" i="13"/>
  <c r="AN824" i="13"/>
  <c r="AM824" i="13"/>
  <c r="AK824" i="13"/>
  <c r="AJ824" i="13"/>
  <c r="AO824" i="13"/>
  <c r="AL824" i="13"/>
  <c r="AI824" i="13"/>
  <c r="AH824" i="13"/>
  <c r="Y827" i="13"/>
  <c r="AU828" i="13"/>
  <c r="AC828" i="13"/>
  <c r="AD828" i="13" s="1"/>
  <c r="AR828" i="13"/>
  <c r="AM830" i="13"/>
  <c r="AJ841" i="13"/>
  <c r="AI841" i="13"/>
  <c r="AH841" i="13"/>
  <c r="AO841" i="13"/>
  <c r="AM841" i="13"/>
  <c r="AL841" i="13"/>
  <c r="AN841" i="13"/>
  <c r="AK841" i="13"/>
  <c r="AR871" i="13"/>
  <c r="Z871" i="13"/>
  <c r="AR875" i="13"/>
  <c r="Z875" i="13"/>
  <c r="Z756" i="13"/>
  <c r="AC757" i="13"/>
  <c r="AD757" i="13" s="1"/>
  <c r="AM757" i="13"/>
  <c r="AL758" i="13"/>
  <c r="AH758" i="13"/>
  <c r="AR758" i="13"/>
  <c r="AC759" i="13"/>
  <c r="AD759" i="13" s="1"/>
  <c r="AM759" i="13"/>
  <c r="AH760" i="13"/>
  <c r="AL760" i="13"/>
  <c r="AR760" i="13"/>
  <c r="AC761" i="13"/>
  <c r="AD761" i="13" s="1"/>
  <c r="AM761" i="13"/>
  <c r="AL762" i="13"/>
  <c r="AH762" i="13"/>
  <c r="AR762" i="13"/>
  <c r="AC763" i="13"/>
  <c r="AD763" i="13" s="1"/>
  <c r="AM763" i="13"/>
  <c r="AH764" i="13"/>
  <c r="AL764" i="13"/>
  <c r="AR764" i="13"/>
  <c r="AC765" i="13"/>
  <c r="AD765" i="13" s="1"/>
  <c r="AM765" i="13"/>
  <c r="AL766" i="13"/>
  <c r="AH766" i="13"/>
  <c r="AR766" i="13"/>
  <c r="AC767" i="13"/>
  <c r="AD767" i="13" s="1"/>
  <c r="AM767" i="13"/>
  <c r="AH768" i="13"/>
  <c r="AL768" i="13"/>
  <c r="AR768" i="13"/>
  <c r="AC769" i="13"/>
  <c r="AD769" i="13" s="1"/>
  <c r="AM769" i="13"/>
  <c r="AL770" i="13"/>
  <c r="AH770" i="13"/>
  <c r="AR770" i="13"/>
  <c r="AC771" i="13"/>
  <c r="AD771" i="13" s="1"/>
  <c r="AM771" i="13"/>
  <c r="AH772" i="13"/>
  <c r="AL772" i="13"/>
  <c r="AR772" i="13"/>
  <c r="AC773" i="13"/>
  <c r="AD773" i="13" s="1"/>
  <c r="AM773" i="13"/>
  <c r="AL774" i="13"/>
  <c r="AH774" i="13"/>
  <c r="AR774" i="13"/>
  <c r="AJ777" i="13"/>
  <c r="AI777" i="13"/>
  <c r="AO777" i="13"/>
  <c r="AN777" i="13"/>
  <c r="AM777" i="13"/>
  <c r="Y802" i="13"/>
  <c r="Y816" i="13"/>
  <c r="Y832" i="13"/>
  <c r="AI837" i="13"/>
  <c r="AH837" i="13"/>
  <c r="AO837" i="13"/>
  <c r="AM837" i="13"/>
  <c r="AL837" i="13"/>
  <c r="AN837" i="13"/>
  <c r="AK837" i="13"/>
  <c r="AJ837" i="13"/>
  <c r="BA713" i="13"/>
  <c r="BA717" i="13"/>
  <c r="BA721" i="13"/>
  <c r="BA725" i="13"/>
  <c r="BA733" i="13"/>
  <c r="BA737" i="13"/>
  <c r="BA741" i="13"/>
  <c r="BA745" i="13"/>
  <c r="BA749" i="13"/>
  <c r="BA753" i="13"/>
  <c r="AI758" i="13"/>
  <c r="AI760" i="13"/>
  <c r="AI762" i="13"/>
  <c r="AI764" i="13"/>
  <c r="AI766" i="13"/>
  <c r="AI768" i="13"/>
  <c r="AI770" i="13"/>
  <c r="AI772" i="13"/>
  <c r="AI774" i="13"/>
  <c r="AL778" i="13"/>
  <c r="AK778" i="13"/>
  <c r="AI778" i="13"/>
  <c r="AH778" i="13"/>
  <c r="AR780" i="13"/>
  <c r="AG780" i="13"/>
  <c r="AN782" i="13"/>
  <c r="AL782" i="13"/>
  <c r="AK782" i="13"/>
  <c r="AI782" i="13"/>
  <c r="AH782" i="13"/>
  <c r="AN786" i="13"/>
  <c r="AL786" i="13"/>
  <c r="AK786" i="13"/>
  <c r="AI786" i="13"/>
  <c r="AH786" i="13"/>
  <c r="AN790" i="13"/>
  <c r="AL790" i="13"/>
  <c r="AK790" i="13"/>
  <c r="AI790" i="13"/>
  <c r="AH790" i="13"/>
  <c r="AN794" i="13"/>
  <c r="AL794" i="13"/>
  <c r="AK794" i="13"/>
  <c r="AI794" i="13"/>
  <c r="AH794" i="13"/>
  <c r="AN798" i="13"/>
  <c r="AL798" i="13"/>
  <c r="AK798" i="13"/>
  <c r="AI798" i="13"/>
  <c r="AH798" i="13"/>
  <c r="AH812" i="13"/>
  <c r="AH828" i="13"/>
  <c r="BA757" i="13"/>
  <c r="AJ758" i="13"/>
  <c r="BA759" i="13"/>
  <c r="AJ760" i="13"/>
  <c r="BA761" i="13"/>
  <c r="AJ762" i="13"/>
  <c r="BA763" i="13"/>
  <c r="AJ764" i="13"/>
  <c r="BA765" i="13"/>
  <c r="AJ766" i="13"/>
  <c r="BA767" i="13"/>
  <c r="AJ768" i="13"/>
  <c r="BA769" i="13"/>
  <c r="AJ770" i="13"/>
  <c r="BA771" i="13"/>
  <c r="AJ772" i="13"/>
  <c r="BA773" i="13"/>
  <c r="AJ774" i="13"/>
  <c r="AJ778" i="13"/>
  <c r="AH781" i="13"/>
  <c r="BA781" i="13"/>
  <c r="AJ782" i="13"/>
  <c r="AU783" i="13"/>
  <c r="AC783" i="13"/>
  <c r="AD783" i="13" s="1"/>
  <c r="AR783" i="13"/>
  <c r="AR784" i="13"/>
  <c r="AG784" i="13"/>
  <c r="AH785" i="13"/>
  <c r="BA785" i="13"/>
  <c r="AJ786" i="13"/>
  <c r="AU787" i="13"/>
  <c r="AC787" i="13"/>
  <c r="AD787" i="13" s="1"/>
  <c r="AR787" i="13"/>
  <c r="AR788" i="13"/>
  <c r="AG788" i="13"/>
  <c r="AH789" i="13"/>
  <c r="BA789" i="13"/>
  <c r="AJ790" i="13"/>
  <c r="AU791" i="13"/>
  <c r="AC791" i="13"/>
  <c r="AD791" i="13" s="1"/>
  <c r="AR791" i="13"/>
  <c r="AR792" i="13"/>
  <c r="AG792" i="13"/>
  <c r="AH793" i="13"/>
  <c r="BA793" i="13"/>
  <c r="AJ794" i="13"/>
  <c r="AU795" i="13"/>
  <c r="AC795" i="13"/>
  <c r="AD795" i="13" s="1"/>
  <c r="AR795" i="13"/>
  <c r="AR796" i="13"/>
  <c r="AG796" i="13"/>
  <c r="AH797" i="13"/>
  <c r="BA797" i="13"/>
  <c r="AJ798" i="13"/>
  <c r="AU799" i="13"/>
  <c r="AC799" i="13"/>
  <c r="AD799" i="13" s="1"/>
  <c r="AR799" i="13"/>
  <c r="AR800" i="13"/>
  <c r="AG800" i="13"/>
  <c r="Y808" i="13"/>
  <c r="Y820" i="13"/>
  <c r="AJ822" i="13"/>
  <c r="AI822" i="13"/>
  <c r="AO822" i="13"/>
  <c r="AN822" i="13"/>
  <c r="AL822" i="13"/>
  <c r="AK822" i="13"/>
  <c r="AH822" i="13"/>
  <c r="AH844" i="13"/>
  <c r="AO844" i="13"/>
  <c r="AN844" i="13"/>
  <c r="AM844" i="13"/>
  <c r="AK844" i="13"/>
  <c r="AJ844" i="13"/>
  <c r="AL844" i="13"/>
  <c r="AI844" i="13"/>
  <c r="AH874" i="13"/>
  <c r="Y874" i="13"/>
  <c r="AJ757" i="13"/>
  <c r="AN757" i="13"/>
  <c r="AN759" i="13"/>
  <c r="AJ759" i="13"/>
  <c r="AJ761" i="13"/>
  <c r="AN761" i="13"/>
  <c r="AN763" i="13"/>
  <c r="AJ763" i="13"/>
  <c r="AJ765" i="13"/>
  <c r="AN765" i="13"/>
  <c r="AN767" i="13"/>
  <c r="AJ767" i="13"/>
  <c r="AJ769" i="13"/>
  <c r="AN769" i="13"/>
  <c r="AN771" i="13"/>
  <c r="AJ771" i="13"/>
  <c r="AJ773" i="13"/>
  <c r="AN773" i="13"/>
  <c r="Y776" i="13"/>
  <c r="AN779" i="13"/>
  <c r="AM779" i="13"/>
  <c r="AK779" i="13"/>
  <c r="AJ779" i="13"/>
  <c r="Y804" i="13"/>
  <c r="AN816" i="13"/>
  <c r="AM816" i="13"/>
  <c r="AK816" i="13"/>
  <c r="AJ816" i="13"/>
  <c r="AO816" i="13"/>
  <c r="AL816" i="13"/>
  <c r="AI816" i="13"/>
  <c r="AH816" i="13"/>
  <c r="AU820" i="13"/>
  <c r="AC820" i="13"/>
  <c r="AD820" i="13" s="1"/>
  <c r="AR820" i="13"/>
  <c r="Y862" i="13"/>
  <c r="AH757" i="13"/>
  <c r="AH759" i="13"/>
  <c r="AH761" i="13"/>
  <c r="AH763" i="13"/>
  <c r="AH765" i="13"/>
  <c r="AH767" i="13"/>
  <c r="AH769" i="13"/>
  <c r="AH771" i="13"/>
  <c r="AH773" i="13"/>
  <c r="AU779" i="13"/>
  <c r="AC779" i="13"/>
  <c r="AD779" i="13" s="1"/>
  <c r="AR779" i="13"/>
  <c r="AH779" i="13"/>
  <c r="BA780" i="13"/>
  <c r="Y781" i="13"/>
  <c r="BA784" i="13"/>
  <c r="Y785" i="13"/>
  <c r="BA788" i="13"/>
  <c r="Y789" i="13"/>
  <c r="BA792" i="13"/>
  <c r="Y793" i="13"/>
  <c r="BA796" i="13"/>
  <c r="Y797" i="13"/>
  <c r="BA800" i="13"/>
  <c r="Y801" i="13"/>
  <c r="AH801" i="13"/>
  <c r="Y810" i="13"/>
  <c r="AH810" i="13"/>
  <c r="AO819" i="13"/>
  <c r="Y824" i="13"/>
  <c r="Z801" i="13"/>
  <c r="AJ801" i="13"/>
  <c r="AU801" i="13"/>
  <c r="AK802" i="13"/>
  <c r="AU802" i="13"/>
  <c r="AH805" i="13"/>
  <c r="AO805" i="13"/>
  <c r="AM805" i="13"/>
  <c r="AL805" i="13"/>
  <c r="AK805" i="13"/>
  <c r="AM807" i="13"/>
  <c r="AR810" i="13"/>
  <c r="AI812" i="13"/>
  <c r="AL815" i="13"/>
  <c r="AK815" i="13"/>
  <c r="AI815" i="13"/>
  <c r="AH815" i="13"/>
  <c r="BA817" i="13"/>
  <c r="Y818" i="13"/>
  <c r="AH818" i="13"/>
  <c r="AI820" i="13"/>
  <c r="AL823" i="13"/>
  <c r="AK823" i="13"/>
  <c r="AI823" i="13"/>
  <c r="AH823" i="13"/>
  <c r="AH825" i="13"/>
  <c r="AO825" i="13"/>
  <c r="AM825" i="13"/>
  <c r="AL825" i="13"/>
  <c r="AK825" i="13"/>
  <c r="BA825" i="13"/>
  <c r="Y826" i="13"/>
  <c r="AH826" i="13"/>
  <c r="AI828" i="13"/>
  <c r="AL831" i="13"/>
  <c r="AK831" i="13"/>
  <c r="AI831" i="13"/>
  <c r="AH831" i="13"/>
  <c r="BA833" i="13"/>
  <c r="Y834" i="13"/>
  <c r="AL834" i="13"/>
  <c r="AU835" i="13"/>
  <c r="AC835" i="13"/>
  <c r="AD835" i="13" s="1"/>
  <c r="AN835" i="13"/>
  <c r="AJ845" i="13"/>
  <c r="AI845" i="13"/>
  <c r="AH845" i="13"/>
  <c r="AO845" i="13"/>
  <c r="AM845" i="13"/>
  <c r="AL845" i="13"/>
  <c r="AR846" i="13"/>
  <c r="AH848" i="13"/>
  <c r="AO848" i="13"/>
  <c r="AN848" i="13"/>
  <c r="AM848" i="13"/>
  <c r="AK848" i="13"/>
  <c r="AJ848" i="13"/>
  <c r="BA849" i="13"/>
  <c r="Y850" i="13"/>
  <c r="AN851" i="13"/>
  <c r="AM851" i="13"/>
  <c r="AL851" i="13"/>
  <c r="AK851" i="13"/>
  <c r="AI851" i="13"/>
  <c r="AH851" i="13"/>
  <c r="AJ871" i="13"/>
  <c r="AL802" i="13"/>
  <c r="BA805" i="13"/>
  <c r="Y806" i="13"/>
  <c r="AJ806" i="13"/>
  <c r="AU808" i="13"/>
  <c r="AC808" i="13"/>
  <c r="AD808" i="13" s="1"/>
  <c r="AR808" i="13"/>
  <c r="AR809" i="13"/>
  <c r="AR818" i="13"/>
  <c r="AR826" i="13"/>
  <c r="AH832" i="13"/>
  <c r="AR834" i="13"/>
  <c r="AO836" i="13"/>
  <c r="AN836" i="13"/>
  <c r="AM836" i="13"/>
  <c r="AK836" i="13"/>
  <c r="AJ836" i="13"/>
  <c r="AM839" i="13"/>
  <c r="AL839" i="13"/>
  <c r="AK839" i="13"/>
  <c r="AI839" i="13"/>
  <c r="AH839" i="13"/>
  <c r="Y840" i="13"/>
  <c r="AL842" i="13"/>
  <c r="AK842" i="13"/>
  <c r="AJ842" i="13"/>
  <c r="AI842" i="13"/>
  <c r="AO842" i="13"/>
  <c r="AN842" i="13"/>
  <c r="AJ849" i="13"/>
  <c r="AI849" i="13"/>
  <c r="AH849" i="13"/>
  <c r="AO849" i="13"/>
  <c r="AM849" i="13"/>
  <c r="AL849" i="13"/>
  <c r="AR850" i="13"/>
  <c r="AH852" i="13"/>
  <c r="AO852" i="13"/>
  <c r="AN852" i="13"/>
  <c r="AM852" i="13"/>
  <c r="AK852" i="13"/>
  <c r="AJ852" i="13"/>
  <c r="BA853" i="13"/>
  <c r="Y854" i="13"/>
  <c r="AL877" i="13"/>
  <c r="AK877" i="13"/>
  <c r="AJ877" i="13"/>
  <c r="AI877" i="13"/>
  <c r="AH877" i="13"/>
  <c r="AO877" i="13"/>
  <c r="AN877" i="13"/>
  <c r="AM877" i="13"/>
  <c r="AI883" i="13"/>
  <c r="AH883" i="13"/>
  <c r="AO883" i="13"/>
  <c r="AN883" i="13"/>
  <c r="AM883" i="13"/>
  <c r="AL883" i="13"/>
  <c r="AK883" i="13"/>
  <c r="Y813" i="13"/>
  <c r="Y821" i="13"/>
  <c r="Y829" i="13"/>
  <c r="AI832" i="13"/>
  <c r="Y833" i="13"/>
  <c r="AU843" i="13"/>
  <c r="AC843" i="13"/>
  <c r="AD843" i="13" s="1"/>
  <c r="AR843" i="13"/>
  <c r="AL846" i="13"/>
  <c r="AK846" i="13"/>
  <c r="AJ846" i="13"/>
  <c r="AI846" i="13"/>
  <c r="AO846" i="13"/>
  <c r="AN846" i="13"/>
  <c r="AJ853" i="13"/>
  <c r="AI853" i="13"/>
  <c r="AH853" i="13"/>
  <c r="AO853" i="13"/>
  <c r="AM853" i="13"/>
  <c r="AL853" i="13"/>
  <c r="BB911" i="13"/>
  <c r="BA911" i="13"/>
  <c r="AU971" i="13"/>
  <c r="AC971" i="13"/>
  <c r="AD971" i="13" s="1"/>
  <c r="AR971" i="13"/>
  <c r="BA778" i="13"/>
  <c r="BA782" i="13"/>
  <c r="BA786" i="13"/>
  <c r="BA790" i="13"/>
  <c r="BA794" i="13"/>
  <c r="BA798" i="13"/>
  <c r="AO801" i="13"/>
  <c r="AL801" i="13"/>
  <c r="AN801" i="13"/>
  <c r="AC802" i="13"/>
  <c r="AD802" i="13" s="1"/>
  <c r="AU804" i="13"/>
  <c r="AC804" i="13"/>
  <c r="AD804" i="13" s="1"/>
  <c r="AR804" i="13"/>
  <c r="AU816" i="13"/>
  <c r="AC816" i="13"/>
  <c r="AD816" i="13" s="1"/>
  <c r="AR816" i="13"/>
  <c r="AJ818" i="13"/>
  <c r="AI818" i="13"/>
  <c r="AO818" i="13"/>
  <c r="AN818" i="13"/>
  <c r="AM818" i="13"/>
  <c r="AU824" i="13"/>
  <c r="AC824" i="13"/>
  <c r="AD824" i="13" s="1"/>
  <c r="AR824" i="13"/>
  <c r="AJ826" i="13"/>
  <c r="AI826" i="13"/>
  <c r="AO826" i="13"/>
  <c r="AN826" i="13"/>
  <c r="AM826" i="13"/>
  <c r="AU832" i="13"/>
  <c r="AC832" i="13"/>
  <c r="AD832" i="13" s="1"/>
  <c r="AR832" i="13"/>
  <c r="AK834" i="13"/>
  <c r="AJ834" i="13"/>
  <c r="AI834" i="13"/>
  <c r="AO834" i="13"/>
  <c r="AN834" i="13"/>
  <c r="Y838" i="13"/>
  <c r="AL838" i="13"/>
  <c r="AU839" i="13"/>
  <c r="AC839" i="13"/>
  <c r="AD839" i="13" s="1"/>
  <c r="AU847" i="13"/>
  <c r="AC847" i="13"/>
  <c r="AD847" i="13" s="1"/>
  <c r="AR847" i="13"/>
  <c r="AL850" i="13"/>
  <c r="AK850" i="13"/>
  <c r="AJ850" i="13"/>
  <c r="AI850" i="13"/>
  <c r="AO850" i="13"/>
  <c r="AN850" i="13"/>
  <c r="AK853" i="13"/>
  <c r="AN865" i="13"/>
  <c r="AO874" i="13"/>
  <c r="AH878" i="13"/>
  <c r="Y878" i="13"/>
  <c r="Y880" i="13"/>
  <c r="AJ903" i="13"/>
  <c r="AN903" i="13"/>
  <c r="AM903" i="13"/>
  <c r="AO903" i="13"/>
  <c r="AL903" i="13"/>
  <c r="AK903" i="13"/>
  <c r="AI903" i="13"/>
  <c r="AH903" i="13"/>
  <c r="BA801" i="13"/>
  <c r="BA806" i="13"/>
  <c r="AR807" i="13"/>
  <c r="Y809" i="13"/>
  <c r="AL811" i="13"/>
  <c r="AK811" i="13"/>
  <c r="AI811" i="13"/>
  <c r="AH811" i="13"/>
  <c r="AH813" i="13"/>
  <c r="AO813" i="13"/>
  <c r="AM813" i="13"/>
  <c r="AL813" i="13"/>
  <c r="AK813" i="13"/>
  <c r="BA813" i="13"/>
  <c r="Y814" i="13"/>
  <c r="AL819" i="13"/>
  <c r="AK819" i="13"/>
  <c r="AI819" i="13"/>
  <c r="AH819" i="13"/>
  <c r="AH821" i="13"/>
  <c r="AO821" i="13"/>
  <c r="AM821" i="13"/>
  <c r="AL821" i="13"/>
  <c r="AK821" i="13"/>
  <c r="BA821" i="13"/>
  <c r="Y822" i="13"/>
  <c r="AL827" i="13"/>
  <c r="AK827" i="13"/>
  <c r="AI827" i="13"/>
  <c r="AH827" i="13"/>
  <c r="AH829" i="13"/>
  <c r="AO829" i="13"/>
  <c r="AM829" i="13"/>
  <c r="AL829" i="13"/>
  <c r="AK829" i="13"/>
  <c r="BA829" i="13"/>
  <c r="Y830" i="13"/>
  <c r="AI833" i="13"/>
  <c r="AH833" i="13"/>
  <c r="AO833" i="13"/>
  <c r="AM833" i="13"/>
  <c r="AL833" i="13"/>
  <c r="AH836" i="13"/>
  <c r="AR838" i="13"/>
  <c r="AO839" i="13"/>
  <c r="AH840" i="13"/>
  <c r="AO840" i="13"/>
  <c r="AN840" i="13"/>
  <c r="AM840" i="13"/>
  <c r="AK840" i="13"/>
  <c r="AJ840" i="13"/>
  <c r="Y841" i="13"/>
  <c r="AM842" i="13"/>
  <c r="Y844" i="13"/>
  <c r="AH846" i="13"/>
  <c r="AU851" i="13"/>
  <c r="AC851" i="13"/>
  <c r="AD851" i="13" s="1"/>
  <c r="AR851" i="13"/>
  <c r="AN853" i="13"/>
  <c r="AL854" i="13"/>
  <c r="AK854" i="13"/>
  <c r="AJ854" i="13"/>
  <c r="AI854" i="13"/>
  <c r="AO854" i="13"/>
  <c r="AN854" i="13"/>
  <c r="AH858" i="13"/>
  <c r="Y858" i="13"/>
  <c r="AR859" i="13"/>
  <c r="AI864" i="13"/>
  <c r="AM873" i="13"/>
  <c r="Y876" i="13"/>
  <c r="AU878" i="13"/>
  <c r="AC878" i="13"/>
  <c r="AD878" i="13" s="1"/>
  <c r="AR878" i="13"/>
  <c r="AH897" i="13"/>
  <c r="Y897" i="13"/>
  <c r="AO832" i="13"/>
  <c r="AN832" i="13"/>
  <c r="AM832" i="13"/>
  <c r="AK832" i="13"/>
  <c r="AJ832" i="13"/>
  <c r="Y837" i="13"/>
  <c r="Y845" i="13"/>
  <c r="Y848" i="13"/>
  <c r="AU855" i="13"/>
  <c r="AR855" i="13"/>
  <c r="AU858" i="13"/>
  <c r="AC858" i="13"/>
  <c r="AD858" i="13" s="1"/>
  <c r="AR858" i="13"/>
  <c r="AO859" i="13"/>
  <c r="AN859" i="13"/>
  <c r="AM859" i="13"/>
  <c r="AL859" i="13"/>
  <c r="AK859" i="13"/>
  <c r="AJ859" i="13"/>
  <c r="AI859" i="13"/>
  <c r="AH859" i="13"/>
  <c r="AH866" i="13"/>
  <c r="Y866" i="13"/>
  <c r="AH906" i="13"/>
  <c r="AL906" i="13"/>
  <c r="AK906" i="13"/>
  <c r="AO906" i="13"/>
  <c r="AN906" i="13"/>
  <c r="AM906" i="13"/>
  <c r="AJ906" i="13"/>
  <c r="AI906" i="13"/>
  <c r="AH929" i="13"/>
  <c r="Y929" i="13"/>
  <c r="AJ802" i="13"/>
  <c r="AI802" i="13"/>
  <c r="AN802" i="13"/>
  <c r="AR803" i="13"/>
  <c r="Y805" i="13"/>
  <c r="AL807" i="13"/>
  <c r="AK807" i="13"/>
  <c r="AI807" i="13"/>
  <c r="AH807" i="13"/>
  <c r="AH809" i="13"/>
  <c r="AO809" i="13"/>
  <c r="AM809" i="13"/>
  <c r="AL809" i="13"/>
  <c r="AK809" i="13"/>
  <c r="AN812" i="13"/>
  <c r="AM812" i="13"/>
  <c r="AK812" i="13"/>
  <c r="AJ812" i="13"/>
  <c r="Y817" i="13"/>
  <c r="AN820" i="13"/>
  <c r="AM820" i="13"/>
  <c r="AK820" i="13"/>
  <c r="AJ820" i="13"/>
  <c r="Y825" i="13"/>
  <c r="AN828" i="13"/>
  <c r="AM828" i="13"/>
  <c r="AK828" i="13"/>
  <c r="AJ828" i="13"/>
  <c r="AM835" i="13"/>
  <c r="AL835" i="13"/>
  <c r="AK835" i="13"/>
  <c r="AI835" i="13"/>
  <c r="AH835" i="13"/>
  <c r="Y836" i="13"/>
  <c r="AK838" i="13"/>
  <c r="AJ838" i="13"/>
  <c r="AI838" i="13"/>
  <c r="AO838" i="13"/>
  <c r="AN838" i="13"/>
  <c r="Y842" i="13"/>
  <c r="AN843" i="13"/>
  <c r="AM843" i="13"/>
  <c r="AL843" i="13"/>
  <c r="AK843" i="13"/>
  <c r="AI843" i="13"/>
  <c r="AH843" i="13"/>
  <c r="Y849" i="13"/>
  <c r="Y852" i="13"/>
  <c r="AR863" i="13"/>
  <c r="Z863" i="13"/>
  <c r="AU866" i="13"/>
  <c r="AC866" i="13"/>
  <c r="AD866" i="13" s="1"/>
  <c r="AR866" i="13"/>
  <c r="AO867" i="13"/>
  <c r="AN867" i="13"/>
  <c r="AM867" i="13"/>
  <c r="AL867" i="13"/>
  <c r="AK867" i="13"/>
  <c r="AJ867" i="13"/>
  <c r="AI867" i="13"/>
  <c r="AH867" i="13"/>
  <c r="Y877" i="13"/>
  <c r="AN806" i="13"/>
  <c r="AN810" i="13"/>
  <c r="AR836" i="13"/>
  <c r="AR840" i="13"/>
  <c r="AR844" i="13"/>
  <c r="AR848" i="13"/>
  <c r="AR852" i="13"/>
  <c r="AK857" i="13"/>
  <c r="AJ857" i="13"/>
  <c r="AH857" i="13"/>
  <c r="AO857" i="13"/>
  <c r="AN857" i="13"/>
  <c r="Z859" i="13"/>
  <c r="AK861" i="13"/>
  <c r="AJ861" i="13"/>
  <c r="AI861" i="13"/>
  <c r="AH861" i="13"/>
  <c r="AO861" i="13"/>
  <c r="AM862" i="13"/>
  <c r="AL862" i="13"/>
  <c r="AK862" i="13"/>
  <c r="AJ862" i="13"/>
  <c r="AI862" i="13"/>
  <c r="AI863" i="13"/>
  <c r="BA864" i="13"/>
  <c r="Z867" i="13"/>
  <c r="AK869" i="13"/>
  <c r="AJ869" i="13"/>
  <c r="AI869" i="13"/>
  <c r="AH869" i="13"/>
  <c r="AO869" i="13"/>
  <c r="AM870" i="13"/>
  <c r="AL870" i="13"/>
  <c r="AK870" i="13"/>
  <c r="AJ870" i="13"/>
  <c r="AI870" i="13"/>
  <c r="AI871" i="13"/>
  <c r="BA872" i="13"/>
  <c r="AU874" i="13"/>
  <c r="AC874" i="13"/>
  <c r="AD874" i="13" s="1"/>
  <c r="AR874" i="13"/>
  <c r="AO875" i="13"/>
  <c r="AN875" i="13"/>
  <c r="AM875" i="13"/>
  <c r="AL875" i="13"/>
  <c r="AK875" i="13"/>
  <c r="AI879" i="13"/>
  <c r="AO882" i="13"/>
  <c r="Y890" i="13"/>
  <c r="AK892" i="13"/>
  <c r="AJ892" i="13"/>
  <c r="AI892" i="13"/>
  <c r="AH892" i="13"/>
  <c r="AO892" i="13"/>
  <c r="AN892" i="13"/>
  <c r="AM892" i="13"/>
  <c r="AL892" i="13"/>
  <c r="Y896" i="13"/>
  <c r="BB899" i="13"/>
  <c r="BA899" i="13"/>
  <c r="Y909" i="13"/>
  <c r="AH910" i="13"/>
  <c r="AL910" i="13"/>
  <c r="AK910" i="13"/>
  <c r="AO910" i="13"/>
  <c r="AN910" i="13"/>
  <c r="AM910" i="13"/>
  <c r="AJ910" i="13"/>
  <c r="AH914" i="13"/>
  <c r="AL914" i="13"/>
  <c r="AK914" i="13"/>
  <c r="AI914" i="13"/>
  <c r="AO914" i="13"/>
  <c r="AN914" i="13"/>
  <c r="AM914" i="13"/>
  <c r="AN925" i="13"/>
  <c r="AM925" i="13"/>
  <c r="AK925" i="13"/>
  <c r="AJ925" i="13"/>
  <c r="AI925" i="13"/>
  <c r="AO925" i="13"/>
  <c r="AL925" i="13"/>
  <c r="AH925" i="13"/>
  <c r="AG950" i="13"/>
  <c r="AR950" i="13"/>
  <c r="AN952" i="13"/>
  <c r="Y959" i="13"/>
  <c r="AH959" i="13"/>
  <c r="Y963" i="13"/>
  <c r="AH963" i="13"/>
  <c r="AO806" i="13"/>
  <c r="AO810" i="13"/>
  <c r="AC836" i="13"/>
  <c r="AD836" i="13" s="1"/>
  <c r="AC840" i="13"/>
  <c r="AD840" i="13" s="1"/>
  <c r="AC844" i="13"/>
  <c r="AD844" i="13" s="1"/>
  <c r="AC848" i="13"/>
  <c r="AD848" i="13" s="1"/>
  <c r="AC852" i="13"/>
  <c r="AD852" i="13" s="1"/>
  <c r="AO855" i="13"/>
  <c r="AL855" i="13"/>
  <c r="AK855" i="13"/>
  <c r="AN855" i="13"/>
  <c r="AI856" i="13"/>
  <c r="AH856" i="13"/>
  <c r="AN856" i="13"/>
  <c r="AM856" i="13"/>
  <c r="AH862" i="13"/>
  <c r="Y863" i="13"/>
  <c r="Y864" i="13"/>
  <c r="Y865" i="13"/>
  <c r="AH870" i="13"/>
  <c r="Y871" i="13"/>
  <c r="Y872" i="13"/>
  <c r="Y873" i="13"/>
  <c r="Y888" i="13"/>
  <c r="Y889" i="13"/>
  <c r="AI891" i="13"/>
  <c r="AH891" i="13"/>
  <c r="AO891" i="13"/>
  <c r="AN891" i="13"/>
  <c r="AM891" i="13"/>
  <c r="AL891" i="13"/>
  <c r="AK891" i="13"/>
  <c r="AJ891" i="13"/>
  <c r="AK898" i="13"/>
  <c r="AN898" i="13"/>
  <c r="AM898" i="13"/>
  <c r="AL898" i="13"/>
  <c r="AJ898" i="13"/>
  <c r="AI898" i="13"/>
  <c r="AH898" i="13"/>
  <c r="AJ907" i="13"/>
  <c r="AN907" i="13"/>
  <c r="AM907" i="13"/>
  <c r="AO907" i="13"/>
  <c r="AL907" i="13"/>
  <c r="AK907" i="13"/>
  <c r="AI907" i="13"/>
  <c r="AH933" i="13"/>
  <c r="Y933" i="13"/>
  <c r="Y953" i="13"/>
  <c r="AH953" i="13"/>
  <c r="AM881" i="13"/>
  <c r="AL881" i="13"/>
  <c r="AK881" i="13"/>
  <c r="AJ881" i="13"/>
  <c r="AI881" i="13"/>
  <c r="AH881" i="13"/>
  <c r="AO881" i="13"/>
  <c r="AN881" i="13"/>
  <c r="Y887" i="13"/>
  <c r="AO890" i="13"/>
  <c r="Y895" i="13"/>
  <c r="AO897" i="13"/>
  <c r="Y902" i="13"/>
  <c r="Y919" i="13"/>
  <c r="Y921" i="13"/>
  <c r="AG934" i="13"/>
  <c r="AR934" i="13"/>
  <c r="AN936" i="13"/>
  <c r="AU941" i="13"/>
  <c r="AC941" i="13"/>
  <c r="AD941" i="13" s="1"/>
  <c r="AR941" i="13"/>
  <c r="Y949" i="13"/>
  <c r="BA803" i="13"/>
  <c r="AI806" i="13"/>
  <c r="BA807" i="13"/>
  <c r="AI810" i="13"/>
  <c r="BA811" i="13"/>
  <c r="BA815" i="13"/>
  <c r="BA819" i="13"/>
  <c r="BA823" i="13"/>
  <c r="BA827" i="13"/>
  <c r="BA831" i="13"/>
  <c r="BA835" i="13"/>
  <c r="BA839" i="13"/>
  <c r="BA843" i="13"/>
  <c r="BA847" i="13"/>
  <c r="BA851" i="13"/>
  <c r="BB855" i="13"/>
  <c r="BA855" i="13"/>
  <c r="AU862" i="13"/>
  <c r="AC862" i="13"/>
  <c r="AD862" i="13" s="1"/>
  <c r="AR862" i="13"/>
  <c r="AO863" i="13"/>
  <c r="AN863" i="13"/>
  <c r="AM863" i="13"/>
  <c r="AL863" i="13"/>
  <c r="AK863" i="13"/>
  <c r="AI868" i="13"/>
  <c r="AU870" i="13"/>
  <c r="AC870" i="13"/>
  <c r="AD870" i="13" s="1"/>
  <c r="AR870" i="13"/>
  <c r="AO871" i="13"/>
  <c r="AN871" i="13"/>
  <c r="AM871" i="13"/>
  <c r="AL871" i="13"/>
  <c r="AK871" i="13"/>
  <c r="AR879" i="13"/>
  <c r="Y886" i="13"/>
  <c r="Y894" i="13"/>
  <c r="AK896" i="13"/>
  <c r="AJ896" i="13"/>
  <c r="AI896" i="13"/>
  <c r="AH896" i="13"/>
  <c r="AO896" i="13"/>
  <c r="AN896" i="13"/>
  <c r="AM896" i="13"/>
  <c r="AL896" i="13"/>
  <c r="Y905" i="13"/>
  <c r="Y911" i="13"/>
  <c r="BB916" i="13"/>
  <c r="BA916" i="13"/>
  <c r="Y937" i="13"/>
  <c r="AH937" i="13"/>
  <c r="Y954" i="13"/>
  <c r="AL856" i="13"/>
  <c r="BA856" i="13"/>
  <c r="AM858" i="13"/>
  <c r="AL858" i="13"/>
  <c r="AK858" i="13"/>
  <c r="AJ858" i="13"/>
  <c r="AI858" i="13"/>
  <c r="AM861" i="13"/>
  <c r="AK865" i="13"/>
  <c r="AJ865" i="13"/>
  <c r="AI865" i="13"/>
  <c r="AH865" i="13"/>
  <c r="AO865" i="13"/>
  <c r="AM866" i="13"/>
  <c r="AL866" i="13"/>
  <c r="AK866" i="13"/>
  <c r="AJ866" i="13"/>
  <c r="AI866" i="13"/>
  <c r="AM869" i="13"/>
  <c r="AK873" i="13"/>
  <c r="AJ873" i="13"/>
  <c r="AI873" i="13"/>
  <c r="AH873" i="13"/>
  <c r="AO873" i="13"/>
  <c r="AH875" i="13"/>
  <c r="Y879" i="13"/>
  <c r="Y884" i="13"/>
  <c r="Y885" i="13"/>
  <c r="AI887" i="13"/>
  <c r="AH887" i="13"/>
  <c r="AO887" i="13"/>
  <c r="AN887" i="13"/>
  <c r="AM887" i="13"/>
  <c r="AL887" i="13"/>
  <c r="AK887" i="13"/>
  <c r="AJ887" i="13"/>
  <c r="AI888" i="13"/>
  <c r="Y893" i="13"/>
  <c r="AI895" i="13"/>
  <c r="AH895" i="13"/>
  <c r="AO895" i="13"/>
  <c r="AN895" i="13"/>
  <c r="AM895" i="13"/>
  <c r="AL895" i="13"/>
  <c r="AK895" i="13"/>
  <c r="AJ895" i="13"/>
  <c r="Y899" i="13"/>
  <c r="BB909" i="13"/>
  <c r="BA909" i="13"/>
  <c r="AH945" i="13"/>
  <c r="Y945" i="13"/>
  <c r="Y961" i="13"/>
  <c r="AU981" i="13"/>
  <c r="AR981" i="13"/>
  <c r="AC981" i="13"/>
  <c r="AD981" i="13" s="1"/>
  <c r="Y857" i="13"/>
  <c r="Y859" i="13"/>
  <c r="Y860" i="13"/>
  <c r="Y861" i="13"/>
  <c r="Y867" i="13"/>
  <c r="Y868" i="13"/>
  <c r="Y869" i="13"/>
  <c r="AM874" i="13"/>
  <c r="AL874" i="13"/>
  <c r="AK874" i="13"/>
  <c r="AJ874" i="13"/>
  <c r="AI874" i="13"/>
  <c r="AN878" i="13"/>
  <c r="AM878" i="13"/>
  <c r="AL878" i="13"/>
  <c r="AK878" i="13"/>
  <c r="AJ878" i="13"/>
  <c r="AI878" i="13"/>
  <c r="Y883" i="13"/>
  <c r="Y892" i="13"/>
  <c r="Y901" i="13"/>
  <c r="AH902" i="13"/>
  <c r="AL902" i="13"/>
  <c r="AK902" i="13"/>
  <c r="AO902" i="13"/>
  <c r="AN902" i="13"/>
  <c r="AM902" i="13"/>
  <c r="AJ902" i="13"/>
  <c r="AI902" i="13"/>
  <c r="Y914" i="13"/>
  <c r="Y917" i="13"/>
  <c r="AH917" i="13"/>
  <c r="AJ919" i="13"/>
  <c r="AN919" i="13"/>
  <c r="AM919" i="13"/>
  <c r="AK919" i="13"/>
  <c r="AI919" i="13"/>
  <c r="AH919" i="13"/>
  <c r="AO919" i="13"/>
  <c r="Y875" i="13"/>
  <c r="AH879" i="13"/>
  <c r="AO879" i="13"/>
  <c r="AN879" i="13"/>
  <c r="AM879" i="13"/>
  <c r="AL879" i="13"/>
  <c r="AK879" i="13"/>
  <c r="Y882" i="13"/>
  <c r="Y898" i="13"/>
  <c r="AN899" i="13"/>
  <c r="AM899" i="13"/>
  <c r="AO899" i="13"/>
  <c r="AL899" i="13"/>
  <c r="AK899" i="13"/>
  <c r="AJ899" i="13"/>
  <c r="AI899" i="13"/>
  <c r="AH899" i="13"/>
  <c r="AN901" i="13"/>
  <c r="AJ901" i="13"/>
  <c r="AI901" i="13"/>
  <c r="AO901" i="13"/>
  <c r="AM901" i="13"/>
  <c r="AL901" i="13"/>
  <c r="AK901" i="13"/>
  <c r="AH901" i="13"/>
  <c r="Y903" i="13"/>
  <c r="Y907" i="13"/>
  <c r="AG908" i="13"/>
  <c r="AR908" i="13"/>
  <c r="AJ911" i="13"/>
  <c r="AN911" i="13"/>
  <c r="AM911" i="13"/>
  <c r="AH911" i="13"/>
  <c r="AO911" i="13"/>
  <c r="AL911" i="13"/>
  <c r="AK911" i="13"/>
  <c r="AJ915" i="13"/>
  <c r="AN915" i="13"/>
  <c r="AM915" i="13"/>
  <c r="AI915" i="13"/>
  <c r="AH915" i="13"/>
  <c r="AO915" i="13"/>
  <c r="AL915" i="13"/>
  <c r="AH918" i="13"/>
  <c r="AL918" i="13"/>
  <c r="AK918" i="13"/>
  <c r="AJ918" i="13"/>
  <c r="AI918" i="13"/>
  <c r="AO918" i="13"/>
  <c r="AN918" i="13"/>
  <c r="AM918" i="13"/>
  <c r="BA921" i="13"/>
  <c r="BB921" i="13"/>
  <c r="BA962" i="13"/>
  <c r="BB962" i="13"/>
  <c r="Y971" i="13"/>
  <c r="AN971" i="13"/>
  <c r="AM971" i="13"/>
  <c r="AL971" i="13"/>
  <c r="AK971" i="13"/>
  <c r="AJ971" i="13"/>
  <c r="AI971" i="13"/>
  <c r="AH971" i="13"/>
  <c r="AO971" i="13"/>
  <c r="BA859" i="13"/>
  <c r="BA863" i="13"/>
  <c r="AM864" i="13"/>
  <c r="BA867" i="13"/>
  <c r="AM868" i="13"/>
  <c r="BA871" i="13"/>
  <c r="AM872" i="13"/>
  <c r="AM876" i="13"/>
  <c r="AM880" i="13"/>
  <c r="AI882" i="13"/>
  <c r="AM884" i="13"/>
  <c r="AG885" i="13"/>
  <c r="AI886" i="13"/>
  <c r="AM888" i="13"/>
  <c r="AG889" i="13"/>
  <c r="AI890" i="13"/>
  <c r="AC891" i="13"/>
  <c r="AD891" i="13" s="1"/>
  <c r="AG893" i="13"/>
  <c r="AI894" i="13"/>
  <c r="AC895" i="13"/>
  <c r="AD895" i="13" s="1"/>
  <c r="AJ897" i="13"/>
  <c r="BA897" i="13"/>
  <c r="AU902" i="13"/>
  <c r="AL904" i="13"/>
  <c r="AH904" i="13"/>
  <c r="AO904" i="13"/>
  <c r="AI904" i="13"/>
  <c r="AK905" i="13"/>
  <c r="AU905" i="13"/>
  <c r="AL909" i="13"/>
  <c r="AK912" i="13"/>
  <c r="AM913" i="13"/>
  <c r="AM916" i="13"/>
  <c r="AC917" i="13"/>
  <c r="AD917" i="13" s="1"/>
  <c r="BA917" i="13"/>
  <c r="AJ923" i="13"/>
  <c r="Y927" i="13"/>
  <c r="AU929" i="13"/>
  <c r="AC929" i="13"/>
  <c r="AD929" i="13" s="1"/>
  <c r="AR929" i="13"/>
  <c r="Y935" i="13"/>
  <c r="AM936" i="13"/>
  <c r="AN937" i="13"/>
  <c r="AM937" i="13"/>
  <c r="AL937" i="13"/>
  <c r="AK937" i="13"/>
  <c r="AJ937" i="13"/>
  <c r="AI937" i="13"/>
  <c r="AL940" i="13"/>
  <c r="AK940" i="13"/>
  <c r="AJ940" i="13"/>
  <c r="AI940" i="13"/>
  <c r="AH940" i="13"/>
  <c r="AO940" i="13"/>
  <c r="AR942" i="13"/>
  <c r="AJ943" i="13"/>
  <c r="BA947" i="13"/>
  <c r="Y951" i="13"/>
  <c r="AM952" i="13"/>
  <c r="AN953" i="13"/>
  <c r="AM953" i="13"/>
  <c r="AL953" i="13"/>
  <c r="AK953" i="13"/>
  <c r="AJ953" i="13"/>
  <c r="AI953" i="13"/>
  <c r="AN956" i="13"/>
  <c r="AK956" i="13"/>
  <c r="AH956" i="13"/>
  <c r="AO956" i="13"/>
  <c r="AM956" i="13"/>
  <c r="AL956" i="13"/>
  <c r="AI956" i="13"/>
  <c r="AH957" i="13"/>
  <c r="AM957" i="13"/>
  <c r="AL957" i="13"/>
  <c r="AK957" i="13"/>
  <c r="AJ957" i="13"/>
  <c r="AI957" i="13"/>
  <c r="Y967" i="13"/>
  <c r="Y977" i="13"/>
  <c r="AU1015" i="13"/>
  <c r="AC1015" i="13"/>
  <c r="AD1015" i="13" s="1"/>
  <c r="AR1015" i="13"/>
  <c r="Y1067" i="13"/>
  <c r="AH1067" i="13"/>
  <c r="AN864" i="13"/>
  <c r="AN868" i="13"/>
  <c r="AN872" i="13"/>
  <c r="Z873" i="13"/>
  <c r="AN876" i="13"/>
  <c r="Z877" i="13"/>
  <c r="AN880" i="13"/>
  <c r="Z881" i="13"/>
  <c r="AJ882" i="13"/>
  <c r="AR882" i="13"/>
  <c r="AN884" i="13"/>
  <c r="AJ886" i="13"/>
  <c r="AR886" i="13"/>
  <c r="AN888" i="13"/>
  <c r="AJ890" i="13"/>
  <c r="AR890" i="13"/>
  <c r="AJ894" i="13"/>
  <c r="AR894" i="13"/>
  <c r="AK897" i="13"/>
  <c r="AL900" i="13"/>
  <c r="AH900" i="13"/>
  <c r="AO900" i="13"/>
  <c r="AI900" i="13"/>
  <c r="AU901" i="13"/>
  <c r="AL905" i="13"/>
  <c r="AM909" i="13"/>
  <c r="AM912" i="13"/>
  <c r="BA913" i="13"/>
  <c r="BA915" i="13"/>
  <c r="Y920" i="13"/>
  <c r="AN921" i="13"/>
  <c r="AM921" i="13"/>
  <c r="AK921" i="13"/>
  <c r="AJ921" i="13"/>
  <c r="AI921" i="13"/>
  <c r="AI922" i="13"/>
  <c r="BA923" i="13"/>
  <c r="Y926" i="13"/>
  <c r="Y928" i="13"/>
  <c r="AH930" i="13"/>
  <c r="AO930" i="13"/>
  <c r="AM930" i="13"/>
  <c r="AL930" i="13"/>
  <c r="AK930" i="13"/>
  <c r="AR930" i="13"/>
  <c r="AL932" i="13"/>
  <c r="AK932" i="13"/>
  <c r="AI932" i="13"/>
  <c r="AH932" i="13"/>
  <c r="AO932" i="13"/>
  <c r="AH938" i="13"/>
  <c r="AO938" i="13"/>
  <c r="AN938" i="13"/>
  <c r="AM938" i="13"/>
  <c r="AL938" i="13"/>
  <c r="AK938" i="13"/>
  <c r="Y942" i="13"/>
  <c r="AU945" i="13"/>
  <c r="AC945" i="13"/>
  <c r="AD945" i="13" s="1"/>
  <c r="AR945" i="13"/>
  <c r="Y948" i="13"/>
  <c r="AH954" i="13"/>
  <c r="AO954" i="13"/>
  <c r="AN954" i="13"/>
  <c r="AM954" i="13"/>
  <c r="AL954" i="13"/>
  <c r="AK954" i="13"/>
  <c r="AJ956" i="13"/>
  <c r="Z959" i="13"/>
  <c r="AR959" i="13"/>
  <c r="AU961" i="13"/>
  <c r="AR961" i="13"/>
  <c r="AC961" i="13"/>
  <c r="AD961" i="13" s="1"/>
  <c r="AN964" i="13"/>
  <c r="AK964" i="13"/>
  <c r="AM964" i="13"/>
  <c r="AL964" i="13"/>
  <c r="AJ964" i="13"/>
  <c r="AI964" i="13"/>
  <c r="AH964" i="13"/>
  <c r="Y966" i="13"/>
  <c r="Y979" i="13"/>
  <c r="Y984" i="13"/>
  <c r="BA858" i="13"/>
  <c r="BA862" i="13"/>
  <c r="AO864" i="13"/>
  <c r="BA866" i="13"/>
  <c r="AO868" i="13"/>
  <c r="BA870" i="13"/>
  <c r="AO872" i="13"/>
  <c r="BA874" i="13"/>
  <c r="AO876" i="13"/>
  <c r="BA878" i="13"/>
  <c r="AO880" i="13"/>
  <c r="AC882" i="13"/>
  <c r="AD882" i="13" s="1"/>
  <c r="AK882" i="13"/>
  <c r="BA882" i="13"/>
  <c r="AO884" i="13"/>
  <c r="AC886" i="13"/>
  <c r="AD886" i="13" s="1"/>
  <c r="AK886" i="13"/>
  <c r="BA886" i="13"/>
  <c r="AO888" i="13"/>
  <c r="AC890" i="13"/>
  <c r="AD890" i="13" s="1"/>
  <c r="AK890" i="13"/>
  <c r="BA890" i="13"/>
  <c r="AC894" i="13"/>
  <c r="AD894" i="13" s="1"/>
  <c r="AK894" i="13"/>
  <c r="BA894" i="13"/>
  <c r="AL897" i="13"/>
  <c r="AR898" i="13"/>
  <c r="AM905" i="13"/>
  <c r="AR919" i="13"/>
  <c r="AU919" i="13"/>
  <c r="AH921" i="13"/>
  <c r="AJ922" i="13"/>
  <c r="Y923" i="13"/>
  <c r="AJ924" i="13"/>
  <c r="AU925" i="13"/>
  <c r="AC925" i="13"/>
  <c r="AD925" i="13" s="1"/>
  <c r="AR925" i="13"/>
  <c r="BA935" i="13"/>
  <c r="Y939" i="13"/>
  <c r="AN941" i="13"/>
  <c r="AM941" i="13"/>
  <c r="AL941" i="13"/>
  <c r="AK941" i="13"/>
  <c r="AJ941" i="13"/>
  <c r="AI941" i="13"/>
  <c r="AL944" i="13"/>
  <c r="AK944" i="13"/>
  <c r="AJ944" i="13"/>
  <c r="AI944" i="13"/>
  <c r="AH944" i="13"/>
  <c r="AO944" i="13"/>
  <c r="AR946" i="13"/>
  <c r="BA951" i="13"/>
  <c r="AO953" i="13"/>
  <c r="Y955" i="13"/>
  <c r="AN957" i="13"/>
  <c r="Y960" i="13"/>
  <c r="AR857" i="13"/>
  <c r="AR861" i="13"/>
  <c r="AH864" i="13"/>
  <c r="AR865" i="13"/>
  <c r="AH868" i="13"/>
  <c r="AR869" i="13"/>
  <c r="AH872" i="13"/>
  <c r="AH876" i="13"/>
  <c r="AH880" i="13"/>
  <c r="AL882" i="13"/>
  <c r="AH884" i="13"/>
  <c r="AL886" i="13"/>
  <c r="AH888" i="13"/>
  <c r="AL890" i="13"/>
  <c r="AL894" i="13"/>
  <c r="AM897" i="13"/>
  <c r="AR899" i="13"/>
  <c r="AU899" i="13"/>
  <c r="BA908" i="13"/>
  <c r="AR913" i="13"/>
  <c r="AR915" i="13"/>
  <c r="AU915" i="13"/>
  <c r="Y916" i="13"/>
  <c r="AR916" i="13"/>
  <c r="AN917" i="13"/>
  <c r="AJ917" i="13"/>
  <c r="AI917" i="13"/>
  <c r="AR918" i="13"/>
  <c r="AL920" i="13"/>
  <c r="AK920" i="13"/>
  <c r="AH920" i="13"/>
  <c r="AO920" i="13"/>
  <c r="AJ920" i="13"/>
  <c r="AL921" i="13"/>
  <c r="Y922" i="13"/>
  <c r="AR923" i="13"/>
  <c r="Y924" i="13"/>
  <c r="AM924" i="13"/>
  <c r="AH926" i="13"/>
  <c r="AO926" i="13"/>
  <c r="AM926" i="13"/>
  <c r="AL926" i="13"/>
  <c r="AK926" i="13"/>
  <c r="AR926" i="13"/>
  <c r="AL928" i="13"/>
  <c r="AK928" i="13"/>
  <c r="AI928" i="13"/>
  <c r="AH928" i="13"/>
  <c r="AO928" i="13"/>
  <c r="AN933" i="13"/>
  <c r="AM933" i="13"/>
  <c r="AK933" i="13"/>
  <c r="AJ933" i="13"/>
  <c r="AI933" i="13"/>
  <c r="Y936" i="13"/>
  <c r="AI938" i="13"/>
  <c r="AN940" i="13"/>
  <c r="AH941" i="13"/>
  <c r="AH942" i="13"/>
  <c r="AO942" i="13"/>
  <c r="AN942" i="13"/>
  <c r="AM942" i="13"/>
  <c r="AL942" i="13"/>
  <c r="AK942" i="13"/>
  <c r="Y946" i="13"/>
  <c r="AU949" i="13"/>
  <c r="AC949" i="13"/>
  <c r="AD949" i="13" s="1"/>
  <c r="AR949" i="13"/>
  <c r="Y952" i="13"/>
  <c r="AI954" i="13"/>
  <c r="AO957" i="13"/>
  <c r="AO964" i="13"/>
  <c r="AH965" i="13"/>
  <c r="AN965" i="13"/>
  <c r="AM965" i="13"/>
  <c r="AJ965" i="13"/>
  <c r="AI965" i="13"/>
  <c r="AO965" i="13"/>
  <c r="AM967" i="13"/>
  <c r="AL967" i="13"/>
  <c r="AJ967" i="13"/>
  <c r="AI967" i="13"/>
  <c r="AH967" i="13"/>
  <c r="AO967" i="13"/>
  <c r="AN967" i="13"/>
  <c r="AK967" i="13"/>
  <c r="Y975" i="13"/>
  <c r="AN975" i="13"/>
  <c r="AM975" i="13"/>
  <c r="AL975" i="13"/>
  <c r="AK975" i="13"/>
  <c r="AJ975" i="13"/>
  <c r="AI975" i="13"/>
  <c r="AH975" i="13"/>
  <c r="Y1003" i="13"/>
  <c r="AH1003" i="13"/>
  <c r="AM882" i="13"/>
  <c r="AM886" i="13"/>
  <c r="AM890" i="13"/>
  <c r="AM894" i="13"/>
  <c r="AN897" i="13"/>
  <c r="AR909" i="13"/>
  <c r="AR911" i="13"/>
  <c r="AU911" i="13"/>
  <c r="Y912" i="13"/>
  <c r="AR912" i="13"/>
  <c r="AN913" i="13"/>
  <c r="AJ913" i="13"/>
  <c r="AI913" i="13"/>
  <c r="AR914" i="13"/>
  <c r="AU921" i="13"/>
  <c r="AC921" i="13"/>
  <c r="AD921" i="13" s="1"/>
  <c r="AR921" i="13"/>
  <c r="BA939" i="13"/>
  <c r="Y943" i="13"/>
  <c r="AN945" i="13"/>
  <c r="AM945" i="13"/>
  <c r="AL945" i="13"/>
  <c r="AK945" i="13"/>
  <c r="AJ945" i="13"/>
  <c r="AI945" i="13"/>
  <c r="AL948" i="13"/>
  <c r="AK948" i="13"/>
  <c r="AJ948" i="13"/>
  <c r="AI948" i="13"/>
  <c r="AH948" i="13"/>
  <c r="AO948" i="13"/>
  <c r="BA955" i="13"/>
  <c r="AN960" i="13"/>
  <c r="AK960" i="13"/>
  <c r="AO960" i="13"/>
  <c r="AM960" i="13"/>
  <c r="AL960" i="13"/>
  <c r="AJ960" i="13"/>
  <c r="AI960" i="13"/>
  <c r="AO961" i="13"/>
  <c r="AL966" i="13"/>
  <c r="Y969" i="13"/>
  <c r="Y983" i="13"/>
  <c r="AH983" i="13"/>
  <c r="AN882" i="13"/>
  <c r="AN886" i="13"/>
  <c r="AN890" i="13"/>
  <c r="AN894" i="13"/>
  <c r="AR905" i="13"/>
  <c r="AR907" i="13"/>
  <c r="AU907" i="13"/>
  <c r="Y908" i="13"/>
  <c r="AN909" i="13"/>
  <c r="AJ909" i="13"/>
  <c r="AI909" i="13"/>
  <c r="AR910" i="13"/>
  <c r="AL916" i="13"/>
  <c r="AH916" i="13"/>
  <c r="AO916" i="13"/>
  <c r="AI916" i="13"/>
  <c r="AH922" i="13"/>
  <c r="AO922" i="13"/>
  <c r="AM922" i="13"/>
  <c r="AL922" i="13"/>
  <c r="AK922" i="13"/>
  <c r="AR922" i="13"/>
  <c r="AL924" i="13"/>
  <c r="AK924" i="13"/>
  <c r="AI924" i="13"/>
  <c r="AH924" i="13"/>
  <c r="AO924" i="13"/>
  <c r="AN929" i="13"/>
  <c r="AM929" i="13"/>
  <c r="AK929" i="13"/>
  <c r="AJ929" i="13"/>
  <c r="AI929" i="13"/>
  <c r="Y934" i="13"/>
  <c r="AU937" i="13"/>
  <c r="AC937" i="13"/>
  <c r="AD937" i="13" s="1"/>
  <c r="AR937" i="13"/>
  <c r="Y940" i="13"/>
  <c r="AH946" i="13"/>
  <c r="AO946" i="13"/>
  <c r="AN946" i="13"/>
  <c r="AM946" i="13"/>
  <c r="AL946" i="13"/>
  <c r="AK946" i="13"/>
  <c r="Y950" i="13"/>
  <c r="AU953" i="13"/>
  <c r="AC953" i="13"/>
  <c r="AD953" i="13" s="1"/>
  <c r="AR953" i="13"/>
  <c r="Y957" i="13"/>
  <c r="AR963" i="13"/>
  <c r="AC963" i="13"/>
  <c r="AD963" i="13" s="1"/>
  <c r="AU963" i="13"/>
  <c r="AR969" i="13"/>
  <c r="AU969" i="13"/>
  <c r="AC969" i="13"/>
  <c r="AD969" i="13" s="1"/>
  <c r="BB1022" i="13"/>
  <c r="BA1022" i="13"/>
  <c r="AI897" i="13"/>
  <c r="AR901" i="13"/>
  <c r="AR903" i="13"/>
  <c r="AU903" i="13"/>
  <c r="Y904" i="13"/>
  <c r="AN905" i="13"/>
  <c r="AJ905" i="13"/>
  <c r="AI905" i="13"/>
  <c r="AR906" i="13"/>
  <c r="AH909" i="13"/>
  <c r="AL912" i="13"/>
  <c r="AH912" i="13"/>
  <c r="AO912" i="13"/>
  <c r="AI912" i="13"/>
  <c r="AJ916" i="13"/>
  <c r="Y931" i="13"/>
  <c r="AU933" i="13"/>
  <c r="AC933" i="13"/>
  <c r="AD933" i="13" s="1"/>
  <c r="AR933" i="13"/>
  <c r="AL936" i="13"/>
  <c r="AK936" i="13"/>
  <c r="AJ936" i="13"/>
  <c r="AI936" i="13"/>
  <c r="AH936" i="13"/>
  <c r="AO936" i="13"/>
  <c r="Y947" i="13"/>
  <c r="AN949" i="13"/>
  <c r="AM949" i="13"/>
  <c r="AL949" i="13"/>
  <c r="AK949" i="13"/>
  <c r="AJ949" i="13"/>
  <c r="AI949" i="13"/>
  <c r="AL952" i="13"/>
  <c r="AK952" i="13"/>
  <c r="AJ952" i="13"/>
  <c r="AI952" i="13"/>
  <c r="AH952" i="13"/>
  <c r="AO952" i="13"/>
  <c r="AJ962" i="13"/>
  <c r="AO962" i="13"/>
  <c r="AN962" i="13"/>
  <c r="AM962" i="13"/>
  <c r="AL962" i="13"/>
  <c r="AK962" i="13"/>
  <c r="AI962" i="13"/>
  <c r="BB998" i="13"/>
  <c r="BA998" i="13"/>
  <c r="AM923" i="13"/>
  <c r="AU923" i="13"/>
  <c r="AM927" i="13"/>
  <c r="AU927" i="13"/>
  <c r="AM931" i="13"/>
  <c r="AU931" i="13"/>
  <c r="AM935" i="13"/>
  <c r="AU935" i="13"/>
  <c r="AM939" i="13"/>
  <c r="AU939" i="13"/>
  <c r="AM943" i="13"/>
  <c r="AU943" i="13"/>
  <c r="AM947" i="13"/>
  <c r="AU947" i="13"/>
  <c r="AM951" i="13"/>
  <c r="AU951" i="13"/>
  <c r="AM955" i="13"/>
  <c r="AU955" i="13"/>
  <c r="BA957" i="13"/>
  <c r="AL958" i="13"/>
  <c r="AN961" i="13"/>
  <c r="AN963" i="13"/>
  <c r="AR966" i="13"/>
  <c r="AK966" i="13"/>
  <c r="BA966" i="13"/>
  <c r="Y973" i="13"/>
  <c r="AL978" i="13"/>
  <c r="AK978" i="13"/>
  <c r="AJ978" i="13"/>
  <c r="AI978" i="13"/>
  <c r="AH978" i="13"/>
  <c r="AO978" i="13"/>
  <c r="AN978" i="13"/>
  <c r="AM978" i="13"/>
  <c r="Y980" i="13"/>
  <c r="Y996" i="13"/>
  <c r="Y1002" i="13"/>
  <c r="Y1008" i="13"/>
  <c r="AH1012" i="13"/>
  <c r="AN1012" i="13"/>
  <c r="AM1012" i="13"/>
  <c r="AL1012" i="13"/>
  <c r="AK1012" i="13"/>
  <c r="AO1012" i="13"/>
  <c r="AJ1012" i="13"/>
  <c r="AI1012" i="13"/>
  <c r="AN923" i="13"/>
  <c r="AN927" i="13"/>
  <c r="AN931" i="13"/>
  <c r="AN935" i="13"/>
  <c r="Z936" i="13"/>
  <c r="AN939" i="13"/>
  <c r="Z940" i="13"/>
  <c r="AN943" i="13"/>
  <c r="Z944" i="13"/>
  <c r="AN947" i="13"/>
  <c r="Z948" i="13"/>
  <c r="AN951" i="13"/>
  <c r="Z952" i="13"/>
  <c r="AN955" i="13"/>
  <c r="AR957" i="13"/>
  <c r="Y958" i="13"/>
  <c r="AL959" i="13"/>
  <c r="AI959" i="13"/>
  <c r="BA959" i="13"/>
  <c r="AU960" i="13"/>
  <c r="AR964" i="13"/>
  <c r="AC965" i="13"/>
  <c r="AD965" i="13" s="1"/>
  <c r="AL974" i="13"/>
  <c r="AK974" i="13"/>
  <c r="AJ974" i="13"/>
  <c r="AI974" i="13"/>
  <c r="AH974" i="13"/>
  <c r="AO974" i="13"/>
  <c r="AN974" i="13"/>
  <c r="AM974" i="13"/>
  <c r="Y976" i="13"/>
  <c r="AR980" i="13"/>
  <c r="AO983" i="13"/>
  <c r="AN988" i="13"/>
  <c r="AK988" i="13"/>
  <c r="AH988" i="13"/>
  <c r="AO988" i="13"/>
  <c r="AM988" i="13"/>
  <c r="AL988" i="13"/>
  <c r="AJ988" i="13"/>
  <c r="Y999" i="13"/>
  <c r="BB1006" i="13"/>
  <c r="BA1006" i="13"/>
  <c r="Y1011" i="13"/>
  <c r="AH1011" i="13"/>
  <c r="Y1051" i="13"/>
  <c r="AH1051" i="13"/>
  <c r="AO923" i="13"/>
  <c r="AO927" i="13"/>
  <c r="AO931" i="13"/>
  <c r="AO935" i="13"/>
  <c r="BA937" i="13"/>
  <c r="AO939" i="13"/>
  <c r="BA941" i="13"/>
  <c r="AO943" i="13"/>
  <c r="BA945" i="13"/>
  <c r="AO947" i="13"/>
  <c r="BA949" i="13"/>
  <c r="AO951" i="13"/>
  <c r="BA953" i="13"/>
  <c r="AO955" i="13"/>
  <c r="AJ966" i="13"/>
  <c r="AH966" i="13"/>
  <c r="AO966" i="13"/>
  <c r="AN966" i="13"/>
  <c r="AM966" i="13"/>
  <c r="AU967" i="13"/>
  <c r="AR967" i="13"/>
  <c r="AO968" i="13"/>
  <c r="AN968" i="13"/>
  <c r="AL968" i="13"/>
  <c r="AK968" i="13"/>
  <c r="AJ968" i="13"/>
  <c r="AI969" i="13"/>
  <c r="AL970" i="13"/>
  <c r="AK970" i="13"/>
  <c r="AJ970" i="13"/>
  <c r="AI970" i="13"/>
  <c r="AH970" i="13"/>
  <c r="AO970" i="13"/>
  <c r="AN970" i="13"/>
  <c r="AM970" i="13"/>
  <c r="Y972" i="13"/>
  <c r="Y992" i="13"/>
  <c r="Y1022" i="13"/>
  <c r="AH935" i="13"/>
  <c r="AH939" i="13"/>
  <c r="AH943" i="13"/>
  <c r="AH947" i="13"/>
  <c r="AH951" i="13"/>
  <c r="AH955" i="13"/>
  <c r="AH961" i="13"/>
  <c r="AM961" i="13"/>
  <c r="Y962" i="13"/>
  <c r="AL963" i="13"/>
  <c r="AI963" i="13"/>
  <c r="BA963" i="13"/>
  <c r="AU964" i="13"/>
  <c r="AN980" i="13"/>
  <c r="AJ980" i="13"/>
  <c r="AI980" i="13"/>
  <c r="AH980" i="13"/>
  <c r="AO980" i="13"/>
  <c r="AM980" i="13"/>
  <c r="AL980" i="13"/>
  <c r="Y995" i="13"/>
  <c r="AH995" i="13"/>
  <c r="Y1004" i="13"/>
  <c r="Y1010" i="13"/>
  <c r="BA1017" i="13"/>
  <c r="BB1017" i="13"/>
  <c r="BA920" i="13"/>
  <c r="AI923" i="13"/>
  <c r="BA924" i="13"/>
  <c r="AI927" i="13"/>
  <c r="BA928" i="13"/>
  <c r="AI931" i="13"/>
  <c r="BA932" i="13"/>
  <c r="AI935" i="13"/>
  <c r="BA936" i="13"/>
  <c r="AI939" i="13"/>
  <c r="BA940" i="13"/>
  <c r="AI943" i="13"/>
  <c r="BA944" i="13"/>
  <c r="AI947" i="13"/>
  <c r="BA948" i="13"/>
  <c r="AI951" i="13"/>
  <c r="BA952" i="13"/>
  <c r="AI955" i="13"/>
  <c r="AJ958" i="13"/>
  <c r="AO958" i="13"/>
  <c r="AR962" i="13"/>
  <c r="AH976" i="13"/>
  <c r="AO976" i="13"/>
  <c r="AN976" i="13"/>
  <c r="AM976" i="13"/>
  <c r="AL976" i="13"/>
  <c r="AK976" i="13"/>
  <c r="AJ976" i="13"/>
  <c r="AU979" i="13"/>
  <c r="AC979" i="13"/>
  <c r="AD979" i="13" s="1"/>
  <c r="AR979" i="13"/>
  <c r="Y1007" i="13"/>
  <c r="AH958" i="13"/>
  <c r="AJ961" i="13"/>
  <c r="AC967" i="13"/>
  <c r="AD967" i="13" s="1"/>
  <c r="AH968" i="13"/>
  <c r="AH972" i="13"/>
  <c r="AO972" i="13"/>
  <c r="AN972" i="13"/>
  <c r="AM972" i="13"/>
  <c r="AL972" i="13"/>
  <c r="AK972" i="13"/>
  <c r="AJ972" i="13"/>
  <c r="AU975" i="13"/>
  <c r="AC975" i="13"/>
  <c r="AD975" i="13" s="1"/>
  <c r="AR975" i="13"/>
  <c r="Y978" i="13"/>
  <c r="AN979" i="13"/>
  <c r="AM979" i="13"/>
  <c r="AL979" i="13"/>
  <c r="AK979" i="13"/>
  <c r="AJ979" i="13"/>
  <c r="AI979" i="13"/>
  <c r="AH979" i="13"/>
  <c r="AC984" i="13"/>
  <c r="AD984" i="13" s="1"/>
  <c r="AU984" i="13"/>
  <c r="AR984" i="13"/>
  <c r="Y985" i="13"/>
  <c r="Y991" i="13"/>
  <c r="Y994" i="13"/>
  <c r="Y1000" i="13"/>
  <c r="Y1012" i="13"/>
  <c r="AH1015" i="13"/>
  <c r="Y1015" i="13"/>
  <c r="AR968" i="13"/>
  <c r="AL969" i="13"/>
  <c r="AR972" i="13"/>
  <c r="AL973" i="13"/>
  <c r="AR976" i="13"/>
  <c r="AL977" i="13"/>
  <c r="AC980" i="13"/>
  <c r="AD980" i="13" s="1"/>
  <c r="AU980" i="13"/>
  <c r="AK981" i="13"/>
  <c r="BA982" i="13"/>
  <c r="AJ983" i="13"/>
  <c r="AM984" i="13"/>
  <c r="AG985" i="13"/>
  <c r="Y986" i="13"/>
  <c r="AM986" i="13"/>
  <c r="AL987" i="13"/>
  <c r="AI987" i="13"/>
  <c r="BA987" i="13"/>
  <c r="AN990" i="13"/>
  <c r="BA990" i="13"/>
  <c r="AN991" i="13"/>
  <c r="AR993" i="13"/>
  <c r="AG993" i="13"/>
  <c r="AR994" i="13"/>
  <c r="AK994" i="13"/>
  <c r="AJ996" i="13"/>
  <c r="AJ999" i="13"/>
  <c r="AR1001" i="13"/>
  <c r="AG1001" i="13"/>
  <c r="AR1002" i="13"/>
  <c r="AK1002" i="13"/>
  <c r="AJ1004" i="13"/>
  <c r="AJ1007" i="13"/>
  <c r="AR1009" i="13"/>
  <c r="AG1009" i="13"/>
  <c r="AR1010" i="13"/>
  <c r="AK1010" i="13"/>
  <c r="AL1014" i="13"/>
  <c r="AK1014" i="13"/>
  <c r="AJ1014" i="13"/>
  <c r="AI1014" i="13"/>
  <c r="AH1014" i="13"/>
  <c r="AO1014" i="13"/>
  <c r="BB1018" i="13"/>
  <c r="BA1018" i="13"/>
  <c r="AO1018" i="13"/>
  <c r="Y1025" i="13"/>
  <c r="AO1028" i="13"/>
  <c r="AK1035" i="13"/>
  <c r="AI1035" i="13"/>
  <c r="AH1035" i="13"/>
  <c r="AO1035" i="13"/>
  <c r="AN1035" i="13"/>
  <c r="AM1035" i="13"/>
  <c r="AL1035" i="13"/>
  <c r="AJ1035" i="13"/>
  <c r="AN1072" i="13"/>
  <c r="AM1072" i="13"/>
  <c r="AK1072" i="13"/>
  <c r="AJ1072" i="13"/>
  <c r="AH1072" i="13"/>
  <c r="AI1072" i="13"/>
  <c r="AO1072" i="13"/>
  <c r="AL1072" i="13"/>
  <c r="AM969" i="13"/>
  <c r="AM973" i="13"/>
  <c r="AU973" i="13"/>
  <c r="AM977" i="13"/>
  <c r="AU977" i="13"/>
  <c r="AL981" i="13"/>
  <c r="AJ982" i="13"/>
  <c r="AO982" i="13"/>
  <c r="AK983" i="13"/>
  <c r="AR986" i="13"/>
  <c r="AH987" i="13"/>
  <c r="BA989" i="13"/>
  <c r="BA994" i="13"/>
  <c r="AR995" i="13"/>
  <c r="AL996" i="13"/>
  <c r="Y997" i="13"/>
  <c r="AM999" i="13"/>
  <c r="BA1002" i="13"/>
  <c r="AR1003" i="13"/>
  <c r="AL1004" i="13"/>
  <c r="Y1005" i="13"/>
  <c r="AM1007" i="13"/>
  <c r="BA1010" i="13"/>
  <c r="Y1020" i="13"/>
  <c r="Y1031" i="13"/>
  <c r="Y1044" i="13"/>
  <c r="AM1057" i="13"/>
  <c r="AK1057" i="13"/>
  <c r="AJ1057" i="13"/>
  <c r="AH1057" i="13"/>
  <c r="AO1057" i="13"/>
  <c r="AN1057" i="13"/>
  <c r="AL1057" i="13"/>
  <c r="AI1057" i="13"/>
  <c r="AN969" i="13"/>
  <c r="AN973" i="13"/>
  <c r="AN977" i="13"/>
  <c r="AM981" i="13"/>
  <c r="AM983" i="13"/>
  <c r="AH989" i="13"/>
  <c r="AM989" i="13"/>
  <c r="AR989" i="13"/>
  <c r="Y990" i="13"/>
  <c r="AU992" i="13"/>
  <c r="AC992" i="13"/>
  <c r="AD992" i="13" s="1"/>
  <c r="AH992" i="13"/>
  <c r="AN992" i="13"/>
  <c r="AM992" i="13"/>
  <c r="AK992" i="13"/>
  <c r="AL994" i="13"/>
  <c r="AJ994" i="13"/>
  <c r="AI994" i="13"/>
  <c r="AO994" i="13"/>
  <c r="AN994" i="13"/>
  <c r="AN995" i="13"/>
  <c r="AL995" i="13"/>
  <c r="AK995" i="13"/>
  <c r="AI995" i="13"/>
  <c r="AU995" i="13"/>
  <c r="AU1000" i="13"/>
  <c r="AC1000" i="13"/>
  <c r="AD1000" i="13" s="1"/>
  <c r="AH1000" i="13"/>
  <c r="AN1000" i="13"/>
  <c r="AM1000" i="13"/>
  <c r="AK1000" i="13"/>
  <c r="AL1002" i="13"/>
  <c r="AJ1002" i="13"/>
  <c r="AI1002" i="13"/>
  <c r="AO1002" i="13"/>
  <c r="AN1002" i="13"/>
  <c r="AN1003" i="13"/>
  <c r="AL1003" i="13"/>
  <c r="AK1003" i="13"/>
  <c r="AI1003" i="13"/>
  <c r="AU1003" i="13"/>
  <c r="AU1008" i="13"/>
  <c r="AC1008" i="13"/>
  <c r="AD1008" i="13" s="1"/>
  <c r="AH1008" i="13"/>
  <c r="AN1008" i="13"/>
  <c r="AM1008" i="13"/>
  <c r="AK1008" i="13"/>
  <c r="AL1010" i="13"/>
  <c r="AJ1010" i="13"/>
  <c r="AI1010" i="13"/>
  <c r="AO1010" i="13"/>
  <c r="AN1010" i="13"/>
  <c r="AC1011" i="13"/>
  <c r="AD1011" i="13" s="1"/>
  <c r="AR1011" i="13"/>
  <c r="AN1011" i="13"/>
  <c r="AL1011" i="13"/>
  <c r="AK1011" i="13"/>
  <c r="AJ1011" i="13"/>
  <c r="AI1011" i="13"/>
  <c r="Y1013" i="13"/>
  <c r="AK1015" i="13"/>
  <c r="AO1015" i="13"/>
  <c r="AN1015" i="13"/>
  <c r="AM1015" i="13"/>
  <c r="AL1015" i="13"/>
  <c r="AJ1015" i="13"/>
  <c r="AI1015" i="13"/>
  <c r="Y1032" i="13"/>
  <c r="AO969" i="13"/>
  <c r="BA971" i="13"/>
  <c r="AO973" i="13"/>
  <c r="BA975" i="13"/>
  <c r="AO977" i="13"/>
  <c r="BA979" i="13"/>
  <c r="AN984" i="13"/>
  <c r="AK984" i="13"/>
  <c r="AJ986" i="13"/>
  <c r="AO986" i="13"/>
  <c r="Y998" i="13"/>
  <c r="AH998" i="13"/>
  <c r="Y1006" i="13"/>
  <c r="AH1006" i="13"/>
  <c r="AU1012" i="13"/>
  <c r="AC1012" i="13"/>
  <c r="AD1012" i="13" s="1"/>
  <c r="AR1021" i="13"/>
  <c r="Z1021" i="13"/>
  <c r="AU1032" i="13"/>
  <c r="AC1032" i="13"/>
  <c r="AD1032" i="13" s="1"/>
  <c r="AR1032" i="13"/>
  <c r="AO1033" i="13"/>
  <c r="AM1033" i="13"/>
  <c r="AL1033" i="13"/>
  <c r="AK1033" i="13"/>
  <c r="AJ1033" i="13"/>
  <c r="AN1033" i="13"/>
  <c r="AI1033" i="13"/>
  <c r="AH1033" i="13"/>
  <c r="BB1034" i="13"/>
  <c r="BA1034" i="13"/>
  <c r="AC1056" i="13"/>
  <c r="AD1056" i="13" s="1"/>
  <c r="AR1056" i="13"/>
  <c r="AU1056" i="13"/>
  <c r="Y1060" i="13"/>
  <c r="AH969" i="13"/>
  <c r="AH973" i="13"/>
  <c r="AH977" i="13"/>
  <c r="AK982" i="13"/>
  <c r="AH984" i="13"/>
  <c r="AH986" i="13"/>
  <c r="AM987" i="13"/>
  <c r="AJ989" i="13"/>
  <c r="AL991" i="13"/>
  <c r="AK991" i="13"/>
  <c r="AI991" i="13"/>
  <c r="AR991" i="13"/>
  <c r="AJ992" i="13"/>
  <c r="AJ995" i="13"/>
  <c r="AR997" i="13"/>
  <c r="AG997" i="13"/>
  <c r="AR998" i="13"/>
  <c r="AK998" i="13"/>
  <c r="AJ1000" i="13"/>
  <c r="AJ1003" i="13"/>
  <c r="AR1005" i="13"/>
  <c r="AG1005" i="13"/>
  <c r="AR1006" i="13"/>
  <c r="AK1006" i="13"/>
  <c r="AJ1008" i="13"/>
  <c r="BA1013" i="13"/>
  <c r="AM1016" i="13"/>
  <c r="AN1016" i="13"/>
  <c r="AL1016" i="13"/>
  <c r="AK1016" i="13"/>
  <c r="AJ1016" i="13"/>
  <c r="AI1016" i="13"/>
  <c r="AH1016" i="13"/>
  <c r="AM1020" i="13"/>
  <c r="AI1020" i="13"/>
  <c r="AH1020" i="13"/>
  <c r="AO1020" i="13"/>
  <c r="AN1020" i="13"/>
  <c r="AL1020" i="13"/>
  <c r="AK1020" i="13"/>
  <c r="AO1021" i="13"/>
  <c r="AK1021" i="13"/>
  <c r="AJ1021" i="13"/>
  <c r="AN1021" i="13"/>
  <c r="AM1021" i="13"/>
  <c r="AL1021" i="13"/>
  <c r="Y1023" i="13"/>
  <c r="Y1024" i="13"/>
  <c r="AR1030" i="13"/>
  <c r="Z1030" i="13"/>
  <c r="Y1052" i="13"/>
  <c r="AH981" i="13"/>
  <c r="BA981" i="13"/>
  <c r="AI984" i="13"/>
  <c r="AI986" i="13"/>
  <c r="AJ990" i="13"/>
  <c r="AI990" i="13"/>
  <c r="AO990" i="13"/>
  <c r="AK990" i="13"/>
  <c r="AU991" i="13"/>
  <c r="Y993" i="13"/>
  <c r="AR999" i="13"/>
  <c r="Y1001" i="13"/>
  <c r="AR1007" i="13"/>
  <c r="Y1009" i="13"/>
  <c r="AR1013" i="13"/>
  <c r="AG1013" i="13"/>
  <c r="Y1014" i="13"/>
  <c r="AO1016" i="13"/>
  <c r="AJ1020" i="13"/>
  <c r="AH1021" i="13"/>
  <c r="AM1024" i="13"/>
  <c r="AK1024" i="13"/>
  <c r="AJ1024" i="13"/>
  <c r="AI1024" i="13"/>
  <c r="AH1024" i="13"/>
  <c r="AO1024" i="13"/>
  <c r="AN1024" i="13"/>
  <c r="AL1024" i="13"/>
  <c r="Y1026" i="13"/>
  <c r="Y1040" i="13"/>
  <c r="AU1045" i="13"/>
  <c r="AC1045" i="13"/>
  <c r="AD1045" i="13" s="1"/>
  <c r="AR1045" i="13"/>
  <c r="Y982" i="13"/>
  <c r="AL983" i="13"/>
  <c r="AI983" i="13"/>
  <c r="BA983" i="13"/>
  <c r="AK986" i="13"/>
  <c r="AU996" i="13"/>
  <c r="AC996" i="13"/>
  <c r="AD996" i="13" s="1"/>
  <c r="AH996" i="13"/>
  <c r="AN996" i="13"/>
  <c r="AM996" i="13"/>
  <c r="AK996" i="13"/>
  <c r="AL998" i="13"/>
  <c r="AJ998" i="13"/>
  <c r="AI998" i="13"/>
  <c r="AO998" i="13"/>
  <c r="AN998" i="13"/>
  <c r="AN999" i="13"/>
  <c r="AL999" i="13"/>
  <c r="AK999" i="13"/>
  <c r="AI999" i="13"/>
  <c r="AU999" i="13"/>
  <c r="AU1004" i="13"/>
  <c r="AC1004" i="13"/>
  <c r="AD1004" i="13" s="1"/>
  <c r="AH1004" i="13"/>
  <c r="AN1004" i="13"/>
  <c r="AM1004" i="13"/>
  <c r="AK1004" i="13"/>
  <c r="AL1006" i="13"/>
  <c r="AJ1006" i="13"/>
  <c r="AI1006" i="13"/>
  <c r="AO1006" i="13"/>
  <c r="AN1006" i="13"/>
  <c r="AN1007" i="13"/>
  <c r="AL1007" i="13"/>
  <c r="AK1007" i="13"/>
  <c r="AI1007" i="13"/>
  <c r="AU1007" i="13"/>
  <c r="AR1012" i="13"/>
  <c r="AR1029" i="13"/>
  <c r="Z1029" i="13"/>
  <c r="BB1015" i="13"/>
  <c r="Z1017" i="13"/>
  <c r="AN1018" i="13"/>
  <c r="Z1019" i="13"/>
  <c r="AJ1019" i="13"/>
  <c r="Y1027" i="13"/>
  <c r="AU1028" i="13"/>
  <c r="AC1028" i="13"/>
  <c r="AD1028" i="13" s="1"/>
  <c r="AR1028" i="13"/>
  <c r="AO1029" i="13"/>
  <c r="AM1029" i="13"/>
  <c r="AL1029" i="13"/>
  <c r="AK1029" i="13"/>
  <c r="AJ1029" i="13"/>
  <c r="AK1031" i="13"/>
  <c r="AI1031" i="13"/>
  <c r="AH1031" i="13"/>
  <c r="AO1031" i="13"/>
  <c r="AN1031" i="13"/>
  <c r="Y1037" i="13"/>
  <c r="Y1038" i="13"/>
  <c r="Y1039" i="13"/>
  <c r="AC1048" i="13"/>
  <c r="AD1048" i="13" s="1"/>
  <c r="AR1048" i="13"/>
  <c r="AM1049" i="13"/>
  <c r="AK1049" i="13"/>
  <c r="AJ1049" i="13"/>
  <c r="AH1049" i="13"/>
  <c r="AO1049" i="13"/>
  <c r="AN1049" i="13"/>
  <c r="AL1049" i="13"/>
  <c r="AI1049" i="13"/>
  <c r="AK1056" i="13"/>
  <c r="AI1056" i="13"/>
  <c r="AH1056" i="13"/>
  <c r="AN1056" i="13"/>
  <c r="AO1056" i="13"/>
  <c r="AM1056" i="13"/>
  <c r="AL1056" i="13"/>
  <c r="AJ1056" i="13"/>
  <c r="AU1061" i="13"/>
  <c r="AC1061" i="13"/>
  <c r="AD1061" i="13" s="1"/>
  <c r="AR1061" i="13"/>
  <c r="Y1066" i="13"/>
  <c r="AL1066" i="13"/>
  <c r="Y1068" i="13"/>
  <c r="AH1068" i="13"/>
  <c r="Y1070" i="13"/>
  <c r="AH1070" i="13"/>
  <c r="AR1016" i="13"/>
  <c r="AK1023" i="13"/>
  <c r="AH1023" i="13"/>
  <c r="AO1023" i="13"/>
  <c r="AN1023" i="13"/>
  <c r="AJ1023" i="13"/>
  <c r="AI1034" i="13"/>
  <c r="AU1040" i="13"/>
  <c r="AC1040" i="13"/>
  <c r="AD1040" i="13" s="1"/>
  <c r="AM1045" i="13"/>
  <c r="AK1045" i="13"/>
  <c r="AJ1045" i="13"/>
  <c r="AH1045" i="13"/>
  <c r="AO1045" i="13"/>
  <c r="AN1045" i="13"/>
  <c r="AL1045" i="13"/>
  <c r="AO1061" i="13"/>
  <c r="Y1084" i="13"/>
  <c r="AH1084" i="13"/>
  <c r="BA991" i="13"/>
  <c r="BA995" i="13"/>
  <c r="BA999" i="13"/>
  <c r="BA1003" i="13"/>
  <c r="BA1007" i="13"/>
  <c r="BA1011" i="13"/>
  <c r="AC1018" i="13"/>
  <c r="AD1018" i="13" s="1"/>
  <c r="AI1022" i="13"/>
  <c r="AN1022" i="13"/>
  <c r="AM1022" i="13"/>
  <c r="AL1022" i="13"/>
  <c r="AL1023" i="13"/>
  <c r="AU1024" i="13"/>
  <c r="AC1024" i="13"/>
  <c r="AD1024" i="13" s="1"/>
  <c r="AR1024" i="13"/>
  <c r="AO1025" i="13"/>
  <c r="AM1025" i="13"/>
  <c r="AL1025" i="13"/>
  <c r="AK1025" i="13"/>
  <c r="AJ1025" i="13"/>
  <c r="Z1025" i="13"/>
  <c r="AK1027" i="13"/>
  <c r="AI1027" i="13"/>
  <c r="AH1027" i="13"/>
  <c r="AO1027" i="13"/>
  <c r="AN1027" i="13"/>
  <c r="Y1036" i="13"/>
  <c r="AO1041" i="13"/>
  <c r="AO1042" i="13"/>
  <c r="AM1042" i="13"/>
  <c r="AL1042" i="13"/>
  <c r="AJ1042" i="13"/>
  <c r="AK1042" i="13"/>
  <c r="AI1042" i="13"/>
  <c r="AH1042" i="13"/>
  <c r="AK1048" i="13"/>
  <c r="AI1048" i="13"/>
  <c r="AH1048" i="13"/>
  <c r="AN1048" i="13"/>
  <c r="AO1048" i="13"/>
  <c r="AM1048" i="13"/>
  <c r="AL1048" i="13"/>
  <c r="AJ1048" i="13"/>
  <c r="AU1053" i="13"/>
  <c r="AC1053" i="13"/>
  <c r="AD1053" i="13" s="1"/>
  <c r="AR1053" i="13"/>
  <c r="BB1055" i="13"/>
  <c r="BA1055" i="13"/>
  <c r="AO1058" i="13"/>
  <c r="AM1058" i="13"/>
  <c r="AL1058" i="13"/>
  <c r="AJ1058" i="13"/>
  <c r="AK1058" i="13"/>
  <c r="AI1058" i="13"/>
  <c r="AH1058" i="13"/>
  <c r="Y1063" i="13"/>
  <c r="Y1017" i="13"/>
  <c r="Y1019" i="13"/>
  <c r="AC1020" i="13"/>
  <c r="AD1020" i="13" s="1"/>
  <c r="AH1022" i="13"/>
  <c r="AM1023" i="13"/>
  <c r="AH1029" i="13"/>
  <c r="AI1030" i="13"/>
  <c r="AM1032" i="13"/>
  <c r="AK1032" i="13"/>
  <c r="AJ1032" i="13"/>
  <c r="AI1032" i="13"/>
  <c r="AH1032" i="13"/>
  <c r="Y1033" i="13"/>
  <c r="Y1034" i="13"/>
  <c r="AU1036" i="13"/>
  <c r="AC1036" i="13"/>
  <c r="AD1036" i="13" s="1"/>
  <c r="AR1036" i="13"/>
  <c r="AH1037" i="13"/>
  <c r="AK1037" i="13"/>
  <c r="AJ1037" i="13"/>
  <c r="AI1037" i="13"/>
  <c r="AO1037" i="13"/>
  <c r="AN1037" i="13"/>
  <c r="AM1037" i="13"/>
  <c r="AJ1038" i="13"/>
  <c r="AK1038" i="13"/>
  <c r="AI1038" i="13"/>
  <c r="AH1038" i="13"/>
  <c r="AO1038" i="13"/>
  <c r="AN1038" i="13"/>
  <c r="AM1038" i="13"/>
  <c r="AL1039" i="13"/>
  <c r="AI1039" i="13"/>
  <c r="AH1039" i="13"/>
  <c r="AO1039" i="13"/>
  <c r="AN1039" i="13"/>
  <c r="AM1039" i="13"/>
  <c r="AK1039" i="13"/>
  <c r="AN1042" i="13"/>
  <c r="AO1053" i="13"/>
  <c r="Y1057" i="13"/>
  <c r="AN1058" i="13"/>
  <c r="AN1064" i="13"/>
  <c r="AH1064" i="13"/>
  <c r="AM1064" i="13"/>
  <c r="AO1064" i="13"/>
  <c r="AK1064" i="13"/>
  <c r="AJ1064" i="13"/>
  <c r="AL1064" i="13"/>
  <c r="AI1064" i="13"/>
  <c r="BB1066" i="13"/>
  <c r="BA1014" i="13"/>
  <c r="AI1018" i="13"/>
  <c r="AM1018" i="13"/>
  <c r="AL1018" i="13"/>
  <c r="Y1021" i="13"/>
  <c r="Y1035" i="13"/>
  <c r="AM1036" i="13"/>
  <c r="AO1050" i="13"/>
  <c r="AM1050" i="13"/>
  <c r="AL1050" i="13"/>
  <c r="AJ1050" i="13"/>
  <c r="AK1050" i="13"/>
  <c r="AI1050" i="13"/>
  <c r="AH1050" i="13"/>
  <c r="AO1017" i="13"/>
  <c r="AK1017" i="13"/>
  <c r="AJ1017" i="13"/>
  <c r="AH1017" i="13"/>
  <c r="AH1018" i="13"/>
  <c r="AK1019" i="13"/>
  <c r="AO1019" i="13"/>
  <c r="AN1019" i="13"/>
  <c r="AR1020" i="13"/>
  <c r="AK1022" i="13"/>
  <c r="AR1023" i="13"/>
  <c r="AH1025" i="13"/>
  <c r="AI1026" i="13"/>
  <c r="AM1028" i="13"/>
  <c r="AK1028" i="13"/>
  <c r="AJ1028" i="13"/>
  <c r="AI1028" i="13"/>
  <c r="AH1028" i="13"/>
  <c r="Y1029" i="13"/>
  <c r="Y1030" i="13"/>
  <c r="BA1030" i="13"/>
  <c r="AR1033" i="13"/>
  <c r="AR1040" i="13"/>
  <c r="BB1047" i="13"/>
  <c r="BA1047" i="13"/>
  <c r="AN1050" i="13"/>
  <c r="AO1036" i="13"/>
  <c r="Y1046" i="13"/>
  <c r="AH1046" i="13"/>
  <c r="Y1054" i="13"/>
  <c r="AH1054" i="13"/>
  <c r="AJ1062" i="13"/>
  <c r="Y1072" i="13"/>
  <c r="Y1108" i="13"/>
  <c r="AH1108" i="13"/>
  <c r="AL1026" i="13"/>
  <c r="AL1030" i="13"/>
  <c r="AL1034" i="13"/>
  <c r="AH1036" i="13"/>
  <c r="AK1040" i="13"/>
  <c r="AM1041" i="13"/>
  <c r="AI1043" i="13"/>
  <c r="AO1043" i="13"/>
  <c r="AN1043" i="13"/>
  <c r="AL1043" i="13"/>
  <c r="AK1043" i="13"/>
  <c r="AR1044" i="13"/>
  <c r="AI1046" i="13"/>
  <c r="AI1051" i="13"/>
  <c r="AO1051" i="13"/>
  <c r="AN1051" i="13"/>
  <c r="AL1051" i="13"/>
  <c r="AK1051" i="13"/>
  <c r="AR1052" i="13"/>
  <c r="AN1053" i="13"/>
  <c r="AI1054" i="13"/>
  <c r="AI1059" i="13"/>
  <c r="AO1059" i="13"/>
  <c r="AN1059" i="13"/>
  <c r="AL1059" i="13"/>
  <c r="AK1059" i="13"/>
  <c r="AR1060" i="13"/>
  <c r="AN1061" i="13"/>
  <c r="AK1062" i="13"/>
  <c r="Y1065" i="13"/>
  <c r="Y1073" i="13"/>
  <c r="Y1076" i="13"/>
  <c r="Y1085" i="13"/>
  <c r="AM1026" i="13"/>
  <c r="AM1030" i="13"/>
  <c r="AM1034" i="13"/>
  <c r="AI1036" i="13"/>
  <c r="AL1040" i="13"/>
  <c r="AN1041" i="13"/>
  <c r="AM1043" i="13"/>
  <c r="BA1043" i="13"/>
  <c r="BA1046" i="13"/>
  <c r="AM1051" i="13"/>
  <c r="BA1051" i="13"/>
  <c r="BA1054" i="13"/>
  <c r="AM1059" i="13"/>
  <c r="BA1059" i="13"/>
  <c r="AL1067" i="13"/>
  <c r="AK1067" i="13"/>
  <c r="AI1067" i="13"/>
  <c r="AO1067" i="13"/>
  <c r="AM1067" i="13"/>
  <c r="AJ1067" i="13"/>
  <c r="AU1068" i="13"/>
  <c r="AC1068" i="13"/>
  <c r="AD1068" i="13" s="1"/>
  <c r="Y1071" i="13"/>
  <c r="AH1071" i="13"/>
  <c r="AU1076" i="13"/>
  <c r="AR1076" i="13"/>
  <c r="AC1076" i="13"/>
  <c r="AD1076" i="13" s="1"/>
  <c r="AN1026" i="13"/>
  <c r="AJ1036" i="13"/>
  <c r="AM1040" i="13"/>
  <c r="Z1043" i="13"/>
  <c r="AK1044" i="13"/>
  <c r="AI1044" i="13"/>
  <c r="AH1044" i="13"/>
  <c r="AN1044" i="13"/>
  <c r="AU1044" i="13"/>
  <c r="AO1046" i="13"/>
  <c r="AM1046" i="13"/>
  <c r="AL1046" i="13"/>
  <c r="AJ1046" i="13"/>
  <c r="AN1046" i="13"/>
  <c r="Y1047" i="13"/>
  <c r="AH1047" i="13"/>
  <c r="AU1049" i="13"/>
  <c r="AC1049" i="13"/>
  <c r="AD1049" i="13" s="1"/>
  <c r="AR1049" i="13"/>
  <c r="Z1051" i="13"/>
  <c r="AK1052" i="13"/>
  <c r="AI1052" i="13"/>
  <c r="AH1052" i="13"/>
  <c r="AN1052" i="13"/>
  <c r="AU1052" i="13"/>
  <c r="AO1054" i="13"/>
  <c r="AM1054" i="13"/>
  <c r="AL1054" i="13"/>
  <c r="AJ1054" i="13"/>
  <c r="AN1054" i="13"/>
  <c r="Y1055" i="13"/>
  <c r="AH1055" i="13"/>
  <c r="AU1057" i="13"/>
  <c r="AC1057" i="13"/>
  <c r="AD1057" i="13" s="1"/>
  <c r="AR1057" i="13"/>
  <c r="Z1059" i="13"/>
  <c r="AK1060" i="13"/>
  <c r="AI1060" i="13"/>
  <c r="AH1060" i="13"/>
  <c r="AN1060" i="13"/>
  <c r="AU1060" i="13"/>
  <c r="AM1062" i="13"/>
  <c r="AI1062" i="13"/>
  <c r="AO1062" i="13"/>
  <c r="AL1062" i="13"/>
  <c r="BB1063" i="13"/>
  <c r="BA1063" i="13"/>
  <c r="Y1074" i="13"/>
  <c r="AH1074" i="13"/>
  <c r="Y1075" i="13"/>
  <c r="BA1077" i="13"/>
  <c r="BB1077" i="13"/>
  <c r="AO1026" i="13"/>
  <c r="AO1030" i="13"/>
  <c r="AO1034" i="13"/>
  <c r="AK1036" i="13"/>
  <c r="BB1041" i="13"/>
  <c r="Y1042" i="13"/>
  <c r="AJ1044" i="13"/>
  <c r="Y1050" i="13"/>
  <c r="AJ1052" i="13"/>
  <c r="Y1058" i="13"/>
  <c r="AJ1060" i="13"/>
  <c r="Y1064" i="13"/>
  <c r="AG1065" i="13"/>
  <c r="AR1065" i="13"/>
  <c r="AR1066" i="13"/>
  <c r="AC1066" i="13"/>
  <c r="AD1066" i="13" s="1"/>
  <c r="AR1068" i="13"/>
  <c r="AL1036" i="13"/>
  <c r="AN1040" i="13"/>
  <c r="AK1041" i="13"/>
  <c r="AH1041" i="13"/>
  <c r="AI1047" i="13"/>
  <c r="AO1047" i="13"/>
  <c r="AN1047" i="13"/>
  <c r="AL1047" i="13"/>
  <c r="AK1047" i="13"/>
  <c r="AI1055" i="13"/>
  <c r="AO1055" i="13"/>
  <c r="AN1055" i="13"/>
  <c r="AL1055" i="13"/>
  <c r="AK1055" i="13"/>
  <c r="AL1063" i="13"/>
  <c r="AI1063" i="13"/>
  <c r="AO1063" i="13"/>
  <c r="AM1063" i="13"/>
  <c r="AK1063" i="13"/>
  <c r="AH1063" i="13"/>
  <c r="AR1038" i="13"/>
  <c r="AH1040" i="13"/>
  <c r="AI1041" i="13"/>
  <c r="BA1042" i="13"/>
  <c r="AM1044" i="13"/>
  <c r="AM1047" i="13"/>
  <c r="BA1050" i="13"/>
  <c r="AM1052" i="13"/>
  <c r="AM1053" i="13"/>
  <c r="AK1053" i="13"/>
  <c r="AJ1053" i="13"/>
  <c r="AH1053" i="13"/>
  <c r="AM1055" i="13"/>
  <c r="BA1058" i="13"/>
  <c r="AM1060" i="13"/>
  <c r="AM1061" i="13"/>
  <c r="AK1061" i="13"/>
  <c r="AJ1061" i="13"/>
  <c r="AH1061" i="13"/>
  <c r="AJ1063" i="13"/>
  <c r="AL1075" i="13"/>
  <c r="AK1075" i="13"/>
  <c r="AO1075" i="13"/>
  <c r="AN1075" i="13"/>
  <c r="AJ1075" i="13"/>
  <c r="AM1075" i="13"/>
  <c r="AI1075" i="13"/>
  <c r="AH1075" i="13"/>
  <c r="AR1042" i="13"/>
  <c r="AR1046" i="13"/>
  <c r="AR1050" i="13"/>
  <c r="AR1054" i="13"/>
  <c r="AR1058" i="13"/>
  <c r="AR1064" i="13"/>
  <c r="AC1067" i="13"/>
  <c r="AD1067" i="13" s="1"/>
  <c r="AU1067" i="13"/>
  <c r="AJ1070" i="13"/>
  <c r="AI1070" i="13"/>
  <c r="AN1070" i="13"/>
  <c r="AM1070" i="13"/>
  <c r="AK1070" i="13"/>
  <c r="AU1071" i="13"/>
  <c r="BB1073" i="13"/>
  <c r="AN1076" i="13"/>
  <c r="AM1076" i="13"/>
  <c r="AJ1076" i="13"/>
  <c r="AI1076" i="13"/>
  <c r="AH1076" i="13"/>
  <c r="AI1079" i="13"/>
  <c r="AJ1190" i="13"/>
  <c r="AH1190" i="13"/>
  <c r="AN1190" i="13"/>
  <c r="AO1190" i="13"/>
  <c r="AM1190" i="13"/>
  <c r="AI1190" i="13"/>
  <c r="AK1190" i="13"/>
  <c r="AL1190" i="13"/>
  <c r="AR1074" i="13"/>
  <c r="AU1074" i="13"/>
  <c r="AL1083" i="13"/>
  <c r="AH1083" i="13"/>
  <c r="AO1083" i="13"/>
  <c r="AN1083" i="13"/>
  <c r="AM1083" i="13"/>
  <c r="AI1083" i="13"/>
  <c r="AK1083" i="13"/>
  <c r="AI1071" i="13"/>
  <c r="AR1077" i="13"/>
  <c r="AR1083" i="13"/>
  <c r="Z1083" i="13"/>
  <c r="AJ1083" i="13"/>
  <c r="Y1086" i="13"/>
  <c r="AH1091" i="13"/>
  <c r="Y1091" i="13"/>
  <c r="BA1099" i="13"/>
  <c r="BB1099" i="13"/>
  <c r="BA1065" i="13"/>
  <c r="AJ1066" i="13"/>
  <c r="AI1066" i="13"/>
  <c r="AM1066" i="13"/>
  <c r="Y1069" i="13"/>
  <c r="AL1086" i="13"/>
  <c r="AJ1086" i="13"/>
  <c r="AN1086" i="13"/>
  <c r="AM1086" i="13"/>
  <c r="AK1086" i="13"/>
  <c r="AO1086" i="13"/>
  <c r="AI1086" i="13"/>
  <c r="AH1086" i="13"/>
  <c r="AJ1093" i="13"/>
  <c r="AH1093" i="13"/>
  <c r="AO1093" i="13"/>
  <c r="AN1093" i="13"/>
  <c r="AM1093" i="13"/>
  <c r="AL1093" i="13"/>
  <c r="AK1093" i="13"/>
  <c r="AI1093" i="13"/>
  <c r="AR1148" i="13"/>
  <c r="AU1148" i="13"/>
  <c r="AC1148" i="13"/>
  <c r="AD1148" i="13" s="1"/>
  <c r="AK1077" i="13"/>
  <c r="AH1077" i="13"/>
  <c r="AO1077" i="13"/>
  <c r="AN1077" i="13"/>
  <c r="AM1077" i="13"/>
  <c r="AL1077" i="13"/>
  <c r="AJ1077" i="13"/>
  <c r="AU1062" i="13"/>
  <c r="AR1062" i="13"/>
  <c r="AR1063" i="13"/>
  <c r="AN1068" i="13"/>
  <c r="AM1068" i="13"/>
  <c r="AO1068" i="13"/>
  <c r="AJ1068" i="13"/>
  <c r="AH1069" i="13"/>
  <c r="AO1069" i="13"/>
  <c r="AI1069" i="13"/>
  <c r="AN1069" i="13"/>
  <c r="AK1069" i="13"/>
  <c r="AL1071" i="13"/>
  <c r="AK1071" i="13"/>
  <c r="AN1071" i="13"/>
  <c r="AO1071" i="13"/>
  <c r="AC1074" i="13"/>
  <c r="AD1074" i="13" s="1"/>
  <c r="Y1079" i="13"/>
  <c r="AR1072" i="13"/>
  <c r="AJ1074" i="13"/>
  <c r="AI1074" i="13"/>
  <c r="AU1084" i="13"/>
  <c r="AC1084" i="13"/>
  <c r="AD1084" i="13" s="1"/>
  <c r="BA1093" i="13"/>
  <c r="BB1093" i="13"/>
  <c r="BB1095" i="13"/>
  <c r="Y1132" i="13"/>
  <c r="AH1132" i="13"/>
  <c r="BA1076" i="13"/>
  <c r="AO1079" i="13"/>
  <c r="AM1079" i="13"/>
  <c r="AL1079" i="13"/>
  <c r="AK1079" i="13"/>
  <c r="AJ1079" i="13"/>
  <c r="AK1081" i="13"/>
  <c r="AI1081" i="13"/>
  <c r="AH1081" i="13"/>
  <c r="AO1081" i="13"/>
  <c r="AL1081" i="13"/>
  <c r="AH1085" i="13"/>
  <c r="AN1085" i="13"/>
  <c r="AL1085" i="13"/>
  <c r="AK1085" i="13"/>
  <c r="AJ1085" i="13"/>
  <c r="Y1087" i="13"/>
  <c r="Y1095" i="13"/>
  <c r="AM1097" i="13"/>
  <c r="AL1097" i="13"/>
  <c r="AH1097" i="13"/>
  <c r="AO1097" i="13"/>
  <c r="AN1097" i="13"/>
  <c r="AK1097" i="13"/>
  <c r="AJ1097" i="13"/>
  <c r="AI1097" i="13"/>
  <c r="AU1103" i="13"/>
  <c r="AR1103" i="13"/>
  <c r="AC1103" i="13"/>
  <c r="AD1103" i="13" s="1"/>
  <c r="Y1107" i="13"/>
  <c r="BB1120" i="13"/>
  <c r="BA1120" i="13"/>
  <c r="AJ1128" i="13"/>
  <c r="AI1128" i="13"/>
  <c r="AO1128" i="13"/>
  <c r="AN1128" i="13"/>
  <c r="AK1128" i="13"/>
  <c r="AH1128" i="13"/>
  <c r="AM1128" i="13"/>
  <c r="AL1128" i="13"/>
  <c r="Y1134" i="13"/>
  <c r="AN1079" i="13"/>
  <c r="Y1080" i="13"/>
  <c r="AH1080" i="13"/>
  <c r="AM1081" i="13"/>
  <c r="AM1082" i="13"/>
  <c r="AK1082" i="13"/>
  <c r="AJ1082" i="13"/>
  <c r="AI1082" i="13"/>
  <c r="AI1085" i="13"/>
  <c r="AR1092" i="13"/>
  <c r="AC1100" i="13"/>
  <c r="AD1100" i="13" s="1"/>
  <c r="AR1100" i="13"/>
  <c r="AU1100" i="13"/>
  <c r="Y1104" i="13"/>
  <c r="AK1104" i="13"/>
  <c r="AJ1104" i="13"/>
  <c r="AH1104" i="13"/>
  <c r="AO1104" i="13"/>
  <c r="AN1104" i="13"/>
  <c r="AM1104" i="13"/>
  <c r="AL1104" i="13"/>
  <c r="AI1104" i="13"/>
  <c r="AK1112" i="13"/>
  <c r="AJ1112" i="13"/>
  <c r="AN1112" i="13"/>
  <c r="AL1112" i="13"/>
  <c r="AI1112" i="13"/>
  <c r="AH1112" i="13"/>
  <c r="AO1112" i="13"/>
  <c r="AM1112" i="13"/>
  <c r="AR1070" i="13"/>
  <c r="AH1073" i="13"/>
  <c r="AO1073" i="13"/>
  <c r="AL1074" i="13"/>
  <c r="Y1077" i="13"/>
  <c r="AM1078" i="13"/>
  <c r="AK1078" i="13"/>
  <c r="AJ1078" i="13"/>
  <c r="AI1078" i="13"/>
  <c r="AN1081" i="13"/>
  <c r="AU1082" i="13"/>
  <c r="AC1082" i="13"/>
  <c r="AD1082" i="13" s="1"/>
  <c r="AR1082" i="13"/>
  <c r="AH1082" i="13"/>
  <c r="Z1084" i="13"/>
  <c r="AM1085" i="13"/>
  <c r="AL1089" i="13"/>
  <c r="AR1101" i="13"/>
  <c r="AG1101" i="13"/>
  <c r="AL1110" i="13"/>
  <c r="Y1113" i="13"/>
  <c r="AU1153" i="13"/>
  <c r="AC1153" i="13"/>
  <c r="AD1153" i="13" s="1"/>
  <c r="AR1153" i="13"/>
  <c r="AU1078" i="13"/>
  <c r="AC1078" i="13"/>
  <c r="AD1078" i="13" s="1"/>
  <c r="AR1078" i="13"/>
  <c r="AI1080" i="13"/>
  <c r="AO1080" i="13"/>
  <c r="AN1080" i="13"/>
  <c r="AM1080" i="13"/>
  <c r="AK1080" i="13"/>
  <c r="AO1085" i="13"/>
  <c r="AN1087" i="13"/>
  <c r="AL1087" i="13"/>
  <c r="AK1087" i="13"/>
  <c r="AO1087" i="13"/>
  <c r="AM1087" i="13"/>
  <c r="AJ1087" i="13"/>
  <c r="AI1087" i="13"/>
  <c r="AH1088" i="13"/>
  <c r="AN1088" i="13"/>
  <c r="AM1088" i="13"/>
  <c r="AL1088" i="13"/>
  <c r="AO1088" i="13"/>
  <c r="AK1088" i="13"/>
  <c r="AJ1088" i="13"/>
  <c r="AC1091" i="13"/>
  <c r="AD1091" i="13" s="1"/>
  <c r="AR1091" i="13"/>
  <c r="AU1091" i="13"/>
  <c r="AH1092" i="13"/>
  <c r="AN1092" i="13"/>
  <c r="AM1092" i="13"/>
  <c r="AL1092" i="13"/>
  <c r="AK1092" i="13"/>
  <c r="AJ1092" i="13"/>
  <c r="AI1092" i="13"/>
  <c r="AI1095" i="13"/>
  <c r="AH1095" i="13"/>
  <c r="AJ1095" i="13"/>
  <c r="AO1095" i="13"/>
  <c r="AN1095" i="13"/>
  <c r="AM1095" i="13"/>
  <c r="AL1095" i="13"/>
  <c r="AK1095" i="13"/>
  <c r="AL1111" i="13"/>
  <c r="AN1114" i="13"/>
  <c r="AM1114" i="13"/>
  <c r="AK1114" i="13"/>
  <c r="AO1114" i="13"/>
  <c r="AJ1114" i="13"/>
  <c r="AI1114" i="13"/>
  <c r="AH1114" i="13"/>
  <c r="Y1122" i="13"/>
  <c r="AH1122" i="13"/>
  <c r="AN1134" i="13"/>
  <c r="AM1134" i="13"/>
  <c r="AK1134" i="13"/>
  <c r="AJ1134" i="13"/>
  <c r="AO1134" i="13"/>
  <c r="AL1134" i="13"/>
  <c r="AH1134" i="13"/>
  <c r="Y1146" i="13"/>
  <c r="Z1098" i="13"/>
  <c r="AR1098" i="13"/>
  <c r="BA1111" i="13"/>
  <c r="BB1111" i="13"/>
  <c r="Y1083" i="13"/>
  <c r="AI1099" i="13"/>
  <c r="AH1099" i="13"/>
  <c r="AN1099" i="13"/>
  <c r="AM1099" i="13"/>
  <c r="AL1099" i="13"/>
  <c r="AK1099" i="13"/>
  <c r="AO1099" i="13"/>
  <c r="AJ1099" i="13"/>
  <c r="AU1105" i="13"/>
  <c r="AR1105" i="13"/>
  <c r="AC1105" i="13"/>
  <c r="AD1105" i="13" s="1"/>
  <c r="Y1109" i="13"/>
  <c r="Y1148" i="13"/>
  <c r="BA1067" i="13"/>
  <c r="BA1071" i="13"/>
  <c r="BA1075" i="13"/>
  <c r="AC1079" i="13"/>
  <c r="AD1079" i="13" s="1"/>
  <c r="BA1079" i="13"/>
  <c r="AK1084" i="13"/>
  <c r="AK1089" i="13"/>
  <c r="Y1090" i="13"/>
  <c r="Y1094" i="13"/>
  <c r="AO1098" i="13"/>
  <c r="AN1098" i="13"/>
  <c r="AL1098" i="13"/>
  <c r="AJ1098" i="13"/>
  <c r="AI1098" i="13"/>
  <c r="AH1098" i="13"/>
  <c r="AM1105" i="13"/>
  <c r="AL1105" i="13"/>
  <c r="AN1105" i="13"/>
  <c r="AJ1105" i="13"/>
  <c r="AI1105" i="13"/>
  <c r="AH1105" i="13"/>
  <c r="Y1117" i="13"/>
  <c r="AR1132" i="13"/>
  <c r="Z1132" i="13"/>
  <c r="AR1086" i="13"/>
  <c r="BA1088" i="13"/>
  <c r="Y1089" i="13"/>
  <c r="AK1096" i="13"/>
  <c r="AJ1096" i="13"/>
  <c r="AN1096" i="13"/>
  <c r="AL1096" i="13"/>
  <c r="AI1096" i="13"/>
  <c r="AH1096" i="13"/>
  <c r="AC1113" i="13"/>
  <c r="AD1113" i="13" s="1"/>
  <c r="AR1113" i="13"/>
  <c r="AU1113" i="13"/>
  <c r="AG1123" i="13"/>
  <c r="AR1123" i="13"/>
  <c r="Y1135" i="13"/>
  <c r="AU1107" i="13"/>
  <c r="AR1107" i="13"/>
  <c r="AK1108" i="13"/>
  <c r="AJ1108" i="13"/>
  <c r="AN1108" i="13"/>
  <c r="AM1108" i="13"/>
  <c r="AL1108" i="13"/>
  <c r="AI1108" i="13"/>
  <c r="AU1109" i="13"/>
  <c r="AR1109" i="13"/>
  <c r="AC1109" i="13"/>
  <c r="AD1109" i="13" s="1"/>
  <c r="Y1118" i="13"/>
  <c r="AC1121" i="13"/>
  <c r="AD1121" i="13" s="1"/>
  <c r="AR1121" i="13"/>
  <c r="AU1121" i="13"/>
  <c r="AM1136" i="13"/>
  <c r="Y1160" i="13"/>
  <c r="AH1160" i="13"/>
  <c r="Y1093" i="13"/>
  <c r="Y1099" i="13"/>
  <c r="Y1114" i="13"/>
  <c r="AH1125" i="13"/>
  <c r="Y1125" i="13"/>
  <c r="AR1144" i="13"/>
  <c r="Z1144" i="13"/>
  <c r="AL1159" i="13"/>
  <c r="AK1159" i="13"/>
  <c r="AJ1159" i="13"/>
  <c r="AM1159" i="13"/>
  <c r="AI1159" i="13"/>
  <c r="AH1159" i="13"/>
  <c r="AN1159" i="13"/>
  <c r="AO1159" i="13"/>
  <c r="AU1160" i="13"/>
  <c r="AC1160" i="13"/>
  <c r="AD1160" i="13" s="1"/>
  <c r="AR1160" i="13"/>
  <c r="AN1084" i="13"/>
  <c r="AC1088" i="13"/>
  <c r="AD1088" i="13" s="1"/>
  <c r="AR1088" i="13"/>
  <c r="AJ1089" i="13"/>
  <c r="AH1089" i="13"/>
  <c r="AO1089" i="13"/>
  <c r="AN1089" i="13"/>
  <c r="AM1089" i="13"/>
  <c r="AN1091" i="13"/>
  <c r="AL1091" i="13"/>
  <c r="AK1091" i="13"/>
  <c r="AJ1091" i="13"/>
  <c r="AI1091" i="13"/>
  <c r="AK1098" i="13"/>
  <c r="Y1101" i="13"/>
  <c r="AO1108" i="13"/>
  <c r="AM1109" i="13"/>
  <c r="AL1109" i="13"/>
  <c r="AJ1109" i="13"/>
  <c r="AH1109" i="13"/>
  <c r="AO1109" i="13"/>
  <c r="Y1116" i="13"/>
  <c r="Y1126" i="13"/>
  <c r="AC1129" i="13"/>
  <c r="AD1129" i="13" s="1"/>
  <c r="AU1129" i="13"/>
  <c r="AU1092" i="13"/>
  <c r="AC1092" i="13"/>
  <c r="AD1092" i="13" s="1"/>
  <c r="AI1111" i="13"/>
  <c r="AH1111" i="13"/>
  <c r="AJ1111" i="13"/>
  <c r="AO1111" i="13"/>
  <c r="AN1111" i="13"/>
  <c r="AM1111" i="13"/>
  <c r="AN1118" i="13"/>
  <c r="AM1118" i="13"/>
  <c r="AK1118" i="13"/>
  <c r="AI1118" i="13"/>
  <c r="AO1118" i="13"/>
  <c r="AH1118" i="13"/>
  <c r="AM1120" i="13"/>
  <c r="AR1140" i="13"/>
  <c r="Z1140" i="13"/>
  <c r="AJ1158" i="13"/>
  <c r="AI1158" i="13"/>
  <c r="AO1158" i="13"/>
  <c r="AN1158" i="13"/>
  <c r="AM1158" i="13"/>
  <c r="AK1158" i="13"/>
  <c r="AH1158" i="13"/>
  <c r="AL1158" i="13"/>
  <c r="AO1090" i="13"/>
  <c r="BA1092" i="13"/>
  <c r="AI1103" i="13"/>
  <c r="AH1103" i="13"/>
  <c r="BA1105" i="13"/>
  <c r="AG1115" i="13"/>
  <c r="AR1115" i="13"/>
  <c r="AU1122" i="13"/>
  <c r="AC1122" i="13"/>
  <c r="AD1122" i="13" s="1"/>
  <c r="AR1122" i="13"/>
  <c r="AJ1124" i="13"/>
  <c r="AI1124" i="13"/>
  <c r="AO1124" i="13"/>
  <c r="AH1124" i="13"/>
  <c r="AN1130" i="13"/>
  <c r="AM1130" i="13"/>
  <c r="AK1130" i="13"/>
  <c r="AJ1130" i="13"/>
  <c r="AL1130" i="13"/>
  <c r="AI1130" i="13"/>
  <c r="AH1130" i="13"/>
  <c r="Y1150" i="13"/>
  <c r="AG1151" i="13"/>
  <c r="AR1151" i="13"/>
  <c r="BB1190" i="13"/>
  <c r="BA1190" i="13"/>
  <c r="AH1090" i="13"/>
  <c r="AO1094" i="13"/>
  <c r="AL1094" i="13"/>
  <c r="AU1099" i="13"/>
  <c r="AO1102" i="13"/>
  <c r="AN1102" i="13"/>
  <c r="AJ1103" i="13"/>
  <c r="AC1104" i="13"/>
  <c r="AD1104" i="13" s="1"/>
  <c r="AR1104" i="13"/>
  <c r="Y1106" i="13"/>
  <c r="BA1107" i="13"/>
  <c r="AJ1110" i="13"/>
  <c r="AC1117" i="13"/>
  <c r="AD1117" i="13" s="1"/>
  <c r="AR1117" i="13"/>
  <c r="BA1119" i="13"/>
  <c r="AK1120" i="13"/>
  <c r="BA1127" i="13"/>
  <c r="AO1130" i="13"/>
  <c r="AG1131" i="13"/>
  <c r="AR1131" i="13"/>
  <c r="AU1134" i="13"/>
  <c r="AC1134" i="13"/>
  <c r="AD1134" i="13" s="1"/>
  <c r="AR1134" i="13"/>
  <c r="AR1136" i="13"/>
  <c r="AL1141" i="13"/>
  <c r="AK1141" i="13"/>
  <c r="AI1141" i="13"/>
  <c r="AN1141" i="13"/>
  <c r="AM1141" i="13"/>
  <c r="AO1141" i="13"/>
  <c r="AJ1141" i="13"/>
  <c r="AH1141" i="13"/>
  <c r="Y1143" i="13"/>
  <c r="AN1146" i="13"/>
  <c r="AM1146" i="13"/>
  <c r="AK1146" i="13"/>
  <c r="AO1146" i="13"/>
  <c r="AL1146" i="13"/>
  <c r="AI1146" i="13"/>
  <c r="AH1146" i="13"/>
  <c r="BB1147" i="13"/>
  <c r="BA1147" i="13"/>
  <c r="BA1087" i="13"/>
  <c r="AI1090" i="13"/>
  <c r="BA1091" i="13"/>
  <c r="AM1094" i="13"/>
  <c r="AC1097" i="13"/>
  <c r="AD1097" i="13" s="1"/>
  <c r="AK1100" i="13"/>
  <c r="AJ1100" i="13"/>
  <c r="AK1103" i="13"/>
  <c r="AI1107" i="13"/>
  <c r="AH1107" i="13"/>
  <c r="BA1109" i="13"/>
  <c r="AK1110" i="13"/>
  <c r="AU1114" i="13"/>
  <c r="AC1114" i="13"/>
  <c r="AD1114" i="13" s="1"/>
  <c r="AR1114" i="13"/>
  <c r="AJ1116" i="13"/>
  <c r="AI1116" i="13"/>
  <c r="AO1116" i="13"/>
  <c r="AH1116" i="13"/>
  <c r="Y1120" i="13"/>
  <c r="AL1120" i="13"/>
  <c r="AN1122" i="13"/>
  <c r="AM1122" i="13"/>
  <c r="AK1122" i="13"/>
  <c r="AL1122" i="13"/>
  <c r="AN1126" i="13"/>
  <c r="AM1126" i="13"/>
  <c r="AK1126" i="13"/>
  <c r="BB1135" i="13"/>
  <c r="BA1135" i="13"/>
  <c r="AK1137" i="13"/>
  <c r="AI1137" i="13"/>
  <c r="AJ1137" i="13"/>
  <c r="AH1137" i="13"/>
  <c r="AO1137" i="13"/>
  <c r="AN1137" i="13"/>
  <c r="AM1137" i="13"/>
  <c r="AL1137" i="13"/>
  <c r="AJ1090" i="13"/>
  <c r="AN1094" i="13"/>
  <c r="AH1100" i="13"/>
  <c r="AH1102" i="13"/>
  <c r="AR1102" i="13"/>
  <c r="AL1103" i="13"/>
  <c r="AO1106" i="13"/>
  <c r="AN1106" i="13"/>
  <c r="AJ1107" i="13"/>
  <c r="AC1108" i="13"/>
  <c r="AD1108" i="13" s="1"/>
  <c r="AR1108" i="13"/>
  <c r="Y1110" i="13"/>
  <c r="AG1119" i="13"/>
  <c r="AR1119" i="13"/>
  <c r="AO1122" i="13"/>
  <c r="AG1127" i="13"/>
  <c r="AR1127" i="13"/>
  <c r="AL1129" i="13"/>
  <c r="AK1129" i="13"/>
  <c r="AI1129" i="13"/>
  <c r="AH1129" i="13"/>
  <c r="AO1129" i="13"/>
  <c r="AN1129" i="13"/>
  <c r="AN1138" i="13"/>
  <c r="AM1138" i="13"/>
  <c r="AK1138" i="13"/>
  <c r="AL1138" i="13"/>
  <c r="AJ1138" i="13"/>
  <c r="AL1155" i="13"/>
  <c r="AJ1155" i="13"/>
  <c r="AI1155" i="13"/>
  <c r="AH1155" i="13"/>
  <c r="AM1155" i="13"/>
  <c r="AK1155" i="13"/>
  <c r="AN1155" i="13"/>
  <c r="BA1156" i="13"/>
  <c r="BB1156" i="13"/>
  <c r="AR1093" i="13"/>
  <c r="AH1094" i="13"/>
  <c r="AC1096" i="13"/>
  <c r="AD1096" i="13" s="1"/>
  <c r="AR1096" i="13"/>
  <c r="AR1097" i="13"/>
  <c r="Y1098" i="13"/>
  <c r="AL1100" i="13"/>
  <c r="AN1103" i="13"/>
  <c r="AL1107" i="13"/>
  <c r="AO1110" i="13"/>
  <c r="AN1110" i="13"/>
  <c r="AR1112" i="13"/>
  <c r="AC1112" i="13"/>
  <c r="AD1112" i="13" s="1"/>
  <c r="AU1118" i="13"/>
  <c r="AC1118" i="13"/>
  <c r="AD1118" i="13" s="1"/>
  <c r="AR1118" i="13"/>
  <c r="AJ1120" i="13"/>
  <c r="AI1120" i="13"/>
  <c r="AO1120" i="13"/>
  <c r="AH1120" i="13"/>
  <c r="Y1124" i="13"/>
  <c r="AL1124" i="13"/>
  <c r="AH1126" i="13"/>
  <c r="AM1129" i="13"/>
  <c r="BA1136" i="13"/>
  <c r="BB1136" i="13"/>
  <c r="Y1137" i="13"/>
  <c r="AI1138" i="13"/>
  <c r="AN1142" i="13"/>
  <c r="AM1142" i="13"/>
  <c r="AK1142" i="13"/>
  <c r="AO1142" i="13"/>
  <c r="AJ1142" i="13"/>
  <c r="AI1142" i="13"/>
  <c r="AL1142" i="13"/>
  <c r="AH1142" i="13"/>
  <c r="AJ1144" i="13"/>
  <c r="AI1144" i="13"/>
  <c r="AO1144" i="13"/>
  <c r="AM1144" i="13"/>
  <c r="AL1144" i="13"/>
  <c r="AK1144" i="13"/>
  <c r="AH1144" i="13"/>
  <c r="AJ1140" i="13"/>
  <c r="AI1140" i="13"/>
  <c r="AO1140" i="13"/>
  <c r="AN1140" i="13"/>
  <c r="AM1140" i="13"/>
  <c r="AL1145" i="13"/>
  <c r="AK1145" i="13"/>
  <c r="AI1145" i="13"/>
  <c r="AO1145" i="13"/>
  <c r="AM1145" i="13"/>
  <c r="AJ1145" i="13"/>
  <c r="AU1146" i="13"/>
  <c r="AC1146" i="13"/>
  <c r="AD1146" i="13" s="1"/>
  <c r="Y1149" i="13"/>
  <c r="Y1171" i="13"/>
  <c r="AU1126" i="13"/>
  <c r="AC1126" i="13"/>
  <c r="AD1126" i="13" s="1"/>
  <c r="Y1128" i="13"/>
  <c r="AU1130" i="13"/>
  <c r="AC1130" i="13"/>
  <c r="AD1130" i="13" s="1"/>
  <c r="AR1130" i="13"/>
  <c r="AJ1132" i="13"/>
  <c r="AI1132" i="13"/>
  <c r="AO1132" i="13"/>
  <c r="AN1132" i="13"/>
  <c r="AM1132" i="13"/>
  <c r="Y1138" i="13"/>
  <c r="AG1139" i="13"/>
  <c r="AR1139" i="13"/>
  <c r="Y1142" i="13"/>
  <c r="AH1143" i="13"/>
  <c r="AO1143" i="13"/>
  <c r="AM1143" i="13"/>
  <c r="AN1143" i="13"/>
  <c r="AK1143" i="13"/>
  <c r="AJ1143" i="13"/>
  <c r="AH1145" i="13"/>
  <c r="AR1146" i="13"/>
  <c r="AU1157" i="13"/>
  <c r="AR1157" i="13"/>
  <c r="AC1157" i="13"/>
  <c r="AD1157" i="13" s="1"/>
  <c r="Y1159" i="13"/>
  <c r="Y1115" i="13"/>
  <c r="Y1119" i="13"/>
  <c r="Y1123" i="13"/>
  <c r="Y1127" i="13"/>
  <c r="AL1133" i="13"/>
  <c r="AK1133" i="13"/>
  <c r="AI1133" i="13"/>
  <c r="AH1133" i="13"/>
  <c r="AH1135" i="13"/>
  <c r="AO1135" i="13"/>
  <c r="AM1135" i="13"/>
  <c r="AL1135" i="13"/>
  <c r="AK1135" i="13"/>
  <c r="AC1137" i="13"/>
  <c r="AD1137" i="13" s="1"/>
  <c r="AR1137" i="13"/>
  <c r="AH1140" i="13"/>
  <c r="BB1140" i="13"/>
  <c r="Y1145" i="13"/>
  <c r="AN1145" i="13"/>
  <c r="Y1154" i="13"/>
  <c r="AL1113" i="13"/>
  <c r="AK1113" i="13"/>
  <c r="AI1113" i="13"/>
  <c r="AL1117" i="13"/>
  <c r="AK1117" i="13"/>
  <c r="AI1117" i="13"/>
  <c r="AL1121" i="13"/>
  <c r="AK1121" i="13"/>
  <c r="AI1121" i="13"/>
  <c r="AL1125" i="13"/>
  <c r="AK1125" i="13"/>
  <c r="AI1125" i="13"/>
  <c r="AR1125" i="13"/>
  <c r="AR1126" i="13"/>
  <c r="AJ1133" i="13"/>
  <c r="AN1135" i="13"/>
  <c r="AK1140" i="13"/>
  <c r="Y1141" i="13"/>
  <c r="Y1147" i="13"/>
  <c r="AL1149" i="13"/>
  <c r="AK1149" i="13"/>
  <c r="AJ1149" i="13"/>
  <c r="AN1149" i="13"/>
  <c r="AI1149" i="13"/>
  <c r="AH1149" i="13"/>
  <c r="AN1150" i="13"/>
  <c r="AM1150" i="13"/>
  <c r="AL1150" i="13"/>
  <c r="AO1150" i="13"/>
  <c r="AJ1150" i="13"/>
  <c r="AI1150" i="13"/>
  <c r="AH1153" i="13"/>
  <c r="Y1153" i="13"/>
  <c r="AH1147" i="13"/>
  <c r="AO1147" i="13"/>
  <c r="AN1147" i="13"/>
  <c r="AM1147" i="13"/>
  <c r="AK1147" i="13"/>
  <c r="AL1147" i="13"/>
  <c r="AK1152" i="13"/>
  <c r="AJ1152" i="13"/>
  <c r="AI1152" i="13"/>
  <c r="AH1152" i="13"/>
  <c r="AM1152" i="13"/>
  <c r="AL1152" i="13"/>
  <c r="AH1157" i="13"/>
  <c r="AO1157" i="13"/>
  <c r="AK1157" i="13"/>
  <c r="AJ1157" i="13"/>
  <c r="AI1157" i="13"/>
  <c r="Y1164" i="13"/>
  <c r="BB1167" i="13"/>
  <c r="BA1167" i="13"/>
  <c r="Y1136" i="13"/>
  <c r="AN1152" i="13"/>
  <c r="AM1153" i="13"/>
  <c r="AL1153" i="13"/>
  <c r="AK1153" i="13"/>
  <c r="AJ1153" i="13"/>
  <c r="Y1185" i="13"/>
  <c r="AH1185" i="13"/>
  <c r="BA1113" i="13"/>
  <c r="BA1117" i="13"/>
  <c r="BA1121" i="13"/>
  <c r="BA1125" i="13"/>
  <c r="BA1129" i="13"/>
  <c r="BA1133" i="13"/>
  <c r="AI1136" i="13"/>
  <c r="AO1136" i="13"/>
  <c r="AU1138" i="13"/>
  <c r="AC1138" i="13"/>
  <c r="AD1138" i="13" s="1"/>
  <c r="Y1140" i="13"/>
  <c r="AR1154" i="13"/>
  <c r="AM1157" i="13"/>
  <c r="Y1163" i="13"/>
  <c r="BB1166" i="13"/>
  <c r="BA1166" i="13"/>
  <c r="Y1172" i="13"/>
  <c r="Y1139" i="13"/>
  <c r="AU1142" i="13"/>
  <c r="AC1142" i="13"/>
  <c r="AD1142" i="13" s="1"/>
  <c r="Y1144" i="13"/>
  <c r="AJ1148" i="13"/>
  <c r="AI1148" i="13"/>
  <c r="AH1148" i="13"/>
  <c r="AO1148" i="13"/>
  <c r="AM1148" i="13"/>
  <c r="AU1150" i="13"/>
  <c r="AR1150" i="13"/>
  <c r="AC1150" i="13"/>
  <c r="AD1150" i="13" s="1"/>
  <c r="BA1150" i="13"/>
  <c r="AI1153" i="13"/>
  <c r="BB1155" i="13"/>
  <c r="BA1155" i="13"/>
  <c r="AN1156" i="13"/>
  <c r="AI1156" i="13"/>
  <c r="AH1156" i="13"/>
  <c r="AO1156" i="13"/>
  <c r="AJ1156" i="13"/>
  <c r="AN1157" i="13"/>
  <c r="AN1160" i="13"/>
  <c r="AM1160" i="13"/>
  <c r="AL1160" i="13"/>
  <c r="AK1160" i="13"/>
  <c r="AO1160" i="13"/>
  <c r="AJ1160" i="13"/>
  <c r="AI1160" i="13"/>
  <c r="BA1161" i="13"/>
  <c r="BB1161" i="13"/>
  <c r="AL1163" i="13"/>
  <c r="AK1163" i="13"/>
  <c r="AJ1163" i="13"/>
  <c r="AI1163" i="13"/>
  <c r="AO1163" i="13"/>
  <c r="AN1163" i="13"/>
  <c r="AM1163" i="13"/>
  <c r="AH1163" i="13"/>
  <c r="Y1169" i="13"/>
  <c r="BB1188" i="13"/>
  <c r="BA1188" i="13"/>
  <c r="AO1154" i="13"/>
  <c r="AN1154" i="13"/>
  <c r="AM1154" i="13"/>
  <c r="AL1154" i="13"/>
  <c r="AJ1154" i="13"/>
  <c r="AJ1162" i="13"/>
  <c r="AC1171" i="13"/>
  <c r="AD1171" i="13" s="1"/>
  <c r="AU1171" i="13"/>
  <c r="AR1171" i="13"/>
  <c r="AK1175" i="13"/>
  <c r="AI1175" i="13"/>
  <c r="AH1175" i="13"/>
  <c r="AN1175" i="13"/>
  <c r="AM1175" i="13"/>
  <c r="AL1175" i="13"/>
  <c r="AO1175" i="13"/>
  <c r="AU1185" i="13"/>
  <c r="AC1185" i="13"/>
  <c r="AD1185" i="13" s="1"/>
  <c r="AR1185" i="13"/>
  <c r="Y1151" i="13"/>
  <c r="AC1152" i="13"/>
  <c r="AD1152" i="13" s="1"/>
  <c r="AR1152" i="13"/>
  <c r="Y1155" i="13"/>
  <c r="AC1159" i="13"/>
  <c r="AD1159" i="13" s="1"/>
  <c r="AR1159" i="13"/>
  <c r="AU1159" i="13"/>
  <c r="AR1164" i="13"/>
  <c r="AR1170" i="13"/>
  <c r="Z1170" i="13"/>
  <c r="AN1181" i="13"/>
  <c r="AM1181" i="13"/>
  <c r="AK1181" i="13"/>
  <c r="AH1181" i="13"/>
  <c r="AO1181" i="13"/>
  <c r="AL1181" i="13"/>
  <c r="AI1181" i="13"/>
  <c r="AJ1181" i="13"/>
  <c r="AC1149" i="13"/>
  <c r="AD1149" i="13" s="1"/>
  <c r="AR1149" i="13"/>
  <c r="AR1156" i="13"/>
  <c r="Y1156" i="13"/>
  <c r="Y1162" i="13"/>
  <c r="AN1164" i="13"/>
  <c r="AM1164" i="13"/>
  <c r="AL1164" i="13"/>
  <c r="AK1164" i="13"/>
  <c r="AH1164" i="13"/>
  <c r="Y1165" i="13"/>
  <c r="AM1168" i="13"/>
  <c r="AK1168" i="13"/>
  <c r="AJ1168" i="13"/>
  <c r="AI1168" i="13"/>
  <c r="AH1168" i="13"/>
  <c r="AO1168" i="13"/>
  <c r="AN1168" i="13"/>
  <c r="AL1168" i="13"/>
  <c r="Y1161" i="13"/>
  <c r="AC1163" i="13"/>
  <c r="AD1163" i="13" s="1"/>
  <c r="AR1163" i="13"/>
  <c r="AH1165" i="13"/>
  <c r="AO1165" i="13"/>
  <c r="AN1165" i="13"/>
  <c r="AM1165" i="13"/>
  <c r="AK1165" i="13"/>
  <c r="AM1172" i="13"/>
  <c r="AK1172" i="13"/>
  <c r="AJ1172" i="13"/>
  <c r="AO1172" i="13"/>
  <c r="AN1172" i="13"/>
  <c r="AI1172" i="13"/>
  <c r="AH1172" i="13"/>
  <c r="AO1173" i="13"/>
  <c r="AM1173" i="13"/>
  <c r="AL1173" i="13"/>
  <c r="AI1173" i="13"/>
  <c r="AH1173" i="13"/>
  <c r="AN1173" i="13"/>
  <c r="AK1173" i="13"/>
  <c r="AJ1173" i="13"/>
  <c r="AM1174" i="13"/>
  <c r="Y1184" i="13"/>
  <c r="AH1184" i="13"/>
  <c r="BA1149" i="13"/>
  <c r="BA1153" i="13"/>
  <c r="AL1165" i="13"/>
  <c r="Y1176" i="13"/>
  <c r="Y1183" i="13"/>
  <c r="AH1183" i="13"/>
  <c r="AH1161" i="13"/>
  <c r="AO1161" i="13"/>
  <c r="AN1161" i="13"/>
  <c r="AM1161" i="13"/>
  <c r="AK1161" i="13"/>
  <c r="AU1164" i="13"/>
  <c r="AC1164" i="13"/>
  <c r="AD1164" i="13" s="1"/>
  <c r="Y1166" i="13"/>
  <c r="AH1166" i="13"/>
  <c r="BB1173" i="13"/>
  <c r="BA1173" i="13"/>
  <c r="Y1167" i="13"/>
  <c r="AI1167" i="13"/>
  <c r="AH1167" i="13"/>
  <c r="AM1167" i="13"/>
  <c r="AL1167" i="13"/>
  <c r="AK1167" i="13"/>
  <c r="AJ1167" i="13"/>
  <c r="Y1170" i="13"/>
  <c r="AR1177" i="13"/>
  <c r="AG1177" i="13"/>
  <c r="Y1192" i="13"/>
  <c r="BA1160" i="13"/>
  <c r="AO1162" i="13"/>
  <c r="BA1164" i="13"/>
  <c r="AR1166" i="13"/>
  <c r="AU1168" i="13"/>
  <c r="AC1168" i="13"/>
  <c r="AD1168" i="13" s="1"/>
  <c r="AR1168" i="13"/>
  <c r="AI1170" i="13"/>
  <c r="AO1170" i="13"/>
  <c r="AN1170" i="13"/>
  <c r="AK1170" i="13"/>
  <c r="AJ1170" i="13"/>
  <c r="AH1174" i="13"/>
  <c r="AH1189" i="13"/>
  <c r="AN1189" i="13"/>
  <c r="AL1189" i="13"/>
  <c r="AO1189" i="13"/>
  <c r="AM1189" i="13"/>
  <c r="AK1189" i="13"/>
  <c r="AI1189" i="13"/>
  <c r="AJ1189" i="13"/>
  <c r="AH1162" i="13"/>
  <c r="AO1169" i="13"/>
  <c r="AM1169" i="13"/>
  <c r="AL1169" i="13"/>
  <c r="AH1169" i="13"/>
  <c r="Y1174" i="13"/>
  <c r="AL1174" i="13"/>
  <c r="AC1175" i="13"/>
  <c r="AD1175" i="13" s="1"/>
  <c r="AU1175" i="13"/>
  <c r="AR1175" i="13"/>
  <c r="BA1159" i="13"/>
  <c r="AI1162" i="13"/>
  <c r="BA1163" i="13"/>
  <c r="AO1166" i="13"/>
  <c r="AK1166" i="13"/>
  <c r="AU1167" i="13"/>
  <c r="AC1166" i="13"/>
  <c r="AD1166" i="13" s="1"/>
  <c r="AL1166" i="13"/>
  <c r="AJ1169" i="13"/>
  <c r="AK1171" i="13"/>
  <c r="AI1171" i="13"/>
  <c r="AH1171" i="13"/>
  <c r="AM1171" i="13"/>
  <c r="AL1171" i="13"/>
  <c r="Y1173" i="13"/>
  <c r="Y1177" i="13"/>
  <c r="Y1190" i="13"/>
  <c r="AI1174" i="13"/>
  <c r="AO1174" i="13"/>
  <c r="AN1174" i="13"/>
  <c r="AK1174" i="13"/>
  <c r="AJ1174" i="13"/>
  <c r="Y1180" i="13"/>
  <c r="Y1181" i="13"/>
  <c r="AO1178" i="13"/>
  <c r="AM1178" i="13"/>
  <c r="AJ1178" i="13"/>
  <c r="AI1178" i="13"/>
  <c r="BA1183" i="13"/>
  <c r="AN1185" i="13"/>
  <c r="AL1185" i="13"/>
  <c r="AJ1185" i="13"/>
  <c r="AI1185" i="13"/>
  <c r="AM1185" i="13"/>
  <c r="AO1185" i="13"/>
  <c r="BB1187" i="13"/>
  <c r="BA1187" i="13"/>
  <c r="AR1188" i="13"/>
  <c r="AC1188" i="13"/>
  <c r="AD1188" i="13" s="1"/>
  <c r="AC1192" i="13"/>
  <c r="AD1192" i="13" s="1"/>
  <c r="AR1192" i="13"/>
  <c r="AN1200" i="13"/>
  <c r="AM1200" i="13"/>
  <c r="AL1200" i="13"/>
  <c r="AK1200" i="13"/>
  <c r="AJ1200" i="13"/>
  <c r="AI1200" i="13"/>
  <c r="AO1200" i="13"/>
  <c r="AH1200" i="13"/>
  <c r="AK1178" i="13"/>
  <c r="AU1181" i="13"/>
  <c r="AC1181" i="13"/>
  <c r="AD1181" i="13" s="1"/>
  <c r="AJ1183" i="13"/>
  <c r="AI1183" i="13"/>
  <c r="AO1183" i="13"/>
  <c r="AL1183" i="13"/>
  <c r="AN1183" i="13"/>
  <c r="AL1184" i="13"/>
  <c r="AK1184" i="13"/>
  <c r="AI1184" i="13"/>
  <c r="AN1184" i="13"/>
  <c r="AU1184" i="13"/>
  <c r="AH1186" i="13"/>
  <c r="AN1186" i="13"/>
  <c r="AO1186" i="13"/>
  <c r="AM1186" i="13"/>
  <c r="AK1186" i="13"/>
  <c r="AL1187" i="13"/>
  <c r="AJ1187" i="13"/>
  <c r="AH1187" i="13"/>
  <c r="AN1187" i="13"/>
  <c r="AM1187" i="13"/>
  <c r="AI1187" i="13"/>
  <c r="Y1189" i="13"/>
  <c r="AI1191" i="13"/>
  <c r="AH1193" i="13"/>
  <c r="AN1193" i="13"/>
  <c r="AM1193" i="13"/>
  <c r="AL1193" i="13"/>
  <c r="AK1193" i="13"/>
  <c r="AO1193" i="13"/>
  <c r="AI1193" i="13"/>
  <c r="AI1176" i="13"/>
  <c r="AN1176" i="13"/>
  <c r="AN1188" i="13"/>
  <c r="AL1188" i="13"/>
  <c r="AJ1188" i="13"/>
  <c r="AO1188" i="13"/>
  <c r="AM1188" i="13"/>
  <c r="AK1188" i="13"/>
  <c r="AN1192" i="13"/>
  <c r="AL1192" i="13"/>
  <c r="AK1192" i="13"/>
  <c r="AJ1192" i="13"/>
  <c r="AI1192" i="13"/>
  <c r="AO1192" i="13"/>
  <c r="AM1192" i="13"/>
  <c r="AH1192" i="13"/>
  <c r="AR1172" i="13"/>
  <c r="AJ1176" i="13"/>
  <c r="AU1177" i="13"/>
  <c r="AC1177" i="13"/>
  <c r="AD1177" i="13" s="1"/>
  <c r="AL1180" i="13"/>
  <c r="AK1180" i="13"/>
  <c r="AI1180" i="13"/>
  <c r="AN1180" i="13"/>
  <c r="AU1180" i="13"/>
  <c r="Y1182" i="13"/>
  <c r="AI1182" i="13"/>
  <c r="AM1184" i="13"/>
  <c r="Y1187" i="13"/>
  <c r="AH1188" i="13"/>
  <c r="AL1195" i="13"/>
  <c r="AJ1195" i="13"/>
  <c r="AI1195" i="13"/>
  <c r="AH1195" i="13"/>
  <c r="AO1195" i="13"/>
  <c r="AN1195" i="13"/>
  <c r="AM1195" i="13"/>
  <c r="AK1195" i="13"/>
  <c r="AC1172" i="13"/>
  <c r="AD1172" i="13" s="1"/>
  <c r="BA1175" i="13"/>
  <c r="AK1176" i="13"/>
  <c r="Y1178" i="13"/>
  <c r="Y1179" i="13"/>
  <c r="AH1180" i="13"/>
  <c r="AO1184" i="13"/>
  <c r="AI1186" i="13"/>
  <c r="AI1188" i="13"/>
  <c r="BB1189" i="13"/>
  <c r="BA1189" i="13"/>
  <c r="AU1192" i="13"/>
  <c r="BB1195" i="13"/>
  <c r="BA1195" i="13"/>
  <c r="AU1197" i="13"/>
  <c r="AC1197" i="13"/>
  <c r="AD1197" i="13" s="1"/>
  <c r="AR1197" i="13"/>
  <c r="AM1176" i="13"/>
  <c r="AH1178" i="13"/>
  <c r="AI1179" i="13"/>
  <c r="AO1179" i="13"/>
  <c r="AL1179" i="13"/>
  <c r="AH1179" i="13"/>
  <c r="AR1181" i="13"/>
  <c r="AH1182" i="13"/>
  <c r="AO1182" i="13"/>
  <c r="AM1182" i="13"/>
  <c r="AJ1182" i="13"/>
  <c r="AN1182" i="13"/>
  <c r="AK1183" i="13"/>
  <c r="AK1185" i="13"/>
  <c r="AC1186" i="13"/>
  <c r="AD1186" i="13" s="1"/>
  <c r="AU1186" i="13"/>
  <c r="AR1186" i="13"/>
  <c r="AL1186" i="13"/>
  <c r="Y1188" i="13"/>
  <c r="AU1188" i="13"/>
  <c r="AL1191" i="13"/>
  <c r="AJ1191" i="13"/>
  <c r="AH1191" i="13"/>
  <c r="AO1191" i="13"/>
  <c r="AK1191" i="13"/>
  <c r="AU1193" i="13"/>
  <c r="AC1193" i="13"/>
  <c r="AD1193" i="13" s="1"/>
  <c r="AR1193" i="13"/>
  <c r="Y1196" i="13"/>
  <c r="AH1197" i="13"/>
  <c r="AN1197" i="13"/>
  <c r="AM1197" i="13"/>
  <c r="AL1197" i="13"/>
  <c r="AK1197" i="13"/>
  <c r="AO1197" i="13"/>
  <c r="AI1197" i="13"/>
  <c r="AR1178" i="13"/>
  <c r="AR1182" i="13"/>
  <c r="AU1190" i="13"/>
  <c r="Y1194" i="13"/>
  <c r="Y1198" i="13"/>
  <c r="AL1199" i="13"/>
  <c r="AK1199" i="13"/>
  <c r="AJ1199" i="13"/>
  <c r="AI1199" i="13"/>
  <c r="AH1199" i="13"/>
  <c r="AO1199" i="13"/>
  <c r="AN1196" i="13"/>
  <c r="AL1196" i="13"/>
  <c r="AK1196" i="13"/>
  <c r="AJ1196" i="13"/>
  <c r="AI1196" i="13"/>
  <c r="AR1198" i="13"/>
  <c r="AM1199" i="13"/>
  <c r="Y1201" i="13"/>
  <c r="BA1185" i="13"/>
  <c r="AJ1194" i="13"/>
  <c r="AH1194" i="13"/>
  <c r="AO1194" i="13"/>
  <c r="AN1194" i="13"/>
  <c r="AM1194" i="13"/>
  <c r="AJ1198" i="13"/>
  <c r="AH1198" i="13"/>
  <c r="AO1198" i="13"/>
  <c r="AN1198" i="13"/>
  <c r="AM1198" i="13"/>
  <c r="AH1201" i="13"/>
  <c r="AO1201" i="13"/>
  <c r="AN1201" i="13"/>
  <c r="AM1201" i="13"/>
  <c r="AL1201" i="13"/>
  <c r="AK1201" i="13"/>
  <c r="AC1196" i="13"/>
  <c r="AD1196" i="13" s="1"/>
  <c r="AR1196" i="13"/>
  <c r="BA1198" i="13"/>
  <c r="AR1191" i="13"/>
  <c r="BA1194" i="13"/>
  <c r="Y1199" i="13"/>
  <c r="AI1201" i="13"/>
  <c r="AI1194" i="13"/>
  <c r="Y1195" i="13"/>
  <c r="AU1200" i="13"/>
  <c r="AC1200" i="13"/>
  <c r="AD1200" i="13" s="1"/>
  <c r="AR1200" i="13"/>
  <c r="BA1193" i="13"/>
  <c r="AU1194" i="13"/>
  <c r="BA1197" i="13"/>
  <c r="AU1198" i="13"/>
  <c r="AC1201" i="13"/>
  <c r="AD1201" i="13" s="1"/>
  <c r="BA1201" i="13"/>
  <c r="BA1192" i="13"/>
  <c r="BA1196" i="13"/>
  <c r="BA1200" i="13"/>
  <c r="AR1199" i="13"/>
  <c r="H126" i="7" l="1"/>
  <c r="AX1106" i="13"/>
  <c r="E59" i="1"/>
  <c r="G223" i="1"/>
  <c r="G74" i="6"/>
  <c r="P12" i="6"/>
  <c r="K12" i="6"/>
  <c r="C56" i="1"/>
  <c r="D19" i="1"/>
  <c r="F117" i="6"/>
  <c r="E117" i="6"/>
  <c r="C117" i="6"/>
  <c r="B117" i="6"/>
  <c r="F111" i="6"/>
  <c r="E111" i="6"/>
  <c r="D111" i="6"/>
  <c r="C111" i="6"/>
  <c r="B111" i="6"/>
  <c r="E114" i="6"/>
  <c r="B114" i="6"/>
  <c r="G75" i="6"/>
  <c r="P13" i="6"/>
  <c r="H75" i="6"/>
  <c r="K13" i="6"/>
  <c r="AM9" i="13"/>
  <c r="AL9" i="13"/>
  <c r="AK9" i="13"/>
  <c r="AI9" i="13"/>
  <c r="AH9" i="13"/>
  <c r="AO9" i="13"/>
  <c r="AN9" i="13"/>
  <c r="AJ395" i="13"/>
  <c r="AI395" i="13"/>
  <c r="AL395" i="13"/>
  <c r="AM395" i="13"/>
  <c r="AO395" i="13"/>
  <c r="AK395" i="13"/>
  <c r="AJ144" i="13"/>
  <c r="AM144" i="13"/>
  <c r="AL144" i="13"/>
  <c r="AJ342" i="13"/>
  <c r="AK342" i="13"/>
  <c r="AH342" i="13"/>
  <c r="AM117" i="13"/>
  <c r="AK117" i="13"/>
  <c r="AN117" i="13"/>
  <c r="AO117" i="13"/>
  <c r="AH117" i="13"/>
  <c r="AI117" i="13"/>
  <c r="AN65" i="13"/>
  <c r="AI65" i="13"/>
  <c r="AK169" i="13"/>
  <c r="AN169" i="13"/>
  <c r="AO169" i="13"/>
  <c r="AI169" i="13"/>
  <c r="AH169" i="13"/>
  <c r="AK860" i="13"/>
  <c r="AO860" i="13"/>
  <c r="AH860" i="13"/>
  <c r="F43" i="6"/>
  <c r="AJ860" i="13"/>
  <c r="AZ366" i="13"/>
  <c r="AZ283" i="13"/>
  <c r="O11" i="6"/>
  <c r="AZ1113" i="13"/>
  <c r="AL342" i="13"/>
  <c r="AY913" i="13"/>
  <c r="AM860" i="13"/>
  <c r="AK817" i="13"/>
  <c r="AY681" i="13"/>
  <c r="AL696" i="13"/>
  <c r="AO646" i="13"/>
  <c r="AN342" i="13"/>
  <c r="AI113" i="13"/>
  <c r="AO144" i="13"/>
  <c r="E118" i="6"/>
  <c r="F45" i="6"/>
  <c r="E73" i="6"/>
  <c r="F105" i="6"/>
  <c r="AX982" i="13"/>
  <c r="AN144" i="13"/>
  <c r="AZ1176" i="13"/>
  <c r="AL817" i="13"/>
  <c r="AZ584" i="13"/>
  <c r="AZ420" i="13"/>
  <c r="AY522" i="13"/>
  <c r="AZ506" i="13"/>
  <c r="AY490" i="13"/>
  <c r="AZ347" i="13"/>
  <c r="AO342" i="13"/>
  <c r="AH144" i="13"/>
  <c r="B105" i="6"/>
  <c r="AJ169" i="13"/>
  <c r="AJ113" i="13"/>
  <c r="F118" i="6"/>
  <c r="AY510" i="13"/>
  <c r="AI342" i="13"/>
  <c r="AO113" i="13"/>
  <c r="AI144" i="13"/>
  <c r="C105" i="6"/>
  <c r="AH649" i="13"/>
  <c r="AX526" i="13"/>
  <c r="AX494" i="13"/>
  <c r="AY412" i="13"/>
  <c r="AZ355" i="13"/>
  <c r="AN860" i="13"/>
  <c r="AI860" i="13"/>
  <c r="AO817" i="13"/>
  <c r="AY701" i="13"/>
  <c r="AH696" i="13"/>
  <c r="AM342" i="13"/>
  <c r="AN113" i="13"/>
  <c r="D105" i="6"/>
  <c r="AL860" i="13"/>
  <c r="AM817" i="13"/>
  <c r="AY697" i="13"/>
  <c r="AZ653" i="13"/>
  <c r="AI696" i="13"/>
  <c r="AJ646" i="13"/>
  <c r="AH113" i="13"/>
  <c r="AK113" i="13"/>
  <c r="AK144" i="13"/>
  <c r="AN696" i="13"/>
  <c r="AJ649" i="13"/>
  <c r="AZ1196" i="13"/>
  <c r="AZ1170" i="13"/>
  <c r="AZ1106" i="13"/>
  <c r="AX960" i="13"/>
  <c r="AY882" i="13"/>
  <c r="AZ907" i="13"/>
  <c r="AZ806" i="13"/>
  <c r="AZ699" i="13"/>
  <c r="AZ552" i="13"/>
  <c r="AY484" i="13"/>
  <c r="AY458" i="13"/>
  <c r="AX283" i="13"/>
  <c r="AX420" i="13"/>
  <c r="AY155" i="13"/>
  <c r="AH65" i="13"/>
  <c r="E71" i="6"/>
  <c r="O9" i="6"/>
  <c r="AZ418" i="13"/>
  <c r="V17" i="10"/>
  <c r="AK65" i="13"/>
  <c r="AX1010" i="13"/>
  <c r="AZ1002" i="13"/>
  <c r="AX927" i="13"/>
  <c r="AZ949" i="13"/>
  <c r="AY905" i="13"/>
  <c r="AX863" i="13"/>
  <c r="AZ685" i="13"/>
  <c r="AO649" i="13"/>
  <c r="AZ462" i="13"/>
  <c r="AY347" i="13"/>
  <c r="AJ65" i="13"/>
  <c r="AN649" i="13"/>
  <c r="AX434" i="13"/>
  <c r="AY1059" i="13"/>
  <c r="AZ991" i="13"/>
  <c r="AY999" i="13"/>
  <c r="AZ665" i="13"/>
  <c r="AZ426" i="13"/>
  <c r="AL65" i="13"/>
  <c r="AX677" i="13"/>
  <c r="AY466" i="13"/>
  <c r="AY267" i="13"/>
  <c r="AY213" i="13"/>
  <c r="AY67" i="13"/>
  <c r="AY1121" i="13"/>
  <c r="AY385" i="13"/>
  <c r="AM65" i="13"/>
  <c r="C132" i="12"/>
  <c r="AM649" i="13"/>
  <c r="AK649" i="13"/>
  <c r="AM169" i="13"/>
  <c r="AL169" i="13"/>
  <c r="AY450" i="13"/>
  <c r="AX1019" i="13"/>
  <c r="AX1110" i="13"/>
  <c r="AX1078" i="13"/>
  <c r="AX1007" i="13"/>
  <c r="AY689" i="13"/>
  <c r="AI649" i="13"/>
  <c r="AX693" i="13"/>
  <c r="AY478" i="13"/>
  <c r="AY128" i="13"/>
  <c r="AO65" i="13"/>
  <c r="AX1154" i="13"/>
  <c r="AY1030" i="13"/>
  <c r="AY1043" i="13"/>
  <c r="AY374" i="13"/>
  <c r="AX401" i="13"/>
  <c r="AZ421" i="13"/>
  <c r="AZ371" i="13"/>
  <c r="AZ68" i="13"/>
  <c r="F47" i="6"/>
  <c r="AX886" i="13"/>
  <c r="AX1117" i="13"/>
  <c r="AZ1062" i="13"/>
  <c r="AY1136" i="13"/>
  <c r="AZ1087" i="13"/>
  <c r="AZ913" i="13"/>
  <c r="AY487" i="13"/>
  <c r="AX450" i="13"/>
  <c r="AZ962" i="13"/>
  <c r="AX894" i="13"/>
  <c r="AZ882" i="13"/>
  <c r="AY962" i="13"/>
  <c r="AX834" i="13"/>
  <c r="AY777" i="13"/>
  <c r="AX552" i="13"/>
  <c r="AY685" i="13"/>
  <c r="AY514" i="13"/>
  <c r="AZ487" i="13"/>
  <c r="AZ412" i="13"/>
  <c r="AY639" i="13"/>
  <c r="AY470" i="13"/>
  <c r="AZ438" i="13"/>
  <c r="AX406" i="13"/>
  <c r="AX382" i="13"/>
  <c r="AX358" i="13"/>
  <c r="AZ401" i="13"/>
  <c r="AX412" i="13"/>
  <c r="AZ470" i="13"/>
  <c r="AZ60" i="13"/>
  <c r="AZ104" i="13"/>
  <c r="AX84" i="13"/>
  <c r="AP2" i="13"/>
  <c r="AP10" i="13"/>
  <c r="AE10" i="13"/>
  <c r="AI829" i="13"/>
  <c r="AN829" i="13"/>
  <c r="AN395" i="13"/>
  <c r="AH395" i="13"/>
  <c r="AM113" i="13"/>
  <c r="AY1010" i="13"/>
  <c r="AZ802" i="13"/>
  <c r="AZ927" i="13"/>
  <c r="AX667" i="13"/>
  <c r="AX1196" i="13"/>
  <c r="AX1113" i="13"/>
  <c r="AZ1030" i="13"/>
  <c r="AX697" i="13"/>
  <c r="AZ458" i="13"/>
  <c r="Y9" i="13"/>
  <c r="P13" i="10" s="1"/>
  <c r="AZ155" i="13"/>
  <c r="AZ1138" i="13"/>
  <c r="AY1002" i="13"/>
  <c r="AZ923" i="13"/>
  <c r="AZ697" i="13"/>
  <c r="AZ539" i="13"/>
  <c r="AY568" i="13"/>
  <c r="AY418" i="13"/>
  <c r="AY1138" i="13"/>
  <c r="AX1079" i="13"/>
  <c r="AX1066" i="13"/>
  <c r="AZ999" i="13"/>
  <c r="AY1007" i="13"/>
  <c r="AZ871" i="13"/>
  <c r="AY907" i="13"/>
  <c r="AZ838" i="13"/>
  <c r="AX711" i="13"/>
  <c r="AX1176" i="13"/>
  <c r="AY806" i="13"/>
  <c r="AX871" i="13"/>
  <c r="AZ701" i="13"/>
  <c r="AY699" i="13"/>
  <c r="AZ667" i="13"/>
  <c r="AY711" i="13"/>
  <c r="AX408" i="13"/>
  <c r="AY446" i="13"/>
  <c r="AX366" i="13"/>
  <c r="AY426" i="13"/>
  <c r="AY379" i="13"/>
  <c r="AY366" i="13"/>
  <c r="AZ315" i="13"/>
  <c r="AZ267" i="13"/>
  <c r="AZ213" i="13"/>
  <c r="AY421" i="13"/>
  <c r="AZ119" i="13"/>
  <c r="AY63" i="13"/>
  <c r="C133" i="12"/>
  <c r="AY100" i="13"/>
  <c r="BA3" i="13"/>
  <c r="S8" i="13"/>
  <c r="BB3" i="13"/>
  <c r="G48" i="6"/>
  <c r="AB10" i="13"/>
  <c r="I60" i="1"/>
  <c r="AJ825" i="13"/>
  <c r="AN825" i="13"/>
  <c r="AZ1019" i="13"/>
  <c r="AX1026" i="13"/>
  <c r="AX699" i="13"/>
  <c r="AZ695" i="13"/>
  <c r="AY982" i="13"/>
  <c r="AY1110" i="13"/>
  <c r="AX1087" i="13"/>
  <c r="AY1026" i="13"/>
  <c r="AY923" i="13"/>
  <c r="AZ905" i="13"/>
  <c r="AX854" i="13"/>
  <c r="AX850" i="13"/>
  <c r="AX806" i="13"/>
  <c r="AY667" i="13"/>
  <c r="AZ484" i="13"/>
  <c r="AZ522" i="13"/>
  <c r="AX506" i="13"/>
  <c r="AZ466" i="13"/>
  <c r="AY434" i="13"/>
  <c r="AY390" i="13"/>
  <c r="AY369" i="13"/>
  <c r="AY430" i="13"/>
  <c r="AZ403" i="13"/>
  <c r="AY377" i="13"/>
  <c r="AY335" i="13"/>
  <c r="AX124" i="13"/>
  <c r="AX63" i="13"/>
  <c r="AX128" i="13"/>
  <c r="AY92" i="13"/>
  <c r="AZ84" i="13"/>
  <c r="V11" i="10"/>
  <c r="AY68" i="13"/>
  <c r="G16" i="7"/>
  <c r="D132" i="12"/>
  <c r="BB10" i="13"/>
  <c r="G47" i="6"/>
  <c r="AL415" i="13"/>
  <c r="AJ415" i="13"/>
  <c r="AN415" i="13"/>
  <c r="AY990" i="13"/>
  <c r="AZ994" i="13"/>
  <c r="AX842" i="13"/>
  <c r="AX990" i="13"/>
  <c r="AY653" i="13"/>
  <c r="AZ677" i="13"/>
  <c r="AX639" i="13"/>
  <c r="AY1034" i="13"/>
  <c r="AZ1150" i="13"/>
  <c r="AZ1079" i="13"/>
  <c r="AY886" i="13"/>
  <c r="AX675" i="13"/>
  <c r="AZ358" i="13"/>
  <c r="AZ982" i="13"/>
  <c r="AY931" i="13"/>
  <c r="AY1170" i="13"/>
  <c r="AY1150" i="13"/>
  <c r="AX1121" i="13"/>
  <c r="AX1043" i="13"/>
  <c r="AX991" i="13"/>
  <c r="AZ890" i="13"/>
  <c r="AZ960" i="13"/>
  <c r="AZ886" i="13"/>
  <c r="AZ894" i="13"/>
  <c r="AX802" i="13"/>
  <c r="AZ854" i="13"/>
  <c r="AZ842" i="13"/>
  <c r="AX820" i="13"/>
  <c r="AX701" i="13"/>
  <c r="AX689" i="13"/>
  <c r="AZ632" i="13"/>
  <c r="AY552" i="13"/>
  <c r="AZ531" i="13"/>
  <c r="AZ711" i="13"/>
  <c r="AY420" i="13"/>
  <c r="AX584" i="13"/>
  <c r="AY506" i="13"/>
  <c r="AX490" i="13"/>
  <c r="AY462" i="13"/>
  <c r="AZ430" i="13"/>
  <c r="AX377" i="13"/>
  <c r="AZ390" i="13"/>
  <c r="AX363" i="13"/>
  <c r="AX135" i="13"/>
  <c r="AY104" i="13"/>
  <c r="AY84" i="13"/>
  <c r="AZ67" i="13"/>
  <c r="BA6" i="13"/>
  <c r="AX100" i="13"/>
  <c r="Y3" i="13"/>
  <c r="G43" i="6"/>
  <c r="G49" i="6"/>
  <c r="AE8" i="13"/>
  <c r="AJ817" i="13"/>
  <c r="AN817" i="13"/>
  <c r="V9" i="11"/>
  <c r="E26" i="7"/>
  <c r="R7" i="11"/>
  <c r="E21" i="6"/>
  <c r="D33" i="6"/>
  <c r="F34" i="6" s="1"/>
  <c r="V6" i="11"/>
  <c r="C14" i="6"/>
  <c r="C233" i="1"/>
  <c r="N14" i="10"/>
  <c r="I25" i="6" a="1"/>
  <c r="I25" i="6" s="1"/>
  <c r="H25" i="6" a="1"/>
  <c r="H25" i="6" s="1"/>
  <c r="D25" i="6"/>
  <c r="C227" i="1"/>
  <c r="B42" i="6"/>
  <c r="F42" i="6" s="1"/>
  <c r="I19" i="6" a="1"/>
  <c r="I19" i="6" s="1"/>
  <c r="C8" i="6"/>
  <c r="S3" i="11"/>
  <c r="K9" i="10"/>
  <c r="F34" i="7"/>
  <c r="AZ387" i="13"/>
  <c r="AZ374" i="13"/>
  <c r="AY283" i="13"/>
  <c r="AX393" i="13"/>
  <c r="AZ135" i="13"/>
  <c r="AY124" i="13"/>
  <c r="AY119" i="13"/>
  <c r="AZ108" i="13"/>
  <c r="BA9" i="13"/>
  <c r="AY76" i="13"/>
  <c r="AY60" i="13"/>
  <c r="AE7" i="13"/>
  <c r="AE2" i="13"/>
  <c r="AY163" i="13"/>
  <c r="AY171" i="13"/>
  <c r="F48" i="6"/>
  <c r="AP8" i="13"/>
  <c r="AX685" i="13"/>
  <c r="AZ644" i="13"/>
  <c r="AZ568" i="13"/>
  <c r="AX514" i="13"/>
  <c r="AY498" i="13"/>
  <c r="AZ363" i="13"/>
  <c r="AX350" i="13"/>
  <c r="AZ393" i="13"/>
  <c r="AX347" i="13"/>
  <c r="AY205" i="13"/>
  <c r="AX371" i="13"/>
  <c r="AZ147" i="13"/>
  <c r="AX68" i="13"/>
  <c r="AX163" i="13"/>
  <c r="AJ805" i="13"/>
  <c r="AN805" i="13"/>
  <c r="S2" i="11"/>
  <c r="I22" i="6" a="1"/>
  <c r="I22" i="6" s="1"/>
  <c r="C230" i="1"/>
  <c r="AY1052" i="13"/>
  <c r="AX1052" i="13"/>
  <c r="AZ1052" i="13"/>
  <c r="AZ1050" i="13"/>
  <c r="AY1050" i="13"/>
  <c r="AX1050" i="13"/>
  <c r="AZ1049" i="13"/>
  <c r="AX1049" i="13"/>
  <c r="AY1049" i="13"/>
  <c r="AZ979" i="13"/>
  <c r="AY979" i="13"/>
  <c r="AX979" i="13"/>
  <c r="AX976" i="13"/>
  <c r="AZ976" i="13"/>
  <c r="AY976" i="13"/>
  <c r="AZ980" i="13"/>
  <c r="AY980" i="13"/>
  <c r="AX980" i="13"/>
  <c r="AZ921" i="13"/>
  <c r="AY921" i="13"/>
  <c r="AX921" i="13"/>
  <c r="AM885" i="13"/>
  <c r="AL885" i="13"/>
  <c r="AK885" i="13"/>
  <c r="AJ885" i="13"/>
  <c r="AI885" i="13"/>
  <c r="AH885" i="13"/>
  <c r="AO885" i="13"/>
  <c r="AN885" i="13"/>
  <c r="AZ870" i="13"/>
  <c r="AY870" i="13"/>
  <c r="AX870" i="13"/>
  <c r="AZ903" i="13"/>
  <c r="AY903" i="13"/>
  <c r="AX903" i="13"/>
  <c r="AZ877" i="13"/>
  <c r="AY877" i="13"/>
  <c r="AX877" i="13"/>
  <c r="AZ816" i="13"/>
  <c r="AY816" i="13"/>
  <c r="AX816" i="13"/>
  <c r="AX758" i="13"/>
  <c r="AZ758" i="13"/>
  <c r="AY758" i="13"/>
  <c r="AY725" i="13"/>
  <c r="AX725" i="13"/>
  <c r="AZ725" i="13"/>
  <c r="AZ703" i="13"/>
  <c r="AY703" i="13"/>
  <c r="AX703" i="13"/>
  <c r="AZ718" i="13"/>
  <c r="AY718" i="13"/>
  <c r="AX718" i="13"/>
  <c r="AY629" i="13"/>
  <c r="AZ629" i="13"/>
  <c r="AX629" i="13"/>
  <c r="AZ501" i="13"/>
  <c r="AY501" i="13"/>
  <c r="AX501" i="13"/>
  <c r="AX621" i="13"/>
  <c r="AZ621" i="13"/>
  <c r="AY621" i="13"/>
  <c r="AX589" i="13"/>
  <c r="AZ589" i="13"/>
  <c r="AY589" i="13"/>
  <c r="AZ520" i="13"/>
  <c r="AY520" i="13"/>
  <c r="AX520" i="13"/>
  <c r="AZ500" i="13"/>
  <c r="AY500" i="13"/>
  <c r="AX500" i="13"/>
  <c r="AZ465" i="13"/>
  <c r="AY465" i="13"/>
  <c r="AX465" i="13"/>
  <c r="AY1196" i="13"/>
  <c r="AY1171" i="13"/>
  <c r="AX1171" i="13"/>
  <c r="AZ1171" i="13"/>
  <c r="AY1176" i="13"/>
  <c r="AY1173" i="13"/>
  <c r="AX1173" i="13"/>
  <c r="AZ1173" i="13"/>
  <c r="AX1165" i="13"/>
  <c r="AZ1165" i="13"/>
  <c r="AY1165" i="13"/>
  <c r="AX1150" i="13"/>
  <c r="AH1151" i="13"/>
  <c r="AO1151" i="13"/>
  <c r="AN1151" i="13"/>
  <c r="AM1151" i="13"/>
  <c r="AK1151" i="13"/>
  <c r="AJ1151" i="13"/>
  <c r="AL1151" i="13"/>
  <c r="AI1151" i="13"/>
  <c r="AZ1158" i="13"/>
  <c r="AY1158" i="13"/>
  <c r="AX1158" i="13"/>
  <c r="AY1154" i="13"/>
  <c r="AX1098" i="13"/>
  <c r="AZ1098" i="13"/>
  <c r="AY1098" i="13"/>
  <c r="AZ1122" i="13"/>
  <c r="AY1122" i="13"/>
  <c r="AX1122" i="13"/>
  <c r="AY1095" i="13"/>
  <c r="AX1095" i="13"/>
  <c r="AZ1095" i="13"/>
  <c r="AZ1104" i="13"/>
  <c r="AY1104" i="13"/>
  <c r="AX1104" i="13"/>
  <c r="AY1078" i="13"/>
  <c r="AZ1061" i="13"/>
  <c r="AX1061" i="13"/>
  <c r="AY1061" i="13"/>
  <c r="AZ1046" i="13"/>
  <c r="AY1046" i="13"/>
  <c r="AX1046" i="13"/>
  <c r="AY1018" i="13"/>
  <c r="AZ1018" i="13"/>
  <c r="AX1018" i="13"/>
  <c r="AZ1033" i="13"/>
  <c r="AY1033" i="13"/>
  <c r="AX1033" i="13"/>
  <c r="AX1059" i="13"/>
  <c r="AJ1009" i="13"/>
  <c r="AH1009" i="13"/>
  <c r="AO1009" i="13"/>
  <c r="AM1009" i="13"/>
  <c r="AK1009" i="13"/>
  <c r="AI1009" i="13"/>
  <c r="AN1009" i="13"/>
  <c r="AL1009" i="13"/>
  <c r="AZ955" i="13"/>
  <c r="AY955" i="13"/>
  <c r="AX955" i="13"/>
  <c r="AX926" i="13"/>
  <c r="AY926" i="13"/>
  <c r="AZ926" i="13"/>
  <c r="AY872" i="13"/>
  <c r="AX872" i="13"/>
  <c r="AZ872" i="13"/>
  <c r="AX938" i="13"/>
  <c r="AZ938" i="13"/>
  <c r="AY938" i="13"/>
  <c r="AY894" i="13"/>
  <c r="AX902" i="13"/>
  <c r="AZ902" i="13"/>
  <c r="AY902" i="13"/>
  <c r="AZ931" i="13"/>
  <c r="AZ881" i="13"/>
  <c r="AY881" i="13"/>
  <c r="AX881" i="13"/>
  <c r="AH950" i="13"/>
  <c r="AO950" i="13"/>
  <c r="AN950" i="13"/>
  <c r="AM950" i="13"/>
  <c r="AL950" i="13"/>
  <c r="AK950" i="13"/>
  <c r="AJ950" i="13"/>
  <c r="AI950" i="13"/>
  <c r="AY854" i="13"/>
  <c r="AX809" i="13"/>
  <c r="AZ809" i="13"/>
  <c r="AY809" i="13"/>
  <c r="AX882" i="13"/>
  <c r="AY883" i="13"/>
  <c r="AX883" i="13"/>
  <c r="AZ883" i="13"/>
  <c r="AY839" i="13"/>
  <c r="AX839" i="13"/>
  <c r="AZ839" i="13"/>
  <c r="AZ767" i="13"/>
  <c r="AY767" i="13"/>
  <c r="AX767" i="13"/>
  <c r="AY834" i="13"/>
  <c r="AJ800" i="13"/>
  <c r="AH800" i="13"/>
  <c r="AO800" i="13"/>
  <c r="AM800" i="13"/>
  <c r="AL800" i="13"/>
  <c r="AN800" i="13"/>
  <c r="AK800" i="13"/>
  <c r="AI800" i="13"/>
  <c r="AJ796" i="13"/>
  <c r="AH796" i="13"/>
  <c r="AO796" i="13"/>
  <c r="AM796" i="13"/>
  <c r="AL796" i="13"/>
  <c r="AN796" i="13"/>
  <c r="AK796" i="13"/>
  <c r="AI796" i="13"/>
  <c r="AJ788" i="13"/>
  <c r="AH788" i="13"/>
  <c r="AO788" i="13"/>
  <c r="AM788" i="13"/>
  <c r="AL788" i="13"/>
  <c r="AN788" i="13"/>
  <c r="AK788" i="13"/>
  <c r="AI788" i="13"/>
  <c r="AJ784" i="13"/>
  <c r="AH784" i="13"/>
  <c r="AO784" i="13"/>
  <c r="AM784" i="13"/>
  <c r="AL784" i="13"/>
  <c r="AN784" i="13"/>
  <c r="AK784" i="13"/>
  <c r="AI784" i="13"/>
  <c r="AY820" i="13"/>
  <c r="AY717" i="13"/>
  <c r="AX717" i="13"/>
  <c r="AZ717" i="13"/>
  <c r="AY694" i="13"/>
  <c r="AX694" i="13"/>
  <c r="AZ694" i="13"/>
  <c r="AX855" i="13"/>
  <c r="AZ855" i="13"/>
  <c r="AY855" i="13"/>
  <c r="AX750" i="13"/>
  <c r="AZ750" i="13"/>
  <c r="AY750" i="13"/>
  <c r="AZ777" i="13"/>
  <c r="AZ683" i="13"/>
  <c r="AY683" i="13"/>
  <c r="AX683" i="13"/>
  <c r="AX644" i="13"/>
  <c r="AY644" i="13"/>
  <c r="AZ595" i="13"/>
  <c r="AY595" i="13"/>
  <c r="AX595" i="13"/>
  <c r="AZ570" i="13"/>
  <c r="AX570" i="13"/>
  <c r="AY570" i="13"/>
  <c r="AZ745" i="13"/>
  <c r="AY745" i="13"/>
  <c r="AX745" i="13"/>
  <c r="AY678" i="13"/>
  <c r="AX678" i="13"/>
  <c r="AZ678" i="13"/>
  <c r="AX638" i="13"/>
  <c r="AZ638" i="13"/>
  <c r="AY638" i="13"/>
  <c r="AY704" i="13"/>
  <c r="AX704" i="13"/>
  <c r="AZ704" i="13"/>
  <c r="AY700" i="13"/>
  <c r="AX700" i="13"/>
  <c r="AZ700" i="13"/>
  <c r="AY637" i="13"/>
  <c r="AZ637" i="13"/>
  <c r="AX637" i="13"/>
  <c r="AZ612" i="13"/>
  <c r="AY612" i="13"/>
  <c r="AX612" i="13"/>
  <c r="AZ671" i="13"/>
  <c r="AY671" i="13"/>
  <c r="AX671" i="13"/>
  <c r="AZ599" i="13"/>
  <c r="AY599" i="13"/>
  <c r="AX599" i="13"/>
  <c r="AX653" i="13"/>
  <c r="AZ492" i="13"/>
  <c r="AY492" i="13"/>
  <c r="AX492" i="13"/>
  <c r="AX695" i="13"/>
  <c r="AZ1198" i="13"/>
  <c r="AY1198" i="13"/>
  <c r="AX1198" i="13"/>
  <c r="AZ1191" i="13"/>
  <c r="AY1191" i="13"/>
  <c r="AX1191" i="13"/>
  <c r="AZ1188" i="13"/>
  <c r="AY1188" i="13"/>
  <c r="AX1188" i="13"/>
  <c r="AX1169" i="13"/>
  <c r="AY1169" i="13"/>
  <c r="AZ1169" i="13"/>
  <c r="AX1157" i="13"/>
  <c r="AZ1157" i="13"/>
  <c r="AY1157" i="13"/>
  <c r="AZ1117" i="13"/>
  <c r="AH1139" i="13"/>
  <c r="AO1139" i="13"/>
  <c r="AM1139" i="13"/>
  <c r="AL1139" i="13"/>
  <c r="AK1139" i="13"/>
  <c r="AN1139" i="13"/>
  <c r="AJ1139" i="13"/>
  <c r="AI1139" i="13"/>
  <c r="AZ1094" i="13"/>
  <c r="AX1094" i="13"/>
  <c r="AY1094" i="13"/>
  <c r="AY1106" i="13"/>
  <c r="AH1131" i="13"/>
  <c r="AO1131" i="13"/>
  <c r="AM1131" i="13"/>
  <c r="AL1131" i="13"/>
  <c r="AI1131" i="13"/>
  <c r="AN1131" i="13"/>
  <c r="AK1131" i="13"/>
  <c r="AJ1131" i="13"/>
  <c r="AZ1124" i="13"/>
  <c r="AY1124" i="13"/>
  <c r="AX1124" i="13"/>
  <c r="AH1115" i="13"/>
  <c r="AO1115" i="13"/>
  <c r="AM1115" i="13"/>
  <c r="AJ1115" i="13"/>
  <c r="AN1115" i="13"/>
  <c r="AL1115" i="13"/>
  <c r="AK1115" i="13"/>
  <c r="AI1115" i="13"/>
  <c r="AZ1154" i="13"/>
  <c r="AY1117" i="13"/>
  <c r="AZ1134" i="13"/>
  <c r="AY1134" i="13"/>
  <c r="AX1134" i="13"/>
  <c r="AX1073" i="13"/>
  <c r="AZ1073" i="13"/>
  <c r="AY1073" i="13"/>
  <c r="AY1081" i="13"/>
  <c r="AX1081" i="13"/>
  <c r="AZ1081" i="13"/>
  <c r="AZ1078" i="13"/>
  <c r="AZ1040" i="13"/>
  <c r="AY1040" i="13"/>
  <c r="AX1040" i="13"/>
  <c r="AZ1025" i="13"/>
  <c r="AY1025" i="13"/>
  <c r="AX1025" i="13"/>
  <c r="AZ1017" i="13"/>
  <c r="AY1017" i="13"/>
  <c r="AX1017" i="13"/>
  <c r="AZ1058" i="13"/>
  <c r="AY1058" i="13"/>
  <c r="AX1058" i="13"/>
  <c r="AZ1026" i="13"/>
  <c r="AZ1016" i="13"/>
  <c r="AY1016" i="13"/>
  <c r="AX1016" i="13"/>
  <c r="AZ969" i="13"/>
  <c r="AY969" i="13"/>
  <c r="AX969" i="13"/>
  <c r="AZ1059" i="13"/>
  <c r="AZ1014" i="13"/>
  <c r="AY1014" i="13"/>
  <c r="AX1014" i="13"/>
  <c r="AY991" i="13"/>
  <c r="AZ951" i="13"/>
  <c r="AY951" i="13"/>
  <c r="AX951" i="13"/>
  <c r="AZ909" i="13"/>
  <c r="AY909" i="13"/>
  <c r="AX909" i="13"/>
  <c r="AZ975" i="13"/>
  <c r="AY975" i="13"/>
  <c r="AX975" i="13"/>
  <c r="AX890" i="13"/>
  <c r="AZ915" i="13"/>
  <c r="AY915" i="13"/>
  <c r="AX915" i="13"/>
  <c r="AL908" i="13"/>
  <c r="AH908" i="13"/>
  <c r="AO908" i="13"/>
  <c r="AN908" i="13"/>
  <c r="AM908" i="13"/>
  <c r="AK908" i="13"/>
  <c r="AJ908" i="13"/>
  <c r="AI908" i="13"/>
  <c r="AY890" i="13"/>
  <c r="AZ933" i="13"/>
  <c r="AY933" i="13"/>
  <c r="AX933" i="13"/>
  <c r="AZ898" i="13"/>
  <c r="AY898" i="13"/>
  <c r="AX898" i="13"/>
  <c r="AZ862" i="13"/>
  <c r="AY862" i="13"/>
  <c r="AX862" i="13"/>
  <c r="AZ925" i="13"/>
  <c r="AY925" i="13"/>
  <c r="AX925" i="13"/>
  <c r="AZ867" i="13"/>
  <c r="AY867" i="13"/>
  <c r="AX867" i="13"/>
  <c r="AY835" i="13"/>
  <c r="AX835" i="13"/>
  <c r="AZ835" i="13"/>
  <c r="AY807" i="13"/>
  <c r="AX807" i="13"/>
  <c r="AZ807" i="13"/>
  <c r="AX821" i="13"/>
  <c r="AZ821" i="13"/>
  <c r="AY821" i="13"/>
  <c r="AX852" i="13"/>
  <c r="AZ852" i="13"/>
  <c r="AY852" i="13"/>
  <c r="AZ845" i="13"/>
  <c r="AY845" i="13"/>
  <c r="AX845" i="13"/>
  <c r="AZ779" i="13"/>
  <c r="AX779" i="13"/>
  <c r="AY779" i="13"/>
  <c r="AZ765" i="13"/>
  <c r="AY765" i="13"/>
  <c r="AX765" i="13"/>
  <c r="AZ834" i="13"/>
  <c r="AZ812" i="13"/>
  <c r="AY812" i="13"/>
  <c r="AX812" i="13"/>
  <c r="AY786" i="13"/>
  <c r="AX786" i="13"/>
  <c r="AZ786" i="13"/>
  <c r="AX766" i="13"/>
  <c r="AZ766" i="13"/>
  <c r="AY766" i="13"/>
  <c r="AX760" i="13"/>
  <c r="AZ760" i="13"/>
  <c r="AY760" i="13"/>
  <c r="AX838" i="13"/>
  <c r="AZ820" i="13"/>
  <c r="AX791" i="13"/>
  <c r="AZ791" i="13"/>
  <c r="AY791" i="13"/>
  <c r="AH776" i="13"/>
  <c r="AO776" i="13"/>
  <c r="AM776" i="13"/>
  <c r="AL776" i="13"/>
  <c r="AJ776" i="13"/>
  <c r="AI776" i="13"/>
  <c r="AN776" i="13"/>
  <c r="AK776" i="13"/>
  <c r="AZ729" i="13"/>
  <c r="AY729" i="13"/>
  <c r="AX729" i="13"/>
  <c r="AZ720" i="13"/>
  <c r="AY720" i="13"/>
  <c r="AX720" i="13"/>
  <c r="AX799" i="13"/>
  <c r="AZ799" i="13"/>
  <c r="AY799" i="13"/>
  <c r="AY682" i="13"/>
  <c r="AX682" i="13"/>
  <c r="AZ682" i="13"/>
  <c r="AX747" i="13"/>
  <c r="AZ747" i="13"/>
  <c r="AY747" i="13"/>
  <c r="AZ681" i="13"/>
  <c r="AX681" i="13"/>
  <c r="AY670" i="13"/>
  <c r="AX670" i="13"/>
  <c r="AZ670" i="13"/>
  <c r="AZ673" i="13"/>
  <c r="AY673" i="13"/>
  <c r="AX673" i="13"/>
  <c r="AY654" i="13"/>
  <c r="AX654" i="13"/>
  <c r="AZ654" i="13"/>
  <c r="AY657" i="13"/>
  <c r="AZ657" i="13"/>
  <c r="AX657" i="13"/>
  <c r="AZ608" i="13"/>
  <c r="AY608" i="13"/>
  <c r="AX608" i="13"/>
  <c r="AX625" i="13"/>
  <c r="AZ625" i="13"/>
  <c r="AY625" i="13"/>
  <c r="AZ587" i="13"/>
  <c r="AY587" i="13"/>
  <c r="AX587" i="13"/>
  <c r="AX553" i="13"/>
  <c r="AZ553" i="13"/>
  <c r="AY553" i="13"/>
  <c r="AY665" i="13"/>
  <c r="AX795" i="13"/>
  <c r="AZ795" i="13"/>
  <c r="AY795" i="13"/>
  <c r="AZ571" i="13"/>
  <c r="AY571" i="13"/>
  <c r="AX571" i="13"/>
  <c r="AZ543" i="13"/>
  <c r="AY543" i="13"/>
  <c r="AX543" i="13"/>
  <c r="AO636" i="13"/>
  <c r="AL636" i="13"/>
  <c r="AN636" i="13"/>
  <c r="AK636" i="13"/>
  <c r="AJ636" i="13"/>
  <c r="AI636" i="13"/>
  <c r="AH636" i="13"/>
  <c r="AM636" i="13"/>
  <c r="AX531" i="13"/>
  <c r="AZ623" i="13"/>
  <c r="AY623" i="13"/>
  <c r="AX623" i="13"/>
  <c r="AZ554" i="13"/>
  <c r="AX554" i="13"/>
  <c r="AY554" i="13"/>
  <c r="AZ529" i="13"/>
  <c r="AY529" i="13"/>
  <c r="AX529" i="13"/>
  <c r="AZ509" i="13"/>
  <c r="AY509" i="13"/>
  <c r="AX509" i="13"/>
  <c r="AZ493" i="13"/>
  <c r="AY493" i="13"/>
  <c r="AX493" i="13"/>
  <c r="AX565" i="13"/>
  <c r="AZ565" i="13"/>
  <c r="AY565" i="13"/>
  <c r="AZ559" i="13"/>
  <c r="AY559" i="13"/>
  <c r="AX559" i="13"/>
  <c r="AX630" i="13"/>
  <c r="AY630" i="13"/>
  <c r="AZ630" i="13"/>
  <c r="AY473" i="13"/>
  <c r="AX473" i="13"/>
  <c r="AZ473" i="13"/>
  <c r="AY519" i="13"/>
  <c r="AX519" i="13"/>
  <c r="AZ519" i="13"/>
  <c r="AY503" i="13"/>
  <c r="AX503" i="13"/>
  <c r="AZ503" i="13"/>
  <c r="AY477" i="13"/>
  <c r="AX477" i="13"/>
  <c r="AZ477" i="13"/>
  <c r="AZ639" i="13"/>
  <c r="AZ675" i="13"/>
  <c r="AY483" i="13"/>
  <c r="AZ483" i="13"/>
  <c r="AX483" i="13"/>
  <c r="AX462" i="13"/>
  <c r="AZ510" i="13"/>
  <c r="AY372" i="13"/>
  <c r="AZ372" i="13"/>
  <c r="AX372" i="13"/>
  <c r="AY526" i="13"/>
  <c r="AZ460" i="13"/>
  <c r="AY460" i="13"/>
  <c r="AX460" i="13"/>
  <c r="AY419" i="13"/>
  <c r="AX419" i="13"/>
  <c r="AZ419" i="13"/>
  <c r="AY695" i="13"/>
  <c r="AZ555" i="13"/>
  <c r="AY555" i="13"/>
  <c r="AX555" i="13"/>
  <c r="AZ490" i="13"/>
  <c r="AX385" i="13"/>
  <c r="AX369" i="13"/>
  <c r="AY431" i="13"/>
  <c r="AX431" i="13"/>
  <c r="AZ431" i="13"/>
  <c r="AY494" i="13"/>
  <c r="AX349" i="13"/>
  <c r="AZ349" i="13"/>
  <c r="AY349" i="13"/>
  <c r="AZ319" i="13"/>
  <c r="AY319" i="13"/>
  <c r="AX319" i="13"/>
  <c r="AY358" i="13"/>
  <c r="AZ333" i="13"/>
  <c r="AY333" i="13"/>
  <c r="AX333" i="13"/>
  <c r="AY392" i="13"/>
  <c r="AX392" i="13"/>
  <c r="AZ392" i="13"/>
  <c r="AZ391" i="13"/>
  <c r="AY391" i="13"/>
  <c r="AX391" i="13"/>
  <c r="AZ375" i="13"/>
  <c r="AY375" i="13"/>
  <c r="AX375" i="13"/>
  <c r="AZ446" i="13"/>
  <c r="AX403" i="13"/>
  <c r="AZ309" i="13"/>
  <c r="AY309" i="13"/>
  <c r="AX309" i="13"/>
  <c r="AZ444" i="13"/>
  <c r="AY444" i="13"/>
  <c r="AX444" i="13"/>
  <c r="AX387" i="13"/>
  <c r="AZ379" i="13"/>
  <c r="AZ359" i="13"/>
  <c r="AY359" i="13"/>
  <c r="AX359" i="13"/>
  <c r="AX308" i="13"/>
  <c r="AZ308" i="13"/>
  <c r="AY308" i="13"/>
  <c r="AY408" i="13"/>
  <c r="AZ276" i="13"/>
  <c r="AY276" i="13"/>
  <c r="AX276" i="13"/>
  <c r="AX267" i="13"/>
  <c r="AY398" i="13"/>
  <c r="AZ398" i="13"/>
  <c r="AX398" i="13"/>
  <c r="AX183" i="13"/>
  <c r="AZ183" i="13"/>
  <c r="AY183" i="13"/>
  <c r="AZ246" i="13"/>
  <c r="AY246" i="13"/>
  <c r="AX246" i="13"/>
  <c r="AZ234" i="13"/>
  <c r="AY234" i="13"/>
  <c r="AX234" i="13"/>
  <c r="AZ233" i="13"/>
  <c r="AY233" i="13"/>
  <c r="AX233" i="13"/>
  <c r="AX231" i="13"/>
  <c r="AZ231" i="13"/>
  <c r="AY231" i="13"/>
  <c r="AZ189" i="13"/>
  <c r="AY189" i="13"/>
  <c r="AX189" i="13"/>
  <c r="AZ173" i="13"/>
  <c r="AY173" i="13"/>
  <c r="AX173" i="13"/>
  <c r="AZ279" i="13"/>
  <c r="AY279" i="13"/>
  <c r="AX279" i="13"/>
  <c r="AZ161" i="13"/>
  <c r="AY161" i="13"/>
  <c r="AX161" i="13"/>
  <c r="AY129" i="13"/>
  <c r="AX129" i="13"/>
  <c r="AZ129" i="13"/>
  <c r="AX315" i="13"/>
  <c r="AZ222" i="13"/>
  <c r="AY222" i="13"/>
  <c r="AX222" i="13"/>
  <c r="AZ221" i="13"/>
  <c r="AY221" i="13"/>
  <c r="AX221" i="13"/>
  <c r="AX219" i="13"/>
  <c r="AZ219" i="13"/>
  <c r="AY219" i="13"/>
  <c r="AY523" i="13"/>
  <c r="AX523" i="13"/>
  <c r="AZ523" i="13"/>
  <c r="AZ350" i="13"/>
  <c r="AZ260" i="13"/>
  <c r="AY260" i="13"/>
  <c r="AX260" i="13"/>
  <c r="AZ232" i="13"/>
  <c r="AY232" i="13"/>
  <c r="AX232" i="13"/>
  <c r="AZ162" i="13"/>
  <c r="AY162" i="13"/>
  <c r="AX162" i="13"/>
  <c r="AZ126" i="13"/>
  <c r="AY126" i="13"/>
  <c r="AX126" i="13"/>
  <c r="AZ110" i="13"/>
  <c r="AY110" i="13"/>
  <c r="AX110" i="13"/>
  <c r="AZ469" i="13"/>
  <c r="AY469" i="13"/>
  <c r="AX469" i="13"/>
  <c r="AZ335" i="13"/>
  <c r="AX251" i="13"/>
  <c r="AZ251" i="13"/>
  <c r="AY251" i="13"/>
  <c r="AZ382" i="13"/>
  <c r="AX191" i="13"/>
  <c r="AZ191" i="13"/>
  <c r="AY191" i="13"/>
  <c r="AZ75" i="13"/>
  <c r="AX75" i="13"/>
  <c r="AY75" i="13"/>
  <c r="AY148" i="13"/>
  <c r="AX148" i="13"/>
  <c r="AZ148" i="13"/>
  <c r="J13" i="10"/>
  <c r="AZ248" i="13"/>
  <c r="AY248" i="13"/>
  <c r="AX248" i="13"/>
  <c r="AZ205" i="13"/>
  <c r="AZ70" i="13"/>
  <c r="AX70" i="13"/>
  <c r="AY70" i="13"/>
  <c r="AY132" i="13"/>
  <c r="AZ132" i="13"/>
  <c r="AX132" i="13"/>
  <c r="AZ42" i="13"/>
  <c r="AY42" i="13"/>
  <c r="AX42" i="13"/>
  <c r="AZ26" i="13"/>
  <c r="AY26" i="13"/>
  <c r="AX26" i="13"/>
  <c r="AZ14" i="13"/>
  <c r="AY14" i="13"/>
  <c r="AX14" i="13"/>
  <c r="AJ9" i="13"/>
  <c r="AX76" i="13"/>
  <c r="AX31" i="13"/>
  <c r="AZ31" i="13"/>
  <c r="AY31" i="13"/>
  <c r="AZ18" i="13"/>
  <c r="AY18" i="13"/>
  <c r="AX18" i="13"/>
  <c r="AZ58" i="13"/>
  <c r="AY58" i="13"/>
  <c r="AX58" i="13"/>
  <c r="AZ34" i="13"/>
  <c r="AY34" i="13"/>
  <c r="AX34" i="13"/>
  <c r="X7" i="11"/>
  <c r="T15" i="10"/>
  <c r="Q15" i="10"/>
  <c r="AX3" i="13"/>
  <c r="AZ3" i="13"/>
  <c r="AY3" i="13"/>
  <c r="AX59" i="13"/>
  <c r="AZ59" i="13"/>
  <c r="AY59" i="13"/>
  <c r="AZ56" i="13"/>
  <c r="AY56" i="13"/>
  <c r="AX56" i="13"/>
  <c r="AX35" i="13"/>
  <c r="AZ35" i="13"/>
  <c r="AY35" i="13"/>
  <c r="AY72" i="13"/>
  <c r="AX72" i="13"/>
  <c r="AZ72" i="13"/>
  <c r="AZ327" i="13"/>
  <c r="AY327" i="13"/>
  <c r="AX327" i="13"/>
  <c r="AY65" i="13"/>
  <c r="AZ65" i="13"/>
  <c r="AX65" i="13"/>
  <c r="R3" i="11"/>
  <c r="G32" i="7"/>
  <c r="L21" i="7"/>
  <c r="G23" i="7"/>
  <c r="J23" i="7"/>
  <c r="E122" i="7"/>
  <c r="E120" i="7"/>
  <c r="J21" i="7"/>
  <c r="G21" i="7"/>
  <c r="G37" i="7"/>
  <c r="L26" i="7"/>
  <c r="E119" i="7"/>
  <c r="J20" i="7"/>
  <c r="G20" i="7"/>
  <c r="AF1112" i="13"/>
  <c r="AF1104" i="13"/>
  <c r="AF1080" i="13"/>
  <c r="AF1072" i="13"/>
  <c r="AF1008" i="13"/>
  <c r="AF696" i="13"/>
  <c r="AF608" i="13"/>
  <c r="AF544" i="13"/>
  <c r="AF528" i="13"/>
  <c r="AF464" i="13"/>
  <c r="AF352" i="13"/>
  <c r="AF264" i="13"/>
  <c r="AF200" i="13"/>
  <c r="AF120" i="13"/>
  <c r="AF112" i="13"/>
  <c r="G77" i="6"/>
  <c r="P15" i="6"/>
  <c r="H77" i="6"/>
  <c r="K15" i="6"/>
  <c r="AF1199" i="13"/>
  <c r="AF1191" i="13"/>
  <c r="AF1095" i="13"/>
  <c r="AF1087" i="13"/>
  <c r="AF1031" i="13"/>
  <c r="AF1015" i="13"/>
  <c r="AF919" i="13"/>
  <c r="AF839" i="13"/>
  <c r="AF679" i="13"/>
  <c r="AF615" i="13"/>
  <c r="AF551" i="13"/>
  <c r="AF519" i="13"/>
  <c r="AF455" i="13"/>
  <c r="AF383" i="13"/>
  <c r="AF311" i="13"/>
  <c r="AF295" i="13"/>
  <c r="AF279" i="13"/>
  <c r="AF255" i="13"/>
  <c r="AF119" i="13"/>
  <c r="Y2" i="13"/>
  <c r="G26" i="6"/>
  <c r="L15" i="6"/>
  <c r="C112" i="6"/>
  <c r="D112" i="6"/>
  <c r="B112" i="6"/>
  <c r="F112" i="6"/>
  <c r="E112" i="6"/>
  <c r="G19" i="6"/>
  <c r="L8" i="6"/>
  <c r="F32" i="6"/>
  <c r="AF1164" i="13"/>
  <c r="AF1132" i="13"/>
  <c r="AF1052" i="13"/>
  <c r="AF1036" i="13"/>
  <c r="AF916" i="13"/>
  <c r="AF900" i="13"/>
  <c r="AF884" i="13"/>
  <c r="AF828" i="13"/>
  <c r="AF772" i="13"/>
  <c r="AF748" i="13"/>
  <c r="AF668" i="13"/>
  <c r="AF580" i="13"/>
  <c r="AF532" i="13"/>
  <c r="AF500" i="13"/>
  <c r="AF436" i="13"/>
  <c r="AF404" i="13"/>
  <c r="AF340" i="13"/>
  <c r="AF276" i="13"/>
  <c r="AF236" i="13"/>
  <c r="AF156" i="13"/>
  <c r="AF44" i="13"/>
  <c r="AZ171" i="13"/>
  <c r="K20" i="7"/>
  <c r="H119" i="7"/>
  <c r="G119" i="7"/>
  <c r="AF1117" i="13"/>
  <c r="AF1105" i="13"/>
  <c r="AF982" i="13"/>
  <c r="AF931" i="13"/>
  <c r="AF899" i="13"/>
  <c r="AF867" i="13"/>
  <c r="AF662" i="13"/>
  <c r="AF605" i="13"/>
  <c r="AF497" i="13"/>
  <c r="AF445" i="13"/>
  <c r="AF342" i="13"/>
  <c r="AF317" i="13"/>
  <c r="AF285" i="13"/>
  <c r="AF278" i="13"/>
  <c r="AF1163" i="13"/>
  <c r="AF1118" i="13"/>
  <c r="AF1106" i="13"/>
  <c r="AF1093" i="13"/>
  <c r="AF1022" i="13"/>
  <c r="AF990" i="13"/>
  <c r="AF939" i="13"/>
  <c r="AF862" i="13"/>
  <c r="AF715" i="13"/>
  <c r="AF670" i="13"/>
  <c r="AF665" i="13"/>
  <c r="AF613" i="13"/>
  <c r="AF530" i="13"/>
  <c r="AF505" i="13"/>
  <c r="AF453" i="13"/>
  <c r="AF1158" i="13"/>
  <c r="AF1139" i="13"/>
  <c r="AF1005" i="13"/>
  <c r="AF979" i="13"/>
  <c r="AF934" i="13"/>
  <c r="AF705" i="13"/>
  <c r="AF659" i="13"/>
  <c r="AF634" i="13"/>
  <c r="AF577" i="13"/>
  <c r="AF518" i="13"/>
  <c r="AF481" i="13"/>
  <c r="AF397" i="13"/>
  <c r="AF289" i="13"/>
  <c r="AF262" i="13"/>
  <c r="AF257" i="13"/>
  <c r="AF141" i="13"/>
  <c r="AF65" i="13"/>
  <c r="AF58" i="13"/>
  <c r="AF834" i="13"/>
  <c r="AF1102" i="13"/>
  <c r="AF1090" i="13"/>
  <c r="AF949" i="13"/>
  <c r="AF923" i="13"/>
  <c r="AF745" i="13"/>
  <c r="AF286" i="13"/>
  <c r="AF138" i="13"/>
  <c r="AF101" i="13"/>
  <c r="AF713" i="13"/>
  <c r="AF73" i="13"/>
  <c r="AF507" i="13"/>
  <c r="AF242" i="13"/>
  <c r="AF177" i="13"/>
  <c r="AF155" i="13"/>
  <c r="AF57" i="13"/>
  <c r="AF738" i="13"/>
  <c r="AF202" i="13"/>
  <c r="AF30" i="13"/>
  <c r="AF277" i="13"/>
  <c r="AF265" i="13"/>
  <c r="AF137" i="13"/>
  <c r="AF302" i="13"/>
  <c r="AF189" i="13"/>
  <c r="AF78" i="13"/>
  <c r="AF405" i="13"/>
  <c r="AX1201" i="13"/>
  <c r="AZ1201" i="13"/>
  <c r="AY1201" i="13"/>
  <c r="AZ1195" i="13"/>
  <c r="AY1195" i="13"/>
  <c r="AX1195" i="13"/>
  <c r="AZ1172" i="13"/>
  <c r="AY1172" i="13"/>
  <c r="AX1172" i="13"/>
  <c r="AZ1144" i="13"/>
  <c r="AY1144" i="13"/>
  <c r="AX1144" i="13"/>
  <c r="AY1044" i="13"/>
  <c r="AX1044" i="13"/>
  <c r="AZ1044" i="13"/>
  <c r="AX996" i="13"/>
  <c r="AZ996" i="13"/>
  <c r="AY996" i="13"/>
  <c r="AY995" i="13"/>
  <c r="AZ995" i="13"/>
  <c r="AX995" i="13"/>
  <c r="AZ1199" i="13"/>
  <c r="AY1199" i="13"/>
  <c r="AX1199" i="13"/>
  <c r="AZ1179" i="13"/>
  <c r="AY1179" i="13"/>
  <c r="AX1179" i="13"/>
  <c r="AZ1148" i="13"/>
  <c r="AY1148" i="13"/>
  <c r="AX1148" i="13"/>
  <c r="AX1135" i="13"/>
  <c r="AZ1135" i="13"/>
  <c r="AY1135" i="13"/>
  <c r="AZ1110" i="13"/>
  <c r="AY1113" i="13"/>
  <c r="AZ1029" i="13"/>
  <c r="AY1029" i="13"/>
  <c r="AX1029" i="13"/>
  <c r="AY1048" i="13"/>
  <c r="AX1048" i="13"/>
  <c r="AZ1048" i="13"/>
  <c r="AY1023" i="13"/>
  <c r="AX1023" i="13"/>
  <c r="AZ1023" i="13"/>
  <c r="AJ997" i="13"/>
  <c r="AH997" i="13"/>
  <c r="AO997" i="13"/>
  <c r="AM997" i="13"/>
  <c r="AN997" i="13"/>
  <c r="AL997" i="13"/>
  <c r="AK997" i="13"/>
  <c r="AI997" i="13"/>
  <c r="AZ1006" i="13"/>
  <c r="AY1006" i="13"/>
  <c r="AX1006" i="13"/>
  <c r="AX1008" i="13"/>
  <c r="AZ1008" i="13"/>
  <c r="AY1008" i="13"/>
  <c r="AX1000" i="13"/>
  <c r="AZ1000" i="13"/>
  <c r="AY1000" i="13"/>
  <c r="AX992" i="13"/>
  <c r="AZ992" i="13"/>
  <c r="AY992" i="13"/>
  <c r="AZ1057" i="13"/>
  <c r="AX1057" i="13"/>
  <c r="AY1057" i="13"/>
  <c r="AZ958" i="13"/>
  <c r="AY958" i="13"/>
  <c r="AX958" i="13"/>
  <c r="AX999" i="13"/>
  <c r="AZ947" i="13"/>
  <c r="AY947" i="13"/>
  <c r="AX947" i="13"/>
  <c r="AX1012" i="13"/>
  <c r="AZ1012" i="13"/>
  <c r="AY1012" i="13"/>
  <c r="AZ978" i="13"/>
  <c r="AY978" i="13"/>
  <c r="AX978" i="13"/>
  <c r="AZ1007" i="13"/>
  <c r="AX946" i="13"/>
  <c r="AZ946" i="13"/>
  <c r="AY946" i="13"/>
  <c r="AX916" i="13"/>
  <c r="AZ916" i="13"/>
  <c r="AY916" i="13"/>
  <c r="AZ888" i="13"/>
  <c r="AY888" i="13"/>
  <c r="AX888" i="13"/>
  <c r="AY868" i="13"/>
  <c r="AX868" i="13"/>
  <c r="AZ868" i="13"/>
  <c r="AZ990" i="13"/>
  <c r="AZ944" i="13"/>
  <c r="AY944" i="13"/>
  <c r="AX944" i="13"/>
  <c r="AY932" i="13"/>
  <c r="AX932" i="13"/>
  <c r="AZ932" i="13"/>
  <c r="AM889" i="13"/>
  <c r="AL889" i="13"/>
  <c r="AK889" i="13"/>
  <c r="AJ889" i="13"/>
  <c r="AI889" i="13"/>
  <c r="AH889" i="13"/>
  <c r="AO889" i="13"/>
  <c r="AN889" i="13"/>
  <c r="AX879" i="13"/>
  <c r="AZ879" i="13"/>
  <c r="AY879" i="13"/>
  <c r="AX949" i="13"/>
  <c r="AZ875" i="13"/>
  <c r="AY875" i="13"/>
  <c r="AX875" i="13"/>
  <c r="AY927" i="13"/>
  <c r="AY963" i="13"/>
  <c r="AZ963" i="13"/>
  <c r="AX963" i="13"/>
  <c r="AZ857" i="13"/>
  <c r="AX857" i="13"/>
  <c r="AY857" i="13"/>
  <c r="AZ836" i="13"/>
  <c r="AY836" i="13"/>
  <c r="AX836" i="13"/>
  <c r="AY819" i="13"/>
  <c r="AX819" i="13"/>
  <c r="AZ819" i="13"/>
  <c r="AY838" i="13"/>
  <c r="AY831" i="13"/>
  <c r="AX831" i="13"/>
  <c r="AZ831" i="13"/>
  <c r="AY802" i="13"/>
  <c r="AZ763" i="13"/>
  <c r="AY763" i="13"/>
  <c r="AX763" i="13"/>
  <c r="AY798" i="13"/>
  <c r="AX798" i="13"/>
  <c r="AZ798" i="13"/>
  <c r="AY837" i="13"/>
  <c r="AX837" i="13"/>
  <c r="AZ837" i="13"/>
  <c r="AY847" i="13"/>
  <c r="AX847" i="13"/>
  <c r="AZ847" i="13"/>
  <c r="AZ749" i="13"/>
  <c r="AY749" i="13"/>
  <c r="AX749" i="13"/>
  <c r="AZ741" i="13"/>
  <c r="AY741" i="13"/>
  <c r="AX741" i="13"/>
  <c r="AX715" i="13"/>
  <c r="AZ715" i="13"/>
  <c r="AY715" i="13"/>
  <c r="AZ737" i="13"/>
  <c r="AY737" i="13"/>
  <c r="AX737" i="13"/>
  <c r="AZ736" i="13"/>
  <c r="AY736" i="13"/>
  <c r="AX736" i="13"/>
  <c r="AX731" i="13"/>
  <c r="AY731" i="13"/>
  <c r="AZ731" i="13"/>
  <c r="AZ753" i="13"/>
  <c r="AY753" i="13"/>
  <c r="AX753" i="13"/>
  <c r="AX783" i="13"/>
  <c r="AZ783" i="13"/>
  <c r="AY783" i="13"/>
  <c r="AZ752" i="13"/>
  <c r="AY752" i="13"/>
  <c r="AX752" i="13"/>
  <c r="AZ712" i="13"/>
  <c r="AY712" i="13"/>
  <c r="AX712" i="13"/>
  <c r="AY702" i="13"/>
  <c r="AX702" i="13"/>
  <c r="AZ702" i="13"/>
  <c r="AJ751" i="13"/>
  <c r="AH751" i="13"/>
  <c r="AO751" i="13"/>
  <c r="AN751" i="13"/>
  <c r="AM751" i="13"/>
  <c r="AL751" i="13"/>
  <c r="AK751" i="13"/>
  <c r="AI751" i="13"/>
  <c r="AY672" i="13"/>
  <c r="AX672" i="13"/>
  <c r="AZ672" i="13"/>
  <c r="AX642" i="13"/>
  <c r="AZ642" i="13"/>
  <c r="AY642" i="13"/>
  <c r="AY692" i="13"/>
  <c r="AX692" i="13"/>
  <c r="AZ692" i="13"/>
  <c r="AX687" i="13"/>
  <c r="AY641" i="13"/>
  <c r="AZ641" i="13"/>
  <c r="AX641" i="13"/>
  <c r="AZ574" i="13"/>
  <c r="AX574" i="13"/>
  <c r="AY574" i="13"/>
  <c r="AY536" i="13"/>
  <c r="AZ536" i="13"/>
  <c r="AX536" i="13"/>
  <c r="AZ622" i="13"/>
  <c r="AX622" i="13"/>
  <c r="AY622" i="13"/>
  <c r="AX617" i="13"/>
  <c r="AZ617" i="13"/>
  <c r="AY617" i="13"/>
  <c r="AZ547" i="13"/>
  <c r="AY547" i="13"/>
  <c r="AX547" i="13"/>
  <c r="AZ562" i="13"/>
  <c r="AX562" i="13"/>
  <c r="AY562" i="13"/>
  <c r="AZ656" i="13"/>
  <c r="AY656" i="13"/>
  <c r="AX656" i="13"/>
  <c r="AZ604" i="13"/>
  <c r="AY604" i="13"/>
  <c r="AX604" i="13"/>
  <c r="AZ594" i="13"/>
  <c r="AX594" i="13"/>
  <c r="AY594" i="13"/>
  <c r="AZ525" i="13"/>
  <c r="AY525" i="13"/>
  <c r="AX525" i="13"/>
  <c r="AX632" i="13"/>
  <c r="AZ550" i="13"/>
  <c r="AX550" i="13"/>
  <c r="AY550" i="13"/>
  <c r="AZ524" i="13"/>
  <c r="AY524" i="13"/>
  <c r="AX524" i="13"/>
  <c r="AY480" i="13"/>
  <c r="AZ480" i="13"/>
  <c r="AX480" i="13"/>
  <c r="AX568" i="13"/>
  <c r="AX549" i="13"/>
  <c r="AZ549" i="13"/>
  <c r="AY549" i="13"/>
  <c r="AX577" i="13"/>
  <c r="AZ577" i="13"/>
  <c r="AY577" i="13"/>
  <c r="AZ512" i="13"/>
  <c r="AY512" i="13"/>
  <c r="AX512" i="13"/>
  <c r="AZ432" i="13"/>
  <c r="AY432" i="13"/>
  <c r="AX432" i="13"/>
  <c r="AZ345" i="13"/>
  <c r="AY345" i="13"/>
  <c r="AX345" i="13"/>
  <c r="AZ461" i="13"/>
  <c r="AY461" i="13"/>
  <c r="AX461" i="13"/>
  <c r="AY427" i="13"/>
  <c r="AX427" i="13"/>
  <c r="AZ427" i="13"/>
  <c r="AZ526" i="13"/>
  <c r="AZ453" i="13"/>
  <c r="AY453" i="13"/>
  <c r="AX453" i="13"/>
  <c r="AZ406" i="13"/>
  <c r="AX487" i="13"/>
  <c r="AZ494" i="13"/>
  <c r="AY435" i="13"/>
  <c r="AX435" i="13"/>
  <c r="AZ435" i="13"/>
  <c r="AZ343" i="13"/>
  <c r="AY343" i="13"/>
  <c r="AX343" i="13"/>
  <c r="AZ281" i="13"/>
  <c r="AY281" i="13"/>
  <c r="AX281" i="13"/>
  <c r="AY402" i="13"/>
  <c r="AZ402" i="13"/>
  <c r="AX402" i="13"/>
  <c r="AX324" i="13"/>
  <c r="AZ324" i="13"/>
  <c r="AY324" i="13"/>
  <c r="AX274" i="13"/>
  <c r="AZ274" i="13"/>
  <c r="AY274" i="13"/>
  <c r="AZ535" i="13"/>
  <c r="AY535" i="13"/>
  <c r="AX535" i="13"/>
  <c r="AX430" i="13"/>
  <c r="AY403" i="13"/>
  <c r="AX438" i="13"/>
  <c r="AY387" i="13"/>
  <c r="AX365" i="13"/>
  <c r="AZ365" i="13"/>
  <c r="AY365" i="13"/>
  <c r="AZ434" i="13"/>
  <c r="AY363" i="13"/>
  <c r="AY342" i="13"/>
  <c r="AZ342" i="13"/>
  <c r="AX342" i="13"/>
  <c r="AX466" i="13"/>
  <c r="AZ408" i="13"/>
  <c r="AX357" i="13"/>
  <c r="AY357" i="13"/>
  <c r="AZ357" i="13"/>
  <c r="AX288" i="13"/>
  <c r="AZ288" i="13"/>
  <c r="AY288" i="13"/>
  <c r="AY348" i="13"/>
  <c r="AZ348" i="13"/>
  <c r="AX348" i="13"/>
  <c r="AX300" i="13"/>
  <c r="AZ300" i="13"/>
  <c r="AY300" i="13"/>
  <c r="AZ287" i="13"/>
  <c r="AY287" i="13"/>
  <c r="AX287" i="13"/>
  <c r="AZ323" i="13"/>
  <c r="AY323" i="13"/>
  <c r="AX323" i="13"/>
  <c r="AN273" i="13"/>
  <c r="AM273" i="13"/>
  <c r="AL273" i="13"/>
  <c r="AK273" i="13"/>
  <c r="AJ273" i="13"/>
  <c r="AI273" i="13"/>
  <c r="AH273" i="13"/>
  <c r="AO273" i="13"/>
  <c r="AX179" i="13"/>
  <c r="AZ179" i="13"/>
  <c r="AY179" i="13"/>
  <c r="AZ149" i="13"/>
  <c r="AY149" i="13"/>
  <c r="AX149" i="13"/>
  <c r="AY117" i="13"/>
  <c r="AX117" i="13"/>
  <c r="AZ117" i="13"/>
  <c r="AY315" i="13"/>
  <c r="AY350" i="13"/>
  <c r="AZ196" i="13"/>
  <c r="AX196" i="13"/>
  <c r="AY196" i="13"/>
  <c r="AZ150" i="13"/>
  <c r="AY150" i="13"/>
  <c r="AX150" i="13"/>
  <c r="AY388" i="13"/>
  <c r="AZ388" i="13"/>
  <c r="AX388" i="13"/>
  <c r="AZ254" i="13"/>
  <c r="AY254" i="13"/>
  <c r="AX254" i="13"/>
  <c r="AZ253" i="13"/>
  <c r="AY253" i="13"/>
  <c r="AX253" i="13"/>
  <c r="AX239" i="13"/>
  <c r="AZ239" i="13"/>
  <c r="AY239" i="13"/>
  <c r="AY382" i="13"/>
  <c r="AZ220" i="13"/>
  <c r="AY220" i="13"/>
  <c r="AX220" i="13"/>
  <c r="AX178" i="13"/>
  <c r="AZ178" i="13"/>
  <c r="AY178" i="13"/>
  <c r="AY156" i="13"/>
  <c r="AX156" i="13"/>
  <c r="AZ156" i="13"/>
  <c r="AZ139" i="13"/>
  <c r="AY139" i="13"/>
  <c r="AX139" i="13"/>
  <c r="AY85" i="13"/>
  <c r="AX85" i="13"/>
  <c r="AZ85" i="13"/>
  <c r="AZ112" i="13"/>
  <c r="AZ236" i="13"/>
  <c r="AY236" i="13"/>
  <c r="AX236" i="13"/>
  <c r="AZ71" i="13"/>
  <c r="AY71" i="13"/>
  <c r="AX71" i="13"/>
  <c r="AZ82" i="13"/>
  <c r="AX82" i="13"/>
  <c r="AY82" i="13"/>
  <c r="AZ57" i="13"/>
  <c r="AY57" i="13"/>
  <c r="AX57" i="13"/>
  <c r="AX43" i="13"/>
  <c r="AZ43" i="13"/>
  <c r="AY43" i="13"/>
  <c r="AZ76" i="13"/>
  <c r="T1203" i="3"/>
  <c r="X1203" i="3" s="1"/>
  <c r="U1202" i="3"/>
  <c r="V1201" i="3"/>
  <c r="W1200" i="3"/>
  <c r="T1195" i="3"/>
  <c r="X1195" i="3" s="1"/>
  <c r="U1194" i="3"/>
  <c r="V1193" i="3"/>
  <c r="W1192" i="3"/>
  <c r="T1187" i="3"/>
  <c r="X1187" i="3" s="1"/>
  <c r="U1186" i="3"/>
  <c r="V1185" i="3"/>
  <c r="W1184" i="3"/>
  <c r="T1179" i="3"/>
  <c r="X1179" i="3" s="1"/>
  <c r="U1178" i="3"/>
  <c r="V1177" i="3"/>
  <c r="W1176" i="3"/>
  <c r="T1171" i="3"/>
  <c r="X1171" i="3" s="1"/>
  <c r="U1170" i="3"/>
  <c r="V1169" i="3"/>
  <c r="W1168" i="3"/>
  <c r="T1163" i="3"/>
  <c r="X1163" i="3" s="1"/>
  <c r="U1162" i="3"/>
  <c r="V1161" i="3"/>
  <c r="W1160" i="3"/>
  <c r="T1155" i="3"/>
  <c r="X1155" i="3" s="1"/>
  <c r="U1154" i="3"/>
  <c r="V1153" i="3"/>
  <c r="W1152" i="3"/>
  <c r="T1147" i="3"/>
  <c r="X1147" i="3" s="1"/>
  <c r="U1146" i="3"/>
  <c r="V1145" i="3"/>
  <c r="W1144" i="3"/>
  <c r="T1139" i="3"/>
  <c r="X1139" i="3" s="1"/>
  <c r="U1138" i="3"/>
  <c r="V1137" i="3"/>
  <c r="W1136" i="3"/>
  <c r="T1131" i="3"/>
  <c r="X1131" i="3" s="1"/>
  <c r="U1130" i="3"/>
  <c r="V1129" i="3"/>
  <c r="W1128" i="3"/>
  <c r="T1123" i="3"/>
  <c r="X1123" i="3" s="1"/>
  <c r="U1122" i="3"/>
  <c r="V1121" i="3"/>
  <c r="W1120" i="3"/>
  <c r="T1115" i="3"/>
  <c r="X1115" i="3" s="1"/>
  <c r="U1114" i="3"/>
  <c r="V1113" i="3"/>
  <c r="W1112" i="3"/>
  <c r="T1107" i="3"/>
  <c r="X1107" i="3" s="1"/>
  <c r="U1106" i="3"/>
  <c r="V1105" i="3"/>
  <c r="W1104" i="3"/>
  <c r="T1099" i="3"/>
  <c r="X1099" i="3" s="1"/>
  <c r="U1098" i="3"/>
  <c r="V1097" i="3"/>
  <c r="W1096" i="3"/>
  <c r="T1091" i="3"/>
  <c r="X1091" i="3" s="1"/>
  <c r="U1090" i="3"/>
  <c r="V1089" i="3"/>
  <c r="W1088" i="3"/>
  <c r="T1083" i="3"/>
  <c r="X1083" i="3" s="1"/>
  <c r="U1082" i="3"/>
  <c r="V1081" i="3"/>
  <c r="W1080" i="3"/>
  <c r="T1075" i="3"/>
  <c r="X1075" i="3" s="1"/>
  <c r="U1074" i="3"/>
  <c r="V1073" i="3"/>
  <c r="W1072" i="3"/>
  <c r="T1067" i="3"/>
  <c r="X1067" i="3" s="1"/>
  <c r="U1066" i="3"/>
  <c r="V1065" i="3"/>
  <c r="W1064" i="3"/>
  <c r="T1059" i="3"/>
  <c r="X1059" i="3" s="1"/>
  <c r="U1058" i="3"/>
  <c r="V1057" i="3"/>
  <c r="W1056" i="3"/>
  <c r="T1051" i="3"/>
  <c r="X1051" i="3" s="1"/>
  <c r="U1050" i="3"/>
  <c r="V1049" i="3"/>
  <c r="W1048" i="3"/>
  <c r="T1043" i="3"/>
  <c r="X1043" i="3" s="1"/>
  <c r="U1042" i="3"/>
  <c r="V1041" i="3"/>
  <c r="W1040" i="3"/>
  <c r="T1035" i="3"/>
  <c r="X1035" i="3" s="1"/>
  <c r="U1034" i="3"/>
  <c r="V1033" i="3"/>
  <c r="W1032" i="3"/>
  <c r="T1027" i="3"/>
  <c r="X1027" i="3" s="1"/>
  <c r="U1026" i="3"/>
  <c r="V1025" i="3"/>
  <c r="W1024" i="3"/>
  <c r="T1019" i="3"/>
  <c r="X1019" i="3" s="1"/>
  <c r="U1018" i="3"/>
  <c r="V1017" i="3"/>
  <c r="W1016" i="3"/>
  <c r="T1011" i="3"/>
  <c r="X1011" i="3" s="1"/>
  <c r="U1010" i="3"/>
  <c r="V1009" i="3"/>
  <c r="W1008" i="3"/>
  <c r="T1003" i="3"/>
  <c r="X1003" i="3" s="1"/>
  <c r="U1002" i="3"/>
  <c r="V1001" i="3"/>
  <c r="W1000" i="3"/>
  <c r="T995" i="3"/>
  <c r="X995" i="3" s="1"/>
  <c r="U994" i="3"/>
  <c r="V993" i="3"/>
  <c r="W992" i="3"/>
  <c r="T987" i="3"/>
  <c r="X987" i="3" s="1"/>
  <c r="U986" i="3"/>
  <c r="V985" i="3"/>
  <c r="W984" i="3"/>
  <c r="T979" i="3"/>
  <c r="X979" i="3" s="1"/>
  <c r="U978" i="3"/>
  <c r="V977" i="3"/>
  <c r="W976" i="3"/>
  <c r="T971" i="3"/>
  <c r="X971" i="3" s="1"/>
  <c r="U970" i="3"/>
  <c r="V969" i="3"/>
  <c r="W968" i="3"/>
  <c r="T963" i="3"/>
  <c r="X963" i="3" s="1"/>
  <c r="U962" i="3"/>
  <c r="V961" i="3"/>
  <c r="W960" i="3"/>
  <c r="T955" i="3"/>
  <c r="X955" i="3" s="1"/>
  <c r="U954" i="3"/>
  <c r="V953" i="3"/>
  <c r="W952" i="3"/>
  <c r="T947" i="3"/>
  <c r="X947" i="3" s="1"/>
  <c r="U946" i="3"/>
  <c r="V945" i="3"/>
  <c r="W944" i="3"/>
  <c r="T939" i="3"/>
  <c r="X939" i="3" s="1"/>
  <c r="U938" i="3"/>
  <c r="V937" i="3"/>
  <c r="W936" i="3"/>
  <c r="T931" i="3"/>
  <c r="X931" i="3" s="1"/>
  <c r="U930" i="3"/>
  <c r="V929" i="3"/>
  <c r="W928" i="3"/>
  <c r="T923" i="3"/>
  <c r="X923" i="3" s="1"/>
  <c r="U922" i="3"/>
  <c r="V921" i="3"/>
  <c r="W920" i="3"/>
  <c r="T915" i="3"/>
  <c r="X915" i="3" s="1"/>
  <c r="U914" i="3"/>
  <c r="V913" i="3"/>
  <c r="W912" i="3"/>
  <c r="T907" i="3"/>
  <c r="X907" i="3" s="1"/>
  <c r="U906" i="3"/>
  <c r="V905" i="3"/>
  <c r="W904" i="3"/>
  <c r="T899" i="3"/>
  <c r="X899" i="3" s="1"/>
  <c r="U898" i="3"/>
  <c r="V897" i="3"/>
  <c r="W896" i="3"/>
  <c r="T891" i="3"/>
  <c r="X891" i="3" s="1"/>
  <c r="U890" i="3"/>
  <c r="V889" i="3"/>
  <c r="W888" i="3"/>
  <c r="T883" i="3"/>
  <c r="X883" i="3" s="1"/>
  <c r="U882" i="3"/>
  <c r="V881" i="3"/>
  <c r="W880" i="3"/>
  <c r="T875" i="3"/>
  <c r="X875" i="3" s="1"/>
  <c r="U874" i="3"/>
  <c r="V873" i="3"/>
  <c r="W872" i="3"/>
  <c r="T867" i="3"/>
  <c r="X867" i="3" s="1"/>
  <c r="U866" i="3"/>
  <c r="V865" i="3"/>
  <c r="W864" i="3"/>
  <c r="T859" i="3"/>
  <c r="X859" i="3" s="1"/>
  <c r="U858" i="3"/>
  <c r="V857" i="3"/>
  <c r="W856" i="3"/>
  <c r="T851" i="3"/>
  <c r="X851" i="3" s="1"/>
  <c r="U850" i="3"/>
  <c r="V849" i="3"/>
  <c r="W848" i="3"/>
  <c r="T843" i="3"/>
  <c r="X843" i="3" s="1"/>
  <c r="U842" i="3"/>
  <c r="V841" i="3"/>
  <c r="W840" i="3"/>
  <c r="T835" i="3"/>
  <c r="X835" i="3" s="1"/>
  <c r="U834" i="3"/>
  <c r="V833" i="3"/>
  <c r="W832" i="3"/>
  <c r="T827" i="3"/>
  <c r="X827" i="3" s="1"/>
  <c r="U826" i="3"/>
  <c r="V825" i="3"/>
  <c r="W824" i="3"/>
  <c r="T819" i="3"/>
  <c r="X819" i="3" s="1"/>
  <c r="U818" i="3"/>
  <c r="V817" i="3"/>
  <c r="W816" i="3"/>
  <c r="T811" i="3"/>
  <c r="X811" i="3" s="1"/>
  <c r="U810" i="3"/>
  <c r="V809" i="3"/>
  <c r="W808" i="3"/>
  <c r="T803" i="3"/>
  <c r="X803" i="3" s="1"/>
  <c r="U802" i="3"/>
  <c r="V801" i="3"/>
  <c r="W800" i="3"/>
  <c r="T795" i="3"/>
  <c r="X795" i="3" s="1"/>
  <c r="U794" i="3"/>
  <c r="V793" i="3"/>
  <c r="W792" i="3"/>
  <c r="T787" i="3"/>
  <c r="X787" i="3" s="1"/>
  <c r="U786" i="3"/>
  <c r="V785" i="3"/>
  <c r="W784" i="3"/>
  <c r="T779" i="3"/>
  <c r="X779" i="3" s="1"/>
  <c r="U778" i="3"/>
  <c r="V777" i="3"/>
  <c r="W776" i="3"/>
  <c r="T771" i="3"/>
  <c r="X771" i="3" s="1"/>
  <c r="U770" i="3"/>
  <c r="V769" i="3"/>
  <c r="W768" i="3"/>
  <c r="T763" i="3"/>
  <c r="X763" i="3" s="1"/>
  <c r="U762" i="3"/>
  <c r="V761" i="3"/>
  <c r="W760" i="3"/>
  <c r="T755" i="3"/>
  <c r="X755" i="3" s="1"/>
  <c r="U754" i="3"/>
  <c r="V753" i="3"/>
  <c r="W752" i="3"/>
  <c r="T747" i="3"/>
  <c r="X747" i="3" s="1"/>
  <c r="U746" i="3"/>
  <c r="V745" i="3"/>
  <c r="W744" i="3"/>
  <c r="T739" i="3"/>
  <c r="X739" i="3" s="1"/>
  <c r="U738" i="3"/>
  <c r="V737" i="3"/>
  <c r="W736" i="3"/>
  <c r="T731" i="3"/>
  <c r="X731" i="3" s="1"/>
  <c r="U730" i="3"/>
  <c r="V729" i="3"/>
  <c r="W728" i="3"/>
  <c r="T723" i="3"/>
  <c r="X723" i="3" s="1"/>
  <c r="U722" i="3"/>
  <c r="V721" i="3"/>
  <c r="W720" i="3"/>
  <c r="T715" i="3"/>
  <c r="X715" i="3" s="1"/>
  <c r="U714" i="3"/>
  <c r="V713" i="3"/>
  <c r="W712" i="3"/>
  <c r="T707" i="3"/>
  <c r="X707" i="3" s="1"/>
  <c r="U706" i="3"/>
  <c r="V705" i="3"/>
  <c r="W704" i="3"/>
  <c r="T699" i="3"/>
  <c r="X699" i="3" s="1"/>
  <c r="U698" i="3"/>
  <c r="V697" i="3"/>
  <c r="W696" i="3"/>
  <c r="T691" i="3"/>
  <c r="X691" i="3" s="1"/>
  <c r="U690" i="3"/>
  <c r="V689" i="3"/>
  <c r="W688" i="3"/>
  <c r="T683" i="3"/>
  <c r="X683" i="3" s="1"/>
  <c r="U682" i="3"/>
  <c r="V681" i="3"/>
  <c r="W680" i="3"/>
  <c r="T675" i="3"/>
  <c r="X675" i="3" s="1"/>
  <c r="U674" i="3"/>
  <c r="V673" i="3"/>
  <c r="W672" i="3"/>
  <c r="T667" i="3"/>
  <c r="X667" i="3" s="1"/>
  <c r="U666" i="3"/>
  <c r="V665" i="3"/>
  <c r="W664" i="3"/>
  <c r="T659" i="3"/>
  <c r="X659" i="3" s="1"/>
  <c r="U658" i="3"/>
  <c r="V657" i="3"/>
  <c r="W656" i="3"/>
  <c r="T651" i="3"/>
  <c r="X651" i="3" s="1"/>
  <c r="U650" i="3"/>
  <c r="V649" i="3"/>
  <c r="W648" i="3"/>
  <c r="T643" i="3"/>
  <c r="X643" i="3" s="1"/>
  <c r="U642" i="3"/>
  <c r="V641" i="3"/>
  <c r="W640" i="3"/>
  <c r="T635" i="3"/>
  <c r="X635" i="3" s="1"/>
  <c r="U634" i="3"/>
  <c r="V633" i="3"/>
  <c r="W632" i="3"/>
  <c r="T627" i="3"/>
  <c r="X627" i="3" s="1"/>
  <c r="U626" i="3"/>
  <c r="V625" i="3"/>
  <c r="W624" i="3"/>
  <c r="T619" i="3"/>
  <c r="X619" i="3" s="1"/>
  <c r="U618" i="3"/>
  <c r="V617" i="3"/>
  <c r="W616" i="3"/>
  <c r="T611" i="3"/>
  <c r="X611" i="3" s="1"/>
  <c r="U610" i="3"/>
  <c r="V609" i="3"/>
  <c r="W608" i="3"/>
  <c r="T603" i="3"/>
  <c r="X603" i="3" s="1"/>
  <c r="U602" i="3"/>
  <c r="V601" i="3"/>
  <c r="W600" i="3"/>
  <c r="T595" i="3"/>
  <c r="X595" i="3" s="1"/>
  <c r="U594" i="3"/>
  <c r="V593" i="3"/>
  <c r="W592" i="3"/>
  <c r="T587" i="3"/>
  <c r="X587" i="3" s="1"/>
  <c r="U586" i="3"/>
  <c r="V585" i="3"/>
  <c r="W584" i="3"/>
  <c r="T579" i="3"/>
  <c r="X579" i="3" s="1"/>
  <c r="U578" i="3"/>
  <c r="V577" i="3"/>
  <c r="W576" i="3"/>
  <c r="T571" i="3"/>
  <c r="X571" i="3" s="1"/>
  <c r="U570" i="3"/>
  <c r="V569" i="3"/>
  <c r="W568" i="3"/>
  <c r="T563" i="3"/>
  <c r="X563" i="3" s="1"/>
  <c r="U562" i="3"/>
  <c r="V561" i="3"/>
  <c r="W560" i="3"/>
  <c r="T555" i="3"/>
  <c r="X555" i="3" s="1"/>
  <c r="U554" i="3"/>
  <c r="V553" i="3"/>
  <c r="W552" i="3"/>
  <c r="T547" i="3"/>
  <c r="X547" i="3" s="1"/>
  <c r="U546" i="3"/>
  <c r="V545" i="3"/>
  <c r="W544" i="3"/>
  <c r="T539" i="3"/>
  <c r="X539" i="3" s="1"/>
  <c r="U538" i="3"/>
  <c r="V537" i="3"/>
  <c r="W536" i="3"/>
  <c r="T531" i="3"/>
  <c r="X531" i="3" s="1"/>
  <c r="U530" i="3"/>
  <c r="V529" i="3"/>
  <c r="W528" i="3"/>
  <c r="T523" i="3"/>
  <c r="X523" i="3" s="1"/>
  <c r="U522" i="3"/>
  <c r="V521" i="3"/>
  <c r="W520" i="3"/>
  <c r="T515" i="3"/>
  <c r="X515" i="3" s="1"/>
  <c r="U514" i="3"/>
  <c r="V513" i="3"/>
  <c r="W512" i="3"/>
  <c r="T507" i="3"/>
  <c r="X507" i="3" s="1"/>
  <c r="U506" i="3"/>
  <c r="V505" i="3"/>
  <c r="W504" i="3"/>
  <c r="T499" i="3"/>
  <c r="X499" i="3" s="1"/>
  <c r="U498" i="3"/>
  <c r="V497" i="3"/>
  <c r="W496" i="3"/>
  <c r="T491" i="3"/>
  <c r="X491" i="3" s="1"/>
  <c r="U490" i="3"/>
  <c r="V489" i="3"/>
  <c r="W488" i="3"/>
  <c r="T483" i="3"/>
  <c r="X483" i="3" s="1"/>
  <c r="U482" i="3"/>
  <c r="V481" i="3"/>
  <c r="W480" i="3"/>
  <c r="T475" i="3"/>
  <c r="X475" i="3" s="1"/>
  <c r="U474" i="3"/>
  <c r="V473" i="3"/>
  <c r="W472" i="3"/>
  <c r="T467" i="3"/>
  <c r="X467" i="3" s="1"/>
  <c r="U466" i="3"/>
  <c r="V465" i="3"/>
  <c r="W464" i="3"/>
  <c r="T459" i="3"/>
  <c r="X459" i="3" s="1"/>
  <c r="U458" i="3"/>
  <c r="V457" i="3"/>
  <c r="W456" i="3"/>
  <c r="T451" i="3"/>
  <c r="X451" i="3" s="1"/>
  <c r="U450" i="3"/>
  <c r="V449" i="3"/>
  <c r="W448" i="3"/>
  <c r="T443" i="3"/>
  <c r="X443" i="3" s="1"/>
  <c r="U442" i="3"/>
  <c r="V441" i="3"/>
  <c r="W440" i="3"/>
  <c r="T435" i="3"/>
  <c r="X435" i="3" s="1"/>
  <c r="U434" i="3"/>
  <c r="V433" i="3"/>
  <c r="W432" i="3"/>
  <c r="T427" i="3"/>
  <c r="X427" i="3" s="1"/>
  <c r="U426" i="3"/>
  <c r="V425" i="3"/>
  <c r="W424" i="3"/>
  <c r="T419" i="3"/>
  <c r="X419" i="3" s="1"/>
  <c r="U418" i="3"/>
  <c r="V417" i="3"/>
  <c r="W416" i="3"/>
  <c r="T411" i="3"/>
  <c r="X411" i="3" s="1"/>
  <c r="U410" i="3"/>
  <c r="V409" i="3"/>
  <c r="W408" i="3"/>
  <c r="T403" i="3"/>
  <c r="X403" i="3" s="1"/>
  <c r="U402" i="3"/>
  <c r="V401" i="3"/>
  <c r="W400" i="3"/>
  <c r="T395" i="3"/>
  <c r="X395" i="3" s="1"/>
  <c r="U394" i="3"/>
  <c r="V393" i="3"/>
  <c r="W392" i="3"/>
  <c r="T387" i="3"/>
  <c r="X387" i="3" s="1"/>
  <c r="U386" i="3"/>
  <c r="V385" i="3"/>
  <c r="W384" i="3"/>
  <c r="T379" i="3"/>
  <c r="X379" i="3" s="1"/>
  <c r="U378" i="3"/>
  <c r="V377" i="3"/>
  <c r="W376" i="3"/>
  <c r="T371" i="3"/>
  <c r="X371" i="3" s="1"/>
  <c r="U370" i="3"/>
  <c r="V369" i="3"/>
  <c r="W368" i="3"/>
  <c r="T363" i="3"/>
  <c r="X363" i="3" s="1"/>
  <c r="U362" i="3"/>
  <c r="V361" i="3"/>
  <c r="W360" i="3"/>
  <c r="T355" i="3"/>
  <c r="X355" i="3" s="1"/>
  <c r="U354" i="3"/>
  <c r="V353" i="3"/>
  <c r="W352" i="3"/>
  <c r="T347" i="3"/>
  <c r="X347" i="3" s="1"/>
  <c r="U346" i="3"/>
  <c r="V345" i="3"/>
  <c r="W344" i="3"/>
  <c r="T339" i="3"/>
  <c r="X339" i="3" s="1"/>
  <c r="U338" i="3"/>
  <c r="V337" i="3"/>
  <c r="W336" i="3"/>
  <c r="T331" i="3"/>
  <c r="X331" i="3" s="1"/>
  <c r="U330" i="3"/>
  <c r="V329" i="3"/>
  <c r="W328" i="3"/>
  <c r="T323" i="3"/>
  <c r="X323" i="3" s="1"/>
  <c r="U322" i="3"/>
  <c r="V321" i="3"/>
  <c r="W320" i="3"/>
  <c r="T315" i="3"/>
  <c r="X315" i="3" s="1"/>
  <c r="U314" i="3"/>
  <c r="V313" i="3"/>
  <c r="W312" i="3"/>
  <c r="T307" i="3"/>
  <c r="X307" i="3" s="1"/>
  <c r="U306" i="3"/>
  <c r="V305" i="3"/>
  <c r="W304" i="3"/>
  <c r="T299" i="3"/>
  <c r="X299" i="3" s="1"/>
  <c r="U298" i="3"/>
  <c r="V297" i="3"/>
  <c r="W296" i="3"/>
  <c r="T291" i="3"/>
  <c r="X291" i="3" s="1"/>
  <c r="U290" i="3"/>
  <c r="V289" i="3"/>
  <c r="W288" i="3"/>
  <c r="T283" i="3"/>
  <c r="X283" i="3" s="1"/>
  <c r="U282" i="3"/>
  <c r="V281" i="3"/>
  <c r="W280" i="3"/>
  <c r="T275" i="3"/>
  <c r="X275" i="3" s="1"/>
  <c r="U274" i="3"/>
  <c r="V273" i="3"/>
  <c r="W272" i="3"/>
  <c r="T267" i="3"/>
  <c r="X267" i="3" s="1"/>
  <c r="U266" i="3"/>
  <c r="V265" i="3"/>
  <c r="W264" i="3"/>
  <c r="T259" i="3"/>
  <c r="X259" i="3" s="1"/>
  <c r="U258" i="3"/>
  <c r="V257" i="3"/>
  <c r="W256" i="3"/>
  <c r="T251" i="3"/>
  <c r="X251" i="3" s="1"/>
  <c r="U250" i="3"/>
  <c r="V249" i="3"/>
  <c r="W248" i="3"/>
  <c r="T243" i="3"/>
  <c r="X243" i="3" s="1"/>
  <c r="U242" i="3"/>
  <c r="V241" i="3"/>
  <c r="W240" i="3"/>
  <c r="T235" i="3"/>
  <c r="X235" i="3" s="1"/>
  <c r="U234" i="3"/>
  <c r="V233" i="3"/>
  <c r="W232" i="3"/>
  <c r="T227" i="3"/>
  <c r="X227" i="3" s="1"/>
  <c r="U226" i="3"/>
  <c r="V225" i="3"/>
  <c r="W224" i="3"/>
  <c r="T219" i="3"/>
  <c r="X219" i="3" s="1"/>
  <c r="U218" i="3"/>
  <c r="V217" i="3"/>
  <c r="W216" i="3"/>
  <c r="T211" i="3"/>
  <c r="X211" i="3" s="1"/>
  <c r="U210" i="3"/>
  <c r="V209" i="3"/>
  <c r="W208" i="3"/>
  <c r="T203" i="3"/>
  <c r="X203" i="3" s="1"/>
  <c r="U202" i="3"/>
  <c r="V201" i="3"/>
  <c r="W200" i="3"/>
  <c r="T195" i="3"/>
  <c r="X195" i="3" s="1"/>
  <c r="U194" i="3"/>
  <c r="V193" i="3"/>
  <c r="W192" i="3"/>
  <c r="T187" i="3"/>
  <c r="X187" i="3" s="1"/>
  <c r="U186" i="3"/>
  <c r="V185" i="3"/>
  <c r="W184" i="3"/>
  <c r="T179" i="3"/>
  <c r="X179" i="3" s="1"/>
  <c r="U178" i="3"/>
  <c r="V177" i="3"/>
  <c r="W176" i="3"/>
  <c r="T171" i="3"/>
  <c r="X171" i="3" s="1"/>
  <c r="U170" i="3"/>
  <c r="V169" i="3"/>
  <c r="W168" i="3"/>
  <c r="T163" i="3"/>
  <c r="X163" i="3" s="1"/>
  <c r="U162" i="3"/>
  <c r="V161" i="3"/>
  <c r="W160" i="3"/>
  <c r="T155" i="3"/>
  <c r="X155" i="3" s="1"/>
  <c r="U154" i="3"/>
  <c r="V153" i="3"/>
  <c r="W152" i="3"/>
  <c r="T147" i="3"/>
  <c r="X147" i="3" s="1"/>
  <c r="U146" i="3"/>
  <c r="V145" i="3"/>
  <c r="W144" i="3"/>
  <c r="T139" i="3"/>
  <c r="X139" i="3" s="1"/>
  <c r="U138" i="3"/>
  <c r="V137" i="3"/>
  <c r="W136" i="3"/>
  <c r="T131" i="3"/>
  <c r="X131" i="3" s="1"/>
  <c r="U130" i="3"/>
  <c r="V129" i="3"/>
  <c r="W128" i="3"/>
  <c r="T123" i="3"/>
  <c r="X123" i="3" s="1"/>
  <c r="U122" i="3"/>
  <c r="V121" i="3"/>
  <c r="W120" i="3"/>
  <c r="T115" i="3"/>
  <c r="X115" i="3" s="1"/>
  <c r="U114" i="3"/>
  <c r="V113" i="3"/>
  <c r="W112" i="3"/>
  <c r="T107" i="3"/>
  <c r="X107" i="3" s="1"/>
  <c r="U106" i="3"/>
  <c r="V105" i="3"/>
  <c r="W104" i="3"/>
  <c r="T99" i="3"/>
  <c r="X99" i="3" s="1"/>
  <c r="U98" i="3"/>
  <c r="V97" i="3"/>
  <c r="W96" i="3"/>
  <c r="T91" i="3"/>
  <c r="X91" i="3" s="1"/>
  <c r="U90" i="3"/>
  <c r="V89" i="3"/>
  <c r="W88" i="3"/>
  <c r="T83" i="3"/>
  <c r="X83" i="3" s="1"/>
  <c r="U82" i="3"/>
  <c r="V81" i="3"/>
  <c r="W80" i="3"/>
  <c r="T75" i="3"/>
  <c r="X75" i="3" s="1"/>
  <c r="U74" i="3"/>
  <c r="V73" i="3"/>
  <c r="W72" i="3"/>
  <c r="T67" i="3"/>
  <c r="X67" i="3" s="1"/>
  <c r="U66" i="3"/>
  <c r="V65" i="3"/>
  <c r="W64" i="3"/>
  <c r="T59" i="3"/>
  <c r="X59" i="3" s="1"/>
  <c r="U58" i="3"/>
  <c r="V57" i="3"/>
  <c r="W56" i="3"/>
  <c r="T51" i="3"/>
  <c r="X51" i="3" s="1"/>
  <c r="U50" i="3"/>
  <c r="V49" i="3"/>
  <c r="W48" i="3"/>
  <c r="T43" i="3"/>
  <c r="X43" i="3" s="1"/>
  <c r="U42" i="3"/>
  <c r="V41" i="3"/>
  <c r="W40" i="3"/>
  <c r="T35" i="3"/>
  <c r="X35" i="3" s="1"/>
  <c r="U34" i="3"/>
  <c r="V33" i="3"/>
  <c r="W32" i="3"/>
  <c r="T27" i="3"/>
  <c r="X27" i="3" s="1"/>
  <c r="U26" i="3"/>
  <c r="V25" i="3"/>
  <c r="W24" i="3"/>
  <c r="T19" i="3"/>
  <c r="X19" i="3" s="1"/>
  <c r="U18" i="3"/>
  <c r="V17" i="3"/>
  <c r="W16" i="3"/>
  <c r="T1202" i="3"/>
  <c r="X1202" i="3" s="1"/>
  <c r="U1201" i="3"/>
  <c r="V1200" i="3"/>
  <c r="W1199" i="3"/>
  <c r="T1194" i="3"/>
  <c r="X1194" i="3" s="1"/>
  <c r="U1193" i="3"/>
  <c r="V1192" i="3"/>
  <c r="W1191" i="3"/>
  <c r="T1186" i="3"/>
  <c r="X1186" i="3" s="1"/>
  <c r="U1185" i="3"/>
  <c r="V1184" i="3"/>
  <c r="W1183" i="3"/>
  <c r="T1178" i="3"/>
  <c r="X1178" i="3" s="1"/>
  <c r="U1177" i="3"/>
  <c r="V1176" i="3"/>
  <c r="W1175" i="3"/>
  <c r="T1170" i="3"/>
  <c r="X1170" i="3" s="1"/>
  <c r="U1169" i="3"/>
  <c r="V1168" i="3"/>
  <c r="W1167" i="3"/>
  <c r="T1162" i="3"/>
  <c r="X1162" i="3" s="1"/>
  <c r="U1161" i="3"/>
  <c r="V1160" i="3"/>
  <c r="W1159" i="3"/>
  <c r="T1154" i="3"/>
  <c r="X1154" i="3" s="1"/>
  <c r="U1153" i="3"/>
  <c r="V1152" i="3"/>
  <c r="W1151" i="3"/>
  <c r="T1146" i="3"/>
  <c r="X1146" i="3" s="1"/>
  <c r="U1145" i="3"/>
  <c r="V1144" i="3"/>
  <c r="W1143" i="3"/>
  <c r="T1138" i="3"/>
  <c r="X1138" i="3" s="1"/>
  <c r="U1137" i="3"/>
  <c r="V1136" i="3"/>
  <c r="W1135" i="3"/>
  <c r="T1130" i="3"/>
  <c r="X1130" i="3" s="1"/>
  <c r="U1129" i="3"/>
  <c r="V1128" i="3"/>
  <c r="W1127" i="3"/>
  <c r="T1122" i="3"/>
  <c r="X1122" i="3" s="1"/>
  <c r="U1121" i="3"/>
  <c r="V1120" i="3"/>
  <c r="W1119" i="3"/>
  <c r="T1114" i="3"/>
  <c r="X1114" i="3" s="1"/>
  <c r="U1113" i="3"/>
  <c r="V1112" i="3"/>
  <c r="W1111" i="3"/>
  <c r="T1106" i="3"/>
  <c r="X1106" i="3" s="1"/>
  <c r="U1105" i="3"/>
  <c r="V1104" i="3"/>
  <c r="W1103" i="3"/>
  <c r="T1098" i="3"/>
  <c r="X1098" i="3" s="1"/>
  <c r="U1097" i="3"/>
  <c r="V1096" i="3"/>
  <c r="W1095" i="3"/>
  <c r="T1090" i="3"/>
  <c r="X1090" i="3" s="1"/>
  <c r="U1089" i="3"/>
  <c r="V1088" i="3"/>
  <c r="W1087" i="3"/>
  <c r="T1082" i="3"/>
  <c r="X1082" i="3" s="1"/>
  <c r="U1081" i="3"/>
  <c r="V1080" i="3"/>
  <c r="W1079" i="3"/>
  <c r="T1074" i="3"/>
  <c r="X1074" i="3" s="1"/>
  <c r="U1073" i="3"/>
  <c r="V1072" i="3"/>
  <c r="W1071" i="3"/>
  <c r="T1066" i="3"/>
  <c r="X1066" i="3" s="1"/>
  <c r="U1065" i="3"/>
  <c r="V1064" i="3"/>
  <c r="W1063" i="3"/>
  <c r="T1058" i="3"/>
  <c r="X1058" i="3" s="1"/>
  <c r="U1057" i="3"/>
  <c r="V1056" i="3"/>
  <c r="W1055" i="3"/>
  <c r="T1050" i="3"/>
  <c r="X1050" i="3" s="1"/>
  <c r="U1049" i="3"/>
  <c r="V1048" i="3"/>
  <c r="W1047" i="3"/>
  <c r="T1042" i="3"/>
  <c r="X1042" i="3" s="1"/>
  <c r="U1041" i="3"/>
  <c r="V1040" i="3"/>
  <c r="W1039" i="3"/>
  <c r="T1034" i="3"/>
  <c r="X1034" i="3" s="1"/>
  <c r="U1033" i="3"/>
  <c r="V1032" i="3"/>
  <c r="W1031" i="3"/>
  <c r="T1026" i="3"/>
  <c r="X1026" i="3" s="1"/>
  <c r="U1025" i="3"/>
  <c r="V1024" i="3"/>
  <c r="W1023" i="3"/>
  <c r="T1018" i="3"/>
  <c r="X1018" i="3" s="1"/>
  <c r="U1017" i="3"/>
  <c r="V1016" i="3"/>
  <c r="W1015" i="3"/>
  <c r="T1010" i="3"/>
  <c r="X1010" i="3" s="1"/>
  <c r="U1009" i="3"/>
  <c r="V1008" i="3"/>
  <c r="W1007" i="3"/>
  <c r="T1002" i="3"/>
  <c r="X1002" i="3" s="1"/>
  <c r="U1001" i="3"/>
  <c r="V1000" i="3"/>
  <c r="W999" i="3"/>
  <c r="T994" i="3"/>
  <c r="X994" i="3" s="1"/>
  <c r="U993" i="3"/>
  <c r="V992" i="3"/>
  <c r="W991" i="3"/>
  <c r="T986" i="3"/>
  <c r="X986" i="3" s="1"/>
  <c r="U985" i="3"/>
  <c r="V984" i="3"/>
  <c r="W983" i="3"/>
  <c r="T978" i="3"/>
  <c r="X978" i="3" s="1"/>
  <c r="U977" i="3"/>
  <c r="V976" i="3"/>
  <c r="W975" i="3"/>
  <c r="T970" i="3"/>
  <c r="X970" i="3" s="1"/>
  <c r="U969" i="3"/>
  <c r="V968" i="3"/>
  <c r="W967" i="3"/>
  <c r="T962" i="3"/>
  <c r="X962" i="3" s="1"/>
  <c r="U961" i="3"/>
  <c r="V960" i="3"/>
  <c r="W959" i="3"/>
  <c r="T954" i="3"/>
  <c r="X954" i="3" s="1"/>
  <c r="U953" i="3"/>
  <c r="V952" i="3"/>
  <c r="W951" i="3"/>
  <c r="T946" i="3"/>
  <c r="X946" i="3" s="1"/>
  <c r="U945" i="3"/>
  <c r="V944" i="3"/>
  <c r="W943" i="3"/>
  <c r="T938" i="3"/>
  <c r="X938" i="3" s="1"/>
  <c r="U937" i="3"/>
  <c r="V936" i="3"/>
  <c r="W935" i="3"/>
  <c r="T930" i="3"/>
  <c r="X930" i="3" s="1"/>
  <c r="U929" i="3"/>
  <c r="V928" i="3"/>
  <c r="W927" i="3"/>
  <c r="T922" i="3"/>
  <c r="X922" i="3" s="1"/>
  <c r="U921" i="3"/>
  <c r="V920" i="3"/>
  <c r="W919" i="3"/>
  <c r="T914" i="3"/>
  <c r="X914" i="3" s="1"/>
  <c r="U913" i="3"/>
  <c r="V912" i="3"/>
  <c r="W911" i="3"/>
  <c r="T906" i="3"/>
  <c r="X906" i="3" s="1"/>
  <c r="U905" i="3"/>
  <c r="V904" i="3"/>
  <c r="W903" i="3"/>
  <c r="T898" i="3"/>
  <c r="X898" i="3" s="1"/>
  <c r="U897" i="3"/>
  <c r="V896" i="3"/>
  <c r="W895" i="3"/>
  <c r="T890" i="3"/>
  <c r="X890" i="3" s="1"/>
  <c r="U889" i="3"/>
  <c r="V888" i="3"/>
  <c r="W887" i="3"/>
  <c r="T882" i="3"/>
  <c r="X882" i="3" s="1"/>
  <c r="U881" i="3"/>
  <c r="V880" i="3"/>
  <c r="W879" i="3"/>
  <c r="T874" i="3"/>
  <c r="X874" i="3" s="1"/>
  <c r="U873" i="3"/>
  <c r="V872" i="3"/>
  <c r="W871" i="3"/>
  <c r="T866" i="3"/>
  <c r="X866" i="3" s="1"/>
  <c r="U865" i="3"/>
  <c r="V864" i="3"/>
  <c r="W863" i="3"/>
  <c r="T858" i="3"/>
  <c r="X858" i="3" s="1"/>
  <c r="U857" i="3"/>
  <c r="V856" i="3"/>
  <c r="W855" i="3"/>
  <c r="T850" i="3"/>
  <c r="X850" i="3" s="1"/>
  <c r="U849" i="3"/>
  <c r="V848" i="3"/>
  <c r="W847" i="3"/>
  <c r="T842" i="3"/>
  <c r="X842" i="3" s="1"/>
  <c r="U841" i="3"/>
  <c r="V840" i="3"/>
  <c r="W839" i="3"/>
  <c r="T834" i="3"/>
  <c r="X834" i="3" s="1"/>
  <c r="U833" i="3"/>
  <c r="V832" i="3"/>
  <c r="W831" i="3"/>
  <c r="T826" i="3"/>
  <c r="X826" i="3" s="1"/>
  <c r="U825" i="3"/>
  <c r="V824" i="3"/>
  <c r="W823" i="3"/>
  <c r="T818" i="3"/>
  <c r="X818" i="3" s="1"/>
  <c r="U817" i="3"/>
  <c r="V816" i="3"/>
  <c r="W815" i="3"/>
  <c r="T810" i="3"/>
  <c r="X810" i="3" s="1"/>
  <c r="U809" i="3"/>
  <c r="V808" i="3"/>
  <c r="W807" i="3"/>
  <c r="T802" i="3"/>
  <c r="X802" i="3" s="1"/>
  <c r="U801" i="3"/>
  <c r="V800" i="3"/>
  <c r="W799" i="3"/>
  <c r="T794" i="3"/>
  <c r="X794" i="3" s="1"/>
  <c r="U793" i="3"/>
  <c r="V792" i="3"/>
  <c r="W791" i="3"/>
  <c r="T786" i="3"/>
  <c r="X786" i="3" s="1"/>
  <c r="U785" i="3"/>
  <c r="V784" i="3"/>
  <c r="W783" i="3"/>
  <c r="T778" i="3"/>
  <c r="X778" i="3" s="1"/>
  <c r="U777" i="3"/>
  <c r="V776" i="3"/>
  <c r="W775" i="3"/>
  <c r="T770" i="3"/>
  <c r="X770" i="3" s="1"/>
  <c r="U769" i="3"/>
  <c r="V768" i="3"/>
  <c r="W767" i="3"/>
  <c r="T762" i="3"/>
  <c r="X762" i="3" s="1"/>
  <c r="U761" i="3"/>
  <c r="V760" i="3"/>
  <c r="W759" i="3"/>
  <c r="T754" i="3"/>
  <c r="X754" i="3" s="1"/>
  <c r="U753" i="3"/>
  <c r="V752" i="3"/>
  <c r="W751" i="3"/>
  <c r="T746" i="3"/>
  <c r="X746" i="3" s="1"/>
  <c r="U745" i="3"/>
  <c r="V744" i="3"/>
  <c r="W743" i="3"/>
  <c r="T738" i="3"/>
  <c r="X738" i="3" s="1"/>
  <c r="U737" i="3"/>
  <c r="V736" i="3"/>
  <c r="W735" i="3"/>
  <c r="T730" i="3"/>
  <c r="X730" i="3" s="1"/>
  <c r="U729" i="3"/>
  <c r="V728" i="3"/>
  <c r="W727" i="3"/>
  <c r="T722" i="3"/>
  <c r="X722" i="3" s="1"/>
  <c r="U721" i="3"/>
  <c r="V720" i="3"/>
  <c r="W719" i="3"/>
  <c r="T714" i="3"/>
  <c r="X714" i="3" s="1"/>
  <c r="U713" i="3"/>
  <c r="V712" i="3"/>
  <c r="W711" i="3"/>
  <c r="T706" i="3"/>
  <c r="X706" i="3" s="1"/>
  <c r="U705" i="3"/>
  <c r="V704" i="3"/>
  <c r="W703" i="3"/>
  <c r="T698" i="3"/>
  <c r="X698" i="3" s="1"/>
  <c r="U697" i="3"/>
  <c r="V696" i="3"/>
  <c r="W695" i="3"/>
  <c r="T690" i="3"/>
  <c r="X690" i="3" s="1"/>
  <c r="U689" i="3"/>
  <c r="V688" i="3"/>
  <c r="W687" i="3"/>
  <c r="T682" i="3"/>
  <c r="X682" i="3" s="1"/>
  <c r="U681" i="3"/>
  <c r="V680" i="3"/>
  <c r="W679" i="3"/>
  <c r="T674" i="3"/>
  <c r="X674" i="3" s="1"/>
  <c r="U673" i="3"/>
  <c r="V672" i="3"/>
  <c r="W671" i="3"/>
  <c r="T666" i="3"/>
  <c r="X666" i="3" s="1"/>
  <c r="U665" i="3"/>
  <c r="V664" i="3"/>
  <c r="W663" i="3"/>
  <c r="T658" i="3"/>
  <c r="X658" i="3" s="1"/>
  <c r="U657" i="3"/>
  <c r="V656" i="3"/>
  <c r="W655" i="3"/>
  <c r="T650" i="3"/>
  <c r="X650" i="3" s="1"/>
  <c r="U649" i="3"/>
  <c r="V648" i="3"/>
  <c r="W647" i="3"/>
  <c r="T642" i="3"/>
  <c r="X642" i="3" s="1"/>
  <c r="U641" i="3"/>
  <c r="V640" i="3"/>
  <c r="W639" i="3"/>
  <c r="T634" i="3"/>
  <c r="X634" i="3" s="1"/>
  <c r="U633" i="3"/>
  <c r="V632" i="3"/>
  <c r="W631" i="3"/>
  <c r="T626" i="3"/>
  <c r="X626" i="3" s="1"/>
  <c r="U625" i="3"/>
  <c r="V624" i="3"/>
  <c r="W623" i="3"/>
  <c r="T618" i="3"/>
  <c r="X618" i="3" s="1"/>
  <c r="U617" i="3"/>
  <c r="V616" i="3"/>
  <c r="W615" i="3"/>
  <c r="T610" i="3"/>
  <c r="X610" i="3" s="1"/>
  <c r="U609" i="3"/>
  <c r="V608" i="3"/>
  <c r="W607" i="3"/>
  <c r="T602" i="3"/>
  <c r="X602" i="3" s="1"/>
  <c r="U601" i="3"/>
  <c r="V600" i="3"/>
  <c r="W599" i="3"/>
  <c r="T594" i="3"/>
  <c r="X594" i="3" s="1"/>
  <c r="U593" i="3"/>
  <c r="V592" i="3"/>
  <c r="W591" i="3"/>
  <c r="T586" i="3"/>
  <c r="X586" i="3" s="1"/>
  <c r="U585" i="3"/>
  <c r="V584" i="3"/>
  <c r="W583" i="3"/>
  <c r="T578" i="3"/>
  <c r="X578" i="3" s="1"/>
  <c r="U577" i="3"/>
  <c r="V576" i="3"/>
  <c r="W575" i="3"/>
  <c r="T570" i="3"/>
  <c r="X570" i="3" s="1"/>
  <c r="U569" i="3"/>
  <c r="V568" i="3"/>
  <c r="W567" i="3"/>
  <c r="T562" i="3"/>
  <c r="X562" i="3" s="1"/>
  <c r="U561" i="3"/>
  <c r="V560" i="3"/>
  <c r="W559" i="3"/>
  <c r="T554" i="3"/>
  <c r="X554" i="3" s="1"/>
  <c r="U553" i="3"/>
  <c r="V552" i="3"/>
  <c r="W551" i="3"/>
  <c r="T546" i="3"/>
  <c r="X546" i="3" s="1"/>
  <c r="U545" i="3"/>
  <c r="V544" i="3"/>
  <c r="W543" i="3"/>
  <c r="T538" i="3"/>
  <c r="X538" i="3" s="1"/>
  <c r="U537" i="3"/>
  <c r="V536" i="3"/>
  <c r="W535" i="3"/>
  <c r="T530" i="3"/>
  <c r="X530" i="3" s="1"/>
  <c r="U529" i="3"/>
  <c r="V528" i="3"/>
  <c r="W527" i="3"/>
  <c r="T522" i="3"/>
  <c r="X522" i="3" s="1"/>
  <c r="U521" i="3"/>
  <c r="V520" i="3"/>
  <c r="W519" i="3"/>
  <c r="T514" i="3"/>
  <c r="X514" i="3" s="1"/>
  <c r="U513" i="3"/>
  <c r="V512" i="3"/>
  <c r="W511" i="3"/>
  <c r="T506" i="3"/>
  <c r="X506" i="3" s="1"/>
  <c r="U505" i="3"/>
  <c r="V504" i="3"/>
  <c r="W503" i="3"/>
  <c r="T498" i="3"/>
  <c r="X498" i="3" s="1"/>
  <c r="U497" i="3"/>
  <c r="V496" i="3"/>
  <c r="W495" i="3"/>
  <c r="T490" i="3"/>
  <c r="X490" i="3" s="1"/>
  <c r="U489" i="3"/>
  <c r="V488" i="3"/>
  <c r="W487" i="3"/>
  <c r="T482" i="3"/>
  <c r="X482" i="3" s="1"/>
  <c r="U481" i="3"/>
  <c r="V480" i="3"/>
  <c r="W479" i="3"/>
  <c r="T474" i="3"/>
  <c r="X474" i="3" s="1"/>
  <c r="U473" i="3"/>
  <c r="V472" i="3"/>
  <c r="W471" i="3"/>
  <c r="T466" i="3"/>
  <c r="X466" i="3" s="1"/>
  <c r="U465" i="3"/>
  <c r="V464" i="3"/>
  <c r="W463" i="3"/>
  <c r="T458" i="3"/>
  <c r="X458" i="3" s="1"/>
  <c r="U457" i="3"/>
  <c r="V456" i="3"/>
  <c r="W455" i="3"/>
  <c r="T450" i="3"/>
  <c r="X450" i="3" s="1"/>
  <c r="U449" i="3"/>
  <c r="V448" i="3"/>
  <c r="W447" i="3"/>
  <c r="T442" i="3"/>
  <c r="X442" i="3" s="1"/>
  <c r="U441" i="3"/>
  <c r="V440" i="3"/>
  <c r="W439" i="3"/>
  <c r="T434" i="3"/>
  <c r="X434" i="3" s="1"/>
  <c r="U433" i="3"/>
  <c r="V432" i="3"/>
  <c r="W431" i="3"/>
  <c r="T426" i="3"/>
  <c r="X426" i="3" s="1"/>
  <c r="U425" i="3"/>
  <c r="V424" i="3"/>
  <c r="W423" i="3"/>
  <c r="T418" i="3"/>
  <c r="X418" i="3" s="1"/>
  <c r="U417" i="3"/>
  <c r="V416" i="3"/>
  <c r="W415" i="3"/>
  <c r="T410" i="3"/>
  <c r="X410" i="3" s="1"/>
  <c r="U409" i="3"/>
  <c r="V408" i="3"/>
  <c r="W407" i="3"/>
  <c r="T402" i="3"/>
  <c r="X402" i="3" s="1"/>
  <c r="U401" i="3"/>
  <c r="V400" i="3"/>
  <c r="W399" i="3"/>
  <c r="T394" i="3"/>
  <c r="X394" i="3" s="1"/>
  <c r="U393" i="3"/>
  <c r="V392" i="3"/>
  <c r="W391" i="3"/>
  <c r="T386" i="3"/>
  <c r="X386" i="3" s="1"/>
  <c r="U385" i="3"/>
  <c r="V384" i="3"/>
  <c r="W383" i="3"/>
  <c r="T378" i="3"/>
  <c r="X378" i="3" s="1"/>
  <c r="U377" i="3"/>
  <c r="V376" i="3"/>
  <c r="W375" i="3"/>
  <c r="T370" i="3"/>
  <c r="X370" i="3" s="1"/>
  <c r="U369" i="3"/>
  <c r="V368" i="3"/>
  <c r="W367" i="3"/>
  <c r="T362" i="3"/>
  <c r="X362" i="3" s="1"/>
  <c r="U361" i="3"/>
  <c r="V360" i="3"/>
  <c r="W359" i="3"/>
  <c r="T354" i="3"/>
  <c r="X354" i="3" s="1"/>
  <c r="U353" i="3"/>
  <c r="V352" i="3"/>
  <c r="W351" i="3"/>
  <c r="T346" i="3"/>
  <c r="X346" i="3" s="1"/>
  <c r="U345" i="3"/>
  <c r="V344" i="3"/>
  <c r="W343" i="3"/>
  <c r="T338" i="3"/>
  <c r="X338" i="3" s="1"/>
  <c r="U337" i="3"/>
  <c r="V336" i="3"/>
  <c r="W335" i="3"/>
  <c r="T330" i="3"/>
  <c r="X330" i="3" s="1"/>
  <c r="U329" i="3"/>
  <c r="V328" i="3"/>
  <c r="W327" i="3"/>
  <c r="T322" i="3"/>
  <c r="X322" i="3" s="1"/>
  <c r="U321" i="3"/>
  <c r="V320" i="3"/>
  <c r="W319" i="3"/>
  <c r="T314" i="3"/>
  <c r="X314" i="3" s="1"/>
  <c r="U313" i="3"/>
  <c r="V312" i="3"/>
  <c r="W311" i="3"/>
  <c r="T306" i="3"/>
  <c r="X306" i="3" s="1"/>
  <c r="U305" i="3"/>
  <c r="V304" i="3"/>
  <c r="W303" i="3"/>
  <c r="T298" i="3"/>
  <c r="X298" i="3" s="1"/>
  <c r="U297" i="3"/>
  <c r="V296" i="3"/>
  <c r="W295" i="3"/>
  <c r="T290" i="3"/>
  <c r="X290" i="3" s="1"/>
  <c r="U289" i="3"/>
  <c r="V288" i="3"/>
  <c r="W287" i="3"/>
  <c r="T282" i="3"/>
  <c r="X282" i="3" s="1"/>
  <c r="U281" i="3"/>
  <c r="V280" i="3"/>
  <c r="W279" i="3"/>
  <c r="T274" i="3"/>
  <c r="X274" i="3" s="1"/>
  <c r="U273" i="3"/>
  <c r="V272" i="3"/>
  <c r="W271" i="3"/>
  <c r="T266" i="3"/>
  <c r="X266" i="3" s="1"/>
  <c r="U265" i="3"/>
  <c r="V264" i="3"/>
  <c r="W263" i="3"/>
  <c r="T258" i="3"/>
  <c r="X258" i="3" s="1"/>
  <c r="U257" i="3"/>
  <c r="V256" i="3"/>
  <c r="W255" i="3"/>
  <c r="T250" i="3"/>
  <c r="X250" i="3" s="1"/>
  <c r="U249" i="3"/>
  <c r="V248" i="3"/>
  <c r="W247" i="3"/>
  <c r="T242" i="3"/>
  <c r="X242" i="3" s="1"/>
  <c r="U241" i="3"/>
  <c r="V240" i="3"/>
  <c r="W239" i="3"/>
  <c r="T234" i="3"/>
  <c r="X234" i="3" s="1"/>
  <c r="U233" i="3"/>
  <c r="V232" i="3"/>
  <c r="W231" i="3"/>
  <c r="T226" i="3"/>
  <c r="X226" i="3" s="1"/>
  <c r="U225" i="3"/>
  <c r="V224" i="3"/>
  <c r="W223" i="3"/>
  <c r="T218" i="3"/>
  <c r="X218" i="3" s="1"/>
  <c r="U217" i="3"/>
  <c r="V216" i="3"/>
  <c r="W215" i="3"/>
  <c r="T210" i="3"/>
  <c r="X210" i="3" s="1"/>
  <c r="U209" i="3"/>
  <c r="V208" i="3"/>
  <c r="W207" i="3"/>
  <c r="T202" i="3"/>
  <c r="X202" i="3" s="1"/>
  <c r="U201" i="3"/>
  <c r="V200" i="3"/>
  <c r="W199" i="3"/>
  <c r="T194" i="3"/>
  <c r="X194" i="3" s="1"/>
  <c r="U193" i="3"/>
  <c r="V192" i="3"/>
  <c r="W191" i="3"/>
  <c r="T186" i="3"/>
  <c r="X186" i="3" s="1"/>
  <c r="U185" i="3"/>
  <c r="V184" i="3"/>
  <c r="W183" i="3"/>
  <c r="T178" i="3"/>
  <c r="X178" i="3" s="1"/>
  <c r="U177" i="3"/>
  <c r="V176" i="3"/>
  <c r="W175" i="3"/>
  <c r="T170" i="3"/>
  <c r="X170" i="3" s="1"/>
  <c r="U169" i="3"/>
  <c r="V168" i="3"/>
  <c r="W167" i="3"/>
  <c r="T162" i="3"/>
  <c r="X162" i="3" s="1"/>
  <c r="U161" i="3"/>
  <c r="V160" i="3"/>
  <c r="W159" i="3"/>
  <c r="T154" i="3"/>
  <c r="X154" i="3" s="1"/>
  <c r="U153" i="3"/>
  <c r="V152" i="3"/>
  <c r="W151" i="3"/>
  <c r="T146" i="3"/>
  <c r="X146" i="3" s="1"/>
  <c r="U145" i="3"/>
  <c r="V144" i="3"/>
  <c r="W143" i="3"/>
  <c r="T138" i="3"/>
  <c r="X138" i="3" s="1"/>
  <c r="U137" i="3"/>
  <c r="V136" i="3"/>
  <c r="W135" i="3"/>
  <c r="T130" i="3"/>
  <c r="X130" i="3" s="1"/>
  <c r="U129" i="3"/>
  <c r="V128" i="3"/>
  <c r="W127" i="3"/>
  <c r="T122" i="3"/>
  <c r="X122" i="3" s="1"/>
  <c r="U121" i="3"/>
  <c r="V120" i="3"/>
  <c r="W119" i="3"/>
  <c r="T114" i="3"/>
  <c r="X114" i="3" s="1"/>
  <c r="U113" i="3"/>
  <c r="V112" i="3"/>
  <c r="W111" i="3"/>
  <c r="T106" i="3"/>
  <c r="X106" i="3" s="1"/>
  <c r="U105" i="3"/>
  <c r="V104" i="3"/>
  <c r="W103" i="3"/>
  <c r="T98" i="3"/>
  <c r="X98" i="3" s="1"/>
  <c r="U97" i="3"/>
  <c r="V96" i="3"/>
  <c r="W95" i="3"/>
  <c r="T90" i="3"/>
  <c r="X90" i="3" s="1"/>
  <c r="U89" i="3"/>
  <c r="V88" i="3"/>
  <c r="W87" i="3"/>
  <c r="T82" i="3"/>
  <c r="X82" i="3" s="1"/>
  <c r="U81" i="3"/>
  <c r="V80" i="3"/>
  <c r="W79" i="3"/>
  <c r="T74" i="3"/>
  <c r="X74" i="3" s="1"/>
  <c r="U73" i="3"/>
  <c r="V72" i="3"/>
  <c r="W71" i="3"/>
  <c r="T66" i="3"/>
  <c r="X66" i="3" s="1"/>
  <c r="U65" i="3"/>
  <c r="V64" i="3"/>
  <c r="W63" i="3"/>
  <c r="T58" i="3"/>
  <c r="X58" i="3" s="1"/>
  <c r="U57" i="3"/>
  <c r="V56" i="3"/>
  <c r="W55" i="3"/>
  <c r="T50" i="3"/>
  <c r="X50" i="3" s="1"/>
  <c r="U49" i="3"/>
  <c r="V48" i="3"/>
  <c r="W47" i="3"/>
  <c r="T42" i="3"/>
  <c r="X42" i="3" s="1"/>
  <c r="U41" i="3"/>
  <c r="V40" i="3"/>
  <c r="W39" i="3"/>
  <c r="T34" i="3"/>
  <c r="X34" i="3" s="1"/>
  <c r="U33" i="3"/>
  <c r="V32" i="3"/>
  <c r="W31" i="3"/>
  <c r="T26" i="3"/>
  <c r="X26" i="3" s="1"/>
  <c r="U25" i="3"/>
  <c r="V24" i="3"/>
  <c r="W23" i="3"/>
  <c r="T18" i="3"/>
  <c r="X18" i="3" s="1"/>
  <c r="U17" i="3"/>
  <c r="V16" i="3"/>
  <c r="W15" i="3"/>
  <c r="T10" i="3"/>
  <c r="X10" i="3" s="1"/>
  <c r="U9" i="3"/>
  <c r="V8" i="3"/>
  <c r="W7" i="3"/>
  <c r="U1206" i="3"/>
  <c r="V1205" i="3"/>
  <c r="W1204" i="3"/>
  <c r="T1199" i="3"/>
  <c r="X1199" i="3" s="1"/>
  <c r="U1198" i="3"/>
  <c r="V1197" i="3"/>
  <c r="W1196" i="3"/>
  <c r="T1191" i="3"/>
  <c r="X1191" i="3" s="1"/>
  <c r="U1190" i="3"/>
  <c r="V1189" i="3"/>
  <c r="W1188" i="3"/>
  <c r="T1183" i="3"/>
  <c r="X1183" i="3" s="1"/>
  <c r="U1182" i="3"/>
  <c r="V1181" i="3"/>
  <c r="W1180" i="3"/>
  <c r="T1175" i="3"/>
  <c r="X1175" i="3" s="1"/>
  <c r="U1174" i="3"/>
  <c r="V1173" i="3"/>
  <c r="W1172" i="3"/>
  <c r="T1167" i="3"/>
  <c r="X1167" i="3" s="1"/>
  <c r="U1166" i="3"/>
  <c r="V1165" i="3"/>
  <c r="W1164" i="3"/>
  <c r="T1159" i="3"/>
  <c r="X1159" i="3" s="1"/>
  <c r="U1158" i="3"/>
  <c r="V1157" i="3"/>
  <c r="W1156" i="3"/>
  <c r="T1151" i="3"/>
  <c r="X1151" i="3" s="1"/>
  <c r="U1150" i="3"/>
  <c r="V1149" i="3"/>
  <c r="W1148" i="3"/>
  <c r="T1143" i="3"/>
  <c r="X1143" i="3" s="1"/>
  <c r="U1142" i="3"/>
  <c r="V1141" i="3"/>
  <c r="W1140" i="3"/>
  <c r="T1135" i="3"/>
  <c r="X1135" i="3" s="1"/>
  <c r="U1134" i="3"/>
  <c r="V1133" i="3"/>
  <c r="W1132" i="3"/>
  <c r="T1127" i="3"/>
  <c r="X1127" i="3" s="1"/>
  <c r="U1126" i="3"/>
  <c r="V1125" i="3"/>
  <c r="W1124" i="3"/>
  <c r="T1119" i="3"/>
  <c r="X1119" i="3" s="1"/>
  <c r="U1118" i="3"/>
  <c r="V1117" i="3"/>
  <c r="W1116" i="3"/>
  <c r="T1111" i="3"/>
  <c r="X1111" i="3" s="1"/>
  <c r="U1110" i="3"/>
  <c r="V1109" i="3"/>
  <c r="W1108" i="3"/>
  <c r="T1103" i="3"/>
  <c r="X1103" i="3" s="1"/>
  <c r="U1102" i="3"/>
  <c r="V1101" i="3"/>
  <c r="W1100" i="3"/>
  <c r="T1095" i="3"/>
  <c r="X1095" i="3" s="1"/>
  <c r="U1094" i="3"/>
  <c r="V1093" i="3"/>
  <c r="W1092" i="3"/>
  <c r="T1087" i="3"/>
  <c r="X1087" i="3" s="1"/>
  <c r="U1086" i="3"/>
  <c r="V1085" i="3"/>
  <c r="W1084" i="3"/>
  <c r="T1079" i="3"/>
  <c r="X1079" i="3" s="1"/>
  <c r="U1078" i="3"/>
  <c r="V1077" i="3"/>
  <c r="W1076" i="3"/>
  <c r="T1071" i="3"/>
  <c r="X1071" i="3" s="1"/>
  <c r="U1070" i="3"/>
  <c r="V1069" i="3"/>
  <c r="W1068" i="3"/>
  <c r="T1063" i="3"/>
  <c r="X1063" i="3" s="1"/>
  <c r="U1062" i="3"/>
  <c r="V1061" i="3"/>
  <c r="W1060" i="3"/>
  <c r="T1055" i="3"/>
  <c r="X1055" i="3" s="1"/>
  <c r="U1054" i="3"/>
  <c r="V1053" i="3"/>
  <c r="W1052" i="3"/>
  <c r="T1047" i="3"/>
  <c r="X1047" i="3" s="1"/>
  <c r="U1046" i="3"/>
  <c r="V1045" i="3"/>
  <c r="W1044" i="3"/>
  <c r="T1039" i="3"/>
  <c r="X1039" i="3" s="1"/>
  <c r="U1038" i="3"/>
  <c r="V1037" i="3"/>
  <c r="W1036" i="3"/>
  <c r="T1031" i="3"/>
  <c r="X1031" i="3" s="1"/>
  <c r="U1030" i="3"/>
  <c r="V1029" i="3"/>
  <c r="W1028" i="3"/>
  <c r="T1023" i="3"/>
  <c r="X1023" i="3" s="1"/>
  <c r="U1022" i="3"/>
  <c r="V1021" i="3"/>
  <c r="W1020" i="3"/>
  <c r="T1015" i="3"/>
  <c r="X1015" i="3" s="1"/>
  <c r="U1014" i="3"/>
  <c r="V1013" i="3"/>
  <c r="W1012" i="3"/>
  <c r="T1007" i="3"/>
  <c r="X1007" i="3" s="1"/>
  <c r="U1006" i="3"/>
  <c r="V1005" i="3"/>
  <c r="W1004" i="3"/>
  <c r="T999" i="3"/>
  <c r="X999" i="3" s="1"/>
  <c r="U998" i="3"/>
  <c r="V997" i="3"/>
  <c r="W996" i="3"/>
  <c r="T991" i="3"/>
  <c r="X991" i="3" s="1"/>
  <c r="U990" i="3"/>
  <c r="V989" i="3"/>
  <c r="W988" i="3"/>
  <c r="T983" i="3"/>
  <c r="X983" i="3" s="1"/>
  <c r="U982" i="3"/>
  <c r="V981" i="3"/>
  <c r="W980" i="3"/>
  <c r="T975" i="3"/>
  <c r="X975" i="3" s="1"/>
  <c r="U974" i="3"/>
  <c r="V973" i="3"/>
  <c r="W972" i="3"/>
  <c r="T967" i="3"/>
  <c r="X967" i="3" s="1"/>
  <c r="U966" i="3"/>
  <c r="V965" i="3"/>
  <c r="W964" i="3"/>
  <c r="T959" i="3"/>
  <c r="X959" i="3" s="1"/>
  <c r="U958" i="3"/>
  <c r="V957" i="3"/>
  <c r="W956" i="3"/>
  <c r="T951" i="3"/>
  <c r="X951" i="3" s="1"/>
  <c r="U950" i="3"/>
  <c r="V949" i="3"/>
  <c r="W948" i="3"/>
  <c r="T943" i="3"/>
  <c r="X943" i="3" s="1"/>
  <c r="U942" i="3"/>
  <c r="V941" i="3"/>
  <c r="W940" i="3"/>
  <c r="T935" i="3"/>
  <c r="X935" i="3" s="1"/>
  <c r="U934" i="3"/>
  <c r="V933" i="3"/>
  <c r="W932" i="3"/>
  <c r="T927" i="3"/>
  <c r="X927" i="3" s="1"/>
  <c r="U926" i="3"/>
  <c r="V925" i="3"/>
  <c r="W924" i="3"/>
  <c r="T919" i="3"/>
  <c r="X919" i="3" s="1"/>
  <c r="U918" i="3"/>
  <c r="V917" i="3"/>
  <c r="W916" i="3"/>
  <c r="T911" i="3"/>
  <c r="X911" i="3" s="1"/>
  <c r="U910" i="3"/>
  <c r="V909" i="3"/>
  <c r="W908" i="3"/>
  <c r="T903" i="3"/>
  <c r="X903" i="3" s="1"/>
  <c r="U902" i="3"/>
  <c r="V901" i="3"/>
  <c r="W900" i="3"/>
  <c r="T895" i="3"/>
  <c r="X895" i="3" s="1"/>
  <c r="U894" i="3"/>
  <c r="V893" i="3"/>
  <c r="W892" i="3"/>
  <c r="T887" i="3"/>
  <c r="X887" i="3" s="1"/>
  <c r="U886" i="3"/>
  <c r="V885" i="3"/>
  <c r="W884" i="3"/>
  <c r="T879" i="3"/>
  <c r="X879" i="3" s="1"/>
  <c r="U878" i="3"/>
  <c r="V877" i="3"/>
  <c r="W876" i="3"/>
  <c r="T871" i="3"/>
  <c r="X871" i="3" s="1"/>
  <c r="U870" i="3"/>
  <c r="V869" i="3"/>
  <c r="W868" i="3"/>
  <c r="T863" i="3"/>
  <c r="X863" i="3" s="1"/>
  <c r="U862" i="3"/>
  <c r="V861" i="3"/>
  <c r="W860" i="3"/>
  <c r="T855" i="3"/>
  <c r="X855" i="3" s="1"/>
  <c r="U854" i="3"/>
  <c r="V853" i="3"/>
  <c r="W852" i="3"/>
  <c r="T847" i="3"/>
  <c r="X847" i="3" s="1"/>
  <c r="U846" i="3"/>
  <c r="V845" i="3"/>
  <c r="W844" i="3"/>
  <c r="T839" i="3"/>
  <c r="X839" i="3" s="1"/>
  <c r="U838" i="3"/>
  <c r="V837" i="3"/>
  <c r="W836" i="3"/>
  <c r="T831" i="3"/>
  <c r="X831" i="3" s="1"/>
  <c r="U830" i="3"/>
  <c r="V829" i="3"/>
  <c r="W828" i="3"/>
  <c r="T823" i="3"/>
  <c r="X823" i="3" s="1"/>
  <c r="U822" i="3"/>
  <c r="V821" i="3"/>
  <c r="W820" i="3"/>
  <c r="T815" i="3"/>
  <c r="X815" i="3" s="1"/>
  <c r="U814" i="3"/>
  <c r="V813" i="3"/>
  <c r="W812" i="3"/>
  <c r="T807" i="3"/>
  <c r="X807" i="3" s="1"/>
  <c r="U806" i="3"/>
  <c r="V805" i="3"/>
  <c r="W804" i="3"/>
  <c r="T799" i="3"/>
  <c r="X799" i="3" s="1"/>
  <c r="U798" i="3"/>
  <c r="V797" i="3"/>
  <c r="W796" i="3"/>
  <c r="T791" i="3"/>
  <c r="X791" i="3" s="1"/>
  <c r="U790" i="3"/>
  <c r="V789" i="3"/>
  <c r="W788" i="3"/>
  <c r="T783" i="3"/>
  <c r="X783" i="3" s="1"/>
  <c r="U782" i="3"/>
  <c r="V781" i="3"/>
  <c r="W780" i="3"/>
  <c r="T775" i="3"/>
  <c r="X775" i="3" s="1"/>
  <c r="U774" i="3"/>
  <c r="V773" i="3"/>
  <c r="W772" i="3"/>
  <c r="T767" i="3"/>
  <c r="X767" i="3" s="1"/>
  <c r="U766" i="3"/>
  <c r="V765" i="3"/>
  <c r="W764" i="3"/>
  <c r="T759" i="3"/>
  <c r="X759" i="3" s="1"/>
  <c r="U758" i="3"/>
  <c r="V757" i="3"/>
  <c r="W756" i="3"/>
  <c r="T751" i="3"/>
  <c r="X751" i="3" s="1"/>
  <c r="U750" i="3"/>
  <c r="V749" i="3"/>
  <c r="W748" i="3"/>
  <c r="T743" i="3"/>
  <c r="X743" i="3" s="1"/>
  <c r="U742" i="3"/>
  <c r="V741" i="3"/>
  <c r="W740" i="3"/>
  <c r="T735" i="3"/>
  <c r="X735" i="3" s="1"/>
  <c r="U734" i="3"/>
  <c r="V733" i="3"/>
  <c r="W732" i="3"/>
  <c r="T727" i="3"/>
  <c r="X727" i="3" s="1"/>
  <c r="U726" i="3"/>
  <c r="V725" i="3"/>
  <c r="W724" i="3"/>
  <c r="T719" i="3"/>
  <c r="X719" i="3" s="1"/>
  <c r="U718" i="3"/>
  <c r="V717" i="3"/>
  <c r="W716" i="3"/>
  <c r="T711" i="3"/>
  <c r="X711" i="3" s="1"/>
  <c r="U710" i="3"/>
  <c r="V709" i="3"/>
  <c r="W708" i="3"/>
  <c r="T703" i="3"/>
  <c r="X703" i="3" s="1"/>
  <c r="U702" i="3"/>
  <c r="V701" i="3"/>
  <c r="W700" i="3"/>
  <c r="T695" i="3"/>
  <c r="X695" i="3" s="1"/>
  <c r="U694" i="3"/>
  <c r="V693" i="3"/>
  <c r="W692" i="3"/>
  <c r="T687" i="3"/>
  <c r="X687" i="3" s="1"/>
  <c r="U686" i="3"/>
  <c r="V685" i="3"/>
  <c r="W684" i="3"/>
  <c r="T679" i="3"/>
  <c r="X679" i="3" s="1"/>
  <c r="U678" i="3"/>
  <c r="V677" i="3"/>
  <c r="W676" i="3"/>
  <c r="T671" i="3"/>
  <c r="X671" i="3" s="1"/>
  <c r="U670" i="3"/>
  <c r="V669" i="3"/>
  <c r="W668" i="3"/>
  <c r="T663" i="3"/>
  <c r="X663" i="3" s="1"/>
  <c r="U662" i="3"/>
  <c r="V661" i="3"/>
  <c r="W660" i="3"/>
  <c r="T655" i="3"/>
  <c r="X655" i="3" s="1"/>
  <c r="U654" i="3"/>
  <c r="V653" i="3"/>
  <c r="W652" i="3"/>
  <c r="T647" i="3"/>
  <c r="X647" i="3" s="1"/>
  <c r="U646" i="3"/>
  <c r="V645" i="3"/>
  <c r="W644" i="3"/>
  <c r="T639" i="3"/>
  <c r="X639" i="3" s="1"/>
  <c r="U638" i="3"/>
  <c r="V637" i="3"/>
  <c r="W636" i="3"/>
  <c r="T631" i="3"/>
  <c r="X631" i="3" s="1"/>
  <c r="U630" i="3"/>
  <c r="V629" i="3"/>
  <c r="W628" i="3"/>
  <c r="T623" i="3"/>
  <c r="X623" i="3" s="1"/>
  <c r="U622" i="3"/>
  <c r="V621" i="3"/>
  <c r="W620" i="3"/>
  <c r="T615" i="3"/>
  <c r="X615" i="3" s="1"/>
  <c r="U614" i="3"/>
  <c r="V613" i="3"/>
  <c r="W612" i="3"/>
  <c r="T607" i="3"/>
  <c r="X607" i="3" s="1"/>
  <c r="U606" i="3"/>
  <c r="V605" i="3"/>
  <c r="W604" i="3"/>
  <c r="T599" i="3"/>
  <c r="X599" i="3" s="1"/>
  <c r="U598" i="3"/>
  <c r="V597" i="3"/>
  <c r="W596" i="3"/>
  <c r="T591" i="3"/>
  <c r="X591" i="3" s="1"/>
  <c r="U590" i="3"/>
  <c r="V589" i="3"/>
  <c r="W588" i="3"/>
  <c r="T583" i="3"/>
  <c r="X583" i="3" s="1"/>
  <c r="U582" i="3"/>
  <c r="V581" i="3"/>
  <c r="W580" i="3"/>
  <c r="T575" i="3"/>
  <c r="X575" i="3" s="1"/>
  <c r="U574" i="3"/>
  <c r="V573" i="3"/>
  <c r="W572" i="3"/>
  <c r="T567" i="3"/>
  <c r="X567" i="3" s="1"/>
  <c r="U566" i="3"/>
  <c r="V565" i="3"/>
  <c r="W564" i="3"/>
  <c r="T559" i="3"/>
  <c r="X559" i="3" s="1"/>
  <c r="U558" i="3"/>
  <c r="V557" i="3"/>
  <c r="W556" i="3"/>
  <c r="T551" i="3"/>
  <c r="X551" i="3" s="1"/>
  <c r="U550" i="3"/>
  <c r="V549" i="3"/>
  <c r="W548" i="3"/>
  <c r="T543" i="3"/>
  <c r="X543" i="3" s="1"/>
  <c r="U542" i="3"/>
  <c r="V541" i="3"/>
  <c r="W540" i="3"/>
  <c r="T535" i="3"/>
  <c r="X535" i="3" s="1"/>
  <c r="U534" i="3"/>
  <c r="V533" i="3"/>
  <c r="W532" i="3"/>
  <c r="T527" i="3"/>
  <c r="X527" i="3" s="1"/>
  <c r="U526" i="3"/>
  <c r="V525" i="3"/>
  <c r="W524" i="3"/>
  <c r="T519" i="3"/>
  <c r="X519" i="3" s="1"/>
  <c r="U518" i="3"/>
  <c r="V517" i="3"/>
  <c r="W516" i="3"/>
  <c r="T511" i="3"/>
  <c r="X511" i="3" s="1"/>
  <c r="U510" i="3"/>
  <c r="V509" i="3"/>
  <c r="W508" i="3"/>
  <c r="T503" i="3"/>
  <c r="X503" i="3" s="1"/>
  <c r="U502" i="3"/>
  <c r="V501" i="3"/>
  <c r="W500" i="3"/>
  <c r="T495" i="3"/>
  <c r="X495" i="3" s="1"/>
  <c r="U494" i="3"/>
  <c r="V493" i="3"/>
  <c r="W492" i="3"/>
  <c r="T487" i="3"/>
  <c r="X487" i="3" s="1"/>
  <c r="U486" i="3"/>
  <c r="V485" i="3"/>
  <c r="W484" i="3"/>
  <c r="T479" i="3"/>
  <c r="X479" i="3" s="1"/>
  <c r="U478" i="3"/>
  <c r="V477" i="3"/>
  <c r="W476" i="3"/>
  <c r="T471" i="3"/>
  <c r="X471" i="3" s="1"/>
  <c r="U470" i="3"/>
  <c r="V469" i="3"/>
  <c r="W468" i="3"/>
  <c r="T463" i="3"/>
  <c r="X463" i="3" s="1"/>
  <c r="U462" i="3"/>
  <c r="V461" i="3"/>
  <c r="W460" i="3"/>
  <c r="T455" i="3"/>
  <c r="X455" i="3" s="1"/>
  <c r="U454" i="3"/>
  <c r="V453" i="3"/>
  <c r="W452" i="3"/>
  <c r="T447" i="3"/>
  <c r="X447" i="3" s="1"/>
  <c r="U446" i="3"/>
  <c r="V445" i="3"/>
  <c r="W444" i="3"/>
  <c r="T439" i="3"/>
  <c r="X439" i="3" s="1"/>
  <c r="U438" i="3"/>
  <c r="V437" i="3"/>
  <c r="W436" i="3"/>
  <c r="T431" i="3"/>
  <c r="X431" i="3" s="1"/>
  <c r="U430" i="3"/>
  <c r="V429" i="3"/>
  <c r="W428" i="3"/>
  <c r="T423" i="3"/>
  <c r="X423" i="3" s="1"/>
  <c r="U422" i="3"/>
  <c r="V421" i="3"/>
  <c r="W420" i="3"/>
  <c r="T415" i="3"/>
  <c r="X415" i="3" s="1"/>
  <c r="U414" i="3"/>
  <c r="V413" i="3"/>
  <c r="W412" i="3"/>
  <c r="T407" i="3"/>
  <c r="X407" i="3" s="1"/>
  <c r="U406" i="3"/>
  <c r="V405" i="3"/>
  <c r="W404" i="3"/>
  <c r="T399" i="3"/>
  <c r="X399" i="3" s="1"/>
  <c r="U398" i="3"/>
  <c r="V397" i="3"/>
  <c r="W396" i="3"/>
  <c r="T391" i="3"/>
  <c r="X391" i="3" s="1"/>
  <c r="U390" i="3"/>
  <c r="V389" i="3"/>
  <c r="W388" i="3"/>
  <c r="T383" i="3"/>
  <c r="X383" i="3" s="1"/>
  <c r="U382" i="3"/>
  <c r="V381" i="3"/>
  <c r="W380" i="3"/>
  <c r="T375" i="3"/>
  <c r="X375" i="3" s="1"/>
  <c r="U374" i="3"/>
  <c r="V373" i="3"/>
  <c r="W372" i="3"/>
  <c r="T367" i="3"/>
  <c r="X367" i="3" s="1"/>
  <c r="U366" i="3"/>
  <c r="V365" i="3"/>
  <c r="W364" i="3"/>
  <c r="T359" i="3"/>
  <c r="X359" i="3" s="1"/>
  <c r="U358" i="3"/>
  <c r="V357" i="3"/>
  <c r="W356" i="3"/>
  <c r="T351" i="3"/>
  <c r="X351" i="3" s="1"/>
  <c r="U350" i="3"/>
  <c r="V349" i="3"/>
  <c r="W348" i="3"/>
  <c r="T343" i="3"/>
  <c r="X343" i="3" s="1"/>
  <c r="U342" i="3"/>
  <c r="V341" i="3"/>
  <c r="W340" i="3"/>
  <c r="T335" i="3"/>
  <c r="X335" i="3" s="1"/>
  <c r="U334" i="3"/>
  <c r="V333" i="3"/>
  <c r="W332" i="3"/>
  <c r="T327" i="3"/>
  <c r="X327" i="3" s="1"/>
  <c r="U326" i="3"/>
  <c r="V325" i="3"/>
  <c r="W324" i="3"/>
  <c r="T319" i="3"/>
  <c r="X319" i="3" s="1"/>
  <c r="U318" i="3"/>
  <c r="V317" i="3"/>
  <c r="W316" i="3"/>
  <c r="T311" i="3"/>
  <c r="X311" i="3" s="1"/>
  <c r="U310" i="3"/>
  <c r="V309" i="3"/>
  <c r="W308" i="3"/>
  <c r="T303" i="3"/>
  <c r="X303" i="3" s="1"/>
  <c r="U302" i="3"/>
  <c r="V301" i="3"/>
  <c r="W300" i="3"/>
  <c r="T295" i="3"/>
  <c r="X295" i="3" s="1"/>
  <c r="U294" i="3"/>
  <c r="V293" i="3"/>
  <c r="W292" i="3"/>
  <c r="T287" i="3"/>
  <c r="X287" i="3" s="1"/>
  <c r="U286" i="3"/>
  <c r="V285" i="3"/>
  <c r="W284" i="3"/>
  <c r="T279" i="3"/>
  <c r="X279" i="3" s="1"/>
  <c r="U278" i="3"/>
  <c r="V277" i="3"/>
  <c r="W276" i="3"/>
  <c r="T271" i="3"/>
  <c r="X271" i="3" s="1"/>
  <c r="U270" i="3"/>
  <c r="V269" i="3"/>
  <c r="W268" i="3"/>
  <c r="T263" i="3"/>
  <c r="X263" i="3" s="1"/>
  <c r="U262" i="3"/>
  <c r="V261" i="3"/>
  <c r="W260" i="3"/>
  <c r="T255" i="3"/>
  <c r="X255" i="3" s="1"/>
  <c r="U254" i="3"/>
  <c r="V253" i="3"/>
  <c r="W252" i="3"/>
  <c r="T247" i="3"/>
  <c r="X247" i="3" s="1"/>
  <c r="U246" i="3"/>
  <c r="V245" i="3"/>
  <c r="W244" i="3"/>
  <c r="T239" i="3"/>
  <c r="X239" i="3" s="1"/>
  <c r="U238" i="3"/>
  <c r="V237" i="3"/>
  <c r="W236" i="3"/>
  <c r="T231" i="3"/>
  <c r="X231" i="3" s="1"/>
  <c r="U230" i="3"/>
  <c r="V229" i="3"/>
  <c r="W228" i="3"/>
  <c r="T223" i="3"/>
  <c r="X223" i="3" s="1"/>
  <c r="U222" i="3"/>
  <c r="V221" i="3"/>
  <c r="W220" i="3"/>
  <c r="T215" i="3"/>
  <c r="X215" i="3" s="1"/>
  <c r="U214" i="3"/>
  <c r="V213" i="3"/>
  <c r="W212" i="3"/>
  <c r="T207" i="3"/>
  <c r="X207" i="3" s="1"/>
  <c r="U206" i="3"/>
  <c r="V205" i="3"/>
  <c r="W204" i="3"/>
  <c r="T199" i="3"/>
  <c r="X199" i="3" s="1"/>
  <c r="U198" i="3"/>
  <c r="V197" i="3"/>
  <c r="W196" i="3"/>
  <c r="T191" i="3"/>
  <c r="X191" i="3" s="1"/>
  <c r="U190" i="3"/>
  <c r="V189" i="3"/>
  <c r="W188" i="3"/>
  <c r="T183" i="3"/>
  <c r="X183" i="3" s="1"/>
  <c r="U182" i="3"/>
  <c r="V181" i="3"/>
  <c r="W180" i="3"/>
  <c r="T175" i="3"/>
  <c r="X175" i="3" s="1"/>
  <c r="U174" i="3"/>
  <c r="V173" i="3"/>
  <c r="W172" i="3"/>
  <c r="T167" i="3"/>
  <c r="X167" i="3" s="1"/>
  <c r="U166" i="3"/>
  <c r="V165" i="3"/>
  <c r="W164" i="3"/>
  <c r="T159" i="3"/>
  <c r="X159" i="3" s="1"/>
  <c r="U158" i="3"/>
  <c r="V157" i="3"/>
  <c r="W156" i="3"/>
  <c r="T151" i="3"/>
  <c r="X151" i="3" s="1"/>
  <c r="U150" i="3"/>
  <c r="V149" i="3"/>
  <c r="W148" i="3"/>
  <c r="T143" i="3"/>
  <c r="X143" i="3" s="1"/>
  <c r="U142" i="3"/>
  <c r="V141" i="3"/>
  <c r="W140" i="3"/>
  <c r="T135" i="3"/>
  <c r="X135" i="3" s="1"/>
  <c r="U134" i="3"/>
  <c r="V133" i="3"/>
  <c r="W132" i="3"/>
  <c r="T127" i="3"/>
  <c r="X127" i="3" s="1"/>
  <c r="U126" i="3"/>
  <c r="V125" i="3"/>
  <c r="W124" i="3"/>
  <c r="T119" i="3"/>
  <c r="X119" i="3" s="1"/>
  <c r="U118" i="3"/>
  <c r="V117" i="3"/>
  <c r="W116" i="3"/>
  <c r="T111" i="3"/>
  <c r="X111" i="3" s="1"/>
  <c r="U110" i="3"/>
  <c r="V109" i="3"/>
  <c r="W108" i="3"/>
  <c r="T103" i="3"/>
  <c r="X103" i="3" s="1"/>
  <c r="U102" i="3"/>
  <c r="V101" i="3"/>
  <c r="W100" i="3"/>
  <c r="T95" i="3"/>
  <c r="X95" i="3" s="1"/>
  <c r="U94" i="3"/>
  <c r="V93" i="3"/>
  <c r="W92" i="3"/>
  <c r="T87" i="3"/>
  <c r="X87" i="3" s="1"/>
  <c r="U86" i="3"/>
  <c r="V85" i="3"/>
  <c r="W84" i="3"/>
  <c r="T79" i="3"/>
  <c r="X79" i="3" s="1"/>
  <c r="U78" i="3"/>
  <c r="V77" i="3"/>
  <c r="W76" i="3"/>
  <c r="T71" i="3"/>
  <c r="X71" i="3" s="1"/>
  <c r="U70" i="3"/>
  <c r="V69" i="3"/>
  <c r="W68" i="3"/>
  <c r="T63" i="3"/>
  <c r="X63" i="3" s="1"/>
  <c r="U62" i="3"/>
  <c r="V61" i="3"/>
  <c r="W60" i="3"/>
  <c r="T55" i="3"/>
  <c r="X55" i="3" s="1"/>
  <c r="U54" i="3"/>
  <c r="V53" i="3"/>
  <c r="W52" i="3"/>
  <c r="T47" i="3"/>
  <c r="X47" i="3" s="1"/>
  <c r="U46" i="3"/>
  <c r="V45" i="3"/>
  <c r="W44" i="3"/>
  <c r="T39" i="3"/>
  <c r="X39" i="3" s="1"/>
  <c r="U38" i="3"/>
  <c r="V37" i="3"/>
  <c r="W36" i="3"/>
  <c r="T31" i="3"/>
  <c r="X31" i="3" s="1"/>
  <c r="U30" i="3"/>
  <c r="V29" i="3"/>
  <c r="W28" i="3"/>
  <c r="T23" i="3"/>
  <c r="X23" i="3" s="1"/>
  <c r="U22" i="3"/>
  <c r="V21" i="3"/>
  <c r="W20" i="3"/>
  <c r="T15" i="3"/>
  <c r="X15" i="3" s="1"/>
  <c r="U14" i="3"/>
  <c r="V13" i="3"/>
  <c r="W12" i="3"/>
  <c r="T7" i="3"/>
  <c r="X7" i="3" s="1"/>
  <c r="U1200" i="3"/>
  <c r="W1194" i="3"/>
  <c r="T1193" i="3"/>
  <c r="X1193" i="3" s="1"/>
  <c r="W1189" i="3"/>
  <c r="V1188" i="3"/>
  <c r="V1187" i="3"/>
  <c r="V1182" i="3"/>
  <c r="T1181" i="3"/>
  <c r="X1181" i="3" s="1"/>
  <c r="T1180" i="3"/>
  <c r="X1180" i="3" s="1"/>
  <c r="V1175" i="3"/>
  <c r="U1168" i="3"/>
  <c r="W1162" i="3"/>
  <c r="T1161" i="3"/>
  <c r="X1161" i="3" s="1"/>
  <c r="W1157" i="3"/>
  <c r="V1156" i="3"/>
  <c r="V1155" i="3"/>
  <c r="V1150" i="3"/>
  <c r="T1149" i="3"/>
  <c r="X1149" i="3" s="1"/>
  <c r="T1148" i="3"/>
  <c r="X1148" i="3" s="1"/>
  <c r="V1143" i="3"/>
  <c r="U1136" i="3"/>
  <c r="W1130" i="3"/>
  <c r="T1129" i="3"/>
  <c r="X1129" i="3" s="1"/>
  <c r="W1125" i="3"/>
  <c r="V1124" i="3"/>
  <c r="V1123" i="3"/>
  <c r="V1118" i="3"/>
  <c r="T1117" i="3"/>
  <c r="X1117" i="3" s="1"/>
  <c r="T1116" i="3"/>
  <c r="X1116" i="3" s="1"/>
  <c r="V1111" i="3"/>
  <c r="U1104" i="3"/>
  <c r="W1098" i="3"/>
  <c r="T1097" i="3"/>
  <c r="X1097" i="3" s="1"/>
  <c r="W1093" i="3"/>
  <c r="V1092" i="3"/>
  <c r="V1091" i="3"/>
  <c r="V1086" i="3"/>
  <c r="T1085" i="3"/>
  <c r="X1085" i="3" s="1"/>
  <c r="T1084" i="3"/>
  <c r="X1084" i="3" s="1"/>
  <c r="V1079" i="3"/>
  <c r="U1072" i="3"/>
  <c r="W1066" i="3"/>
  <c r="T1065" i="3"/>
  <c r="X1065" i="3" s="1"/>
  <c r="W1061" i="3"/>
  <c r="V1060" i="3"/>
  <c r="V1059" i="3"/>
  <c r="V1054" i="3"/>
  <c r="T1053" i="3"/>
  <c r="X1053" i="3" s="1"/>
  <c r="T1052" i="3"/>
  <c r="X1052" i="3" s="1"/>
  <c r="V1047" i="3"/>
  <c r="U1040" i="3"/>
  <c r="W1034" i="3"/>
  <c r="T1033" i="3"/>
  <c r="X1033" i="3" s="1"/>
  <c r="W1029" i="3"/>
  <c r="V1028" i="3"/>
  <c r="V1027" i="3"/>
  <c r="V1022" i="3"/>
  <c r="T1021" i="3"/>
  <c r="X1021" i="3" s="1"/>
  <c r="T1020" i="3"/>
  <c r="X1020" i="3" s="1"/>
  <c r="V1015" i="3"/>
  <c r="U1008" i="3"/>
  <c r="W1002" i="3"/>
  <c r="T1001" i="3"/>
  <c r="X1001" i="3" s="1"/>
  <c r="W997" i="3"/>
  <c r="V996" i="3"/>
  <c r="V995" i="3"/>
  <c r="V990" i="3"/>
  <c r="T989" i="3"/>
  <c r="X989" i="3" s="1"/>
  <c r="T988" i="3"/>
  <c r="X988" i="3" s="1"/>
  <c r="V983" i="3"/>
  <c r="U976" i="3"/>
  <c r="W970" i="3"/>
  <c r="T969" i="3"/>
  <c r="X969" i="3" s="1"/>
  <c r="W965" i="3"/>
  <c r="V964" i="3"/>
  <c r="V963" i="3"/>
  <c r="V958" i="3"/>
  <c r="T957" i="3"/>
  <c r="X957" i="3" s="1"/>
  <c r="T956" i="3"/>
  <c r="X956" i="3" s="1"/>
  <c r="V951" i="3"/>
  <c r="U944" i="3"/>
  <c r="W938" i="3"/>
  <c r="T937" i="3"/>
  <c r="X937" i="3" s="1"/>
  <c r="W933" i="3"/>
  <c r="V932" i="3"/>
  <c r="V931" i="3"/>
  <c r="V926" i="3"/>
  <c r="T925" i="3"/>
  <c r="X925" i="3" s="1"/>
  <c r="T924" i="3"/>
  <c r="X924" i="3" s="1"/>
  <c r="V919" i="3"/>
  <c r="U912" i="3"/>
  <c r="W906" i="3"/>
  <c r="T905" i="3"/>
  <c r="X905" i="3" s="1"/>
  <c r="W901" i="3"/>
  <c r="V900" i="3"/>
  <c r="V899" i="3"/>
  <c r="V894" i="3"/>
  <c r="T893" i="3"/>
  <c r="X893" i="3" s="1"/>
  <c r="T892" i="3"/>
  <c r="X892" i="3" s="1"/>
  <c r="V887" i="3"/>
  <c r="U880" i="3"/>
  <c r="W874" i="3"/>
  <c r="T873" i="3"/>
  <c r="X873" i="3" s="1"/>
  <c r="W869" i="3"/>
  <c r="V868" i="3"/>
  <c r="V867" i="3"/>
  <c r="V862" i="3"/>
  <c r="T861" i="3"/>
  <c r="X861" i="3" s="1"/>
  <c r="T860" i="3"/>
  <c r="X860" i="3" s="1"/>
  <c r="V855" i="3"/>
  <c r="U848" i="3"/>
  <c r="W842" i="3"/>
  <c r="T841" i="3"/>
  <c r="X841" i="3" s="1"/>
  <c r="W837" i="3"/>
  <c r="V836" i="3"/>
  <c r="V835" i="3"/>
  <c r="V830" i="3"/>
  <c r="T829" i="3"/>
  <c r="X829" i="3" s="1"/>
  <c r="T828" i="3"/>
  <c r="X828" i="3" s="1"/>
  <c r="V823" i="3"/>
  <c r="U816" i="3"/>
  <c r="W810" i="3"/>
  <c r="T809" i="3"/>
  <c r="X809" i="3" s="1"/>
  <c r="W805" i="3"/>
  <c r="V804" i="3"/>
  <c r="V803" i="3"/>
  <c r="V798" i="3"/>
  <c r="T797" i="3"/>
  <c r="X797" i="3" s="1"/>
  <c r="T796" i="3"/>
  <c r="X796" i="3" s="1"/>
  <c r="V791" i="3"/>
  <c r="U784" i="3"/>
  <c r="W778" i="3"/>
  <c r="T777" i="3"/>
  <c r="X777" i="3" s="1"/>
  <c r="W773" i="3"/>
  <c r="V772" i="3"/>
  <c r="V771" i="3"/>
  <c r="V766" i="3"/>
  <c r="T765" i="3"/>
  <c r="X765" i="3" s="1"/>
  <c r="T764" i="3"/>
  <c r="X764" i="3" s="1"/>
  <c r="V759" i="3"/>
  <c r="U752" i="3"/>
  <c r="W746" i="3"/>
  <c r="T745" i="3"/>
  <c r="X745" i="3" s="1"/>
  <c r="W741" i="3"/>
  <c r="V740" i="3"/>
  <c r="V739" i="3"/>
  <c r="V734" i="3"/>
  <c r="T733" i="3"/>
  <c r="X733" i="3" s="1"/>
  <c r="T732" i="3"/>
  <c r="X732" i="3" s="1"/>
  <c r="V727" i="3"/>
  <c r="U720" i="3"/>
  <c r="W714" i="3"/>
  <c r="T713" i="3"/>
  <c r="X713" i="3" s="1"/>
  <c r="W709" i="3"/>
  <c r="V708" i="3"/>
  <c r="V707" i="3"/>
  <c r="V702" i="3"/>
  <c r="T701" i="3"/>
  <c r="X701" i="3" s="1"/>
  <c r="T700" i="3"/>
  <c r="X700" i="3" s="1"/>
  <c r="V695" i="3"/>
  <c r="U688" i="3"/>
  <c r="W682" i="3"/>
  <c r="T681" i="3"/>
  <c r="X681" i="3" s="1"/>
  <c r="W677" i="3"/>
  <c r="V676" i="3"/>
  <c r="V675" i="3"/>
  <c r="V670" i="3"/>
  <c r="T669" i="3"/>
  <c r="X669" i="3" s="1"/>
  <c r="T668" i="3"/>
  <c r="X668" i="3" s="1"/>
  <c r="V663" i="3"/>
  <c r="U656" i="3"/>
  <c r="W650" i="3"/>
  <c r="T649" i="3"/>
  <c r="X649" i="3" s="1"/>
  <c r="W645" i="3"/>
  <c r="V644" i="3"/>
  <c r="V643" i="3"/>
  <c r="V638" i="3"/>
  <c r="T637" i="3"/>
  <c r="X637" i="3" s="1"/>
  <c r="T636" i="3"/>
  <c r="X636" i="3" s="1"/>
  <c r="V631" i="3"/>
  <c r="U624" i="3"/>
  <c r="W618" i="3"/>
  <c r="T617" i="3"/>
  <c r="X617" i="3" s="1"/>
  <c r="W613" i="3"/>
  <c r="V612" i="3"/>
  <c r="V611" i="3"/>
  <c r="V606" i="3"/>
  <c r="T605" i="3"/>
  <c r="X605" i="3" s="1"/>
  <c r="T604" i="3"/>
  <c r="X604" i="3" s="1"/>
  <c r="V599" i="3"/>
  <c r="U592" i="3"/>
  <c r="W1201" i="3"/>
  <c r="T1200" i="3"/>
  <c r="X1200" i="3" s="1"/>
  <c r="W1195" i="3"/>
  <c r="V1194" i="3"/>
  <c r="W1190" i="3"/>
  <c r="U1189" i="3"/>
  <c r="U1188" i="3"/>
  <c r="U1187" i="3"/>
  <c r="T1182" i="3"/>
  <c r="X1182" i="3" s="1"/>
  <c r="U1175" i="3"/>
  <c r="W1169" i="3"/>
  <c r="T1168" i="3"/>
  <c r="X1168" i="3" s="1"/>
  <c r="W1163" i="3"/>
  <c r="V1162" i="3"/>
  <c r="W1158" i="3"/>
  <c r="U1157" i="3"/>
  <c r="U1156" i="3"/>
  <c r="U1155" i="3"/>
  <c r="T1150" i="3"/>
  <c r="X1150" i="3" s="1"/>
  <c r="U1143" i="3"/>
  <c r="W1137" i="3"/>
  <c r="T1136" i="3"/>
  <c r="X1136" i="3" s="1"/>
  <c r="W1131" i="3"/>
  <c r="V1130" i="3"/>
  <c r="W1126" i="3"/>
  <c r="U1125" i="3"/>
  <c r="U1124" i="3"/>
  <c r="U1123" i="3"/>
  <c r="T1118" i="3"/>
  <c r="X1118" i="3" s="1"/>
  <c r="U1111" i="3"/>
  <c r="W1105" i="3"/>
  <c r="T1104" i="3"/>
  <c r="X1104" i="3" s="1"/>
  <c r="W1099" i="3"/>
  <c r="V1098" i="3"/>
  <c r="W1094" i="3"/>
  <c r="U1093" i="3"/>
  <c r="U1092" i="3"/>
  <c r="U1091" i="3"/>
  <c r="T1086" i="3"/>
  <c r="X1086" i="3" s="1"/>
  <c r="U1079" i="3"/>
  <c r="W1073" i="3"/>
  <c r="T1072" i="3"/>
  <c r="X1072" i="3" s="1"/>
  <c r="W1067" i="3"/>
  <c r="V1066" i="3"/>
  <c r="W1062" i="3"/>
  <c r="U1061" i="3"/>
  <c r="U1060" i="3"/>
  <c r="U1059" i="3"/>
  <c r="T1054" i="3"/>
  <c r="X1054" i="3" s="1"/>
  <c r="U1047" i="3"/>
  <c r="W1041" i="3"/>
  <c r="T1040" i="3"/>
  <c r="X1040" i="3" s="1"/>
  <c r="W1035" i="3"/>
  <c r="V1034" i="3"/>
  <c r="W1030" i="3"/>
  <c r="U1029" i="3"/>
  <c r="U1028" i="3"/>
  <c r="U1027" i="3"/>
  <c r="T1022" i="3"/>
  <c r="X1022" i="3" s="1"/>
  <c r="U1015" i="3"/>
  <c r="W1009" i="3"/>
  <c r="T1008" i="3"/>
  <c r="X1008" i="3" s="1"/>
  <c r="W1003" i="3"/>
  <c r="V1002" i="3"/>
  <c r="W998" i="3"/>
  <c r="U997" i="3"/>
  <c r="U996" i="3"/>
  <c r="U995" i="3"/>
  <c r="T990" i="3"/>
  <c r="X990" i="3" s="1"/>
  <c r="U983" i="3"/>
  <c r="W977" i="3"/>
  <c r="T976" i="3"/>
  <c r="X976" i="3" s="1"/>
  <c r="W971" i="3"/>
  <c r="V970" i="3"/>
  <c r="W966" i="3"/>
  <c r="U965" i="3"/>
  <c r="U964" i="3"/>
  <c r="U963" i="3"/>
  <c r="T958" i="3"/>
  <c r="X958" i="3" s="1"/>
  <c r="U951" i="3"/>
  <c r="W945" i="3"/>
  <c r="T944" i="3"/>
  <c r="X944" i="3" s="1"/>
  <c r="W939" i="3"/>
  <c r="V938" i="3"/>
  <c r="W934" i="3"/>
  <c r="U933" i="3"/>
  <c r="U932" i="3"/>
  <c r="U931" i="3"/>
  <c r="T926" i="3"/>
  <c r="X926" i="3" s="1"/>
  <c r="U919" i="3"/>
  <c r="W913" i="3"/>
  <c r="T912" i="3"/>
  <c r="X912" i="3" s="1"/>
  <c r="W907" i="3"/>
  <c r="V906" i="3"/>
  <c r="W902" i="3"/>
  <c r="U901" i="3"/>
  <c r="U900" i="3"/>
  <c r="U899" i="3"/>
  <c r="T894" i="3"/>
  <c r="X894" i="3" s="1"/>
  <c r="U887" i="3"/>
  <c r="W881" i="3"/>
  <c r="T880" i="3"/>
  <c r="X880" i="3" s="1"/>
  <c r="W875" i="3"/>
  <c r="V874" i="3"/>
  <c r="W870" i="3"/>
  <c r="U869" i="3"/>
  <c r="U868" i="3"/>
  <c r="U867" i="3"/>
  <c r="T862" i="3"/>
  <c r="X862" i="3" s="1"/>
  <c r="U855" i="3"/>
  <c r="W849" i="3"/>
  <c r="T848" i="3"/>
  <c r="X848" i="3" s="1"/>
  <c r="W843" i="3"/>
  <c r="V842" i="3"/>
  <c r="W838" i="3"/>
  <c r="U837" i="3"/>
  <c r="U836" i="3"/>
  <c r="U835" i="3"/>
  <c r="T830" i="3"/>
  <c r="X830" i="3" s="1"/>
  <c r="U823" i="3"/>
  <c r="W817" i="3"/>
  <c r="T816" i="3"/>
  <c r="X816" i="3" s="1"/>
  <c r="W811" i="3"/>
  <c r="V810" i="3"/>
  <c r="W806" i="3"/>
  <c r="U805" i="3"/>
  <c r="U804" i="3"/>
  <c r="U803" i="3"/>
  <c r="T798" i="3"/>
  <c r="X798" i="3" s="1"/>
  <c r="U791" i="3"/>
  <c r="W785" i="3"/>
  <c r="T784" i="3"/>
  <c r="X784" i="3" s="1"/>
  <c r="W779" i="3"/>
  <c r="V778" i="3"/>
  <c r="W774" i="3"/>
  <c r="U773" i="3"/>
  <c r="U772" i="3"/>
  <c r="U771" i="3"/>
  <c r="T766" i="3"/>
  <c r="X766" i="3" s="1"/>
  <c r="U759" i="3"/>
  <c r="W753" i="3"/>
  <c r="T752" i="3"/>
  <c r="X752" i="3" s="1"/>
  <c r="W747" i="3"/>
  <c r="V746" i="3"/>
  <c r="W742" i="3"/>
  <c r="U741" i="3"/>
  <c r="U740" i="3"/>
  <c r="U739" i="3"/>
  <c r="T734" i="3"/>
  <c r="X734" i="3" s="1"/>
  <c r="U727" i="3"/>
  <c r="W721" i="3"/>
  <c r="T720" i="3"/>
  <c r="X720" i="3" s="1"/>
  <c r="W715" i="3"/>
  <c r="V714" i="3"/>
  <c r="W710" i="3"/>
  <c r="U709" i="3"/>
  <c r="U708" i="3"/>
  <c r="U707" i="3"/>
  <c r="T702" i="3"/>
  <c r="X702" i="3" s="1"/>
  <c r="U695" i="3"/>
  <c r="W689" i="3"/>
  <c r="T688" i="3"/>
  <c r="X688" i="3" s="1"/>
  <c r="W683" i="3"/>
  <c r="V682" i="3"/>
  <c r="W678" i="3"/>
  <c r="U677" i="3"/>
  <c r="U676" i="3"/>
  <c r="U675" i="3"/>
  <c r="T670" i="3"/>
  <c r="X670" i="3" s="1"/>
  <c r="U663" i="3"/>
  <c r="W657" i="3"/>
  <c r="T656" i="3"/>
  <c r="X656" i="3" s="1"/>
  <c r="W651" i="3"/>
  <c r="V650" i="3"/>
  <c r="W646" i="3"/>
  <c r="U645" i="3"/>
  <c r="U644" i="3"/>
  <c r="U643" i="3"/>
  <c r="T638" i="3"/>
  <c r="X638" i="3" s="1"/>
  <c r="U631" i="3"/>
  <c r="W625" i="3"/>
  <c r="T624" i="3"/>
  <c r="X624" i="3" s="1"/>
  <c r="W619" i="3"/>
  <c r="V618" i="3"/>
  <c r="W614" i="3"/>
  <c r="U613" i="3"/>
  <c r="U612" i="3"/>
  <c r="U611" i="3"/>
  <c r="T606" i="3"/>
  <c r="X606" i="3" s="1"/>
  <c r="U599" i="3"/>
  <c r="W593" i="3"/>
  <c r="T592" i="3"/>
  <c r="X592" i="3" s="1"/>
  <c r="W587" i="3"/>
  <c r="V586" i="3"/>
  <c r="W582" i="3"/>
  <c r="U581" i="3"/>
  <c r="U580" i="3"/>
  <c r="U579" i="3"/>
  <c r="T574" i="3"/>
  <c r="X574" i="3" s="1"/>
  <c r="U567" i="3"/>
  <c r="W561" i="3"/>
  <c r="T560" i="3"/>
  <c r="X560" i="3" s="1"/>
  <c r="W555" i="3"/>
  <c r="V554" i="3"/>
  <c r="W550" i="3"/>
  <c r="U549" i="3"/>
  <c r="U548" i="3"/>
  <c r="U547" i="3"/>
  <c r="T542" i="3"/>
  <c r="X542" i="3" s="1"/>
  <c r="U535" i="3"/>
  <c r="W529" i="3"/>
  <c r="T528" i="3"/>
  <c r="X528" i="3" s="1"/>
  <c r="W523" i="3"/>
  <c r="V522" i="3"/>
  <c r="W518" i="3"/>
  <c r="U517" i="3"/>
  <c r="U516" i="3"/>
  <c r="U515" i="3"/>
  <c r="T510" i="3"/>
  <c r="X510" i="3" s="1"/>
  <c r="U503" i="3"/>
  <c r="W497" i="3"/>
  <c r="T496" i="3"/>
  <c r="X496" i="3" s="1"/>
  <c r="W491" i="3"/>
  <c r="V490" i="3"/>
  <c r="W486" i="3"/>
  <c r="U485" i="3"/>
  <c r="U484" i="3"/>
  <c r="U483" i="3"/>
  <c r="T478" i="3"/>
  <c r="X478" i="3" s="1"/>
  <c r="U471" i="3"/>
  <c r="W465" i="3"/>
  <c r="T464" i="3"/>
  <c r="X464" i="3" s="1"/>
  <c r="W459" i="3"/>
  <c r="V458" i="3"/>
  <c r="W454" i="3"/>
  <c r="U453" i="3"/>
  <c r="U452" i="3"/>
  <c r="U451" i="3"/>
  <c r="T446" i="3"/>
  <c r="X446" i="3" s="1"/>
  <c r="U439" i="3"/>
  <c r="W433" i="3"/>
  <c r="T432" i="3"/>
  <c r="X432" i="3" s="1"/>
  <c r="W427" i="3"/>
  <c r="V426" i="3"/>
  <c r="W422" i="3"/>
  <c r="U421" i="3"/>
  <c r="U420" i="3"/>
  <c r="U419" i="3"/>
  <c r="T414" i="3"/>
  <c r="X414" i="3" s="1"/>
  <c r="U407" i="3"/>
  <c r="W401" i="3"/>
  <c r="T400" i="3"/>
  <c r="X400" i="3" s="1"/>
  <c r="W395" i="3"/>
  <c r="V394" i="3"/>
  <c r="W390" i="3"/>
  <c r="U389" i="3"/>
  <c r="U388" i="3"/>
  <c r="U387" i="3"/>
  <c r="T382" i="3"/>
  <c r="X382" i="3" s="1"/>
  <c r="U375" i="3"/>
  <c r="W369" i="3"/>
  <c r="T368" i="3"/>
  <c r="X368" i="3" s="1"/>
  <c r="W363" i="3"/>
  <c r="V362" i="3"/>
  <c r="W358" i="3"/>
  <c r="U357" i="3"/>
  <c r="U356" i="3"/>
  <c r="U355" i="3"/>
  <c r="T350" i="3"/>
  <c r="X350" i="3" s="1"/>
  <c r="U343" i="3"/>
  <c r="W337" i="3"/>
  <c r="T336" i="3"/>
  <c r="X336" i="3" s="1"/>
  <c r="W331" i="3"/>
  <c r="V330" i="3"/>
  <c r="W326" i="3"/>
  <c r="U325" i="3"/>
  <c r="U324" i="3"/>
  <c r="U323" i="3"/>
  <c r="T318" i="3"/>
  <c r="X318" i="3" s="1"/>
  <c r="U311" i="3"/>
  <c r="W305" i="3"/>
  <c r="T304" i="3"/>
  <c r="X304" i="3" s="1"/>
  <c r="W299" i="3"/>
  <c r="V298" i="3"/>
  <c r="W294" i="3"/>
  <c r="U293" i="3"/>
  <c r="U292" i="3"/>
  <c r="U291" i="3"/>
  <c r="T286" i="3"/>
  <c r="X286" i="3" s="1"/>
  <c r="U279" i="3"/>
  <c r="W1202" i="3"/>
  <c r="T1201" i="3"/>
  <c r="X1201" i="3" s="1"/>
  <c r="W1197" i="3"/>
  <c r="V1196" i="3"/>
  <c r="V1195" i="3"/>
  <c r="V1190" i="3"/>
  <c r="T1189" i="3"/>
  <c r="X1189" i="3" s="1"/>
  <c r="T1188" i="3"/>
  <c r="X1188" i="3" s="1"/>
  <c r="V1183" i="3"/>
  <c r="U1176" i="3"/>
  <c r="W1170" i="3"/>
  <c r="T1169" i="3"/>
  <c r="X1169" i="3" s="1"/>
  <c r="W1165" i="3"/>
  <c r="V1164" i="3"/>
  <c r="V1163" i="3"/>
  <c r="V1158" i="3"/>
  <c r="T1157" i="3"/>
  <c r="X1157" i="3" s="1"/>
  <c r="T1156" i="3"/>
  <c r="X1156" i="3" s="1"/>
  <c r="V1151" i="3"/>
  <c r="U1144" i="3"/>
  <c r="W1138" i="3"/>
  <c r="T1137" i="3"/>
  <c r="X1137" i="3" s="1"/>
  <c r="W1133" i="3"/>
  <c r="V1132" i="3"/>
  <c r="V1131" i="3"/>
  <c r="V1126" i="3"/>
  <c r="T1125" i="3"/>
  <c r="X1125" i="3" s="1"/>
  <c r="T1124" i="3"/>
  <c r="X1124" i="3" s="1"/>
  <c r="V1119" i="3"/>
  <c r="U1112" i="3"/>
  <c r="W1106" i="3"/>
  <c r="T1105" i="3"/>
  <c r="X1105" i="3" s="1"/>
  <c r="W1101" i="3"/>
  <c r="V1100" i="3"/>
  <c r="V1099" i="3"/>
  <c r="V1094" i="3"/>
  <c r="T1093" i="3"/>
  <c r="X1093" i="3" s="1"/>
  <c r="T1092" i="3"/>
  <c r="X1092" i="3" s="1"/>
  <c r="V1087" i="3"/>
  <c r="U1080" i="3"/>
  <c r="W1074" i="3"/>
  <c r="T1073" i="3"/>
  <c r="X1073" i="3" s="1"/>
  <c r="W1069" i="3"/>
  <c r="V1068" i="3"/>
  <c r="V1067" i="3"/>
  <c r="V1062" i="3"/>
  <c r="T1061" i="3"/>
  <c r="X1061" i="3" s="1"/>
  <c r="T1060" i="3"/>
  <c r="X1060" i="3" s="1"/>
  <c r="V1055" i="3"/>
  <c r="U1048" i="3"/>
  <c r="W1042" i="3"/>
  <c r="T1041" i="3"/>
  <c r="X1041" i="3" s="1"/>
  <c r="W1037" i="3"/>
  <c r="V1036" i="3"/>
  <c r="V1035" i="3"/>
  <c r="V1030" i="3"/>
  <c r="T1029" i="3"/>
  <c r="X1029" i="3" s="1"/>
  <c r="T1028" i="3"/>
  <c r="X1028" i="3" s="1"/>
  <c r="V1023" i="3"/>
  <c r="U1016" i="3"/>
  <c r="W1010" i="3"/>
  <c r="T1009" i="3"/>
  <c r="X1009" i="3" s="1"/>
  <c r="W1005" i="3"/>
  <c r="V1004" i="3"/>
  <c r="V1003" i="3"/>
  <c r="V998" i="3"/>
  <c r="T997" i="3"/>
  <c r="X997" i="3" s="1"/>
  <c r="T996" i="3"/>
  <c r="X996" i="3" s="1"/>
  <c r="V991" i="3"/>
  <c r="U984" i="3"/>
  <c r="W978" i="3"/>
  <c r="T977" i="3"/>
  <c r="X977" i="3" s="1"/>
  <c r="W973" i="3"/>
  <c r="V972" i="3"/>
  <c r="V971" i="3"/>
  <c r="V966" i="3"/>
  <c r="T965" i="3"/>
  <c r="X965" i="3" s="1"/>
  <c r="T964" i="3"/>
  <c r="X964" i="3" s="1"/>
  <c r="V959" i="3"/>
  <c r="U952" i="3"/>
  <c r="W946" i="3"/>
  <c r="T945" i="3"/>
  <c r="X945" i="3" s="1"/>
  <c r="W941" i="3"/>
  <c r="V940" i="3"/>
  <c r="V939" i="3"/>
  <c r="V934" i="3"/>
  <c r="T933" i="3"/>
  <c r="X933" i="3" s="1"/>
  <c r="T932" i="3"/>
  <c r="X932" i="3" s="1"/>
  <c r="V927" i="3"/>
  <c r="U920" i="3"/>
  <c r="W914" i="3"/>
  <c r="T913" i="3"/>
  <c r="X913" i="3" s="1"/>
  <c r="W909" i="3"/>
  <c r="V908" i="3"/>
  <c r="V907" i="3"/>
  <c r="V902" i="3"/>
  <c r="T901" i="3"/>
  <c r="X901" i="3" s="1"/>
  <c r="T900" i="3"/>
  <c r="X900" i="3" s="1"/>
  <c r="V895" i="3"/>
  <c r="U888" i="3"/>
  <c r="W882" i="3"/>
  <c r="T881" i="3"/>
  <c r="X881" i="3" s="1"/>
  <c r="W877" i="3"/>
  <c r="V876" i="3"/>
  <c r="V875" i="3"/>
  <c r="V870" i="3"/>
  <c r="T869" i="3"/>
  <c r="X869" i="3" s="1"/>
  <c r="T868" i="3"/>
  <c r="X868" i="3" s="1"/>
  <c r="V863" i="3"/>
  <c r="U856" i="3"/>
  <c r="W850" i="3"/>
  <c r="T849" i="3"/>
  <c r="X849" i="3" s="1"/>
  <c r="W845" i="3"/>
  <c r="V844" i="3"/>
  <c r="V843" i="3"/>
  <c r="V838" i="3"/>
  <c r="T837" i="3"/>
  <c r="X837" i="3" s="1"/>
  <c r="T836" i="3"/>
  <c r="X836" i="3" s="1"/>
  <c r="V831" i="3"/>
  <c r="U824" i="3"/>
  <c r="W818" i="3"/>
  <c r="T817" i="3"/>
  <c r="X817" i="3" s="1"/>
  <c r="W813" i="3"/>
  <c r="V812" i="3"/>
  <c r="V811" i="3"/>
  <c r="V806" i="3"/>
  <c r="T805" i="3"/>
  <c r="X805" i="3" s="1"/>
  <c r="T804" i="3"/>
  <c r="X804" i="3" s="1"/>
  <c r="V799" i="3"/>
  <c r="U792" i="3"/>
  <c r="W786" i="3"/>
  <c r="T785" i="3"/>
  <c r="X785" i="3" s="1"/>
  <c r="W781" i="3"/>
  <c r="V780" i="3"/>
  <c r="V779" i="3"/>
  <c r="V774" i="3"/>
  <c r="T773" i="3"/>
  <c r="X773" i="3" s="1"/>
  <c r="T772" i="3"/>
  <c r="X772" i="3" s="1"/>
  <c r="V767" i="3"/>
  <c r="U760" i="3"/>
  <c r="W754" i="3"/>
  <c r="T753" i="3"/>
  <c r="X753" i="3" s="1"/>
  <c r="W749" i="3"/>
  <c r="V748" i="3"/>
  <c r="V747" i="3"/>
  <c r="V742" i="3"/>
  <c r="T741" i="3"/>
  <c r="X741" i="3" s="1"/>
  <c r="T740" i="3"/>
  <c r="X740" i="3" s="1"/>
  <c r="V735" i="3"/>
  <c r="U728" i="3"/>
  <c r="W722" i="3"/>
  <c r="T721" i="3"/>
  <c r="X721" i="3" s="1"/>
  <c r="W717" i="3"/>
  <c r="V716" i="3"/>
  <c r="V715" i="3"/>
  <c r="V710" i="3"/>
  <c r="T709" i="3"/>
  <c r="X709" i="3" s="1"/>
  <c r="T708" i="3"/>
  <c r="X708" i="3" s="1"/>
  <c r="V703" i="3"/>
  <c r="U696" i="3"/>
  <c r="W690" i="3"/>
  <c r="T689" i="3"/>
  <c r="X689" i="3" s="1"/>
  <c r="W685" i="3"/>
  <c r="V684" i="3"/>
  <c r="V683" i="3"/>
  <c r="V678" i="3"/>
  <c r="T677" i="3"/>
  <c r="X677" i="3" s="1"/>
  <c r="T676" i="3"/>
  <c r="X676" i="3" s="1"/>
  <c r="V671" i="3"/>
  <c r="U664" i="3"/>
  <c r="W658" i="3"/>
  <c r="T657" i="3"/>
  <c r="X657" i="3" s="1"/>
  <c r="W653" i="3"/>
  <c r="V652" i="3"/>
  <c r="V651" i="3"/>
  <c r="V646" i="3"/>
  <c r="T645" i="3"/>
  <c r="X645" i="3" s="1"/>
  <c r="T644" i="3"/>
  <c r="X644" i="3" s="1"/>
  <c r="V639" i="3"/>
  <c r="U632" i="3"/>
  <c r="W626" i="3"/>
  <c r="T625" i="3"/>
  <c r="X625" i="3" s="1"/>
  <c r="W621" i="3"/>
  <c r="V620" i="3"/>
  <c r="V619" i="3"/>
  <c r="V614" i="3"/>
  <c r="T613" i="3"/>
  <c r="X613" i="3" s="1"/>
  <c r="T612" i="3"/>
  <c r="X612" i="3" s="1"/>
  <c r="V607" i="3"/>
  <c r="U600" i="3"/>
  <c r="W594" i="3"/>
  <c r="T593" i="3"/>
  <c r="X593" i="3" s="1"/>
  <c r="W589" i="3"/>
  <c r="V588" i="3"/>
  <c r="V587" i="3"/>
  <c r="V582" i="3"/>
  <c r="T581" i="3"/>
  <c r="X581" i="3" s="1"/>
  <c r="T580" i="3"/>
  <c r="X580" i="3" s="1"/>
  <c r="V575" i="3"/>
  <c r="U568" i="3"/>
  <c r="W562" i="3"/>
  <c r="T561" i="3"/>
  <c r="X561" i="3" s="1"/>
  <c r="W557" i="3"/>
  <c r="V556" i="3"/>
  <c r="V555" i="3"/>
  <c r="V550" i="3"/>
  <c r="T549" i="3"/>
  <c r="X549" i="3" s="1"/>
  <c r="T548" i="3"/>
  <c r="X548" i="3" s="1"/>
  <c r="V543" i="3"/>
  <c r="U536" i="3"/>
  <c r="W530" i="3"/>
  <c r="T529" i="3"/>
  <c r="X529" i="3" s="1"/>
  <c r="W525" i="3"/>
  <c r="V524" i="3"/>
  <c r="V523" i="3"/>
  <c r="V518" i="3"/>
  <c r="T517" i="3"/>
  <c r="X517" i="3" s="1"/>
  <c r="T516" i="3"/>
  <c r="X516" i="3" s="1"/>
  <c r="V511" i="3"/>
  <c r="U504" i="3"/>
  <c r="W498" i="3"/>
  <c r="T497" i="3"/>
  <c r="X497" i="3" s="1"/>
  <c r="W493" i="3"/>
  <c r="V492" i="3"/>
  <c r="V491" i="3"/>
  <c r="V486" i="3"/>
  <c r="T485" i="3"/>
  <c r="X485" i="3" s="1"/>
  <c r="T484" i="3"/>
  <c r="X484" i="3" s="1"/>
  <c r="V479" i="3"/>
  <c r="U472" i="3"/>
  <c r="W466" i="3"/>
  <c r="T465" i="3"/>
  <c r="X465" i="3" s="1"/>
  <c r="W461" i="3"/>
  <c r="V460" i="3"/>
  <c r="V459" i="3"/>
  <c r="V454" i="3"/>
  <c r="T453" i="3"/>
  <c r="X453" i="3" s="1"/>
  <c r="T452" i="3"/>
  <c r="X452" i="3" s="1"/>
  <c r="V447" i="3"/>
  <c r="U440" i="3"/>
  <c r="W434" i="3"/>
  <c r="T433" i="3"/>
  <c r="X433" i="3" s="1"/>
  <c r="W429" i="3"/>
  <c r="V428" i="3"/>
  <c r="V427" i="3"/>
  <c r="V422" i="3"/>
  <c r="T421" i="3"/>
  <c r="X421" i="3" s="1"/>
  <c r="T420" i="3"/>
  <c r="X420" i="3" s="1"/>
  <c r="V415" i="3"/>
  <c r="U408" i="3"/>
  <c r="W402" i="3"/>
  <c r="T401" i="3"/>
  <c r="X401" i="3" s="1"/>
  <c r="W397" i="3"/>
  <c r="V396" i="3"/>
  <c r="V395" i="3"/>
  <c r="V390" i="3"/>
  <c r="T389" i="3"/>
  <c r="X389" i="3" s="1"/>
  <c r="T388" i="3"/>
  <c r="X388" i="3" s="1"/>
  <c r="V383" i="3"/>
  <c r="U376" i="3"/>
  <c r="W370" i="3"/>
  <c r="T369" i="3"/>
  <c r="X369" i="3" s="1"/>
  <c r="W365" i="3"/>
  <c r="V364" i="3"/>
  <c r="V363" i="3"/>
  <c r="V358" i="3"/>
  <c r="T357" i="3"/>
  <c r="X357" i="3" s="1"/>
  <c r="T356" i="3"/>
  <c r="X356" i="3" s="1"/>
  <c r="V351" i="3"/>
  <c r="U344" i="3"/>
  <c r="W338" i="3"/>
  <c r="T337" i="3"/>
  <c r="X337" i="3" s="1"/>
  <c r="W333" i="3"/>
  <c r="V332" i="3"/>
  <c r="V331" i="3"/>
  <c r="V326" i="3"/>
  <c r="T325" i="3"/>
  <c r="X325" i="3" s="1"/>
  <c r="T324" i="3"/>
  <c r="X324" i="3" s="1"/>
  <c r="V319" i="3"/>
  <c r="U312" i="3"/>
  <c r="W306" i="3"/>
  <c r="T305" i="3"/>
  <c r="X305" i="3" s="1"/>
  <c r="W301" i="3"/>
  <c r="V300" i="3"/>
  <c r="V299" i="3"/>
  <c r="V294" i="3"/>
  <c r="T293" i="3"/>
  <c r="X293" i="3" s="1"/>
  <c r="T292" i="3"/>
  <c r="X292" i="3" s="1"/>
  <c r="V287" i="3"/>
  <c r="U280" i="3"/>
  <c r="W274" i="3"/>
  <c r="T273" i="3"/>
  <c r="X273" i="3" s="1"/>
  <c r="W269" i="3"/>
  <c r="V268" i="3"/>
  <c r="V267" i="3"/>
  <c r="V262" i="3"/>
  <c r="T261" i="3"/>
  <c r="X261" i="3" s="1"/>
  <c r="T260" i="3"/>
  <c r="X260" i="3" s="1"/>
  <c r="V255" i="3"/>
  <c r="U248" i="3"/>
  <c r="W242" i="3"/>
  <c r="T241" i="3"/>
  <c r="X241" i="3" s="1"/>
  <c r="W237" i="3"/>
  <c r="V236" i="3"/>
  <c r="V235" i="3"/>
  <c r="V230" i="3"/>
  <c r="T229" i="3"/>
  <c r="X229" i="3" s="1"/>
  <c r="T228" i="3"/>
  <c r="X228" i="3" s="1"/>
  <c r="V223" i="3"/>
  <c r="U216" i="3"/>
  <c r="W210" i="3"/>
  <c r="T209" i="3"/>
  <c r="X209" i="3" s="1"/>
  <c r="W205" i="3"/>
  <c r="V204" i="3"/>
  <c r="V203" i="3"/>
  <c r="V198" i="3"/>
  <c r="T197" i="3"/>
  <c r="X197" i="3" s="1"/>
  <c r="T196" i="3"/>
  <c r="X196" i="3" s="1"/>
  <c r="V191" i="3"/>
  <c r="U184" i="3"/>
  <c r="W178" i="3"/>
  <c r="T177" i="3"/>
  <c r="X177" i="3" s="1"/>
  <c r="W173" i="3"/>
  <c r="V172" i="3"/>
  <c r="V171" i="3"/>
  <c r="V166" i="3"/>
  <c r="T165" i="3"/>
  <c r="X165" i="3" s="1"/>
  <c r="T164" i="3"/>
  <c r="X164" i="3" s="1"/>
  <c r="V159" i="3"/>
  <c r="U152" i="3"/>
  <c r="W146" i="3"/>
  <c r="T145" i="3"/>
  <c r="X145" i="3" s="1"/>
  <c r="W141" i="3"/>
  <c r="V140" i="3"/>
  <c r="V139" i="3"/>
  <c r="V134" i="3"/>
  <c r="T133" i="3"/>
  <c r="X133" i="3" s="1"/>
  <c r="T132" i="3"/>
  <c r="X132" i="3" s="1"/>
  <c r="V127" i="3"/>
  <c r="U120" i="3"/>
  <c r="W114" i="3"/>
  <c r="T113" i="3"/>
  <c r="X113" i="3" s="1"/>
  <c r="W109" i="3"/>
  <c r="V108" i="3"/>
  <c r="V107" i="3"/>
  <c r="V102" i="3"/>
  <c r="T101" i="3"/>
  <c r="X101" i="3" s="1"/>
  <c r="T100" i="3"/>
  <c r="X100" i="3" s="1"/>
  <c r="V95" i="3"/>
  <c r="U88" i="3"/>
  <c r="W82" i="3"/>
  <c r="T81" i="3"/>
  <c r="X81" i="3" s="1"/>
  <c r="W77" i="3"/>
  <c r="V76" i="3"/>
  <c r="V75" i="3"/>
  <c r="V70" i="3"/>
  <c r="T69" i="3"/>
  <c r="X69" i="3" s="1"/>
  <c r="T68" i="3"/>
  <c r="X68" i="3" s="1"/>
  <c r="V63" i="3"/>
  <c r="U56" i="3"/>
  <c r="W50" i="3"/>
  <c r="T49" i="3"/>
  <c r="X49" i="3" s="1"/>
  <c r="W45" i="3"/>
  <c r="V44" i="3"/>
  <c r="V43" i="3"/>
  <c r="V38" i="3"/>
  <c r="T37" i="3"/>
  <c r="X37" i="3" s="1"/>
  <c r="T36" i="3"/>
  <c r="X36" i="3" s="1"/>
  <c r="V31" i="3"/>
  <c r="U24" i="3"/>
  <c r="W18" i="3"/>
  <c r="T17" i="3"/>
  <c r="X17" i="3" s="1"/>
  <c r="W13" i="3"/>
  <c r="V12" i="3"/>
  <c r="V11" i="3"/>
  <c r="U10" i="3"/>
  <c r="T9" i="3"/>
  <c r="X9" i="3" s="1"/>
  <c r="T8" i="3"/>
  <c r="X8" i="3" s="1"/>
  <c r="W366" i="3"/>
  <c r="W1203" i="3"/>
  <c r="V1202" i="3"/>
  <c r="W1198" i="3"/>
  <c r="U1197" i="3"/>
  <c r="U1196" i="3"/>
  <c r="U1195" i="3"/>
  <c r="T1190" i="3"/>
  <c r="X1190" i="3" s="1"/>
  <c r="U1183" i="3"/>
  <c r="W1177" i="3"/>
  <c r="T1176" i="3"/>
  <c r="X1176" i="3" s="1"/>
  <c r="W1171" i="3"/>
  <c r="V1170" i="3"/>
  <c r="W1166" i="3"/>
  <c r="U1165" i="3"/>
  <c r="U1164" i="3"/>
  <c r="U1163" i="3"/>
  <c r="T1158" i="3"/>
  <c r="X1158" i="3" s="1"/>
  <c r="U1151" i="3"/>
  <c r="W1145" i="3"/>
  <c r="T1144" i="3"/>
  <c r="X1144" i="3" s="1"/>
  <c r="W1139" i="3"/>
  <c r="V1138" i="3"/>
  <c r="W1134" i="3"/>
  <c r="U1133" i="3"/>
  <c r="U1132" i="3"/>
  <c r="U1131" i="3"/>
  <c r="T1126" i="3"/>
  <c r="X1126" i="3" s="1"/>
  <c r="U1119" i="3"/>
  <c r="W1113" i="3"/>
  <c r="T1112" i="3"/>
  <c r="X1112" i="3" s="1"/>
  <c r="W1107" i="3"/>
  <c r="V1106" i="3"/>
  <c r="W1102" i="3"/>
  <c r="U1101" i="3"/>
  <c r="U1100" i="3"/>
  <c r="U1099" i="3"/>
  <c r="T1094" i="3"/>
  <c r="X1094" i="3" s="1"/>
  <c r="U1087" i="3"/>
  <c r="W1081" i="3"/>
  <c r="T1080" i="3"/>
  <c r="X1080" i="3" s="1"/>
  <c r="W1075" i="3"/>
  <c r="V1074" i="3"/>
  <c r="W1070" i="3"/>
  <c r="U1069" i="3"/>
  <c r="U1068" i="3"/>
  <c r="U1067" i="3"/>
  <c r="T1062" i="3"/>
  <c r="X1062" i="3" s="1"/>
  <c r="U1055" i="3"/>
  <c r="W1049" i="3"/>
  <c r="T1048" i="3"/>
  <c r="X1048" i="3" s="1"/>
  <c r="W1043" i="3"/>
  <c r="V1042" i="3"/>
  <c r="W1038" i="3"/>
  <c r="U1037" i="3"/>
  <c r="U1036" i="3"/>
  <c r="U1035" i="3"/>
  <c r="T1030" i="3"/>
  <c r="X1030" i="3" s="1"/>
  <c r="U1023" i="3"/>
  <c r="W1017" i="3"/>
  <c r="T1016" i="3"/>
  <c r="X1016" i="3" s="1"/>
  <c r="W1011" i="3"/>
  <c r="V1010" i="3"/>
  <c r="W1006" i="3"/>
  <c r="U1005" i="3"/>
  <c r="U1004" i="3"/>
  <c r="U1003" i="3"/>
  <c r="T998" i="3"/>
  <c r="X998" i="3" s="1"/>
  <c r="U991" i="3"/>
  <c r="W985" i="3"/>
  <c r="T984" i="3"/>
  <c r="X984" i="3" s="1"/>
  <c r="W979" i="3"/>
  <c r="V978" i="3"/>
  <c r="W974" i="3"/>
  <c r="U973" i="3"/>
  <c r="U972" i="3"/>
  <c r="U971" i="3"/>
  <c r="T966" i="3"/>
  <c r="X966" i="3" s="1"/>
  <c r="U959" i="3"/>
  <c r="W953" i="3"/>
  <c r="T952" i="3"/>
  <c r="X952" i="3" s="1"/>
  <c r="W947" i="3"/>
  <c r="V946" i="3"/>
  <c r="W942" i="3"/>
  <c r="U941" i="3"/>
  <c r="U940" i="3"/>
  <c r="U939" i="3"/>
  <c r="T934" i="3"/>
  <c r="X934" i="3" s="1"/>
  <c r="U927" i="3"/>
  <c r="W921" i="3"/>
  <c r="T920" i="3"/>
  <c r="X920" i="3" s="1"/>
  <c r="W915" i="3"/>
  <c r="V914" i="3"/>
  <c r="W910" i="3"/>
  <c r="U909" i="3"/>
  <c r="U908" i="3"/>
  <c r="U907" i="3"/>
  <c r="T902" i="3"/>
  <c r="X902" i="3" s="1"/>
  <c r="U895" i="3"/>
  <c r="W889" i="3"/>
  <c r="T888" i="3"/>
  <c r="X888" i="3" s="1"/>
  <c r="W883" i="3"/>
  <c r="V882" i="3"/>
  <c r="W878" i="3"/>
  <c r="U877" i="3"/>
  <c r="U876" i="3"/>
  <c r="U875" i="3"/>
  <c r="T870" i="3"/>
  <c r="X870" i="3" s="1"/>
  <c r="U863" i="3"/>
  <c r="W857" i="3"/>
  <c r="T856" i="3"/>
  <c r="X856" i="3" s="1"/>
  <c r="W851" i="3"/>
  <c r="V850" i="3"/>
  <c r="W846" i="3"/>
  <c r="U845" i="3"/>
  <c r="U844" i="3"/>
  <c r="U843" i="3"/>
  <c r="T838" i="3"/>
  <c r="X838" i="3" s="1"/>
  <c r="U831" i="3"/>
  <c r="W825" i="3"/>
  <c r="T824" i="3"/>
  <c r="X824" i="3" s="1"/>
  <c r="W819" i="3"/>
  <c r="V818" i="3"/>
  <c r="W814" i="3"/>
  <c r="U813" i="3"/>
  <c r="U812" i="3"/>
  <c r="U811" i="3"/>
  <c r="T806" i="3"/>
  <c r="X806" i="3" s="1"/>
  <c r="U799" i="3"/>
  <c r="W793" i="3"/>
  <c r="T792" i="3"/>
  <c r="X792" i="3" s="1"/>
  <c r="W787" i="3"/>
  <c r="V786" i="3"/>
  <c r="W782" i="3"/>
  <c r="U781" i="3"/>
  <c r="U780" i="3"/>
  <c r="U779" i="3"/>
  <c r="T774" i="3"/>
  <c r="X774" i="3" s="1"/>
  <c r="U767" i="3"/>
  <c r="W761" i="3"/>
  <c r="T760" i="3"/>
  <c r="X760" i="3" s="1"/>
  <c r="W755" i="3"/>
  <c r="V754" i="3"/>
  <c r="W750" i="3"/>
  <c r="U749" i="3"/>
  <c r="U748" i="3"/>
  <c r="U747" i="3"/>
  <c r="T742" i="3"/>
  <c r="X742" i="3" s="1"/>
  <c r="U735" i="3"/>
  <c r="W729" i="3"/>
  <c r="T728" i="3"/>
  <c r="X728" i="3" s="1"/>
  <c r="W723" i="3"/>
  <c r="V722" i="3"/>
  <c r="W718" i="3"/>
  <c r="U717" i="3"/>
  <c r="U716" i="3"/>
  <c r="U715" i="3"/>
  <c r="T710" i="3"/>
  <c r="X710" i="3" s="1"/>
  <c r="U703" i="3"/>
  <c r="W697" i="3"/>
  <c r="T696" i="3"/>
  <c r="X696" i="3" s="1"/>
  <c r="W691" i="3"/>
  <c r="V690" i="3"/>
  <c r="W686" i="3"/>
  <c r="U685" i="3"/>
  <c r="U684" i="3"/>
  <c r="U683" i="3"/>
  <c r="T678" i="3"/>
  <c r="X678" i="3" s="1"/>
  <c r="U671" i="3"/>
  <c r="W665" i="3"/>
  <c r="T664" i="3"/>
  <c r="X664" i="3" s="1"/>
  <c r="W659" i="3"/>
  <c r="V658" i="3"/>
  <c r="W654" i="3"/>
  <c r="U653" i="3"/>
  <c r="U652" i="3"/>
  <c r="U651" i="3"/>
  <c r="T646" i="3"/>
  <c r="X646" i="3" s="1"/>
  <c r="U639" i="3"/>
  <c r="W633" i="3"/>
  <c r="T632" i="3"/>
  <c r="X632" i="3" s="1"/>
  <c r="W627" i="3"/>
  <c r="V626" i="3"/>
  <c r="W622" i="3"/>
  <c r="U621" i="3"/>
  <c r="U620" i="3"/>
  <c r="U619" i="3"/>
  <c r="T614" i="3"/>
  <c r="X614" i="3" s="1"/>
  <c r="U607" i="3"/>
  <c r="W601" i="3"/>
  <c r="T600" i="3"/>
  <c r="X600" i="3" s="1"/>
  <c r="W595" i="3"/>
  <c r="V594" i="3"/>
  <c r="W590" i="3"/>
  <c r="U589" i="3"/>
  <c r="U588" i="3"/>
  <c r="U587" i="3"/>
  <c r="T582" i="3"/>
  <c r="X582" i="3" s="1"/>
  <c r="U575" i="3"/>
  <c r="W569" i="3"/>
  <c r="T568" i="3"/>
  <c r="X568" i="3" s="1"/>
  <c r="W563" i="3"/>
  <c r="V562" i="3"/>
  <c r="W558" i="3"/>
  <c r="U557" i="3"/>
  <c r="U556" i="3"/>
  <c r="U555" i="3"/>
  <c r="T550" i="3"/>
  <c r="X550" i="3" s="1"/>
  <c r="U543" i="3"/>
  <c r="W537" i="3"/>
  <c r="T536" i="3"/>
  <c r="X536" i="3" s="1"/>
  <c r="W531" i="3"/>
  <c r="V530" i="3"/>
  <c r="W526" i="3"/>
  <c r="U525" i="3"/>
  <c r="U524" i="3"/>
  <c r="U523" i="3"/>
  <c r="T518" i="3"/>
  <c r="X518" i="3" s="1"/>
  <c r="U511" i="3"/>
  <c r="W505" i="3"/>
  <c r="T504" i="3"/>
  <c r="X504" i="3" s="1"/>
  <c r="W499" i="3"/>
  <c r="V498" i="3"/>
  <c r="W494" i="3"/>
  <c r="U493" i="3"/>
  <c r="U492" i="3"/>
  <c r="U491" i="3"/>
  <c r="T486" i="3"/>
  <c r="X486" i="3" s="1"/>
  <c r="U479" i="3"/>
  <c r="W473" i="3"/>
  <c r="T472" i="3"/>
  <c r="X472" i="3" s="1"/>
  <c r="W467" i="3"/>
  <c r="V466" i="3"/>
  <c r="W462" i="3"/>
  <c r="U461" i="3"/>
  <c r="U460" i="3"/>
  <c r="U459" i="3"/>
  <c r="T454" i="3"/>
  <c r="X454" i="3" s="1"/>
  <c r="U447" i="3"/>
  <c r="W441" i="3"/>
  <c r="T440" i="3"/>
  <c r="X440" i="3" s="1"/>
  <c r="W435" i="3"/>
  <c r="V434" i="3"/>
  <c r="W430" i="3"/>
  <c r="U429" i="3"/>
  <c r="U428" i="3"/>
  <c r="U427" i="3"/>
  <c r="T422" i="3"/>
  <c r="X422" i="3" s="1"/>
  <c r="U415" i="3"/>
  <c r="W409" i="3"/>
  <c r="T408" i="3"/>
  <c r="X408" i="3" s="1"/>
  <c r="W403" i="3"/>
  <c r="V402" i="3"/>
  <c r="W398" i="3"/>
  <c r="U397" i="3"/>
  <c r="U396" i="3"/>
  <c r="U395" i="3"/>
  <c r="T390" i="3"/>
  <c r="X390" i="3" s="1"/>
  <c r="U383" i="3"/>
  <c r="W377" i="3"/>
  <c r="T376" i="3"/>
  <c r="X376" i="3" s="1"/>
  <c r="W371" i="3"/>
  <c r="V370" i="3"/>
  <c r="W1206" i="3"/>
  <c r="U1205" i="3"/>
  <c r="U1204" i="3"/>
  <c r="U1203" i="3"/>
  <c r="T1198" i="3"/>
  <c r="X1198" i="3" s="1"/>
  <c r="U1191" i="3"/>
  <c r="W1185" i="3"/>
  <c r="T1184" i="3"/>
  <c r="X1184" i="3" s="1"/>
  <c r="W1179" i="3"/>
  <c r="V1178" i="3"/>
  <c r="W1174" i="3"/>
  <c r="U1173" i="3"/>
  <c r="U1172" i="3"/>
  <c r="U1171" i="3"/>
  <c r="T1166" i="3"/>
  <c r="X1166" i="3" s="1"/>
  <c r="U1159" i="3"/>
  <c r="W1153" i="3"/>
  <c r="T1152" i="3"/>
  <c r="X1152" i="3" s="1"/>
  <c r="W1147" i="3"/>
  <c r="V1146" i="3"/>
  <c r="W1142" i="3"/>
  <c r="U1141" i="3"/>
  <c r="U1140" i="3"/>
  <c r="U1139" i="3"/>
  <c r="T1134" i="3"/>
  <c r="X1134" i="3" s="1"/>
  <c r="U1127" i="3"/>
  <c r="W1121" i="3"/>
  <c r="T1120" i="3"/>
  <c r="X1120" i="3" s="1"/>
  <c r="W1115" i="3"/>
  <c r="V1114" i="3"/>
  <c r="W1110" i="3"/>
  <c r="U1109" i="3"/>
  <c r="U1108" i="3"/>
  <c r="U1107" i="3"/>
  <c r="T1102" i="3"/>
  <c r="X1102" i="3" s="1"/>
  <c r="U1095" i="3"/>
  <c r="W1089" i="3"/>
  <c r="T1088" i="3"/>
  <c r="X1088" i="3" s="1"/>
  <c r="W1083" i="3"/>
  <c r="V1082" i="3"/>
  <c r="W1078" i="3"/>
  <c r="U1077" i="3"/>
  <c r="U1076" i="3"/>
  <c r="U1075" i="3"/>
  <c r="T1070" i="3"/>
  <c r="X1070" i="3" s="1"/>
  <c r="U1063" i="3"/>
  <c r="W1057" i="3"/>
  <c r="T1056" i="3"/>
  <c r="X1056" i="3" s="1"/>
  <c r="W1051" i="3"/>
  <c r="V1050" i="3"/>
  <c r="W1046" i="3"/>
  <c r="U1045" i="3"/>
  <c r="U1044" i="3"/>
  <c r="U1043" i="3"/>
  <c r="T1038" i="3"/>
  <c r="X1038" i="3" s="1"/>
  <c r="U1031" i="3"/>
  <c r="W1025" i="3"/>
  <c r="T1024" i="3"/>
  <c r="X1024" i="3" s="1"/>
  <c r="W1019" i="3"/>
  <c r="V1018" i="3"/>
  <c r="W1014" i="3"/>
  <c r="U1013" i="3"/>
  <c r="U1012" i="3"/>
  <c r="U1011" i="3"/>
  <c r="T1006" i="3"/>
  <c r="X1006" i="3" s="1"/>
  <c r="U999" i="3"/>
  <c r="W993" i="3"/>
  <c r="T992" i="3"/>
  <c r="X992" i="3" s="1"/>
  <c r="W987" i="3"/>
  <c r="V986" i="3"/>
  <c r="W982" i="3"/>
  <c r="U981" i="3"/>
  <c r="U980" i="3"/>
  <c r="U979" i="3"/>
  <c r="T974" i="3"/>
  <c r="X974" i="3" s="1"/>
  <c r="U967" i="3"/>
  <c r="W961" i="3"/>
  <c r="T960" i="3"/>
  <c r="X960" i="3" s="1"/>
  <c r="W955" i="3"/>
  <c r="V954" i="3"/>
  <c r="W950" i="3"/>
  <c r="U949" i="3"/>
  <c r="U948" i="3"/>
  <c r="U947" i="3"/>
  <c r="T942" i="3"/>
  <c r="X942" i="3" s="1"/>
  <c r="U935" i="3"/>
  <c r="W929" i="3"/>
  <c r="T928" i="3"/>
  <c r="X928" i="3" s="1"/>
  <c r="W923" i="3"/>
  <c r="V922" i="3"/>
  <c r="W918" i="3"/>
  <c r="U917" i="3"/>
  <c r="U916" i="3"/>
  <c r="U915" i="3"/>
  <c r="T910" i="3"/>
  <c r="X910" i="3" s="1"/>
  <c r="U903" i="3"/>
  <c r="W897" i="3"/>
  <c r="T896" i="3"/>
  <c r="X896" i="3" s="1"/>
  <c r="W891" i="3"/>
  <c r="V890" i="3"/>
  <c r="W886" i="3"/>
  <c r="U885" i="3"/>
  <c r="U884" i="3"/>
  <c r="U883" i="3"/>
  <c r="T878" i="3"/>
  <c r="X878" i="3" s="1"/>
  <c r="U871" i="3"/>
  <c r="W865" i="3"/>
  <c r="T864" i="3"/>
  <c r="X864" i="3" s="1"/>
  <c r="W859" i="3"/>
  <c r="V858" i="3"/>
  <c r="W854" i="3"/>
  <c r="U853" i="3"/>
  <c r="U852" i="3"/>
  <c r="U851" i="3"/>
  <c r="T846" i="3"/>
  <c r="X846" i="3" s="1"/>
  <c r="U839" i="3"/>
  <c r="W833" i="3"/>
  <c r="T832" i="3"/>
  <c r="X832" i="3" s="1"/>
  <c r="W827" i="3"/>
  <c r="V826" i="3"/>
  <c r="W822" i="3"/>
  <c r="U821" i="3"/>
  <c r="U820" i="3"/>
  <c r="U819" i="3"/>
  <c r="T814" i="3"/>
  <c r="X814" i="3" s="1"/>
  <c r="U807" i="3"/>
  <c r="W801" i="3"/>
  <c r="T800" i="3"/>
  <c r="X800" i="3" s="1"/>
  <c r="W795" i="3"/>
  <c r="V794" i="3"/>
  <c r="W790" i="3"/>
  <c r="U789" i="3"/>
  <c r="U788" i="3"/>
  <c r="U787" i="3"/>
  <c r="T782" i="3"/>
  <c r="X782" i="3" s="1"/>
  <c r="U775" i="3"/>
  <c r="W769" i="3"/>
  <c r="T768" i="3"/>
  <c r="X768" i="3" s="1"/>
  <c r="W763" i="3"/>
  <c r="V762" i="3"/>
  <c r="W758" i="3"/>
  <c r="U757" i="3"/>
  <c r="U756" i="3"/>
  <c r="U755" i="3"/>
  <c r="T750" i="3"/>
  <c r="X750" i="3" s="1"/>
  <c r="U743" i="3"/>
  <c r="W737" i="3"/>
  <c r="T736" i="3"/>
  <c r="X736" i="3" s="1"/>
  <c r="W731" i="3"/>
  <c r="V730" i="3"/>
  <c r="W726" i="3"/>
  <c r="U725" i="3"/>
  <c r="U724" i="3"/>
  <c r="U723" i="3"/>
  <c r="T718" i="3"/>
  <c r="X718" i="3" s="1"/>
  <c r="U711" i="3"/>
  <c r="W705" i="3"/>
  <c r="T704" i="3"/>
  <c r="X704" i="3" s="1"/>
  <c r="W699" i="3"/>
  <c r="V698" i="3"/>
  <c r="W694" i="3"/>
  <c r="U693" i="3"/>
  <c r="U692" i="3"/>
  <c r="U691" i="3"/>
  <c r="T686" i="3"/>
  <c r="X686" i="3" s="1"/>
  <c r="U679" i="3"/>
  <c r="W673" i="3"/>
  <c r="T672" i="3"/>
  <c r="X672" i="3" s="1"/>
  <c r="W667" i="3"/>
  <c r="V666" i="3"/>
  <c r="W662" i="3"/>
  <c r="U661" i="3"/>
  <c r="U660" i="3"/>
  <c r="U659" i="3"/>
  <c r="T654" i="3"/>
  <c r="X654" i="3" s="1"/>
  <c r="U647" i="3"/>
  <c r="W641" i="3"/>
  <c r="T640" i="3"/>
  <c r="X640" i="3" s="1"/>
  <c r="W635" i="3"/>
  <c r="V634" i="3"/>
  <c r="W630" i="3"/>
  <c r="U629" i="3"/>
  <c r="U628" i="3"/>
  <c r="U627" i="3"/>
  <c r="T622" i="3"/>
  <c r="X622" i="3" s="1"/>
  <c r="U615" i="3"/>
  <c r="W609" i="3"/>
  <c r="T608" i="3"/>
  <c r="X608" i="3" s="1"/>
  <c r="W603" i="3"/>
  <c r="V602" i="3"/>
  <c r="W598" i="3"/>
  <c r="U597" i="3"/>
  <c r="U596" i="3"/>
  <c r="U595" i="3"/>
  <c r="T590" i="3"/>
  <c r="X590" i="3" s="1"/>
  <c r="U583" i="3"/>
  <c r="W577" i="3"/>
  <c r="T576" i="3"/>
  <c r="X576" i="3" s="1"/>
  <c r="W571" i="3"/>
  <c r="V570" i="3"/>
  <c r="W566" i="3"/>
  <c r="U565" i="3"/>
  <c r="U564" i="3"/>
  <c r="U563" i="3"/>
  <c r="T558" i="3"/>
  <c r="X558" i="3" s="1"/>
  <c r="U551" i="3"/>
  <c r="W545" i="3"/>
  <c r="T544" i="3"/>
  <c r="X544" i="3" s="1"/>
  <c r="W539" i="3"/>
  <c r="V538" i="3"/>
  <c r="W534" i="3"/>
  <c r="U533" i="3"/>
  <c r="U532" i="3"/>
  <c r="U531" i="3"/>
  <c r="T526" i="3"/>
  <c r="X526" i="3" s="1"/>
  <c r="U519" i="3"/>
  <c r="W513" i="3"/>
  <c r="T512" i="3"/>
  <c r="X512" i="3" s="1"/>
  <c r="W507" i="3"/>
  <c r="V506" i="3"/>
  <c r="W502" i="3"/>
  <c r="U501" i="3"/>
  <c r="U500" i="3"/>
  <c r="U499" i="3"/>
  <c r="T494" i="3"/>
  <c r="X494" i="3" s="1"/>
  <c r="U487" i="3"/>
  <c r="W481" i="3"/>
  <c r="T480" i="3"/>
  <c r="X480" i="3" s="1"/>
  <c r="W475" i="3"/>
  <c r="V474" i="3"/>
  <c r="W470" i="3"/>
  <c r="U469" i="3"/>
  <c r="U468" i="3"/>
  <c r="U467" i="3"/>
  <c r="T462" i="3"/>
  <c r="X462" i="3" s="1"/>
  <c r="U455" i="3"/>
  <c r="W449" i="3"/>
  <c r="T448" i="3"/>
  <c r="X448" i="3" s="1"/>
  <c r="W443" i="3"/>
  <c r="V442" i="3"/>
  <c r="W438" i="3"/>
  <c r="U437" i="3"/>
  <c r="U436" i="3"/>
  <c r="U435" i="3"/>
  <c r="T430" i="3"/>
  <c r="X430" i="3" s="1"/>
  <c r="U423" i="3"/>
  <c r="W417" i="3"/>
  <c r="T416" i="3"/>
  <c r="X416" i="3" s="1"/>
  <c r="W411" i="3"/>
  <c r="V410" i="3"/>
  <c r="W406" i="3"/>
  <c r="U405" i="3"/>
  <c r="U404" i="3"/>
  <c r="U403" i="3"/>
  <c r="T398" i="3"/>
  <c r="X398" i="3" s="1"/>
  <c r="U391" i="3"/>
  <c r="W385" i="3"/>
  <c r="T384" i="3"/>
  <c r="X384" i="3" s="1"/>
  <c r="W379" i="3"/>
  <c r="V378" i="3"/>
  <c r="W374" i="3"/>
  <c r="U373" i="3"/>
  <c r="U372" i="3"/>
  <c r="U371" i="3"/>
  <c r="T366" i="3"/>
  <c r="X366" i="3" s="1"/>
  <c r="U359" i="3"/>
  <c r="W353" i="3"/>
  <c r="T352" i="3"/>
  <c r="X352" i="3" s="1"/>
  <c r="W347" i="3"/>
  <c r="V346" i="3"/>
  <c r="W342" i="3"/>
  <c r="U341" i="3"/>
  <c r="U340" i="3"/>
  <c r="U339" i="3"/>
  <c r="T334" i="3"/>
  <c r="X334" i="3" s="1"/>
  <c r="U327" i="3"/>
  <c r="W321" i="3"/>
  <c r="T320" i="3"/>
  <c r="X320" i="3" s="1"/>
  <c r="W315" i="3"/>
  <c r="V314" i="3"/>
  <c r="W310" i="3"/>
  <c r="U309" i="3"/>
  <c r="U308" i="3"/>
  <c r="U307" i="3"/>
  <c r="T302" i="3"/>
  <c r="X302" i="3" s="1"/>
  <c r="U295" i="3"/>
  <c r="W289" i="3"/>
  <c r="T288" i="3"/>
  <c r="X288" i="3" s="1"/>
  <c r="W283" i="3"/>
  <c r="V282" i="3"/>
  <c r="W278" i="3"/>
  <c r="U277" i="3"/>
  <c r="U276" i="3"/>
  <c r="U275" i="3"/>
  <c r="T270" i="3"/>
  <c r="X270" i="3" s="1"/>
  <c r="U263" i="3"/>
  <c r="W257" i="3"/>
  <c r="T256" i="3"/>
  <c r="X256" i="3" s="1"/>
  <c r="W251" i="3"/>
  <c r="V250" i="3"/>
  <c r="W246" i="3"/>
  <c r="U245" i="3"/>
  <c r="U244" i="3"/>
  <c r="U243" i="3"/>
  <c r="T238" i="3"/>
  <c r="X238" i="3" s="1"/>
  <c r="U231" i="3"/>
  <c r="W225" i="3"/>
  <c r="T224" i="3"/>
  <c r="X224" i="3" s="1"/>
  <c r="W219" i="3"/>
  <c r="V218" i="3"/>
  <c r="W214" i="3"/>
  <c r="U213" i="3"/>
  <c r="U212" i="3"/>
  <c r="U211" i="3"/>
  <c r="T206" i="3"/>
  <c r="X206" i="3" s="1"/>
  <c r="U199" i="3"/>
  <c r="W193" i="3"/>
  <c r="T192" i="3"/>
  <c r="X192" i="3" s="1"/>
  <c r="W187" i="3"/>
  <c r="V186" i="3"/>
  <c r="W182" i="3"/>
  <c r="U181" i="3"/>
  <c r="U180" i="3"/>
  <c r="U179" i="3"/>
  <c r="T174" i="3"/>
  <c r="X174" i="3" s="1"/>
  <c r="U167" i="3"/>
  <c r="W161" i="3"/>
  <c r="T160" i="3"/>
  <c r="X160" i="3" s="1"/>
  <c r="W155" i="3"/>
  <c r="V154" i="3"/>
  <c r="W150" i="3"/>
  <c r="U149" i="3"/>
  <c r="U148" i="3"/>
  <c r="U147" i="3"/>
  <c r="T142" i="3"/>
  <c r="X142" i="3" s="1"/>
  <c r="U135" i="3"/>
  <c r="W129" i="3"/>
  <c r="T128" i="3"/>
  <c r="X128" i="3" s="1"/>
  <c r="W123" i="3"/>
  <c r="V122" i="3"/>
  <c r="W118" i="3"/>
  <c r="U117" i="3"/>
  <c r="U116" i="3"/>
  <c r="U115" i="3"/>
  <c r="T110" i="3"/>
  <c r="X110" i="3" s="1"/>
  <c r="U103" i="3"/>
  <c r="W97" i="3"/>
  <c r="T96" i="3"/>
  <c r="X96" i="3" s="1"/>
  <c r="W91" i="3"/>
  <c r="V90" i="3"/>
  <c r="W86" i="3"/>
  <c r="U85" i="3"/>
  <c r="U84" i="3"/>
  <c r="U83" i="3"/>
  <c r="T78" i="3"/>
  <c r="X78" i="3" s="1"/>
  <c r="U71" i="3"/>
  <c r="W65" i="3"/>
  <c r="T64" i="3"/>
  <c r="X64" i="3" s="1"/>
  <c r="W59" i="3"/>
  <c r="V58" i="3"/>
  <c r="W54" i="3"/>
  <c r="U53" i="3"/>
  <c r="U52" i="3"/>
  <c r="U51" i="3"/>
  <c r="T46" i="3"/>
  <c r="X46" i="3" s="1"/>
  <c r="U39" i="3"/>
  <c r="W33" i="3"/>
  <c r="T32" i="3"/>
  <c r="X32" i="3" s="1"/>
  <c r="W27" i="3"/>
  <c r="V26" i="3"/>
  <c r="W22" i="3"/>
  <c r="U21" i="3"/>
  <c r="U20" i="3"/>
  <c r="U19" i="3"/>
  <c r="T14" i="3"/>
  <c r="X14" i="3" s="1"/>
  <c r="V1206" i="3"/>
  <c r="T1205" i="3"/>
  <c r="X1205" i="3" s="1"/>
  <c r="T1204" i="3"/>
  <c r="X1204" i="3" s="1"/>
  <c r="V1199" i="3"/>
  <c r="U1192" i="3"/>
  <c r="W1186" i="3"/>
  <c r="T1185" i="3"/>
  <c r="X1185" i="3" s="1"/>
  <c r="W1181" i="3"/>
  <c r="V1180" i="3"/>
  <c r="V1179" i="3"/>
  <c r="V1174" i="3"/>
  <c r="T1173" i="3"/>
  <c r="X1173" i="3" s="1"/>
  <c r="T1172" i="3"/>
  <c r="X1172" i="3" s="1"/>
  <c r="V1167" i="3"/>
  <c r="U1160" i="3"/>
  <c r="W1154" i="3"/>
  <c r="T1153" i="3"/>
  <c r="X1153" i="3" s="1"/>
  <c r="W1149" i="3"/>
  <c r="V1148" i="3"/>
  <c r="V1147" i="3"/>
  <c r="V1142" i="3"/>
  <c r="T1141" i="3"/>
  <c r="X1141" i="3" s="1"/>
  <c r="T1140" i="3"/>
  <c r="X1140" i="3" s="1"/>
  <c r="V1135" i="3"/>
  <c r="U1128" i="3"/>
  <c r="W1122" i="3"/>
  <c r="T1121" i="3"/>
  <c r="X1121" i="3" s="1"/>
  <c r="W1117" i="3"/>
  <c r="V1116" i="3"/>
  <c r="V1115" i="3"/>
  <c r="V1110" i="3"/>
  <c r="T1109" i="3"/>
  <c r="X1109" i="3" s="1"/>
  <c r="T1108" i="3"/>
  <c r="X1108" i="3" s="1"/>
  <c r="V1103" i="3"/>
  <c r="U1096" i="3"/>
  <c r="W1090" i="3"/>
  <c r="T1089" i="3"/>
  <c r="X1089" i="3" s="1"/>
  <c r="W1085" i="3"/>
  <c r="V1084" i="3"/>
  <c r="V1083" i="3"/>
  <c r="V1078" i="3"/>
  <c r="T1077" i="3"/>
  <c r="X1077" i="3" s="1"/>
  <c r="T1076" i="3"/>
  <c r="X1076" i="3" s="1"/>
  <c r="V1071" i="3"/>
  <c r="U1064" i="3"/>
  <c r="W1058" i="3"/>
  <c r="T1057" i="3"/>
  <c r="X1057" i="3" s="1"/>
  <c r="W1053" i="3"/>
  <c r="V1052" i="3"/>
  <c r="V1051" i="3"/>
  <c r="V1046" i="3"/>
  <c r="T1045" i="3"/>
  <c r="X1045" i="3" s="1"/>
  <c r="T1044" i="3"/>
  <c r="X1044" i="3" s="1"/>
  <c r="V1039" i="3"/>
  <c r="U1032" i="3"/>
  <c r="W1026" i="3"/>
  <c r="T1025" i="3"/>
  <c r="X1025" i="3" s="1"/>
  <c r="W1021" i="3"/>
  <c r="V1020" i="3"/>
  <c r="V1019" i="3"/>
  <c r="V1014" i="3"/>
  <c r="T1013" i="3"/>
  <c r="X1013" i="3" s="1"/>
  <c r="T1012" i="3"/>
  <c r="X1012" i="3" s="1"/>
  <c r="V1007" i="3"/>
  <c r="U1000" i="3"/>
  <c r="W994" i="3"/>
  <c r="T993" i="3"/>
  <c r="X993" i="3" s="1"/>
  <c r="W989" i="3"/>
  <c r="V988" i="3"/>
  <c r="V987" i="3"/>
  <c r="V982" i="3"/>
  <c r="T981" i="3"/>
  <c r="X981" i="3" s="1"/>
  <c r="T980" i="3"/>
  <c r="X980" i="3" s="1"/>
  <c r="V975" i="3"/>
  <c r="U968" i="3"/>
  <c r="W962" i="3"/>
  <c r="T961" i="3"/>
  <c r="X961" i="3" s="1"/>
  <c r="W957" i="3"/>
  <c r="V956" i="3"/>
  <c r="V955" i="3"/>
  <c r="V950" i="3"/>
  <c r="T949" i="3"/>
  <c r="X949" i="3" s="1"/>
  <c r="T948" i="3"/>
  <c r="X948" i="3" s="1"/>
  <c r="V943" i="3"/>
  <c r="U936" i="3"/>
  <c r="W930" i="3"/>
  <c r="T929" i="3"/>
  <c r="X929" i="3" s="1"/>
  <c r="W925" i="3"/>
  <c r="V924" i="3"/>
  <c r="V923" i="3"/>
  <c r="V918" i="3"/>
  <c r="T917" i="3"/>
  <c r="X917" i="3" s="1"/>
  <c r="T916" i="3"/>
  <c r="X916" i="3" s="1"/>
  <c r="V911" i="3"/>
  <c r="U904" i="3"/>
  <c r="W898" i="3"/>
  <c r="T897" i="3"/>
  <c r="X897" i="3" s="1"/>
  <c r="W893" i="3"/>
  <c r="V892" i="3"/>
  <c r="V891" i="3"/>
  <c r="V886" i="3"/>
  <c r="T885" i="3"/>
  <c r="X885" i="3" s="1"/>
  <c r="T884" i="3"/>
  <c r="X884" i="3" s="1"/>
  <c r="V879" i="3"/>
  <c r="U872" i="3"/>
  <c r="W866" i="3"/>
  <c r="T865" i="3"/>
  <c r="X865" i="3" s="1"/>
  <c r="W861" i="3"/>
  <c r="V860" i="3"/>
  <c r="V859" i="3"/>
  <c r="V854" i="3"/>
  <c r="T853" i="3"/>
  <c r="X853" i="3" s="1"/>
  <c r="T852" i="3"/>
  <c r="X852" i="3" s="1"/>
  <c r="V847" i="3"/>
  <c r="U840" i="3"/>
  <c r="W834" i="3"/>
  <c r="T833" i="3"/>
  <c r="X833" i="3" s="1"/>
  <c r="W829" i="3"/>
  <c r="V828" i="3"/>
  <c r="V827" i="3"/>
  <c r="V822" i="3"/>
  <c r="T821" i="3"/>
  <c r="X821" i="3" s="1"/>
  <c r="T820" i="3"/>
  <c r="X820" i="3" s="1"/>
  <c r="V815" i="3"/>
  <c r="U808" i="3"/>
  <c r="W802" i="3"/>
  <c r="T801" i="3"/>
  <c r="X801" i="3" s="1"/>
  <c r="W797" i="3"/>
  <c r="V796" i="3"/>
  <c r="V795" i="3"/>
  <c r="V790" i="3"/>
  <c r="T789" i="3"/>
  <c r="X789" i="3" s="1"/>
  <c r="T788" i="3"/>
  <c r="X788" i="3" s="1"/>
  <c r="V783" i="3"/>
  <c r="U776" i="3"/>
  <c r="W770" i="3"/>
  <c r="T769" i="3"/>
  <c r="X769" i="3" s="1"/>
  <c r="W765" i="3"/>
  <c r="V764" i="3"/>
  <c r="V763" i="3"/>
  <c r="V758" i="3"/>
  <c r="T757" i="3"/>
  <c r="X757" i="3" s="1"/>
  <c r="T756" i="3"/>
  <c r="X756" i="3" s="1"/>
  <c r="V751" i="3"/>
  <c r="U744" i="3"/>
  <c r="W738" i="3"/>
  <c r="T737" i="3"/>
  <c r="X737" i="3" s="1"/>
  <c r="W733" i="3"/>
  <c r="V732" i="3"/>
  <c r="V731" i="3"/>
  <c r="V726" i="3"/>
  <c r="T725" i="3"/>
  <c r="X725" i="3" s="1"/>
  <c r="T724" i="3"/>
  <c r="X724" i="3" s="1"/>
  <c r="V719" i="3"/>
  <c r="U712" i="3"/>
  <c r="W706" i="3"/>
  <c r="T705" i="3"/>
  <c r="X705" i="3" s="1"/>
  <c r="W701" i="3"/>
  <c r="V700" i="3"/>
  <c r="V699" i="3"/>
  <c r="V694" i="3"/>
  <c r="T693" i="3"/>
  <c r="X693" i="3" s="1"/>
  <c r="T692" i="3"/>
  <c r="X692" i="3" s="1"/>
  <c r="V687" i="3"/>
  <c r="U680" i="3"/>
  <c r="W674" i="3"/>
  <c r="T673" i="3"/>
  <c r="X673" i="3" s="1"/>
  <c r="W669" i="3"/>
  <c r="V668" i="3"/>
  <c r="V667" i="3"/>
  <c r="V662" i="3"/>
  <c r="T661" i="3"/>
  <c r="X661" i="3" s="1"/>
  <c r="T660" i="3"/>
  <c r="X660" i="3" s="1"/>
  <c r="V655" i="3"/>
  <c r="U648" i="3"/>
  <c r="W642" i="3"/>
  <c r="T641" i="3"/>
  <c r="X641" i="3" s="1"/>
  <c r="W637" i="3"/>
  <c r="V636" i="3"/>
  <c r="V635" i="3"/>
  <c r="V630" i="3"/>
  <c r="T629" i="3"/>
  <c r="X629" i="3" s="1"/>
  <c r="T628" i="3"/>
  <c r="X628" i="3" s="1"/>
  <c r="V623" i="3"/>
  <c r="U616" i="3"/>
  <c r="W610" i="3"/>
  <c r="T609" i="3"/>
  <c r="X609" i="3" s="1"/>
  <c r="W605" i="3"/>
  <c r="V604" i="3"/>
  <c r="V603" i="3"/>
  <c r="V598" i="3"/>
  <c r="T597" i="3"/>
  <c r="X597" i="3" s="1"/>
  <c r="T596" i="3"/>
  <c r="X596" i="3" s="1"/>
  <c r="V591" i="3"/>
  <c r="U584" i="3"/>
  <c r="W578" i="3"/>
  <c r="T577" i="3"/>
  <c r="X577" i="3" s="1"/>
  <c r="W573" i="3"/>
  <c r="V572" i="3"/>
  <c r="V571" i="3"/>
  <c r="V566" i="3"/>
  <c r="T565" i="3"/>
  <c r="X565" i="3" s="1"/>
  <c r="T564" i="3"/>
  <c r="X564" i="3" s="1"/>
  <c r="V559" i="3"/>
  <c r="U552" i="3"/>
  <c r="W546" i="3"/>
  <c r="T545" i="3"/>
  <c r="X545" i="3" s="1"/>
  <c r="W541" i="3"/>
  <c r="V540" i="3"/>
  <c r="V539" i="3"/>
  <c r="V534" i="3"/>
  <c r="T533" i="3"/>
  <c r="X533" i="3" s="1"/>
  <c r="T532" i="3"/>
  <c r="X532" i="3" s="1"/>
  <c r="V527" i="3"/>
  <c r="U520" i="3"/>
  <c r="W514" i="3"/>
  <c r="T513" i="3"/>
  <c r="X513" i="3" s="1"/>
  <c r="W509" i="3"/>
  <c r="V508" i="3"/>
  <c r="V507" i="3"/>
  <c r="V502" i="3"/>
  <c r="T501" i="3"/>
  <c r="X501" i="3" s="1"/>
  <c r="T500" i="3"/>
  <c r="X500" i="3" s="1"/>
  <c r="V495" i="3"/>
  <c r="U488" i="3"/>
  <c r="W482" i="3"/>
  <c r="T481" i="3"/>
  <c r="X481" i="3" s="1"/>
  <c r="W477" i="3"/>
  <c r="V476" i="3"/>
  <c r="V475" i="3"/>
  <c r="V470" i="3"/>
  <c r="T469" i="3"/>
  <c r="X469" i="3" s="1"/>
  <c r="T468" i="3"/>
  <c r="X468" i="3" s="1"/>
  <c r="V463" i="3"/>
  <c r="U456" i="3"/>
  <c r="W450" i="3"/>
  <c r="T449" i="3"/>
  <c r="X449" i="3" s="1"/>
  <c r="W445" i="3"/>
  <c r="V444" i="3"/>
  <c r="V443" i="3"/>
  <c r="V438" i="3"/>
  <c r="T437" i="3"/>
  <c r="X437" i="3" s="1"/>
  <c r="T436" i="3"/>
  <c r="X436" i="3" s="1"/>
  <c r="V431" i="3"/>
  <c r="U424" i="3"/>
  <c r="W418" i="3"/>
  <c r="T417" i="3"/>
  <c r="X417" i="3" s="1"/>
  <c r="W413" i="3"/>
  <c r="V412" i="3"/>
  <c r="V411" i="3"/>
  <c r="V406" i="3"/>
  <c r="T405" i="3"/>
  <c r="X405" i="3" s="1"/>
  <c r="T404" i="3"/>
  <c r="X404" i="3" s="1"/>
  <c r="V399" i="3"/>
  <c r="U392" i="3"/>
  <c r="W386" i="3"/>
  <c r="T385" i="3"/>
  <c r="X385" i="3" s="1"/>
  <c r="W381" i="3"/>
  <c r="V380" i="3"/>
  <c r="V379" i="3"/>
  <c r="V374" i="3"/>
  <c r="T373" i="3"/>
  <c r="X373" i="3" s="1"/>
  <c r="T372" i="3"/>
  <c r="X372" i="3" s="1"/>
  <c r="V367" i="3"/>
  <c r="U360" i="3"/>
  <c r="W354" i="3"/>
  <c r="T353" i="3"/>
  <c r="X353" i="3" s="1"/>
  <c r="W349" i="3"/>
  <c r="V348" i="3"/>
  <c r="V347" i="3"/>
  <c r="V342" i="3"/>
  <c r="T341" i="3"/>
  <c r="X341" i="3" s="1"/>
  <c r="T340" i="3"/>
  <c r="X340" i="3" s="1"/>
  <c r="V335" i="3"/>
  <c r="U328" i="3"/>
  <c r="W322" i="3"/>
  <c r="T321" i="3"/>
  <c r="X321" i="3" s="1"/>
  <c r="W317" i="3"/>
  <c r="V316" i="3"/>
  <c r="V315" i="3"/>
  <c r="V310" i="3"/>
  <c r="T309" i="3"/>
  <c r="X309" i="3" s="1"/>
  <c r="T308" i="3"/>
  <c r="X308" i="3" s="1"/>
  <c r="V303" i="3"/>
  <c r="U296" i="3"/>
  <c r="W290" i="3"/>
  <c r="T289" i="3"/>
  <c r="X289" i="3" s="1"/>
  <c r="W285" i="3"/>
  <c r="V284" i="3"/>
  <c r="V283" i="3"/>
  <c r="V278" i="3"/>
  <c r="T277" i="3"/>
  <c r="X277" i="3" s="1"/>
  <c r="T276" i="3"/>
  <c r="X276" i="3" s="1"/>
  <c r="V271" i="3"/>
  <c r="U264" i="3"/>
  <c r="W258" i="3"/>
  <c r="T257" i="3"/>
  <c r="X257" i="3" s="1"/>
  <c r="W253" i="3"/>
  <c r="V252" i="3"/>
  <c r="V251" i="3"/>
  <c r="V246" i="3"/>
  <c r="T245" i="3"/>
  <c r="X245" i="3" s="1"/>
  <c r="T244" i="3"/>
  <c r="X244" i="3" s="1"/>
  <c r="V239" i="3"/>
  <c r="U232" i="3"/>
  <c r="W226" i="3"/>
  <c r="T225" i="3"/>
  <c r="X225" i="3" s="1"/>
  <c r="W221" i="3"/>
  <c r="V220" i="3"/>
  <c r="V219" i="3"/>
  <c r="V214" i="3"/>
  <c r="T213" i="3"/>
  <c r="X213" i="3" s="1"/>
  <c r="T212" i="3"/>
  <c r="X212" i="3" s="1"/>
  <c r="V207" i="3"/>
  <c r="U200" i="3"/>
  <c r="W194" i="3"/>
  <c r="T193" i="3"/>
  <c r="X193" i="3" s="1"/>
  <c r="W189" i="3"/>
  <c r="V188" i="3"/>
  <c r="V187" i="3"/>
  <c r="V182" i="3"/>
  <c r="T181" i="3"/>
  <c r="X181" i="3" s="1"/>
  <c r="T180" i="3"/>
  <c r="X180" i="3" s="1"/>
  <c r="V175" i="3"/>
  <c r="U168" i="3"/>
  <c r="W162" i="3"/>
  <c r="T161" i="3"/>
  <c r="X161" i="3" s="1"/>
  <c r="W157" i="3"/>
  <c r="V156" i="3"/>
  <c r="V155" i="3"/>
  <c r="V150" i="3"/>
  <c r="T149" i="3"/>
  <c r="X149" i="3" s="1"/>
  <c r="T148" i="3"/>
  <c r="X148" i="3" s="1"/>
  <c r="V143" i="3"/>
  <c r="U136" i="3"/>
  <c r="W130" i="3"/>
  <c r="T129" i="3"/>
  <c r="X129" i="3" s="1"/>
  <c r="W125" i="3"/>
  <c r="V124" i="3"/>
  <c r="V123" i="3"/>
  <c r="V118" i="3"/>
  <c r="T117" i="3"/>
  <c r="X117" i="3" s="1"/>
  <c r="T116" i="3"/>
  <c r="X116" i="3" s="1"/>
  <c r="V111" i="3"/>
  <c r="U104" i="3"/>
  <c r="W98" i="3"/>
  <c r="T97" i="3"/>
  <c r="X97" i="3" s="1"/>
  <c r="W93" i="3"/>
  <c r="V92" i="3"/>
  <c r="V91" i="3"/>
  <c r="V86" i="3"/>
  <c r="T85" i="3"/>
  <c r="X85" i="3" s="1"/>
  <c r="T84" i="3"/>
  <c r="X84" i="3" s="1"/>
  <c r="V79" i="3"/>
  <c r="U72" i="3"/>
  <c r="W66" i="3"/>
  <c r="T65" i="3"/>
  <c r="X65" i="3" s="1"/>
  <c r="W61" i="3"/>
  <c r="V60" i="3"/>
  <c r="V59" i="3"/>
  <c r="V54" i="3"/>
  <c r="T53" i="3"/>
  <c r="X53" i="3" s="1"/>
  <c r="T52" i="3"/>
  <c r="X52" i="3" s="1"/>
  <c r="V47" i="3"/>
  <c r="U40" i="3"/>
  <c r="W34" i="3"/>
  <c r="T33" i="3"/>
  <c r="X33" i="3" s="1"/>
  <c r="W29" i="3"/>
  <c r="V28" i="3"/>
  <c r="V27" i="3"/>
  <c r="V22" i="3"/>
  <c r="T21" i="3"/>
  <c r="X21" i="3" s="1"/>
  <c r="T20" i="3"/>
  <c r="X20" i="3" s="1"/>
  <c r="V15" i="3"/>
  <c r="U957" i="3"/>
  <c r="V930" i="3"/>
  <c r="W926" i="3"/>
  <c r="U924" i="3"/>
  <c r="U923" i="3"/>
  <c r="U911" i="3"/>
  <c r="T904" i="3"/>
  <c r="X904" i="3" s="1"/>
  <c r="W894" i="3"/>
  <c r="U893" i="3"/>
  <c r="U891" i="3"/>
  <c r="T886" i="3"/>
  <c r="X886" i="3" s="1"/>
  <c r="T872" i="3"/>
  <c r="X872" i="3" s="1"/>
  <c r="W867" i="3"/>
  <c r="V866" i="3"/>
  <c r="U860" i="3"/>
  <c r="T854" i="3"/>
  <c r="X854" i="3" s="1"/>
  <c r="W841" i="3"/>
  <c r="V834" i="3"/>
  <c r="U828" i="3"/>
  <c r="W798" i="3"/>
  <c r="U797" i="3"/>
  <c r="U795" i="3"/>
  <c r="T790" i="3"/>
  <c r="X790" i="3" s="1"/>
  <c r="T776" i="3"/>
  <c r="X776" i="3" s="1"/>
  <c r="W771" i="3"/>
  <c r="V770" i="3"/>
  <c r="T1206" i="3"/>
  <c r="X1206" i="3" s="1"/>
  <c r="U1199" i="3"/>
  <c r="W1193" i="3"/>
  <c r="T1192" i="3"/>
  <c r="X1192" i="3" s="1"/>
  <c r="W1187" i="3"/>
  <c r="V1186" i="3"/>
  <c r="W1182" i="3"/>
  <c r="U1181" i="3"/>
  <c r="U1180" i="3"/>
  <c r="U1179" i="3"/>
  <c r="T1174" i="3"/>
  <c r="X1174" i="3" s="1"/>
  <c r="U1167" i="3"/>
  <c r="W1161" i="3"/>
  <c r="T1160" i="3"/>
  <c r="X1160" i="3" s="1"/>
  <c r="W1155" i="3"/>
  <c r="V1154" i="3"/>
  <c r="W1150" i="3"/>
  <c r="U1149" i="3"/>
  <c r="U1148" i="3"/>
  <c r="U1147" i="3"/>
  <c r="T1142" i="3"/>
  <c r="X1142" i="3" s="1"/>
  <c r="U1135" i="3"/>
  <c r="W1129" i="3"/>
  <c r="T1128" i="3"/>
  <c r="X1128" i="3" s="1"/>
  <c r="W1123" i="3"/>
  <c r="V1122" i="3"/>
  <c r="W1118" i="3"/>
  <c r="U1117" i="3"/>
  <c r="U1116" i="3"/>
  <c r="U1115" i="3"/>
  <c r="T1110" i="3"/>
  <c r="X1110" i="3" s="1"/>
  <c r="U1103" i="3"/>
  <c r="W1097" i="3"/>
  <c r="T1096" i="3"/>
  <c r="X1096" i="3" s="1"/>
  <c r="W1091" i="3"/>
  <c r="V1090" i="3"/>
  <c r="W1086" i="3"/>
  <c r="U1085" i="3"/>
  <c r="U1084" i="3"/>
  <c r="U1083" i="3"/>
  <c r="T1078" i="3"/>
  <c r="X1078" i="3" s="1"/>
  <c r="U1071" i="3"/>
  <c r="W1065" i="3"/>
  <c r="T1064" i="3"/>
  <c r="X1064" i="3" s="1"/>
  <c r="W1059" i="3"/>
  <c r="V1058" i="3"/>
  <c r="W1054" i="3"/>
  <c r="U1053" i="3"/>
  <c r="U1052" i="3"/>
  <c r="U1051" i="3"/>
  <c r="T1046" i="3"/>
  <c r="X1046" i="3" s="1"/>
  <c r="U1039" i="3"/>
  <c r="W1033" i="3"/>
  <c r="T1032" i="3"/>
  <c r="X1032" i="3" s="1"/>
  <c r="W1027" i="3"/>
  <c r="V1026" i="3"/>
  <c r="W1022" i="3"/>
  <c r="U1021" i="3"/>
  <c r="U1020" i="3"/>
  <c r="U1019" i="3"/>
  <c r="T1014" i="3"/>
  <c r="X1014" i="3" s="1"/>
  <c r="U1007" i="3"/>
  <c r="W1001" i="3"/>
  <c r="T1000" i="3"/>
  <c r="X1000" i="3" s="1"/>
  <c r="W995" i="3"/>
  <c r="V994" i="3"/>
  <c r="W990" i="3"/>
  <c r="U989" i="3"/>
  <c r="U988" i="3"/>
  <c r="U987" i="3"/>
  <c r="T982" i="3"/>
  <c r="X982" i="3" s="1"/>
  <c r="U975" i="3"/>
  <c r="W969" i="3"/>
  <c r="T968" i="3"/>
  <c r="X968" i="3" s="1"/>
  <c r="W963" i="3"/>
  <c r="V962" i="3"/>
  <c r="W958" i="3"/>
  <c r="U956" i="3"/>
  <c r="U955" i="3"/>
  <c r="T950" i="3"/>
  <c r="X950" i="3" s="1"/>
  <c r="U943" i="3"/>
  <c r="W937" i="3"/>
  <c r="T936" i="3"/>
  <c r="X936" i="3" s="1"/>
  <c r="W931" i="3"/>
  <c r="U925" i="3"/>
  <c r="T918" i="3"/>
  <c r="X918" i="3" s="1"/>
  <c r="W905" i="3"/>
  <c r="W899" i="3"/>
  <c r="V898" i="3"/>
  <c r="U892" i="3"/>
  <c r="U879" i="3"/>
  <c r="W873" i="3"/>
  <c r="W862" i="3"/>
  <c r="U861" i="3"/>
  <c r="U859" i="3"/>
  <c r="U847" i="3"/>
  <c r="T840" i="3"/>
  <c r="X840" i="3" s="1"/>
  <c r="W835" i="3"/>
  <c r="W830" i="3"/>
  <c r="U829" i="3"/>
  <c r="U827" i="3"/>
  <c r="T822" i="3"/>
  <c r="X822" i="3" s="1"/>
  <c r="U815" i="3"/>
  <c r="W809" i="3"/>
  <c r="T808" i="3"/>
  <c r="X808" i="3" s="1"/>
  <c r="W803" i="3"/>
  <c r="V802" i="3"/>
  <c r="U796" i="3"/>
  <c r="U783" i="3"/>
  <c r="W777" i="3"/>
  <c r="W766" i="3"/>
  <c r="V1198" i="3"/>
  <c r="V1171" i="3"/>
  <c r="W1141" i="3"/>
  <c r="T1133" i="3"/>
  <c r="X1133" i="3" s="1"/>
  <c r="V1127" i="3"/>
  <c r="V1108" i="3"/>
  <c r="T1100" i="3"/>
  <c r="X1100" i="3" s="1"/>
  <c r="V1075" i="3"/>
  <c r="U1056" i="3"/>
  <c r="W1018" i="3"/>
  <c r="V1006" i="3"/>
  <c r="T985" i="3"/>
  <c r="X985" i="3" s="1"/>
  <c r="W885" i="3"/>
  <c r="T877" i="3"/>
  <c r="X877" i="3" s="1"/>
  <c r="V871" i="3"/>
  <c r="V852" i="3"/>
  <c r="T844" i="3"/>
  <c r="X844" i="3" s="1"/>
  <c r="V819" i="3"/>
  <c r="U800" i="3"/>
  <c r="T761" i="3"/>
  <c r="X761" i="3" s="1"/>
  <c r="W757" i="3"/>
  <c r="T744" i="3"/>
  <c r="X744" i="3" s="1"/>
  <c r="U731" i="3"/>
  <c r="T716" i="3"/>
  <c r="X716" i="3" s="1"/>
  <c r="V686" i="3"/>
  <c r="W675" i="3"/>
  <c r="U669" i="3"/>
  <c r="V660" i="3"/>
  <c r="V647" i="3"/>
  <c r="T630" i="3"/>
  <c r="X630" i="3" s="1"/>
  <c r="W602" i="3"/>
  <c r="V579" i="3"/>
  <c r="T572" i="3"/>
  <c r="X572" i="3" s="1"/>
  <c r="T556" i="3"/>
  <c r="X556" i="3" s="1"/>
  <c r="V551" i="3"/>
  <c r="W549" i="3"/>
  <c r="V546" i="3"/>
  <c r="W542" i="3"/>
  <c r="V532" i="3"/>
  <c r="V515" i="3"/>
  <c r="T508" i="3"/>
  <c r="X508" i="3" s="1"/>
  <c r="T492" i="3"/>
  <c r="X492" i="3" s="1"/>
  <c r="V487" i="3"/>
  <c r="W485" i="3"/>
  <c r="V482" i="3"/>
  <c r="W478" i="3"/>
  <c r="V468" i="3"/>
  <c r="V451" i="3"/>
  <c r="T444" i="3"/>
  <c r="X444" i="3" s="1"/>
  <c r="T428" i="3"/>
  <c r="X428" i="3" s="1"/>
  <c r="V423" i="3"/>
  <c r="W421" i="3"/>
  <c r="V418" i="3"/>
  <c r="W414" i="3"/>
  <c r="V404" i="3"/>
  <c r="V387" i="3"/>
  <c r="T380" i="3"/>
  <c r="X380" i="3" s="1"/>
  <c r="W361" i="3"/>
  <c r="V355" i="3"/>
  <c r="V350" i="3"/>
  <c r="U347" i="3"/>
  <c r="T344" i="3"/>
  <c r="X344" i="3" s="1"/>
  <c r="T317" i="3"/>
  <c r="X317" i="3" s="1"/>
  <c r="W314" i="3"/>
  <c r="V311" i="3"/>
  <c r="U303" i="3"/>
  <c r="T300" i="3"/>
  <c r="X300" i="3" s="1"/>
  <c r="V292" i="3"/>
  <c r="U284" i="3"/>
  <c r="W281" i="3"/>
  <c r="V275" i="3"/>
  <c r="U269" i="3"/>
  <c r="T268" i="3"/>
  <c r="X268" i="3" s="1"/>
  <c r="W265" i="3"/>
  <c r="T262" i="3"/>
  <c r="X262" i="3" s="1"/>
  <c r="V258" i="3"/>
  <c r="U255" i="3"/>
  <c r="U252" i="3"/>
  <c r="W249" i="3"/>
  <c r="U239" i="3"/>
  <c r="U235" i="3"/>
  <c r="T232" i="3"/>
  <c r="X232" i="3" s="1"/>
  <c r="U229" i="3"/>
  <c r="T222" i="3"/>
  <c r="X222" i="3" s="1"/>
  <c r="U219" i="3"/>
  <c r="W213" i="3"/>
  <c r="V202" i="3"/>
  <c r="V196" i="3"/>
  <c r="U195" i="3"/>
  <c r="W190" i="3"/>
  <c r="V183" i="3"/>
  <c r="V180" i="3"/>
  <c r="T176" i="3"/>
  <c r="X176" i="3" s="1"/>
  <c r="W174" i="3"/>
  <c r="W163" i="3"/>
  <c r="U157" i="3"/>
  <c r="V147" i="3"/>
  <c r="U141" i="3"/>
  <c r="T140" i="3"/>
  <c r="X140" i="3" s="1"/>
  <c r="W137" i="3"/>
  <c r="T134" i="3"/>
  <c r="X134" i="3" s="1"/>
  <c r="V130" i="3"/>
  <c r="U127" i="3"/>
  <c r="U124" i="3"/>
  <c r="W121" i="3"/>
  <c r="U111" i="3"/>
  <c r="U107" i="3"/>
  <c r="T104" i="3"/>
  <c r="X104" i="3" s="1"/>
  <c r="U101" i="3"/>
  <c r="T94" i="3"/>
  <c r="X94" i="3" s="1"/>
  <c r="U91" i="3"/>
  <c r="W85" i="3"/>
  <c r="V74" i="3"/>
  <c r="V68" i="3"/>
  <c r="U67" i="3"/>
  <c r="W62" i="3"/>
  <c r="V55" i="3"/>
  <c r="V52" i="3"/>
  <c r="T48" i="3"/>
  <c r="X48" i="3" s="1"/>
  <c r="W46" i="3"/>
  <c r="W35" i="3"/>
  <c r="U29" i="3"/>
  <c r="V19" i="3"/>
  <c r="T13" i="3"/>
  <c r="X13" i="3" s="1"/>
  <c r="V9" i="3"/>
  <c r="V915" i="3"/>
  <c r="W707" i="3"/>
  <c r="U604" i="3"/>
  <c r="W579" i="3"/>
  <c r="U560" i="3"/>
  <c r="U496" i="3"/>
  <c r="T470" i="3"/>
  <c r="X470" i="3" s="1"/>
  <c r="U432" i="3"/>
  <c r="T397" i="3"/>
  <c r="X397" i="3" s="1"/>
  <c r="W330" i="3"/>
  <c r="W262" i="3"/>
  <c r="U192" i="3"/>
  <c r="T153" i="3"/>
  <c r="X153" i="3" s="1"/>
  <c r="T61" i="3"/>
  <c r="X61" i="3" s="1"/>
  <c r="W9" i="3"/>
  <c r="V1204" i="3"/>
  <c r="T1196" i="3"/>
  <c r="X1196" i="3" s="1"/>
  <c r="T1145" i="3"/>
  <c r="X1145" i="3" s="1"/>
  <c r="W1045" i="3"/>
  <c r="T1037" i="3"/>
  <c r="X1037" i="3" s="1"/>
  <c r="V1031" i="3"/>
  <c r="V1012" i="3"/>
  <c r="T1004" i="3"/>
  <c r="X1004" i="3" s="1"/>
  <c r="V979" i="3"/>
  <c r="U960" i="3"/>
  <c r="W922" i="3"/>
  <c r="V910" i="3"/>
  <c r="T889" i="3"/>
  <c r="X889" i="3" s="1"/>
  <c r="W789" i="3"/>
  <c r="T781" i="3"/>
  <c r="X781" i="3" s="1"/>
  <c r="V775" i="3"/>
  <c r="T729" i="3"/>
  <c r="X729" i="3" s="1"/>
  <c r="W725" i="3"/>
  <c r="T712" i="3"/>
  <c r="X712" i="3" s="1"/>
  <c r="U699" i="3"/>
  <c r="T684" i="3"/>
  <c r="X684" i="3" s="1"/>
  <c r="V654" i="3"/>
  <c r="W643" i="3"/>
  <c r="U637" i="3"/>
  <c r="V628" i="3"/>
  <c r="V615" i="3"/>
  <c r="T598" i="3"/>
  <c r="X598" i="3" s="1"/>
  <c r="W585" i="3"/>
  <c r="U573" i="3"/>
  <c r="W570" i="3"/>
  <c r="V563" i="3"/>
  <c r="W554" i="3"/>
  <c r="U544" i="3"/>
  <c r="V542" i="3"/>
  <c r="U539" i="3"/>
  <c r="W521" i="3"/>
  <c r="U509" i="3"/>
  <c r="W506" i="3"/>
  <c r="V499" i="3"/>
  <c r="W490" i="3"/>
  <c r="U480" i="3"/>
  <c r="V478" i="3"/>
  <c r="U475" i="3"/>
  <c r="W457" i="3"/>
  <c r="U445" i="3"/>
  <c r="W442" i="3"/>
  <c r="V435" i="3"/>
  <c r="W426" i="3"/>
  <c r="U416" i="3"/>
  <c r="V414" i="3"/>
  <c r="U411" i="3"/>
  <c r="W393" i="3"/>
  <c r="U381" i="3"/>
  <c r="W378" i="3"/>
  <c r="V371" i="3"/>
  <c r="U364" i="3"/>
  <c r="T361" i="3"/>
  <c r="X361" i="3" s="1"/>
  <c r="T342" i="3"/>
  <c r="X342" i="3" s="1"/>
  <c r="W339" i="3"/>
  <c r="U336" i="3"/>
  <c r="W334" i="3"/>
  <c r="T328" i="3"/>
  <c r="X328" i="3" s="1"/>
  <c r="W309" i="3"/>
  <c r="V306" i="3"/>
  <c r="U301" i="3"/>
  <c r="V295" i="3"/>
  <c r="U287" i="3"/>
  <c r="T284" i="3"/>
  <c r="X284" i="3" s="1"/>
  <c r="T281" i="3"/>
  <c r="X281" i="3" s="1"/>
  <c r="U272" i="3"/>
  <c r="T269" i="3"/>
  <c r="X269" i="3" s="1"/>
  <c r="T265" i="3"/>
  <c r="X265" i="3" s="1"/>
  <c r="T252" i="3"/>
  <c r="X252" i="3" s="1"/>
  <c r="T249" i="3"/>
  <c r="X249" i="3" s="1"/>
  <c r="T246" i="3"/>
  <c r="X246" i="3" s="1"/>
  <c r="W243" i="3"/>
  <c r="U236" i="3"/>
  <c r="W230" i="3"/>
  <c r="T216" i="3"/>
  <c r="X216" i="3" s="1"/>
  <c r="V210" i="3"/>
  <c r="W203" i="3"/>
  <c r="W197" i="3"/>
  <c r="U196" i="3"/>
  <c r="V190" i="3"/>
  <c r="U183" i="3"/>
  <c r="W177" i="3"/>
  <c r="V174" i="3"/>
  <c r="W170" i="3"/>
  <c r="V167" i="3"/>
  <c r="V163" i="3"/>
  <c r="U160" i="3"/>
  <c r="T157" i="3"/>
  <c r="X157" i="3" s="1"/>
  <c r="W154" i="3"/>
  <c r="U144" i="3"/>
  <c r="T141" i="3"/>
  <c r="X141" i="3" s="1"/>
  <c r="T137" i="3"/>
  <c r="X137" i="3" s="1"/>
  <c r="T124" i="3"/>
  <c r="X124" i="3" s="1"/>
  <c r="T121" i="3"/>
  <c r="X121" i="3" s="1"/>
  <c r="T118" i="3"/>
  <c r="X118" i="3" s="1"/>
  <c r="W115" i="3"/>
  <c r="U108" i="3"/>
  <c r="W102" i="3"/>
  <c r="T88" i="3"/>
  <c r="X88" i="3" s="1"/>
  <c r="V82" i="3"/>
  <c r="W75" i="3"/>
  <c r="W69" i="3"/>
  <c r="U68" i="3"/>
  <c r="V62" i="3"/>
  <c r="U55" i="3"/>
  <c r="W49" i="3"/>
  <c r="V46" i="3"/>
  <c r="W42" i="3"/>
  <c r="V39" i="3"/>
  <c r="V35" i="3"/>
  <c r="U32" i="3"/>
  <c r="T29" i="3"/>
  <c r="X29" i="3" s="1"/>
  <c r="W26" i="3"/>
  <c r="U16" i="3"/>
  <c r="W10" i="3"/>
  <c r="W858" i="3"/>
  <c r="U763" i="3"/>
  <c r="U608" i="3"/>
  <c r="T584" i="3"/>
  <c r="X584" i="3" s="1"/>
  <c r="V558" i="3"/>
  <c r="T525" i="3"/>
  <c r="X525" i="3" s="1"/>
  <c r="T461" i="3"/>
  <c r="X461" i="3" s="1"/>
  <c r="W437" i="3"/>
  <c r="V366" i="3"/>
  <c r="U352" i="3"/>
  <c r="U317" i="3"/>
  <c r="T297" i="3"/>
  <c r="X297" i="3" s="1"/>
  <c r="V222" i="3"/>
  <c r="V206" i="3"/>
  <c r="V195" i="3"/>
  <c r="T169" i="3"/>
  <c r="X169" i="3" s="1"/>
  <c r="U140" i="3"/>
  <c r="W101" i="3"/>
  <c r="U87" i="3"/>
  <c r="W81" i="3"/>
  <c r="W58" i="3"/>
  <c r="T45" i="3"/>
  <c r="X45" i="3" s="1"/>
  <c r="T22" i="3"/>
  <c r="X22" i="3" s="1"/>
  <c r="U13" i="3"/>
  <c r="W1178" i="3"/>
  <c r="V1166" i="3"/>
  <c r="V1139" i="3"/>
  <c r="U1120" i="3"/>
  <c r="W1082" i="3"/>
  <c r="V1070" i="3"/>
  <c r="T1049" i="3"/>
  <c r="X1049" i="3" s="1"/>
  <c r="W949" i="3"/>
  <c r="T941" i="3"/>
  <c r="X941" i="3" s="1"/>
  <c r="V935" i="3"/>
  <c r="V916" i="3"/>
  <c r="T908" i="3"/>
  <c r="X908" i="3" s="1"/>
  <c r="V883" i="3"/>
  <c r="U864" i="3"/>
  <c r="W826" i="3"/>
  <c r="V814" i="3"/>
  <c r="T793" i="3"/>
  <c r="X793" i="3" s="1"/>
  <c r="U764" i="3"/>
  <c r="V755" i="3"/>
  <c r="U751" i="3"/>
  <c r="T749" i="3"/>
  <c r="X749" i="3" s="1"/>
  <c r="V738" i="3"/>
  <c r="W734" i="3"/>
  <c r="T697" i="3"/>
  <c r="X697" i="3" s="1"/>
  <c r="W693" i="3"/>
  <c r="T680" i="3"/>
  <c r="X680" i="3" s="1"/>
  <c r="U667" i="3"/>
  <c r="T652" i="3"/>
  <c r="X652" i="3" s="1"/>
  <c r="V622" i="3"/>
  <c r="W611" i="3"/>
  <c r="U605" i="3"/>
  <c r="V596" i="3"/>
  <c r="T585" i="3"/>
  <c r="X585" i="3" s="1"/>
  <c r="V580" i="3"/>
  <c r="T573" i="3"/>
  <c r="X573" i="3" s="1"/>
  <c r="T537" i="3"/>
  <c r="X537" i="3" s="1"/>
  <c r="T521" i="3"/>
  <c r="X521" i="3" s="1"/>
  <c r="V516" i="3"/>
  <c r="T509" i="3"/>
  <c r="X509" i="3" s="1"/>
  <c r="T473" i="3"/>
  <c r="X473" i="3" s="1"/>
  <c r="T457" i="3"/>
  <c r="X457" i="3" s="1"/>
  <c r="V452" i="3"/>
  <c r="T445" i="3"/>
  <c r="X445" i="3" s="1"/>
  <c r="T409" i="3"/>
  <c r="X409" i="3" s="1"/>
  <c r="T393" i="3"/>
  <c r="X393" i="3" s="1"/>
  <c r="V388" i="3"/>
  <c r="T381" i="3"/>
  <c r="X381" i="3" s="1"/>
  <c r="T364" i="3"/>
  <c r="X364" i="3" s="1"/>
  <c r="V356" i="3"/>
  <c r="U348" i="3"/>
  <c r="W345" i="3"/>
  <c r="V339" i="3"/>
  <c r="V334" i="3"/>
  <c r="U331" i="3"/>
  <c r="T326" i="3"/>
  <c r="X326" i="3" s="1"/>
  <c r="W323" i="3"/>
  <c r="U320" i="3"/>
  <c r="W318" i="3"/>
  <c r="T301" i="3"/>
  <c r="X301" i="3" s="1"/>
  <c r="W298" i="3"/>
  <c r="W293" i="3"/>
  <c r="V290" i="3"/>
  <c r="U285" i="3"/>
  <c r="V276" i="3"/>
  <c r="T272" i="3"/>
  <c r="X272" i="3" s="1"/>
  <c r="W270" i="3"/>
  <c r="W259" i="3"/>
  <c r="U253" i="3"/>
  <c r="V243" i="3"/>
  <c r="U237" i="3"/>
  <c r="T236" i="3"/>
  <c r="X236" i="3" s="1"/>
  <c r="W233" i="3"/>
  <c r="T230" i="3"/>
  <c r="X230" i="3" s="1"/>
  <c r="V226" i="3"/>
  <c r="U223" i="3"/>
  <c r="U220" i="3"/>
  <c r="W217" i="3"/>
  <c r="U207" i="3"/>
  <c r="U203" i="3"/>
  <c r="T200" i="3"/>
  <c r="X200" i="3" s="1"/>
  <c r="U197" i="3"/>
  <c r="T190" i="3"/>
  <c r="X190" i="3" s="1"/>
  <c r="U187" i="3"/>
  <c r="W181" i="3"/>
  <c r="V170" i="3"/>
  <c r="V164" i="3"/>
  <c r="U163" i="3"/>
  <c r="W158" i="3"/>
  <c r="V151" i="3"/>
  <c r="V148" i="3"/>
  <c r="T144" i="3"/>
  <c r="X144" i="3" s="1"/>
  <c r="W142" i="3"/>
  <c r="W131" i="3"/>
  <c r="U125" i="3"/>
  <c r="V115" i="3"/>
  <c r="U109" i="3"/>
  <c r="T108" i="3"/>
  <c r="X108" i="3" s="1"/>
  <c r="W105" i="3"/>
  <c r="T102" i="3"/>
  <c r="X102" i="3" s="1"/>
  <c r="V98" i="3"/>
  <c r="U95" i="3"/>
  <c r="U92" i="3"/>
  <c r="W89" i="3"/>
  <c r="U79" i="3"/>
  <c r="U75" i="3"/>
  <c r="T72" i="3"/>
  <c r="X72" i="3" s="1"/>
  <c r="U69" i="3"/>
  <c r="T62" i="3"/>
  <c r="X62" i="3" s="1"/>
  <c r="U59" i="3"/>
  <c r="W53" i="3"/>
  <c r="V42" i="3"/>
  <c r="V36" i="3"/>
  <c r="U35" i="3"/>
  <c r="W30" i="3"/>
  <c r="V23" i="3"/>
  <c r="V20" i="3"/>
  <c r="T16" i="3"/>
  <c r="X16" i="3" s="1"/>
  <c r="W14" i="3"/>
  <c r="V10" i="3"/>
  <c r="V7" i="3"/>
  <c r="T1177" i="3"/>
  <c r="X1177" i="3" s="1"/>
  <c r="T1081" i="3"/>
  <c r="X1081" i="3" s="1"/>
  <c r="T748" i="3"/>
  <c r="X748" i="3" s="1"/>
  <c r="V718" i="3"/>
  <c r="W617" i="3"/>
  <c r="U527" i="3"/>
  <c r="W515" i="3"/>
  <c r="T406" i="3"/>
  <c r="X406" i="3" s="1"/>
  <c r="U380" i="3"/>
  <c r="U368" i="3"/>
  <c r="W355" i="3"/>
  <c r="V322" i="3"/>
  <c r="T278" i="3"/>
  <c r="X278" i="3" s="1"/>
  <c r="V199" i="3"/>
  <c r="V94" i="3"/>
  <c r="W74" i="3"/>
  <c r="V1191" i="3"/>
  <c r="V1172" i="3"/>
  <c r="T1164" i="3"/>
  <c r="X1164" i="3" s="1"/>
  <c r="W1109" i="3"/>
  <c r="T1101" i="3"/>
  <c r="X1101" i="3" s="1"/>
  <c r="V1095" i="3"/>
  <c r="V1076" i="3"/>
  <c r="T1068" i="3"/>
  <c r="X1068" i="3" s="1"/>
  <c r="V1043" i="3"/>
  <c r="U1024" i="3"/>
  <c r="W986" i="3"/>
  <c r="V974" i="3"/>
  <c r="T953" i="3"/>
  <c r="X953" i="3" s="1"/>
  <c r="W853" i="3"/>
  <c r="T845" i="3"/>
  <c r="X845" i="3" s="1"/>
  <c r="V839" i="3"/>
  <c r="V820" i="3"/>
  <c r="T812" i="3"/>
  <c r="X812" i="3" s="1"/>
  <c r="V787" i="3"/>
  <c r="U768" i="3"/>
  <c r="W762" i="3"/>
  <c r="W745" i="3"/>
  <c r="U736" i="3"/>
  <c r="U732" i="3"/>
  <c r="V723" i="3"/>
  <c r="U719" i="3"/>
  <c r="T717" i="3"/>
  <c r="X717" i="3" s="1"/>
  <c r="V706" i="3"/>
  <c r="W702" i="3"/>
  <c r="T665" i="3"/>
  <c r="X665" i="3" s="1"/>
  <c r="W661" i="3"/>
  <c r="T648" i="3"/>
  <c r="X648" i="3" s="1"/>
  <c r="U635" i="3"/>
  <c r="T620" i="3"/>
  <c r="X620" i="3" s="1"/>
  <c r="V590" i="3"/>
  <c r="T566" i="3"/>
  <c r="X566" i="3" s="1"/>
  <c r="U559" i="3"/>
  <c r="T557" i="3"/>
  <c r="X557" i="3" s="1"/>
  <c r="T552" i="3"/>
  <c r="X552" i="3" s="1"/>
  <c r="W547" i="3"/>
  <c r="U540" i="3"/>
  <c r="V535" i="3"/>
  <c r="W533" i="3"/>
  <c r="U528" i="3"/>
  <c r="V526" i="3"/>
  <c r="T502" i="3"/>
  <c r="X502" i="3" s="1"/>
  <c r="U495" i="3"/>
  <c r="T493" i="3"/>
  <c r="X493" i="3" s="1"/>
  <c r="T488" i="3"/>
  <c r="X488" i="3" s="1"/>
  <c r="W483" i="3"/>
  <c r="U476" i="3"/>
  <c r="V471" i="3"/>
  <c r="W469" i="3"/>
  <c r="U464" i="3"/>
  <c r="V462" i="3"/>
  <c r="T438" i="3"/>
  <c r="X438" i="3" s="1"/>
  <c r="U431" i="3"/>
  <c r="T429" i="3"/>
  <c r="X429" i="3" s="1"/>
  <c r="T424" i="3"/>
  <c r="X424" i="3" s="1"/>
  <c r="W419" i="3"/>
  <c r="U412" i="3"/>
  <c r="V407" i="3"/>
  <c r="W405" i="3"/>
  <c r="U400" i="3"/>
  <c r="V398" i="3"/>
  <c r="T374" i="3"/>
  <c r="X374" i="3" s="1"/>
  <c r="U367" i="3"/>
  <c r="U365" i="3"/>
  <c r="V359" i="3"/>
  <c r="U351" i="3"/>
  <c r="T348" i="3"/>
  <c r="X348" i="3" s="1"/>
  <c r="T345" i="3"/>
  <c r="X345" i="3" s="1"/>
  <c r="W329" i="3"/>
  <c r="V323" i="3"/>
  <c r="V318" i="3"/>
  <c r="U315" i="3"/>
  <c r="T312" i="3"/>
  <c r="X312" i="3" s="1"/>
  <c r="T285" i="3"/>
  <c r="X285" i="3" s="1"/>
  <c r="W282" i="3"/>
  <c r="V279" i="3"/>
  <c r="W273" i="3"/>
  <c r="V270" i="3"/>
  <c r="W266" i="3"/>
  <c r="V263" i="3"/>
  <c r="V259" i="3"/>
  <c r="U256" i="3"/>
  <c r="T253" i="3"/>
  <c r="X253" i="3" s="1"/>
  <c r="W250" i="3"/>
  <c r="U240" i="3"/>
  <c r="T237" i="3"/>
  <c r="X237" i="3" s="1"/>
  <c r="T233" i="3"/>
  <c r="X233" i="3" s="1"/>
  <c r="T220" i="3"/>
  <c r="X220" i="3" s="1"/>
  <c r="T217" i="3"/>
  <c r="X217" i="3" s="1"/>
  <c r="T214" i="3"/>
  <c r="X214" i="3" s="1"/>
  <c r="W211" i="3"/>
  <c r="U204" i="3"/>
  <c r="W198" i="3"/>
  <c r="T184" i="3"/>
  <c r="X184" i="3" s="1"/>
  <c r="V178" i="3"/>
  <c r="W171" i="3"/>
  <c r="W165" i="3"/>
  <c r="U164" i="3"/>
  <c r="V158" i="3"/>
  <c r="U151" i="3"/>
  <c r="W145" i="3"/>
  <c r="V142" i="3"/>
  <c r="W138" i="3"/>
  <c r="V135" i="3"/>
  <c r="V131" i="3"/>
  <c r="U128" i="3"/>
  <c r="T125" i="3"/>
  <c r="X125" i="3" s="1"/>
  <c r="W122" i="3"/>
  <c r="U112" i="3"/>
  <c r="T109" i="3"/>
  <c r="X109" i="3" s="1"/>
  <c r="T105" i="3"/>
  <c r="X105" i="3" s="1"/>
  <c r="T92" i="3"/>
  <c r="X92" i="3" s="1"/>
  <c r="T89" i="3"/>
  <c r="X89" i="3" s="1"/>
  <c r="T86" i="3"/>
  <c r="X86" i="3" s="1"/>
  <c r="W83" i="3"/>
  <c r="U76" i="3"/>
  <c r="W70" i="3"/>
  <c r="T56" i="3"/>
  <c r="X56" i="3" s="1"/>
  <c r="V50" i="3"/>
  <c r="W43" i="3"/>
  <c r="W37" i="3"/>
  <c r="U36" i="3"/>
  <c r="V30" i="3"/>
  <c r="U23" i="3"/>
  <c r="W17" i="3"/>
  <c r="V14" i="3"/>
  <c r="W11" i="3"/>
  <c r="U7" i="3"/>
  <c r="V83" i="3"/>
  <c r="U77" i="3"/>
  <c r="T76" i="3"/>
  <c r="X76" i="3" s="1"/>
  <c r="U43" i="3"/>
  <c r="T40" i="3"/>
  <c r="X40" i="3" s="1"/>
  <c r="T30" i="3"/>
  <c r="X30" i="3" s="1"/>
  <c r="U27" i="3"/>
  <c r="U1152" i="3"/>
  <c r="V967" i="3"/>
  <c r="T940" i="3"/>
  <c r="X940" i="3" s="1"/>
  <c r="V679" i="3"/>
  <c r="U572" i="3"/>
  <c r="T534" i="3"/>
  <c r="X534" i="3" s="1"/>
  <c r="W501" i="3"/>
  <c r="V430" i="3"/>
  <c r="U399" i="3"/>
  <c r="V375" i="3"/>
  <c r="U363" i="3"/>
  <c r="W325" i="3"/>
  <c r="T248" i="3"/>
  <c r="X248" i="3" s="1"/>
  <c r="W202" i="3"/>
  <c r="T189" i="3"/>
  <c r="X189" i="3" s="1"/>
  <c r="U176" i="3"/>
  <c r="T156" i="3"/>
  <c r="X156" i="3" s="1"/>
  <c r="W107" i="3"/>
  <c r="V71" i="3"/>
  <c r="W1205" i="3"/>
  <c r="T1197" i="3"/>
  <c r="X1197" i="3" s="1"/>
  <c r="W1146" i="3"/>
  <c r="V1134" i="3"/>
  <c r="T1113" i="3"/>
  <c r="X1113" i="3" s="1"/>
  <c r="W1013" i="3"/>
  <c r="T1005" i="3"/>
  <c r="X1005" i="3" s="1"/>
  <c r="V999" i="3"/>
  <c r="V980" i="3"/>
  <c r="T972" i="3"/>
  <c r="X972" i="3" s="1"/>
  <c r="V947" i="3"/>
  <c r="U928" i="3"/>
  <c r="W890" i="3"/>
  <c r="V878" i="3"/>
  <c r="T857" i="3"/>
  <c r="X857" i="3" s="1"/>
  <c r="T758" i="3"/>
  <c r="X758" i="3" s="1"/>
  <c r="W730" i="3"/>
  <c r="W713" i="3"/>
  <c r="U704" i="3"/>
  <c r="U700" i="3"/>
  <c r="V691" i="3"/>
  <c r="U687" i="3"/>
  <c r="T685" i="3"/>
  <c r="X685" i="3" s="1"/>
  <c r="V674" i="3"/>
  <c r="W670" i="3"/>
  <c r="T633" i="3"/>
  <c r="X633" i="3" s="1"/>
  <c r="W629" i="3"/>
  <c r="T616" i="3"/>
  <c r="X616" i="3" s="1"/>
  <c r="U603" i="3"/>
  <c r="T588" i="3"/>
  <c r="X588" i="3" s="1"/>
  <c r="V583" i="3"/>
  <c r="W581" i="3"/>
  <c r="V578" i="3"/>
  <c r="W574" i="3"/>
  <c r="V564" i="3"/>
  <c r="V547" i="3"/>
  <c r="T540" i="3"/>
  <c r="X540" i="3" s="1"/>
  <c r="T524" i="3"/>
  <c r="X524" i="3" s="1"/>
  <c r="V519" i="3"/>
  <c r="W517" i="3"/>
  <c r="V514" i="3"/>
  <c r="W510" i="3"/>
  <c r="V500" i="3"/>
  <c r="V483" i="3"/>
  <c r="T476" i="3"/>
  <c r="X476" i="3" s="1"/>
  <c r="T460" i="3"/>
  <c r="X460" i="3" s="1"/>
  <c r="V455" i="3"/>
  <c r="W453" i="3"/>
  <c r="V450" i="3"/>
  <c r="W446" i="3"/>
  <c r="V436" i="3"/>
  <c r="V419" i="3"/>
  <c r="T412" i="3"/>
  <c r="X412" i="3" s="1"/>
  <c r="T396" i="3"/>
  <c r="X396" i="3" s="1"/>
  <c r="V391" i="3"/>
  <c r="W389" i="3"/>
  <c r="V386" i="3"/>
  <c r="W382" i="3"/>
  <c r="V372" i="3"/>
  <c r="T365" i="3"/>
  <c r="X365" i="3" s="1"/>
  <c r="W362" i="3"/>
  <c r="W357" i="3"/>
  <c r="V354" i="3"/>
  <c r="U349" i="3"/>
  <c r="V340" i="3"/>
  <c r="U332" i="3"/>
  <c r="T329" i="3"/>
  <c r="X329" i="3" s="1"/>
  <c r="T310" i="3"/>
  <c r="X310" i="3" s="1"/>
  <c r="W307" i="3"/>
  <c r="U304" i="3"/>
  <c r="W302" i="3"/>
  <c r="T296" i="3"/>
  <c r="X296" i="3" s="1"/>
  <c r="W277" i="3"/>
  <c r="V266" i="3"/>
  <c r="V260" i="3"/>
  <c r="U259" i="3"/>
  <c r="W254" i="3"/>
  <c r="V247" i="3"/>
  <c r="V244" i="3"/>
  <c r="T240" i="3"/>
  <c r="X240" i="3" s="1"/>
  <c r="W238" i="3"/>
  <c r="W227" i="3"/>
  <c r="U221" i="3"/>
  <c r="V211" i="3"/>
  <c r="U205" i="3"/>
  <c r="T204" i="3"/>
  <c r="X204" i="3" s="1"/>
  <c r="W201" i="3"/>
  <c r="T198" i="3"/>
  <c r="X198" i="3" s="1"/>
  <c r="V194" i="3"/>
  <c r="U191" i="3"/>
  <c r="U188" i="3"/>
  <c r="W185" i="3"/>
  <c r="U175" i="3"/>
  <c r="U171" i="3"/>
  <c r="T168" i="3"/>
  <c r="X168" i="3" s="1"/>
  <c r="U165" i="3"/>
  <c r="T158" i="3"/>
  <c r="X158" i="3" s="1"/>
  <c r="U155" i="3"/>
  <c r="W149" i="3"/>
  <c r="V138" i="3"/>
  <c r="V132" i="3"/>
  <c r="U131" i="3"/>
  <c r="W126" i="3"/>
  <c r="V119" i="3"/>
  <c r="V116" i="3"/>
  <c r="T112" i="3"/>
  <c r="X112" i="3" s="1"/>
  <c r="W110" i="3"/>
  <c r="W99" i="3"/>
  <c r="U93" i="3"/>
  <c r="W73" i="3"/>
  <c r="T70" i="3"/>
  <c r="X70" i="3" s="1"/>
  <c r="V66" i="3"/>
  <c r="U63" i="3"/>
  <c r="U60" i="3"/>
  <c r="W57" i="3"/>
  <c r="U47" i="3"/>
  <c r="U37" i="3"/>
  <c r="W21" i="3"/>
  <c r="U11" i="3"/>
  <c r="W981" i="3"/>
  <c r="U701" i="3"/>
  <c r="U591" i="3"/>
  <c r="W565" i="3"/>
  <c r="V503" i="3"/>
  <c r="W387" i="3"/>
  <c r="T358" i="3"/>
  <c r="X358" i="3" s="1"/>
  <c r="W275" i="3"/>
  <c r="W235" i="3"/>
  <c r="T150" i="3"/>
  <c r="X150" i="3" s="1"/>
  <c r="U100" i="3"/>
  <c r="U64" i="3"/>
  <c r="U48" i="3"/>
  <c r="T28" i="3"/>
  <c r="X28" i="3" s="1"/>
  <c r="U1184" i="3"/>
  <c r="V1159" i="3"/>
  <c r="V1140" i="3"/>
  <c r="T1132" i="3"/>
  <c r="X1132" i="3" s="1"/>
  <c r="V1107" i="3"/>
  <c r="U1088" i="3"/>
  <c r="W1050" i="3"/>
  <c r="V1038" i="3"/>
  <c r="T1017" i="3"/>
  <c r="X1017" i="3" s="1"/>
  <c r="W917" i="3"/>
  <c r="T909" i="3"/>
  <c r="X909" i="3" s="1"/>
  <c r="V903" i="3"/>
  <c r="V884" i="3"/>
  <c r="T876" i="3"/>
  <c r="X876" i="3" s="1"/>
  <c r="V851" i="3"/>
  <c r="U832" i="3"/>
  <c r="W794" i="3"/>
  <c r="V782" i="3"/>
  <c r="U765" i="3"/>
  <c r="V756" i="3"/>
  <c r="V743" i="3"/>
  <c r="T726" i="3"/>
  <c r="X726" i="3" s="1"/>
  <c r="W698" i="3"/>
  <c r="W681" i="3"/>
  <c r="U672" i="3"/>
  <c r="U668" i="3"/>
  <c r="V659" i="3"/>
  <c r="U655" i="3"/>
  <c r="T653" i="3"/>
  <c r="X653" i="3" s="1"/>
  <c r="V642" i="3"/>
  <c r="W638" i="3"/>
  <c r="T601" i="3"/>
  <c r="X601" i="3" s="1"/>
  <c r="W597" i="3"/>
  <c r="W586" i="3"/>
  <c r="U576" i="3"/>
  <c r="V574" i="3"/>
  <c r="U571" i="3"/>
  <c r="W553" i="3"/>
  <c r="U541" i="3"/>
  <c r="W538" i="3"/>
  <c r="V531" i="3"/>
  <c r="W522" i="3"/>
  <c r="U512" i="3"/>
  <c r="V510" i="3"/>
  <c r="U507" i="3"/>
  <c r="W489" i="3"/>
  <c r="U477" i="3"/>
  <c r="W474" i="3"/>
  <c r="V467" i="3"/>
  <c r="W458" i="3"/>
  <c r="U448" i="3"/>
  <c r="V446" i="3"/>
  <c r="U443" i="3"/>
  <c r="W425" i="3"/>
  <c r="U413" i="3"/>
  <c r="W410" i="3"/>
  <c r="V403" i="3"/>
  <c r="W394" i="3"/>
  <c r="U384" i="3"/>
  <c r="V382" i="3"/>
  <c r="U379" i="3"/>
  <c r="T349" i="3"/>
  <c r="X349" i="3" s="1"/>
  <c r="W346" i="3"/>
  <c r="V343" i="3"/>
  <c r="U335" i="3"/>
  <c r="T332" i="3"/>
  <c r="X332" i="3" s="1"/>
  <c r="V324" i="3"/>
  <c r="U316" i="3"/>
  <c r="W313" i="3"/>
  <c r="V307" i="3"/>
  <c r="V302" i="3"/>
  <c r="U299" i="3"/>
  <c r="T294" i="3"/>
  <c r="X294" i="3" s="1"/>
  <c r="W291" i="3"/>
  <c r="U288" i="3"/>
  <c r="W286" i="3"/>
  <c r="V274" i="3"/>
  <c r="W267" i="3"/>
  <c r="W261" i="3"/>
  <c r="U260" i="3"/>
  <c r="V254" i="3"/>
  <c r="U247" i="3"/>
  <c r="W241" i="3"/>
  <c r="V238" i="3"/>
  <c r="W234" i="3"/>
  <c r="V231" i="3"/>
  <c r="V227" i="3"/>
  <c r="U224" i="3"/>
  <c r="T221" i="3"/>
  <c r="X221" i="3" s="1"/>
  <c r="W218" i="3"/>
  <c r="U208" i="3"/>
  <c r="T205" i="3"/>
  <c r="X205" i="3" s="1"/>
  <c r="T201" i="3"/>
  <c r="X201" i="3" s="1"/>
  <c r="T188" i="3"/>
  <c r="X188" i="3" s="1"/>
  <c r="T185" i="3"/>
  <c r="X185" i="3" s="1"/>
  <c r="T182" i="3"/>
  <c r="X182" i="3" s="1"/>
  <c r="W179" i="3"/>
  <c r="U172" i="3"/>
  <c r="W166" i="3"/>
  <c r="T152" i="3"/>
  <c r="X152" i="3" s="1"/>
  <c r="V146" i="3"/>
  <c r="W139" i="3"/>
  <c r="W133" i="3"/>
  <c r="U132" i="3"/>
  <c r="V126" i="3"/>
  <c r="U119" i="3"/>
  <c r="W113" i="3"/>
  <c r="V110" i="3"/>
  <c r="W106" i="3"/>
  <c r="V103" i="3"/>
  <c r="V99" i="3"/>
  <c r="U96" i="3"/>
  <c r="T93" i="3"/>
  <c r="X93" i="3" s="1"/>
  <c r="W90" i="3"/>
  <c r="U80" i="3"/>
  <c r="T77" i="3"/>
  <c r="X77" i="3" s="1"/>
  <c r="T73" i="3"/>
  <c r="X73" i="3" s="1"/>
  <c r="T60" i="3"/>
  <c r="X60" i="3" s="1"/>
  <c r="T57" i="3"/>
  <c r="X57" i="3" s="1"/>
  <c r="T54" i="3"/>
  <c r="X54" i="3" s="1"/>
  <c r="W51" i="3"/>
  <c r="U44" i="3"/>
  <c r="W38" i="3"/>
  <c r="T24" i="3"/>
  <c r="X24" i="3" s="1"/>
  <c r="V18" i="3"/>
  <c r="U12" i="3"/>
  <c r="T11" i="3"/>
  <c r="X11" i="3" s="1"/>
  <c r="W8" i="3"/>
  <c r="W1114" i="3"/>
  <c r="V948" i="3"/>
  <c r="U896" i="3"/>
  <c r="V846" i="3"/>
  <c r="T825" i="3"/>
  <c r="X825" i="3" s="1"/>
  <c r="V692" i="3"/>
  <c r="T662" i="3"/>
  <c r="X662" i="3" s="1"/>
  <c r="W634" i="3"/>
  <c r="V595" i="3"/>
  <c r="V567" i="3"/>
  <c r="W451" i="3"/>
  <c r="V439" i="3"/>
  <c r="W350" i="3"/>
  <c r="T333" i="3"/>
  <c r="X333" i="3" s="1"/>
  <c r="V242" i="3"/>
  <c r="W229" i="3"/>
  <c r="U215" i="3"/>
  <c r="W209" i="3"/>
  <c r="W186" i="3"/>
  <c r="T173" i="3"/>
  <c r="X173" i="3" s="1"/>
  <c r="W134" i="3"/>
  <c r="T120" i="3"/>
  <c r="X120" i="3" s="1"/>
  <c r="V78" i="3"/>
  <c r="V1203" i="3"/>
  <c r="W1173" i="3"/>
  <c r="T1165" i="3"/>
  <c r="X1165" i="3" s="1"/>
  <c r="W1077" i="3"/>
  <c r="T1069" i="3"/>
  <c r="X1069" i="3" s="1"/>
  <c r="V1063" i="3"/>
  <c r="V1044" i="3"/>
  <c r="T1036" i="3"/>
  <c r="X1036" i="3" s="1"/>
  <c r="V1011" i="3"/>
  <c r="U992" i="3"/>
  <c r="W954" i="3"/>
  <c r="V942" i="3"/>
  <c r="T921" i="3"/>
  <c r="X921" i="3" s="1"/>
  <c r="W821" i="3"/>
  <c r="T813" i="3"/>
  <c r="X813" i="3" s="1"/>
  <c r="V807" i="3"/>
  <c r="V788" i="3"/>
  <c r="T780" i="3"/>
  <c r="X780" i="3" s="1"/>
  <c r="V750" i="3"/>
  <c r="W739" i="3"/>
  <c r="U733" i="3"/>
  <c r="V724" i="3"/>
  <c r="V711" i="3"/>
  <c r="T694" i="3"/>
  <c r="X694" i="3" s="1"/>
  <c r="W666" i="3"/>
  <c r="W649" i="3"/>
  <c r="U640" i="3"/>
  <c r="U636" i="3"/>
  <c r="V627" i="3"/>
  <c r="U623" i="3"/>
  <c r="T621" i="3"/>
  <c r="X621" i="3" s="1"/>
  <c r="V610" i="3"/>
  <c r="W606" i="3"/>
  <c r="T569" i="3"/>
  <c r="X569" i="3" s="1"/>
  <c r="T553" i="3"/>
  <c r="X553" i="3" s="1"/>
  <c r="V548" i="3"/>
  <c r="T541" i="3"/>
  <c r="X541" i="3" s="1"/>
  <c r="T505" i="3"/>
  <c r="X505" i="3" s="1"/>
  <c r="T489" i="3"/>
  <c r="X489" i="3" s="1"/>
  <c r="V484" i="3"/>
  <c r="T477" i="3"/>
  <c r="X477" i="3" s="1"/>
  <c r="T441" i="3"/>
  <c r="X441" i="3" s="1"/>
  <c r="T425" i="3"/>
  <c r="X425" i="3" s="1"/>
  <c r="V420" i="3"/>
  <c r="T413" i="3"/>
  <c r="X413" i="3" s="1"/>
  <c r="T377" i="3"/>
  <c r="X377" i="3" s="1"/>
  <c r="T360" i="3"/>
  <c r="X360" i="3" s="1"/>
  <c r="W341" i="3"/>
  <c r="V338" i="3"/>
  <c r="U333" i="3"/>
  <c r="V327" i="3"/>
  <c r="U319" i="3"/>
  <c r="T316" i="3"/>
  <c r="X316" i="3" s="1"/>
  <c r="T313" i="3"/>
  <c r="X313" i="3" s="1"/>
  <c r="W297" i="3"/>
  <c r="V291" i="3"/>
  <c r="V286" i="3"/>
  <c r="U283" i="3"/>
  <c r="T280" i="3"/>
  <c r="X280" i="3" s="1"/>
  <c r="U271" i="3"/>
  <c r="U267" i="3"/>
  <c r="T264" i="3"/>
  <c r="X264" i="3" s="1"/>
  <c r="U261" i="3"/>
  <c r="T254" i="3"/>
  <c r="X254" i="3" s="1"/>
  <c r="U251" i="3"/>
  <c r="W245" i="3"/>
  <c r="V234" i="3"/>
  <c r="V228" i="3"/>
  <c r="U227" i="3"/>
  <c r="W222" i="3"/>
  <c r="V215" i="3"/>
  <c r="V212" i="3"/>
  <c r="T208" i="3"/>
  <c r="X208" i="3" s="1"/>
  <c r="W206" i="3"/>
  <c r="W195" i="3"/>
  <c r="U189" i="3"/>
  <c r="V179" i="3"/>
  <c r="U173" i="3"/>
  <c r="T172" i="3"/>
  <c r="X172" i="3" s="1"/>
  <c r="W169" i="3"/>
  <c r="T166" i="3"/>
  <c r="X166" i="3" s="1"/>
  <c r="V162" i="3"/>
  <c r="U159" i="3"/>
  <c r="U156" i="3"/>
  <c r="W153" i="3"/>
  <c r="U143" i="3"/>
  <c r="U139" i="3"/>
  <c r="T136" i="3"/>
  <c r="X136" i="3" s="1"/>
  <c r="U133" i="3"/>
  <c r="T126" i="3"/>
  <c r="X126" i="3" s="1"/>
  <c r="U123" i="3"/>
  <c r="W117" i="3"/>
  <c r="V106" i="3"/>
  <c r="V100" i="3"/>
  <c r="U99" i="3"/>
  <c r="W94" i="3"/>
  <c r="V87" i="3"/>
  <c r="V84" i="3"/>
  <c r="T80" i="3"/>
  <c r="X80" i="3" s="1"/>
  <c r="W78" i="3"/>
  <c r="W67" i="3"/>
  <c r="U61" i="3"/>
  <c r="V51" i="3"/>
  <c r="U45" i="3"/>
  <c r="T44" i="3"/>
  <c r="X44" i="3" s="1"/>
  <c r="W41" i="3"/>
  <c r="T38" i="3"/>
  <c r="X38" i="3" s="1"/>
  <c r="V34" i="3"/>
  <c r="U31" i="3"/>
  <c r="U28" i="3"/>
  <c r="W25" i="3"/>
  <c r="U15" i="3"/>
  <c r="T12" i="3"/>
  <c r="X12" i="3" s="1"/>
  <c r="U8" i="3"/>
  <c r="V1102" i="3"/>
  <c r="T973" i="3"/>
  <c r="X973" i="3" s="1"/>
  <c r="T589" i="3"/>
  <c r="X589" i="3" s="1"/>
  <c r="T520" i="3"/>
  <c r="X520" i="3" s="1"/>
  <c r="U508" i="3"/>
  <c r="V494" i="3"/>
  <c r="U463" i="3"/>
  <c r="U444" i="3"/>
  <c r="T392" i="3"/>
  <c r="X392" i="3" s="1"/>
  <c r="W373" i="3"/>
  <c r="V308" i="3"/>
  <c r="U300" i="3"/>
  <c r="U268" i="3"/>
  <c r="U228" i="3"/>
  <c r="W147" i="3"/>
  <c r="V114" i="3"/>
  <c r="V67" i="3"/>
  <c r="T41" i="3"/>
  <c r="X41" i="3" s="1"/>
  <c r="T25" i="3"/>
  <c r="X25" i="3" s="1"/>
  <c r="W19" i="3"/>
  <c r="T456" i="3"/>
  <c r="X456" i="3" s="1"/>
  <c r="AY120" i="13"/>
  <c r="AZ120" i="13"/>
  <c r="AX120" i="13"/>
  <c r="AX62" i="13"/>
  <c r="AZ62" i="13"/>
  <c r="AY62" i="13"/>
  <c r="S5" i="13"/>
  <c r="AX92" i="13"/>
  <c r="AY80" i="13"/>
  <c r="AX80" i="13"/>
  <c r="AZ80" i="13"/>
  <c r="AZ131" i="13"/>
  <c r="AY131" i="13"/>
  <c r="AX131" i="13"/>
  <c r="AX39" i="13"/>
  <c r="AZ39" i="13"/>
  <c r="AY39" i="13"/>
  <c r="AZ163" i="13"/>
  <c r="H123" i="7"/>
  <c r="G123" i="7"/>
  <c r="K24" i="7"/>
  <c r="AF1200" i="13"/>
  <c r="AF1192" i="13"/>
  <c r="AF936" i="13"/>
  <c r="AF784" i="13"/>
  <c r="AF720" i="13"/>
  <c r="AF704" i="13"/>
  <c r="AF640" i="13"/>
  <c r="AF616" i="13"/>
  <c r="AF552" i="13"/>
  <c r="AF408" i="13"/>
  <c r="AF360" i="13"/>
  <c r="AF320" i="13"/>
  <c r="AF312" i="13"/>
  <c r="AF304" i="13"/>
  <c r="AF208" i="13"/>
  <c r="AF16" i="13"/>
  <c r="G38" i="7"/>
  <c r="L27" i="7"/>
  <c r="E76" i="6"/>
  <c r="G14" i="6"/>
  <c r="O14" i="6"/>
  <c r="J14" i="6"/>
  <c r="AF1183" i="13"/>
  <c r="AF1151" i="13"/>
  <c r="AF927" i="13"/>
  <c r="AF847" i="13"/>
  <c r="AF687" i="13"/>
  <c r="AF623" i="13"/>
  <c r="AF559" i="13"/>
  <c r="AF527" i="13"/>
  <c r="AF463" i="13"/>
  <c r="AF391" i="13"/>
  <c r="AF319" i="13"/>
  <c r="AF303" i="13"/>
  <c r="AF263" i="13"/>
  <c r="AF175" i="13"/>
  <c r="AF127" i="13"/>
  <c r="AF63" i="13"/>
  <c r="AF7" i="13"/>
  <c r="BB2" i="13"/>
  <c r="L25" i="7"/>
  <c r="G36" i="7"/>
  <c r="G24" i="6"/>
  <c r="L13" i="6"/>
  <c r="J12" i="6"/>
  <c r="E74" i="6"/>
  <c r="O12" i="6"/>
  <c r="G12" i="6"/>
  <c r="AF1140" i="13"/>
  <c r="AF1060" i="13"/>
  <c r="AF1028" i="13"/>
  <c r="AF932" i="13"/>
  <c r="AF924" i="13"/>
  <c r="AF892" i="13"/>
  <c r="AF844" i="13"/>
  <c r="AF836" i="13"/>
  <c r="AF676" i="13"/>
  <c r="AF588" i="13"/>
  <c r="AF540" i="13"/>
  <c r="AF508" i="13"/>
  <c r="AF444" i="13"/>
  <c r="AF348" i="13"/>
  <c r="AF284" i="13"/>
  <c r="AF244" i="13"/>
  <c r="AF180" i="13"/>
  <c r="AF164" i="13"/>
  <c r="AF76" i="13"/>
  <c r="AF52" i="13"/>
  <c r="AF1194" i="13"/>
  <c r="AF1123" i="13"/>
  <c r="AF1053" i="13"/>
  <c r="AF1002" i="13"/>
  <c r="AF918" i="13"/>
  <c r="AF854" i="13"/>
  <c r="AF817" i="13"/>
  <c r="AF797" i="13"/>
  <c r="AF753" i="13"/>
  <c r="AF721" i="13"/>
  <c r="AF707" i="13"/>
  <c r="AF689" i="13"/>
  <c r="AF561" i="13"/>
  <c r="AF515" i="13"/>
  <c r="AF502" i="13"/>
  <c r="AF413" i="13"/>
  <c r="AF401" i="13"/>
  <c r="AF381" i="13"/>
  <c r="G20" i="6"/>
  <c r="AF1131" i="13"/>
  <c r="AF1061" i="13"/>
  <c r="AF1035" i="13"/>
  <c r="AF1010" i="13"/>
  <c r="AF997" i="13"/>
  <c r="AF971" i="13"/>
  <c r="AF926" i="13"/>
  <c r="AF825" i="13"/>
  <c r="AF697" i="13"/>
  <c r="AF651" i="13"/>
  <c r="AF645" i="13"/>
  <c r="AF569" i="13"/>
  <c r="AF523" i="13"/>
  <c r="AF510" i="13"/>
  <c r="AF473" i="13"/>
  <c r="AF414" i="13"/>
  <c r="AF389" i="13"/>
  <c r="AF1197" i="13"/>
  <c r="AF1185" i="13"/>
  <c r="AF1043" i="13"/>
  <c r="AF909" i="13"/>
  <c r="AF897" i="13"/>
  <c r="AF877" i="13"/>
  <c r="AF865" i="13"/>
  <c r="AF806" i="13"/>
  <c r="AF794" i="13"/>
  <c r="AF774" i="13"/>
  <c r="AF755" i="13"/>
  <c r="AF730" i="13"/>
  <c r="AF602" i="13"/>
  <c r="AF563" i="13"/>
  <c r="AF550" i="13"/>
  <c r="AF525" i="13"/>
  <c r="AF435" i="13"/>
  <c r="AF371" i="13"/>
  <c r="AF314" i="13"/>
  <c r="AF218" i="13"/>
  <c r="AF211" i="13"/>
  <c r="AF205" i="13"/>
  <c r="AF166" i="13"/>
  <c r="AF115" i="13"/>
  <c r="AF102" i="13"/>
  <c r="AF77" i="13"/>
  <c r="AF19" i="13"/>
  <c r="AF821" i="13"/>
  <c r="AF1122" i="13"/>
  <c r="AF1115" i="13"/>
  <c r="AF1109" i="13"/>
  <c r="AF1045" i="13"/>
  <c r="AF994" i="13"/>
  <c r="AF910" i="13"/>
  <c r="AF814" i="13"/>
  <c r="AF770" i="13"/>
  <c r="AF281" i="13"/>
  <c r="AF75" i="13"/>
  <c r="AF603" i="13"/>
  <c r="AF347" i="13"/>
  <c r="AF306" i="13"/>
  <c r="AF62" i="13"/>
  <c r="AF443" i="13"/>
  <c r="AF539" i="13"/>
  <c r="AF178" i="13"/>
  <c r="AF162" i="13"/>
  <c r="AF27" i="13"/>
  <c r="AF617" i="13"/>
  <c r="AF267" i="13"/>
  <c r="AF165" i="13"/>
  <c r="AF274" i="13"/>
  <c r="AF533" i="13"/>
  <c r="AF283" i="13"/>
  <c r="AF725" i="13"/>
  <c r="AF254" i="13"/>
  <c r="AF133" i="13"/>
  <c r="AF22" i="13"/>
  <c r="AF654" i="13"/>
  <c r="AF98" i="13"/>
  <c r="AZ1070" i="13"/>
  <c r="AY1070" i="13"/>
  <c r="AX1070" i="13"/>
  <c r="AZ984" i="13"/>
  <c r="AY984" i="13"/>
  <c r="AX984" i="13"/>
  <c r="AX1197" i="13"/>
  <c r="AY1197" i="13"/>
  <c r="AZ1197" i="13"/>
  <c r="AZ1168" i="13"/>
  <c r="AY1168" i="13"/>
  <c r="AX1168" i="13"/>
  <c r="AX1185" i="13"/>
  <c r="AY1185" i="13"/>
  <c r="AZ1185" i="13"/>
  <c r="AX1118" i="13"/>
  <c r="AZ1118" i="13"/>
  <c r="AY1118" i="13"/>
  <c r="AH1123" i="13"/>
  <c r="AO1123" i="13"/>
  <c r="AM1123" i="13"/>
  <c r="AL1123" i="13"/>
  <c r="AJ1123" i="13"/>
  <c r="AI1123" i="13"/>
  <c r="AN1123" i="13"/>
  <c r="AK1123" i="13"/>
  <c r="AX1105" i="13"/>
  <c r="AZ1105" i="13"/>
  <c r="AY1105" i="13"/>
  <c r="AY1114" i="13"/>
  <c r="AX1114" i="13"/>
  <c r="AZ1114" i="13"/>
  <c r="AX1088" i="13"/>
  <c r="AZ1088" i="13"/>
  <c r="AY1088" i="13"/>
  <c r="AY1027" i="13"/>
  <c r="AX1027" i="13"/>
  <c r="AZ1027" i="13"/>
  <c r="AY1084" i="13"/>
  <c r="AX1084" i="13"/>
  <c r="AZ1084" i="13"/>
  <c r="AZ1043" i="13"/>
  <c r="AY1180" i="13"/>
  <c r="AZ1180" i="13"/>
  <c r="AX1180" i="13"/>
  <c r="AZ1200" i="13"/>
  <c r="AY1200" i="13"/>
  <c r="AX1200" i="13"/>
  <c r="AX1161" i="13"/>
  <c r="AZ1161" i="13"/>
  <c r="AY1161" i="13"/>
  <c r="AZ1175" i="13"/>
  <c r="AX1175" i="13"/>
  <c r="AY1175" i="13"/>
  <c r="AZ1140" i="13"/>
  <c r="AY1140" i="13"/>
  <c r="AX1140" i="13"/>
  <c r="AX1138" i="13"/>
  <c r="AH1065" i="13"/>
  <c r="AO1065" i="13"/>
  <c r="AK1065" i="13"/>
  <c r="AN1065" i="13"/>
  <c r="AM1065" i="13"/>
  <c r="AJ1065" i="13"/>
  <c r="AI1065" i="13"/>
  <c r="AL1065" i="13"/>
  <c r="AZ1074" i="13"/>
  <c r="AY1074" i="13"/>
  <c r="AX1074" i="13"/>
  <c r="AZ1021" i="13"/>
  <c r="AY1021" i="13"/>
  <c r="AX1021" i="13"/>
  <c r="AZ1072" i="13"/>
  <c r="AX1072" i="13"/>
  <c r="AY1072" i="13"/>
  <c r="AZ936" i="13"/>
  <c r="AY936" i="13"/>
  <c r="AX936" i="13"/>
  <c r="AX930" i="13"/>
  <c r="AZ930" i="13"/>
  <c r="AY930" i="13"/>
  <c r="AZ971" i="13"/>
  <c r="AY971" i="13"/>
  <c r="AX971" i="13"/>
  <c r="AY895" i="13"/>
  <c r="AX895" i="13"/>
  <c r="AZ895" i="13"/>
  <c r="AZ861" i="13"/>
  <c r="AY861" i="13"/>
  <c r="AX861" i="13"/>
  <c r="AZ929" i="13"/>
  <c r="AY929" i="13"/>
  <c r="AX929" i="13"/>
  <c r="AZ858" i="13"/>
  <c r="AY858" i="13"/>
  <c r="AX858" i="13"/>
  <c r="AZ832" i="13"/>
  <c r="AY832" i="13"/>
  <c r="AX832" i="13"/>
  <c r="AX817" i="13"/>
  <c r="AY817" i="13"/>
  <c r="AZ817" i="13"/>
  <c r="AZ761" i="13"/>
  <c r="AY761" i="13"/>
  <c r="AX761" i="13"/>
  <c r="AX762" i="13"/>
  <c r="AZ762" i="13"/>
  <c r="AY762" i="13"/>
  <c r="AZ814" i="13"/>
  <c r="AY814" i="13"/>
  <c r="AX814" i="13"/>
  <c r="AZ744" i="13"/>
  <c r="AY744" i="13"/>
  <c r="AX744" i="13"/>
  <c r="AZ716" i="13"/>
  <c r="AY716" i="13"/>
  <c r="AX716" i="13"/>
  <c r="AY713" i="13"/>
  <c r="AX713" i="13"/>
  <c r="AZ713" i="13"/>
  <c r="AZ732" i="13"/>
  <c r="AY732" i="13"/>
  <c r="AX732" i="13"/>
  <c r="AY690" i="13"/>
  <c r="AX690" i="13"/>
  <c r="AZ690" i="13"/>
  <c r="AZ652" i="13"/>
  <c r="AY652" i="13"/>
  <c r="AX652" i="13"/>
  <c r="AZ730" i="13"/>
  <c r="AY730" i="13"/>
  <c r="AX730" i="13"/>
  <c r="AZ647" i="13"/>
  <c r="AY647" i="13"/>
  <c r="AX647" i="13"/>
  <c r="AY696" i="13"/>
  <c r="AX696" i="13"/>
  <c r="AZ696" i="13"/>
  <c r="AX609" i="13"/>
  <c r="AZ609" i="13"/>
  <c r="AY609" i="13"/>
  <c r="AY539" i="13"/>
  <c r="AZ707" i="13"/>
  <c r="AY707" i="13"/>
  <c r="AX707" i="13"/>
  <c r="AZ542" i="13"/>
  <c r="AX542" i="13"/>
  <c r="AY542" i="13"/>
  <c r="AY531" i="13"/>
  <c r="AZ655" i="13"/>
  <c r="AY655" i="13"/>
  <c r="AX655" i="13"/>
  <c r="AY650" i="13"/>
  <c r="AX650" i="13"/>
  <c r="AZ650" i="13"/>
  <c r="AZ607" i="13"/>
  <c r="AY607" i="13"/>
  <c r="AX607" i="13"/>
  <c r="AZ521" i="13"/>
  <c r="AY521" i="13"/>
  <c r="AX521" i="13"/>
  <c r="AY489" i="13"/>
  <c r="AX489" i="13"/>
  <c r="AZ489" i="13"/>
  <c r="AY632" i="13"/>
  <c r="AY515" i="13"/>
  <c r="AX515" i="13"/>
  <c r="AZ515" i="13"/>
  <c r="AY499" i="13"/>
  <c r="AX499" i="13"/>
  <c r="AZ499" i="13"/>
  <c r="AY472" i="13"/>
  <c r="AZ472" i="13"/>
  <c r="AX472" i="13"/>
  <c r="AZ534" i="13"/>
  <c r="AX534" i="13"/>
  <c r="AY534" i="13"/>
  <c r="AY485" i="13"/>
  <c r="AX485" i="13"/>
  <c r="AZ485" i="13"/>
  <c r="AZ448" i="13"/>
  <c r="AY448" i="13"/>
  <c r="AX448" i="13"/>
  <c r="AY455" i="13"/>
  <c r="AX455" i="13"/>
  <c r="AZ455" i="13"/>
  <c r="AX355" i="13"/>
  <c r="AZ369" i="13"/>
  <c r="AX470" i="13"/>
  <c r="AY352" i="13"/>
  <c r="AX352" i="13"/>
  <c r="AZ352" i="13"/>
  <c r="AL294" i="13"/>
  <c r="AJ294" i="13"/>
  <c r="AH294" i="13"/>
  <c r="AO294" i="13"/>
  <c r="AN294" i="13"/>
  <c r="AM294" i="13"/>
  <c r="AK294" i="13"/>
  <c r="AI294" i="13"/>
  <c r="AX282" i="13"/>
  <c r="AZ282" i="13"/>
  <c r="AY282" i="13"/>
  <c r="AZ351" i="13"/>
  <c r="AY351" i="13"/>
  <c r="AX351" i="13"/>
  <c r="AZ230" i="13"/>
  <c r="AY230" i="13"/>
  <c r="AX230" i="13"/>
  <c r="AZ229" i="13"/>
  <c r="AY229" i="13"/>
  <c r="AX229" i="13"/>
  <c r="AX227" i="13"/>
  <c r="AZ227" i="13"/>
  <c r="AY227" i="13"/>
  <c r="AX243" i="13"/>
  <c r="AZ243" i="13"/>
  <c r="AY243" i="13"/>
  <c r="AZ224" i="13"/>
  <c r="AY224" i="13"/>
  <c r="AX224" i="13"/>
  <c r="AZ218" i="13"/>
  <c r="AY218" i="13"/>
  <c r="AX218" i="13"/>
  <c r="AZ217" i="13"/>
  <c r="AY217" i="13"/>
  <c r="AX217" i="13"/>
  <c r="AX215" i="13"/>
  <c r="AZ215" i="13"/>
  <c r="AY215" i="13"/>
  <c r="AZ256" i="13"/>
  <c r="AY256" i="13"/>
  <c r="AX256" i="13"/>
  <c r="AX195" i="13"/>
  <c r="AZ195" i="13"/>
  <c r="AY195" i="13"/>
  <c r="AZ169" i="13"/>
  <c r="AY169" i="13"/>
  <c r="AX169" i="13"/>
  <c r="AY137" i="13"/>
  <c r="AX137" i="13"/>
  <c r="AZ137" i="13"/>
  <c r="AY105" i="13"/>
  <c r="AX105" i="13"/>
  <c r="AZ105" i="13"/>
  <c r="AZ244" i="13"/>
  <c r="AY244" i="13"/>
  <c r="AX244" i="13"/>
  <c r="AZ170" i="13"/>
  <c r="AY170" i="13"/>
  <c r="AX170" i="13"/>
  <c r="AZ138" i="13"/>
  <c r="AY138" i="13"/>
  <c r="AX138" i="13"/>
  <c r="AZ122" i="13"/>
  <c r="AY122" i="13"/>
  <c r="AX122" i="13"/>
  <c r="AZ106" i="13"/>
  <c r="AY106" i="13"/>
  <c r="AX106" i="13"/>
  <c r="AZ241" i="13"/>
  <c r="AY241" i="13"/>
  <c r="AX241" i="13"/>
  <c r="AX223" i="13"/>
  <c r="AZ223" i="13"/>
  <c r="AY223" i="13"/>
  <c r="AZ91" i="13"/>
  <c r="AX91" i="13"/>
  <c r="AY91" i="13"/>
  <c r="AX211" i="13"/>
  <c r="AZ211" i="13"/>
  <c r="AY211" i="13"/>
  <c r="AY164" i="13"/>
  <c r="AX164" i="13"/>
  <c r="AZ164" i="13"/>
  <c r="AZ111" i="13"/>
  <c r="AY111" i="13"/>
  <c r="AX111" i="13"/>
  <c r="AZ103" i="13"/>
  <c r="AY103" i="13"/>
  <c r="AX103" i="13"/>
  <c r="AZ87" i="13"/>
  <c r="AY87" i="13"/>
  <c r="AX87" i="13"/>
  <c r="AZ404" i="13"/>
  <c r="AY404" i="13"/>
  <c r="AX404" i="13"/>
  <c r="AZ90" i="13"/>
  <c r="AX90" i="13"/>
  <c r="AY90" i="13"/>
  <c r="AX60" i="13"/>
  <c r="AX15" i="13"/>
  <c r="AZ15" i="13"/>
  <c r="AY15" i="13"/>
  <c r="AZ12" i="13"/>
  <c r="AY12" i="13"/>
  <c r="AX12" i="13"/>
  <c r="AZ49" i="13"/>
  <c r="AY49" i="13"/>
  <c r="AX49" i="13"/>
  <c r="AY116" i="13"/>
  <c r="AZ116" i="13"/>
  <c r="AX116" i="13"/>
  <c r="AZ46" i="13"/>
  <c r="AY46" i="13"/>
  <c r="AX46" i="13"/>
  <c r="AX155" i="13"/>
  <c r="AZ92" i="13"/>
  <c r="AZ22" i="13"/>
  <c r="AY22" i="13"/>
  <c r="AX22" i="13"/>
  <c r="AY88" i="13"/>
  <c r="AX88" i="13"/>
  <c r="AZ88" i="13"/>
  <c r="AZ17" i="13"/>
  <c r="AY17" i="13"/>
  <c r="AX17" i="13"/>
  <c r="R6" i="11"/>
  <c r="C33" i="6"/>
  <c r="C21" i="6"/>
  <c r="C30" i="6"/>
  <c r="D10" i="6"/>
  <c r="H72" i="6" s="1"/>
  <c r="F223" i="1"/>
  <c r="I59" i="1" s="1"/>
  <c r="K23" i="7"/>
  <c r="H122" i="7"/>
  <c r="G122" i="7"/>
  <c r="H125" i="7"/>
  <c r="G125" i="7"/>
  <c r="K26" i="7"/>
  <c r="AF1136" i="13"/>
  <c r="AF1088" i="13"/>
  <c r="AF944" i="13"/>
  <c r="AF808" i="13"/>
  <c r="AF792" i="13"/>
  <c r="AF728" i="13"/>
  <c r="AF624" i="13"/>
  <c r="AF560" i="13"/>
  <c r="AF416" i="13"/>
  <c r="AF368" i="13"/>
  <c r="AF216" i="13"/>
  <c r="AF136" i="13"/>
  <c r="AF128" i="13"/>
  <c r="AF64" i="13"/>
  <c r="AF24" i="13"/>
  <c r="C106" i="6"/>
  <c r="F106" i="6"/>
  <c r="E106" i="6"/>
  <c r="D106" i="6"/>
  <c r="B106" i="6"/>
  <c r="AF1175" i="13"/>
  <c r="AF1143" i="13"/>
  <c r="AF959" i="13"/>
  <c r="AF935" i="13"/>
  <c r="AF719" i="13"/>
  <c r="AF711" i="13"/>
  <c r="AF695" i="13"/>
  <c r="AF567" i="13"/>
  <c r="AF471" i="13"/>
  <c r="AF407" i="13"/>
  <c r="AF399" i="13"/>
  <c r="AF327" i="13"/>
  <c r="AF183" i="13"/>
  <c r="AF135" i="13"/>
  <c r="AF15" i="13"/>
  <c r="B12" i="9"/>
  <c r="F12" i="9" s="1"/>
  <c r="G22" i="6"/>
  <c r="L11" i="6"/>
  <c r="H76" i="6"/>
  <c r="G76" i="6"/>
  <c r="P14" i="6"/>
  <c r="K14" i="6"/>
  <c r="C31" i="6"/>
  <c r="AF1180" i="13"/>
  <c r="AF1148" i="13"/>
  <c r="AF996" i="13"/>
  <c r="AF988" i="13"/>
  <c r="AF964" i="13"/>
  <c r="AF876" i="13"/>
  <c r="AF860" i="13"/>
  <c r="AF852" i="13"/>
  <c r="AF684" i="13"/>
  <c r="AF596" i="13"/>
  <c r="AF516" i="13"/>
  <c r="AF484" i="13"/>
  <c r="AF452" i="13"/>
  <c r="AF364" i="13"/>
  <c r="AF356" i="13"/>
  <c r="AF292" i="13"/>
  <c r="AF252" i="13"/>
  <c r="AF188" i="13"/>
  <c r="AF84" i="13"/>
  <c r="AF1137" i="13"/>
  <c r="AF1110" i="13"/>
  <c r="AF1098" i="13"/>
  <c r="AF1034" i="13"/>
  <c r="AF1027" i="13"/>
  <c r="AF1014" i="13"/>
  <c r="AF957" i="13"/>
  <c r="AF829" i="13"/>
  <c r="AF778" i="13"/>
  <c r="AF758" i="13"/>
  <c r="AF643" i="13"/>
  <c r="AF586" i="13"/>
  <c r="AF547" i="13"/>
  <c r="AF534" i="13"/>
  <c r="AF509" i="13"/>
  <c r="AF458" i="13"/>
  <c r="AF419" i="13"/>
  <c r="AF394" i="13"/>
  <c r="AF355" i="13"/>
  <c r="AF291" i="13"/>
  <c r="AF1177" i="13"/>
  <c r="AF1170" i="13"/>
  <c r="AF1145" i="13"/>
  <c r="AF1029" i="13"/>
  <c r="AF901" i="13"/>
  <c r="AF875" i="13"/>
  <c r="AF857" i="13"/>
  <c r="AF837" i="13"/>
  <c r="AF786" i="13"/>
  <c r="AF766" i="13"/>
  <c r="AF633" i="13"/>
  <c r="AF594" i="13"/>
  <c r="AF555" i="13"/>
  <c r="AF542" i="13"/>
  <c r="AF517" i="13"/>
  <c r="AF466" i="13"/>
  <c r="AF421" i="13"/>
  <c r="AF402" i="13"/>
  <c r="AF363" i="13"/>
  <c r="AF1178" i="13"/>
  <c r="AF1146" i="13"/>
  <c r="AF1082" i="13"/>
  <c r="AF966" i="13"/>
  <c r="AF941" i="13"/>
  <c r="AF929" i="13"/>
  <c r="AF915" i="13"/>
  <c r="AF890" i="13"/>
  <c r="AF851" i="13"/>
  <c r="AF698" i="13"/>
  <c r="AF589" i="13"/>
  <c r="AF429" i="13"/>
  <c r="AF422" i="13"/>
  <c r="AF301" i="13"/>
  <c r="AF269" i="13"/>
  <c r="AF129" i="13"/>
  <c r="AF13" i="13"/>
  <c r="AF878" i="13"/>
  <c r="AF827" i="13"/>
  <c r="AF1179" i="13"/>
  <c r="AF1173" i="13"/>
  <c r="AF1147" i="13"/>
  <c r="AF1065" i="13"/>
  <c r="AF1058" i="13"/>
  <c r="AF1038" i="13"/>
  <c r="AF969" i="13"/>
  <c r="AF841" i="13"/>
  <c r="AF266" i="13"/>
  <c r="AF222" i="13"/>
  <c r="AF203" i="13"/>
  <c r="AF157" i="13"/>
  <c r="AF590" i="13"/>
  <c r="AF489" i="13"/>
  <c r="AF361" i="13"/>
  <c r="AF273" i="13"/>
  <c r="AF194" i="13"/>
  <c r="AF82" i="13"/>
  <c r="AF546" i="13"/>
  <c r="AF345" i="13"/>
  <c r="AF214" i="13"/>
  <c r="AF649" i="13"/>
  <c r="AF430" i="13"/>
  <c r="AF149" i="13"/>
  <c r="AF21" i="13"/>
  <c r="AF341" i="13"/>
  <c r="AF85" i="13"/>
  <c r="AF750" i="13"/>
  <c r="AF334" i="13"/>
  <c r="AF293" i="13"/>
  <c r="AF185" i="13"/>
  <c r="AF37" i="13"/>
  <c r="AF731" i="13"/>
  <c r="AF146" i="13"/>
  <c r="AF130" i="13"/>
  <c r="AF150" i="13"/>
  <c r="AF126" i="13"/>
  <c r="AF35" i="13"/>
  <c r="AX1186" i="13"/>
  <c r="AZ1186" i="13"/>
  <c r="AY1186" i="13"/>
  <c r="AZ1112" i="13"/>
  <c r="AY1112" i="13"/>
  <c r="AX1112" i="13"/>
  <c r="AY1079" i="13"/>
  <c r="AX1004" i="13"/>
  <c r="AZ1004" i="13"/>
  <c r="AY1004" i="13"/>
  <c r="AZ956" i="13"/>
  <c r="AY956" i="13"/>
  <c r="AX956" i="13"/>
  <c r="AY1184" i="13"/>
  <c r="AZ1184" i="13"/>
  <c r="AX1184" i="13"/>
  <c r="AZ1163" i="13"/>
  <c r="AY1163" i="13"/>
  <c r="AX1163" i="13"/>
  <c r="AZ1130" i="13"/>
  <c r="AY1130" i="13"/>
  <c r="AX1130" i="13"/>
  <c r="AZ1132" i="13"/>
  <c r="AY1132" i="13"/>
  <c r="AX1132" i="13"/>
  <c r="AZ1076" i="13"/>
  <c r="AY1076" i="13"/>
  <c r="AX1076" i="13"/>
  <c r="AZ1166" i="13"/>
  <c r="AY1166" i="13"/>
  <c r="AX1166" i="13"/>
  <c r="AY1133" i="13"/>
  <c r="AX1133" i="13"/>
  <c r="AZ1133" i="13"/>
  <c r="AY1129" i="13"/>
  <c r="AX1129" i="13"/>
  <c r="AZ1129" i="13"/>
  <c r="AH1119" i="13"/>
  <c r="AO1119" i="13"/>
  <c r="AM1119" i="13"/>
  <c r="AN1119" i="13"/>
  <c r="AL1119" i="13"/>
  <c r="AK1119" i="13"/>
  <c r="AJ1119" i="13"/>
  <c r="AI1119" i="13"/>
  <c r="AY1103" i="13"/>
  <c r="AX1103" i="13"/>
  <c r="AZ1103" i="13"/>
  <c r="AZ1083" i="13"/>
  <c r="AX1083" i="13"/>
  <c r="AY1083" i="13"/>
  <c r="AX1063" i="13"/>
  <c r="AY1063" i="13"/>
  <c r="AZ1063" i="13"/>
  <c r="AX1041" i="13"/>
  <c r="AZ1041" i="13"/>
  <c r="AY1041" i="13"/>
  <c r="AY1066" i="13"/>
  <c r="AZ1028" i="13"/>
  <c r="AY1028" i="13"/>
  <c r="AX1028" i="13"/>
  <c r="AX1062" i="13"/>
  <c r="AZ943" i="13"/>
  <c r="AY943" i="13"/>
  <c r="AX943" i="13"/>
  <c r="AX964" i="13"/>
  <c r="AY964" i="13"/>
  <c r="AZ964" i="13"/>
  <c r="AX905" i="13"/>
  <c r="AY949" i="13"/>
  <c r="AX906" i="13"/>
  <c r="AZ906" i="13"/>
  <c r="AY906" i="13"/>
  <c r="AY850" i="13"/>
  <c r="AJ780" i="13"/>
  <c r="AH780" i="13"/>
  <c r="AO780" i="13"/>
  <c r="AM780" i="13"/>
  <c r="AL780" i="13"/>
  <c r="AN780" i="13"/>
  <c r="AK780" i="13"/>
  <c r="AI780" i="13"/>
  <c r="AX772" i="13"/>
  <c r="AZ772" i="13"/>
  <c r="AY772" i="13"/>
  <c r="AZ830" i="13"/>
  <c r="AY830" i="13"/>
  <c r="AX830" i="13"/>
  <c r="AZ775" i="13"/>
  <c r="AY775" i="13"/>
  <c r="AX775" i="13"/>
  <c r="AZ709" i="13"/>
  <c r="AY709" i="13"/>
  <c r="AX709" i="13"/>
  <c r="AZ734" i="13"/>
  <c r="AY734" i="13"/>
  <c r="AX734" i="13"/>
  <c r="AZ669" i="13"/>
  <c r="AY669" i="13"/>
  <c r="AX669" i="13"/>
  <c r="AZ738" i="13"/>
  <c r="AY738" i="13"/>
  <c r="AX738" i="13"/>
  <c r="AY676" i="13"/>
  <c r="AX676" i="13"/>
  <c r="AZ676" i="13"/>
  <c r="AZ661" i="13"/>
  <c r="AX661" i="13"/>
  <c r="AY680" i="13"/>
  <c r="AX680" i="13"/>
  <c r="AZ680" i="13"/>
  <c r="AZ592" i="13"/>
  <c r="AY592" i="13"/>
  <c r="AX592" i="13"/>
  <c r="AZ614" i="13"/>
  <c r="AX614" i="13"/>
  <c r="AY614" i="13"/>
  <c r="AZ618" i="13"/>
  <c r="AX618" i="13"/>
  <c r="AY618" i="13"/>
  <c r="AZ505" i="13"/>
  <c r="AY505" i="13"/>
  <c r="AX505" i="13"/>
  <c r="AH545" i="13"/>
  <c r="AN545" i="13"/>
  <c r="AM545" i="13"/>
  <c r="AL545" i="13"/>
  <c r="AK545" i="13"/>
  <c r="AO545" i="13"/>
  <c r="AJ545" i="13"/>
  <c r="AI545" i="13"/>
  <c r="AX557" i="13"/>
  <c r="AZ557" i="13"/>
  <c r="AY557" i="13"/>
  <c r="AX498" i="13"/>
  <c r="AZ516" i="13"/>
  <c r="AY516" i="13"/>
  <c r="AX516" i="13"/>
  <c r="AZ560" i="13"/>
  <c r="AY560" i="13"/>
  <c r="AX560" i="13"/>
  <c r="AY527" i="13"/>
  <c r="AX527" i="13"/>
  <c r="AZ527" i="13"/>
  <c r="AZ546" i="13"/>
  <c r="AX546" i="13"/>
  <c r="AY546" i="13"/>
  <c r="AX541" i="13"/>
  <c r="AZ541" i="13"/>
  <c r="AY541" i="13"/>
  <c r="AY439" i="13"/>
  <c r="AX439" i="13"/>
  <c r="AZ439" i="13"/>
  <c r="AY491" i="13"/>
  <c r="AX491" i="13"/>
  <c r="AZ491" i="13"/>
  <c r="AZ440" i="13"/>
  <c r="AY440" i="13"/>
  <c r="AX440" i="13"/>
  <c r="AY406" i="13"/>
  <c r="AY417" i="13"/>
  <c r="AZ417" i="13"/>
  <c r="AX417" i="13"/>
  <c r="AZ385" i="13"/>
  <c r="AL298" i="13"/>
  <c r="AJ298" i="13"/>
  <c r="AH298" i="13"/>
  <c r="AO298" i="13"/>
  <c r="AN298" i="13"/>
  <c r="AM298" i="13"/>
  <c r="AK298" i="13"/>
  <c r="AI298" i="13"/>
  <c r="AX286" i="13"/>
  <c r="AZ286" i="13"/>
  <c r="AY286" i="13"/>
  <c r="AZ289" i="13"/>
  <c r="AX289" i="13"/>
  <c r="AY289" i="13"/>
  <c r="AX266" i="13"/>
  <c r="AZ266" i="13"/>
  <c r="AY266" i="13"/>
  <c r="AM1177" i="13"/>
  <c r="AK1177" i="13"/>
  <c r="AH1177" i="13"/>
  <c r="AO1177" i="13"/>
  <c r="AN1177" i="13"/>
  <c r="AJ1177" i="13"/>
  <c r="AI1177" i="13"/>
  <c r="AL1177" i="13"/>
  <c r="AZ1183" i="13"/>
  <c r="AY1183" i="13"/>
  <c r="AX1183" i="13"/>
  <c r="AX1170" i="13"/>
  <c r="AZ1152" i="13"/>
  <c r="AY1152" i="13"/>
  <c r="AX1152" i="13"/>
  <c r="AZ1142" i="13"/>
  <c r="AX1142" i="13"/>
  <c r="AY1142" i="13"/>
  <c r="AX1126" i="13"/>
  <c r="AZ1126" i="13"/>
  <c r="AY1126" i="13"/>
  <c r="AZ1102" i="13"/>
  <c r="AY1102" i="13"/>
  <c r="AX1102" i="13"/>
  <c r="AZ1146" i="13"/>
  <c r="AY1146" i="13"/>
  <c r="AX1146" i="13"/>
  <c r="AY1141" i="13"/>
  <c r="AX1141" i="13"/>
  <c r="AZ1141" i="13"/>
  <c r="AZ1090" i="13"/>
  <c r="AY1090" i="13"/>
  <c r="AX1090" i="13"/>
  <c r="AY1111" i="13"/>
  <c r="AX1111" i="13"/>
  <c r="AZ1111" i="13"/>
  <c r="AZ1089" i="13"/>
  <c r="AX1089" i="13"/>
  <c r="AY1089" i="13"/>
  <c r="AZ1128" i="13"/>
  <c r="AY1128" i="13"/>
  <c r="AX1128" i="13"/>
  <c r="AZ1121" i="13"/>
  <c r="AY1055" i="13"/>
  <c r="AZ1055" i="13"/>
  <c r="AX1055" i="13"/>
  <c r="AY1047" i="13"/>
  <c r="AZ1047" i="13"/>
  <c r="AX1047" i="13"/>
  <c r="AZ1036" i="13"/>
  <c r="AY1036" i="13"/>
  <c r="AX1036" i="13"/>
  <c r="AZ1066" i="13"/>
  <c r="AX1064" i="13"/>
  <c r="AZ1064" i="13"/>
  <c r="AY1064" i="13"/>
  <c r="AZ1038" i="13"/>
  <c r="AY1038" i="13"/>
  <c r="AX1038" i="13"/>
  <c r="AZ1032" i="13"/>
  <c r="AY1032" i="13"/>
  <c r="AX1032" i="13"/>
  <c r="AY1022" i="13"/>
  <c r="AZ1022" i="13"/>
  <c r="AX1022" i="13"/>
  <c r="AY1062" i="13"/>
  <c r="AX1030" i="13"/>
  <c r="AJ1005" i="13"/>
  <c r="AH1005" i="13"/>
  <c r="AO1005" i="13"/>
  <c r="AM1005" i="13"/>
  <c r="AN1005" i="13"/>
  <c r="AL1005" i="13"/>
  <c r="AK1005" i="13"/>
  <c r="AI1005" i="13"/>
  <c r="AZ986" i="13"/>
  <c r="AY986" i="13"/>
  <c r="AX986" i="13"/>
  <c r="AZ998" i="13"/>
  <c r="AY998" i="13"/>
  <c r="AX998" i="13"/>
  <c r="AJ993" i="13"/>
  <c r="AH993" i="13"/>
  <c r="AO993" i="13"/>
  <c r="AM993" i="13"/>
  <c r="AK993" i="13"/>
  <c r="AI993" i="13"/>
  <c r="AN993" i="13"/>
  <c r="AL993" i="13"/>
  <c r="AX1015" i="13"/>
  <c r="AY1015" i="13"/>
  <c r="AZ1015" i="13"/>
  <c r="AZ939" i="13"/>
  <c r="AY939" i="13"/>
  <c r="AX939" i="13"/>
  <c r="AZ970" i="13"/>
  <c r="AY970" i="13"/>
  <c r="AX970" i="13"/>
  <c r="AZ966" i="13"/>
  <c r="AX966" i="13"/>
  <c r="AY966" i="13"/>
  <c r="AY1051" i="13"/>
  <c r="AZ1051" i="13"/>
  <c r="AX1051" i="13"/>
  <c r="AZ967" i="13"/>
  <c r="AY967" i="13"/>
  <c r="AX967" i="13"/>
  <c r="AX942" i="13"/>
  <c r="AZ942" i="13"/>
  <c r="AY942" i="13"/>
  <c r="AZ884" i="13"/>
  <c r="AY884" i="13"/>
  <c r="AX884" i="13"/>
  <c r="AY864" i="13"/>
  <c r="AX864" i="13"/>
  <c r="AZ864" i="13"/>
  <c r="AZ1067" i="13"/>
  <c r="AY1067" i="13"/>
  <c r="AX1067" i="13"/>
  <c r="AZ940" i="13"/>
  <c r="AY940" i="13"/>
  <c r="AX940" i="13"/>
  <c r="AZ911" i="13"/>
  <c r="AY911" i="13"/>
  <c r="AX911" i="13"/>
  <c r="AX962" i="13"/>
  <c r="AZ873" i="13"/>
  <c r="AY873" i="13"/>
  <c r="AX873" i="13"/>
  <c r="AZ937" i="13"/>
  <c r="AY937" i="13"/>
  <c r="AX937" i="13"/>
  <c r="AZ896" i="13"/>
  <c r="AY896" i="13"/>
  <c r="AX896" i="13"/>
  <c r="AY856" i="13"/>
  <c r="AX856" i="13"/>
  <c r="AZ856" i="13"/>
  <c r="AY959" i="13"/>
  <c r="AZ959" i="13"/>
  <c r="AX959" i="13"/>
  <c r="AY863" i="13"/>
  <c r="AX907" i="13"/>
  <c r="AZ863" i="13"/>
  <c r="AY843" i="13"/>
  <c r="AX843" i="13"/>
  <c r="AZ843" i="13"/>
  <c r="AZ850" i="13"/>
  <c r="AX813" i="13"/>
  <c r="AZ813" i="13"/>
  <c r="AY813" i="13"/>
  <c r="AX848" i="13"/>
  <c r="AZ848" i="13"/>
  <c r="AY848" i="13"/>
  <c r="AZ818" i="13"/>
  <c r="AY818" i="13"/>
  <c r="AX818" i="13"/>
  <c r="AY815" i="13"/>
  <c r="AX815" i="13"/>
  <c r="AZ815" i="13"/>
  <c r="AX801" i="13"/>
  <c r="AZ801" i="13"/>
  <c r="AY801" i="13"/>
  <c r="AZ759" i="13"/>
  <c r="AY759" i="13"/>
  <c r="AX759" i="13"/>
  <c r="AY790" i="13"/>
  <c r="AX790" i="13"/>
  <c r="AZ790" i="13"/>
  <c r="AY871" i="13"/>
  <c r="AZ804" i="13"/>
  <c r="AY804" i="13"/>
  <c r="AX804" i="13"/>
  <c r="AX739" i="13"/>
  <c r="AZ739" i="13"/>
  <c r="AY739" i="13"/>
  <c r="AJ755" i="13"/>
  <c r="AH755" i="13"/>
  <c r="AO755" i="13"/>
  <c r="AN755" i="13"/>
  <c r="AM755" i="13"/>
  <c r="AL755" i="13"/>
  <c r="AI755" i="13"/>
  <c r="AK755" i="13"/>
  <c r="AZ740" i="13"/>
  <c r="AY740" i="13"/>
  <c r="AX740" i="13"/>
  <c r="AX735" i="13"/>
  <c r="AZ735" i="13"/>
  <c r="AY735" i="13"/>
  <c r="AX727" i="13"/>
  <c r="AZ727" i="13"/>
  <c r="AY727" i="13"/>
  <c r="AZ710" i="13"/>
  <c r="AY710" i="13"/>
  <c r="AX710" i="13"/>
  <c r="AZ663" i="13"/>
  <c r="AX663" i="13"/>
  <c r="AY663" i="13"/>
  <c r="AZ649" i="13"/>
  <c r="AX649" i="13"/>
  <c r="AZ746" i="13"/>
  <c r="AY746" i="13"/>
  <c r="AX746" i="13"/>
  <c r="AY684" i="13"/>
  <c r="AX684" i="13"/>
  <c r="AZ684" i="13"/>
  <c r="AY661" i="13"/>
  <c r="AZ714" i="13"/>
  <c r="AY714" i="13"/>
  <c r="AX714" i="13"/>
  <c r="AY688" i="13"/>
  <c r="AX688" i="13"/>
  <c r="AZ688" i="13"/>
  <c r="AY662" i="13"/>
  <c r="AX662" i="13"/>
  <c r="AZ662" i="13"/>
  <c r="AY660" i="13"/>
  <c r="AX660" i="13"/>
  <c r="AZ660" i="13"/>
  <c r="AY708" i="13"/>
  <c r="AX708" i="13"/>
  <c r="AZ708" i="13"/>
  <c r="AY664" i="13"/>
  <c r="AZ664" i="13"/>
  <c r="AX664" i="13"/>
  <c r="AZ616" i="13"/>
  <c r="AY616" i="13"/>
  <c r="AX616" i="13"/>
  <c r="AZ627" i="13"/>
  <c r="AY627" i="13"/>
  <c r="AX627" i="13"/>
  <c r="AZ606" i="13"/>
  <c r="AX606" i="13"/>
  <c r="AY606" i="13"/>
  <c r="AX601" i="13"/>
  <c r="AZ601" i="13"/>
  <c r="AY601" i="13"/>
  <c r="AX743" i="13"/>
  <c r="AZ743" i="13"/>
  <c r="AY743" i="13"/>
  <c r="AZ566" i="13"/>
  <c r="AX566" i="13"/>
  <c r="AY566" i="13"/>
  <c r="AZ628" i="13"/>
  <c r="AY628" i="13"/>
  <c r="AX628" i="13"/>
  <c r="AZ596" i="13"/>
  <c r="AY596" i="13"/>
  <c r="AX596" i="13"/>
  <c r="AZ558" i="13"/>
  <c r="AX558" i="13"/>
  <c r="AY558" i="13"/>
  <c r="AX634" i="13"/>
  <c r="AY634" i="13"/>
  <c r="AZ634" i="13"/>
  <c r="AX646" i="13"/>
  <c r="AZ646" i="13"/>
  <c r="AY646" i="13"/>
  <c r="AX581" i="13"/>
  <c r="AZ581" i="13"/>
  <c r="AY581" i="13"/>
  <c r="AX539" i="13"/>
  <c r="AY511" i="13"/>
  <c r="AX511" i="13"/>
  <c r="AZ511" i="13"/>
  <c r="AY495" i="13"/>
  <c r="AX495" i="13"/>
  <c r="AZ495" i="13"/>
  <c r="AY540" i="13"/>
  <c r="AZ540" i="13"/>
  <c r="AX540" i="13"/>
  <c r="AZ496" i="13"/>
  <c r="AY496" i="13"/>
  <c r="AX496" i="13"/>
  <c r="AX426" i="13"/>
  <c r="AX522" i="13"/>
  <c r="AX484" i="13"/>
  <c r="AZ450" i="13"/>
  <c r="AY423" i="13"/>
  <c r="AX423" i="13"/>
  <c r="AZ423" i="13"/>
  <c r="AY407" i="13"/>
  <c r="AX407" i="13"/>
  <c r="AZ407" i="13"/>
  <c r="AZ353" i="13"/>
  <c r="AY353" i="13"/>
  <c r="AX353" i="13"/>
  <c r="AX537" i="13"/>
  <c r="AZ537" i="13"/>
  <c r="AY537" i="13"/>
  <c r="AZ498" i="13"/>
  <c r="AZ436" i="13"/>
  <c r="AY436" i="13"/>
  <c r="AX436" i="13"/>
  <c r="AY401" i="13"/>
  <c r="AY467" i="13"/>
  <c r="AX467" i="13"/>
  <c r="AZ467" i="13"/>
  <c r="AZ445" i="13"/>
  <c r="AY445" i="13"/>
  <c r="AX445" i="13"/>
  <c r="AL338" i="13"/>
  <c r="AK338" i="13"/>
  <c r="AJ338" i="13"/>
  <c r="AI338" i="13"/>
  <c r="AH338" i="13"/>
  <c r="AO338" i="13"/>
  <c r="AN338" i="13"/>
  <c r="AM338" i="13"/>
  <c r="AL330" i="13"/>
  <c r="AK330" i="13"/>
  <c r="AJ330" i="13"/>
  <c r="AI330" i="13"/>
  <c r="AH330" i="13"/>
  <c r="AO330" i="13"/>
  <c r="AN330" i="13"/>
  <c r="AM330" i="13"/>
  <c r="AL322" i="13"/>
  <c r="AK322" i="13"/>
  <c r="AJ322" i="13"/>
  <c r="AI322" i="13"/>
  <c r="AH322" i="13"/>
  <c r="AO322" i="13"/>
  <c r="AN322" i="13"/>
  <c r="AM322" i="13"/>
  <c r="AL314" i="13"/>
  <c r="AK314" i="13"/>
  <c r="AJ314" i="13"/>
  <c r="AI314" i="13"/>
  <c r="AH314" i="13"/>
  <c r="AO314" i="13"/>
  <c r="AM314" i="13"/>
  <c r="AN314" i="13"/>
  <c r="AL306" i="13"/>
  <c r="AK306" i="13"/>
  <c r="AJ306" i="13"/>
  <c r="AI306" i="13"/>
  <c r="AH306" i="13"/>
  <c r="AO306" i="13"/>
  <c r="AN306" i="13"/>
  <c r="AM306" i="13"/>
  <c r="AY355" i="13"/>
  <c r="AY346" i="13"/>
  <c r="AZ346" i="13"/>
  <c r="AX346" i="13"/>
  <c r="AZ433" i="13"/>
  <c r="AY433" i="13"/>
  <c r="AX433" i="13"/>
  <c r="AX340" i="13"/>
  <c r="AZ340" i="13"/>
  <c r="AY340" i="13"/>
  <c r="AY394" i="13"/>
  <c r="AZ394" i="13"/>
  <c r="AX394" i="13"/>
  <c r="AY447" i="13"/>
  <c r="AX447" i="13"/>
  <c r="AZ447" i="13"/>
  <c r="AY362" i="13"/>
  <c r="AZ362" i="13"/>
  <c r="AX362" i="13"/>
  <c r="AZ301" i="13"/>
  <c r="AX301" i="13"/>
  <c r="AY301" i="13"/>
  <c r="AL290" i="13"/>
  <c r="AJ290" i="13"/>
  <c r="AH290" i="13"/>
  <c r="AO290" i="13"/>
  <c r="AK290" i="13"/>
  <c r="AI290" i="13"/>
  <c r="AN290" i="13"/>
  <c r="AM290" i="13"/>
  <c r="AX390" i="13"/>
  <c r="AZ268" i="13"/>
  <c r="AY268" i="13"/>
  <c r="AX268" i="13"/>
  <c r="AZ245" i="13"/>
  <c r="AY245" i="13"/>
  <c r="AX245" i="13"/>
  <c r="AY210" i="13"/>
  <c r="AX210" i="13"/>
  <c r="AZ210" i="13"/>
  <c r="AJ188" i="13"/>
  <c r="AH188" i="13"/>
  <c r="AO188" i="13"/>
  <c r="AL188" i="13"/>
  <c r="AN188" i="13"/>
  <c r="AM188" i="13"/>
  <c r="AK188" i="13"/>
  <c r="AI188" i="13"/>
  <c r="AZ269" i="13"/>
  <c r="AY269" i="13"/>
  <c r="AX269" i="13"/>
  <c r="AZ228" i="13"/>
  <c r="AY228" i="13"/>
  <c r="AX228" i="13"/>
  <c r="AZ157" i="13"/>
  <c r="AY157" i="13"/>
  <c r="AX157" i="13"/>
  <c r="AY125" i="13"/>
  <c r="AX125" i="13"/>
  <c r="AZ125" i="13"/>
  <c r="AX418" i="13"/>
  <c r="AX304" i="13"/>
  <c r="AZ304" i="13"/>
  <c r="AY304" i="13"/>
  <c r="AZ158" i="13"/>
  <c r="AY158" i="13"/>
  <c r="AX158" i="13"/>
  <c r="AX374" i="13"/>
  <c r="AZ226" i="13"/>
  <c r="AY226" i="13"/>
  <c r="AX226" i="13"/>
  <c r="AZ225" i="13"/>
  <c r="AY225" i="13"/>
  <c r="AX225" i="13"/>
  <c r="AX213" i="13"/>
  <c r="AZ209" i="13"/>
  <c r="AY209" i="13"/>
  <c r="AX209" i="13"/>
  <c r="AY93" i="13"/>
  <c r="AX93" i="13"/>
  <c r="AZ93" i="13"/>
  <c r="AX182" i="13"/>
  <c r="AZ182" i="13"/>
  <c r="AY182" i="13"/>
  <c r="AZ128" i="13"/>
  <c r="AX186" i="13"/>
  <c r="AY186" i="13"/>
  <c r="AZ186" i="13"/>
  <c r="AY108" i="13"/>
  <c r="AZ94" i="13"/>
  <c r="AX94" i="13"/>
  <c r="AY94" i="13"/>
  <c r="AZ78" i="13"/>
  <c r="AX78" i="13"/>
  <c r="AY78" i="13"/>
  <c r="V13" i="10"/>
  <c r="AX119" i="13"/>
  <c r="Y8" i="13"/>
  <c r="X8" i="11" s="1"/>
  <c r="AX55" i="13"/>
  <c r="AZ55" i="13"/>
  <c r="AY55" i="13"/>
  <c r="AZ52" i="13"/>
  <c r="AY52" i="13"/>
  <c r="AX52" i="13"/>
  <c r="AZ30" i="13"/>
  <c r="AY30" i="13"/>
  <c r="AX30" i="13"/>
  <c r="AZ197" i="13"/>
  <c r="AY197" i="13"/>
  <c r="AX197" i="13"/>
  <c r="AX67" i="13"/>
  <c r="AZ37" i="13"/>
  <c r="AY37" i="13"/>
  <c r="AX37" i="13"/>
  <c r="AZ13" i="13"/>
  <c r="AY13" i="13"/>
  <c r="AX13" i="13"/>
  <c r="AZ41" i="13"/>
  <c r="AY41" i="13"/>
  <c r="AX41" i="13"/>
  <c r="AX11" i="13"/>
  <c r="AZ11" i="13"/>
  <c r="AY11" i="13"/>
  <c r="AX23" i="13"/>
  <c r="AZ23" i="13"/>
  <c r="AY23" i="13"/>
  <c r="AZ20" i="13"/>
  <c r="AY20" i="13"/>
  <c r="AX20" i="13"/>
  <c r="X3" i="11"/>
  <c r="E125" i="7"/>
  <c r="J26" i="7"/>
  <c r="G26" i="7"/>
  <c r="G23" i="6"/>
  <c r="AF1120" i="13"/>
  <c r="AF1064" i="13"/>
  <c r="AF1016" i="13"/>
  <c r="AF960" i="13"/>
  <c r="AF952" i="13"/>
  <c r="AF816" i="13"/>
  <c r="AF800" i="13"/>
  <c r="AF776" i="13"/>
  <c r="AF760" i="13"/>
  <c r="AF752" i="13"/>
  <c r="AF736" i="13"/>
  <c r="AF648" i="13"/>
  <c r="AF568" i="13"/>
  <c r="AF424" i="13"/>
  <c r="AF376" i="13"/>
  <c r="AF328" i="13"/>
  <c r="AF224" i="13"/>
  <c r="AF144" i="13"/>
  <c r="AF72" i="13"/>
  <c r="AF32" i="13"/>
  <c r="Y10" i="13"/>
  <c r="X10" i="11" s="1"/>
  <c r="G25" i="7"/>
  <c r="J25" i="7"/>
  <c r="E124" i="7"/>
  <c r="AF1159" i="13"/>
  <c r="AF1111" i="13"/>
  <c r="AF1047" i="13"/>
  <c r="AF1039" i="13"/>
  <c r="AF1023" i="13"/>
  <c r="AF991" i="13"/>
  <c r="AF983" i="13"/>
  <c r="AF975" i="13"/>
  <c r="AF967" i="13"/>
  <c r="AF943" i="13"/>
  <c r="AF751" i="13"/>
  <c r="AF735" i="13"/>
  <c r="AF727" i="13"/>
  <c r="AF703" i="13"/>
  <c r="AF631" i="13"/>
  <c r="AF575" i="13"/>
  <c r="AF479" i="13"/>
  <c r="AF415" i="13"/>
  <c r="AF343" i="13"/>
  <c r="AF335" i="13"/>
  <c r="AF215" i="13"/>
  <c r="AF191" i="13"/>
  <c r="AF143" i="13"/>
  <c r="AF71" i="13"/>
  <c r="AF23" i="13"/>
  <c r="E9" i="9"/>
  <c r="D9" i="9"/>
  <c r="C9" i="9"/>
  <c r="B9" i="9"/>
  <c r="F9" i="9" s="1"/>
  <c r="H120" i="7"/>
  <c r="K21" i="7"/>
  <c r="G120" i="7"/>
  <c r="E108" i="6"/>
  <c r="F108" i="6"/>
  <c r="D108" i="6"/>
  <c r="C108" i="6"/>
  <c r="B108" i="6"/>
  <c r="G42" i="6"/>
  <c r="G71" i="6"/>
  <c r="K9" i="6"/>
  <c r="H71" i="6"/>
  <c r="P9" i="6"/>
  <c r="G9" i="6"/>
  <c r="F31" i="6"/>
  <c r="C95" i="6"/>
  <c r="E95" i="6"/>
  <c r="AF1172" i="13"/>
  <c r="AF1100" i="13"/>
  <c r="AF1004" i="13"/>
  <c r="AF868" i="13"/>
  <c r="AF692" i="13"/>
  <c r="AF604" i="13"/>
  <c r="AF524" i="13"/>
  <c r="AF476" i="13"/>
  <c r="AF460" i="13"/>
  <c r="AF300" i="13"/>
  <c r="AF260" i="13"/>
  <c r="AF196" i="13"/>
  <c r="AF116" i="13"/>
  <c r="AF108" i="13"/>
  <c r="AF92" i="13"/>
  <c r="F33" i="6"/>
  <c r="AF1073" i="13"/>
  <c r="AF970" i="13"/>
  <c r="AF874" i="13"/>
  <c r="AF849" i="13"/>
  <c r="AF835" i="13"/>
  <c r="AF701" i="13"/>
  <c r="AF682" i="13"/>
  <c r="AF625" i="13"/>
  <c r="AF573" i="13"/>
  <c r="AF477" i="13"/>
  <c r="AF465" i="13"/>
  <c r="AF426" i="13"/>
  <c r="AF406" i="13"/>
  <c r="AF337" i="13"/>
  <c r="AF298" i="13"/>
  <c r="AF1138" i="13"/>
  <c r="AF1081" i="13"/>
  <c r="AF1017" i="13"/>
  <c r="AF978" i="13"/>
  <c r="AF958" i="13"/>
  <c r="AF921" i="13"/>
  <c r="AF907" i="13"/>
  <c r="AF882" i="13"/>
  <c r="AF843" i="13"/>
  <c r="AF709" i="13"/>
  <c r="AF690" i="13"/>
  <c r="AF638" i="13"/>
  <c r="AF581" i="13"/>
  <c r="AF427" i="13"/>
  <c r="AF1153" i="13"/>
  <c r="AF1101" i="13"/>
  <c r="AF1094" i="13"/>
  <c r="AF1037" i="13"/>
  <c r="AF1011" i="13"/>
  <c r="AF973" i="13"/>
  <c r="AF954" i="13"/>
  <c r="AF902" i="13"/>
  <c r="AF787" i="13"/>
  <c r="AF781" i="13"/>
  <c r="AF769" i="13"/>
  <c r="AF742" i="13"/>
  <c r="AF737" i="13"/>
  <c r="AF673" i="13"/>
  <c r="AF641" i="13"/>
  <c r="AF627" i="13"/>
  <c r="AF614" i="13"/>
  <c r="AF545" i="13"/>
  <c r="AF499" i="13"/>
  <c r="AF474" i="13"/>
  <c r="AF385" i="13"/>
  <c r="AF365" i="13"/>
  <c r="AF326" i="13"/>
  <c r="AF230" i="13"/>
  <c r="AF225" i="13"/>
  <c r="AF186" i="13"/>
  <c r="AF161" i="13"/>
  <c r="AF26" i="13"/>
  <c r="AF885" i="13"/>
  <c r="AF853" i="13"/>
  <c r="AF1198" i="13"/>
  <c r="AF1186" i="13"/>
  <c r="AF1161" i="13"/>
  <c r="AF1129" i="13"/>
  <c r="AF1026" i="13"/>
  <c r="AF1019" i="13"/>
  <c r="AF1006" i="13"/>
  <c r="AF809" i="13"/>
  <c r="AF661" i="13"/>
  <c r="AF322" i="13"/>
  <c r="AF121" i="13"/>
  <c r="AF94" i="13"/>
  <c r="AF425" i="13"/>
  <c r="AF418" i="13"/>
  <c r="AF350" i="13"/>
  <c r="AF227" i="13"/>
  <c r="AF197" i="13"/>
  <c r="AF89" i="13"/>
  <c r="AF86" i="13"/>
  <c r="AF338" i="13"/>
  <c r="AF475" i="13"/>
  <c r="AF437" i="13"/>
  <c r="AF373" i="13"/>
  <c r="AF34" i="13"/>
  <c r="AF67" i="13"/>
  <c r="AF195" i="13"/>
  <c r="AF219" i="13"/>
  <c r="AF718" i="13"/>
  <c r="AF105" i="13"/>
  <c r="AF261" i="13"/>
  <c r="AF61" i="13"/>
  <c r="AF25" i="13"/>
  <c r="AZ1082" i="13"/>
  <c r="AY1082" i="13"/>
  <c r="AX1082" i="13"/>
  <c r="AY1060" i="13"/>
  <c r="AX1060" i="13"/>
  <c r="AZ1060" i="13"/>
  <c r="AY987" i="13"/>
  <c r="AX987" i="13"/>
  <c r="AZ987" i="13"/>
  <c r="AZ935" i="13"/>
  <c r="AY935" i="13"/>
  <c r="AX935" i="13"/>
  <c r="AZ941" i="13"/>
  <c r="AY941" i="13"/>
  <c r="AX941" i="13"/>
  <c r="AX994" i="13"/>
  <c r="AY887" i="13"/>
  <c r="AX887" i="13"/>
  <c r="AZ887" i="13"/>
  <c r="AZ757" i="13"/>
  <c r="AY757" i="13"/>
  <c r="AX757" i="13"/>
  <c r="AZ619" i="13"/>
  <c r="AY619" i="13"/>
  <c r="AX619" i="13"/>
  <c r="AZ598" i="13"/>
  <c r="AX598" i="13"/>
  <c r="AY598" i="13"/>
  <c r="AZ508" i="13"/>
  <c r="AY508" i="13"/>
  <c r="AX508" i="13"/>
  <c r="AX605" i="13"/>
  <c r="AZ605" i="13"/>
  <c r="AY605" i="13"/>
  <c r="AY471" i="13"/>
  <c r="AX471" i="13"/>
  <c r="AZ471" i="13"/>
  <c r="AZ341" i="13"/>
  <c r="AY341" i="13"/>
  <c r="AX341" i="13"/>
  <c r="AY507" i="13"/>
  <c r="AX507" i="13"/>
  <c r="AZ507" i="13"/>
  <c r="AZ556" i="13"/>
  <c r="AY556" i="13"/>
  <c r="AX556" i="13"/>
  <c r="AY633" i="13"/>
  <c r="AZ633" i="13"/>
  <c r="AX633" i="13"/>
  <c r="AY413" i="13"/>
  <c r="AZ413" i="13"/>
  <c r="AX413" i="13"/>
  <c r="AZ367" i="13"/>
  <c r="AY367" i="13"/>
  <c r="AX367" i="13"/>
  <c r="AX332" i="13"/>
  <c r="AZ332" i="13"/>
  <c r="AY332" i="13"/>
  <c r="AH316" i="13"/>
  <c r="AO316" i="13"/>
  <c r="AN316" i="13"/>
  <c r="AM316" i="13"/>
  <c r="AL316" i="13"/>
  <c r="AK316" i="13"/>
  <c r="AJ316" i="13"/>
  <c r="AI316" i="13"/>
  <c r="AZ214" i="13"/>
  <c r="AY214" i="13"/>
  <c r="AX214" i="13"/>
  <c r="AZ311" i="13"/>
  <c r="AY311" i="13"/>
  <c r="AX311" i="13"/>
  <c r="AY356" i="13"/>
  <c r="AZ356" i="13"/>
  <c r="AX356" i="13"/>
  <c r="AZ204" i="13"/>
  <c r="AX204" i="13"/>
  <c r="AY204" i="13"/>
  <c r="AZ146" i="13"/>
  <c r="AY146" i="13"/>
  <c r="AX146" i="13"/>
  <c r="AX198" i="13"/>
  <c r="AZ198" i="13"/>
  <c r="AY198" i="13"/>
  <c r="AZ167" i="13"/>
  <c r="AY167" i="13"/>
  <c r="AX167" i="13"/>
  <c r="AZ127" i="13"/>
  <c r="AY127" i="13"/>
  <c r="AX127" i="13"/>
  <c r="AZ242" i="13"/>
  <c r="AY242" i="13"/>
  <c r="AX242" i="13"/>
  <c r="AX194" i="13"/>
  <c r="AZ194" i="13"/>
  <c r="AY194" i="13"/>
  <c r="AZ36" i="13"/>
  <c r="AY36" i="13"/>
  <c r="AX36" i="13"/>
  <c r="AZ176" i="13"/>
  <c r="AX176" i="13"/>
  <c r="AY176" i="13"/>
  <c r="AX27" i="13"/>
  <c r="AZ27" i="13"/>
  <c r="AY27" i="13"/>
  <c r="AZ98" i="13"/>
  <c r="AX98" i="13"/>
  <c r="AY98" i="13"/>
  <c r="X9" i="11"/>
  <c r="Q13" i="10"/>
  <c r="AX47" i="13"/>
  <c r="AZ47" i="13"/>
  <c r="AY47" i="13"/>
  <c r="AZ44" i="13"/>
  <c r="AY44" i="13"/>
  <c r="AX44" i="13"/>
  <c r="AZ28" i="13"/>
  <c r="AY28" i="13"/>
  <c r="AX28" i="13"/>
  <c r="AZ38" i="13"/>
  <c r="AY38" i="13"/>
  <c r="AX38" i="13"/>
  <c r="AZ74" i="13"/>
  <c r="AX74" i="13"/>
  <c r="AY74" i="13"/>
  <c r="AX147" i="13"/>
  <c r="L20" i="7"/>
  <c r="G31" i="7"/>
  <c r="AF1176" i="13"/>
  <c r="AF1160" i="13"/>
  <c r="AF1128" i="13"/>
  <c r="AF1048" i="13"/>
  <c r="AF976" i="13"/>
  <c r="AF912" i="13"/>
  <c r="AF904" i="13"/>
  <c r="AF880" i="13"/>
  <c r="AF824" i="13"/>
  <c r="AF768" i="13"/>
  <c r="AF744" i="13"/>
  <c r="AF632" i="13"/>
  <c r="AF576" i="13"/>
  <c r="AF536" i="13"/>
  <c r="AF496" i="13"/>
  <c r="AF472" i="13"/>
  <c r="AF432" i="13"/>
  <c r="AF384" i="13"/>
  <c r="AF336" i="13"/>
  <c r="AF272" i="13"/>
  <c r="AF232" i="13"/>
  <c r="AF152" i="13"/>
  <c r="AF80" i="13"/>
  <c r="AF40" i="13"/>
  <c r="K8" i="6"/>
  <c r="H70" i="6"/>
  <c r="G70" i="6"/>
  <c r="P8" i="6"/>
  <c r="AF1119" i="13"/>
  <c r="AF1103" i="13"/>
  <c r="AF1055" i="13"/>
  <c r="AF951" i="13"/>
  <c r="AF855" i="13"/>
  <c r="AF807" i="13"/>
  <c r="AF783" i="13"/>
  <c r="AF775" i="13"/>
  <c r="AF759" i="13"/>
  <c r="AF639" i="13"/>
  <c r="AF583" i="13"/>
  <c r="AF359" i="13"/>
  <c r="AF351" i="13"/>
  <c r="AF223" i="13"/>
  <c r="AF207" i="13"/>
  <c r="AF199" i="13"/>
  <c r="AF151" i="13"/>
  <c r="AF79" i="13"/>
  <c r="AF31" i="13"/>
  <c r="B11" i="9"/>
  <c r="E11" i="9" s="1"/>
  <c r="B44" i="6"/>
  <c r="F44" i="6" s="1"/>
  <c r="C10" i="6"/>
  <c r="C34" i="6"/>
  <c r="O8" i="6"/>
  <c r="J8" i="6"/>
  <c r="G8" i="6"/>
  <c r="E70" i="6"/>
  <c r="AF1108" i="13"/>
  <c r="AF1076" i="13"/>
  <c r="AF1012" i="13"/>
  <c r="AF780" i="13"/>
  <c r="AF716" i="13"/>
  <c r="AF700" i="13"/>
  <c r="AF612" i="13"/>
  <c r="AF548" i="13"/>
  <c r="AF468" i="13"/>
  <c r="AF372" i="13"/>
  <c r="AF308" i="13"/>
  <c r="AF204" i="13"/>
  <c r="AF100" i="13"/>
  <c r="AF12" i="13"/>
  <c r="AF1181" i="13"/>
  <c r="AF1174" i="13"/>
  <c r="AF1162" i="13"/>
  <c r="AF1041" i="13"/>
  <c r="AF1021" i="13"/>
  <c r="AF1009" i="13"/>
  <c r="AF938" i="13"/>
  <c r="AF881" i="13"/>
  <c r="AF861" i="13"/>
  <c r="AF790" i="13"/>
  <c r="AF714" i="13"/>
  <c r="AF657" i="13"/>
  <c r="AF611" i="13"/>
  <c r="AF598" i="13"/>
  <c r="AF522" i="13"/>
  <c r="AF470" i="13"/>
  <c r="AF369" i="13"/>
  <c r="AF349" i="13"/>
  <c r="AF310" i="13"/>
  <c r="AF1189" i="13"/>
  <c r="AF1182" i="13"/>
  <c r="AF1157" i="13"/>
  <c r="AF985" i="13"/>
  <c r="AF946" i="13"/>
  <c r="AF889" i="13"/>
  <c r="AF869" i="13"/>
  <c r="AF798" i="13"/>
  <c r="AF761" i="13"/>
  <c r="AF734" i="13"/>
  <c r="AF729" i="13"/>
  <c r="AF722" i="13"/>
  <c r="AF619" i="13"/>
  <c r="AF606" i="13"/>
  <c r="AF537" i="13"/>
  <c r="AF491" i="13"/>
  <c r="AF485" i="13"/>
  <c r="AF377" i="13"/>
  <c r="AF1171" i="13"/>
  <c r="AF1121" i="13"/>
  <c r="AF1050" i="13"/>
  <c r="AF1018" i="13"/>
  <c r="AF961" i="13"/>
  <c r="AF826" i="13"/>
  <c r="AF813" i="13"/>
  <c r="AF801" i="13"/>
  <c r="AF646" i="13"/>
  <c r="AF570" i="13"/>
  <c r="AF531" i="13"/>
  <c r="AF493" i="13"/>
  <c r="AF442" i="13"/>
  <c r="AF390" i="13"/>
  <c r="AF378" i="13"/>
  <c r="AF339" i="13"/>
  <c r="AF243" i="13"/>
  <c r="AF173" i="13"/>
  <c r="AF122" i="13"/>
  <c r="AF70" i="13"/>
  <c r="AF873" i="13"/>
  <c r="AF763" i="13"/>
  <c r="AF1193" i="13"/>
  <c r="AF1141" i="13"/>
  <c r="AF1001" i="13"/>
  <c r="AF930" i="13"/>
  <c r="AF795" i="13"/>
  <c r="AF789" i="13"/>
  <c r="AF706" i="13"/>
  <c r="AF246" i="13"/>
  <c r="AF229" i="13"/>
  <c r="AF91" i="13"/>
  <c r="AF553" i="13"/>
  <c r="AF325" i="13"/>
  <c r="AF210" i="13"/>
  <c r="AF181" i="13"/>
  <c r="AF145" i="13"/>
  <c r="AF59" i="13"/>
  <c r="AF17" i="13"/>
  <c r="AF681" i="13"/>
  <c r="AF217" i="13"/>
  <c r="AF125" i="13"/>
  <c r="AF99" i="13"/>
  <c r="AF558" i="13"/>
  <c r="AT9" i="13"/>
  <c r="AD9" i="13"/>
  <c r="AS9" i="13"/>
  <c r="R13" i="3" s="1"/>
  <c r="Z13" i="3" s="1"/>
  <c r="AB9" i="13"/>
  <c r="AA9" i="13"/>
  <c r="AP9" i="13"/>
  <c r="AE9" i="13"/>
  <c r="AF329" i="13"/>
  <c r="AF238" i="13"/>
  <c r="AF221" i="13"/>
  <c r="AF139" i="13"/>
  <c r="AF74" i="13"/>
  <c r="AE5" i="13"/>
  <c r="AF318" i="13"/>
  <c r="AF251" i="13"/>
  <c r="AF18" i="13"/>
  <c r="AF699" i="13"/>
  <c r="AF578" i="13"/>
  <c r="AF163" i="13"/>
  <c r="AF42" i="13"/>
  <c r="AZ1162" i="13"/>
  <c r="AY1162" i="13"/>
  <c r="AX1162" i="13"/>
  <c r="AZ1100" i="13"/>
  <c r="AY1100" i="13"/>
  <c r="AX1100" i="13"/>
  <c r="AY1099" i="13"/>
  <c r="AX1099" i="13"/>
  <c r="AZ1099" i="13"/>
  <c r="AZ1097" i="13"/>
  <c r="AY1097" i="13"/>
  <c r="AX1097" i="13"/>
  <c r="AY1093" i="13"/>
  <c r="AX1093" i="13"/>
  <c r="AZ1093" i="13"/>
  <c r="AZ1042" i="13"/>
  <c r="AY1042" i="13"/>
  <c r="AX1042" i="13"/>
  <c r="AX954" i="13"/>
  <c r="AZ954" i="13"/>
  <c r="AY954" i="13"/>
  <c r="AX768" i="13"/>
  <c r="AZ768" i="13"/>
  <c r="AY768" i="13"/>
  <c r="AZ679" i="13"/>
  <c r="AY679" i="13"/>
  <c r="AX679" i="13"/>
  <c r="AZ591" i="13"/>
  <c r="AY591" i="13"/>
  <c r="AX591" i="13"/>
  <c r="AZ517" i="13"/>
  <c r="AY517" i="13"/>
  <c r="AX517" i="13"/>
  <c r="AZ578" i="13"/>
  <c r="AX578" i="13"/>
  <c r="AY578" i="13"/>
  <c r="AX597" i="13"/>
  <c r="AZ597" i="13"/>
  <c r="AY597" i="13"/>
  <c r="AZ486" i="13"/>
  <c r="AY486" i="13"/>
  <c r="AX486" i="13"/>
  <c r="AZ722" i="13"/>
  <c r="AY722" i="13"/>
  <c r="AX722" i="13"/>
  <c r="AZ425" i="13"/>
  <c r="AY425" i="13"/>
  <c r="AX425" i="13"/>
  <c r="AX561" i="13"/>
  <c r="AY561" i="13"/>
  <c r="AZ561" i="13"/>
  <c r="AY459" i="13"/>
  <c r="AX459" i="13"/>
  <c r="AZ459" i="13"/>
  <c r="AZ383" i="13"/>
  <c r="AY383" i="13"/>
  <c r="AX383" i="13"/>
  <c r="AZ454" i="13"/>
  <c r="AY454" i="13"/>
  <c r="AX454" i="13"/>
  <c r="AY386" i="13"/>
  <c r="AZ386" i="13"/>
  <c r="AX386" i="13"/>
  <c r="AZ339" i="13"/>
  <c r="AY339" i="13"/>
  <c r="AX339" i="13"/>
  <c r="AZ399" i="13"/>
  <c r="AY399" i="13"/>
  <c r="AX399" i="13"/>
  <c r="AZ172" i="13"/>
  <c r="AX172" i="13"/>
  <c r="AY172" i="13"/>
  <c r="AZ277" i="13"/>
  <c r="AY277" i="13"/>
  <c r="AX277" i="13"/>
  <c r="AZ184" i="13"/>
  <c r="AX184" i="13"/>
  <c r="AY184" i="13"/>
  <c r="AZ145" i="13"/>
  <c r="AY145" i="13"/>
  <c r="AX145" i="13"/>
  <c r="AX263" i="13"/>
  <c r="AZ263" i="13"/>
  <c r="AY263" i="13"/>
  <c r="AZ134" i="13"/>
  <c r="AY134" i="13"/>
  <c r="AX134" i="13"/>
  <c r="AZ118" i="13"/>
  <c r="AY118" i="13"/>
  <c r="AX118" i="13"/>
  <c r="AY144" i="13"/>
  <c r="AX144" i="13"/>
  <c r="AZ144" i="13"/>
  <c r="AZ1194" i="13"/>
  <c r="AX1194" i="13"/>
  <c r="AY1194" i="13"/>
  <c r="AZ1178" i="13"/>
  <c r="AY1178" i="13"/>
  <c r="AX1178" i="13"/>
  <c r="AZ1187" i="13"/>
  <c r="AX1187" i="13"/>
  <c r="AY1187" i="13"/>
  <c r="AY1174" i="13"/>
  <c r="AZ1174" i="13"/>
  <c r="AX1174" i="13"/>
  <c r="AY1167" i="13"/>
  <c r="AX1167" i="13"/>
  <c r="AZ1167" i="13"/>
  <c r="AX1181" i="13"/>
  <c r="AY1181" i="13"/>
  <c r="AZ1181" i="13"/>
  <c r="AZ1156" i="13"/>
  <c r="AY1156" i="13"/>
  <c r="AX1156" i="13"/>
  <c r="AZ1149" i="13"/>
  <c r="AY1149" i="13"/>
  <c r="AX1149" i="13"/>
  <c r="AX1143" i="13"/>
  <c r="AY1143" i="13"/>
  <c r="AZ1143" i="13"/>
  <c r="AX1136" i="13"/>
  <c r="AZ1116" i="13"/>
  <c r="AY1116" i="13"/>
  <c r="AX1116" i="13"/>
  <c r="AZ1159" i="13"/>
  <c r="AY1159" i="13"/>
  <c r="AX1159" i="13"/>
  <c r="AZ1096" i="13"/>
  <c r="AX1096" i="13"/>
  <c r="AY1096" i="13"/>
  <c r="AY1087" i="13"/>
  <c r="AY1080" i="13"/>
  <c r="AZ1080" i="13"/>
  <c r="AX1080" i="13"/>
  <c r="AX1085" i="13"/>
  <c r="AZ1085" i="13"/>
  <c r="AY1085" i="13"/>
  <c r="AZ1075" i="13"/>
  <c r="AY1075" i="13"/>
  <c r="AX1075" i="13"/>
  <c r="AZ1054" i="13"/>
  <c r="AY1054" i="13"/>
  <c r="AX1054" i="13"/>
  <c r="AZ1039" i="13"/>
  <c r="AY1039" i="13"/>
  <c r="AX1039" i="13"/>
  <c r="AX1037" i="13"/>
  <c r="AZ1037" i="13"/>
  <c r="AY1037" i="13"/>
  <c r="AZ1034" i="13"/>
  <c r="AX1034" i="13"/>
  <c r="AY1056" i="13"/>
  <c r="AX1056" i="13"/>
  <c r="AZ1056" i="13"/>
  <c r="AZ1024" i="13"/>
  <c r="AY1024" i="13"/>
  <c r="AX1024" i="13"/>
  <c r="AX981" i="13"/>
  <c r="AZ981" i="13"/>
  <c r="AY981" i="13"/>
  <c r="AY1020" i="13"/>
  <c r="AX1020" i="13"/>
  <c r="AZ1020" i="13"/>
  <c r="AY1019" i="13"/>
  <c r="AJ1001" i="13"/>
  <c r="AH1001" i="13"/>
  <c r="AO1001" i="13"/>
  <c r="AM1001" i="13"/>
  <c r="AK1001" i="13"/>
  <c r="AI1001" i="13"/>
  <c r="AN1001" i="13"/>
  <c r="AL1001" i="13"/>
  <c r="AH985" i="13"/>
  <c r="AM985" i="13"/>
  <c r="AO985" i="13"/>
  <c r="AN985" i="13"/>
  <c r="AL985" i="13"/>
  <c r="AK985" i="13"/>
  <c r="AJ985" i="13"/>
  <c r="AI985" i="13"/>
  <c r="AX972" i="13"/>
  <c r="AZ972" i="13"/>
  <c r="AY972" i="13"/>
  <c r="AZ1011" i="13"/>
  <c r="AY1011" i="13"/>
  <c r="AX1011" i="13"/>
  <c r="AZ952" i="13"/>
  <c r="AY952" i="13"/>
  <c r="AX952" i="13"/>
  <c r="AY960" i="13"/>
  <c r="AY924" i="13"/>
  <c r="AX924" i="13"/>
  <c r="AZ924" i="13"/>
  <c r="AZ948" i="13"/>
  <c r="AY948" i="13"/>
  <c r="AX948" i="13"/>
  <c r="AZ1010" i="13"/>
  <c r="AX965" i="13"/>
  <c r="AY965" i="13"/>
  <c r="AZ965" i="13"/>
  <c r="AZ880" i="13"/>
  <c r="AY880" i="13"/>
  <c r="AX880" i="13"/>
  <c r="AY860" i="13"/>
  <c r="AX860" i="13"/>
  <c r="AZ860" i="13"/>
  <c r="AY994" i="13"/>
  <c r="AX900" i="13"/>
  <c r="AZ900" i="13"/>
  <c r="AY900" i="13"/>
  <c r="AX918" i="13"/>
  <c r="AZ918" i="13"/>
  <c r="AY918" i="13"/>
  <c r="AX913" i="13"/>
  <c r="AZ917" i="13"/>
  <c r="AY917" i="13"/>
  <c r="AX917" i="13"/>
  <c r="AZ945" i="13"/>
  <c r="AY945" i="13"/>
  <c r="AX945" i="13"/>
  <c r="AX931" i="13"/>
  <c r="AH934" i="13"/>
  <c r="AO934" i="13"/>
  <c r="AN934" i="13"/>
  <c r="AM934" i="13"/>
  <c r="AL934" i="13"/>
  <c r="AK934" i="13"/>
  <c r="AJ934" i="13"/>
  <c r="AI934" i="13"/>
  <c r="AZ953" i="13"/>
  <c r="AY953" i="13"/>
  <c r="AX953" i="13"/>
  <c r="AY891" i="13"/>
  <c r="AX891" i="13"/>
  <c r="AZ891" i="13"/>
  <c r="AX910" i="13"/>
  <c r="AZ910" i="13"/>
  <c r="AY910" i="13"/>
  <c r="AZ869" i="13"/>
  <c r="AY869" i="13"/>
  <c r="AX869" i="13"/>
  <c r="AZ859" i="13"/>
  <c r="AY859" i="13"/>
  <c r="AX859" i="13"/>
  <c r="AY897" i="13"/>
  <c r="AX897" i="13"/>
  <c r="AZ897" i="13"/>
  <c r="AZ846" i="13"/>
  <c r="AY846" i="13"/>
  <c r="AX846" i="13"/>
  <c r="AY833" i="13"/>
  <c r="AX833" i="13"/>
  <c r="AZ833" i="13"/>
  <c r="AX829" i="13"/>
  <c r="AZ829" i="13"/>
  <c r="AY829" i="13"/>
  <c r="AZ853" i="13"/>
  <c r="AY853" i="13"/>
  <c r="AX853" i="13"/>
  <c r="AZ849" i="13"/>
  <c r="AY849" i="13"/>
  <c r="AX849" i="13"/>
  <c r="AX825" i="13"/>
  <c r="AZ771" i="13"/>
  <c r="AY771" i="13"/>
  <c r="AX771" i="13"/>
  <c r="AZ874" i="13"/>
  <c r="AY874" i="13"/>
  <c r="AX874" i="13"/>
  <c r="AX844" i="13"/>
  <c r="AZ844" i="13"/>
  <c r="AY844" i="13"/>
  <c r="AY842" i="13"/>
  <c r="AY782" i="13"/>
  <c r="AX782" i="13"/>
  <c r="AZ782" i="13"/>
  <c r="AZ841" i="13"/>
  <c r="AY841" i="13"/>
  <c r="AX841" i="13"/>
  <c r="AX723" i="13"/>
  <c r="AZ723" i="13"/>
  <c r="AY723" i="13"/>
  <c r="AZ742" i="13"/>
  <c r="AY742" i="13"/>
  <c r="AX742" i="13"/>
  <c r="AZ728" i="13"/>
  <c r="AY728" i="13"/>
  <c r="AX728" i="13"/>
  <c r="AY686" i="13"/>
  <c r="AX686" i="13"/>
  <c r="AZ686" i="13"/>
  <c r="AY666" i="13"/>
  <c r="AX666" i="13"/>
  <c r="AZ666" i="13"/>
  <c r="AX777" i="13"/>
  <c r="AY658" i="13"/>
  <c r="AX658" i="13"/>
  <c r="AZ658" i="13"/>
  <c r="AZ808" i="13"/>
  <c r="AY808" i="13"/>
  <c r="AX808" i="13"/>
  <c r="AZ689" i="13"/>
  <c r="AY693" i="13"/>
  <c r="AZ691" i="13"/>
  <c r="AY691" i="13"/>
  <c r="AX691" i="13"/>
  <c r="AZ600" i="13"/>
  <c r="AY600" i="13"/>
  <c r="AX600" i="13"/>
  <c r="AZ583" i="13"/>
  <c r="AY583" i="13"/>
  <c r="AX583" i="13"/>
  <c r="AZ548" i="13"/>
  <c r="AY548" i="13"/>
  <c r="AX548" i="13"/>
  <c r="AZ611" i="13"/>
  <c r="AY611" i="13"/>
  <c r="AX611" i="13"/>
  <c r="AZ590" i="13"/>
  <c r="AX590" i="13"/>
  <c r="AY590" i="13"/>
  <c r="AX585" i="13"/>
  <c r="AZ585" i="13"/>
  <c r="AY585" i="13"/>
  <c r="AZ579" i="13"/>
  <c r="AY579" i="13"/>
  <c r="AX579" i="13"/>
  <c r="AZ572" i="13"/>
  <c r="AY572" i="13"/>
  <c r="AX572" i="13"/>
  <c r="AY668" i="13"/>
  <c r="AX668" i="13"/>
  <c r="AZ668" i="13"/>
  <c r="AZ620" i="13"/>
  <c r="AY620" i="13"/>
  <c r="AX620" i="13"/>
  <c r="AZ588" i="13"/>
  <c r="AY588" i="13"/>
  <c r="AX588" i="13"/>
  <c r="AZ564" i="13"/>
  <c r="AY564" i="13"/>
  <c r="AX564" i="13"/>
  <c r="AZ626" i="13"/>
  <c r="AX626" i="13"/>
  <c r="AY626" i="13"/>
  <c r="AZ615" i="13"/>
  <c r="AY615" i="13"/>
  <c r="AX615" i="13"/>
  <c r="AZ563" i="13"/>
  <c r="AY563" i="13"/>
  <c r="AX563" i="13"/>
  <c r="AY645" i="13"/>
  <c r="AZ645" i="13"/>
  <c r="AX645" i="13"/>
  <c r="AZ582" i="13"/>
  <c r="AX582" i="13"/>
  <c r="AY582" i="13"/>
  <c r="AY677" i="13"/>
  <c r="AZ528" i="13"/>
  <c r="AY528" i="13"/>
  <c r="AX528" i="13"/>
  <c r="AZ576" i="13"/>
  <c r="AY576" i="13"/>
  <c r="AX576" i="13"/>
  <c r="AX569" i="13"/>
  <c r="AZ569" i="13"/>
  <c r="AY569" i="13"/>
  <c r="AX533" i="13"/>
  <c r="AZ533" i="13"/>
  <c r="AY533" i="13"/>
  <c r="AY479" i="13"/>
  <c r="AZ479" i="13"/>
  <c r="AX479" i="13"/>
  <c r="AY584" i="13"/>
  <c r="AZ474" i="13"/>
  <c r="AY474" i="13"/>
  <c r="AX474" i="13"/>
  <c r="AX478" i="13"/>
  <c r="AZ449" i="13"/>
  <c r="AY449" i="13"/>
  <c r="AX449" i="13"/>
  <c r="AY438" i="13"/>
  <c r="AZ428" i="13"/>
  <c r="AY428" i="13"/>
  <c r="AX428" i="13"/>
  <c r="AY414" i="13"/>
  <c r="AZ414" i="13"/>
  <c r="AX414" i="13"/>
  <c r="AZ361" i="13"/>
  <c r="AY361" i="13"/>
  <c r="AX361" i="13"/>
  <c r="AZ478" i="13"/>
  <c r="AZ337" i="13"/>
  <c r="AY337" i="13"/>
  <c r="AX337" i="13"/>
  <c r="AZ514" i="13"/>
  <c r="AY415" i="13"/>
  <c r="AX415" i="13"/>
  <c r="AZ415" i="13"/>
  <c r="AZ518" i="13"/>
  <c r="AY518" i="13"/>
  <c r="AX518" i="13"/>
  <c r="AZ429" i="13"/>
  <c r="AY429" i="13"/>
  <c r="AX429" i="13"/>
  <c r="AY409" i="13"/>
  <c r="AZ409" i="13"/>
  <c r="AX409" i="13"/>
  <c r="AY354" i="13"/>
  <c r="AZ354" i="13"/>
  <c r="AX354" i="13"/>
  <c r="AL302" i="13"/>
  <c r="AJ302" i="13"/>
  <c r="AH302" i="13"/>
  <c r="AO302" i="13"/>
  <c r="AN302" i="13"/>
  <c r="AM302" i="13"/>
  <c r="AK302" i="13"/>
  <c r="AI302" i="13"/>
  <c r="AZ265" i="13"/>
  <c r="AY265" i="13"/>
  <c r="AX265" i="13"/>
  <c r="AX389" i="13"/>
  <c r="AZ389" i="13"/>
  <c r="AY389" i="13"/>
  <c r="AY378" i="13"/>
  <c r="AZ378" i="13"/>
  <c r="AX378" i="13"/>
  <c r="AZ331" i="13"/>
  <c r="AY331" i="13"/>
  <c r="AX331" i="13"/>
  <c r="AX270" i="13"/>
  <c r="AZ270" i="13"/>
  <c r="AY270" i="13"/>
  <c r="AY371" i="13"/>
  <c r="AZ442" i="13"/>
  <c r="AY442" i="13"/>
  <c r="AX442" i="13"/>
  <c r="AY400" i="13"/>
  <c r="AX400" i="13"/>
  <c r="AZ400" i="13"/>
  <c r="AX397" i="13"/>
  <c r="AZ397" i="13"/>
  <c r="AY397" i="13"/>
  <c r="AY395" i="13"/>
  <c r="AY344" i="13"/>
  <c r="AX344" i="13"/>
  <c r="AZ344" i="13"/>
  <c r="AZ284" i="13"/>
  <c r="AY284" i="13"/>
  <c r="AX284" i="13"/>
  <c r="AZ258" i="13"/>
  <c r="AY258" i="13"/>
  <c r="AX258" i="13"/>
  <c r="AZ257" i="13"/>
  <c r="AY257" i="13"/>
  <c r="AX257" i="13"/>
  <c r="AX255" i="13"/>
  <c r="AZ255" i="13"/>
  <c r="AY255" i="13"/>
  <c r="AZ271" i="13"/>
  <c r="AY271" i="13"/>
  <c r="AX271" i="13"/>
  <c r="AX199" i="13"/>
  <c r="AZ199" i="13"/>
  <c r="AY199" i="13"/>
  <c r="AZ291" i="13"/>
  <c r="AY291" i="13"/>
  <c r="AX291" i="13"/>
  <c r="AY206" i="13"/>
  <c r="AX206" i="13"/>
  <c r="AZ206" i="13"/>
  <c r="AZ200" i="13"/>
  <c r="AX200" i="13"/>
  <c r="AY200" i="13"/>
  <c r="AZ165" i="13"/>
  <c r="AY165" i="13"/>
  <c r="AX165" i="13"/>
  <c r="AY133" i="13"/>
  <c r="AX133" i="13"/>
  <c r="AZ133" i="13"/>
  <c r="AZ325" i="13"/>
  <c r="AY325" i="13"/>
  <c r="AX325" i="13"/>
  <c r="AX247" i="13"/>
  <c r="AZ247" i="13"/>
  <c r="AY247" i="13"/>
  <c r="AY380" i="13"/>
  <c r="AZ380" i="13"/>
  <c r="AX380" i="13"/>
  <c r="AZ303" i="13"/>
  <c r="AY303" i="13"/>
  <c r="AX303" i="13"/>
  <c r="AZ216" i="13"/>
  <c r="AY216" i="13"/>
  <c r="AX216" i="13"/>
  <c r="AY202" i="13"/>
  <c r="AX202" i="13"/>
  <c r="AZ202" i="13"/>
  <c r="AZ166" i="13"/>
  <c r="AY166" i="13"/>
  <c r="AX166" i="13"/>
  <c r="AY112" i="13"/>
  <c r="AZ83" i="13"/>
  <c r="AX83" i="13"/>
  <c r="AY83" i="13"/>
  <c r="AZ63" i="13"/>
  <c r="U13" i="10"/>
  <c r="AZ181" i="13"/>
  <c r="AY181" i="13"/>
  <c r="AX181" i="13"/>
  <c r="AZ107" i="13"/>
  <c r="AY107" i="13"/>
  <c r="AX107" i="13"/>
  <c r="AY101" i="13"/>
  <c r="AX101" i="13"/>
  <c r="AZ101" i="13"/>
  <c r="AY69" i="13"/>
  <c r="AX69" i="13"/>
  <c r="AZ69" i="13"/>
  <c r="AZ185" i="13"/>
  <c r="AY185" i="13"/>
  <c r="AX185" i="13"/>
  <c r="AZ159" i="13"/>
  <c r="AY159" i="13"/>
  <c r="AX159" i="13"/>
  <c r="AX190" i="13"/>
  <c r="AZ190" i="13"/>
  <c r="AY190" i="13"/>
  <c r="AY152" i="13"/>
  <c r="AX152" i="13"/>
  <c r="AZ152" i="13"/>
  <c r="AY97" i="13"/>
  <c r="AX97" i="13"/>
  <c r="AZ97" i="13"/>
  <c r="AY89" i="13"/>
  <c r="AX89" i="13"/>
  <c r="AZ89" i="13"/>
  <c r="AY81" i="13"/>
  <c r="AX81" i="13"/>
  <c r="AZ81" i="13"/>
  <c r="AY73" i="13"/>
  <c r="AX73" i="13"/>
  <c r="AZ73" i="13"/>
  <c r="AX104" i="13"/>
  <c r="AZ54" i="13"/>
  <c r="AY54" i="13"/>
  <c r="AX54" i="13"/>
  <c r="AX7" i="13"/>
  <c r="AZ7" i="13"/>
  <c r="AY7" i="13"/>
  <c r="BA10" i="13"/>
  <c r="BA8" i="13"/>
  <c r="AX19" i="13"/>
  <c r="AZ19" i="13"/>
  <c r="AY19" i="13"/>
  <c r="AZ16" i="13"/>
  <c r="AY16" i="13"/>
  <c r="AX16" i="13"/>
  <c r="AZ100" i="13"/>
  <c r="AX174" i="13"/>
  <c r="AZ174" i="13"/>
  <c r="AY174" i="13"/>
  <c r="AZ45" i="13"/>
  <c r="AY45" i="13"/>
  <c r="AX45" i="13"/>
  <c r="AY147" i="13"/>
  <c r="E123" i="7"/>
  <c r="J24" i="7"/>
  <c r="G24" i="7"/>
  <c r="AF1056" i="13"/>
  <c r="AF1040" i="13"/>
  <c r="AF1024" i="13"/>
  <c r="AF984" i="13"/>
  <c r="AF968" i="13"/>
  <c r="AF928" i="13"/>
  <c r="AF888" i="13"/>
  <c r="AF864" i="13"/>
  <c r="AF840" i="13"/>
  <c r="AF832" i="13"/>
  <c r="AF712" i="13"/>
  <c r="AF672" i="13"/>
  <c r="AF656" i="13"/>
  <c r="AF584" i="13"/>
  <c r="AF504" i="13"/>
  <c r="AF440" i="13"/>
  <c r="AF392" i="13"/>
  <c r="AF240" i="13"/>
  <c r="AF176" i="13"/>
  <c r="AF160" i="13"/>
  <c r="AF88" i="13"/>
  <c r="AF48" i="13"/>
  <c r="AF1167" i="13"/>
  <c r="AF1127" i="13"/>
  <c r="AF1063" i="13"/>
  <c r="AF999" i="13"/>
  <c r="AF879" i="13"/>
  <c r="AF863" i="13"/>
  <c r="AF815" i="13"/>
  <c r="AF791" i="13"/>
  <c r="AF767" i="13"/>
  <c r="AF655" i="13"/>
  <c r="AF647" i="13"/>
  <c r="AF591" i="13"/>
  <c r="AF495" i="13"/>
  <c r="AF487" i="13"/>
  <c r="AF431" i="13"/>
  <c r="AF231" i="13"/>
  <c r="AF159" i="13"/>
  <c r="AF87" i="13"/>
  <c r="AF39" i="13"/>
  <c r="B10" i="9"/>
  <c r="F10" i="9" s="1"/>
  <c r="G73" i="6"/>
  <c r="H73" i="6"/>
  <c r="P11" i="6"/>
  <c r="K11" i="6"/>
  <c r="E115" i="6"/>
  <c r="D115" i="6"/>
  <c r="C115" i="6"/>
  <c r="B115" i="6"/>
  <c r="F115" i="6"/>
  <c r="C32" i="6"/>
  <c r="G72" i="6"/>
  <c r="K10" i="6"/>
  <c r="P10" i="6"/>
  <c r="AF1196" i="13"/>
  <c r="AF1188" i="13"/>
  <c r="AF1068" i="13"/>
  <c r="AF940" i="13"/>
  <c r="AF804" i="13"/>
  <c r="AF788" i="13"/>
  <c r="AF724" i="13"/>
  <c r="AF708" i="13"/>
  <c r="AF620" i="13"/>
  <c r="AF556" i="13"/>
  <c r="AF412" i="13"/>
  <c r="AF380" i="13"/>
  <c r="AF316" i="13"/>
  <c r="AF212" i="13"/>
  <c r="AF172" i="13"/>
  <c r="AF132" i="13"/>
  <c r="AF124" i="13"/>
  <c r="AF20" i="13"/>
  <c r="AF1201" i="13"/>
  <c r="AF1155" i="13"/>
  <c r="AF1130" i="13"/>
  <c r="AF1085" i="13"/>
  <c r="AF1078" i="13"/>
  <c r="AF1066" i="13"/>
  <c r="AF995" i="13"/>
  <c r="AF925" i="13"/>
  <c r="AF913" i="13"/>
  <c r="AF886" i="13"/>
  <c r="AF810" i="13"/>
  <c r="AF694" i="13"/>
  <c r="AF554" i="13"/>
  <c r="AF529" i="13"/>
  <c r="AF374" i="13"/>
  <c r="AF362" i="13"/>
  <c r="AF323" i="13"/>
  <c r="AD2" i="13"/>
  <c r="AF1150" i="13"/>
  <c r="AF1086" i="13"/>
  <c r="AF1074" i="13"/>
  <c r="AF1042" i="13"/>
  <c r="AF1003" i="13"/>
  <c r="AF933" i="13"/>
  <c r="AF894" i="13"/>
  <c r="AF818" i="13"/>
  <c r="AF779" i="13"/>
  <c r="AF702" i="13"/>
  <c r="AF562" i="13"/>
  <c r="AF434" i="13"/>
  <c r="AF382" i="13"/>
  <c r="AF370" i="13"/>
  <c r="H74" i="6"/>
  <c r="AF1190" i="13"/>
  <c r="AF1114" i="13"/>
  <c r="AF1089" i="13"/>
  <c r="AF1069" i="13"/>
  <c r="AF1062" i="13"/>
  <c r="AF998" i="13"/>
  <c r="AF986" i="13"/>
  <c r="AF922" i="13"/>
  <c r="AF858" i="13"/>
  <c r="AF838" i="13"/>
  <c r="AF819" i="13"/>
  <c r="AF749" i="13"/>
  <c r="AF717" i="13"/>
  <c r="AF691" i="13"/>
  <c r="AF685" i="13"/>
  <c r="AF666" i="13"/>
  <c r="AF653" i="13"/>
  <c r="AF609" i="13"/>
  <c r="AF557" i="13"/>
  <c r="AF486" i="13"/>
  <c r="AF449" i="13"/>
  <c r="AF321" i="13"/>
  <c r="AF237" i="13"/>
  <c r="AF198" i="13"/>
  <c r="AF179" i="13"/>
  <c r="AF83" i="13"/>
  <c r="AF38" i="13"/>
  <c r="AF33" i="13"/>
  <c r="AF898" i="13"/>
  <c r="AF777" i="13"/>
  <c r="AF1166" i="13"/>
  <c r="AF1083" i="13"/>
  <c r="AF1077" i="13"/>
  <c r="AF1033" i="13"/>
  <c r="AF981" i="13"/>
  <c r="AF974" i="13"/>
  <c r="AF955" i="13"/>
  <c r="AF905" i="13"/>
  <c r="AF259" i="13"/>
  <c r="AF131" i="13"/>
  <c r="AF118" i="13"/>
  <c r="AF379" i="13"/>
  <c r="AF213" i="13"/>
  <c r="AF187" i="13"/>
  <c r="AF53" i="13"/>
  <c r="AF667" i="13"/>
  <c r="AF309" i="13"/>
  <c r="AF234" i="13"/>
  <c r="AF43" i="13"/>
  <c r="AF14" i="13"/>
  <c r="AF297" i="13"/>
  <c r="AF49" i="13"/>
  <c r="AF494" i="13"/>
  <c r="AF241" i="13"/>
  <c r="AF169" i="13"/>
  <c r="AF113" i="13"/>
  <c r="AF50" i="13"/>
  <c r="AF41" i="13"/>
  <c r="AF158" i="13"/>
  <c r="AF110" i="13"/>
  <c r="AP5" i="13"/>
  <c r="AF469" i="13"/>
  <c r="AF393" i="13"/>
  <c r="AF245" i="13"/>
  <c r="AF209" i="13"/>
  <c r="I57" i="1"/>
  <c r="G57" i="1"/>
  <c r="AF299" i="13"/>
  <c r="AF206" i="13"/>
  <c r="AF170" i="13"/>
  <c r="AF693" i="13"/>
  <c r="AP3" i="13"/>
  <c r="AE3" i="13"/>
  <c r="AT3" i="13"/>
  <c r="AD3" i="13"/>
  <c r="AS3" i="13"/>
  <c r="AB3" i="13"/>
  <c r="AA3" i="13"/>
  <c r="AX1189" i="13"/>
  <c r="AZ1189" i="13"/>
  <c r="AY1189" i="13"/>
  <c r="AX1147" i="13"/>
  <c r="AY1147" i="13"/>
  <c r="AZ1147" i="13"/>
  <c r="AY778" i="13"/>
  <c r="AX778" i="13"/>
  <c r="AZ778" i="13"/>
  <c r="AY774" i="13"/>
  <c r="AX774" i="13"/>
  <c r="AZ774" i="13"/>
  <c r="AX756" i="13"/>
  <c r="AZ756" i="13"/>
  <c r="AY756" i="13"/>
  <c r="AZ580" i="13"/>
  <c r="AY580" i="13"/>
  <c r="AX580" i="13"/>
  <c r="AZ602" i="13"/>
  <c r="AX602" i="13"/>
  <c r="AY602" i="13"/>
  <c r="AX613" i="13"/>
  <c r="AZ613" i="13"/>
  <c r="AY613" i="13"/>
  <c r="AZ705" i="13"/>
  <c r="AY705" i="13"/>
  <c r="AX705" i="13"/>
  <c r="AY463" i="13"/>
  <c r="AX463" i="13"/>
  <c r="AZ463" i="13"/>
  <c r="AY410" i="13"/>
  <c r="AZ410" i="13"/>
  <c r="AX410" i="13"/>
  <c r="AZ530" i="13"/>
  <c r="AX530" i="13"/>
  <c r="AY530" i="13"/>
  <c r="AZ441" i="13"/>
  <c r="AY441" i="13"/>
  <c r="AX441" i="13"/>
  <c r="AZ329" i="13"/>
  <c r="AY329" i="13"/>
  <c r="AX329" i="13"/>
  <c r="AY113" i="13"/>
  <c r="AZ113" i="13"/>
  <c r="AZ1192" i="13"/>
  <c r="AY1192" i="13"/>
  <c r="AX1192" i="13"/>
  <c r="AZ1153" i="13"/>
  <c r="AY1153" i="13"/>
  <c r="AX1153" i="13"/>
  <c r="AZ1136" i="13"/>
  <c r="AZ1120" i="13"/>
  <c r="AY1120" i="13"/>
  <c r="AX1120" i="13"/>
  <c r="AY1137" i="13"/>
  <c r="AZ1137" i="13"/>
  <c r="AX1137" i="13"/>
  <c r="AY1107" i="13"/>
  <c r="AX1107" i="13"/>
  <c r="AZ1107" i="13"/>
  <c r="AY1125" i="13"/>
  <c r="AZ1125" i="13"/>
  <c r="AX1125" i="13"/>
  <c r="AX1069" i="13"/>
  <c r="AZ1069" i="13"/>
  <c r="AY1069" i="13"/>
  <c r="AX1077" i="13"/>
  <c r="AZ1077" i="13"/>
  <c r="AY1077" i="13"/>
  <c r="AZ1086" i="13"/>
  <c r="AY1086" i="13"/>
  <c r="AX1086" i="13"/>
  <c r="AZ1091" i="13"/>
  <c r="AY1091" i="13"/>
  <c r="AX1091" i="13"/>
  <c r="AZ1190" i="13"/>
  <c r="AX1190" i="13"/>
  <c r="AY1190" i="13"/>
  <c r="AZ1053" i="13"/>
  <c r="AX1053" i="13"/>
  <c r="AY1053" i="13"/>
  <c r="AZ1071" i="13"/>
  <c r="AX1071" i="13"/>
  <c r="AY1071" i="13"/>
  <c r="AY1068" i="13"/>
  <c r="AZ1068" i="13"/>
  <c r="AX1068" i="13"/>
  <c r="AJ1013" i="13"/>
  <c r="AI1013" i="13"/>
  <c r="AH1013" i="13"/>
  <c r="AO1013" i="13"/>
  <c r="AN1013" i="13"/>
  <c r="AM1013" i="13"/>
  <c r="AL1013" i="13"/>
  <c r="AK1013" i="13"/>
  <c r="AZ977" i="13"/>
  <c r="AY977" i="13"/>
  <c r="AX977" i="13"/>
  <c r="AZ968" i="13"/>
  <c r="AY968" i="13"/>
  <c r="AX968" i="13"/>
  <c r="AX1002" i="13"/>
  <c r="AX961" i="13"/>
  <c r="AZ961" i="13"/>
  <c r="AY961" i="13"/>
  <c r="AZ988" i="13"/>
  <c r="AY988" i="13"/>
  <c r="AX988" i="13"/>
  <c r="AX912" i="13"/>
  <c r="AZ912" i="13"/>
  <c r="AY912" i="13"/>
  <c r="AX922" i="13"/>
  <c r="AZ922" i="13"/>
  <c r="AY922" i="13"/>
  <c r="AY1003" i="13"/>
  <c r="AZ1003" i="13"/>
  <c r="AX1003" i="13"/>
  <c r="AY928" i="13"/>
  <c r="AX928" i="13"/>
  <c r="AZ928" i="13"/>
  <c r="AY876" i="13"/>
  <c r="AX876" i="13"/>
  <c r="AZ876" i="13"/>
  <c r="AM893" i="13"/>
  <c r="AL893" i="13"/>
  <c r="AK893" i="13"/>
  <c r="AJ893" i="13"/>
  <c r="AI893" i="13"/>
  <c r="AH893" i="13"/>
  <c r="AO893" i="13"/>
  <c r="AN893" i="13"/>
  <c r="AZ901" i="13"/>
  <c r="AY901" i="13"/>
  <c r="AX901" i="13"/>
  <c r="AZ899" i="13"/>
  <c r="AY899" i="13"/>
  <c r="AX899" i="13"/>
  <c r="AX923" i="13"/>
  <c r="AZ865" i="13"/>
  <c r="AY865" i="13"/>
  <c r="AX865" i="13"/>
  <c r="AX914" i="13"/>
  <c r="AZ914" i="13"/>
  <c r="AY914" i="13"/>
  <c r="AZ892" i="13"/>
  <c r="AY892" i="13"/>
  <c r="AX892" i="13"/>
  <c r="AX840" i="13"/>
  <c r="AZ840" i="13"/>
  <c r="AY840" i="13"/>
  <c r="AY827" i="13"/>
  <c r="AX827" i="13"/>
  <c r="AZ827" i="13"/>
  <c r="AZ878" i="13"/>
  <c r="AY878" i="13"/>
  <c r="AX878" i="13"/>
  <c r="AY851" i="13"/>
  <c r="AX851" i="13"/>
  <c r="AZ851" i="13"/>
  <c r="AZ826" i="13"/>
  <c r="AY826" i="13"/>
  <c r="AX826" i="13"/>
  <c r="AY823" i="13"/>
  <c r="AX823" i="13"/>
  <c r="AZ823" i="13"/>
  <c r="AZ810" i="13"/>
  <c r="AY810" i="13"/>
  <c r="AX810" i="13"/>
  <c r="AZ769" i="13"/>
  <c r="AY769" i="13"/>
  <c r="AX769" i="13"/>
  <c r="AZ822" i="13"/>
  <c r="AY822" i="13"/>
  <c r="AX822" i="13"/>
  <c r="AZ797" i="13"/>
  <c r="AY797" i="13"/>
  <c r="AX797" i="13"/>
  <c r="AZ793" i="13"/>
  <c r="AY793" i="13"/>
  <c r="AX793" i="13"/>
  <c r="AZ789" i="13"/>
  <c r="AY789" i="13"/>
  <c r="AX789" i="13"/>
  <c r="AZ785" i="13"/>
  <c r="AY785" i="13"/>
  <c r="AX785" i="13"/>
  <c r="AZ781" i="13"/>
  <c r="AY781" i="13"/>
  <c r="AX781" i="13"/>
  <c r="AY794" i="13"/>
  <c r="AX794" i="13"/>
  <c r="AZ794" i="13"/>
  <c r="AX770" i="13"/>
  <c r="AZ770" i="13"/>
  <c r="AY770" i="13"/>
  <c r="AX764" i="13"/>
  <c r="AZ764" i="13"/>
  <c r="AY764" i="13"/>
  <c r="AZ824" i="13"/>
  <c r="AY824" i="13"/>
  <c r="AX824" i="13"/>
  <c r="AZ724" i="13"/>
  <c r="AY724" i="13"/>
  <c r="AX724" i="13"/>
  <c r="AY721" i="13"/>
  <c r="AX721" i="13"/>
  <c r="AZ721" i="13"/>
  <c r="AX787" i="13"/>
  <c r="AZ787" i="13"/>
  <c r="AY787" i="13"/>
  <c r="AX719" i="13"/>
  <c r="AZ719" i="13"/>
  <c r="AY719" i="13"/>
  <c r="AY803" i="13"/>
  <c r="AX803" i="13"/>
  <c r="AZ803" i="13"/>
  <c r="AZ706" i="13"/>
  <c r="AY706" i="13"/>
  <c r="AX706" i="13"/>
  <c r="AX754" i="13"/>
  <c r="AZ754" i="13"/>
  <c r="AY754" i="13"/>
  <c r="AZ748" i="13"/>
  <c r="AY748" i="13"/>
  <c r="AX748" i="13"/>
  <c r="AZ726" i="13"/>
  <c r="AY726" i="13"/>
  <c r="AX726" i="13"/>
  <c r="AZ640" i="13"/>
  <c r="AX640" i="13"/>
  <c r="AY640" i="13"/>
  <c r="AZ631" i="13"/>
  <c r="AY631" i="13"/>
  <c r="AX631" i="13"/>
  <c r="AY687" i="13"/>
  <c r="AZ693" i="13"/>
  <c r="AZ624" i="13"/>
  <c r="AY624" i="13"/>
  <c r="AX624" i="13"/>
  <c r="AZ551" i="13"/>
  <c r="AY551" i="13"/>
  <c r="AX551" i="13"/>
  <c r="AZ603" i="13"/>
  <c r="AY603" i="13"/>
  <c r="AX603" i="13"/>
  <c r="AX665" i="13"/>
  <c r="AZ575" i="13"/>
  <c r="AY575" i="13"/>
  <c r="AX575" i="13"/>
  <c r="AZ567" i="13"/>
  <c r="AY567" i="13"/>
  <c r="AX567" i="13"/>
  <c r="AZ643" i="13"/>
  <c r="AY643" i="13"/>
  <c r="AX643" i="13"/>
  <c r="AZ586" i="13"/>
  <c r="AX586" i="13"/>
  <c r="AY586" i="13"/>
  <c r="AZ513" i="13"/>
  <c r="AY513" i="13"/>
  <c r="AX513" i="13"/>
  <c r="AZ497" i="13"/>
  <c r="AY497" i="13"/>
  <c r="AX497" i="13"/>
  <c r="AZ482" i="13"/>
  <c r="AY482" i="13"/>
  <c r="AX482" i="13"/>
  <c r="AY488" i="13"/>
  <c r="AZ488" i="13"/>
  <c r="AX488" i="13"/>
  <c r="AY475" i="13"/>
  <c r="AZ475" i="13"/>
  <c r="AX475" i="13"/>
  <c r="AY675" i="13"/>
  <c r="AY476" i="13"/>
  <c r="AZ476" i="13"/>
  <c r="AX476" i="13"/>
  <c r="AX510" i="13"/>
  <c r="AZ437" i="13"/>
  <c r="AY437" i="13"/>
  <c r="AX437" i="13"/>
  <c r="AY396" i="13"/>
  <c r="AZ396" i="13"/>
  <c r="AX396" i="13"/>
  <c r="AZ544" i="13"/>
  <c r="AY544" i="13"/>
  <c r="AX544" i="13"/>
  <c r="AZ502" i="13"/>
  <c r="AY502" i="13"/>
  <c r="AX502" i="13"/>
  <c r="AX421" i="13"/>
  <c r="AZ452" i="13"/>
  <c r="AY452" i="13"/>
  <c r="AX452" i="13"/>
  <c r="AZ272" i="13"/>
  <c r="AY272" i="13"/>
  <c r="AX272" i="13"/>
  <c r="AY384" i="13"/>
  <c r="AX384" i="13"/>
  <c r="AZ384" i="13"/>
  <c r="AY376" i="13"/>
  <c r="AX376" i="13"/>
  <c r="AZ376" i="13"/>
  <c r="AY368" i="13"/>
  <c r="AX368" i="13"/>
  <c r="AZ368" i="13"/>
  <c r="AY360" i="13"/>
  <c r="AX360" i="13"/>
  <c r="AZ360" i="13"/>
  <c r="AZ377" i="13"/>
  <c r="AX328" i="13"/>
  <c r="AZ328" i="13"/>
  <c r="AY328" i="13"/>
  <c r="AZ457" i="13"/>
  <c r="AY457" i="13"/>
  <c r="AX457" i="13"/>
  <c r="AX446" i="13"/>
  <c r="AX381" i="13"/>
  <c r="AZ381" i="13"/>
  <c r="AY381" i="13"/>
  <c r="AX379" i="13"/>
  <c r="AZ424" i="13"/>
  <c r="AY424" i="13"/>
  <c r="AX424" i="13"/>
  <c r="AZ321" i="13"/>
  <c r="AY321" i="13"/>
  <c r="AX321" i="13"/>
  <c r="AZ295" i="13"/>
  <c r="AY295" i="13"/>
  <c r="AX295" i="13"/>
  <c r="AL280" i="13"/>
  <c r="AK280" i="13"/>
  <c r="AN280" i="13"/>
  <c r="AM280" i="13"/>
  <c r="AJ280" i="13"/>
  <c r="AI280" i="13"/>
  <c r="AH280" i="13"/>
  <c r="AO280" i="13"/>
  <c r="AZ212" i="13"/>
  <c r="AX212" i="13"/>
  <c r="AY212" i="13"/>
  <c r="AZ193" i="13"/>
  <c r="AY193" i="13"/>
  <c r="AX193" i="13"/>
  <c r="AZ177" i="13"/>
  <c r="AY177" i="13"/>
  <c r="AX177" i="13"/>
  <c r="AZ293" i="13"/>
  <c r="AX293" i="13"/>
  <c r="AY293" i="13"/>
  <c r="AZ252" i="13"/>
  <c r="AY252" i="13"/>
  <c r="AX252" i="13"/>
  <c r="AZ262" i="13"/>
  <c r="AY262" i="13"/>
  <c r="AX262" i="13"/>
  <c r="AZ261" i="13"/>
  <c r="AY261" i="13"/>
  <c r="AX261" i="13"/>
  <c r="AX259" i="13"/>
  <c r="AZ259" i="13"/>
  <c r="AY259" i="13"/>
  <c r="AZ208" i="13"/>
  <c r="AX208" i="13"/>
  <c r="AY208" i="13"/>
  <c r="AX335" i="13"/>
  <c r="AZ153" i="13"/>
  <c r="AY153" i="13"/>
  <c r="AX153" i="13"/>
  <c r="AY121" i="13"/>
  <c r="AX121" i="13"/>
  <c r="AZ121" i="13"/>
  <c r="AY364" i="13"/>
  <c r="AZ364" i="13"/>
  <c r="AX364" i="13"/>
  <c r="AZ250" i="13"/>
  <c r="AY250" i="13"/>
  <c r="AX250" i="13"/>
  <c r="AZ249" i="13"/>
  <c r="AY249" i="13"/>
  <c r="AX249" i="13"/>
  <c r="AX235" i="13"/>
  <c r="AZ235" i="13"/>
  <c r="AY235" i="13"/>
  <c r="AZ180" i="13"/>
  <c r="AX180" i="13"/>
  <c r="AY180" i="13"/>
  <c r="AZ154" i="13"/>
  <c r="AY154" i="13"/>
  <c r="AX154" i="13"/>
  <c r="AZ130" i="13"/>
  <c r="AY130" i="13"/>
  <c r="AX130" i="13"/>
  <c r="AZ114" i="13"/>
  <c r="AY114" i="13"/>
  <c r="AX114" i="13"/>
  <c r="AX458" i="13"/>
  <c r="AZ201" i="13"/>
  <c r="AY201" i="13"/>
  <c r="AX201" i="13"/>
  <c r="AZ124" i="13"/>
  <c r="AX175" i="13"/>
  <c r="AZ175" i="13"/>
  <c r="AY175" i="13"/>
  <c r="S13" i="10"/>
  <c r="AZ151" i="13"/>
  <c r="AY151" i="13"/>
  <c r="AX151" i="13"/>
  <c r="AZ307" i="13"/>
  <c r="AY307" i="13"/>
  <c r="AX307" i="13"/>
  <c r="AZ95" i="13"/>
  <c r="AY95" i="13"/>
  <c r="AX95" i="13"/>
  <c r="AZ79" i="13"/>
  <c r="AY79" i="13"/>
  <c r="AX79" i="13"/>
  <c r="AX205" i="13"/>
  <c r="AY160" i="13"/>
  <c r="AX160" i="13"/>
  <c r="AZ160" i="13"/>
  <c r="AX207" i="13"/>
  <c r="AZ207" i="13"/>
  <c r="AY207" i="13"/>
  <c r="AX203" i="13"/>
  <c r="AZ203" i="13"/>
  <c r="AY203" i="13"/>
  <c r="AY136" i="13"/>
  <c r="AZ136" i="13"/>
  <c r="AX136" i="13"/>
  <c r="AX66" i="13"/>
  <c r="AZ66" i="13"/>
  <c r="AY66" i="13"/>
  <c r="R9" i="11"/>
  <c r="F222" i="1"/>
  <c r="I58" i="1" s="1"/>
  <c r="S4" i="13"/>
  <c r="C58" i="7" s="1"/>
  <c r="AX187" i="13"/>
  <c r="AZ187" i="13"/>
  <c r="AY187" i="13"/>
  <c r="AZ21" i="13"/>
  <c r="AY21" i="13"/>
  <c r="AX21" i="13"/>
  <c r="AY135" i="13"/>
  <c r="AY64" i="13"/>
  <c r="AZ64" i="13"/>
  <c r="AX64" i="13"/>
  <c r="AZ25" i="13"/>
  <c r="AY25" i="13"/>
  <c r="AX25" i="13"/>
  <c r="AZ50" i="13"/>
  <c r="AY50" i="13"/>
  <c r="AX50" i="13"/>
  <c r="AX51" i="13"/>
  <c r="AZ51" i="13"/>
  <c r="AY51" i="13"/>
  <c r="AZ48" i="13"/>
  <c r="AY48" i="13"/>
  <c r="AX48" i="13"/>
  <c r="H124" i="7"/>
  <c r="K25" i="7"/>
  <c r="G124" i="7"/>
  <c r="F14" i="7"/>
  <c r="G14" i="7" s="1"/>
  <c r="E126" i="7"/>
  <c r="J27" i="7"/>
  <c r="G27" i="7"/>
  <c r="AF1152" i="13"/>
  <c r="AF1144" i="13"/>
  <c r="AF1032" i="13"/>
  <c r="AF992" i="13"/>
  <c r="AF920" i="13"/>
  <c r="AF896" i="13"/>
  <c r="AF872" i="13"/>
  <c r="AF848" i="13"/>
  <c r="AF680" i="13"/>
  <c r="AF664" i="13"/>
  <c r="AF592" i="13"/>
  <c r="AF512" i="13"/>
  <c r="AF480" i="13"/>
  <c r="AF448" i="13"/>
  <c r="AF400" i="13"/>
  <c r="AF248" i="13"/>
  <c r="AF184" i="13"/>
  <c r="AF168" i="13"/>
  <c r="AF96" i="13"/>
  <c r="AF56" i="13"/>
  <c r="AF1079" i="13"/>
  <c r="AF1007" i="13"/>
  <c r="AF903" i="13"/>
  <c r="AF887" i="13"/>
  <c r="AF871" i="13"/>
  <c r="AF823" i="13"/>
  <c r="AF799" i="13"/>
  <c r="AF743" i="13"/>
  <c r="AF663" i="13"/>
  <c r="AF599" i="13"/>
  <c r="AF535" i="13"/>
  <c r="AF503" i="13"/>
  <c r="AF439" i="13"/>
  <c r="AF423" i="13"/>
  <c r="AF367" i="13"/>
  <c r="AF239" i="13"/>
  <c r="AF167" i="13"/>
  <c r="AF103" i="13"/>
  <c r="AF95" i="13"/>
  <c r="AF47" i="13"/>
  <c r="B8" i="9"/>
  <c r="D8" i="9" s="1"/>
  <c r="E113" i="6"/>
  <c r="C113" i="6"/>
  <c r="F113" i="6"/>
  <c r="D113" i="6"/>
  <c r="B113" i="6"/>
  <c r="G15" i="6"/>
  <c r="O15" i="6"/>
  <c r="E77" i="6"/>
  <c r="J15" i="6"/>
  <c r="E104" i="6"/>
  <c r="B104" i="6"/>
  <c r="D104" i="6"/>
  <c r="C104" i="6"/>
  <c r="F104" i="6"/>
  <c r="AF1116" i="13"/>
  <c r="AF1092" i="13"/>
  <c r="AF1020" i="13"/>
  <c r="AF956" i="13"/>
  <c r="AF948" i="13"/>
  <c r="AF812" i="13"/>
  <c r="AF796" i="13"/>
  <c r="AF756" i="13"/>
  <c r="AF732" i="13"/>
  <c r="AF644" i="13"/>
  <c r="AF636" i="13"/>
  <c r="AF628" i="13"/>
  <c r="AF564" i="13"/>
  <c r="AF420" i="13"/>
  <c r="AF388" i="13"/>
  <c r="AF324" i="13"/>
  <c r="AF220" i="13"/>
  <c r="AF140" i="13"/>
  <c r="AF68" i="13"/>
  <c r="AF60" i="13"/>
  <c r="AF28" i="13"/>
  <c r="AX171" i="13"/>
  <c r="AF1187" i="13"/>
  <c r="AF1142" i="13"/>
  <c r="AF1091" i="13"/>
  <c r="AF950" i="13"/>
  <c r="AF945" i="13"/>
  <c r="AF893" i="13"/>
  <c r="AF765" i="13"/>
  <c r="AF739" i="13"/>
  <c r="AF733" i="13"/>
  <c r="AF726" i="13"/>
  <c r="AF675" i="13"/>
  <c r="AF669" i="13"/>
  <c r="AF637" i="13"/>
  <c r="AF630" i="13"/>
  <c r="AF593" i="13"/>
  <c r="AF541" i="13"/>
  <c r="AF483" i="13"/>
  <c r="AF433" i="13"/>
  <c r="AF305" i="13"/>
  <c r="AF1195" i="13"/>
  <c r="AF1113" i="13"/>
  <c r="AF1099" i="13"/>
  <c r="AF1067" i="13"/>
  <c r="AF953" i="13"/>
  <c r="AF811" i="13"/>
  <c r="AF805" i="13"/>
  <c r="AF773" i="13"/>
  <c r="AF754" i="13"/>
  <c r="AF747" i="13"/>
  <c r="AF741" i="13"/>
  <c r="AF683" i="13"/>
  <c r="AF677" i="13"/>
  <c r="AF658" i="13"/>
  <c r="AF601" i="13"/>
  <c r="AF549" i="13"/>
  <c r="AF478" i="13"/>
  <c r="AF441" i="13"/>
  <c r="AF1133" i="13"/>
  <c r="AF1107" i="13"/>
  <c r="AF1075" i="13"/>
  <c r="AF1057" i="13"/>
  <c r="AF993" i="13"/>
  <c r="AF710" i="13"/>
  <c r="AF595" i="13"/>
  <c r="AF582" i="13"/>
  <c r="AF506" i="13"/>
  <c r="AF467" i="13"/>
  <c r="AF454" i="13"/>
  <c r="AF410" i="13"/>
  <c r="AF403" i="13"/>
  <c r="AF353" i="13"/>
  <c r="AF282" i="13"/>
  <c r="AF275" i="13"/>
  <c r="AF250" i="13"/>
  <c r="AF147" i="13"/>
  <c r="AF134" i="13"/>
  <c r="AF51" i="13"/>
  <c r="AF859" i="13"/>
  <c r="AF802" i="13"/>
  <c r="AF1154" i="13"/>
  <c r="AF1013" i="13"/>
  <c r="AF987" i="13"/>
  <c r="AF962" i="13"/>
  <c r="AF942" i="13"/>
  <c r="AF937" i="13"/>
  <c r="AF891" i="13"/>
  <c r="AF249" i="13"/>
  <c r="AF526" i="13"/>
  <c r="AF629" i="13"/>
  <c r="AF66" i="13"/>
  <c r="AF597" i="13"/>
  <c r="AF270" i="13"/>
  <c r="AF142" i="13"/>
  <c r="AF106" i="13"/>
  <c r="AF69" i="13"/>
  <c r="AF571" i="13"/>
  <c r="AF610" i="13"/>
  <c r="AF501" i="13"/>
  <c r="AF331" i="13"/>
  <c r="AF54" i="13"/>
  <c r="AF233" i="13"/>
  <c r="AF182" i="13"/>
  <c r="AF11" i="13"/>
  <c r="AF457" i="13"/>
  <c r="AF354" i="13"/>
  <c r="AF313" i="13"/>
  <c r="AF258" i="13"/>
  <c r="AF117" i="13"/>
  <c r="AF81" i="13"/>
  <c r="AF450" i="13"/>
  <c r="AF153" i="13"/>
  <c r="AZ1109" i="13"/>
  <c r="AY1109" i="13"/>
  <c r="AX1109" i="13"/>
  <c r="AZ1160" i="13"/>
  <c r="AY1160" i="13"/>
  <c r="AX1160" i="13"/>
  <c r="AZ866" i="13"/>
  <c r="AY866" i="13"/>
  <c r="AX866" i="13"/>
  <c r="AY811" i="13"/>
  <c r="AX811" i="13"/>
  <c r="AZ811" i="13"/>
  <c r="AZ773" i="13"/>
  <c r="AY773" i="13"/>
  <c r="AX773" i="13"/>
  <c r="AY698" i="13"/>
  <c r="AX698" i="13"/>
  <c r="AZ698" i="13"/>
  <c r="AZ659" i="13"/>
  <c r="AY659" i="13"/>
  <c r="AX659" i="13"/>
  <c r="AX593" i="13"/>
  <c r="AZ593" i="13"/>
  <c r="AY593" i="13"/>
  <c r="AX1182" i="13"/>
  <c r="AZ1182" i="13"/>
  <c r="AY1182" i="13"/>
  <c r="AX1193" i="13"/>
  <c r="AZ1193" i="13"/>
  <c r="AY1193" i="13"/>
  <c r="AX1164" i="13"/>
  <c r="AZ1164" i="13"/>
  <c r="AY1164" i="13"/>
  <c r="AY1145" i="13"/>
  <c r="AZ1145" i="13"/>
  <c r="AX1145" i="13"/>
  <c r="AZ1155" i="13"/>
  <c r="AY1155" i="13"/>
  <c r="AX1155" i="13"/>
  <c r="AH1127" i="13"/>
  <c r="AO1127" i="13"/>
  <c r="AM1127" i="13"/>
  <c r="AN1127" i="13"/>
  <c r="AL1127" i="13"/>
  <c r="AK1127" i="13"/>
  <c r="AJ1127" i="13"/>
  <c r="AI1127" i="13"/>
  <c r="AX1092" i="13"/>
  <c r="AZ1092" i="13"/>
  <c r="AY1092" i="13"/>
  <c r="AM1101" i="13"/>
  <c r="AL1101" i="13"/>
  <c r="AN1101" i="13"/>
  <c r="AK1101" i="13"/>
  <c r="AJ1101" i="13"/>
  <c r="AI1101" i="13"/>
  <c r="AO1101" i="13"/>
  <c r="AH1101" i="13"/>
  <c r="AZ1108" i="13"/>
  <c r="AX1108" i="13"/>
  <c r="AY1108" i="13"/>
  <c r="AZ1045" i="13"/>
  <c r="AX1045" i="13"/>
  <c r="AY1045" i="13"/>
  <c r="AY1031" i="13"/>
  <c r="AX1031" i="13"/>
  <c r="AZ1031" i="13"/>
  <c r="AZ973" i="13"/>
  <c r="AY973" i="13"/>
  <c r="AX973" i="13"/>
  <c r="AX989" i="13"/>
  <c r="AZ989" i="13"/>
  <c r="AY989" i="13"/>
  <c r="AZ1035" i="13"/>
  <c r="AY1035" i="13"/>
  <c r="AX1035" i="13"/>
  <c r="AZ974" i="13"/>
  <c r="AY974" i="13"/>
  <c r="AX974" i="13"/>
  <c r="AY983" i="13"/>
  <c r="AZ983" i="13"/>
  <c r="AX983" i="13"/>
  <c r="AX920" i="13"/>
  <c r="AZ920" i="13"/>
  <c r="AY920" i="13"/>
  <c r="AX957" i="13"/>
  <c r="AZ957" i="13"/>
  <c r="AY957" i="13"/>
  <c r="AX904" i="13"/>
  <c r="AZ904" i="13"/>
  <c r="AY904" i="13"/>
  <c r="AZ919" i="13"/>
  <c r="AY919" i="13"/>
  <c r="AX919" i="13"/>
  <c r="AJ792" i="13"/>
  <c r="AH792" i="13"/>
  <c r="AO792" i="13"/>
  <c r="AM792" i="13"/>
  <c r="AL792" i="13"/>
  <c r="AN792" i="13"/>
  <c r="AK792" i="13"/>
  <c r="AI792" i="13"/>
  <c r="AZ828" i="13"/>
  <c r="AY828" i="13"/>
  <c r="AX828" i="13"/>
  <c r="AZ733" i="13"/>
  <c r="AY733" i="13"/>
  <c r="AX733" i="13"/>
  <c r="AZ648" i="13"/>
  <c r="AY648" i="13"/>
  <c r="AX648" i="13"/>
  <c r="AZ687" i="13"/>
  <c r="AY674" i="13"/>
  <c r="AX674" i="13"/>
  <c r="AZ674" i="13"/>
  <c r="AZ538" i="13"/>
  <c r="AX538" i="13"/>
  <c r="AY538" i="13"/>
  <c r="AZ651" i="13"/>
  <c r="AY651" i="13"/>
  <c r="AX651" i="13"/>
  <c r="AZ610" i="13"/>
  <c r="AX610" i="13"/>
  <c r="AY610" i="13"/>
  <c r="AY532" i="13"/>
  <c r="AZ532" i="13"/>
  <c r="AX532" i="13"/>
  <c r="AZ504" i="13"/>
  <c r="AY504" i="13"/>
  <c r="AX504" i="13"/>
  <c r="AY481" i="13"/>
  <c r="AX481" i="13"/>
  <c r="AZ481" i="13"/>
  <c r="AX573" i="13"/>
  <c r="AZ573" i="13"/>
  <c r="AY573" i="13"/>
  <c r="AZ635" i="13"/>
  <c r="AY635" i="13"/>
  <c r="AX635" i="13"/>
  <c r="AZ468" i="13"/>
  <c r="AY468" i="13"/>
  <c r="AX468" i="13"/>
  <c r="AY451" i="13"/>
  <c r="AX451" i="13"/>
  <c r="AZ451" i="13"/>
  <c r="AY405" i="13"/>
  <c r="AX405" i="13"/>
  <c r="AZ405" i="13"/>
  <c r="AY443" i="13"/>
  <c r="AX443" i="13"/>
  <c r="AZ443" i="13"/>
  <c r="AY393" i="13"/>
  <c r="AY422" i="13"/>
  <c r="AZ422" i="13"/>
  <c r="AX422" i="13"/>
  <c r="AZ464" i="13"/>
  <c r="AY464" i="13"/>
  <c r="AX464" i="13"/>
  <c r="AL334" i="13"/>
  <c r="AK334" i="13"/>
  <c r="AJ334" i="13"/>
  <c r="AI334" i="13"/>
  <c r="AH334" i="13"/>
  <c r="AO334" i="13"/>
  <c r="AN334" i="13"/>
  <c r="AM334" i="13"/>
  <c r="AL326" i="13"/>
  <c r="AK326" i="13"/>
  <c r="AJ326" i="13"/>
  <c r="AI326" i="13"/>
  <c r="AH326" i="13"/>
  <c r="AO326" i="13"/>
  <c r="AN326" i="13"/>
  <c r="AM326" i="13"/>
  <c r="AL318" i="13"/>
  <c r="AK318" i="13"/>
  <c r="AJ318" i="13"/>
  <c r="AI318" i="13"/>
  <c r="AH318" i="13"/>
  <c r="AO318" i="13"/>
  <c r="AN318" i="13"/>
  <c r="AM318" i="13"/>
  <c r="AL310" i="13"/>
  <c r="AK310" i="13"/>
  <c r="AJ310" i="13"/>
  <c r="AI310" i="13"/>
  <c r="AH310" i="13"/>
  <c r="AO310" i="13"/>
  <c r="AN310" i="13"/>
  <c r="AM310" i="13"/>
  <c r="AX320" i="13"/>
  <c r="AZ320" i="13"/>
  <c r="AY320" i="13"/>
  <c r="AZ416" i="13"/>
  <c r="AY416" i="13"/>
  <c r="AX416" i="13"/>
  <c r="AY411" i="13"/>
  <c r="AX411" i="13"/>
  <c r="AZ411" i="13"/>
  <c r="AZ456" i="13"/>
  <c r="AY456" i="13"/>
  <c r="AX456" i="13"/>
  <c r="AZ305" i="13"/>
  <c r="AY305" i="13"/>
  <c r="AX305" i="13"/>
  <c r="AX296" i="13"/>
  <c r="AZ296" i="13"/>
  <c r="AY296" i="13"/>
  <c r="AX373" i="13"/>
  <c r="AZ373" i="13"/>
  <c r="AY373" i="13"/>
  <c r="AZ299" i="13"/>
  <c r="AY299" i="13"/>
  <c r="AX299" i="13"/>
  <c r="AZ275" i="13"/>
  <c r="AY275" i="13"/>
  <c r="AX275" i="13"/>
  <c r="AY370" i="13"/>
  <c r="AZ370" i="13"/>
  <c r="AX370" i="13"/>
  <c r="AX336" i="13"/>
  <c r="AZ336" i="13"/>
  <c r="AY336" i="13"/>
  <c r="AZ313" i="13"/>
  <c r="AY313" i="13"/>
  <c r="AX313" i="13"/>
  <c r="AX292" i="13"/>
  <c r="AZ292" i="13"/>
  <c r="AY292" i="13"/>
  <c r="AZ317" i="13"/>
  <c r="AY317" i="13"/>
  <c r="AX317" i="13"/>
  <c r="AX312" i="13"/>
  <c r="AY312" i="13"/>
  <c r="AZ312" i="13"/>
  <c r="AZ297" i="13"/>
  <c r="AX297" i="13"/>
  <c r="AY297" i="13"/>
  <c r="AZ240" i="13"/>
  <c r="AY240" i="13"/>
  <c r="AX240" i="13"/>
  <c r="AZ285" i="13"/>
  <c r="AY285" i="13"/>
  <c r="AX285" i="13"/>
  <c r="AZ141" i="13"/>
  <c r="AY141" i="13"/>
  <c r="AX141" i="13"/>
  <c r="AY109" i="13"/>
  <c r="AX109" i="13"/>
  <c r="AZ109" i="13"/>
  <c r="AZ238" i="13"/>
  <c r="AY238" i="13"/>
  <c r="AX238" i="13"/>
  <c r="AZ237" i="13"/>
  <c r="AY237" i="13"/>
  <c r="AX237" i="13"/>
  <c r="AZ142" i="13"/>
  <c r="AY142" i="13"/>
  <c r="AX142" i="13"/>
  <c r="AX108" i="13"/>
  <c r="AZ99" i="13"/>
  <c r="AX99" i="13"/>
  <c r="AY99" i="13"/>
  <c r="AY140" i="13"/>
  <c r="AX140" i="13"/>
  <c r="AZ140" i="13"/>
  <c r="AZ123" i="13"/>
  <c r="AY123" i="13"/>
  <c r="AX123" i="13"/>
  <c r="AY77" i="13"/>
  <c r="AX77" i="13"/>
  <c r="AZ77" i="13"/>
  <c r="T13" i="10"/>
  <c r="D133" i="12"/>
  <c r="AZ143" i="13"/>
  <c r="AY143" i="13"/>
  <c r="AX143" i="13"/>
  <c r="R13" i="10"/>
  <c r="AZ192" i="13"/>
  <c r="AX192" i="13"/>
  <c r="AY192" i="13"/>
  <c r="AY168" i="13"/>
  <c r="AX168" i="13"/>
  <c r="AZ168" i="13"/>
  <c r="AZ102" i="13"/>
  <c r="AX102" i="13"/>
  <c r="AY102" i="13"/>
  <c r="AZ86" i="13"/>
  <c r="AX86" i="13"/>
  <c r="AY86" i="13"/>
  <c r="AH278" i="13"/>
  <c r="AO278" i="13"/>
  <c r="AN278" i="13"/>
  <c r="AM278" i="13"/>
  <c r="AL278" i="13"/>
  <c r="AK278" i="13"/>
  <c r="AJ278" i="13"/>
  <c r="AI278" i="13"/>
  <c r="AY96" i="13"/>
  <c r="AX96" i="13"/>
  <c r="AZ96" i="13"/>
  <c r="AZ33" i="13"/>
  <c r="AY33" i="13"/>
  <c r="AX33" i="13"/>
  <c r="AZ115" i="13"/>
  <c r="AY115" i="13"/>
  <c r="AX115" i="13"/>
  <c r="AX112" i="13"/>
  <c r="AZ40" i="13"/>
  <c r="AY40" i="13"/>
  <c r="AX40" i="13"/>
  <c r="AZ24" i="13"/>
  <c r="AY24" i="13"/>
  <c r="AX24" i="13"/>
  <c r="R2" i="11"/>
  <c r="J8" i="10"/>
  <c r="C240" i="1"/>
  <c r="C236" i="1"/>
  <c r="C238" i="1"/>
  <c r="AZ264" i="13"/>
  <c r="AY264" i="13"/>
  <c r="AX264" i="13"/>
  <c r="AY61" i="13"/>
  <c r="AZ61" i="13"/>
  <c r="AX61" i="13"/>
  <c r="AZ53" i="13"/>
  <c r="AY53" i="13"/>
  <c r="AX53" i="13"/>
  <c r="AZ32" i="13"/>
  <c r="AY32" i="13"/>
  <c r="AX32" i="13"/>
  <c r="AZ29" i="13"/>
  <c r="AY29" i="13"/>
  <c r="AX29" i="13"/>
  <c r="Y6" i="13"/>
  <c r="G35" i="7"/>
  <c r="L24" i="7"/>
  <c r="AF1184" i="13"/>
  <c r="AF1168" i="13"/>
  <c r="AF1096" i="13"/>
  <c r="AF1000" i="13"/>
  <c r="AF856" i="13"/>
  <c r="AF688" i="13"/>
  <c r="AF600" i="13"/>
  <c r="AF520" i="13"/>
  <c r="AF488" i="13"/>
  <c r="AF456" i="13"/>
  <c r="AF344" i="13"/>
  <c r="AF296" i="13"/>
  <c r="AF288" i="13"/>
  <c r="AF280" i="13"/>
  <c r="AF256" i="13"/>
  <c r="AF192" i="13"/>
  <c r="AF104" i="13"/>
  <c r="D21" i="6"/>
  <c r="AF1135" i="13"/>
  <c r="AF1071" i="13"/>
  <c r="AF911" i="13"/>
  <c r="AF895" i="13"/>
  <c r="AF831" i="13"/>
  <c r="AF671" i="13"/>
  <c r="AF607" i="13"/>
  <c r="AF543" i="13"/>
  <c r="AF511" i="13"/>
  <c r="AF447" i="13"/>
  <c r="AF375" i="13"/>
  <c r="AF287" i="13"/>
  <c r="AF271" i="13"/>
  <c r="AF247" i="13"/>
  <c r="AF111" i="13"/>
  <c r="AF55" i="13"/>
  <c r="C102" i="6"/>
  <c r="D102" i="6"/>
  <c r="B102" i="6"/>
  <c r="F102" i="6"/>
  <c r="E102" i="6"/>
  <c r="G46" i="6"/>
  <c r="C116" i="6"/>
  <c r="F116" i="6"/>
  <c r="E116" i="6"/>
  <c r="D116" i="6"/>
  <c r="B116" i="6"/>
  <c r="F30" i="6"/>
  <c r="AF1156" i="13"/>
  <c r="AF1124" i="13"/>
  <c r="AF1084" i="13"/>
  <c r="AF1044" i="13"/>
  <c r="AF980" i="13"/>
  <c r="AF972" i="13"/>
  <c r="AF908" i="13"/>
  <c r="AF820" i="13"/>
  <c r="AF764" i="13"/>
  <c r="AF740" i="13"/>
  <c r="AF660" i="13"/>
  <c r="AF652" i="13"/>
  <c r="AF572" i="13"/>
  <c r="AF492" i="13"/>
  <c r="AF428" i="13"/>
  <c r="AF396" i="13"/>
  <c r="AF332" i="13"/>
  <c r="AF268" i="13"/>
  <c r="AF228" i="13"/>
  <c r="AF148" i="13"/>
  <c r="AF36" i="13"/>
  <c r="L23" i="7"/>
  <c r="AF1169" i="13"/>
  <c r="AF1149" i="13"/>
  <c r="AF1059" i="13"/>
  <c r="AF1046" i="13"/>
  <c r="AF989" i="13"/>
  <c r="AF977" i="13"/>
  <c r="AF963" i="13"/>
  <c r="AF906" i="13"/>
  <c r="AF842" i="13"/>
  <c r="AF822" i="13"/>
  <c r="AF803" i="13"/>
  <c r="AF785" i="13"/>
  <c r="AF771" i="13"/>
  <c r="AF746" i="13"/>
  <c r="AF650" i="13"/>
  <c r="AF618" i="13"/>
  <c r="AF579" i="13"/>
  <c r="AF566" i="13"/>
  <c r="AF490" i="13"/>
  <c r="AF451" i="13"/>
  <c r="AF438" i="13"/>
  <c r="AF387" i="13"/>
  <c r="AF330" i="13"/>
  <c r="AF1125" i="13"/>
  <c r="AF1054" i="13"/>
  <c r="AF1049" i="13"/>
  <c r="AF965" i="13"/>
  <c r="AF914" i="13"/>
  <c r="AF850" i="13"/>
  <c r="AF830" i="13"/>
  <c r="AF793" i="13"/>
  <c r="AF626" i="13"/>
  <c r="AF587" i="13"/>
  <c r="AF574" i="13"/>
  <c r="AF498" i="13"/>
  <c r="AF459" i="13"/>
  <c r="AF446" i="13"/>
  <c r="AF409" i="13"/>
  <c r="AF395" i="13"/>
  <c r="AF1165" i="13"/>
  <c r="AF1126" i="13"/>
  <c r="AF1030" i="13"/>
  <c r="AF1025" i="13"/>
  <c r="AF947" i="13"/>
  <c r="AF883" i="13"/>
  <c r="AF870" i="13"/>
  <c r="AF845" i="13"/>
  <c r="AF833" i="13"/>
  <c r="AF762" i="13"/>
  <c r="AF723" i="13"/>
  <c r="AF678" i="13"/>
  <c r="AF621" i="13"/>
  <c r="AF538" i="13"/>
  <c r="AF513" i="13"/>
  <c r="AF461" i="13"/>
  <c r="AF417" i="13"/>
  <c r="AF358" i="13"/>
  <c r="AF346" i="13"/>
  <c r="AF333" i="13"/>
  <c r="AF307" i="13"/>
  <c r="AF294" i="13"/>
  <c r="AF193" i="13"/>
  <c r="AF154" i="13"/>
  <c r="AF109" i="13"/>
  <c r="AF97" i="13"/>
  <c r="AF90" i="13"/>
  <c r="AF45" i="13"/>
  <c r="AF846" i="13"/>
  <c r="AF1134" i="13"/>
  <c r="AF1097" i="13"/>
  <c r="AF1070" i="13"/>
  <c r="AF1051" i="13"/>
  <c r="AF917" i="13"/>
  <c r="AF866" i="13"/>
  <c r="AF782" i="13"/>
  <c r="AF635" i="13"/>
  <c r="AF622" i="13"/>
  <c r="AF174" i="13"/>
  <c r="AF46" i="13"/>
  <c r="AF29" i="13"/>
  <c r="AF674" i="13"/>
  <c r="AF201" i="13"/>
  <c r="AF642" i="13"/>
  <c r="AF482" i="13"/>
  <c r="AF253" i="13"/>
  <c r="AF190" i="13"/>
  <c r="AF171" i="13"/>
  <c r="AF226" i="13"/>
  <c r="AF114" i="13"/>
  <c r="AF565" i="13"/>
  <c r="AF411" i="13"/>
  <c r="AF366" i="13"/>
  <c r="AF290" i="13"/>
  <c r="AF93" i="13"/>
  <c r="AF462" i="13"/>
  <c r="AF315" i="13"/>
  <c r="AF5" i="13"/>
  <c r="AF757" i="13"/>
  <c r="AF585" i="13"/>
  <c r="AF521" i="13"/>
  <c r="AF123" i="13"/>
  <c r="AF398" i="13"/>
  <c r="AF686" i="13"/>
  <c r="AF514" i="13"/>
  <c r="AF386" i="13"/>
  <c r="AF357" i="13"/>
  <c r="AF235" i="13"/>
  <c r="AF107" i="13"/>
  <c r="AE6" i="13"/>
  <c r="AT6" i="13"/>
  <c r="AD6" i="13"/>
  <c r="AS6" i="13"/>
  <c r="AB6" i="13"/>
  <c r="AA6" i="13"/>
  <c r="AP6" i="13"/>
  <c r="AG6" i="13"/>
  <c r="M23" i="7" l="1"/>
  <c r="G34" i="7"/>
  <c r="AX805" i="13"/>
  <c r="AZ805" i="13"/>
  <c r="AY805" i="13"/>
  <c r="AZ9" i="13"/>
  <c r="AY9" i="13"/>
  <c r="AX9" i="13"/>
  <c r="AY649" i="13"/>
  <c r="AX113" i="13"/>
  <c r="AZ395" i="13"/>
  <c r="E8" i="9"/>
  <c r="D11" i="9"/>
  <c r="G9" i="9"/>
  <c r="I21" i="6" a="1"/>
  <c r="I21" i="6" s="1"/>
  <c r="F11" i="9"/>
  <c r="H21" i="6" a="1"/>
  <c r="H21" i="6" s="1"/>
  <c r="AX395" i="13"/>
  <c r="C11" i="9"/>
  <c r="AY825" i="13"/>
  <c r="AZ825" i="13"/>
  <c r="AF4" i="13"/>
  <c r="E34" i="6"/>
  <c r="D101" i="6"/>
  <c r="C101" i="6"/>
  <c r="F101" i="6"/>
  <c r="B101" i="6"/>
  <c r="E101" i="6"/>
  <c r="B19" i="1"/>
  <c r="C107" i="6"/>
  <c r="B107" i="6"/>
  <c r="F107" i="6"/>
  <c r="D107" i="6"/>
  <c r="E107" i="6"/>
  <c r="F220" i="1"/>
  <c r="F19" i="1" s="1"/>
  <c r="C22" i="7"/>
  <c r="C229" i="1"/>
  <c r="G24" i="1" s="1"/>
  <c r="L14" i="6"/>
  <c r="G25" i="6"/>
  <c r="BB8" i="13"/>
  <c r="C94" i="6" s="1"/>
  <c r="R8" i="11"/>
  <c r="J14" i="10"/>
  <c r="R9" i="3"/>
  <c r="Z9" i="3" s="1"/>
  <c r="D94" i="6"/>
  <c r="C239" i="1"/>
  <c r="N239" i="1" s="1"/>
  <c r="G28" i="1" s="1"/>
  <c r="C237" i="1"/>
  <c r="AZ306" i="13"/>
  <c r="AY306" i="13"/>
  <c r="AX306" i="13"/>
  <c r="AZ314" i="13"/>
  <c r="AY314" i="13"/>
  <c r="AX314" i="13"/>
  <c r="AZ322" i="13"/>
  <c r="AY322" i="13"/>
  <c r="AX322" i="13"/>
  <c r="AZ330" i="13"/>
  <c r="AY330" i="13"/>
  <c r="AX330" i="13"/>
  <c r="AZ338" i="13"/>
  <c r="AY338" i="13"/>
  <c r="AX338" i="13"/>
  <c r="AZ993" i="13"/>
  <c r="AX993" i="13"/>
  <c r="AY993" i="13"/>
  <c r="AX1177" i="13"/>
  <c r="AZ1177" i="13"/>
  <c r="AY1177" i="13"/>
  <c r="AZ294" i="13"/>
  <c r="AX294" i="13"/>
  <c r="AY294" i="13"/>
  <c r="AX1065" i="13"/>
  <c r="AZ1065" i="13"/>
  <c r="AY1065" i="13"/>
  <c r="AX1123" i="13"/>
  <c r="AZ1123" i="13"/>
  <c r="AY1123" i="13"/>
  <c r="AX908" i="13"/>
  <c r="AZ908" i="13"/>
  <c r="AY908" i="13"/>
  <c r="AX278" i="13"/>
  <c r="AZ278" i="13"/>
  <c r="AY278" i="13"/>
  <c r="F8" i="9"/>
  <c r="G8" i="9" s="1"/>
  <c r="R10" i="3"/>
  <c r="Z10" i="3" s="1"/>
  <c r="E103" i="6"/>
  <c r="C103" i="6"/>
  <c r="F103" i="6"/>
  <c r="D103" i="6"/>
  <c r="B103" i="6"/>
  <c r="AZ755" i="13"/>
  <c r="AY755" i="13"/>
  <c r="AX755" i="13"/>
  <c r="AZ298" i="13"/>
  <c r="AX298" i="13"/>
  <c r="AY298" i="13"/>
  <c r="G58" i="1"/>
  <c r="E33" i="6"/>
  <c r="R5" i="11"/>
  <c r="Y5" i="13"/>
  <c r="BB5" i="13"/>
  <c r="C138" i="12" s="1"/>
  <c r="F22" i="7"/>
  <c r="J9" i="10"/>
  <c r="BA5" i="13"/>
  <c r="E33" i="7"/>
  <c r="AJ5" i="13"/>
  <c r="D61" i="7"/>
  <c r="D60" i="7"/>
  <c r="D58" i="7"/>
  <c r="E22" i="7"/>
  <c r="AZ997" i="13"/>
  <c r="AX997" i="13"/>
  <c r="AY997" i="13"/>
  <c r="X2" i="11"/>
  <c r="E12" i="7"/>
  <c r="S8" i="10"/>
  <c r="D57" i="7"/>
  <c r="AY636" i="13"/>
  <c r="AZ636" i="13"/>
  <c r="AX636" i="13"/>
  <c r="AX1139" i="13"/>
  <c r="AZ1139" i="13"/>
  <c r="AY1139" i="13"/>
  <c r="AZ784" i="13"/>
  <c r="AX784" i="13"/>
  <c r="AY784" i="13"/>
  <c r="AZ788" i="13"/>
  <c r="AX788" i="13"/>
  <c r="AY788" i="13"/>
  <c r="AZ796" i="13"/>
  <c r="AX796" i="13"/>
  <c r="AY796" i="13"/>
  <c r="AZ800" i="13"/>
  <c r="AX800" i="13"/>
  <c r="AY800" i="13"/>
  <c r="AX950" i="13"/>
  <c r="AY950" i="13"/>
  <c r="AZ950" i="13"/>
  <c r="AZ310" i="13"/>
  <c r="AY310" i="13"/>
  <c r="AX310" i="13"/>
  <c r="AZ318" i="13"/>
  <c r="AY318" i="13"/>
  <c r="AX318" i="13"/>
  <c r="AZ326" i="13"/>
  <c r="AY326" i="13"/>
  <c r="AX326" i="13"/>
  <c r="AZ334" i="13"/>
  <c r="AY334" i="13"/>
  <c r="AX334" i="13"/>
  <c r="D33" i="7"/>
  <c r="AX280" i="13"/>
  <c r="AZ280" i="13"/>
  <c r="AY280" i="13"/>
  <c r="C10" i="9"/>
  <c r="AX1119" i="13"/>
  <c r="AZ1119" i="13"/>
  <c r="AY1119" i="13"/>
  <c r="D12" i="9"/>
  <c r="G12" i="9" s="1"/>
  <c r="F33" i="7"/>
  <c r="M22" i="7" s="1"/>
  <c r="AX776" i="13"/>
  <c r="AZ776" i="13"/>
  <c r="AY776" i="13"/>
  <c r="AX1115" i="13"/>
  <c r="AZ1115" i="13"/>
  <c r="AY1115" i="13"/>
  <c r="R14" i="3"/>
  <c r="Z14" i="3" s="1"/>
  <c r="G21" i="6"/>
  <c r="L10" i="6"/>
  <c r="D10" i="9"/>
  <c r="G10" i="9" s="1"/>
  <c r="G56" i="1"/>
  <c r="AZ188" i="13"/>
  <c r="AX188" i="13"/>
  <c r="AY188" i="13"/>
  <c r="E31" i="6"/>
  <c r="AF8" i="13"/>
  <c r="AZ751" i="13"/>
  <c r="AX751" i="13"/>
  <c r="AY751" i="13"/>
  <c r="AX1151" i="13"/>
  <c r="AY1151" i="13"/>
  <c r="AZ1151" i="13"/>
  <c r="C8" i="9"/>
  <c r="BA4" i="13"/>
  <c r="Y4" i="13"/>
  <c r="X4" i="11" s="1"/>
  <c r="R4" i="11"/>
  <c r="C33" i="7"/>
  <c r="BB4" i="13"/>
  <c r="AZ1013" i="13"/>
  <c r="AY1013" i="13"/>
  <c r="AX1013" i="13"/>
  <c r="E10" i="9"/>
  <c r="R15" i="3"/>
  <c r="Z15" i="3" s="1"/>
  <c r="AX316" i="13"/>
  <c r="AZ316" i="13"/>
  <c r="AY316" i="13"/>
  <c r="H19" i="1"/>
  <c r="AZ290" i="13"/>
  <c r="AX290" i="13"/>
  <c r="AY290" i="13"/>
  <c r="AX545" i="13"/>
  <c r="AZ545" i="13"/>
  <c r="AY545" i="13"/>
  <c r="AZ780" i="13"/>
  <c r="AX780" i="13"/>
  <c r="AY780" i="13"/>
  <c r="C12" i="9"/>
  <c r="G59" i="1"/>
  <c r="D59" i="7"/>
  <c r="AZ1009" i="13"/>
  <c r="AX1009" i="13"/>
  <c r="AY1009" i="13"/>
  <c r="AX985" i="13"/>
  <c r="AZ985" i="13"/>
  <c r="AY985" i="13"/>
  <c r="AZ1101" i="13"/>
  <c r="AX1101" i="13"/>
  <c r="AY1101" i="13"/>
  <c r="AZ792" i="13"/>
  <c r="AX792" i="13"/>
  <c r="AY792" i="13"/>
  <c r="AX1127" i="13"/>
  <c r="AZ1127" i="13"/>
  <c r="AY1127" i="13"/>
  <c r="R11" i="3"/>
  <c r="Z11" i="3" s="1"/>
  <c r="AZ893" i="13"/>
  <c r="AY893" i="13"/>
  <c r="AX893" i="13"/>
  <c r="AZ302" i="13"/>
  <c r="AX302" i="13"/>
  <c r="AY302" i="13"/>
  <c r="R8" i="3"/>
  <c r="Z8" i="3" s="1"/>
  <c r="I56" i="1"/>
  <c r="D22" i="7"/>
  <c r="E12" i="9"/>
  <c r="C60" i="7"/>
  <c r="AZ889" i="13"/>
  <c r="AY889" i="13"/>
  <c r="AX889" i="13"/>
  <c r="AX1131" i="13"/>
  <c r="AZ1131" i="13"/>
  <c r="AY1131" i="13"/>
  <c r="AF3" i="13"/>
  <c r="AF6" i="13"/>
  <c r="J24" i="1"/>
  <c r="E32" i="6"/>
  <c r="AF9" i="13"/>
  <c r="R12" i="3"/>
  <c r="Z12" i="3" s="1"/>
  <c r="C59" i="7"/>
  <c r="AZ1005" i="13"/>
  <c r="AX1005" i="13"/>
  <c r="AY1005" i="13"/>
  <c r="E72" i="6"/>
  <c r="O10" i="6"/>
  <c r="G10" i="6"/>
  <c r="J10" i="6"/>
  <c r="C143" i="7"/>
  <c r="AN6" i="13"/>
  <c r="AM6" i="13"/>
  <c r="AL6" i="13"/>
  <c r="AK6" i="13"/>
  <c r="AJ6" i="13"/>
  <c r="AI6" i="13"/>
  <c r="AH6" i="13"/>
  <c r="AO6" i="13"/>
  <c r="S14" i="10"/>
  <c r="X6" i="11"/>
  <c r="T5" i="3"/>
  <c r="T14" i="10"/>
  <c r="Q14" i="10"/>
  <c r="P14" i="10"/>
  <c r="V15" i="10" s="1"/>
  <c r="E15" i="7"/>
  <c r="G15" i="7" s="1"/>
  <c r="R14" i="10"/>
  <c r="E94" i="6"/>
  <c r="U14" i="10"/>
  <c r="AF10" i="13"/>
  <c r="AG10" i="13"/>
  <c r="A51" i="6" s="1"/>
  <c r="AG8" i="13"/>
  <c r="AG4" i="13"/>
  <c r="AG2" i="13"/>
  <c r="AX934" i="13"/>
  <c r="AY934" i="13"/>
  <c r="AZ934" i="13"/>
  <c r="AZ1001" i="13"/>
  <c r="AX1001" i="13"/>
  <c r="AY1001" i="13"/>
  <c r="AF2" i="13"/>
  <c r="E30" i="6"/>
  <c r="AX273" i="13"/>
  <c r="AZ273" i="13"/>
  <c r="AY273" i="13"/>
  <c r="C57" i="7"/>
  <c r="AZ885" i="13"/>
  <c r="AY885" i="13"/>
  <c r="AX885" i="13"/>
  <c r="C61" i="7"/>
  <c r="N236" i="1" l="1"/>
  <c r="A28" i="1" s="1"/>
  <c r="G11" i="9"/>
  <c r="N238" i="1"/>
  <c r="E28" i="1" s="1"/>
  <c r="N237" i="1"/>
  <c r="C28" i="1" s="1"/>
  <c r="N240" i="1"/>
  <c r="I28" i="1" s="1"/>
  <c r="F59" i="7"/>
  <c r="T8" i="10"/>
  <c r="D138" i="12"/>
  <c r="E57" i="7"/>
  <c r="D143" i="7"/>
  <c r="C7" i="7"/>
  <c r="E61" i="7"/>
  <c r="AN2" i="13"/>
  <c r="AM2" i="13"/>
  <c r="AL2" i="13"/>
  <c r="AK2" i="13"/>
  <c r="AJ2" i="13"/>
  <c r="AI2" i="13"/>
  <c r="AH2" i="13"/>
  <c r="AO2" i="13"/>
  <c r="Q8" i="10"/>
  <c r="D24" i="1"/>
  <c r="E121" i="7"/>
  <c r="J22" i="7"/>
  <c r="G22" i="7"/>
  <c r="P8" i="10"/>
  <c r="R8" i="10"/>
  <c r="AW2" i="13"/>
  <c r="AV2" i="13"/>
  <c r="AJ8" i="13"/>
  <c r="AI8" i="13"/>
  <c r="AH8" i="13"/>
  <c r="AO8" i="13"/>
  <c r="AN8" i="13"/>
  <c r="AM8" i="13"/>
  <c r="AL8" i="13"/>
  <c r="AK8" i="13"/>
  <c r="L22" i="7"/>
  <c r="G33" i="7"/>
  <c r="C42" i="7"/>
  <c r="N42" i="7" s="1"/>
  <c r="U8" i="10"/>
  <c r="H121" i="7"/>
  <c r="G121" i="7"/>
  <c r="K22" i="7"/>
  <c r="F57" i="7"/>
  <c r="F58" i="7"/>
  <c r="C144" i="7"/>
  <c r="D144" i="7"/>
  <c r="E60" i="7"/>
  <c r="F60" i="7"/>
  <c r="X5" i="11"/>
  <c r="U9" i="10"/>
  <c r="F12" i="7"/>
  <c r="G12" i="7" s="1"/>
  <c r="R9" i="10"/>
  <c r="E144" i="7"/>
  <c r="E7" i="7"/>
  <c r="G7" i="7" s="1"/>
  <c r="Q9" i="10"/>
  <c r="T9" i="10"/>
  <c r="S9" i="10"/>
  <c r="P9" i="10"/>
  <c r="V9" i="10" s="1"/>
  <c r="D42" i="7"/>
  <c r="O42" i="7" s="1"/>
  <c r="AN10" i="13"/>
  <c r="AM10" i="13"/>
  <c r="AL10" i="13"/>
  <c r="AK10" i="13"/>
  <c r="AJ10" i="13"/>
  <c r="AI10" i="13"/>
  <c r="AH10" i="13"/>
  <c r="AO10" i="13"/>
  <c r="AZ6" i="13"/>
  <c r="AY6" i="13"/>
  <c r="AX6" i="13"/>
  <c r="F61" i="7"/>
  <c r="E59" i="7"/>
  <c r="E143" i="7"/>
  <c r="AY5" i="13"/>
  <c r="AX5" i="13"/>
  <c r="AZ5" i="13"/>
  <c r="AJ4" i="13"/>
  <c r="AI4" i="13"/>
  <c r="AH4" i="13"/>
  <c r="AO4" i="13"/>
  <c r="AN4" i="13"/>
  <c r="AM4" i="13"/>
  <c r="AL4" i="13"/>
  <c r="AK4" i="13"/>
  <c r="D137" i="12"/>
  <c r="C137" i="12"/>
  <c r="E58" i="7"/>
  <c r="C133" i="7" l="1"/>
  <c r="C84" i="6"/>
  <c r="D133" i="7"/>
  <c r="E133" i="7"/>
  <c r="E84" i="6"/>
  <c r="D84" i="6"/>
  <c r="AZ10" i="13"/>
  <c r="AY10" i="13"/>
  <c r="AX10" i="13"/>
  <c r="AV3" i="13"/>
  <c r="AV4" i="13" s="1"/>
  <c r="AV5" i="13" s="1"/>
  <c r="AV6" i="13" s="1"/>
  <c r="AV7" i="13" s="1"/>
  <c r="AV8" i="13" s="1"/>
  <c r="AV9" i="13" s="1"/>
  <c r="AV10" i="13" s="1"/>
  <c r="AV11" i="13" s="1"/>
  <c r="AV12" i="13" s="1"/>
  <c r="AV13" i="13" s="1"/>
  <c r="AV14" i="13" s="1"/>
  <c r="AV15" i="13" s="1"/>
  <c r="AV16" i="13" s="1"/>
  <c r="AV17" i="13" s="1"/>
  <c r="AV18" i="13" s="1"/>
  <c r="AV19" i="13" s="1"/>
  <c r="AV20" i="13" s="1"/>
  <c r="AV21" i="13" s="1"/>
  <c r="AV22" i="13" s="1"/>
  <c r="AV23" i="13" s="1"/>
  <c r="AV24" i="13" s="1"/>
  <c r="AV25" i="13" s="1"/>
  <c r="AV26" i="13" s="1"/>
  <c r="AV27" i="13" s="1"/>
  <c r="AV28" i="13" s="1"/>
  <c r="AV29" i="13" s="1"/>
  <c r="AV30" i="13" s="1"/>
  <c r="AV31" i="13" s="1"/>
  <c r="AV32" i="13" s="1"/>
  <c r="AV33" i="13" s="1"/>
  <c r="AV34" i="13" s="1"/>
  <c r="AV35" i="13" s="1"/>
  <c r="AV36" i="13" s="1"/>
  <c r="AV37" i="13" s="1"/>
  <c r="AV38" i="13" s="1"/>
  <c r="AV39" i="13" s="1"/>
  <c r="AV40" i="13" s="1"/>
  <c r="AV41" i="13" s="1"/>
  <c r="AV42" i="13" s="1"/>
  <c r="AV43" i="13" s="1"/>
  <c r="AV44" i="13" s="1"/>
  <c r="AV45" i="13" s="1"/>
  <c r="AV46" i="13" s="1"/>
  <c r="AV47" i="13" s="1"/>
  <c r="AV48" i="13" s="1"/>
  <c r="AV49" i="13" s="1"/>
  <c r="AV50" i="13" s="1"/>
  <c r="AV51" i="13" s="1"/>
  <c r="AV52" i="13" s="1"/>
  <c r="AV53" i="13" s="1"/>
  <c r="AV54" i="13" s="1"/>
  <c r="AV55" i="13" s="1"/>
  <c r="AV56" i="13" s="1"/>
  <c r="AV57" i="13" s="1"/>
  <c r="AV58" i="13" s="1"/>
  <c r="AV59" i="13" s="1"/>
  <c r="AV60" i="13" s="1"/>
  <c r="AV61" i="13" s="1"/>
  <c r="AV62" i="13" s="1"/>
  <c r="AV63" i="13" s="1"/>
  <c r="AV64" i="13" s="1"/>
  <c r="AV65" i="13" s="1"/>
  <c r="AV66" i="13" s="1"/>
  <c r="AV67" i="13" s="1"/>
  <c r="AV68" i="13" s="1"/>
  <c r="AV69" i="13" s="1"/>
  <c r="AV70" i="13" s="1"/>
  <c r="AV71" i="13" s="1"/>
  <c r="AV72" i="13" s="1"/>
  <c r="AV73" i="13" s="1"/>
  <c r="AV74" i="13" s="1"/>
  <c r="AV75" i="13" s="1"/>
  <c r="AV76" i="13" s="1"/>
  <c r="AV77" i="13" s="1"/>
  <c r="AV78" i="13" s="1"/>
  <c r="AV79" i="13" s="1"/>
  <c r="AV80" i="13" s="1"/>
  <c r="AV81" i="13" s="1"/>
  <c r="AV82" i="13" s="1"/>
  <c r="AV83" i="13" s="1"/>
  <c r="AV84" i="13" s="1"/>
  <c r="AV85" i="13" s="1"/>
  <c r="AV86" i="13" s="1"/>
  <c r="AV87" i="13" s="1"/>
  <c r="AV88" i="13" s="1"/>
  <c r="AV89" i="13" s="1"/>
  <c r="AV90" i="13" s="1"/>
  <c r="AV91" i="13" s="1"/>
  <c r="AV92" i="13" s="1"/>
  <c r="AV93" i="13" s="1"/>
  <c r="AV94" i="13" s="1"/>
  <c r="AV95" i="13" s="1"/>
  <c r="AV96" i="13" s="1"/>
  <c r="AV97" i="13" s="1"/>
  <c r="AV98" i="13" s="1"/>
  <c r="AV99" i="13" s="1"/>
  <c r="AV100" i="13" s="1"/>
  <c r="AV101" i="13" s="1"/>
  <c r="AV102" i="13" s="1"/>
  <c r="AV103" i="13" s="1"/>
  <c r="AV104" i="13" s="1"/>
  <c r="AV105" i="13" s="1"/>
  <c r="AV106" i="13" s="1"/>
  <c r="AV107" i="13" s="1"/>
  <c r="AV108" i="13" s="1"/>
  <c r="AV109" i="13" s="1"/>
  <c r="AV110" i="13" s="1"/>
  <c r="AV111" i="13" s="1"/>
  <c r="AV112" i="13" s="1"/>
  <c r="AV113" i="13" s="1"/>
  <c r="AV114" i="13" s="1"/>
  <c r="AV115" i="13" s="1"/>
  <c r="AV116" i="13" s="1"/>
  <c r="AV117" i="13" s="1"/>
  <c r="AV118" i="13" s="1"/>
  <c r="AV119" i="13" s="1"/>
  <c r="AV120" i="13" s="1"/>
  <c r="AV121" i="13" s="1"/>
  <c r="AV122" i="13" s="1"/>
  <c r="AV123" i="13" s="1"/>
  <c r="AV124" i="13" s="1"/>
  <c r="AV125" i="13" s="1"/>
  <c r="AV126" i="13" s="1"/>
  <c r="AV127" i="13" s="1"/>
  <c r="AV128" i="13" s="1"/>
  <c r="AV129" i="13" s="1"/>
  <c r="AV130" i="13" s="1"/>
  <c r="AV131" i="13" s="1"/>
  <c r="AV132" i="13" s="1"/>
  <c r="AV133" i="13" s="1"/>
  <c r="AV134" i="13" s="1"/>
  <c r="AV135" i="13" s="1"/>
  <c r="AV136" i="13" s="1"/>
  <c r="AV137" i="13" s="1"/>
  <c r="AV138" i="13" s="1"/>
  <c r="AV139" i="13" s="1"/>
  <c r="AV140" i="13" s="1"/>
  <c r="AV141" i="13" s="1"/>
  <c r="AV142" i="13" s="1"/>
  <c r="AV143" i="13" s="1"/>
  <c r="AV144" i="13" s="1"/>
  <c r="AV145" i="13" s="1"/>
  <c r="AV146" i="13" s="1"/>
  <c r="AV147" i="13" s="1"/>
  <c r="AV148" i="13" s="1"/>
  <c r="AV149" i="13" s="1"/>
  <c r="AV150" i="13" s="1"/>
  <c r="AV151" i="13" s="1"/>
  <c r="AV152" i="13" s="1"/>
  <c r="AV153" i="13" s="1"/>
  <c r="AV154" i="13" s="1"/>
  <c r="AV155" i="13" s="1"/>
  <c r="AV156" i="13" s="1"/>
  <c r="AV157" i="13" s="1"/>
  <c r="AV158" i="13" s="1"/>
  <c r="AV159" i="13" s="1"/>
  <c r="AV160" i="13" s="1"/>
  <c r="AV161" i="13" s="1"/>
  <c r="AV162" i="13" s="1"/>
  <c r="AV163" i="13" s="1"/>
  <c r="AV164" i="13" s="1"/>
  <c r="AV165" i="13" s="1"/>
  <c r="AV166" i="13" s="1"/>
  <c r="AV167" i="13" s="1"/>
  <c r="AV168" i="13" s="1"/>
  <c r="AV169" i="13" s="1"/>
  <c r="AV170" i="13" s="1"/>
  <c r="AV171" i="13" s="1"/>
  <c r="AV172" i="13" s="1"/>
  <c r="AV173" i="13" s="1"/>
  <c r="AV174" i="13" s="1"/>
  <c r="AV175" i="13" s="1"/>
  <c r="AV176" i="13" s="1"/>
  <c r="AV177" i="13" s="1"/>
  <c r="AV178" i="13" s="1"/>
  <c r="AV179" i="13" s="1"/>
  <c r="AV180" i="13" s="1"/>
  <c r="AV181" i="13" s="1"/>
  <c r="AV182" i="13" s="1"/>
  <c r="AV183" i="13" s="1"/>
  <c r="AV184" i="13" s="1"/>
  <c r="AV185" i="13" s="1"/>
  <c r="AV186" i="13" s="1"/>
  <c r="AV187" i="13" s="1"/>
  <c r="AV188" i="13" s="1"/>
  <c r="AV189" i="13" s="1"/>
  <c r="AV190" i="13" s="1"/>
  <c r="AV191" i="13" s="1"/>
  <c r="AV192" i="13" s="1"/>
  <c r="AV193" i="13" s="1"/>
  <c r="AV194" i="13" s="1"/>
  <c r="AV195" i="13" s="1"/>
  <c r="AV196" i="13" s="1"/>
  <c r="AV197" i="13" s="1"/>
  <c r="AV198" i="13" s="1"/>
  <c r="AV199" i="13" s="1"/>
  <c r="AV200" i="13" s="1"/>
  <c r="AV201" i="13" s="1"/>
  <c r="AV202" i="13" s="1"/>
  <c r="AV203" i="13" s="1"/>
  <c r="AV204" i="13" s="1"/>
  <c r="AV205" i="13" s="1"/>
  <c r="AV206" i="13" s="1"/>
  <c r="AV207" i="13" s="1"/>
  <c r="AV208" i="13" s="1"/>
  <c r="AV209" i="13" s="1"/>
  <c r="AV210" i="13" s="1"/>
  <c r="AV211" i="13" s="1"/>
  <c r="AV212" i="13" s="1"/>
  <c r="AV213" i="13" s="1"/>
  <c r="AV214" i="13" s="1"/>
  <c r="AV215" i="13" s="1"/>
  <c r="AV216" i="13" s="1"/>
  <c r="AV217" i="13" s="1"/>
  <c r="AV218" i="13" s="1"/>
  <c r="AV219" i="13" s="1"/>
  <c r="AV220" i="13" s="1"/>
  <c r="AV221" i="13" s="1"/>
  <c r="AV222" i="13" s="1"/>
  <c r="AV223" i="13" s="1"/>
  <c r="AV224" i="13" s="1"/>
  <c r="AV225" i="13" s="1"/>
  <c r="AV226" i="13" s="1"/>
  <c r="AV227" i="13" s="1"/>
  <c r="AV228" i="13" s="1"/>
  <c r="AV229" i="13" s="1"/>
  <c r="AV230" i="13" s="1"/>
  <c r="AV231" i="13" s="1"/>
  <c r="AV232" i="13" s="1"/>
  <c r="AV233" i="13" s="1"/>
  <c r="AV234" i="13" s="1"/>
  <c r="AV235" i="13" s="1"/>
  <c r="AV236" i="13" s="1"/>
  <c r="AV237" i="13" s="1"/>
  <c r="AV238" i="13" s="1"/>
  <c r="AV239" i="13" s="1"/>
  <c r="AV240" i="13" s="1"/>
  <c r="AV241" i="13" s="1"/>
  <c r="AV242" i="13" s="1"/>
  <c r="AV243" i="13" s="1"/>
  <c r="AV244" i="13" s="1"/>
  <c r="AV245" i="13" s="1"/>
  <c r="AV246" i="13" s="1"/>
  <c r="AV247" i="13" s="1"/>
  <c r="AV248" i="13" s="1"/>
  <c r="AV249" i="13" s="1"/>
  <c r="AV250" i="13" s="1"/>
  <c r="AV251" i="13" s="1"/>
  <c r="AV252" i="13" s="1"/>
  <c r="AV253" i="13" s="1"/>
  <c r="AV254" i="13" s="1"/>
  <c r="AV255" i="13" s="1"/>
  <c r="AV256" i="13" s="1"/>
  <c r="AV257" i="13" s="1"/>
  <c r="AV258" i="13" s="1"/>
  <c r="AV259" i="13" s="1"/>
  <c r="AV260" i="13" s="1"/>
  <c r="AV261" i="13" s="1"/>
  <c r="AV262" i="13" s="1"/>
  <c r="AV263" i="13" s="1"/>
  <c r="AV264" i="13" s="1"/>
  <c r="AV265" i="13" s="1"/>
  <c r="AV266" i="13" s="1"/>
  <c r="AV267" i="13" s="1"/>
  <c r="AV268" i="13" s="1"/>
  <c r="AV269" i="13" s="1"/>
  <c r="AV270" i="13" s="1"/>
  <c r="AV271" i="13" s="1"/>
  <c r="AV272" i="13" s="1"/>
  <c r="AV273" i="13" s="1"/>
  <c r="AV274" i="13" s="1"/>
  <c r="AV275" i="13" s="1"/>
  <c r="AV276" i="13" s="1"/>
  <c r="AV277" i="13" s="1"/>
  <c r="AV278" i="13" s="1"/>
  <c r="AV279" i="13" s="1"/>
  <c r="AV280" i="13" s="1"/>
  <c r="AV281" i="13" s="1"/>
  <c r="AV282" i="13" s="1"/>
  <c r="AV283" i="13" s="1"/>
  <c r="AV284" i="13" s="1"/>
  <c r="AV285" i="13" s="1"/>
  <c r="AV286" i="13" s="1"/>
  <c r="AV287" i="13" s="1"/>
  <c r="AV288" i="13" s="1"/>
  <c r="AV289" i="13" s="1"/>
  <c r="AV290" i="13" s="1"/>
  <c r="AV291" i="13" s="1"/>
  <c r="AV292" i="13" s="1"/>
  <c r="AV293" i="13" s="1"/>
  <c r="AV294" i="13" s="1"/>
  <c r="AV295" i="13" s="1"/>
  <c r="AV296" i="13" s="1"/>
  <c r="AV297" i="13" s="1"/>
  <c r="AV298" i="13" s="1"/>
  <c r="AV299" i="13" s="1"/>
  <c r="AV300" i="13" s="1"/>
  <c r="AV301" i="13" s="1"/>
  <c r="AV302" i="13" s="1"/>
  <c r="AV303" i="13" s="1"/>
  <c r="AV304" i="13" s="1"/>
  <c r="AV305" i="13" s="1"/>
  <c r="AV306" i="13" s="1"/>
  <c r="AV307" i="13" s="1"/>
  <c r="AV308" i="13" s="1"/>
  <c r="AV309" i="13" s="1"/>
  <c r="AV310" i="13" s="1"/>
  <c r="AV311" i="13" s="1"/>
  <c r="AV312" i="13" s="1"/>
  <c r="AV313" i="13" s="1"/>
  <c r="AV314" i="13" s="1"/>
  <c r="AV315" i="13" s="1"/>
  <c r="AV316" i="13" s="1"/>
  <c r="AV317" i="13" s="1"/>
  <c r="AV318" i="13" s="1"/>
  <c r="AV319" i="13" s="1"/>
  <c r="AV320" i="13" s="1"/>
  <c r="AV321" i="13" s="1"/>
  <c r="AV322" i="13" s="1"/>
  <c r="AV323" i="13" s="1"/>
  <c r="AV324" i="13" s="1"/>
  <c r="AV325" i="13" s="1"/>
  <c r="AV326" i="13" s="1"/>
  <c r="AV327" i="13" s="1"/>
  <c r="AV328" i="13" s="1"/>
  <c r="AV329" i="13" s="1"/>
  <c r="AV330" i="13" s="1"/>
  <c r="AV331" i="13" s="1"/>
  <c r="AV332" i="13" s="1"/>
  <c r="AV333" i="13" s="1"/>
  <c r="AV334" i="13" s="1"/>
  <c r="AV335" i="13" s="1"/>
  <c r="AV336" i="13" s="1"/>
  <c r="AV337" i="13" s="1"/>
  <c r="AV338" i="13" s="1"/>
  <c r="AV339" i="13" s="1"/>
  <c r="AV340" i="13" s="1"/>
  <c r="AV341" i="13" s="1"/>
  <c r="AV342" i="13" s="1"/>
  <c r="AV343" i="13" s="1"/>
  <c r="AV344" i="13" s="1"/>
  <c r="AV345" i="13" s="1"/>
  <c r="AV346" i="13" s="1"/>
  <c r="AV347" i="13" s="1"/>
  <c r="AV348" i="13" s="1"/>
  <c r="AV349" i="13" s="1"/>
  <c r="AV350" i="13" s="1"/>
  <c r="AV351" i="13" s="1"/>
  <c r="AV352" i="13" s="1"/>
  <c r="AV353" i="13" s="1"/>
  <c r="AV354" i="13" s="1"/>
  <c r="AV355" i="13" s="1"/>
  <c r="AV356" i="13" s="1"/>
  <c r="AV357" i="13" s="1"/>
  <c r="AV358" i="13" s="1"/>
  <c r="AV359" i="13" s="1"/>
  <c r="AV360" i="13" s="1"/>
  <c r="AV361" i="13" s="1"/>
  <c r="AV362" i="13" s="1"/>
  <c r="AV363" i="13" s="1"/>
  <c r="AV364" i="13" s="1"/>
  <c r="AV365" i="13" s="1"/>
  <c r="AV366" i="13" s="1"/>
  <c r="AV367" i="13" s="1"/>
  <c r="AV368" i="13" s="1"/>
  <c r="AV369" i="13" s="1"/>
  <c r="AV370" i="13" s="1"/>
  <c r="AV371" i="13" s="1"/>
  <c r="AV372" i="13" s="1"/>
  <c r="AV373" i="13" s="1"/>
  <c r="AV374" i="13" s="1"/>
  <c r="AV375" i="13" s="1"/>
  <c r="AV376" i="13" s="1"/>
  <c r="AV377" i="13" s="1"/>
  <c r="AV378" i="13" s="1"/>
  <c r="AV379" i="13" s="1"/>
  <c r="AV380" i="13" s="1"/>
  <c r="AV381" i="13" s="1"/>
  <c r="AV382" i="13" s="1"/>
  <c r="AV383" i="13" s="1"/>
  <c r="AV384" i="13" s="1"/>
  <c r="AV385" i="13" s="1"/>
  <c r="AV386" i="13" s="1"/>
  <c r="AV387" i="13" s="1"/>
  <c r="AV388" i="13" s="1"/>
  <c r="AV389" i="13" s="1"/>
  <c r="AV390" i="13" s="1"/>
  <c r="AV391" i="13" s="1"/>
  <c r="AV392" i="13" s="1"/>
  <c r="AV393" i="13" s="1"/>
  <c r="AV394" i="13" s="1"/>
  <c r="AV395" i="13" s="1"/>
  <c r="AV396" i="13" s="1"/>
  <c r="AV397" i="13" s="1"/>
  <c r="AV398" i="13" s="1"/>
  <c r="AV399" i="13" s="1"/>
  <c r="AV400" i="13" s="1"/>
  <c r="AV401" i="13" s="1"/>
  <c r="AV402" i="13" s="1"/>
  <c r="AV403" i="13" s="1"/>
  <c r="AV404" i="13" s="1"/>
  <c r="AV405" i="13" s="1"/>
  <c r="AV406" i="13" s="1"/>
  <c r="AV407" i="13" s="1"/>
  <c r="AV408" i="13" s="1"/>
  <c r="AV409" i="13" s="1"/>
  <c r="AV410" i="13" s="1"/>
  <c r="AV411" i="13" s="1"/>
  <c r="AV412" i="13" s="1"/>
  <c r="AV413" i="13" s="1"/>
  <c r="AV414" i="13" s="1"/>
  <c r="AV415" i="13" s="1"/>
  <c r="AV416" i="13" s="1"/>
  <c r="AV417" i="13" s="1"/>
  <c r="AV418" i="13" s="1"/>
  <c r="AV419" i="13" s="1"/>
  <c r="AV420" i="13" s="1"/>
  <c r="AV421" i="13" s="1"/>
  <c r="AV422" i="13" s="1"/>
  <c r="AV423" i="13" s="1"/>
  <c r="AV424" i="13" s="1"/>
  <c r="AV425" i="13" s="1"/>
  <c r="AV426" i="13" s="1"/>
  <c r="AV427" i="13" s="1"/>
  <c r="AV428" i="13" s="1"/>
  <c r="AV429" i="13" s="1"/>
  <c r="AV430" i="13" s="1"/>
  <c r="AV431" i="13" s="1"/>
  <c r="AV432" i="13" s="1"/>
  <c r="AV433" i="13" s="1"/>
  <c r="AV434" i="13" s="1"/>
  <c r="AV435" i="13" s="1"/>
  <c r="AV436" i="13" s="1"/>
  <c r="AV437" i="13" s="1"/>
  <c r="AV438" i="13" s="1"/>
  <c r="AV439" i="13" s="1"/>
  <c r="AV440" i="13" s="1"/>
  <c r="AV441" i="13" s="1"/>
  <c r="AV442" i="13" s="1"/>
  <c r="AV443" i="13" s="1"/>
  <c r="AV444" i="13" s="1"/>
  <c r="AV445" i="13" s="1"/>
  <c r="AV446" i="13" s="1"/>
  <c r="AV447" i="13" s="1"/>
  <c r="AV448" i="13" s="1"/>
  <c r="AV449" i="13" s="1"/>
  <c r="AV450" i="13" s="1"/>
  <c r="AV451" i="13" s="1"/>
  <c r="AV452" i="13" s="1"/>
  <c r="AV453" i="13" s="1"/>
  <c r="AV454" i="13" s="1"/>
  <c r="AV455" i="13" s="1"/>
  <c r="AV456" i="13" s="1"/>
  <c r="AV457" i="13" s="1"/>
  <c r="AV458" i="13" s="1"/>
  <c r="AV459" i="13" s="1"/>
  <c r="AV460" i="13" s="1"/>
  <c r="AV461" i="13" s="1"/>
  <c r="AV462" i="13" s="1"/>
  <c r="AV463" i="13" s="1"/>
  <c r="AV464" i="13" s="1"/>
  <c r="AV465" i="13" s="1"/>
  <c r="AV466" i="13" s="1"/>
  <c r="AV467" i="13" s="1"/>
  <c r="AV468" i="13" s="1"/>
  <c r="AV469" i="13" s="1"/>
  <c r="AV470" i="13" s="1"/>
  <c r="AV471" i="13" s="1"/>
  <c r="AV472" i="13" s="1"/>
  <c r="AV473" i="13" s="1"/>
  <c r="AV474" i="13" s="1"/>
  <c r="AV475" i="13" s="1"/>
  <c r="AV476" i="13" s="1"/>
  <c r="AV477" i="13" s="1"/>
  <c r="AV478" i="13" s="1"/>
  <c r="AV479" i="13" s="1"/>
  <c r="AV480" i="13" s="1"/>
  <c r="AV481" i="13" s="1"/>
  <c r="AV482" i="13" s="1"/>
  <c r="AV483" i="13" s="1"/>
  <c r="AV484" i="13" s="1"/>
  <c r="AV485" i="13" s="1"/>
  <c r="AV486" i="13" s="1"/>
  <c r="AV487" i="13" s="1"/>
  <c r="AV488" i="13" s="1"/>
  <c r="AV489" i="13" s="1"/>
  <c r="AV490" i="13" s="1"/>
  <c r="AV491" i="13" s="1"/>
  <c r="AV492" i="13" s="1"/>
  <c r="AV493" i="13" s="1"/>
  <c r="AV494" i="13" s="1"/>
  <c r="AV495" i="13" s="1"/>
  <c r="AV496" i="13" s="1"/>
  <c r="AV497" i="13" s="1"/>
  <c r="AV498" i="13" s="1"/>
  <c r="AV499" i="13" s="1"/>
  <c r="AV500" i="13" s="1"/>
  <c r="AV501" i="13" s="1"/>
  <c r="AV502" i="13" s="1"/>
  <c r="AV503" i="13" s="1"/>
  <c r="AV504" i="13" s="1"/>
  <c r="AV505" i="13" s="1"/>
  <c r="AV506" i="13" s="1"/>
  <c r="AV507" i="13" s="1"/>
  <c r="AV508" i="13" s="1"/>
  <c r="AV509" i="13" s="1"/>
  <c r="AV510" i="13" s="1"/>
  <c r="AV511" i="13" s="1"/>
  <c r="AV512" i="13" s="1"/>
  <c r="AV513" i="13" s="1"/>
  <c r="AV514" i="13" s="1"/>
  <c r="AV515" i="13" s="1"/>
  <c r="AV516" i="13" s="1"/>
  <c r="AV517" i="13" s="1"/>
  <c r="AV518" i="13" s="1"/>
  <c r="AV519" i="13" s="1"/>
  <c r="AV520" i="13" s="1"/>
  <c r="AV521" i="13" s="1"/>
  <c r="AV522" i="13" s="1"/>
  <c r="AV523" i="13" s="1"/>
  <c r="AV524" i="13" s="1"/>
  <c r="AV525" i="13" s="1"/>
  <c r="AV526" i="13" s="1"/>
  <c r="AV527" i="13" s="1"/>
  <c r="AV528" i="13" s="1"/>
  <c r="AV529" i="13" s="1"/>
  <c r="AV530" i="13" s="1"/>
  <c r="AV531" i="13" s="1"/>
  <c r="AV532" i="13" s="1"/>
  <c r="AV533" i="13" s="1"/>
  <c r="AV534" i="13" s="1"/>
  <c r="AV535" i="13" s="1"/>
  <c r="AV536" i="13" s="1"/>
  <c r="AV537" i="13" s="1"/>
  <c r="AV538" i="13" s="1"/>
  <c r="AV539" i="13" s="1"/>
  <c r="AV540" i="13" s="1"/>
  <c r="AV541" i="13" s="1"/>
  <c r="AV542" i="13" s="1"/>
  <c r="AV543" i="13" s="1"/>
  <c r="AV544" i="13" s="1"/>
  <c r="AV545" i="13" s="1"/>
  <c r="AV546" i="13" s="1"/>
  <c r="AV547" i="13" s="1"/>
  <c r="AV548" i="13" s="1"/>
  <c r="AV549" i="13" s="1"/>
  <c r="AV550" i="13" s="1"/>
  <c r="AV551" i="13" s="1"/>
  <c r="AV552" i="13" s="1"/>
  <c r="AV553" i="13" s="1"/>
  <c r="AV554" i="13" s="1"/>
  <c r="AV555" i="13" s="1"/>
  <c r="AV556" i="13" s="1"/>
  <c r="AV557" i="13" s="1"/>
  <c r="AV558" i="13" s="1"/>
  <c r="AV559" i="13" s="1"/>
  <c r="AV560" i="13" s="1"/>
  <c r="AV561" i="13" s="1"/>
  <c r="AV562" i="13" s="1"/>
  <c r="AV563" i="13" s="1"/>
  <c r="AV564" i="13" s="1"/>
  <c r="AV565" i="13" s="1"/>
  <c r="AV566" i="13" s="1"/>
  <c r="AV567" i="13" s="1"/>
  <c r="AV568" i="13" s="1"/>
  <c r="AV569" i="13" s="1"/>
  <c r="AV570" i="13" s="1"/>
  <c r="AV571" i="13" s="1"/>
  <c r="AV572" i="13" s="1"/>
  <c r="AV573" i="13" s="1"/>
  <c r="AV574" i="13" s="1"/>
  <c r="AV575" i="13" s="1"/>
  <c r="AV576" i="13" s="1"/>
  <c r="AV577" i="13" s="1"/>
  <c r="AV578" i="13" s="1"/>
  <c r="AV579" i="13" s="1"/>
  <c r="AV580" i="13" s="1"/>
  <c r="AV581" i="13" s="1"/>
  <c r="AV582" i="13" s="1"/>
  <c r="AV583" i="13" s="1"/>
  <c r="AV584" i="13" s="1"/>
  <c r="AV585" i="13" s="1"/>
  <c r="AV586" i="13" s="1"/>
  <c r="AV587" i="13" s="1"/>
  <c r="AV588" i="13" s="1"/>
  <c r="AV589" i="13" s="1"/>
  <c r="AV590" i="13" s="1"/>
  <c r="AV591" i="13" s="1"/>
  <c r="AV592" i="13" s="1"/>
  <c r="AV593" i="13" s="1"/>
  <c r="AV594" i="13" s="1"/>
  <c r="AV595" i="13" s="1"/>
  <c r="AV596" i="13" s="1"/>
  <c r="AV597" i="13" s="1"/>
  <c r="AV598" i="13" s="1"/>
  <c r="AV599" i="13" s="1"/>
  <c r="AV600" i="13" s="1"/>
  <c r="AV601" i="13" s="1"/>
  <c r="AV602" i="13" s="1"/>
  <c r="AV603" i="13" s="1"/>
  <c r="AV604" i="13" s="1"/>
  <c r="AV605" i="13" s="1"/>
  <c r="AV606" i="13" s="1"/>
  <c r="AV607" i="13" s="1"/>
  <c r="AV608" i="13" s="1"/>
  <c r="AV609" i="13" s="1"/>
  <c r="AV610" i="13" s="1"/>
  <c r="AV611" i="13" s="1"/>
  <c r="AV612" i="13" s="1"/>
  <c r="AV613" i="13" s="1"/>
  <c r="AV614" i="13" s="1"/>
  <c r="AV615" i="13" s="1"/>
  <c r="AV616" i="13" s="1"/>
  <c r="AV617" i="13" s="1"/>
  <c r="AV618" i="13" s="1"/>
  <c r="AV619" i="13" s="1"/>
  <c r="AV620" i="13" s="1"/>
  <c r="AV621" i="13" s="1"/>
  <c r="AV622" i="13" s="1"/>
  <c r="AV623" i="13" s="1"/>
  <c r="AV624" i="13" s="1"/>
  <c r="AV625" i="13" s="1"/>
  <c r="AV626" i="13" s="1"/>
  <c r="AV627" i="13" s="1"/>
  <c r="AV628" i="13" s="1"/>
  <c r="AV629" i="13" s="1"/>
  <c r="AV630" i="13" s="1"/>
  <c r="AV631" i="13" s="1"/>
  <c r="AV632" i="13" s="1"/>
  <c r="AV633" i="13" s="1"/>
  <c r="AV634" i="13" s="1"/>
  <c r="AV635" i="13" s="1"/>
  <c r="AV636" i="13" s="1"/>
  <c r="AV637" i="13" s="1"/>
  <c r="AV638" i="13" s="1"/>
  <c r="AV639" i="13" s="1"/>
  <c r="AV640" i="13" s="1"/>
  <c r="AV641" i="13" s="1"/>
  <c r="AV642" i="13" s="1"/>
  <c r="AV643" i="13" s="1"/>
  <c r="AV644" i="13" s="1"/>
  <c r="AV645" i="13" s="1"/>
  <c r="AV646" i="13" s="1"/>
  <c r="AV647" i="13" s="1"/>
  <c r="AV648" i="13" s="1"/>
  <c r="AV649" i="13" s="1"/>
  <c r="AV650" i="13" s="1"/>
  <c r="AV651" i="13" s="1"/>
  <c r="AV652" i="13" s="1"/>
  <c r="AV653" i="13" s="1"/>
  <c r="AV654" i="13" s="1"/>
  <c r="AV655" i="13" s="1"/>
  <c r="AV656" i="13" s="1"/>
  <c r="AV657" i="13" s="1"/>
  <c r="AV658" i="13" s="1"/>
  <c r="AV659" i="13" s="1"/>
  <c r="AV660" i="13" s="1"/>
  <c r="AV661" i="13" s="1"/>
  <c r="AV662" i="13" s="1"/>
  <c r="AV663" i="13" s="1"/>
  <c r="AV664" i="13" s="1"/>
  <c r="AV665" i="13" s="1"/>
  <c r="AV666" i="13" s="1"/>
  <c r="AV667" i="13" s="1"/>
  <c r="AV668" i="13" s="1"/>
  <c r="AV669" i="13" s="1"/>
  <c r="AV670" i="13" s="1"/>
  <c r="AV671" i="13" s="1"/>
  <c r="AV672" i="13" s="1"/>
  <c r="AV673" i="13" s="1"/>
  <c r="AV674" i="13" s="1"/>
  <c r="AV675" i="13" s="1"/>
  <c r="AV676" i="13" s="1"/>
  <c r="AV677" i="13" s="1"/>
  <c r="AV678" i="13" s="1"/>
  <c r="AV679" i="13" s="1"/>
  <c r="AV680" i="13" s="1"/>
  <c r="AV681" i="13" s="1"/>
  <c r="AV682" i="13" s="1"/>
  <c r="AV683" i="13" s="1"/>
  <c r="AV684" i="13" s="1"/>
  <c r="AV685" i="13" s="1"/>
  <c r="AV686" i="13" s="1"/>
  <c r="AV687" i="13" s="1"/>
  <c r="AV688" i="13" s="1"/>
  <c r="AV689" i="13" s="1"/>
  <c r="AV690" i="13" s="1"/>
  <c r="AV691" i="13" s="1"/>
  <c r="AV692" i="13" s="1"/>
  <c r="AV693" i="13" s="1"/>
  <c r="AV694" i="13" s="1"/>
  <c r="AV695" i="13" s="1"/>
  <c r="AV696" i="13" s="1"/>
  <c r="AV697" i="13" s="1"/>
  <c r="AV698" i="13" s="1"/>
  <c r="AV699" i="13" s="1"/>
  <c r="AV700" i="13" s="1"/>
  <c r="AV701" i="13" s="1"/>
  <c r="AV702" i="13" s="1"/>
  <c r="AV703" i="13" s="1"/>
  <c r="AV704" i="13" s="1"/>
  <c r="AV705" i="13" s="1"/>
  <c r="AV706" i="13" s="1"/>
  <c r="AV707" i="13" s="1"/>
  <c r="AV708" i="13" s="1"/>
  <c r="AV709" i="13" s="1"/>
  <c r="AV710" i="13" s="1"/>
  <c r="AV711" i="13" s="1"/>
  <c r="AV712" i="13" s="1"/>
  <c r="AV713" i="13" s="1"/>
  <c r="AV714" i="13" s="1"/>
  <c r="AV715" i="13" s="1"/>
  <c r="AV716" i="13" s="1"/>
  <c r="AV717" i="13" s="1"/>
  <c r="AV718" i="13" s="1"/>
  <c r="AV719" i="13" s="1"/>
  <c r="AV720" i="13" s="1"/>
  <c r="AV721" i="13" s="1"/>
  <c r="AV722" i="13" s="1"/>
  <c r="AV723" i="13" s="1"/>
  <c r="AV724" i="13" s="1"/>
  <c r="AV725" i="13" s="1"/>
  <c r="AV726" i="13" s="1"/>
  <c r="AV727" i="13" s="1"/>
  <c r="AV728" i="13" s="1"/>
  <c r="AV729" i="13" s="1"/>
  <c r="AV730" i="13" s="1"/>
  <c r="AV731" i="13" s="1"/>
  <c r="AV732" i="13" s="1"/>
  <c r="AV733" i="13" s="1"/>
  <c r="AV734" i="13" s="1"/>
  <c r="AV735" i="13" s="1"/>
  <c r="AV736" i="13" s="1"/>
  <c r="AV737" i="13" s="1"/>
  <c r="AV738" i="13" s="1"/>
  <c r="AV739" i="13" s="1"/>
  <c r="AV740" i="13" s="1"/>
  <c r="AV741" i="13" s="1"/>
  <c r="AV742" i="13" s="1"/>
  <c r="AV743" i="13" s="1"/>
  <c r="AV744" i="13" s="1"/>
  <c r="AV745" i="13" s="1"/>
  <c r="AV746" i="13" s="1"/>
  <c r="AV747" i="13" s="1"/>
  <c r="AV748" i="13" s="1"/>
  <c r="AV749" i="13" s="1"/>
  <c r="AV750" i="13" s="1"/>
  <c r="AV751" i="13" s="1"/>
  <c r="AV752" i="13" s="1"/>
  <c r="AV753" i="13" s="1"/>
  <c r="AV754" i="13" s="1"/>
  <c r="AV755" i="13" s="1"/>
  <c r="AV756" i="13" s="1"/>
  <c r="AV757" i="13" s="1"/>
  <c r="AV758" i="13" s="1"/>
  <c r="AV759" i="13" s="1"/>
  <c r="AV760" i="13" s="1"/>
  <c r="AV761" i="13" s="1"/>
  <c r="AV762" i="13" s="1"/>
  <c r="AV763" i="13" s="1"/>
  <c r="AV764" i="13" s="1"/>
  <c r="AV765" i="13" s="1"/>
  <c r="AV766" i="13" s="1"/>
  <c r="AV767" i="13" s="1"/>
  <c r="AV768" i="13" s="1"/>
  <c r="AV769" i="13" s="1"/>
  <c r="AV770" i="13" s="1"/>
  <c r="AV771" i="13" s="1"/>
  <c r="AV772" i="13" s="1"/>
  <c r="AV773" i="13" s="1"/>
  <c r="AV774" i="13" s="1"/>
  <c r="AV775" i="13" s="1"/>
  <c r="AV776" i="13" s="1"/>
  <c r="AV777" i="13" s="1"/>
  <c r="AV778" i="13" s="1"/>
  <c r="AV779" i="13" s="1"/>
  <c r="AV780" i="13" s="1"/>
  <c r="AV781" i="13" s="1"/>
  <c r="AV782" i="13" s="1"/>
  <c r="AV783" i="13" s="1"/>
  <c r="AV784" i="13" s="1"/>
  <c r="AV785" i="13" s="1"/>
  <c r="AV786" i="13" s="1"/>
  <c r="AV787" i="13" s="1"/>
  <c r="AV788" i="13" s="1"/>
  <c r="AV789" i="13" s="1"/>
  <c r="AV790" i="13" s="1"/>
  <c r="AV791" i="13" s="1"/>
  <c r="AV792" i="13" s="1"/>
  <c r="AV793" i="13" s="1"/>
  <c r="AV794" i="13" s="1"/>
  <c r="AV795" i="13" s="1"/>
  <c r="AV796" i="13" s="1"/>
  <c r="AV797" i="13" s="1"/>
  <c r="AV798" i="13" s="1"/>
  <c r="AV799" i="13" s="1"/>
  <c r="AV800" i="13" s="1"/>
  <c r="AV801" i="13" s="1"/>
  <c r="AV802" i="13" s="1"/>
  <c r="AV803" i="13" s="1"/>
  <c r="AV804" i="13" s="1"/>
  <c r="AV805" i="13" s="1"/>
  <c r="AV806" i="13" s="1"/>
  <c r="AV807" i="13" s="1"/>
  <c r="AV808" i="13" s="1"/>
  <c r="AV809" i="13" s="1"/>
  <c r="AV810" i="13" s="1"/>
  <c r="AV811" i="13" s="1"/>
  <c r="AV812" i="13" s="1"/>
  <c r="AV813" i="13" s="1"/>
  <c r="AV814" i="13" s="1"/>
  <c r="AV815" i="13" s="1"/>
  <c r="AV816" i="13" s="1"/>
  <c r="AV817" i="13" s="1"/>
  <c r="AV818" i="13" s="1"/>
  <c r="AV819" i="13" s="1"/>
  <c r="AV820" i="13" s="1"/>
  <c r="AV821" i="13" s="1"/>
  <c r="AV822" i="13" s="1"/>
  <c r="AV823" i="13" s="1"/>
  <c r="AV824" i="13" s="1"/>
  <c r="AV825" i="13" s="1"/>
  <c r="AV826" i="13" s="1"/>
  <c r="AV827" i="13" s="1"/>
  <c r="AV828" i="13" s="1"/>
  <c r="AV829" i="13" s="1"/>
  <c r="AV830" i="13" s="1"/>
  <c r="AV831" i="13" s="1"/>
  <c r="AV832" i="13" s="1"/>
  <c r="AV833" i="13" s="1"/>
  <c r="AV834" i="13" s="1"/>
  <c r="AV835" i="13" s="1"/>
  <c r="AV836" i="13" s="1"/>
  <c r="AV837" i="13" s="1"/>
  <c r="AV838" i="13" s="1"/>
  <c r="AV839" i="13" s="1"/>
  <c r="AV840" i="13" s="1"/>
  <c r="AV841" i="13" s="1"/>
  <c r="AV842" i="13" s="1"/>
  <c r="AV843" i="13" s="1"/>
  <c r="AV844" i="13" s="1"/>
  <c r="AV845" i="13" s="1"/>
  <c r="AV846" i="13" s="1"/>
  <c r="AV847" i="13" s="1"/>
  <c r="AV848" i="13" s="1"/>
  <c r="AV849" i="13" s="1"/>
  <c r="AV850" i="13" s="1"/>
  <c r="AV851" i="13" s="1"/>
  <c r="AV852" i="13" s="1"/>
  <c r="AV853" i="13" s="1"/>
  <c r="AV854" i="13" s="1"/>
  <c r="AV855" i="13" s="1"/>
  <c r="AV856" i="13" s="1"/>
  <c r="AV857" i="13" s="1"/>
  <c r="AV858" i="13" s="1"/>
  <c r="AV859" i="13" s="1"/>
  <c r="AV860" i="13" s="1"/>
  <c r="AV861" i="13" s="1"/>
  <c r="AV862" i="13" s="1"/>
  <c r="AV863" i="13" s="1"/>
  <c r="AV864" i="13" s="1"/>
  <c r="AV865" i="13" s="1"/>
  <c r="AV866" i="13" s="1"/>
  <c r="AV867" i="13" s="1"/>
  <c r="AV868" i="13" s="1"/>
  <c r="AV869" i="13" s="1"/>
  <c r="AV870" i="13" s="1"/>
  <c r="AV871" i="13" s="1"/>
  <c r="AV872" i="13" s="1"/>
  <c r="AV873" i="13" s="1"/>
  <c r="AV874" i="13" s="1"/>
  <c r="AV875" i="13" s="1"/>
  <c r="AV876" i="13" s="1"/>
  <c r="AV877" i="13" s="1"/>
  <c r="AV878" i="13" s="1"/>
  <c r="AV879" i="13" s="1"/>
  <c r="AV880" i="13" s="1"/>
  <c r="AV881" i="13" s="1"/>
  <c r="AV882" i="13" s="1"/>
  <c r="AV883" i="13" s="1"/>
  <c r="AV884" i="13" s="1"/>
  <c r="AV885" i="13" s="1"/>
  <c r="AV886" i="13" s="1"/>
  <c r="AV887" i="13" s="1"/>
  <c r="AV888" i="13" s="1"/>
  <c r="AV889" i="13" s="1"/>
  <c r="AV890" i="13" s="1"/>
  <c r="AV891" i="13" s="1"/>
  <c r="AV892" i="13" s="1"/>
  <c r="AV893" i="13" s="1"/>
  <c r="AV894" i="13" s="1"/>
  <c r="AV895" i="13" s="1"/>
  <c r="AV896" i="13" s="1"/>
  <c r="AV897" i="13" s="1"/>
  <c r="AV898" i="13" s="1"/>
  <c r="AV899" i="13" s="1"/>
  <c r="AV900" i="13" s="1"/>
  <c r="AV901" i="13" s="1"/>
  <c r="AV902" i="13" s="1"/>
  <c r="AV903" i="13" s="1"/>
  <c r="AV904" i="13" s="1"/>
  <c r="AV905" i="13" s="1"/>
  <c r="AV906" i="13" s="1"/>
  <c r="AV907" i="13" s="1"/>
  <c r="AV908" i="13" s="1"/>
  <c r="AV909" i="13" s="1"/>
  <c r="AV910" i="13" s="1"/>
  <c r="AV911" i="13" s="1"/>
  <c r="AV912" i="13" s="1"/>
  <c r="AV913" i="13" s="1"/>
  <c r="AV914" i="13" s="1"/>
  <c r="AV915" i="13" s="1"/>
  <c r="AV916" i="13" s="1"/>
  <c r="AV917" i="13" s="1"/>
  <c r="AV918" i="13" s="1"/>
  <c r="AV919" i="13" s="1"/>
  <c r="AV920" i="13" s="1"/>
  <c r="AV921" i="13" s="1"/>
  <c r="AV922" i="13" s="1"/>
  <c r="AV923" i="13" s="1"/>
  <c r="AV924" i="13" s="1"/>
  <c r="AV925" i="13" s="1"/>
  <c r="AV926" i="13" s="1"/>
  <c r="AV927" i="13" s="1"/>
  <c r="AV928" i="13" s="1"/>
  <c r="AV929" i="13" s="1"/>
  <c r="AV930" i="13" s="1"/>
  <c r="AV931" i="13" s="1"/>
  <c r="AV932" i="13" s="1"/>
  <c r="AV933" i="13" s="1"/>
  <c r="AV934" i="13" s="1"/>
  <c r="AV935" i="13" s="1"/>
  <c r="AV936" i="13" s="1"/>
  <c r="AV937" i="13" s="1"/>
  <c r="AV938" i="13" s="1"/>
  <c r="AV939" i="13" s="1"/>
  <c r="AV940" i="13" s="1"/>
  <c r="AV941" i="13" s="1"/>
  <c r="AV942" i="13" s="1"/>
  <c r="AV943" i="13" s="1"/>
  <c r="AV944" i="13" s="1"/>
  <c r="AV945" i="13" s="1"/>
  <c r="AV946" i="13" s="1"/>
  <c r="AV947" i="13" s="1"/>
  <c r="AV948" i="13" s="1"/>
  <c r="AV949" i="13" s="1"/>
  <c r="AV950" i="13" s="1"/>
  <c r="AV951" i="13" s="1"/>
  <c r="AV952" i="13" s="1"/>
  <c r="AV953" i="13" s="1"/>
  <c r="AV954" i="13" s="1"/>
  <c r="AV955" i="13" s="1"/>
  <c r="AV956" i="13" s="1"/>
  <c r="AV957" i="13" s="1"/>
  <c r="AV958" i="13" s="1"/>
  <c r="AV959" i="13" s="1"/>
  <c r="AV960" i="13" s="1"/>
  <c r="AV961" i="13" s="1"/>
  <c r="AV962" i="13" s="1"/>
  <c r="AV963" i="13" s="1"/>
  <c r="AV964" i="13" s="1"/>
  <c r="AV965" i="13" s="1"/>
  <c r="AV966" i="13" s="1"/>
  <c r="AV967" i="13" s="1"/>
  <c r="AV968" i="13" s="1"/>
  <c r="AV969" i="13" s="1"/>
  <c r="AV970" i="13" s="1"/>
  <c r="AV971" i="13" s="1"/>
  <c r="AV972" i="13" s="1"/>
  <c r="AV973" i="13" s="1"/>
  <c r="AV974" i="13" s="1"/>
  <c r="AV975" i="13" s="1"/>
  <c r="AV976" i="13" s="1"/>
  <c r="AV977" i="13" s="1"/>
  <c r="AV978" i="13" s="1"/>
  <c r="AV979" i="13" s="1"/>
  <c r="AV980" i="13" s="1"/>
  <c r="AV981" i="13" s="1"/>
  <c r="AV982" i="13" s="1"/>
  <c r="AV983" i="13" s="1"/>
  <c r="AV984" i="13" s="1"/>
  <c r="AV985" i="13" s="1"/>
  <c r="AV986" i="13" s="1"/>
  <c r="AV987" i="13" s="1"/>
  <c r="AV988" i="13" s="1"/>
  <c r="AV989" i="13" s="1"/>
  <c r="AV990" i="13" s="1"/>
  <c r="AV991" i="13" s="1"/>
  <c r="AV992" i="13" s="1"/>
  <c r="AV993" i="13" s="1"/>
  <c r="AV994" i="13" s="1"/>
  <c r="AV995" i="13" s="1"/>
  <c r="AV996" i="13" s="1"/>
  <c r="AV997" i="13" s="1"/>
  <c r="AV998" i="13" s="1"/>
  <c r="AV999" i="13" s="1"/>
  <c r="AV1000" i="13" s="1"/>
  <c r="AV1001" i="13" s="1"/>
  <c r="AV1002" i="13" s="1"/>
  <c r="AV1003" i="13" s="1"/>
  <c r="AV1004" i="13" s="1"/>
  <c r="AV1005" i="13" s="1"/>
  <c r="AV1006" i="13" s="1"/>
  <c r="AV1007" i="13" s="1"/>
  <c r="AV1008" i="13" s="1"/>
  <c r="AV1009" i="13" s="1"/>
  <c r="AV1010" i="13" s="1"/>
  <c r="AV1011" i="13" s="1"/>
  <c r="AV1012" i="13" s="1"/>
  <c r="AV1013" i="13" s="1"/>
  <c r="AV1014" i="13" s="1"/>
  <c r="AV1015" i="13" s="1"/>
  <c r="AV1016" i="13" s="1"/>
  <c r="AV1017" i="13" s="1"/>
  <c r="AV1018" i="13" s="1"/>
  <c r="AV1019" i="13" s="1"/>
  <c r="AV1020" i="13" s="1"/>
  <c r="AV1021" i="13" s="1"/>
  <c r="AV1022" i="13" s="1"/>
  <c r="AV1023" i="13" s="1"/>
  <c r="AV1024" i="13" s="1"/>
  <c r="AV1025" i="13" s="1"/>
  <c r="AV1026" i="13" s="1"/>
  <c r="AV1027" i="13" s="1"/>
  <c r="AV1028" i="13" s="1"/>
  <c r="AV1029" i="13" s="1"/>
  <c r="AV1030" i="13" s="1"/>
  <c r="AV1031" i="13" s="1"/>
  <c r="AV1032" i="13" s="1"/>
  <c r="AV1033" i="13" s="1"/>
  <c r="AV1034" i="13" s="1"/>
  <c r="AV1035" i="13" s="1"/>
  <c r="AV1036" i="13" s="1"/>
  <c r="AV1037" i="13" s="1"/>
  <c r="AV1038" i="13" s="1"/>
  <c r="AV1039" i="13" s="1"/>
  <c r="AV1040" i="13" s="1"/>
  <c r="AV1041" i="13" s="1"/>
  <c r="AV1042" i="13" s="1"/>
  <c r="AV1043" i="13" s="1"/>
  <c r="AV1044" i="13" s="1"/>
  <c r="AV1045" i="13" s="1"/>
  <c r="AV1046" i="13" s="1"/>
  <c r="AV1047" i="13" s="1"/>
  <c r="AV1048" i="13" s="1"/>
  <c r="AV1049" i="13" s="1"/>
  <c r="AV1050" i="13" s="1"/>
  <c r="AV1051" i="13" s="1"/>
  <c r="AV1052" i="13" s="1"/>
  <c r="AV1053" i="13" s="1"/>
  <c r="AV1054" i="13" s="1"/>
  <c r="AV1055" i="13" s="1"/>
  <c r="AV1056" i="13" s="1"/>
  <c r="AV1057" i="13" s="1"/>
  <c r="AV1058" i="13" s="1"/>
  <c r="AV1059" i="13" s="1"/>
  <c r="AV1060" i="13" s="1"/>
  <c r="AV1061" i="13" s="1"/>
  <c r="AV1062" i="13" s="1"/>
  <c r="AV1063" i="13" s="1"/>
  <c r="AV1064" i="13" s="1"/>
  <c r="AV1065" i="13" s="1"/>
  <c r="AV1066" i="13" s="1"/>
  <c r="AV1067" i="13" s="1"/>
  <c r="AV1068" i="13" s="1"/>
  <c r="AV1069" i="13" s="1"/>
  <c r="AV1070" i="13" s="1"/>
  <c r="AV1071" i="13" s="1"/>
  <c r="AV1072" i="13" s="1"/>
  <c r="AV1073" i="13" s="1"/>
  <c r="AV1074" i="13" s="1"/>
  <c r="AV1075" i="13" s="1"/>
  <c r="AV1076" i="13" s="1"/>
  <c r="AV1077" i="13" s="1"/>
  <c r="AV1078" i="13" s="1"/>
  <c r="AV1079" i="13" s="1"/>
  <c r="AV1080" i="13" s="1"/>
  <c r="AV1081" i="13" s="1"/>
  <c r="AV1082" i="13" s="1"/>
  <c r="AV1083" i="13" s="1"/>
  <c r="AV1084" i="13" s="1"/>
  <c r="AV1085" i="13" s="1"/>
  <c r="AV1086" i="13" s="1"/>
  <c r="AV1087" i="13" s="1"/>
  <c r="AV1088" i="13" s="1"/>
  <c r="AV1089" i="13" s="1"/>
  <c r="AV1090" i="13" s="1"/>
  <c r="AV1091" i="13" s="1"/>
  <c r="AV1092" i="13" s="1"/>
  <c r="AV1093" i="13" s="1"/>
  <c r="AV1094" i="13" s="1"/>
  <c r="AV1095" i="13" s="1"/>
  <c r="AV1096" i="13" s="1"/>
  <c r="AV1097" i="13" s="1"/>
  <c r="AV1098" i="13" s="1"/>
  <c r="AV1099" i="13" s="1"/>
  <c r="AV1100" i="13" s="1"/>
  <c r="AV1101" i="13" s="1"/>
  <c r="AV1102" i="13" s="1"/>
  <c r="AV1103" i="13" s="1"/>
  <c r="AV1104" i="13" s="1"/>
  <c r="AV1105" i="13" s="1"/>
  <c r="AV1106" i="13" s="1"/>
  <c r="AV1107" i="13" s="1"/>
  <c r="AV1108" i="13" s="1"/>
  <c r="AV1109" i="13" s="1"/>
  <c r="AV1110" i="13" s="1"/>
  <c r="AV1111" i="13" s="1"/>
  <c r="AV1112" i="13" s="1"/>
  <c r="AV1113" i="13" s="1"/>
  <c r="AV1114" i="13" s="1"/>
  <c r="AV1115" i="13" s="1"/>
  <c r="AV1116" i="13" s="1"/>
  <c r="AV1117" i="13" s="1"/>
  <c r="AV1118" i="13" s="1"/>
  <c r="AV1119" i="13" s="1"/>
  <c r="AV1120" i="13" s="1"/>
  <c r="AV1121" i="13" s="1"/>
  <c r="AV1122" i="13" s="1"/>
  <c r="AV1123" i="13" s="1"/>
  <c r="AV1124" i="13" s="1"/>
  <c r="AV1125" i="13" s="1"/>
  <c r="AV1126" i="13" s="1"/>
  <c r="AV1127" i="13" s="1"/>
  <c r="AV1128" i="13" s="1"/>
  <c r="AV1129" i="13" s="1"/>
  <c r="AV1130" i="13" s="1"/>
  <c r="AV1131" i="13" s="1"/>
  <c r="AV1132" i="13" s="1"/>
  <c r="AV1133" i="13" s="1"/>
  <c r="AV1134" i="13" s="1"/>
  <c r="AV1135" i="13" s="1"/>
  <c r="AV1136" i="13" s="1"/>
  <c r="AV1137" i="13" s="1"/>
  <c r="AV1138" i="13" s="1"/>
  <c r="AV1139" i="13" s="1"/>
  <c r="AV1140" i="13" s="1"/>
  <c r="AV1141" i="13" s="1"/>
  <c r="AV1142" i="13" s="1"/>
  <c r="AV1143" i="13" s="1"/>
  <c r="AV1144" i="13" s="1"/>
  <c r="AV1145" i="13" s="1"/>
  <c r="AV1146" i="13" s="1"/>
  <c r="AV1147" i="13" s="1"/>
  <c r="AV1148" i="13" s="1"/>
  <c r="AV1149" i="13" s="1"/>
  <c r="AV1150" i="13" s="1"/>
  <c r="AV1151" i="13" s="1"/>
  <c r="AV1152" i="13" s="1"/>
  <c r="AV1153" i="13" s="1"/>
  <c r="AV1154" i="13" s="1"/>
  <c r="AV1155" i="13" s="1"/>
  <c r="AV1156" i="13" s="1"/>
  <c r="AV1157" i="13" s="1"/>
  <c r="AV1158" i="13" s="1"/>
  <c r="AV1159" i="13" s="1"/>
  <c r="AV1160" i="13" s="1"/>
  <c r="AV1161" i="13" s="1"/>
  <c r="AV1162" i="13" s="1"/>
  <c r="AV1163" i="13" s="1"/>
  <c r="AV1164" i="13" s="1"/>
  <c r="AV1165" i="13" s="1"/>
  <c r="AV1166" i="13" s="1"/>
  <c r="AV1167" i="13" s="1"/>
  <c r="AV1168" i="13" s="1"/>
  <c r="AV1169" i="13" s="1"/>
  <c r="AV1170" i="13" s="1"/>
  <c r="AV1171" i="13" s="1"/>
  <c r="AV1172" i="13" s="1"/>
  <c r="AV1173" i="13" s="1"/>
  <c r="AV1174" i="13" s="1"/>
  <c r="AV1175" i="13" s="1"/>
  <c r="AV1176" i="13" s="1"/>
  <c r="AV1177" i="13" s="1"/>
  <c r="AV1178" i="13" s="1"/>
  <c r="AV1179" i="13" s="1"/>
  <c r="AV1180" i="13" s="1"/>
  <c r="AV1181" i="13" s="1"/>
  <c r="AV1182" i="13" s="1"/>
  <c r="AV1183" i="13" s="1"/>
  <c r="AV1184" i="13" s="1"/>
  <c r="AV1185" i="13" s="1"/>
  <c r="AV1186" i="13" s="1"/>
  <c r="AV1187" i="13" s="1"/>
  <c r="AV1188" i="13" s="1"/>
  <c r="AV1189" i="13" s="1"/>
  <c r="AV1190" i="13" s="1"/>
  <c r="AV1191" i="13" s="1"/>
  <c r="AV1192" i="13" s="1"/>
  <c r="AV1193" i="13" s="1"/>
  <c r="AV1194" i="13" s="1"/>
  <c r="AV1195" i="13" s="1"/>
  <c r="AV1196" i="13" s="1"/>
  <c r="AV1197" i="13" s="1"/>
  <c r="AV1198" i="13" s="1"/>
  <c r="AV1199" i="13" s="1"/>
  <c r="AV1200" i="13" s="1"/>
  <c r="AV1201" i="13" s="1"/>
  <c r="C85" i="6"/>
  <c r="D85" i="6"/>
  <c r="E85" i="6"/>
  <c r="D134" i="7"/>
  <c r="C134" i="7"/>
  <c r="E134" i="7"/>
  <c r="AZ4" i="13"/>
  <c r="AY4" i="13"/>
  <c r="AX4" i="13"/>
  <c r="AW3" i="13"/>
  <c r="AW4" i="13" s="1"/>
  <c r="AW5" i="13" s="1"/>
  <c r="AW6" i="13" s="1"/>
  <c r="AW7" i="13" s="1"/>
  <c r="AW8" i="13" s="1"/>
  <c r="AW9" i="13" s="1"/>
  <c r="AW10" i="13" s="1"/>
  <c r="AW11" i="13" s="1"/>
  <c r="AW12" i="13" s="1"/>
  <c r="AW13" i="13" s="1"/>
  <c r="AW14" i="13" s="1"/>
  <c r="AW15" i="13" s="1"/>
  <c r="AW16" i="13" s="1"/>
  <c r="AW17" i="13" s="1"/>
  <c r="AW18" i="13" s="1"/>
  <c r="AW19" i="13" s="1"/>
  <c r="AW20" i="13" s="1"/>
  <c r="AW21" i="13" s="1"/>
  <c r="AW22" i="13" s="1"/>
  <c r="AW23" i="13" s="1"/>
  <c r="AW24" i="13" s="1"/>
  <c r="AW25" i="13" s="1"/>
  <c r="AW26" i="13" s="1"/>
  <c r="AW27" i="13" s="1"/>
  <c r="AW28" i="13" s="1"/>
  <c r="AW29" i="13" s="1"/>
  <c r="AW30" i="13" s="1"/>
  <c r="AW31" i="13" s="1"/>
  <c r="AW32" i="13" s="1"/>
  <c r="AW33" i="13" s="1"/>
  <c r="AW34" i="13" s="1"/>
  <c r="AW35" i="13" s="1"/>
  <c r="AW36" i="13" s="1"/>
  <c r="AW37" i="13" s="1"/>
  <c r="AW38" i="13" s="1"/>
  <c r="AW39" i="13" s="1"/>
  <c r="AW40" i="13" s="1"/>
  <c r="AW41" i="13" s="1"/>
  <c r="AW42" i="13" s="1"/>
  <c r="AW43" i="13" s="1"/>
  <c r="AW44" i="13" s="1"/>
  <c r="AW45" i="13" s="1"/>
  <c r="AW46" i="13" s="1"/>
  <c r="AW47" i="13" s="1"/>
  <c r="AW48" i="13" s="1"/>
  <c r="AW49" i="13" s="1"/>
  <c r="AW50" i="13" s="1"/>
  <c r="AW51" i="13" s="1"/>
  <c r="AW52" i="13" s="1"/>
  <c r="AW53" i="13" s="1"/>
  <c r="AW54" i="13" s="1"/>
  <c r="AW55" i="13" s="1"/>
  <c r="AW56" i="13" s="1"/>
  <c r="AW57" i="13" s="1"/>
  <c r="AW58" i="13" s="1"/>
  <c r="AW59" i="13" s="1"/>
  <c r="AW60" i="13" s="1"/>
  <c r="AW61" i="13" s="1"/>
  <c r="AW62" i="13" s="1"/>
  <c r="AW63" i="13" s="1"/>
  <c r="AW64" i="13" s="1"/>
  <c r="AW65" i="13" s="1"/>
  <c r="AW66" i="13" s="1"/>
  <c r="AW67" i="13" s="1"/>
  <c r="AW68" i="13" s="1"/>
  <c r="AW69" i="13" s="1"/>
  <c r="AW70" i="13" s="1"/>
  <c r="AW71" i="13" s="1"/>
  <c r="AW72" i="13" s="1"/>
  <c r="AW73" i="13" s="1"/>
  <c r="AW74" i="13" s="1"/>
  <c r="AW75" i="13" s="1"/>
  <c r="AW76" i="13" s="1"/>
  <c r="AW77" i="13" s="1"/>
  <c r="AW78" i="13" s="1"/>
  <c r="AW79" i="13" s="1"/>
  <c r="AW80" i="13" s="1"/>
  <c r="AW81" i="13" s="1"/>
  <c r="AW82" i="13" s="1"/>
  <c r="AW83" i="13" s="1"/>
  <c r="AW84" i="13" s="1"/>
  <c r="AW85" i="13" s="1"/>
  <c r="AW86" i="13" s="1"/>
  <c r="AW87" i="13" s="1"/>
  <c r="AW88" i="13" s="1"/>
  <c r="AW89" i="13" s="1"/>
  <c r="AW90" i="13" s="1"/>
  <c r="AW91" i="13" s="1"/>
  <c r="AW92" i="13" s="1"/>
  <c r="AW93" i="13" s="1"/>
  <c r="AW94" i="13" s="1"/>
  <c r="AW95" i="13" s="1"/>
  <c r="AW96" i="13" s="1"/>
  <c r="AW97" i="13" s="1"/>
  <c r="AW98" i="13" s="1"/>
  <c r="AW99" i="13" s="1"/>
  <c r="AW100" i="13" s="1"/>
  <c r="AW101" i="13" s="1"/>
  <c r="AW102" i="13" s="1"/>
  <c r="AW103" i="13" s="1"/>
  <c r="AW104" i="13" s="1"/>
  <c r="AW105" i="13" s="1"/>
  <c r="AW106" i="13" s="1"/>
  <c r="AW107" i="13" s="1"/>
  <c r="AW108" i="13" s="1"/>
  <c r="AW109" i="13" s="1"/>
  <c r="AW110" i="13" s="1"/>
  <c r="AW111" i="13" s="1"/>
  <c r="AW112" i="13" s="1"/>
  <c r="AW113" i="13" s="1"/>
  <c r="AW114" i="13" s="1"/>
  <c r="AW115" i="13" s="1"/>
  <c r="AW116" i="13" s="1"/>
  <c r="AW117" i="13" s="1"/>
  <c r="AW118" i="13" s="1"/>
  <c r="AW119" i="13" s="1"/>
  <c r="AW120" i="13" s="1"/>
  <c r="AW121" i="13" s="1"/>
  <c r="AW122" i="13" s="1"/>
  <c r="AW123" i="13" s="1"/>
  <c r="AW124" i="13" s="1"/>
  <c r="AW125" i="13" s="1"/>
  <c r="AW126" i="13" s="1"/>
  <c r="AW127" i="13" s="1"/>
  <c r="AW128" i="13" s="1"/>
  <c r="AW129" i="13" s="1"/>
  <c r="AW130" i="13" s="1"/>
  <c r="AW131" i="13" s="1"/>
  <c r="AW132" i="13" s="1"/>
  <c r="AW133" i="13" s="1"/>
  <c r="AW134" i="13" s="1"/>
  <c r="AW135" i="13" s="1"/>
  <c r="AW136" i="13" s="1"/>
  <c r="AW137" i="13" s="1"/>
  <c r="AW138" i="13" s="1"/>
  <c r="AW139" i="13" s="1"/>
  <c r="AW140" i="13" s="1"/>
  <c r="AW141" i="13" s="1"/>
  <c r="AW142" i="13" s="1"/>
  <c r="AW143" i="13" s="1"/>
  <c r="AW144" i="13" s="1"/>
  <c r="AW145" i="13" s="1"/>
  <c r="AW146" i="13" s="1"/>
  <c r="AW147" i="13" s="1"/>
  <c r="AW148" i="13" s="1"/>
  <c r="AW149" i="13" s="1"/>
  <c r="AW150" i="13" s="1"/>
  <c r="AW151" i="13" s="1"/>
  <c r="AW152" i="13" s="1"/>
  <c r="AW153" i="13" s="1"/>
  <c r="AW154" i="13" s="1"/>
  <c r="AW155" i="13" s="1"/>
  <c r="AW156" i="13" s="1"/>
  <c r="AW157" i="13" s="1"/>
  <c r="AW158" i="13" s="1"/>
  <c r="AW159" i="13" s="1"/>
  <c r="AW160" i="13" s="1"/>
  <c r="AW161" i="13" s="1"/>
  <c r="AW162" i="13" s="1"/>
  <c r="AW163" i="13" s="1"/>
  <c r="AW164" i="13" s="1"/>
  <c r="AW165" i="13" s="1"/>
  <c r="AW166" i="13" s="1"/>
  <c r="AW167" i="13" s="1"/>
  <c r="AW168" i="13" s="1"/>
  <c r="AW169" i="13" s="1"/>
  <c r="AW170" i="13" s="1"/>
  <c r="AW171" i="13" s="1"/>
  <c r="AW172" i="13" s="1"/>
  <c r="AW173" i="13" s="1"/>
  <c r="AW174" i="13" s="1"/>
  <c r="AW175" i="13" s="1"/>
  <c r="AW176" i="13" s="1"/>
  <c r="AW177" i="13" s="1"/>
  <c r="AW178" i="13" s="1"/>
  <c r="AW179" i="13" s="1"/>
  <c r="AW180" i="13" s="1"/>
  <c r="AW181" i="13" s="1"/>
  <c r="AW182" i="13" s="1"/>
  <c r="AW183" i="13" s="1"/>
  <c r="AW184" i="13" s="1"/>
  <c r="AW185" i="13" s="1"/>
  <c r="AW186" i="13" s="1"/>
  <c r="AW187" i="13" s="1"/>
  <c r="AW188" i="13" s="1"/>
  <c r="AW189" i="13" s="1"/>
  <c r="AW190" i="13" s="1"/>
  <c r="AW191" i="13" s="1"/>
  <c r="AW192" i="13" s="1"/>
  <c r="AW193" i="13" s="1"/>
  <c r="AW194" i="13" s="1"/>
  <c r="AW195" i="13" s="1"/>
  <c r="AW196" i="13" s="1"/>
  <c r="AW197" i="13" s="1"/>
  <c r="AW198" i="13" s="1"/>
  <c r="AW199" i="13" s="1"/>
  <c r="AW200" i="13" s="1"/>
  <c r="AW201" i="13" s="1"/>
  <c r="AW202" i="13" s="1"/>
  <c r="AW203" i="13" s="1"/>
  <c r="AW204" i="13" s="1"/>
  <c r="AW205" i="13" s="1"/>
  <c r="AW206" i="13" s="1"/>
  <c r="AW207" i="13" s="1"/>
  <c r="AW208" i="13" s="1"/>
  <c r="AW209" i="13" s="1"/>
  <c r="AW210" i="13" s="1"/>
  <c r="AW211" i="13" s="1"/>
  <c r="AW212" i="13" s="1"/>
  <c r="AW213" i="13" s="1"/>
  <c r="AW214" i="13" s="1"/>
  <c r="AW215" i="13" s="1"/>
  <c r="AW216" i="13" s="1"/>
  <c r="AW217" i="13" s="1"/>
  <c r="AW218" i="13" s="1"/>
  <c r="AW219" i="13" s="1"/>
  <c r="AW220" i="13" s="1"/>
  <c r="AW221" i="13" s="1"/>
  <c r="AW222" i="13" s="1"/>
  <c r="AW223" i="13" s="1"/>
  <c r="AW224" i="13" s="1"/>
  <c r="AW225" i="13" s="1"/>
  <c r="AW226" i="13" s="1"/>
  <c r="AW227" i="13" s="1"/>
  <c r="AW228" i="13" s="1"/>
  <c r="AW229" i="13" s="1"/>
  <c r="AW230" i="13" s="1"/>
  <c r="AW231" i="13" s="1"/>
  <c r="AW232" i="13" s="1"/>
  <c r="AW233" i="13" s="1"/>
  <c r="AW234" i="13" s="1"/>
  <c r="AW235" i="13" s="1"/>
  <c r="AW236" i="13" s="1"/>
  <c r="AW237" i="13" s="1"/>
  <c r="AW238" i="13" s="1"/>
  <c r="AW239" i="13" s="1"/>
  <c r="AW240" i="13" s="1"/>
  <c r="AW241" i="13" s="1"/>
  <c r="AW242" i="13" s="1"/>
  <c r="AW243" i="13" s="1"/>
  <c r="AW244" i="13" s="1"/>
  <c r="AW245" i="13" s="1"/>
  <c r="AW246" i="13" s="1"/>
  <c r="AW247" i="13" s="1"/>
  <c r="AW248" i="13" s="1"/>
  <c r="AW249" i="13" s="1"/>
  <c r="AW250" i="13" s="1"/>
  <c r="AW251" i="13" s="1"/>
  <c r="AW252" i="13" s="1"/>
  <c r="AW253" i="13" s="1"/>
  <c r="AW254" i="13" s="1"/>
  <c r="AW255" i="13" s="1"/>
  <c r="AW256" i="13" s="1"/>
  <c r="AW257" i="13" s="1"/>
  <c r="AW258" i="13" s="1"/>
  <c r="AW259" i="13" s="1"/>
  <c r="AW260" i="13" s="1"/>
  <c r="AW261" i="13" s="1"/>
  <c r="AW262" i="13" s="1"/>
  <c r="AW263" i="13" s="1"/>
  <c r="AW264" i="13" s="1"/>
  <c r="AW265" i="13" s="1"/>
  <c r="AW266" i="13" s="1"/>
  <c r="AW267" i="13" s="1"/>
  <c r="AW268" i="13" s="1"/>
  <c r="AW269" i="13" s="1"/>
  <c r="AW270" i="13" s="1"/>
  <c r="AW271" i="13" s="1"/>
  <c r="AW272" i="13" s="1"/>
  <c r="AW273" i="13" s="1"/>
  <c r="AW274" i="13" s="1"/>
  <c r="AW275" i="13" s="1"/>
  <c r="AW276" i="13" s="1"/>
  <c r="AW277" i="13" s="1"/>
  <c r="AW278" i="13" s="1"/>
  <c r="AW279" i="13" s="1"/>
  <c r="AW280" i="13" s="1"/>
  <c r="AW281" i="13" s="1"/>
  <c r="AW282" i="13" s="1"/>
  <c r="AW283" i="13" s="1"/>
  <c r="AW284" i="13" s="1"/>
  <c r="AW285" i="13" s="1"/>
  <c r="AW286" i="13" s="1"/>
  <c r="AW287" i="13" s="1"/>
  <c r="AW288" i="13" s="1"/>
  <c r="AW289" i="13" s="1"/>
  <c r="AW290" i="13" s="1"/>
  <c r="AW291" i="13" s="1"/>
  <c r="AW292" i="13" s="1"/>
  <c r="AW293" i="13" s="1"/>
  <c r="AW294" i="13" s="1"/>
  <c r="AW295" i="13" s="1"/>
  <c r="AW296" i="13" s="1"/>
  <c r="AW297" i="13" s="1"/>
  <c r="AW298" i="13" s="1"/>
  <c r="AW299" i="13" s="1"/>
  <c r="AW300" i="13" s="1"/>
  <c r="AW301" i="13" s="1"/>
  <c r="AW302" i="13" s="1"/>
  <c r="AW303" i="13" s="1"/>
  <c r="AW304" i="13" s="1"/>
  <c r="AW305" i="13" s="1"/>
  <c r="AW306" i="13" s="1"/>
  <c r="AW307" i="13" s="1"/>
  <c r="AW308" i="13" s="1"/>
  <c r="AW309" i="13" s="1"/>
  <c r="AW310" i="13" s="1"/>
  <c r="AW311" i="13" s="1"/>
  <c r="AW312" i="13" s="1"/>
  <c r="AW313" i="13" s="1"/>
  <c r="AW314" i="13" s="1"/>
  <c r="AW315" i="13" s="1"/>
  <c r="AW316" i="13" s="1"/>
  <c r="AW317" i="13" s="1"/>
  <c r="AW318" i="13" s="1"/>
  <c r="AW319" i="13" s="1"/>
  <c r="AW320" i="13" s="1"/>
  <c r="AW321" i="13" s="1"/>
  <c r="AW322" i="13" s="1"/>
  <c r="AW323" i="13" s="1"/>
  <c r="AW324" i="13" s="1"/>
  <c r="AW325" i="13" s="1"/>
  <c r="AW326" i="13" s="1"/>
  <c r="AW327" i="13" s="1"/>
  <c r="AW328" i="13" s="1"/>
  <c r="AW329" i="13" s="1"/>
  <c r="AW330" i="13" s="1"/>
  <c r="AW331" i="13" s="1"/>
  <c r="AW332" i="13" s="1"/>
  <c r="AW333" i="13" s="1"/>
  <c r="AW334" i="13" s="1"/>
  <c r="AW335" i="13" s="1"/>
  <c r="AW336" i="13" s="1"/>
  <c r="AW337" i="13" s="1"/>
  <c r="AW338" i="13" s="1"/>
  <c r="AW339" i="13" s="1"/>
  <c r="AW340" i="13" s="1"/>
  <c r="AW341" i="13" s="1"/>
  <c r="AW342" i="13" s="1"/>
  <c r="AW343" i="13" s="1"/>
  <c r="AW344" i="13" s="1"/>
  <c r="AW345" i="13" s="1"/>
  <c r="AW346" i="13" s="1"/>
  <c r="AW347" i="13" s="1"/>
  <c r="AW348" i="13" s="1"/>
  <c r="AW349" i="13" s="1"/>
  <c r="AW350" i="13" s="1"/>
  <c r="AW351" i="13" s="1"/>
  <c r="AW352" i="13" s="1"/>
  <c r="AW353" i="13" s="1"/>
  <c r="AW354" i="13" s="1"/>
  <c r="AW355" i="13" s="1"/>
  <c r="AW356" i="13" s="1"/>
  <c r="AW357" i="13" s="1"/>
  <c r="AW358" i="13" s="1"/>
  <c r="AW359" i="13" s="1"/>
  <c r="AW360" i="13" s="1"/>
  <c r="AW361" i="13" s="1"/>
  <c r="AW362" i="13" s="1"/>
  <c r="AW363" i="13" s="1"/>
  <c r="AW364" i="13" s="1"/>
  <c r="AW365" i="13" s="1"/>
  <c r="AW366" i="13" s="1"/>
  <c r="AW367" i="13" s="1"/>
  <c r="AW368" i="13" s="1"/>
  <c r="AW369" i="13" s="1"/>
  <c r="AW370" i="13" s="1"/>
  <c r="AW371" i="13" s="1"/>
  <c r="AW372" i="13" s="1"/>
  <c r="AW373" i="13" s="1"/>
  <c r="AW374" i="13" s="1"/>
  <c r="AW375" i="13" s="1"/>
  <c r="AW376" i="13" s="1"/>
  <c r="AW377" i="13" s="1"/>
  <c r="AW378" i="13" s="1"/>
  <c r="AW379" i="13" s="1"/>
  <c r="AW380" i="13" s="1"/>
  <c r="AW381" i="13" s="1"/>
  <c r="AW382" i="13" s="1"/>
  <c r="AW383" i="13" s="1"/>
  <c r="AW384" i="13" s="1"/>
  <c r="AW385" i="13" s="1"/>
  <c r="AW386" i="13" s="1"/>
  <c r="AW387" i="13" s="1"/>
  <c r="AW388" i="13" s="1"/>
  <c r="AW389" i="13" s="1"/>
  <c r="AW390" i="13" s="1"/>
  <c r="AW391" i="13" s="1"/>
  <c r="AW392" i="13" s="1"/>
  <c r="AW393" i="13" s="1"/>
  <c r="AW394" i="13" s="1"/>
  <c r="AW395" i="13" s="1"/>
  <c r="AW396" i="13" s="1"/>
  <c r="AW397" i="13" s="1"/>
  <c r="AW398" i="13" s="1"/>
  <c r="AW399" i="13" s="1"/>
  <c r="AW400" i="13" s="1"/>
  <c r="AW401" i="13" s="1"/>
  <c r="AW402" i="13" s="1"/>
  <c r="AW403" i="13" s="1"/>
  <c r="AW404" i="13" s="1"/>
  <c r="AW405" i="13" s="1"/>
  <c r="AW406" i="13" s="1"/>
  <c r="AW407" i="13" s="1"/>
  <c r="AW408" i="13" s="1"/>
  <c r="AW409" i="13" s="1"/>
  <c r="AW410" i="13" s="1"/>
  <c r="AW411" i="13" s="1"/>
  <c r="AW412" i="13" s="1"/>
  <c r="AW413" i="13" s="1"/>
  <c r="AW414" i="13" s="1"/>
  <c r="AW415" i="13" s="1"/>
  <c r="AW416" i="13" s="1"/>
  <c r="AW417" i="13" s="1"/>
  <c r="AW418" i="13" s="1"/>
  <c r="AW419" i="13" s="1"/>
  <c r="AW420" i="13" s="1"/>
  <c r="AW421" i="13" s="1"/>
  <c r="AW422" i="13" s="1"/>
  <c r="AW423" i="13" s="1"/>
  <c r="AW424" i="13" s="1"/>
  <c r="AW425" i="13" s="1"/>
  <c r="AW426" i="13" s="1"/>
  <c r="AW427" i="13" s="1"/>
  <c r="AW428" i="13" s="1"/>
  <c r="AW429" i="13" s="1"/>
  <c r="AW430" i="13" s="1"/>
  <c r="AW431" i="13" s="1"/>
  <c r="AW432" i="13" s="1"/>
  <c r="AW433" i="13" s="1"/>
  <c r="AW434" i="13" s="1"/>
  <c r="AW435" i="13" s="1"/>
  <c r="AW436" i="13" s="1"/>
  <c r="AW437" i="13" s="1"/>
  <c r="AW438" i="13" s="1"/>
  <c r="AW439" i="13" s="1"/>
  <c r="AW440" i="13" s="1"/>
  <c r="AW441" i="13" s="1"/>
  <c r="AW442" i="13" s="1"/>
  <c r="AW443" i="13" s="1"/>
  <c r="AW444" i="13" s="1"/>
  <c r="AW445" i="13" s="1"/>
  <c r="AW446" i="13" s="1"/>
  <c r="AW447" i="13" s="1"/>
  <c r="AW448" i="13" s="1"/>
  <c r="AW449" i="13" s="1"/>
  <c r="AW450" i="13" s="1"/>
  <c r="AW451" i="13" s="1"/>
  <c r="AW452" i="13" s="1"/>
  <c r="AW453" i="13" s="1"/>
  <c r="AW454" i="13" s="1"/>
  <c r="AW455" i="13" s="1"/>
  <c r="AW456" i="13" s="1"/>
  <c r="AW457" i="13" s="1"/>
  <c r="AW458" i="13" s="1"/>
  <c r="AW459" i="13" s="1"/>
  <c r="AW460" i="13" s="1"/>
  <c r="AW461" i="13" s="1"/>
  <c r="AW462" i="13" s="1"/>
  <c r="AW463" i="13" s="1"/>
  <c r="AW464" i="13" s="1"/>
  <c r="AW465" i="13" s="1"/>
  <c r="AW466" i="13" s="1"/>
  <c r="AW467" i="13" s="1"/>
  <c r="AW468" i="13" s="1"/>
  <c r="AW469" i="13" s="1"/>
  <c r="AW470" i="13" s="1"/>
  <c r="AW471" i="13" s="1"/>
  <c r="AW472" i="13" s="1"/>
  <c r="AW473" i="13" s="1"/>
  <c r="AW474" i="13" s="1"/>
  <c r="AW475" i="13" s="1"/>
  <c r="AW476" i="13" s="1"/>
  <c r="AW477" i="13" s="1"/>
  <c r="AW478" i="13" s="1"/>
  <c r="AW479" i="13" s="1"/>
  <c r="AW480" i="13" s="1"/>
  <c r="AW481" i="13" s="1"/>
  <c r="AW482" i="13" s="1"/>
  <c r="AW483" i="13" s="1"/>
  <c r="AW484" i="13" s="1"/>
  <c r="AW485" i="13" s="1"/>
  <c r="AW486" i="13" s="1"/>
  <c r="AW487" i="13" s="1"/>
  <c r="AW488" i="13" s="1"/>
  <c r="AW489" i="13" s="1"/>
  <c r="AW490" i="13" s="1"/>
  <c r="AW491" i="13" s="1"/>
  <c r="AW492" i="13" s="1"/>
  <c r="AW493" i="13" s="1"/>
  <c r="AW494" i="13" s="1"/>
  <c r="AW495" i="13" s="1"/>
  <c r="AW496" i="13" s="1"/>
  <c r="AW497" i="13" s="1"/>
  <c r="AW498" i="13" s="1"/>
  <c r="AW499" i="13" s="1"/>
  <c r="AW500" i="13" s="1"/>
  <c r="AW501" i="13" s="1"/>
  <c r="AW502" i="13" s="1"/>
  <c r="AW503" i="13" s="1"/>
  <c r="AW504" i="13" s="1"/>
  <c r="AW505" i="13" s="1"/>
  <c r="AW506" i="13" s="1"/>
  <c r="AW507" i="13" s="1"/>
  <c r="AW508" i="13" s="1"/>
  <c r="AW509" i="13" s="1"/>
  <c r="AW510" i="13" s="1"/>
  <c r="AW511" i="13" s="1"/>
  <c r="AW512" i="13" s="1"/>
  <c r="AW513" i="13" s="1"/>
  <c r="AW514" i="13" s="1"/>
  <c r="AW515" i="13" s="1"/>
  <c r="AW516" i="13" s="1"/>
  <c r="AW517" i="13" s="1"/>
  <c r="AW518" i="13" s="1"/>
  <c r="AW519" i="13" s="1"/>
  <c r="AW520" i="13" s="1"/>
  <c r="AW521" i="13" s="1"/>
  <c r="AW522" i="13" s="1"/>
  <c r="AW523" i="13" s="1"/>
  <c r="AW524" i="13" s="1"/>
  <c r="AW525" i="13" s="1"/>
  <c r="AW526" i="13" s="1"/>
  <c r="AW527" i="13" s="1"/>
  <c r="AW528" i="13" s="1"/>
  <c r="AW529" i="13" s="1"/>
  <c r="AW530" i="13" s="1"/>
  <c r="AW531" i="13" s="1"/>
  <c r="AW532" i="13" s="1"/>
  <c r="AW533" i="13" s="1"/>
  <c r="AW534" i="13" s="1"/>
  <c r="AW535" i="13" s="1"/>
  <c r="AW536" i="13" s="1"/>
  <c r="AW537" i="13" s="1"/>
  <c r="AW538" i="13" s="1"/>
  <c r="AW539" i="13" s="1"/>
  <c r="AW540" i="13" s="1"/>
  <c r="AW541" i="13" s="1"/>
  <c r="AW542" i="13" s="1"/>
  <c r="AW543" i="13" s="1"/>
  <c r="AW544" i="13" s="1"/>
  <c r="AW545" i="13" s="1"/>
  <c r="AW546" i="13" s="1"/>
  <c r="AW547" i="13" s="1"/>
  <c r="AW548" i="13" s="1"/>
  <c r="AW549" i="13" s="1"/>
  <c r="AW550" i="13" s="1"/>
  <c r="AW551" i="13" s="1"/>
  <c r="AW552" i="13" s="1"/>
  <c r="AW553" i="13" s="1"/>
  <c r="AW554" i="13" s="1"/>
  <c r="AW555" i="13" s="1"/>
  <c r="AW556" i="13" s="1"/>
  <c r="AW557" i="13" s="1"/>
  <c r="AW558" i="13" s="1"/>
  <c r="AW559" i="13" s="1"/>
  <c r="AW560" i="13" s="1"/>
  <c r="AW561" i="13" s="1"/>
  <c r="AW562" i="13" s="1"/>
  <c r="AW563" i="13" s="1"/>
  <c r="AW564" i="13" s="1"/>
  <c r="AW565" i="13" s="1"/>
  <c r="AW566" i="13" s="1"/>
  <c r="AW567" i="13" s="1"/>
  <c r="AW568" i="13" s="1"/>
  <c r="AW569" i="13" s="1"/>
  <c r="AW570" i="13" s="1"/>
  <c r="AW571" i="13" s="1"/>
  <c r="AW572" i="13" s="1"/>
  <c r="AW573" i="13" s="1"/>
  <c r="AW574" i="13" s="1"/>
  <c r="AW575" i="13" s="1"/>
  <c r="AW576" i="13" s="1"/>
  <c r="AW577" i="13" s="1"/>
  <c r="AW578" i="13" s="1"/>
  <c r="AW579" i="13" s="1"/>
  <c r="AW580" i="13" s="1"/>
  <c r="AW581" i="13" s="1"/>
  <c r="AW582" i="13" s="1"/>
  <c r="AW583" i="13" s="1"/>
  <c r="AW584" i="13" s="1"/>
  <c r="AW585" i="13" s="1"/>
  <c r="AW586" i="13" s="1"/>
  <c r="AW587" i="13" s="1"/>
  <c r="AW588" i="13" s="1"/>
  <c r="AW589" i="13" s="1"/>
  <c r="AW590" i="13" s="1"/>
  <c r="AW591" i="13" s="1"/>
  <c r="AW592" i="13" s="1"/>
  <c r="AW593" i="13" s="1"/>
  <c r="AW594" i="13" s="1"/>
  <c r="AW595" i="13" s="1"/>
  <c r="AW596" i="13" s="1"/>
  <c r="AW597" i="13" s="1"/>
  <c r="AW598" i="13" s="1"/>
  <c r="AW599" i="13" s="1"/>
  <c r="AW600" i="13" s="1"/>
  <c r="AW601" i="13" s="1"/>
  <c r="AW602" i="13" s="1"/>
  <c r="AW603" i="13" s="1"/>
  <c r="AW604" i="13" s="1"/>
  <c r="AW605" i="13" s="1"/>
  <c r="AW606" i="13" s="1"/>
  <c r="AW607" i="13" s="1"/>
  <c r="AW608" i="13" s="1"/>
  <c r="AW609" i="13" s="1"/>
  <c r="AW610" i="13" s="1"/>
  <c r="AW611" i="13" s="1"/>
  <c r="AW612" i="13" s="1"/>
  <c r="AW613" i="13" s="1"/>
  <c r="AW614" i="13" s="1"/>
  <c r="AW615" i="13" s="1"/>
  <c r="AW616" i="13" s="1"/>
  <c r="AW617" i="13" s="1"/>
  <c r="AW618" i="13" s="1"/>
  <c r="AW619" i="13" s="1"/>
  <c r="AW620" i="13" s="1"/>
  <c r="AW621" i="13" s="1"/>
  <c r="AW622" i="13" s="1"/>
  <c r="AW623" i="13" s="1"/>
  <c r="AW624" i="13" s="1"/>
  <c r="AW625" i="13" s="1"/>
  <c r="AW626" i="13" s="1"/>
  <c r="AW627" i="13" s="1"/>
  <c r="AW628" i="13" s="1"/>
  <c r="AW629" i="13" s="1"/>
  <c r="AW630" i="13" s="1"/>
  <c r="AW631" i="13" s="1"/>
  <c r="AW632" i="13" s="1"/>
  <c r="AW633" i="13" s="1"/>
  <c r="AW634" i="13" s="1"/>
  <c r="AW635" i="13" s="1"/>
  <c r="AW636" i="13" s="1"/>
  <c r="AW637" i="13" s="1"/>
  <c r="AW638" i="13" s="1"/>
  <c r="AW639" i="13" s="1"/>
  <c r="AW640" i="13" s="1"/>
  <c r="AW641" i="13" s="1"/>
  <c r="AW642" i="13" s="1"/>
  <c r="AW643" i="13" s="1"/>
  <c r="AW644" i="13" s="1"/>
  <c r="AW645" i="13" s="1"/>
  <c r="AW646" i="13" s="1"/>
  <c r="AW647" i="13" s="1"/>
  <c r="AW648" i="13" s="1"/>
  <c r="AW649" i="13" s="1"/>
  <c r="AW650" i="13" s="1"/>
  <c r="AW651" i="13" s="1"/>
  <c r="AW652" i="13" s="1"/>
  <c r="AW653" i="13" s="1"/>
  <c r="AW654" i="13" s="1"/>
  <c r="AW655" i="13" s="1"/>
  <c r="AW656" i="13" s="1"/>
  <c r="AW657" i="13" s="1"/>
  <c r="AW658" i="13" s="1"/>
  <c r="AW659" i="13" s="1"/>
  <c r="AW660" i="13" s="1"/>
  <c r="AW661" i="13" s="1"/>
  <c r="AW662" i="13" s="1"/>
  <c r="AW663" i="13" s="1"/>
  <c r="AW664" i="13" s="1"/>
  <c r="AW665" i="13" s="1"/>
  <c r="AW666" i="13" s="1"/>
  <c r="AW667" i="13" s="1"/>
  <c r="AW668" i="13" s="1"/>
  <c r="AW669" i="13" s="1"/>
  <c r="AW670" i="13" s="1"/>
  <c r="AW671" i="13" s="1"/>
  <c r="AW672" i="13" s="1"/>
  <c r="AW673" i="13" s="1"/>
  <c r="AW674" i="13" s="1"/>
  <c r="AW675" i="13" s="1"/>
  <c r="AW676" i="13" s="1"/>
  <c r="AW677" i="13" s="1"/>
  <c r="AW678" i="13" s="1"/>
  <c r="AW679" i="13" s="1"/>
  <c r="AW680" i="13" s="1"/>
  <c r="AW681" i="13" s="1"/>
  <c r="AW682" i="13" s="1"/>
  <c r="AW683" i="13" s="1"/>
  <c r="AW684" i="13" s="1"/>
  <c r="AW685" i="13" s="1"/>
  <c r="AW686" i="13" s="1"/>
  <c r="AW687" i="13" s="1"/>
  <c r="AW688" i="13" s="1"/>
  <c r="AW689" i="13" s="1"/>
  <c r="AW690" i="13" s="1"/>
  <c r="AW691" i="13" s="1"/>
  <c r="AW692" i="13" s="1"/>
  <c r="AW693" i="13" s="1"/>
  <c r="AW694" i="13" s="1"/>
  <c r="AW695" i="13" s="1"/>
  <c r="AW696" i="13" s="1"/>
  <c r="AW697" i="13" s="1"/>
  <c r="AW698" i="13" s="1"/>
  <c r="AW699" i="13" s="1"/>
  <c r="AW700" i="13" s="1"/>
  <c r="AW701" i="13" s="1"/>
  <c r="AW702" i="13" s="1"/>
  <c r="AW703" i="13" s="1"/>
  <c r="AW704" i="13" s="1"/>
  <c r="AW705" i="13" s="1"/>
  <c r="AW706" i="13" s="1"/>
  <c r="AW707" i="13" s="1"/>
  <c r="AW708" i="13" s="1"/>
  <c r="AW709" i="13" s="1"/>
  <c r="AW710" i="13" s="1"/>
  <c r="AW711" i="13" s="1"/>
  <c r="AW712" i="13" s="1"/>
  <c r="AW713" i="13" s="1"/>
  <c r="AW714" i="13" s="1"/>
  <c r="AW715" i="13" s="1"/>
  <c r="AW716" i="13" s="1"/>
  <c r="AW717" i="13" s="1"/>
  <c r="AW718" i="13" s="1"/>
  <c r="AW719" i="13" s="1"/>
  <c r="AW720" i="13" s="1"/>
  <c r="AW721" i="13" s="1"/>
  <c r="AW722" i="13" s="1"/>
  <c r="AW723" i="13" s="1"/>
  <c r="AW724" i="13" s="1"/>
  <c r="AW725" i="13" s="1"/>
  <c r="AW726" i="13" s="1"/>
  <c r="AW727" i="13" s="1"/>
  <c r="AW728" i="13" s="1"/>
  <c r="AW729" i="13" s="1"/>
  <c r="AW730" i="13" s="1"/>
  <c r="AW731" i="13" s="1"/>
  <c r="AW732" i="13" s="1"/>
  <c r="AW733" i="13" s="1"/>
  <c r="AW734" i="13" s="1"/>
  <c r="AW735" i="13" s="1"/>
  <c r="AW736" i="13" s="1"/>
  <c r="AW737" i="13" s="1"/>
  <c r="AW738" i="13" s="1"/>
  <c r="AW739" i="13" s="1"/>
  <c r="AW740" i="13" s="1"/>
  <c r="AW741" i="13" s="1"/>
  <c r="AW742" i="13" s="1"/>
  <c r="AW743" i="13" s="1"/>
  <c r="AW744" i="13" s="1"/>
  <c r="AW745" i="13" s="1"/>
  <c r="AW746" i="13" s="1"/>
  <c r="AW747" i="13" s="1"/>
  <c r="AW748" i="13" s="1"/>
  <c r="AW749" i="13" s="1"/>
  <c r="AW750" i="13" s="1"/>
  <c r="AW751" i="13" s="1"/>
  <c r="AW752" i="13" s="1"/>
  <c r="AW753" i="13" s="1"/>
  <c r="AW754" i="13" s="1"/>
  <c r="AW755" i="13" s="1"/>
  <c r="AW756" i="13" s="1"/>
  <c r="AW757" i="13" s="1"/>
  <c r="AW758" i="13" s="1"/>
  <c r="AW759" i="13" s="1"/>
  <c r="AW760" i="13" s="1"/>
  <c r="AW761" i="13" s="1"/>
  <c r="AW762" i="13" s="1"/>
  <c r="AW763" i="13" s="1"/>
  <c r="AW764" i="13" s="1"/>
  <c r="AW765" i="13" s="1"/>
  <c r="AW766" i="13" s="1"/>
  <c r="AW767" i="13" s="1"/>
  <c r="AW768" i="13" s="1"/>
  <c r="AW769" i="13" s="1"/>
  <c r="AW770" i="13" s="1"/>
  <c r="AW771" i="13" s="1"/>
  <c r="AW772" i="13" s="1"/>
  <c r="AW773" i="13" s="1"/>
  <c r="AW774" i="13" s="1"/>
  <c r="AW775" i="13" s="1"/>
  <c r="AW776" i="13" s="1"/>
  <c r="AW777" i="13" s="1"/>
  <c r="AW778" i="13" s="1"/>
  <c r="AW779" i="13" s="1"/>
  <c r="AW780" i="13" s="1"/>
  <c r="AW781" i="13" s="1"/>
  <c r="AW782" i="13" s="1"/>
  <c r="AW783" i="13" s="1"/>
  <c r="AW784" i="13" s="1"/>
  <c r="AW785" i="13" s="1"/>
  <c r="AW786" i="13" s="1"/>
  <c r="AW787" i="13" s="1"/>
  <c r="AW788" i="13" s="1"/>
  <c r="AW789" i="13" s="1"/>
  <c r="AW790" i="13" s="1"/>
  <c r="AW791" i="13" s="1"/>
  <c r="AW792" i="13" s="1"/>
  <c r="AW793" i="13" s="1"/>
  <c r="AW794" i="13" s="1"/>
  <c r="AW795" i="13" s="1"/>
  <c r="AW796" i="13" s="1"/>
  <c r="AW797" i="13" s="1"/>
  <c r="AW798" i="13" s="1"/>
  <c r="AW799" i="13" s="1"/>
  <c r="AW800" i="13" s="1"/>
  <c r="AW801" i="13" s="1"/>
  <c r="AW802" i="13" s="1"/>
  <c r="AW803" i="13" s="1"/>
  <c r="AW804" i="13" s="1"/>
  <c r="AW805" i="13" s="1"/>
  <c r="AW806" i="13" s="1"/>
  <c r="AW807" i="13" s="1"/>
  <c r="AW808" i="13" s="1"/>
  <c r="AW809" i="13" s="1"/>
  <c r="AW810" i="13" s="1"/>
  <c r="AW811" i="13" s="1"/>
  <c r="AW812" i="13" s="1"/>
  <c r="AW813" i="13" s="1"/>
  <c r="AW814" i="13" s="1"/>
  <c r="AW815" i="13" s="1"/>
  <c r="AW816" i="13" s="1"/>
  <c r="AW817" i="13" s="1"/>
  <c r="AW818" i="13" s="1"/>
  <c r="AW819" i="13" s="1"/>
  <c r="AW820" i="13" s="1"/>
  <c r="AW821" i="13" s="1"/>
  <c r="AW822" i="13" s="1"/>
  <c r="AW823" i="13" s="1"/>
  <c r="AW824" i="13" s="1"/>
  <c r="AW825" i="13" s="1"/>
  <c r="AW826" i="13" s="1"/>
  <c r="AW827" i="13" s="1"/>
  <c r="AW828" i="13" s="1"/>
  <c r="AW829" i="13" s="1"/>
  <c r="AW830" i="13" s="1"/>
  <c r="AW831" i="13" s="1"/>
  <c r="AW832" i="13" s="1"/>
  <c r="AW833" i="13" s="1"/>
  <c r="AW834" i="13" s="1"/>
  <c r="AW835" i="13" s="1"/>
  <c r="AW836" i="13" s="1"/>
  <c r="AW837" i="13" s="1"/>
  <c r="AW838" i="13" s="1"/>
  <c r="AW839" i="13" s="1"/>
  <c r="AW840" i="13" s="1"/>
  <c r="AW841" i="13" s="1"/>
  <c r="AW842" i="13" s="1"/>
  <c r="AW843" i="13" s="1"/>
  <c r="AW844" i="13" s="1"/>
  <c r="AW845" i="13" s="1"/>
  <c r="AW846" i="13" s="1"/>
  <c r="AW847" i="13" s="1"/>
  <c r="AW848" i="13" s="1"/>
  <c r="AW849" i="13" s="1"/>
  <c r="AW850" i="13" s="1"/>
  <c r="AW851" i="13" s="1"/>
  <c r="AW852" i="13" s="1"/>
  <c r="AW853" i="13" s="1"/>
  <c r="AW854" i="13" s="1"/>
  <c r="AW855" i="13" s="1"/>
  <c r="AW856" i="13" s="1"/>
  <c r="AW857" i="13" s="1"/>
  <c r="AW858" i="13" s="1"/>
  <c r="AW859" i="13" s="1"/>
  <c r="AW860" i="13" s="1"/>
  <c r="AW861" i="13" s="1"/>
  <c r="AW862" i="13" s="1"/>
  <c r="AW863" i="13" s="1"/>
  <c r="AW864" i="13" s="1"/>
  <c r="AW865" i="13" s="1"/>
  <c r="AW866" i="13" s="1"/>
  <c r="AW867" i="13" s="1"/>
  <c r="AW868" i="13" s="1"/>
  <c r="AW869" i="13" s="1"/>
  <c r="AW870" i="13" s="1"/>
  <c r="AW871" i="13" s="1"/>
  <c r="AW872" i="13" s="1"/>
  <c r="AW873" i="13" s="1"/>
  <c r="AW874" i="13" s="1"/>
  <c r="AW875" i="13" s="1"/>
  <c r="AW876" i="13" s="1"/>
  <c r="AW877" i="13" s="1"/>
  <c r="AW878" i="13" s="1"/>
  <c r="AW879" i="13" s="1"/>
  <c r="AW880" i="13" s="1"/>
  <c r="AW881" i="13" s="1"/>
  <c r="AW882" i="13" s="1"/>
  <c r="AW883" i="13" s="1"/>
  <c r="AW884" i="13" s="1"/>
  <c r="AW885" i="13" s="1"/>
  <c r="AW886" i="13" s="1"/>
  <c r="AW887" i="13" s="1"/>
  <c r="AW888" i="13" s="1"/>
  <c r="AW889" i="13" s="1"/>
  <c r="AW890" i="13" s="1"/>
  <c r="AW891" i="13" s="1"/>
  <c r="AW892" i="13" s="1"/>
  <c r="AW893" i="13" s="1"/>
  <c r="AW894" i="13" s="1"/>
  <c r="AW895" i="13" s="1"/>
  <c r="AW896" i="13" s="1"/>
  <c r="AW897" i="13" s="1"/>
  <c r="AW898" i="13" s="1"/>
  <c r="AW899" i="13" s="1"/>
  <c r="AW900" i="13" s="1"/>
  <c r="AW901" i="13" s="1"/>
  <c r="AW902" i="13" s="1"/>
  <c r="AW903" i="13" s="1"/>
  <c r="AW904" i="13" s="1"/>
  <c r="AW905" i="13" s="1"/>
  <c r="AW906" i="13" s="1"/>
  <c r="AW907" i="13" s="1"/>
  <c r="AW908" i="13" s="1"/>
  <c r="AW909" i="13" s="1"/>
  <c r="AW910" i="13" s="1"/>
  <c r="AW911" i="13" s="1"/>
  <c r="AW912" i="13" s="1"/>
  <c r="AW913" i="13" s="1"/>
  <c r="AW914" i="13" s="1"/>
  <c r="AW915" i="13" s="1"/>
  <c r="AW916" i="13" s="1"/>
  <c r="AW917" i="13" s="1"/>
  <c r="AW918" i="13" s="1"/>
  <c r="AW919" i="13" s="1"/>
  <c r="AW920" i="13" s="1"/>
  <c r="AW921" i="13" s="1"/>
  <c r="AW922" i="13" s="1"/>
  <c r="AW923" i="13" s="1"/>
  <c r="AW924" i="13" s="1"/>
  <c r="AW925" i="13" s="1"/>
  <c r="AW926" i="13" s="1"/>
  <c r="AW927" i="13" s="1"/>
  <c r="AW928" i="13" s="1"/>
  <c r="AW929" i="13" s="1"/>
  <c r="AW930" i="13" s="1"/>
  <c r="AW931" i="13" s="1"/>
  <c r="AW932" i="13" s="1"/>
  <c r="AW933" i="13" s="1"/>
  <c r="AW934" i="13" s="1"/>
  <c r="AW935" i="13" s="1"/>
  <c r="AW936" i="13" s="1"/>
  <c r="AW937" i="13" s="1"/>
  <c r="AW938" i="13" s="1"/>
  <c r="AW939" i="13" s="1"/>
  <c r="AW940" i="13" s="1"/>
  <c r="AW941" i="13" s="1"/>
  <c r="AW942" i="13" s="1"/>
  <c r="AW943" i="13" s="1"/>
  <c r="AW944" i="13" s="1"/>
  <c r="AW945" i="13" s="1"/>
  <c r="AW946" i="13" s="1"/>
  <c r="AW947" i="13" s="1"/>
  <c r="AW948" i="13" s="1"/>
  <c r="AW949" i="13" s="1"/>
  <c r="AW950" i="13" s="1"/>
  <c r="AW951" i="13" s="1"/>
  <c r="AW952" i="13" s="1"/>
  <c r="AW953" i="13" s="1"/>
  <c r="AW954" i="13" s="1"/>
  <c r="AW955" i="13" s="1"/>
  <c r="AW956" i="13" s="1"/>
  <c r="AW957" i="13" s="1"/>
  <c r="AW958" i="13" s="1"/>
  <c r="AW959" i="13" s="1"/>
  <c r="AW960" i="13" s="1"/>
  <c r="AW961" i="13" s="1"/>
  <c r="AW962" i="13" s="1"/>
  <c r="AW963" i="13" s="1"/>
  <c r="AW964" i="13" s="1"/>
  <c r="AW965" i="13" s="1"/>
  <c r="AW966" i="13" s="1"/>
  <c r="AW967" i="13" s="1"/>
  <c r="AW968" i="13" s="1"/>
  <c r="AW969" i="13" s="1"/>
  <c r="AW970" i="13" s="1"/>
  <c r="AW971" i="13" s="1"/>
  <c r="AW972" i="13" s="1"/>
  <c r="AW973" i="13" s="1"/>
  <c r="AW974" i="13" s="1"/>
  <c r="AW975" i="13" s="1"/>
  <c r="AW976" i="13" s="1"/>
  <c r="AW977" i="13" s="1"/>
  <c r="AW978" i="13" s="1"/>
  <c r="AW979" i="13" s="1"/>
  <c r="AW980" i="13" s="1"/>
  <c r="AW981" i="13" s="1"/>
  <c r="AW982" i="13" s="1"/>
  <c r="AW983" i="13" s="1"/>
  <c r="AW984" i="13" s="1"/>
  <c r="AW985" i="13" s="1"/>
  <c r="AW986" i="13" s="1"/>
  <c r="AW987" i="13" s="1"/>
  <c r="AW988" i="13" s="1"/>
  <c r="AW989" i="13" s="1"/>
  <c r="AW990" i="13" s="1"/>
  <c r="AW991" i="13" s="1"/>
  <c r="AW992" i="13" s="1"/>
  <c r="AW993" i="13" s="1"/>
  <c r="AW994" i="13" s="1"/>
  <c r="AW995" i="13" s="1"/>
  <c r="AW996" i="13" s="1"/>
  <c r="AW997" i="13" s="1"/>
  <c r="AW998" i="13" s="1"/>
  <c r="AW999" i="13" s="1"/>
  <c r="AW1000" i="13" s="1"/>
  <c r="AW1001" i="13" s="1"/>
  <c r="AW1002" i="13" s="1"/>
  <c r="AW1003" i="13" s="1"/>
  <c r="AW1004" i="13" s="1"/>
  <c r="AW1005" i="13" s="1"/>
  <c r="AW1006" i="13" s="1"/>
  <c r="AW1007" i="13" s="1"/>
  <c r="AW1008" i="13" s="1"/>
  <c r="AW1009" i="13" s="1"/>
  <c r="AW1010" i="13" s="1"/>
  <c r="AW1011" i="13" s="1"/>
  <c r="AW1012" i="13" s="1"/>
  <c r="AW1013" i="13" s="1"/>
  <c r="AW1014" i="13" s="1"/>
  <c r="AW1015" i="13" s="1"/>
  <c r="AW1016" i="13" s="1"/>
  <c r="AW1017" i="13" s="1"/>
  <c r="AW1018" i="13" s="1"/>
  <c r="AW1019" i="13" s="1"/>
  <c r="AW1020" i="13" s="1"/>
  <c r="AW1021" i="13" s="1"/>
  <c r="AW1022" i="13" s="1"/>
  <c r="AW1023" i="13" s="1"/>
  <c r="AW1024" i="13" s="1"/>
  <c r="AW1025" i="13" s="1"/>
  <c r="AW1026" i="13" s="1"/>
  <c r="AW1027" i="13" s="1"/>
  <c r="AW1028" i="13" s="1"/>
  <c r="AW1029" i="13" s="1"/>
  <c r="AW1030" i="13" s="1"/>
  <c r="AW1031" i="13" s="1"/>
  <c r="AW1032" i="13" s="1"/>
  <c r="AW1033" i="13" s="1"/>
  <c r="AW1034" i="13" s="1"/>
  <c r="AW1035" i="13" s="1"/>
  <c r="AW1036" i="13" s="1"/>
  <c r="AW1037" i="13" s="1"/>
  <c r="AW1038" i="13" s="1"/>
  <c r="AW1039" i="13" s="1"/>
  <c r="AW1040" i="13" s="1"/>
  <c r="AW1041" i="13" s="1"/>
  <c r="AW1042" i="13" s="1"/>
  <c r="AW1043" i="13" s="1"/>
  <c r="AW1044" i="13" s="1"/>
  <c r="AW1045" i="13" s="1"/>
  <c r="AW1046" i="13" s="1"/>
  <c r="AW1047" i="13" s="1"/>
  <c r="AW1048" i="13" s="1"/>
  <c r="AW1049" i="13" s="1"/>
  <c r="AW1050" i="13" s="1"/>
  <c r="AW1051" i="13" s="1"/>
  <c r="AW1052" i="13" s="1"/>
  <c r="AW1053" i="13" s="1"/>
  <c r="AW1054" i="13" s="1"/>
  <c r="AW1055" i="13" s="1"/>
  <c r="AW1056" i="13" s="1"/>
  <c r="AW1057" i="13" s="1"/>
  <c r="AW1058" i="13" s="1"/>
  <c r="AW1059" i="13" s="1"/>
  <c r="AW1060" i="13" s="1"/>
  <c r="AW1061" i="13" s="1"/>
  <c r="AW1062" i="13" s="1"/>
  <c r="AW1063" i="13" s="1"/>
  <c r="AW1064" i="13" s="1"/>
  <c r="AW1065" i="13" s="1"/>
  <c r="AW1066" i="13" s="1"/>
  <c r="AW1067" i="13" s="1"/>
  <c r="AW1068" i="13" s="1"/>
  <c r="AW1069" i="13" s="1"/>
  <c r="AW1070" i="13" s="1"/>
  <c r="AW1071" i="13" s="1"/>
  <c r="AW1072" i="13" s="1"/>
  <c r="AW1073" i="13" s="1"/>
  <c r="AW1074" i="13" s="1"/>
  <c r="AW1075" i="13" s="1"/>
  <c r="AW1076" i="13" s="1"/>
  <c r="AW1077" i="13" s="1"/>
  <c r="AW1078" i="13" s="1"/>
  <c r="AW1079" i="13" s="1"/>
  <c r="AW1080" i="13" s="1"/>
  <c r="AW1081" i="13" s="1"/>
  <c r="AW1082" i="13" s="1"/>
  <c r="AW1083" i="13" s="1"/>
  <c r="AW1084" i="13" s="1"/>
  <c r="AW1085" i="13" s="1"/>
  <c r="AW1086" i="13" s="1"/>
  <c r="AW1087" i="13" s="1"/>
  <c r="AW1088" i="13" s="1"/>
  <c r="AW1089" i="13" s="1"/>
  <c r="AW1090" i="13" s="1"/>
  <c r="AW1091" i="13" s="1"/>
  <c r="AW1092" i="13" s="1"/>
  <c r="AW1093" i="13" s="1"/>
  <c r="AW1094" i="13" s="1"/>
  <c r="AW1095" i="13" s="1"/>
  <c r="AW1096" i="13" s="1"/>
  <c r="AW1097" i="13" s="1"/>
  <c r="AW1098" i="13" s="1"/>
  <c r="AW1099" i="13" s="1"/>
  <c r="AW1100" i="13" s="1"/>
  <c r="AW1101" i="13" s="1"/>
  <c r="AW1102" i="13" s="1"/>
  <c r="AW1103" i="13" s="1"/>
  <c r="AW1104" i="13" s="1"/>
  <c r="AW1105" i="13" s="1"/>
  <c r="AW1106" i="13" s="1"/>
  <c r="AW1107" i="13" s="1"/>
  <c r="AW1108" i="13" s="1"/>
  <c r="AW1109" i="13" s="1"/>
  <c r="AW1110" i="13" s="1"/>
  <c r="AW1111" i="13" s="1"/>
  <c r="AW1112" i="13" s="1"/>
  <c r="AW1113" i="13" s="1"/>
  <c r="AW1114" i="13" s="1"/>
  <c r="AW1115" i="13" s="1"/>
  <c r="AW1116" i="13" s="1"/>
  <c r="AW1117" i="13" s="1"/>
  <c r="AW1118" i="13" s="1"/>
  <c r="AW1119" i="13" s="1"/>
  <c r="AW1120" i="13" s="1"/>
  <c r="AW1121" i="13" s="1"/>
  <c r="AW1122" i="13" s="1"/>
  <c r="AW1123" i="13" s="1"/>
  <c r="AW1124" i="13" s="1"/>
  <c r="AW1125" i="13" s="1"/>
  <c r="AW1126" i="13" s="1"/>
  <c r="AW1127" i="13" s="1"/>
  <c r="AW1128" i="13" s="1"/>
  <c r="AW1129" i="13" s="1"/>
  <c r="AW1130" i="13" s="1"/>
  <c r="AW1131" i="13" s="1"/>
  <c r="AW1132" i="13" s="1"/>
  <c r="AW1133" i="13" s="1"/>
  <c r="AW1134" i="13" s="1"/>
  <c r="AW1135" i="13" s="1"/>
  <c r="AW1136" i="13" s="1"/>
  <c r="AW1137" i="13" s="1"/>
  <c r="AW1138" i="13" s="1"/>
  <c r="AW1139" i="13" s="1"/>
  <c r="AW1140" i="13" s="1"/>
  <c r="AW1141" i="13" s="1"/>
  <c r="AW1142" i="13" s="1"/>
  <c r="AW1143" i="13" s="1"/>
  <c r="AW1144" i="13" s="1"/>
  <c r="AW1145" i="13" s="1"/>
  <c r="AW1146" i="13" s="1"/>
  <c r="AW1147" i="13" s="1"/>
  <c r="AW1148" i="13" s="1"/>
  <c r="AW1149" i="13" s="1"/>
  <c r="AW1150" i="13" s="1"/>
  <c r="AW1151" i="13" s="1"/>
  <c r="AW1152" i="13" s="1"/>
  <c r="AW1153" i="13" s="1"/>
  <c r="AW1154" i="13" s="1"/>
  <c r="AW1155" i="13" s="1"/>
  <c r="AW1156" i="13" s="1"/>
  <c r="AW1157" i="13" s="1"/>
  <c r="AW1158" i="13" s="1"/>
  <c r="AW1159" i="13" s="1"/>
  <c r="AW1160" i="13" s="1"/>
  <c r="AW1161" i="13" s="1"/>
  <c r="AW1162" i="13" s="1"/>
  <c r="AW1163" i="13" s="1"/>
  <c r="AW1164" i="13" s="1"/>
  <c r="AW1165" i="13" s="1"/>
  <c r="AW1166" i="13" s="1"/>
  <c r="AW1167" i="13" s="1"/>
  <c r="AW1168" i="13" s="1"/>
  <c r="AW1169" i="13" s="1"/>
  <c r="AW1170" i="13" s="1"/>
  <c r="AW1171" i="13" s="1"/>
  <c r="AW1172" i="13" s="1"/>
  <c r="AW1173" i="13" s="1"/>
  <c r="AW1174" i="13" s="1"/>
  <c r="AW1175" i="13" s="1"/>
  <c r="AW1176" i="13" s="1"/>
  <c r="AW1177" i="13" s="1"/>
  <c r="AW1178" i="13" s="1"/>
  <c r="AW1179" i="13" s="1"/>
  <c r="AW1180" i="13" s="1"/>
  <c r="AW1181" i="13" s="1"/>
  <c r="AW1182" i="13" s="1"/>
  <c r="AW1183" i="13" s="1"/>
  <c r="AW1184" i="13" s="1"/>
  <c r="AW1185" i="13" s="1"/>
  <c r="AW1186" i="13" s="1"/>
  <c r="AW1187" i="13" s="1"/>
  <c r="AW1188" i="13" s="1"/>
  <c r="AW1189" i="13" s="1"/>
  <c r="AW1190" i="13" s="1"/>
  <c r="AW1191" i="13" s="1"/>
  <c r="AW1192" i="13" s="1"/>
  <c r="AW1193" i="13" s="1"/>
  <c r="AW1194" i="13" s="1"/>
  <c r="AW1195" i="13" s="1"/>
  <c r="AW1196" i="13" s="1"/>
  <c r="AW1197" i="13" s="1"/>
  <c r="AW1198" i="13" s="1"/>
  <c r="AW1199" i="13" s="1"/>
  <c r="AW1200" i="13" s="1"/>
  <c r="AW1201" i="13" s="1"/>
  <c r="D135" i="7"/>
  <c r="E86" i="6"/>
  <c r="E135" i="7"/>
  <c r="C135" i="7"/>
  <c r="D86" i="6"/>
  <c r="C86" i="6"/>
  <c r="E87" i="6"/>
  <c r="C136" i="7"/>
  <c r="D136" i="7"/>
  <c r="C87" i="6"/>
  <c r="E136" i="7"/>
  <c r="D87" i="6"/>
  <c r="D137" i="7"/>
  <c r="C88" i="6"/>
  <c r="E137" i="7"/>
  <c r="C137" i="7"/>
  <c r="B137" i="7" s="1"/>
  <c r="F137" i="7" s="1"/>
  <c r="E88" i="6"/>
  <c r="D88" i="6"/>
  <c r="C138" i="7"/>
  <c r="D138" i="7"/>
  <c r="E89" i="6"/>
  <c r="C89" i="6"/>
  <c r="E138" i="7"/>
  <c r="D89" i="6"/>
  <c r="AZ8" i="13"/>
  <c r="AY8" i="13"/>
  <c r="AX8" i="13"/>
  <c r="AZ2" i="13"/>
  <c r="AY2" i="13"/>
  <c r="AX2" i="13"/>
  <c r="D131" i="7"/>
  <c r="C82" i="6"/>
  <c r="C131" i="7"/>
  <c r="E131" i="7"/>
  <c r="E82" i="6"/>
  <c r="D82" i="6"/>
  <c r="D83" i="6"/>
  <c r="C132" i="7"/>
  <c r="E83" i="6"/>
  <c r="E132" i="7"/>
  <c r="D132" i="7"/>
  <c r="C83" i="6"/>
  <c r="S2" i="8" l="1"/>
  <c r="T2" i="8" s="1"/>
  <c r="B86" i="6"/>
  <c r="F86" i="6" s="1"/>
  <c r="Y2" i="4"/>
  <c r="Z2" i="4" s="1"/>
  <c r="B136" i="7"/>
  <c r="F136" i="7" s="1"/>
  <c r="S5" i="8"/>
  <c r="T5" i="8" s="1"/>
  <c r="B88" i="6"/>
  <c r="F88" i="6" s="1"/>
  <c r="B85" i="6"/>
  <c r="F85" i="6" s="1"/>
  <c r="A38" i="6"/>
  <c r="B84" i="6"/>
  <c r="F84" i="6" s="1"/>
  <c r="B83" i="6"/>
  <c r="F83" i="6" s="1"/>
  <c r="Y52" i="4"/>
  <c r="Z52" i="4" s="1"/>
  <c r="Y344" i="4"/>
  <c r="Z344" i="4" s="1"/>
  <c r="Y664" i="4"/>
  <c r="Z664" i="4" s="1"/>
  <c r="Y984" i="4"/>
  <c r="Z984" i="4" s="1"/>
  <c r="Y17" i="4"/>
  <c r="Z17" i="4" s="1"/>
  <c r="Y441" i="4"/>
  <c r="Z441" i="4" s="1"/>
  <c r="Y825" i="4"/>
  <c r="Z825" i="4" s="1"/>
  <c r="Y150" i="4"/>
  <c r="Z150" i="4" s="1"/>
  <c r="Y468" i="4"/>
  <c r="Z468" i="4" s="1"/>
  <c r="Y558" i="4"/>
  <c r="Z558" i="4" s="1"/>
  <c r="B82" i="6"/>
  <c r="F82" i="6" s="1"/>
  <c r="E37" i="6"/>
  <c r="B135" i="7"/>
  <c r="F135" i="7" s="1"/>
  <c r="S121" i="8"/>
  <c r="T121" i="8" s="1"/>
  <c r="S389" i="8"/>
  <c r="T389" i="8" s="1"/>
  <c r="S731" i="8"/>
  <c r="T731" i="8" s="1"/>
  <c r="S43" i="8"/>
  <c r="T43" i="8" s="1"/>
  <c r="S252" i="8"/>
  <c r="T252" i="8" s="1"/>
  <c r="S523" i="8"/>
  <c r="T523" i="8" s="1"/>
  <c r="S1105" i="8"/>
  <c r="T1105" i="8" s="1"/>
  <c r="S115" i="8"/>
  <c r="T115" i="8" s="1"/>
  <c r="S365" i="8"/>
  <c r="T365" i="8" s="1"/>
  <c r="S683" i="8"/>
  <c r="T683" i="8" s="1"/>
  <c r="S33" i="8"/>
  <c r="T33" i="8" s="1"/>
  <c r="S169" i="8"/>
  <c r="T169" i="8" s="1"/>
  <c r="S467" i="8"/>
  <c r="T467" i="8" s="1"/>
  <c r="S883" i="8"/>
  <c r="T883" i="8" s="1"/>
  <c r="S155" i="8"/>
  <c r="T155" i="8" s="1"/>
  <c r="S405" i="8"/>
  <c r="T405" i="8" s="1"/>
  <c r="S763" i="8"/>
  <c r="T763" i="8" s="1"/>
  <c r="S53" i="8"/>
  <c r="T53" i="8" s="1"/>
  <c r="S316" i="8"/>
  <c r="T316" i="8" s="1"/>
  <c r="S579" i="8"/>
  <c r="T579" i="8" s="1"/>
  <c r="S26" i="8"/>
  <c r="T26" i="8" s="1"/>
  <c r="S208" i="8"/>
  <c r="T208" i="8" s="1"/>
  <c r="S477" i="8"/>
  <c r="T477" i="8" s="1"/>
  <c r="S907" i="8"/>
  <c r="T907" i="8" s="1"/>
  <c r="S143" i="8"/>
  <c r="T143" i="8" s="1"/>
  <c r="S387" i="8"/>
  <c r="T387" i="8" s="1"/>
  <c r="S723" i="8"/>
  <c r="T723" i="8" s="1"/>
  <c r="S277" i="8"/>
  <c r="T277" i="8" s="1"/>
  <c r="S975" i="8"/>
  <c r="T975" i="8" s="1"/>
  <c r="S1103" i="8"/>
  <c r="T1103" i="8" s="1"/>
  <c r="S597" i="8"/>
  <c r="T597" i="8" s="1"/>
  <c r="S661" i="8"/>
  <c r="T661" i="8" s="1"/>
  <c r="S725" i="8"/>
  <c r="T725" i="8" s="1"/>
  <c r="S789" i="8"/>
  <c r="T789" i="8" s="1"/>
  <c r="S853" i="8"/>
  <c r="T853" i="8" s="1"/>
  <c r="S917" i="8"/>
  <c r="T917" i="8" s="1"/>
  <c r="S1031" i="8"/>
  <c r="T1031" i="8" s="1"/>
  <c r="S1159" i="8"/>
  <c r="T1159" i="8" s="1"/>
  <c r="S90" i="8"/>
  <c r="T90" i="8" s="1"/>
  <c r="S177" i="8"/>
  <c r="T177" i="8" s="1"/>
  <c r="S260" i="8"/>
  <c r="T260" i="8" s="1"/>
  <c r="S969" i="8"/>
  <c r="T969" i="8" s="1"/>
  <c r="S1097" i="8"/>
  <c r="T1097" i="8" s="1"/>
  <c r="S14" i="8"/>
  <c r="T14" i="8" s="1"/>
  <c r="S50" i="8"/>
  <c r="T50" i="8" s="1"/>
  <c r="S110" i="8"/>
  <c r="T110" i="8" s="1"/>
  <c r="S184" i="8"/>
  <c r="T184" i="8" s="1"/>
  <c r="S267" i="8"/>
  <c r="T267" i="8" s="1"/>
  <c r="S981" i="8"/>
  <c r="T981" i="8" s="1"/>
  <c r="S1109" i="8"/>
  <c r="T1109" i="8" s="1"/>
  <c r="S70" i="8"/>
  <c r="T70" i="8" s="1"/>
  <c r="S140" i="8"/>
  <c r="T140" i="8" s="1"/>
  <c r="S223" i="8"/>
  <c r="T223" i="8" s="1"/>
  <c r="S313" i="8"/>
  <c r="T313" i="8" s="1"/>
  <c r="S375" i="8"/>
  <c r="T375" i="8" s="1"/>
  <c r="S439" i="8"/>
  <c r="T439" i="8" s="1"/>
  <c r="S503" i="8"/>
  <c r="T503" i="8" s="1"/>
  <c r="S567" i="8"/>
  <c r="T567" i="8" s="1"/>
  <c r="S631" i="8"/>
  <c r="T631" i="8" s="1"/>
  <c r="S695" i="8"/>
  <c r="T695" i="8" s="1"/>
  <c r="S759" i="8"/>
  <c r="T759" i="8" s="1"/>
  <c r="S823" i="8"/>
  <c r="T823" i="8" s="1"/>
  <c r="S887" i="8"/>
  <c r="T887" i="8" s="1"/>
  <c r="S971" i="8"/>
  <c r="T971" i="8" s="1"/>
  <c r="S1099" i="8"/>
  <c r="T1099" i="8" s="1"/>
  <c r="S19" i="8"/>
  <c r="T19" i="8" s="1"/>
  <c r="S64" i="8"/>
  <c r="T64" i="8" s="1"/>
  <c r="S128" i="8"/>
  <c r="T128" i="8" s="1"/>
  <c r="S211" i="8"/>
  <c r="T211" i="8" s="1"/>
  <c r="S301" i="8"/>
  <c r="T301" i="8" s="1"/>
  <c r="S369" i="8"/>
  <c r="T369" i="8" s="1"/>
  <c r="S433" i="8"/>
  <c r="T433" i="8" s="1"/>
  <c r="S497" i="8"/>
  <c r="T497" i="8" s="1"/>
  <c r="S561" i="8"/>
  <c r="T561" i="8" s="1"/>
  <c r="S625" i="8"/>
  <c r="T625" i="8" s="1"/>
  <c r="S689" i="8"/>
  <c r="T689" i="8" s="1"/>
  <c r="S753" i="8"/>
  <c r="T753" i="8" s="1"/>
  <c r="S817" i="8"/>
  <c r="T817" i="8" s="1"/>
  <c r="S881" i="8"/>
  <c r="T881" i="8" s="1"/>
  <c r="S973" i="8"/>
  <c r="T973" i="8" s="1"/>
  <c r="S1101" i="8"/>
  <c r="T1101" i="8" s="1"/>
  <c r="S36" i="8"/>
  <c r="T36" i="8" s="1"/>
  <c r="S118" i="8"/>
  <c r="T118" i="8" s="1"/>
  <c r="S193" i="8"/>
  <c r="T193" i="8" s="1"/>
  <c r="S276" i="8"/>
  <c r="T276" i="8" s="1"/>
  <c r="S995" i="8"/>
  <c r="T995" i="8" s="1"/>
  <c r="S1123" i="8"/>
  <c r="T1123" i="8" s="1"/>
  <c r="S134" i="8"/>
  <c r="T134" i="8" s="1"/>
  <c r="S166" i="8"/>
  <c r="T166" i="8" s="1"/>
  <c r="S198" i="8"/>
  <c r="T198" i="8" s="1"/>
  <c r="S230" i="8"/>
  <c r="T230" i="8" s="1"/>
  <c r="S262" i="8"/>
  <c r="T262" i="8" s="1"/>
  <c r="S294" i="8"/>
  <c r="T294" i="8" s="1"/>
  <c r="S326" i="8"/>
  <c r="T326" i="8" s="1"/>
  <c r="S358" i="8"/>
  <c r="T358" i="8" s="1"/>
  <c r="S390" i="8"/>
  <c r="T390" i="8" s="1"/>
  <c r="S422" i="8"/>
  <c r="T422" i="8" s="1"/>
  <c r="S454" i="8"/>
  <c r="T454" i="8" s="1"/>
  <c r="S486" i="8"/>
  <c r="T486" i="8" s="1"/>
  <c r="S518" i="8"/>
  <c r="T518" i="8" s="1"/>
  <c r="S550" i="8"/>
  <c r="T550" i="8" s="1"/>
  <c r="S582" i="8"/>
  <c r="T582" i="8" s="1"/>
  <c r="S614" i="8"/>
  <c r="T614" i="8" s="1"/>
  <c r="S646" i="8"/>
  <c r="T646" i="8" s="1"/>
  <c r="S678" i="8"/>
  <c r="T678" i="8" s="1"/>
  <c r="S710" i="8"/>
  <c r="T710" i="8" s="1"/>
  <c r="S742" i="8"/>
  <c r="T742" i="8" s="1"/>
  <c r="S774" i="8"/>
  <c r="T774" i="8" s="1"/>
  <c r="S806" i="8"/>
  <c r="T806" i="8" s="1"/>
  <c r="S838" i="8"/>
  <c r="T838" i="8" s="1"/>
  <c r="S870" i="8"/>
  <c r="T870" i="8" s="1"/>
  <c r="S902" i="8"/>
  <c r="T902" i="8" s="1"/>
  <c r="S934" i="8"/>
  <c r="T934" i="8" s="1"/>
  <c r="S966" i="8"/>
  <c r="T966" i="8" s="1"/>
  <c r="S998" i="8"/>
  <c r="T998" i="8" s="1"/>
  <c r="S1030" i="8"/>
  <c r="T1030" i="8" s="1"/>
  <c r="S1062" i="8"/>
  <c r="T1062" i="8" s="1"/>
  <c r="S1094" i="8"/>
  <c r="T1094" i="8" s="1"/>
  <c r="S1126" i="8"/>
  <c r="T1126" i="8" s="1"/>
  <c r="S1158" i="8"/>
  <c r="T1158" i="8" s="1"/>
  <c r="S1190" i="8"/>
  <c r="T1190" i="8" s="1"/>
  <c r="S1183" i="8"/>
  <c r="T1183" i="8" s="1"/>
  <c r="S328" i="8"/>
  <c r="T328" i="8" s="1"/>
  <c r="S360" i="8"/>
  <c r="T360" i="8" s="1"/>
  <c r="S392" i="8"/>
  <c r="T392" i="8" s="1"/>
  <c r="S424" i="8"/>
  <c r="T424" i="8" s="1"/>
  <c r="S456" i="8"/>
  <c r="T456" i="8" s="1"/>
  <c r="S488" i="8"/>
  <c r="T488" i="8" s="1"/>
  <c r="S520" i="8"/>
  <c r="T520" i="8" s="1"/>
  <c r="S552" i="8"/>
  <c r="T552" i="8" s="1"/>
  <c r="S584" i="8"/>
  <c r="T584" i="8" s="1"/>
  <c r="S616" i="8"/>
  <c r="T616" i="8" s="1"/>
  <c r="S648" i="8"/>
  <c r="T648" i="8" s="1"/>
  <c r="S680" i="8"/>
  <c r="T680" i="8" s="1"/>
  <c r="S712" i="8"/>
  <c r="T712" i="8" s="1"/>
  <c r="S744" i="8"/>
  <c r="T744" i="8" s="1"/>
  <c r="S776" i="8"/>
  <c r="T776" i="8" s="1"/>
  <c r="S808" i="8"/>
  <c r="T808" i="8" s="1"/>
  <c r="S840" i="8"/>
  <c r="T840" i="8" s="1"/>
  <c r="S872" i="8"/>
  <c r="T872" i="8" s="1"/>
  <c r="S904" i="8"/>
  <c r="T904" i="8" s="1"/>
  <c r="S936" i="8"/>
  <c r="T936" i="8" s="1"/>
  <c r="S968" i="8"/>
  <c r="T968" i="8" s="1"/>
  <c r="S1000" i="8"/>
  <c r="T1000" i="8" s="1"/>
  <c r="S1032" i="8"/>
  <c r="T1032" i="8" s="1"/>
  <c r="S1064" i="8"/>
  <c r="T1064" i="8" s="1"/>
  <c r="S1096" i="8"/>
  <c r="T1096" i="8" s="1"/>
  <c r="S1128" i="8"/>
  <c r="T1128" i="8" s="1"/>
  <c r="S1160" i="8"/>
  <c r="T1160" i="8" s="1"/>
  <c r="S1192" i="8"/>
  <c r="T1192" i="8" s="1"/>
  <c r="Y21" i="4"/>
  <c r="Z21" i="4" s="1"/>
  <c r="Y96" i="4"/>
  <c r="Z96" i="4" s="1"/>
  <c r="Y185" i="4"/>
  <c r="Z185" i="4" s="1"/>
  <c r="Y1162" i="4"/>
  <c r="Z1162" i="4" s="1"/>
  <c r="Y77" i="4"/>
  <c r="Z77" i="4" s="1"/>
  <c r="Y154" i="4"/>
  <c r="Z154" i="4" s="1"/>
  <c r="Y232" i="4"/>
  <c r="Z232" i="4" s="1"/>
  <c r="Y296" i="4"/>
  <c r="Z296" i="4" s="1"/>
  <c r="Y360" i="4"/>
  <c r="Z360" i="4" s="1"/>
  <c r="Y424" i="4"/>
  <c r="Z424" i="4" s="1"/>
  <c r="Y488" i="4"/>
  <c r="Z488" i="4" s="1"/>
  <c r="Y552" i="4"/>
  <c r="Z552" i="4" s="1"/>
  <c r="Y616" i="4"/>
  <c r="Z616" i="4" s="1"/>
  <c r="Y680" i="4"/>
  <c r="Z680" i="4" s="1"/>
  <c r="Y744" i="4"/>
  <c r="Z744" i="4" s="1"/>
  <c r="Y808" i="4"/>
  <c r="Z808" i="4" s="1"/>
  <c r="Y872" i="4"/>
  <c r="Z872" i="4" s="1"/>
  <c r="Y936" i="4"/>
  <c r="Z936" i="4" s="1"/>
  <c r="Y1000" i="4"/>
  <c r="Z1000" i="4" s="1"/>
  <c r="Y1106" i="4"/>
  <c r="Z1106" i="4" s="1"/>
  <c r="Y72" i="4"/>
  <c r="Z72" i="4" s="1"/>
  <c r="Y161" i="4"/>
  <c r="Z161" i="4" s="1"/>
  <c r="Y1134" i="4"/>
  <c r="Z1134" i="4" s="1"/>
  <c r="Y36" i="4"/>
  <c r="Z36" i="4" s="1"/>
  <c r="Y124" i="4"/>
  <c r="Z124" i="4" s="1"/>
  <c r="Y201" i="4"/>
  <c r="Z201" i="4" s="1"/>
  <c r="Y265" i="4"/>
  <c r="Z265" i="4" s="1"/>
  <c r="Y329" i="4"/>
  <c r="Z329" i="4" s="1"/>
  <c r="Y393" i="4"/>
  <c r="Z393" i="4" s="1"/>
  <c r="Y457" i="4"/>
  <c r="Z457" i="4" s="1"/>
  <c r="Y521" i="4"/>
  <c r="Z521" i="4" s="1"/>
  <c r="Y585" i="4"/>
  <c r="Z585" i="4" s="1"/>
  <c r="Y649" i="4"/>
  <c r="Z649" i="4" s="1"/>
  <c r="Y713" i="4"/>
  <c r="Z713" i="4" s="1"/>
  <c r="Y777" i="4"/>
  <c r="Z777" i="4" s="1"/>
  <c r="Y841" i="4"/>
  <c r="Z841" i="4" s="1"/>
  <c r="Y905" i="4"/>
  <c r="Z905" i="4" s="1"/>
  <c r="Y969" i="4"/>
  <c r="Z969" i="4" s="1"/>
  <c r="Y1034" i="4"/>
  <c r="Z1034" i="4" s="1"/>
  <c r="Y25" i="4"/>
  <c r="Z25" i="4" s="1"/>
  <c r="Y86" i="4"/>
  <c r="Z86" i="4" s="1"/>
  <c r="Y176" i="4"/>
  <c r="Z176" i="4" s="1"/>
  <c r="Y1146" i="4"/>
  <c r="Z1146" i="4" s="1"/>
  <c r="Y68" i="4"/>
  <c r="Z68" i="4" s="1"/>
  <c r="Y157" i="4"/>
  <c r="Z157" i="4" s="1"/>
  <c r="Y228" i="4"/>
  <c r="Z228" i="4" s="1"/>
  <c r="Y292" i="4"/>
  <c r="Z292" i="4" s="1"/>
  <c r="Y356" i="4"/>
  <c r="Z356" i="4" s="1"/>
  <c r="Y420" i="4"/>
  <c r="Z420" i="4" s="1"/>
  <c r="Y484" i="4"/>
  <c r="Z484" i="4" s="1"/>
  <c r="Y548" i="4"/>
  <c r="Z548" i="4" s="1"/>
  <c r="Y612" i="4"/>
  <c r="Z612" i="4" s="1"/>
  <c r="Y676" i="4"/>
  <c r="Z676" i="4" s="1"/>
  <c r="Y740" i="4"/>
  <c r="Z740" i="4" s="1"/>
  <c r="Y804" i="4"/>
  <c r="Z804" i="4" s="1"/>
  <c r="Y868" i="4"/>
  <c r="Z868" i="4" s="1"/>
  <c r="Y932" i="4"/>
  <c r="Z932" i="4" s="1"/>
  <c r="Y996" i="4"/>
  <c r="Z996" i="4" s="1"/>
  <c r="Y1138" i="4"/>
  <c r="Z1138" i="4" s="1"/>
  <c r="Y62" i="4"/>
  <c r="Z62" i="4" s="1"/>
  <c r="Y152" i="4"/>
  <c r="Z152" i="4" s="1"/>
  <c r="Y1093" i="4"/>
  <c r="Z1093" i="4" s="1"/>
  <c r="Y16" i="4"/>
  <c r="Z16" i="4" s="1"/>
  <c r="Y101" i="4"/>
  <c r="Z101" i="4" s="1"/>
  <c r="Y178" i="4"/>
  <c r="Z178" i="4" s="1"/>
  <c r="Y253" i="4"/>
  <c r="Z253" i="4" s="1"/>
  <c r="Y317" i="4"/>
  <c r="Z317" i="4" s="1"/>
  <c r="Y381" i="4"/>
  <c r="Z381" i="4" s="1"/>
  <c r="Y445" i="4"/>
  <c r="Z445" i="4" s="1"/>
  <c r="Y509" i="4"/>
  <c r="Z509" i="4" s="1"/>
  <c r="Y573" i="4"/>
  <c r="Z573" i="4" s="1"/>
  <c r="Y637" i="4"/>
  <c r="Z637" i="4" s="1"/>
  <c r="Y701" i="4"/>
  <c r="Z701" i="4" s="1"/>
  <c r="Y765" i="4"/>
  <c r="Z765" i="4" s="1"/>
  <c r="Y829" i="4"/>
  <c r="Z829" i="4" s="1"/>
  <c r="Y893" i="4"/>
  <c r="Z893" i="4" s="1"/>
  <c r="Y957" i="4"/>
  <c r="Z957" i="4" s="1"/>
  <c r="Y1021" i="4"/>
  <c r="Z1021" i="4" s="1"/>
  <c r="Y1195" i="4"/>
  <c r="Z1195" i="4" s="1"/>
  <c r="Y1103" i="4"/>
  <c r="Z1103" i="4" s="1"/>
  <c r="Y1166" i="4"/>
  <c r="Z1166" i="4" s="1"/>
  <c r="Y214" i="4"/>
  <c r="Z214" i="4" s="1"/>
  <c r="Y246" i="4"/>
  <c r="Z246" i="4" s="1"/>
  <c r="Y278" i="4"/>
  <c r="Z278" i="4" s="1"/>
  <c r="Y310" i="4"/>
  <c r="Z310" i="4" s="1"/>
  <c r="Y342" i="4"/>
  <c r="Z342" i="4" s="1"/>
  <c r="Y374" i="4"/>
  <c r="Z374" i="4" s="1"/>
  <c r="Y406" i="4"/>
  <c r="Z406" i="4" s="1"/>
  <c r="Y438" i="4"/>
  <c r="Z438" i="4" s="1"/>
  <c r="Y470" i="4"/>
  <c r="Z470" i="4" s="1"/>
  <c r="Y502" i="4"/>
  <c r="Z502" i="4" s="1"/>
  <c r="Y534" i="4"/>
  <c r="Z534" i="4" s="1"/>
  <c r="Y566" i="4"/>
  <c r="Z566" i="4" s="1"/>
  <c r="Y598" i="4"/>
  <c r="Z598" i="4" s="1"/>
  <c r="Y630" i="4"/>
  <c r="Z630" i="4" s="1"/>
  <c r="Y662" i="4"/>
  <c r="Z662" i="4" s="1"/>
  <c r="Y694" i="4"/>
  <c r="Z694" i="4" s="1"/>
  <c r="Y726" i="4"/>
  <c r="Z726" i="4" s="1"/>
  <c r="Y758" i="4"/>
  <c r="Z758" i="4" s="1"/>
  <c r="Y790" i="4"/>
  <c r="Z790" i="4" s="1"/>
  <c r="Y822" i="4"/>
  <c r="Z822" i="4" s="1"/>
  <c r="Y854" i="4"/>
  <c r="Z854" i="4" s="1"/>
  <c r="Y886" i="4"/>
  <c r="Z886" i="4" s="1"/>
  <c r="Y918" i="4"/>
  <c r="Z918" i="4" s="1"/>
  <c r="Y950" i="4"/>
  <c r="Z950" i="4" s="1"/>
  <c r="Y982" i="4"/>
  <c r="Z982" i="4" s="1"/>
  <c r="Y1014" i="4"/>
  <c r="Z1014" i="4" s="1"/>
  <c r="Y1081" i="4"/>
  <c r="Z1081" i="4" s="1"/>
  <c r="Y6" i="4"/>
  <c r="Z6" i="4" s="1"/>
  <c r="Y43" i="4"/>
  <c r="Z43" i="4" s="1"/>
  <c r="Y75" i="4"/>
  <c r="Z75" i="4" s="1"/>
  <c r="Y107" i="4"/>
  <c r="Z107" i="4" s="1"/>
  <c r="Y139" i="4"/>
  <c r="Z139" i="4" s="1"/>
  <c r="Y171" i="4"/>
  <c r="Z171" i="4" s="1"/>
  <c r="Y203" i="4"/>
  <c r="Z203" i="4" s="1"/>
  <c r="Y235" i="4"/>
  <c r="Z235" i="4" s="1"/>
  <c r="Y267" i="4"/>
  <c r="Z267" i="4" s="1"/>
  <c r="Y299" i="4"/>
  <c r="Z299" i="4" s="1"/>
  <c r="Y331" i="4"/>
  <c r="Z331" i="4" s="1"/>
  <c r="Y363" i="4"/>
  <c r="Z363" i="4" s="1"/>
  <c r="Y395" i="4"/>
  <c r="Z395" i="4" s="1"/>
  <c r="Y427" i="4"/>
  <c r="Z427" i="4" s="1"/>
  <c r="Y459" i="4"/>
  <c r="Z459" i="4" s="1"/>
  <c r="Y491" i="4"/>
  <c r="Z491" i="4" s="1"/>
  <c r="Y523" i="4"/>
  <c r="Z523" i="4" s="1"/>
  <c r="Y555" i="4"/>
  <c r="Z555" i="4" s="1"/>
  <c r="Y587" i="4"/>
  <c r="Z587" i="4" s="1"/>
  <c r="Y619" i="4"/>
  <c r="Z619" i="4" s="1"/>
  <c r="Y651" i="4"/>
  <c r="Z651" i="4" s="1"/>
  <c r="Y683" i="4"/>
  <c r="Z683" i="4" s="1"/>
  <c r="Y715" i="4"/>
  <c r="Z715" i="4" s="1"/>
  <c r="Y747" i="4"/>
  <c r="Z747" i="4" s="1"/>
  <c r="Y779" i="4"/>
  <c r="Z779" i="4" s="1"/>
  <c r="Y811" i="4"/>
  <c r="Z811" i="4" s="1"/>
  <c r="Y843" i="4"/>
  <c r="Z843" i="4" s="1"/>
  <c r="Y875" i="4"/>
  <c r="Z875" i="4" s="1"/>
  <c r="Y907" i="4"/>
  <c r="Z907" i="4" s="1"/>
  <c r="Y939" i="4"/>
  <c r="Z939" i="4" s="1"/>
  <c r="Y971" i="4"/>
  <c r="Z971" i="4" s="1"/>
  <c r="Y1003" i="4"/>
  <c r="Z1003" i="4" s="1"/>
  <c r="Y1050" i="4"/>
  <c r="Z1050" i="4" s="1"/>
  <c r="Y1137" i="4"/>
  <c r="Z1137" i="4" s="1"/>
  <c r="Y1101" i="4"/>
  <c r="Z1101" i="4" s="1"/>
  <c r="Y1163" i="4"/>
  <c r="Z1163" i="4" s="1"/>
  <c r="Y1040" i="4"/>
  <c r="Z1040" i="4" s="1"/>
  <c r="Y1072" i="4"/>
  <c r="Z1072" i="4" s="1"/>
  <c r="Y1104" i="4"/>
  <c r="Z1104" i="4" s="1"/>
  <c r="Y1136" i="4"/>
  <c r="Z1136" i="4" s="1"/>
  <c r="Y1168" i="4"/>
  <c r="Z1168" i="4" s="1"/>
  <c r="Y1200" i="4"/>
  <c r="Z1200" i="4" s="1"/>
  <c r="S186" i="8"/>
  <c r="T186" i="8" s="1"/>
  <c r="S378" i="8"/>
  <c r="T378" i="8" s="1"/>
  <c r="S890" i="8"/>
  <c r="T890" i="8" s="1"/>
  <c r="S1018" i="8"/>
  <c r="T1018" i="8" s="1"/>
  <c r="S1114" i="8"/>
  <c r="T1114" i="8" s="1"/>
  <c r="S9" i="8"/>
  <c r="T9" i="8" s="1"/>
  <c r="S412" i="8"/>
  <c r="T412" i="8" s="1"/>
  <c r="S540" i="8"/>
  <c r="T540" i="8" s="1"/>
  <c r="S636" i="8"/>
  <c r="T636" i="8" s="1"/>
  <c r="S700" i="8"/>
  <c r="T700" i="8" s="1"/>
  <c r="S796" i="8"/>
  <c r="T796" i="8" s="1"/>
  <c r="S58" i="8"/>
  <c r="T58" i="8" s="1"/>
  <c r="S459" i="8"/>
  <c r="T459" i="8" s="1"/>
  <c r="S15" i="8"/>
  <c r="T15" i="8" s="1"/>
  <c r="S341" i="8"/>
  <c r="T341" i="8" s="1"/>
  <c r="S977" i="8"/>
  <c r="T977" i="8" s="1"/>
  <c r="S323" i="8"/>
  <c r="T323" i="8" s="1"/>
  <c r="S581" i="8"/>
  <c r="T581" i="8" s="1"/>
  <c r="S901" i="8"/>
  <c r="T901" i="8" s="1"/>
  <c r="S241" i="8"/>
  <c r="T241" i="8" s="1"/>
  <c r="S95" i="8"/>
  <c r="T95" i="8" s="1"/>
  <c r="S40" i="8"/>
  <c r="T40" i="8" s="1"/>
  <c r="S423" i="8"/>
  <c r="T423" i="8" s="1"/>
  <c r="S743" i="8"/>
  <c r="T743" i="8" s="1"/>
  <c r="S1197" i="8"/>
  <c r="T1197" i="8" s="1"/>
  <c r="S353" i="8"/>
  <c r="T353" i="8" s="1"/>
  <c r="S673" i="8"/>
  <c r="T673" i="8" s="1"/>
  <c r="S1069" i="8"/>
  <c r="T1069" i="8" s="1"/>
  <c r="S963" i="8"/>
  <c r="T963" i="8" s="1"/>
  <c r="S222" i="8"/>
  <c r="T222" i="8" s="1"/>
  <c r="S382" i="8"/>
  <c r="T382" i="8" s="1"/>
  <c r="S542" i="8"/>
  <c r="T542" i="8" s="1"/>
  <c r="S894" i="8"/>
  <c r="T894" i="8" s="1"/>
  <c r="Y249" i="4"/>
  <c r="Z249" i="4" s="1"/>
  <c r="Y633" i="4"/>
  <c r="Z633" i="4" s="1"/>
  <c r="Y1017" i="4"/>
  <c r="Z1017" i="4" s="1"/>
  <c r="Y212" i="4"/>
  <c r="Z212" i="4" s="1"/>
  <c r="Y596" i="4"/>
  <c r="Z596" i="4" s="1"/>
  <c r="Y916" i="4"/>
  <c r="Z916" i="4" s="1"/>
  <c r="Y1038" i="4"/>
  <c r="Z1038" i="4" s="1"/>
  <c r="Y301" i="4"/>
  <c r="Z301" i="4" s="1"/>
  <c r="Y621" i="4"/>
  <c r="Z621" i="4" s="1"/>
  <c r="Y877" i="4"/>
  <c r="Z877" i="4" s="1"/>
  <c r="Y1085" i="4"/>
  <c r="Z1085" i="4" s="1"/>
  <c r="Y302" i="4"/>
  <c r="Z302" i="4" s="1"/>
  <c r="Y387" i="4"/>
  <c r="Z387" i="4" s="1"/>
  <c r="C37" i="6"/>
  <c r="S144" i="8"/>
  <c r="T144" i="8" s="1"/>
  <c r="S421" i="8"/>
  <c r="T421" i="8" s="1"/>
  <c r="S795" i="8"/>
  <c r="T795" i="8" s="1"/>
  <c r="S62" i="8"/>
  <c r="T62" i="8" s="1"/>
  <c r="S303" i="8"/>
  <c r="T303" i="8" s="1"/>
  <c r="S555" i="8"/>
  <c r="T555" i="8" s="1"/>
  <c r="S32" i="8"/>
  <c r="T32" i="8" s="1"/>
  <c r="S131" i="8"/>
  <c r="T131" i="8" s="1"/>
  <c r="S397" i="8"/>
  <c r="T397" i="8" s="1"/>
  <c r="S747" i="8"/>
  <c r="T747" i="8" s="1"/>
  <c r="S48" i="8"/>
  <c r="T48" i="8" s="1"/>
  <c r="S187" i="8"/>
  <c r="T187" i="8" s="1"/>
  <c r="S499" i="8"/>
  <c r="T499" i="8" s="1"/>
  <c r="S955" i="8"/>
  <c r="T955" i="8" s="1"/>
  <c r="S188" i="8"/>
  <c r="T188" i="8" s="1"/>
  <c r="S437" i="8"/>
  <c r="T437" i="8" s="1"/>
  <c r="S827" i="8"/>
  <c r="T827" i="8" s="1"/>
  <c r="S77" i="8"/>
  <c r="T77" i="8" s="1"/>
  <c r="S347" i="8"/>
  <c r="T347" i="8" s="1"/>
  <c r="S643" i="8"/>
  <c r="T643" i="8" s="1"/>
  <c r="S38" i="8"/>
  <c r="T38" i="8" s="1"/>
  <c r="S245" i="8"/>
  <c r="T245" i="8" s="1"/>
  <c r="S509" i="8"/>
  <c r="T509" i="8" s="1"/>
  <c r="S987" i="8"/>
  <c r="T987" i="8" s="1"/>
  <c r="S176" i="8"/>
  <c r="T176" i="8" s="1"/>
  <c r="S419" i="8"/>
  <c r="T419" i="8" s="1"/>
  <c r="S787" i="8"/>
  <c r="T787" i="8" s="1"/>
  <c r="S283" i="8"/>
  <c r="T283" i="8" s="1"/>
  <c r="S997" i="8"/>
  <c r="T997" i="8" s="1"/>
  <c r="S1125" i="8"/>
  <c r="T1125" i="8" s="1"/>
  <c r="S605" i="8"/>
  <c r="T605" i="8" s="1"/>
  <c r="S669" i="8"/>
  <c r="T669" i="8" s="1"/>
  <c r="S733" i="8"/>
  <c r="T733" i="8" s="1"/>
  <c r="S797" i="8"/>
  <c r="T797" i="8" s="1"/>
  <c r="S861" i="8"/>
  <c r="T861" i="8" s="1"/>
  <c r="S925" i="8"/>
  <c r="T925" i="8" s="1"/>
  <c r="S1053" i="8"/>
  <c r="T1053" i="8" s="1"/>
  <c r="S6" i="8"/>
  <c r="T6" i="8" s="1"/>
  <c r="S101" i="8"/>
  <c r="T101" i="8" s="1"/>
  <c r="S183" i="8"/>
  <c r="T183" i="8" s="1"/>
  <c r="S273" i="8"/>
  <c r="T273" i="8" s="1"/>
  <c r="S979" i="8"/>
  <c r="T979" i="8" s="1"/>
  <c r="S1107" i="8"/>
  <c r="T1107" i="8" s="1"/>
  <c r="S16" i="8"/>
  <c r="T16" i="8" s="1"/>
  <c r="S55" i="8"/>
  <c r="T55" i="8" s="1"/>
  <c r="S114" i="8"/>
  <c r="T114" i="8" s="1"/>
  <c r="S197" i="8"/>
  <c r="T197" i="8" s="1"/>
  <c r="S280" i="8"/>
  <c r="T280" i="8" s="1"/>
  <c r="S991" i="8"/>
  <c r="T991" i="8" s="1"/>
  <c r="S1119" i="8"/>
  <c r="T1119" i="8" s="1"/>
  <c r="S74" i="8"/>
  <c r="T74" i="8" s="1"/>
  <c r="S153" i="8"/>
  <c r="T153" i="8" s="1"/>
  <c r="S236" i="8"/>
  <c r="T236" i="8" s="1"/>
  <c r="S319" i="8"/>
  <c r="T319" i="8" s="1"/>
  <c r="S383" i="8"/>
  <c r="T383" i="8" s="1"/>
  <c r="S447" i="8"/>
  <c r="T447" i="8" s="1"/>
  <c r="S511" i="8"/>
  <c r="T511" i="8" s="1"/>
  <c r="S575" i="8"/>
  <c r="T575" i="8" s="1"/>
  <c r="S639" i="8"/>
  <c r="T639" i="8" s="1"/>
  <c r="S703" i="8"/>
  <c r="T703" i="8" s="1"/>
  <c r="S767" i="8"/>
  <c r="T767" i="8" s="1"/>
  <c r="S831" i="8"/>
  <c r="T831" i="8" s="1"/>
  <c r="S895" i="8"/>
  <c r="T895" i="8" s="1"/>
  <c r="S993" i="8"/>
  <c r="T993" i="8" s="1"/>
  <c r="S1121" i="8"/>
  <c r="T1121" i="8" s="1"/>
  <c r="S25" i="8"/>
  <c r="T25" i="8" s="1"/>
  <c r="S68" i="8"/>
  <c r="T68" i="8" s="1"/>
  <c r="S141" i="8"/>
  <c r="T141" i="8" s="1"/>
  <c r="S224" i="8"/>
  <c r="T224" i="8" s="1"/>
  <c r="S307" i="8"/>
  <c r="T307" i="8" s="1"/>
  <c r="S377" i="8"/>
  <c r="T377" i="8" s="1"/>
  <c r="S441" i="8"/>
  <c r="T441" i="8" s="1"/>
  <c r="S505" i="8"/>
  <c r="T505" i="8" s="1"/>
  <c r="S569" i="8"/>
  <c r="T569" i="8" s="1"/>
  <c r="S633" i="8"/>
  <c r="T633" i="8" s="1"/>
  <c r="S697" i="8"/>
  <c r="T697" i="8" s="1"/>
  <c r="S761" i="8"/>
  <c r="T761" i="8" s="1"/>
  <c r="S825" i="8"/>
  <c r="T825" i="8" s="1"/>
  <c r="S889" i="8"/>
  <c r="T889" i="8" s="1"/>
  <c r="S983" i="8"/>
  <c r="T983" i="8" s="1"/>
  <c r="S1111" i="8"/>
  <c r="T1111" i="8" s="1"/>
  <c r="S52" i="8"/>
  <c r="T52" i="8" s="1"/>
  <c r="S122" i="8"/>
  <c r="T122" i="8" s="1"/>
  <c r="S199" i="8"/>
  <c r="T199" i="8" s="1"/>
  <c r="S289" i="8"/>
  <c r="T289" i="8" s="1"/>
  <c r="S1017" i="8"/>
  <c r="T1017" i="8" s="1"/>
  <c r="S1145" i="8"/>
  <c r="T1145" i="8" s="1"/>
  <c r="S138" i="8"/>
  <c r="T138" i="8" s="1"/>
  <c r="S170" i="8"/>
  <c r="T170" i="8" s="1"/>
  <c r="S202" i="8"/>
  <c r="T202" i="8" s="1"/>
  <c r="S234" i="8"/>
  <c r="T234" i="8" s="1"/>
  <c r="S266" i="8"/>
  <c r="T266" i="8" s="1"/>
  <c r="S298" i="8"/>
  <c r="T298" i="8" s="1"/>
  <c r="S330" i="8"/>
  <c r="T330" i="8" s="1"/>
  <c r="S362" i="8"/>
  <c r="T362" i="8" s="1"/>
  <c r="S394" i="8"/>
  <c r="T394" i="8" s="1"/>
  <c r="S426" i="8"/>
  <c r="T426" i="8" s="1"/>
  <c r="S458" i="8"/>
  <c r="T458" i="8" s="1"/>
  <c r="S490" i="8"/>
  <c r="T490" i="8" s="1"/>
  <c r="S522" i="8"/>
  <c r="T522" i="8" s="1"/>
  <c r="S554" i="8"/>
  <c r="T554" i="8" s="1"/>
  <c r="S586" i="8"/>
  <c r="T586" i="8" s="1"/>
  <c r="S618" i="8"/>
  <c r="T618" i="8" s="1"/>
  <c r="S650" i="8"/>
  <c r="T650" i="8" s="1"/>
  <c r="S682" i="8"/>
  <c r="T682" i="8" s="1"/>
  <c r="S714" i="8"/>
  <c r="T714" i="8" s="1"/>
  <c r="S746" i="8"/>
  <c r="T746" i="8" s="1"/>
  <c r="S778" i="8"/>
  <c r="T778" i="8" s="1"/>
  <c r="S810" i="8"/>
  <c r="T810" i="8" s="1"/>
  <c r="S842" i="8"/>
  <c r="T842" i="8" s="1"/>
  <c r="S874" i="8"/>
  <c r="T874" i="8" s="1"/>
  <c r="S906" i="8"/>
  <c r="T906" i="8" s="1"/>
  <c r="S938" i="8"/>
  <c r="T938" i="8" s="1"/>
  <c r="S970" i="8"/>
  <c r="T970" i="8" s="1"/>
  <c r="S1002" i="8"/>
  <c r="T1002" i="8" s="1"/>
  <c r="S1034" i="8"/>
  <c r="T1034" i="8" s="1"/>
  <c r="S1066" i="8"/>
  <c r="T1066" i="8" s="1"/>
  <c r="S1098" i="8"/>
  <c r="T1098" i="8" s="1"/>
  <c r="S1130" i="8"/>
  <c r="T1130" i="8" s="1"/>
  <c r="S1162" i="8"/>
  <c r="T1162" i="8" s="1"/>
  <c r="S1194" i="8"/>
  <c r="T1194" i="8" s="1"/>
  <c r="S1187" i="8"/>
  <c r="T1187" i="8" s="1"/>
  <c r="S332" i="8"/>
  <c r="T332" i="8" s="1"/>
  <c r="S364" i="8"/>
  <c r="T364" i="8" s="1"/>
  <c r="S396" i="8"/>
  <c r="T396" i="8" s="1"/>
  <c r="S428" i="8"/>
  <c r="T428" i="8" s="1"/>
  <c r="S460" i="8"/>
  <c r="T460" i="8" s="1"/>
  <c r="S492" i="8"/>
  <c r="T492" i="8" s="1"/>
  <c r="S524" i="8"/>
  <c r="T524" i="8" s="1"/>
  <c r="S556" i="8"/>
  <c r="T556" i="8" s="1"/>
  <c r="S588" i="8"/>
  <c r="T588" i="8" s="1"/>
  <c r="S620" i="8"/>
  <c r="T620" i="8" s="1"/>
  <c r="S652" i="8"/>
  <c r="T652" i="8" s="1"/>
  <c r="S684" i="8"/>
  <c r="T684" i="8" s="1"/>
  <c r="S716" i="8"/>
  <c r="T716" i="8" s="1"/>
  <c r="S748" i="8"/>
  <c r="T748" i="8" s="1"/>
  <c r="S780" i="8"/>
  <c r="T780" i="8" s="1"/>
  <c r="S812" i="8"/>
  <c r="T812" i="8" s="1"/>
  <c r="S844" i="8"/>
  <c r="T844" i="8" s="1"/>
  <c r="S876" i="8"/>
  <c r="T876" i="8" s="1"/>
  <c r="S908" i="8"/>
  <c r="T908" i="8" s="1"/>
  <c r="S940" i="8"/>
  <c r="T940" i="8" s="1"/>
  <c r="S972" i="8"/>
  <c r="T972" i="8" s="1"/>
  <c r="S1004" i="8"/>
  <c r="T1004" i="8" s="1"/>
  <c r="S1036" i="8"/>
  <c r="T1036" i="8" s="1"/>
  <c r="S1068" i="8"/>
  <c r="T1068" i="8" s="1"/>
  <c r="S1100" i="8"/>
  <c r="T1100" i="8" s="1"/>
  <c r="S1132" i="8"/>
  <c r="T1132" i="8" s="1"/>
  <c r="S1164" i="8"/>
  <c r="T1164" i="8" s="1"/>
  <c r="S1196" i="8"/>
  <c r="T1196" i="8" s="1"/>
  <c r="B134" i="7"/>
  <c r="F134" i="7" s="1"/>
  <c r="Y24" i="4"/>
  <c r="Z24" i="4" s="1"/>
  <c r="Y102" i="4"/>
  <c r="Z102" i="4" s="1"/>
  <c r="Y192" i="4"/>
  <c r="Z192" i="4" s="1"/>
  <c r="Y1173" i="4"/>
  <c r="Z1173" i="4" s="1"/>
  <c r="Y84" i="4"/>
  <c r="Z84" i="4" s="1"/>
  <c r="Y173" i="4"/>
  <c r="Z173" i="4" s="1"/>
  <c r="Y240" i="4"/>
  <c r="Z240" i="4" s="1"/>
  <c r="Y304" i="4"/>
  <c r="Z304" i="4" s="1"/>
  <c r="Y368" i="4"/>
  <c r="Z368" i="4" s="1"/>
  <c r="Y432" i="4"/>
  <c r="Z432" i="4" s="1"/>
  <c r="Y496" i="4"/>
  <c r="Z496" i="4" s="1"/>
  <c r="Y560" i="4"/>
  <c r="Z560" i="4" s="1"/>
  <c r="Y624" i="4"/>
  <c r="Z624" i="4" s="1"/>
  <c r="Y688" i="4"/>
  <c r="Z688" i="4" s="1"/>
  <c r="Y752" i="4"/>
  <c r="Z752" i="4" s="1"/>
  <c r="Y816" i="4"/>
  <c r="Z816" i="4" s="1"/>
  <c r="Y880" i="4"/>
  <c r="Z880" i="4" s="1"/>
  <c r="Y944" i="4"/>
  <c r="Z944" i="4" s="1"/>
  <c r="Y1008" i="4"/>
  <c r="Z1008" i="4" s="1"/>
  <c r="Y1115" i="4"/>
  <c r="Z1115" i="4" s="1"/>
  <c r="Y78" i="4"/>
  <c r="Z78" i="4" s="1"/>
  <c r="Y168" i="4"/>
  <c r="Z168" i="4" s="1"/>
  <c r="Y1143" i="4"/>
  <c r="Z1143" i="4" s="1"/>
  <c r="Y53" i="4"/>
  <c r="Z53" i="4" s="1"/>
  <c r="Y130" i="4"/>
  <c r="Z130" i="4" s="1"/>
  <c r="Y209" i="4"/>
  <c r="Z209" i="4" s="1"/>
  <c r="Y273" i="4"/>
  <c r="Z273" i="4" s="1"/>
  <c r="Y337" i="4"/>
  <c r="Z337" i="4" s="1"/>
  <c r="Y401" i="4"/>
  <c r="Z401" i="4" s="1"/>
  <c r="Y465" i="4"/>
  <c r="Z465" i="4" s="1"/>
  <c r="Y529" i="4"/>
  <c r="Z529" i="4" s="1"/>
  <c r="Y593" i="4"/>
  <c r="Z593" i="4" s="1"/>
  <c r="Y657" i="4"/>
  <c r="Z657" i="4" s="1"/>
  <c r="Y721" i="4"/>
  <c r="Z721" i="4" s="1"/>
  <c r="Y785" i="4"/>
  <c r="Z785" i="4" s="1"/>
  <c r="Y849" i="4"/>
  <c r="Z849" i="4" s="1"/>
  <c r="Y913" i="4"/>
  <c r="Z913" i="4" s="1"/>
  <c r="Y977" i="4"/>
  <c r="Z977" i="4" s="1"/>
  <c r="Y1043" i="4"/>
  <c r="Z1043" i="4" s="1"/>
  <c r="Y30" i="4"/>
  <c r="Z30" i="4" s="1"/>
  <c r="Y105" i="4"/>
  <c r="Z105" i="4" s="1"/>
  <c r="Y182" i="4"/>
  <c r="Z182" i="4" s="1"/>
  <c r="Y1157" i="4"/>
  <c r="Z1157" i="4" s="1"/>
  <c r="Y74" i="4"/>
  <c r="Z74" i="4" s="1"/>
  <c r="Y164" i="4"/>
  <c r="Z164" i="4" s="1"/>
  <c r="Y236" i="4"/>
  <c r="Z236" i="4" s="1"/>
  <c r="Y300" i="4"/>
  <c r="Z300" i="4" s="1"/>
  <c r="Y364" i="4"/>
  <c r="Z364" i="4" s="1"/>
  <c r="Y428" i="4"/>
  <c r="Z428" i="4" s="1"/>
  <c r="Y492" i="4"/>
  <c r="Z492" i="4" s="1"/>
  <c r="Y556" i="4"/>
  <c r="Z556" i="4" s="1"/>
  <c r="Y620" i="4"/>
  <c r="Z620" i="4" s="1"/>
  <c r="Y684" i="4"/>
  <c r="Z684" i="4" s="1"/>
  <c r="Y748" i="4"/>
  <c r="Z748" i="4" s="1"/>
  <c r="Y812" i="4"/>
  <c r="Z812" i="4" s="1"/>
  <c r="Y876" i="4"/>
  <c r="Z876" i="4" s="1"/>
  <c r="Y940" i="4"/>
  <c r="Z940" i="4" s="1"/>
  <c r="Y1004" i="4"/>
  <c r="Z1004" i="4" s="1"/>
  <c r="Y1181" i="4"/>
  <c r="Z1181" i="4" s="1"/>
  <c r="Y81" i="4"/>
  <c r="Z81" i="4" s="1"/>
  <c r="Y158" i="4"/>
  <c r="Z158" i="4" s="1"/>
  <c r="Y1102" i="4"/>
  <c r="Z1102" i="4" s="1"/>
  <c r="Y28" i="4"/>
  <c r="Z28" i="4" s="1"/>
  <c r="Y108" i="4"/>
  <c r="Z108" i="4" s="1"/>
  <c r="Y197" i="4"/>
  <c r="Z197" i="4" s="1"/>
  <c r="Y261" i="4"/>
  <c r="Z261" i="4" s="1"/>
  <c r="Y325" i="4"/>
  <c r="Z325" i="4" s="1"/>
  <c r="Y389" i="4"/>
  <c r="Z389" i="4" s="1"/>
  <c r="Y453" i="4"/>
  <c r="Z453" i="4" s="1"/>
  <c r="Y517" i="4"/>
  <c r="Z517" i="4" s="1"/>
  <c r="Y581" i="4"/>
  <c r="Z581" i="4" s="1"/>
  <c r="Y645" i="4"/>
  <c r="Z645" i="4" s="1"/>
  <c r="Y709" i="4"/>
  <c r="Z709" i="4" s="1"/>
  <c r="Y773" i="4"/>
  <c r="Z773" i="4" s="1"/>
  <c r="Y837" i="4"/>
  <c r="Z837" i="4" s="1"/>
  <c r="Y901" i="4"/>
  <c r="Z901" i="4" s="1"/>
  <c r="Y965" i="4"/>
  <c r="Z965" i="4" s="1"/>
  <c r="Y1057" i="4"/>
  <c r="Z1057" i="4" s="1"/>
  <c r="Y1030" i="4"/>
  <c r="Z1030" i="4" s="1"/>
  <c r="Y1117" i="4"/>
  <c r="Z1117" i="4" s="1"/>
  <c r="Y1171" i="4"/>
  <c r="Z1171" i="4" s="1"/>
  <c r="Y218" i="4"/>
  <c r="Z218" i="4" s="1"/>
  <c r="Y250" i="4"/>
  <c r="Z250" i="4" s="1"/>
  <c r="Y282" i="4"/>
  <c r="Z282" i="4" s="1"/>
  <c r="Y314" i="4"/>
  <c r="Z314" i="4" s="1"/>
  <c r="Y346" i="4"/>
  <c r="Z346" i="4" s="1"/>
  <c r="Y378" i="4"/>
  <c r="Z378" i="4" s="1"/>
  <c r="Y410" i="4"/>
  <c r="Z410" i="4" s="1"/>
  <c r="Y442" i="4"/>
  <c r="Z442" i="4" s="1"/>
  <c r="Y474" i="4"/>
  <c r="Z474" i="4" s="1"/>
  <c r="Y506" i="4"/>
  <c r="Z506" i="4" s="1"/>
  <c r="Y538" i="4"/>
  <c r="Z538" i="4" s="1"/>
  <c r="Y570" i="4"/>
  <c r="Z570" i="4" s="1"/>
  <c r="Y602" i="4"/>
  <c r="Z602" i="4" s="1"/>
  <c r="Y634" i="4"/>
  <c r="Z634" i="4" s="1"/>
  <c r="Y666" i="4"/>
  <c r="Z666" i="4" s="1"/>
  <c r="Y698" i="4"/>
  <c r="Z698" i="4" s="1"/>
  <c r="Y730" i="4"/>
  <c r="Z730" i="4" s="1"/>
  <c r="Y762" i="4"/>
  <c r="Z762" i="4" s="1"/>
  <c r="Y794" i="4"/>
  <c r="Z794" i="4" s="1"/>
  <c r="Y826" i="4"/>
  <c r="Z826" i="4" s="1"/>
  <c r="Y858" i="4"/>
  <c r="Z858" i="4" s="1"/>
  <c r="Y890" i="4"/>
  <c r="Z890" i="4" s="1"/>
  <c r="Y922" i="4"/>
  <c r="Z922" i="4" s="1"/>
  <c r="Y954" i="4"/>
  <c r="Z954" i="4" s="1"/>
  <c r="Y986" i="4"/>
  <c r="Z986" i="4" s="1"/>
  <c r="Y1018" i="4"/>
  <c r="Z1018" i="4" s="1"/>
  <c r="Y1090" i="4"/>
  <c r="Z1090" i="4" s="1"/>
  <c r="Y11" i="4"/>
  <c r="Z11" i="4" s="1"/>
  <c r="Y47" i="4"/>
  <c r="Z47" i="4" s="1"/>
  <c r="Y79" i="4"/>
  <c r="Z79" i="4" s="1"/>
  <c r="Y111" i="4"/>
  <c r="Z111" i="4" s="1"/>
  <c r="Y143" i="4"/>
  <c r="Z143" i="4" s="1"/>
  <c r="Y175" i="4"/>
  <c r="Z175" i="4" s="1"/>
  <c r="Y207" i="4"/>
  <c r="Z207" i="4" s="1"/>
  <c r="Y239" i="4"/>
  <c r="Z239" i="4" s="1"/>
  <c r="Y271" i="4"/>
  <c r="Z271" i="4" s="1"/>
  <c r="Y303" i="4"/>
  <c r="Z303" i="4" s="1"/>
  <c r="Y335" i="4"/>
  <c r="Z335" i="4" s="1"/>
  <c r="Y367" i="4"/>
  <c r="Z367" i="4" s="1"/>
  <c r="Y399" i="4"/>
  <c r="Z399" i="4" s="1"/>
  <c r="Y431" i="4"/>
  <c r="Z431" i="4" s="1"/>
  <c r="Y463" i="4"/>
  <c r="Z463" i="4" s="1"/>
  <c r="Y495" i="4"/>
  <c r="Z495" i="4" s="1"/>
  <c r="Y527" i="4"/>
  <c r="Z527" i="4" s="1"/>
  <c r="Y559" i="4"/>
  <c r="Z559" i="4" s="1"/>
  <c r="Y591" i="4"/>
  <c r="Z591" i="4" s="1"/>
  <c r="Y623" i="4"/>
  <c r="Z623" i="4" s="1"/>
  <c r="Y655" i="4"/>
  <c r="Z655" i="4" s="1"/>
  <c r="Y687" i="4"/>
  <c r="Z687" i="4" s="1"/>
  <c r="Y719" i="4"/>
  <c r="Z719" i="4" s="1"/>
  <c r="Y751" i="4"/>
  <c r="Z751" i="4" s="1"/>
  <c r="Y783" i="4"/>
  <c r="Z783" i="4" s="1"/>
  <c r="Y815" i="4"/>
  <c r="Z815" i="4" s="1"/>
  <c r="Y847" i="4"/>
  <c r="Z847" i="4" s="1"/>
  <c r="Y879" i="4"/>
  <c r="Z879" i="4" s="1"/>
  <c r="Y911" i="4"/>
  <c r="Z911" i="4" s="1"/>
  <c r="Y943" i="4"/>
  <c r="Z943" i="4" s="1"/>
  <c r="Y975" i="4"/>
  <c r="Z975" i="4" s="1"/>
  <c r="Y1007" i="4"/>
  <c r="Z1007" i="4" s="1"/>
  <c r="Y1059" i="4"/>
  <c r="Z1059" i="4" s="1"/>
  <c r="Y1179" i="4"/>
  <c r="Z1179" i="4" s="1"/>
  <c r="Y1110" i="4"/>
  <c r="Z1110" i="4" s="1"/>
  <c r="Y1169" i="4"/>
  <c r="Z1169" i="4" s="1"/>
  <c r="Y1044" i="4"/>
  <c r="Z1044" i="4" s="1"/>
  <c r="Y1076" i="4"/>
  <c r="Z1076" i="4" s="1"/>
  <c r="Y1108" i="4"/>
  <c r="Z1108" i="4" s="1"/>
  <c r="Y1140" i="4"/>
  <c r="Z1140" i="4" s="1"/>
  <c r="Y1172" i="4"/>
  <c r="Z1172" i="4" s="1"/>
  <c r="Y1178" i="4"/>
  <c r="Z1178" i="4" s="1"/>
  <c r="S603" i="8"/>
  <c r="T603" i="8" s="1"/>
  <c r="S867" i="8"/>
  <c r="T867" i="8" s="1"/>
  <c r="S116" i="8"/>
  <c r="T116" i="8" s="1"/>
  <c r="S17" i="8"/>
  <c r="T17" i="8" s="1"/>
  <c r="S413" i="8"/>
  <c r="T413" i="8" s="1"/>
  <c r="S251" i="8"/>
  <c r="T251" i="8" s="1"/>
  <c r="S709" i="8"/>
  <c r="T709" i="8" s="1"/>
  <c r="S999" i="8"/>
  <c r="T999" i="8" s="1"/>
  <c r="S937" i="8"/>
  <c r="T937" i="8" s="1"/>
  <c r="S165" i="8"/>
  <c r="T165" i="8" s="1"/>
  <c r="S204" i="8"/>
  <c r="T204" i="8" s="1"/>
  <c r="S551" i="8"/>
  <c r="T551" i="8" s="1"/>
  <c r="S871" i="8"/>
  <c r="T871" i="8" s="1"/>
  <c r="S109" i="8"/>
  <c r="T109" i="8" s="1"/>
  <c r="S545" i="8"/>
  <c r="T545" i="8" s="1"/>
  <c r="S865" i="8"/>
  <c r="T865" i="8" s="1"/>
  <c r="S103" i="8"/>
  <c r="T103" i="8" s="1"/>
  <c r="S158" i="8"/>
  <c r="T158" i="8" s="1"/>
  <c r="S286" i="8"/>
  <c r="T286" i="8" s="1"/>
  <c r="S414" i="8"/>
  <c r="T414" i="8" s="1"/>
  <c r="S574" i="8"/>
  <c r="T574" i="8" s="1"/>
  <c r="S734" i="8"/>
  <c r="T734" i="8" s="1"/>
  <c r="S862" i="8"/>
  <c r="T862" i="8" s="1"/>
  <c r="S1022" i="8"/>
  <c r="T1022" i="8" s="1"/>
  <c r="S1150" i="8"/>
  <c r="T1150" i="8" s="1"/>
  <c r="S352" i="8"/>
  <c r="T352" i="8" s="1"/>
  <c r="S448" i="8"/>
  <c r="T448" i="8" s="1"/>
  <c r="S640" i="8"/>
  <c r="T640" i="8" s="1"/>
  <c r="S768" i="8"/>
  <c r="T768" i="8" s="1"/>
  <c r="S896" i="8"/>
  <c r="T896" i="8" s="1"/>
  <c r="S1024" i="8"/>
  <c r="T1024" i="8" s="1"/>
  <c r="S1152" i="8"/>
  <c r="T1152" i="8" s="1"/>
  <c r="Y160" i="4"/>
  <c r="Z160" i="4" s="1"/>
  <c r="Y280" i="4"/>
  <c r="Z280" i="4" s="1"/>
  <c r="Y536" i="4"/>
  <c r="Z536" i="4" s="1"/>
  <c r="Y856" i="4"/>
  <c r="Z856" i="4" s="1"/>
  <c r="Y136" i="4"/>
  <c r="Z136" i="4" s="1"/>
  <c r="Y313" i="4"/>
  <c r="Z313" i="4" s="1"/>
  <c r="Y761" i="4"/>
  <c r="Z761" i="4" s="1"/>
  <c r="Y73" i="4"/>
  <c r="Z73" i="4" s="1"/>
  <c r="Y276" i="4"/>
  <c r="Z276" i="4" s="1"/>
  <c r="Y660" i="4"/>
  <c r="Z660" i="4" s="1"/>
  <c r="Y980" i="4"/>
  <c r="Z980" i="4" s="1"/>
  <c r="Y3" i="4"/>
  <c r="Z3" i="4" s="1"/>
  <c r="Y493" i="4"/>
  <c r="Z493" i="4" s="1"/>
  <c r="Y654" i="4"/>
  <c r="Z654" i="4" s="1"/>
  <c r="B132" i="7"/>
  <c r="F132" i="7" s="1"/>
  <c r="E52" i="7"/>
  <c r="A53" i="7"/>
  <c r="A52" i="7"/>
  <c r="C52" i="7"/>
  <c r="B89" i="6"/>
  <c r="F89" i="6" s="1"/>
  <c r="B87" i="6"/>
  <c r="F87" i="6" s="1"/>
  <c r="S181" i="8"/>
  <c r="T181" i="8" s="1"/>
  <c r="S453" i="8"/>
  <c r="T453" i="8" s="1"/>
  <c r="S859" i="8"/>
  <c r="T859" i="8" s="1"/>
  <c r="S76" i="8"/>
  <c r="T76" i="8" s="1"/>
  <c r="S331" i="8"/>
  <c r="T331" i="8" s="1"/>
  <c r="S611" i="8"/>
  <c r="T611" i="8" s="1"/>
  <c r="S47" i="8"/>
  <c r="T47" i="8" s="1"/>
  <c r="S168" i="8"/>
  <c r="T168" i="8" s="1"/>
  <c r="S429" i="8"/>
  <c r="T429" i="8" s="1"/>
  <c r="S811" i="8"/>
  <c r="T811" i="8" s="1"/>
  <c r="S67" i="8"/>
  <c r="T67" i="8" s="1"/>
  <c r="S220" i="8"/>
  <c r="T220" i="8" s="1"/>
  <c r="S531" i="8"/>
  <c r="T531" i="8" s="1"/>
  <c r="S1041" i="8"/>
  <c r="T1041" i="8" s="1"/>
  <c r="S221" i="8"/>
  <c r="T221" i="8" s="1"/>
  <c r="S469" i="8"/>
  <c r="T469" i="8" s="1"/>
  <c r="S891" i="8"/>
  <c r="T891" i="8" s="1"/>
  <c r="S87" i="8"/>
  <c r="T87" i="8" s="1"/>
  <c r="S379" i="8"/>
  <c r="T379" i="8" s="1"/>
  <c r="S707" i="8"/>
  <c r="T707" i="8" s="1"/>
  <c r="S78" i="8"/>
  <c r="T78" i="8" s="1"/>
  <c r="S291" i="8"/>
  <c r="T291" i="8" s="1"/>
  <c r="S541" i="8"/>
  <c r="T541" i="8" s="1"/>
  <c r="S1073" i="8"/>
  <c r="T1073" i="8" s="1"/>
  <c r="S213" i="8"/>
  <c r="T213" i="8" s="1"/>
  <c r="S451" i="8"/>
  <c r="T451" i="8" s="1"/>
  <c r="S851" i="8"/>
  <c r="T851" i="8" s="1"/>
  <c r="S296" i="8"/>
  <c r="T296" i="8" s="1"/>
  <c r="S1007" i="8"/>
  <c r="T1007" i="8" s="1"/>
  <c r="S1135" i="8"/>
  <c r="T1135" i="8" s="1"/>
  <c r="S613" i="8"/>
  <c r="T613" i="8" s="1"/>
  <c r="S677" i="8"/>
  <c r="T677" i="8" s="1"/>
  <c r="S741" i="8"/>
  <c r="T741" i="8" s="1"/>
  <c r="S805" i="8"/>
  <c r="T805" i="8" s="1"/>
  <c r="S869" i="8"/>
  <c r="T869" i="8" s="1"/>
  <c r="S935" i="8"/>
  <c r="T935" i="8" s="1"/>
  <c r="S1063" i="8"/>
  <c r="T1063" i="8" s="1"/>
  <c r="S28" i="8"/>
  <c r="T28" i="8" s="1"/>
  <c r="S105" i="8"/>
  <c r="T105" i="8" s="1"/>
  <c r="S196" i="8"/>
  <c r="T196" i="8" s="1"/>
  <c r="S279" i="8"/>
  <c r="T279" i="8" s="1"/>
  <c r="S1001" i="8"/>
  <c r="T1001" i="8" s="1"/>
  <c r="S1129" i="8"/>
  <c r="T1129" i="8" s="1"/>
  <c r="S18" i="8"/>
  <c r="T18" i="8" s="1"/>
  <c r="S61" i="8"/>
  <c r="T61" i="8" s="1"/>
  <c r="S123" i="8"/>
  <c r="T123" i="8" s="1"/>
  <c r="S203" i="8"/>
  <c r="T203" i="8" s="1"/>
  <c r="S293" i="8"/>
  <c r="T293" i="8" s="1"/>
  <c r="S1013" i="8"/>
  <c r="T1013" i="8" s="1"/>
  <c r="S1141" i="8"/>
  <c r="T1141" i="8" s="1"/>
  <c r="S85" i="8"/>
  <c r="T85" i="8" s="1"/>
  <c r="S159" i="8"/>
  <c r="T159" i="8" s="1"/>
  <c r="S249" i="8"/>
  <c r="T249" i="8" s="1"/>
  <c r="S327" i="8"/>
  <c r="T327" i="8" s="1"/>
  <c r="S391" i="8"/>
  <c r="T391" i="8" s="1"/>
  <c r="S455" i="8"/>
  <c r="T455" i="8" s="1"/>
  <c r="S519" i="8"/>
  <c r="T519" i="8" s="1"/>
  <c r="S583" i="8"/>
  <c r="T583" i="8" s="1"/>
  <c r="S647" i="8"/>
  <c r="T647" i="8" s="1"/>
  <c r="S711" i="8"/>
  <c r="T711" i="8" s="1"/>
  <c r="S775" i="8"/>
  <c r="T775" i="8" s="1"/>
  <c r="S839" i="8"/>
  <c r="T839" i="8" s="1"/>
  <c r="S903" i="8"/>
  <c r="T903" i="8" s="1"/>
  <c r="S1003" i="8"/>
  <c r="T1003" i="8" s="1"/>
  <c r="S1131" i="8"/>
  <c r="T1131" i="8" s="1"/>
  <c r="S30" i="8"/>
  <c r="T30" i="8" s="1"/>
  <c r="S79" i="8"/>
  <c r="T79" i="8" s="1"/>
  <c r="S147" i="8"/>
  <c r="T147" i="8" s="1"/>
  <c r="S237" i="8"/>
  <c r="T237" i="8" s="1"/>
  <c r="S321" i="8"/>
  <c r="T321" i="8" s="1"/>
  <c r="S385" i="8"/>
  <c r="T385" i="8" s="1"/>
  <c r="S449" i="8"/>
  <c r="T449" i="8" s="1"/>
  <c r="S513" i="8"/>
  <c r="T513" i="8" s="1"/>
  <c r="S577" i="8"/>
  <c r="T577" i="8" s="1"/>
  <c r="S641" i="8"/>
  <c r="T641" i="8" s="1"/>
  <c r="S705" i="8"/>
  <c r="T705" i="8" s="1"/>
  <c r="S769" i="8"/>
  <c r="T769" i="8" s="1"/>
  <c r="S833" i="8"/>
  <c r="T833" i="8" s="1"/>
  <c r="S897" i="8"/>
  <c r="T897" i="8" s="1"/>
  <c r="S1005" i="8"/>
  <c r="T1005" i="8" s="1"/>
  <c r="S1133" i="8"/>
  <c r="T1133" i="8" s="1"/>
  <c r="S69" i="8"/>
  <c r="T69" i="8" s="1"/>
  <c r="S129" i="8"/>
  <c r="T129" i="8" s="1"/>
  <c r="S212" i="8"/>
  <c r="T212" i="8" s="1"/>
  <c r="S295" i="8"/>
  <c r="T295" i="8" s="1"/>
  <c r="S1027" i="8"/>
  <c r="T1027" i="8" s="1"/>
  <c r="S1155" i="8"/>
  <c r="T1155" i="8" s="1"/>
  <c r="S142" i="8"/>
  <c r="T142" i="8" s="1"/>
  <c r="S174" i="8"/>
  <c r="T174" i="8" s="1"/>
  <c r="S206" i="8"/>
  <c r="T206" i="8" s="1"/>
  <c r="S238" i="8"/>
  <c r="T238" i="8" s="1"/>
  <c r="S270" i="8"/>
  <c r="T270" i="8" s="1"/>
  <c r="S302" i="8"/>
  <c r="T302" i="8" s="1"/>
  <c r="S334" i="8"/>
  <c r="T334" i="8" s="1"/>
  <c r="S366" i="8"/>
  <c r="T366" i="8" s="1"/>
  <c r="S398" i="8"/>
  <c r="T398" i="8" s="1"/>
  <c r="S430" i="8"/>
  <c r="T430" i="8" s="1"/>
  <c r="S462" i="8"/>
  <c r="T462" i="8" s="1"/>
  <c r="S494" i="8"/>
  <c r="T494" i="8" s="1"/>
  <c r="S526" i="8"/>
  <c r="T526" i="8" s="1"/>
  <c r="S558" i="8"/>
  <c r="T558" i="8" s="1"/>
  <c r="S590" i="8"/>
  <c r="T590" i="8" s="1"/>
  <c r="S622" i="8"/>
  <c r="T622" i="8" s="1"/>
  <c r="S654" i="8"/>
  <c r="T654" i="8" s="1"/>
  <c r="S686" i="8"/>
  <c r="T686" i="8" s="1"/>
  <c r="S718" i="8"/>
  <c r="T718" i="8" s="1"/>
  <c r="S750" i="8"/>
  <c r="T750" i="8" s="1"/>
  <c r="S782" i="8"/>
  <c r="T782" i="8" s="1"/>
  <c r="S814" i="8"/>
  <c r="T814" i="8" s="1"/>
  <c r="S846" i="8"/>
  <c r="T846" i="8" s="1"/>
  <c r="S878" i="8"/>
  <c r="T878" i="8" s="1"/>
  <c r="S910" i="8"/>
  <c r="T910" i="8" s="1"/>
  <c r="S942" i="8"/>
  <c r="T942" i="8" s="1"/>
  <c r="S974" i="8"/>
  <c r="T974" i="8" s="1"/>
  <c r="S1006" i="8"/>
  <c r="T1006" i="8" s="1"/>
  <c r="S1038" i="8"/>
  <c r="T1038" i="8" s="1"/>
  <c r="S1070" i="8"/>
  <c r="T1070" i="8" s="1"/>
  <c r="S1102" i="8"/>
  <c r="T1102" i="8" s="1"/>
  <c r="S1134" i="8"/>
  <c r="T1134" i="8" s="1"/>
  <c r="S1166" i="8"/>
  <c r="T1166" i="8" s="1"/>
  <c r="S1198" i="8"/>
  <c r="T1198" i="8" s="1"/>
  <c r="S1191" i="8"/>
  <c r="T1191" i="8" s="1"/>
  <c r="S336" i="8"/>
  <c r="T336" i="8" s="1"/>
  <c r="S368" i="8"/>
  <c r="T368" i="8" s="1"/>
  <c r="S400" i="8"/>
  <c r="T400" i="8" s="1"/>
  <c r="S432" i="8"/>
  <c r="T432" i="8" s="1"/>
  <c r="S464" i="8"/>
  <c r="T464" i="8" s="1"/>
  <c r="S496" i="8"/>
  <c r="T496" i="8" s="1"/>
  <c r="S528" i="8"/>
  <c r="T528" i="8" s="1"/>
  <c r="S560" i="8"/>
  <c r="T560" i="8" s="1"/>
  <c r="S592" i="8"/>
  <c r="T592" i="8" s="1"/>
  <c r="S624" i="8"/>
  <c r="T624" i="8" s="1"/>
  <c r="S656" i="8"/>
  <c r="T656" i="8" s="1"/>
  <c r="S688" i="8"/>
  <c r="T688" i="8" s="1"/>
  <c r="S720" i="8"/>
  <c r="T720" i="8" s="1"/>
  <c r="S752" i="8"/>
  <c r="T752" i="8" s="1"/>
  <c r="S784" i="8"/>
  <c r="T784" i="8" s="1"/>
  <c r="S816" i="8"/>
  <c r="T816" i="8" s="1"/>
  <c r="S848" i="8"/>
  <c r="T848" i="8" s="1"/>
  <c r="S880" i="8"/>
  <c r="T880" i="8" s="1"/>
  <c r="S912" i="8"/>
  <c r="T912" i="8" s="1"/>
  <c r="S944" i="8"/>
  <c r="T944" i="8" s="1"/>
  <c r="S976" i="8"/>
  <c r="T976" i="8" s="1"/>
  <c r="S1008" i="8"/>
  <c r="T1008" i="8" s="1"/>
  <c r="S1040" i="8"/>
  <c r="T1040" i="8" s="1"/>
  <c r="S1072" i="8"/>
  <c r="T1072" i="8" s="1"/>
  <c r="S1104" i="8"/>
  <c r="T1104" i="8" s="1"/>
  <c r="S1136" i="8"/>
  <c r="T1136" i="8" s="1"/>
  <c r="S1168" i="8"/>
  <c r="T1168" i="8" s="1"/>
  <c r="S1200" i="8"/>
  <c r="T1200" i="8" s="1"/>
  <c r="Y33" i="4"/>
  <c r="Z33" i="4" s="1"/>
  <c r="Y121" i="4"/>
  <c r="Z121" i="4" s="1"/>
  <c r="Y1031" i="4"/>
  <c r="Z1031" i="4" s="1"/>
  <c r="Y1185" i="4"/>
  <c r="Z1185" i="4" s="1"/>
  <c r="Y90" i="4"/>
  <c r="Z90" i="4" s="1"/>
  <c r="Y180" i="4"/>
  <c r="Z180" i="4" s="1"/>
  <c r="Y248" i="4"/>
  <c r="Z248" i="4" s="1"/>
  <c r="Y312" i="4"/>
  <c r="Z312" i="4" s="1"/>
  <c r="Y376" i="4"/>
  <c r="Z376" i="4" s="1"/>
  <c r="Y440" i="4"/>
  <c r="Z440" i="4" s="1"/>
  <c r="Y504" i="4"/>
  <c r="Z504" i="4" s="1"/>
  <c r="Y568" i="4"/>
  <c r="Z568" i="4" s="1"/>
  <c r="Y632" i="4"/>
  <c r="Z632" i="4" s="1"/>
  <c r="Y696" i="4"/>
  <c r="Z696" i="4" s="1"/>
  <c r="Y760" i="4"/>
  <c r="Z760" i="4" s="1"/>
  <c r="Y824" i="4"/>
  <c r="Z824" i="4" s="1"/>
  <c r="Y888" i="4"/>
  <c r="Z888" i="4" s="1"/>
  <c r="Y952" i="4"/>
  <c r="Z952" i="4" s="1"/>
  <c r="Y1016" i="4"/>
  <c r="Z1016" i="4" s="1"/>
  <c r="Y1187" i="4"/>
  <c r="Z1187" i="4" s="1"/>
  <c r="Y97" i="4"/>
  <c r="Z97" i="4" s="1"/>
  <c r="Y174" i="4"/>
  <c r="Z174" i="4" s="1"/>
  <c r="Y1154" i="4"/>
  <c r="Z1154" i="4" s="1"/>
  <c r="Y60" i="4"/>
  <c r="Z60" i="4" s="1"/>
  <c r="Y149" i="4"/>
  <c r="Z149" i="4" s="1"/>
  <c r="Y217" i="4"/>
  <c r="Z217" i="4" s="1"/>
  <c r="Y281" i="4"/>
  <c r="Z281" i="4" s="1"/>
  <c r="Y345" i="4"/>
  <c r="Z345" i="4" s="1"/>
  <c r="Y409" i="4"/>
  <c r="Z409" i="4" s="1"/>
  <c r="Y473" i="4"/>
  <c r="Z473" i="4" s="1"/>
  <c r="Y537" i="4"/>
  <c r="Z537" i="4" s="1"/>
  <c r="Y601" i="4"/>
  <c r="Z601" i="4" s="1"/>
  <c r="Y665" i="4"/>
  <c r="Z665" i="4" s="1"/>
  <c r="Y729" i="4"/>
  <c r="Z729" i="4" s="1"/>
  <c r="Y793" i="4"/>
  <c r="Z793" i="4" s="1"/>
  <c r="Y857" i="4"/>
  <c r="Z857" i="4" s="1"/>
  <c r="Y921" i="4"/>
  <c r="Z921" i="4" s="1"/>
  <c r="Y985" i="4"/>
  <c r="Z985" i="4" s="1"/>
  <c r="Y1089" i="4"/>
  <c r="Z1089" i="4" s="1"/>
  <c r="Y32" i="4"/>
  <c r="Z32" i="4" s="1"/>
  <c r="Y112" i="4"/>
  <c r="Z112" i="4" s="1"/>
  <c r="Y1045" i="4"/>
  <c r="Z1045" i="4" s="1"/>
  <c r="Y1167" i="4"/>
  <c r="Z1167" i="4" s="1"/>
  <c r="Y93" i="4"/>
  <c r="Z93" i="4" s="1"/>
  <c r="Y170" i="4"/>
  <c r="Z170" i="4" s="1"/>
  <c r="Y244" i="4"/>
  <c r="Z244" i="4" s="1"/>
  <c r="Y308" i="4"/>
  <c r="Z308" i="4" s="1"/>
  <c r="Y372" i="4"/>
  <c r="Z372" i="4" s="1"/>
  <c r="Y436" i="4"/>
  <c r="Z436" i="4" s="1"/>
  <c r="Y500" i="4"/>
  <c r="Z500" i="4" s="1"/>
  <c r="Y564" i="4"/>
  <c r="Z564" i="4" s="1"/>
  <c r="Y628" i="4"/>
  <c r="Z628" i="4" s="1"/>
  <c r="Y692" i="4"/>
  <c r="Z692" i="4" s="1"/>
  <c r="Y756" i="4"/>
  <c r="Z756" i="4" s="1"/>
  <c r="Y820" i="4"/>
  <c r="Z820" i="4" s="1"/>
  <c r="Y884" i="4"/>
  <c r="Z884" i="4" s="1"/>
  <c r="Y948" i="4"/>
  <c r="Z948" i="4" s="1"/>
  <c r="Y1012" i="4"/>
  <c r="Z1012" i="4" s="1"/>
  <c r="Y5" i="4"/>
  <c r="Z5" i="4" s="1"/>
  <c r="Y88" i="4"/>
  <c r="Z88" i="4" s="1"/>
  <c r="Y177" i="4"/>
  <c r="Z177" i="4" s="1"/>
  <c r="Y1111" i="4"/>
  <c r="Z1111" i="4" s="1"/>
  <c r="Y37" i="4"/>
  <c r="Z37" i="4" s="1"/>
  <c r="Y114" i="4"/>
  <c r="Z114" i="4" s="1"/>
  <c r="Y205" i="4"/>
  <c r="Z205" i="4" s="1"/>
  <c r="Y269" i="4"/>
  <c r="Z269" i="4" s="1"/>
  <c r="Y333" i="4"/>
  <c r="Z333" i="4" s="1"/>
  <c r="Y397" i="4"/>
  <c r="Z397" i="4" s="1"/>
  <c r="Y461" i="4"/>
  <c r="Z461" i="4" s="1"/>
  <c r="Y525" i="4"/>
  <c r="Z525" i="4" s="1"/>
  <c r="Y589" i="4"/>
  <c r="Z589" i="4" s="1"/>
  <c r="Y653" i="4"/>
  <c r="Z653" i="4" s="1"/>
  <c r="Y717" i="4"/>
  <c r="Z717" i="4" s="1"/>
  <c r="Y781" i="4"/>
  <c r="Z781" i="4" s="1"/>
  <c r="Y845" i="4"/>
  <c r="Z845" i="4" s="1"/>
  <c r="Y909" i="4"/>
  <c r="Z909" i="4" s="1"/>
  <c r="Y973" i="4"/>
  <c r="Z973" i="4" s="1"/>
  <c r="Y1066" i="4"/>
  <c r="Z1066" i="4" s="1"/>
  <c r="Y1039" i="4"/>
  <c r="Z1039" i="4" s="1"/>
  <c r="Y1126" i="4"/>
  <c r="Z1126" i="4" s="1"/>
  <c r="Y1177" i="4"/>
  <c r="Z1177" i="4" s="1"/>
  <c r="Y222" i="4"/>
  <c r="Z222" i="4" s="1"/>
  <c r="Y254" i="4"/>
  <c r="Z254" i="4" s="1"/>
  <c r="Y286" i="4"/>
  <c r="Z286" i="4" s="1"/>
  <c r="Y318" i="4"/>
  <c r="Z318" i="4" s="1"/>
  <c r="Y350" i="4"/>
  <c r="Z350" i="4" s="1"/>
  <c r="Y382" i="4"/>
  <c r="Z382" i="4" s="1"/>
  <c r="Y414" i="4"/>
  <c r="Z414" i="4" s="1"/>
  <c r="Y446" i="4"/>
  <c r="Z446" i="4" s="1"/>
  <c r="Y478" i="4"/>
  <c r="Z478" i="4" s="1"/>
  <c r="Y510" i="4"/>
  <c r="Z510" i="4" s="1"/>
  <c r="Y542" i="4"/>
  <c r="Z542" i="4" s="1"/>
  <c r="Y574" i="4"/>
  <c r="Z574" i="4" s="1"/>
  <c r="Y606" i="4"/>
  <c r="Z606" i="4" s="1"/>
  <c r="Y638" i="4"/>
  <c r="Z638" i="4" s="1"/>
  <c r="Y670" i="4"/>
  <c r="Z670" i="4" s="1"/>
  <c r="Y702" i="4"/>
  <c r="Z702" i="4" s="1"/>
  <c r="Y734" i="4"/>
  <c r="Z734" i="4" s="1"/>
  <c r="Y766" i="4"/>
  <c r="Z766" i="4" s="1"/>
  <c r="Y798" i="4"/>
  <c r="Z798" i="4" s="1"/>
  <c r="Y830" i="4"/>
  <c r="Z830" i="4" s="1"/>
  <c r="Y862" i="4"/>
  <c r="Z862" i="4" s="1"/>
  <c r="Y894" i="4"/>
  <c r="Z894" i="4" s="1"/>
  <c r="Y926" i="4"/>
  <c r="Z926" i="4" s="1"/>
  <c r="Y958" i="4"/>
  <c r="Z958" i="4" s="1"/>
  <c r="Y990" i="4"/>
  <c r="Z990" i="4" s="1"/>
  <c r="Y1022" i="4"/>
  <c r="Z1022" i="4" s="1"/>
  <c r="Y1099" i="4"/>
  <c r="Z1099" i="4" s="1"/>
  <c r="Y19" i="4"/>
  <c r="Z19" i="4" s="1"/>
  <c r="Y51" i="4"/>
  <c r="Z51" i="4" s="1"/>
  <c r="Y83" i="4"/>
  <c r="Z83" i="4" s="1"/>
  <c r="Y115" i="4"/>
  <c r="Z115" i="4" s="1"/>
  <c r="Y147" i="4"/>
  <c r="Z147" i="4" s="1"/>
  <c r="Y179" i="4"/>
  <c r="Z179" i="4" s="1"/>
  <c r="Y211" i="4"/>
  <c r="Z211" i="4" s="1"/>
  <c r="Y243" i="4"/>
  <c r="Z243" i="4" s="1"/>
  <c r="Y275" i="4"/>
  <c r="Z275" i="4" s="1"/>
  <c r="Y307" i="4"/>
  <c r="Z307" i="4" s="1"/>
  <c r="Y339" i="4"/>
  <c r="Z339" i="4" s="1"/>
  <c r="Y371" i="4"/>
  <c r="Z371" i="4" s="1"/>
  <c r="Y403" i="4"/>
  <c r="Z403" i="4" s="1"/>
  <c r="Y435" i="4"/>
  <c r="Z435" i="4" s="1"/>
  <c r="Y467" i="4"/>
  <c r="Z467" i="4" s="1"/>
  <c r="Y499" i="4"/>
  <c r="Z499" i="4" s="1"/>
  <c r="Y531" i="4"/>
  <c r="Z531" i="4" s="1"/>
  <c r="Y563" i="4"/>
  <c r="Z563" i="4" s="1"/>
  <c r="Y595" i="4"/>
  <c r="Z595" i="4" s="1"/>
  <c r="Y627" i="4"/>
  <c r="Z627" i="4" s="1"/>
  <c r="Y659" i="4"/>
  <c r="Z659" i="4" s="1"/>
  <c r="Y691" i="4"/>
  <c r="Z691" i="4" s="1"/>
  <c r="Y723" i="4"/>
  <c r="Z723" i="4" s="1"/>
  <c r="Y755" i="4"/>
  <c r="Z755" i="4" s="1"/>
  <c r="Y787" i="4"/>
  <c r="Z787" i="4" s="1"/>
  <c r="Y819" i="4"/>
  <c r="Z819" i="4" s="1"/>
  <c r="Y851" i="4"/>
  <c r="Z851" i="4" s="1"/>
  <c r="Y883" i="4"/>
  <c r="Z883" i="4" s="1"/>
  <c r="Y915" i="4"/>
  <c r="Z915" i="4" s="1"/>
  <c r="Y947" i="4"/>
  <c r="Z947" i="4" s="1"/>
  <c r="Y979" i="4"/>
  <c r="Z979" i="4" s="1"/>
  <c r="Y1011" i="4"/>
  <c r="Z1011" i="4" s="1"/>
  <c r="Y1073" i="4"/>
  <c r="Z1073" i="4" s="1"/>
  <c r="Y1037" i="4"/>
  <c r="Z1037" i="4" s="1"/>
  <c r="Y1119" i="4"/>
  <c r="Z1119" i="4" s="1"/>
  <c r="Y1174" i="4"/>
  <c r="Z1174" i="4" s="1"/>
  <c r="Y1048" i="4"/>
  <c r="Z1048" i="4" s="1"/>
  <c r="Y1080" i="4"/>
  <c r="Z1080" i="4" s="1"/>
  <c r="Y1112" i="4"/>
  <c r="Z1112" i="4" s="1"/>
  <c r="Y1144" i="4"/>
  <c r="Z1144" i="4" s="1"/>
  <c r="Y1176" i="4"/>
  <c r="Z1176" i="4" s="1"/>
  <c r="Y1182" i="4"/>
  <c r="Z1182" i="4" s="1"/>
  <c r="S200" i="8"/>
  <c r="T200" i="8" s="1"/>
  <c r="S557" i="8"/>
  <c r="T557" i="8" s="1"/>
  <c r="S100" i="8"/>
  <c r="T100" i="8" s="1"/>
  <c r="S507" i="8"/>
  <c r="T507" i="8" s="1"/>
  <c r="S117" i="8"/>
  <c r="T117" i="8" s="1"/>
  <c r="S1071" i="8"/>
  <c r="T1071" i="8" s="1"/>
  <c r="S837" i="8"/>
  <c r="T837" i="8" s="1"/>
  <c r="S151" i="8"/>
  <c r="T151" i="8" s="1"/>
  <c r="S39" i="8"/>
  <c r="T39" i="8" s="1"/>
  <c r="S949" i="8"/>
  <c r="T949" i="8" s="1"/>
  <c r="S359" i="8"/>
  <c r="T359" i="8" s="1"/>
  <c r="S679" i="8"/>
  <c r="T679" i="8" s="1"/>
  <c r="S1067" i="8"/>
  <c r="T1067" i="8" s="1"/>
  <c r="S275" i="8"/>
  <c r="T275" i="8" s="1"/>
  <c r="S609" i="8"/>
  <c r="T609" i="8" s="1"/>
  <c r="S941" i="8"/>
  <c r="T941" i="8" s="1"/>
  <c r="S257" i="8"/>
  <c r="T257" i="8" s="1"/>
  <c r="S190" i="8"/>
  <c r="T190" i="8" s="1"/>
  <c r="S350" i="8"/>
  <c r="T350" i="8" s="1"/>
  <c r="S510" i="8"/>
  <c r="T510" i="8" s="1"/>
  <c r="S670" i="8"/>
  <c r="T670" i="8" s="1"/>
  <c r="S798" i="8"/>
  <c r="T798" i="8" s="1"/>
  <c r="S958" i="8"/>
  <c r="T958" i="8" s="1"/>
  <c r="S1086" i="8"/>
  <c r="T1086" i="8" s="1"/>
  <c r="S1175" i="8"/>
  <c r="T1175" i="8" s="1"/>
  <c r="S416" i="8"/>
  <c r="T416" i="8" s="1"/>
  <c r="S544" i="8"/>
  <c r="T544" i="8" s="1"/>
  <c r="S608" i="8"/>
  <c r="T608" i="8" s="1"/>
  <c r="S736" i="8"/>
  <c r="T736" i="8" s="1"/>
  <c r="S864" i="8"/>
  <c r="T864" i="8" s="1"/>
  <c r="S960" i="8"/>
  <c r="T960" i="8" s="1"/>
  <c r="S1088" i="8"/>
  <c r="T1088" i="8" s="1"/>
  <c r="Y141" i="4"/>
  <c r="Z141" i="4" s="1"/>
  <c r="Y408" i="4"/>
  <c r="Z408" i="4" s="1"/>
  <c r="Y792" i="4"/>
  <c r="Z792" i="4" s="1"/>
  <c r="Y46" i="4"/>
  <c r="Z46" i="4" s="1"/>
  <c r="Y98" i="4"/>
  <c r="Z98" i="4" s="1"/>
  <c r="Y569" i="4"/>
  <c r="Z569" i="4" s="1"/>
  <c r="Y889" i="4"/>
  <c r="Z889" i="4" s="1"/>
  <c r="Y42" i="4"/>
  <c r="Z42" i="4" s="1"/>
  <c r="Y404" i="4"/>
  <c r="Z404" i="4" s="1"/>
  <c r="Y788" i="4"/>
  <c r="Z788" i="4" s="1"/>
  <c r="Y126" i="4"/>
  <c r="Z126" i="4" s="1"/>
  <c r="Y237" i="4"/>
  <c r="Z237" i="4" s="1"/>
  <c r="Y557" i="4"/>
  <c r="Z557" i="4" s="1"/>
  <c r="Y1005" i="4"/>
  <c r="Z1005" i="4" s="1"/>
  <c r="Y131" i="4"/>
  <c r="Z131" i="4" s="1"/>
  <c r="S195" i="8"/>
  <c r="T195" i="8" s="1"/>
  <c r="S485" i="8"/>
  <c r="T485" i="8" s="1"/>
  <c r="S923" i="8"/>
  <c r="T923" i="8" s="1"/>
  <c r="S111" i="8"/>
  <c r="T111" i="8" s="1"/>
  <c r="S363" i="8"/>
  <c r="T363" i="8" s="1"/>
  <c r="S675" i="8"/>
  <c r="T675" i="8" s="1"/>
  <c r="S59" i="8"/>
  <c r="T59" i="8" s="1"/>
  <c r="S201" i="8"/>
  <c r="T201" i="8" s="1"/>
  <c r="S461" i="8"/>
  <c r="T461" i="8" s="1"/>
  <c r="S875" i="8"/>
  <c r="T875" i="8" s="1"/>
  <c r="S93" i="8"/>
  <c r="T93" i="8" s="1"/>
  <c r="S284" i="8"/>
  <c r="T284" i="8" s="1"/>
  <c r="S563" i="8"/>
  <c r="T563" i="8" s="1"/>
  <c r="S37" i="8"/>
  <c r="T37" i="8" s="1"/>
  <c r="S239" i="8"/>
  <c r="T239" i="8" s="1"/>
  <c r="S501" i="8"/>
  <c r="T501" i="8" s="1"/>
  <c r="S1051" i="8"/>
  <c r="T1051" i="8" s="1"/>
  <c r="S156" i="8"/>
  <c r="T156" i="8" s="1"/>
  <c r="S411" i="8"/>
  <c r="T411" i="8" s="1"/>
  <c r="S771" i="8"/>
  <c r="T771" i="8" s="1"/>
  <c r="S81" i="8"/>
  <c r="T81" i="8" s="1"/>
  <c r="S317" i="8"/>
  <c r="T317" i="8" s="1"/>
  <c r="S587" i="8"/>
  <c r="T587" i="8" s="1"/>
  <c r="S42" i="8"/>
  <c r="T42" i="8" s="1"/>
  <c r="S227" i="8"/>
  <c r="T227" i="8" s="1"/>
  <c r="S483" i="8"/>
  <c r="T483" i="8" s="1"/>
  <c r="S915" i="8"/>
  <c r="T915" i="8" s="1"/>
  <c r="S309" i="8"/>
  <c r="T309" i="8" s="1"/>
  <c r="S1029" i="8"/>
  <c r="T1029" i="8" s="1"/>
  <c r="S1157" i="8"/>
  <c r="T1157" i="8" s="1"/>
  <c r="S621" i="8"/>
  <c r="T621" i="8" s="1"/>
  <c r="S685" i="8"/>
  <c r="T685" i="8" s="1"/>
  <c r="S749" i="8"/>
  <c r="T749" i="8" s="1"/>
  <c r="S813" i="8"/>
  <c r="T813" i="8" s="1"/>
  <c r="S877" i="8"/>
  <c r="T877" i="8" s="1"/>
  <c r="S957" i="8"/>
  <c r="T957" i="8" s="1"/>
  <c r="S1085" i="8"/>
  <c r="T1085" i="8" s="1"/>
  <c r="S44" i="8"/>
  <c r="T44" i="8" s="1"/>
  <c r="S120" i="8"/>
  <c r="T120" i="8" s="1"/>
  <c r="S209" i="8"/>
  <c r="T209" i="8" s="1"/>
  <c r="S292" i="8"/>
  <c r="T292" i="8" s="1"/>
  <c r="S1011" i="8"/>
  <c r="T1011" i="8" s="1"/>
  <c r="S1139" i="8"/>
  <c r="T1139" i="8" s="1"/>
  <c r="S23" i="8"/>
  <c r="T23" i="8" s="1"/>
  <c r="S65" i="8"/>
  <c r="T65" i="8" s="1"/>
  <c r="S133" i="8"/>
  <c r="T133" i="8" s="1"/>
  <c r="S216" i="8"/>
  <c r="T216" i="8" s="1"/>
  <c r="S299" i="8"/>
  <c r="T299" i="8" s="1"/>
  <c r="S1023" i="8"/>
  <c r="T1023" i="8" s="1"/>
  <c r="S1151" i="8"/>
  <c r="T1151" i="8" s="1"/>
  <c r="S89" i="8"/>
  <c r="T89" i="8" s="1"/>
  <c r="S172" i="8"/>
  <c r="T172" i="8" s="1"/>
  <c r="S255" i="8"/>
  <c r="T255" i="8" s="1"/>
  <c r="S335" i="8"/>
  <c r="T335" i="8" s="1"/>
  <c r="S399" i="8"/>
  <c r="T399" i="8" s="1"/>
  <c r="S463" i="8"/>
  <c r="T463" i="8" s="1"/>
  <c r="S527" i="8"/>
  <c r="T527" i="8" s="1"/>
  <c r="S591" i="8"/>
  <c r="T591" i="8" s="1"/>
  <c r="S655" i="8"/>
  <c r="T655" i="8" s="1"/>
  <c r="S719" i="8"/>
  <c r="T719" i="8" s="1"/>
  <c r="S783" i="8"/>
  <c r="T783" i="8" s="1"/>
  <c r="S847" i="8"/>
  <c r="T847" i="8" s="1"/>
  <c r="S911" i="8"/>
  <c r="T911" i="8" s="1"/>
  <c r="S1025" i="8"/>
  <c r="T1025" i="8" s="1"/>
  <c r="S1153" i="8"/>
  <c r="T1153" i="8" s="1"/>
  <c r="S35" i="8"/>
  <c r="T35" i="8" s="1"/>
  <c r="S83" i="8"/>
  <c r="T83" i="8" s="1"/>
  <c r="S160" i="8"/>
  <c r="T160" i="8" s="1"/>
  <c r="S243" i="8"/>
  <c r="T243" i="8" s="1"/>
  <c r="S329" i="8"/>
  <c r="T329" i="8" s="1"/>
  <c r="S393" i="8"/>
  <c r="T393" i="8" s="1"/>
  <c r="S457" i="8"/>
  <c r="T457" i="8" s="1"/>
  <c r="S521" i="8"/>
  <c r="T521" i="8" s="1"/>
  <c r="S585" i="8"/>
  <c r="T585" i="8" s="1"/>
  <c r="S649" i="8"/>
  <c r="T649" i="8" s="1"/>
  <c r="S713" i="8"/>
  <c r="T713" i="8" s="1"/>
  <c r="S777" i="8"/>
  <c r="T777" i="8" s="1"/>
  <c r="S841" i="8"/>
  <c r="T841" i="8" s="1"/>
  <c r="S905" i="8"/>
  <c r="T905" i="8" s="1"/>
  <c r="S1015" i="8"/>
  <c r="T1015" i="8" s="1"/>
  <c r="S1143" i="8"/>
  <c r="T1143" i="8" s="1"/>
  <c r="S73" i="8"/>
  <c r="T73" i="8" s="1"/>
  <c r="S135" i="8"/>
  <c r="T135" i="8" s="1"/>
  <c r="S225" i="8"/>
  <c r="T225" i="8" s="1"/>
  <c r="S308" i="8"/>
  <c r="T308" i="8" s="1"/>
  <c r="S1049" i="8"/>
  <c r="T1049" i="8" s="1"/>
  <c r="S1169" i="8"/>
  <c r="T1169" i="8" s="1"/>
  <c r="S146" i="8"/>
  <c r="T146" i="8" s="1"/>
  <c r="S178" i="8"/>
  <c r="T178" i="8" s="1"/>
  <c r="S210" i="8"/>
  <c r="T210" i="8" s="1"/>
  <c r="S242" i="8"/>
  <c r="T242" i="8" s="1"/>
  <c r="S274" i="8"/>
  <c r="T274" i="8" s="1"/>
  <c r="S306" i="8"/>
  <c r="T306" i="8" s="1"/>
  <c r="S338" i="8"/>
  <c r="T338" i="8" s="1"/>
  <c r="S370" i="8"/>
  <c r="T370" i="8" s="1"/>
  <c r="S402" i="8"/>
  <c r="T402" i="8" s="1"/>
  <c r="S434" i="8"/>
  <c r="T434" i="8" s="1"/>
  <c r="S466" i="8"/>
  <c r="T466" i="8" s="1"/>
  <c r="S498" i="8"/>
  <c r="T498" i="8" s="1"/>
  <c r="S530" i="8"/>
  <c r="T530" i="8" s="1"/>
  <c r="S562" i="8"/>
  <c r="T562" i="8" s="1"/>
  <c r="S594" i="8"/>
  <c r="T594" i="8" s="1"/>
  <c r="S626" i="8"/>
  <c r="T626" i="8" s="1"/>
  <c r="S658" i="8"/>
  <c r="T658" i="8" s="1"/>
  <c r="S690" i="8"/>
  <c r="T690" i="8" s="1"/>
  <c r="S722" i="8"/>
  <c r="T722" i="8" s="1"/>
  <c r="S754" i="8"/>
  <c r="T754" i="8" s="1"/>
  <c r="S786" i="8"/>
  <c r="T786" i="8" s="1"/>
  <c r="S818" i="8"/>
  <c r="T818" i="8" s="1"/>
  <c r="S850" i="8"/>
  <c r="T850" i="8" s="1"/>
  <c r="S882" i="8"/>
  <c r="T882" i="8" s="1"/>
  <c r="S914" i="8"/>
  <c r="T914" i="8" s="1"/>
  <c r="S946" i="8"/>
  <c r="T946" i="8" s="1"/>
  <c r="S978" i="8"/>
  <c r="T978" i="8" s="1"/>
  <c r="S1010" i="8"/>
  <c r="T1010" i="8" s="1"/>
  <c r="S1042" i="8"/>
  <c r="T1042" i="8" s="1"/>
  <c r="S1074" i="8"/>
  <c r="T1074" i="8" s="1"/>
  <c r="S1106" i="8"/>
  <c r="T1106" i="8" s="1"/>
  <c r="S1138" i="8"/>
  <c r="T1138" i="8" s="1"/>
  <c r="S1170" i="8"/>
  <c r="T1170" i="8" s="1"/>
  <c r="S1163" i="8"/>
  <c r="T1163" i="8" s="1"/>
  <c r="S1195" i="8"/>
  <c r="T1195" i="8" s="1"/>
  <c r="S340" i="8"/>
  <c r="T340" i="8" s="1"/>
  <c r="S372" i="8"/>
  <c r="T372" i="8" s="1"/>
  <c r="S404" i="8"/>
  <c r="T404" i="8" s="1"/>
  <c r="S436" i="8"/>
  <c r="T436" i="8" s="1"/>
  <c r="S468" i="8"/>
  <c r="T468" i="8" s="1"/>
  <c r="S500" i="8"/>
  <c r="T500" i="8" s="1"/>
  <c r="S532" i="8"/>
  <c r="T532" i="8" s="1"/>
  <c r="S564" i="8"/>
  <c r="T564" i="8" s="1"/>
  <c r="S596" i="8"/>
  <c r="T596" i="8" s="1"/>
  <c r="S628" i="8"/>
  <c r="T628" i="8" s="1"/>
  <c r="S660" i="8"/>
  <c r="T660" i="8" s="1"/>
  <c r="S692" i="8"/>
  <c r="T692" i="8" s="1"/>
  <c r="S724" i="8"/>
  <c r="T724" i="8" s="1"/>
  <c r="S756" i="8"/>
  <c r="T756" i="8" s="1"/>
  <c r="S788" i="8"/>
  <c r="T788" i="8" s="1"/>
  <c r="S820" i="8"/>
  <c r="T820" i="8" s="1"/>
  <c r="S852" i="8"/>
  <c r="T852" i="8" s="1"/>
  <c r="S884" i="8"/>
  <c r="T884" i="8" s="1"/>
  <c r="S916" i="8"/>
  <c r="T916" i="8" s="1"/>
  <c r="S948" i="8"/>
  <c r="T948" i="8" s="1"/>
  <c r="S980" i="8"/>
  <c r="T980" i="8" s="1"/>
  <c r="S1012" i="8"/>
  <c r="T1012" i="8" s="1"/>
  <c r="S1044" i="8"/>
  <c r="T1044" i="8" s="1"/>
  <c r="S1076" i="8"/>
  <c r="T1076" i="8" s="1"/>
  <c r="S1108" i="8"/>
  <c r="T1108" i="8" s="1"/>
  <c r="S1140" i="8"/>
  <c r="T1140" i="8" s="1"/>
  <c r="S1172" i="8"/>
  <c r="T1172" i="8" s="1"/>
  <c r="Y38" i="4"/>
  <c r="Z38" i="4" s="1"/>
  <c r="Y128" i="4"/>
  <c r="Z128" i="4" s="1"/>
  <c r="Y1077" i="4"/>
  <c r="Z1077" i="4" s="1"/>
  <c r="Y1201" i="4"/>
  <c r="Z1201" i="4" s="1"/>
  <c r="Y109" i="4"/>
  <c r="Z109" i="4" s="1"/>
  <c r="Y186" i="4"/>
  <c r="Z186" i="4" s="1"/>
  <c r="Y256" i="4"/>
  <c r="Z256" i="4" s="1"/>
  <c r="Y320" i="4"/>
  <c r="Z320" i="4" s="1"/>
  <c r="Y384" i="4"/>
  <c r="Z384" i="4" s="1"/>
  <c r="Y448" i="4"/>
  <c r="Z448" i="4" s="1"/>
  <c r="Y512" i="4"/>
  <c r="Z512" i="4" s="1"/>
  <c r="Y576" i="4"/>
  <c r="Z576" i="4" s="1"/>
  <c r="Y640" i="4"/>
  <c r="Z640" i="4" s="1"/>
  <c r="Y704" i="4"/>
  <c r="Z704" i="4" s="1"/>
  <c r="Y768" i="4"/>
  <c r="Z768" i="4" s="1"/>
  <c r="Y832" i="4"/>
  <c r="Z832" i="4" s="1"/>
  <c r="Y896" i="4"/>
  <c r="Z896" i="4" s="1"/>
  <c r="Y960" i="4"/>
  <c r="Z960" i="4" s="1"/>
  <c r="Y1024" i="4"/>
  <c r="Z1024" i="4" s="1"/>
  <c r="Y9" i="4"/>
  <c r="Z9" i="4" s="1"/>
  <c r="Y104" i="4"/>
  <c r="Z104" i="4" s="1"/>
  <c r="Y193" i="4"/>
  <c r="Z193" i="4" s="1"/>
  <c r="Y1165" i="4"/>
  <c r="Z1165" i="4" s="1"/>
  <c r="Y66" i="4"/>
  <c r="Z66" i="4" s="1"/>
  <c r="Y156" i="4"/>
  <c r="Z156" i="4" s="1"/>
  <c r="Y225" i="4"/>
  <c r="Z225" i="4" s="1"/>
  <c r="Y289" i="4"/>
  <c r="Z289" i="4" s="1"/>
  <c r="Y353" i="4"/>
  <c r="Z353" i="4" s="1"/>
  <c r="Y417" i="4"/>
  <c r="Z417" i="4" s="1"/>
  <c r="Y481" i="4"/>
  <c r="Z481" i="4" s="1"/>
  <c r="Y545" i="4"/>
  <c r="Z545" i="4" s="1"/>
  <c r="Y609" i="4"/>
  <c r="Z609" i="4" s="1"/>
  <c r="Y673" i="4"/>
  <c r="Z673" i="4" s="1"/>
  <c r="Y737" i="4"/>
  <c r="Z737" i="4" s="1"/>
  <c r="Y801" i="4"/>
  <c r="Z801" i="4" s="1"/>
  <c r="Y865" i="4"/>
  <c r="Z865" i="4" s="1"/>
  <c r="Y929" i="4"/>
  <c r="Z929" i="4" s="1"/>
  <c r="Y993" i="4"/>
  <c r="Z993" i="4" s="1"/>
  <c r="Y1098" i="4"/>
  <c r="Z1098" i="4" s="1"/>
  <c r="Y41" i="4"/>
  <c r="Z41" i="4" s="1"/>
  <c r="Y118" i="4"/>
  <c r="Z118" i="4" s="1"/>
  <c r="Y1054" i="4"/>
  <c r="Z1054" i="4" s="1"/>
  <c r="Y100" i="4"/>
  <c r="Z100" i="4" s="1"/>
  <c r="Y189" i="4"/>
  <c r="Z189" i="4" s="1"/>
  <c r="Y252" i="4"/>
  <c r="Z252" i="4" s="1"/>
  <c r="Y316" i="4"/>
  <c r="Z316" i="4" s="1"/>
  <c r="Y380" i="4"/>
  <c r="Z380" i="4" s="1"/>
  <c r="Y444" i="4"/>
  <c r="Z444" i="4" s="1"/>
  <c r="Y508" i="4"/>
  <c r="Z508" i="4" s="1"/>
  <c r="Y572" i="4"/>
  <c r="Z572" i="4" s="1"/>
  <c r="Y636" i="4"/>
  <c r="Z636" i="4" s="1"/>
  <c r="Y700" i="4"/>
  <c r="Z700" i="4" s="1"/>
  <c r="Y764" i="4"/>
  <c r="Z764" i="4" s="1"/>
  <c r="Y828" i="4"/>
  <c r="Z828" i="4" s="1"/>
  <c r="Y892" i="4"/>
  <c r="Z892" i="4" s="1"/>
  <c r="Y956" i="4"/>
  <c r="Z956" i="4" s="1"/>
  <c r="Y1020" i="4"/>
  <c r="Z1020" i="4" s="1"/>
  <c r="Y15" i="4"/>
  <c r="Z15" i="4" s="1"/>
  <c r="Y94" i="4"/>
  <c r="Z94" i="4" s="1"/>
  <c r="Y184" i="4"/>
  <c r="Z184" i="4" s="1"/>
  <c r="Y1149" i="4"/>
  <c r="Z1149" i="4" s="1"/>
  <c r="Y44" i="4"/>
  <c r="Z44" i="4" s="1"/>
  <c r="Y133" i="4"/>
  <c r="Z133" i="4" s="1"/>
  <c r="Y213" i="4"/>
  <c r="Z213" i="4" s="1"/>
  <c r="Y277" i="4"/>
  <c r="Z277" i="4" s="1"/>
  <c r="Y341" i="4"/>
  <c r="Z341" i="4" s="1"/>
  <c r="Y405" i="4"/>
  <c r="Z405" i="4" s="1"/>
  <c r="Y469" i="4"/>
  <c r="Z469" i="4" s="1"/>
  <c r="Y533" i="4"/>
  <c r="Z533" i="4" s="1"/>
  <c r="Y597" i="4"/>
  <c r="Z597" i="4" s="1"/>
  <c r="Y661" i="4"/>
  <c r="Z661" i="4" s="1"/>
  <c r="Y725" i="4"/>
  <c r="Z725" i="4" s="1"/>
  <c r="Y789" i="4"/>
  <c r="Z789" i="4" s="1"/>
  <c r="Y853" i="4"/>
  <c r="Z853" i="4" s="1"/>
  <c r="Y917" i="4"/>
  <c r="Z917" i="4" s="1"/>
  <c r="Y981" i="4"/>
  <c r="Z981" i="4" s="1"/>
  <c r="Y1075" i="4"/>
  <c r="Z1075" i="4" s="1"/>
  <c r="Y1053" i="4"/>
  <c r="Z1053" i="4" s="1"/>
  <c r="Y1135" i="4"/>
  <c r="Z1135" i="4" s="1"/>
  <c r="Y1183" i="4"/>
  <c r="Z1183" i="4" s="1"/>
  <c r="Y226" i="4"/>
  <c r="Z226" i="4" s="1"/>
  <c r="Y258" i="4"/>
  <c r="Z258" i="4" s="1"/>
  <c r="Y290" i="4"/>
  <c r="Z290" i="4" s="1"/>
  <c r="Y322" i="4"/>
  <c r="Z322" i="4" s="1"/>
  <c r="Y354" i="4"/>
  <c r="Z354" i="4" s="1"/>
  <c r="Y386" i="4"/>
  <c r="Z386" i="4" s="1"/>
  <c r="Y418" i="4"/>
  <c r="Z418" i="4" s="1"/>
  <c r="Y450" i="4"/>
  <c r="Z450" i="4" s="1"/>
  <c r="Y482" i="4"/>
  <c r="Z482" i="4" s="1"/>
  <c r="Y514" i="4"/>
  <c r="Z514" i="4" s="1"/>
  <c r="Y546" i="4"/>
  <c r="Z546" i="4" s="1"/>
  <c r="Y578" i="4"/>
  <c r="Z578" i="4" s="1"/>
  <c r="Y610" i="4"/>
  <c r="Z610" i="4" s="1"/>
  <c r="Y642" i="4"/>
  <c r="Z642" i="4" s="1"/>
  <c r="Y674" i="4"/>
  <c r="Z674" i="4" s="1"/>
  <c r="Y706" i="4"/>
  <c r="Z706" i="4" s="1"/>
  <c r="Y738" i="4"/>
  <c r="Z738" i="4" s="1"/>
  <c r="Y770" i="4"/>
  <c r="Z770" i="4" s="1"/>
  <c r="Y802" i="4"/>
  <c r="Z802" i="4" s="1"/>
  <c r="Y834" i="4"/>
  <c r="Z834" i="4" s="1"/>
  <c r="Y866" i="4"/>
  <c r="Z866" i="4" s="1"/>
  <c r="Y898" i="4"/>
  <c r="Z898" i="4" s="1"/>
  <c r="Y930" i="4"/>
  <c r="Z930" i="4" s="1"/>
  <c r="Y962" i="4"/>
  <c r="Z962" i="4" s="1"/>
  <c r="Y994" i="4"/>
  <c r="Z994" i="4" s="1"/>
  <c r="Y1026" i="4"/>
  <c r="Z1026" i="4" s="1"/>
  <c r="Y1113" i="4"/>
  <c r="Z1113" i="4" s="1"/>
  <c r="Y23" i="4"/>
  <c r="Z23" i="4" s="1"/>
  <c r="Y55" i="4"/>
  <c r="Z55" i="4" s="1"/>
  <c r="Y87" i="4"/>
  <c r="Z87" i="4" s="1"/>
  <c r="Y119" i="4"/>
  <c r="Z119" i="4" s="1"/>
  <c r="Y151" i="4"/>
  <c r="Z151" i="4" s="1"/>
  <c r="Y183" i="4"/>
  <c r="Z183" i="4" s="1"/>
  <c r="Y215" i="4"/>
  <c r="Z215" i="4" s="1"/>
  <c r="Y247" i="4"/>
  <c r="Z247" i="4" s="1"/>
  <c r="Y279" i="4"/>
  <c r="Z279" i="4" s="1"/>
  <c r="Y311" i="4"/>
  <c r="Z311" i="4" s="1"/>
  <c r="Y343" i="4"/>
  <c r="Z343" i="4" s="1"/>
  <c r="Y375" i="4"/>
  <c r="Z375" i="4" s="1"/>
  <c r="Y407" i="4"/>
  <c r="Z407" i="4" s="1"/>
  <c r="Y439" i="4"/>
  <c r="Z439" i="4" s="1"/>
  <c r="Y471" i="4"/>
  <c r="Z471" i="4" s="1"/>
  <c r="Y503" i="4"/>
  <c r="Z503" i="4" s="1"/>
  <c r="Y535" i="4"/>
  <c r="Z535" i="4" s="1"/>
  <c r="Y567" i="4"/>
  <c r="Z567" i="4" s="1"/>
  <c r="Y599" i="4"/>
  <c r="Z599" i="4" s="1"/>
  <c r="Y631" i="4"/>
  <c r="Z631" i="4" s="1"/>
  <c r="Y663" i="4"/>
  <c r="Z663" i="4" s="1"/>
  <c r="Y695" i="4"/>
  <c r="Z695" i="4" s="1"/>
  <c r="Y727" i="4"/>
  <c r="Z727" i="4" s="1"/>
  <c r="Y759" i="4"/>
  <c r="Z759" i="4" s="1"/>
  <c r="Y791" i="4"/>
  <c r="Z791" i="4" s="1"/>
  <c r="Y823" i="4"/>
  <c r="Z823" i="4" s="1"/>
  <c r="Y855" i="4"/>
  <c r="Z855" i="4" s="1"/>
  <c r="Y887" i="4"/>
  <c r="Z887" i="4" s="1"/>
  <c r="Y919" i="4"/>
  <c r="Z919" i="4" s="1"/>
  <c r="Y951" i="4"/>
  <c r="Z951" i="4" s="1"/>
  <c r="Y983" i="4"/>
  <c r="Z983" i="4" s="1"/>
  <c r="Y1015" i="4"/>
  <c r="Z1015" i="4" s="1"/>
  <c r="Y1082" i="4"/>
  <c r="Z1082" i="4" s="1"/>
  <c r="Y1046" i="4"/>
  <c r="Z1046" i="4" s="1"/>
  <c r="Y1133" i="4"/>
  <c r="Z1133" i="4" s="1"/>
  <c r="Y1193" i="4"/>
  <c r="Z1193" i="4" s="1"/>
  <c r="Y1052" i="4"/>
  <c r="Z1052" i="4" s="1"/>
  <c r="Y1084" i="4"/>
  <c r="Z1084" i="4" s="1"/>
  <c r="Y1116" i="4"/>
  <c r="Z1116" i="4" s="1"/>
  <c r="Y1148" i="4"/>
  <c r="Z1148" i="4" s="1"/>
  <c r="Y1180" i="4"/>
  <c r="Z1180" i="4" s="1"/>
  <c r="Y1186" i="4"/>
  <c r="Z1186" i="4" s="1"/>
  <c r="S232" i="8"/>
  <c r="T232" i="8" s="1"/>
  <c r="S517" i="8"/>
  <c r="T517" i="8" s="1"/>
  <c r="S1009" i="8"/>
  <c r="T1009" i="8" s="1"/>
  <c r="S149" i="8"/>
  <c r="T149" i="8" s="1"/>
  <c r="S395" i="8"/>
  <c r="T395" i="8" s="1"/>
  <c r="S739" i="8"/>
  <c r="T739" i="8" s="1"/>
  <c r="S63" i="8"/>
  <c r="T63" i="8" s="1"/>
  <c r="S219" i="8"/>
  <c r="T219" i="8" s="1"/>
  <c r="S493" i="8"/>
  <c r="T493" i="8" s="1"/>
  <c r="S945" i="8"/>
  <c r="T945" i="8" s="1"/>
  <c r="S96" i="8"/>
  <c r="T96" i="8" s="1"/>
  <c r="S339" i="8"/>
  <c r="T339" i="8" s="1"/>
  <c r="S627" i="8"/>
  <c r="T627" i="8" s="1"/>
  <c r="S49" i="8"/>
  <c r="T49" i="8" s="1"/>
  <c r="S259" i="8"/>
  <c r="T259" i="8" s="1"/>
  <c r="S533" i="8"/>
  <c r="T533" i="8" s="1"/>
  <c r="S1137" i="8"/>
  <c r="T1137" i="8" s="1"/>
  <c r="S189" i="8"/>
  <c r="T189" i="8" s="1"/>
  <c r="S443" i="8"/>
  <c r="T443" i="8" s="1"/>
  <c r="S835" i="8"/>
  <c r="T835" i="8" s="1"/>
  <c r="S91" i="8"/>
  <c r="T91" i="8" s="1"/>
  <c r="S349" i="8"/>
  <c r="T349" i="8" s="1"/>
  <c r="S651" i="8"/>
  <c r="T651" i="8" s="1"/>
  <c r="S54" i="8"/>
  <c r="T54" i="8" s="1"/>
  <c r="S271" i="8"/>
  <c r="T271" i="8" s="1"/>
  <c r="S515" i="8"/>
  <c r="T515" i="8" s="1"/>
  <c r="S1083" i="8"/>
  <c r="T1083" i="8" s="1"/>
  <c r="S315" i="8"/>
  <c r="T315" i="8" s="1"/>
  <c r="S1039" i="8"/>
  <c r="T1039" i="8" s="1"/>
  <c r="S565" i="8"/>
  <c r="T565" i="8" s="1"/>
  <c r="S629" i="8"/>
  <c r="T629" i="8" s="1"/>
  <c r="S693" i="8"/>
  <c r="T693" i="8" s="1"/>
  <c r="S757" i="8"/>
  <c r="T757" i="8" s="1"/>
  <c r="S821" i="8"/>
  <c r="T821" i="8" s="1"/>
  <c r="S885" i="8"/>
  <c r="T885" i="8" s="1"/>
  <c r="S967" i="8"/>
  <c r="T967" i="8" s="1"/>
  <c r="S1095" i="8"/>
  <c r="T1095" i="8" s="1"/>
  <c r="S60" i="8"/>
  <c r="T60" i="8" s="1"/>
  <c r="S132" i="8"/>
  <c r="T132" i="8" s="1"/>
  <c r="S215" i="8"/>
  <c r="T215" i="8" s="1"/>
  <c r="S305" i="8"/>
  <c r="T305" i="8" s="1"/>
  <c r="S1033" i="8"/>
  <c r="T1033" i="8" s="1"/>
  <c r="S1161" i="8"/>
  <c r="T1161" i="8" s="1"/>
  <c r="S29" i="8"/>
  <c r="T29" i="8" s="1"/>
  <c r="S80" i="8"/>
  <c r="T80" i="8" s="1"/>
  <c r="S139" i="8"/>
  <c r="T139" i="8" s="1"/>
  <c r="S229" i="8"/>
  <c r="T229" i="8" s="1"/>
  <c r="S312" i="8"/>
  <c r="T312" i="8" s="1"/>
  <c r="S1045" i="8"/>
  <c r="T1045" i="8" s="1"/>
  <c r="S7" i="8"/>
  <c r="T7" i="8" s="1"/>
  <c r="S104" i="8"/>
  <c r="T104" i="8" s="1"/>
  <c r="S185" i="8"/>
  <c r="T185" i="8" s="1"/>
  <c r="S268" i="8"/>
  <c r="T268" i="8" s="1"/>
  <c r="S343" i="8"/>
  <c r="T343" i="8" s="1"/>
  <c r="S407" i="8"/>
  <c r="T407" i="8" s="1"/>
  <c r="S471" i="8"/>
  <c r="T471" i="8" s="1"/>
  <c r="S535" i="8"/>
  <c r="T535" i="8" s="1"/>
  <c r="S599" i="8"/>
  <c r="T599" i="8" s="1"/>
  <c r="S663" i="8"/>
  <c r="T663" i="8" s="1"/>
  <c r="S727" i="8"/>
  <c r="T727" i="8" s="1"/>
  <c r="S791" i="8"/>
  <c r="T791" i="8" s="1"/>
  <c r="S855" i="8"/>
  <c r="T855" i="8" s="1"/>
  <c r="S919" i="8"/>
  <c r="T919" i="8" s="1"/>
  <c r="S1035" i="8"/>
  <c r="T1035" i="8" s="1"/>
  <c r="S1165" i="8"/>
  <c r="T1165" i="8" s="1"/>
  <c r="S41" i="8"/>
  <c r="T41" i="8" s="1"/>
  <c r="S94" i="8"/>
  <c r="T94" i="8" s="1"/>
  <c r="S173" i="8"/>
  <c r="T173" i="8" s="1"/>
  <c r="S256" i="8"/>
  <c r="T256" i="8" s="1"/>
  <c r="S337" i="8"/>
  <c r="T337" i="8" s="1"/>
  <c r="S401" i="8"/>
  <c r="T401" i="8" s="1"/>
  <c r="S465" i="8"/>
  <c r="T465" i="8" s="1"/>
  <c r="S529" i="8"/>
  <c r="T529" i="8" s="1"/>
  <c r="S593" i="8"/>
  <c r="T593" i="8" s="1"/>
  <c r="S657" i="8"/>
  <c r="T657" i="8" s="1"/>
  <c r="S721" i="8"/>
  <c r="T721" i="8" s="1"/>
  <c r="S785" i="8"/>
  <c r="T785" i="8" s="1"/>
  <c r="S849" i="8"/>
  <c r="T849" i="8" s="1"/>
  <c r="S913" i="8"/>
  <c r="T913" i="8" s="1"/>
  <c r="S1037" i="8"/>
  <c r="T1037" i="8" s="1"/>
  <c r="S3" i="8"/>
  <c r="T3" i="8" s="1"/>
  <c r="S88" i="8"/>
  <c r="T88" i="8" s="1"/>
  <c r="S148" i="8"/>
  <c r="T148" i="8" s="1"/>
  <c r="S231" i="8"/>
  <c r="T231" i="8" s="1"/>
  <c r="S931" i="8"/>
  <c r="T931" i="8" s="1"/>
  <c r="S1059" i="8"/>
  <c r="T1059" i="8" s="1"/>
  <c r="S1185" i="8"/>
  <c r="T1185" i="8" s="1"/>
  <c r="S150" i="8"/>
  <c r="T150" i="8" s="1"/>
  <c r="S182" i="8"/>
  <c r="T182" i="8" s="1"/>
  <c r="S214" i="8"/>
  <c r="T214" i="8" s="1"/>
  <c r="S246" i="8"/>
  <c r="T246" i="8" s="1"/>
  <c r="S278" i="8"/>
  <c r="T278" i="8" s="1"/>
  <c r="S310" i="8"/>
  <c r="T310" i="8" s="1"/>
  <c r="S342" i="8"/>
  <c r="T342" i="8" s="1"/>
  <c r="S374" i="8"/>
  <c r="T374" i="8" s="1"/>
  <c r="S406" i="8"/>
  <c r="T406" i="8" s="1"/>
  <c r="S438" i="8"/>
  <c r="T438" i="8" s="1"/>
  <c r="S470" i="8"/>
  <c r="T470" i="8" s="1"/>
  <c r="S502" i="8"/>
  <c r="T502" i="8" s="1"/>
  <c r="S534" i="8"/>
  <c r="T534" i="8" s="1"/>
  <c r="S566" i="8"/>
  <c r="T566" i="8" s="1"/>
  <c r="S598" i="8"/>
  <c r="T598" i="8" s="1"/>
  <c r="S630" i="8"/>
  <c r="T630" i="8" s="1"/>
  <c r="S662" i="8"/>
  <c r="T662" i="8" s="1"/>
  <c r="S694" i="8"/>
  <c r="T694" i="8" s="1"/>
  <c r="S726" i="8"/>
  <c r="T726" i="8" s="1"/>
  <c r="S758" i="8"/>
  <c r="T758" i="8" s="1"/>
  <c r="S790" i="8"/>
  <c r="T790" i="8" s="1"/>
  <c r="S822" i="8"/>
  <c r="T822" i="8" s="1"/>
  <c r="S854" i="8"/>
  <c r="T854" i="8" s="1"/>
  <c r="S886" i="8"/>
  <c r="T886" i="8" s="1"/>
  <c r="S918" i="8"/>
  <c r="T918" i="8" s="1"/>
  <c r="S950" i="8"/>
  <c r="T950" i="8" s="1"/>
  <c r="S982" i="8"/>
  <c r="T982" i="8" s="1"/>
  <c r="S1014" i="8"/>
  <c r="T1014" i="8" s="1"/>
  <c r="S1046" i="8"/>
  <c r="T1046" i="8" s="1"/>
  <c r="S1078" i="8"/>
  <c r="T1078" i="8" s="1"/>
  <c r="S1110" i="8"/>
  <c r="T1110" i="8" s="1"/>
  <c r="S1142" i="8"/>
  <c r="T1142" i="8" s="1"/>
  <c r="S1174" i="8"/>
  <c r="T1174" i="8" s="1"/>
  <c r="S1167" i="8"/>
  <c r="T1167" i="8" s="1"/>
  <c r="S1199" i="8"/>
  <c r="T1199" i="8" s="1"/>
  <c r="S344" i="8"/>
  <c r="T344" i="8" s="1"/>
  <c r="S376" i="8"/>
  <c r="T376" i="8" s="1"/>
  <c r="S408" i="8"/>
  <c r="T408" i="8" s="1"/>
  <c r="S440" i="8"/>
  <c r="T440" i="8" s="1"/>
  <c r="S472" i="8"/>
  <c r="T472" i="8" s="1"/>
  <c r="S504" i="8"/>
  <c r="T504" i="8" s="1"/>
  <c r="S536" i="8"/>
  <c r="T536" i="8" s="1"/>
  <c r="S568" i="8"/>
  <c r="T568" i="8" s="1"/>
  <c r="S600" i="8"/>
  <c r="T600" i="8" s="1"/>
  <c r="S632" i="8"/>
  <c r="T632" i="8" s="1"/>
  <c r="S664" i="8"/>
  <c r="T664" i="8" s="1"/>
  <c r="S696" i="8"/>
  <c r="T696" i="8" s="1"/>
  <c r="S728" i="8"/>
  <c r="T728" i="8" s="1"/>
  <c r="S760" i="8"/>
  <c r="T760" i="8" s="1"/>
  <c r="S792" i="8"/>
  <c r="T792" i="8" s="1"/>
  <c r="S824" i="8"/>
  <c r="T824" i="8" s="1"/>
  <c r="S856" i="8"/>
  <c r="T856" i="8" s="1"/>
  <c r="S888" i="8"/>
  <c r="T888" i="8" s="1"/>
  <c r="S920" i="8"/>
  <c r="T920" i="8" s="1"/>
  <c r="S952" i="8"/>
  <c r="T952" i="8" s="1"/>
  <c r="S984" i="8"/>
  <c r="T984" i="8" s="1"/>
  <c r="S1016" i="8"/>
  <c r="T1016" i="8" s="1"/>
  <c r="S1048" i="8"/>
  <c r="T1048" i="8" s="1"/>
  <c r="S1080" i="8"/>
  <c r="T1080" i="8" s="1"/>
  <c r="S1112" i="8"/>
  <c r="T1112" i="8" s="1"/>
  <c r="S1144" i="8"/>
  <c r="T1144" i="8" s="1"/>
  <c r="S1176" i="8"/>
  <c r="T1176" i="8" s="1"/>
  <c r="S10" i="8"/>
  <c r="T10" i="8" s="1"/>
  <c r="Y57" i="4"/>
  <c r="Z57" i="4" s="1"/>
  <c r="Y134" i="4"/>
  <c r="Z134" i="4" s="1"/>
  <c r="Y1086" i="4"/>
  <c r="Z1086" i="4" s="1"/>
  <c r="Y29" i="4"/>
  <c r="Z29" i="4" s="1"/>
  <c r="Y116" i="4"/>
  <c r="Z116" i="4" s="1"/>
  <c r="Y200" i="4"/>
  <c r="Z200" i="4" s="1"/>
  <c r="Y264" i="4"/>
  <c r="Z264" i="4" s="1"/>
  <c r="Y328" i="4"/>
  <c r="Z328" i="4" s="1"/>
  <c r="Y392" i="4"/>
  <c r="Z392" i="4" s="1"/>
  <c r="Y456" i="4"/>
  <c r="Z456" i="4" s="1"/>
  <c r="Y520" i="4"/>
  <c r="Z520" i="4" s="1"/>
  <c r="Y584" i="4"/>
  <c r="Z584" i="4" s="1"/>
  <c r="Y648" i="4"/>
  <c r="Z648" i="4" s="1"/>
  <c r="Y712" i="4"/>
  <c r="Z712" i="4" s="1"/>
  <c r="Y776" i="4"/>
  <c r="Z776" i="4" s="1"/>
  <c r="Y840" i="4"/>
  <c r="Z840" i="4" s="1"/>
  <c r="Y904" i="4"/>
  <c r="Z904" i="4" s="1"/>
  <c r="Y968" i="4"/>
  <c r="Z968" i="4" s="1"/>
  <c r="Y1033" i="4"/>
  <c r="Z1033" i="4" s="1"/>
  <c r="Y14" i="4"/>
  <c r="Z14" i="4" s="1"/>
  <c r="Y110" i="4"/>
  <c r="Z110" i="4" s="1"/>
  <c r="Y1061" i="4"/>
  <c r="Z1061" i="4" s="1"/>
  <c r="Y1175" i="4"/>
  <c r="Z1175" i="4" s="1"/>
  <c r="Y85" i="4"/>
  <c r="Z85" i="4" s="1"/>
  <c r="Y162" i="4"/>
  <c r="Z162" i="4" s="1"/>
  <c r="Y233" i="4"/>
  <c r="Z233" i="4" s="1"/>
  <c r="Y297" i="4"/>
  <c r="Z297" i="4" s="1"/>
  <c r="Y361" i="4"/>
  <c r="Z361" i="4" s="1"/>
  <c r="Y425" i="4"/>
  <c r="Z425" i="4" s="1"/>
  <c r="Y489" i="4"/>
  <c r="Z489" i="4" s="1"/>
  <c r="Y553" i="4"/>
  <c r="Z553" i="4" s="1"/>
  <c r="Y617" i="4"/>
  <c r="Z617" i="4" s="1"/>
  <c r="Y681" i="4"/>
  <c r="Z681" i="4" s="1"/>
  <c r="Y745" i="4"/>
  <c r="Z745" i="4" s="1"/>
  <c r="Y809" i="4"/>
  <c r="Z809" i="4" s="1"/>
  <c r="Y873" i="4"/>
  <c r="Z873" i="4" s="1"/>
  <c r="Y937" i="4"/>
  <c r="Z937" i="4" s="1"/>
  <c r="Y1001" i="4"/>
  <c r="Z1001" i="4" s="1"/>
  <c r="Y1107" i="4"/>
  <c r="Z1107" i="4" s="1"/>
  <c r="Y48" i="4"/>
  <c r="Z48" i="4" s="1"/>
  <c r="Y137" i="4"/>
  <c r="Z137" i="4" s="1"/>
  <c r="Y1063" i="4"/>
  <c r="Z1063" i="4" s="1"/>
  <c r="Y12" i="4"/>
  <c r="Z12" i="4" s="1"/>
  <c r="Y106" i="4"/>
  <c r="Z106" i="4" s="1"/>
  <c r="Y196" i="4"/>
  <c r="Z196" i="4" s="1"/>
  <c r="Y260" i="4"/>
  <c r="Z260" i="4" s="1"/>
  <c r="Y324" i="4"/>
  <c r="Z324" i="4" s="1"/>
  <c r="Y388" i="4"/>
  <c r="Z388" i="4" s="1"/>
  <c r="Y452" i="4"/>
  <c r="Z452" i="4" s="1"/>
  <c r="Y516" i="4"/>
  <c r="Z516" i="4" s="1"/>
  <c r="Y580" i="4"/>
  <c r="Z580" i="4" s="1"/>
  <c r="Y644" i="4"/>
  <c r="Z644" i="4" s="1"/>
  <c r="Y708" i="4"/>
  <c r="Z708" i="4" s="1"/>
  <c r="Y772" i="4"/>
  <c r="Z772" i="4" s="1"/>
  <c r="Y836" i="4"/>
  <c r="Z836" i="4" s="1"/>
  <c r="Y900" i="4"/>
  <c r="Z900" i="4" s="1"/>
  <c r="Y964" i="4"/>
  <c r="Z964" i="4" s="1"/>
  <c r="Y1065" i="4"/>
  <c r="Z1065" i="4" s="1"/>
  <c r="Y20" i="4"/>
  <c r="Z20" i="4" s="1"/>
  <c r="Y113" i="4"/>
  <c r="Z113" i="4" s="1"/>
  <c r="Y190" i="4"/>
  <c r="Z190" i="4" s="1"/>
  <c r="Y1159" i="4"/>
  <c r="Z1159" i="4" s="1"/>
  <c r="Y50" i="4"/>
  <c r="Z50" i="4" s="1"/>
  <c r="Y140" i="4"/>
  <c r="Z140" i="4" s="1"/>
  <c r="Y221" i="4"/>
  <c r="Z221" i="4" s="1"/>
  <c r="Y285" i="4"/>
  <c r="Z285" i="4" s="1"/>
  <c r="Y349" i="4"/>
  <c r="Z349" i="4" s="1"/>
  <c r="Y413" i="4"/>
  <c r="Z413" i="4" s="1"/>
  <c r="Y477" i="4"/>
  <c r="Z477" i="4" s="1"/>
  <c r="Y541" i="4"/>
  <c r="Z541" i="4" s="1"/>
  <c r="Y605" i="4"/>
  <c r="Z605" i="4" s="1"/>
  <c r="Y669" i="4"/>
  <c r="Z669" i="4" s="1"/>
  <c r="Y733" i="4"/>
  <c r="Z733" i="4" s="1"/>
  <c r="Y797" i="4"/>
  <c r="Z797" i="4" s="1"/>
  <c r="Y861" i="4"/>
  <c r="Z861" i="4" s="1"/>
  <c r="Y925" i="4"/>
  <c r="Z925" i="4" s="1"/>
  <c r="Y989" i="4"/>
  <c r="Z989" i="4" s="1"/>
  <c r="Y1121" i="4"/>
  <c r="Z1121" i="4" s="1"/>
  <c r="Y1062" i="4"/>
  <c r="Z1062" i="4" s="1"/>
  <c r="Y1145" i="4"/>
  <c r="Z1145" i="4" s="1"/>
  <c r="Y198" i="4"/>
  <c r="Z198" i="4" s="1"/>
  <c r="Y230" i="4"/>
  <c r="Z230" i="4" s="1"/>
  <c r="Y262" i="4"/>
  <c r="Z262" i="4" s="1"/>
  <c r="Y294" i="4"/>
  <c r="Z294" i="4" s="1"/>
  <c r="Y326" i="4"/>
  <c r="Z326" i="4" s="1"/>
  <c r="Y358" i="4"/>
  <c r="Z358" i="4" s="1"/>
  <c r="Y390" i="4"/>
  <c r="Z390" i="4" s="1"/>
  <c r="Y422" i="4"/>
  <c r="Z422" i="4" s="1"/>
  <c r="Y454" i="4"/>
  <c r="Z454" i="4" s="1"/>
  <c r="Y486" i="4"/>
  <c r="Z486" i="4" s="1"/>
  <c r="Y518" i="4"/>
  <c r="Z518" i="4" s="1"/>
  <c r="Y550" i="4"/>
  <c r="Z550" i="4" s="1"/>
  <c r="Y582" i="4"/>
  <c r="Z582" i="4" s="1"/>
  <c r="Y614" i="4"/>
  <c r="Z614" i="4" s="1"/>
  <c r="Y646" i="4"/>
  <c r="Z646" i="4" s="1"/>
  <c r="Y678" i="4"/>
  <c r="Z678" i="4" s="1"/>
  <c r="Y710" i="4"/>
  <c r="Z710" i="4" s="1"/>
  <c r="Y742" i="4"/>
  <c r="Z742" i="4" s="1"/>
  <c r="Y774" i="4"/>
  <c r="Z774" i="4" s="1"/>
  <c r="Y806" i="4"/>
  <c r="Z806" i="4" s="1"/>
  <c r="Y838" i="4"/>
  <c r="Z838" i="4" s="1"/>
  <c r="Y870" i="4"/>
  <c r="Z870" i="4" s="1"/>
  <c r="Y902" i="4"/>
  <c r="Z902" i="4" s="1"/>
  <c r="Y934" i="4"/>
  <c r="Z934" i="4" s="1"/>
  <c r="Y966" i="4"/>
  <c r="Z966" i="4" s="1"/>
  <c r="Y998" i="4"/>
  <c r="Z998" i="4" s="1"/>
  <c r="Y1035" i="4"/>
  <c r="Z1035" i="4" s="1"/>
  <c r="Y1122" i="4"/>
  <c r="Z1122" i="4" s="1"/>
  <c r="Y27" i="4"/>
  <c r="Z27" i="4" s="1"/>
  <c r="Y59" i="4"/>
  <c r="Z59" i="4" s="1"/>
  <c r="Y91" i="4"/>
  <c r="Z91" i="4" s="1"/>
  <c r="Y123" i="4"/>
  <c r="Z123" i="4" s="1"/>
  <c r="Y155" i="4"/>
  <c r="Z155" i="4" s="1"/>
  <c r="Y187" i="4"/>
  <c r="Z187" i="4" s="1"/>
  <c r="Y219" i="4"/>
  <c r="Z219" i="4" s="1"/>
  <c r="Y251" i="4"/>
  <c r="Z251" i="4" s="1"/>
  <c r="Y283" i="4"/>
  <c r="Z283" i="4" s="1"/>
  <c r="Y315" i="4"/>
  <c r="Z315" i="4" s="1"/>
  <c r="Y347" i="4"/>
  <c r="Z347" i="4" s="1"/>
  <c r="Y379" i="4"/>
  <c r="Z379" i="4" s="1"/>
  <c r="Y411" i="4"/>
  <c r="Z411" i="4" s="1"/>
  <c r="Y443" i="4"/>
  <c r="Z443" i="4" s="1"/>
  <c r="Y475" i="4"/>
  <c r="Z475" i="4" s="1"/>
  <c r="Y507" i="4"/>
  <c r="Z507" i="4" s="1"/>
  <c r="Y539" i="4"/>
  <c r="Z539" i="4" s="1"/>
  <c r="Y571" i="4"/>
  <c r="Z571" i="4" s="1"/>
  <c r="Y603" i="4"/>
  <c r="Z603" i="4" s="1"/>
  <c r="Y635" i="4"/>
  <c r="Z635" i="4" s="1"/>
  <c r="Y667" i="4"/>
  <c r="Z667" i="4" s="1"/>
  <c r="Y699" i="4"/>
  <c r="Z699" i="4" s="1"/>
  <c r="Y731" i="4"/>
  <c r="Z731" i="4" s="1"/>
  <c r="Y763" i="4"/>
  <c r="Z763" i="4" s="1"/>
  <c r="Y795" i="4"/>
  <c r="Z795" i="4" s="1"/>
  <c r="Y827" i="4"/>
  <c r="Z827" i="4" s="1"/>
  <c r="Y859" i="4"/>
  <c r="Z859" i="4" s="1"/>
  <c r="Y891" i="4"/>
  <c r="Z891" i="4" s="1"/>
  <c r="Y923" i="4"/>
  <c r="Z923" i="4" s="1"/>
  <c r="Y955" i="4"/>
  <c r="Z955" i="4" s="1"/>
  <c r="Y987" i="4"/>
  <c r="Z987" i="4" s="1"/>
  <c r="Y1019" i="4"/>
  <c r="Z1019" i="4" s="1"/>
  <c r="Y1091" i="4"/>
  <c r="Z1091" i="4" s="1"/>
  <c r="Y1055" i="4"/>
  <c r="Z1055" i="4" s="1"/>
  <c r="Y1142" i="4"/>
  <c r="Z1142" i="4" s="1"/>
  <c r="Y1199" i="4"/>
  <c r="Z1199" i="4" s="1"/>
  <c r="Y1056" i="4"/>
  <c r="Z1056" i="4" s="1"/>
  <c r="Y1088" i="4"/>
  <c r="Z1088" i="4" s="1"/>
  <c r="Y1120" i="4"/>
  <c r="Z1120" i="4" s="1"/>
  <c r="Y1152" i="4"/>
  <c r="Z1152" i="4" s="1"/>
  <c r="Y1184" i="4"/>
  <c r="Z1184" i="4" s="1"/>
  <c r="Y1190" i="4"/>
  <c r="Z1190" i="4" s="1"/>
  <c r="B138" i="7"/>
  <c r="F138" i="7" s="1"/>
  <c r="S27" i="8"/>
  <c r="T27" i="8" s="1"/>
  <c r="S1189" i="8"/>
  <c r="T1189" i="8" s="1"/>
  <c r="S66" i="8"/>
  <c r="T66" i="8" s="1"/>
  <c r="S1115" i="8"/>
  <c r="T1115" i="8" s="1"/>
  <c r="S475" i="8"/>
  <c r="T475" i="8" s="1"/>
  <c r="S381" i="8"/>
  <c r="T381" i="8" s="1"/>
  <c r="S297" i="8"/>
  <c r="T297" i="8" s="1"/>
  <c r="S933" i="8"/>
  <c r="T933" i="8" s="1"/>
  <c r="S701" i="8"/>
  <c r="T701" i="8" s="1"/>
  <c r="S893" i="8"/>
  <c r="T893" i="8" s="1"/>
  <c r="S71" i="8"/>
  <c r="T71" i="8" s="1"/>
  <c r="S228" i="8"/>
  <c r="T228" i="8" s="1"/>
  <c r="S1177" i="8"/>
  <c r="T1177" i="8" s="1"/>
  <c r="S235" i="8"/>
  <c r="T235" i="8" s="1"/>
  <c r="S24" i="8"/>
  <c r="T24" i="8" s="1"/>
  <c r="S351" i="8"/>
  <c r="T351" i="8" s="1"/>
  <c r="S543" i="8"/>
  <c r="T543" i="8" s="1"/>
  <c r="S671" i="8"/>
  <c r="T671" i="8" s="1"/>
  <c r="S863" i="8"/>
  <c r="T863" i="8" s="1"/>
  <c r="S1181" i="8"/>
  <c r="T1181" i="8" s="1"/>
  <c r="S179" i="8"/>
  <c r="T179" i="8" s="1"/>
  <c r="S409" i="8"/>
  <c r="T409" i="8" s="1"/>
  <c r="S601" i="8"/>
  <c r="T601" i="8" s="1"/>
  <c r="S793" i="8"/>
  <c r="T793" i="8" s="1"/>
  <c r="S1047" i="8"/>
  <c r="T1047" i="8" s="1"/>
  <c r="S953" i="8"/>
  <c r="T953" i="8" s="1"/>
  <c r="S154" i="8"/>
  <c r="T154" i="8" s="1"/>
  <c r="S282" i="8"/>
  <c r="T282" i="8" s="1"/>
  <c r="S410" i="8"/>
  <c r="T410" i="8" s="1"/>
  <c r="S506" i="8"/>
  <c r="T506" i="8" s="1"/>
  <c r="S602" i="8"/>
  <c r="T602" i="8" s="1"/>
  <c r="S698" i="8"/>
  <c r="T698" i="8" s="1"/>
  <c r="S794" i="8"/>
  <c r="T794" i="8" s="1"/>
  <c r="S986" i="8"/>
  <c r="T986" i="8" s="1"/>
  <c r="S828" i="8"/>
  <c r="T828" i="8" s="1"/>
  <c r="S860" i="8"/>
  <c r="T860" i="8" s="1"/>
  <c r="S892" i="8"/>
  <c r="T892" i="8" s="1"/>
  <c r="S924" i="8"/>
  <c r="T924" i="8" s="1"/>
  <c r="S956" i="8"/>
  <c r="T956" i="8" s="1"/>
  <c r="S988" i="8"/>
  <c r="T988" i="8" s="1"/>
  <c r="S1020" i="8"/>
  <c r="T1020" i="8" s="1"/>
  <c r="S1052" i="8"/>
  <c r="T1052" i="8" s="1"/>
  <c r="S1084" i="8"/>
  <c r="T1084" i="8" s="1"/>
  <c r="S1116" i="8"/>
  <c r="T1116" i="8" s="1"/>
  <c r="S1148" i="8"/>
  <c r="T1148" i="8" s="1"/>
  <c r="S1180" i="8"/>
  <c r="T1180" i="8" s="1"/>
  <c r="Y64" i="4"/>
  <c r="Z64" i="4" s="1"/>
  <c r="Y153" i="4"/>
  <c r="Z153" i="4" s="1"/>
  <c r="Y1095" i="4"/>
  <c r="Z1095" i="4" s="1"/>
  <c r="Y45" i="4"/>
  <c r="Z45" i="4" s="1"/>
  <c r="Y122" i="4"/>
  <c r="Z122" i="4" s="1"/>
  <c r="Y208" i="4"/>
  <c r="Z208" i="4" s="1"/>
  <c r="Y272" i="4"/>
  <c r="Z272" i="4" s="1"/>
  <c r="Y336" i="4"/>
  <c r="Z336" i="4" s="1"/>
  <c r="Y400" i="4"/>
  <c r="Z400" i="4" s="1"/>
  <c r="Y464" i="4"/>
  <c r="Z464" i="4" s="1"/>
  <c r="Y528" i="4"/>
  <c r="Z528" i="4" s="1"/>
  <c r="Y592" i="4"/>
  <c r="Z592" i="4" s="1"/>
  <c r="Y656" i="4"/>
  <c r="Z656" i="4" s="1"/>
  <c r="Y720" i="4"/>
  <c r="Z720" i="4" s="1"/>
  <c r="Y784" i="4"/>
  <c r="Z784" i="4" s="1"/>
  <c r="Y848" i="4"/>
  <c r="Z848" i="4" s="1"/>
  <c r="Y912" i="4"/>
  <c r="Z912" i="4" s="1"/>
  <c r="Y976" i="4"/>
  <c r="Z976" i="4" s="1"/>
  <c r="Y1042" i="4"/>
  <c r="Z1042" i="4" s="1"/>
  <c r="Y40" i="4"/>
  <c r="Z40" i="4" s="1"/>
  <c r="Y129" i="4"/>
  <c r="Z129" i="4" s="1"/>
  <c r="Y1070" i="4"/>
  <c r="Z1070" i="4" s="1"/>
  <c r="Y10" i="4"/>
  <c r="Z10" i="4" s="1"/>
  <c r="Y92" i="4"/>
  <c r="Z92" i="4" s="1"/>
  <c r="Y181" i="4"/>
  <c r="Z181" i="4" s="1"/>
  <c r="Y241" i="4"/>
  <c r="Z241" i="4" s="1"/>
  <c r="Y305" i="4"/>
  <c r="Z305" i="4" s="1"/>
  <c r="Y369" i="4"/>
  <c r="Z369" i="4" s="1"/>
  <c r="Y433" i="4"/>
  <c r="Z433" i="4" s="1"/>
  <c r="Y497" i="4"/>
  <c r="Z497" i="4" s="1"/>
  <c r="Y561" i="4"/>
  <c r="Z561" i="4" s="1"/>
  <c r="Y625" i="4"/>
  <c r="Z625" i="4" s="1"/>
  <c r="Y689" i="4"/>
  <c r="Z689" i="4" s="1"/>
  <c r="Y753" i="4"/>
  <c r="Z753" i="4" s="1"/>
  <c r="Y817" i="4"/>
  <c r="Z817" i="4" s="1"/>
  <c r="Y881" i="4"/>
  <c r="Z881" i="4" s="1"/>
  <c r="Y945" i="4"/>
  <c r="Z945" i="4" s="1"/>
  <c r="Y1009" i="4"/>
  <c r="Z1009" i="4" s="1"/>
  <c r="Y1191" i="4"/>
  <c r="Z1191" i="4" s="1"/>
  <c r="Y54" i="4"/>
  <c r="Z54" i="4" s="1"/>
  <c r="Y144" i="4"/>
  <c r="Z144" i="4" s="1"/>
  <c r="Y1109" i="4"/>
  <c r="Z1109" i="4" s="1"/>
  <c r="Y26" i="4"/>
  <c r="Z26" i="4" s="1"/>
  <c r="Y125" i="4"/>
  <c r="Z125" i="4" s="1"/>
  <c r="Y204" i="4"/>
  <c r="Z204" i="4" s="1"/>
  <c r="Y268" i="4"/>
  <c r="Z268" i="4" s="1"/>
  <c r="Y332" i="4"/>
  <c r="Z332" i="4" s="1"/>
  <c r="Y396" i="4"/>
  <c r="Z396" i="4" s="1"/>
  <c r="Y460" i="4"/>
  <c r="Z460" i="4" s="1"/>
  <c r="Y524" i="4"/>
  <c r="Z524" i="4" s="1"/>
  <c r="Y588" i="4"/>
  <c r="Z588" i="4" s="1"/>
  <c r="Y652" i="4"/>
  <c r="Z652" i="4" s="1"/>
  <c r="Y716" i="4"/>
  <c r="Z716" i="4" s="1"/>
  <c r="Y780" i="4"/>
  <c r="Z780" i="4" s="1"/>
  <c r="Y844" i="4"/>
  <c r="Z844" i="4" s="1"/>
  <c r="Y908" i="4"/>
  <c r="Z908" i="4" s="1"/>
  <c r="Y972" i="4"/>
  <c r="Z972" i="4" s="1"/>
  <c r="Y1074" i="4"/>
  <c r="Z1074" i="4" s="1"/>
  <c r="Y22" i="4"/>
  <c r="Z22" i="4" s="1"/>
  <c r="Y120" i="4"/>
  <c r="Z120" i="4" s="1"/>
  <c r="Y1029" i="4"/>
  <c r="Z1029" i="4" s="1"/>
  <c r="Y1170" i="4"/>
  <c r="Z1170" i="4" s="1"/>
  <c r="Y69" i="4"/>
  <c r="Z69" i="4" s="1"/>
  <c r="Y146" i="4"/>
  <c r="Z146" i="4" s="1"/>
  <c r="Y229" i="4"/>
  <c r="Z229" i="4" s="1"/>
  <c r="Y293" i="4"/>
  <c r="Z293" i="4" s="1"/>
  <c r="Y357" i="4"/>
  <c r="Z357" i="4" s="1"/>
  <c r="Y421" i="4"/>
  <c r="Z421" i="4" s="1"/>
  <c r="Y485" i="4"/>
  <c r="Z485" i="4" s="1"/>
  <c r="Y549" i="4"/>
  <c r="Z549" i="4" s="1"/>
  <c r="Y613" i="4"/>
  <c r="Z613" i="4" s="1"/>
  <c r="Y677" i="4"/>
  <c r="Z677" i="4" s="1"/>
  <c r="Y741" i="4"/>
  <c r="Z741" i="4" s="1"/>
  <c r="Y805" i="4"/>
  <c r="Z805" i="4" s="1"/>
  <c r="Y869" i="4"/>
  <c r="Z869" i="4" s="1"/>
  <c r="Y933" i="4"/>
  <c r="Z933" i="4" s="1"/>
  <c r="Y997" i="4"/>
  <c r="Z997" i="4" s="1"/>
  <c r="Y1130" i="4"/>
  <c r="Z1130" i="4" s="1"/>
  <c r="Y1071" i="4"/>
  <c r="Z1071" i="4" s="1"/>
  <c r="Y1150" i="4"/>
  <c r="Z1150" i="4" s="1"/>
  <c r="Y202" i="4"/>
  <c r="Z202" i="4" s="1"/>
  <c r="Y234" i="4"/>
  <c r="Z234" i="4" s="1"/>
  <c r="Y266" i="4"/>
  <c r="Z266" i="4" s="1"/>
  <c r="Y298" i="4"/>
  <c r="Z298" i="4" s="1"/>
  <c r="Y330" i="4"/>
  <c r="Z330" i="4" s="1"/>
  <c r="Y362" i="4"/>
  <c r="Z362" i="4" s="1"/>
  <c r="Y394" i="4"/>
  <c r="Z394" i="4" s="1"/>
  <c r="Y426" i="4"/>
  <c r="Z426" i="4" s="1"/>
  <c r="Y458" i="4"/>
  <c r="Z458" i="4" s="1"/>
  <c r="Y490" i="4"/>
  <c r="Z490" i="4" s="1"/>
  <c r="Y522" i="4"/>
  <c r="Z522" i="4" s="1"/>
  <c r="Y554" i="4"/>
  <c r="Z554" i="4" s="1"/>
  <c r="Y586" i="4"/>
  <c r="Z586" i="4" s="1"/>
  <c r="Y618" i="4"/>
  <c r="Z618" i="4" s="1"/>
  <c r="Y650" i="4"/>
  <c r="Z650" i="4" s="1"/>
  <c r="Y682" i="4"/>
  <c r="Z682" i="4" s="1"/>
  <c r="Y714" i="4"/>
  <c r="Z714" i="4" s="1"/>
  <c r="Y746" i="4"/>
  <c r="Z746" i="4" s="1"/>
  <c r="Y778" i="4"/>
  <c r="Z778" i="4" s="1"/>
  <c r="Y810" i="4"/>
  <c r="Z810" i="4" s="1"/>
  <c r="Y842" i="4"/>
  <c r="Z842" i="4" s="1"/>
  <c r="Y874" i="4"/>
  <c r="Z874" i="4" s="1"/>
  <c r="Y906" i="4"/>
  <c r="Z906" i="4" s="1"/>
  <c r="Y938" i="4"/>
  <c r="Z938" i="4" s="1"/>
  <c r="Y970" i="4"/>
  <c r="Z970" i="4" s="1"/>
  <c r="Y1002" i="4"/>
  <c r="Z1002" i="4" s="1"/>
  <c r="Y1049" i="4"/>
  <c r="Z1049" i="4" s="1"/>
  <c r="Y1131" i="4"/>
  <c r="Z1131" i="4" s="1"/>
  <c r="Y31" i="4"/>
  <c r="Z31" i="4" s="1"/>
  <c r="Y63" i="4"/>
  <c r="Z63" i="4" s="1"/>
  <c r="Y95" i="4"/>
  <c r="Z95" i="4" s="1"/>
  <c r="Y127" i="4"/>
  <c r="Z127" i="4" s="1"/>
  <c r="Y159" i="4"/>
  <c r="Z159" i="4" s="1"/>
  <c r="Y191" i="4"/>
  <c r="Z191" i="4" s="1"/>
  <c r="Y223" i="4"/>
  <c r="Z223" i="4" s="1"/>
  <c r="Y255" i="4"/>
  <c r="Z255" i="4" s="1"/>
  <c r="Y287" i="4"/>
  <c r="Z287" i="4" s="1"/>
  <c r="Y319" i="4"/>
  <c r="Z319" i="4" s="1"/>
  <c r="Y351" i="4"/>
  <c r="Z351" i="4" s="1"/>
  <c r="Y383" i="4"/>
  <c r="Z383" i="4" s="1"/>
  <c r="Y415" i="4"/>
  <c r="Z415" i="4" s="1"/>
  <c r="Y447" i="4"/>
  <c r="Z447" i="4" s="1"/>
  <c r="Y479" i="4"/>
  <c r="Z479" i="4" s="1"/>
  <c r="Y511" i="4"/>
  <c r="Z511" i="4" s="1"/>
  <c r="Y543" i="4"/>
  <c r="Z543" i="4" s="1"/>
  <c r="Y575" i="4"/>
  <c r="Z575" i="4" s="1"/>
  <c r="Y607" i="4"/>
  <c r="Z607" i="4" s="1"/>
  <c r="Y639" i="4"/>
  <c r="Z639" i="4" s="1"/>
  <c r="Y671" i="4"/>
  <c r="Z671" i="4" s="1"/>
  <c r="Y703" i="4"/>
  <c r="Z703" i="4" s="1"/>
  <c r="Y735" i="4"/>
  <c r="Z735" i="4" s="1"/>
  <c r="Y767" i="4"/>
  <c r="Z767" i="4" s="1"/>
  <c r="Y799" i="4"/>
  <c r="Z799" i="4" s="1"/>
  <c r="Y831" i="4"/>
  <c r="Z831" i="4" s="1"/>
  <c r="Y863" i="4"/>
  <c r="Z863" i="4" s="1"/>
  <c r="Y895" i="4"/>
  <c r="Z895" i="4" s="1"/>
  <c r="Y927" i="4"/>
  <c r="Z927" i="4" s="1"/>
  <c r="Y959" i="4"/>
  <c r="Z959" i="4" s="1"/>
  <c r="Y991" i="4"/>
  <c r="Z991" i="4" s="1"/>
  <c r="Y1023" i="4"/>
  <c r="Z1023" i="4" s="1"/>
  <c r="Y1105" i="4"/>
  <c r="Z1105" i="4" s="1"/>
  <c r="Y1069" i="4"/>
  <c r="Z1069" i="4" s="1"/>
  <c r="Y1147" i="4"/>
  <c r="Z1147" i="4" s="1"/>
  <c r="Y1028" i="4"/>
  <c r="Z1028" i="4" s="1"/>
  <c r="Y1060" i="4"/>
  <c r="Z1060" i="4" s="1"/>
  <c r="Y1092" i="4"/>
  <c r="Z1092" i="4" s="1"/>
  <c r="Y1124" i="4"/>
  <c r="Z1124" i="4" s="1"/>
  <c r="Y1156" i="4"/>
  <c r="Z1156" i="4" s="1"/>
  <c r="Y1188" i="4"/>
  <c r="Z1188" i="4" s="1"/>
  <c r="Y1194" i="4"/>
  <c r="Z1194" i="4" s="1"/>
  <c r="S549" i="8"/>
  <c r="T549" i="8" s="1"/>
  <c r="S803" i="8"/>
  <c r="T803" i="8" s="1"/>
  <c r="S525" i="8"/>
  <c r="T525" i="8" s="1"/>
  <c r="S371" i="8"/>
  <c r="T371" i="8" s="1"/>
  <c r="S97" i="8"/>
  <c r="T97" i="8" s="1"/>
  <c r="S571" i="8"/>
  <c r="T571" i="8" s="1"/>
  <c r="S899" i="8"/>
  <c r="T899" i="8" s="1"/>
  <c r="S715" i="8"/>
  <c r="T715" i="8" s="1"/>
  <c r="S547" i="8"/>
  <c r="T547" i="8" s="1"/>
  <c r="S1061" i="8"/>
  <c r="T1061" i="8" s="1"/>
  <c r="S637" i="8"/>
  <c r="T637" i="8" s="1"/>
  <c r="S829" i="8"/>
  <c r="T829" i="8" s="1"/>
  <c r="S1117" i="8"/>
  <c r="T1117" i="8" s="1"/>
  <c r="S311" i="8"/>
  <c r="T311" i="8" s="1"/>
  <c r="S34" i="8"/>
  <c r="T34" i="8" s="1"/>
  <c r="S927" i="8"/>
  <c r="T927" i="8" s="1"/>
  <c r="S108" i="8"/>
  <c r="T108" i="8" s="1"/>
  <c r="S281" i="8"/>
  <c r="T281" i="8" s="1"/>
  <c r="S479" i="8"/>
  <c r="T479" i="8" s="1"/>
  <c r="S735" i="8"/>
  <c r="T735" i="8" s="1"/>
  <c r="S929" i="8"/>
  <c r="T929" i="8" s="1"/>
  <c r="S46" i="8"/>
  <c r="T46" i="8" s="1"/>
  <c r="S269" i="8"/>
  <c r="T269" i="8" s="1"/>
  <c r="S473" i="8"/>
  <c r="T473" i="8" s="1"/>
  <c r="S665" i="8"/>
  <c r="T665" i="8" s="1"/>
  <c r="S857" i="8"/>
  <c r="T857" i="8" s="1"/>
  <c r="S8" i="8"/>
  <c r="T8" i="8" s="1"/>
  <c r="S161" i="8"/>
  <c r="T161" i="8" s="1"/>
  <c r="S1081" i="8"/>
  <c r="T1081" i="8" s="1"/>
  <c r="S218" i="8"/>
  <c r="T218" i="8" s="1"/>
  <c r="S314" i="8"/>
  <c r="T314" i="8" s="1"/>
  <c r="S442" i="8"/>
  <c r="T442" i="8" s="1"/>
  <c r="S538" i="8"/>
  <c r="T538" i="8" s="1"/>
  <c r="S634" i="8"/>
  <c r="T634" i="8" s="1"/>
  <c r="S762" i="8"/>
  <c r="T762" i="8" s="1"/>
  <c r="S858" i="8"/>
  <c r="T858" i="8" s="1"/>
  <c r="S954" i="8"/>
  <c r="T954" i="8" s="1"/>
  <c r="S1082" i="8"/>
  <c r="T1082" i="8" s="1"/>
  <c r="S1178" i="8"/>
  <c r="T1178" i="8" s="1"/>
  <c r="S348" i="8"/>
  <c r="T348" i="8" s="1"/>
  <c r="S444" i="8"/>
  <c r="T444" i="8" s="1"/>
  <c r="S508" i="8"/>
  <c r="T508" i="8" s="1"/>
  <c r="S604" i="8"/>
  <c r="T604" i="8" s="1"/>
  <c r="S668" i="8"/>
  <c r="T668" i="8" s="1"/>
  <c r="S764" i="8"/>
  <c r="T764" i="8" s="1"/>
  <c r="A37" i="6"/>
  <c r="S325" i="8"/>
  <c r="T325" i="8" s="1"/>
  <c r="S102" i="8"/>
  <c r="T102" i="8" s="1"/>
  <c r="S755" i="8"/>
  <c r="T755" i="8" s="1"/>
  <c r="S240" i="8"/>
  <c r="T240" i="8" s="1"/>
  <c r="S157" i="8"/>
  <c r="T157" i="8" s="1"/>
  <c r="S595" i="8"/>
  <c r="T595" i="8" s="1"/>
  <c r="S645" i="8"/>
  <c r="T645" i="8" s="1"/>
  <c r="S1127" i="8"/>
  <c r="T1127" i="8" s="1"/>
  <c r="S1193" i="8"/>
  <c r="T1193" i="8" s="1"/>
  <c r="S1077" i="8"/>
  <c r="T1077" i="8" s="1"/>
  <c r="S287" i="8"/>
  <c r="T287" i="8" s="1"/>
  <c r="S615" i="8"/>
  <c r="T615" i="8" s="1"/>
  <c r="S939" i="8"/>
  <c r="T939" i="8" s="1"/>
  <c r="S192" i="8"/>
  <c r="T192" i="8" s="1"/>
  <c r="S481" i="8"/>
  <c r="T481" i="8" s="1"/>
  <c r="S737" i="8"/>
  <c r="T737" i="8" s="1"/>
  <c r="S11" i="8"/>
  <c r="T11" i="8" s="1"/>
  <c r="S1091" i="8"/>
  <c r="T1091" i="8" s="1"/>
  <c r="S254" i="8"/>
  <c r="T254" i="8" s="1"/>
  <c r="S446" i="8"/>
  <c r="T446" i="8" s="1"/>
  <c r="S638" i="8"/>
  <c r="T638" i="8" s="1"/>
  <c r="S766" i="8"/>
  <c r="T766" i="8" s="1"/>
  <c r="S926" i="8"/>
  <c r="T926" i="8" s="1"/>
  <c r="S1054" i="8"/>
  <c r="T1054" i="8" s="1"/>
  <c r="S1182" i="8"/>
  <c r="T1182" i="8" s="1"/>
  <c r="S384" i="8"/>
  <c r="T384" i="8" s="1"/>
  <c r="S512" i="8"/>
  <c r="T512" i="8" s="1"/>
  <c r="S576" i="8"/>
  <c r="T576" i="8" s="1"/>
  <c r="S704" i="8"/>
  <c r="T704" i="8" s="1"/>
  <c r="S832" i="8"/>
  <c r="T832" i="8" s="1"/>
  <c r="S1056" i="8"/>
  <c r="T1056" i="8" s="1"/>
  <c r="S1184" i="8"/>
  <c r="T1184" i="8" s="1"/>
  <c r="Y1141" i="4"/>
  <c r="Z1141" i="4" s="1"/>
  <c r="Y472" i="4"/>
  <c r="Z472" i="4" s="1"/>
  <c r="Y728" i="4"/>
  <c r="Z728" i="4" s="1"/>
  <c r="Y1051" i="4"/>
  <c r="Z1051" i="4" s="1"/>
  <c r="Y188" i="4"/>
  <c r="Z188" i="4" s="1"/>
  <c r="Y505" i="4"/>
  <c r="Z505" i="4" s="1"/>
  <c r="Y953" i="4"/>
  <c r="Z953" i="4" s="1"/>
  <c r="Y1118" i="4"/>
  <c r="Z1118" i="4" s="1"/>
  <c r="Y340" i="4"/>
  <c r="Z340" i="4" s="1"/>
  <c r="Y724" i="4"/>
  <c r="Z724" i="4" s="1"/>
  <c r="Y1083" i="4"/>
  <c r="Z1083" i="4" s="1"/>
  <c r="Y76" i="4"/>
  <c r="Z76" i="4" s="1"/>
  <c r="Y365" i="4"/>
  <c r="Z365" i="4" s="1"/>
  <c r="Y685" i="4"/>
  <c r="Z685" i="4" s="1"/>
  <c r="Y813" i="4"/>
  <c r="Z813" i="4" s="1"/>
  <c r="Y1139" i="4"/>
  <c r="Z1139" i="4" s="1"/>
  <c r="Y206" i="4"/>
  <c r="Z206" i="4" s="1"/>
  <c r="Y270" i="4"/>
  <c r="Z270" i="4" s="1"/>
  <c r="Y366" i="4"/>
  <c r="Z366" i="4" s="1"/>
  <c r="Y430" i="4"/>
  <c r="Z430" i="4" s="1"/>
  <c r="Y494" i="4"/>
  <c r="Z494" i="4" s="1"/>
  <c r="Y590" i="4"/>
  <c r="Z590" i="4" s="1"/>
  <c r="Y718" i="4"/>
  <c r="Z718" i="4" s="1"/>
  <c r="Y782" i="4"/>
  <c r="Z782" i="4" s="1"/>
  <c r="Y846" i="4"/>
  <c r="Z846" i="4" s="1"/>
  <c r="Y942" i="4"/>
  <c r="Z942" i="4" s="1"/>
  <c r="Y1006" i="4"/>
  <c r="Z1006" i="4" s="1"/>
  <c r="Y35" i="4"/>
  <c r="Z35" i="4" s="1"/>
  <c r="Y163" i="4"/>
  <c r="Z163" i="4" s="1"/>
  <c r="Y227" i="4"/>
  <c r="Z227" i="4" s="1"/>
  <c r="Y291" i="4"/>
  <c r="Z291" i="4" s="1"/>
  <c r="Y355" i="4"/>
  <c r="Z355" i="4" s="1"/>
  <c r="Y419" i="4"/>
  <c r="Z419" i="4" s="1"/>
  <c r="Y483" i="4"/>
  <c r="Z483" i="4" s="1"/>
  <c r="Y515" i="4"/>
  <c r="Z515" i="4" s="1"/>
  <c r="Y579" i="4"/>
  <c r="Z579" i="4" s="1"/>
  <c r="Y611" i="4"/>
  <c r="Z611" i="4" s="1"/>
  <c r="Y643" i="4"/>
  <c r="Z643" i="4" s="1"/>
  <c r="Y675" i="4"/>
  <c r="Z675" i="4" s="1"/>
  <c r="Y707" i="4"/>
  <c r="Z707" i="4" s="1"/>
  <c r="Y739" i="4"/>
  <c r="Z739" i="4" s="1"/>
  <c r="Y771" i="4"/>
  <c r="Z771" i="4" s="1"/>
  <c r="Y803" i="4"/>
  <c r="Z803" i="4" s="1"/>
  <c r="Y835" i="4"/>
  <c r="Z835" i="4" s="1"/>
  <c r="Y867" i="4"/>
  <c r="Z867" i="4" s="1"/>
  <c r="Y899" i="4"/>
  <c r="Z899" i="4" s="1"/>
  <c r="Y931" i="4"/>
  <c r="Z931" i="4" s="1"/>
  <c r="Y963" i="4"/>
  <c r="Z963" i="4" s="1"/>
  <c r="Y995" i="4"/>
  <c r="Z995" i="4" s="1"/>
  <c r="Y1027" i="4"/>
  <c r="Z1027" i="4" s="1"/>
  <c r="Y1114" i="4"/>
  <c r="Z1114" i="4" s="1"/>
  <c r="Y1078" i="4"/>
  <c r="Z1078" i="4" s="1"/>
  <c r="Y1153" i="4"/>
  <c r="Z1153" i="4" s="1"/>
  <c r="Y1032" i="4"/>
  <c r="Z1032" i="4" s="1"/>
  <c r="Y1064" i="4"/>
  <c r="Z1064" i="4" s="1"/>
  <c r="Y1096" i="4"/>
  <c r="Z1096" i="4" s="1"/>
  <c r="Y1128" i="4"/>
  <c r="Z1128" i="4" s="1"/>
  <c r="Y1160" i="4"/>
  <c r="Z1160" i="4" s="1"/>
  <c r="Y1192" i="4"/>
  <c r="Z1192" i="4" s="1"/>
  <c r="S272" i="8"/>
  <c r="T272" i="8" s="1"/>
  <c r="S163" i="8"/>
  <c r="T163" i="8" s="1"/>
  <c r="S427" i="8"/>
  <c r="T427" i="8" s="1"/>
  <c r="S253" i="8"/>
  <c r="T253" i="8" s="1"/>
  <c r="S106" i="8"/>
  <c r="T106" i="8" s="1"/>
  <c r="S691" i="8"/>
  <c r="T691" i="8" s="1"/>
  <c r="S285" i="8"/>
  <c r="T285" i="8" s="1"/>
  <c r="S207" i="8"/>
  <c r="T207" i="8" s="1"/>
  <c r="S124" i="8"/>
  <c r="T124" i="8" s="1"/>
  <c r="S82" i="8"/>
  <c r="T82" i="8" s="1"/>
  <c r="S1173" i="8"/>
  <c r="T1173" i="8" s="1"/>
  <c r="S573" i="8"/>
  <c r="T573" i="8" s="1"/>
  <c r="S765" i="8"/>
  <c r="T765" i="8" s="1"/>
  <c r="S989" i="8"/>
  <c r="T989" i="8" s="1"/>
  <c r="S145" i="8"/>
  <c r="T145" i="8" s="1"/>
  <c r="S1043" i="8"/>
  <c r="T1043" i="8" s="1"/>
  <c r="S84" i="8"/>
  <c r="T84" i="8" s="1"/>
  <c r="S152" i="8"/>
  <c r="T152" i="8" s="1"/>
  <c r="S1055" i="8"/>
  <c r="T1055" i="8" s="1"/>
  <c r="S191" i="8"/>
  <c r="T191" i="8" s="1"/>
  <c r="S415" i="8"/>
  <c r="T415" i="8" s="1"/>
  <c r="S607" i="8"/>
  <c r="T607" i="8" s="1"/>
  <c r="S799" i="8"/>
  <c r="T799" i="8" s="1"/>
  <c r="S1057" i="8"/>
  <c r="T1057" i="8" s="1"/>
  <c r="S98" i="8"/>
  <c r="T98" i="8" s="1"/>
  <c r="S345" i="8"/>
  <c r="T345" i="8" s="1"/>
  <c r="S537" i="8"/>
  <c r="T537" i="8" s="1"/>
  <c r="S729" i="8"/>
  <c r="T729" i="8" s="1"/>
  <c r="S921" i="8"/>
  <c r="T921" i="8" s="1"/>
  <c r="S92" i="8"/>
  <c r="T92" i="8" s="1"/>
  <c r="S244" i="8"/>
  <c r="T244" i="8" s="1"/>
  <c r="S1201" i="8"/>
  <c r="T1201" i="8" s="1"/>
  <c r="S250" i="8"/>
  <c r="T250" i="8" s="1"/>
  <c r="S346" i="8"/>
  <c r="T346" i="8" s="1"/>
  <c r="S474" i="8"/>
  <c r="T474" i="8" s="1"/>
  <c r="S570" i="8"/>
  <c r="T570" i="8" s="1"/>
  <c r="S666" i="8"/>
  <c r="T666" i="8" s="1"/>
  <c r="S730" i="8"/>
  <c r="T730" i="8" s="1"/>
  <c r="S826" i="8"/>
  <c r="T826" i="8" s="1"/>
  <c r="S922" i="8"/>
  <c r="T922" i="8" s="1"/>
  <c r="S1050" i="8"/>
  <c r="T1050" i="8" s="1"/>
  <c r="S1146" i="8"/>
  <c r="T1146" i="8" s="1"/>
  <c r="S1171" i="8"/>
  <c r="T1171" i="8" s="1"/>
  <c r="S380" i="8"/>
  <c r="T380" i="8" s="1"/>
  <c r="S476" i="8"/>
  <c r="T476" i="8" s="1"/>
  <c r="S572" i="8"/>
  <c r="T572" i="8" s="1"/>
  <c r="S732" i="8"/>
  <c r="T732" i="8" s="1"/>
  <c r="S13" i="8"/>
  <c r="T13" i="8" s="1"/>
  <c r="S304" i="8"/>
  <c r="T304" i="8" s="1"/>
  <c r="S403" i="8"/>
  <c r="T403" i="8" s="1"/>
  <c r="S635" i="8"/>
  <c r="T635" i="8" s="1"/>
  <c r="S779" i="8"/>
  <c r="T779" i="8" s="1"/>
  <c r="S943" i="8"/>
  <c r="T943" i="8" s="1"/>
  <c r="S773" i="8"/>
  <c r="T773" i="8" s="1"/>
  <c r="S75" i="8"/>
  <c r="T75" i="8" s="1"/>
  <c r="S1065" i="8"/>
  <c r="T1065" i="8" s="1"/>
  <c r="S248" i="8"/>
  <c r="T248" i="8" s="1"/>
  <c r="S119" i="8"/>
  <c r="T119" i="8" s="1"/>
  <c r="S487" i="8"/>
  <c r="T487" i="8" s="1"/>
  <c r="S807" i="8"/>
  <c r="T807" i="8" s="1"/>
  <c r="S51" i="8"/>
  <c r="T51" i="8" s="1"/>
  <c r="S417" i="8"/>
  <c r="T417" i="8" s="1"/>
  <c r="S801" i="8"/>
  <c r="T801" i="8" s="1"/>
  <c r="S167" i="8"/>
  <c r="T167" i="8" s="1"/>
  <c r="S126" i="8"/>
  <c r="T126" i="8" s="1"/>
  <c r="S318" i="8"/>
  <c r="T318" i="8" s="1"/>
  <c r="S478" i="8"/>
  <c r="T478" i="8" s="1"/>
  <c r="S606" i="8"/>
  <c r="T606" i="8" s="1"/>
  <c r="S702" i="8"/>
  <c r="T702" i="8" s="1"/>
  <c r="S830" i="8"/>
  <c r="T830" i="8" s="1"/>
  <c r="S990" i="8"/>
  <c r="T990" i="8" s="1"/>
  <c r="S1118" i="8"/>
  <c r="T1118" i="8" s="1"/>
  <c r="S320" i="8"/>
  <c r="T320" i="8" s="1"/>
  <c r="S480" i="8"/>
  <c r="T480" i="8" s="1"/>
  <c r="S672" i="8"/>
  <c r="T672" i="8" s="1"/>
  <c r="S800" i="8"/>
  <c r="T800" i="8" s="1"/>
  <c r="S928" i="8"/>
  <c r="T928" i="8" s="1"/>
  <c r="S992" i="8"/>
  <c r="T992" i="8" s="1"/>
  <c r="S1120" i="8"/>
  <c r="T1120" i="8" s="1"/>
  <c r="Y70" i="4"/>
  <c r="Z70" i="4" s="1"/>
  <c r="Y216" i="4"/>
  <c r="Z216" i="4" s="1"/>
  <c r="Y600" i="4"/>
  <c r="Z600" i="4" s="1"/>
  <c r="Y920" i="4"/>
  <c r="Z920" i="4" s="1"/>
  <c r="Y1079" i="4"/>
  <c r="Z1079" i="4" s="1"/>
  <c r="Y377" i="4"/>
  <c r="Z377" i="4" s="1"/>
  <c r="Y697" i="4"/>
  <c r="Z697" i="4" s="1"/>
  <c r="Y13" i="4"/>
  <c r="Z13" i="4" s="1"/>
  <c r="Y132" i="4"/>
  <c r="Z132" i="4" s="1"/>
  <c r="Y532" i="4"/>
  <c r="Z532" i="4" s="1"/>
  <c r="Y852" i="4"/>
  <c r="Z852" i="4" s="1"/>
  <c r="Y49" i="4"/>
  <c r="Z49" i="4" s="1"/>
  <c r="Y165" i="4"/>
  <c r="Z165" i="4" s="1"/>
  <c r="Y429" i="4"/>
  <c r="Z429" i="4" s="1"/>
  <c r="Y749" i="4"/>
  <c r="Z749" i="4" s="1"/>
  <c r="Y941" i="4"/>
  <c r="Z941" i="4" s="1"/>
  <c r="Y1155" i="4"/>
  <c r="Z1155" i="4" s="1"/>
  <c r="Y238" i="4"/>
  <c r="Z238" i="4" s="1"/>
  <c r="Y334" i="4"/>
  <c r="Z334" i="4" s="1"/>
  <c r="Y398" i="4"/>
  <c r="Z398" i="4" s="1"/>
  <c r="Y462" i="4"/>
  <c r="Z462" i="4" s="1"/>
  <c r="Y526" i="4"/>
  <c r="Z526" i="4" s="1"/>
  <c r="Y622" i="4"/>
  <c r="Z622" i="4" s="1"/>
  <c r="Y686" i="4"/>
  <c r="Z686" i="4" s="1"/>
  <c r="Y750" i="4"/>
  <c r="Z750" i="4" s="1"/>
  <c r="Y814" i="4"/>
  <c r="Z814" i="4" s="1"/>
  <c r="Y878" i="4"/>
  <c r="Z878" i="4" s="1"/>
  <c r="Y910" i="4"/>
  <c r="Z910" i="4" s="1"/>
  <c r="Y974" i="4"/>
  <c r="Z974" i="4" s="1"/>
  <c r="Y1058" i="4"/>
  <c r="Z1058" i="4" s="1"/>
  <c r="Y1197" i="4"/>
  <c r="Z1197" i="4" s="1"/>
  <c r="Y67" i="4"/>
  <c r="Z67" i="4" s="1"/>
  <c r="Y99" i="4"/>
  <c r="Z99" i="4" s="1"/>
  <c r="Y195" i="4"/>
  <c r="Z195" i="4" s="1"/>
  <c r="Y259" i="4"/>
  <c r="Z259" i="4" s="1"/>
  <c r="Y323" i="4"/>
  <c r="Z323" i="4" s="1"/>
  <c r="Y451" i="4"/>
  <c r="Z451" i="4" s="1"/>
  <c r="Y547" i="4"/>
  <c r="Z547" i="4" s="1"/>
  <c r="Y1198" i="4"/>
  <c r="Z1198" i="4" s="1"/>
  <c r="B131" i="7"/>
  <c r="F131" i="7" s="1"/>
  <c r="S72" i="8"/>
  <c r="T72" i="8" s="1"/>
  <c r="S357" i="8"/>
  <c r="T357" i="8" s="1"/>
  <c r="S667" i="8"/>
  <c r="T667" i="8" s="1"/>
  <c r="S31" i="8"/>
  <c r="T31" i="8" s="1"/>
  <c r="S233" i="8"/>
  <c r="T233" i="8" s="1"/>
  <c r="S491" i="8"/>
  <c r="T491" i="8" s="1"/>
  <c r="S1019" i="8"/>
  <c r="T1019" i="8" s="1"/>
  <c r="S112" i="8"/>
  <c r="T112" i="8" s="1"/>
  <c r="S333" i="8"/>
  <c r="T333" i="8" s="1"/>
  <c r="S619" i="8"/>
  <c r="T619" i="8" s="1"/>
  <c r="S21" i="8"/>
  <c r="T21" i="8" s="1"/>
  <c r="S136" i="8"/>
  <c r="T136" i="8" s="1"/>
  <c r="S435" i="8"/>
  <c r="T435" i="8" s="1"/>
  <c r="S819" i="8"/>
  <c r="T819" i="8" s="1"/>
  <c r="S137" i="8"/>
  <c r="T137" i="8" s="1"/>
  <c r="S373" i="8"/>
  <c r="T373" i="8" s="1"/>
  <c r="S699" i="8"/>
  <c r="T699" i="8" s="1"/>
  <c r="S22" i="8"/>
  <c r="T22" i="8" s="1"/>
  <c r="S265" i="8"/>
  <c r="T265" i="8" s="1"/>
  <c r="S539" i="8"/>
  <c r="T539" i="8" s="1"/>
  <c r="S1147" i="8"/>
  <c r="T1147" i="8" s="1"/>
  <c r="S175" i="8"/>
  <c r="T175" i="8" s="1"/>
  <c r="S445" i="8"/>
  <c r="T445" i="8" s="1"/>
  <c r="S843" i="8"/>
  <c r="T843" i="8" s="1"/>
  <c r="S125" i="8"/>
  <c r="T125" i="8" s="1"/>
  <c r="S355" i="8"/>
  <c r="T355" i="8" s="1"/>
  <c r="S659" i="8"/>
  <c r="T659" i="8" s="1"/>
  <c r="S264" i="8"/>
  <c r="T264" i="8" s="1"/>
  <c r="S965" i="8"/>
  <c r="T965" i="8" s="1"/>
  <c r="S1093" i="8"/>
  <c r="T1093" i="8" s="1"/>
  <c r="S589" i="8"/>
  <c r="T589" i="8" s="1"/>
  <c r="S653" i="8"/>
  <c r="T653" i="8" s="1"/>
  <c r="S717" i="8"/>
  <c r="T717" i="8" s="1"/>
  <c r="S781" i="8"/>
  <c r="T781" i="8" s="1"/>
  <c r="S845" i="8"/>
  <c r="T845" i="8" s="1"/>
  <c r="S909" i="8"/>
  <c r="T909" i="8" s="1"/>
  <c r="S1021" i="8"/>
  <c r="T1021" i="8" s="1"/>
  <c r="S1149" i="8"/>
  <c r="T1149" i="8" s="1"/>
  <c r="S86" i="8"/>
  <c r="T86" i="8" s="1"/>
  <c r="S164" i="8"/>
  <c r="T164" i="8" s="1"/>
  <c r="S247" i="8"/>
  <c r="T247" i="8" s="1"/>
  <c r="S947" i="8"/>
  <c r="T947" i="8" s="1"/>
  <c r="S1075" i="8"/>
  <c r="T1075" i="8" s="1"/>
  <c r="S12" i="8"/>
  <c r="T12" i="8" s="1"/>
  <c r="S45" i="8"/>
  <c r="T45" i="8" s="1"/>
  <c r="S99" i="8"/>
  <c r="T99" i="8" s="1"/>
  <c r="S171" i="8"/>
  <c r="T171" i="8" s="1"/>
  <c r="S261" i="8"/>
  <c r="T261" i="8" s="1"/>
  <c r="S959" i="8"/>
  <c r="T959" i="8" s="1"/>
  <c r="S1087" i="8"/>
  <c r="T1087" i="8" s="1"/>
  <c r="S56" i="8"/>
  <c r="T56" i="8" s="1"/>
  <c r="S127" i="8"/>
  <c r="T127" i="8" s="1"/>
  <c r="S217" i="8"/>
  <c r="T217" i="8" s="1"/>
  <c r="S300" i="8"/>
  <c r="T300" i="8" s="1"/>
  <c r="S367" i="8"/>
  <c r="T367" i="8" s="1"/>
  <c r="S431" i="8"/>
  <c r="T431" i="8" s="1"/>
  <c r="S495" i="8"/>
  <c r="T495" i="8" s="1"/>
  <c r="S559" i="8"/>
  <c r="T559" i="8" s="1"/>
  <c r="S623" i="8"/>
  <c r="T623" i="8" s="1"/>
  <c r="S687" i="8"/>
  <c r="T687" i="8" s="1"/>
  <c r="S751" i="8"/>
  <c r="T751" i="8" s="1"/>
  <c r="S815" i="8"/>
  <c r="T815" i="8" s="1"/>
  <c r="S879" i="8"/>
  <c r="T879" i="8" s="1"/>
  <c r="S961" i="8"/>
  <c r="T961" i="8" s="1"/>
  <c r="S1089" i="8"/>
  <c r="T1089" i="8" s="1"/>
  <c r="S4" i="8"/>
  <c r="T4" i="8" s="1"/>
  <c r="S57" i="8"/>
  <c r="T57" i="8" s="1"/>
  <c r="S113" i="8"/>
  <c r="T113" i="8" s="1"/>
  <c r="S205" i="8"/>
  <c r="T205" i="8" s="1"/>
  <c r="S288" i="8"/>
  <c r="T288" i="8" s="1"/>
  <c r="S361" i="8"/>
  <c r="T361" i="8" s="1"/>
  <c r="S425" i="8"/>
  <c r="T425" i="8" s="1"/>
  <c r="S489" i="8"/>
  <c r="T489" i="8" s="1"/>
  <c r="S553" i="8"/>
  <c r="T553" i="8" s="1"/>
  <c r="S617" i="8"/>
  <c r="T617" i="8" s="1"/>
  <c r="S681" i="8"/>
  <c r="T681" i="8" s="1"/>
  <c r="S745" i="8"/>
  <c r="T745" i="8" s="1"/>
  <c r="S809" i="8"/>
  <c r="T809" i="8" s="1"/>
  <c r="S873" i="8"/>
  <c r="T873" i="8" s="1"/>
  <c r="S951" i="8"/>
  <c r="T951" i="8" s="1"/>
  <c r="S1079" i="8"/>
  <c r="T1079" i="8" s="1"/>
  <c r="S20" i="8"/>
  <c r="T20" i="8" s="1"/>
  <c r="S107" i="8"/>
  <c r="T107" i="8" s="1"/>
  <c r="S180" i="8"/>
  <c r="T180" i="8" s="1"/>
  <c r="S263" i="8"/>
  <c r="T263" i="8" s="1"/>
  <c r="S985" i="8"/>
  <c r="T985" i="8" s="1"/>
  <c r="S1113" i="8"/>
  <c r="T1113" i="8" s="1"/>
  <c r="S130" i="8"/>
  <c r="T130" i="8" s="1"/>
  <c r="S162" i="8"/>
  <c r="T162" i="8" s="1"/>
  <c r="S194" i="8"/>
  <c r="T194" i="8" s="1"/>
  <c r="S226" i="8"/>
  <c r="T226" i="8" s="1"/>
  <c r="S258" i="8"/>
  <c r="T258" i="8" s="1"/>
  <c r="S290" i="8"/>
  <c r="T290" i="8" s="1"/>
  <c r="S322" i="8"/>
  <c r="T322" i="8" s="1"/>
  <c r="S354" i="8"/>
  <c r="T354" i="8" s="1"/>
  <c r="S386" i="8"/>
  <c r="T386" i="8" s="1"/>
  <c r="S418" i="8"/>
  <c r="T418" i="8" s="1"/>
  <c r="S450" i="8"/>
  <c r="T450" i="8" s="1"/>
  <c r="S482" i="8"/>
  <c r="T482" i="8" s="1"/>
  <c r="S514" i="8"/>
  <c r="T514" i="8" s="1"/>
  <c r="S546" i="8"/>
  <c r="T546" i="8" s="1"/>
  <c r="S578" i="8"/>
  <c r="T578" i="8" s="1"/>
  <c r="S610" i="8"/>
  <c r="T610" i="8" s="1"/>
  <c r="S642" i="8"/>
  <c r="T642" i="8" s="1"/>
  <c r="S674" i="8"/>
  <c r="T674" i="8" s="1"/>
  <c r="S706" i="8"/>
  <c r="T706" i="8" s="1"/>
  <c r="S738" i="8"/>
  <c r="T738" i="8" s="1"/>
  <c r="S770" i="8"/>
  <c r="T770" i="8" s="1"/>
  <c r="S802" i="8"/>
  <c r="T802" i="8" s="1"/>
  <c r="S834" i="8"/>
  <c r="T834" i="8" s="1"/>
  <c r="S866" i="8"/>
  <c r="T866" i="8" s="1"/>
  <c r="S898" i="8"/>
  <c r="T898" i="8" s="1"/>
  <c r="S930" i="8"/>
  <c r="T930" i="8" s="1"/>
  <c r="S962" i="8"/>
  <c r="T962" i="8" s="1"/>
  <c r="S994" i="8"/>
  <c r="T994" i="8" s="1"/>
  <c r="S1026" i="8"/>
  <c r="T1026" i="8" s="1"/>
  <c r="S1058" i="8"/>
  <c r="T1058" i="8" s="1"/>
  <c r="S1090" i="8"/>
  <c r="T1090" i="8" s="1"/>
  <c r="S1122" i="8"/>
  <c r="T1122" i="8" s="1"/>
  <c r="S1154" i="8"/>
  <c r="T1154" i="8" s="1"/>
  <c r="S1186" i="8"/>
  <c r="T1186" i="8" s="1"/>
  <c r="S1179" i="8"/>
  <c r="T1179" i="8" s="1"/>
  <c r="S324" i="8"/>
  <c r="T324" i="8" s="1"/>
  <c r="S356" i="8"/>
  <c r="T356" i="8" s="1"/>
  <c r="S388" i="8"/>
  <c r="T388" i="8" s="1"/>
  <c r="S420" i="8"/>
  <c r="T420" i="8" s="1"/>
  <c r="S452" i="8"/>
  <c r="T452" i="8" s="1"/>
  <c r="S484" i="8"/>
  <c r="T484" i="8" s="1"/>
  <c r="S516" i="8"/>
  <c r="T516" i="8" s="1"/>
  <c r="S548" i="8"/>
  <c r="T548" i="8" s="1"/>
  <c r="S580" i="8"/>
  <c r="T580" i="8" s="1"/>
  <c r="S612" i="8"/>
  <c r="T612" i="8" s="1"/>
  <c r="S644" i="8"/>
  <c r="T644" i="8" s="1"/>
  <c r="S676" i="8"/>
  <c r="T676" i="8" s="1"/>
  <c r="S708" i="8"/>
  <c r="T708" i="8" s="1"/>
  <c r="S740" i="8"/>
  <c r="T740" i="8" s="1"/>
  <c r="S772" i="8"/>
  <c r="T772" i="8" s="1"/>
  <c r="S804" i="8"/>
  <c r="T804" i="8" s="1"/>
  <c r="S836" i="8"/>
  <c r="T836" i="8" s="1"/>
  <c r="S868" i="8"/>
  <c r="T868" i="8" s="1"/>
  <c r="S900" i="8"/>
  <c r="T900" i="8" s="1"/>
  <c r="S932" i="8"/>
  <c r="T932" i="8" s="1"/>
  <c r="S964" i="8"/>
  <c r="T964" i="8" s="1"/>
  <c r="S996" i="8"/>
  <c r="T996" i="8" s="1"/>
  <c r="S1028" i="8"/>
  <c r="T1028" i="8" s="1"/>
  <c r="S1060" i="8"/>
  <c r="T1060" i="8" s="1"/>
  <c r="S1092" i="8"/>
  <c r="T1092" i="8" s="1"/>
  <c r="S1124" i="8"/>
  <c r="T1124" i="8" s="1"/>
  <c r="S1156" i="8"/>
  <c r="T1156" i="8" s="1"/>
  <c r="S1188" i="8"/>
  <c r="T1188" i="8" s="1"/>
  <c r="Y8" i="4"/>
  <c r="Z8" i="4" s="1"/>
  <c r="Y89" i="4"/>
  <c r="Z89" i="4" s="1"/>
  <c r="Y166" i="4"/>
  <c r="Z166" i="4" s="1"/>
  <c r="Y1151" i="4"/>
  <c r="Z1151" i="4" s="1"/>
  <c r="Y58" i="4"/>
  <c r="Z58" i="4" s="1"/>
  <c r="Y148" i="4"/>
  <c r="Z148" i="4" s="1"/>
  <c r="Y224" i="4"/>
  <c r="Z224" i="4" s="1"/>
  <c r="Y288" i="4"/>
  <c r="Z288" i="4" s="1"/>
  <c r="Y352" i="4"/>
  <c r="Z352" i="4" s="1"/>
  <c r="Y416" i="4"/>
  <c r="Z416" i="4" s="1"/>
  <c r="Y480" i="4"/>
  <c r="Z480" i="4" s="1"/>
  <c r="Y544" i="4"/>
  <c r="Z544" i="4" s="1"/>
  <c r="Y608" i="4"/>
  <c r="Z608" i="4" s="1"/>
  <c r="Y672" i="4"/>
  <c r="Z672" i="4" s="1"/>
  <c r="Y736" i="4"/>
  <c r="Z736" i="4" s="1"/>
  <c r="Y800" i="4"/>
  <c r="Z800" i="4" s="1"/>
  <c r="Y864" i="4"/>
  <c r="Z864" i="4" s="1"/>
  <c r="Y928" i="4"/>
  <c r="Z928" i="4" s="1"/>
  <c r="Y992" i="4"/>
  <c r="Z992" i="4" s="1"/>
  <c r="Y1097" i="4"/>
  <c r="Z1097" i="4" s="1"/>
  <c r="Y65" i="4"/>
  <c r="Z65" i="4" s="1"/>
  <c r="Y142" i="4"/>
  <c r="Z142" i="4" s="1"/>
  <c r="Y1125" i="4"/>
  <c r="Z1125" i="4" s="1"/>
  <c r="Y34" i="4"/>
  <c r="Z34" i="4" s="1"/>
  <c r="Y117" i="4"/>
  <c r="Z117" i="4" s="1"/>
  <c r="Y194" i="4"/>
  <c r="Z194" i="4" s="1"/>
  <c r="Y257" i="4"/>
  <c r="Z257" i="4" s="1"/>
  <c r="Y321" i="4"/>
  <c r="Z321" i="4" s="1"/>
  <c r="Y385" i="4"/>
  <c r="Z385" i="4" s="1"/>
  <c r="Y449" i="4"/>
  <c r="Z449" i="4" s="1"/>
  <c r="Y513" i="4"/>
  <c r="Z513" i="4" s="1"/>
  <c r="Y577" i="4"/>
  <c r="Z577" i="4" s="1"/>
  <c r="Y641" i="4"/>
  <c r="Z641" i="4" s="1"/>
  <c r="Y705" i="4"/>
  <c r="Z705" i="4" s="1"/>
  <c r="Y769" i="4"/>
  <c r="Z769" i="4" s="1"/>
  <c r="Y833" i="4"/>
  <c r="Z833" i="4" s="1"/>
  <c r="Y897" i="4"/>
  <c r="Z897" i="4" s="1"/>
  <c r="Y961" i="4"/>
  <c r="Z961" i="4" s="1"/>
  <c r="Y1025" i="4"/>
  <c r="Z1025" i="4" s="1"/>
  <c r="Y18" i="4"/>
  <c r="Z18" i="4" s="1"/>
  <c r="Y80" i="4"/>
  <c r="Z80" i="4" s="1"/>
  <c r="Y169" i="4"/>
  <c r="Z169" i="4" s="1"/>
  <c r="Y1127" i="4"/>
  <c r="Z1127" i="4" s="1"/>
  <c r="Y61" i="4"/>
  <c r="Z61" i="4" s="1"/>
  <c r="Y138" i="4"/>
  <c r="Z138" i="4" s="1"/>
  <c r="Y220" i="4"/>
  <c r="Z220" i="4" s="1"/>
  <c r="Y284" i="4"/>
  <c r="Z284" i="4" s="1"/>
  <c r="Y348" i="4"/>
  <c r="Z348" i="4" s="1"/>
  <c r="Y412" i="4"/>
  <c r="Z412" i="4" s="1"/>
  <c r="Y476" i="4"/>
  <c r="Z476" i="4" s="1"/>
  <c r="Y540" i="4"/>
  <c r="Z540" i="4" s="1"/>
  <c r="Y604" i="4"/>
  <c r="Z604" i="4" s="1"/>
  <c r="Y668" i="4"/>
  <c r="Z668" i="4" s="1"/>
  <c r="Y732" i="4"/>
  <c r="Z732" i="4" s="1"/>
  <c r="Y796" i="4"/>
  <c r="Z796" i="4" s="1"/>
  <c r="Y860" i="4"/>
  <c r="Z860" i="4" s="1"/>
  <c r="Y924" i="4"/>
  <c r="Z924" i="4" s="1"/>
  <c r="Y988" i="4"/>
  <c r="Z988" i="4" s="1"/>
  <c r="Y1129" i="4"/>
  <c r="Z1129" i="4" s="1"/>
  <c r="Y56" i="4"/>
  <c r="Z56" i="4" s="1"/>
  <c r="Y145" i="4"/>
  <c r="Z145" i="4" s="1"/>
  <c r="Y1047" i="4"/>
  <c r="Z1047" i="4" s="1"/>
  <c r="Y7" i="4"/>
  <c r="Z7" i="4" s="1"/>
  <c r="Y82" i="4"/>
  <c r="Z82" i="4" s="1"/>
  <c r="Y172" i="4"/>
  <c r="Z172" i="4" s="1"/>
  <c r="Y245" i="4"/>
  <c r="Z245" i="4" s="1"/>
  <c r="Y309" i="4"/>
  <c r="Z309" i="4" s="1"/>
  <c r="Y373" i="4"/>
  <c r="Z373" i="4" s="1"/>
  <c r="Y437" i="4"/>
  <c r="Z437" i="4" s="1"/>
  <c r="Y501" i="4"/>
  <c r="Z501" i="4" s="1"/>
  <c r="Y565" i="4"/>
  <c r="Z565" i="4" s="1"/>
  <c r="Y629" i="4"/>
  <c r="Z629" i="4" s="1"/>
  <c r="Y693" i="4"/>
  <c r="Z693" i="4" s="1"/>
  <c r="Y757" i="4"/>
  <c r="Z757" i="4" s="1"/>
  <c r="Y821" i="4"/>
  <c r="Z821" i="4" s="1"/>
  <c r="Y885" i="4"/>
  <c r="Z885" i="4" s="1"/>
  <c r="Y949" i="4"/>
  <c r="Z949" i="4" s="1"/>
  <c r="Y1013" i="4"/>
  <c r="Z1013" i="4" s="1"/>
  <c r="Y1189" i="4"/>
  <c r="Z1189" i="4" s="1"/>
  <c r="Y1094" i="4"/>
  <c r="Z1094" i="4" s="1"/>
  <c r="Y1161" i="4"/>
  <c r="Z1161" i="4" s="1"/>
  <c r="Y210" i="4"/>
  <c r="Z210" i="4" s="1"/>
  <c r="Y242" i="4"/>
  <c r="Z242" i="4" s="1"/>
  <c r="Y274" i="4"/>
  <c r="Z274" i="4" s="1"/>
  <c r="Y306" i="4"/>
  <c r="Z306" i="4" s="1"/>
  <c r="Y338" i="4"/>
  <c r="Z338" i="4" s="1"/>
  <c r="Y370" i="4"/>
  <c r="Z370" i="4" s="1"/>
  <c r="Y402" i="4"/>
  <c r="Z402" i="4" s="1"/>
  <c r="Y434" i="4"/>
  <c r="Z434" i="4" s="1"/>
  <c r="Y466" i="4"/>
  <c r="Z466" i="4" s="1"/>
  <c r="Y498" i="4"/>
  <c r="Z498" i="4" s="1"/>
  <c r="Y530" i="4"/>
  <c r="Z530" i="4" s="1"/>
  <c r="Y562" i="4"/>
  <c r="Z562" i="4" s="1"/>
  <c r="Y594" i="4"/>
  <c r="Z594" i="4" s="1"/>
  <c r="Y626" i="4"/>
  <c r="Z626" i="4" s="1"/>
  <c r="Y658" i="4"/>
  <c r="Z658" i="4" s="1"/>
  <c r="Y690" i="4"/>
  <c r="Z690" i="4" s="1"/>
  <c r="Y722" i="4"/>
  <c r="Z722" i="4" s="1"/>
  <c r="Y754" i="4"/>
  <c r="Z754" i="4" s="1"/>
  <c r="Y786" i="4"/>
  <c r="Z786" i="4" s="1"/>
  <c r="Y818" i="4"/>
  <c r="Z818" i="4" s="1"/>
  <c r="Y850" i="4"/>
  <c r="Z850" i="4" s="1"/>
  <c r="Y882" i="4"/>
  <c r="Z882" i="4" s="1"/>
  <c r="Y914" i="4"/>
  <c r="Z914" i="4" s="1"/>
  <c r="Y946" i="4"/>
  <c r="Z946" i="4" s="1"/>
  <c r="Y978" i="4"/>
  <c r="Z978" i="4" s="1"/>
  <c r="Y1010" i="4"/>
  <c r="Z1010" i="4" s="1"/>
  <c r="Y1067" i="4"/>
  <c r="Z1067" i="4" s="1"/>
  <c r="Y4" i="4"/>
  <c r="Z4" i="4" s="1"/>
  <c r="Y39" i="4"/>
  <c r="Z39" i="4" s="1"/>
  <c r="Y71" i="4"/>
  <c r="Z71" i="4" s="1"/>
  <c r="Y103" i="4"/>
  <c r="Z103" i="4" s="1"/>
  <c r="Y135" i="4"/>
  <c r="Z135" i="4" s="1"/>
  <c r="Y167" i="4"/>
  <c r="Z167" i="4" s="1"/>
  <c r="Y199" i="4"/>
  <c r="Z199" i="4" s="1"/>
  <c r="Y231" i="4"/>
  <c r="Z231" i="4" s="1"/>
  <c r="Y263" i="4"/>
  <c r="Z263" i="4" s="1"/>
  <c r="Y295" i="4"/>
  <c r="Z295" i="4" s="1"/>
  <c r="Y327" i="4"/>
  <c r="Z327" i="4" s="1"/>
  <c r="Y359" i="4"/>
  <c r="Z359" i="4" s="1"/>
  <c r="Y391" i="4"/>
  <c r="Z391" i="4" s="1"/>
  <c r="Y423" i="4"/>
  <c r="Z423" i="4" s="1"/>
  <c r="Y455" i="4"/>
  <c r="Z455" i="4" s="1"/>
  <c r="Y487" i="4"/>
  <c r="Z487" i="4" s="1"/>
  <c r="Y519" i="4"/>
  <c r="Z519" i="4" s="1"/>
  <c r="Y551" i="4"/>
  <c r="Z551" i="4" s="1"/>
  <c r="Y583" i="4"/>
  <c r="Z583" i="4" s="1"/>
  <c r="Y615" i="4"/>
  <c r="Z615" i="4" s="1"/>
  <c r="Y647" i="4"/>
  <c r="Z647" i="4" s="1"/>
  <c r="Y679" i="4"/>
  <c r="Z679" i="4" s="1"/>
  <c r="Y711" i="4"/>
  <c r="Z711" i="4" s="1"/>
  <c r="Y743" i="4"/>
  <c r="Z743" i="4" s="1"/>
  <c r="Y775" i="4"/>
  <c r="Z775" i="4" s="1"/>
  <c r="Y807" i="4"/>
  <c r="Z807" i="4" s="1"/>
  <c r="Y839" i="4"/>
  <c r="Z839" i="4" s="1"/>
  <c r="Y871" i="4"/>
  <c r="Z871" i="4" s="1"/>
  <c r="Y903" i="4"/>
  <c r="Z903" i="4" s="1"/>
  <c r="Y935" i="4"/>
  <c r="Z935" i="4" s="1"/>
  <c r="Y967" i="4"/>
  <c r="Z967" i="4" s="1"/>
  <c r="Y999" i="4"/>
  <c r="Z999" i="4" s="1"/>
  <c r="Y1041" i="4"/>
  <c r="Z1041" i="4" s="1"/>
  <c r="Y1123" i="4"/>
  <c r="Z1123" i="4" s="1"/>
  <c r="Y1087" i="4"/>
  <c r="Z1087" i="4" s="1"/>
  <c r="Y1158" i="4"/>
  <c r="Z1158" i="4" s="1"/>
  <c r="Y1036" i="4"/>
  <c r="Z1036" i="4" s="1"/>
  <c r="Y1068" i="4"/>
  <c r="Z1068" i="4" s="1"/>
  <c r="Y1100" i="4"/>
  <c r="Z1100" i="4" s="1"/>
  <c r="Y1132" i="4"/>
  <c r="Z1132" i="4" s="1"/>
  <c r="Y1164" i="4"/>
  <c r="Z1164" i="4" s="1"/>
  <c r="Y1196" i="4"/>
  <c r="Z1196" i="4" s="1"/>
  <c r="B133" i="7"/>
  <c r="F133" i="7" s="1"/>
  <c r="T4" i="4" l="1"/>
  <c r="V4" i="4" s="1"/>
  <c r="K14" i="4" s="1"/>
  <c r="F11" i="5" s="1"/>
  <c r="S4" i="4"/>
  <c r="U4" i="4" s="1"/>
  <c r="H22" i="4" s="1"/>
  <c r="J4" i="8"/>
  <c r="J109" i="8" s="1"/>
  <c r="G14" i="4" l="1"/>
  <c r="F10" i="5" s="1"/>
  <c r="E5" i="5"/>
  <c r="K23" i="4"/>
  <c r="F15" i="5" s="1"/>
  <c r="L23" i="4"/>
  <c r="O13" i="4"/>
  <c r="D12" i="5" s="1"/>
  <c r="C13" i="4"/>
  <c r="D9" i="5" s="1"/>
  <c r="O23" i="4"/>
  <c r="F16" i="5" s="1"/>
  <c r="D22" i="4"/>
  <c r="E13" i="5" s="1"/>
  <c r="D13" i="4"/>
  <c r="E9" i="5" s="1"/>
  <c r="F7" i="4"/>
  <c r="C23" i="4"/>
  <c r="F13" i="5" s="1"/>
  <c r="C7" i="4"/>
  <c r="P22" i="4"/>
  <c r="P23" i="4"/>
  <c r="H14" i="4"/>
  <c r="G10" i="5" s="1"/>
  <c r="P13" i="4"/>
  <c r="C33" i="4" s="1"/>
  <c r="K13" i="4"/>
  <c r="D11" i="5" s="1"/>
  <c r="L14" i="4"/>
  <c r="C14" i="4"/>
  <c r="F9" i="5" s="1"/>
  <c r="D23" i="4"/>
  <c r="K22" i="4"/>
  <c r="D15" i="5" s="1"/>
  <c r="G22" i="4"/>
  <c r="D14" i="5" s="1"/>
  <c r="P14" i="4"/>
  <c r="C22" i="4"/>
  <c r="D13" i="5" s="1"/>
  <c r="O22" i="4"/>
  <c r="D16" i="5" s="1"/>
  <c r="G23" i="4"/>
  <c r="F14" i="5" s="1"/>
  <c r="D14" i="4"/>
  <c r="G13" i="4"/>
  <c r="D10" i="5" s="1"/>
  <c r="W4" i="4"/>
  <c r="L13" i="4"/>
  <c r="E11" i="5" s="1"/>
  <c r="H23" i="4"/>
  <c r="O14" i="4"/>
  <c r="F12" i="5" s="1"/>
  <c r="H13" i="4"/>
  <c r="L22" i="4"/>
  <c r="K4" i="8"/>
  <c r="J69" i="8"/>
  <c r="K12" i="8"/>
  <c r="J101" i="8"/>
  <c r="F105" i="8" s="1"/>
  <c r="K69" i="8"/>
  <c r="K17" i="8"/>
  <c r="G17" i="8" s="1"/>
  <c r="O17" i="8" s="1"/>
  <c r="K77" i="8"/>
  <c r="J85" i="8"/>
  <c r="E86" i="8" s="1"/>
  <c r="K93" i="8"/>
  <c r="K18" i="8"/>
  <c r="K117" i="8"/>
  <c r="J14" i="8"/>
  <c r="E14" i="8" s="1"/>
  <c r="J13" i="8"/>
  <c r="J12" i="8"/>
  <c r="D12" i="8" s="1"/>
  <c r="L12" i="8" s="1"/>
  <c r="J61" i="8"/>
  <c r="F64" i="8" s="1"/>
  <c r="J11" i="8"/>
  <c r="E11" i="8" s="1"/>
  <c r="J15" i="8"/>
  <c r="J117" i="8"/>
  <c r="J77" i="8"/>
  <c r="F83" i="8" s="1"/>
  <c r="K101" i="8"/>
  <c r="H103" i="8" s="1"/>
  <c r="K61" i="8"/>
  <c r="K109" i="8"/>
  <c r="H109" i="8" s="1"/>
  <c r="K15" i="8"/>
  <c r="F15" i="8" s="1"/>
  <c r="M15" i="8" s="1"/>
  <c r="K16" i="8"/>
  <c r="K11" i="8"/>
  <c r="J17" i="8"/>
  <c r="E17" i="8" s="1"/>
  <c r="K13" i="8"/>
  <c r="G13" i="8" s="1"/>
  <c r="O13" i="8" s="1"/>
  <c r="J93" i="8"/>
  <c r="F100" i="8" s="1"/>
  <c r="J18" i="8"/>
  <c r="E18" i="8" s="1"/>
  <c r="J16" i="8"/>
  <c r="E16" i="8" s="1"/>
  <c r="K85" i="8"/>
  <c r="H88" i="8" s="1"/>
  <c r="K14" i="8"/>
  <c r="F14" i="8" s="1"/>
  <c r="M14" i="8" s="1"/>
  <c r="F6" i="8"/>
  <c r="C6" i="8"/>
  <c r="F69" i="8"/>
  <c r="F75" i="8"/>
  <c r="F71" i="8"/>
  <c r="E75" i="8"/>
  <c r="E71" i="8"/>
  <c r="F76" i="8"/>
  <c r="E14" i="5"/>
  <c r="C35" i="4"/>
  <c r="F116" i="8"/>
  <c r="F115" i="8"/>
  <c r="F114" i="8"/>
  <c r="F113" i="8"/>
  <c r="F112" i="8"/>
  <c r="F111" i="8"/>
  <c r="F110" i="8"/>
  <c r="E115" i="8"/>
  <c r="E111" i="8"/>
  <c r="E116" i="8"/>
  <c r="E112" i="8"/>
  <c r="E114" i="8"/>
  <c r="E113" i="8"/>
  <c r="E110" i="8"/>
  <c r="F109" i="8"/>
  <c r="E109" i="8"/>
  <c r="K24" i="4" l="1"/>
  <c r="H15" i="5" s="1"/>
  <c r="G15" i="5"/>
  <c r="D36" i="4"/>
  <c r="E16" i="5"/>
  <c r="C37" i="4"/>
  <c r="G13" i="5"/>
  <c r="D34" i="4"/>
  <c r="G9" i="5"/>
  <c r="D30" i="4"/>
  <c r="X6" i="4" s="1"/>
  <c r="H6" i="4"/>
  <c r="M6" i="4"/>
  <c r="C6" i="4"/>
  <c r="A4" i="5" s="1"/>
  <c r="E10" i="5"/>
  <c r="C31" i="4"/>
  <c r="E15" i="5"/>
  <c r="C36" i="4"/>
  <c r="D37" i="4"/>
  <c r="G16" i="5"/>
  <c r="D32" i="4"/>
  <c r="G11" i="5"/>
  <c r="G12" i="5"/>
  <c r="D33" i="4"/>
  <c r="G24" i="4"/>
  <c r="H14" i="5" s="1"/>
  <c r="G14" i="5"/>
  <c r="D35" i="4"/>
  <c r="F70" i="8"/>
  <c r="E72" i="8"/>
  <c r="E70" i="8"/>
  <c r="E73" i="8"/>
  <c r="F72" i="8"/>
  <c r="E76" i="8"/>
  <c r="F73" i="8"/>
  <c r="E69" i="8"/>
  <c r="F74" i="8"/>
  <c r="E74" i="8"/>
  <c r="G12" i="8"/>
  <c r="O12" i="8" s="1"/>
  <c r="F12" i="8"/>
  <c r="M12" i="8" s="1"/>
  <c r="H74" i="8"/>
  <c r="G73" i="8"/>
  <c r="G71" i="8"/>
  <c r="H78" i="8"/>
  <c r="H79" i="8"/>
  <c r="H93" i="8"/>
  <c r="G96" i="8"/>
  <c r="G97" i="8"/>
  <c r="G93" i="8"/>
  <c r="G98" i="8"/>
  <c r="G94" i="8"/>
  <c r="G95" i="8"/>
  <c r="G99" i="8"/>
  <c r="H94" i="8"/>
  <c r="H96" i="8"/>
  <c r="H97" i="8"/>
  <c r="H98" i="8"/>
  <c r="H99" i="8"/>
  <c r="H95" i="8"/>
  <c r="H100" i="8"/>
  <c r="G100" i="8"/>
  <c r="G18" i="8"/>
  <c r="O18" i="8" s="1"/>
  <c r="F18" i="8"/>
  <c r="M18" i="8" s="1"/>
  <c r="H124" i="8"/>
  <c r="G122" i="8"/>
  <c r="G124" i="8"/>
  <c r="G123" i="8"/>
  <c r="G121" i="8"/>
  <c r="H122" i="8"/>
  <c r="H117" i="8"/>
  <c r="G118" i="8"/>
  <c r="H120" i="8"/>
  <c r="H123" i="8"/>
  <c r="G119" i="8"/>
  <c r="E13" i="8"/>
  <c r="D13" i="8"/>
  <c r="L13" i="8" s="1"/>
  <c r="E15" i="8"/>
  <c r="D15" i="8"/>
  <c r="L15" i="8" s="1"/>
  <c r="F117" i="8"/>
  <c r="F124" i="8"/>
  <c r="E120" i="8"/>
  <c r="F123" i="8"/>
  <c r="E123" i="8"/>
  <c r="F120" i="8"/>
  <c r="H63" i="8"/>
  <c r="H66" i="8"/>
  <c r="G61" i="8"/>
  <c r="F11" i="8"/>
  <c r="M11" i="8" s="1"/>
  <c r="G11" i="8"/>
  <c r="O11" i="8" s="1"/>
  <c r="C30" i="4"/>
  <c r="C15" i="4"/>
  <c r="H9" i="5" s="1"/>
  <c r="G15" i="4"/>
  <c r="H10" i="5" s="1"/>
  <c r="C32" i="4"/>
  <c r="D31" i="4"/>
  <c r="E12" i="5"/>
  <c r="H71" i="8"/>
  <c r="G72" i="8"/>
  <c r="G63" i="8"/>
  <c r="H68" i="8"/>
  <c r="O24" i="4"/>
  <c r="H16" i="5" s="1"/>
  <c r="H73" i="8"/>
  <c r="I73" i="8" s="1"/>
  <c r="G75" i="8"/>
  <c r="G76" i="8"/>
  <c r="G67" i="8"/>
  <c r="H75" i="8"/>
  <c r="H72" i="8"/>
  <c r="G62" i="8"/>
  <c r="H69" i="8"/>
  <c r="I69" i="8" s="1"/>
  <c r="H76" i="8"/>
  <c r="I76" i="8" s="1"/>
  <c r="G66" i="8"/>
  <c r="G74" i="8"/>
  <c r="G68" i="8"/>
  <c r="H67" i="8"/>
  <c r="G69" i="8"/>
  <c r="H70" i="8"/>
  <c r="I70" i="8" s="1"/>
  <c r="C69" i="8"/>
  <c r="L70" i="8" s="1"/>
  <c r="H61" i="8"/>
  <c r="G70" i="8"/>
  <c r="H65" i="8"/>
  <c r="E117" i="8"/>
  <c r="H62" i="8"/>
  <c r="F94" i="8"/>
  <c r="I94" i="8" s="1"/>
  <c r="F95" i="8"/>
  <c r="I95" i="8" s="1"/>
  <c r="F107" i="8"/>
  <c r="C101" i="8"/>
  <c r="L101" i="8" s="1"/>
  <c r="G101" i="8"/>
  <c r="E93" i="8"/>
  <c r="F97" i="8"/>
  <c r="I97" i="8" s="1"/>
  <c r="D14" i="8"/>
  <c r="L14" i="8" s="1"/>
  <c r="E103" i="8"/>
  <c r="E102" i="8"/>
  <c r="F101" i="8"/>
  <c r="G102" i="8"/>
  <c r="E95" i="8"/>
  <c r="E107" i="8"/>
  <c r="G104" i="8"/>
  <c r="E94" i="8"/>
  <c r="F98" i="8"/>
  <c r="E104" i="8"/>
  <c r="E106" i="8"/>
  <c r="H106" i="8"/>
  <c r="E99" i="8"/>
  <c r="K15" i="4"/>
  <c r="H11" i="5" s="1"/>
  <c r="F104" i="8"/>
  <c r="F102" i="8"/>
  <c r="H108" i="8"/>
  <c r="E101" i="8"/>
  <c r="F93" i="8"/>
  <c r="I93" i="8" s="1"/>
  <c r="E108" i="8"/>
  <c r="F106" i="8"/>
  <c r="G103" i="8"/>
  <c r="E100" i="8"/>
  <c r="F108" i="8"/>
  <c r="E105" i="8"/>
  <c r="G65" i="8"/>
  <c r="H64" i="8"/>
  <c r="I64" i="8" s="1"/>
  <c r="G107" i="8"/>
  <c r="F103" i="8"/>
  <c r="H107" i="8"/>
  <c r="E119" i="8"/>
  <c r="E121" i="8"/>
  <c r="C24" i="4"/>
  <c r="H13" i="5" s="1"/>
  <c r="C17" i="8"/>
  <c r="I17" i="8" s="1"/>
  <c r="F118" i="8"/>
  <c r="C117" i="8"/>
  <c r="L119" i="8" s="1"/>
  <c r="E122" i="8"/>
  <c r="F121" i="8"/>
  <c r="C13" i="8"/>
  <c r="I13" i="8" s="1"/>
  <c r="F13" i="8"/>
  <c r="M13" i="8" s="1"/>
  <c r="D17" i="8"/>
  <c r="L17" i="8" s="1"/>
  <c r="F119" i="8"/>
  <c r="E124" i="8"/>
  <c r="I100" i="8"/>
  <c r="E118" i="8"/>
  <c r="F122" i="8"/>
  <c r="I122" i="8" s="1"/>
  <c r="E98" i="8"/>
  <c r="F96" i="8"/>
  <c r="G120" i="8"/>
  <c r="H118" i="8"/>
  <c r="G113" i="8"/>
  <c r="H115" i="8"/>
  <c r="I115" i="8" s="1"/>
  <c r="F17" i="8"/>
  <c r="M17" i="8" s="1"/>
  <c r="G116" i="8"/>
  <c r="H116" i="8"/>
  <c r="I116" i="8" s="1"/>
  <c r="D16" i="8"/>
  <c r="L16" i="8" s="1"/>
  <c r="E12" i="8"/>
  <c r="C34" i="4"/>
  <c r="G114" i="8"/>
  <c r="H114" i="8"/>
  <c r="I114" i="8" s="1"/>
  <c r="C12" i="8"/>
  <c r="I12" i="8" s="1"/>
  <c r="C109" i="8"/>
  <c r="L112" i="8" s="1"/>
  <c r="I98" i="8"/>
  <c r="G111" i="8"/>
  <c r="E97" i="8"/>
  <c r="F99" i="8"/>
  <c r="I99" i="8" s="1"/>
  <c r="O15" i="4"/>
  <c r="H12" i="5" s="1"/>
  <c r="H119" i="8"/>
  <c r="H121" i="8"/>
  <c r="G115" i="8"/>
  <c r="G105" i="8"/>
  <c r="H101" i="8"/>
  <c r="C93" i="8"/>
  <c r="L98" i="8" s="1"/>
  <c r="E96" i="8"/>
  <c r="G117" i="8"/>
  <c r="H110" i="8"/>
  <c r="I110" i="8" s="1"/>
  <c r="G64" i="8"/>
  <c r="G108" i="8"/>
  <c r="H102" i="8"/>
  <c r="D18" i="8"/>
  <c r="L18" i="8" s="1"/>
  <c r="G110" i="8"/>
  <c r="H111" i="8"/>
  <c r="I111" i="8" s="1"/>
  <c r="C16" i="8"/>
  <c r="I16" i="8" s="1"/>
  <c r="H112" i="8"/>
  <c r="I112" i="8" s="1"/>
  <c r="H80" i="8"/>
  <c r="G90" i="8"/>
  <c r="E61" i="8"/>
  <c r="I117" i="8"/>
  <c r="F65" i="8"/>
  <c r="I65" i="8" s="1"/>
  <c r="F66" i="8"/>
  <c r="I66" i="8" s="1"/>
  <c r="G79" i="8"/>
  <c r="C18" i="8"/>
  <c r="I18" i="8" s="1"/>
  <c r="H92" i="8"/>
  <c r="C61" i="8"/>
  <c r="G83" i="8"/>
  <c r="E92" i="8"/>
  <c r="G85" i="8"/>
  <c r="G91" i="8"/>
  <c r="E83" i="8"/>
  <c r="F78" i="8"/>
  <c r="E62" i="8"/>
  <c r="F67" i="8"/>
  <c r="I67" i="8" s="1"/>
  <c r="F92" i="8"/>
  <c r="F86" i="8"/>
  <c r="G78" i="8"/>
  <c r="H81" i="8"/>
  <c r="F79" i="8"/>
  <c r="I79" i="8" s="1"/>
  <c r="C15" i="8"/>
  <c r="I15" i="8" s="1"/>
  <c r="E64" i="8"/>
  <c r="E66" i="8"/>
  <c r="F68" i="8"/>
  <c r="C14" i="8"/>
  <c r="I14" i="8" s="1"/>
  <c r="E87" i="8"/>
  <c r="F90" i="8"/>
  <c r="G82" i="8"/>
  <c r="H82" i="8"/>
  <c r="F16" i="8"/>
  <c r="M16" i="8" s="1"/>
  <c r="I75" i="8"/>
  <c r="G112" i="8"/>
  <c r="H113" i="8"/>
  <c r="I113" i="8" s="1"/>
  <c r="H104" i="8"/>
  <c r="I104" i="8" s="1"/>
  <c r="G106" i="8"/>
  <c r="E79" i="8"/>
  <c r="E90" i="8"/>
  <c r="H85" i="8"/>
  <c r="H87" i="8"/>
  <c r="G14" i="8"/>
  <c r="O14" i="8" s="1"/>
  <c r="H89" i="8"/>
  <c r="H91" i="8"/>
  <c r="I96" i="8"/>
  <c r="C77" i="8"/>
  <c r="L83" i="8" s="1"/>
  <c r="F80" i="8"/>
  <c r="E65" i="8"/>
  <c r="F61" i="8"/>
  <c r="E91" i="8"/>
  <c r="C85" i="8"/>
  <c r="G77" i="8"/>
  <c r="H83" i="8"/>
  <c r="I83" i="8" s="1"/>
  <c r="G16" i="8"/>
  <c r="O16" i="8" s="1"/>
  <c r="F77" i="8"/>
  <c r="G87" i="8"/>
  <c r="F88" i="8"/>
  <c r="I88" i="8" s="1"/>
  <c r="G89" i="8"/>
  <c r="E78" i="8"/>
  <c r="F82" i="8"/>
  <c r="D11" i="8"/>
  <c r="L11" i="8" s="1"/>
  <c r="E63" i="8"/>
  <c r="F63" i="8"/>
  <c r="I63" i="8" s="1"/>
  <c r="E88" i="8"/>
  <c r="F91" i="8"/>
  <c r="G80" i="8"/>
  <c r="H77" i="8"/>
  <c r="G15" i="8"/>
  <c r="O15" i="8" s="1"/>
  <c r="F84" i="8"/>
  <c r="H90" i="8"/>
  <c r="E80" i="8"/>
  <c r="E81" i="8"/>
  <c r="E85" i="8"/>
  <c r="I109" i="8"/>
  <c r="E84" i="8"/>
  <c r="G86" i="8"/>
  <c r="G88" i="8"/>
  <c r="E77" i="8"/>
  <c r="F81" i="8"/>
  <c r="C11" i="8"/>
  <c r="I11" i="8" s="1"/>
  <c r="E68" i="8"/>
  <c r="F62" i="8"/>
  <c r="F89" i="8"/>
  <c r="F87" i="8"/>
  <c r="F85" i="8"/>
  <c r="G81" i="8"/>
  <c r="H84" i="8"/>
  <c r="G92" i="8"/>
  <c r="I123" i="8"/>
  <c r="H86" i="8"/>
  <c r="E82" i="8"/>
  <c r="I120" i="8"/>
  <c r="E67" i="8"/>
  <c r="E89" i="8"/>
  <c r="G84" i="8"/>
  <c r="G109" i="8"/>
  <c r="H105" i="8"/>
  <c r="I105" i="8" s="1"/>
  <c r="N15" i="8"/>
  <c r="N14" i="8"/>
  <c r="I74" i="8"/>
  <c r="I124" i="8"/>
  <c r="I71" i="8"/>
  <c r="N16" i="8"/>
  <c r="L93" i="8"/>
  <c r="L72" i="8"/>
  <c r="L71" i="8"/>
  <c r="N17" i="8"/>
  <c r="H17" i="8"/>
  <c r="H11" i="8"/>
  <c r="N11" i="8"/>
  <c r="L120" i="8"/>
  <c r="N13" i="8"/>
  <c r="H13" i="8"/>
  <c r="E34" i="4"/>
  <c r="E30" i="4"/>
  <c r="B25" i="4"/>
  <c r="B17" i="4"/>
  <c r="E31" i="4"/>
  <c r="J11" i="5"/>
  <c r="E35" i="4"/>
  <c r="E33" i="4"/>
  <c r="E37" i="4"/>
  <c r="X4" i="4"/>
  <c r="J9" i="5"/>
  <c r="E32" i="4"/>
  <c r="N25" i="4"/>
  <c r="A5" i="5"/>
  <c r="E36" i="4"/>
  <c r="J25" i="4"/>
  <c r="N17" i="4"/>
  <c r="J13" i="5"/>
  <c r="J17" i="4"/>
  <c r="J15" i="5"/>
  <c r="J14" i="5"/>
  <c r="J10" i="5"/>
  <c r="J16" i="5"/>
  <c r="J12" i="5"/>
  <c r="F17" i="4"/>
  <c r="F25" i="4"/>
  <c r="K45" i="5"/>
  <c r="K46" i="5"/>
  <c r="K44" i="5"/>
  <c r="I85" i="8"/>
  <c r="L115" i="8"/>
  <c r="L111" i="8"/>
  <c r="L116" i="8"/>
  <c r="L110" i="8"/>
  <c r="L114" i="8"/>
  <c r="L113" i="8"/>
  <c r="I78" i="8"/>
  <c r="I103" i="8"/>
  <c r="I72" i="8"/>
  <c r="L102" i="8"/>
  <c r="H18" i="8"/>
  <c r="N18" i="8"/>
  <c r="I102" i="8" l="1"/>
  <c r="I62" i="8"/>
  <c r="I87" i="8"/>
  <c r="N12" i="8"/>
  <c r="H12" i="8"/>
  <c r="L64" i="8"/>
  <c r="L67" i="8"/>
  <c r="L63" i="8"/>
  <c r="L68" i="8"/>
  <c r="L65" i="8"/>
  <c r="L61" i="8"/>
  <c r="L66" i="8"/>
  <c r="L62" i="8"/>
  <c r="L90" i="8"/>
  <c r="L92" i="8"/>
  <c r="I68" i="8"/>
  <c r="I92" i="8"/>
  <c r="I118" i="8"/>
  <c r="L103" i="8"/>
  <c r="L104" i="8"/>
  <c r="L122" i="8"/>
  <c r="L73" i="8"/>
  <c r="I61" i="8"/>
  <c r="L123" i="8"/>
  <c r="L74" i="8"/>
  <c r="L124" i="8"/>
  <c r="L75" i="8"/>
  <c r="L86" i="8"/>
  <c r="I108" i="8"/>
  <c r="L105" i="8"/>
  <c r="L121" i="8"/>
  <c r="L85" i="8"/>
  <c r="L106" i="8"/>
  <c r="L107" i="8"/>
  <c r="L76" i="8"/>
  <c r="L118" i="8"/>
  <c r="L69" i="8"/>
  <c r="L88" i="8"/>
  <c r="I121" i="8"/>
  <c r="I107" i="8"/>
  <c r="L117" i="8"/>
  <c r="L87" i="8"/>
  <c r="L108" i="8"/>
  <c r="L91" i="8"/>
  <c r="I89" i="8"/>
  <c r="L109" i="8"/>
  <c r="I101" i="8"/>
  <c r="I119" i="8"/>
  <c r="I106" i="8"/>
  <c r="L89" i="8"/>
  <c r="I81" i="8"/>
  <c r="H15" i="8"/>
  <c r="I84" i="8"/>
  <c r="P11" i="8" a="1"/>
  <c r="P11" i="8" s="1"/>
  <c r="I91" i="8"/>
  <c r="H14" i="8"/>
  <c r="L97" i="8"/>
  <c r="L95" i="8"/>
  <c r="L78" i="8"/>
  <c r="L96" i="8"/>
  <c r="I86" i="8"/>
  <c r="L100" i="8"/>
  <c r="L99" i="8"/>
  <c r="I80" i="8"/>
  <c r="L94" i="8"/>
  <c r="I82" i="8"/>
  <c r="P12" i="8"/>
  <c r="L77" i="8"/>
  <c r="L82" i="8"/>
  <c r="L81" i="8"/>
  <c r="H16" i="8"/>
  <c r="L80" i="8"/>
  <c r="I90" i="8"/>
  <c r="L84" i="8"/>
  <c r="L79" i="8"/>
  <c r="I77" i="8"/>
  <c r="A44" i="5"/>
  <c r="A45" i="5"/>
  <c r="V34" i="4"/>
  <c r="V30" i="4"/>
  <c r="V36" i="4"/>
  <c r="V32" i="4"/>
  <c r="V35" i="4"/>
  <c r="V33" i="4"/>
  <c r="V37" i="4"/>
  <c r="V31" i="4"/>
  <c r="X8" i="4" l="1"/>
  <c r="N7" i="4" s="1"/>
  <c r="X7" i="4"/>
  <c r="J7" i="4" s="1"/>
  <c r="Y1206" i="3"/>
  <c r="Y1205" i="3"/>
  <c r="Y1204" i="3"/>
  <c r="Y1203" i="3"/>
  <c r="Y1202" i="3"/>
  <c r="Y1201" i="3"/>
  <c r="Y1200" i="3"/>
  <c r="Y1199" i="3"/>
  <c r="Y1198" i="3"/>
  <c r="Y1197" i="3"/>
  <c r="Y1196" i="3"/>
  <c r="Y1195" i="3"/>
  <c r="Y1194" i="3"/>
  <c r="Y1193" i="3"/>
  <c r="Y1192" i="3"/>
  <c r="Y1191" i="3"/>
  <c r="Y1190" i="3"/>
  <c r="Y1189" i="3"/>
  <c r="Y1188" i="3"/>
  <c r="Y1187" i="3"/>
  <c r="Y1186" i="3"/>
  <c r="Y1185" i="3"/>
  <c r="Y1184" i="3"/>
  <c r="Y1183" i="3"/>
  <c r="Y1182" i="3"/>
  <c r="Y1181" i="3"/>
  <c r="Y1180" i="3"/>
  <c r="Y1179" i="3"/>
  <c r="Y1178" i="3"/>
  <c r="Y1177" i="3"/>
  <c r="Y1176" i="3"/>
  <c r="Y1175" i="3"/>
  <c r="Y1174" i="3"/>
  <c r="Y1173" i="3"/>
  <c r="Y1172" i="3"/>
  <c r="Y1171" i="3"/>
  <c r="Y1170" i="3"/>
  <c r="Y1169" i="3"/>
  <c r="Y1168" i="3"/>
  <c r="Y1167" i="3"/>
  <c r="Y1166" i="3"/>
  <c r="Y1165" i="3"/>
  <c r="Y1164" i="3"/>
  <c r="Y1163" i="3"/>
  <c r="Y1162" i="3"/>
  <c r="Y1161" i="3"/>
  <c r="Y1160" i="3"/>
  <c r="Y1159" i="3"/>
  <c r="Y1158" i="3"/>
  <c r="Y1157" i="3"/>
  <c r="Y1156" i="3"/>
  <c r="Y1155" i="3"/>
  <c r="Y1154" i="3"/>
  <c r="Y1153" i="3"/>
  <c r="Y1152" i="3"/>
  <c r="Y1151" i="3"/>
  <c r="Y1150" i="3"/>
  <c r="Y1149" i="3"/>
  <c r="Y1148" i="3"/>
  <c r="Y1147" i="3"/>
  <c r="Y1146" i="3"/>
  <c r="Y1145" i="3"/>
  <c r="Y1144" i="3"/>
  <c r="Y1143" i="3"/>
  <c r="Y1142" i="3"/>
  <c r="Y1141" i="3"/>
  <c r="Y1140" i="3"/>
  <c r="Y1139" i="3"/>
  <c r="Y1138" i="3"/>
  <c r="Y1137" i="3"/>
  <c r="Y1136" i="3"/>
  <c r="Y1135" i="3"/>
  <c r="Y1134" i="3"/>
  <c r="Y1133" i="3"/>
  <c r="Y1132" i="3"/>
  <c r="Y1131" i="3"/>
  <c r="Y1130" i="3"/>
  <c r="Y1129" i="3"/>
  <c r="Y1128" i="3"/>
  <c r="Y1127" i="3"/>
  <c r="Y1126" i="3"/>
  <c r="Y1125" i="3"/>
  <c r="Y1124" i="3"/>
  <c r="Y1123" i="3"/>
  <c r="Y1122" i="3"/>
  <c r="Y1121" i="3"/>
  <c r="Y1120" i="3"/>
  <c r="Y1119" i="3"/>
  <c r="Y1118" i="3"/>
  <c r="Y1117" i="3"/>
  <c r="Y1116" i="3"/>
  <c r="Y1115" i="3"/>
  <c r="Y1114" i="3"/>
  <c r="Y1113" i="3"/>
  <c r="Y1112" i="3"/>
  <c r="Y1111" i="3"/>
  <c r="Y1110" i="3"/>
  <c r="Y1109" i="3"/>
  <c r="Y1108" i="3"/>
  <c r="Y1107" i="3"/>
  <c r="Y1106" i="3"/>
  <c r="Y1105" i="3"/>
  <c r="Y1104" i="3"/>
  <c r="Y1103" i="3"/>
  <c r="Y1102" i="3"/>
  <c r="Y1101" i="3"/>
  <c r="Y1100" i="3"/>
  <c r="Y1099" i="3"/>
  <c r="Y1098" i="3"/>
  <c r="Y1097" i="3"/>
  <c r="Y1096" i="3"/>
  <c r="Y1095" i="3"/>
  <c r="Y1094" i="3"/>
  <c r="Y1093" i="3"/>
  <c r="Y1092" i="3"/>
  <c r="Y1091" i="3"/>
  <c r="Y1090" i="3"/>
  <c r="Y1089" i="3"/>
  <c r="Y1088" i="3"/>
  <c r="Y1087" i="3"/>
  <c r="Y1086" i="3"/>
  <c r="Y1085" i="3"/>
  <c r="Y1084" i="3"/>
  <c r="Y1083" i="3"/>
  <c r="Y1082" i="3"/>
  <c r="Y1081" i="3"/>
  <c r="Y1080" i="3"/>
  <c r="Y1079" i="3"/>
  <c r="Y1078" i="3"/>
  <c r="Y1077" i="3"/>
  <c r="Y1076" i="3"/>
  <c r="Y1075" i="3"/>
  <c r="Y1074" i="3"/>
  <c r="Y1073" i="3"/>
  <c r="Y1072" i="3"/>
  <c r="Y1071" i="3"/>
  <c r="Y1070" i="3"/>
  <c r="Y1069" i="3"/>
  <c r="Y1068" i="3"/>
  <c r="Y1067" i="3"/>
  <c r="Y1066" i="3"/>
  <c r="Y1065" i="3"/>
  <c r="Y1064" i="3"/>
  <c r="Y1063" i="3"/>
  <c r="Y1062" i="3"/>
  <c r="Y1061" i="3"/>
  <c r="Y1060" i="3"/>
  <c r="Y1059" i="3"/>
  <c r="Y1058" i="3"/>
  <c r="Y1057" i="3"/>
  <c r="Y1056" i="3"/>
  <c r="Y1055" i="3"/>
  <c r="Y1054" i="3"/>
  <c r="Y1053" i="3"/>
  <c r="Y1052" i="3"/>
  <c r="Y1051" i="3"/>
  <c r="Y1050" i="3"/>
  <c r="Y1049" i="3"/>
  <c r="Y1048" i="3"/>
  <c r="Y1047" i="3"/>
  <c r="Y1046" i="3"/>
  <c r="Y1045" i="3"/>
  <c r="Y1044" i="3"/>
  <c r="Y1043" i="3"/>
  <c r="Y1042" i="3"/>
  <c r="Y1041" i="3"/>
  <c r="Y1040" i="3"/>
  <c r="Y1039" i="3"/>
  <c r="Y1038" i="3"/>
  <c r="Y1037" i="3"/>
  <c r="Y1036" i="3"/>
  <c r="Y1035" i="3"/>
  <c r="Y1034" i="3"/>
  <c r="Y1033" i="3"/>
  <c r="Y1032" i="3"/>
  <c r="Y1031" i="3"/>
  <c r="Y1030" i="3"/>
  <c r="Y1029" i="3"/>
  <c r="Y1028" i="3"/>
  <c r="Y1027" i="3"/>
  <c r="Y1026" i="3"/>
  <c r="Y1025" i="3"/>
  <c r="Y1024" i="3"/>
  <c r="Y1023" i="3"/>
  <c r="Y1022" i="3"/>
  <c r="Y1021" i="3"/>
  <c r="Y1020" i="3"/>
  <c r="Y1019" i="3"/>
  <c r="Y1018" i="3"/>
  <c r="Y1017" i="3"/>
  <c r="Y1016" i="3"/>
  <c r="Y1015" i="3"/>
  <c r="Y1014" i="3"/>
  <c r="Y1013" i="3"/>
  <c r="Y1012" i="3"/>
  <c r="Y1011" i="3"/>
  <c r="Y1010" i="3"/>
  <c r="Y1009" i="3"/>
  <c r="Y1008" i="3"/>
  <c r="Y1007" i="3"/>
  <c r="Y1006" i="3"/>
  <c r="Y1005" i="3"/>
  <c r="Y1004" i="3"/>
  <c r="Y1003" i="3"/>
  <c r="Y1002" i="3"/>
  <c r="Y1001" i="3"/>
  <c r="Y1000" i="3"/>
  <c r="Y999" i="3"/>
  <c r="Y998" i="3"/>
  <c r="Y997" i="3"/>
  <c r="Y996" i="3"/>
  <c r="Y995" i="3"/>
  <c r="Y994" i="3"/>
  <c r="Y993" i="3"/>
  <c r="Y992" i="3"/>
  <c r="Y991" i="3"/>
  <c r="Y990" i="3"/>
  <c r="Y989" i="3"/>
  <c r="Y988" i="3"/>
  <c r="Y987" i="3"/>
  <c r="Y986" i="3"/>
  <c r="Y985" i="3"/>
  <c r="Y984" i="3"/>
  <c r="Y983" i="3"/>
  <c r="Y982" i="3"/>
  <c r="Y981" i="3"/>
  <c r="Y980" i="3"/>
  <c r="Y979" i="3"/>
  <c r="Y978" i="3"/>
  <c r="Y977" i="3"/>
  <c r="Y976" i="3"/>
  <c r="Y975" i="3"/>
  <c r="Y974" i="3"/>
  <c r="Y973" i="3"/>
  <c r="Y972" i="3"/>
  <c r="Y971" i="3"/>
  <c r="Y970" i="3"/>
  <c r="Y969" i="3"/>
  <c r="Y968" i="3"/>
  <c r="Y967" i="3"/>
  <c r="Y966" i="3"/>
  <c r="Y965" i="3"/>
  <c r="Y964" i="3"/>
  <c r="Y963" i="3"/>
  <c r="Y962" i="3"/>
  <c r="Y961" i="3"/>
  <c r="Y960" i="3"/>
  <c r="Y959" i="3"/>
  <c r="Y958" i="3"/>
  <c r="Y957" i="3"/>
  <c r="Y956" i="3"/>
  <c r="Y955" i="3"/>
  <c r="Y954" i="3"/>
  <c r="Y953" i="3"/>
  <c r="Y952" i="3"/>
  <c r="Y951" i="3"/>
  <c r="Y950" i="3"/>
  <c r="Y949" i="3"/>
  <c r="Y948" i="3"/>
  <c r="Y947" i="3"/>
  <c r="Y946" i="3"/>
  <c r="Y945" i="3"/>
  <c r="Y944" i="3"/>
  <c r="Y943" i="3"/>
  <c r="Y942" i="3"/>
  <c r="Y941" i="3"/>
  <c r="Y940" i="3"/>
  <c r="Y939" i="3"/>
  <c r="Y938" i="3"/>
  <c r="Y937" i="3"/>
  <c r="Y936" i="3"/>
  <c r="Y935" i="3"/>
  <c r="Y934" i="3"/>
  <c r="Y933" i="3"/>
  <c r="Y932" i="3"/>
  <c r="Y931" i="3"/>
  <c r="Y930" i="3"/>
  <c r="Y929" i="3"/>
  <c r="Y928" i="3"/>
  <c r="Y927" i="3"/>
  <c r="Y926" i="3"/>
  <c r="Y925" i="3"/>
  <c r="Y924" i="3"/>
  <c r="Y923" i="3"/>
  <c r="Y922" i="3"/>
  <c r="Y921" i="3"/>
  <c r="Y920" i="3"/>
  <c r="Y919" i="3"/>
  <c r="Y918" i="3"/>
  <c r="Y917" i="3"/>
  <c r="Y916" i="3"/>
  <c r="Y915" i="3"/>
  <c r="Y914" i="3"/>
  <c r="Y913" i="3"/>
  <c r="Y912" i="3"/>
  <c r="Y911" i="3"/>
  <c r="Y910" i="3"/>
  <c r="Y909" i="3"/>
  <c r="Y908" i="3"/>
  <c r="Y907" i="3"/>
  <c r="Y906" i="3"/>
  <c r="Y905" i="3"/>
  <c r="Y904" i="3"/>
  <c r="Y903" i="3"/>
  <c r="Y902" i="3"/>
  <c r="Y901" i="3"/>
  <c r="Y900" i="3"/>
  <c r="Y899" i="3"/>
  <c r="Y898" i="3"/>
  <c r="Y897" i="3"/>
  <c r="Y896" i="3"/>
  <c r="Y895" i="3"/>
  <c r="Y894" i="3"/>
  <c r="Y893" i="3"/>
  <c r="Y892" i="3"/>
  <c r="Y891" i="3"/>
  <c r="Y890" i="3"/>
  <c r="Y889" i="3"/>
  <c r="Y888" i="3"/>
  <c r="Y887" i="3"/>
  <c r="Y886" i="3"/>
  <c r="Y885" i="3"/>
  <c r="Y884" i="3"/>
  <c r="Y883" i="3"/>
  <c r="Y882" i="3"/>
  <c r="Y881" i="3"/>
  <c r="Y880" i="3"/>
  <c r="Y879" i="3"/>
  <c r="Y878" i="3"/>
  <c r="Y877" i="3"/>
  <c r="Y876" i="3"/>
  <c r="Y875" i="3"/>
  <c r="Y874" i="3"/>
  <c r="Y873" i="3"/>
  <c r="Y872" i="3"/>
  <c r="Y871" i="3"/>
  <c r="Y870" i="3"/>
  <c r="Y869" i="3"/>
  <c r="Y868" i="3"/>
  <c r="Y867" i="3"/>
  <c r="Y866" i="3"/>
  <c r="Y865" i="3"/>
  <c r="Y864" i="3"/>
  <c r="Y863" i="3"/>
  <c r="Y862" i="3"/>
  <c r="Y861" i="3"/>
  <c r="Y860" i="3"/>
  <c r="Y859" i="3"/>
  <c r="Y858" i="3"/>
  <c r="Y857" i="3"/>
  <c r="Y856" i="3"/>
  <c r="Y855" i="3"/>
  <c r="Y854" i="3"/>
  <c r="Y853" i="3"/>
  <c r="Y852" i="3"/>
  <c r="Y851" i="3"/>
  <c r="Y850" i="3"/>
  <c r="Y849" i="3"/>
  <c r="Y848" i="3"/>
  <c r="Y847" i="3"/>
  <c r="Y846" i="3"/>
  <c r="Y845" i="3"/>
  <c r="Y844" i="3"/>
  <c r="Y843" i="3"/>
  <c r="Y842" i="3"/>
  <c r="Y841" i="3"/>
  <c r="Y840" i="3"/>
  <c r="Y839" i="3"/>
  <c r="Y838" i="3"/>
  <c r="Y837" i="3"/>
  <c r="Y836" i="3"/>
  <c r="Y835" i="3"/>
  <c r="Y834" i="3"/>
  <c r="Y833" i="3"/>
  <c r="Y832" i="3"/>
  <c r="Y831" i="3"/>
  <c r="Y830" i="3"/>
  <c r="Y829" i="3"/>
  <c r="Y828" i="3"/>
  <c r="Y827" i="3"/>
  <c r="Y826" i="3"/>
  <c r="Y825" i="3"/>
  <c r="Y824" i="3"/>
  <c r="Y823" i="3"/>
  <c r="Y822" i="3"/>
  <c r="Y821" i="3"/>
  <c r="Y820" i="3"/>
  <c r="Y819" i="3"/>
  <c r="Y818" i="3"/>
  <c r="Y817" i="3"/>
  <c r="Y816" i="3"/>
  <c r="Y815" i="3"/>
  <c r="Y814" i="3"/>
  <c r="Y813" i="3"/>
  <c r="Y812" i="3"/>
  <c r="Y811" i="3"/>
  <c r="Y810" i="3"/>
  <c r="Y809" i="3"/>
  <c r="Y808" i="3"/>
  <c r="Y807" i="3"/>
  <c r="Y806" i="3"/>
  <c r="Y805" i="3"/>
  <c r="Y804" i="3"/>
  <c r="Y803" i="3"/>
  <c r="Y802" i="3"/>
  <c r="Y801" i="3"/>
  <c r="Y800" i="3"/>
  <c r="Y799" i="3"/>
  <c r="Y798" i="3"/>
  <c r="Y797" i="3"/>
  <c r="Y796" i="3"/>
  <c r="Y795" i="3"/>
  <c r="Y794" i="3"/>
  <c r="Y793" i="3"/>
  <c r="Y792" i="3"/>
  <c r="Y791" i="3"/>
  <c r="Y790" i="3"/>
  <c r="Y789" i="3"/>
  <c r="Y788" i="3"/>
  <c r="Y787" i="3"/>
  <c r="Y786" i="3"/>
  <c r="Y785" i="3"/>
  <c r="Y784" i="3"/>
  <c r="Y783" i="3"/>
  <c r="Y782" i="3"/>
  <c r="Y781" i="3"/>
  <c r="Y780" i="3"/>
  <c r="Y779" i="3"/>
  <c r="Y778" i="3"/>
  <c r="Y777" i="3"/>
  <c r="Y776" i="3"/>
  <c r="Y775" i="3"/>
  <c r="Y774" i="3"/>
  <c r="Y773" i="3"/>
  <c r="Y772" i="3"/>
  <c r="Y771" i="3"/>
  <c r="Y770" i="3"/>
  <c r="Y769" i="3"/>
  <c r="Y768" i="3"/>
  <c r="Y767" i="3"/>
  <c r="Y766" i="3"/>
  <c r="Y765" i="3"/>
  <c r="Y764" i="3"/>
  <c r="Y763" i="3"/>
  <c r="Y762" i="3"/>
  <c r="Y761" i="3"/>
  <c r="Y760" i="3"/>
  <c r="Y759" i="3"/>
  <c r="Y758" i="3"/>
  <c r="Y757" i="3"/>
  <c r="Y756" i="3"/>
  <c r="Y755" i="3"/>
  <c r="Y754" i="3"/>
  <c r="Y753" i="3"/>
  <c r="Y752" i="3"/>
  <c r="Y751" i="3"/>
  <c r="Y750" i="3"/>
  <c r="Y749" i="3"/>
  <c r="Y748" i="3"/>
  <c r="Y747" i="3"/>
  <c r="Y746" i="3"/>
  <c r="Y745" i="3"/>
  <c r="Y744" i="3"/>
  <c r="Y743" i="3"/>
  <c r="Y742" i="3"/>
  <c r="Y741" i="3"/>
  <c r="Y740" i="3"/>
  <c r="Y739" i="3"/>
  <c r="Y738" i="3"/>
  <c r="Y737" i="3"/>
  <c r="Y736" i="3"/>
  <c r="Y735" i="3"/>
  <c r="Y734" i="3"/>
  <c r="Y733" i="3"/>
  <c r="Y732" i="3"/>
  <c r="Y731" i="3"/>
  <c r="Y730" i="3"/>
  <c r="Y729" i="3"/>
  <c r="Y728" i="3"/>
  <c r="Y727" i="3"/>
  <c r="Y726" i="3"/>
  <c r="Y725" i="3"/>
  <c r="Y724" i="3"/>
  <c r="Y723" i="3"/>
  <c r="Y722" i="3"/>
  <c r="Y721" i="3"/>
  <c r="Y720" i="3"/>
  <c r="Y719" i="3"/>
  <c r="Y718" i="3"/>
  <c r="Y717" i="3"/>
  <c r="Y716" i="3"/>
  <c r="Y715" i="3"/>
  <c r="Y714" i="3"/>
  <c r="Y713" i="3"/>
  <c r="Y712" i="3"/>
  <c r="Y711" i="3"/>
  <c r="Y710" i="3"/>
  <c r="Y709" i="3"/>
  <c r="Y708" i="3"/>
  <c r="Y707" i="3"/>
  <c r="Y706" i="3"/>
  <c r="Y705" i="3"/>
  <c r="Y704" i="3"/>
  <c r="Y703" i="3"/>
  <c r="Y702" i="3"/>
  <c r="Y701" i="3"/>
  <c r="Y700" i="3"/>
  <c r="Y699" i="3"/>
  <c r="Y698" i="3"/>
  <c r="Y697" i="3"/>
  <c r="Y696" i="3"/>
  <c r="Y695" i="3"/>
  <c r="Y694" i="3"/>
  <c r="Y693" i="3"/>
  <c r="Y692" i="3"/>
  <c r="Y691" i="3"/>
  <c r="Y690" i="3"/>
  <c r="Y689" i="3"/>
  <c r="Y688" i="3"/>
  <c r="Y687" i="3"/>
  <c r="Y686" i="3"/>
  <c r="Y685" i="3"/>
  <c r="Y684" i="3"/>
  <c r="Y683" i="3"/>
  <c r="Y682" i="3"/>
  <c r="Y681" i="3"/>
  <c r="Y680" i="3"/>
  <c r="Y679" i="3"/>
  <c r="Y678" i="3"/>
  <c r="Y677" i="3"/>
  <c r="Y676" i="3"/>
  <c r="Y675" i="3"/>
  <c r="Y674" i="3"/>
  <c r="Y673" i="3"/>
  <c r="Y672" i="3"/>
  <c r="Y671" i="3"/>
  <c r="Y670" i="3"/>
  <c r="Y669" i="3"/>
  <c r="Y668" i="3"/>
  <c r="Y667" i="3"/>
  <c r="Y666" i="3"/>
  <c r="Y665" i="3"/>
  <c r="Y664" i="3"/>
  <c r="Y663" i="3"/>
  <c r="Y662" i="3"/>
  <c r="Y661" i="3"/>
  <c r="Y660" i="3"/>
  <c r="Y659" i="3"/>
  <c r="Y658" i="3"/>
  <c r="Y657" i="3"/>
  <c r="Y656" i="3"/>
  <c r="Y655" i="3"/>
  <c r="Y654" i="3"/>
  <c r="Y653" i="3"/>
  <c r="Y652" i="3"/>
  <c r="Y651" i="3"/>
  <c r="Y650" i="3"/>
  <c r="Y649" i="3"/>
  <c r="Y648" i="3"/>
  <c r="Y647" i="3"/>
  <c r="Y646" i="3"/>
  <c r="Y645" i="3"/>
  <c r="Y644" i="3"/>
  <c r="Y643" i="3"/>
  <c r="Y642" i="3"/>
  <c r="Y641" i="3"/>
  <c r="Y640" i="3"/>
  <c r="Y639" i="3"/>
  <c r="Y638" i="3"/>
  <c r="Y637" i="3"/>
  <c r="Y636" i="3"/>
  <c r="Y635" i="3"/>
  <c r="Y634" i="3"/>
  <c r="Y633" i="3"/>
  <c r="Y632" i="3"/>
  <c r="Y631" i="3"/>
  <c r="Y630" i="3"/>
  <c r="Y629" i="3"/>
  <c r="Y628" i="3"/>
  <c r="Y627" i="3"/>
  <c r="Y626" i="3"/>
  <c r="Y625" i="3"/>
  <c r="Y624" i="3"/>
  <c r="Y623" i="3"/>
  <c r="Y622" i="3"/>
  <c r="Y621" i="3"/>
  <c r="Y620" i="3"/>
  <c r="Y619" i="3"/>
  <c r="Y618" i="3"/>
  <c r="Y617" i="3"/>
  <c r="Y616" i="3"/>
  <c r="Y615" i="3"/>
  <c r="Y614" i="3"/>
  <c r="Y613" i="3"/>
  <c r="Y612" i="3"/>
  <c r="Y611" i="3"/>
  <c r="Y610" i="3"/>
  <c r="Y609" i="3"/>
  <c r="Y608" i="3"/>
  <c r="Y607" i="3"/>
  <c r="Y606" i="3"/>
  <c r="Y605" i="3"/>
  <c r="Y604" i="3"/>
  <c r="Y603" i="3"/>
  <c r="Y602" i="3"/>
  <c r="Y601" i="3"/>
  <c r="Y600" i="3"/>
  <c r="Y599" i="3"/>
  <c r="Y598" i="3"/>
  <c r="Y597" i="3"/>
  <c r="Y596" i="3"/>
  <c r="Y595" i="3"/>
  <c r="Y594" i="3"/>
  <c r="Y593" i="3"/>
  <c r="Y592" i="3"/>
  <c r="Y591" i="3"/>
  <c r="Y590" i="3"/>
  <c r="Y589" i="3"/>
  <c r="Y588" i="3"/>
  <c r="Y587" i="3"/>
  <c r="Y586" i="3"/>
  <c r="Y585" i="3"/>
  <c r="Y584" i="3"/>
  <c r="Y583" i="3"/>
  <c r="Y582" i="3"/>
  <c r="Y581" i="3"/>
  <c r="Y580" i="3"/>
  <c r="Y579" i="3"/>
  <c r="Y578" i="3"/>
  <c r="Y577" i="3"/>
  <c r="Y576" i="3"/>
  <c r="Y575" i="3"/>
  <c r="Y574" i="3"/>
  <c r="Y573" i="3"/>
  <c r="Y572" i="3"/>
  <c r="Y571" i="3"/>
  <c r="Y570" i="3"/>
  <c r="Y569" i="3"/>
  <c r="Y568" i="3"/>
  <c r="Y567" i="3"/>
  <c r="Y566" i="3"/>
  <c r="Y565" i="3"/>
  <c r="Y564" i="3"/>
  <c r="Y563" i="3"/>
  <c r="Y562" i="3"/>
  <c r="Y561" i="3"/>
  <c r="Y560" i="3"/>
  <c r="Y559" i="3"/>
  <c r="Y558" i="3"/>
  <c r="Y557" i="3"/>
  <c r="Y556" i="3"/>
  <c r="Y555" i="3"/>
  <c r="Y554" i="3"/>
  <c r="Y553" i="3"/>
  <c r="Y552" i="3"/>
  <c r="Y551" i="3"/>
  <c r="Y550" i="3"/>
  <c r="Y549" i="3"/>
  <c r="Y548" i="3"/>
  <c r="Y547" i="3"/>
  <c r="Y546" i="3"/>
  <c r="Y545" i="3"/>
  <c r="Y544" i="3"/>
  <c r="Y543" i="3"/>
  <c r="Y542" i="3"/>
  <c r="Y541" i="3"/>
  <c r="Y540" i="3"/>
  <c r="Y539" i="3"/>
  <c r="Y538" i="3"/>
  <c r="Y537" i="3"/>
  <c r="Y536" i="3"/>
  <c r="Y535" i="3"/>
  <c r="Y534" i="3"/>
  <c r="Y533" i="3"/>
  <c r="Y532" i="3"/>
  <c r="Y531" i="3"/>
  <c r="Y530" i="3"/>
  <c r="Y529" i="3"/>
  <c r="Y528" i="3"/>
  <c r="Y527" i="3"/>
  <c r="Y526" i="3"/>
  <c r="Y525" i="3"/>
  <c r="Y524" i="3"/>
  <c r="Y523" i="3"/>
  <c r="Y522" i="3"/>
  <c r="Y521" i="3"/>
  <c r="Y520" i="3"/>
  <c r="Y519" i="3"/>
  <c r="Y518" i="3"/>
  <c r="Y517" i="3"/>
  <c r="Y516" i="3"/>
  <c r="Y515" i="3"/>
  <c r="Y514" i="3"/>
  <c r="Y513" i="3"/>
  <c r="Y512" i="3"/>
  <c r="Y511" i="3"/>
  <c r="Y510" i="3"/>
  <c r="Y509" i="3"/>
  <c r="Y508" i="3"/>
  <c r="Y507" i="3"/>
  <c r="Y506" i="3"/>
  <c r="Y505" i="3"/>
  <c r="Y504" i="3"/>
  <c r="Y503" i="3"/>
  <c r="Y502" i="3"/>
  <c r="Y501" i="3"/>
  <c r="Y500" i="3"/>
  <c r="Y499" i="3"/>
  <c r="Y498" i="3"/>
  <c r="Y497" i="3"/>
  <c r="Y496" i="3"/>
  <c r="Y495" i="3"/>
  <c r="Y494" i="3"/>
  <c r="Y493" i="3"/>
  <c r="Y492" i="3"/>
  <c r="Y491" i="3"/>
  <c r="Y490" i="3"/>
  <c r="Y489" i="3"/>
  <c r="Y488" i="3"/>
  <c r="Y487" i="3"/>
  <c r="Y486" i="3"/>
  <c r="Y485" i="3"/>
  <c r="Y484" i="3"/>
  <c r="Y483" i="3"/>
  <c r="Y482" i="3"/>
  <c r="Y481" i="3"/>
  <c r="Y480" i="3"/>
  <c r="Y479" i="3"/>
  <c r="Y478" i="3"/>
  <c r="Y477" i="3"/>
  <c r="Y476" i="3"/>
  <c r="Y475" i="3"/>
  <c r="Y474" i="3"/>
  <c r="Y473" i="3"/>
  <c r="Y472" i="3"/>
  <c r="Y471" i="3"/>
  <c r="Y470" i="3"/>
  <c r="Y469" i="3"/>
  <c r="Y468" i="3"/>
  <c r="Y467" i="3"/>
  <c r="Y466" i="3"/>
  <c r="Y465" i="3"/>
  <c r="Y464" i="3"/>
  <c r="Y463" i="3"/>
  <c r="Y462" i="3"/>
  <c r="Y461" i="3"/>
  <c r="Y460" i="3"/>
  <c r="Y459" i="3"/>
  <c r="Y458" i="3"/>
  <c r="Y457" i="3"/>
  <c r="Y456" i="3"/>
  <c r="Y455" i="3"/>
  <c r="Y454" i="3"/>
  <c r="Y453" i="3"/>
  <c r="Y452" i="3"/>
  <c r="Y451" i="3"/>
  <c r="Y450" i="3"/>
  <c r="Y449" i="3"/>
  <c r="Y448" i="3"/>
  <c r="Y447" i="3"/>
  <c r="Y446" i="3"/>
  <c r="Y445" i="3"/>
  <c r="Y444" i="3"/>
  <c r="Y443" i="3"/>
  <c r="Y442" i="3"/>
  <c r="Y441" i="3"/>
  <c r="Y440" i="3"/>
  <c r="Y439" i="3"/>
  <c r="Y438" i="3"/>
  <c r="Y437" i="3"/>
  <c r="Y436" i="3"/>
  <c r="Y435" i="3"/>
  <c r="Y434" i="3"/>
  <c r="Y433" i="3"/>
  <c r="Y432" i="3"/>
  <c r="Y431" i="3"/>
  <c r="Y430" i="3"/>
  <c r="Y429" i="3"/>
  <c r="Y428" i="3"/>
  <c r="Y427" i="3"/>
  <c r="Y426" i="3"/>
  <c r="Y425" i="3"/>
  <c r="Y424" i="3"/>
  <c r="Y423" i="3"/>
  <c r="Y422" i="3"/>
  <c r="Y421" i="3"/>
  <c r="Y420" i="3"/>
  <c r="Y419" i="3"/>
  <c r="Y418" i="3"/>
  <c r="Y417" i="3"/>
  <c r="Y416" i="3"/>
  <c r="Y415" i="3"/>
  <c r="Y414" i="3"/>
  <c r="Y413" i="3"/>
  <c r="Y412" i="3"/>
  <c r="Y411" i="3"/>
  <c r="Y410" i="3"/>
  <c r="Y409" i="3"/>
  <c r="Y408" i="3"/>
  <c r="Y407" i="3"/>
  <c r="Y406" i="3"/>
  <c r="Y405" i="3"/>
  <c r="Y404" i="3"/>
  <c r="Y403" i="3"/>
  <c r="Y402" i="3"/>
  <c r="Y401" i="3"/>
  <c r="Y400" i="3"/>
  <c r="Y399" i="3"/>
  <c r="Y398" i="3"/>
  <c r="Y397" i="3"/>
  <c r="Y396" i="3"/>
  <c r="Y395" i="3"/>
  <c r="Y394" i="3"/>
  <c r="Y393" i="3"/>
  <c r="Y392" i="3"/>
  <c r="Y391" i="3"/>
  <c r="Y390" i="3"/>
  <c r="Y389" i="3"/>
  <c r="Y388" i="3"/>
  <c r="Y387" i="3"/>
  <c r="Y386" i="3"/>
  <c r="Y385" i="3"/>
  <c r="Y384" i="3"/>
  <c r="Y383" i="3"/>
  <c r="Y382" i="3"/>
  <c r="Y381" i="3"/>
  <c r="Y380" i="3"/>
  <c r="Y379" i="3"/>
  <c r="Y378" i="3"/>
  <c r="Y377" i="3"/>
  <c r="Y376" i="3"/>
  <c r="Y375" i="3"/>
  <c r="Y374" i="3"/>
  <c r="Y373" i="3"/>
  <c r="Y372" i="3"/>
  <c r="Y371" i="3"/>
  <c r="Y370" i="3"/>
  <c r="Y369" i="3"/>
  <c r="Y368" i="3"/>
  <c r="Y367" i="3"/>
  <c r="Y366" i="3"/>
  <c r="Y365" i="3"/>
  <c r="Y364" i="3"/>
  <c r="Y363" i="3"/>
  <c r="Y362" i="3"/>
  <c r="Y361" i="3"/>
  <c r="Y360" i="3"/>
  <c r="Y359" i="3"/>
  <c r="Y358" i="3"/>
  <c r="Y357" i="3"/>
  <c r="Y356" i="3"/>
  <c r="Y355" i="3"/>
  <c r="Y354" i="3"/>
  <c r="Y353" i="3"/>
  <c r="Y352" i="3"/>
  <c r="Y351" i="3"/>
  <c r="Y350" i="3"/>
  <c r="Y349" i="3"/>
  <c r="Y348" i="3"/>
  <c r="Y347" i="3"/>
  <c r="Y346" i="3"/>
  <c r="Y345" i="3"/>
  <c r="Y344" i="3"/>
  <c r="Y343" i="3"/>
  <c r="Y342" i="3"/>
  <c r="Y341" i="3"/>
  <c r="Y340" i="3"/>
  <c r="Y339" i="3"/>
  <c r="Y338" i="3"/>
  <c r="Y337" i="3"/>
  <c r="Y336" i="3"/>
  <c r="Y335" i="3"/>
  <c r="Y334" i="3"/>
  <c r="Y333" i="3"/>
  <c r="Y332" i="3"/>
  <c r="Y331" i="3"/>
  <c r="Y330" i="3"/>
  <c r="Y329" i="3"/>
  <c r="Y328" i="3"/>
  <c r="Y327" i="3"/>
  <c r="Y326" i="3"/>
  <c r="Y325" i="3"/>
  <c r="Y324" i="3"/>
  <c r="Y323" i="3"/>
  <c r="Y322" i="3"/>
  <c r="Y321" i="3"/>
  <c r="Y320" i="3"/>
  <c r="Y319" i="3"/>
  <c r="Y318" i="3"/>
  <c r="Y317" i="3"/>
  <c r="Y316" i="3"/>
  <c r="Y315" i="3"/>
  <c r="Y314" i="3"/>
  <c r="Y313" i="3"/>
  <c r="Y312" i="3"/>
  <c r="Y311" i="3"/>
  <c r="Y310" i="3"/>
  <c r="Y309" i="3"/>
  <c r="Y308" i="3"/>
  <c r="Y307" i="3"/>
  <c r="Y306" i="3"/>
  <c r="Y305" i="3"/>
  <c r="Y304" i="3"/>
  <c r="Y303" i="3"/>
  <c r="Y302" i="3"/>
  <c r="Y301" i="3"/>
  <c r="Y300" i="3"/>
  <c r="Y299" i="3"/>
  <c r="Y298" i="3"/>
  <c r="Y297" i="3"/>
  <c r="Y296" i="3"/>
  <c r="Y295" i="3"/>
  <c r="Y294" i="3"/>
  <c r="Y293" i="3"/>
  <c r="Y292" i="3"/>
  <c r="Y291" i="3"/>
  <c r="Y290" i="3"/>
  <c r="Y289" i="3"/>
  <c r="Y288" i="3"/>
  <c r="Y287" i="3"/>
  <c r="Y286" i="3"/>
  <c r="Y285" i="3"/>
  <c r="Y284" i="3"/>
  <c r="Y283" i="3"/>
  <c r="Y282" i="3"/>
  <c r="Y281" i="3"/>
  <c r="Y280" i="3"/>
  <c r="Y279" i="3"/>
  <c r="Y278" i="3"/>
  <c r="Y277" i="3"/>
  <c r="Y276" i="3"/>
  <c r="Y275" i="3"/>
  <c r="Y274" i="3"/>
  <c r="Y273" i="3"/>
  <c r="Y272" i="3"/>
  <c r="Y271" i="3"/>
  <c r="Y270" i="3"/>
  <c r="Y269" i="3"/>
  <c r="Y268" i="3"/>
  <c r="Y267" i="3"/>
  <c r="Y266" i="3"/>
  <c r="Y265" i="3"/>
  <c r="Y264" i="3"/>
  <c r="Y263" i="3"/>
  <c r="Y262" i="3"/>
  <c r="Y261" i="3"/>
  <c r="Y260" i="3"/>
  <c r="Y259" i="3"/>
  <c r="Y258" i="3"/>
  <c r="Y257" i="3"/>
  <c r="Y256" i="3"/>
  <c r="Y255" i="3"/>
  <c r="Y254" i="3"/>
  <c r="Y253" i="3"/>
  <c r="Y252" i="3"/>
  <c r="Y251" i="3"/>
  <c r="Y250" i="3"/>
  <c r="Y249" i="3"/>
  <c r="Y248" i="3"/>
  <c r="Y247" i="3"/>
  <c r="Y246" i="3"/>
  <c r="Y245" i="3"/>
  <c r="Y244" i="3"/>
  <c r="Y243" i="3"/>
  <c r="Y242" i="3"/>
  <c r="Y241" i="3"/>
  <c r="Y240" i="3"/>
  <c r="Y239" i="3"/>
  <c r="Y238" i="3"/>
  <c r="Y237" i="3"/>
  <c r="Y236" i="3"/>
  <c r="Y235" i="3"/>
  <c r="Y234" i="3"/>
  <c r="Y233" i="3"/>
  <c r="Y232" i="3"/>
  <c r="Y231" i="3"/>
  <c r="Y230" i="3"/>
  <c r="Y229" i="3"/>
  <c r="Y228" i="3"/>
  <c r="Y227" i="3"/>
  <c r="Y226" i="3"/>
  <c r="Y225" i="3"/>
  <c r="Y224" i="3"/>
  <c r="Y223" i="3"/>
  <c r="Y222" i="3"/>
  <c r="Y221" i="3"/>
  <c r="Y220" i="3"/>
  <c r="Y219" i="3"/>
  <c r="Y218" i="3"/>
  <c r="Y217" i="3"/>
  <c r="Y216" i="3"/>
  <c r="Y215" i="3"/>
  <c r="Y214" i="3"/>
  <c r="Y213" i="3"/>
  <c r="Y212" i="3"/>
  <c r="Y211" i="3"/>
  <c r="Y210" i="3"/>
  <c r="Y209" i="3"/>
  <c r="Y208" i="3"/>
  <c r="Y207" i="3"/>
  <c r="Y206" i="3"/>
  <c r="Y205" i="3"/>
  <c r="Y204" i="3"/>
  <c r="Y203" i="3"/>
  <c r="Y202" i="3"/>
  <c r="Y201" i="3"/>
  <c r="Y200" i="3"/>
  <c r="Y199" i="3"/>
  <c r="Y198" i="3"/>
  <c r="Y197" i="3"/>
  <c r="Y196" i="3"/>
  <c r="Y195" i="3"/>
  <c r="Y194" i="3"/>
  <c r="Y193" i="3"/>
  <c r="Y192" i="3"/>
  <c r="Y191" i="3"/>
  <c r="Y190" i="3"/>
  <c r="Y189" i="3"/>
  <c r="Y188" i="3"/>
  <c r="Y187" i="3"/>
  <c r="Y186" i="3"/>
  <c r="Y185" i="3"/>
  <c r="Y184" i="3"/>
  <c r="Y183" i="3"/>
  <c r="Y182" i="3"/>
  <c r="Y181" i="3"/>
  <c r="Y180" i="3"/>
  <c r="Y179" i="3"/>
  <c r="Y178" i="3"/>
  <c r="Y177" i="3"/>
  <c r="Y176" i="3"/>
  <c r="Y175" i="3"/>
  <c r="Y174" i="3"/>
  <c r="Y173" i="3"/>
  <c r="Y172" i="3"/>
  <c r="Y171" i="3"/>
  <c r="Y170" i="3"/>
  <c r="Y169" i="3"/>
  <c r="Y168" i="3"/>
  <c r="Y167" i="3"/>
  <c r="Y166" i="3"/>
  <c r="Y165" i="3"/>
  <c r="Y164" i="3"/>
  <c r="Y163" i="3"/>
  <c r="Y162" i="3"/>
  <c r="Y161" i="3"/>
  <c r="Y160" i="3"/>
  <c r="Y159" i="3"/>
  <c r="Y158" i="3"/>
  <c r="Y157" i="3"/>
  <c r="Y156" i="3"/>
  <c r="Y155" i="3"/>
  <c r="Y154" i="3"/>
  <c r="Y153" i="3"/>
  <c r="Y152" i="3"/>
  <c r="Y151" i="3"/>
  <c r="Y150" i="3"/>
  <c r="Y149" i="3"/>
  <c r="Y148" i="3"/>
  <c r="Y147" i="3"/>
  <c r="Y146" i="3"/>
  <c r="Y145" i="3"/>
  <c r="Y144" i="3"/>
  <c r="Y143" i="3"/>
  <c r="Y142" i="3"/>
  <c r="Y141" i="3"/>
  <c r="Y140" i="3"/>
  <c r="Y139" i="3"/>
  <c r="Y138" i="3"/>
  <c r="Y137" i="3"/>
  <c r="Y136" i="3"/>
  <c r="Y135" i="3"/>
  <c r="Y134" i="3"/>
  <c r="Y133" i="3"/>
  <c r="Y132" i="3"/>
  <c r="Y131" i="3"/>
  <c r="Y130" i="3"/>
  <c r="Y129" i="3"/>
  <c r="Y128" i="3"/>
  <c r="Y127" i="3"/>
  <c r="Y126" i="3"/>
  <c r="Y125" i="3"/>
  <c r="Y124" i="3"/>
  <c r="Y123" i="3"/>
  <c r="Y122" i="3"/>
  <c r="Y121" i="3"/>
  <c r="Y120" i="3"/>
  <c r="Y119" i="3"/>
  <c r="Y118" i="3"/>
  <c r="Y117" i="3"/>
  <c r="Y116" i="3"/>
  <c r="Y115" i="3"/>
  <c r="Y114" i="3"/>
  <c r="Y113" i="3"/>
  <c r="Y112" i="3"/>
  <c r="Y111" i="3"/>
  <c r="Y110" i="3"/>
  <c r="Y109" i="3"/>
  <c r="Y108" i="3"/>
  <c r="Y107" i="3"/>
  <c r="Y106" i="3"/>
  <c r="Y105" i="3"/>
  <c r="Y104" i="3"/>
  <c r="Y103" i="3"/>
  <c r="Y102" i="3"/>
  <c r="Y101" i="3"/>
  <c r="Y100" i="3"/>
  <c r="Y99" i="3"/>
  <c r="Y98" i="3"/>
  <c r="Y97" i="3"/>
  <c r="Y96" i="3"/>
  <c r="Y95" i="3"/>
  <c r="Y94" i="3"/>
  <c r="Y93" i="3"/>
  <c r="Y92" i="3"/>
  <c r="Y91" i="3"/>
  <c r="Y90" i="3"/>
  <c r="Y89" i="3"/>
  <c r="Y88" i="3"/>
  <c r="Y87" i="3"/>
  <c r="Y86" i="3"/>
  <c r="Y85" i="3"/>
  <c r="Y84" i="3"/>
  <c r="Y83" i="3"/>
  <c r="Y82" i="3"/>
  <c r="Y81" i="3"/>
  <c r="Y80" i="3"/>
  <c r="Y79" i="3"/>
  <c r="Y78" i="3"/>
  <c r="Y77" i="3"/>
  <c r="Y76" i="3"/>
  <c r="Y75" i="3"/>
  <c r="Y74" i="3"/>
  <c r="Y73" i="3"/>
  <c r="Y72" i="3"/>
  <c r="Y71" i="3"/>
  <c r="Y70" i="3"/>
  <c r="Y69" i="3"/>
  <c r="Y68" i="3"/>
  <c r="Y67" i="3"/>
  <c r="Y66" i="3"/>
  <c r="Y65" i="3"/>
  <c r="Y64" i="3"/>
  <c r="Y63" i="3"/>
  <c r="Y62" i="3"/>
  <c r="Y61" i="3"/>
  <c r="Y60" i="3"/>
  <c r="Y59" i="3"/>
  <c r="Y58" i="3"/>
  <c r="Y57" i="3"/>
  <c r="Y56" i="3"/>
  <c r="Y55" i="3"/>
  <c r="Y54" i="3"/>
  <c r="Y53" i="3"/>
  <c r="Y52" i="3"/>
  <c r="Y51" i="3"/>
  <c r="Y50" i="3"/>
  <c r="Y49" i="3"/>
  <c r="Y48" i="3"/>
  <c r="Y47" i="3"/>
  <c r="Y46" i="3"/>
  <c r="Y45" i="3"/>
  <c r="Y44" i="3"/>
  <c r="Y43" i="3"/>
  <c r="Y42" i="3"/>
  <c r="Y41" i="3"/>
  <c r="Y40" i="3"/>
  <c r="Y39" i="3"/>
  <c r="Y38" i="3"/>
  <c r="Y37" i="3"/>
  <c r="Y36" i="3"/>
  <c r="Y35" i="3"/>
  <c r="Y34" i="3"/>
  <c r="Y33" i="3"/>
  <c r="Y32" i="3"/>
  <c r="Y31" i="3"/>
  <c r="Y30" i="3"/>
  <c r="Y29" i="3"/>
  <c r="Y28" i="3"/>
  <c r="Y27" i="3"/>
  <c r="Y26" i="3"/>
  <c r="Y25" i="3"/>
  <c r="Y24" i="3"/>
  <c r="Y23" i="3"/>
  <c r="Y22" i="3"/>
  <c r="Y21" i="3"/>
  <c r="Y20" i="3"/>
  <c r="Y19" i="3"/>
  <c r="Y18" i="3"/>
  <c r="Y17" i="3"/>
  <c r="Y16" i="3"/>
  <c r="Y15" i="3"/>
  <c r="Y14" i="3"/>
  <c r="Y13" i="3"/>
  <c r="Y12" i="3"/>
  <c r="Y11" i="3"/>
  <c r="Y10" i="3"/>
  <c r="Y9" i="3"/>
  <c r="Y8" i="3"/>
  <c r="Y7" i="3"/>
  <c r="AQ2" i="13" s="1"/>
  <c r="Z2" i="11" l="1"/>
  <c r="AT2" i="13"/>
  <c r="R7" i="3" s="1"/>
  <c r="D134" i="12" l="1"/>
  <c r="C134" i="12"/>
  <c r="D136" i="12"/>
  <c r="C136" i="12"/>
  <c r="C135" i="12"/>
  <c r="D135" i="12"/>
  <c r="Z7" i="3"/>
  <c r="J4" i="3" s="1"/>
</calcChain>
</file>

<file path=xl/sharedStrings.xml><?xml version="1.0" encoding="utf-8"?>
<sst xmlns="http://schemas.openxmlformats.org/spreadsheetml/2006/main" count="964" uniqueCount="487">
  <si>
    <t>TESTE ET AMÉLIORE TA FORME</t>
  </si>
  <si>
    <t>LES 8 TESTS DE FORME</t>
  </si>
  <si>
    <t>Équilibre</t>
  </si>
  <si>
    <t>Souplesse</t>
  </si>
  <si>
    <t>Vitesse</t>
  </si>
  <si>
    <t>Endurance</t>
  </si>
  <si>
    <t>Coordination</t>
  </si>
  <si>
    <t>Gainage</t>
  </si>
  <si>
    <t>Adresse</t>
  </si>
  <si>
    <t>Force des jambes</t>
  </si>
  <si>
    <t>TABLEAU DE BORD</t>
  </si>
  <si>
    <t>ÉLÈVES SUIVIS</t>
  </si>
  <si>
    <t>NIVEAUX PRÉSENTS</t>
  </si>
  <si>
    <t>TESTS RÉALISÉS</t>
  </si>
  <si>
    <t>TAUX DE COMPLÉTUDE</t>
  </si>
  <si>
    <t>ANNÉE SCOLAIRE ACTIVE</t>
  </si>
  <si>
    <t>cette année</t>
  </si>
  <si>
    <t>niveaux scolaires</t>
  </si>
  <si>
    <t>résultats saisis</t>
  </si>
  <si>
    <t>des tests attendus</t>
  </si>
  <si>
    <t>en cours</t>
  </si>
  <si>
    <t>INDICATEURS COMPLÉMENTAIRES</t>
  </si>
  <si>
    <t>PASSAGES ENREGISTRÉS</t>
  </si>
  <si>
    <t>TAUX DE PROGRESSION</t>
  </si>
  <si>
    <t>TEST LE PLUS RÉUSSI</t>
  </si>
  <si>
    <t>TEST LE MOINS RÉUSSI</t>
  </si>
  <si>
    <t>S1 + S2 cumulées</t>
  </si>
  <si>
    <t>moyenne niveau S1→S2</t>
  </si>
  <si>
    <t>meilleur niveau moyen</t>
  </si>
  <si>
    <t>niveau moyen le plus faible</t>
  </si>
  <si>
    <t>RÉPARTITION DES NIVEAUX UGSEL — ÉCOLE ENTIÈRE</t>
  </si>
  <si>
    <t>NAVIGATION</t>
  </si>
  <si>
    <t>Cliquez sur un bouton pour ouvrir l'onglet. Statistiques basées sur l'année scolaire active (voir PARAMETRES).      ·      Version 26 — août 2026</t>
  </si>
  <si>
    <t>Niveau</t>
  </si>
  <si>
    <t>Eff S1</t>
  </si>
  <si>
    <t>Eff S2</t>
  </si>
  <si>
    <t>NbTests</t>
  </si>
  <si>
    <t>Filled</t>
  </si>
  <si>
    <t>Possible</t>
  </si>
  <si>
    <t>CP</t>
  </si>
  <si>
    <t>CE1</t>
  </si>
  <si>
    <t>CE2</t>
  </si>
  <si>
    <t>CM1</t>
  </si>
  <si>
    <t>CM2</t>
  </si>
  <si>
    <t>Test</t>
  </si>
  <si>
    <t>NivMoyen</t>
  </si>
  <si>
    <t>École</t>
  </si>
  <si>
    <t>MODE D'EMPLOI — TESTE ET AMÉLIORE TA FORME</t>
  </si>
  <si>
    <t>DÉMARRAGE</t>
  </si>
  <si>
    <t>• 1. Renseignez ÉCOLE et VILLE en haut de la feuille SAISIE : sans ces informations, la saisie des élèves est bloquée (elles sont indispensables au suivi longitudinal).</t>
  </si>
  <si>
    <t>• 2. Renseignez Année, Niveau et Session sur chaque ligne (listes déroulantes), puis saisissez vos élèves et leurs performances.</t>
  </si>
  <si>
    <t>RÈGLE DES TESTS</t>
  </si>
  <si>
    <t>• Cycle 2 (CP, CE1, CE2) : 5 tests — Équilibre, Souplesse, Vitesse, Endurance, Coordination.</t>
  </si>
  <si>
    <t>• Cycle 3 (CM1, CM2) : 8 tests — les 5 précédents + Gainage, Adresse, Force des jambes.</t>
  </si>
  <si>
    <t>• Pour un élève de Cycle 2, les 3 colonnes du Cycle 3 sont grisées et refusent la saisie.</t>
  </si>
  <si>
    <t>ANNÉE, NIVEAU ET SESSION PAR LIGNE</t>
  </si>
  <si>
    <t>• Année / Niveau / Session : remplissez la 1re ligne, sélectionnez-les et double-cliquez sur le carré en bas à droite.</t>
  </si>
  <si>
    <t>• Ces trois colonnes sont visibles à gauche du tableau : vérifiez-les et corrigez-les directement dans la ligne si besoin (liste déroulante).</t>
  </si>
  <si>
    <t>• La cellule Niveau apparaît en ORANGE si le même élève porte un autre niveau sur une autre ligne de la même année : c'est une erreur de saisie, corrigez-la.</t>
  </si>
  <si>
    <t>COLONNE ÉTAT</t>
  </si>
  <si>
    <t>• Complet / Incomplet : avancement des tests attendus (5 ou 8 selon le cycle).</t>
  </si>
  <si>
    <t>• ⚠ Doublon : même élève saisi deux fois pour la même année et session.</t>
  </si>
  <si>
    <t>• ⚠ Vérifier niveau : année de naissance incohérente avec le niveau scolaire enregistré.</t>
  </si>
  <si>
    <t>• ⚠ Tests cycle 3 : des tests réservés au Cycle 3 ont été saisis pour un élève de Cycle 2 (souvent après un copier-coller).</t>
  </si>
  <si>
    <t>• ⚠ Statut incohérent / ⚠ Départ non confirmé : vérifiez la colonne Statut (Actif / Parti).</t>
  </si>
  <si>
    <t>• Attention : le copier-coller contourne les contrôles de saisie d'Excel. Après un collage, vérifiez toujours la colonne État.</t>
  </si>
  <si>
    <t>RÉCUPÉRER UNE CLASSE</t>
  </si>
  <si>
    <t>• Dans la zone à droite de la feuille SAISIE, indiquez l'année source et le niveau : la liste des élèves s'affiche avec le niveau suggéré pour la nouvelle année.</t>
  </si>
  <si>
    <t>• Un compteur indique combien d'élèves ont été trouvés et combien ont des résultats S1 : évitez de rapatrier une classe à moitié saisie.</t>
  </si>
  <si>
    <t>• Copiez le bloc, COLLEZ EN VALEURS (Ctrl+Alt+V, V), puis renseignez Année / Niveau / Session.</t>
  </si>
  <si>
    <t>ÉCHELLE UGSEL (1 À 5)</t>
  </si>
  <si>
    <t>• 1 Débutant · 2 En progrès · 3 Acquis · 4 Maîtrisé · 5 Expert. La légende colorée figure sur PROFIL ÉLÈVE et FICHE PARENTS.</t>
  </si>
  <si>
    <t>EXPORTS</t>
  </si>
  <si>
    <t>• EXPORT UGSEL : moyennes anonymisées par niveau, à transmettre à l'UGSEL.</t>
  </si>
  <si>
    <t>• EXPORT BRUT : toutes les lignes saisies (une par élève et par session). Pour obtenir un CSV : placez-vous sur cette feuille puis Fichier &gt; Enregistrer sous &gt; format CSV. Les lignes vides du fichier obtenu peuvent être ignorées.</t>
  </si>
  <si>
    <t>PROTECTION</t>
  </si>
  <si>
    <t>• La feuille SAISIE est protégée sans mot de passe : seules les cellules de saisie sont modifiables, les formules sont à l'abri des écrasements accidentels.</t>
  </si>
  <si>
    <t>• Pour la déprotéger : Révision &gt; Ôter la protection de la feuille.</t>
  </si>
  <si>
    <t>SUIVI DE COHORTE ET ANALYSES</t>
  </si>
  <si>
    <t>• La feuille COHORTE suit une classe entière d'année en année (année et niveau de départ à choisir) avec effectifs et niveau moyen par session.</t>
  </si>
  <si>
    <t>• STATS NIVEAU affiche aussi la médiane (Méd. S1 / Méd. S2), plus robuste que la moyenne face aux valeurs extrêmes, et le taux de retest S1→S2 (part des élèves de S1 retrouvés en S2).</t>
  </si>
  <si>
    <t>• Un Nom ou Prénom surligné en rose clair contient des espaces parasites (début/fin) : corrigez-le pour fiabiliser la détection des doublons.</t>
  </si>
  <si>
    <t>• Toutes les feuilles de consultation (PROFIL, STATS, FICHES, SUIVI, COHORTE, EXPORTS) sont protégées sans mot de passe : seuls leurs sélecteurs restent modifiables.</t>
  </si>
  <si>
    <t>ANNÉES CLÔTURÉES</t>
  </si>
  <si>
    <t>• Sur la feuille PARAMETRES (bas de page), passez une année à « Oui » quand toutes ses saisies sont terminées.</t>
  </si>
  <si>
    <t>• Les lignes de cette année apparaissent grisées dans SAISIE et refusent toute modification des noms, prénoms et performances.</t>
  </si>
  <si>
    <t>• Pour rouvrir une année, repassez-la à « Non ».</t>
  </si>
  <si>
    <t>ARCHIVAGE (APRÈS CHAQUE SESSION)</t>
  </si>
  <si>
    <t>• 1. Ouvrez la feuille EXPORT BRUT.</t>
  </si>
  <si>
    <t>• 2. Fichier &gt; Enregistrer sous &gt; Type : CSV (séparateur point-virgule). Nommez le fichier avec la date : ugsel_2025-2026_S1_2026-02-14.csv</t>
  </si>
  <si>
    <t>• 3. Confirmez « Garder le format actuel », puis rouvrez le classeur .xlsx d'origine pour continuer à travailler.</t>
  </si>
  <si>
    <t>• 4. Conservez ces CSV dans un dossier séparé : ils contiennent l'intégralité des saisies (identité, performances, niveaux) et permettent de tout reconstituer si le classeur est corrompu.</t>
  </si>
  <si>
    <t>• À faire au minimum après chaque session (S1 et S2), et avant de changer l'année scolaire active.</t>
  </si>
  <si>
    <t>IMPRESSION</t>
  </si>
  <si>
    <t>• FICHE PARENTS est calibrée pour tenir sur une seule page A4 portrait : imprimez directement, sans modifier l'échelle.</t>
  </si>
  <si>
    <t>• Tout s'imprime en A4 : FICHE PARENTS en portrait, les autres feuilles en paysage. EXPORT BRUT se copie, il ne s'imprime pas.</t>
  </si>
  <si>
    <t>LIBREOFFICE CALC</t>
  </si>
  <si>
    <t>• Aucun réglage particulier : le classeur fonctionne avec le calcul standard, sans calcul itératif ni macro.</t>
  </si>
  <si>
    <t>• Le classeur s'ouvre et se calcule de la même façon sous Excel et sous LibreOffice : rien à activer avant de commencer.</t>
  </si>
  <si>
    <t>• Le lien « cliquez ici pour y aller » du bandeau fonctionne sous Excel ; sous LibreOffice il peut ne pas déclencher le saut, mais le numéro de la prochaine ligne libre reste affiché.</t>
  </si>
  <si>
    <t>SAISIE DES RÉSULTATS — TESTE ET AMÉLIORE TA FORME</t>
  </si>
  <si>
    <t>RÉCUPÉRER UNE CLASSE / PRÉPARER UNE SESSION</t>
  </si>
  <si>
    <t>ÉCOLE</t>
  </si>
  <si>
    <t>VILLE</t>
  </si>
  <si>
    <t>SUIVI DE LA SAISIE</t>
  </si>
  <si>
    <t>Copiez le bloc, puis COLLEZ EN VALEURS (Ctrl+Alt+V, V).</t>
  </si>
  <si>
    <t>Depuis l'année :</t>
  </si>
  <si>
    <t>Niveau :</t>
  </si>
  <si>
    <t>① Année / Niveau / Session sur la 1re ligne, puis faites glisser le petit carré en bas à droite pour recopier sur toute la classe.
② Saisissez les performances : 5 tests en CP-CE2, 8 tests en CM1-CM2 — les colonnes grisées ne concernent pas le cycle.
③ Un Niveau en ORANGE signale un élève qui a un autre niveau ailleurs.
➜ Session 2 ou classe de l'an dernier : zone RÉCUPÉRER UNE CLASSE à droite, coller en VALEURS.</t>
  </si>
  <si>
    <t>Année
scolaire</t>
  </si>
  <si>
    <t>Niveau
scolaire</t>
  </si>
  <si>
    <t>Session</t>
  </si>
  <si>
    <t>ID Élève
(auto)</t>
  </si>
  <si>
    <t>Nom</t>
  </si>
  <si>
    <t>Prénom</t>
  </si>
  <si>
    <t>Sexe</t>
  </si>
  <si>
    <t>Né(e) en
(facultatif)</t>
  </si>
  <si>
    <t>Équilibre
secondes</t>
  </si>
  <si>
    <t>Souplesse
zone (1-5)</t>
  </si>
  <si>
    <t>Vitesse
mètres (/6s)</t>
  </si>
  <si>
    <t>Endurance
longueurs (/3min)</t>
  </si>
  <si>
    <t>Coordination
cases (/30s)</t>
  </si>
  <si>
    <t>Gainage
secondes</t>
  </si>
  <si>
    <t>Adresse
lancers réussis</t>
  </si>
  <si>
    <t>Force des jambes
mètres</t>
  </si>
  <si>
    <t>État</t>
  </si>
  <si>
    <t>Né(e) en</t>
  </si>
  <si>
    <t>Niveau (suggéré)</t>
  </si>
  <si>
    <t>Statut</t>
  </si>
  <si>
    <t>LÉGENDE — Colonne État</t>
  </si>
  <si>
    <t>Signification</t>
  </si>
  <si>
    <t>Complet</t>
  </si>
  <si>
    <t>Tous les tests attendus sont saisis.</t>
  </si>
  <si>
    <t>Incomplet</t>
  </si>
  <si>
    <t>Il manque au moins un test sur cette ligne.</t>
  </si>
  <si>
    <t>⚠ Doublon</t>
  </si>
  <si>
    <t>Même élève saisi deux fois pour la même session.</t>
  </si>
  <si>
    <t>⚠ Statut incohérent</t>
  </si>
  <si>
    <t>S1 et S2 du même élève n'ont pas le même statut.</t>
  </si>
  <si>
    <t>⚠ Départ non confirmé ?</t>
  </si>
  <si>
    <t>Élève en S1 sans ligne S2 et sans Statut=Parti.</t>
  </si>
  <si>
    <t>⚠ Vérifier niveau</t>
  </si>
  <si>
    <t>L'âge ne correspond pas au niveau — redoublement ou erreur ?</t>
  </si>
  <si>
    <t>PASSAGE S1 → S2 (même classe, même année) — S2 = nouvelles lignes : ne modifiez jamais les lignes S1</t>
  </si>
  <si>
    <t>1. Passez le menu Session sur S2 (Année et Niveau inchangés)</t>
  </si>
  <si>
    <t>2. Copiez les colonnes Nom → Né(e) en (F à I) des lignes S1 de la classe</t>
  </si>
  <si>
    <t>3. Collez sur la prochaine ligne libre : Année / Niveau / Session se remplissent automatiquement en S2</t>
  </si>
  <si>
    <t>4. Saisissez les performances de fin d’année</t>
  </si>
  <si>
    <t>Nouvel élève : ajoutez simplement une ligne. Élève qui part : Statut = Parti sur ses lignes S1 et S2.</t>
  </si>
  <si>
    <t>PROFIL ÉLÈVE</t>
  </si>
  <si>
    <t>Sélectionner un élève et une année scolaire pour afficher son profil détaillé.</t>
  </si>
  <si>
    <t>ÉLÈVE (ID)</t>
  </si>
  <si>
    <t>ANNÉE SCOLAIRE</t>
  </si>
  <si>
    <t>NIVEAU SCOLAIRE</t>
  </si>
  <si>
    <t>(Tous)</t>
  </si>
  <si>
    <t>Nom :</t>
  </si>
  <si>
    <t>Prénom :</t>
  </si>
  <si>
    <t>Sessions :</t>
  </si>
  <si>
    <t>secondes</t>
  </si>
  <si>
    <t>zone (1-5)</t>
  </si>
  <si>
    <t>mètres (/6s)</t>
  </si>
  <si>
    <t>longueurs (/3min)</t>
  </si>
  <si>
    <t>Perf.</t>
  </si>
  <si>
    <t>S1</t>
  </si>
  <si>
    <t>S2</t>
  </si>
  <si>
    <t>Évolution</t>
  </si>
  <si>
    <t>cases (/30s)</t>
  </si>
  <si>
    <t>lancers réussis</t>
  </si>
  <si>
    <t>mètres</t>
  </si>
  <si>
    <t>Une version imprimable de ce profil (fiche à destination des familles) est disponible dans l'onglet FICHE PARENTS.</t>
  </si>
  <si>
    <t>PROFIL DE COMPÉTENCES (NIVEAU 1 À 5)</t>
  </si>
  <si>
    <t>1 · Débutant</t>
  </si>
  <si>
    <t>2 · En progrès</t>
  </si>
  <si>
    <t>3 · Acquis</t>
  </si>
  <si>
    <t>4 · Maîtrisé</t>
  </si>
  <si>
    <t>5 · Expert</t>
  </si>
  <si>
    <t>Moy. niv.</t>
  </si>
  <si>
    <t>FICHE DE SUIVI INDIVIDUEL — TESTE ET AMÉLIORE TA FORME</t>
  </si>
  <si>
    <t>RÉSULTATS DES TESTS DE FORME</t>
  </si>
  <si>
    <t>Unité</t>
  </si>
  <si>
    <t>Perf. S1</t>
  </si>
  <si>
    <t>Niveau S1</t>
  </si>
  <si>
    <t>Perf. S2</t>
  </si>
  <si>
    <t>Niveau S2</t>
  </si>
  <si>
    <t>Moy. niveau</t>
  </si>
  <si>
    <t>sec</t>
  </si>
  <si>
    <t>zone</t>
  </si>
  <si>
    <t>m</t>
  </si>
  <si>
    <t>long.</t>
  </si>
  <si>
    <t>cases</t>
  </si>
  <si>
    <t>lancers</t>
  </si>
  <si>
    <t>STATISTIQUES PAR NIVEAU SCOLAIRE</t>
  </si>
  <si>
    <t>PERF_S1</t>
  </si>
  <si>
    <t>PERF_S2</t>
  </si>
  <si>
    <t>NIV_S1</t>
  </si>
  <si>
    <t>NIV_S2</t>
  </si>
  <si>
    <t>PCT_S1</t>
  </si>
  <si>
    <t>PCT_S2</t>
  </si>
  <si>
    <t>Toutes les classes d'un même niveau scolaire sont agrégées automatiquement.</t>
  </si>
  <si>
    <t>VUE PERFORMANCE — MOYENNES RÉELLES</t>
  </si>
  <si>
    <t>Eff. S1</t>
  </si>
  <si>
    <t>Moy. S1</t>
  </si>
  <si>
    <t>Eff. S2</t>
  </si>
  <si>
    <t>Moy. S2</t>
  </si>
  <si>
    <t>VUE NIVEAU — NIVEAU UGSEL MOYEN (1 À 5)</t>
  </si>
  <si>
    <t>Niveau moy. S1</t>
  </si>
  <si>
    <t>Niveau moy. S2</t>
  </si>
  <si>
    <t>Médiane S1</t>
  </si>
  <si>
    <t>Médiane S2</t>
  </si>
  <si>
    <t>RÉPARTITION DES NIVEAUX UGSEL (TOUS TESTS)</t>
  </si>
  <si>
    <t>Libellé</t>
  </si>
  <si>
    <t>Effectif S1</t>
  </si>
  <si>
    <t>Effectif S2</t>
  </si>
  <si>
    <t>Débutant</t>
  </si>
  <si>
    <t>En progrès</t>
  </si>
  <si>
    <t>Acquis</t>
  </si>
  <si>
    <t>Maîtrisé</t>
  </si>
  <si>
    <t>Expert</t>
  </si>
  <si>
    <t>INDICATEURS DE PROGRESSION (TOUS TESTS CONFONDUS)</t>
  </si>
  <si>
    <t>COMPARATIF FILLES / GARÇONS — NIVEAU UGSEL MOYEN</t>
  </si>
  <si>
    <t>Filles S1</t>
  </si>
  <si>
    <t>Garçons S1</t>
  </si>
  <si>
    <t>Filles S2</t>
  </si>
  <si>
    <t>Garçons S2</t>
  </si>
  <si>
    <t>Écart S1 (F−G)</t>
  </si>
  <si>
    <t>Écart S2 (F−G)</t>
  </si>
  <si>
    <t>PERFORMANCE RÉELLE PAR TEST (S1 vs S2)</t>
  </si>
  <si>
    <t>▶</t>
  </si>
  <si>
    <t>STATISTIQUES ÉTABLISSEMENT</t>
  </si>
  <si>
    <t>Vue globale de l'établissement, tous niveaux scolaires confondus.</t>
  </si>
  <si>
    <t>EFFECTIF TOTAL (S1)</t>
  </si>
  <si>
    <t>SCORE MOYEN S1</t>
  </si>
  <si>
    <t>SCORE MOYEN S2</t>
  </si>
  <si>
    <t>PROGRESSION MOYENNE</t>
  </si>
  <si>
    <t>personnes</t>
  </si>
  <si>
    <t>niveau /5</t>
  </si>
  <si>
    <t>niveau</t>
  </si>
  <si>
    <t>EFFECTIF &amp; SCORE PAR NIVEAU SCOLAIRE</t>
  </si>
  <si>
    <t>Cycle</t>
  </si>
  <si>
    <t>Score S1</t>
  </si>
  <si>
    <t>Score S2</t>
  </si>
  <si>
    <t>Cycle 2</t>
  </si>
  <si>
    <t>Cycle 3</t>
  </si>
  <si>
    <t>PERFORMANCE — PROFIL ÉTABLISSEMENT (TOUS NIVEAUX)</t>
  </si>
  <si>
    <t>NIVEAU — PROFIL ÉTABLISSEMENT (TOUS NIVEAUX)</t>
  </si>
  <si>
    <t>ÉVOLUTION ANNUELLE — HISTORIQUE (SCORE MOYEN /5)</t>
  </si>
  <si>
    <t>Année scolaire</t>
  </si>
  <si>
    <t>Score moy. S1</t>
  </si>
  <si>
    <t>Score moy. S2</t>
  </si>
  <si>
    <t>EVO_S1</t>
  </si>
  <si>
    <t>EVO_S2</t>
  </si>
  <si>
    <t>INDICATEURS DE PROGRESSION (TOUS TESTS CONFONDUS, ÉCOLE ENTIÈRE)</t>
  </si>
  <si>
    <t>RÉPARTITION DES NIVEAUX UGSEL (TOUS TESTS, ÉCOLE ENTIÈRE)</t>
  </si>
  <si>
    <t>SUIVI LONGITUDINAL</t>
  </si>
  <si>
    <t>Suivez la progression d'un élève, test par test, sur l'ensemble de sa scolarité (8 années).</t>
  </si>
  <si>
    <t>TEST PHYSIQUE</t>
  </si>
  <si>
    <t>ÉVOLUTION DU TEST SÉLECTIONNÉ — HISTORIQUE SUR 8 ANNÉES</t>
  </si>
  <si>
    <t>Niveau scolaire</t>
  </si>
  <si>
    <t>HISTORIQUE COMPLET — LES 8 TESTS SUR LES 8 ANNÉES SCOLAIRES</t>
  </si>
  <si>
    <t>Tableau de référence indépendant du test sélectionné ci-dessus : chaque performance est toujours accompagnée de son niveau UGSEL correspondant.</t>
  </si>
  <si>
    <t>EQ</t>
  </si>
  <si>
    <t>SO</t>
  </si>
  <si>
    <t>VI</t>
  </si>
  <si>
    <t>EN</t>
  </si>
  <si>
    <t>CO</t>
  </si>
  <si>
    <t>GA</t>
  </si>
  <si>
    <t>AD</t>
  </si>
  <si>
    <t>FO</t>
  </si>
  <si>
    <t>SUIVI DE COHORTE</t>
  </si>
  <si>
    <t>Suivez une classe entière d'année en année (ex : les CE2 2025-2026 devenus CM1 en 2026-2027). Basé sur la progression normale : redoublements, départs et arrivées modifient la composition du groupe.</t>
  </si>
  <si>
    <t>ANNÉE DE DÉPART</t>
  </si>
  <si>
    <t>NIVEAU DE DÉPART</t>
  </si>
  <si>
    <t>Évolution S1→S2</t>
  </si>
  <si>
    <t>EXPORT UGSEL — DONNÉES ANONYMISÉES</t>
  </si>
  <si>
    <t>Établissement</t>
  </si>
  <si>
    <t>Ville</t>
  </si>
  <si>
    <t>Effectif</t>
  </si>
  <si>
    <t>Niveau moyen</t>
  </si>
  <si>
    <t>N1</t>
  </si>
  <si>
    <t>N2</t>
  </si>
  <si>
    <t>N3</t>
  </si>
  <si>
    <t>N4</t>
  </si>
  <si>
    <t>N5</t>
  </si>
  <si>
    <t>Progression S1→S2</t>
  </si>
  <si>
    <t>Non réalisée</t>
  </si>
  <si>
    <t>Export prêt à être copié ou imprimé en PDF pour transmission à l'UGSEL départementale. Aucune identité d'élève n'apparaît dans ce tableau.</t>
  </si>
  <si>
    <t>Équilibre (s)</t>
  </si>
  <si>
    <t>Souplesse (zone)</t>
  </si>
  <si>
    <t>Vitesse (m)</t>
  </si>
  <si>
    <t>Endurance (long.)</t>
  </si>
  <si>
    <t>Coordination (cases)</t>
  </si>
  <si>
    <t>Gainage (s)</t>
  </si>
  <si>
    <t>Adresse (lancers)</t>
  </si>
  <si>
    <t>Force jambes (m)</t>
  </si>
  <si>
    <t>Niv. Équilibre</t>
  </si>
  <si>
    <t>Niv. Souplesse</t>
  </si>
  <si>
    <t>Niv. Vitesse</t>
  </si>
  <si>
    <t>Niv. Endurance</t>
  </si>
  <si>
    <t>Niv. Coordination</t>
  </si>
  <si>
    <t>Niv. Gainage</t>
  </si>
  <si>
    <t>Niv. Adresse</t>
  </si>
  <si>
    <t>Niv. Force</t>
  </si>
  <si>
    <t>PARAMÈTRES &amp; SEUILS UGSEL</t>
  </si>
  <si>
    <t>INFORMATIONS ÉTABLISSEMENT</t>
  </si>
  <si>
    <t>Nom de l'établissement</t>
  </si>
  <si>
    <t>Année scolaire active</t>
  </si>
  <si>
    <t>2025-2026</t>
  </si>
  <si>
    <t>⚠ Avant de changer l'année : exportez UGSEL d'abord !</t>
  </si>
  <si>
    <t>LISTES DÉROULANTES</t>
  </si>
  <si>
    <t>Années scolaires</t>
  </si>
  <si>
    <t>Niveaux scolaires</t>
  </si>
  <si>
    <t>Sessions</t>
  </si>
  <si>
    <t>F</t>
  </si>
  <si>
    <t>Actif</t>
  </si>
  <si>
    <t>2026-2027</t>
  </si>
  <si>
    <t>M</t>
  </si>
  <si>
    <t>Parti</t>
  </si>
  <si>
    <t>2027-2028</t>
  </si>
  <si>
    <t>2028-2029</t>
  </si>
  <si>
    <t>2029-2030</t>
  </si>
  <si>
    <t>2030-2031</t>
  </si>
  <si>
    <t>2031-2032</t>
  </si>
  <si>
    <t>2032-2033</t>
  </si>
  <si>
    <t>NIVEAUX DE COMPÉTENCE</t>
  </si>
  <si>
    <t>Couleur</t>
  </si>
  <si>
    <t>SEUILS UGSEL — TOUS TESTS (Cycles 2 et 3)</t>
  </si>
  <si>
    <t>TEST</t>
  </si>
  <si>
    <t>N1 ≤</t>
  </si>
  <si>
    <t>N2 ≤</t>
  </si>
  <si>
    <t>N3 ≤</t>
  </si>
  <si>
    <t>N4 ≤</t>
  </si>
  <si>
    <t>N5 &gt;</t>
  </si>
  <si>
    <t>Vitesse (Cycle 2)</t>
  </si>
  <si>
    <t>mètres / 6 s</t>
  </si>
  <si>
    <t>Vitesse (Cycle 3)</t>
  </si>
  <si>
    <t>longueurs</t>
  </si>
  <si>
    <t>Les seuils ci-dessus pilotent tous les calculs de niveaux du classeur.</t>
  </si>
  <si>
    <t>Aucun seuil n'est codé en dur dans les formules : modifier ces valeurs met à jour tout le classeur.</t>
  </si>
  <si>
    <t>TESTS PAR CYCLE</t>
  </si>
  <si>
    <t>Cycle 2 (CP, CE1, CE2)</t>
  </si>
  <si>
    <t>Équilibre, Souplesse, Vitesse, Endurance, Coordination</t>
  </si>
  <si>
    <t>Cycle 3 (CM1, CM2)</t>
  </si>
  <si>
    <t>Équilibre, Souplesse, Vitesse, Endurance, Coordination, Gainage, Adresse, Force des jambes</t>
  </si>
  <si>
    <t>Le test Vitesse utilise un barème spécifique par cycle (voir SEUILS UGSEL ci-dessus, lignes Vitesse Cycle 2 / Cycle 3). Les autres tests partagent le même barème sur les deux cycles.</t>
  </si>
  <si>
    <t>GUIDE D’UTILISATION ANNUELLE</t>
  </si>
  <si>
    <t>Chaque ligne de SAISIE = un élève + une année scolaire + une session. Ce n’est jamais remplacé, seulement complété.</t>
  </si>
  <si>
    <t>Chaque rentrée : ajoutez les nouvelles lignes à la suite des précédentes (voir l’indicateur «Prochaine ligne libre» en haut de SAISIE).</t>
  </si>
  <si>
    <t>Ne supprimez jamais les lignes des années passées, même pour des élèves qui ont quitté l’école (ex : CM2 partant en 6ᵉ) : leur historique reste nécessaire pour le suivi longitudinal.</t>
  </si>
  <si>
    <t>Un élève est reconnu automatiquement d’une année sur l’autre via son identifiant (basé sur nom, prénom, année de naissance) — saisissez-les toujours de la même façon pour garantir la continuité du suivi.</t>
  </si>
  <si>
    <t>ARCHIVAGE ANNUEL (avant de changer l’année active en C6)</t>
  </si>
  <si>
    <t>1. Fermez le classeur, puis dans l’explorateur : clic droit → Copier → Coller</t>
  </si>
  <si>
    <t>2. Renommez la copie UGSEL_Forme_ARCHIVE_2025-2026.xlsx (année écoulée) et rangez-la dans un dossier Archives</t>
  </si>
  <si>
    <t>3. Rouvrez le classeur de travail, faites l’EXPORT UGSEL, puis changez l’année active en C6</t>
  </si>
  <si>
    <t>ANNÉES CLÔTURÉES — PROTECTION DES DONNÉES HISTORIQUES</t>
  </si>
  <si>
    <t>Clôturée ?</t>
  </si>
  <si>
    <t>(verrou interne)</t>
  </si>
  <si>
    <t>Oui</t>
  </si>
  <si>
    <t>Non</t>
  </si>
  <si>
    <t>Passez une année à « Oui » une fois toutes ses saisies terminées : ses lignes dans SAISIE deviennent grisées et refusent toute modification des noms, prénoms et performances. Repassez à « Non » pour rouvrir l'année.</t>
  </si>
  <si>
    <t>ANNEE</t>
  </si>
  <si>
    <t>NIVEAU_SCO</t>
  </si>
  <si>
    <t>SESSION</t>
  </si>
  <si>
    <t>ID</t>
  </si>
  <si>
    <t>NOM</t>
  </si>
  <si>
    <t>PRENOM</t>
  </si>
  <si>
    <t>SEXE</t>
  </si>
  <si>
    <t>ANNEE_NAISS</t>
  </si>
  <si>
    <t>EQ_PERF</t>
  </si>
  <si>
    <t>SO_PERF</t>
  </si>
  <si>
    <t>VI_PERF</t>
  </si>
  <si>
    <t>EN_PERF</t>
  </si>
  <si>
    <t>CO_PERF</t>
  </si>
  <si>
    <t>GA_PERF</t>
  </si>
  <si>
    <t>AD_PERF</t>
  </si>
  <si>
    <t>FO_PERF</t>
  </si>
  <si>
    <t>EQ_NIV</t>
  </si>
  <si>
    <t>SO_NIV</t>
  </si>
  <si>
    <t>VI_NIV</t>
  </si>
  <si>
    <t>EN_NIV</t>
  </si>
  <si>
    <t>CO_NIV</t>
  </si>
  <si>
    <t>GA_NIV</t>
  </si>
  <si>
    <t>AD_NIV</t>
  </si>
  <si>
    <t>FO_NIV</t>
  </si>
  <si>
    <t>MOY_NIV</t>
  </si>
  <si>
    <t>CYCLE</t>
  </si>
  <si>
    <t>KEY</t>
  </si>
  <si>
    <t>ID_UNIQUE</t>
  </si>
  <si>
    <t>S2_ROW</t>
  </si>
  <si>
    <t>PROG_EQ</t>
  </si>
  <si>
    <t>PROG_SO</t>
  </si>
  <si>
    <t>PROG_VI</t>
  </si>
  <si>
    <t>PROG_EN</t>
  </si>
  <si>
    <t>PROG_CO</t>
  </si>
  <si>
    <t>PROG_GA</t>
  </si>
  <si>
    <t>PROG_AD</t>
  </si>
  <si>
    <t>PROG_FO</t>
  </si>
  <si>
    <t>STATUT</t>
  </si>
  <si>
    <t>RANG_RECUP</t>
  </si>
  <si>
    <t>APPRÉCIATION GÉNÉRALE</t>
  </si>
  <si>
    <t>RÉPARTITION DES NIVEAUX PAR TEST</t>
  </si>
  <si>
    <t>Session 1</t>
  </si>
  <si>
    <t>Session 2</t>
  </si>
  <si>
    <t>Effectifs d'élèves par niveau atteint, pour l'année et le niveau scolaire sélectionnés. « — » : test non réalisé sur la session.</t>
  </si>
  <si>
    <t>AVANCEMENT DE LA SAISIE PAR NIVEAU SCOLAIRE</t>
  </si>
  <si>
    <t>Élèves S1</t>
  </si>
  <si>
    <t>Élèves S2</t>
  </si>
  <si>
    <t>Tests saisis</t>
  </si>
  <si>
    <t>Avancement</t>
  </si>
  <si>
    <t>Tests saisis / attendus pour l'année active — attendus = (élèves S1 + élèves S2) × tests du cycle (5 en cycle 2, 8 en cycle 3).</t>
  </si>
  <si>
    <t>RESSOURCES — TESTE ET AMÉLIORE TA FORME</t>
  </si>
  <si>
    <t>Documents et vidéos officiels UGSEL 22 — cliquez sur une ligne pour ouvrir la ressource dans votre navigateur.</t>
  </si>
  <si>
    <t>PRÉSENTATION &amp; VIDÉOS</t>
  </si>
  <si>
    <t>FICHES PAR TEST — PROTOCOLES OFFICIELS (PDF)</t>
  </si>
  <si>
    <t>POUR ALLER PLUS LOIN</t>
  </si>
  <si>
    <t>Connexion internet requise. Toutes les ressources sont publiées par l'UGSEL 22 sur ugsel22.org.</t>
  </si>
  <si>
    <t>IMPORT D'UNE LISTE D'ÉLÈVES</t>
  </si>
  <si>
    <t>• Collez une liste d'élèves dans la zone ci-dessous (une ligne par élève), depuis un mail, Word ou Excel (1 ou 2 colonnes). Les colonnes NOM et Prénom se remplissent automatiquement.</t>
  </si>
  <si>
    <t>• Formats reconnus : DUPONT Alice · Alice Dupont · LE GALL Erwan · Dupont;Alice · nom et prénom sur 2 colonnes. Sans MAJUSCULES : ordre « Prénom Nom » supposé sur une ligne simple, « Nom ; Prénom » avec séparateur ou 2 colonnes.</t>
  </si>
  <si>
    <t>• Copiez ensuite les colonnes NOM et Prénom dans l'onglet SAISIE (clic droit → Collage spécial → Valeurs), puis effacez la zone de collage.</t>
  </si>
  <si>
    <t>Collez ici (colonne 1)</t>
  </si>
  <si>
    <t>(colonne 2, facultative)</t>
  </si>
  <si>
    <t>NOM</t>
  </si>
  <si>
    <t>Prénom</t>
  </si>
  <si>
    <t>40 lignes disponibles. Accents et tirets conservés (Jean-Marc, Aïcha…). Cette zone n'est pas imprimée et ne modifie rien toute seule.</t>
  </si>
  <si>
    <t>ANALYSES AUTOMATIQUES</t>
  </si>
  <si>
    <t>• FICHE PARENTS : une appréciation est générée automatiquement sous le radar, avec le point fort et le point à travailler de l'élève (base : session 2 si saisie, sinon session 1).</t>
  </si>
  <si>
    <t>• PROFIL ELEVE : le point fort et le point à travailler s'affichent à côté des statuts de session dès qu'un élève est sélectionné.</t>
  </si>
  <si>
    <t>• STATS NIVEAU : le tableau « Répartition des niveaux par test » (bas de page) compte, pour chaque session, les élèves de chaque niveau à chaque test.</t>
  </si>
  <si>
    <t>• ACCUEIL : le tableau « Avancement de la saisie » suit, niveau par niveau, les élèves saisis en S1/S2 et la part des tests renseignés.</t>
  </si>
  <si>
    <t>RESSOURCES ET LIENS</t>
  </si>
  <si>
    <t>• Sur l'ACCUEIL, cliquez sur le logo d'un test pour ouvrir sa fiche officielle UGSEL 22 (PDF) — connexion internet nécessaire.</t>
  </si>
  <si>
    <t>• La feuille RESSOURCES (bouton dans la grille de navigation) regroupe tous les liens : présentation du projet, fiches des 8 tests, vidéos et sélection d'activités.</t>
  </si>
  <si>
    <t>IMPORT D'UNE LISTE D'ÉLÈVES</t>
  </si>
  <si>
    <t>• En bas de la feuille PARAMETRES, collez une liste d'élèves (mail, Word, Excel…) : les colonnes NOM et Prénom se remplissent automatiquement, prêtes à copier dans SAISIE.</t>
  </si>
  <si>
    <t>• Formats reconnus : « DUPONT Alice », « Alice Dupont », noms composés en majuscules (LE GALL Erwan), listes à 2 colonnes ou séparées par « ; ».</t>
  </si>
  <si>
    <t>SUR TABLETTE OU TÉLÉPHONE (EXCEL MOBILE)</t>
  </si>
  <si>
    <t>• La consultation fonctionne : listes d'élèves, résultats et graphiques déjà calculés s'affichent normalement.</t>
  </si>
  <si>
    <t>• Excel mobile ne recalcule pas automatiquement. Après avoir changé un menu (élève, niveau, année) sur PROFIL ELEVE ou STATS, appuyez sur ··· puis « Calculer » pour rafraîchir les chiffres — ou ouvrez le fichier sur ordinateur pour une mise à jour automatique.</t>
  </si>
  <si>
    <t>SOMMAIRE — cliquez sur une rubrique</t>
  </si>
  <si>
    <t>COMPATIBILITÉ</t>
  </si>
  <si>
    <t>• Version minimale recommandée : Excel 2019 / Microsoft 365 (ou Excel mobile), LibreOffice Calc récent — le classeur utilise des fonctions modernes (MAXIFS, etc.).</t>
  </si>
  <si>
    <t>VISIBLE_COMPLET</t>
  </si>
  <si>
    <t>NIVEAU_INCOHERENT</t>
  </si>
  <si>
    <t>Médiane : niveau du « milieu de classe » — la moitié des élèves se situe au-dessus, l’autre en dessous. Moins sensible aux valeurs extrêmes que la moyenne.</t>
  </si>
  <si>
    <t>% S1</t>
  </si>
  <si>
    <t>% S2</t>
  </si>
  <si>
    <t>PROGRESSION APPARIÉE PAR TEST — MÊMES ÉLÈVES S1 → S2</t>
  </si>
  <si>
    <t>Appariés</t>
  </si>
  <si>
    <t>▲ Progrès</t>
  </si>
  <si>
    <t>= Stables</t>
  </si>
  <si>
    <t>▼ Reculs</t>
  </si>
  <si>
    <t>% en progrès</t>
  </si>
  <si>
    <t>Ne compte que les élèves ayant réalisé le même test en S1 et en S2 (année et niveau sélectionnés).</t>
  </si>
  <si>
    <t>SESSIONS COMPLÈTES / PARTIELLES</t>
  </si>
  <si>
    <t>Eff. total</t>
  </si>
  <si>
    <t>dont complètes</t>
  </si>
  <si>
    <t>Score moy. (complètes)</t>
  </si>
  <si>
    <t>Score moy. (toutes)</t>
  </si>
  <si>
    <t>Complète = tous les tests du cycle réalisés (5 en cycle 2, 8 en cycle 3). Les moyennes générales incluent aussi les sessions partielles.</t>
  </si>
  <si>
    <t>PROGRESSION APPARIÉE PAR TEST — MÊMES ÉLÈVES S1 → S2 (ÉCOLE ENTIÈRE)</t>
  </si>
  <si>
    <t>Ne compte que les élèves ayant réalisé le même test en S1 et en S2 (année sélectionnée, école entière).</t>
  </si>
  <si>
    <t>SESSIONS COMPLÈTES / PARTIELLES (ÉCOLE ENTIÈRE)</t>
  </si>
  <si>
    <t>Naissance</t>
  </si>
  <si>
    <t>CONTRÔLES DE COHÉRENCE — ZONE TECHNIQUE</t>
  </si>
  <si>
    <t>Contrôle</t>
  </si>
  <si>
    <t>Valeur</t>
  </si>
  <si>
    <t>Lignes saisies (SAISIE) = lignes reprises (DONNEES)</t>
  </si>
  <si>
    <t>Somme des effectifs par niveau = effectif école (S1)</t>
  </si>
  <si>
    <t>Effectifs EXPORT UGSEL = lignes de l’année exportée</t>
  </si>
  <si>
    <t>Doublons (même élève, même année, même session)</t>
  </si>
  <si>
    <t>Lignes sans Année / Niveau / Session</t>
  </si>
  <si>
    <t>Autres alertes de la colonne État (niveau, statut, cycle)</t>
  </si>
  <si>
    <t>Élèves sans aucun résultat (année active)</t>
  </si>
  <si>
    <t>Sessions incomplètes (année active)</t>
  </si>
  <si>
    <t>Zone de contrôle interne : « OK » partout = données cohérentes entre SAISIE, DONNEES, STATS et EXPORT. « À CONTRÔLER » signale des cas normaux mais à vérifier (élève absent, session partielle). « ERREUR » demande une correction dans SAISIE.</t>
  </si>
  <si>
    <t>KEY_DOUBLON</t>
  </si>
  <si>
    <t>KEY_STATUT</t>
  </si>
  <si>
    <t>KEY_NIV_SESSION</t>
  </si>
  <si>
    <t>RANG_PROFIL</t>
  </si>
  <si>
    <t>RANG_SUIVI</t>
  </si>
  <si>
    <t>NB_PROG</t>
  </si>
  <si>
    <t>NB_STAB</t>
  </si>
  <si>
    <t>NB_REG</t>
  </si>
  <si>
    <t>NB_TESTS</t>
  </si>
  <si>
    <t>COMPLET</t>
  </si>
  <si>
    <t>STATUT_TECH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</si>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</sst>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@&quot; ▾&quot;"/>
    <numFmt numFmtId="165" formatCode="0.##&quot; sec&quot;"/>
    <numFmt numFmtId="166" formatCode="0.##&quot; zone&quot;"/>
    <numFmt numFmtId="167" formatCode="0.##&quot; m&quot;"/>
    <numFmt numFmtId="168" formatCode="0.##&quot; long.&quot;"/>
    <numFmt numFmtId="169" formatCode="0.##&quot; cases&quot;"/>
    <numFmt numFmtId="170" formatCode="0.##&quot; lancers&quot;"/>
  </numFmts>
  <fonts count="94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b/>
      <i/>
      <sz val="10.5"/>
      <color rgb="FF322785"/>
      <name val="Calibri"/>
      <charset val="1"/>
    </font>
    <font>
      <b/>
      <sz val="11"/>
      <color rgb="FFFFFFFF"/>
      <name val="Calibri"/>
      <charset val="1"/>
    </font>
    <font>
      <b/>
      <sz val="10"/>
      <color rgb="FFFFFFFF"/>
      <name val="Calibri"/>
      <charset val="1"/>
    </font>
    <font>
      <b/>
      <sz val="10"/>
      <color rgb="FF3B3B00"/>
      <name val="Calibri"/>
      <charset val="1"/>
    </font>
    <font>
      <b/>
      <sz val="8"/>
      <color rgb="FFFFFFFF"/>
      <name val="Calibri"/>
      <charset val="1"/>
    </font>
    <font>
      <b/>
      <sz val="17"/>
      <color rgb="FF322785"/>
      <name val="Calibri"/>
      <charset val="1"/>
    </font>
    <font>
      <i/>
      <sz val="7.5"/>
      <color rgb="FF6B6B7B"/>
      <name val="Calibri"/>
      <charset val="1"/>
    </font>
    <font>
      <b/>
      <sz val="14"/>
      <color rgb="FF322785"/>
      <name val="Calibri"/>
      <charset val="1"/>
    </font>
    <font>
      <b/>
      <sz val="10.5"/>
      <color rgb="FFFFFFFF"/>
      <name val="Calibri"/>
      <charset val="1"/>
    </font>
    <font>
      <b/>
      <sz val="12"/>
      <color rgb="FFFFFFFF"/>
      <name val="Calibri"/>
      <charset val="1"/>
    </font>
    <font>
      <b/>
      <sz val="12"/>
      <color rgb="FF3B3B00"/>
      <name val="Calibri"/>
      <charset val="1"/>
    </font>
    <font>
      <i/>
      <sz val="9"/>
      <color rgb="FF6B6B7B"/>
      <name val="Calibri"/>
      <charset val="1"/>
    </font>
    <font>
      <b/>
      <sz val="16"/>
      <color rgb="FFFFFFFF"/>
      <name val="Cambria"/>
      <charset val="1"/>
    </font>
    <font>
      <b/>
      <sz val="12"/>
      <color rgb="FF1F1B4E"/>
      <name val="Cambria"/>
      <charset val="1"/>
    </font>
    <font>
      <b/>
      <sz val="15"/>
      <color rgb="FFFFFFFF"/>
      <name val="Calibri"/>
      <charset val="1"/>
    </font>
    <font>
      <i/>
      <sz val="10"/>
      <color rgb="FFFFFFFF"/>
      <name val="Calibri"/>
      <charset val="1"/>
    </font>
    <font>
      <b/>
      <sz val="7.5"/>
      <color rgb="FF8A8A99"/>
      <name val="Calibri"/>
      <charset val="1"/>
    </font>
    <font>
      <i/>
      <sz val="8"/>
      <color rgb="FF595959"/>
      <name val="Calibri"/>
      <charset val="1"/>
    </font>
    <font>
      <b/>
      <sz val="11"/>
      <color rgb="FF322785"/>
      <name val="Calibri"/>
      <charset val="1"/>
    </font>
    <font>
      <b/>
      <sz val="8"/>
      <color rgb="FF8A8A99"/>
      <name val="Calibri"/>
      <charset val="1"/>
    </font>
    <font>
      <b/>
      <sz val="12"/>
      <color rgb="FF322785"/>
      <name val="Calibri"/>
      <charset val="1"/>
    </font>
    <font>
      <b/>
      <sz val="12"/>
      <color rgb="FF1F1B4E"/>
      <name val="Calibri"/>
      <charset val="1"/>
    </font>
    <font>
      <i/>
      <sz val="9"/>
      <color rgb="FF1F1B4E"/>
      <name val="Cambria"/>
      <charset val="1"/>
    </font>
    <font>
      <b/>
      <sz val="9.5"/>
      <color rgb="FFFFFFFF"/>
      <name val="Calibri"/>
      <charset val="1"/>
    </font>
    <font>
      <b/>
      <sz val="9.5"/>
      <color rgb="FF3B3B00"/>
      <name val="Calibri"/>
      <charset val="1"/>
    </font>
    <font>
      <sz val="9.5"/>
      <color rgb="FF6B6B7B"/>
      <name val="Calibri"/>
      <charset val="1"/>
    </font>
    <font>
      <i/>
      <sz val="10"/>
      <color rgb="FF6B6B7B"/>
      <name val="Calibri"/>
      <charset val="1"/>
    </font>
    <font>
      <b/>
      <sz val="10.5"/>
      <color rgb="FF322785"/>
      <name val="Calibri"/>
      <charset val="1"/>
    </font>
    <font>
      <b/>
      <sz val="10"/>
      <color rgb="FF000000"/>
      <name val="Calibri"/>
      <charset val="1"/>
    </font>
    <font>
      <i/>
      <sz val="9.5"/>
      <color rgb="FF6B6B7B"/>
      <name val="Calibri"/>
      <charset val="1"/>
    </font>
    <font>
      <i/>
      <sz val="9.5"/>
      <color rgb="FF000000"/>
      <name val="Calibri"/>
      <charset val="1"/>
    </font>
    <font>
      <i/>
      <sz val="8.5"/>
      <color rgb="FFFFFFFF"/>
      <name val="Calibri"/>
      <charset val="1"/>
    </font>
    <font>
      <b/>
      <sz val="8"/>
      <color rgb="FF6B6B7B"/>
      <name val="Calibri"/>
      <charset val="1"/>
    </font>
    <font>
      <b/>
      <sz val="9.5"/>
      <color rgb="FF000000"/>
      <name val="Calibri"/>
      <charset val="1"/>
    </font>
    <font>
      <sz val="10"/>
      <color rgb="FF000000"/>
      <name val="Calibri"/>
      <charset val="1"/>
    </font>
    <font>
      <i/>
      <sz val="8"/>
      <color rgb="FF6B6B7B"/>
      <name val="Calibri"/>
      <charset val="1"/>
    </font>
    <font>
      <b/>
      <sz val="11"/>
      <color rgb="FF3B3B00"/>
      <name val="Calibri"/>
      <charset val="1"/>
    </font>
    <font>
      <b/>
      <sz val="9"/>
      <color rgb="FFFFFFFF"/>
      <name val="Cambria"/>
      <charset val="1"/>
    </font>
    <font>
      <b/>
      <sz val="9"/>
      <color rgb="FF3B3B00"/>
      <name val="Cambria"/>
      <charset val="1"/>
    </font>
    <font>
      <b/>
      <sz val="9"/>
      <color rgb="FFFFFFFF"/>
      <name val="Calibri"/>
      <charset val="1"/>
    </font>
    <font>
      <sz val="9"/>
      <color rgb="FF000000"/>
      <name val="Calibri"/>
      <charset val="1"/>
    </font>
    <font>
      <b/>
      <sz val="13"/>
      <color rgb="FFFFFFFF"/>
      <name val="Calibri"/>
      <charset val="1"/>
    </font>
    <font>
      <b/>
      <sz val="18"/>
      <color rgb="FF322785"/>
      <name val="Calibri"/>
      <charset val="1"/>
    </font>
    <font>
      <b/>
      <sz val="10.5"/>
      <color rgb="FF000000"/>
      <name val="Calibri"/>
      <charset val="1"/>
    </font>
    <font>
      <i/>
      <sz val="8.5"/>
      <color rgb="FF6B6B7B"/>
      <name val="Calibri"/>
      <charset val="1"/>
    </font>
    <font>
      <b/>
      <sz val="11"/>
      <color rgb="FF1F1B4E"/>
      <name val="Cambria"/>
      <charset val="1"/>
    </font>
    <font>
      <sz val="9.5"/>
      <color rgb="FF000000"/>
      <name val="Calibri"/>
      <charset val="1"/>
    </font>
    <font>
      <b/>
      <sz val="10"/>
      <color rgb="FF322785"/>
      <name val="Calibri"/>
      <charset val="1"/>
    </font>
    <font>
      <b/>
      <sz val="10"/>
      <color rgb="FF6B6B7B"/>
      <name val="Calibri"/>
      <charset val="1"/>
    </font>
    <font>
      <b/>
      <sz val="10"/>
      <color rgb="FFC0392B"/>
      <name val="Calibri"/>
      <charset val="1"/>
    </font>
    <font>
      <b/>
      <sz val="12"/>
      <color rgb="FFFFFFFF"/>
      <name val="Cambria"/>
      <charset val="1"/>
    </font>
    <font>
      <b/>
      <i/>
      <sz val="11"/>
      <color rgb="FF1F1B4E"/>
      <name val="Cambria"/>
      <charset val="1"/>
    </font>
    <font>
      <b/>
      <sz val="10"/>
      <color rgb="FFF20C70"/>
      <name val="Calibri"/>
      <charset val="1"/>
    </font>
    <font>
      <b/>
      <sz val="10.5"/>
      <color rgb="FF595959"/>
      <name val="Calibri"/>
      <charset val="1"/>
    </font>
    <font>
      <b/>
      <sz val="9"/>
      <color rgb="FF8A8A99"/>
      <name val="Calibri"/>
      <charset val="1"/>
    </font>
    <font>
      <b/>
      <sz val="10.5"/>
      <color rgb="FFF20C70"/>
      <name val="Calibri"/>
      <charset val="1"/>
    </font>
    <font>
      <b/>
      <sz val="9"/>
      <color rgb="FF2B8A3E"/>
      <name val="Calibri"/>
      <charset val="1"/>
    </font>
    <font>
      <b/>
      <sz val="10"/>
      <color rgb="FFFF7600"/>
      <name val="Calibri"/>
      <charset val="1"/>
    </font>
    <font>
      <b/>
      <sz val="10.5"/>
      <color rgb="FFFF7600"/>
      <name val="Calibri"/>
      <charset val="1"/>
    </font>
    <font>
      <b/>
      <sz val="10"/>
      <color rgb="FF73AC20"/>
      <name val="Calibri"/>
      <charset val="1"/>
    </font>
    <font>
      <b/>
      <sz val="10.5"/>
      <color rgb="FF73AC20"/>
      <name val="Calibri"/>
      <charset val="1"/>
    </font>
    <font>
      <b/>
      <sz val="10"/>
      <color rgb="FF00B3D4"/>
      <name val="Calibri"/>
      <charset val="1"/>
    </font>
    <font>
      <b/>
      <sz val="10.5"/>
      <color rgb="FF00B3D4"/>
      <name val="Calibri"/>
      <charset val="1"/>
    </font>
    <font>
      <b/>
      <sz val="10"/>
      <color rgb="FFA1259A"/>
      <name val="Calibri"/>
      <charset val="1"/>
    </font>
    <font>
      <b/>
      <sz val="10.5"/>
      <color rgb="FFA1259A"/>
      <name val="Calibri"/>
      <charset val="1"/>
    </font>
    <font>
      <b/>
      <sz val="10"/>
      <color rgb="FFFFB902"/>
      <name val="Calibri"/>
      <charset val="1"/>
    </font>
    <font>
      <b/>
      <sz val="10.5"/>
      <color rgb="FFFFB902"/>
      <name val="Calibri"/>
      <charset val="1"/>
    </font>
    <font>
      <b/>
      <sz val="10"/>
      <color rgb="FF0890E4"/>
      <name val="Calibri"/>
      <charset val="1"/>
    </font>
    <font>
      <b/>
      <sz val="10.5"/>
      <color rgb="FF0890E4"/>
      <name val="Calibri"/>
      <charset val="1"/>
    </font>
    <font>
      <b/>
      <sz val="10"/>
      <color rgb="FFE0117F"/>
      <name val="Calibri"/>
      <charset val="1"/>
    </font>
    <font>
      <b/>
      <sz val="10.5"/>
      <color rgb="FFE0117F"/>
      <name val="Calibri"/>
      <charset val="1"/>
    </font>
    <font>
      <b/>
      <sz val="8.5"/>
      <color rgb="FFFFFFFF"/>
      <name val="Calibri"/>
      <charset val="1"/>
    </font>
    <font>
      <b/>
      <sz val="16"/>
      <color rgb="FF322785"/>
      <name val="Calibri"/>
      <charset val="1"/>
    </font>
    <font>
      <sz val="8"/>
      <color rgb="FFEAEBF5"/>
      <name val="Calibri"/>
      <charset val="1"/>
    </font>
    <font>
      <b/>
      <sz val="9"/>
      <color rgb="FF000000"/>
      <name val="Calibri"/>
      <charset val="1"/>
    </font>
    <font>
      <i/>
      <sz val="9"/>
      <name val="Cambria"/>
      <charset val="1"/>
    </font>
    <font>
      <b/>
      <sz val="9"/>
      <color rgb="FF1F1B4E"/>
      <name val="Cambria"/>
      <charset val="1"/>
    </font>
    <font>
      <b/>
      <sz val="11"/>
      <color rgb="FFFFFFFF"/>
      <name val="Cambria"/>
      <charset val="1"/>
    </font>
    <font>
      <sz val="10"/>
      <color rgb="FF1A1A1A"/>
      <name val="Calibri"/>
      <charset val="1"/>
    </font>
    <font>
      <sz val="9.5"/>
      <color rgb="FF595959"/>
      <name val="Calibri"/>
      <charset val="1"/>
    </font>
    <font>
      <b/>
      <u/>
      <sz val="10"/>
      <color rgb="FF1F4E79"/>
      <name val="Arial"/>
      <family val="2"/>
      <charset val="1"/>
    </font>
    <font>
      <b/>
      <sz val="10"/>
      <color rgb="FF3B3B00"/>
      <name val="Calibri"/>
      <charset val="1"/>
    </font>
    <font>
      <b/>
      <sz val="11"/>
      <color rgb="FFFFFFFF"/>
      <name val="Calibri"/>
      <charset val="1"/>
    </font>
    <font>
      <b/>
      <sz val="11"/>
      <color rgb="FF3B3B00"/>
      <name val="Calibri"/>
      <charset val="1"/>
    </font>
    <font>
      <b/>
      <sz val="8.5"/>
      <color rgb="FF3B3B00"/>
      <name val="Calibri"/>
      <charset val="1"/>
    </font>
    <font>
      <b/>
      <sz val="11"/>
      <color rgb="FF3B3B00"/>
      <name val="Cambria"/>
      <charset val="1"/>
    </font>
    <font>
      <b/>
      <sz val="10"/>
      <color rgb="FF2E7D32"/>
      <name val="Calibri"/>
      <charset val="1"/>
    </font>
    <font>
      <b/>
      <sz val="10"/>
      <color rgb="FFB45309"/>
      <name val="Calibri"/>
      <charset val="1"/>
    </font>
    <font>
      <b/>
      <sz val="10"/>
      <color rgb="FF3A3A5C"/>
      <name val="Calibri"/>
      <charset val="1"/>
    </font>
    <font>
      <u/>
      <sz val="10"/>
      <color rgb="FF0563C1"/>
      <name val="Calibri"/>
      <charset val="1"/>
    </font>
    <font>
      <b/>
      <sz val="7.5"/>
      <color theme="3"/>
      <name val="Calibri"/>
      <family val="2"/>
    </font>
    <font>
      <b/>
      <sz val="12"/>
      <color rgb="FF1F1B4E"/>
      <name val="Calibri"/>
      <family val="2"/>
    </font>
  </fonts>
  <fills count="39">
    <fill>
      <patternFill patternType="none"/>
    </fill>
    <fill>
      <patternFill patternType="gray125"/>
    </fill>
    <fill>
      <patternFill patternType="solid">
        <fgColor rgb="FF322785"/>
        <bgColor rgb="FF2E2A6E"/>
      </patternFill>
    </fill>
    <fill>
      <patternFill patternType="solid">
        <fgColor rgb="FFFCD3E5"/>
        <bgColor rgb="FFF9D4E7"/>
      </patternFill>
    </fill>
    <fill>
      <patternFill patternType="solid">
        <fgColor rgb="FFFFE6D1"/>
        <bgColor rgb="FFFEE4E2"/>
      </patternFill>
    </fill>
    <fill>
      <patternFill patternType="solid">
        <fgColor rgb="FFE5F0D6"/>
        <bgColor rgb="FFEAEBF5"/>
      </patternFill>
    </fill>
    <fill>
      <patternFill patternType="solid">
        <fgColor rgb="FFD1F1F7"/>
        <bgColor rgb="FFD2EBFA"/>
      </patternFill>
    </fill>
    <fill>
      <patternFill patternType="solid">
        <fgColor rgb="FFF20C70"/>
        <bgColor rgb="FFE0117F"/>
      </patternFill>
    </fill>
    <fill>
      <patternFill patternType="solid">
        <fgColor rgb="FFFF7600"/>
        <bgColor rgb="FFF08C00"/>
      </patternFill>
    </fill>
    <fill>
      <patternFill patternType="solid">
        <fgColor rgb="FF73AC20"/>
        <bgColor rgb="FF82C91E"/>
      </patternFill>
    </fill>
    <fill>
      <patternFill patternType="solid">
        <fgColor rgb="FF00B3D4"/>
        <bgColor rgb="FF0890E4"/>
      </patternFill>
    </fill>
    <fill>
      <patternFill patternType="solid">
        <fgColor rgb="FFFFFFFF"/>
        <bgColor rgb="FFF4F5FA"/>
      </patternFill>
    </fill>
    <fill>
      <patternFill patternType="solid">
        <fgColor rgb="FFEED7EC"/>
        <bgColor rgb="FFF9D4E7"/>
      </patternFill>
    </fill>
    <fill>
      <patternFill patternType="solid">
        <fgColor rgb="FFFFF2D1"/>
        <bgColor rgb="FFFFF3BF"/>
      </patternFill>
    </fill>
    <fill>
      <patternFill patternType="solid">
        <fgColor rgb="FFD2EBFA"/>
        <bgColor rgb="FFD1F1F7"/>
      </patternFill>
    </fill>
    <fill>
      <patternFill patternType="solid">
        <fgColor rgb="FFF9D4E7"/>
        <bgColor rgb="FFFCD3E5"/>
      </patternFill>
    </fill>
    <fill>
      <patternFill patternType="solid">
        <fgColor rgb="FFA1259A"/>
        <bgColor rgb="FFE0117F"/>
      </patternFill>
    </fill>
    <fill>
      <patternFill patternType="solid">
        <fgColor rgb="FFFFB902"/>
        <bgColor rgb="FFF2C200"/>
      </patternFill>
    </fill>
    <fill>
      <patternFill patternType="solid">
        <fgColor rgb="FF0890E4"/>
        <bgColor rgb="FF00B3D4"/>
      </patternFill>
    </fill>
    <fill>
      <patternFill patternType="solid">
        <fgColor rgb="FFE0117F"/>
        <bgColor rgb="FFF20C70"/>
      </patternFill>
    </fill>
    <fill>
      <patternFill patternType="solid">
        <fgColor rgb="FF221C5C"/>
        <bgColor rgb="FF1F1B4E"/>
      </patternFill>
    </fill>
    <fill>
      <patternFill patternType="solid">
        <fgColor rgb="FFEAEBF5"/>
        <bgColor rgb="FFE7E4EF"/>
      </patternFill>
    </fill>
    <fill>
      <patternFill patternType="solid">
        <fgColor rgb="FFE03131"/>
        <bgColor rgb="FFC92A2A"/>
      </patternFill>
    </fill>
    <fill>
      <patternFill patternType="solid">
        <fgColor rgb="FFF08C00"/>
        <bgColor rgb="FFFF7600"/>
      </patternFill>
    </fill>
    <fill>
      <patternFill patternType="solid">
        <fgColor rgb="FFF2C200"/>
        <bgColor rgb="FFFFB902"/>
      </patternFill>
    </fill>
    <fill>
      <patternFill patternType="solid">
        <fgColor rgb="FF82C91E"/>
        <bgColor rgb="FF73AC20"/>
      </patternFill>
    </fill>
    <fill>
      <patternFill patternType="solid">
        <fgColor rgb="FF2B8A3E"/>
        <bgColor rgb="FF2E7D32"/>
      </patternFill>
    </fill>
    <fill>
      <patternFill patternType="solid">
        <fgColor rgb="FF2E2A6E"/>
        <bgColor rgb="FF322785"/>
      </patternFill>
    </fill>
    <fill>
      <patternFill patternType="solid">
        <fgColor rgb="FFFFD966"/>
        <bgColor rgb="FFFFE0B2"/>
      </patternFill>
    </fill>
    <fill>
      <patternFill patternType="solid">
        <fgColor rgb="FFDFF5F7"/>
        <bgColor rgb="FFD1F1F7"/>
      </patternFill>
    </fill>
    <fill>
      <patternFill patternType="solid">
        <fgColor rgb="FFF4F5FA"/>
        <bgColor rgb="FFF2F2F8"/>
      </patternFill>
    </fill>
    <fill>
      <patternFill patternType="solid">
        <fgColor rgb="FFD9D2E9"/>
        <bgColor rgb="FFD8D8E4"/>
      </patternFill>
    </fill>
    <fill>
      <patternFill patternType="solid">
        <fgColor rgb="FF2E7D32"/>
        <bgColor rgb="FF2B8A3E"/>
      </patternFill>
    </fill>
    <fill>
      <patternFill patternType="solid">
        <fgColor rgb="FFF2F2F7"/>
        <bgColor rgb="FFF2F2F8"/>
      </patternFill>
    </fill>
    <fill>
      <patternFill patternType="solid">
        <fgColor rgb="FFF2F2F8"/>
        <bgColor rgb="FFF2F2F7"/>
      </patternFill>
    </fill>
    <fill>
      <patternFill patternType="solid">
        <fgColor rgb="FFEDF3FB"/>
        <bgColor rgb="FFEDF3FB"/>
      </patternFill>
    </fill>
    <fill>
      <patternFill patternType="solid">
        <fgColor rgb="FF5A64B0"/>
        <bgColor rgb="FF5A64B0"/>
      </patternFill>
    </fill>
    <fill>
      <patternFill patternType="solid">
        <fgColor theme="4" tint="-0.249977111117893"/>
        <bgColor rgb="FF1F1B4E"/>
      </patternFill>
    </fill>
    <fill>
      <patternFill patternType="solid">
        <fgColor theme="4" tint="-0.249977111117893"/>
        <bgColor rgb="FF5A64B0"/>
      </patternFill>
    </fill>
  </fills>
  <borders count="21">
    <border>
      <left/>
      <right/>
      <top/>
      <bottom/>
      <diagonal/>
    </border>
    <border>
      <left style="thin">
        <color rgb="FFD8D8E4"/>
      </left>
      <right style="thin">
        <color rgb="FFD8D8E4"/>
      </right>
      <top style="thin">
        <color rgb="FFD8D8E4"/>
      </top>
      <bottom style="thin">
        <color rgb="FFD8D8E4"/>
      </bottom>
      <diagonal/>
    </border>
    <border>
      <left style="medium">
        <color rgb="FF322785"/>
      </left>
      <right/>
      <top style="medium">
        <color rgb="FF322785"/>
      </top>
      <bottom/>
      <diagonal/>
    </border>
    <border>
      <left/>
      <right/>
      <top style="medium">
        <color rgb="FF322785"/>
      </top>
      <bottom/>
      <diagonal/>
    </border>
    <border>
      <left style="medium">
        <color rgb="FF322785"/>
      </left>
      <right/>
      <top/>
      <bottom/>
      <diagonal/>
    </border>
    <border>
      <left style="thin">
        <color rgb="FF322785"/>
      </left>
      <right style="thin">
        <color rgb="FF322785"/>
      </right>
      <top style="thin">
        <color rgb="FF322785"/>
      </top>
      <bottom style="medium">
        <color rgb="FF322785"/>
      </bottom>
      <diagonal/>
    </border>
    <border>
      <left style="thin">
        <color rgb="FF322785"/>
      </left>
      <right style="thin">
        <color rgb="FF322785"/>
      </right>
      <top style="thin">
        <color rgb="FF322785"/>
      </top>
      <bottom style="thin">
        <color rgb="FF322785"/>
      </bottom>
      <diagonal/>
    </border>
    <border>
      <left style="medium">
        <color rgb="FF322785"/>
      </left>
      <right/>
      <top/>
      <bottom style="medium">
        <color rgb="FF322785"/>
      </bottom>
      <diagonal/>
    </border>
    <border>
      <left/>
      <right/>
      <top/>
      <bottom style="medium">
        <color rgb="FF322785"/>
      </bottom>
      <diagonal/>
    </border>
    <border>
      <left/>
      <right style="medium">
        <color rgb="FF322785"/>
      </right>
      <top style="medium">
        <color rgb="FF322785"/>
      </top>
      <bottom/>
      <diagonal/>
    </border>
    <border>
      <left/>
      <right style="medium">
        <color rgb="FF322785"/>
      </right>
      <top/>
      <bottom/>
      <diagonal/>
    </border>
    <border>
      <left style="medium">
        <color rgb="FF322785"/>
      </left>
      <right style="thin">
        <color rgb="FFD8D8E4"/>
      </right>
      <top style="thin">
        <color rgb="FFD8D8E4"/>
      </top>
      <bottom style="thin">
        <color rgb="FFD8D8E4"/>
      </bottom>
      <diagonal/>
    </border>
    <border>
      <left style="medium">
        <color rgb="FF322785"/>
      </left>
      <right style="medium">
        <color rgb="FF322785"/>
      </right>
      <top/>
      <bottom/>
      <diagonal/>
    </border>
    <border>
      <left/>
      <right style="medium">
        <color rgb="FF322785"/>
      </right>
      <top/>
      <bottom style="medium">
        <color rgb="FF322785"/>
      </bottom>
      <diagonal/>
    </border>
    <border>
      <left style="thin">
        <color rgb="FFD8D8E4"/>
      </left>
      <right style="medium">
        <color rgb="FF322785"/>
      </right>
      <top style="thin">
        <color rgb="FFD8D8E4"/>
      </top>
      <bottom style="thin">
        <color rgb="FFD8D8E4"/>
      </bottom>
      <diagonal/>
    </border>
    <border>
      <left/>
      <right/>
      <top/>
      <bottom style="thin">
        <color rgb="FFD9D9D9"/>
      </bottom>
      <diagonal/>
    </border>
    <border>
      <left style="thin">
        <color rgb="FFD8D8E4"/>
      </left>
      <right style="thin">
        <color rgb="FFD8D8E4"/>
      </right>
      <top style="thin">
        <color rgb="FFD8D8E4"/>
      </top>
      <bottom style="medium">
        <color rgb="FF322785"/>
      </bottom>
      <diagonal/>
    </border>
    <border>
      <left style="medium">
        <color rgb="FF322785"/>
      </left>
      <right/>
      <top style="medium">
        <color rgb="FF322785"/>
      </top>
      <bottom style="medium">
        <color rgb="FF322785"/>
      </bottom>
      <diagonal/>
    </border>
    <border>
      <left style="medium">
        <color rgb="FF322785"/>
      </left>
      <right/>
      <top/>
      <bottom style="thin">
        <color rgb="FFB9C6E4"/>
      </bottom>
      <diagonal/>
    </border>
    <border>
      <left/>
      <right/>
      <top/>
      <bottom style="thin">
        <color rgb="FFB9C6E4"/>
      </bottom>
      <diagonal/>
    </border>
    <border>
      <left style="medium">
        <color rgb="FF322785"/>
      </left>
      <right/>
      <top/>
      <bottom/>
      <diagonal/>
    </border>
  </borders>
  <cellStyleXfs count="1">
    <xf numFmtId="0" fontId="0" fillId="0" borderId="0"/>
  </cellStyleXfs>
  <cellXfs count="374">
    <xf numFmtId="0" fontId="0" fillId="0" borderId="0" xfId="0"/>
    <xf numFmtId="0" fontId="0" fillId="2" borderId="0" xfId="0" applyFill="1"/>
    <xf numFmtId="0" fontId="0" fillId="11" borderId="0" xfId="0" applyFill="1"/>
    <xf numFmtId="0" fontId="13" fillId="11" borderId="0" xfId="0" applyFont="1" applyFill="1" applyAlignment="1">
      <alignment horizontal="center"/>
    </xf>
    <xf numFmtId="9" fontId="0" fillId="0" borderId="0" xfId="0" applyNumberFormat="1"/>
    <xf numFmtId="0" fontId="14" fillId="27" borderId="0" xfId="0" applyFont="1" applyFill="1"/>
    <xf numFmtId="0" fontId="15" fillId="28" borderId="0" xfId="0" applyFont="1" applyFill="1"/>
    <xf numFmtId="0" fontId="0" fillId="0" borderId="0" xfId="0" applyAlignment="1">
      <alignment vertical="top" wrapText="1"/>
    </xf>
    <xf numFmtId="0" fontId="18" fillId="0" borderId="0" xfId="0" applyFont="1" applyAlignment="1">
      <alignment horizontal="center" vertical="center"/>
    </xf>
    <xf numFmtId="0" fontId="18" fillId="21" borderId="3" xfId="0" applyFont="1" applyFill="1" applyBorder="1" applyAlignment="1">
      <alignment horizontal="center" vertical="center"/>
    </xf>
    <xf numFmtId="164" fontId="9" fillId="0" borderId="0" xfId="0" applyNumberFormat="1" applyFont="1" applyAlignment="1" applyProtection="1">
      <alignment horizontal="center" vertical="center"/>
      <protection locked="0"/>
    </xf>
    <xf numFmtId="0" fontId="0" fillId="21" borderId="8" xfId="0" applyFill="1" applyBorder="1"/>
    <xf numFmtId="0" fontId="25" fillId="20" borderId="0" xfId="0" applyFont="1" applyFill="1" applyAlignment="1">
      <alignment horizontal="center" vertical="center" wrapText="1"/>
    </xf>
    <xf numFmtId="0" fontId="25" fillId="7" borderId="0" xfId="0" applyFont="1" applyFill="1" applyAlignment="1">
      <alignment horizontal="center" vertical="center" wrapText="1"/>
    </xf>
    <xf numFmtId="0" fontId="25" fillId="8" borderId="0" xfId="0" applyFont="1" applyFill="1" applyAlignment="1">
      <alignment horizontal="center" vertical="center" wrapText="1"/>
    </xf>
    <xf numFmtId="0" fontId="25" fillId="9" borderId="0" xfId="0" applyFont="1" applyFill="1" applyAlignment="1">
      <alignment horizontal="center" vertical="center" wrapText="1"/>
    </xf>
    <xf numFmtId="0" fontId="25" fillId="10" borderId="0" xfId="0" applyFont="1" applyFill="1" applyAlignment="1">
      <alignment horizontal="center" vertical="center" wrapText="1"/>
    </xf>
    <xf numFmtId="0" fontId="25" fillId="16" borderId="0" xfId="0" applyFont="1" applyFill="1" applyAlignment="1">
      <alignment horizontal="center" vertical="center" wrapText="1"/>
    </xf>
    <xf numFmtId="0" fontId="26" fillId="17" borderId="0" xfId="0" applyFont="1" applyFill="1" applyAlignment="1">
      <alignment horizontal="center" vertical="center" wrapText="1"/>
    </xf>
    <xf numFmtId="0" fontId="25" fillId="18" borderId="0" xfId="0" applyFont="1" applyFill="1" applyAlignment="1">
      <alignment horizontal="center" vertical="center" wrapText="1"/>
    </xf>
    <xf numFmtId="0" fontId="25" fillId="19" borderId="0" xfId="0" applyFont="1" applyFill="1" applyAlignment="1">
      <alignment horizontal="center" vertical="center" wrapText="1"/>
    </xf>
    <xf numFmtId="0" fontId="0" fillId="11" borderId="1" xfId="0" applyFill="1" applyBorder="1" applyAlignment="1" applyProtection="1">
      <alignment horizontal="center" vertical="center"/>
      <protection locked="0"/>
    </xf>
    <xf numFmtId="0" fontId="27" fillId="11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Protection="1">
      <protection locked="0"/>
    </xf>
    <xf numFmtId="0" fontId="0" fillId="30" borderId="1" xfId="0" applyFill="1" applyBorder="1" applyAlignment="1" applyProtection="1">
      <alignment horizontal="center" vertical="center"/>
      <protection locked="0"/>
    </xf>
    <xf numFmtId="0" fontId="27" fillId="30" borderId="1" xfId="0" applyFont="1" applyFill="1" applyBorder="1" applyAlignment="1">
      <alignment horizontal="center" vertical="center"/>
    </xf>
    <xf numFmtId="0" fontId="0" fillId="21" borderId="3" xfId="0" applyFill="1" applyBorder="1"/>
    <xf numFmtId="0" fontId="29" fillId="21" borderId="0" xfId="0" applyFont="1" applyFill="1"/>
    <xf numFmtId="0" fontId="0" fillId="21" borderId="0" xfId="0" applyFill="1"/>
    <xf numFmtId="0" fontId="30" fillId="0" borderId="0" xfId="0" applyFont="1"/>
    <xf numFmtId="0" fontId="20" fillId="0" borderId="0" xfId="0" applyFont="1"/>
    <xf numFmtId="0" fontId="31" fillId="0" borderId="0" xfId="0" applyFont="1"/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0" fillId="0" borderId="4" xfId="0" applyBorder="1"/>
    <xf numFmtId="0" fontId="34" fillId="0" borderId="0" xfId="0" applyFont="1" applyAlignment="1">
      <alignment horizontal="center"/>
    </xf>
    <xf numFmtId="0" fontId="35" fillId="0" borderId="1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0" xfId="0" applyBorder="1"/>
    <xf numFmtId="0" fontId="39" fillId="22" borderId="0" xfId="0" applyFont="1" applyFill="1" applyAlignment="1">
      <alignment horizontal="center" vertical="center"/>
    </xf>
    <xf numFmtId="0" fontId="39" fillId="23" borderId="0" xfId="0" applyFont="1" applyFill="1" applyAlignment="1">
      <alignment horizontal="center" vertical="center"/>
    </xf>
    <xf numFmtId="0" fontId="40" fillId="24" borderId="0" xfId="0" applyFont="1" applyFill="1" applyAlignment="1">
      <alignment horizontal="center" vertical="center"/>
    </xf>
    <xf numFmtId="0" fontId="40" fillId="25" borderId="0" xfId="0" applyFont="1" applyFill="1" applyAlignment="1">
      <alignment horizontal="center" vertical="center"/>
    </xf>
    <xf numFmtId="0" fontId="39" fillId="26" borderId="0" xfId="0" applyFont="1" applyFill="1" applyAlignment="1">
      <alignment horizontal="center" vertical="center"/>
    </xf>
    <xf numFmtId="0" fontId="41" fillId="2" borderId="11" xfId="0" applyFont="1" applyFill="1" applyBorder="1" applyAlignment="1">
      <alignment horizontal="center"/>
    </xf>
    <xf numFmtId="0" fontId="41" fillId="2" borderId="1" xfId="0" applyFont="1" applyFill="1" applyBorder="1" applyAlignment="1">
      <alignment horizontal="center"/>
    </xf>
    <xf numFmtId="0" fontId="42" fillId="0" borderId="11" xfId="0" applyFont="1" applyBorder="1"/>
    <xf numFmtId="0" fontId="0" fillId="0" borderId="1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13" xfId="0" applyBorder="1"/>
    <xf numFmtId="0" fontId="41" fillId="20" borderId="0" xfId="0" applyFont="1" applyFill="1" applyAlignment="1">
      <alignment horizontal="center" vertical="center"/>
    </xf>
    <xf numFmtId="0" fontId="41" fillId="2" borderId="10" xfId="0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13" fillId="0" borderId="14" xfId="0" applyFont="1" applyBorder="1" applyAlignment="1">
      <alignment horizontal="center" vertical="center"/>
    </xf>
    <xf numFmtId="0" fontId="35" fillId="11" borderId="1" xfId="0" applyFont="1" applyFill="1" applyBorder="1"/>
    <xf numFmtId="0" fontId="46" fillId="11" borderId="1" xfId="0" applyFont="1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35" fillId="30" borderId="1" xfId="0" applyFont="1" applyFill="1" applyBorder="1"/>
    <xf numFmtId="0" fontId="46" fillId="30" borderId="1" xfId="0" applyFont="1" applyFill="1" applyBorder="1" applyAlignment="1">
      <alignment horizontal="center"/>
    </xf>
    <xf numFmtId="0" fontId="0" fillId="3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22" borderId="1" xfId="0" applyFont="1" applyFill="1" applyBorder="1" applyAlignment="1">
      <alignment horizontal="center"/>
    </xf>
    <xf numFmtId="0" fontId="48" fillId="0" borderId="1" xfId="0" applyFont="1" applyBorder="1"/>
    <xf numFmtId="0" fontId="4" fillId="23" borderId="1" xfId="0" applyFont="1" applyFill="1" applyBorder="1" applyAlignment="1">
      <alignment horizontal="center"/>
    </xf>
    <xf numFmtId="0" fontId="5" fillId="24" borderId="1" xfId="0" applyFont="1" applyFill="1" applyBorder="1" applyAlignment="1">
      <alignment horizontal="center"/>
    </xf>
    <xf numFmtId="0" fontId="5" fillId="25" borderId="1" xfId="0" applyFont="1" applyFill="1" applyBorder="1" applyAlignment="1">
      <alignment horizontal="center"/>
    </xf>
    <xf numFmtId="0" fontId="4" fillId="26" borderId="1" xfId="0" applyFont="1" applyFill="1" applyBorder="1" applyAlignment="1">
      <alignment horizontal="center"/>
    </xf>
    <xf numFmtId="0" fontId="8" fillId="0" borderId="0" xfId="0" applyFont="1"/>
    <xf numFmtId="0" fontId="47" fillId="31" borderId="0" xfId="0" applyFont="1" applyFill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0" fillId="7" borderId="15" xfId="0" applyFill="1" applyBorder="1"/>
    <xf numFmtId="165" fontId="55" fillId="0" borderId="15" xfId="0" applyNumberFormat="1" applyFont="1" applyBorder="1" applyAlignment="1">
      <alignment horizontal="right" vertical="center"/>
    </xf>
    <xf numFmtId="0" fontId="56" fillId="0" borderId="15" xfId="0" applyFont="1" applyBorder="1" applyAlignment="1">
      <alignment horizontal="center" vertical="center"/>
    </xf>
    <xf numFmtId="165" fontId="57" fillId="0" borderId="15" xfId="0" applyNumberFormat="1" applyFont="1" applyBorder="1" applyAlignment="1">
      <alignment horizontal="right" vertical="center"/>
    </xf>
    <xf numFmtId="0" fontId="58" fillId="0" borderId="15" xfId="0" applyFont="1" applyBorder="1" applyAlignment="1">
      <alignment horizontal="left" vertical="center" indent="1"/>
    </xf>
    <xf numFmtId="0" fontId="0" fillId="8" borderId="15" xfId="0" applyFill="1" applyBorder="1"/>
    <xf numFmtId="166" fontId="55" fillId="0" borderId="15" xfId="0" applyNumberFormat="1" applyFont="1" applyBorder="1" applyAlignment="1">
      <alignment horizontal="right" vertical="center"/>
    </xf>
    <xf numFmtId="166" fontId="60" fillId="0" borderId="15" xfId="0" applyNumberFormat="1" applyFont="1" applyBorder="1" applyAlignment="1">
      <alignment horizontal="right" vertical="center"/>
    </xf>
    <xf numFmtId="0" fontId="0" fillId="9" borderId="15" xfId="0" applyFill="1" applyBorder="1"/>
    <xf numFmtId="167" fontId="55" fillId="0" borderId="15" xfId="0" applyNumberFormat="1" applyFont="1" applyBorder="1" applyAlignment="1">
      <alignment horizontal="right" vertical="center"/>
    </xf>
    <xf numFmtId="167" fontId="62" fillId="0" borderId="15" xfId="0" applyNumberFormat="1" applyFont="1" applyBorder="1" applyAlignment="1">
      <alignment horizontal="right" vertical="center"/>
    </xf>
    <xf numFmtId="0" fontId="0" fillId="10" borderId="15" xfId="0" applyFill="1" applyBorder="1"/>
    <xf numFmtId="168" fontId="55" fillId="0" borderId="15" xfId="0" applyNumberFormat="1" applyFont="1" applyBorder="1" applyAlignment="1">
      <alignment horizontal="right" vertical="center"/>
    </xf>
    <xf numFmtId="168" fontId="64" fillId="0" borderId="15" xfId="0" applyNumberFormat="1" applyFont="1" applyBorder="1" applyAlignment="1">
      <alignment horizontal="right" vertical="center"/>
    </xf>
    <xf numFmtId="0" fontId="0" fillId="16" borderId="15" xfId="0" applyFill="1" applyBorder="1"/>
    <xf numFmtId="169" fontId="55" fillId="0" borderId="15" xfId="0" applyNumberFormat="1" applyFont="1" applyBorder="1" applyAlignment="1">
      <alignment horizontal="right" vertical="center"/>
    </xf>
    <xf numFmtId="169" fontId="66" fillId="0" borderId="15" xfId="0" applyNumberFormat="1" applyFont="1" applyBorder="1" applyAlignment="1">
      <alignment horizontal="right" vertical="center"/>
    </xf>
    <xf numFmtId="0" fontId="0" fillId="17" borderId="15" xfId="0" applyFill="1" applyBorder="1"/>
    <xf numFmtId="165" fontId="68" fillId="0" borderId="15" xfId="0" applyNumberFormat="1" applyFont="1" applyBorder="1" applyAlignment="1">
      <alignment horizontal="right" vertical="center"/>
    </xf>
    <xf numFmtId="0" fontId="0" fillId="18" borderId="15" xfId="0" applyFill="1" applyBorder="1"/>
    <xf numFmtId="170" fontId="55" fillId="0" borderId="15" xfId="0" applyNumberFormat="1" applyFont="1" applyBorder="1" applyAlignment="1">
      <alignment horizontal="right" vertical="center"/>
    </xf>
    <xf numFmtId="170" fontId="70" fillId="0" borderId="15" xfId="0" applyNumberFormat="1" applyFont="1" applyBorder="1" applyAlignment="1">
      <alignment horizontal="right" vertical="center"/>
    </xf>
    <xf numFmtId="0" fontId="0" fillId="19" borderId="15" xfId="0" applyFill="1" applyBorder="1"/>
    <xf numFmtId="167" fontId="72" fillId="0" borderId="15" xfId="0" applyNumberFormat="1" applyFont="1" applyBorder="1" applyAlignment="1">
      <alignment horizontal="right" vertical="center"/>
    </xf>
    <xf numFmtId="0" fontId="4" fillId="20" borderId="0" xfId="0" applyFont="1" applyFill="1" applyAlignment="1">
      <alignment horizontal="center" vertical="center"/>
    </xf>
    <xf numFmtId="0" fontId="4" fillId="22" borderId="0" xfId="0" applyFont="1" applyFill="1" applyAlignment="1">
      <alignment horizontal="center" vertical="center"/>
    </xf>
    <xf numFmtId="0" fontId="4" fillId="23" borderId="0" xfId="0" applyFont="1" applyFill="1" applyAlignment="1">
      <alignment horizontal="center" vertical="center"/>
    </xf>
    <xf numFmtId="0" fontId="5" fillId="24" borderId="0" xfId="0" applyFont="1" applyFill="1" applyAlignment="1">
      <alignment horizontal="center" vertical="center"/>
    </xf>
    <xf numFmtId="0" fontId="5" fillId="25" borderId="0" xfId="0" applyFont="1" applyFill="1" applyAlignment="1">
      <alignment horizontal="center" vertical="center"/>
    </xf>
    <xf numFmtId="0" fontId="4" fillId="26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75" fillId="21" borderId="0" xfId="0" applyFont="1" applyFill="1"/>
    <xf numFmtId="0" fontId="35" fillId="11" borderId="1" xfId="0" applyFont="1" applyFill="1" applyBorder="1" applyAlignment="1">
      <alignment horizontal="left"/>
    </xf>
    <xf numFmtId="0" fontId="35" fillId="30" borderId="1" xfId="0" applyFont="1" applyFill="1" applyBorder="1" applyAlignment="1">
      <alignment horizontal="left"/>
    </xf>
    <xf numFmtId="0" fontId="13" fillId="0" borderId="0" xfId="0" applyFont="1"/>
    <xf numFmtId="0" fontId="35" fillId="11" borderId="1" xfId="0" applyFon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76" fillId="11" borderId="1" xfId="0" applyFont="1" applyFill="1" applyBorder="1" applyAlignment="1">
      <alignment horizontal="left"/>
    </xf>
    <xf numFmtId="0" fontId="37" fillId="0" borderId="1" xfId="0" applyFont="1" applyBorder="1" applyAlignment="1">
      <alignment horizontal="center" vertical="center"/>
    </xf>
    <xf numFmtId="0" fontId="35" fillId="30" borderId="1" xfId="0" applyFont="1" applyFill="1" applyBorder="1" applyAlignment="1">
      <alignment horizontal="center" vertical="center"/>
    </xf>
    <xf numFmtId="0" fontId="0" fillId="30" borderId="1" xfId="0" applyFill="1" applyBorder="1" applyAlignment="1">
      <alignment horizontal="center" vertical="center"/>
    </xf>
    <xf numFmtId="0" fontId="76" fillId="30" borderId="1" xfId="0" applyFont="1" applyFill="1" applyBorder="1" applyAlignment="1">
      <alignment horizontal="left"/>
    </xf>
    <xf numFmtId="0" fontId="78" fillId="0" borderId="0" xfId="0" applyFont="1"/>
    <xf numFmtId="0" fontId="52" fillId="32" borderId="0" xfId="0" applyFont="1" applyFill="1" applyAlignment="1" applyProtection="1">
      <alignment horizontal="center"/>
      <protection locked="0"/>
    </xf>
    <xf numFmtId="0" fontId="79" fillId="27" borderId="0" xfId="0" applyFont="1" applyFill="1" applyAlignment="1">
      <alignment horizontal="center" wrapText="1"/>
    </xf>
    <xf numFmtId="0" fontId="0" fillId="21" borderId="2" xfId="0" applyFill="1" applyBorder="1"/>
    <xf numFmtId="0" fontId="0" fillId="21" borderId="7" xfId="0" applyFill="1" applyBorder="1"/>
    <xf numFmtId="0" fontId="73" fillId="20" borderId="2" xfId="0" applyFont="1" applyFill="1" applyBorder="1" applyAlignment="1">
      <alignment horizontal="center" vertical="center" wrapText="1"/>
    </xf>
    <xf numFmtId="0" fontId="73" fillId="20" borderId="3" xfId="0" applyFont="1" applyFill="1" applyBorder="1" applyAlignment="1">
      <alignment horizontal="center" vertical="center" wrapText="1"/>
    </xf>
    <xf numFmtId="0" fontId="73" fillId="20" borderId="9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0" fillId="33" borderId="16" xfId="0" applyFill="1" applyBorder="1" applyAlignment="1">
      <alignment horizontal="center" vertical="center"/>
    </xf>
    <xf numFmtId="0" fontId="0" fillId="33" borderId="16" xfId="0" applyFill="1" applyBorder="1" applyAlignment="1">
      <alignment horizontal="center" vertical="center" wrapText="1"/>
    </xf>
    <xf numFmtId="0" fontId="0" fillId="33" borderId="0" xfId="0" applyFill="1"/>
    <xf numFmtId="0" fontId="0" fillId="30" borderId="1" xfId="0" applyFill="1" applyBorder="1" applyAlignment="1">
      <alignment horizontal="center" vertical="center" wrapText="1"/>
    </xf>
    <xf numFmtId="0" fontId="0" fillId="30" borderId="16" xfId="0" applyFill="1" applyBorder="1" applyAlignment="1">
      <alignment horizontal="center" vertical="center"/>
    </xf>
    <xf numFmtId="0" fontId="0" fillId="30" borderId="16" xfId="0" applyFill="1" applyBorder="1" applyAlignment="1">
      <alignment horizontal="center" vertical="center" wrapText="1"/>
    </xf>
    <xf numFmtId="0" fontId="35" fillId="11" borderId="16" xfId="0" applyFont="1" applyFill="1" applyBorder="1" applyAlignment="1">
      <alignment horizontal="center" vertical="center"/>
    </xf>
    <xf numFmtId="0" fontId="79" fillId="27" borderId="0" xfId="0" applyFont="1" applyFill="1"/>
    <xf numFmtId="0" fontId="29" fillId="21" borderId="17" xfId="0" applyFont="1" applyFill="1" applyBorder="1" applyAlignment="1">
      <alignment horizontal="left" vertical="center"/>
    </xf>
    <xf numFmtId="164" fontId="9" fillId="11" borderId="5" xfId="0" applyNumberFormat="1" applyFont="1" applyFill="1" applyBorder="1" applyAlignment="1">
      <alignment horizontal="center" vertical="center"/>
    </xf>
    <xf numFmtId="0" fontId="30" fillId="0" borderId="1" xfId="0" applyFont="1" applyBorder="1"/>
    <xf numFmtId="0" fontId="0" fillId="0" borderId="1" xfId="0" applyBorder="1"/>
    <xf numFmtId="0" fontId="0" fillId="22" borderId="1" xfId="0" applyFill="1" applyBorder="1"/>
    <xf numFmtId="0" fontId="0" fillId="23" borderId="1" xfId="0" applyFill="1" applyBorder="1"/>
    <xf numFmtId="0" fontId="0" fillId="24" borderId="1" xfId="0" applyFill="1" applyBorder="1"/>
    <xf numFmtId="0" fontId="0" fillId="25" borderId="1" xfId="0" applyFill="1" applyBorder="1"/>
    <xf numFmtId="0" fontId="0" fillId="26" borderId="1" xfId="0" applyFill="1" applyBorder="1"/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13" fillId="0" borderId="1" xfId="0" applyFont="1" applyBorder="1"/>
    <xf numFmtId="0" fontId="81" fillId="0" borderId="0" xfId="0" applyFont="1" applyAlignment="1">
      <alignment horizontal="left" vertical="center" wrapText="1"/>
    </xf>
    <xf numFmtId="0" fontId="78" fillId="31" borderId="0" xfId="0" applyFont="1" applyFill="1"/>
    <xf numFmtId="0" fontId="0" fillId="34" borderId="0" xfId="0" applyFill="1" applyAlignment="1">
      <alignment horizontal="center"/>
    </xf>
    <xf numFmtId="0" fontId="77" fillId="0" borderId="0" xfId="0" applyFont="1" applyAlignment="1">
      <alignment vertical="top" wrapText="1"/>
    </xf>
    <xf numFmtId="0" fontId="76" fillId="0" borderId="0" xfId="0" applyFont="1"/>
    <xf numFmtId="0" fontId="82" fillId="0" borderId="0" xfId="0" applyFont="1" applyAlignment="1">
      <alignment horizontal="left" vertical="center"/>
    </xf>
    <xf numFmtId="9" fontId="0" fillId="0" borderId="1" xfId="0" applyNumberFormat="1" applyBorder="1" applyAlignment="1">
      <alignment horizontal="center"/>
    </xf>
    <xf numFmtId="0" fontId="25" fillId="7" borderId="1" xfId="0" applyFont="1" applyFill="1" applyBorder="1"/>
    <xf numFmtId="0" fontId="25" fillId="8" borderId="1" xfId="0" applyFont="1" applyFill="1" applyBorder="1"/>
    <xf numFmtId="0" fontId="25" fillId="9" borderId="1" xfId="0" applyFont="1" applyFill="1" applyBorder="1"/>
    <xf numFmtId="0" fontId="25" fillId="10" borderId="1" xfId="0" applyFont="1" applyFill="1" applyBorder="1"/>
    <xf numFmtId="0" fontId="25" fillId="16" borderId="1" xfId="0" applyFont="1" applyFill="1" applyBorder="1"/>
    <xf numFmtId="0" fontId="26" fillId="17" borderId="1" xfId="0" applyFont="1" applyFill="1" applyBorder="1"/>
    <xf numFmtId="0" fontId="25" fillId="18" borderId="1" xfId="0" applyFont="1" applyFill="1" applyBorder="1"/>
    <xf numFmtId="0" fontId="25" fillId="19" borderId="1" xfId="0" applyFont="1" applyFill="1" applyBorder="1"/>
    <xf numFmtId="0" fontId="84" fillId="7" borderId="0" xfId="0" applyFont="1" applyFill="1"/>
    <xf numFmtId="0" fontId="84" fillId="8" borderId="0" xfId="0" applyFont="1" applyFill="1"/>
    <xf numFmtId="0" fontId="84" fillId="9" borderId="0" xfId="0" applyFont="1" applyFill="1"/>
    <xf numFmtId="0" fontId="84" fillId="10" borderId="0" xfId="0" applyFont="1" applyFill="1"/>
    <xf numFmtId="0" fontId="84" fillId="16" borderId="0" xfId="0" applyFont="1" applyFill="1"/>
    <xf numFmtId="0" fontId="85" fillId="17" borderId="0" xfId="0" applyFont="1" applyFill="1"/>
    <xf numFmtId="0" fontId="84" fillId="18" borderId="0" xfId="0" applyFont="1" applyFill="1"/>
    <xf numFmtId="0" fontId="84" fillId="19" borderId="0" xfId="0" applyFont="1" applyFill="1"/>
    <xf numFmtId="0" fontId="4" fillId="7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16" borderId="1" xfId="0" applyFont="1" applyFill="1" applyBorder="1" applyAlignment="1">
      <alignment horizontal="center"/>
    </xf>
    <xf numFmtId="0" fontId="83" fillId="17" borderId="1" xfId="0" applyFont="1" applyFill="1" applyBorder="1" applyAlignment="1">
      <alignment horizontal="center"/>
    </xf>
    <xf numFmtId="0" fontId="4" fillId="18" borderId="1" xfId="0" applyFont="1" applyFill="1" applyBorder="1" applyAlignment="1">
      <alignment horizontal="center"/>
    </xf>
    <xf numFmtId="0" fontId="4" fillId="19" borderId="1" xfId="0" applyFont="1" applyFill="1" applyBorder="1" applyAlignment="1">
      <alignment horizontal="center"/>
    </xf>
    <xf numFmtId="0" fontId="4" fillId="20" borderId="1" xfId="0" applyFont="1" applyFill="1" applyBorder="1" applyAlignment="1">
      <alignment horizont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6" borderId="0" xfId="0" applyFont="1" applyFill="1" applyAlignment="1">
      <alignment horizontal="center" vertical="center"/>
    </xf>
    <xf numFmtId="0" fontId="83" fillId="17" borderId="0" xfId="0" applyFont="1" applyFill="1" applyAlignment="1">
      <alignment horizontal="center" vertical="center"/>
    </xf>
    <xf numFmtId="0" fontId="4" fillId="18" borderId="0" xfId="0" applyFont="1" applyFill="1" applyAlignment="1">
      <alignment horizontal="center" vertical="center"/>
    </xf>
    <xf numFmtId="0" fontId="4" fillId="19" borderId="0" xfId="0" applyFont="1" applyFill="1" applyAlignment="1">
      <alignment horizontal="center" vertical="center"/>
    </xf>
    <xf numFmtId="0" fontId="73" fillId="7" borderId="3" xfId="0" applyFont="1" applyFill="1" applyBorder="1" applyAlignment="1">
      <alignment horizontal="center" vertical="center" wrapText="1"/>
    </xf>
    <xf numFmtId="0" fontId="73" fillId="8" borderId="3" xfId="0" applyFont="1" applyFill="1" applyBorder="1" applyAlignment="1">
      <alignment horizontal="center" vertical="center" wrapText="1"/>
    </xf>
    <xf numFmtId="0" fontId="73" fillId="9" borderId="3" xfId="0" applyFont="1" applyFill="1" applyBorder="1" applyAlignment="1">
      <alignment horizontal="center" vertical="center" wrapText="1"/>
    </xf>
    <xf numFmtId="0" fontId="73" fillId="10" borderId="3" xfId="0" applyFont="1" applyFill="1" applyBorder="1" applyAlignment="1">
      <alignment horizontal="center" vertical="center" wrapText="1"/>
    </xf>
    <xf numFmtId="0" fontId="73" fillId="16" borderId="3" xfId="0" applyFont="1" applyFill="1" applyBorder="1" applyAlignment="1">
      <alignment horizontal="center" vertical="center" wrapText="1"/>
    </xf>
    <xf numFmtId="0" fontId="86" fillId="17" borderId="3" xfId="0" applyFont="1" applyFill="1" applyBorder="1" applyAlignment="1">
      <alignment horizontal="center" vertical="center" wrapText="1"/>
    </xf>
    <xf numFmtId="0" fontId="73" fillId="18" borderId="3" xfId="0" applyFont="1" applyFill="1" applyBorder="1" applyAlignment="1">
      <alignment horizontal="center" vertical="center" wrapText="1"/>
    </xf>
    <xf numFmtId="0" fontId="73" fillId="19" borderId="3" xfId="0" applyFont="1" applyFill="1" applyBorder="1" applyAlignment="1">
      <alignment horizontal="center" vertical="center" wrapText="1"/>
    </xf>
    <xf numFmtId="0" fontId="79" fillId="7" borderId="0" xfId="0" applyFont="1" applyFill="1"/>
    <xf numFmtId="0" fontId="79" fillId="8" borderId="0" xfId="0" applyFont="1" applyFill="1"/>
    <xf numFmtId="0" fontId="79" fillId="9" borderId="0" xfId="0" applyFont="1" applyFill="1"/>
    <xf numFmtId="0" fontId="79" fillId="10" borderId="0" xfId="0" applyFont="1" applyFill="1"/>
    <xf numFmtId="0" fontId="79" fillId="16" borderId="0" xfId="0" applyFont="1" applyFill="1"/>
    <xf numFmtId="0" fontId="87" fillId="17" borderId="0" xfId="0" applyFont="1" applyFill="1"/>
    <xf numFmtId="0" fontId="79" fillId="18" borderId="0" xfId="0" applyFont="1" applyFill="1"/>
    <xf numFmtId="0" fontId="79" fillId="19" borderId="0" xfId="0" applyFont="1" applyFill="1"/>
    <xf numFmtId="0" fontId="4" fillId="7" borderId="1" xfId="0" applyFont="1" applyFill="1" applyBorder="1"/>
    <xf numFmtId="0" fontId="4" fillId="8" borderId="1" xfId="0" applyFont="1" applyFill="1" applyBorder="1"/>
    <xf numFmtId="0" fontId="4" fillId="9" borderId="1" xfId="0" applyFont="1" applyFill="1" applyBorder="1"/>
    <xf numFmtId="0" fontId="4" fillId="10" borderId="1" xfId="0" applyFont="1" applyFill="1" applyBorder="1"/>
    <xf numFmtId="0" fontId="4" fillId="16" borderId="1" xfId="0" applyFont="1" applyFill="1" applyBorder="1"/>
    <xf numFmtId="0" fontId="83" fillId="17" borderId="1" xfId="0" applyFont="1" applyFill="1" applyBorder="1"/>
    <xf numFmtId="0" fontId="4" fillId="18" borderId="1" xfId="0" applyFont="1" applyFill="1" applyBorder="1"/>
    <xf numFmtId="0" fontId="4" fillId="19" borderId="1" xfId="0" applyFont="1" applyFill="1" applyBorder="1"/>
    <xf numFmtId="0" fontId="41" fillId="7" borderId="1" xfId="0" applyFont="1" applyFill="1" applyBorder="1" applyAlignment="1">
      <alignment horizontal="left"/>
    </xf>
    <xf numFmtId="0" fontId="25" fillId="36" borderId="0" xfId="0" applyFont="1" applyFill="1" applyAlignment="1">
      <alignment horizontal="center" vertical="center" wrapText="1"/>
    </xf>
    <xf numFmtId="0" fontId="18" fillId="21" borderId="0" xfId="0" applyFont="1" applyFill="1" applyAlignment="1">
      <alignment horizontal="center" vertical="center"/>
    </xf>
    <xf numFmtId="0" fontId="25" fillId="38" borderId="20" xfId="0" applyFont="1" applyFill="1" applyBorder="1" applyAlignment="1">
      <alignment horizontal="center" vertical="center" wrapText="1"/>
    </xf>
    <xf numFmtId="0" fontId="25" fillId="38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164" fontId="22" fillId="11" borderId="5" xfId="0" applyNumberFormat="1" applyFont="1" applyFill="1" applyBorder="1" applyAlignment="1" applyProtection="1">
      <alignment horizontal="center" vertical="center"/>
      <protection locked="0"/>
    </xf>
    <xf numFmtId="0" fontId="82" fillId="0" borderId="0" xfId="0" applyFont="1" applyAlignment="1">
      <alignment horizontal="center" vertical="center"/>
    </xf>
    <xf numFmtId="0" fontId="21" fillId="29" borderId="7" xfId="0" applyFont="1" applyFill="1" applyBorder="1" applyAlignment="1">
      <alignment horizontal="center" vertical="center"/>
    </xf>
    <xf numFmtId="0" fontId="21" fillId="29" borderId="8" xfId="0" applyFont="1" applyFill="1" applyBorder="1" applyAlignment="1">
      <alignment horizontal="center" vertical="center"/>
    </xf>
    <xf numFmtId="0" fontId="0" fillId="35" borderId="18" xfId="0" applyFill="1" applyBorder="1" applyAlignment="1">
      <alignment horizontal="center"/>
    </xf>
    <xf numFmtId="0" fontId="0" fillId="35" borderId="19" xfId="0" applyFill="1" applyBorder="1" applyAlignment="1">
      <alignment horizontal="center"/>
    </xf>
    <xf numFmtId="164" fontId="22" fillId="11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 indent="1"/>
    </xf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4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0" fillId="12" borderId="1" xfId="0" applyFill="1" applyBorder="1"/>
    <xf numFmtId="0" fontId="0" fillId="13" borderId="1" xfId="0" applyFill="1" applyBorder="1"/>
    <xf numFmtId="0" fontId="0" fillId="14" borderId="1" xfId="0" applyFill="1" applyBorder="1"/>
    <xf numFmtId="0" fontId="0" fillId="15" borderId="1" xfId="0" applyFill="1" applyBorder="1"/>
    <xf numFmtId="0" fontId="4" fillId="16" borderId="1" xfId="0" applyFont="1" applyFill="1" applyBorder="1" applyAlignment="1">
      <alignment horizontal="center" vertical="center"/>
    </xf>
    <xf numFmtId="0" fontId="5" fillId="17" borderId="1" xfId="0" applyFont="1" applyFill="1" applyBorder="1" applyAlignment="1">
      <alignment horizontal="center" vertical="center"/>
    </xf>
    <xf numFmtId="0" fontId="4" fillId="18" borderId="1" xfId="0" applyFont="1" applyFill="1" applyBorder="1" applyAlignment="1">
      <alignment horizontal="center" vertical="center"/>
    </xf>
    <xf numFmtId="0" fontId="4" fillId="19" borderId="1" xfId="0" applyFont="1" applyFill="1" applyBorder="1" applyAlignment="1">
      <alignment horizontal="center" vertical="center"/>
    </xf>
    <xf numFmtId="0" fontId="6" fillId="20" borderId="0" xfId="0" applyFont="1" applyFill="1" applyAlignment="1">
      <alignment horizontal="center" vertical="center" wrapText="1"/>
    </xf>
    <xf numFmtId="0" fontId="7" fillId="21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21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center"/>
    </xf>
    <xf numFmtId="0" fontId="10" fillId="2" borderId="0" xfId="0" applyFont="1" applyFill="1" applyAlignment="1">
      <alignment horizontal="left" vertical="center" indent="1"/>
    </xf>
    <xf numFmtId="0" fontId="11" fillId="22" borderId="0" xfId="0" applyFont="1" applyFill="1" applyAlignment="1">
      <alignment horizontal="center" vertical="center"/>
    </xf>
    <xf numFmtId="0" fontId="11" fillId="23" borderId="0" xfId="0" applyFont="1" applyFill="1" applyAlignment="1">
      <alignment horizontal="center" vertical="center"/>
    </xf>
    <xf numFmtId="0" fontId="12" fillId="24" borderId="0" xfId="0" applyFont="1" applyFill="1" applyAlignment="1">
      <alignment horizontal="center" vertical="center"/>
    </xf>
    <xf numFmtId="0" fontId="12" fillId="25" borderId="0" xfId="0" applyFont="1" applyFill="1" applyAlignment="1">
      <alignment horizontal="center" vertical="center"/>
    </xf>
    <xf numFmtId="0" fontId="11" fillId="26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11" fillId="20" borderId="0" xfId="0" applyFont="1" applyFill="1" applyAlignment="1">
      <alignment horizontal="center" vertical="center" wrapText="1"/>
    </xf>
    <xf numFmtId="0" fontId="11" fillId="8" borderId="0" xfId="0" applyFont="1" applyFill="1" applyAlignment="1">
      <alignment horizontal="center" vertical="center" wrapText="1"/>
    </xf>
    <xf numFmtId="0" fontId="8" fillId="0" borderId="0" xfId="0" applyFont="1"/>
    <xf numFmtId="0" fontId="41" fillId="20" borderId="0" xfId="0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88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3" fillId="37" borderId="2" xfId="0" applyFont="1" applyFill="1" applyBorder="1" applyAlignment="1">
      <alignment horizontal="center" vertical="center" wrapText="1"/>
    </xf>
    <xf numFmtId="0" fontId="92" fillId="21" borderId="3" xfId="0" applyFont="1" applyFill="1" applyBorder="1" applyAlignment="1">
      <alignment horizontal="center" vertical="center"/>
    </xf>
    <xf numFmtId="0" fontId="19" fillId="29" borderId="20" xfId="0" applyFont="1" applyFill="1" applyBorder="1" applyAlignment="1">
      <alignment horizontal="center"/>
    </xf>
    <xf numFmtId="0" fontId="19" fillId="29" borderId="4" xfId="0" applyFont="1" applyFill="1" applyBorder="1" applyAlignment="1">
      <alignment horizontal="center"/>
    </xf>
    <xf numFmtId="0" fontId="16" fillId="2" borderId="0" xfId="0" applyFont="1" applyFill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164" fontId="9" fillId="11" borderId="5" xfId="0" applyNumberFormat="1" applyFont="1" applyFill="1" applyBorder="1" applyAlignment="1" applyProtection="1">
      <alignment horizontal="center" vertical="center"/>
      <protection locked="0"/>
    </xf>
    <xf numFmtId="0" fontId="20" fillId="0" borderId="6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93" fillId="28" borderId="0" xfId="0" applyFont="1" applyFill="1" applyAlignment="1">
      <alignment horizontal="left" vertical="top" wrapText="1"/>
    </xf>
    <xf numFmtId="0" fontId="23" fillId="28" borderId="0" xfId="0" applyFont="1" applyFill="1" applyAlignment="1">
      <alignment horizontal="center" vertical="top" wrapText="1"/>
    </xf>
    <xf numFmtId="0" fontId="23" fillId="28" borderId="10" xfId="0" applyFont="1" applyFill="1" applyBorder="1" applyAlignment="1">
      <alignment horizontal="center" vertical="top" wrapText="1"/>
    </xf>
    <xf numFmtId="0" fontId="16" fillId="2" borderId="0" xfId="0" applyFont="1" applyFill="1" applyAlignment="1">
      <alignment horizontal="left" vertical="center" indent="1"/>
    </xf>
    <xf numFmtId="0" fontId="28" fillId="0" borderId="0" xfId="0" applyFont="1" applyAlignment="1">
      <alignment horizontal="left" vertical="center" indent="2"/>
    </xf>
    <xf numFmtId="0" fontId="21" fillId="21" borderId="3" xfId="0" applyFont="1" applyFill="1" applyBorder="1" applyAlignment="1">
      <alignment horizontal="center" vertical="center"/>
    </xf>
    <xf numFmtId="0" fontId="20" fillId="0" borderId="0" xfId="0" applyFont="1"/>
    <xf numFmtId="0" fontId="32" fillId="0" borderId="0" xfId="0" applyFont="1"/>
    <xf numFmtId="0" fontId="3" fillId="7" borderId="4" xfId="0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3" fillId="10" borderId="10" xfId="0" applyFont="1" applyFill="1" applyBorder="1" applyAlignment="1">
      <alignment horizontal="center" vertical="center"/>
    </xf>
    <xf numFmtId="0" fontId="33" fillId="20" borderId="4" xfId="0" applyFont="1" applyFill="1" applyBorder="1" applyAlignment="1">
      <alignment horizontal="center" vertical="center"/>
    </xf>
    <xf numFmtId="0" fontId="33" fillId="20" borderId="0" xfId="0" applyFont="1" applyFill="1" applyAlignment="1">
      <alignment horizontal="center" vertical="center"/>
    </xf>
    <xf numFmtId="0" fontId="33" fillId="20" borderId="10" xfId="0" applyFont="1" applyFill="1" applyBorder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10" xfId="0" applyFont="1" applyBorder="1" applyAlignment="1">
      <alignment horizontal="center"/>
    </xf>
    <xf numFmtId="0" fontId="30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" fillId="16" borderId="4" xfId="0" applyFont="1" applyFill="1" applyBorder="1" applyAlignment="1">
      <alignment horizontal="center" vertical="center"/>
    </xf>
    <xf numFmtId="0" fontId="38" fillId="17" borderId="0" xfId="0" applyFont="1" applyFill="1" applyAlignment="1">
      <alignment horizontal="center" vertical="center"/>
    </xf>
    <xf numFmtId="0" fontId="3" fillId="18" borderId="0" xfId="0" applyFont="1" applyFill="1" applyAlignment="1">
      <alignment horizontal="center" vertical="center"/>
    </xf>
    <xf numFmtId="0" fontId="3" fillId="19" borderId="10" xfId="0" applyFont="1" applyFill="1" applyBorder="1" applyAlignment="1">
      <alignment horizontal="center" vertical="center"/>
    </xf>
    <xf numFmtId="0" fontId="20" fillId="0" borderId="4" xfId="0" applyFont="1" applyBorder="1"/>
    <xf numFmtId="0" fontId="89" fillId="0" borderId="0" xfId="0" applyFont="1" applyAlignment="1">
      <alignment horizontal="left" vertical="center"/>
    </xf>
    <xf numFmtId="0" fontId="13" fillId="0" borderId="12" xfId="0" applyFont="1" applyBorder="1"/>
    <xf numFmtId="0" fontId="25" fillId="10" borderId="11" xfId="0" applyFont="1" applyFill="1" applyBorder="1" applyAlignment="1">
      <alignment horizontal="left" vertical="center" indent="1"/>
    </xf>
    <xf numFmtId="0" fontId="25" fillId="16" borderId="11" xfId="0" applyFont="1" applyFill="1" applyBorder="1" applyAlignment="1">
      <alignment horizontal="left" vertical="center" indent="1"/>
    </xf>
    <xf numFmtId="0" fontId="26" fillId="17" borderId="11" xfId="0" applyFont="1" applyFill="1" applyBorder="1" applyAlignment="1">
      <alignment horizontal="left" vertical="center" indent="1"/>
    </xf>
    <xf numFmtId="0" fontId="25" fillId="18" borderId="11" xfId="0" applyFont="1" applyFill="1" applyBorder="1" applyAlignment="1">
      <alignment horizontal="left" vertical="center" indent="1"/>
    </xf>
    <xf numFmtId="0" fontId="25" fillId="19" borderId="11" xfId="0" applyFont="1" applyFill="1" applyBorder="1" applyAlignment="1">
      <alignment horizontal="left" vertical="center" indent="1"/>
    </xf>
    <xf numFmtId="0" fontId="3" fillId="2" borderId="2" xfId="0" applyFont="1" applyFill="1" applyBorder="1" applyAlignment="1">
      <alignment horizontal="left" vertical="center" indent="1"/>
    </xf>
    <xf numFmtId="0" fontId="41" fillId="20" borderId="4" xfId="0" applyFont="1" applyFill="1" applyBorder="1" applyAlignment="1">
      <alignment horizontal="center" vertical="center"/>
    </xf>
    <xf numFmtId="0" fontId="25" fillId="7" borderId="11" xfId="0" applyFont="1" applyFill="1" applyBorder="1" applyAlignment="1">
      <alignment horizontal="left" vertical="center" indent="1"/>
    </xf>
    <xf numFmtId="0" fontId="25" fillId="8" borderId="11" xfId="0" applyFont="1" applyFill="1" applyBorder="1" applyAlignment="1">
      <alignment horizontal="left" vertical="center" indent="1"/>
    </xf>
    <xf numFmtId="0" fontId="25" fillId="9" borderId="11" xfId="0" applyFont="1" applyFill="1" applyBorder="1" applyAlignment="1">
      <alignment horizontal="left" vertical="center" indent="1"/>
    </xf>
    <xf numFmtId="0" fontId="43" fillId="2" borderId="0" xfId="0" applyFont="1" applyFill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5" fillId="0" borderId="0" xfId="0" applyFont="1" applyAlignment="1">
      <alignment horizontal="center"/>
    </xf>
    <xf numFmtId="0" fontId="3" fillId="2" borderId="4" xfId="0" applyFont="1" applyFill="1" applyBorder="1" applyAlignment="1">
      <alignment horizontal="left" vertical="center" indent="1"/>
    </xf>
    <xf numFmtId="0" fontId="0" fillId="0" borderId="4" xfId="0" applyBorder="1" applyAlignment="1">
      <alignment horizontal="left" vertical="center" wrapText="1" indent="1"/>
    </xf>
    <xf numFmtId="0" fontId="37" fillId="0" borderId="4" xfId="0" applyFont="1" applyBorder="1" applyAlignment="1">
      <alignment horizontal="center"/>
    </xf>
    <xf numFmtId="0" fontId="90" fillId="0" borderId="0" xfId="0" applyFont="1" applyAlignment="1">
      <alignment horizontal="center" vertical="center"/>
    </xf>
    <xf numFmtId="0" fontId="39" fillId="26" borderId="0" xfId="0" applyFont="1" applyFill="1" applyAlignment="1">
      <alignment horizontal="center" vertical="center"/>
    </xf>
    <xf numFmtId="0" fontId="0" fillId="0" borderId="10" xfId="0" applyBorder="1"/>
    <xf numFmtId="0" fontId="28" fillId="0" borderId="0" xfId="0" applyFont="1" applyAlignment="1">
      <alignment horizontal="left" indent="1"/>
    </xf>
    <xf numFmtId="0" fontId="0" fillId="0" borderId="0" xfId="0"/>
    <xf numFmtId="0" fontId="25" fillId="7" borderId="1" xfId="0" applyFont="1" applyFill="1" applyBorder="1"/>
    <xf numFmtId="0" fontId="35" fillId="11" borderId="1" xfId="0" applyFont="1" applyFill="1" applyBorder="1"/>
    <xf numFmtId="0" fontId="25" fillId="8" borderId="1" xfId="0" applyFont="1" applyFill="1" applyBorder="1"/>
    <xf numFmtId="0" fontId="35" fillId="30" borderId="1" xfId="0" applyFont="1" applyFill="1" applyBorder="1"/>
    <xf numFmtId="0" fontId="25" fillId="9" borderId="1" xfId="0" applyFont="1" applyFill="1" applyBorder="1"/>
    <xf numFmtId="0" fontId="25" fillId="10" borderId="1" xfId="0" applyFont="1" applyFill="1" applyBorder="1"/>
    <xf numFmtId="0" fontId="25" fillId="16" borderId="1" xfId="0" applyFont="1" applyFill="1" applyBorder="1"/>
    <xf numFmtId="0" fontId="26" fillId="17" borderId="1" xfId="0" applyFont="1" applyFill="1" applyBorder="1"/>
    <xf numFmtId="0" fontId="25" fillId="18" borderId="1" xfId="0" applyFont="1" applyFill="1" applyBorder="1"/>
    <xf numFmtId="0" fontId="25" fillId="19" borderId="1" xfId="0" applyFont="1" applyFill="1" applyBorder="1"/>
    <xf numFmtId="0" fontId="49" fillId="21" borderId="0" xfId="0" applyFont="1" applyFill="1" applyAlignment="1">
      <alignment horizontal="center" vertical="center"/>
    </xf>
    <xf numFmtId="0" fontId="50" fillId="21" borderId="0" xfId="0" applyFont="1" applyFill="1" applyAlignment="1">
      <alignment horizontal="center" vertical="center"/>
    </xf>
    <xf numFmtId="0" fontId="51" fillId="21" borderId="0" xfId="0" applyFont="1" applyFill="1" applyAlignment="1">
      <alignment horizontal="center" vertical="center"/>
    </xf>
    <xf numFmtId="0" fontId="52" fillId="27" borderId="0" xfId="0" applyFont="1" applyFill="1"/>
    <xf numFmtId="0" fontId="53" fillId="0" borderId="0" xfId="0" applyFont="1"/>
    <xf numFmtId="0" fontId="54" fillId="0" borderId="15" xfId="0" applyFont="1" applyBorder="1" applyAlignment="1">
      <alignment horizontal="left" vertical="center" indent="1"/>
    </xf>
    <xf numFmtId="0" fontId="59" fillId="0" borderId="15" xfId="0" applyFont="1" applyBorder="1" applyAlignment="1">
      <alignment horizontal="left" vertical="center" indent="1"/>
    </xf>
    <xf numFmtId="0" fontId="61" fillId="0" borderId="15" xfId="0" applyFont="1" applyBorder="1" applyAlignment="1">
      <alignment horizontal="left" vertical="center" indent="1"/>
    </xf>
    <xf numFmtId="0" fontId="63" fillId="0" borderId="15" xfId="0" applyFont="1" applyBorder="1" applyAlignment="1">
      <alignment horizontal="left" vertical="center" indent="1"/>
    </xf>
    <xf numFmtId="0" fontId="65" fillId="0" borderId="15" xfId="0" applyFont="1" applyBorder="1" applyAlignment="1">
      <alignment horizontal="left" vertical="center" indent="1"/>
    </xf>
    <xf numFmtId="0" fontId="67" fillId="0" borderId="15" xfId="0" applyFont="1" applyBorder="1" applyAlignment="1">
      <alignment horizontal="left" vertical="center" indent="1"/>
    </xf>
    <xf numFmtId="0" fontId="69" fillId="0" borderId="15" xfId="0" applyFont="1" applyBorder="1" applyAlignment="1">
      <alignment horizontal="left" vertical="center" indent="1"/>
    </xf>
    <xf numFmtId="0" fontId="71" fillId="0" borderId="15" xfId="0" applyFont="1" applyBorder="1" applyAlignment="1">
      <alignment horizontal="left" vertical="center" indent="1"/>
    </xf>
    <xf numFmtId="0" fontId="73" fillId="20" borderId="0" xfId="0" applyFont="1" applyFill="1" applyAlignment="1">
      <alignment horizontal="center" vertical="center" wrapText="1"/>
    </xf>
    <xf numFmtId="0" fontId="74" fillId="21" borderId="0" xfId="0" applyFont="1" applyFill="1" applyAlignment="1">
      <alignment horizontal="center" vertical="center"/>
    </xf>
    <xf numFmtId="0" fontId="37" fillId="0" borderId="0" xfId="0" applyFont="1" applyAlignment="1">
      <alignment horizontal="center"/>
    </xf>
    <xf numFmtId="0" fontId="31" fillId="0" borderId="0" xfId="0" applyFont="1" applyAlignment="1">
      <alignment horizontal="left" indent="2"/>
    </xf>
    <xf numFmtId="0" fontId="13" fillId="0" borderId="0" xfId="0" applyFont="1"/>
    <xf numFmtId="0" fontId="35" fillId="11" borderId="1" xfId="0" applyFon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35" fillId="30" borderId="1" xfId="0" applyFont="1" applyFill="1" applyBorder="1" applyAlignment="1">
      <alignment horizontal="center" vertical="center"/>
    </xf>
    <xf numFmtId="0" fontId="0" fillId="30" borderId="1" xfId="0" applyFill="1" applyBorder="1" applyAlignment="1">
      <alignment horizontal="center" vertical="center"/>
    </xf>
    <xf numFmtId="0" fontId="14" fillId="27" borderId="0" xfId="0" applyFont="1" applyFill="1"/>
    <xf numFmtId="0" fontId="77" fillId="0" borderId="0" xfId="0" applyFont="1" applyAlignment="1">
      <alignment vertical="top" wrapText="1"/>
    </xf>
    <xf numFmtId="0" fontId="77" fillId="0" borderId="0" xfId="0" applyFont="1"/>
    <xf numFmtId="0" fontId="21" fillId="21" borderId="9" xfId="0" applyFont="1" applyFill="1" applyBorder="1" applyAlignment="1">
      <alignment horizontal="center" vertical="center"/>
    </xf>
    <xf numFmtId="164" fontId="9" fillId="11" borderId="13" xfId="0" applyNumberFormat="1" applyFont="1" applyFill="1" applyBorder="1" applyAlignment="1" applyProtection="1">
      <alignment horizontal="center" vertical="center"/>
      <protection locked="0"/>
    </xf>
    <xf numFmtId="0" fontId="31" fillId="0" borderId="0" xfId="0" applyFont="1"/>
    <xf numFmtId="0" fontId="16" fillId="2" borderId="0" xfId="0" applyFont="1" applyFill="1" applyAlignment="1">
      <alignment horizontal="left" vertical="center" indent="2"/>
    </xf>
    <xf numFmtId="0" fontId="80" fillId="0" borderId="0" xfId="0" applyFont="1"/>
    <xf numFmtId="0" fontId="36" fillId="0" borderId="0" xfId="0" applyFont="1"/>
    <xf numFmtId="0" fontId="49" fillId="0" borderId="0" xfId="0" applyFont="1"/>
    <xf numFmtId="0" fontId="48" fillId="0" borderId="0" xfId="0" applyFont="1"/>
    <xf numFmtId="0" fontId="81" fillId="0" borderId="0" xfId="0" applyFont="1" applyAlignment="1">
      <alignment horizontal="left" vertical="center" wrapText="1"/>
    </xf>
    <xf numFmtId="0" fontId="79" fillId="27" borderId="0" xfId="0" applyFont="1" applyFill="1"/>
    <xf numFmtId="0" fontId="37" fillId="0" borderId="0" xfId="0" applyFont="1"/>
    <xf numFmtId="0" fontId="91" fillId="0" borderId="0" xfId="0" applyFont="1" applyAlignment="1">
      <alignment horizontal="left" vertical="center" indent="1"/>
    </xf>
  </cellXfs>
  <cellStyles count="1">
    <cellStyle name="Normal" xfId="0" builtinId="0"/>
  </cellStyles>
  <dxfs count="226">
    <dxf>
      <font>
        <b/>
        <color rgb="FFB42318"/>
      </font>
      <fill>
        <patternFill>
          <bgColor rgb="FFFEE4E2"/>
        </patternFill>
      </fill>
    </dxf>
    <dxf>
      <font>
        <b/>
        <color rgb="FFFFFFFF"/>
        <name val="Calibri"/>
        <charset val="1"/>
      </font>
      <numFmt numFmtId="171" formatCode="0&quot; Exp.&quot;"/>
      <fill>
        <patternFill>
          <bgColor rgb="FF2B8A3E"/>
        </patternFill>
      </fill>
    </dxf>
    <dxf>
      <font>
        <b/>
        <color rgb="FF3B3B00"/>
        <name val="Calibri"/>
        <charset val="1"/>
      </font>
      <numFmt numFmtId="172" formatCode="0&quot; Maît.&quot;"/>
      <fill>
        <patternFill>
          <bgColor rgb="FF82C91E"/>
        </patternFill>
      </fill>
    </dxf>
    <dxf>
      <font>
        <b/>
        <color rgb="FF3B3B00"/>
        <name val="Calibri"/>
        <charset val="1"/>
      </font>
      <numFmt numFmtId="173" formatCode="0&quot; Acq.&quot;"/>
      <fill>
        <patternFill>
          <bgColor rgb="FFF2C200"/>
        </patternFill>
      </fill>
    </dxf>
    <dxf>
      <font>
        <b/>
        <color rgb="FFFFFFFF"/>
        <name val="Calibri"/>
        <charset val="1"/>
      </font>
      <numFmt numFmtId="174" formatCode="0&quot; Prog.&quot;"/>
      <fill>
        <patternFill>
          <bgColor rgb="FFF08C00"/>
        </patternFill>
      </fill>
    </dxf>
    <dxf>
      <font>
        <b/>
        <color rgb="FFFFFFFF"/>
        <name val="Calibri"/>
        <charset val="1"/>
      </font>
      <numFmt numFmtId="175" formatCode="0&quot; Déb.&quot;"/>
      <fill>
        <patternFill>
          <bgColor rgb="FFE03131"/>
        </patternFill>
      </fill>
    </dxf>
    <dxf>
      <font>
        <b/>
        <color rgb="FF6B6B7B"/>
        <name val="Calibri"/>
        <charset val="1"/>
      </font>
    </dxf>
    <dxf>
      <font>
        <b/>
        <color rgb="FFC92A2A"/>
        <name val="Calibri"/>
        <charset val="1"/>
      </font>
    </dxf>
    <dxf>
      <font>
        <b/>
        <color rgb="FF2B8A3E"/>
        <name val="Calibri"/>
        <charset val="1"/>
      </font>
    </dxf>
    <dxf>
      <font>
        <b/>
        <color rgb="FFFFFFFF"/>
        <name val="Calibri"/>
        <charset val="1"/>
      </font>
      <numFmt numFmtId="171" formatCode="0&quot; Exp.&quot;"/>
      <fill>
        <patternFill>
          <bgColor rgb="FF2B8A3E"/>
        </patternFill>
      </fill>
    </dxf>
    <dxf>
      <font>
        <b/>
        <color rgb="FF3B3B00"/>
        <name val="Calibri"/>
        <charset val="1"/>
      </font>
      <numFmt numFmtId="172" formatCode="0&quot; Maît.&quot;"/>
      <fill>
        <patternFill>
          <bgColor rgb="FF82C91E"/>
        </patternFill>
      </fill>
    </dxf>
    <dxf>
      <font>
        <b/>
        <color rgb="FF3B3B00"/>
        <name val="Calibri"/>
        <charset val="1"/>
      </font>
      <numFmt numFmtId="173" formatCode="0&quot; Acq.&quot;"/>
      <fill>
        <patternFill>
          <bgColor rgb="FFF2C200"/>
        </patternFill>
      </fill>
    </dxf>
    <dxf>
      <font>
        <b/>
        <color rgb="FFFFFFFF"/>
        <name val="Calibri"/>
        <charset val="1"/>
      </font>
      <numFmt numFmtId="174" formatCode="0&quot; Prog.&quot;"/>
      <fill>
        <patternFill>
          <bgColor rgb="FFF08C00"/>
        </patternFill>
      </fill>
    </dxf>
    <dxf>
      <font>
        <b/>
        <color rgb="FFFFFFFF"/>
        <name val="Calibri"/>
        <charset val="1"/>
      </font>
      <numFmt numFmtId="175" formatCode="0&quot; Déb.&quot;"/>
      <fill>
        <patternFill>
          <bgColor rgb="FFE03131"/>
        </patternFill>
      </fill>
    </dxf>
    <dxf>
      <font>
        <b/>
        <color rgb="FF6B6B7B"/>
        <name val="Calibri"/>
        <charset val="1"/>
      </font>
    </dxf>
    <dxf>
      <font>
        <b/>
        <color rgb="FFC92A2A"/>
        <name val="Calibri"/>
        <charset val="1"/>
      </font>
    </dxf>
    <dxf>
      <font>
        <b/>
        <color rgb="FF2B8A3E"/>
        <name val="Calibri"/>
        <charset val="1"/>
      </font>
    </dxf>
    <dxf>
      <font>
        <b/>
        <color rgb="FFFFFFFF"/>
        <name val="Calibri"/>
        <charset val="1"/>
      </font>
      <numFmt numFmtId="171" formatCode="0&quot; Exp.&quot;"/>
      <fill>
        <patternFill>
          <bgColor rgb="FF2B8A3E"/>
        </patternFill>
      </fill>
    </dxf>
    <dxf>
      <font>
        <b/>
        <color rgb="FF3B3B00"/>
        <name val="Calibri"/>
        <charset val="1"/>
      </font>
      <numFmt numFmtId="172" formatCode="0&quot; Maît.&quot;"/>
      <fill>
        <patternFill>
          <bgColor rgb="FF82C91E"/>
        </patternFill>
      </fill>
    </dxf>
    <dxf>
      <font>
        <b/>
        <color rgb="FF3B3B00"/>
        <name val="Calibri"/>
        <charset val="1"/>
      </font>
      <numFmt numFmtId="173" formatCode="0&quot; Acq.&quot;"/>
      <fill>
        <patternFill>
          <bgColor rgb="FFF2C200"/>
        </patternFill>
      </fill>
    </dxf>
    <dxf>
      <font>
        <b/>
        <color rgb="FFFFFFFF"/>
        <name val="Calibri"/>
        <charset val="1"/>
      </font>
      <numFmt numFmtId="174" formatCode="0&quot; Prog.&quot;"/>
      <fill>
        <patternFill>
          <bgColor rgb="FFF08C00"/>
        </patternFill>
      </fill>
    </dxf>
    <dxf>
      <font>
        <b/>
        <color rgb="FFFFFFFF"/>
        <name val="Calibri"/>
        <charset val="1"/>
      </font>
      <numFmt numFmtId="175" formatCode="0&quot; Déb.&quot;"/>
      <fill>
        <patternFill>
          <bgColor rgb="FFE03131"/>
        </patternFill>
      </fill>
    </dxf>
    <dxf>
      <font>
        <b/>
        <color rgb="FFFFFFFF"/>
        <name val="Calibri"/>
        <charset val="1"/>
      </font>
      <numFmt numFmtId="171" formatCode="0&quot; Exp.&quot;"/>
      <fill>
        <patternFill>
          <bgColor rgb="FF2B8A3E"/>
        </patternFill>
      </fill>
    </dxf>
    <dxf>
      <font>
        <b/>
        <color rgb="FF3B3B00"/>
        <name val="Calibri"/>
        <charset val="1"/>
      </font>
      <numFmt numFmtId="172" formatCode="0&quot; Maît.&quot;"/>
      <fill>
        <patternFill>
          <bgColor rgb="FF82C91E"/>
        </patternFill>
      </fill>
    </dxf>
    <dxf>
      <font>
        <b/>
        <color rgb="FF3B3B00"/>
        <name val="Calibri"/>
        <charset val="1"/>
      </font>
      <numFmt numFmtId="173" formatCode="0&quot; Acq.&quot;"/>
      <fill>
        <patternFill>
          <bgColor rgb="FFF2C200"/>
        </patternFill>
      </fill>
    </dxf>
    <dxf>
      <font>
        <b/>
        <color rgb="FFFFFFFF"/>
        <name val="Calibri"/>
        <charset val="1"/>
      </font>
      <numFmt numFmtId="174" formatCode="0&quot; Prog.&quot;"/>
      <fill>
        <patternFill>
          <bgColor rgb="FFF08C00"/>
        </patternFill>
      </fill>
    </dxf>
    <dxf>
      <font>
        <b/>
        <color rgb="FFFFFFFF"/>
        <name val="Calibri"/>
        <charset val="1"/>
      </font>
      <numFmt numFmtId="175" formatCode="0&quot; Déb.&quot;"/>
      <fill>
        <patternFill>
          <bgColor rgb="FFE03131"/>
        </patternFill>
      </fill>
    </dxf>
    <dxf>
      <font>
        <b/>
        <color rgb="FFFFFFFF"/>
        <name val="Calibri"/>
        <charset val="1"/>
      </font>
      <numFmt numFmtId="171" formatCode="0&quot; Exp.&quot;"/>
      <fill>
        <patternFill>
          <bgColor rgb="FF2B8A3E"/>
        </patternFill>
      </fill>
    </dxf>
    <dxf>
      <font>
        <b/>
        <color rgb="FF3B3B00"/>
        <name val="Calibri"/>
        <charset val="1"/>
      </font>
      <numFmt numFmtId="172" formatCode="0&quot; Maît.&quot;"/>
      <fill>
        <patternFill>
          <bgColor rgb="FF82C91E"/>
        </patternFill>
      </fill>
    </dxf>
    <dxf>
      <font>
        <b/>
        <color rgb="FF3B3B00"/>
        <name val="Calibri"/>
        <charset val="1"/>
      </font>
      <numFmt numFmtId="173" formatCode="0&quot; Acq.&quot;"/>
      <fill>
        <patternFill>
          <bgColor rgb="FFF2C200"/>
        </patternFill>
      </fill>
    </dxf>
    <dxf>
      <font>
        <b/>
        <color rgb="FFFFFFFF"/>
        <name val="Calibri"/>
        <charset val="1"/>
      </font>
      <numFmt numFmtId="174" formatCode="0&quot; Prog.&quot;"/>
      <fill>
        <patternFill>
          <bgColor rgb="FFF08C00"/>
        </patternFill>
      </fill>
    </dxf>
    <dxf>
      <font>
        <b/>
        <color rgb="FFFFFFFF"/>
        <name val="Calibri"/>
        <charset val="1"/>
      </font>
      <numFmt numFmtId="175" formatCode="0&quot; Déb.&quot;"/>
      <fill>
        <patternFill>
          <bgColor rgb="FFE03131"/>
        </patternFill>
      </fill>
    </dxf>
    <dxf>
      <font>
        <b/>
        <sz val="9"/>
        <color rgb="FF8A8A99"/>
      </font>
    </dxf>
    <dxf>
      <font>
        <b/>
        <sz val="9"/>
        <color rgb="FFE03131"/>
      </font>
    </dxf>
    <dxf>
      <font>
        <b/>
        <color rgb="FFC92A2A"/>
        <name val="Calibri"/>
        <charset val="1"/>
      </font>
    </dxf>
    <dxf>
      <font>
        <b/>
        <color rgb="FF2B8A3E"/>
        <name val="Calibri"/>
        <charset val="1"/>
      </font>
    </dxf>
    <dxf>
      <font>
        <b/>
        <color rgb="FFC92A2A"/>
        <name val="Calibri"/>
        <charset val="1"/>
      </font>
    </dxf>
    <dxf>
      <font>
        <b/>
        <color rgb="FF2B8A3E"/>
        <name val="Calibri"/>
        <charset val="1"/>
      </font>
    </dxf>
    <dxf>
      <font>
        <b/>
        <color rgb="FFC92A2A"/>
        <name val="Calibri"/>
        <charset val="1"/>
      </font>
    </dxf>
    <dxf>
      <font>
        <b/>
        <color rgb="FF2B8A3E"/>
        <name val="Calibri"/>
        <charset val="1"/>
      </font>
    </dxf>
    <dxf>
      <font>
        <b/>
        <sz val="9"/>
        <color rgb="FF8A8A99"/>
      </font>
    </dxf>
    <dxf>
      <font>
        <b/>
        <sz val="9"/>
        <color rgb="FFE03131"/>
      </font>
    </dxf>
    <dxf>
      <font>
        <b/>
        <color rgb="FFC92A2A"/>
        <name val="Calibri"/>
        <charset val="1"/>
      </font>
    </dxf>
    <dxf>
      <font>
        <b/>
        <color rgb="FF2B8A3E"/>
        <name val="Calibri"/>
        <charset val="1"/>
      </font>
    </dxf>
    <dxf>
      <font>
        <b/>
        <color rgb="FFC92A2A"/>
        <name val="Calibri"/>
        <charset val="1"/>
      </font>
    </dxf>
    <dxf>
      <font>
        <b/>
        <color rgb="FF2B8A3E"/>
        <name val="Calibri"/>
        <charset val="1"/>
      </font>
    </dxf>
    <dxf>
      <font>
        <b/>
        <color rgb="FFFFFFFF"/>
        <name val="Calibri"/>
        <charset val="1"/>
      </font>
      <numFmt numFmtId="171" formatCode="0&quot; Exp.&quot;"/>
      <fill>
        <patternFill>
          <bgColor rgb="FF2B8A3E"/>
        </patternFill>
      </fill>
    </dxf>
    <dxf>
      <font>
        <b/>
        <color rgb="FF3B3B00"/>
        <name val="Calibri"/>
        <charset val="1"/>
      </font>
      <numFmt numFmtId="172" formatCode="0&quot; Maît.&quot;"/>
      <fill>
        <patternFill>
          <bgColor rgb="FF82C91E"/>
        </patternFill>
      </fill>
    </dxf>
    <dxf>
      <font>
        <b/>
        <color rgb="FF3B3B00"/>
        <name val="Calibri"/>
        <charset val="1"/>
      </font>
      <numFmt numFmtId="173" formatCode="0&quot; Acq.&quot;"/>
      <fill>
        <patternFill>
          <bgColor rgb="FFF2C200"/>
        </patternFill>
      </fill>
    </dxf>
    <dxf>
      <font>
        <b/>
        <color rgb="FFFFFFFF"/>
        <name val="Calibri"/>
        <charset val="1"/>
      </font>
      <numFmt numFmtId="174" formatCode="0&quot; Prog.&quot;"/>
      <fill>
        <patternFill>
          <bgColor rgb="FFF08C00"/>
        </patternFill>
      </fill>
    </dxf>
    <dxf>
      <font>
        <b/>
        <color rgb="FFFFFFFF"/>
        <name val="Calibri"/>
        <charset val="1"/>
      </font>
      <numFmt numFmtId="175" formatCode="0&quot; Déb.&quot;"/>
      <fill>
        <patternFill>
          <bgColor rgb="FFE03131"/>
        </patternFill>
      </fill>
    </dxf>
    <dxf>
      <font>
        <b/>
        <color rgb="FFFFFFFF"/>
        <name val="Calibri"/>
        <charset val="1"/>
      </font>
      <numFmt numFmtId="171" formatCode="0&quot; Exp.&quot;"/>
      <fill>
        <patternFill>
          <bgColor rgb="FF2B8A3E"/>
        </patternFill>
      </fill>
    </dxf>
    <dxf>
      <font>
        <b/>
        <color rgb="FF3B3B00"/>
        <name val="Calibri"/>
        <charset val="1"/>
      </font>
      <numFmt numFmtId="172" formatCode="0&quot; Maît.&quot;"/>
      <fill>
        <patternFill>
          <bgColor rgb="FF82C91E"/>
        </patternFill>
      </fill>
    </dxf>
    <dxf>
      <font>
        <b/>
        <color rgb="FF3B3B00"/>
        <name val="Calibri"/>
        <charset val="1"/>
      </font>
      <numFmt numFmtId="173" formatCode="0&quot; Acq.&quot;"/>
      <fill>
        <patternFill>
          <bgColor rgb="FFF2C200"/>
        </patternFill>
      </fill>
    </dxf>
    <dxf>
      <font>
        <b/>
        <color rgb="FFFFFFFF"/>
        <name val="Calibri"/>
        <charset val="1"/>
      </font>
      <numFmt numFmtId="174" formatCode="0&quot; Prog.&quot;"/>
      <fill>
        <patternFill>
          <bgColor rgb="FFF08C00"/>
        </patternFill>
      </fill>
    </dxf>
    <dxf>
      <font>
        <b/>
        <color rgb="FFFFFFFF"/>
        <name val="Calibri"/>
        <charset val="1"/>
      </font>
      <numFmt numFmtId="175" formatCode="0&quot; Déb.&quot;"/>
      <fill>
        <patternFill>
          <bgColor rgb="FFE03131"/>
        </patternFill>
      </fill>
    </dxf>
    <dxf>
      <font>
        <b/>
        <color rgb="FFFFFFFF"/>
        <name val="Calibri"/>
        <charset val="1"/>
      </font>
      <numFmt numFmtId="171" formatCode="0&quot; Exp.&quot;"/>
      <fill>
        <patternFill>
          <bgColor rgb="FF2B8A3E"/>
        </patternFill>
      </fill>
    </dxf>
    <dxf>
      <font>
        <b/>
        <color rgb="FF3B3B00"/>
        <name val="Calibri"/>
        <charset val="1"/>
      </font>
      <numFmt numFmtId="172" formatCode="0&quot; Maît.&quot;"/>
      <fill>
        <patternFill>
          <bgColor rgb="FF82C91E"/>
        </patternFill>
      </fill>
    </dxf>
    <dxf>
      <font>
        <b/>
        <color rgb="FF3B3B00"/>
        <name val="Calibri"/>
        <charset val="1"/>
      </font>
      <numFmt numFmtId="173" formatCode="0&quot; Acq.&quot;"/>
      <fill>
        <patternFill>
          <bgColor rgb="FFF2C200"/>
        </patternFill>
      </fill>
    </dxf>
    <dxf>
      <font>
        <b/>
        <color rgb="FFFFFFFF"/>
        <name val="Calibri"/>
        <charset val="1"/>
      </font>
      <numFmt numFmtId="174" formatCode="0&quot; Prog.&quot;"/>
      <fill>
        <patternFill>
          <bgColor rgb="FFF08C00"/>
        </patternFill>
      </fill>
    </dxf>
    <dxf>
      <font>
        <b/>
        <color rgb="FFFFFFFF"/>
        <name val="Calibri"/>
        <charset val="1"/>
      </font>
      <numFmt numFmtId="175" formatCode="0&quot; Déb.&quot;"/>
      <fill>
        <patternFill>
          <bgColor rgb="FFE03131"/>
        </patternFill>
      </fill>
    </dxf>
    <dxf>
      <font>
        <b/>
        <color rgb="FF3B3B00"/>
        <name val="Calibri"/>
        <charset val="1"/>
      </font>
      <numFmt numFmtId="172" formatCode="0&quot; Maît.&quot;"/>
      <fill>
        <patternFill>
          <bgColor rgb="FF82C91E"/>
        </patternFill>
      </fill>
    </dxf>
    <dxf>
      <font>
        <b/>
        <color rgb="FFFFFFFF"/>
        <name val="Calibri"/>
        <charset val="1"/>
      </font>
      <numFmt numFmtId="171" formatCode="0&quot; Exp.&quot;"/>
      <fill>
        <patternFill>
          <bgColor rgb="FF2B8A3E"/>
        </patternFill>
      </fill>
    </dxf>
    <dxf>
      <font>
        <b/>
        <color rgb="FFFFFFFF"/>
        <name val="Calibri"/>
        <charset val="1"/>
      </font>
      <numFmt numFmtId="175" formatCode="0&quot; Déb.&quot;"/>
      <fill>
        <patternFill>
          <bgColor rgb="FFE03131"/>
        </patternFill>
      </fill>
    </dxf>
    <dxf>
      <font>
        <b/>
        <color rgb="FFFFFFFF"/>
        <name val="Calibri"/>
        <charset val="1"/>
      </font>
      <numFmt numFmtId="174" formatCode="0&quot; Prog.&quot;"/>
      <fill>
        <patternFill>
          <bgColor rgb="FFF08C00"/>
        </patternFill>
      </fill>
    </dxf>
    <dxf>
      <font>
        <b/>
        <color rgb="FF3B3B00"/>
        <name val="Calibri"/>
        <charset val="1"/>
      </font>
      <numFmt numFmtId="173" formatCode="0&quot; Acq.&quot;"/>
      <fill>
        <patternFill>
          <bgColor rgb="FFF2C200"/>
        </patternFill>
      </fill>
    </dxf>
    <dxf>
      <font>
        <b/>
        <color rgb="FF6B6B7B"/>
        <name val="Calibri"/>
        <charset val="1"/>
      </font>
    </dxf>
    <dxf>
      <font>
        <b/>
        <color rgb="FFC92A2A"/>
        <name val="Calibri"/>
        <charset val="1"/>
      </font>
    </dxf>
    <dxf>
      <font>
        <b/>
        <color rgb="FF2B8A3E"/>
        <name val="Calibri"/>
        <charset val="1"/>
      </font>
    </dxf>
    <dxf>
      <font>
        <b/>
        <color rgb="FF2B8A3E"/>
        <name val="Calibri"/>
        <charset val="1"/>
      </font>
    </dxf>
    <dxf>
      <font>
        <b/>
        <color rgb="FF6B6B7B"/>
        <name val="Calibri"/>
        <charset val="1"/>
      </font>
    </dxf>
    <dxf>
      <font>
        <b/>
        <color rgb="FFC92A2A"/>
        <name val="Calibri"/>
        <charset val="1"/>
      </font>
    </dxf>
    <dxf>
      <font>
        <b/>
        <color rgb="FFFFFFFF"/>
        <name val="Calibri"/>
        <charset val="1"/>
      </font>
      <numFmt numFmtId="171" formatCode="0&quot; Exp.&quot;"/>
      <fill>
        <patternFill>
          <bgColor rgb="FF2B8A3E"/>
        </patternFill>
      </fill>
    </dxf>
    <dxf>
      <font>
        <b/>
        <color rgb="FF3B3B00"/>
        <name val="Calibri"/>
        <charset val="1"/>
      </font>
      <numFmt numFmtId="172" formatCode="0&quot; Maît.&quot;"/>
      <fill>
        <patternFill>
          <bgColor rgb="FF82C91E"/>
        </patternFill>
      </fill>
    </dxf>
    <dxf>
      <font>
        <b/>
        <color rgb="FF3B3B00"/>
        <name val="Calibri"/>
        <charset val="1"/>
      </font>
      <numFmt numFmtId="173" formatCode="0&quot; Acq.&quot;"/>
      <fill>
        <patternFill>
          <bgColor rgb="FFF2C200"/>
        </patternFill>
      </fill>
    </dxf>
    <dxf>
      <font>
        <b/>
        <color rgb="FFFFFFFF"/>
        <name val="Calibri"/>
        <charset val="1"/>
      </font>
      <numFmt numFmtId="174" formatCode="0&quot; Prog.&quot;"/>
      <fill>
        <patternFill>
          <bgColor rgb="FFF08C00"/>
        </patternFill>
      </fill>
    </dxf>
    <dxf>
      <font>
        <b/>
        <color rgb="FFFFFFFF"/>
        <name val="Calibri"/>
        <charset val="1"/>
      </font>
      <numFmt numFmtId="175" formatCode="0&quot; Déb.&quot;"/>
      <fill>
        <patternFill>
          <bgColor rgb="FFE03131"/>
        </patternFill>
      </fill>
    </dxf>
    <dxf>
      <font>
        <b/>
        <color rgb="FFFFFFFF"/>
        <name val="Calibri"/>
        <charset val="1"/>
      </font>
      <numFmt numFmtId="175" formatCode="0&quot; Déb.&quot;"/>
      <fill>
        <patternFill>
          <bgColor rgb="FFE03131"/>
        </patternFill>
      </fill>
    </dxf>
    <dxf>
      <font>
        <b/>
        <color rgb="FFFFFFFF"/>
        <name val="Calibri"/>
        <charset val="1"/>
      </font>
      <numFmt numFmtId="174" formatCode="0&quot; Prog.&quot;"/>
      <fill>
        <patternFill>
          <bgColor rgb="FFF08C00"/>
        </patternFill>
      </fill>
    </dxf>
    <dxf>
      <font>
        <b/>
        <color rgb="FF3B3B00"/>
        <name val="Calibri"/>
        <charset val="1"/>
      </font>
      <numFmt numFmtId="173" formatCode="0&quot; Acq.&quot;"/>
      <fill>
        <patternFill>
          <bgColor rgb="FFF2C200"/>
        </patternFill>
      </fill>
    </dxf>
    <dxf>
      <font>
        <b/>
        <color rgb="FF3B3B00"/>
        <name val="Calibri"/>
        <charset val="1"/>
      </font>
      <numFmt numFmtId="172" formatCode="0&quot; Maît.&quot;"/>
      <fill>
        <patternFill>
          <bgColor rgb="FF82C91E"/>
        </patternFill>
      </fill>
    </dxf>
    <dxf>
      <font>
        <b/>
        <color rgb="FFFFFFFF"/>
        <name val="Calibri"/>
        <charset val="1"/>
      </font>
      <numFmt numFmtId="171" formatCode="0&quot; Exp.&quot;"/>
      <fill>
        <patternFill>
          <bgColor rgb="FF2B8A3E"/>
        </patternFill>
      </fill>
    </dxf>
    <dxf>
      <font>
        <b/>
        <color rgb="FF6B6B7B"/>
        <name val="Calibri"/>
        <charset val="1"/>
      </font>
    </dxf>
    <dxf>
      <font>
        <b/>
        <color rgb="FFC92A2A"/>
        <name val="Calibri"/>
        <charset val="1"/>
      </font>
    </dxf>
    <dxf>
      <font>
        <b/>
        <color rgb="FF2B8A3E"/>
        <name val="Calibri"/>
        <charset val="1"/>
      </font>
    </dxf>
    <dxf>
      <font>
        <b/>
        <color rgb="FF2B8A3E"/>
        <name val="Calibri"/>
        <charset val="1"/>
      </font>
    </dxf>
    <dxf>
      <font>
        <b/>
        <color rgb="FFC92A2A"/>
        <name val="Calibri"/>
        <charset val="1"/>
      </font>
    </dxf>
    <dxf>
      <font>
        <b/>
        <color rgb="FF6B6B7B"/>
        <name val="Calibri"/>
        <charset val="1"/>
      </font>
    </dxf>
    <dxf>
      <font>
        <b/>
        <color rgb="FFFFFFFF"/>
        <name val="Calibri"/>
        <charset val="1"/>
      </font>
      <numFmt numFmtId="171" formatCode="0&quot; Exp.&quot;"/>
      <fill>
        <patternFill>
          <bgColor rgb="FF2B8A3E"/>
        </patternFill>
      </fill>
    </dxf>
    <dxf>
      <font>
        <b/>
        <color rgb="FFFFFFFF"/>
        <name val="Calibri"/>
        <charset val="1"/>
      </font>
      <numFmt numFmtId="174" formatCode="0&quot; Prog.&quot;"/>
      <fill>
        <patternFill>
          <bgColor rgb="FFF08C00"/>
        </patternFill>
      </fill>
    </dxf>
    <dxf>
      <font>
        <b/>
        <color rgb="FF3B3B00"/>
        <name val="Calibri"/>
        <charset val="1"/>
      </font>
      <numFmt numFmtId="173" formatCode="0&quot; Acq.&quot;"/>
      <fill>
        <patternFill>
          <bgColor rgb="FFF2C200"/>
        </patternFill>
      </fill>
    </dxf>
    <dxf>
      <font>
        <b/>
        <color rgb="FF3B3B00"/>
        <name val="Calibri"/>
        <charset val="1"/>
      </font>
      <numFmt numFmtId="172" formatCode="0&quot; Maît.&quot;"/>
      <fill>
        <patternFill>
          <bgColor rgb="FF82C91E"/>
        </patternFill>
      </fill>
    </dxf>
    <dxf>
      <font>
        <b/>
        <color rgb="FFFFFFFF"/>
        <name val="Calibri"/>
        <charset val="1"/>
      </font>
      <numFmt numFmtId="175" formatCode="0&quot; Déb.&quot;"/>
      <fill>
        <patternFill>
          <bgColor rgb="FFE03131"/>
        </patternFill>
      </fill>
    </dxf>
    <dxf>
      <font>
        <b/>
        <color rgb="FFFFFFFF"/>
        <name val="Calibri"/>
        <charset val="1"/>
      </font>
      <numFmt numFmtId="175" formatCode="0&quot; Déb.&quot;"/>
      <fill>
        <patternFill>
          <bgColor rgb="FFE03131"/>
        </patternFill>
      </fill>
    </dxf>
    <dxf>
      <font>
        <b/>
        <color rgb="FFFFFFFF"/>
        <name val="Calibri"/>
        <charset val="1"/>
      </font>
      <numFmt numFmtId="174" formatCode="0&quot; Prog.&quot;"/>
      <fill>
        <patternFill>
          <bgColor rgb="FFF08C00"/>
        </patternFill>
      </fill>
    </dxf>
    <dxf>
      <font>
        <b/>
        <color rgb="FF3B3B00"/>
        <name val="Calibri"/>
        <charset val="1"/>
      </font>
      <numFmt numFmtId="173" formatCode="0&quot; Acq.&quot;"/>
      <fill>
        <patternFill>
          <bgColor rgb="FFF2C200"/>
        </patternFill>
      </fill>
    </dxf>
    <dxf>
      <font>
        <b/>
        <color rgb="FF3B3B00"/>
        <name val="Calibri"/>
        <charset val="1"/>
      </font>
      <numFmt numFmtId="172" formatCode="0&quot; Maît.&quot;"/>
      <fill>
        <patternFill>
          <bgColor rgb="FF82C91E"/>
        </patternFill>
      </fill>
    </dxf>
    <dxf>
      <font>
        <b/>
        <color rgb="FFFFFFFF"/>
        <name val="Calibri"/>
        <charset val="1"/>
      </font>
      <numFmt numFmtId="171" formatCode="0&quot; Exp.&quot;"/>
      <fill>
        <patternFill>
          <bgColor rgb="FF2B8A3E"/>
        </patternFill>
      </fill>
    </dxf>
    <dxf>
      <font>
        <b/>
        <color rgb="FF6B6B7B"/>
        <name val="Calibri"/>
        <charset val="1"/>
      </font>
    </dxf>
    <dxf>
      <font>
        <b/>
        <color rgb="FFC92A2A"/>
        <name val="Calibri"/>
        <charset val="1"/>
      </font>
    </dxf>
    <dxf>
      <font>
        <b/>
        <color rgb="FF2B8A3E"/>
        <name val="Calibri"/>
        <charset val="1"/>
      </font>
    </dxf>
    <dxf>
      <font>
        <b/>
        <color rgb="FF6B6B7B"/>
        <name val="Calibri"/>
        <charset val="1"/>
      </font>
    </dxf>
    <dxf>
      <font>
        <b/>
        <color rgb="FFC92A2A"/>
        <name val="Calibri"/>
        <charset val="1"/>
      </font>
    </dxf>
    <dxf>
      <font>
        <b/>
        <color rgb="FF2B8A3E"/>
        <name val="Calibri"/>
        <charset val="1"/>
      </font>
    </dxf>
    <dxf>
      <font>
        <b/>
        <i/>
        <color rgb="FFC92A2A"/>
        <name val="Calibri"/>
        <charset val="1"/>
      </font>
    </dxf>
    <dxf>
      <font>
        <b/>
        <i/>
        <color rgb="FF2B8A3E"/>
        <name val="Calibri"/>
        <charset val="1"/>
      </font>
    </dxf>
    <dxf>
      <font>
        <b/>
        <color rgb="FF3B3B00"/>
        <name val="Calibri"/>
        <charset val="1"/>
      </font>
      <numFmt numFmtId="173" formatCode="0&quot; Acq.&quot;"/>
      <fill>
        <patternFill>
          <bgColor rgb="FFF2C200"/>
        </patternFill>
      </fill>
    </dxf>
    <dxf>
      <font>
        <b/>
        <color rgb="FF3B3B00"/>
        <name val="Calibri"/>
        <charset val="1"/>
      </font>
      <numFmt numFmtId="172" formatCode="0&quot; Maît.&quot;"/>
      <fill>
        <patternFill>
          <bgColor rgb="FF82C91E"/>
        </patternFill>
      </fill>
    </dxf>
    <dxf>
      <font>
        <b/>
        <color rgb="FFFFFFFF"/>
        <name val="Calibri"/>
        <charset val="1"/>
      </font>
      <numFmt numFmtId="171" formatCode="0&quot; Exp.&quot;"/>
      <fill>
        <patternFill>
          <bgColor rgb="FF2B8A3E"/>
        </patternFill>
      </fill>
    </dxf>
    <dxf>
      <font>
        <b/>
        <color rgb="FFFFFFFF"/>
        <name val="Calibri"/>
        <charset val="1"/>
      </font>
      <numFmt numFmtId="174" formatCode="0&quot; Prog.&quot;"/>
      <fill>
        <patternFill>
          <bgColor rgb="FFF08C00"/>
        </patternFill>
      </fill>
    </dxf>
    <dxf>
      <font>
        <b/>
        <color rgb="FFFFFFFF"/>
        <name val="Calibri"/>
        <charset val="1"/>
      </font>
      <numFmt numFmtId="175" formatCode="0&quot; Déb.&quot;"/>
      <fill>
        <patternFill>
          <bgColor rgb="FFE03131"/>
        </patternFill>
      </fill>
    </dxf>
    <dxf>
      <font>
        <b/>
        <color rgb="FFFFFFFF"/>
        <name val="Calibri"/>
        <charset val="1"/>
      </font>
      <numFmt numFmtId="171" formatCode="0&quot; Exp.&quot;"/>
      <fill>
        <patternFill>
          <bgColor rgb="FF2B8A3E"/>
        </patternFill>
      </fill>
    </dxf>
    <dxf>
      <font>
        <b/>
        <color rgb="FF3B3B00"/>
        <name val="Calibri"/>
        <charset val="1"/>
      </font>
      <numFmt numFmtId="172" formatCode="0&quot; Maît.&quot;"/>
      <fill>
        <patternFill>
          <bgColor rgb="FF82C91E"/>
        </patternFill>
      </fill>
    </dxf>
    <dxf>
      <font>
        <b/>
        <color rgb="FF3B3B00"/>
        <name val="Calibri"/>
        <charset val="1"/>
      </font>
      <numFmt numFmtId="173" formatCode="0&quot; Acq.&quot;"/>
      <fill>
        <patternFill>
          <bgColor rgb="FFF2C200"/>
        </patternFill>
      </fill>
    </dxf>
    <dxf>
      <font>
        <b/>
        <color rgb="FFFFFFFF"/>
        <name val="Calibri"/>
        <charset val="1"/>
      </font>
      <numFmt numFmtId="174" formatCode="0&quot; Prog.&quot;"/>
      <fill>
        <patternFill>
          <bgColor rgb="FFF08C00"/>
        </patternFill>
      </fill>
    </dxf>
    <dxf>
      <font>
        <b/>
        <color rgb="FFFFFFFF"/>
        <name val="Calibri"/>
        <charset val="1"/>
      </font>
      <numFmt numFmtId="175" formatCode="0&quot; Déb.&quot;"/>
      <fill>
        <patternFill>
          <bgColor rgb="FFE03131"/>
        </patternFill>
      </fill>
    </dxf>
    <dxf>
      <font>
        <b/>
        <color rgb="FF6B6B7B"/>
        <name val="Calibri"/>
        <charset val="1"/>
      </font>
    </dxf>
    <dxf>
      <font>
        <b/>
        <color rgb="FFC92A2A"/>
        <name val="Calibri"/>
        <charset val="1"/>
      </font>
    </dxf>
    <dxf>
      <font>
        <b/>
        <color rgb="FF2B8A3E"/>
        <name val="Calibri"/>
        <charset val="1"/>
      </font>
    </dxf>
    <dxf>
      <font>
        <b/>
        <color rgb="FF6B6B7B"/>
        <name val="Calibri"/>
        <charset val="1"/>
      </font>
    </dxf>
    <dxf>
      <font>
        <b/>
        <color rgb="FFC92A2A"/>
        <name val="Calibri"/>
        <charset val="1"/>
      </font>
    </dxf>
    <dxf>
      <font>
        <b/>
        <color rgb="FF2B8A3E"/>
        <name val="Calibri"/>
        <charset val="1"/>
      </font>
    </dxf>
    <dxf>
      <font>
        <b/>
        <i/>
        <color rgb="FFC92A2A"/>
        <name val="Calibri"/>
        <charset val="1"/>
      </font>
    </dxf>
    <dxf>
      <font>
        <b/>
        <i/>
        <color rgb="FF2B8A3E"/>
        <name val="Calibri"/>
        <charset val="1"/>
      </font>
    </dxf>
    <dxf>
      <font>
        <b/>
        <color rgb="FF2B8A3E"/>
        <name val="Calibri"/>
        <charset val="1"/>
      </font>
      <fill>
        <patternFill>
          <bgColor rgb="FFD3F9D8"/>
        </patternFill>
      </fill>
    </dxf>
    <dxf>
      <font>
        <b/>
        <color rgb="FFE8590C"/>
        <name val="Calibri"/>
        <charset val="1"/>
      </font>
      <fill>
        <patternFill>
          <bgColor rgb="FFFFF3BF"/>
        </patternFill>
      </fill>
    </dxf>
    <dxf>
      <font>
        <b/>
        <color rgb="FF3B3B00"/>
        <name val="Calibri"/>
        <charset val="1"/>
      </font>
      <fill>
        <patternFill>
          <bgColor rgb="FF82C91E"/>
        </patternFill>
      </fill>
    </dxf>
    <dxf>
      <font>
        <b/>
        <color rgb="FF3B3B00"/>
        <name val="Calibri"/>
        <charset val="1"/>
      </font>
      <fill>
        <patternFill>
          <bgColor rgb="FFF2C200"/>
        </patternFill>
      </fill>
    </dxf>
    <dxf>
      <font>
        <b/>
        <color rgb="FFFFFFFF"/>
        <name val="Calibri"/>
        <charset val="1"/>
      </font>
      <fill>
        <patternFill>
          <bgColor rgb="FFF08C00"/>
        </patternFill>
      </fill>
    </dxf>
    <dxf>
      <font>
        <b/>
        <color rgb="FFFFFFFF"/>
        <name val="Calibri"/>
        <charset val="1"/>
      </font>
      <fill>
        <patternFill>
          <bgColor rgb="FFE03131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ont>
        <b/>
        <color rgb="FFFFFFFF"/>
        <name val="Calibri"/>
        <charset val="1"/>
      </font>
      <fill>
        <patternFill>
          <bgColor rgb="FFE03131"/>
        </patternFill>
      </fill>
    </dxf>
    <dxf>
      <font>
        <b/>
        <color rgb="FFFFFFFF"/>
        <name val="Calibri"/>
        <charset val="1"/>
      </font>
      <fill>
        <patternFill>
          <bgColor rgb="FFF08C00"/>
        </patternFill>
      </fill>
    </dxf>
    <dxf>
      <font>
        <b/>
        <color rgb="FF3B3B00"/>
        <name val="Calibri"/>
        <charset val="1"/>
      </font>
      <fill>
        <patternFill>
          <bgColor rgb="FFF2C200"/>
        </patternFill>
      </fill>
    </dxf>
    <dxf>
      <font>
        <b/>
        <color rgb="FF3B3B00"/>
        <name val="Calibri"/>
        <charset val="1"/>
      </font>
      <fill>
        <patternFill>
          <bgColor rgb="FF82C91E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ont>
        <color rgb="FFA6A6A6"/>
      </font>
      <fill>
        <patternFill>
          <bgColor rgb="FFD9D9D9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ont>
        <b/>
        <color rgb="FF3B3B00"/>
        <name val="Calibri"/>
        <charset val="1"/>
      </font>
      <fill>
        <patternFill>
          <bgColor rgb="FF82C91E"/>
        </patternFill>
      </fill>
    </dxf>
    <dxf>
      <font>
        <b/>
        <color rgb="FF3B3B00"/>
        <name val="Calibri"/>
        <charset val="1"/>
      </font>
      <fill>
        <patternFill>
          <bgColor rgb="FFF2C200"/>
        </patternFill>
      </fill>
    </dxf>
    <dxf>
      <font>
        <b/>
        <color rgb="FFFFFFFF"/>
        <name val="Calibri"/>
        <charset val="1"/>
      </font>
      <fill>
        <patternFill>
          <bgColor rgb="FFF08C00"/>
        </patternFill>
      </fill>
    </dxf>
    <dxf>
      <font>
        <b/>
        <color rgb="FFFFFFFF"/>
        <name val="Calibri"/>
        <charset val="1"/>
      </font>
      <fill>
        <patternFill>
          <bgColor rgb="FFE03131"/>
        </patternFill>
      </fill>
    </dxf>
    <dxf>
      <font>
        <b/>
        <color rgb="FFFFFFFF"/>
        <name val="Calibri"/>
        <charset val="1"/>
      </font>
      <fill>
        <patternFill>
          <bgColor rgb="FFE03131"/>
        </patternFill>
      </fill>
    </dxf>
    <dxf>
      <font>
        <b/>
        <color rgb="FFFFFFFF"/>
        <name val="Calibri"/>
        <charset val="1"/>
      </font>
      <fill>
        <patternFill>
          <bgColor rgb="FFF08C00"/>
        </patternFill>
      </fill>
    </dxf>
    <dxf>
      <font>
        <b/>
        <color rgb="FF3B3B00"/>
        <name val="Calibri"/>
        <charset val="1"/>
      </font>
      <fill>
        <patternFill>
          <bgColor rgb="FFF2C200"/>
        </patternFill>
      </fill>
    </dxf>
    <dxf>
      <font>
        <b/>
        <color rgb="FF3B3B00"/>
        <name val="Calibri"/>
        <charset val="1"/>
      </font>
      <fill>
        <patternFill>
          <bgColor rgb="FF82C91E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ont>
        <b/>
        <color rgb="FF3B3B00"/>
        <name val="Calibri"/>
        <charset val="1"/>
      </font>
      <fill>
        <patternFill>
          <bgColor rgb="FF82C91E"/>
        </patternFill>
      </fill>
    </dxf>
    <dxf>
      <font>
        <b/>
        <color rgb="FF3B3B00"/>
        <name val="Calibri"/>
        <charset val="1"/>
      </font>
      <fill>
        <patternFill>
          <bgColor rgb="FFF2C200"/>
        </patternFill>
      </fill>
    </dxf>
    <dxf>
      <font>
        <b/>
        <color rgb="FFFFFFFF"/>
        <name val="Calibri"/>
        <charset val="1"/>
      </font>
      <fill>
        <patternFill>
          <bgColor rgb="FFF08C00"/>
        </patternFill>
      </fill>
    </dxf>
    <dxf>
      <font>
        <b/>
        <color rgb="FFFFFFFF"/>
        <name val="Calibri"/>
        <charset val="1"/>
      </font>
      <fill>
        <patternFill>
          <bgColor rgb="FFE03131"/>
        </patternFill>
      </fill>
    </dxf>
    <dxf>
      <font>
        <b/>
        <color rgb="FFFFFFFF"/>
        <name val="Calibri"/>
        <charset val="1"/>
      </font>
      <fill>
        <patternFill>
          <bgColor rgb="FFE03131"/>
        </patternFill>
      </fill>
    </dxf>
    <dxf>
      <font>
        <b/>
        <color rgb="FFFFFFFF"/>
        <name val="Calibri"/>
        <charset val="1"/>
      </font>
      <fill>
        <patternFill>
          <bgColor rgb="FFF08C00"/>
        </patternFill>
      </fill>
    </dxf>
    <dxf>
      <font>
        <b/>
        <color rgb="FF3B3B00"/>
        <name val="Calibri"/>
        <charset val="1"/>
      </font>
      <fill>
        <patternFill>
          <bgColor rgb="FF82C91E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ont>
        <b/>
        <color rgb="FF3B3B00"/>
        <name val="Calibri"/>
        <charset val="1"/>
      </font>
      <fill>
        <patternFill>
          <bgColor rgb="FFF2C200"/>
        </patternFill>
      </fill>
    </dxf>
    <dxf>
      <font>
        <b/>
        <color rgb="FFFFFFFF"/>
        <name val="Calibri"/>
        <charset val="1"/>
      </font>
      <fill>
        <patternFill>
          <bgColor rgb="FFE03131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ont>
        <b/>
        <color rgb="FF3B3B00"/>
        <name val="Calibri"/>
        <charset val="1"/>
      </font>
      <fill>
        <patternFill>
          <bgColor rgb="FF82C91E"/>
        </patternFill>
      </fill>
    </dxf>
    <dxf>
      <font>
        <b/>
        <color rgb="FF3B3B00"/>
        <name val="Calibri"/>
        <charset val="1"/>
      </font>
      <fill>
        <patternFill>
          <bgColor rgb="FFF2C200"/>
        </patternFill>
      </fill>
    </dxf>
    <dxf>
      <font>
        <b/>
        <color rgb="FFFFFFFF"/>
        <name val="Calibri"/>
        <charset val="1"/>
      </font>
      <fill>
        <patternFill>
          <bgColor rgb="FFF08C00"/>
        </patternFill>
      </fill>
    </dxf>
    <dxf>
      <font>
        <b/>
        <color rgb="FFFFFFFF"/>
        <name val="Calibri"/>
        <charset val="1"/>
      </font>
      <fill>
        <patternFill>
          <bgColor rgb="FFE03131"/>
        </patternFill>
      </fill>
    </dxf>
    <dxf>
      <font>
        <b/>
        <color rgb="FFFFFFFF"/>
        <name val="Calibri"/>
        <charset val="1"/>
      </font>
      <fill>
        <patternFill>
          <bgColor rgb="FFF08C00"/>
        </patternFill>
      </fill>
    </dxf>
    <dxf>
      <font>
        <b/>
        <color rgb="FF3B3B00"/>
        <name val="Calibri"/>
        <charset val="1"/>
      </font>
      <fill>
        <patternFill>
          <bgColor rgb="FFF2C200"/>
        </patternFill>
      </fill>
    </dxf>
    <dxf>
      <font>
        <b/>
        <color rgb="FF3B3B00"/>
        <name val="Calibri"/>
        <charset val="1"/>
      </font>
      <fill>
        <patternFill>
          <bgColor rgb="FF82C91E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ont>
        <b/>
        <color rgb="FF3B3B00"/>
        <name val="Calibri"/>
        <charset val="1"/>
      </font>
      <fill>
        <patternFill>
          <bgColor rgb="FF82C91E"/>
        </patternFill>
      </fill>
    </dxf>
    <dxf>
      <font>
        <b/>
        <color rgb="FF3B3B00"/>
        <name val="Calibri"/>
        <charset val="1"/>
      </font>
      <fill>
        <patternFill>
          <bgColor rgb="FFF2C200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ont>
        <b/>
        <color rgb="FFFFFFFF"/>
        <name val="Calibri"/>
        <charset val="1"/>
      </font>
      <fill>
        <patternFill>
          <bgColor rgb="FFF08C00"/>
        </patternFill>
      </fill>
    </dxf>
    <dxf>
      <font>
        <b/>
        <color rgb="FFFFFFFF"/>
        <name val="Calibri"/>
        <charset val="1"/>
      </font>
      <fill>
        <patternFill>
          <bgColor rgb="FFE03131"/>
        </patternFill>
      </fill>
    </dxf>
    <dxf>
      <font>
        <b/>
        <color rgb="FFFFFFFF"/>
        <name val="Calibri"/>
        <charset val="1"/>
      </font>
      <fill>
        <patternFill>
          <bgColor rgb="FFE03131"/>
        </patternFill>
      </fill>
    </dxf>
    <dxf>
      <font>
        <b/>
        <color rgb="FFFFFFFF"/>
        <name val="Calibri"/>
        <charset val="1"/>
      </font>
      <fill>
        <patternFill>
          <bgColor rgb="FFF08C00"/>
        </patternFill>
      </fill>
    </dxf>
    <dxf>
      <font>
        <b/>
        <color rgb="FF3B3B00"/>
        <name val="Calibri"/>
        <charset val="1"/>
      </font>
      <fill>
        <patternFill>
          <bgColor rgb="FFF2C200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ont>
        <b/>
        <color rgb="FF3B3B00"/>
        <name val="Calibri"/>
        <charset val="1"/>
      </font>
      <fill>
        <patternFill>
          <bgColor rgb="FF82C91E"/>
        </patternFill>
      </fill>
    </dxf>
    <dxf>
      <font>
        <b/>
        <color rgb="FFFFFFFF"/>
        <name val="Calibri"/>
        <charset val="1"/>
      </font>
      <fill>
        <patternFill>
          <bgColor rgb="FFE03131"/>
        </patternFill>
      </fill>
    </dxf>
    <dxf>
      <font>
        <b/>
        <color rgb="FFFFFFFF"/>
        <name val="Calibri"/>
        <charset val="1"/>
      </font>
      <fill>
        <patternFill>
          <bgColor rgb="FFF08C00"/>
        </patternFill>
      </fill>
    </dxf>
    <dxf>
      <font>
        <b/>
        <color rgb="FF3B3B00"/>
        <name val="Calibri"/>
        <charset val="1"/>
      </font>
      <fill>
        <patternFill>
          <bgColor rgb="FFF2C200"/>
        </patternFill>
      </fill>
    </dxf>
    <dxf>
      <font>
        <b/>
        <color rgb="FF3B3B00"/>
        <name val="Calibri"/>
        <charset val="1"/>
      </font>
      <fill>
        <patternFill>
          <bgColor rgb="FF82C91E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ont>
        <b/>
        <color rgb="FF3B3B00"/>
        <name val="Calibri"/>
        <charset val="1"/>
      </font>
      <fill>
        <patternFill>
          <bgColor rgb="FF82C91E"/>
        </patternFill>
      </fill>
    </dxf>
    <dxf>
      <font>
        <b/>
        <color rgb="FF3B3B00"/>
        <name val="Calibri"/>
        <charset val="1"/>
      </font>
      <fill>
        <patternFill>
          <bgColor rgb="FFF2C200"/>
        </patternFill>
      </fill>
    </dxf>
    <dxf>
      <font>
        <b/>
        <color rgb="FFFFFFFF"/>
        <name val="Calibri"/>
        <charset val="1"/>
      </font>
      <fill>
        <patternFill>
          <bgColor rgb="FFF08C00"/>
        </patternFill>
      </fill>
    </dxf>
    <dxf>
      <font>
        <b/>
        <color rgb="FFFFFFFF"/>
        <name val="Calibri"/>
        <charset val="1"/>
      </font>
      <fill>
        <patternFill>
          <bgColor rgb="FFE03131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ont>
        <b/>
        <color rgb="FF3B3B00"/>
        <name val="Calibri"/>
        <charset val="1"/>
      </font>
      <fill>
        <patternFill>
          <bgColor rgb="FF82C91E"/>
        </patternFill>
      </fill>
    </dxf>
    <dxf>
      <font>
        <b/>
        <color rgb="FF3B3B00"/>
        <name val="Calibri"/>
        <charset val="1"/>
      </font>
      <fill>
        <patternFill>
          <bgColor rgb="FFF2C200"/>
        </patternFill>
      </fill>
    </dxf>
    <dxf>
      <font>
        <b/>
        <color rgb="FFFFFFFF"/>
        <name val="Calibri"/>
        <charset val="1"/>
      </font>
      <fill>
        <patternFill>
          <bgColor rgb="FFF08C00"/>
        </patternFill>
      </fill>
    </dxf>
    <dxf>
      <font>
        <b/>
        <color rgb="FFFFFFFF"/>
        <name val="Calibri"/>
        <charset val="1"/>
      </font>
      <fill>
        <patternFill>
          <bgColor rgb="FFE03131"/>
        </patternFill>
      </fill>
    </dxf>
    <dxf>
      <font>
        <b/>
        <color rgb="FFFFFFFF"/>
        <name val="Calibri"/>
        <charset val="1"/>
      </font>
      <fill>
        <patternFill>
          <bgColor rgb="FFE03131"/>
        </patternFill>
      </fill>
    </dxf>
    <dxf>
      <font>
        <b/>
        <color rgb="FFFFFFFF"/>
        <name val="Calibri"/>
        <charset val="1"/>
      </font>
      <fill>
        <patternFill>
          <bgColor rgb="FFF08C00"/>
        </patternFill>
      </fill>
    </dxf>
    <dxf>
      <font>
        <b/>
        <color rgb="FF3B3B00"/>
        <name val="Calibri"/>
        <charset val="1"/>
      </font>
      <fill>
        <patternFill>
          <bgColor rgb="FFF2C200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ont>
        <b/>
        <color rgb="FF3B3B00"/>
        <name val="Calibri"/>
        <charset val="1"/>
      </font>
      <fill>
        <patternFill>
          <bgColor rgb="FF82C91E"/>
        </patternFill>
      </fill>
    </dxf>
    <dxf>
      <font>
        <b/>
        <color rgb="FFFFFFFF"/>
        <name val="Calibri"/>
        <charset val="1"/>
      </font>
      <fill>
        <patternFill>
          <bgColor rgb="FFE03131"/>
        </patternFill>
      </fill>
    </dxf>
    <dxf>
      <font>
        <b/>
        <color rgb="FF3B3B00"/>
        <name val="Calibri"/>
        <charset val="1"/>
      </font>
      <fill>
        <patternFill>
          <bgColor rgb="FFF2C200"/>
        </patternFill>
      </fill>
    </dxf>
    <dxf>
      <font>
        <b/>
        <color rgb="FF3B3B00"/>
        <name val="Calibri"/>
        <charset val="1"/>
      </font>
      <fill>
        <patternFill>
          <bgColor rgb="FF82C91E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ont>
        <b/>
        <color rgb="FFFFFFFF"/>
        <name val="Calibri"/>
        <charset val="1"/>
      </font>
      <fill>
        <patternFill>
          <bgColor rgb="FFF08C00"/>
        </patternFill>
      </fill>
    </dxf>
    <dxf>
      <font>
        <b/>
        <color rgb="FFC92A2A"/>
        <name val="Calibri"/>
        <charset val="1"/>
      </font>
      <fill>
        <patternFill>
          <bgColor rgb="FFFFC9C9"/>
        </patternFill>
      </fill>
    </dxf>
    <dxf>
      <font>
        <b/>
        <color rgb="FFE8590C"/>
        <name val="Calibri"/>
        <charset val="1"/>
      </font>
      <fill>
        <patternFill>
          <bgColor rgb="FFFFF3BF"/>
        </patternFill>
      </fill>
    </dxf>
    <dxf>
      <font>
        <b/>
        <color rgb="FFB42318"/>
      </font>
      <fill>
        <patternFill>
          <bgColor rgb="FFFEE4E2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ill>
        <patternFill>
          <bgColor rgb="FFF8CBAD"/>
        </patternFill>
      </fill>
    </dxf>
    <dxf>
      <font>
        <b/>
        <color rgb="FFE8590C"/>
        <name val="Calibri"/>
        <charset val="1"/>
      </font>
      <fill>
        <patternFill>
          <bgColor rgb="FFFFF3BF"/>
        </patternFill>
      </fill>
    </dxf>
    <dxf>
      <font>
        <b/>
        <color rgb="FFC92A2A"/>
        <name val="Calibri"/>
        <charset val="1"/>
      </font>
      <fill>
        <patternFill>
          <bgColor rgb="FFFFC9C9"/>
        </patternFill>
      </fill>
    </dxf>
    <dxf>
      <font>
        <b/>
        <color rgb="FFB42318"/>
      </font>
      <fill>
        <patternFill>
          <bgColor rgb="FFFEE4E2"/>
        </patternFill>
      </fill>
    </dxf>
    <dxf>
      <fill>
        <patternFill>
          <bgColor rgb="FFF8CBAD"/>
        </patternFill>
      </fill>
    </dxf>
    <dxf>
      <font>
        <b/>
        <color rgb="FFB42318"/>
      </font>
      <fill>
        <patternFill>
          <bgColor rgb="FFFEE4E2"/>
        </patternFill>
      </fill>
    </dxf>
    <dxf>
      <fill>
        <patternFill>
          <bgColor rgb="FFF8CBAD"/>
        </patternFill>
      </fill>
    </dxf>
    <dxf>
      <font>
        <b/>
        <color rgb="FFC92A2A"/>
        <name val="Calibri"/>
        <charset val="1"/>
      </font>
      <fill>
        <patternFill>
          <bgColor rgb="FFFFC9C9"/>
        </patternFill>
      </fill>
    </dxf>
    <dxf>
      <fill>
        <patternFill>
          <bgColor rgb="FFFFC9C9"/>
        </patternFill>
      </fill>
    </dxf>
    <dxf>
      <font>
        <b/>
        <color rgb="FFC92A2A"/>
        <name val="Calibri"/>
        <charset val="1"/>
      </font>
      <fill>
        <patternFill>
          <bgColor rgb="FFFFC9C9"/>
        </patternFill>
      </fill>
    </dxf>
    <dxf>
      <font>
        <b/>
        <color rgb="FF9A3412"/>
      </font>
      <fill>
        <patternFill>
          <bgColor rgb="FFFFD59E"/>
        </patternFill>
      </fill>
    </dxf>
    <dxf>
      <font>
        <color rgb="FF808080"/>
      </font>
      <fill>
        <patternFill>
          <bgColor rgb="FFD9D9D9"/>
        </patternFill>
      </fill>
    </dxf>
    <dxf>
      <font>
        <i/>
        <color rgb="FF6F6A85"/>
      </font>
      <fill>
        <patternFill>
          <bgColor rgb="FFE7E4EF"/>
        </patternFill>
      </fill>
    </dxf>
    <dxf>
      <font>
        <b/>
        <color rgb="FFB42318"/>
      </font>
      <fill>
        <patternFill>
          <bgColor rgb="FFFEE4E2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ont>
        <b/>
        <color rgb="FFC92A2A"/>
        <name val="Calibri"/>
        <charset val="1"/>
      </font>
      <fill>
        <patternFill>
          <bgColor rgb="FFFFC9C9"/>
        </patternFill>
      </fill>
    </dxf>
    <dxf>
      <font>
        <b/>
        <color rgb="FFC92A2A"/>
        <name val="Calibri"/>
        <charset val="1"/>
      </font>
      <fill>
        <patternFill>
          <bgColor rgb="FFFFC9C9"/>
        </patternFill>
      </fill>
    </dxf>
    <dxf>
      <font>
        <b/>
        <color rgb="FFE8590C"/>
        <name val="Calibri"/>
        <charset val="1"/>
      </font>
      <fill>
        <patternFill>
          <bgColor rgb="FFFFF3BF"/>
        </patternFill>
      </fill>
    </dxf>
    <dxf>
      <font>
        <b/>
        <color rgb="FF2B8A3E"/>
        <name val="Calibri"/>
        <charset val="1"/>
      </font>
      <fill>
        <patternFill>
          <bgColor rgb="FFD3F9D8"/>
        </patternFill>
      </fill>
    </dxf>
    <dxf>
      <font>
        <b/>
        <color rgb="FFC92A2A"/>
        <name val="Calibri"/>
        <charset val="1"/>
      </font>
      <fill>
        <patternFill>
          <bgColor rgb="FFFFC9C9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20C70"/>
      <rgbColor rgb="FFEAEBF5"/>
      <rgbColor rgb="FFF2F2F8"/>
      <rgbColor rgb="FFFFD966"/>
      <rgbColor rgb="FFE0117F"/>
      <rgbColor rgb="FFE5F0D6"/>
      <rgbColor rgb="FFC92A2A"/>
      <rgbColor rgb="FF2E7D32"/>
      <rgbColor rgb="FF1F1B4E"/>
      <rgbColor rgb="FF73AC20"/>
      <rgbColor rgb="FFFFE0B2"/>
      <rgbColor rgb="FF595959"/>
      <rgbColor rgb="FFD9D9D9"/>
      <rgbColor rgb="FF808080"/>
      <rgbColor rgb="FFA4A4A4"/>
      <rgbColor rgb="FFA1259A"/>
      <rgbColor rgb="FFFFF2D1"/>
      <rgbColor rgb="FFD1F1F7"/>
      <rgbColor rgb="FFFFE6D1"/>
      <rgbColor rgb="FFE8590C"/>
      <rgbColor rgb="FF0890E4"/>
      <rgbColor rgb="FFD9D2E9"/>
      <rgbColor rgb="FFF4F5FA"/>
      <rgbColor rgb="FFFCD3E5"/>
      <rgbColor rgb="FFFFB902"/>
      <rgbColor rgb="FFE7E4EF"/>
      <rgbColor rgb="FFFEE4E2"/>
      <rgbColor rgb="FFE03131"/>
      <rgbColor rgb="FFF9D4E7"/>
      <rgbColor rgb="FFF2F2F7"/>
      <rgbColor rgb="FF00B3D4"/>
      <rgbColor rgb="FFDFF5F7"/>
      <rgbColor rgb="FFD3F9D8"/>
      <rgbColor rgb="FFFFF3BF"/>
      <rgbColor rgb="FFD8D8E4"/>
      <rgbColor rgb="FFFFC9C9"/>
      <rgbColor rgb="FFEED7EC"/>
      <rgbColor rgb="FFF8CBAD"/>
      <rgbColor rgb="FF6B6B7B"/>
      <rgbColor rgb="FFD2EBFA"/>
      <rgbColor rgb="FF82C91E"/>
      <rgbColor rgb="FFF2C200"/>
      <rgbColor rgb="FFF08C00"/>
      <rgbColor rgb="FFFF7600"/>
      <rgbColor rgb="FF6F6A85"/>
      <rgbColor rgb="FF8A8A99"/>
      <rgbColor rgb="FF221C5C"/>
      <rgbColor rgb="FF2B8A3E"/>
      <rgbColor rgb="FF1A1A1A"/>
      <rgbColor rgb="FF3B3B00"/>
      <rgbColor rgb="FFB42318"/>
      <rgbColor rgb="FFC0392B"/>
      <rgbColor rgb="FF322785"/>
      <rgbColor rgb="FF2E2A6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 rot="0"/>
          <a:lstStyle/>
          <a:p>
            <a:pPr>
              <a:defRPr lang="fr-FR" sz="1300" b="1" strike="noStrike" spc="-1">
                <a:solidFill>
                  <a:srgbClr val="322785"/>
                </a:solidFill>
                <a:latin typeface="Calibri"/>
              </a:defRPr>
            </a:pPr>
            <a:r>
              <a:rPr lang="fr-FR" sz="1300" b="1" strike="noStrike" spc="-1">
                <a:solidFill>
                  <a:srgbClr val="322785"/>
                </a:solidFill>
                <a:latin typeface="Calibri"/>
              </a:rPr>
              <a:t>Profil de compétences — Niveau (1 à 5)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"/>
          <c:y val="0.19"/>
          <c:w val="0.66"/>
          <c:h val="0.64"/>
        </c:manualLayout>
      </c:layout>
      <c:radarChart>
        <c:radarStyle val="marker"/>
        <c:varyColors val="0"/>
        <c:ser>
          <c:idx val="0"/>
          <c:order val="0"/>
          <c:tx>
            <c:v>Session 1</c:v>
          </c:tx>
          <c:spPr>
            <a:ln w="21960">
              <a:solidFill>
                <a:srgbClr val="322785"/>
              </a:solidFill>
              <a:round/>
            </a:ln>
          </c:spPr>
          <c:marker>
            <c:symbol val="circle"/>
            <c:size val="8"/>
            <c:spPr>
              <a:solidFill>
                <a:srgbClr val="322785"/>
              </a:solidFill>
            </c:spPr>
          </c:marker>
          <c:dPt>
            <c:idx val="0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B20B-47E2-99EA-4F7537B3D2E3}"/>
              </c:ext>
            </c:extLst>
          </c:dPt>
          <c:dPt>
            <c:idx val="1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B20B-47E2-99EA-4F7537B3D2E3}"/>
              </c:ext>
            </c:extLst>
          </c:dPt>
          <c:dPt>
            <c:idx val="2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B20B-47E2-99EA-4F7537B3D2E3}"/>
              </c:ext>
            </c:extLst>
          </c:dPt>
          <c:dPt>
            <c:idx val="3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B20B-47E2-99EA-4F7537B3D2E3}"/>
              </c:ext>
            </c:extLst>
          </c:dPt>
          <c:dPt>
            <c:idx val="4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B20B-47E2-99EA-4F7537B3D2E3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20B-47E2-99EA-4F7537B3D2E3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0B-47E2-99EA-4F7537B3D2E3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20B-47E2-99EA-4F7537B3D2E3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0B-47E2-99EA-4F7537B3D2E3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20B-47E2-99EA-4F7537B3D2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'PROFIL ELEVE'!GR_CAT</c:f>
              <c:strCache>
                <c:ptCount val="8"/>
                <c:pt idx="0">
                  <c:v>Équilibre</c:v>
                </c:pt>
                <c:pt idx="1">
                  <c:v>Souplesse</c:v>
                </c:pt>
                <c:pt idx="2">
                  <c:v>Vitesse</c:v>
                </c:pt>
                <c:pt idx="3">
                  <c:v>Endurance</c:v>
                </c:pt>
                <c:pt idx="4">
                  <c:v>Coordination</c:v>
                </c:pt>
                <c:pt idx="5">
                  <c:v>Gainage</c:v>
                </c:pt>
                <c:pt idx="6">
                  <c:v>Adresse</c:v>
                </c:pt>
                <c:pt idx="7">
                  <c:v>Force des jambes</c:v>
                </c:pt>
              </c:strCache>
            </c:strRef>
          </c:cat>
          <c:val>
            <c:numRef>
              <c:f>'PROFIL ELEVE'!GR_S1</c:f>
              <c:numCache>
                <c:formatCode>General</c:formatCode>
                <c:ptCount val="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20B-47E2-99EA-4F7537B3D2E3}"/>
            </c:ext>
          </c:extLst>
        </c:ser>
        <c:ser>
          <c:idx val="1"/>
          <c:order val="1"/>
          <c:tx>
            <c:v>Session 2</c:v>
          </c:tx>
          <c:spPr>
            <a:ln w="21960">
              <a:solidFill>
                <a:srgbClr val="FF7600"/>
              </a:solidFill>
              <a:round/>
            </a:ln>
          </c:spPr>
          <c:marker>
            <c:symbol val="circle"/>
            <c:size val="8"/>
            <c:spPr>
              <a:solidFill>
                <a:srgbClr val="FF7600"/>
              </a:solidFill>
            </c:spPr>
          </c:marker>
          <c:dPt>
            <c:idx val="0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B20B-47E2-99EA-4F7537B3D2E3}"/>
              </c:ext>
            </c:extLst>
          </c:dPt>
          <c:dPt>
            <c:idx val="1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B20B-47E2-99EA-4F7537B3D2E3}"/>
              </c:ext>
            </c:extLst>
          </c:dPt>
          <c:dPt>
            <c:idx val="2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B20B-47E2-99EA-4F7537B3D2E3}"/>
              </c:ext>
            </c:extLst>
          </c:dPt>
          <c:dPt>
            <c:idx val="3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B20B-47E2-99EA-4F7537B3D2E3}"/>
              </c:ext>
            </c:extLst>
          </c:dPt>
          <c:dPt>
            <c:idx val="4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B20B-47E2-99EA-4F7537B3D2E3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20B-47E2-99EA-4F7537B3D2E3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0B-47E2-99EA-4F7537B3D2E3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20B-47E2-99EA-4F7537B3D2E3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20B-47E2-99EA-4F7537B3D2E3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20B-47E2-99EA-4F7537B3D2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'PROFIL ELEVE'!GR_CAT</c:f>
              <c:strCache>
                <c:ptCount val="8"/>
                <c:pt idx="0">
                  <c:v>Équilibre</c:v>
                </c:pt>
                <c:pt idx="1">
                  <c:v>Souplesse</c:v>
                </c:pt>
                <c:pt idx="2">
                  <c:v>Vitesse</c:v>
                </c:pt>
                <c:pt idx="3">
                  <c:v>Endurance</c:v>
                </c:pt>
                <c:pt idx="4">
                  <c:v>Coordination</c:v>
                </c:pt>
                <c:pt idx="5">
                  <c:v>Gainage</c:v>
                </c:pt>
                <c:pt idx="6">
                  <c:v>Adresse</c:v>
                </c:pt>
                <c:pt idx="7">
                  <c:v>Force des jambes</c:v>
                </c:pt>
              </c:strCache>
            </c:strRef>
          </c:cat>
          <c:val>
            <c:numRef>
              <c:f>'PROFIL ELEVE'!GR_S2</c:f>
              <c:numCache>
                <c:formatCode>General</c:formatCode>
                <c:ptCount val="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20B-47E2-99EA-4F7537B3D2E3}"/>
            </c:ext>
          </c:extLst>
        </c:ser>
        <c:ser>
          <c:idx val="2"/>
          <c:order val="2"/>
          <c:tx>
            <c:v>Moy. niveau scolaire</c:v>
          </c:tx>
          <c:spPr>
            <a:ln w="19080">
              <a:solidFill>
                <a:srgbClr val="999999"/>
              </a:solidFill>
              <a:prstDash val="dash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'PROFIL ELEVE'!GR_CAT</c:f>
              <c:strCache>
                <c:ptCount val="8"/>
                <c:pt idx="0">
                  <c:v>Équilibre</c:v>
                </c:pt>
                <c:pt idx="1">
                  <c:v>Souplesse</c:v>
                </c:pt>
                <c:pt idx="2">
                  <c:v>Vitesse</c:v>
                </c:pt>
                <c:pt idx="3">
                  <c:v>Endurance</c:v>
                </c:pt>
                <c:pt idx="4">
                  <c:v>Coordination</c:v>
                </c:pt>
                <c:pt idx="5">
                  <c:v>Gainage</c:v>
                </c:pt>
                <c:pt idx="6">
                  <c:v>Adresse</c:v>
                </c:pt>
                <c:pt idx="7">
                  <c:v>Force des jambes</c:v>
                </c:pt>
              </c:strCache>
            </c:strRef>
          </c:cat>
          <c:val>
            <c:numRef>
              <c:f>'PROFIL ELEVE'!GR_MOY</c:f>
              <c:numCache>
                <c:formatCode>General</c:formatCode>
                <c:ptCount val="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20B-47E2-99EA-4F7537B3D2E3}"/>
            </c:ext>
          </c:extLst>
        </c:ser>
        <c:ser>
          <c:idx val="3"/>
          <c:order val="3"/>
          <c:tx>
            <c:v>Étiquettes</c:v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F20C7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20B-47E2-99EA-4F7537B3D2E3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FF76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20B-47E2-99EA-4F7537B3D2E3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73AC2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20B-47E2-99EA-4F7537B3D2E3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00B3D4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20B-47E2-99EA-4F7537B3D2E3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A1259A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20B-47E2-99EA-4F7537B3D2E3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FFB902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20B-47E2-99EA-4F7537B3D2E3}"/>
                </c:ext>
              </c:extLst>
            </c:dLbl>
            <c:dLbl>
              <c:idx val="6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0890E4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20B-47E2-99EA-4F7537B3D2E3}"/>
                </c:ext>
              </c:extLst>
            </c:dLbl>
            <c:dLbl>
              <c:idx val="7"/>
              <c:tx>
                <c:rich>
                  <a:bodyPr wrap="square" anchor="ctr"/>
                  <a:lstStyle/>
                  <a:p>
                    <a:pPr algn="ctr">
                      <a:defRPr sz="1000" b="1" strike="noStrike" spc="-1">
                        <a:solidFill>
                          <a:srgbClr val="E0117F"/>
                        </a:solidFill>
                        <a:latin typeface="Calibri"/>
                      </a:defRPr>
                    </a:pPr>
                    <a:r>
                      <a:rPr lang="en-US" sz="1000" b="1" strike="noStrike" spc="-1">
                        <a:solidFill>
                          <a:srgbClr val="E0117F"/>
                        </a:solidFill>
                        <a:latin typeface="Calibri"/>
                      </a:rPr>
                      <a:t>Force des</a:t>
                    </a:r>
                  </a:p>
                  <a:p>
                    <a:pPr algn="ctr">
                      <a:defRPr sz="1000" b="1" strike="noStrike" spc="-1">
                        <a:solidFill>
                          <a:srgbClr val="E0117F"/>
                        </a:solidFill>
                        <a:latin typeface="Calibri"/>
                      </a:defRPr>
                    </a:pPr>
                    <a:r>
                      <a:rPr lang="en-US" sz="1000" b="1" strike="noStrike" spc="-1">
                        <a:solidFill>
                          <a:srgbClr val="E0117F"/>
                        </a:solidFill>
                        <a:latin typeface="Calibri"/>
                      </a:rPr>
                      <a:t>jambes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4-B20B-47E2-99EA-4F7537B3D2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1" strike="noStrike" spc="-1">
                    <a:solidFill>
                      <a:srgbClr val="322785"/>
                    </a:solidFill>
                    <a:latin typeface="Calibri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'PROFIL ELEVE'!GR_CAT</c:f>
              <c:strCache>
                <c:ptCount val="8"/>
                <c:pt idx="0">
                  <c:v>Équilibre</c:v>
                </c:pt>
                <c:pt idx="1">
                  <c:v>Souplesse</c:v>
                </c:pt>
                <c:pt idx="2">
                  <c:v>Vitesse</c:v>
                </c:pt>
                <c:pt idx="3">
                  <c:v>Endurance</c:v>
                </c:pt>
                <c:pt idx="4">
                  <c:v>Coordination</c:v>
                </c:pt>
                <c:pt idx="5">
                  <c:v>Gainage</c:v>
                </c:pt>
                <c:pt idx="6">
                  <c:v>Adresse</c:v>
                </c:pt>
                <c:pt idx="7">
                  <c:v>Force des jambes</c:v>
                </c:pt>
              </c:strCache>
            </c:strRef>
          </c:cat>
          <c:val>
            <c:numRef>
              <c:f>'PROFIL ELEVE'!GR_LBL</c:f>
              <c:numCache>
                <c:formatCode>General</c:formatCode>
                <c:ptCount val="8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B20B-47E2-99EA-4F7537B3D2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236530"/>
        <c:axId val="90478450"/>
      </c:radarChart>
      <c:catAx>
        <c:axId val="7323653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360">
            <a:noFill/>
          </a:ln>
        </c:spPr>
        <c:txPr>
          <a:bodyPr/>
          <a:lstStyle/>
          <a:p>
            <a:pPr>
              <a:defRPr sz="1000" b="1" strike="noStrike" spc="-1">
                <a:solidFill>
                  <a:srgbClr val="322785"/>
                </a:solidFill>
                <a:latin typeface="Calibri"/>
              </a:defRPr>
            </a:pPr>
            <a:endParaRPr lang="fr-FR"/>
          </a:p>
        </c:txPr>
        <c:crossAx val="90478450"/>
        <c:crosses val="autoZero"/>
        <c:auto val="1"/>
        <c:lblAlgn val="ctr"/>
        <c:lblOffset val="100"/>
        <c:noMultiLvlLbl val="0"/>
      </c:catAx>
      <c:valAx>
        <c:axId val="90478450"/>
        <c:scaling>
          <c:orientation val="minMax"/>
          <c:max val="5.5"/>
          <c:min val="0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73236530"/>
        <c:crosses val="autoZero"/>
        <c:crossBetween val="midCat"/>
        <c:majorUnit val="1"/>
      </c:valAx>
      <c:spPr>
        <a:noFill/>
        <a:ln w="0">
          <a:noFill/>
        </a:ln>
      </c:spPr>
    </c:plotArea>
    <c:legend>
      <c:legendPos val="b"/>
      <c:legendEntry>
        <c:idx val="3"/>
        <c:delete val="1"/>
      </c:legendEntry>
      <c:overlay val="0"/>
      <c:spPr>
        <a:noFill/>
        <a:ln w="0">
          <a:noFill/>
        </a:ln>
      </c:spPr>
      <c:txPr>
        <a:bodyPr/>
        <a:lstStyle/>
        <a:p>
          <a:pPr>
            <a:defRPr sz="1050" b="1" strike="noStrike" spc="-1">
              <a:solidFill>
                <a:srgbClr val="595959"/>
              </a:solidFill>
              <a:latin typeface="Calibri"/>
            </a:defRPr>
          </a:pPr>
          <a:endParaRPr lang="fr-FR"/>
        </a:p>
      </c:txPr>
    </c:legend>
    <c:plotVisOnly val="0"/>
    <c:dispBlanksAs val="gap"/>
    <c:showDLblsOverMax val="1"/>
  </c:chart>
  <c:spPr>
    <a:solidFill>
      <a:srgbClr val="FFFFFF"/>
    </a:solidFill>
    <a:ln w="9360"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 rot="0"/>
          <a:lstStyle/>
          <a:p>
            <a:pPr>
              <a:defRPr lang="fr-FR" sz="1300" b="1" strike="noStrike" spc="-1">
                <a:solidFill>
                  <a:srgbClr val="322785"/>
                </a:solidFill>
                <a:latin typeface="Calibri"/>
              </a:defRPr>
            </a:pPr>
            <a:r>
              <a:rPr lang="fr-FR" sz="1300" b="1" strike="noStrike" spc="-1">
                <a:solidFill>
                  <a:srgbClr val="322785"/>
                </a:solidFill>
                <a:latin typeface="Calibri"/>
              </a:rPr>
              <a:t>Profil de compétences — Niveau (1 à 5)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"/>
          <c:y val="0.19"/>
          <c:w val="0.66"/>
          <c:h val="0.57999999999999996"/>
        </c:manualLayout>
      </c:layout>
      <c:radarChart>
        <c:radarStyle val="marker"/>
        <c:varyColors val="0"/>
        <c:ser>
          <c:idx val="0"/>
          <c:order val="0"/>
          <c:tx>
            <c:v>Session 1</c:v>
          </c:tx>
          <c:spPr>
            <a:ln w="21960">
              <a:solidFill>
                <a:srgbClr val="322785"/>
              </a:solidFill>
              <a:round/>
            </a:ln>
          </c:spPr>
          <c:marker>
            <c:symbol val="circle"/>
            <c:size val="8"/>
            <c:spPr>
              <a:solidFill>
                <a:srgbClr val="322785"/>
              </a:solidFill>
            </c:spPr>
          </c:marker>
          <c:dPt>
            <c:idx val="0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C514-4DEE-8A8D-53388E14F24F}"/>
              </c:ext>
            </c:extLst>
          </c:dPt>
          <c:dPt>
            <c:idx val="1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C514-4DEE-8A8D-53388E14F24F}"/>
              </c:ext>
            </c:extLst>
          </c:dPt>
          <c:dPt>
            <c:idx val="2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C514-4DEE-8A8D-53388E14F24F}"/>
              </c:ext>
            </c:extLst>
          </c:dPt>
          <c:dPt>
            <c:idx val="3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C514-4DEE-8A8D-53388E14F24F}"/>
              </c:ext>
            </c:extLst>
          </c:dPt>
          <c:dPt>
            <c:idx val="4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C514-4DEE-8A8D-53388E14F24F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514-4DEE-8A8D-53388E14F24F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514-4DEE-8A8D-53388E14F24F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514-4DEE-8A8D-53388E14F24F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514-4DEE-8A8D-53388E14F24F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514-4DEE-8A8D-53388E14F2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'FICHE PARENTS'!GR_CAT</c:f>
              <c:strCache>
                <c:ptCount val="8"/>
                <c:pt idx="0">
                  <c:v>Équilibre</c:v>
                </c:pt>
                <c:pt idx="1">
                  <c:v>Souplesse</c:v>
                </c:pt>
                <c:pt idx="2">
                  <c:v>Vitesse</c:v>
                </c:pt>
                <c:pt idx="3">
                  <c:v>Endurance</c:v>
                </c:pt>
                <c:pt idx="4">
                  <c:v>Coordination</c:v>
                </c:pt>
                <c:pt idx="5">
                  <c:v>Gainage</c:v>
                </c:pt>
                <c:pt idx="6">
                  <c:v>Adresse</c:v>
                </c:pt>
                <c:pt idx="7">
                  <c:v>Force des jambes</c:v>
                </c:pt>
              </c:strCache>
            </c:strRef>
          </c:cat>
          <c:val>
            <c:numRef>
              <c:f>'FICHE PARENTS'!GR_S1</c:f>
              <c:numCache>
                <c:formatCode>General</c:formatCode>
                <c:ptCount val="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514-4DEE-8A8D-53388E14F24F}"/>
            </c:ext>
          </c:extLst>
        </c:ser>
        <c:ser>
          <c:idx val="1"/>
          <c:order val="1"/>
          <c:tx>
            <c:v>Session 2</c:v>
          </c:tx>
          <c:spPr>
            <a:ln w="21960">
              <a:solidFill>
                <a:srgbClr val="FF7600"/>
              </a:solidFill>
              <a:round/>
            </a:ln>
          </c:spPr>
          <c:marker>
            <c:symbol val="circle"/>
            <c:size val="8"/>
            <c:spPr>
              <a:solidFill>
                <a:srgbClr val="FF7600"/>
              </a:solidFill>
            </c:spPr>
          </c:marker>
          <c:dPt>
            <c:idx val="0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C514-4DEE-8A8D-53388E14F24F}"/>
              </c:ext>
            </c:extLst>
          </c:dPt>
          <c:dPt>
            <c:idx val="1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C514-4DEE-8A8D-53388E14F24F}"/>
              </c:ext>
            </c:extLst>
          </c:dPt>
          <c:dPt>
            <c:idx val="2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C514-4DEE-8A8D-53388E14F24F}"/>
              </c:ext>
            </c:extLst>
          </c:dPt>
          <c:dPt>
            <c:idx val="3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C514-4DEE-8A8D-53388E14F24F}"/>
              </c:ext>
            </c:extLst>
          </c:dPt>
          <c:dPt>
            <c:idx val="4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C514-4DEE-8A8D-53388E14F24F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514-4DEE-8A8D-53388E14F24F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514-4DEE-8A8D-53388E14F24F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514-4DEE-8A8D-53388E14F24F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514-4DEE-8A8D-53388E14F24F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514-4DEE-8A8D-53388E14F2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'FICHE PARENTS'!GR_CAT</c:f>
              <c:strCache>
                <c:ptCount val="8"/>
                <c:pt idx="0">
                  <c:v>Équilibre</c:v>
                </c:pt>
                <c:pt idx="1">
                  <c:v>Souplesse</c:v>
                </c:pt>
                <c:pt idx="2">
                  <c:v>Vitesse</c:v>
                </c:pt>
                <c:pt idx="3">
                  <c:v>Endurance</c:v>
                </c:pt>
                <c:pt idx="4">
                  <c:v>Coordination</c:v>
                </c:pt>
                <c:pt idx="5">
                  <c:v>Gainage</c:v>
                </c:pt>
                <c:pt idx="6">
                  <c:v>Adresse</c:v>
                </c:pt>
                <c:pt idx="7">
                  <c:v>Force des jambes</c:v>
                </c:pt>
              </c:strCache>
            </c:strRef>
          </c:cat>
          <c:val>
            <c:numRef>
              <c:f>'FICHE PARENTS'!GR_S2</c:f>
              <c:numCache>
                <c:formatCode>General</c:formatCode>
                <c:ptCount val="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514-4DEE-8A8D-53388E14F24F}"/>
            </c:ext>
          </c:extLst>
        </c:ser>
        <c:ser>
          <c:idx val="2"/>
          <c:order val="2"/>
          <c:tx>
            <c:v>Moy. niveau scolaire</c:v>
          </c:tx>
          <c:spPr>
            <a:ln w="19080">
              <a:solidFill>
                <a:srgbClr val="999999"/>
              </a:solidFill>
              <a:prstDash val="dash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'FICHE PARENTS'!GR_CAT</c:f>
              <c:strCache>
                <c:ptCount val="8"/>
                <c:pt idx="0">
                  <c:v>Équilibre</c:v>
                </c:pt>
                <c:pt idx="1">
                  <c:v>Souplesse</c:v>
                </c:pt>
                <c:pt idx="2">
                  <c:v>Vitesse</c:v>
                </c:pt>
                <c:pt idx="3">
                  <c:v>Endurance</c:v>
                </c:pt>
                <c:pt idx="4">
                  <c:v>Coordination</c:v>
                </c:pt>
                <c:pt idx="5">
                  <c:v>Gainage</c:v>
                </c:pt>
                <c:pt idx="6">
                  <c:v>Adresse</c:v>
                </c:pt>
                <c:pt idx="7">
                  <c:v>Force des jambes</c:v>
                </c:pt>
              </c:strCache>
            </c:strRef>
          </c:cat>
          <c:val>
            <c:numRef>
              <c:f>'FICHE PARENTS'!GR_MOY</c:f>
              <c:numCache>
                <c:formatCode>General</c:formatCode>
                <c:ptCount val="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514-4DEE-8A8D-53388E14F24F}"/>
            </c:ext>
          </c:extLst>
        </c:ser>
        <c:ser>
          <c:idx val="3"/>
          <c:order val="3"/>
          <c:tx>
            <c:v>Étiquettes</c:v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F20C7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514-4DEE-8A8D-53388E14F24F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FF76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514-4DEE-8A8D-53388E14F24F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73AC2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514-4DEE-8A8D-53388E14F24F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00B3D4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514-4DEE-8A8D-53388E14F24F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A1259A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514-4DEE-8A8D-53388E14F24F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FFB902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C514-4DEE-8A8D-53388E14F24F}"/>
                </c:ext>
              </c:extLst>
            </c:dLbl>
            <c:dLbl>
              <c:idx val="6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0890E4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C514-4DEE-8A8D-53388E14F24F}"/>
                </c:ext>
              </c:extLst>
            </c:dLbl>
            <c:dLbl>
              <c:idx val="7"/>
              <c:tx>
                <c:rich>
                  <a:bodyPr wrap="square" anchor="ctr"/>
                  <a:lstStyle/>
                  <a:p>
                    <a:pPr algn="ctr">
                      <a:defRPr sz="1000" b="1" strike="noStrike" spc="-1">
                        <a:solidFill>
                          <a:srgbClr val="E0117F"/>
                        </a:solidFill>
                        <a:latin typeface="Calibri"/>
                      </a:defRPr>
                    </a:pPr>
                    <a:r>
                      <a:rPr lang="fr-FR" sz="1000" b="1" strike="noStrike" spc="-1">
                        <a:solidFill>
                          <a:srgbClr val="E0117F"/>
                        </a:solidFill>
                        <a:latin typeface="Calibri"/>
                      </a:rPr>
                      <a:t>Force des</a:t>
                    </a:r>
                  </a:p>
                  <a:p>
                    <a:pPr algn="ctr">
                      <a:defRPr sz="1000" b="1" strike="noStrike" spc="-1">
                        <a:solidFill>
                          <a:srgbClr val="E0117F"/>
                        </a:solidFill>
                        <a:latin typeface="Calibri"/>
                      </a:defRPr>
                    </a:pPr>
                    <a:r>
                      <a:rPr lang="fr-FR" sz="1000" b="1" strike="noStrike" spc="-1">
                        <a:solidFill>
                          <a:srgbClr val="E0117F"/>
                        </a:solidFill>
                        <a:latin typeface="Calibri"/>
                      </a:rPr>
                      <a:t>jambes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4-C514-4DEE-8A8D-53388E14F2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1" strike="noStrike" spc="-1">
                    <a:solidFill>
                      <a:srgbClr val="322785"/>
                    </a:solidFill>
                    <a:latin typeface="Calibri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'FICHE PARENTS'!GR_CAT</c:f>
              <c:strCache>
                <c:ptCount val="8"/>
                <c:pt idx="0">
                  <c:v>Équilibre</c:v>
                </c:pt>
                <c:pt idx="1">
                  <c:v>Souplesse</c:v>
                </c:pt>
                <c:pt idx="2">
                  <c:v>Vitesse</c:v>
                </c:pt>
                <c:pt idx="3">
                  <c:v>Endurance</c:v>
                </c:pt>
                <c:pt idx="4">
                  <c:v>Coordination</c:v>
                </c:pt>
                <c:pt idx="5">
                  <c:v>Gainage</c:v>
                </c:pt>
                <c:pt idx="6">
                  <c:v>Adresse</c:v>
                </c:pt>
                <c:pt idx="7">
                  <c:v>Force des jambes</c:v>
                </c:pt>
              </c:strCache>
            </c:strRef>
          </c:cat>
          <c:val>
            <c:numRef>
              <c:f>'PROFIL ELEVE'!GR_LBL</c:f>
              <c:numCache>
                <c:formatCode>General</c:formatCode>
                <c:ptCount val="8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C514-4DEE-8A8D-53388E14F2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399112"/>
        <c:axId val="57217081"/>
      </c:radarChart>
      <c:catAx>
        <c:axId val="813991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360">
            <a:noFill/>
          </a:ln>
        </c:spPr>
        <c:txPr>
          <a:bodyPr/>
          <a:lstStyle/>
          <a:p>
            <a:pPr>
              <a:defRPr sz="1000" b="1" strike="noStrike" spc="-1">
                <a:solidFill>
                  <a:srgbClr val="322785"/>
                </a:solidFill>
                <a:latin typeface="Calibri"/>
              </a:defRPr>
            </a:pPr>
            <a:endParaRPr lang="fr-FR"/>
          </a:p>
        </c:txPr>
        <c:crossAx val="57217081"/>
        <c:crosses val="autoZero"/>
        <c:auto val="1"/>
        <c:lblAlgn val="ctr"/>
        <c:lblOffset val="100"/>
        <c:noMultiLvlLbl val="0"/>
      </c:catAx>
      <c:valAx>
        <c:axId val="57217081"/>
        <c:scaling>
          <c:orientation val="minMax"/>
          <c:max val="5.5"/>
          <c:min val="0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81399112"/>
        <c:crosses val="autoZero"/>
        <c:crossBetween val="midCat"/>
        <c:majorUnit val="1"/>
      </c:valAx>
      <c:spPr>
        <a:noFill/>
        <a:ln w="0">
          <a:noFill/>
        </a:ln>
      </c:spPr>
    </c:plotArea>
    <c:legend>
      <c:legendPos val="b"/>
      <c:legendEntry>
        <c:idx val="3"/>
        <c:delete val="1"/>
      </c:legendEntry>
      <c:overlay val="0"/>
      <c:spPr>
        <a:noFill/>
        <a:ln w="0">
          <a:noFill/>
        </a:ln>
      </c:spPr>
      <c:txPr>
        <a:bodyPr/>
        <a:lstStyle/>
        <a:p>
          <a:pPr>
            <a:defRPr sz="1050" b="1" strike="noStrike" spc="-1">
              <a:solidFill>
                <a:srgbClr val="595959"/>
              </a:solidFill>
              <a:latin typeface="Calibri"/>
            </a:defRPr>
          </a:pPr>
          <a:endParaRPr lang="fr-FR"/>
        </a:p>
      </c:txPr>
    </c:legend>
    <c:plotVisOnly val="0"/>
    <c:dispBlanksAs val="gap"/>
    <c:showDLblsOverMax val="1"/>
  </c:chart>
  <c:spPr>
    <a:solidFill>
      <a:srgbClr val="FFFFFF"/>
    </a:solidFill>
    <a:ln w="9360"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 rot="0"/>
          <a:lstStyle/>
          <a:p>
            <a:pPr>
              <a:defRPr sz="1300" b="1" strike="noStrike" spc="-1">
                <a:solidFill>
                  <a:srgbClr val="322785"/>
                </a:solidFill>
                <a:latin typeface="Calibri"/>
              </a:defRPr>
            </a:pPr>
            <a:r>
              <a:rPr sz="1300" b="1" strike="noStrike" spc="-1">
                <a:solidFill>
                  <a:srgbClr val="322785"/>
                </a:solidFill>
                <a:latin typeface="Calibri"/>
              </a:rPr>
              <a:t>Radar Niveau — Niveau UGSEL moyen (S1 vs S2)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"/>
          <c:y val="0.22"/>
          <c:w val="0.66"/>
          <c:h val="0.55000000000000004"/>
        </c:manualLayout>
      </c:layout>
      <c:radarChart>
        <c:radarStyle val="marker"/>
        <c:varyColors val="0"/>
        <c:ser>
          <c:idx val="0"/>
          <c:order val="0"/>
          <c:tx>
            <c:v>Session 1</c:v>
          </c:tx>
          <c:spPr>
            <a:ln w="21960">
              <a:solidFill>
                <a:srgbClr val="322785"/>
              </a:solidFill>
              <a:round/>
            </a:ln>
          </c:spPr>
          <c:marker>
            <c:symbol val="circle"/>
            <c:size val="8"/>
            <c:spPr>
              <a:solidFill>
                <a:srgbClr val="322785"/>
              </a:solidFill>
            </c:spPr>
          </c:marker>
          <c:dPt>
            <c:idx val="0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74A9-4853-AE4A-85A3C2012E10}"/>
              </c:ext>
            </c:extLst>
          </c:dPt>
          <c:dPt>
            <c:idx val="1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74A9-4853-AE4A-85A3C2012E10}"/>
              </c:ext>
            </c:extLst>
          </c:dPt>
          <c:dPt>
            <c:idx val="2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74A9-4853-AE4A-85A3C2012E10}"/>
              </c:ext>
            </c:extLst>
          </c:dPt>
          <c:dPt>
            <c:idx val="3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74A9-4853-AE4A-85A3C2012E10}"/>
              </c:ext>
            </c:extLst>
          </c:dPt>
          <c:dPt>
            <c:idx val="4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74A9-4853-AE4A-85A3C2012E10}"/>
              </c:ext>
            </c:extLst>
          </c:dPt>
          <c:dPt>
            <c:idx val="5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74A9-4853-AE4A-85A3C2012E10}"/>
              </c:ext>
            </c:extLst>
          </c:dPt>
          <c:dPt>
            <c:idx val="6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74A9-4853-AE4A-85A3C2012E10}"/>
              </c:ext>
            </c:extLst>
          </c:dPt>
          <c:dPt>
            <c:idx val="7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74A9-4853-AE4A-85A3C2012E10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4A9-4853-AE4A-85A3C2012E10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4A9-4853-AE4A-85A3C2012E10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4A9-4853-AE4A-85A3C2012E10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4A9-4853-AE4A-85A3C2012E10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4A9-4853-AE4A-85A3C2012E10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4A9-4853-AE4A-85A3C2012E10}"/>
                </c:ext>
              </c:extLst>
            </c:dLbl>
            <c:dLbl>
              <c:idx val="6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4A9-4853-AE4A-85A3C2012E10}"/>
                </c:ext>
              </c:extLst>
            </c:dLbl>
            <c:dLbl>
              <c:idx val="7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4A9-4853-AE4A-85A3C2012E1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'STATS NIVEAU'!GR_CAT</c:f>
              <c:strCache>
                <c:ptCount val="8"/>
                <c:pt idx="0">
                  <c:v>Équilibre</c:v>
                </c:pt>
                <c:pt idx="1">
                  <c:v>Souplesse</c:v>
                </c:pt>
                <c:pt idx="2">
                  <c:v>Vitesse</c:v>
                </c:pt>
                <c:pt idx="3">
                  <c:v>Endurance</c:v>
                </c:pt>
                <c:pt idx="4">
                  <c:v>Coordination</c:v>
                </c:pt>
                <c:pt idx="5">
                  <c:v>Gainage</c:v>
                </c:pt>
                <c:pt idx="6">
                  <c:v>Adresse</c:v>
                </c:pt>
                <c:pt idx="7">
                  <c:v>Force des jambes</c:v>
                </c:pt>
              </c:strCache>
            </c:strRef>
          </c:cat>
          <c:val>
            <c:numRef>
              <c:f>'STATS NIVEAU'!GR_S1</c:f>
              <c:numCache>
                <c:formatCode>General</c:formatCode>
                <c:ptCount val="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4A9-4853-AE4A-85A3C2012E10}"/>
            </c:ext>
          </c:extLst>
        </c:ser>
        <c:ser>
          <c:idx val="1"/>
          <c:order val="1"/>
          <c:tx>
            <c:v>Session 2</c:v>
          </c:tx>
          <c:spPr>
            <a:ln w="21960">
              <a:solidFill>
                <a:srgbClr val="FF7600"/>
              </a:solidFill>
              <a:round/>
            </a:ln>
          </c:spPr>
          <c:marker>
            <c:symbol val="circle"/>
            <c:size val="8"/>
            <c:spPr>
              <a:solidFill>
                <a:srgbClr val="FF7600"/>
              </a:solidFill>
            </c:spPr>
          </c:marker>
          <c:dPt>
            <c:idx val="0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74A9-4853-AE4A-85A3C2012E10}"/>
              </c:ext>
            </c:extLst>
          </c:dPt>
          <c:dPt>
            <c:idx val="1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74A9-4853-AE4A-85A3C2012E10}"/>
              </c:ext>
            </c:extLst>
          </c:dPt>
          <c:dPt>
            <c:idx val="2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4A9-4853-AE4A-85A3C2012E10}"/>
              </c:ext>
            </c:extLst>
          </c:dPt>
          <c:dPt>
            <c:idx val="3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4A9-4853-AE4A-85A3C2012E10}"/>
              </c:ext>
            </c:extLst>
          </c:dPt>
          <c:dPt>
            <c:idx val="4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4A9-4853-AE4A-85A3C2012E10}"/>
              </c:ext>
            </c:extLst>
          </c:dPt>
          <c:dPt>
            <c:idx val="5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4A9-4853-AE4A-85A3C2012E10}"/>
              </c:ext>
            </c:extLst>
          </c:dPt>
          <c:dPt>
            <c:idx val="6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4A9-4853-AE4A-85A3C2012E10}"/>
              </c:ext>
            </c:extLst>
          </c:dPt>
          <c:dPt>
            <c:idx val="7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4A9-4853-AE4A-85A3C2012E10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4A9-4853-AE4A-85A3C2012E10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4A9-4853-AE4A-85A3C2012E10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4A9-4853-AE4A-85A3C2012E10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4A9-4853-AE4A-85A3C2012E10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4A9-4853-AE4A-85A3C2012E10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4A9-4853-AE4A-85A3C2012E10}"/>
                </c:ext>
              </c:extLst>
            </c:dLbl>
            <c:dLbl>
              <c:idx val="6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4A9-4853-AE4A-85A3C2012E10}"/>
                </c:ext>
              </c:extLst>
            </c:dLbl>
            <c:dLbl>
              <c:idx val="7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74A9-4853-AE4A-85A3C2012E1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'STATS NIVEAU'!GR_CAT</c:f>
              <c:strCache>
                <c:ptCount val="8"/>
                <c:pt idx="0">
                  <c:v>Équilibre</c:v>
                </c:pt>
                <c:pt idx="1">
                  <c:v>Souplesse</c:v>
                </c:pt>
                <c:pt idx="2">
                  <c:v>Vitesse</c:v>
                </c:pt>
                <c:pt idx="3">
                  <c:v>Endurance</c:v>
                </c:pt>
                <c:pt idx="4">
                  <c:v>Coordination</c:v>
                </c:pt>
                <c:pt idx="5">
                  <c:v>Gainage</c:v>
                </c:pt>
                <c:pt idx="6">
                  <c:v>Adresse</c:v>
                </c:pt>
                <c:pt idx="7">
                  <c:v>Force des jambes</c:v>
                </c:pt>
              </c:strCache>
            </c:strRef>
          </c:cat>
          <c:val>
            <c:numRef>
              <c:f>'STATS NIVEAU'!GR_S2</c:f>
              <c:numCache>
                <c:formatCode>General</c:formatCode>
                <c:ptCount val="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4A9-4853-AE4A-85A3C2012E10}"/>
            </c:ext>
          </c:extLst>
        </c:ser>
        <c:ser>
          <c:idx val="2"/>
          <c:order val="2"/>
          <c:tx>
            <c:v>Étiquettes</c:v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F20C7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4A9-4853-AE4A-85A3C2012E10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FF76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74A9-4853-AE4A-85A3C2012E10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73AC2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74A9-4853-AE4A-85A3C2012E10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00B3D4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74A9-4853-AE4A-85A3C2012E10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A1259A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74A9-4853-AE4A-85A3C2012E10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FFB902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4A9-4853-AE4A-85A3C2012E10}"/>
                </c:ext>
              </c:extLst>
            </c:dLbl>
            <c:dLbl>
              <c:idx val="6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0890E4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74A9-4853-AE4A-85A3C2012E10}"/>
                </c:ext>
              </c:extLst>
            </c:dLbl>
            <c:dLbl>
              <c:idx val="7"/>
              <c:tx>
                <c:rich>
                  <a:bodyPr wrap="square" anchor="ctr"/>
                  <a:lstStyle/>
                  <a:p>
                    <a:pPr algn="ctr">
                      <a:defRPr sz="1000" b="1" strike="noStrike" spc="-1">
                        <a:solidFill>
                          <a:srgbClr val="E0117F"/>
                        </a:solidFill>
                        <a:latin typeface="Calibri"/>
                      </a:defRPr>
                    </a:pPr>
                    <a:r>
                      <a:rPr sz="1000" b="1" strike="noStrike" spc="-1">
                        <a:solidFill>
                          <a:srgbClr val="E0117F"/>
                        </a:solidFill>
                        <a:latin typeface="Calibri"/>
                      </a:rPr>
                      <a:t>Force des</a:t>
                    </a:r>
                  </a:p>
                  <a:p>
                    <a:pPr algn="ctr">
                      <a:defRPr sz="1000" b="1" strike="noStrike" spc="-1">
                        <a:solidFill>
                          <a:srgbClr val="E0117F"/>
                        </a:solidFill>
                        <a:latin typeface="Calibri"/>
                      </a:defRPr>
                    </a:pPr>
                    <a:r>
                      <a:rPr sz="1000" b="1" strike="noStrike" spc="-1">
                        <a:solidFill>
                          <a:srgbClr val="E0117F"/>
                        </a:solidFill>
                        <a:latin typeface="Calibri"/>
                      </a:rPr>
                      <a:t>jambes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9-74A9-4853-AE4A-85A3C2012E1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1" strike="noStrike" spc="-1">
                    <a:solidFill>
                      <a:srgbClr val="322785"/>
                    </a:solidFill>
                    <a:latin typeface="Calibri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'STATS NIVEAU'!GR_CAT</c:f>
              <c:strCache>
                <c:ptCount val="8"/>
                <c:pt idx="0">
                  <c:v>Équilibre</c:v>
                </c:pt>
                <c:pt idx="1">
                  <c:v>Souplesse</c:v>
                </c:pt>
                <c:pt idx="2">
                  <c:v>Vitesse</c:v>
                </c:pt>
                <c:pt idx="3">
                  <c:v>Endurance</c:v>
                </c:pt>
                <c:pt idx="4">
                  <c:v>Coordination</c:v>
                </c:pt>
                <c:pt idx="5">
                  <c:v>Gainage</c:v>
                </c:pt>
                <c:pt idx="6">
                  <c:v>Adresse</c:v>
                </c:pt>
                <c:pt idx="7">
                  <c:v>Force des jambes</c:v>
                </c:pt>
              </c:strCache>
            </c:strRef>
          </c:cat>
          <c:val>
            <c:numRef>
              <c:f>'STATS NIVEAU'!GR_LBL</c:f>
              <c:numCache>
                <c:formatCode>General</c:formatCode>
                <c:ptCount val="8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74A9-4853-AE4A-85A3C2012E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227296"/>
        <c:axId val="56613730"/>
      </c:radarChart>
      <c:catAx>
        <c:axId val="862272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360">
            <a:noFill/>
          </a:ln>
        </c:spPr>
        <c:txPr>
          <a:bodyPr/>
          <a:lstStyle/>
          <a:p>
            <a:pPr>
              <a:defRPr sz="1000" b="1" strike="noStrike" spc="-1">
                <a:solidFill>
                  <a:srgbClr val="322785"/>
                </a:solidFill>
                <a:latin typeface="Calibri"/>
              </a:defRPr>
            </a:pPr>
            <a:endParaRPr lang="fr-FR"/>
          </a:p>
        </c:txPr>
        <c:crossAx val="56613730"/>
        <c:crosses val="autoZero"/>
        <c:auto val="1"/>
        <c:lblAlgn val="ctr"/>
        <c:lblOffset val="100"/>
        <c:noMultiLvlLbl val="0"/>
      </c:catAx>
      <c:valAx>
        <c:axId val="56613730"/>
        <c:scaling>
          <c:orientation val="minMax"/>
          <c:max val="5"/>
          <c:min val="0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86227296"/>
        <c:crosses val="autoZero"/>
        <c:crossBetween val="midCat"/>
        <c:majorUnit val="1"/>
      </c:valAx>
      <c:spPr>
        <a:noFill/>
        <a:ln w="0">
          <a:noFill/>
        </a:ln>
      </c:spPr>
    </c:plotArea>
    <c:legend>
      <c:legendPos val="b"/>
      <c:legendEntry>
        <c:idx val="2"/>
        <c:delete val="1"/>
      </c:legendEntry>
      <c:overlay val="0"/>
      <c:spPr>
        <a:noFill/>
        <a:ln w="0">
          <a:noFill/>
        </a:ln>
      </c:spPr>
      <c:txPr>
        <a:bodyPr/>
        <a:lstStyle/>
        <a:p>
          <a:pPr>
            <a:defRPr sz="1050" b="1" strike="noStrike" spc="-1">
              <a:solidFill>
                <a:srgbClr val="595959"/>
              </a:solidFill>
              <a:latin typeface="Calibri"/>
            </a:defRPr>
          </a:pPr>
          <a:endParaRPr lang="fr-FR"/>
        </a:p>
      </c:txPr>
    </c:legend>
    <c:plotVisOnly val="0"/>
    <c:dispBlanksAs val="gap"/>
    <c:showDLblsOverMax val="1"/>
  </c:chart>
  <c:spPr>
    <a:solidFill>
      <a:srgbClr val="FFFFFF"/>
    </a:solidFill>
    <a:ln w="9360"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 rot="0"/>
          <a:lstStyle/>
          <a:p>
            <a:pPr>
              <a:defRPr sz="1300" b="1" strike="noStrike" spc="-1">
                <a:solidFill>
                  <a:srgbClr val="322785"/>
                </a:solidFill>
                <a:latin typeface="Calibri"/>
              </a:defRPr>
            </a:pPr>
            <a:r>
              <a:rPr sz="1300" b="1" strike="noStrike" spc="-1">
                <a:solidFill>
                  <a:srgbClr val="322785"/>
                </a:solidFill>
                <a:latin typeface="Calibri"/>
              </a:rPr>
              <a:t>Radar Niveau école — Niveau UGSEL moyen (S1 vs S2)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"/>
          <c:y val="0.23"/>
          <c:w val="0.66"/>
          <c:h val="0.54"/>
        </c:manualLayout>
      </c:layout>
      <c:radarChart>
        <c:radarStyle val="marker"/>
        <c:varyColors val="0"/>
        <c:ser>
          <c:idx val="0"/>
          <c:order val="0"/>
          <c:tx>
            <c:v>Session 1</c:v>
          </c:tx>
          <c:spPr>
            <a:ln w="21960">
              <a:solidFill>
                <a:srgbClr val="322785"/>
              </a:solidFill>
              <a:round/>
            </a:ln>
          </c:spPr>
          <c:marker>
            <c:symbol val="circle"/>
            <c:size val="8"/>
            <c:spPr>
              <a:solidFill>
                <a:srgbClr val="322785"/>
              </a:solidFill>
            </c:spPr>
          </c:marker>
          <c:dPt>
            <c:idx val="0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FF38-4CF2-9C7A-B735EC439122}"/>
              </c:ext>
            </c:extLst>
          </c:dPt>
          <c:dPt>
            <c:idx val="1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FF38-4CF2-9C7A-B735EC439122}"/>
              </c:ext>
            </c:extLst>
          </c:dPt>
          <c:dPt>
            <c:idx val="2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FF38-4CF2-9C7A-B735EC439122}"/>
              </c:ext>
            </c:extLst>
          </c:dPt>
          <c:dPt>
            <c:idx val="3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FF38-4CF2-9C7A-B735EC439122}"/>
              </c:ext>
            </c:extLst>
          </c:dPt>
          <c:dPt>
            <c:idx val="4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FF38-4CF2-9C7A-B735EC439122}"/>
              </c:ext>
            </c:extLst>
          </c:dPt>
          <c:dPt>
            <c:idx val="5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FF38-4CF2-9C7A-B735EC439122}"/>
              </c:ext>
            </c:extLst>
          </c:dPt>
          <c:dPt>
            <c:idx val="6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FF38-4CF2-9C7A-B735EC439122}"/>
              </c:ext>
            </c:extLst>
          </c:dPt>
          <c:dPt>
            <c:idx val="7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FF38-4CF2-9C7A-B735EC439122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F38-4CF2-9C7A-B735EC439122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F38-4CF2-9C7A-B735EC439122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F38-4CF2-9C7A-B735EC439122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F38-4CF2-9C7A-B735EC439122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F38-4CF2-9C7A-B735EC439122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F38-4CF2-9C7A-B735EC439122}"/>
                </c:ext>
              </c:extLst>
            </c:dLbl>
            <c:dLbl>
              <c:idx val="6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F38-4CF2-9C7A-B735EC439122}"/>
                </c:ext>
              </c:extLst>
            </c:dLbl>
            <c:dLbl>
              <c:idx val="7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F38-4CF2-9C7A-B735EC43912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'STATS ECOLE'!$A$20:$A$27</c:f>
              <c:strCache>
                <c:ptCount val="8"/>
                <c:pt idx="0">
                  <c:v>Équilibre</c:v>
                </c:pt>
                <c:pt idx="1">
                  <c:v>Souplesse</c:v>
                </c:pt>
                <c:pt idx="2">
                  <c:v>Vitesse</c:v>
                </c:pt>
                <c:pt idx="3">
                  <c:v>Endurance</c:v>
                </c:pt>
                <c:pt idx="4">
                  <c:v>Coordination</c:v>
                </c:pt>
                <c:pt idx="5">
                  <c:v>Gainage</c:v>
                </c:pt>
                <c:pt idx="6">
                  <c:v>Adresse</c:v>
                </c:pt>
                <c:pt idx="7">
                  <c:v>Force des jambes</c:v>
                </c:pt>
              </c:strCache>
            </c:strRef>
          </c:cat>
          <c:val>
            <c:numRef>
              <c:f>'STATS ECOLE'!$L$20:$L$27</c:f>
              <c:numCache>
                <c:formatCode>General</c:formatCode>
                <c:ptCount val="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F38-4CF2-9C7A-B735EC439122}"/>
            </c:ext>
          </c:extLst>
        </c:ser>
        <c:ser>
          <c:idx val="1"/>
          <c:order val="1"/>
          <c:tx>
            <c:v>Session 2</c:v>
          </c:tx>
          <c:spPr>
            <a:ln w="21960">
              <a:solidFill>
                <a:srgbClr val="FF7600"/>
              </a:solidFill>
              <a:round/>
            </a:ln>
          </c:spPr>
          <c:marker>
            <c:symbol val="circle"/>
            <c:size val="8"/>
            <c:spPr>
              <a:solidFill>
                <a:srgbClr val="FF7600"/>
              </a:solidFill>
            </c:spPr>
          </c:marker>
          <c:dPt>
            <c:idx val="0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FF38-4CF2-9C7A-B735EC439122}"/>
              </c:ext>
            </c:extLst>
          </c:dPt>
          <c:dPt>
            <c:idx val="1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FF38-4CF2-9C7A-B735EC439122}"/>
              </c:ext>
            </c:extLst>
          </c:dPt>
          <c:dPt>
            <c:idx val="2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F38-4CF2-9C7A-B735EC439122}"/>
              </c:ext>
            </c:extLst>
          </c:dPt>
          <c:dPt>
            <c:idx val="3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F38-4CF2-9C7A-B735EC439122}"/>
              </c:ext>
            </c:extLst>
          </c:dPt>
          <c:dPt>
            <c:idx val="4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F38-4CF2-9C7A-B735EC439122}"/>
              </c:ext>
            </c:extLst>
          </c:dPt>
          <c:dPt>
            <c:idx val="5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F38-4CF2-9C7A-B735EC439122}"/>
              </c:ext>
            </c:extLst>
          </c:dPt>
          <c:dPt>
            <c:idx val="6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F38-4CF2-9C7A-B735EC439122}"/>
              </c:ext>
            </c:extLst>
          </c:dPt>
          <c:dPt>
            <c:idx val="7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F38-4CF2-9C7A-B735EC439122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F38-4CF2-9C7A-B735EC439122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F38-4CF2-9C7A-B735EC439122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F38-4CF2-9C7A-B735EC439122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F38-4CF2-9C7A-B735EC439122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F38-4CF2-9C7A-B735EC439122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F38-4CF2-9C7A-B735EC439122}"/>
                </c:ext>
              </c:extLst>
            </c:dLbl>
            <c:dLbl>
              <c:idx val="6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F38-4CF2-9C7A-B735EC439122}"/>
                </c:ext>
              </c:extLst>
            </c:dLbl>
            <c:dLbl>
              <c:idx val="7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F38-4CF2-9C7A-B735EC43912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'STATS ECOLE'!$A$20:$A$27</c:f>
              <c:strCache>
                <c:ptCount val="8"/>
                <c:pt idx="0">
                  <c:v>Équilibre</c:v>
                </c:pt>
                <c:pt idx="1">
                  <c:v>Souplesse</c:v>
                </c:pt>
                <c:pt idx="2">
                  <c:v>Vitesse</c:v>
                </c:pt>
                <c:pt idx="3">
                  <c:v>Endurance</c:v>
                </c:pt>
                <c:pt idx="4">
                  <c:v>Coordination</c:v>
                </c:pt>
                <c:pt idx="5">
                  <c:v>Gainage</c:v>
                </c:pt>
                <c:pt idx="6">
                  <c:v>Adresse</c:v>
                </c:pt>
                <c:pt idx="7">
                  <c:v>Force des jambes</c:v>
                </c:pt>
              </c:strCache>
            </c:strRef>
          </c:cat>
          <c:val>
            <c:numRef>
              <c:f>'STATS ECOLE'!$M$20:$M$27</c:f>
              <c:numCache>
                <c:formatCode>General</c:formatCode>
                <c:ptCount val="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F38-4CF2-9C7A-B735EC439122}"/>
            </c:ext>
          </c:extLst>
        </c:ser>
        <c:ser>
          <c:idx val="2"/>
          <c:order val="2"/>
          <c:tx>
            <c:v>Étiquettes</c:v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F20C7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F38-4CF2-9C7A-B735EC439122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FF76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F38-4CF2-9C7A-B735EC439122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73AC2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FF38-4CF2-9C7A-B735EC439122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00B3D4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FF38-4CF2-9C7A-B735EC439122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A1259A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FF38-4CF2-9C7A-B735EC439122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FFB902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FF38-4CF2-9C7A-B735EC439122}"/>
                </c:ext>
              </c:extLst>
            </c:dLbl>
            <c:dLbl>
              <c:idx val="6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0890E4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FF38-4CF2-9C7A-B735EC439122}"/>
                </c:ext>
              </c:extLst>
            </c:dLbl>
            <c:dLbl>
              <c:idx val="7"/>
              <c:tx>
                <c:rich>
                  <a:bodyPr wrap="square" anchor="ctr"/>
                  <a:lstStyle/>
                  <a:p>
                    <a:pPr algn="ctr">
                      <a:defRPr sz="1000" b="1" strike="noStrike" spc="-1">
                        <a:solidFill>
                          <a:srgbClr val="E0117F"/>
                        </a:solidFill>
                        <a:latin typeface="Calibri"/>
                      </a:defRPr>
                    </a:pPr>
                    <a:r>
                      <a:rPr sz="1000" b="1" strike="noStrike" spc="-1">
                        <a:solidFill>
                          <a:srgbClr val="E0117F"/>
                        </a:solidFill>
                        <a:latin typeface="Calibri"/>
                      </a:rPr>
                      <a:t>Force des</a:t>
                    </a:r>
                  </a:p>
                  <a:p>
                    <a:pPr algn="ctr">
                      <a:defRPr sz="1000" b="1" strike="noStrike" spc="-1">
                        <a:solidFill>
                          <a:srgbClr val="E0117F"/>
                        </a:solidFill>
                        <a:latin typeface="Calibri"/>
                      </a:defRPr>
                    </a:pPr>
                    <a:r>
                      <a:rPr sz="1000" b="1" strike="noStrike" spc="-1">
                        <a:solidFill>
                          <a:srgbClr val="E0117F"/>
                        </a:solidFill>
                        <a:latin typeface="Calibri"/>
                      </a:rPr>
                      <a:t>jambes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9-FF38-4CF2-9C7A-B735EC43912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1" strike="noStrike" spc="-1">
                    <a:solidFill>
                      <a:srgbClr val="322785"/>
                    </a:solidFill>
                    <a:latin typeface="Calibri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'STATS ECOLE'!$A$20:$A$27</c:f>
              <c:strCache>
                <c:ptCount val="8"/>
                <c:pt idx="0">
                  <c:v>Équilibre</c:v>
                </c:pt>
                <c:pt idx="1">
                  <c:v>Souplesse</c:v>
                </c:pt>
                <c:pt idx="2">
                  <c:v>Vitesse</c:v>
                </c:pt>
                <c:pt idx="3">
                  <c:v>Endurance</c:v>
                </c:pt>
                <c:pt idx="4">
                  <c:v>Coordination</c:v>
                </c:pt>
                <c:pt idx="5">
                  <c:v>Gainage</c:v>
                </c:pt>
                <c:pt idx="6">
                  <c:v>Adresse</c:v>
                </c:pt>
                <c:pt idx="7">
                  <c:v>Force des jambes</c:v>
                </c:pt>
              </c:strCache>
            </c:strRef>
          </c:cat>
          <c:val>
            <c:numRef>
              <c:f>'STATS ECOLE'!$N$20:$N$27</c:f>
              <c:numCache>
                <c:formatCode>General</c:formatCode>
                <c:ptCount val="8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FF38-4CF2-9C7A-B735EC4391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988427"/>
        <c:axId val="68327356"/>
      </c:radarChart>
      <c:catAx>
        <c:axId val="16988427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360">
            <a:noFill/>
          </a:ln>
        </c:spPr>
        <c:txPr>
          <a:bodyPr/>
          <a:lstStyle/>
          <a:p>
            <a:pPr>
              <a:defRPr sz="1000" b="1" strike="noStrike" spc="-1">
                <a:solidFill>
                  <a:srgbClr val="322785"/>
                </a:solidFill>
                <a:latin typeface="Calibri"/>
              </a:defRPr>
            </a:pPr>
            <a:endParaRPr lang="fr-FR"/>
          </a:p>
        </c:txPr>
        <c:crossAx val="68327356"/>
        <c:crosses val="autoZero"/>
        <c:auto val="1"/>
        <c:lblAlgn val="ctr"/>
        <c:lblOffset val="100"/>
        <c:noMultiLvlLbl val="0"/>
      </c:catAx>
      <c:valAx>
        <c:axId val="68327356"/>
        <c:scaling>
          <c:orientation val="minMax"/>
          <c:max val="5"/>
          <c:min val="0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16988427"/>
        <c:crosses val="autoZero"/>
        <c:crossBetween val="midCat"/>
        <c:majorUnit val="1"/>
      </c:valAx>
      <c:spPr>
        <a:noFill/>
        <a:ln w="0">
          <a:noFill/>
        </a:ln>
      </c:spPr>
    </c:plotArea>
    <c:legend>
      <c:legendPos val="b"/>
      <c:legendEntry>
        <c:idx val="2"/>
        <c:delete val="1"/>
      </c:legendEntry>
      <c:overlay val="0"/>
      <c:spPr>
        <a:noFill/>
        <a:ln w="0">
          <a:noFill/>
        </a:ln>
      </c:spPr>
      <c:txPr>
        <a:bodyPr/>
        <a:lstStyle/>
        <a:p>
          <a:pPr>
            <a:defRPr sz="1050" b="1" strike="noStrike" spc="-1">
              <a:solidFill>
                <a:srgbClr val="595959"/>
              </a:solidFill>
              <a:latin typeface="Calibri"/>
            </a:defRPr>
          </a:pPr>
          <a:endParaRPr lang="fr-FR"/>
        </a:p>
      </c:txPr>
    </c:legend>
    <c:plotVisOnly val="0"/>
    <c:dispBlanksAs val="gap"/>
    <c:showDLblsOverMax val="1"/>
  </c:chart>
  <c:spPr>
    <a:solidFill>
      <a:srgbClr val="FFFFFF"/>
    </a:solidFill>
    <a:ln w="9360"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 rot="0"/>
          <a:lstStyle/>
          <a:p>
            <a:pPr>
              <a:defRPr sz="1200" b="1" strike="noStrike" spc="-1">
                <a:solidFill>
                  <a:srgbClr val="322785"/>
                </a:solidFill>
                <a:latin typeface="Calibri"/>
              </a:defRPr>
            </a:pPr>
            <a:r>
              <a:rPr sz="1200" b="1" strike="noStrike" spc="-1">
                <a:solidFill>
                  <a:srgbClr val="322785"/>
                </a:solidFill>
                <a:latin typeface="Calibri"/>
              </a:rPr>
              <a:t>Évolution annuelle du score moyen (/5)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Session 1</c:v>
          </c:tx>
          <c:spPr>
            <a:ln w="21960">
              <a:solidFill>
                <a:srgbClr val="322785"/>
              </a:solidFill>
              <a:round/>
            </a:ln>
          </c:spPr>
          <c:marker>
            <c:symbol val="circle"/>
            <c:size val="8"/>
            <c:spPr>
              <a:solidFill>
                <a:srgbClr val="322785"/>
              </a:solidFill>
            </c:spPr>
          </c:marker>
          <c:dLbls>
            <c:numFmt formatCode="0.0" sourceLinked="0"/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850" b="1" strike="noStrike" spc="-1">
                    <a:solidFill>
                      <a:srgbClr val="595959"/>
                    </a:solidFill>
                    <a:latin typeface="Calibri"/>
                  </a:defRPr>
                </a:pPr>
                <a:endParaRPr lang="fr-FR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'STATS ECOLE'!$A$42:$A$49</c:f>
              <c:strCache>
                <c:ptCount val="8"/>
                <c:pt idx="0">
                  <c:v>2025-2026</c:v>
                </c:pt>
                <c:pt idx="1">
                  <c:v>2026-2027</c:v>
                </c:pt>
                <c:pt idx="2">
                  <c:v>2027-2028</c:v>
                </c:pt>
                <c:pt idx="3">
                  <c:v>2028-2029</c:v>
                </c:pt>
                <c:pt idx="4">
                  <c:v>2029-2030</c:v>
                </c:pt>
                <c:pt idx="5">
                  <c:v>2030-2031</c:v>
                </c:pt>
                <c:pt idx="6">
                  <c:v>2031-2032</c:v>
                </c:pt>
                <c:pt idx="7">
                  <c:v>2032-2033</c:v>
                </c:pt>
              </c:strCache>
            </c:strRef>
          </c:cat>
          <c:val>
            <c:numRef>
              <c:f>'STATS ECOLE'!$N$42:$N$49</c:f>
              <c:numCache>
                <c:formatCode>General</c:formatCode>
                <c:ptCount val="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A5-49FA-A55A-7DB255B63F71}"/>
            </c:ext>
          </c:extLst>
        </c:ser>
        <c:ser>
          <c:idx val="1"/>
          <c:order val="1"/>
          <c:tx>
            <c:v>Session 2</c:v>
          </c:tx>
          <c:spPr>
            <a:ln w="21960">
              <a:solidFill>
                <a:srgbClr val="FF7600"/>
              </a:solidFill>
              <a:round/>
            </a:ln>
          </c:spPr>
          <c:marker>
            <c:symbol val="circle"/>
            <c:size val="8"/>
            <c:spPr>
              <a:solidFill>
                <a:srgbClr val="FF7600"/>
              </a:solidFill>
            </c:spPr>
          </c:marker>
          <c:dLbls>
            <c:numFmt formatCode="0.0" sourceLinked="0"/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850" b="1" strike="noStrike" spc="-1">
                    <a:solidFill>
                      <a:srgbClr val="595959"/>
                    </a:solidFill>
                    <a:latin typeface="Calibri"/>
                  </a:defRPr>
                </a:pPr>
                <a:endParaRPr lang="fr-FR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'STATS ECOLE'!$A$42:$A$49</c:f>
              <c:strCache>
                <c:ptCount val="8"/>
                <c:pt idx="0">
                  <c:v>2025-2026</c:v>
                </c:pt>
                <c:pt idx="1">
                  <c:v>2026-2027</c:v>
                </c:pt>
                <c:pt idx="2">
                  <c:v>2027-2028</c:v>
                </c:pt>
                <c:pt idx="3">
                  <c:v>2028-2029</c:v>
                </c:pt>
                <c:pt idx="4">
                  <c:v>2029-2030</c:v>
                </c:pt>
                <c:pt idx="5">
                  <c:v>2030-2031</c:v>
                </c:pt>
                <c:pt idx="6">
                  <c:v>2031-2032</c:v>
                </c:pt>
                <c:pt idx="7">
                  <c:v>2032-2033</c:v>
                </c:pt>
              </c:strCache>
            </c:strRef>
          </c:cat>
          <c:val>
            <c:numRef>
              <c:f>'STATS ECOLE'!$O$42:$O$49</c:f>
              <c:numCache>
                <c:formatCode>General</c:formatCode>
                <c:ptCount val="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A5-49FA-A55A-7DB255B63F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43632827"/>
        <c:axId val="11879701"/>
      </c:lineChart>
      <c:catAx>
        <c:axId val="43632827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50" b="1" strike="noStrike" spc="-1">
                <a:solidFill>
                  <a:srgbClr val="322785"/>
                </a:solidFill>
                <a:latin typeface="Calibri"/>
              </a:defRPr>
            </a:pPr>
            <a:endParaRPr lang="fr-FR"/>
          </a:p>
        </c:txPr>
        <c:crossAx val="11879701"/>
        <c:crosses val="autoZero"/>
        <c:auto val="1"/>
        <c:lblAlgn val="ctr"/>
        <c:lblOffset val="100"/>
        <c:noMultiLvlLbl val="0"/>
      </c:catAx>
      <c:valAx>
        <c:axId val="11879701"/>
        <c:scaling>
          <c:orientation val="minMax"/>
          <c:max val="5"/>
          <c:min val="0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0.0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43632827"/>
        <c:crosses val="autoZero"/>
        <c:crossBetween val="between"/>
        <c:majorUnit val="1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50" b="1" strike="noStrike" spc="-1">
              <a:solidFill>
                <a:srgbClr val="595959"/>
              </a:solidFill>
              <a:latin typeface="Calibri"/>
            </a:defRPr>
          </a:pPr>
          <a:endParaRPr lang="fr-FR"/>
        </a:p>
      </c:txPr>
    </c:legend>
    <c:plotVisOnly val="0"/>
    <c:dispBlanksAs val="gap"/>
    <c:showDLblsOverMax val="1"/>
  </c:chart>
  <c:spPr>
    <a:solidFill>
      <a:srgbClr val="FFFFFF"/>
    </a:solidFill>
    <a:ln w="9360"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 rot="0"/>
          <a:lstStyle/>
          <a:p>
            <a:pPr>
              <a:defRPr sz="1200" b="1" strike="noStrike" spc="-1">
                <a:solidFill>
                  <a:srgbClr val="322785"/>
                </a:solidFill>
                <a:latin typeface="Calibri"/>
              </a:defRPr>
            </a:pPr>
            <a:r>
              <a:rPr sz="1200" b="1" strike="noStrike" spc="-1">
                <a:solidFill>
                  <a:srgbClr val="322785"/>
                </a:solidFill>
                <a:latin typeface="Calibri"/>
              </a:rPr>
              <a:t>Évolution de la performance (test sélectionné)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Session 1</c:v>
          </c:tx>
          <c:spPr>
            <a:ln w="21960">
              <a:solidFill>
                <a:srgbClr val="322785"/>
              </a:solidFill>
              <a:round/>
            </a:ln>
          </c:spPr>
          <c:marker>
            <c:symbol val="circle"/>
            <c:size val="8"/>
            <c:spPr>
              <a:solidFill>
                <a:srgbClr val="322785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fr-F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'SUIVI LONGITUDINAL'!$B$11:$B$18</c:f>
              <c:strCache>
                <c:ptCount val="8"/>
                <c:pt idx="0">
                  <c:v>2025-2026</c:v>
                </c:pt>
                <c:pt idx="1">
                  <c:v>2026-2027</c:v>
                </c:pt>
                <c:pt idx="2">
                  <c:v>2027-2028</c:v>
                </c:pt>
                <c:pt idx="3">
                  <c:v>2028-2029</c:v>
                </c:pt>
                <c:pt idx="4">
                  <c:v>2029-2030</c:v>
                </c:pt>
                <c:pt idx="5">
                  <c:v>2030-2031</c:v>
                </c:pt>
                <c:pt idx="6">
                  <c:v>2031-2032</c:v>
                </c:pt>
                <c:pt idx="7">
                  <c:v>2032-2033</c:v>
                </c:pt>
              </c:strCache>
            </c:strRef>
          </c:cat>
          <c:val>
            <c:numRef>
              <c:f>'SUIVI LONGITUDINAL'!$L$11:$L$18</c:f>
              <c:numCache>
                <c:formatCode>General</c:formatCode>
                <c:ptCount val="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62-40B7-9078-3B075DFBE28E}"/>
            </c:ext>
          </c:extLst>
        </c:ser>
        <c:ser>
          <c:idx val="1"/>
          <c:order val="1"/>
          <c:tx>
            <c:v>Session 2</c:v>
          </c:tx>
          <c:spPr>
            <a:ln w="21960">
              <a:solidFill>
                <a:srgbClr val="FF7600"/>
              </a:solidFill>
              <a:round/>
            </a:ln>
          </c:spPr>
          <c:marker>
            <c:symbol val="circle"/>
            <c:size val="8"/>
            <c:spPr>
              <a:solidFill>
                <a:srgbClr val="FF7600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fr-F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'SUIVI LONGITUDINAL'!$B$11:$B$18</c:f>
              <c:strCache>
                <c:ptCount val="8"/>
                <c:pt idx="0">
                  <c:v>2025-2026</c:v>
                </c:pt>
                <c:pt idx="1">
                  <c:v>2026-2027</c:v>
                </c:pt>
                <c:pt idx="2">
                  <c:v>2027-2028</c:v>
                </c:pt>
                <c:pt idx="3">
                  <c:v>2028-2029</c:v>
                </c:pt>
                <c:pt idx="4">
                  <c:v>2029-2030</c:v>
                </c:pt>
                <c:pt idx="5">
                  <c:v>2030-2031</c:v>
                </c:pt>
                <c:pt idx="6">
                  <c:v>2031-2032</c:v>
                </c:pt>
                <c:pt idx="7">
                  <c:v>2032-2033</c:v>
                </c:pt>
              </c:strCache>
            </c:strRef>
          </c:cat>
          <c:val>
            <c:numRef>
              <c:f>'SUIVI LONGITUDINAL'!$M$11:$M$18</c:f>
              <c:numCache>
                <c:formatCode>General</c:formatCode>
                <c:ptCount val="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62-40B7-9078-3B075DFBE2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48158749"/>
        <c:axId val="48400137"/>
      </c:lineChart>
      <c:catAx>
        <c:axId val="48158749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50" b="1" strike="noStrike" spc="-1">
                <a:solidFill>
                  <a:srgbClr val="322785"/>
                </a:solidFill>
                <a:latin typeface="Calibri"/>
              </a:defRPr>
            </a:pPr>
            <a:endParaRPr lang="fr-FR"/>
          </a:p>
        </c:txPr>
        <c:crossAx val="48400137"/>
        <c:crosses val="autoZero"/>
        <c:auto val="1"/>
        <c:lblAlgn val="ctr"/>
        <c:lblOffset val="100"/>
        <c:noMultiLvlLbl val="0"/>
      </c:catAx>
      <c:valAx>
        <c:axId val="48400137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48158749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50" b="1" strike="noStrike" spc="-1">
              <a:solidFill>
                <a:srgbClr val="595959"/>
              </a:solidFill>
              <a:latin typeface="Calibri"/>
            </a:defRPr>
          </a:pPr>
          <a:endParaRPr lang="fr-FR"/>
        </a:p>
      </c:txPr>
    </c:legend>
    <c:plotVisOnly val="0"/>
    <c:dispBlanksAs val="gap"/>
    <c:showDLblsOverMax val="1"/>
  </c:chart>
  <c:spPr>
    <a:solidFill>
      <a:srgbClr val="FFFFFF"/>
    </a:solidFill>
    <a:ln w="9360"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 rot="0"/>
          <a:lstStyle/>
          <a:p>
            <a:pPr>
              <a:defRPr sz="1200" b="1" strike="noStrike" spc="-1">
                <a:solidFill>
                  <a:srgbClr val="322785"/>
                </a:solidFill>
                <a:latin typeface="Calibri"/>
              </a:defRPr>
            </a:pPr>
            <a:r>
              <a:rPr sz="1200" b="1" strike="noStrike" spc="-1">
                <a:solidFill>
                  <a:srgbClr val="322785"/>
                </a:solidFill>
                <a:latin typeface="Calibri"/>
              </a:rPr>
              <a:t>Évolution du niveau UGSEL (1 à 5)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Session 1</c:v>
          </c:tx>
          <c:spPr>
            <a:ln w="21960">
              <a:solidFill>
                <a:srgbClr val="322785"/>
              </a:solidFill>
              <a:round/>
            </a:ln>
          </c:spPr>
          <c:marker>
            <c:symbol val="circle"/>
            <c:size val="8"/>
            <c:spPr>
              <a:solidFill>
                <a:srgbClr val="322785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fr-F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'SUIVI LONGITUDINAL'!$B$11:$B$18</c:f>
              <c:strCache>
                <c:ptCount val="8"/>
                <c:pt idx="0">
                  <c:v>2025-2026</c:v>
                </c:pt>
                <c:pt idx="1">
                  <c:v>2026-2027</c:v>
                </c:pt>
                <c:pt idx="2">
                  <c:v>2027-2028</c:v>
                </c:pt>
                <c:pt idx="3">
                  <c:v>2028-2029</c:v>
                </c:pt>
                <c:pt idx="4">
                  <c:v>2029-2030</c:v>
                </c:pt>
                <c:pt idx="5">
                  <c:v>2030-2031</c:v>
                </c:pt>
                <c:pt idx="6">
                  <c:v>2031-2032</c:v>
                </c:pt>
                <c:pt idx="7">
                  <c:v>2032-2033</c:v>
                </c:pt>
              </c:strCache>
            </c:strRef>
          </c:cat>
          <c:val>
            <c:numRef>
              <c:f>'SUIVI LONGITUDINAL'!$N$11:$N$18</c:f>
              <c:numCache>
                <c:formatCode>General</c:formatCode>
                <c:ptCount val="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4C-4986-BA05-3EFE8154C671}"/>
            </c:ext>
          </c:extLst>
        </c:ser>
        <c:ser>
          <c:idx val="1"/>
          <c:order val="1"/>
          <c:tx>
            <c:v>Session 2</c:v>
          </c:tx>
          <c:spPr>
            <a:ln w="21960">
              <a:solidFill>
                <a:srgbClr val="FF7600"/>
              </a:solidFill>
              <a:round/>
            </a:ln>
          </c:spPr>
          <c:marker>
            <c:symbol val="circle"/>
            <c:size val="8"/>
            <c:spPr>
              <a:solidFill>
                <a:srgbClr val="FF7600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fr-F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'SUIVI LONGITUDINAL'!$B$11:$B$18</c:f>
              <c:strCache>
                <c:ptCount val="8"/>
                <c:pt idx="0">
                  <c:v>2025-2026</c:v>
                </c:pt>
                <c:pt idx="1">
                  <c:v>2026-2027</c:v>
                </c:pt>
                <c:pt idx="2">
                  <c:v>2027-2028</c:v>
                </c:pt>
                <c:pt idx="3">
                  <c:v>2028-2029</c:v>
                </c:pt>
                <c:pt idx="4">
                  <c:v>2029-2030</c:v>
                </c:pt>
                <c:pt idx="5">
                  <c:v>2030-2031</c:v>
                </c:pt>
                <c:pt idx="6">
                  <c:v>2031-2032</c:v>
                </c:pt>
                <c:pt idx="7">
                  <c:v>2032-2033</c:v>
                </c:pt>
              </c:strCache>
            </c:strRef>
          </c:cat>
          <c:val>
            <c:numRef>
              <c:f>'SUIVI LONGITUDINAL'!$O$11:$O$18</c:f>
              <c:numCache>
                <c:formatCode>General</c:formatCode>
                <c:ptCount val="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4C-4986-BA05-3EFE8154C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50378664"/>
        <c:axId val="92634784"/>
      </c:lineChart>
      <c:catAx>
        <c:axId val="503786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50" b="1" strike="noStrike" spc="-1">
                <a:solidFill>
                  <a:srgbClr val="322785"/>
                </a:solidFill>
                <a:latin typeface="Calibri"/>
              </a:defRPr>
            </a:pPr>
            <a:endParaRPr lang="fr-FR"/>
          </a:p>
        </c:txPr>
        <c:crossAx val="92634784"/>
        <c:crosses val="autoZero"/>
        <c:auto val="1"/>
        <c:lblAlgn val="ctr"/>
        <c:lblOffset val="100"/>
        <c:noMultiLvlLbl val="0"/>
      </c:catAx>
      <c:valAx>
        <c:axId val="92634784"/>
        <c:scaling>
          <c:orientation val="minMax"/>
          <c:max val="5"/>
          <c:min val="0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50378664"/>
        <c:crosses val="autoZero"/>
        <c:crossBetween val="between"/>
        <c:majorUnit val="1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50" b="1" strike="noStrike" spc="-1">
              <a:solidFill>
                <a:srgbClr val="595959"/>
              </a:solidFill>
              <a:latin typeface="Calibri"/>
            </a:defRPr>
          </a:pPr>
          <a:endParaRPr lang="fr-FR"/>
        </a:p>
      </c:txPr>
    </c:legend>
    <c:plotVisOnly val="0"/>
    <c:dispBlanksAs val="gap"/>
    <c:showDLblsOverMax val="1"/>
  </c:chart>
  <c:spPr>
    <a:solidFill>
      <a:srgbClr val="FFFFFF"/>
    </a:solidFill>
    <a:ln w="9360"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https://ugsel22.org/wp-content/uploads/2026/03/GREPS-22-7-test-GAINAGE.pdf" TargetMode="External"/><Relationship Id="rId18" Type="http://schemas.openxmlformats.org/officeDocument/2006/relationships/image" Target="../media/image10.png"/><Relationship Id="rId3" Type="http://schemas.openxmlformats.org/officeDocument/2006/relationships/hyperlink" Target="https://ugsel22.org/wp-content/uploads/2026/03/GREPS-22-1-test-EQUILIBRE.pdf" TargetMode="External"/><Relationship Id="rId7" Type="http://schemas.openxmlformats.org/officeDocument/2006/relationships/hyperlink" Target="https://ugsel22.org/wp-content/uploads/2026/03/GREPS-22-3-test-VITESSE.pdf" TargetMode="External"/><Relationship Id="rId12" Type="http://schemas.openxmlformats.org/officeDocument/2006/relationships/image" Target="../media/image7.png"/><Relationship Id="rId17" Type="http://schemas.openxmlformats.org/officeDocument/2006/relationships/hyperlink" Target="https://ugsel22.org/wp-content/uploads/2026/03/GREPS-22-9-test-FORCE-DES-JAMBES.pdf" TargetMode="External"/><Relationship Id="rId2" Type="http://schemas.openxmlformats.org/officeDocument/2006/relationships/image" Target="../media/image2.png"/><Relationship Id="rId16" Type="http://schemas.openxmlformats.org/officeDocument/2006/relationships/image" Target="../media/image9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11" Type="http://schemas.openxmlformats.org/officeDocument/2006/relationships/hyperlink" Target="https://ugsel22.org/wp-content/uploads/2026/03/GREPS-22-6-COORDINATION.pdf" TargetMode="External"/><Relationship Id="rId5" Type="http://schemas.openxmlformats.org/officeDocument/2006/relationships/hyperlink" Target="https://ugsel22.org/wp-content/uploads/2026/03/GREPS-22-2-test-SOUPLESSE.pdf" TargetMode="External"/><Relationship Id="rId15" Type="http://schemas.openxmlformats.org/officeDocument/2006/relationships/hyperlink" Target="https://ugsel22.org/wp-content/uploads/2026/03/GREPS-22-8-test-ADRESSE.pdf" TargetMode="External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hyperlink" Target="https://ugsel22.org/wp-content/uploads/2026/03/GREPS-22-5-test-ENDURANCE.pdf" TargetMode="External"/><Relationship Id="rId14" Type="http://schemas.openxmlformats.org/officeDocument/2006/relationships/image" Target="../media/image8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chart" Target="../charts/chart1.xml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Relationship Id="rId9" Type="http://schemas.openxmlformats.org/officeDocument/2006/relationships/image" Target="../media/image10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image" Target="../media/image1.png"/><Relationship Id="rId1" Type="http://schemas.openxmlformats.org/officeDocument/2006/relationships/chart" Target="../charts/chart3.xml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1.png"/><Relationship Id="rId7" Type="http://schemas.openxmlformats.org/officeDocument/2006/relationships/image" Target="../media/image5.png"/><Relationship Id="rId12" Type="http://schemas.openxmlformats.org/officeDocument/2006/relationships/image" Target="../media/image10.png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image" Target="../media/image4.png"/><Relationship Id="rId11" Type="http://schemas.openxmlformats.org/officeDocument/2006/relationships/image" Target="../media/image9.png"/><Relationship Id="rId5" Type="http://schemas.openxmlformats.org/officeDocument/2006/relationships/image" Target="../media/image3.png"/><Relationship Id="rId10" Type="http://schemas.openxmlformats.org/officeDocument/2006/relationships/image" Target="../media/image8.png"/><Relationship Id="rId4" Type="http://schemas.openxmlformats.org/officeDocument/2006/relationships/image" Target="../media/image2.png"/><Relationship Id="rId9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133200</xdr:colOff>
      <xdr:row>0</xdr:row>
      <xdr:rowOff>163020</xdr:rowOff>
    </xdr:from>
    <xdr:to>
      <xdr:col>1</xdr:col>
      <xdr:colOff>354600</xdr:colOff>
      <xdr:row>1</xdr:row>
      <xdr:rowOff>217980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3200" y="163020"/>
          <a:ext cx="377640" cy="43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11</xdr:col>
      <xdr:colOff>57240</xdr:colOff>
      <xdr:row>0</xdr:row>
      <xdr:rowOff>163020</xdr:rowOff>
    </xdr:from>
    <xdr:to>
      <xdr:col>11</xdr:col>
      <xdr:colOff>493200</xdr:colOff>
      <xdr:row>1</xdr:row>
      <xdr:rowOff>217980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6703200" y="163020"/>
          <a:ext cx="435960" cy="43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396720</xdr:colOff>
      <xdr:row>7</xdr:row>
      <xdr:rowOff>19080</xdr:rowOff>
    </xdr:from>
    <xdr:to>
      <xdr:col>2</xdr:col>
      <xdr:colOff>37080</xdr:colOff>
      <xdr:row>7</xdr:row>
      <xdr:rowOff>455040</xdr:rowOff>
    </xdr:to>
    <xdr:pic>
      <xdr:nvPicPr>
        <xdr:cNvPr id="4" name="Image 3" descr="Picture">
          <a:hlinkClick xmlns:r="http://schemas.openxmlformats.org/officeDocument/2006/relationships" r:id="rId3" tooltip="Fiche du test Équilibre (PDF)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552960" y="1552680"/>
          <a:ext cx="289440" cy="43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163440</xdr:colOff>
      <xdr:row>7</xdr:row>
      <xdr:rowOff>19080</xdr:rowOff>
    </xdr:from>
    <xdr:to>
      <xdr:col>4</xdr:col>
      <xdr:colOff>453240</xdr:colOff>
      <xdr:row>7</xdr:row>
      <xdr:rowOff>455040</xdr:rowOff>
    </xdr:to>
    <xdr:pic>
      <xdr:nvPicPr>
        <xdr:cNvPr id="5" name="Image 4" descr="Picture">
          <a:hlinkClick xmlns:r="http://schemas.openxmlformats.org/officeDocument/2006/relationships" r:id="rId5" tooltip="Fiche du test Souplesse (PDF)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266560" y="1552680"/>
          <a:ext cx="289800" cy="43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163440</xdr:colOff>
      <xdr:row>7</xdr:row>
      <xdr:rowOff>19080</xdr:rowOff>
    </xdr:from>
    <xdr:to>
      <xdr:col>7</xdr:col>
      <xdr:colOff>453240</xdr:colOff>
      <xdr:row>7</xdr:row>
      <xdr:rowOff>455040</xdr:rowOff>
    </xdr:to>
    <xdr:pic>
      <xdr:nvPicPr>
        <xdr:cNvPr id="6" name="Image 5" descr="Picture">
          <a:hlinkClick xmlns:r="http://schemas.openxmlformats.org/officeDocument/2006/relationships" r:id="rId7" tooltip="Fiche du test Vitesse (PDF)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4213440" y="1552680"/>
          <a:ext cx="289800" cy="43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10</xdr:col>
      <xdr:colOff>163440</xdr:colOff>
      <xdr:row>7</xdr:row>
      <xdr:rowOff>19080</xdr:rowOff>
    </xdr:from>
    <xdr:to>
      <xdr:col>10</xdr:col>
      <xdr:colOff>453240</xdr:colOff>
      <xdr:row>7</xdr:row>
      <xdr:rowOff>455040</xdr:rowOff>
    </xdr:to>
    <xdr:pic>
      <xdr:nvPicPr>
        <xdr:cNvPr id="7" name="Image 6" descr="Picture">
          <a:hlinkClick xmlns:r="http://schemas.openxmlformats.org/officeDocument/2006/relationships" r:id="rId9" tooltip="Fiche du test Endurance (PDF)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6160320" y="1552680"/>
          <a:ext cx="289800" cy="43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396720</xdr:colOff>
      <xdr:row>12</xdr:row>
      <xdr:rowOff>19080</xdr:rowOff>
    </xdr:from>
    <xdr:to>
      <xdr:col>2</xdr:col>
      <xdr:colOff>37080</xdr:colOff>
      <xdr:row>12</xdr:row>
      <xdr:rowOff>455040</xdr:rowOff>
    </xdr:to>
    <xdr:pic>
      <xdr:nvPicPr>
        <xdr:cNvPr id="8" name="Image 7" descr="Picture">
          <a:hlinkClick xmlns:r="http://schemas.openxmlformats.org/officeDocument/2006/relationships" r:id="rId11" tooltip="Fiche du test Coordination (PDF)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552960" y="2762280"/>
          <a:ext cx="289440" cy="43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163440</xdr:colOff>
      <xdr:row>12</xdr:row>
      <xdr:rowOff>19080</xdr:rowOff>
    </xdr:from>
    <xdr:to>
      <xdr:col>4</xdr:col>
      <xdr:colOff>453240</xdr:colOff>
      <xdr:row>12</xdr:row>
      <xdr:rowOff>455040</xdr:rowOff>
    </xdr:to>
    <xdr:pic>
      <xdr:nvPicPr>
        <xdr:cNvPr id="9" name="Image 8" descr="Picture">
          <a:hlinkClick xmlns:r="http://schemas.openxmlformats.org/officeDocument/2006/relationships" r:id="rId13" tooltip="Fiche du test Gainage (PDF)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4"/>
        <a:stretch/>
      </xdr:blipFill>
      <xdr:spPr>
        <a:xfrm>
          <a:off x="2266560" y="2762280"/>
          <a:ext cx="289800" cy="43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163440</xdr:colOff>
      <xdr:row>12</xdr:row>
      <xdr:rowOff>19080</xdr:rowOff>
    </xdr:from>
    <xdr:to>
      <xdr:col>7</xdr:col>
      <xdr:colOff>453240</xdr:colOff>
      <xdr:row>12</xdr:row>
      <xdr:rowOff>455040</xdr:rowOff>
    </xdr:to>
    <xdr:pic>
      <xdr:nvPicPr>
        <xdr:cNvPr id="10" name="Image 9" descr="Picture">
          <a:hlinkClick xmlns:r="http://schemas.openxmlformats.org/officeDocument/2006/relationships" r:id="rId15" tooltip="Fiche du test Adresse (PDF)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16"/>
        <a:stretch/>
      </xdr:blipFill>
      <xdr:spPr>
        <a:xfrm>
          <a:off x="4213440" y="2762280"/>
          <a:ext cx="289800" cy="43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10</xdr:col>
      <xdr:colOff>163440</xdr:colOff>
      <xdr:row>12</xdr:row>
      <xdr:rowOff>19080</xdr:rowOff>
    </xdr:from>
    <xdr:to>
      <xdr:col>10</xdr:col>
      <xdr:colOff>453240</xdr:colOff>
      <xdr:row>12</xdr:row>
      <xdr:rowOff>455040</xdr:rowOff>
    </xdr:to>
    <xdr:pic>
      <xdr:nvPicPr>
        <xdr:cNvPr id="11" name="Image 10" descr="Picture">
          <a:hlinkClick xmlns:r="http://schemas.openxmlformats.org/officeDocument/2006/relationships" r:id="rId17" tooltip="Fiche du test Force des jambes (PDF)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8"/>
        <a:stretch/>
      </xdr:blipFill>
      <xdr:spPr>
        <a:xfrm>
          <a:off x="6160320" y="2762280"/>
          <a:ext cx="289800" cy="4359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266760</xdr:colOff>
      <xdr:row>4</xdr:row>
      <xdr:rowOff>850840</xdr:rowOff>
    </xdr:from>
    <xdr:to>
      <xdr:col>9</xdr:col>
      <xdr:colOff>533160</xdr:colOff>
      <xdr:row>4</xdr:row>
      <xdr:rowOff>1250440</xdr:rowOff>
    </xdr:to>
    <xdr:pic>
      <xdr:nvPicPr>
        <xdr:cNvPr id="10" name="Image 1" descr="Picture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551920" y="1857240"/>
          <a:ext cx="266040" cy="399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10</xdr:col>
      <xdr:colOff>266760</xdr:colOff>
      <xdr:row>4</xdr:row>
      <xdr:rowOff>850840</xdr:rowOff>
    </xdr:from>
    <xdr:to>
      <xdr:col>10</xdr:col>
      <xdr:colOff>533160</xdr:colOff>
      <xdr:row>4</xdr:row>
      <xdr:rowOff>1250440</xdr:rowOff>
    </xdr:to>
    <xdr:pic>
      <xdr:nvPicPr>
        <xdr:cNvPr id="11" name="Image 2" descr="Picture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6397560" y="1857240"/>
          <a:ext cx="266040" cy="399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11</xdr:col>
      <xdr:colOff>266760</xdr:colOff>
      <xdr:row>4</xdr:row>
      <xdr:rowOff>850840</xdr:rowOff>
    </xdr:from>
    <xdr:to>
      <xdr:col>11</xdr:col>
      <xdr:colOff>533160</xdr:colOff>
      <xdr:row>4</xdr:row>
      <xdr:rowOff>1250440</xdr:rowOff>
    </xdr:to>
    <xdr:pic>
      <xdr:nvPicPr>
        <xdr:cNvPr id="12" name="Image 3" descr="Picture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7243560" y="1857240"/>
          <a:ext cx="266040" cy="399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12</xdr:col>
      <xdr:colOff>266760</xdr:colOff>
      <xdr:row>4</xdr:row>
      <xdr:rowOff>850840</xdr:rowOff>
    </xdr:from>
    <xdr:to>
      <xdr:col>12</xdr:col>
      <xdr:colOff>533160</xdr:colOff>
      <xdr:row>4</xdr:row>
      <xdr:rowOff>1250440</xdr:rowOff>
    </xdr:to>
    <xdr:pic>
      <xdr:nvPicPr>
        <xdr:cNvPr id="13" name="Image 4" descr="Picture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8089200" y="1857240"/>
          <a:ext cx="266040" cy="399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13</xdr:col>
      <xdr:colOff>266760</xdr:colOff>
      <xdr:row>4</xdr:row>
      <xdr:rowOff>850840</xdr:rowOff>
    </xdr:from>
    <xdr:to>
      <xdr:col>13</xdr:col>
      <xdr:colOff>533160</xdr:colOff>
      <xdr:row>4</xdr:row>
      <xdr:rowOff>1250440</xdr:rowOff>
    </xdr:to>
    <xdr:pic>
      <xdr:nvPicPr>
        <xdr:cNvPr id="14" name="Image 5" descr="Picture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8935200" y="1857240"/>
          <a:ext cx="266040" cy="399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14</xdr:col>
      <xdr:colOff>266760</xdr:colOff>
      <xdr:row>4</xdr:row>
      <xdr:rowOff>850840</xdr:rowOff>
    </xdr:from>
    <xdr:to>
      <xdr:col>14</xdr:col>
      <xdr:colOff>533160</xdr:colOff>
      <xdr:row>4</xdr:row>
      <xdr:rowOff>1250440</xdr:rowOff>
    </xdr:to>
    <xdr:pic>
      <xdr:nvPicPr>
        <xdr:cNvPr id="15" name="Image 6" descr="Picture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9780840" y="1857240"/>
          <a:ext cx="266040" cy="399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15</xdr:col>
      <xdr:colOff>266760</xdr:colOff>
      <xdr:row>4</xdr:row>
      <xdr:rowOff>850840</xdr:rowOff>
    </xdr:from>
    <xdr:to>
      <xdr:col>15</xdr:col>
      <xdr:colOff>533160</xdr:colOff>
      <xdr:row>4</xdr:row>
      <xdr:rowOff>1250440</xdr:rowOff>
    </xdr:to>
    <xdr:pic>
      <xdr:nvPicPr>
        <xdr:cNvPr id="16" name="Image 7" descr="Picture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10626840" y="1857240"/>
          <a:ext cx="266040" cy="399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266760</xdr:colOff>
      <xdr:row>4</xdr:row>
      <xdr:rowOff>850840</xdr:rowOff>
    </xdr:from>
    <xdr:to>
      <xdr:col>16</xdr:col>
      <xdr:colOff>533160</xdr:colOff>
      <xdr:row>4</xdr:row>
      <xdr:rowOff>1250440</xdr:rowOff>
    </xdr:to>
    <xdr:pic>
      <xdr:nvPicPr>
        <xdr:cNvPr id="17" name="Image 8" descr="Picture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11472480" y="1857240"/>
          <a:ext cx="266040" cy="3992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27</xdr:row>
      <xdr:rowOff>0</xdr:rowOff>
    </xdr:from>
    <xdr:to>
      <xdr:col>13</xdr:col>
      <xdr:colOff>541800</xdr:colOff>
      <xdr:row>58</xdr:row>
      <xdr:rowOff>116280</xdr:rowOff>
    </xdr:to>
    <xdr:graphicFrame macro="">
      <xdr:nvGraphicFramePr>
        <xdr:cNvPr id="18" name="Chart 1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284040</xdr:colOff>
      <xdr:row>8</xdr:row>
      <xdr:rowOff>66600</xdr:rowOff>
    </xdr:from>
    <xdr:to>
      <xdr:col>2</xdr:col>
      <xdr:colOff>447120</xdr:colOff>
      <xdr:row>8</xdr:row>
      <xdr:rowOff>312120</xdr:rowOff>
    </xdr:to>
    <xdr:pic>
      <xdr:nvPicPr>
        <xdr:cNvPr id="19" name="Image 2" descr="Picture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356480" y="1809720"/>
          <a:ext cx="163080" cy="245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284040</xdr:colOff>
      <xdr:row>8</xdr:row>
      <xdr:rowOff>66600</xdr:rowOff>
    </xdr:from>
    <xdr:to>
      <xdr:col>6</xdr:col>
      <xdr:colOff>447120</xdr:colOff>
      <xdr:row>8</xdr:row>
      <xdr:rowOff>312120</xdr:rowOff>
    </xdr:to>
    <xdr:pic>
      <xdr:nvPicPr>
        <xdr:cNvPr id="20" name="Image 3" descr="Picture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3964680" y="1809720"/>
          <a:ext cx="163080" cy="245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10</xdr:col>
      <xdr:colOff>284040</xdr:colOff>
      <xdr:row>8</xdr:row>
      <xdr:rowOff>66600</xdr:rowOff>
    </xdr:from>
    <xdr:to>
      <xdr:col>10</xdr:col>
      <xdr:colOff>447120</xdr:colOff>
      <xdr:row>8</xdr:row>
      <xdr:rowOff>312120</xdr:rowOff>
    </xdr:to>
    <xdr:pic>
      <xdr:nvPicPr>
        <xdr:cNvPr id="21" name="Image 4" descr="Picture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6572520" y="1809720"/>
          <a:ext cx="163080" cy="245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14</xdr:col>
      <xdr:colOff>284040</xdr:colOff>
      <xdr:row>8</xdr:row>
      <xdr:rowOff>66600</xdr:rowOff>
    </xdr:from>
    <xdr:to>
      <xdr:col>14</xdr:col>
      <xdr:colOff>447120</xdr:colOff>
      <xdr:row>8</xdr:row>
      <xdr:rowOff>312120</xdr:rowOff>
    </xdr:to>
    <xdr:pic>
      <xdr:nvPicPr>
        <xdr:cNvPr id="22" name="Image 5" descr="Picture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9180360" y="1809720"/>
          <a:ext cx="163080" cy="245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284040</xdr:colOff>
      <xdr:row>17</xdr:row>
      <xdr:rowOff>66600</xdr:rowOff>
    </xdr:from>
    <xdr:to>
      <xdr:col>2</xdr:col>
      <xdr:colOff>447120</xdr:colOff>
      <xdr:row>17</xdr:row>
      <xdr:rowOff>312120</xdr:rowOff>
    </xdr:to>
    <xdr:pic>
      <xdr:nvPicPr>
        <xdr:cNvPr id="23" name="Image 6" descr="Picture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1356480" y="3848040"/>
          <a:ext cx="163080" cy="245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284040</xdr:colOff>
      <xdr:row>17</xdr:row>
      <xdr:rowOff>66600</xdr:rowOff>
    </xdr:from>
    <xdr:to>
      <xdr:col>6</xdr:col>
      <xdr:colOff>447120</xdr:colOff>
      <xdr:row>17</xdr:row>
      <xdr:rowOff>312120</xdr:rowOff>
    </xdr:to>
    <xdr:pic>
      <xdr:nvPicPr>
        <xdr:cNvPr id="24" name="Image 7" descr="Picture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3964680" y="3848040"/>
          <a:ext cx="163080" cy="245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10</xdr:col>
      <xdr:colOff>284040</xdr:colOff>
      <xdr:row>17</xdr:row>
      <xdr:rowOff>66600</xdr:rowOff>
    </xdr:from>
    <xdr:to>
      <xdr:col>10</xdr:col>
      <xdr:colOff>447120</xdr:colOff>
      <xdr:row>17</xdr:row>
      <xdr:rowOff>312120</xdr:rowOff>
    </xdr:to>
    <xdr:pic>
      <xdr:nvPicPr>
        <xdr:cNvPr id="25" name="Image 8" descr="Picture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6572520" y="3848040"/>
          <a:ext cx="163080" cy="245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14</xdr:col>
      <xdr:colOff>284040</xdr:colOff>
      <xdr:row>17</xdr:row>
      <xdr:rowOff>66600</xdr:rowOff>
    </xdr:from>
    <xdr:to>
      <xdr:col>14</xdr:col>
      <xdr:colOff>447120</xdr:colOff>
      <xdr:row>17</xdr:row>
      <xdr:rowOff>312120</xdr:rowOff>
    </xdr:to>
    <xdr:pic>
      <xdr:nvPicPr>
        <xdr:cNvPr id="26" name="Image 9" descr="Picture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9180360" y="3848040"/>
          <a:ext cx="163080" cy="245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7</xdr:col>
      <xdr:colOff>9360</xdr:colOff>
      <xdr:row>42</xdr:row>
      <xdr:rowOff>154440</xdr:rowOff>
    </xdr:to>
    <xdr:graphicFrame macro="">
      <xdr:nvGraphicFramePr>
        <xdr:cNvPr id="27" name="Chart 1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57240</xdr:colOff>
      <xdr:row>0</xdr:row>
      <xdr:rowOff>77280</xdr:rowOff>
    </xdr:from>
    <xdr:to>
      <xdr:col>1</xdr:col>
      <xdr:colOff>41760</xdr:colOff>
      <xdr:row>0</xdr:row>
      <xdr:rowOff>303720</xdr:rowOff>
    </xdr:to>
    <xdr:pic>
      <xdr:nvPicPr>
        <xdr:cNvPr id="28" name="Image 2" descr="Picture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7240" y="77280"/>
          <a:ext cx="195840" cy="226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226800</xdr:colOff>
      <xdr:row>0</xdr:row>
      <xdr:rowOff>77280</xdr:rowOff>
    </xdr:from>
    <xdr:to>
      <xdr:col>1</xdr:col>
      <xdr:colOff>453240</xdr:colOff>
      <xdr:row>0</xdr:row>
      <xdr:rowOff>303720</xdr:rowOff>
    </xdr:to>
    <xdr:pic>
      <xdr:nvPicPr>
        <xdr:cNvPr id="29" name="Image 3" descr="Picture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438120" y="77280"/>
          <a:ext cx="226440" cy="226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51</xdr:row>
      <xdr:rowOff>0</xdr:rowOff>
    </xdr:from>
    <xdr:to>
      <xdr:col>6</xdr:col>
      <xdr:colOff>363960</xdr:colOff>
      <xdr:row>65</xdr:row>
      <xdr:rowOff>171000</xdr:rowOff>
    </xdr:to>
    <xdr:graphicFrame macro="">
      <xdr:nvGraphicFramePr>
        <xdr:cNvPr id="30" name="Chart 1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95400</xdr:colOff>
      <xdr:row>0</xdr:row>
      <xdr:rowOff>86805</xdr:rowOff>
    </xdr:from>
    <xdr:to>
      <xdr:col>5</xdr:col>
      <xdr:colOff>291240</xdr:colOff>
      <xdr:row>0</xdr:row>
      <xdr:rowOff>313245</xdr:rowOff>
    </xdr:to>
    <xdr:pic>
      <xdr:nvPicPr>
        <xdr:cNvPr id="31" name="Image 4" descr="Picture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4324680" y="86805"/>
          <a:ext cx="195840" cy="226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380880</xdr:colOff>
      <xdr:row>0</xdr:row>
      <xdr:rowOff>86805</xdr:rowOff>
    </xdr:from>
    <xdr:to>
      <xdr:col>5</xdr:col>
      <xdr:colOff>607320</xdr:colOff>
      <xdr:row>0</xdr:row>
      <xdr:rowOff>313245</xdr:rowOff>
    </xdr:to>
    <xdr:pic>
      <xdr:nvPicPr>
        <xdr:cNvPr id="32" name="Image 5" descr="Picture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4610160" y="86805"/>
          <a:ext cx="226440" cy="226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20160</xdr:colOff>
      <xdr:row>67</xdr:row>
      <xdr:rowOff>255240</xdr:rowOff>
    </xdr:from>
    <xdr:to>
      <xdr:col>0</xdr:col>
      <xdr:colOff>208080</xdr:colOff>
      <xdr:row>69</xdr:row>
      <xdr:rowOff>14400</xdr:rowOff>
    </xdr:to>
    <xdr:pic>
      <xdr:nvPicPr>
        <xdr:cNvPr id="33" name="Image 5" descr="Picture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20160" y="13885560"/>
          <a:ext cx="187920" cy="187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20160</xdr:colOff>
      <xdr:row>69</xdr:row>
      <xdr:rowOff>102600</xdr:rowOff>
    </xdr:from>
    <xdr:to>
      <xdr:col>0</xdr:col>
      <xdr:colOff>208080</xdr:colOff>
      <xdr:row>70</xdr:row>
      <xdr:rowOff>14400</xdr:rowOff>
    </xdr:to>
    <xdr:pic>
      <xdr:nvPicPr>
        <xdr:cNvPr id="34" name="Image 6" descr="Picture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20160" y="14161680"/>
          <a:ext cx="187920" cy="187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20160</xdr:colOff>
      <xdr:row>70</xdr:row>
      <xdr:rowOff>102600</xdr:rowOff>
    </xdr:from>
    <xdr:to>
      <xdr:col>0</xdr:col>
      <xdr:colOff>208080</xdr:colOff>
      <xdr:row>71</xdr:row>
      <xdr:rowOff>14400</xdr:rowOff>
    </xdr:to>
    <xdr:pic>
      <xdr:nvPicPr>
        <xdr:cNvPr id="35" name="Image 7" descr="Picture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0160" y="14437800"/>
          <a:ext cx="187920" cy="187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20160</xdr:colOff>
      <xdr:row>71</xdr:row>
      <xdr:rowOff>102960</xdr:rowOff>
    </xdr:from>
    <xdr:to>
      <xdr:col>0</xdr:col>
      <xdr:colOff>208080</xdr:colOff>
      <xdr:row>72</xdr:row>
      <xdr:rowOff>14400</xdr:rowOff>
    </xdr:to>
    <xdr:pic>
      <xdr:nvPicPr>
        <xdr:cNvPr id="36" name="Image 8" descr="Picture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20160" y="14714280"/>
          <a:ext cx="187920" cy="187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20160</xdr:colOff>
      <xdr:row>72</xdr:row>
      <xdr:rowOff>102600</xdr:rowOff>
    </xdr:from>
    <xdr:to>
      <xdr:col>0</xdr:col>
      <xdr:colOff>208080</xdr:colOff>
      <xdr:row>73</xdr:row>
      <xdr:rowOff>14400</xdr:rowOff>
    </xdr:to>
    <xdr:pic>
      <xdr:nvPicPr>
        <xdr:cNvPr id="37" name="Image 9" descr="Picture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20160" y="14990040"/>
          <a:ext cx="187920" cy="188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20160</xdr:colOff>
      <xdr:row>73</xdr:row>
      <xdr:rowOff>102600</xdr:rowOff>
    </xdr:from>
    <xdr:to>
      <xdr:col>0</xdr:col>
      <xdr:colOff>208080</xdr:colOff>
      <xdr:row>74</xdr:row>
      <xdr:rowOff>14400</xdr:rowOff>
    </xdr:to>
    <xdr:pic>
      <xdr:nvPicPr>
        <xdr:cNvPr id="38" name="Image 10" descr="Picture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20160" y="15266520"/>
          <a:ext cx="187920" cy="187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20160</xdr:colOff>
      <xdr:row>74</xdr:row>
      <xdr:rowOff>102960</xdr:rowOff>
    </xdr:from>
    <xdr:to>
      <xdr:col>0</xdr:col>
      <xdr:colOff>208080</xdr:colOff>
      <xdr:row>75</xdr:row>
      <xdr:rowOff>14760</xdr:rowOff>
    </xdr:to>
    <xdr:pic>
      <xdr:nvPicPr>
        <xdr:cNvPr id="39" name="Image 11" descr="Picture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20160" y="15543000"/>
          <a:ext cx="187920" cy="187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20160</xdr:colOff>
      <xdr:row>75</xdr:row>
      <xdr:rowOff>102960</xdr:rowOff>
    </xdr:from>
    <xdr:to>
      <xdr:col>0</xdr:col>
      <xdr:colOff>208080</xdr:colOff>
      <xdr:row>76</xdr:row>
      <xdr:rowOff>14400</xdr:rowOff>
    </xdr:to>
    <xdr:pic>
      <xdr:nvPicPr>
        <xdr:cNvPr id="40" name="Image 12" descr="Picture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PicPr/>
      </xdr:nvPicPr>
      <xdr:blipFill>
        <a:blip xmlns:r="http://schemas.openxmlformats.org/officeDocument/2006/relationships" r:embed="rId11"/>
        <a:stretch/>
      </xdr:blipFill>
      <xdr:spPr>
        <a:xfrm>
          <a:off x="20160" y="15819120"/>
          <a:ext cx="187920" cy="187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62</xdr:row>
      <xdr:rowOff>0</xdr:rowOff>
    </xdr:from>
    <xdr:to>
      <xdr:col>6</xdr:col>
      <xdr:colOff>363960</xdr:colOff>
      <xdr:row>82</xdr:row>
      <xdr:rowOff>111960</xdr:rowOff>
    </xdr:to>
    <xdr:graphicFrame macro="">
      <xdr:nvGraphicFramePr>
        <xdr:cNvPr id="41" name="Chart 1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84</xdr:row>
      <xdr:rowOff>0</xdr:rowOff>
    </xdr:from>
    <xdr:to>
      <xdr:col>6</xdr:col>
      <xdr:colOff>363960</xdr:colOff>
      <xdr:row>101</xdr:row>
      <xdr:rowOff>26280</xdr:rowOff>
    </xdr:to>
    <xdr:graphicFrame macro="">
      <xdr:nvGraphicFramePr>
        <xdr:cNvPr id="42" name="Chart 2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95400</xdr:colOff>
      <xdr:row>0</xdr:row>
      <xdr:rowOff>86805</xdr:rowOff>
    </xdr:from>
    <xdr:to>
      <xdr:col>5</xdr:col>
      <xdr:colOff>291240</xdr:colOff>
      <xdr:row>0</xdr:row>
      <xdr:rowOff>313245</xdr:rowOff>
    </xdr:to>
    <xdr:pic>
      <xdr:nvPicPr>
        <xdr:cNvPr id="43" name="Image 4" descr="Picture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4324680" y="86805"/>
          <a:ext cx="195840" cy="226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380880</xdr:colOff>
      <xdr:row>0</xdr:row>
      <xdr:rowOff>86805</xdr:rowOff>
    </xdr:from>
    <xdr:to>
      <xdr:col>5</xdr:col>
      <xdr:colOff>607320</xdr:colOff>
      <xdr:row>0</xdr:row>
      <xdr:rowOff>313245</xdr:rowOff>
    </xdr:to>
    <xdr:pic>
      <xdr:nvPicPr>
        <xdr:cNvPr id="44" name="Image 5" descr="Picture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4610160" y="86805"/>
          <a:ext cx="226440" cy="226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20160</xdr:colOff>
      <xdr:row>118</xdr:row>
      <xdr:rowOff>15120</xdr:rowOff>
    </xdr:from>
    <xdr:to>
      <xdr:col>0</xdr:col>
      <xdr:colOff>208080</xdr:colOff>
      <xdr:row>118</xdr:row>
      <xdr:rowOff>203040</xdr:rowOff>
    </xdr:to>
    <xdr:pic>
      <xdr:nvPicPr>
        <xdr:cNvPr id="45" name="Image 6" descr="Picture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20160" y="23341680"/>
          <a:ext cx="187920" cy="187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20160</xdr:colOff>
      <xdr:row>119</xdr:row>
      <xdr:rowOff>15120</xdr:rowOff>
    </xdr:from>
    <xdr:to>
      <xdr:col>0</xdr:col>
      <xdr:colOff>208080</xdr:colOff>
      <xdr:row>119</xdr:row>
      <xdr:rowOff>203040</xdr:rowOff>
    </xdr:to>
    <xdr:pic>
      <xdr:nvPicPr>
        <xdr:cNvPr id="46" name="Image 7" descr="Picture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0160" y="23618160"/>
          <a:ext cx="187920" cy="187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20160</xdr:colOff>
      <xdr:row>120</xdr:row>
      <xdr:rowOff>15120</xdr:rowOff>
    </xdr:from>
    <xdr:to>
      <xdr:col>0</xdr:col>
      <xdr:colOff>208080</xdr:colOff>
      <xdr:row>120</xdr:row>
      <xdr:rowOff>203040</xdr:rowOff>
    </xdr:to>
    <xdr:pic>
      <xdr:nvPicPr>
        <xdr:cNvPr id="47" name="Image 8" descr="Picture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20160" y="23894280"/>
          <a:ext cx="187920" cy="187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20160</xdr:colOff>
      <xdr:row>121</xdr:row>
      <xdr:rowOff>15120</xdr:rowOff>
    </xdr:from>
    <xdr:to>
      <xdr:col>0</xdr:col>
      <xdr:colOff>208080</xdr:colOff>
      <xdr:row>121</xdr:row>
      <xdr:rowOff>203040</xdr:rowOff>
    </xdr:to>
    <xdr:pic>
      <xdr:nvPicPr>
        <xdr:cNvPr id="48" name="Image 9" descr="Picture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20160" y="24170400"/>
          <a:ext cx="187920" cy="187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20160</xdr:colOff>
      <xdr:row>122</xdr:row>
      <xdr:rowOff>15120</xdr:rowOff>
    </xdr:from>
    <xdr:to>
      <xdr:col>0</xdr:col>
      <xdr:colOff>208080</xdr:colOff>
      <xdr:row>122</xdr:row>
      <xdr:rowOff>203040</xdr:rowOff>
    </xdr:to>
    <xdr:pic>
      <xdr:nvPicPr>
        <xdr:cNvPr id="49" name="Image 10" descr="Picture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20160" y="24446880"/>
          <a:ext cx="187920" cy="187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20160</xdr:colOff>
      <xdr:row>123</xdr:row>
      <xdr:rowOff>15120</xdr:rowOff>
    </xdr:from>
    <xdr:to>
      <xdr:col>0</xdr:col>
      <xdr:colOff>208080</xdr:colOff>
      <xdr:row>123</xdr:row>
      <xdr:rowOff>203040</xdr:rowOff>
    </xdr:to>
    <xdr:pic>
      <xdr:nvPicPr>
        <xdr:cNvPr id="50" name="Image 11" descr="Picture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20160" y="24723000"/>
          <a:ext cx="187920" cy="187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20160</xdr:colOff>
      <xdr:row>124</xdr:row>
      <xdr:rowOff>15120</xdr:rowOff>
    </xdr:from>
    <xdr:to>
      <xdr:col>0</xdr:col>
      <xdr:colOff>208080</xdr:colOff>
      <xdr:row>124</xdr:row>
      <xdr:rowOff>203040</xdr:rowOff>
    </xdr:to>
    <xdr:pic>
      <xdr:nvPicPr>
        <xdr:cNvPr id="51" name="Image 12" descr="Picture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PicPr/>
      </xdr:nvPicPr>
      <xdr:blipFill>
        <a:blip xmlns:r="http://schemas.openxmlformats.org/officeDocument/2006/relationships" r:embed="rId11"/>
        <a:stretch/>
      </xdr:blipFill>
      <xdr:spPr>
        <a:xfrm>
          <a:off x="20160" y="24999120"/>
          <a:ext cx="187920" cy="187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20160</xdr:colOff>
      <xdr:row>125</xdr:row>
      <xdr:rowOff>15120</xdr:rowOff>
    </xdr:from>
    <xdr:to>
      <xdr:col>0</xdr:col>
      <xdr:colOff>208080</xdr:colOff>
      <xdr:row>125</xdr:row>
      <xdr:rowOff>203040</xdr:rowOff>
    </xdr:to>
    <xdr:pic>
      <xdr:nvPicPr>
        <xdr:cNvPr id="52" name="Image 13" descr="Picture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20160" y="25275600"/>
          <a:ext cx="187920" cy="187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7</xdr:col>
      <xdr:colOff>682920</xdr:colOff>
      <xdr:row>41</xdr:row>
      <xdr:rowOff>56520</xdr:rowOff>
    </xdr:to>
    <xdr:graphicFrame macro="">
      <xdr:nvGraphicFramePr>
        <xdr:cNvPr id="53" name="Chart 1">
          <a:extLst>
            <a:ext uri="{FF2B5EF4-FFF2-40B4-BE49-F238E27FC236}">
              <a16:creationId xmlns:a16="http://schemas.microsoft.com/office/drawing/2014/main" id="{00000000-0008-0000-0700-00003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38</xdr:row>
      <xdr:rowOff>0</xdr:rowOff>
    </xdr:from>
    <xdr:to>
      <xdr:col>7</xdr:col>
      <xdr:colOff>682920</xdr:colOff>
      <xdr:row>59</xdr:row>
      <xdr:rowOff>132480</xdr:rowOff>
    </xdr:to>
    <xdr:graphicFrame macro="">
      <xdr:nvGraphicFramePr>
        <xdr:cNvPr id="54" name="Chart 2">
          <a:extLst>
            <a:ext uri="{FF2B5EF4-FFF2-40B4-BE49-F238E27FC236}">
              <a16:creationId xmlns:a16="http://schemas.microsoft.com/office/drawing/2014/main" id="{00000000-0008-0000-0700-00003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7</xdr:col>
      <xdr:colOff>38160</xdr:colOff>
      <xdr:row>0</xdr:row>
      <xdr:rowOff>86805</xdr:rowOff>
    </xdr:from>
    <xdr:to>
      <xdr:col>7</xdr:col>
      <xdr:colOff>234000</xdr:colOff>
      <xdr:row>0</xdr:row>
      <xdr:rowOff>313245</xdr:rowOff>
    </xdr:to>
    <xdr:pic>
      <xdr:nvPicPr>
        <xdr:cNvPr id="55" name="Image 3" descr="Picture"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269320" y="86805"/>
          <a:ext cx="195840" cy="226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324000</xdr:colOff>
      <xdr:row>0</xdr:row>
      <xdr:rowOff>86805</xdr:rowOff>
    </xdr:from>
    <xdr:to>
      <xdr:col>7</xdr:col>
      <xdr:colOff>550440</xdr:colOff>
      <xdr:row>0</xdr:row>
      <xdr:rowOff>313245</xdr:rowOff>
    </xdr:to>
    <xdr:pic>
      <xdr:nvPicPr>
        <xdr:cNvPr id="56" name="Image 4" descr="Picture">
          <a:extLst>
            <a:ext uri="{FF2B5EF4-FFF2-40B4-BE49-F238E27FC236}">
              <a16:creationId xmlns:a16="http://schemas.microsoft.com/office/drawing/2014/main" id="{00000000-0008-0000-0700-000038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5555160" y="86805"/>
          <a:ext cx="226440" cy="22644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Saisie" displayName="TableSaisie" ref="B6:R1206" totalsRowShown="0">
  <autoFilter ref="B6:R1206" xr:uid="{00000000-0009-0000-0100-000001000000}"/>
  <tableColumns count="17">
    <tableColumn id="1" xr3:uid="{00000000-0010-0000-0000-000001000000}" name="Année_x000a_scolaire"/>
    <tableColumn id="2" xr3:uid="{00000000-0010-0000-0000-000002000000}" name="Niveau_x000a_scolaire"/>
    <tableColumn id="3" xr3:uid="{00000000-0010-0000-0000-000003000000}" name="Session"/>
    <tableColumn id="4" xr3:uid="{00000000-0010-0000-0000-000004000000}" name="ID Élève_x000a_(auto)"/>
    <tableColumn id="5" xr3:uid="{00000000-0010-0000-0000-000005000000}" name="Nom"/>
    <tableColumn id="6" xr3:uid="{00000000-0010-0000-0000-000006000000}" name="Prénom"/>
    <tableColumn id="7" xr3:uid="{00000000-0010-0000-0000-000007000000}" name="Sexe"/>
    <tableColumn id="8" xr3:uid="{00000000-0010-0000-0000-000008000000}" name="Né(e) en_x000a_(facultatif)"/>
    <tableColumn id="9" xr3:uid="{00000000-0010-0000-0000-000009000000}" name="Équilibre_x000a_secondes"/>
    <tableColumn id="10" xr3:uid="{00000000-0010-0000-0000-00000A000000}" name="Souplesse_x000a_zone (1-5)"/>
    <tableColumn id="11" xr3:uid="{00000000-0010-0000-0000-00000B000000}" name="Vitesse_x000a_mètres (/6s)"/>
    <tableColumn id="12" xr3:uid="{00000000-0010-0000-0000-00000C000000}" name="Endurance_x000a_longueurs (/3min)"/>
    <tableColumn id="13" xr3:uid="{00000000-0010-0000-0000-00000D000000}" name="Coordination_x000a_cases (/30s)"/>
    <tableColumn id="14" xr3:uid="{00000000-0010-0000-0000-00000E000000}" name="Gainage_x000a_secondes"/>
    <tableColumn id="15" xr3:uid="{00000000-0010-0000-0000-00000F000000}" name="Adresse_x000a_lancers réussis"/>
    <tableColumn id="16" xr3:uid="{00000000-0010-0000-0000-000010000000}" name="Force des jambes_x000a_mètres"/>
    <tableColumn id="17" xr3:uid="{00000000-0010-0000-0000-000011000000}" name="Éta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4E79"/>
    <pageSetUpPr fitToPage="1"/>
  </sheetPr>
  <dimension ref="A1:P240"/>
  <sheetViews>
    <sheetView showGridLines="0" topLeftCell="A2" zoomScaleNormal="100" workbookViewId="0">
      <selection activeCell="K19" sqref="K19:L19"/>
    </sheetView>
  </sheetViews>
  <sheetFormatPr baseColWidth="10" defaultColWidth="8.88671875" defaultRowHeight="14.4" x14ac:dyDescent="0.3"/>
  <cols>
    <col min="1" max="1" width="2.21875" customWidth="1"/>
    <col min="2" max="13" width="9.21875" customWidth="1"/>
  </cols>
  <sheetData>
    <row r="1" spans="1:13" ht="30" customHeight="1" x14ac:dyDescent="0.3">
      <c r="A1" s="1"/>
      <c r="B1" s="1"/>
      <c r="C1" s="1"/>
      <c r="D1" s="226" t="s">
        <v>0</v>
      </c>
      <c r="E1" s="226"/>
      <c r="F1" s="226"/>
      <c r="G1" s="226"/>
      <c r="H1" s="226"/>
      <c r="I1" s="226"/>
      <c r="J1" s="226"/>
      <c r="K1" s="1"/>
      <c r="L1" s="1"/>
      <c r="M1" s="1"/>
    </row>
    <row r="2" spans="1:13" ht="30" customHeight="1" x14ac:dyDescent="0.3">
      <c r="A2" s="1"/>
      <c r="B2" s="1"/>
      <c r="C2" s="1"/>
      <c r="D2" s="226"/>
      <c r="E2" s="226"/>
      <c r="F2" s="226"/>
      <c r="G2" s="226"/>
      <c r="H2" s="226"/>
      <c r="I2" s="226"/>
      <c r="J2" s="226"/>
      <c r="K2" s="1"/>
      <c r="L2" s="1"/>
      <c r="M2" s="1"/>
    </row>
    <row r="3" spans="1:13" ht="19.5" customHeight="1" x14ac:dyDescent="0.3">
      <c r="A3" s="227" t="str">
        <f>IF(T(ETABLISSEMENT_NOM)="",CONCATENATE("⚠ Renseigner ÉCOLE et VILLE dans l'onglet SAISIE   |   Année scolaire active : ",ANNEE_ACTIVE),CONCATENATE(ETABLISSEMENT_NOM," — ",PARAMETRES!C5,"   |   Année scolaire active : ",ANNEE_ACTIVE))</f>
        <v>⚠ Renseigner ÉCOLE et VILLE dans l'onglet SAISIE   |   Année scolaire active : 2025-2026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7.5" customHeight="1" x14ac:dyDescent="0.3"/>
    <row r="5" spans="1:13" ht="21.75" customHeight="1" x14ac:dyDescent="0.3">
      <c r="A5" s="228" t="s">
        <v>1</v>
      </c>
      <c r="B5" s="228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</row>
    <row r="6" spans="1:13" ht="6" customHeight="1" x14ac:dyDescent="0.3"/>
    <row r="7" spans="1:13" ht="6" customHeight="1" x14ac:dyDescent="0.3">
      <c r="A7" s="229"/>
      <c r="B7" s="229"/>
      <c r="C7" s="229"/>
      <c r="D7" s="230"/>
      <c r="E7" s="230"/>
      <c r="F7" s="230"/>
      <c r="G7" s="231"/>
      <c r="H7" s="231"/>
      <c r="I7" s="231"/>
      <c r="J7" s="232"/>
      <c r="K7" s="232"/>
      <c r="L7" s="232"/>
    </row>
    <row r="8" spans="1:13" ht="49.5" customHeight="1" x14ac:dyDescent="0.3">
      <c r="A8" s="229"/>
      <c r="B8" s="229"/>
      <c r="C8" s="229"/>
      <c r="D8" s="230"/>
      <c r="E8" s="230"/>
      <c r="F8" s="230"/>
      <c r="G8" s="231"/>
      <c r="H8" s="231"/>
      <c r="I8" s="231"/>
      <c r="J8" s="232"/>
      <c r="K8" s="232"/>
      <c r="L8" s="232"/>
    </row>
    <row r="9" spans="1:13" ht="19.5" customHeight="1" x14ac:dyDescent="0.3">
      <c r="A9" s="233" t="s">
        <v>2</v>
      </c>
      <c r="B9" s="233"/>
      <c r="C9" s="233"/>
      <c r="D9" s="234" t="s">
        <v>3</v>
      </c>
      <c r="E9" s="234"/>
      <c r="F9" s="234"/>
      <c r="G9" s="235" t="s">
        <v>4</v>
      </c>
      <c r="H9" s="235"/>
      <c r="I9" s="235"/>
      <c r="J9" s="236" t="s">
        <v>5</v>
      </c>
      <c r="K9" s="236"/>
      <c r="L9" s="236"/>
    </row>
    <row r="10" spans="1:13" ht="6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2" spans="1:13" ht="6" customHeight="1" x14ac:dyDescent="0.3">
      <c r="A12" s="237"/>
      <c r="B12" s="237"/>
      <c r="C12" s="237"/>
      <c r="D12" s="238"/>
      <c r="E12" s="238"/>
      <c r="F12" s="238"/>
      <c r="G12" s="239"/>
      <c r="H12" s="239"/>
      <c r="I12" s="239"/>
      <c r="J12" s="240"/>
      <c r="K12" s="240"/>
      <c r="L12" s="240"/>
    </row>
    <row r="13" spans="1:13" ht="49.5" customHeight="1" x14ac:dyDescent="0.3">
      <c r="A13" s="237"/>
      <c r="B13" s="237"/>
      <c r="C13" s="237"/>
      <c r="D13" s="238"/>
      <c r="E13" s="238"/>
      <c r="F13" s="238"/>
      <c r="G13" s="239"/>
      <c r="H13" s="239"/>
      <c r="I13" s="239"/>
      <c r="J13" s="240"/>
      <c r="K13" s="240"/>
      <c r="L13" s="240"/>
    </row>
    <row r="14" spans="1:13" ht="19.5" customHeight="1" x14ac:dyDescent="0.3">
      <c r="A14" s="241" t="s">
        <v>6</v>
      </c>
      <c r="B14" s="241"/>
      <c r="C14" s="241"/>
      <c r="D14" s="242" t="s">
        <v>7</v>
      </c>
      <c r="E14" s="242"/>
      <c r="F14" s="242"/>
      <c r="G14" s="243" t="s">
        <v>8</v>
      </c>
      <c r="H14" s="243"/>
      <c r="I14" s="243"/>
      <c r="J14" s="244" t="s">
        <v>9</v>
      </c>
      <c r="K14" s="244"/>
      <c r="L14" s="244"/>
    </row>
    <row r="15" spans="1:13" ht="6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3" ht="7.5" customHeight="1" x14ac:dyDescent="0.3"/>
    <row r="17" spans="1:13" ht="21.75" customHeight="1" x14ac:dyDescent="0.3">
      <c r="A17" s="228" t="s">
        <v>10</v>
      </c>
      <c r="B17" s="228"/>
      <c r="C17" s="228"/>
      <c r="D17" s="228"/>
      <c r="E17" s="228"/>
      <c r="F17" s="228"/>
      <c r="G17" s="228"/>
      <c r="H17" s="228"/>
      <c r="I17" s="228"/>
      <c r="J17" s="228"/>
      <c r="K17" s="228"/>
      <c r="L17" s="228"/>
      <c r="M17" s="228"/>
    </row>
    <row r="18" spans="1:13" ht="24" customHeight="1" x14ac:dyDescent="0.3">
      <c r="B18" s="245" t="s">
        <v>11</v>
      </c>
      <c r="C18" s="245"/>
      <c r="D18" s="245" t="s">
        <v>12</v>
      </c>
      <c r="E18" s="245"/>
      <c r="F18" s="245" t="s">
        <v>13</v>
      </c>
      <c r="G18" s="245"/>
      <c r="H18" s="245" t="s">
        <v>14</v>
      </c>
      <c r="I18" s="245"/>
      <c r="J18" s="245"/>
      <c r="K18" s="245" t="s">
        <v>15</v>
      </c>
      <c r="L18" s="245"/>
    </row>
    <row r="19" spans="1:13" ht="30" customHeight="1" x14ac:dyDescent="0.3">
      <c r="B19" s="246">
        <f>SUMPRODUCT((D_ANNEE=ANNEE_ACTIVE)*(D_ID&lt;&gt;"")/DONNEES!$AP$2:$AP$1201)</f>
        <v>0</v>
      </c>
      <c r="C19" s="246"/>
      <c r="D19" s="246">
        <f>SUMPRODUCT(--((C220:C224+D220:D224)&gt;0))</f>
        <v>0</v>
      </c>
      <c r="E19" s="246"/>
      <c r="F19" s="246">
        <f>SUM(F220:F224)</f>
        <v>0</v>
      </c>
      <c r="G19" s="246"/>
      <c r="H19" s="246" t="str">
        <f>IF(SUM(G220:G224)=0,"—",TEXT(SUM(F220:F224)/SUM(G220:G224),"0%"))</f>
        <v>—</v>
      </c>
      <c r="I19" s="246"/>
      <c r="J19" s="246"/>
      <c r="K19" s="246" t="str">
        <f>ANNEE_ACTIVE</f>
        <v>2025-2026</v>
      </c>
      <c r="L19" s="246"/>
    </row>
    <row r="20" spans="1:13" ht="12.75" customHeight="1" x14ac:dyDescent="0.3">
      <c r="B20" s="247" t="s">
        <v>16</v>
      </c>
      <c r="C20" s="247"/>
      <c r="D20" s="247" t="s">
        <v>17</v>
      </c>
      <c r="E20" s="247"/>
      <c r="F20" s="247" t="s">
        <v>18</v>
      </c>
      <c r="G20" s="247"/>
      <c r="H20" s="247" t="s">
        <v>19</v>
      </c>
      <c r="I20" s="247"/>
      <c r="J20" s="247"/>
      <c r="K20" s="247" t="s">
        <v>20</v>
      </c>
      <c r="L20" s="247"/>
    </row>
    <row r="21" spans="1:13" ht="9.75" customHeight="1" x14ac:dyDescent="0.3"/>
    <row r="22" spans="1:13" ht="21.75" customHeight="1" x14ac:dyDescent="0.3">
      <c r="A22" s="228" t="s">
        <v>21</v>
      </c>
      <c r="B22" s="228"/>
      <c r="C22" s="228"/>
      <c r="D22" s="228"/>
      <c r="E22" s="228"/>
      <c r="F22" s="228"/>
      <c r="G22" s="228"/>
      <c r="H22" s="228"/>
      <c r="I22" s="228"/>
      <c r="J22" s="228"/>
      <c r="K22" s="228"/>
      <c r="L22" s="228"/>
      <c r="M22" s="228"/>
    </row>
    <row r="23" spans="1:13" ht="24" customHeight="1" x14ac:dyDescent="0.3">
      <c r="A23" s="245" t="s">
        <v>22</v>
      </c>
      <c r="B23" s="245"/>
      <c r="C23" s="245"/>
      <c r="D23" s="245" t="s">
        <v>23</v>
      </c>
      <c r="E23" s="245"/>
      <c r="F23" s="245"/>
      <c r="G23" s="245" t="s">
        <v>24</v>
      </c>
      <c r="H23" s="245"/>
      <c r="I23" s="245"/>
      <c r="J23" s="245" t="s">
        <v>25</v>
      </c>
      <c r="K23" s="245"/>
      <c r="L23" s="245"/>
      <c r="M23" s="2"/>
    </row>
    <row r="24" spans="1:13" ht="25.5" customHeight="1" x14ac:dyDescent="0.3">
      <c r="A24" s="248">
        <f>SUM(C220:C224)+SUM(D220:D224)</f>
        <v>0</v>
      </c>
      <c r="B24" s="248"/>
      <c r="C24" s="248"/>
      <c r="D24" s="248" t="str">
        <f>IF(OR(IFERROR(ROUND(AVERAGEIFS(D_MOYNIV,D_ANNEE,ANNEE_ACTIVE,D_SESSION,"S1"),2),"")="",IFERROR(ROUND(AVERAGEIFS(D_MOYNIV,D_ANNEE,ANNEE_ACTIVE,D_SESSION,"S2"),2),"")=""),"—",IF(IFERROR(ROUND(AVERAGEIFS(D_MOYNIV,D_ANNEE,ANNEE_ACTIVE,D_SESSION,"S2"),2),"")&gt;IFERROR(ROUND(AVERAGEIFS(D_MOYNIV,D_ANNEE,ANNEE_ACTIVE,D_SESSION,"S1"),2),""),"▲ +"&amp;ROUND(IFERROR(ROUND(AVERAGEIFS(D_MOYNIV,D_ANNEE,ANNEE_ACTIVE,D_SESSION,"S2"),2),"")-IFERROR(ROUND(AVERAGEIFS(D_MOYNIV,D_ANNEE,ANNEE_ACTIVE,D_SESSION,"S1"),2),""),2),IF(IFERROR(ROUND(AVERAGEIFS(D_MOYNIV,D_ANNEE,ANNEE_ACTIVE,D_SESSION,"S2"),2),"")&lt;IFERROR(ROUND(AVERAGEIFS(D_MOYNIV,D_ANNEE,ANNEE_ACTIVE,D_SESSION,"S1"),2),""),"▼ "&amp;ROUND(IFERROR(ROUND(AVERAGEIFS(D_MOYNIV,D_ANNEE,ANNEE_ACTIVE,D_SESSION,"S2"),2),"")-IFERROR(ROUND(AVERAGEIFS(D_MOYNIV,D_ANNEE,ANNEE_ACTIVE,D_SESSION,"S1"),2),""),2),"➜ stable")))</f>
        <v>—</v>
      </c>
      <c r="E24" s="248"/>
      <c r="F24" s="248"/>
      <c r="G24" s="248" t="str">
        <f>IFERROR(INDEX(B227:B234,MATCH(MAX(C227:C234),C227:C234,0)),"—")</f>
        <v>—</v>
      </c>
      <c r="H24" s="248"/>
      <c r="I24" s="248"/>
      <c r="J24" s="248" t="str">
        <f>IFERROR(INDEX(B227:B234,MATCH(MIN(C227:C234),C227:C234,0)),"—")</f>
        <v>—</v>
      </c>
      <c r="K24" s="248"/>
      <c r="L24" s="248"/>
      <c r="M24" s="2"/>
    </row>
    <row r="25" spans="1:13" ht="12.75" customHeight="1" x14ac:dyDescent="0.3">
      <c r="A25" s="249" t="s">
        <v>26</v>
      </c>
      <c r="B25" s="249"/>
      <c r="C25" s="249"/>
      <c r="D25" s="249" t="s">
        <v>27</v>
      </c>
      <c r="E25" s="249"/>
      <c r="F25" s="249"/>
      <c r="G25" s="249" t="s">
        <v>28</v>
      </c>
      <c r="H25" s="249"/>
      <c r="I25" s="249"/>
      <c r="J25" s="249" t="s">
        <v>29</v>
      </c>
      <c r="K25" s="249"/>
      <c r="L25" s="249"/>
      <c r="M25" s="2"/>
    </row>
    <row r="26" spans="1:13" ht="7.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19.5" customHeight="1" x14ac:dyDescent="0.3">
      <c r="A27" s="250" t="s">
        <v>30</v>
      </c>
      <c r="B27" s="250"/>
      <c r="C27" s="250"/>
      <c r="D27" s="250"/>
      <c r="E27" s="250"/>
      <c r="F27" s="250"/>
      <c r="G27" s="250"/>
      <c r="H27" s="250"/>
      <c r="I27" s="250"/>
      <c r="J27" s="250"/>
      <c r="K27" s="250"/>
      <c r="L27" s="250"/>
      <c r="M27" s="250"/>
    </row>
    <row r="28" spans="1:13" ht="31.5" customHeight="1" x14ac:dyDescent="0.3">
      <c r="A28" s="251" t="str">
        <f>"1 · "&amp;TEXT(N236,"0%")</f>
        <v>1 · 0%</v>
      </c>
      <c r="B28" s="251"/>
      <c r="C28" s="252" t="str">
        <f>"2 · "&amp;TEXT(N237,"0%")</f>
        <v>2 · 0%</v>
      </c>
      <c r="D28" s="252"/>
      <c r="E28" s="253" t="str">
        <f>"3 · "&amp;TEXT(N238,"0%")</f>
        <v>3 · 0%</v>
      </c>
      <c r="F28" s="253"/>
      <c r="G28" s="254" t="str">
        <f>"4 · "&amp;TEXT(N239,"0%")</f>
        <v>4 · 0%</v>
      </c>
      <c r="H28" s="254"/>
      <c r="I28" s="255" t="str">
        <f>"5 · "&amp;TEXT(N240,"0%")</f>
        <v>5 · 0%</v>
      </c>
      <c r="J28" s="255"/>
      <c r="K28" s="255"/>
      <c r="L28" s="255"/>
      <c r="M28" s="255"/>
    </row>
    <row r="29" spans="1:13" ht="7.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9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9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15.75" customHeight="1" x14ac:dyDescent="0.3">
      <c r="A32" s="3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21.75" customHeight="1" x14ac:dyDescent="0.3">
      <c r="A33" s="228" t="s">
        <v>31</v>
      </c>
      <c r="B33" s="228"/>
      <c r="C33" s="228"/>
      <c r="D33" s="228"/>
      <c r="E33" s="228"/>
      <c r="F33" s="228"/>
      <c r="G33" s="228"/>
      <c r="H33" s="228"/>
      <c r="I33" s="228"/>
      <c r="J33" s="228"/>
      <c r="K33" s="228"/>
      <c r="L33" s="228"/>
      <c r="M33" s="228"/>
    </row>
    <row r="34" spans="1:13" ht="6" customHeight="1" x14ac:dyDescent="0.3"/>
    <row r="35" spans="1:13" ht="15.75" customHeight="1" x14ac:dyDescent="0.3">
      <c r="A35" s="256" t="str">
        <f>HYPERLINK("#'SAISIE'!A1","SAISIE
Saisir les performances")</f>
        <v>SAISIE
Saisir les performances</v>
      </c>
      <c r="B35" s="256"/>
      <c r="C35" s="256"/>
      <c r="D35" s="256"/>
      <c r="E35" s="257" t="str">
        <f>HYPERLINK("#'PROFIL ELEVE'!A1","PROFIL ELEVE
Fiche individuelle élève")</f>
        <v>PROFIL ELEVE
Fiche individuelle élève</v>
      </c>
      <c r="F35" s="257"/>
      <c r="G35" s="257"/>
      <c r="H35" s="257"/>
      <c r="I35" s="256" t="str">
        <f>HYPERLINK("#'STATS NIVEAU'!A1","STATS NIVEAU
Statistiques par niveau")</f>
        <v>STATS NIVEAU
Statistiques par niveau</v>
      </c>
      <c r="J35" s="256"/>
      <c r="K35" s="256"/>
      <c r="L35" s="256"/>
    </row>
    <row r="36" spans="1:13" ht="15.75" customHeight="1" x14ac:dyDescent="0.3">
      <c r="A36" s="256"/>
      <c r="B36" s="256"/>
      <c r="C36" s="256"/>
      <c r="D36" s="256"/>
      <c r="E36" s="257"/>
      <c r="F36" s="257"/>
      <c r="G36" s="257"/>
      <c r="H36" s="257"/>
      <c r="I36" s="256"/>
      <c r="J36" s="256"/>
      <c r="K36" s="256"/>
      <c r="L36" s="256"/>
    </row>
    <row r="37" spans="1:13" ht="9.75" customHeight="1" x14ac:dyDescent="0.3">
      <c r="A37" s="256"/>
      <c r="B37" s="256"/>
      <c r="C37" s="256"/>
      <c r="D37" s="256"/>
      <c r="E37" s="257"/>
      <c r="F37" s="257"/>
      <c r="G37" s="257"/>
      <c r="H37" s="257"/>
      <c r="I37" s="256"/>
      <c r="J37" s="256"/>
      <c r="K37" s="256"/>
      <c r="L37" s="256"/>
    </row>
    <row r="39" spans="1:13" ht="15.75" customHeight="1" x14ac:dyDescent="0.3">
      <c r="A39" s="257" t="str">
        <f>HYPERLINK("#'STATS ECOLE'!A1","STATS ECOLE
Vue établissement")</f>
        <v>STATS ECOLE
Vue établissement</v>
      </c>
      <c r="B39" s="257"/>
      <c r="C39" s="257"/>
      <c r="D39" s="257"/>
      <c r="E39" s="256" t="str">
        <f>HYPERLINK("#'SUIVI LONGITUDINAL'!A1","SUIVI LONGITUDINAL
Progression CP → CM2")</f>
        <v>SUIVI LONGITUDINAL
Progression CP → CM2</v>
      </c>
      <c r="F39" s="256"/>
      <c r="G39" s="256"/>
      <c r="H39" s="256"/>
      <c r="I39" s="258" t="str">
        <f>HYPERLINK("#'EXPORT UGSEL'!A1","EXPORT UGSEL
Export anonymisé")</f>
        <v>EXPORT UGSEL
Export anonymisé</v>
      </c>
      <c r="J39" s="258"/>
      <c r="K39" s="258"/>
      <c r="L39" s="258"/>
    </row>
    <row r="40" spans="1:13" ht="15.75" customHeight="1" x14ac:dyDescent="0.3">
      <c r="A40" s="257"/>
      <c r="B40" s="257"/>
      <c r="C40" s="257"/>
      <c r="D40" s="257"/>
      <c r="E40" s="256"/>
      <c r="F40" s="256"/>
      <c r="G40" s="256"/>
      <c r="H40" s="256"/>
      <c r="I40" s="258"/>
      <c r="J40" s="258"/>
      <c r="K40" s="258"/>
      <c r="L40" s="258"/>
    </row>
    <row r="41" spans="1:13" ht="9.75" customHeight="1" x14ac:dyDescent="0.3">
      <c r="A41" s="257"/>
      <c r="B41" s="257"/>
      <c r="C41" s="257"/>
      <c r="D41" s="257"/>
      <c r="E41" s="256"/>
      <c r="F41" s="256"/>
      <c r="G41" s="256"/>
      <c r="H41" s="256"/>
      <c r="I41" s="258"/>
      <c r="J41" s="258"/>
      <c r="K41" s="258"/>
      <c r="L41" s="258"/>
    </row>
    <row r="42" spans="1:13" ht="9.75" customHeight="1" x14ac:dyDescent="0.3"/>
    <row r="43" spans="1:13" ht="15.75" customHeight="1" x14ac:dyDescent="0.3">
      <c r="A43" s="256" t="str">
        <f>HYPERLINK("#'FICHE PARENTS'!A1","FICHE PARENTS
Document imprimable famille")</f>
        <v>FICHE PARENTS
Document imprimable famille</v>
      </c>
      <c r="B43" s="256"/>
      <c r="C43" s="256"/>
      <c r="D43" s="256"/>
      <c r="E43" s="257" t="str">
        <f>HYPERLINK("#COHORTE!A1","COHORTE
Suivi d'une classe entière")</f>
        <v>COHORTE
Suivi d'une classe entière</v>
      </c>
      <c r="F43" s="257"/>
      <c r="G43" s="257"/>
      <c r="H43" s="257"/>
      <c r="I43" s="258" t="str">
        <f>HYPERLINK("#'EXPORT BRUT'!A1","EXPORT BRUT
Données complètes à plat")</f>
        <v>EXPORT BRUT
Données complètes à plat</v>
      </c>
      <c r="J43" s="258"/>
      <c r="K43" s="258"/>
      <c r="L43" s="258"/>
    </row>
    <row r="44" spans="1:13" ht="15.75" customHeight="1" x14ac:dyDescent="0.3">
      <c r="A44" s="256"/>
      <c r="B44" s="256"/>
      <c r="C44" s="256"/>
      <c r="D44" s="256"/>
      <c r="E44" s="257"/>
      <c r="F44" s="257"/>
      <c r="G44" s="257"/>
      <c r="H44" s="257"/>
      <c r="I44" s="258"/>
      <c r="J44" s="258"/>
      <c r="K44" s="258"/>
      <c r="L44" s="258"/>
    </row>
    <row r="45" spans="1:13" ht="9.75" customHeight="1" x14ac:dyDescent="0.3">
      <c r="A45" s="256"/>
      <c r="B45" s="256"/>
      <c r="C45" s="256"/>
      <c r="D45" s="256"/>
      <c r="E45" s="257"/>
      <c r="F45" s="257"/>
      <c r="G45" s="257"/>
      <c r="H45" s="257"/>
      <c r="I45" s="258"/>
      <c r="J45" s="258"/>
      <c r="K45" s="258"/>
      <c r="L45" s="258"/>
    </row>
    <row r="47" spans="1:13" ht="15.75" customHeight="1" x14ac:dyDescent="0.3">
      <c r="A47" s="257" t="str">
        <f>HYPERLINK("#PARAMETRES!A1","PARAMETRES
Seuils, listes, année active")</f>
        <v>PARAMETRES
Seuils, listes, année active</v>
      </c>
      <c r="B47" s="257"/>
      <c r="C47" s="257"/>
      <c r="D47" s="257"/>
      <c r="E47" s="256" t="str">
        <f>HYPERLINK("#AIDE!A1","AIDE
Mode d'emploi")</f>
        <v>AIDE
Mode d'emploi</v>
      </c>
      <c r="F47" s="256"/>
      <c r="G47" s="256"/>
      <c r="H47" s="256"/>
      <c r="I47" s="256" t="str">
        <f>HYPERLINK("#RESSOURCES!A1","RESSOURCES
Liens et documents UGSEL")</f>
        <v>RESSOURCES
Liens et documents UGSEL</v>
      </c>
      <c r="J47" s="256"/>
      <c r="K47" s="256"/>
      <c r="L47" s="256"/>
    </row>
    <row r="48" spans="1:13" ht="15.75" customHeight="1" x14ac:dyDescent="0.3">
      <c r="A48" s="257"/>
      <c r="B48" s="257"/>
      <c r="C48" s="257"/>
      <c r="D48" s="257"/>
      <c r="E48" s="256"/>
      <c r="F48" s="256"/>
      <c r="G48" s="256"/>
      <c r="H48" s="256"/>
      <c r="I48" s="256"/>
      <c r="J48" s="256"/>
      <c r="K48" s="256"/>
      <c r="L48" s="256"/>
    </row>
    <row r="49" spans="1:13" ht="9.75" customHeight="1" x14ac:dyDescent="0.3">
      <c r="A49" s="257"/>
      <c r="B49" s="257"/>
      <c r="C49" s="257"/>
      <c r="D49" s="257"/>
      <c r="E49" s="256"/>
      <c r="F49" s="256"/>
      <c r="G49" s="256"/>
      <c r="H49" s="256"/>
      <c r="I49" s="256"/>
      <c r="J49" s="256"/>
      <c r="K49" s="256"/>
      <c r="L49" s="256"/>
    </row>
    <row r="51" spans="1:13" ht="15.75" customHeight="1" x14ac:dyDescent="0.3">
      <c r="A51" s="263" t="s">
        <v>32</v>
      </c>
      <c r="B51" s="263"/>
      <c r="C51" s="263"/>
      <c r="D51" s="263"/>
      <c r="E51" s="263"/>
      <c r="F51" s="263"/>
      <c r="G51" s="263"/>
      <c r="H51" s="263"/>
      <c r="I51" s="263"/>
      <c r="J51" s="263"/>
      <c r="K51" s="263"/>
      <c r="L51" s="263"/>
      <c r="M51" s="263"/>
    </row>
    <row r="53" spans="1:13" ht="21.75" customHeight="1" x14ac:dyDescent="0.3">
      <c r="A53" s="228" t="s">
        <v>403</v>
      </c>
      <c r="B53" s="228"/>
      <c r="C53" s="228"/>
      <c r="D53" s="228"/>
      <c r="E53" s="228"/>
      <c r="F53" s="228"/>
      <c r="G53" s="228"/>
      <c r="H53" s="228"/>
      <c r="I53" s="228"/>
      <c r="J53" s="228"/>
      <c r="K53" s="228"/>
      <c r="L53" s="228"/>
      <c r="M53" s="228"/>
    </row>
    <row r="55" spans="1:13" ht="15.75" customHeight="1" x14ac:dyDescent="0.3">
      <c r="B55" s="56" t="s">
        <v>33</v>
      </c>
      <c r="C55" s="260" t="s">
        <v>404</v>
      </c>
      <c r="D55" s="260"/>
      <c r="E55" s="260" t="s">
        <v>405</v>
      </c>
      <c r="F55" s="260"/>
      <c r="G55" s="260" t="s">
        <v>406</v>
      </c>
      <c r="H55" s="260"/>
      <c r="I55" s="260" t="s">
        <v>407</v>
      </c>
      <c r="J55" s="260"/>
      <c r="K55" s="260"/>
      <c r="L55" s="260"/>
      <c r="M55" s="260"/>
    </row>
    <row r="56" spans="1:13" ht="15.75" customHeight="1" x14ac:dyDescent="0.3">
      <c r="B56" s="56" t="str">
        <f t="shared" ref="B56:C60" si="0">B220</f>
        <v>CP</v>
      </c>
      <c r="C56" s="261">
        <f t="shared" si="0"/>
        <v>0</v>
      </c>
      <c r="D56" s="261"/>
      <c r="E56" s="261">
        <f>D220</f>
        <v>0</v>
      </c>
      <c r="F56" s="261"/>
      <c r="G56" s="261" t="str">
        <f>IF(G220=0,"—",F220&amp;" / "&amp;G220)</f>
        <v>—</v>
      </c>
      <c r="H56" s="261"/>
      <c r="I56" s="262" t="str">
        <f>IF(G220=0,"—",REPT("█",ROUND(F220/G220*12,0))&amp;REPT("░",12-ROUND(F220/G220*12,0))&amp;"  "&amp;TEXT(F220/G220,"0%"))</f>
        <v>—</v>
      </c>
      <c r="J56" s="262"/>
      <c r="K56" s="262"/>
      <c r="L56" s="262"/>
      <c r="M56" s="262"/>
    </row>
    <row r="57" spans="1:13" ht="15.75" customHeight="1" x14ac:dyDescent="0.3">
      <c r="B57" s="56" t="str">
        <f t="shared" si="0"/>
        <v>CE1</v>
      </c>
      <c r="C57" s="261">
        <f t="shared" si="0"/>
        <v>0</v>
      </c>
      <c r="D57" s="261"/>
      <c r="E57" s="261">
        <f>D221</f>
        <v>0</v>
      </c>
      <c r="F57" s="261"/>
      <c r="G57" s="261" t="str">
        <f>IF(G221=0,"—",F221&amp;" / "&amp;G221)</f>
        <v>—</v>
      </c>
      <c r="H57" s="261"/>
      <c r="I57" s="262" t="str">
        <f>IF(G221=0,"—",REPT("█",ROUND(F221/G221*12,0))&amp;REPT("░",12-ROUND(F221/G221*12,0))&amp;"  "&amp;TEXT(F221/G221,"0%"))</f>
        <v>—</v>
      </c>
      <c r="J57" s="262"/>
      <c r="K57" s="262"/>
      <c r="L57" s="262"/>
      <c r="M57" s="262"/>
    </row>
    <row r="58" spans="1:13" ht="15.75" customHeight="1" x14ac:dyDescent="0.3">
      <c r="B58" s="56" t="str">
        <f t="shared" si="0"/>
        <v>CE2</v>
      </c>
      <c r="C58" s="261">
        <f t="shared" si="0"/>
        <v>0</v>
      </c>
      <c r="D58" s="261"/>
      <c r="E58" s="261">
        <f>D222</f>
        <v>0</v>
      </c>
      <c r="F58" s="261"/>
      <c r="G58" s="261" t="str">
        <f>IF(G222=0,"—",F222&amp;" / "&amp;G222)</f>
        <v>—</v>
      </c>
      <c r="H58" s="261"/>
      <c r="I58" s="262" t="str">
        <f>IF(G222=0,"—",REPT("█",ROUND(F222/G222*12,0))&amp;REPT("░",12-ROUND(F222/G222*12,0))&amp;"  "&amp;TEXT(F222/G222,"0%"))</f>
        <v>—</v>
      </c>
      <c r="J58" s="262"/>
      <c r="K58" s="262"/>
      <c r="L58" s="262"/>
      <c r="M58" s="262"/>
    </row>
    <row r="59" spans="1:13" ht="15.75" customHeight="1" x14ac:dyDescent="0.3">
      <c r="B59" s="56" t="str">
        <f t="shared" si="0"/>
        <v>CM1</v>
      </c>
      <c r="C59" s="261">
        <f t="shared" si="0"/>
        <v>0</v>
      </c>
      <c r="D59" s="261"/>
      <c r="E59" s="261">
        <f>D223</f>
        <v>0</v>
      </c>
      <c r="F59" s="261"/>
      <c r="G59" s="261" t="str">
        <f>IF(G223=0,"—",F223&amp;" / "&amp;G223)</f>
        <v>—</v>
      </c>
      <c r="H59" s="261"/>
      <c r="I59" s="262" t="str">
        <f>IF(G223=0,"—",REPT("█",ROUND(F223/G223*12,0))&amp;REPT("░",12-ROUND(F223/G223*12,0))&amp;"  "&amp;TEXT(F223/G223,"0%"))</f>
        <v>—</v>
      </c>
      <c r="J59" s="262"/>
      <c r="K59" s="262"/>
      <c r="L59" s="262"/>
      <c r="M59" s="262"/>
    </row>
    <row r="60" spans="1:13" ht="15.75" customHeight="1" x14ac:dyDescent="0.3">
      <c r="B60" s="56" t="str">
        <f t="shared" si="0"/>
        <v>CM2</v>
      </c>
      <c r="C60" s="261">
        <f t="shared" si="0"/>
        <v>0</v>
      </c>
      <c r="D60" s="261"/>
      <c r="E60" s="261">
        <f>D224</f>
        <v>0</v>
      </c>
      <c r="F60" s="261"/>
      <c r="G60" s="261" t="str">
        <f>IF(G224=0,"—",F224&amp;" / "&amp;G224)</f>
        <v>—</v>
      </c>
      <c r="H60" s="261"/>
      <c r="I60" s="262" t="str">
        <f>IF(G224=0,"—",REPT("█",ROUND(F224/G224*12,0))&amp;REPT("░",12-ROUND(F224/G224*12,0))&amp;"  "&amp;TEXT(F224/G224,"0%"))</f>
        <v>—</v>
      </c>
      <c r="J60" s="262"/>
      <c r="K60" s="262"/>
      <c r="L60" s="262"/>
      <c r="M60" s="262"/>
    </row>
    <row r="61" spans="1:13" ht="13.5" customHeight="1" x14ac:dyDescent="0.3">
      <c r="A61" s="259" t="s">
        <v>408</v>
      </c>
      <c r="B61" s="259"/>
      <c r="C61" s="259"/>
      <c r="D61" s="259"/>
      <c r="E61" s="259"/>
      <c r="F61" s="259"/>
      <c r="G61" s="259"/>
      <c r="H61" s="259"/>
      <c r="I61" s="259"/>
      <c r="J61" s="259"/>
      <c r="K61" s="259"/>
      <c r="L61" s="259"/>
      <c r="M61" s="259"/>
    </row>
    <row r="219" spans="2:7" ht="14.25" hidden="1" customHeight="1" x14ac:dyDescent="0.3">
      <c r="B219" t="s">
        <v>33</v>
      </c>
      <c r="C219" t="s">
        <v>34</v>
      </c>
      <c r="D219" t="s">
        <v>35</v>
      </c>
      <c r="E219" t="s">
        <v>36</v>
      </c>
      <c r="F219" t="s">
        <v>37</v>
      </c>
      <c r="G219" t="s">
        <v>38</v>
      </c>
    </row>
    <row r="220" spans="2:7" ht="14.25" hidden="1" customHeight="1" x14ac:dyDescent="0.3">
      <c r="B220" t="s">
        <v>39</v>
      </c>
      <c r="C220">
        <f>COUNTIFS(D_ANNEE,ANNEE_ACTIVE,D_NIVEAU,"CP",D_SESSION,"S1")</f>
        <v>0</v>
      </c>
      <c r="D220">
        <f>COUNTIFS(D_ANNEE,ANNEE_ACTIVE,D_NIVEAU,"CP",D_SESSION,"S2")</f>
        <v>0</v>
      </c>
      <c r="E220">
        <f>IF(VLOOKUP("CP",TABLE_CYCLE,2,0)=2,5,8)</f>
        <v>5</v>
      </c>
      <c r="F220">
        <f>COUNTIFS(D_ANNEE,ANNEE_ACTIVE,D_NIVEAU,"CP",D_EQ_NIV,"&gt;0")+COUNTIFS(D_ANNEE,ANNEE_ACTIVE,D_NIVEAU,"CP",D_SO_NIV,"&gt;0")+COUNTIFS(D_ANNEE,ANNEE_ACTIVE,D_NIVEAU,"CP",D_VI_NIV,"&gt;0")+COUNTIFS(D_ANNEE,ANNEE_ACTIVE,D_NIVEAU,"CP",D_EN_NIV,"&gt;0")+COUNTIFS(D_ANNEE,ANNEE_ACTIVE,D_NIVEAU,"CP",D_CO_NIV,"&gt;0")+COUNTIFS(D_ANNEE,ANNEE_ACTIVE,D_NIVEAU,"CP",D_GA_NIV,"&gt;0")+COUNTIFS(D_ANNEE,ANNEE_ACTIVE,D_NIVEAU,"CP",D_AD_NIV,"&gt;0")+COUNTIFS(D_ANNEE,ANNEE_ACTIVE,D_NIVEAU,"CP",D_FO_NIV,"&gt;0")</f>
        <v>0</v>
      </c>
      <c r="G220">
        <f>(C220+D220)*E220</f>
        <v>0</v>
      </c>
    </row>
    <row r="221" spans="2:7" ht="14.25" hidden="1" customHeight="1" x14ac:dyDescent="0.3">
      <c r="B221" t="s">
        <v>40</v>
      </c>
      <c r="C221">
        <f>COUNTIFS(D_ANNEE,ANNEE_ACTIVE,D_NIVEAU,"CE1",D_SESSION,"S1")</f>
        <v>0</v>
      </c>
      <c r="D221">
        <f>COUNTIFS(D_ANNEE,ANNEE_ACTIVE,D_NIVEAU,"CE1",D_SESSION,"S2")</f>
        <v>0</v>
      </c>
      <c r="E221">
        <f>IF(VLOOKUP("CE1",TABLE_CYCLE,2,0)=2,5,8)</f>
        <v>5</v>
      </c>
      <c r="F221">
        <f>COUNTIFS(D_ANNEE,ANNEE_ACTIVE,D_NIVEAU,"CE1",D_EQ_NIV,"&gt;0")+COUNTIFS(D_ANNEE,ANNEE_ACTIVE,D_NIVEAU,"CE1",D_SO_NIV,"&gt;0")+COUNTIFS(D_ANNEE,ANNEE_ACTIVE,D_NIVEAU,"CE1",D_VI_NIV,"&gt;0")+COUNTIFS(D_ANNEE,ANNEE_ACTIVE,D_NIVEAU,"CE1",D_EN_NIV,"&gt;0")+COUNTIFS(D_ANNEE,ANNEE_ACTIVE,D_NIVEAU,"CE1",D_CO_NIV,"&gt;0")+COUNTIFS(D_ANNEE,ANNEE_ACTIVE,D_NIVEAU,"CE1",D_GA_NIV,"&gt;0")+COUNTIFS(D_ANNEE,ANNEE_ACTIVE,D_NIVEAU,"CE1",D_AD_NIV,"&gt;0")+COUNTIFS(D_ANNEE,ANNEE_ACTIVE,D_NIVEAU,"CE1",D_FO_NIV,"&gt;0")</f>
        <v>0</v>
      </c>
      <c r="G221">
        <f>(C221+D221)*E221</f>
        <v>0</v>
      </c>
    </row>
    <row r="222" spans="2:7" ht="14.25" hidden="1" customHeight="1" x14ac:dyDescent="0.3">
      <c r="B222" t="s">
        <v>41</v>
      </c>
      <c r="C222">
        <f>COUNTIFS(D_ANNEE,ANNEE_ACTIVE,D_NIVEAU,"CE2",D_SESSION,"S1")</f>
        <v>0</v>
      </c>
      <c r="D222">
        <f>COUNTIFS(D_ANNEE,ANNEE_ACTIVE,D_NIVEAU,"CE2",D_SESSION,"S2")</f>
        <v>0</v>
      </c>
      <c r="E222">
        <f>IF(VLOOKUP("CE2",TABLE_CYCLE,2,0)=2,5,8)</f>
        <v>5</v>
      </c>
      <c r="F222">
        <f>COUNTIFS(D_ANNEE,ANNEE_ACTIVE,D_NIVEAU,"CE2",D_EQ_NIV,"&gt;0")+COUNTIFS(D_ANNEE,ANNEE_ACTIVE,D_NIVEAU,"CE2",D_SO_NIV,"&gt;0")+COUNTIFS(D_ANNEE,ANNEE_ACTIVE,D_NIVEAU,"CE2",D_VI_NIV,"&gt;0")+COUNTIFS(D_ANNEE,ANNEE_ACTIVE,D_NIVEAU,"CE2",D_EN_NIV,"&gt;0")+COUNTIFS(D_ANNEE,ANNEE_ACTIVE,D_NIVEAU,"CE2",D_CO_NIV,"&gt;0")+COUNTIFS(D_ANNEE,ANNEE_ACTIVE,D_NIVEAU,"CE2",D_GA_NIV,"&gt;0")+COUNTIFS(D_ANNEE,ANNEE_ACTIVE,D_NIVEAU,"CE2",D_AD_NIV,"&gt;0")+COUNTIFS(D_ANNEE,ANNEE_ACTIVE,D_NIVEAU,"CE2",D_FO_NIV,"&gt;0")</f>
        <v>0</v>
      </c>
      <c r="G222">
        <f>(C222+D222)*E222</f>
        <v>0</v>
      </c>
    </row>
    <row r="223" spans="2:7" ht="14.25" hidden="1" customHeight="1" x14ac:dyDescent="0.3">
      <c r="B223" t="s">
        <v>42</v>
      </c>
      <c r="C223">
        <f>COUNTIFS(D_ANNEE,ANNEE_ACTIVE,D_NIVEAU,"CM1",D_SESSION,"S1")</f>
        <v>0</v>
      </c>
      <c r="D223">
        <f>COUNTIFS(D_ANNEE,ANNEE_ACTIVE,D_NIVEAU,"CM1",D_SESSION,"S2")</f>
        <v>0</v>
      </c>
      <c r="E223">
        <f>IF(VLOOKUP("CM1",TABLE_CYCLE,2,0)=2,5,8)</f>
        <v>8</v>
      </c>
      <c r="F223">
        <f>COUNTIFS(D_ANNEE,ANNEE_ACTIVE,D_NIVEAU,"CM1",D_EQ_NIV,"&gt;0")+COUNTIFS(D_ANNEE,ANNEE_ACTIVE,D_NIVEAU,"CM1",D_SO_NIV,"&gt;0")+COUNTIFS(D_ANNEE,ANNEE_ACTIVE,D_NIVEAU,"CM1",D_VI_NIV,"&gt;0")+COUNTIFS(D_ANNEE,ANNEE_ACTIVE,D_NIVEAU,"CM1",D_EN_NIV,"&gt;0")+COUNTIFS(D_ANNEE,ANNEE_ACTIVE,D_NIVEAU,"CM1",D_CO_NIV,"&gt;0")+COUNTIFS(D_ANNEE,ANNEE_ACTIVE,D_NIVEAU,"CM1",D_GA_NIV,"&gt;0")+COUNTIFS(D_ANNEE,ANNEE_ACTIVE,D_NIVEAU,"CM1",D_AD_NIV,"&gt;0")+COUNTIFS(D_ANNEE,ANNEE_ACTIVE,D_NIVEAU,"CM1",D_FO_NIV,"&gt;0")</f>
        <v>0</v>
      </c>
      <c r="G223">
        <f>(C223+D223)*E223</f>
        <v>0</v>
      </c>
    </row>
    <row r="224" spans="2:7" ht="14.25" hidden="1" customHeight="1" x14ac:dyDescent="0.3">
      <c r="B224" t="s">
        <v>43</v>
      </c>
      <c r="C224">
        <f>COUNTIFS(D_ANNEE,ANNEE_ACTIVE,D_NIVEAU,"CM2",D_SESSION,"S1")</f>
        <v>0</v>
      </c>
      <c r="D224">
        <f>COUNTIFS(D_ANNEE,ANNEE_ACTIVE,D_NIVEAU,"CM2",D_SESSION,"S2")</f>
        <v>0</v>
      </c>
      <c r="E224">
        <f>IF(VLOOKUP("CM2",TABLE_CYCLE,2,0)=2,5,8)</f>
        <v>8</v>
      </c>
      <c r="F224">
        <f>COUNTIFS(D_ANNEE,ANNEE_ACTIVE,D_NIVEAU,"CM2",D_EQ_NIV,"&gt;0")+COUNTIFS(D_ANNEE,ANNEE_ACTIVE,D_NIVEAU,"CM2",D_SO_NIV,"&gt;0")+COUNTIFS(D_ANNEE,ANNEE_ACTIVE,D_NIVEAU,"CM2",D_VI_NIV,"&gt;0")+COUNTIFS(D_ANNEE,ANNEE_ACTIVE,D_NIVEAU,"CM2",D_EN_NIV,"&gt;0")+COUNTIFS(D_ANNEE,ANNEE_ACTIVE,D_NIVEAU,"CM2",D_CO_NIV,"&gt;0")+COUNTIFS(D_ANNEE,ANNEE_ACTIVE,D_NIVEAU,"CM2",D_GA_NIV,"&gt;0")+COUNTIFS(D_ANNEE,ANNEE_ACTIVE,D_NIVEAU,"CM2",D_AD_NIV,"&gt;0")+COUNTIFS(D_ANNEE,ANNEE_ACTIVE,D_NIVEAU,"CM2",D_FO_NIV,"&gt;0")</f>
        <v>0</v>
      </c>
      <c r="G224">
        <f>(C224+D224)*E224</f>
        <v>0</v>
      </c>
    </row>
    <row r="226" spans="2:16" ht="14.25" hidden="1" customHeight="1" x14ac:dyDescent="0.3">
      <c r="B226" t="s">
        <v>44</v>
      </c>
      <c r="C226" t="s">
        <v>45</v>
      </c>
    </row>
    <row r="227" spans="2:16" ht="14.25" hidden="1" customHeight="1" x14ac:dyDescent="0.3">
      <c r="B227" t="s">
        <v>2</v>
      </c>
      <c r="C227" t="str">
        <f>IFERROR(AVERAGEIFS(D_EQ_NIV,D_ANNEE,ANNEE_ACTIVE,D_EQ_NIV,"&gt;0"),"")</f>
        <v/>
      </c>
    </row>
    <row r="228" spans="2:16" ht="14.25" hidden="1" customHeight="1" x14ac:dyDescent="0.3">
      <c r="B228" t="s">
        <v>3</v>
      </c>
      <c r="C228" t="str">
        <f>IFERROR(AVERAGEIFS(D_SO_NIV,D_ANNEE,ANNEE_ACTIVE,D_SO_NIV,"&gt;0"),"")</f>
        <v/>
      </c>
    </row>
    <row r="229" spans="2:16" ht="14.25" hidden="1" customHeight="1" x14ac:dyDescent="0.3">
      <c r="B229" t="s">
        <v>4</v>
      </c>
      <c r="C229" t="str">
        <f>IFERROR(AVERAGEIFS(D_VI_NIV,D_ANNEE,ANNEE_ACTIVE,D_VI_NIV,"&gt;0"),"")</f>
        <v/>
      </c>
    </row>
    <row r="230" spans="2:16" ht="14.25" hidden="1" customHeight="1" x14ac:dyDescent="0.3">
      <c r="B230" t="s">
        <v>5</v>
      </c>
      <c r="C230" t="str">
        <f>IFERROR(AVERAGEIFS(D_EN_NIV,D_ANNEE,ANNEE_ACTIVE,D_EN_NIV,"&gt;0"),"")</f>
        <v/>
      </c>
    </row>
    <row r="231" spans="2:16" ht="14.25" hidden="1" customHeight="1" x14ac:dyDescent="0.3">
      <c r="B231" t="s">
        <v>6</v>
      </c>
      <c r="C231" t="str">
        <f>IFERROR(AVERAGEIFS(D_CO_NIV,D_ANNEE,ANNEE_ACTIVE,D_CO_NIV,"&gt;0"),"")</f>
        <v/>
      </c>
    </row>
    <row r="232" spans="2:16" ht="14.25" hidden="1" customHeight="1" x14ac:dyDescent="0.3">
      <c r="B232" t="s">
        <v>7</v>
      </c>
      <c r="C232" t="str">
        <f>IFERROR(AVERAGEIFS(D_GA_NIV,D_ANNEE,ANNEE_ACTIVE,D_GA_NIV,"&gt;0"),"")</f>
        <v/>
      </c>
    </row>
    <row r="233" spans="2:16" ht="14.25" hidden="1" customHeight="1" x14ac:dyDescent="0.3">
      <c r="B233" t="s">
        <v>8</v>
      </c>
      <c r="C233" t="str">
        <f>IFERROR(AVERAGEIFS(D_AD_NIV,D_ANNEE,ANNEE_ACTIVE,D_AD_NIV,"&gt;0"),"")</f>
        <v/>
      </c>
    </row>
    <row r="234" spans="2:16" ht="14.25" hidden="1" customHeight="1" x14ac:dyDescent="0.3">
      <c r="B234" t="s">
        <v>9</v>
      </c>
      <c r="C234" t="str">
        <f>IFERROR(AVERAGEIFS(D_FO_NIV,D_ANNEE,ANNEE_ACTIVE,D_FO_NIV,"&gt;0"),"")</f>
        <v/>
      </c>
    </row>
    <row r="235" spans="2:16" ht="14.25" hidden="1" customHeight="1" x14ac:dyDescent="0.3">
      <c r="B235" t="s">
        <v>33</v>
      </c>
      <c r="P235" t="s">
        <v>46</v>
      </c>
    </row>
    <row r="236" spans="2:16" ht="14.25" hidden="1" customHeight="1" x14ac:dyDescent="0.3">
      <c r="B236">
        <v>1</v>
      </c>
      <c r="C236">
        <f>COUNTIFS(D_ANNEE,ANNEE_ACTIVE,D_EQ_NIV,1)+COUNTIFS(D_ANNEE,ANNEE_ACTIVE,D_SO_NIV,1)+COUNTIFS(D_ANNEE,ANNEE_ACTIVE,D_VI_NIV,1)+COUNTIFS(D_ANNEE,ANNEE_ACTIVE,D_EN_NIV,1)+COUNTIFS(D_ANNEE,ANNEE_ACTIVE,D_CO_NIV,1)+COUNTIFS(D_ANNEE,ANNEE_ACTIVE,D_GA_NIV,1)+COUNTIFS(D_ANNEE,ANNEE_ACTIVE,D_AD_NIV,1)+COUNTIFS(D_ANNEE,ANNEE_ACTIVE,D_FO_NIV,1)</f>
        <v>0</v>
      </c>
      <c r="N236" s="4">
        <f>IFERROR(C236/SUM($C$236:$C$240),0)</f>
        <v>0</v>
      </c>
    </row>
    <row r="237" spans="2:16" ht="14.25" hidden="1" customHeight="1" x14ac:dyDescent="0.3">
      <c r="B237">
        <v>2</v>
      </c>
      <c r="C237">
        <f>COUNTIFS(D_ANNEE,ANNEE_ACTIVE,D_EQ_NIV,2)+COUNTIFS(D_ANNEE,ANNEE_ACTIVE,D_SO_NIV,2)+COUNTIFS(D_ANNEE,ANNEE_ACTIVE,D_VI_NIV,2)+COUNTIFS(D_ANNEE,ANNEE_ACTIVE,D_EN_NIV,2)+COUNTIFS(D_ANNEE,ANNEE_ACTIVE,D_CO_NIV,2)+COUNTIFS(D_ANNEE,ANNEE_ACTIVE,D_GA_NIV,2)+COUNTIFS(D_ANNEE,ANNEE_ACTIVE,D_AD_NIV,2)+COUNTIFS(D_ANNEE,ANNEE_ACTIVE,D_FO_NIV,2)</f>
        <v>0</v>
      </c>
      <c r="N237" s="4">
        <f>IFERROR(C237/SUM($C$236:$C$240),0)</f>
        <v>0</v>
      </c>
    </row>
    <row r="238" spans="2:16" ht="14.25" hidden="1" customHeight="1" x14ac:dyDescent="0.3">
      <c r="B238">
        <v>3</v>
      </c>
      <c r="C238">
        <f>COUNTIFS(D_ANNEE,ANNEE_ACTIVE,D_EQ_NIV,3)+COUNTIFS(D_ANNEE,ANNEE_ACTIVE,D_SO_NIV,3)+COUNTIFS(D_ANNEE,ANNEE_ACTIVE,D_VI_NIV,3)+COUNTIFS(D_ANNEE,ANNEE_ACTIVE,D_EN_NIV,3)+COUNTIFS(D_ANNEE,ANNEE_ACTIVE,D_CO_NIV,3)+COUNTIFS(D_ANNEE,ANNEE_ACTIVE,D_GA_NIV,3)+COUNTIFS(D_ANNEE,ANNEE_ACTIVE,D_AD_NIV,3)+COUNTIFS(D_ANNEE,ANNEE_ACTIVE,D_FO_NIV,3)</f>
        <v>0</v>
      </c>
      <c r="N238" s="4">
        <f>IFERROR(C238/SUM($C$236:$C$240),0)</f>
        <v>0</v>
      </c>
    </row>
    <row r="239" spans="2:16" ht="14.25" hidden="1" customHeight="1" x14ac:dyDescent="0.3">
      <c r="B239">
        <v>4</v>
      </c>
      <c r="C239">
        <f>COUNTIFS(D_ANNEE,ANNEE_ACTIVE,D_EQ_NIV,4)+COUNTIFS(D_ANNEE,ANNEE_ACTIVE,D_SO_NIV,4)+COUNTIFS(D_ANNEE,ANNEE_ACTIVE,D_VI_NIV,4)+COUNTIFS(D_ANNEE,ANNEE_ACTIVE,D_EN_NIV,4)+COUNTIFS(D_ANNEE,ANNEE_ACTIVE,D_CO_NIV,4)+COUNTIFS(D_ANNEE,ANNEE_ACTIVE,D_GA_NIV,4)+COUNTIFS(D_ANNEE,ANNEE_ACTIVE,D_AD_NIV,4)+COUNTIFS(D_ANNEE,ANNEE_ACTIVE,D_FO_NIV,4)</f>
        <v>0</v>
      </c>
      <c r="N239" s="4">
        <f>IFERROR(C239/SUM($C$236:$C$240),0)</f>
        <v>0</v>
      </c>
    </row>
    <row r="240" spans="2:16" ht="14.25" hidden="1" customHeight="1" x14ac:dyDescent="0.3">
      <c r="B240">
        <v>5</v>
      </c>
      <c r="C240">
        <f>COUNTIFS(D_ANNEE,ANNEE_ACTIVE,D_EQ_NIV,5)+COUNTIFS(D_ANNEE,ANNEE_ACTIVE,D_SO_NIV,5)+COUNTIFS(D_ANNEE,ANNEE_ACTIVE,D_VI_NIV,5)+COUNTIFS(D_ANNEE,ANNEE_ACTIVE,D_EN_NIV,5)+COUNTIFS(D_ANNEE,ANNEE_ACTIVE,D_CO_NIV,5)+COUNTIFS(D_ANNEE,ANNEE_ACTIVE,D_GA_NIV,5)+COUNTIFS(D_ANNEE,ANNEE_ACTIVE,D_AD_NIV,5)+COUNTIFS(D_ANNEE,ANNEE_ACTIVE,D_FO_NIV,5)</f>
        <v>0</v>
      </c>
      <c r="N240" s="4">
        <f>IFERROR(C240/SUM($C$236:$C$240),0)</f>
        <v>0</v>
      </c>
    </row>
  </sheetData>
  <sheetProtection sheet="1" formatCells="0" formatColumns="0" formatRows="0" sort="0" autoFilter="0"/>
  <mergeCells count="94">
    <mergeCell ref="C59:D59"/>
    <mergeCell ref="E59:F59"/>
    <mergeCell ref="G59:H59"/>
    <mergeCell ref="I59:M59"/>
    <mergeCell ref="A51:M51"/>
    <mergeCell ref="A53:M53"/>
    <mergeCell ref="G60:H60"/>
    <mergeCell ref="I60:M60"/>
    <mergeCell ref="I47:L49"/>
    <mergeCell ref="E58:F58"/>
    <mergeCell ref="G58:H58"/>
    <mergeCell ref="I58:M58"/>
    <mergeCell ref="A61:M61"/>
    <mergeCell ref="C55:D55"/>
    <mergeCell ref="E55:F55"/>
    <mergeCell ref="G55:H55"/>
    <mergeCell ref="I55:M55"/>
    <mergeCell ref="C56:D56"/>
    <mergeCell ref="E56:F56"/>
    <mergeCell ref="G56:H56"/>
    <mergeCell ref="I56:M56"/>
    <mergeCell ref="C57:D57"/>
    <mergeCell ref="E57:F57"/>
    <mergeCell ref="G57:H57"/>
    <mergeCell ref="I57:M57"/>
    <mergeCell ref="C58:D58"/>
    <mergeCell ref="C60:D60"/>
    <mergeCell ref="E60:F60"/>
    <mergeCell ref="A43:D45"/>
    <mergeCell ref="E43:H45"/>
    <mergeCell ref="I43:L45"/>
    <mergeCell ref="A47:D49"/>
    <mergeCell ref="E47:H49"/>
    <mergeCell ref="A33:M33"/>
    <mergeCell ref="A35:D37"/>
    <mergeCell ref="E35:H37"/>
    <mergeCell ref="I35:L37"/>
    <mergeCell ref="A39:D41"/>
    <mergeCell ref="E39:H41"/>
    <mergeCell ref="I39:L41"/>
    <mergeCell ref="A27:M27"/>
    <mergeCell ref="A28:B28"/>
    <mergeCell ref="C28:D28"/>
    <mergeCell ref="E28:F28"/>
    <mergeCell ref="G28:H28"/>
    <mergeCell ref="I28:M28"/>
    <mergeCell ref="A24:C24"/>
    <mergeCell ref="D24:F24"/>
    <mergeCell ref="G24:I24"/>
    <mergeCell ref="J24:L24"/>
    <mergeCell ref="A25:C25"/>
    <mergeCell ref="D25:F25"/>
    <mergeCell ref="G25:I25"/>
    <mergeCell ref="J25:L25"/>
    <mergeCell ref="A22:M22"/>
    <mergeCell ref="A23:C23"/>
    <mergeCell ref="D23:F23"/>
    <mergeCell ref="G23:I23"/>
    <mergeCell ref="J23:L23"/>
    <mergeCell ref="B20:C20"/>
    <mergeCell ref="D20:E20"/>
    <mergeCell ref="F20:G20"/>
    <mergeCell ref="H20:J20"/>
    <mergeCell ref="K20:L20"/>
    <mergeCell ref="B19:C19"/>
    <mergeCell ref="D19:E19"/>
    <mergeCell ref="F19:G19"/>
    <mergeCell ref="H19:J19"/>
    <mergeCell ref="K19:L19"/>
    <mergeCell ref="B18:C18"/>
    <mergeCell ref="D18:E18"/>
    <mergeCell ref="F18:G18"/>
    <mergeCell ref="H18:J18"/>
    <mergeCell ref="K18:L18"/>
    <mergeCell ref="A14:C14"/>
    <mergeCell ref="D14:F14"/>
    <mergeCell ref="G14:I14"/>
    <mergeCell ref="J14:L14"/>
    <mergeCell ref="A17:M17"/>
    <mergeCell ref="A9:C9"/>
    <mergeCell ref="D9:F9"/>
    <mergeCell ref="G9:I9"/>
    <mergeCell ref="J9:L9"/>
    <mergeCell ref="A12:C13"/>
    <mergeCell ref="D12:F13"/>
    <mergeCell ref="G12:I13"/>
    <mergeCell ref="J12:L13"/>
    <mergeCell ref="D1:J2"/>
    <mergeCell ref="A3:M3"/>
    <mergeCell ref="A5:M5"/>
    <mergeCell ref="A7:C8"/>
    <mergeCell ref="D7:F8"/>
    <mergeCell ref="G7:I8"/>
    <mergeCell ref="J7:L8"/>
  </mergeCells>
  <pageMargins left="0.75" right="0.75" top="1" bottom="1" header="0.511811023622047" footer="0.511811023622047"/>
  <pageSetup paperSize="9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F4E79"/>
    <pageSetUpPr fitToPage="1"/>
  </sheetPr>
  <dimension ref="B1:B91"/>
  <sheetViews>
    <sheetView showGridLines="0" zoomScaleNormal="100" workbookViewId="0"/>
  </sheetViews>
  <sheetFormatPr baseColWidth="10" defaultColWidth="8.6640625" defaultRowHeight="14.4" x14ac:dyDescent="0.3"/>
  <cols>
    <col min="1" max="1" width="3" customWidth="1"/>
    <col min="2" max="2" width="125" customWidth="1"/>
  </cols>
  <sheetData>
    <row r="1" spans="2:2" ht="30" customHeight="1" x14ac:dyDescent="0.35">
      <c r="B1" s="5" t="s">
        <v>47</v>
      </c>
    </row>
    <row r="2" spans="2:2" x14ac:dyDescent="0.3">
      <c r="B2" s="154" t="str">
        <f>HYPERLINK("#ACCUEIL!A1","← ACCUEIL")</f>
        <v>← ACCUEIL</v>
      </c>
    </row>
    <row r="3" spans="2:2" ht="15" customHeight="1" x14ac:dyDescent="0.3">
      <c r="B3" s="6" t="s">
        <v>438</v>
      </c>
    </row>
    <row r="4" spans="2:2" x14ac:dyDescent="0.3">
      <c r="B4" s="154" t="str">
        <f>HYPERLINK("#AIDE!B23","› DÉMARRAGE")</f>
        <v>› DÉMARRAGE</v>
      </c>
    </row>
    <row r="5" spans="2:2" x14ac:dyDescent="0.3">
      <c r="B5" s="154" t="str">
        <f>HYPERLINK("#AIDE!B26","› ANNÉE, NIVEAU ET SESSION PAR LIGNE")</f>
        <v>› ANNÉE, NIVEAU ET SESSION PAR LIGNE</v>
      </c>
    </row>
    <row r="6" spans="2:2" x14ac:dyDescent="0.3">
      <c r="B6" s="154" t="str">
        <f>HYPERLINK("#AIDE!B30","› RÈGLE DES TESTS")</f>
        <v>› RÈGLE DES TESTS</v>
      </c>
    </row>
    <row r="7" spans="2:2" x14ac:dyDescent="0.3">
      <c r="B7" s="154" t="str">
        <f>HYPERLINK("#AIDE!B34","› COLONNE ÉTAT")</f>
        <v>› COLONNE ÉTAT</v>
      </c>
    </row>
    <row r="8" spans="2:2" x14ac:dyDescent="0.3">
      <c r="B8" s="154" t="str">
        <f>HYPERLINK("#AIDE!B41","› RÉCUPÉRER UNE CLASSE")</f>
        <v>› RÉCUPÉRER UNE CLASSE</v>
      </c>
    </row>
    <row r="9" spans="2:2" x14ac:dyDescent="0.3">
      <c r="B9" s="154" t="str">
        <f>HYPERLINK("#AIDE!B45","› ÉCHELLE UGSEL (1 À 5)")</f>
        <v>› ÉCHELLE UGSEL (1 À 5)</v>
      </c>
    </row>
    <row r="10" spans="2:2" x14ac:dyDescent="0.3">
      <c r="B10" s="154" t="str">
        <f>HYPERLINK("#AIDE!B47","› IMPRESSION")</f>
        <v>› IMPRESSION</v>
      </c>
    </row>
    <row r="11" spans="2:2" x14ac:dyDescent="0.3">
      <c r="B11" s="154" t="str">
        <f>HYPERLINK("#AIDE!B50","› IMPORT D'UNE LISTE D'ÉLÈVES")</f>
        <v>› IMPORT D'UNE LISTE D'ÉLÈVES</v>
      </c>
    </row>
    <row r="12" spans="2:2" x14ac:dyDescent="0.3">
      <c r="B12" s="154" t="str">
        <f>HYPERLINK("#AIDE!B53","› ANNÉES CLÔTURÉES")</f>
        <v>› ANNÉES CLÔTURÉES</v>
      </c>
    </row>
    <row r="13" spans="2:2" x14ac:dyDescent="0.3">
      <c r="B13" s="154" t="str">
        <f>HYPERLINK("#AIDE!B57","› ARCHIVAGE (APRÈS CHAQUE SESSION)")</f>
        <v>› ARCHIVAGE (APRÈS CHAQUE SESSION)</v>
      </c>
    </row>
    <row r="14" spans="2:2" x14ac:dyDescent="0.3">
      <c r="B14" s="154" t="str">
        <f>HYPERLINK("#AIDE!B63","› EXPORTS")</f>
        <v>› EXPORTS</v>
      </c>
    </row>
    <row r="15" spans="2:2" x14ac:dyDescent="0.3">
      <c r="B15" s="154" t="str">
        <f>HYPERLINK("#AIDE!B66","› ANALYSES AUTOMATIQUES")</f>
        <v>› ANALYSES AUTOMATIQUES</v>
      </c>
    </row>
    <row r="16" spans="2:2" x14ac:dyDescent="0.3">
      <c r="B16" s="154" t="str">
        <f>HYPERLINK("#AIDE!B71","› SUIVI DE COHORTE ET ANALYSES")</f>
        <v>› SUIVI DE COHORTE ET ANALYSES</v>
      </c>
    </row>
    <row r="17" spans="2:2" x14ac:dyDescent="0.3">
      <c r="B17" s="154" t="str">
        <f>HYPERLINK("#AIDE!B76","› RESSOURCES ET LIENS")</f>
        <v>› RESSOURCES ET LIENS</v>
      </c>
    </row>
    <row r="18" spans="2:2" x14ac:dyDescent="0.3">
      <c r="B18" s="154" t="str">
        <f>HYPERLINK("#AIDE!B79","› SUR TABLETTE OU TÉLÉPHONE (EXCEL MOBILE)")</f>
        <v>› SUR TABLETTE OU TÉLÉPHONE (EXCEL MOBILE)</v>
      </c>
    </row>
    <row r="19" spans="2:2" x14ac:dyDescent="0.3">
      <c r="B19" s="154" t="str">
        <f>HYPERLINK("#AIDE!B82","› PROTECTION")</f>
        <v>› PROTECTION</v>
      </c>
    </row>
    <row r="20" spans="2:2" x14ac:dyDescent="0.3">
      <c r="B20" s="154" t="str">
        <f>HYPERLINK("#AIDE!B85","› LIBREOFFICE CALC")</f>
        <v>› LIBREOFFICE CALC</v>
      </c>
    </row>
    <row r="23" spans="2:2" ht="15" customHeight="1" x14ac:dyDescent="0.3">
      <c r="B23" s="6" t="s">
        <v>48</v>
      </c>
    </row>
    <row r="24" spans="2:2" ht="30" customHeight="1" x14ac:dyDescent="0.3">
      <c r="B24" s="7" t="s">
        <v>49</v>
      </c>
    </row>
    <row r="25" spans="2:2" ht="30" customHeight="1" x14ac:dyDescent="0.3">
      <c r="B25" s="7" t="s">
        <v>50</v>
      </c>
    </row>
    <row r="26" spans="2:2" ht="15" customHeight="1" x14ac:dyDescent="0.3">
      <c r="B26" s="6" t="s">
        <v>55</v>
      </c>
    </row>
    <row r="27" spans="2:2" ht="30" customHeight="1" x14ac:dyDescent="0.3">
      <c r="B27" s="7" t="s">
        <v>56</v>
      </c>
    </row>
    <row r="28" spans="2:2" ht="30" customHeight="1" x14ac:dyDescent="0.3">
      <c r="B28" s="7" t="s">
        <v>57</v>
      </c>
    </row>
    <row r="29" spans="2:2" ht="30" customHeight="1" x14ac:dyDescent="0.3">
      <c r="B29" s="7" t="s">
        <v>58</v>
      </c>
    </row>
    <row r="30" spans="2:2" ht="15" customHeight="1" x14ac:dyDescent="0.3">
      <c r="B30" s="6" t="s">
        <v>51</v>
      </c>
    </row>
    <row r="31" spans="2:2" ht="15" customHeight="1" x14ac:dyDescent="0.3">
      <c r="B31" s="7" t="s">
        <v>52</v>
      </c>
    </row>
    <row r="32" spans="2:2" ht="15" customHeight="1" x14ac:dyDescent="0.3">
      <c r="B32" s="7" t="s">
        <v>53</v>
      </c>
    </row>
    <row r="33" spans="2:2" ht="15" customHeight="1" x14ac:dyDescent="0.3">
      <c r="B33" s="7" t="s">
        <v>54</v>
      </c>
    </row>
    <row r="34" spans="2:2" ht="15" customHeight="1" x14ac:dyDescent="0.3">
      <c r="B34" s="6" t="s">
        <v>59</v>
      </c>
    </row>
    <row r="35" spans="2:2" ht="15" customHeight="1" x14ac:dyDescent="0.3">
      <c r="B35" s="7" t="s">
        <v>60</v>
      </c>
    </row>
    <row r="36" spans="2:2" ht="15" customHeight="1" x14ac:dyDescent="0.3">
      <c r="B36" s="7" t="s">
        <v>61</v>
      </c>
    </row>
    <row r="37" spans="2:2" ht="15" customHeight="1" x14ac:dyDescent="0.3">
      <c r="B37" s="7" t="s">
        <v>62</v>
      </c>
    </row>
    <row r="38" spans="2:2" ht="30" customHeight="1" x14ac:dyDescent="0.3">
      <c r="B38" s="7" t="s">
        <v>63</v>
      </c>
    </row>
    <row r="39" spans="2:2" ht="15" customHeight="1" x14ac:dyDescent="0.3">
      <c r="B39" s="7" t="s">
        <v>64</v>
      </c>
    </row>
    <row r="40" spans="2:2" ht="30" customHeight="1" x14ac:dyDescent="0.3">
      <c r="B40" s="7" t="s">
        <v>65</v>
      </c>
    </row>
    <row r="41" spans="2:2" ht="15" customHeight="1" x14ac:dyDescent="0.3">
      <c r="B41" s="6" t="s">
        <v>66</v>
      </c>
    </row>
    <row r="42" spans="2:2" ht="30" customHeight="1" x14ac:dyDescent="0.3">
      <c r="B42" s="7" t="s">
        <v>67</v>
      </c>
    </row>
    <row r="43" spans="2:2" ht="30" customHeight="1" x14ac:dyDescent="0.3">
      <c r="B43" s="7" t="s">
        <v>68</v>
      </c>
    </row>
    <row r="44" spans="2:2" ht="15" customHeight="1" x14ac:dyDescent="0.3">
      <c r="B44" s="7" t="s">
        <v>69</v>
      </c>
    </row>
    <row r="45" spans="2:2" ht="15" customHeight="1" x14ac:dyDescent="0.3">
      <c r="B45" s="6" t="s">
        <v>70</v>
      </c>
    </row>
    <row r="46" spans="2:2" ht="30" customHeight="1" x14ac:dyDescent="0.3">
      <c r="B46" s="7" t="s">
        <v>71</v>
      </c>
    </row>
    <row r="47" spans="2:2" ht="15.6" x14ac:dyDescent="0.3">
      <c r="B47" s="6" t="s">
        <v>93</v>
      </c>
    </row>
    <row r="48" spans="2:2" ht="30" customHeight="1" x14ac:dyDescent="0.3">
      <c r="B48" s="7" t="s">
        <v>94</v>
      </c>
    </row>
    <row r="49" spans="2:2" ht="30" customHeight="1" x14ac:dyDescent="0.3">
      <c r="B49" s="7" t="s">
        <v>95</v>
      </c>
    </row>
    <row r="50" spans="2:2" ht="15" customHeight="1" x14ac:dyDescent="0.3">
      <c r="B50" s="6" t="s">
        <v>432</v>
      </c>
    </row>
    <row r="51" spans="2:2" ht="30" customHeight="1" x14ac:dyDescent="0.3">
      <c r="B51" s="7" t="s">
        <v>433</v>
      </c>
    </row>
    <row r="52" spans="2:2" ht="30" customHeight="1" x14ac:dyDescent="0.3">
      <c r="B52" s="7" t="s">
        <v>434</v>
      </c>
    </row>
    <row r="53" spans="2:2" ht="15.6" x14ac:dyDescent="0.3">
      <c r="B53" s="6" t="s">
        <v>83</v>
      </c>
    </row>
    <row r="54" spans="2:2" ht="15" customHeight="1" x14ac:dyDescent="0.3">
      <c r="B54" s="7" t="s">
        <v>84</v>
      </c>
    </row>
    <row r="55" spans="2:2" ht="30" customHeight="1" x14ac:dyDescent="0.3">
      <c r="B55" s="7" t="s">
        <v>85</v>
      </c>
    </row>
    <row r="56" spans="2:2" ht="15" customHeight="1" x14ac:dyDescent="0.3">
      <c r="B56" s="7" t="s">
        <v>86</v>
      </c>
    </row>
    <row r="57" spans="2:2" ht="15.6" x14ac:dyDescent="0.3">
      <c r="B57" s="6" t="s">
        <v>87</v>
      </c>
    </row>
    <row r="58" spans="2:2" ht="15" customHeight="1" x14ac:dyDescent="0.3">
      <c r="B58" s="7" t="s">
        <v>88</v>
      </c>
    </row>
    <row r="59" spans="2:2" ht="30" customHeight="1" x14ac:dyDescent="0.3">
      <c r="B59" s="7" t="s">
        <v>89</v>
      </c>
    </row>
    <row r="60" spans="2:2" ht="15" customHeight="1" x14ac:dyDescent="0.3">
      <c r="B60" s="7" t="s">
        <v>90</v>
      </c>
    </row>
    <row r="61" spans="2:2" ht="30" customHeight="1" x14ac:dyDescent="0.3">
      <c r="B61" s="7" t="s">
        <v>91</v>
      </c>
    </row>
    <row r="62" spans="2:2" ht="15" customHeight="1" x14ac:dyDescent="0.3">
      <c r="B62" s="7" t="s">
        <v>92</v>
      </c>
    </row>
    <row r="63" spans="2:2" ht="15" customHeight="1" x14ac:dyDescent="0.3">
      <c r="B63" s="6" t="s">
        <v>72</v>
      </c>
    </row>
    <row r="64" spans="2:2" ht="15" customHeight="1" x14ac:dyDescent="0.3">
      <c r="B64" s="7" t="s">
        <v>73</v>
      </c>
    </row>
    <row r="65" spans="2:2" ht="30" customHeight="1" x14ac:dyDescent="0.3">
      <c r="B65" s="7" t="s">
        <v>74</v>
      </c>
    </row>
    <row r="66" spans="2:2" ht="15" customHeight="1" x14ac:dyDescent="0.3">
      <c r="B66" s="6" t="s">
        <v>424</v>
      </c>
    </row>
    <row r="67" spans="2:2" ht="30" customHeight="1" x14ac:dyDescent="0.3">
      <c r="B67" s="7" t="s">
        <v>425</v>
      </c>
    </row>
    <row r="68" spans="2:2" ht="30" customHeight="1" x14ac:dyDescent="0.3">
      <c r="B68" s="7" t="s">
        <v>426</v>
      </c>
    </row>
    <row r="69" spans="2:2" ht="30" customHeight="1" x14ac:dyDescent="0.3">
      <c r="B69" s="7" t="s">
        <v>427</v>
      </c>
    </row>
    <row r="70" spans="2:2" ht="30" customHeight="1" x14ac:dyDescent="0.3">
      <c r="B70" s="7" t="s">
        <v>428</v>
      </c>
    </row>
    <row r="71" spans="2:2" ht="15" customHeight="1" x14ac:dyDescent="0.3">
      <c r="B71" s="6" t="s">
        <v>78</v>
      </c>
    </row>
    <row r="72" spans="2:2" ht="30" customHeight="1" x14ac:dyDescent="0.3">
      <c r="B72" s="7" t="s">
        <v>79</v>
      </c>
    </row>
    <row r="73" spans="2:2" ht="30" customHeight="1" x14ac:dyDescent="0.3">
      <c r="B73" s="7" t="s">
        <v>80</v>
      </c>
    </row>
    <row r="74" spans="2:2" ht="30" customHeight="1" x14ac:dyDescent="0.3">
      <c r="B74" s="7" t="s">
        <v>81</v>
      </c>
    </row>
    <row r="75" spans="2:2" ht="30" customHeight="1" x14ac:dyDescent="0.3">
      <c r="B75" s="7" t="s">
        <v>82</v>
      </c>
    </row>
    <row r="76" spans="2:2" ht="15" customHeight="1" x14ac:dyDescent="0.3">
      <c r="B76" s="6" t="s">
        <v>429</v>
      </c>
    </row>
    <row r="77" spans="2:2" ht="30" customHeight="1" x14ac:dyDescent="0.3">
      <c r="B77" s="7" t="s">
        <v>430</v>
      </c>
    </row>
    <row r="78" spans="2:2" ht="30" customHeight="1" x14ac:dyDescent="0.3">
      <c r="B78" s="7" t="s">
        <v>431</v>
      </c>
    </row>
    <row r="79" spans="2:2" ht="15" customHeight="1" x14ac:dyDescent="0.3">
      <c r="B79" s="6" t="s">
        <v>435</v>
      </c>
    </row>
    <row r="80" spans="2:2" ht="30" customHeight="1" x14ac:dyDescent="0.3">
      <c r="B80" s="7" t="s">
        <v>436</v>
      </c>
    </row>
    <row r="81" spans="2:2" ht="45" customHeight="1" x14ac:dyDescent="0.3">
      <c r="B81" s="7" t="s">
        <v>437</v>
      </c>
    </row>
    <row r="82" spans="2:2" ht="15" customHeight="1" x14ac:dyDescent="0.3">
      <c r="B82" s="6" t="s">
        <v>75</v>
      </c>
    </row>
    <row r="83" spans="2:2" ht="30" customHeight="1" x14ac:dyDescent="0.3">
      <c r="B83" s="7" t="s">
        <v>76</v>
      </c>
    </row>
    <row r="84" spans="2:2" ht="15" customHeight="1" x14ac:dyDescent="0.3">
      <c r="B84" s="7" t="s">
        <v>77</v>
      </c>
    </row>
    <row r="85" spans="2:2" ht="15.6" x14ac:dyDescent="0.3">
      <c r="B85" s="6" t="s">
        <v>96</v>
      </c>
    </row>
    <row r="86" spans="2:2" ht="30" customHeight="1" x14ac:dyDescent="0.3">
      <c r="B86" s="7" t="s">
        <v>97</v>
      </c>
    </row>
    <row r="87" spans="2:2" ht="30" customHeight="1" x14ac:dyDescent="0.3">
      <c r="B87" s="7" t="s">
        <v>98</v>
      </c>
    </row>
    <row r="88" spans="2:2" ht="30" customHeight="1" x14ac:dyDescent="0.3">
      <c r="B88" s="7" t="s">
        <v>99</v>
      </c>
    </row>
    <row r="89" spans="2:2" ht="15.6" x14ac:dyDescent="0.3">
      <c r="B89" s="6" t="s">
        <v>439</v>
      </c>
    </row>
    <row r="90" spans="2:2" ht="28.8" x14ac:dyDescent="0.3">
      <c r="B90" s="7" t="s">
        <v>440</v>
      </c>
    </row>
    <row r="91" spans="2:2" x14ac:dyDescent="0.3">
      <c r="B91" s="7"/>
    </row>
  </sheetData>
  <sheetProtection sheet="1" formatCells="0" formatColumns="0" formatRows="0" sort="0" autoFilter="0"/>
  <pageMargins left="0.75" right="0.75" top="1" bottom="1" header="0.511811023622047" footer="0.511811023622047"/>
  <pageSetup paperSize="9" fitToHeight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E7D32"/>
    <pageSetUpPr fitToPage="1"/>
  </sheetPr>
  <dimension ref="B1:AA1222"/>
  <sheetViews>
    <sheetView showGridLines="0" tabSelected="1" zoomScale="70" zoomScaleNormal="70" workbookViewId="0">
      <pane xSplit="7" ySplit="6" topLeftCell="H7" activePane="bottomRight" state="frozen"/>
      <selection pane="topRight" activeCell="H1" sqref="H1"/>
      <selection pane="bottomLeft" activeCell="A7" sqref="A7"/>
      <selection pane="bottomRight" activeCell="I14" sqref="I14"/>
    </sheetView>
  </sheetViews>
  <sheetFormatPr baseColWidth="10" defaultColWidth="8.88671875" defaultRowHeight="14.4" x14ac:dyDescent="0.3"/>
  <cols>
    <col min="1" max="1" width="2.21875" customWidth="1"/>
    <col min="2" max="2" width="12.44140625" customWidth="1"/>
    <col min="3" max="3" width="9.44140625" customWidth="1"/>
    <col min="4" max="4" width="8.44140625" customWidth="1"/>
    <col min="5" max="5" width="16" hidden="1" customWidth="1"/>
    <col min="6" max="7" width="13" customWidth="1"/>
    <col min="8" max="8" width="8" customWidth="1"/>
    <col min="9" max="9" width="8.44140625" customWidth="1"/>
    <col min="10" max="17" width="12" customWidth="1"/>
    <col min="18" max="18" width="26" customWidth="1"/>
    <col min="19" max="19" width="11" customWidth="1"/>
    <col min="20" max="20" width="13" style="67" customWidth="1"/>
    <col min="21" max="21" width="11" style="67" customWidth="1"/>
    <col min="22" max="22" width="9" style="67" customWidth="1"/>
    <col min="23" max="23" width="11" style="67" customWidth="1"/>
    <col min="24" max="24" width="16" style="67" customWidth="1"/>
    <col min="25" max="25" width="0" hidden="1" customWidth="1"/>
    <col min="26" max="27" width="4" hidden="1" customWidth="1"/>
  </cols>
  <sheetData>
    <row r="1" spans="2:27" ht="30" customHeight="1" x14ac:dyDescent="0.3">
      <c r="B1" s="268" t="s">
        <v>100</v>
      </c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268"/>
      <c r="S1" s="269"/>
      <c r="T1" s="264" t="s">
        <v>101</v>
      </c>
      <c r="U1" s="264"/>
      <c r="V1" s="264"/>
      <c r="W1" s="264"/>
      <c r="X1" s="220" t="str">
        <f>HYPERLINK("#ACCUEIL!A1","← ACCUEIL")</f>
        <v>← ACCUEIL</v>
      </c>
    </row>
    <row r="2" spans="2:27" ht="18" customHeight="1" x14ac:dyDescent="0.3">
      <c r="B2" s="270" t="str">
        <f>HYPERLINK("#SAISIE!F"&amp;IFERROR(MATCH(TRUE(),INDEX($F$7:$F$1206="",0),0)+6,7),"Saisir uniquement les performances réalisées — les niveaux UGSEL sont calculés automatiquement.     ➜ Prochaine ligne libre : "&amp;IFERROR(MATCH(TRUE(),INDEX($F$7:$F$1206="",0),0)+6,"tableau plein")&amp;" (cliquez ici pour y aller)   ·   "&amp;COUNTIF($F$7:$F$1206,"&lt;&gt;")&amp;" / 1200 lignes utilisées")</f>
        <v>Saisir uniquement les performances réalisées — les niveaux UGSEL sont calculés automatiquement.     ➜ Prochaine ligne libre : 7 (cliquez ici pour y aller)   ·   0 / 1200 lignes utilisées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1"/>
      <c r="T2" s="264"/>
      <c r="U2" s="264"/>
      <c r="V2" s="264"/>
      <c r="W2" s="264"/>
    </row>
    <row r="3" spans="2:27" ht="13.5" customHeight="1" x14ac:dyDescent="0.3">
      <c r="B3" s="8"/>
      <c r="F3" s="265" t="s">
        <v>102</v>
      </c>
      <c r="G3" s="265"/>
      <c r="H3" s="265" t="s">
        <v>103</v>
      </c>
      <c r="I3" s="265"/>
      <c r="J3" s="265" t="s">
        <v>104</v>
      </c>
      <c r="K3" s="265"/>
      <c r="L3" s="265"/>
      <c r="M3" s="265"/>
      <c r="N3" s="265"/>
      <c r="O3" s="265"/>
      <c r="P3" s="265"/>
      <c r="Q3" s="265"/>
      <c r="R3" s="265"/>
      <c r="S3" s="215"/>
      <c r="T3" s="266" t="s">
        <v>105</v>
      </c>
      <c r="U3" s="267"/>
      <c r="V3" s="267"/>
      <c r="W3" s="267"/>
    </row>
    <row r="4" spans="2:27" ht="44.4" customHeight="1" thickBot="1" x14ac:dyDescent="0.35">
      <c r="B4" s="10"/>
      <c r="F4" s="272"/>
      <c r="G4" s="272"/>
      <c r="H4" s="272"/>
      <c r="I4" s="272"/>
      <c r="J4" s="273" t="str">
        <f>IF(OR($F$4="",$H$4=""),"⚠ Renseignez ÉCOLE et VILLE"&amp;CHAR(10)&amp;"(requises pour le suivi)",IF((COUNTIF($F$7:$F$1206,"?*")+COUNT($F$7:$F$1206))=0,"Aucun élève saisi",(COUNTIF($F$7:$F$1206,"?*")+COUNT($F$7:$F$1206))&amp;" élève(s) · "&amp;SUM($Z$7:$Z$1206)&amp;" complet(s) ("&amp;ROUND(SUM($Z$7:$Z$1206)/(COUNTIF($F$7:$F$1206,"?*")+COUNT($F$7:$F$1206))*100,0)&amp;"%)"))</f>
        <v>⚠ Renseignez ÉCOLE et VILLE
(requises pour le suivi)</v>
      </c>
      <c r="K4" s="273"/>
      <c r="L4" s="273"/>
      <c r="M4" s="273"/>
      <c r="N4" s="273"/>
      <c r="O4" s="273"/>
      <c r="P4" s="273"/>
      <c r="Q4" s="273"/>
      <c r="R4" s="273"/>
      <c r="S4" s="218"/>
      <c r="T4" s="221" t="s">
        <v>106</v>
      </c>
      <c r="U4" s="219"/>
      <c r="V4" s="222" t="s">
        <v>107</v>
      </c>
      <c r="W4" s="219"/>
      <c r="X4" s="225"/>
    </row>
    <row r="5" spans="2:27" ht="103.95" customHeight="1" x14ac:dyDescent="0.3">
      <c r="B5" s="276" t="s">
        <v>108</v>
      </c>
      <c r="C5" s="277"/>
      <c r="D5" s="277"/>
      <c r="E5" s="277"/>
      <c r="F5" s="277"/>
      <c r="G5" s="277"/>
      <c r="H5" s="277"/>
      <c r="I5" s="277"/>
      <c r="J5" s="277"/>
      <c r="K5" s="277"/>
      <c r="L5" s="277"/>
      <c r="M5" s="277"/>
      <c r="N5" s="277"/>
      <c r="O5" s="277"/>
      <c r="P5" s="277"/>
      <c r="Q5" s="277"/>
      <c r="R5" s="277"/>
      <c r="S5" s="278"/>
      <c r="T5" s="274" t="str">
        <f>IF(OR($U$4="",$W$4=""),"",COUNTIFS(D_ANNEE,$U$4,D_NIVEAU,$W$4,D_SESSION,"S1")&amp;" élève(s) en "&amp;$W$4&amp;" "&amp;$U$4&amp;" · "&amp;COUNTIFS(D_ANNEE,$U$4,D_NIVEAU,$W$4,D_SESSION,"S1",D_MOYNIV,"&gt;0")&amp;" avec résultats S1"&amp;IF($X$4=""," · choisissez le mode dans la case à droite du niveau",IF($X$4="→ Session 2 (même année)"," · mode SESSION 2 : "&amp;COUNTIFS(D_ANNEE,$U$4,D_NIVEAU,$W$4,D_SESSION,"S2")&amp;" déjà saisie(s), "&amp;MAX(0,COUNTIFS(D_ANNEE,$U$4,D_NIVEAU,$W$4,D_SESSION,"S1")-COUNTIFS(D_ANNEE,$U$4,D_NIVEAU,$W$4,D_SESSION,"S2"))&amp;" restante(s) à créer"," · mode SESSION 1 de l'année suivante")))</f>
        <v/>
      </c>
      <c r="U5" s="275"/>
      <c r="V5" s="275"/>
      <c r="W5" s="275"/>
      <c r="X5" s="275"/>
      <c r="Y5" s="275"/>
    </row>
    <row r="6" spans="2:27" ht="45" customHeight="1" x14ac:dyDescent="0.3">
      <c r="B6" s="12" t="s">
        <v>109</v>
      </c>
      <c r="C6" s="12" t="s">
        <v>110</v>
      </c>
      <c r="D6" s="12" t="s">
        <v>111</v>
      </c>
      <c r="E6" s="12" t="s">
        <v>112</v>
      </c>
      <c r="F6" s="12" t="s">
        <v>113</v>
      </c>
      <c r="G6" s="12" t="s">
        <v>114</v>
      </c>
      <c r="H6" s="12" t="s">
        <v>115</v>
      </c>
      <c r="I6" s="12" t="s">
        <v>116</v>
      </c>
      <c r="J6" s="13" t="s">
        <v>117</v>
      </c>
      <c r="K6" s="14" t="s">
        <v>118</v>
      </c>
      <c r="L6" s="15" t="s">
        <v>119</v>
      </c>
      <c r="M6" s="16" t="s">
        <v>120</v>
      </c>
      <c r="N6" s="17" t="s">
        <v>121</v>
      </c>
      <c r="O6" s="18" t="s">
        <v>122</v>
      </c>
      <c r="P6" s="19" t="s">
        <v>123</v>
      </c>
      <c r="Q6" s="20" t="s">
        <v>124</v>
      </c>
      <c r="R6" s="12" t="s">
        <v>125</v>
      </c>
      <c r="S6" s="12" t="s">
        <v>128</v>
      </c>
      <c r="T6" s="216" t="s">
        <v>113</v>
      </c>
      <c r="U6" s="217" t="s">
        <v>114</v>
      </c>
      <c r="V6" s="217" t="s">
        <v>115</v>
      </c>
      <c r="W6" s="217" t="s">
        <v>126</v>
      </c>
      <c r="X6" s="217" t="s">
        <v>127</v>
      </c>
      <c r="Y6" s="214" t="s">
        <v>485</v>
      </c>
      <c r="Z6" s="12" t="s">
        <v>441</v>
      </c>
      <c r="AA6" s="12" t="s">
        <v>442</v>
      </c>
    </row>
    <row r="7" spans="2:27" ht="15.75" customHeight="1" x14ac:dyDescent="0.3">
      <c r="B7" s="21"/>
      <c r="C7" s="21"/>
      <c r="D7" s="21"/>
      <c r="E7" s="22"/>
      <c r="F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3" t="str">
        <f>IF($F7="","",IF(OR($B7="",$C7="",$D7=""),"⚠ Compléter Année/Niveau/Session",IF(AND($E7&lt;&gt;"",COUNTIF(D_KEY_DOUBLON,$B7&amp;"|"&amp;$D7&amp;"|"&amp;$E7)&gt;1),"⚠ Doublon",IF(AND($E7&lt;&gt;"",COUNTIF(D_KEY_STATUT,$B7&amp;"|"&amp;$E7&amp;"|P")&gt;0,COUNTIF(D_KEY_STATUT,$B7&amp;"|"&amp;$E7&amp;"|A")&gt;0),"⚠ Statut incohérent",IF(AND($D7="S1",$Y7&lt;&gt;"Parti",COUNTIF(ANNEES_VERROU,$B7)&gt;0,COUNTIF(D_KEY_NIVSES,$B7&amp;"|"&amp;$C7&amp;"|S2")&gt;0,COUNTIF(D_KEY_DOUBLON,$B7&amp;"|S2|"&amp;$E7)=0),"⚠ Départ non confirmé ?",IF(AND($C7&lt;&gt;"",ISNUMBER($J7),OR(VALUE(LEFT($B7,4))-$J7&lt;4+IFERROR(MATCH($C7,LISTE_NIVEAUX,0),99),VALUE(LEFT($B7,4))-$J7&gt;6+IFERROR(MATCH($C7,LISTE_NIVEAUX,0),99))),"⚠ Vérifier niveau",IF(AND(IFERROR(VLOOKUP($C7,TABLE_CYCLE,2,0),3)=2,COUNT($P7:$Q7)&gt;0),"⚠ Tests cycle 3",IF(COUNT($K7:$Q7)&gt;=IF(IFERROR(VLOOKUP($C7,TABLE_CYCLE,2,0),3)=2,5,8),"Complet","Incomplet"))))))))</f>
        <v/>
      </c>
      <c r="S7" s="24"/>
      <c r="T7" s="223" t="str">
        <f t="shared" ref="T7:T70" si="0">IFERROR(INDEX(D_NOM,MATCH(ROW()-6,D_RANG_RECUP,0)),"")</f>
        <v/>
      </c>
      <c r="U7" s="224" t="str">
        <f t="shared" ref="U7:U70" si="1">IFERROR(INDEX(D_PRENOM,MATCH(ROW()-6,D_RANG_RECUP,0)),"")</f>
        <v/>
      </c>
      <c r="V7" s="224" t="str">
        <f t="shared" ref="V7:V70" si="2">IFERROR(INDEX(D_SEXE,MATCH(ROW()-6,D_RANG_RECUP,0)),"")</f>
        <v/>
      </c>
      <c r="W7" s="224" t="str">
        <f t="shared" ref="W7:W70" si="3">IFERROR(INDEX(D_NAISS,MATCH(ROW()-6,D_RANG_RECUP,0)),"")</f>
        <v/>
      </c>
      <c r="X7" s="224" t="str">
        <f t="shared" ref="X7:X70" si="4">IF($T7="","",IF($X$4="→ Session 2 (même année)",$W$4,IFERROR(INDEX(LISTE_NIVEAUX,MATCH($W$4,LISTE_NIVEAUX,0)+1),"CM2 terminé")))</f>
        <v/>
      </c>
      <c r="Y7" s="24" t="str">
        <f t="shared" ref="Y7:Y70" si="5">IF($S7="","",$S7)</f>
        <v/>
      </c>
      <c r="Z7">
        <f t="shared" ref="Z7:Z70" si="6">SUBTOTAL(103,$F7)*($R7="Complet")</f>
        <v>0</v>
      </c>
      <c r="AA7">
        <f>IF(OR($F7="",$C7=""),0,IF(COUNTIFS($B$7:$B$1206,$B7,$F$7:$F$1206,$F7,$G$7:$G$1206,$H7,$I$7:$I$1206,$J7,$C$7:$C$1206,"&lt;&gt;"&amp;$C7)&gt;0,1,0))</f>
        <v>0</v>
      </c>
    </row>
    <row r="8" spans="2:27" ht="15.75" customHeight="1" x14ac:dyDescent="0.3">
      <c r="B8" s="25"/>
      <c r="C8" s="25"/>
      <c r="D8" s="25"/>
      <c r="E8" s="26" t="str">
        <f t="shared" ref="E8:E70" si="7">IF(OR($F8="",$G8=""),"",IF(ISNUMBER($I8),TEXT($I8-2000,"00")&amp;"_","__")&amp;UPPER(TRIM($F8))&amp;"_"&amp;UPPER(TRIM($G8)))</f>
        <v/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3" t="str">
        <f>IF($F8="","",IF(OR($B8="",$C8="",$D8=""),"⚠ Compléter Année/Niveau/Session",IF(AND($E8&lt;&gt;"",COUNTIF(D_KEY_DOUBLON,$B8&amp;"|"&amp;$D8&amp;"|"&amp;$E8)&gt;1),"⚠ Doublon",IF(AND($E8&lt;&gt;"",COUNTIF(D_KEY_STATUT,$B8&amp;"|"&amp;$E8&amp;"|P")&gt;0,COUNTIF(D_KEY_STATUT,$B8&amp;"|"&amp;$E8&amp;"|A")&gt;0),"⚠ Statut incohérent",IF(AND($D8="S1",$Y8&lt;&gt;"Parti",COUNTIF(ANNEES_VERROU,$B8)&gt;0,COUNTIF(D_KEY_NIVSES,$B8&amp;"|"&amp;$C8&amp;"|S2")&gt;0,COUNTIF(D_KEY_DOUBLON,$B8&amp;"|S2|"&amp;$E8)=0),"⚠ Départ non confirmé ?",IF(AND($C8&lt;&gt;"",ISNUMBER($I8),OR(VALUE(LEFT($B8,4))-$I8&lt;4+IFERROR(MATCH($C8,LISTE_NIVEAUX,0),99),VALUE(LEFT($B8,4))-$I8&gt;6+IFERROR(MATCH($C8,LISTE_NIVEAUX,0),99))),"⚠ Vérifier niveau",IF(AND(IFERROR(VLOOKUP($C8,TABLE_CYCLE,2,0),3)=2,COUNT($O8:$Q8)&gt;0),"⚠ Tests cycle 3",IF(COUNT($J8:$Q8)&gt;=IF(IFERROR(VLOOKUP($C8,TABLE_CYCLE,2,0),3)=2,5,8),"Complet","Incomplet"))))))))</f>
        <v/>
      </c>
      <c r="S8" s="24"/>
      <c r="T8" s="223" t="str">
        <f t="shared" si="0"/>
        <v/>
      </c>
      <c r="U8" s="224" t="str">
        <f t="shared" si="1"/>
        <v/>
      </c>
      <c r="V8" s="224" t="str">
        <f t="shared" si="2"/>
        <v/>
      </c>
      <c r="W8" s="224" t="str">
        <f t="shared" si="3"/>
        <v/>
      </c>
      <c r="X8" s="224" t="str">
        <f t="shared" si="4"/>
        <v/>
      </c>
      <c r="Y8" s="24" t="str">
        <f t="shared" si="5"/>
        <v/>
      </c>
      <c r="Z8">
        <f t="shared" si="6"/>
        <v>0</v>
      </c>
      <c r="AA8">
        <f t="shared" ref="AA8:AA70" si="8">IF(OR($F8="",$C8=""),0,IF(COUNTIFS($B$7:$B$1206,$B8,$F$7:$F$1206,$F8,$G$7:$G$1206,$G8,$I$7:$I$1206,$I8,$C$7:$C$1206,"&lt;&gt;"&amp;$C8)&gt;0,1,0))</f>
        <v>0</v>
      </c>
    </row>
    <row r="9" spans="2:27" ht="15.75" customHeight="1" x14ac:dyDescent="0.3">
      <c r="B9" s="21"/>
      <c r="C9" s="21"/>
      <c r="D9" s="21"/>
      <c r="E9" s="22" t="str">
        <f t="shared" si="7"/>
        <v/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3" t="str">
        <f>IF($F9="","",IF(OR($B9="",$C9="",$D9=""),"⚠ Compléter Année/Niveau/Session",IF(AND($E9&lt;&gt;"",COUNTIF(D_KEY_DOUBLON,$B9&amp;"|"&amp;$D9&amp;"|"&amp;$E9)&gt;1),"⚠ Doublon",IF(AND($E9&lt;&gt;"",COUNTIF(D_KEY_STATUT,$B9&amp;"|"&amp;$E9&amp;"|P")&gt;0,COUNTIF(D_KEY_STATUT,$B9&amp;"|"&amp;$E9&amp;"|A")&gt;0),"⚠ Statut incohérent",IF(AND($D9="S1",$Y9&lt;&gt;"Parti",COUNTIF(ANNEES_VERROU,$B9)&gt;0,COUNTIF(D_KEY_NIVSES,$B9&amp;"|"&amp;$C9&amp;"|S2")&gt;0,COUNTIF(D_KEY_DOUBLON,$B9&amp;"|S2|"&amp;$E9)=0),"⚠ Départ non confirmé ?",IF(AND($C9&lt;&gt;"",ISNUMBER($I9),OR(VALUE(LEFT($B9,4))-$I9&lt;4+IFERROR(MATCH($C9,LISTE_NIVEAUX,0),99),VALUE(LEFT($B9,4))-$I9&gt;6+IFERROR(MATCH($C9,LISTE_NIVEAUX,0),99))),"⚠ Vérifier niveau",IF(AND(IFERROR(VLOOKUP($C9,TABLE_CYCLE,2,0),3)=2,COUNT($O9:$Q9)&gt;0),"⚠ Tests cycle 3",IF(COUNT($J9:$Q9)&gt;=IF(IFERROR(VLOOKUP($C9,TABLE_CYCLE,2,0),3)=2,5,8),"Complet","Incomplet"))))))))</f>
        <v/>
      </c>
      <c r="S9" s="24"/>
      <c r="T9" s="223" t="str">
        <f t="shared" si="0"/>
        <v/>
      </c>
      <c r="U9" s="224" t="str">
        <f t="shared" si="1"/>
        <v/>
      </c>
      <c r="V9" s="224" t="str">
        <f t="shared" si="2"/>
        <v/>
      </c>
      <c r="W9" s="224" t="str">
        <f t="shared" si="3"/>
        <v/>
      </c>
      <c r="X9" s="224" t="str">
        <f t="shared" si="4"/>
        <v/>
      </c>
      <c r="Y9" s="24" t="str">
        <f t="shared" si="5"/>
        <v/>
      </c>
      <c r="Z9">
        <f t="shared" si="6"/>
        <v>0</v>
      </c>
      <c r="AA9">
        <f t="shared" si="8"/>
        <v>0</v>
      </c>
    </row>
    <row r="10" spans="2:27" ht="15.75" customHeight="1" x14ac:dyDescent="0.3">
      <c r="B10" s="25"/>
      <c r="C10" s="25"/>
      <c r="D10" s="25"/>
      <c r="E10" s="26" t="str">
        <f t="shared" si="7"/>
        <v/>
      </c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3" t="str">
        <f>IF($F10="","",IF(OR($B10="",$C10="",$D10=""),"⚠ Compléter Année/Niveau/Session",IF(AND($E10&lt;&gt;"",COUNTIF(D_KEY_DOUBLON,$B10&amp;"|"&amp;$D10&amp;"|"&amp;$E10)&gt;1),"⚠ Doublon",IF(AND($E10&lt;&gt;"",COUNTIF(D_KEY_STATUT,$B10&amp;"|"&amp;$E10&amp;"|P")&gt;0,COUNTIF(D_KEY_STATUT,$B10&amp;"|"&amp;$E10&amp;"|A")&gt;0),"⚠ Statut incohérent",IF(AND($D10="S1",$Y10&lt;&gt;"Parti",COUNTIF(ANNEES_VERROU,$B10)&gt;0,COUNTIF(D_KEY_NIVSES,$B10&amp;"|"&amp;$C10&amp;"|S2")&gt;0,COUNTIF(D_KEY_DOUBLON,$B10&amp;"|S2|"&amp;$E10)=0),"⚠ Départ non confirmé ?",IF(AND($C10&lt;&gt;"",ISNUMBER($I10),OR(VALUE(LEFT($B10,4))-$I10&lt;4+IFERROR(MATCH($C10,LISTE_NIVEAUX,0),99),VALUE(LEFT($B10,4))-$I10&gt;6+IFERROR(MATCH($C10,LISTE_NIVEAUX,0),99))),"⚠ Vérifier niveau",IF(AND(IFERROR(VLOOKUP($C10,TABLE_CYCLE,2,0),3)=2,COUNT($O10:$Q10)&gt;0),"⚠ Tests cycle 3",IF(COUNT($J10:$Q10)&gt;=IF(IFERROR(VLOOKUP($C10,TABLE_CYCLE,2,0),3)=2,5,8),"Complet","Incomplet"))))))))</f>
        <v/>
      </c>
      <c r="S10" s="24"/>
      <c r="T10" s="223" t="str">
        <f t="shared" si="0"/>
        <v/>
      </c>
      <c r="U10" s="224" t="str">
        <f t="shared" si="1"/>
        <v/>
      </c>
      <c r="V10" s="224" t="str">
        <f t="shared" si="2"/>
        <v/>
      </c>
      <c r="W10" s="224" t="str">
        <f t="shared" si="3"/>
        <v/>
      </c>
      <c r="X10" s="224" t="str">
        <f t="shared" si="4"/>
        <v/>
      </c>
      <c r="Y10" s="24" t="str">
        <f t="shared" si="5"/>
        <v/>
      </c>
      <c r="Z10">
        <f t="shared" si="6"/>
        <v>0</v>
      </c>
      <c r="AA10">
        <f t="shared" si="8"/>
        <v>0</v>
      </c>
    </row>
    <row r="11" spans="2:27" ht="15.75" customHeight="1" x14ac:dyDescent="0.3">
      <c r="B11" s="21"/>
      <c r="C11" s="21"/>
      <c r="D11" s="21"/>
      <c r="E11" s="22" t="str">
        <f t="shared" si="7"/>
        <v/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3" t="str">
        <f>IF($F11="","",IF(OR($B11="",$C11="",$D11=""),"⚠ Compléter Année/Niveau/Session",IF(AND($E11&lt;&gt;"",COUNTIF(D_KEY_DOUBLON,$B11&amp;"|"&amp;$D11&amp;"|"&amp;$E11)&gt;1),"⚠ Doublon",IF(AND($E11&lt;&gt;"",COUNTIF(D_KEY_STATUT,$B11&amp;"|"&amp;$E11&amp;"|P")&gt;0,COUNTIF(D_KEY_STATUT,$B11&amp;"|"&amp;$E11&amp;"|A")&gt;0),"⚠ Statut incohérent",IF(AND($D11="S1",$Y11&lt;&gt;"Parti",COUNTIF(ANNEES_VERROU,$B11)&gt;0,COUNTIF(D_KEY_NIVSES,$B11&amp;"|"&amp;$C11&amp;"|S2")&gt;0,COUNTIF(D_KEY_DOUBLON,$B11&amp;"|S2|"&amp;$E11)=0),"⚠ Départ non confirmé ?",IF(AND($C11&lt;&gt;"",ISNUMBER($I11),OR(VALUE(LEFT($B11,4))-$I11&lt;4+IFERROR(MATCH($C11,LISTE_NIVEAUX,0),99),VALUE(LEFT($B11,4))-$I11&gt;6+IFERROR(MATCH($C11,LISTE_NIVEAUX,0),99))),"⚠ Vérifier niveau",IF(AND(IFERROR(VLOOKUP($C11,TABLE_CYCLE,2,0),3)=2,COUNT($O11:$Q11)&gt;0),"⚠ Tests cycle 3",IF(COUNT($J11:$Q11)&gt;=IF(IFERROR(VLOOKUP($C11,TABLE_CYCLE,2,0),3)=2,5,8),"Complet","Incomplet"))))))))</f>
        <v/>
      </c>
      <c r="S11" s="24"/>
      <c r="T11" s="223" t="str">
        <f t="shared" si="0"/>
        <v/>
      </c>
      <c r="U11" s="224" t="str">
        <f t="shared" si="1"/>
        <v/>
      </c>
      <c r="V11" s="224" t="str">
        <f t="shared" si="2"/>
        <v/>
      </c>
      <c r="W11" s="224" t="str">
        <f t="shared" si="3"/>
        <v/>
      </c>
      <c r="X11" s="224" t="str">
        <f t="shared" si="4"/>
        <v/>
      </c>
      <c r="Y11" s="24" t="str">
        <f t="shared" si="5"/>
        <v/>
      </c>
      <c r="Z11">
        <f t="shared" si="6"/>
        <v>0</v>
      </c>
      <c r="AA11">
        <f t="shared" si="8"/>
        <v>0</v>
      </c>
    </row>
    <row r="12" spans="2:27" ht="15.75" customHeight="1" x14ac:dyDescent="0.3">
      <c r="B12" s="25"/>
      <c r="C12" s="25"/>
      <c r="D12" s="25"/>
      <c r="E12" s="26" t="str">
        <f t="shared" si="7"/>
        <v/>
      </c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3" t="str">
        <f>IF($F12="","",IF(OR($B12="",$C12="",$D12=""),"⚠ Compléter Année/Niveau/Session",IF(AND($E12&lt;&gt;"",COUNTIF(D_KEY_DOUBLON,$B12&amp;"|"&amp;$D12&amp;"|"&amp;$E12)&gt;1),"⚠ Doublon",IF(AND($E12&lt;&gt;"",COUNTIF(D_KEY_STATUT,$B12&amp;"|"&amp;$E12&amp;"|P")&gt;0,COUNTIF(D_KEY_STATUT,$B12&amp;"|"&amp;$E12&amp;"|A")&gt;0),"⚠ Statut incohérent",IF(AND($D12="S1",$Y12&lt;&gt;"Parti",COUNTIF(ANNEES_VERROU,$B12)&gt;0,COUNTIF(D_KEY_NIVSES,$B12&amp;"|"&amp;$C12&amp;"|S2")&gt;0,COUNTIF(D_KEY_DOUBLON,$B12&amp;"|S2|"&amp;$E12)=0),"⚠ Départ non confirmé ?",IF(AND($C12&lt;&gt;"",ISNUMBER($I12),OR(VALUE(LEFT($B12,4))-$I12&lt;4+IFERROR(MATCH($C12,LISTE_NIVEAUX,0),99),VALUE(LEFT($B12,4))-$I12&gt;6+IFERROR(MATCH($C12,LISTE_NIVEAUX,0),99))),"⚠ Vérifier niveau",IF(AND(IFERROR(VLOOKUP($C12,TABLE_CYCLE,2,0),3)=2,COUNT($O12:$Q12)&gt;0),"⚠ Tests cycle 3",IF(COUNT($J12:$Q12)&gt;=IF(IFERROR(VLOOKUP($C12,TABLE_CYCLE,2,0),3)=2,5,8),"Complet","Incomplet"))))))))</f>
        <v/>
      </c>
      <c r="S12" s="24"/>
      <c r="T12" s="223" t="str">
        <f t="shared" si="0"/>
        <v/>
      </c>
      <c r="U12" s="224" t="str">
        <f t="shared" si="1"/>
        <v/>
      </c>
      <c r="V12" s="224" t="str">
        <f t="shared" si="2"/>
        <v/>
      </c>
      <c r="W12" s="224" t="str">
        <f t="shared" si="3"/>
        <v/>
      </c>
      <c r="X12" s="224" t="str">
        <f t="shared" si="4"/>
        <v/>
      </c>
      <c r="Y12" s="24" t="str">
        <f t="shared" si="5"/>
        <v/>
      </c>
      <c r="Z12">
        <f t="shared" si="6"/>
        <v>0</v>
      </c>
      <c r="AA12">
        <f t="shared" si="8"/>
        <v>0</v>
      </c>
    </row>
    <row r="13" spans="2:27" ht="15.75" customHeight="1" x14ac:dyDescent="0.3">
      <c r="B13" s="21"/>
      <c r="C13" s="21"/>
      <c r="D13" s="21"/>
      <c r="E13" s="22" t="str">
        <f t="shared" si="7"/>
        <v/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3" t="str">
        <f>IF($F13="","",IF(OR($B13="",$C13="",$D13=""),"⚠ Compléter Année/Niveau/Session",IF(AND($E13&lt;&gt;"",COUNTIF(D_KEY_DOUBLON,$B13&amp;"|"&amp;$D13&amp;"|"&amp;$E13)&gt;1),"⚠ Doublon",IF(AND($E13&lt;&gt;"",COUNTIF(D_KEY_STATUT,$B13&amp;"|"&amp;$E13&amp;"|P")&gt;0,COUNTIF(D_KEY_STATUT,$B13&amp;"|"&amp;$E13&amp;"|A")&gt;0),"⚠ Statut incohérent",IF(AND($D13="S1",$Y13&lt;&gt;"Parti",COUNTIF(ANNEES_VERROU,$B13)&gt;0,COUNTIF(D_KEY_NIVSES,$B13&amp;"|"&amp;$C13&amp;"|S2")&gt;0,COUNTIF(D_KEY_DOUBLON,$B13&amp;"|S2|"&amp;$E13)=0),"⚠ Départ non confirmé ?",IF(AND($C13&lt;&gt;"",ISNUMBER($I13),OR(VALUE(LEFT($B13,4))-$I13&lt;4+IFERROR(MATCH($C13,LISTE_NIVEAUX,0),99),VALUE(LEFT($B13,4))-$I13&gt;6+IFERROR(MATCH($C13,LISTE_NIVEAUX,0),99))),"⚠ Vérifier niveau",IF(AND(IFERROR(VLOOKUP($C13,TABLE_CYCLE,2,0),3)=2,COUNT($O13:$Q13)&gt;0),"⚠ Tests cycle 3",IF(COUNT($J13:$Q13)&gt;=IF(IFERROR(VLOOKUP($C13,TABLE_CYCLE,2,0),3)=2,5,8),"Complet","Incomplet"))))))))</f>
        <v/>
      </c>
      <c r="S13" s="24"/>
      <c r="T13" s="223" t="str">
        <f t="shared" si="0"/>
        <v/>
      </c>
      <c r="U13" s="224" t="str">
        <f t="shared" si="1"/>
        <v/>
      </c>
      <c r="V13" s="224" t="str">
        <f t="shared" si="2"/>
        <v/>
      </c>
      <c r="W13" s="224" t="str">
        <f t="shared" si="3"/>
        <v/>
      </c>
      <c r="X13" s="224" t="str">
        <f t="shared" si="4"/>
        <v/>
      </c>
      <c r="Y13" s="24" t="str">
        <f t="shared" si="5"/>
        <v/>
      </c>
      <c r="Z13">
        <f t="shared" si="6"/>
        <v>0</v>
      </c>
      <c r="AA13">
        <f t="shared" si="8"/>
        <v>0</v>
      </c>
    </row>
    <row r="14" spans="2:27" ht="15.75" customHeight="1" x14ac:dyDescent="0.3">
      <c r="B14" s="25"/>
      <c r="C14" s="25"/>
      <c r="D14" s="25"/>
      <c r="E14" s="26" t="str">
        <f t="shared" si="7"/>
        <v/>
      </c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3" t="str">
        <f>IF($F14="","",IF(OR($B14="",$C14="",$D14=""),"⚠ Compléter Année/Niveau/Session",IF(AND($E14&lt;&gt;"",COUNTIF(D_KEY_DOUBLON,$B14&amp;"|"&amp;$D14&amp;"|"&amp;$E14)&gt;1),"⚠ Doublon",IF(AND($E14&lt;&gt;"",COUNTIF(D_KEY_STATUT,$B14&amp;"|"&amp;$E14&amp;"|P")&gt;0,COUNTIF(D_KEY_STATUT,$B14&amp;"|"&amp;$E14&amp;"|A")&gt;0),"⚠ Statut incohérent",IF(AND($D14="S1",$Y14&lt;&gt;"Parti",COUNTIF(ANNEES_VERROU,$B14)&gt;0,COUNTIF(D_KEY_NIVSES,$B14&amp;"|"&amp;$C14&amp;"|S2")&gt;0,COUNTIF(D_KEY_DOUBLON,$B14&amp;"|S2|"&amp;$E14)=0),"⚠ Départ non confirmé ?",IF(AND($C14&lt;&gt;"",ISNUMBER($I14),OR(VALUE(LEFT($B14,4))-$I14&lt;4+IFERROR(MATCH($C14,LISTE_NIVEAUX,0),99),VALUE(LEFT($B14,4))-$I14&gt;6+IFERROR(MATCH($C14,LISTE_NIVEAUX,0),99))),"⚠ Vérifier niveau",IF(AND(IFERROR(VLOOKUP($C14,TABLE_CYCLE,2,0),3)=2,COUNT($O14:$Q14)&gt;0),"⚠ Tests cycle 3",IF(COUNT($J14:$Q14)&gt;=IF(IFERROR(VLOOKUP($C14,TABLE_CYCLE,2,0),3)=2,5,8),"Complet","Incomplet"))))))))</f>
        <v/>
      </c>
      <c r="S14" s="24"/>
      <c r="T14" s="223" t="str">
        <f t="shared" si="0"/>
        <v/>
      </c>
      <c r="U14" s="224" t="str">
        <f t="shared" si="1"/>
        <v/>
      </c>
      <c r="V14" s="224" t="str">
        <f t="shared" si="2"/>
        <v/>
      </c>
      <c r="W14" s="224" t="str">
        <f t="shared" si="3"/>
        <v/>
      </c>
      <c r="X14" s="224" t="str">
        <f t="shared" si="4"/>
        <v/>
      </c>
      <c r="Y14" s="24" t="str">
        <f t="shared" si="5"/>
        <v/>
      </c>
      <c r="Z14">
        <f t="shared" si="6"/>
        <v>0</v>
      </c>
      <c r="AA14">
        <f t="shared" si="8"/>
        <v>0</v>
      </c>
    </row>
    <row r="15" spans="2:27" ht="15.75" customHeight="1" x14ac:dyDescent="0.3">
      <c r="B15" s="21"/>
      <c r="C15" s="21"/>
      <c r="D15" s="21"/>
      <c r="E15" s="22" t="str">
        <f t="shared" si="7"/>
        <v/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3" t="str">
        <f>IF($F15="","",IF(OR($B15="",$C15="",$D15=""),"⚠ Compléter Année/Niveau/Session",IF(AND($E15&lt;&gt;"",COUNTIF(D_KEY_DOUBLON,$B15&amp;"|"&amp;$D15&amp;"|"&amp;$E15)&gt;1),"⚠ Doublon",IF(AND($E15&lt;&gt;"",COUNTIF(D_KEY_STATUT,$B15&amp;"|"&amp;$E15&amp;"|P")&gt;0,COUNTIF(D_KEY_STATUT,$B15&amp;"|"&amp;$E15&amp;"|A")&gt;0),"⚠ Statut incohérent",IF(AND($D15="S1",$Y15&lt;&gt;"Parti",COUNTIF(ANNEES_VERROU,$B15)&gt;0,COUNTIF(D_KEY_NIVSES,$B15&amp;"|"&amp;$C15&amp;"|S2")&gt;0,COUNTIF(D_KEY_DOUBLON,$B15&amp;"|S2|"&amp;$E15)=0),"⚠ Départ non confirmé ?",IF(AND($C15&lt;&gt;"",ISNUMBER($I15),OR(VALUE(LEFT($B15,4))-$I15&lt;4+IFERROR(MATCH($C15,LISTE_NIVEAUX,0),99),VALUE(LEFT($B15,4))-$I15&gt;6+IFERROR(MATCH($C15,LISTE_NIVEAUX,0),99))),"⚠ Vérifier niveau",IF(AND(IFERROR(VLOOKUP($C15,TABLE_CYCLE,2,0),3)=2,COUNT($O15:$Q15)&gt;0),"⚠ Tests cycle 3",IF(COUNT($J15:$Q15)&gt;=IF(IFERROR(VLOOKUP($C15,TABLE_CYCLE,2,0),3)=2,5,8),"Complet","Incomplet"))))))))</f>
        <v/>
      </c>
      <c r="S15" s="24"/>
      <c r="T15" s="223" t="str">
        <f t="shared" si="0"/>
        <v/>
      </c>
      <c r="U15" s="224" t="str">
        <f t="shared" si="1"/>
        <v/>
      </c>
      <c r="V15" s="224" t="str">
        <f t="shared" si="2"/>
        <v/>
      </c>
      <c r="W15" s="224" t="str">
        <f t="shared" si="3"/>
        <v/>
      </c>
      <c r="X15" s="224" t="str">
        <f t="shared" si="4"/>
        <v/>
      </c>
      <c r="Y15" s="24" t="str">
        <f t="shared" si="5"/>
        <v/>
      </c>
      <c r="Z15">
        <f t="shared" si="6"/>
        <v>0</v>
      </c>
      <c r="AA15">
        <f t="shared" si="8"/>
        <v>0</v>
      </c>
    </row>
    <row r="16" spans="2:27" ht="15.75" customHeight="1" x14ac:dyDescent="0.3">
      <c r="B16" s="25"/>
      <c r="C16" s="25"/>
      <c r="D16" s="25"/>
      <c r="E16" s="26" t="str">
        <f t="shared" si="7"/>
        <v/>
      </c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3" t="str">
        <f>IF($F16="","",IF(OR($B16="",$C16="",$D16=""),"⚠ Compléter Année/Niveau/Session",IF(AND($E16&lt;&gt;"",COUNTIF(D_KEY_DOUBLON,$B16&amp;"|"&amp;$D16&amp;"|"&amp;$E16)&gt;1),"⚠ Doublon",IF(AND($E16&lt;&gt;"",COUNTIF(D_KEY_STATUT,$B16&amp;"|"&amp;$E16&amp;"|P")&gt;0,COUNTIF(D_KEY_STATUT,$B16&amp;"|"&amp;$E16&amp;"|A")&gt;0),"⚠ Statut incohérent",IF(AND($D16="S1",$Y16&lt;&gt;"Parti",COUNTIF(ANNEES_VERROU,$B16)&gt;0,COUNTIF(D_KEY_NIVSES,$B16&amp;"|"&amp;$C16&amp;"|S2")&gt;0,COUNTIF(D_KEY_DOUBLON,$B16&amp;"|S2|"&amp;$E16)=0),"⚠ Départ non confirmé ?",IF(AND($C16&lt;&gt;"",ISNUMBER($I16),OR(VALUE(LEFT($B16,4))-$I16&lt;4+IFERROR(MATCH($C16,LISTE_NIVEAUX,0),99),VALUE(LEFT($B16,4))-$I16&gt;6+IFERROR(MATCH($C16,LISTE_NIVEAUX,0),99))),"⚠ Vérifier niveau",IF(AND(IFERROR(VLOOKUP($C16,TABLE_CYCLE,2,0),3)=2,COUNT($O16:$Q16)&gt;0),"⚠ Tests cycle 3",IF(COUNT($J16:$Q16)&gt;=IF(IFERROR(VLOOKUP($C16,TABLE_CYCLE,2,0),3)=2,5,8),"Complet","Incomplet"))))))))</f>
        <v/>
      </c>
      <c r="S16" s="24"/>
      <c r="T16" s="223" t="str">
        <f t="shared" si="0"/>
        <v/>
      </c>
      <c r="U16" s="224" t="str">
        <f t="shared" si="1"/>
        <v/>
      </c>
      <c r="V16" s="224" t="str">
        <f t="shared" si="2"/>
        <v/>
      </c>
      <c r="W16" s="224" t="str">
        <f t="shared" si="3"/>
        <v/>
      </c>
      <c r="X16" s="224" t="str">
        <f t="shared" si="4"/>
        <v/>
      </c>
      <c r="Y16" s="24" t="str">
        <f t="shared" si="5"/>
        <v/>
      </c>
      <c r="Z16">
        <f t="shared" si="6"/>
        <v>0</v>
      </c>
      <c r="AA16">
        <f t="shared" si="8"/>
        <v>0</v>
      </c>
    </row>
    <row r="17" spans="2:27" ht="15.75" customHeight="1" x14ac:dyDescent="0.3">
      <c r="B17" s="21"/>
      <c r="C17" s="21"/>
      <c r="D17" s="21"/>
      <c r="E17" s="22" t="str">
        <f t="shared" si="7"/>
        <v/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3" t="str">
        <f>IF($F17="","",IF(OR($B17="",$C17="",$D17=""),"⚠ Compléter Année/Niveau/Session",IF(AND($E17&lt;&gt;"",COUNTIF(D_KEY_DOUBLON,$B17&amp;"|"&amp;$D17&amp;"|"&amp;$E17)&gt;1),"⚠ Doublon",IF(AND($E17&lt;&gt;"",COUNTIF(D_KEY_STATUT,$B17&amp;"|"&amp;$E17&amp;"|P")&gt;0,COUNTIF(D_KEY_STATUT,$B17&amp;"|"&amp;$E17&amp;"|A")&gt;0),"⚠ Statut incohérent",IF(AND($D17="S1",$Y17&lt;&gt;"Parti",COUNTIF(ANNEES_VERROU,$B17)&gt;0,COUNTIF(D_KEY_NIVSES,$B17&amp;"|"&amp;$C17&amp;"|S2")&gt;0,COUNTIF(D_KEY_DOUBLON,$B17&amp;"|S2|"&amp;$E17)=0),"⚠ Départ non confirmé ?",IF(AND($C17&lt;&gt;"",ISNUMBER($I17),OR(VALUE(LEFT($B17,4))-$I17&lt;4+IFERROR(MATCH($C17,LISTE_NIVEAUX,0),99),VALUE(LEFT($B17,4))-$I17&gt;6+IFERROR(MATCH($C17,LISTE_NIVEAUX,0),99))),"⚠ Vérifier niveau",IF(AND(IFERROR(VLOOKUP($C17,TABLE_CYCLE,2,0),3)=2,COUNT($O17:$Q17)&gt;0),"⚠ Tests cycle 3",IF(COUNT($J17:$Q17)&gt;=IF(IFERROR(VLOOKUP($C17,TABLE_CYCLE,2,0),3)=2,5,8),"Complet","Incomplet"))))))))</f>
        <v/>
      </c>
      <c r="S17" s="24"/>
      <c r="T17" s="223" t="str">
        <f t="shared" si="0"/>
        <v/>
      </c>
      <c r="U17" s="224" t="str">
        <f t="shared" si="1"/>
        <v/>
      </c>
      <c r="V17" s="224" t="str">
        <f t="shared" si="2"/>
        <v/>
      </c>
      <c r="W17" s="224" t="str">
        <f t="shared" si="3"/>
        <v/>
      </c>
      <c r="X17" s="224" t="str">
        <f t="shared" si="4"/>
        <v/>
      </c>
      <c r="Y17" s="24" t="str">
        <f t="shared" si="5"/>
        <v/>
      </c>
      <c r="Z17">
        <f t="shared" si="6"/>
        <v>0</v>
      </c>
      <c r="AA17">
        <f t="shared" si="8"/>
        <v>0</v>
      </c>
    </row>
    <row r="18" spans="2:27" ht="15.75" customHeight="1" x14ac:dyDescent="0.3">
      <c r="B18" s="25"/>
      <c r="C18" s="25"/>
      <c r="D18" s="25"/>
      <c r="E18" s="26" t="str">
        <f t="shared" si="7"/>
        <v/>
      </c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3" t="str">
        <f>IF($F18="","",IF(OR($B18="",$C18="",$D18=""),"⚠ Compléter Année/Niveau/Session",IF(AND($E18&lt;&gt;"",COUNTIF(D_KEY_DOUBLON,$B18&amp;"|"&amp;$D18&amp;"|"&amp;$E18)&gt;1),"⚠ Doublon",IF(AND($E18&lt;&gt;"",COUNTIF(D_KEY_STATUT,$B18&amp;"|"&amp;$E18&amp;"|P")&gt;0,COUNTIF(D_KEY_STATUT,$B18&amp;"|"&amp;$E18&amp;"|A")&gt;0),"⚠ Statut incohérent",IF(AND($D18="S1",$Y18&lt;&gt;"Parti",COUNTIF(ANNEES_VERROU,$B18)&gt;0,COUNTIF(D_KEY_NIVSES,$B18&amp;"|"&amp;$C18&amp;"|S2")&gt;0,COUNTIF(D_KEY_DOUBLON,$B18&amp;"|S2|"&amp;$E18)=0),"⚠ Départ non confirmé ?",IF(AND($C18&lt;&gt;"",ISNUMBER($I18),OR(VALUE(LEFT($B18,4))-$I18&lt;4+IFERROR(MATCH($C18,LISTE_NIVEAUX,0),99),VALUE(LEFT($B18,4))-$I18&gt;6+IFERROR(MATCH($C18,LISTE_NIVEAUX,0),99))),"⚠ Vérifier niveau",IF(AND(IFERROR(VLOOKUP($C18,TABLE_CYCLE,2,0),3)=2,COUNT($O18:$Q18)&gt;0),"⚠ Tests cycle 3",IF(COUNT($J18:$Q18)&gt;=IF(IFERROR(VLOOKUP($C18,TABLE_CYCLE,2,0),3)=2,5,8),"Complet","Incomplet"))))))))</f>
        <v/>
      </c>
      <c r="S18" s="24"/>
      <c r="T18" s="223" t="str">
        <f t="shared" si="0"/>
        <v/>
      </c>
      <c r="U18" s="224" t="str">
        <f t="shared" si="1"/>
        <v/>
      </c>
      <c r="V18" s="224" t="str">
        <f t="shared" si="2"/>
        <v/>
      </c>
      <c r="W18" s="224" t="str">
        <f t="shared" si="3"/>
        <v/>
      </c>
      <c r="X18" s="224" t="str">
        <f t="shared" si="4"/>
        <v/>
      </c>
      <c r="Y18" s="24" t="str">
        <f t="shared" si="5"/>
        <v/>
      </c>
      <c r="Z18">
        <f t="shared" si="6"/>
        <v>0</v>
      </c>
      <c r="AA18">
        <f t="shared" si="8"/>
        <v>0</v>
      </c>
    </row>
    <row r="19" spans="2:27" ht="15.75" customHeight="1" x14ac:dyDescent="0.3">
      <c r="B19" s="21"/>
      <c r="C19" s="21"/>
      <c r="D19" s="21"/>
      <c r="E19" s="22" t="str">
        <f t="shared" si="7"/>
        <v/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3" t="str">
        <f>IF($F19="","",IF(OR($B19="",$C19="",$D19=""),"⚠ Compléter Année/Niveau/Session",IF(AND($E19&lt;&gt;"",COUNTIF(D_KEY_DOUBLON,$B19&amp;"|"&amp;$D19&amp;"|"&amp;$E19)&gt;1),"⚠ Doublon",IF(AND($E19&lt;&gt;"",COUNTIF(D_KEY_STATUT,$B19&amp;"|"&amp;$E19&amp;"|P")&gt;0,COUNTIF(D_KEY_STATUT,$B19&amp;"|"&amp;$E19&amp;"|A")&gt;0),"⚠ Statut incohérent",IF(AND($D19="S1",$Y19&lt;&gt;"Parti",COUNTIF(ANNEES_VERROU,$B19)&gt;0,COUNTIF(D_KEY_NIVSES,$B19&amp;"|"&amp;$C19&amp;"|S2")&gt;0,COUNTIF(D_KEY_DOUBLON,$B19&amp;"|S2|"&amp;$E19)=0),"⚠ Départ non confirmé ?",IF(AND($C19&lt;&gt;"",ISNUMBER($I19),OR(VALUE(LEFT($B19,4))-$I19&lt;4+IFERROR(MATCH($C19,LISTE_NIVEAUX,0),99),VALUE(LEFT($B19,4))-$I19&gt;6+IFERROR(MATCH($C19,LISTE_NIVEAUX,0),99))),"⚠ Vérifier niveau",IF(AND(IFERROR(VLOOKUP($C19,TABLE_CYCLE,2,0),3)=2,COUNT($O19:$Q19)&gt;0),"⚠ Tests cycle 3",IF(COUNT($J19:$Q19)&gt;=IF(IFERROR(VLOOKUP($C19,TABLE_CYCLE,2,0),3)=2,5,8),"Complet","Incomplet"))))))))</f>
        <v/>
      </c>
      <c r="S19" s="24"/>
      <c r="T19" s="223" t="str">
        <f t="shared" si="0"/>
        <v/>
      </c>
      <c r="U19" s="224" t="str">
        <f t="shared" si="1"/>
        <v/>
      </c>
      <c r="V19" s="224" t="str">
        <f t="shared" si="2"/>
        <v/>
      </c>
      <c r="W19" s="224" t="str">
        <f t="shared" si="3"/>
        <v/>
      </c>
      <c r="X19" s="224" t="str">
        <f t="shared" si="4"/>
        <v/>
      </c>
      <c r="Y19" s="24" t="str">
        <f t="shared" si="5"/>
        <v/>
      </c>
      <c r="Z19">
        <f t="shared" si="6"/>
        <v>0</v>
      </c>
      <c r="AA19">
        <f t="shared" si="8"/>
        <v>0</v>
      </c>
    </row>
    <row r="20" spans="2:27" ht="15.75" customHeight="1" x14ac:dyDescent="0.3">
      <c r="B20" s="25"/>
      <c r="C20" s="25"/>
      <c r="D20" s="25"/>
      <c r="E20" s="26" t="str">
        <f t="shared" si="7"/>
        <v/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3" t="str">
        <f>IF($F20="","",IF(OR($B20="",$C20="",$D20=""),"⚠ Compléter Année/Niveau/Session",IF(AND($E20&lt;&gt;"",COUNTIF(D_KEY_DOUBLON,$B20&amp;"|"&amp;$D20&amp;"|"&amp;$E20)&gt;1),"⚠ Doublon",IF(AND($E20&lt;&gt;"",COUNTIF(D_KEY_STATUT,$B20&amp;"|"&amp;$E20&amp;"|P")&gt;0,COUNTIF(D_KEY_STATUT,$B20&amp;"|"&amp;$E20&amp;"|A")&gt;0),"⚠ Statut incohérent",IF(AND($D20="S1",$Y20&lt;&gt;"Parti",COUNTIF(ANNEES_VERROU,$B20)&gt;0,COUNTIF(D_KEY_NIVSES,$B20&amp;"|"&amp;$C20&amp;"|S2")&gt;0,COUNTIF(D_KEY_DOUBLON,$B20&amp;"|S2|"&amp;$E20)=0),"⚠ Départ non confirmé ?",IF(AND($C20&lt;&gt;"",ISNUMBER($I20),OR(VALUE(LEFT($B20,4))-$I20&lt;4+IFERROR(MATCH($C20,LISTE_NIVEAUX,0),99),VALUE(LEFT($B20,4))-$I20&gt;6+IFERROR(MATCH($C20,LISTE_NIVEAUX,0),99))),"⚠ Vérifier niveau",IF(AND(IFERROR(VLOOKUP($C20,TABLE_CYCLE,2,0),3)=2,COUNT($O20:$Q20)&gt;0),"⚠ Tests cycle 3",IF(COUNT($J20:$Q20)&gt;=IF(IFERROR(VLOOKUP($C20,TABLE_CYCLE,2,0),3)=2,5,8),"Complet","Incomplet"))))))))</f>
        <v/>
      </c>
      <c r="S20" s="24"/>
      <c r="T20" s="223" t="str">
        <f t="shared" si="0"/>
        <v/>
      </c>
      <c r="U20" s="224" t="str">
        <f t="shared" si="1"/>
        <v/>
      </c>
      <c r="V20" s="224" t="str">
        <f t="shared" si="2"/>
        <v/>
      </c>
      <c r="W20" s="224" t="str">
        <f t="shared" si="3"/>
        <v/>
      </c>
      <c r="X20" s="224" t="str">
        <f t="shared" si="4"/>
        <v/>
      </c>
      <c r="Y20" s="24" t="str">
        <f t="shared" si="5"/>
        <v/>
      </c>
      <c r="Z20">
        <f t="shared" si="6"/>
        <v>0</v>
      </c>
      <c r="AA20">
        <f t="shared" si="8"/>
        <v>0</v>
      </c>
    </row>
    <row r="21" spans="2:27" ht="15.75" customHeight="1" x14ac:dyDescent="0.3">
      <c r="B21" s="21"/>
      <c r="C21" s="21"/>
      <c r="D21" s="21"/>
      <c r="E21" s="22" t="str">
        <f t="shared" si="7"/>
        <v/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3" t="str">
        <f>IF($F21="","",IF(OR($B21="",$C21="",$D21=""),"⚠ Compléter Année/Niveau/Session",IF(AND($E21&lt;&gt;"",COUNTIF(D_KEY_DOUBLON,$B21&amp;"|"&amp;$D21&amp;"|"&amp;$E21)&gt;1),"⚠ Doublon",IF(AND($E21&lt;&gt;"",COUNTIF(D_KEY_STATUT,$B21&amp;"|"&amp;$E21&amp;"|P")&gt;0,COUNTIF(D_KEY_STATUT,$B21&amp;"|"&amp;$E21&amp;"|A")&gt;0),"⚠ Statut incohérent",IF(AND($D21="S1",$Y21&lt;&gt;"Parti",COUNTIF(ANNEES_VERROU,$B21)&gt;0,COUNTIF(D_KEY_NIVSES,$B21&amp;"|"&amp;$C21&amp;"|S2")&gt;0,COUNTIF(D_KEY_DOUBLON,$B21&amp;"|S2|"&amp;$E21)=0),"⚠ Départ non confirmé ?",IF(AND($C21&lt;&gt;"",ISNUMBER($I21),OR(VALUE(LEFT($B21,4))-$I21&lt;4+IFERROR(MATCH($C21,LISTE_NIVEAUX,0),99),VALUE(LEFT($B21,4))-$I21&gt;6+IFERROR(MATCH($C21,LISTE_NIVEAUX,0),99))),"⚠ Vérifier niveau",IF(AND(IFERROR(VLOOKUP($C21,TABLE_CYCLE,2,0),3)=2,COUNT($O21:$Q21)&gt;0),"⚠ Tests cycle 3",IF(COUNT($J21:$Q21)&gt;=IF(IFERROR(VLOOKUP($C21,TABLE_CYCLE,2,0),3)=2,5,8),"Complet","Incomplet"))))))))</f>
        <v/>
      </c>
      <c r="S21" s="24"/>
      <c r="T21" s="223" t="str">
        <f t="shared" si="0"/>
        <v/>
      </c>
      <c r="U21" s="224" t="str">
        <f t="shared" si="1"/>
        <v/>
      </c>
      <c r="V21" s="224" t="str">
        <f t="shared" si="2"/>
        <v/>
      </c>
      <c r="W21" s="224" t="str">
        <f t="shared" si="3"/>
        <v/>
      </c>
      <c r="X21" s="224" t="str">
        <f t="shared" si="4"/>
        <v/>
      </c>
      <c r="Y21" s="24" t="str">
        <f t="shared" si="5"/>
        <v/>
      </c>
      <c r="Z21">
        <f t="shared" si="6"/>
        <v>0</v>
      </c>
      <c r="AA21">
        <f t="shared" si="8"/>
        <v>0</v>
      </c>
    </row>
    <row r="22" spans="2:27" ht="15.75" customHeight="1" x14ac:dyDescent="0.3">
      <c r="B22" s="25"/>
      <c r="C22" s="25"/>
      <c r="D22" s="25"/>
      <c r="E22" s="26" t="str">
        <f t="shared" si="7"/>
        <v/>
      </c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3" t="str">
        <f>IF($F22="","",IF(OR($B22="",$C22="",$D22=""),"⚠ Compléter Année/Niveau/Session",IF(AND($E22&lt;&gt;"",COUNTIF(D_KEY_DOUBLON,$B22&amp;"|"&amp;$D22&amp;"|"&amp;$E22)&gt;1),"⚠ Doublon",IF(AND($E22&lt;&gt;"",COUNTIF(D_KEY_STATUT,$B22&amp;"|"&amp;$E22&amp;"|P")&gt;0,COUNTIF(D_KEY_STATUT,$B22&amp;"|"&amp;$E22&amp;"|A")&gt;0),"⚠ Statut incohérent",IF(AND($D22="S1",$Y22&lt;&gt;"Parti",COUNTIF(ANNEES_VERROU,$B22)&gt;0,COUNTIF(D_KEY_NIVSES,$B22&amp;"|"&amp;$C22&amp;"|S2")&gt;0,COUNTIF(D_KEY_DOUBLON,$B22&amp;"|S2|"&amp;$E22)=0),"⚠ Départ non confirmé ?",IF(AND($C22&lt;&gt;"",ISNUMBER($I22),OR(VALUE(LEFT($B22,4))-$I22&lt;4+IFERROR(MATCH($C22,LISTE_NIVEAUX,0),99),VALUE(LEFT($B22,4))-$I22&gt;6+IFERROR(MATCH($C22,LISTE_NIVEAUX,0),99))),"⚠ Vérifier niveau",IF(AND(IFERROR(VLOOKUP($C22,TABLE_CYCLE,2,0),3)=2,COUNT($O22:$Q22)&gt;0),"⚠ Tests cycle 3",IF(COUNT($J22:$Q22)&gt;=IF(IFERROR(VLOOKUP($C22,TABLE_CYCLE,2,0),3)=2,5,8),"Complet","Incomplet"))))))))</f>
        <v/>
      </c>
      <c r="S22" s="24"/>
      <c r="T22" s="223" t="str">
        <f t="shared" si="0"/>
        <v/>
      </c>
      <c r="U22" s="224" t="str">
        <f t="shared" si="1"/>
        <v/>
      </c>
      <c r="V22" s="224" t="str">
        <f t="shared" si="2"/>
        <v/>
      </c>
      <c r="W22" s="224" t="str">
        <f t="shared" si="3"/>
        <v/>
      </c>
      <c r="X22" s="224" t="str">
        <f t="shared" si="4"/>
        <v/>
      </c>
      <c r="Y22" s="24" t="str">
        <f t="shared" si="5"/>
        <v/>
      </c>
      <c r="Z22">
        <f t="shared" si="6"/>
        <v>0</v>
      </c>
      <c r="AA22">
        <f t="shared" si="8"/>
        <v>0</v>
      </c>
    </row>
    <row r="23" spans="2:27" ht="15.75" customHeight="1" x14ac:dyDescent="0.3">
      <c r="B23" s="21"/>
      <c r="C23" s="21"/>
      <c r="D23" s="21"/>
      <c r="E23" s="22" t="str">
        <f t="shared" si="7"/>
        <v/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3" t="str">
        <f>IF($F23="","",IF(OR($B23="",$C23="",$D23=""),"⚠ Compléter Année/Niveau/Session",IF(AND($E23&lt;&gt;"",COUNTIF(D_KEY_DOUBLON,$B23&amp;"|"&amp;$D23&amp;"|"&amp;$E23)&gt;1),"⚠ Doublon",IF(AND($E23&lt;&gt;"",COUNTIF(D_KEY_STATUT,$B23&amp;"|"&amp;$E23&amp;"|P")&gt;0,COUNTIF(D_KEY_STATUT,$B23&amp;"|"&amp;$E23&amp;"|A")&gt;0),"⚠ Statut incohérent",IF(AND($D23="S1",$Y23&lt;&gt;"Parti",COUNTIF(ANNEES_VERROU,$B23)&gt;0,COUNTIF(D_KEY_NIVSES,$B23&amp;"|"&amp;$C23&amp;"|S2")&gt;0,COUNTIF(D_KEY_DOUBLON,$B23&amp;"|S2|"&amp;$E23)=0),"⚠ Départ non confirmé ?",IF(AND($C23&lt;&gt;"",ISNUMBER($I23),OR(VALUE(LEFT($B23,4))-$I23&lt;4+IFERROR(MATCH($C23,LISTE_NIVEAUX,0),99),VALUE(LEFT($B23,4))-$I23&gt;6+IFERROR(MATCH($C23,LISTE_NIVEAUX,0),99))),"⚠ Vérifier niveau",IF(AND(IFERROR(VLOOKUP($C23,TABLE_CYCLE,2,0),3)=2,COUNT($O23:$Q23)&gt;0),"⚠ Tests cycle 3",IF(COUNT($J23:$Q23)&gt;=IF(IFERROR(VLOOKUP($C23,TABLE_CYCLE,2,0),3)=2,5,8),"Complet","Incomplet"))))))))</f>
        <v/>
      </c>
      <c r="S23" s="24"/>
      <c r="T23" s="223" t="str">
        <f t="shared" si="0"/>
        <v/>
      </c>
      <c r="U23" s="224" t="str">
        <f t="shared" si="1"/>
        <v/>
      </c>
      <c r="V23" s="224" t="str">
        <f t="shared" si="2"/>
        <v/>
      </c>
      <c r="W23" s="224" t="str">
        <f t="shared" si="3"/>
        <v/>
      </c>
      <c r="X23" s="224" t="str">
        <f t="shared" si="4"/>
        <v/>
      </c>
      <c r="Y23" s="24" t="str">
        <f t="shared" si="5"/>
        <v/>
      </c>
      <c r="Z23">
        <f t="shared" si="6"/>
        <v>0</v>
      </c>
      <c r="AA23">
        <f t="shared" si="8"/>
        <v>0</v>
      </c>
    </row>
    <row r="24" spans="2:27" ht="15.75" customHeight="1" x14ac:dyDescent="0.3">
      <c r="B24" s="25"/>
      <c r="C24" s="25"/>
      <c r="D24" s="25"/>
      <c r="E24" s="26" t="str">
        <f t="shared" si="7"/>
        <v/>
      </c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3" t="str">
        <f>IF($F24="","",IF(OR($B24="",$C24="",$D24=""),"⚠ Compléter Année/Niveau/Session",IF(AND($E24&lt;&gt;"",COUNTIF(D_KEY_DOUBLON,$B24&amp;"|"&amp;$D24&amp;"|"&amp;$E24)&gt;1),"⚠ Doublon",IF(AND($E24&lt;&gt;"",COUNTIF(D_KEY_STATUT,$B24&amp;"|"&amp;$E24&amp;"|P")&gt;0,COUNTIF(D_KEY_STATUT,$B24&amp;"|"&amp;$E24&amp;"|A")&gt;0),"⚠ Statut incohérent",IF(AND($D24="S1",$Y24&lt;&gt;"Parti",COUNTIF(ANNEES_VERROU,$B24)&gt;0,COUNTIF(D_KEY_NIVSES,$B24&amp;"|"&amp;$C24&amp;"|S2")&gt;0,COUNTIF(D_KEY_DOUBLON,$B24&amp;"|S2|"&amp;$E24)=0),"⚠ Départ non confirmé ?",IF(AND($C24&lt;&gt;"",ISNUMBER($I24),OR(VALUE(LEFT($B24,4))-$I24&lt;4+IFERROR(MATCH($C24,LISTE_NIVEAUX,0),99),VALUE(LEFT($B24,4))-$I24&gt;6+IFERROR(MATCH($C24,LISTE_NIVEAUX,0),99))),"⚠ Vérifier niveau",IF(AND(IFERROR(VLOOKUP($C24,TABLE_CYCLE,2,0),3)=2,COUNT($O24:$Q24)&gt;0),"⚠ Tests cycle 3",IF(COUNT($J24:$Q24)&gt;=IF(IFERROR(VLOOKUP($C24,TABLE_CYCLE,2,0),3)=2,5,8),"Complet","Incomplet"))))))))</f>
        <v/>
      </c>
      <c r="S24" s="24"/>
      <c r="T24" s="223" t="str">
        <f t="shared" si="0"/>
        <v/>
      </c>
      <c r="U24" s="224" t="str">
        <f t="shared" si="1"/>
        <v/>
      </c>
      <c r="V24" s="224" t="str">
        <f t="shared" si="2"/>
        <v/>
      </c>
      <c r="W24" s="224" t="str">
        <f t="shared" si="3"/>
        <v/>
      </c>
      <c r="X24" s="224" t="str">
        <f t="shared" si="4"/>
        <v/>
      </c>
      <c r="Y24" s="24" t="str">
        <f t="shared" si="5"/>
        <v/>
      </c>
      <c r="Z24">
        <f t="shared" si="6"/>
        <v>0</v>
      </c>
      <c r="AA24">
        <f t="shared" si="8"/>
        <v>0</v>
      </c>
    </row>
    <row r="25" spans="2:27" ht="15.75" customHeight="1" x14ac:dyDescent="0.3">
      <c r="B25" s="21"/>
      <c r="C25" s="21"/>
      <c r="D25" s="21"/>
      <c r="E25" s="22" t="str">
        <f t="shared" si="7"/>
        <v/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3" t="str">
        <f>IF($F25="","",IF(OR($B25="",$C25="",$D25=""),"⚠ Compléter Année/Niveau/Session",IF(AND($E25&lt;&gt;"",COUNTIF(D_KEY_DOUBLON,$B25&amp;"|"&amp;$D25&amp;"|"&amp;$E25)&gt;1),"⚠ Doublon",IF(AND($E25&lt;&gt;"",COUNTIF(D_KEY_STATUT,$B25&amp;"|"&amp;$E25&amp;"|P")&gt;0,COUNTIF(D_KEY_STATUT,$B25&amp;"|"&amp;$E25&amp;"|A")&gt;0),"⚠ Statut incohérent",IF(AND($D25="S1",$Y25&lt;&gt;"Parti",COUNTIF(ANNEES_VERROU,$B25)&gt;0,COUNTIF(D_KEY_NIVSES,$B25&amp;"|"&amp;$C25&amp;"|S2")&gt;0,COUNTIF(D_KEY_DOUBLON,$B25&amp;"|S2|"&amp;$E25)=0),"⚠ Départ non confirmé ?",IF(AND($C25&lt;&gt;"",ISNUMBER($I25),OR(VALUE(LEFT($B25,4))-$I25&lt;4+IFERROR(MATCH($C25,LISTE_NIVEAUX,0),99),VALUE(LEFT($B25,4))-$I25&gt;6+IFERROR(MATCH($C25,LISTE_NIVEAUX,0),99))),"⚠ Vérifier niveau",IF(AND(IFERROR(VLOOKUP($C25,TABLE_CYCLE,2,0),3)=2,COUNT($O25:$Q25)&gt;0),"⚠ Tests cycle 3",IF(COUNT($J25:$Q25)&gt;=IF(IFERROR(VLOOKUP($C25,TABLE_CYCLE,2,0),3)=2,5,8),"Complet","Incomplet"))))))))</f>
        <v/>
      </c>
      <c r="S25" s="24"/>
      <c r="T25" s="223" t="str">
        <f t="shared" si="0"/>
        <v/>
      </c>
      <c r="U25" s="224" t="str">
        <f t="shared" si="1"/>
        <v/>
      </c>
      <c r="V25" s="224" t="str">
        <f t="shared" si="2"/>
        <v/>
      </c>
      <c r="W25" s="224" t="str">
        <f t="shared" si="3"/>
        <v/>
      </c>
      <c r="X25" s="224" t="str">
        <f t="shared" si="4"/>
        <v/>
      </c>
      <c r="Y25" s="24" t="str">
        <f t="shared" si="5"/>
        <v/>
      </c>
      <c r="Z25">
        <f t="shared" si="6"/>
        <v>0</v>
      </c>
      <c r="AA25">
        <f t="shared" si="8"/>
        <v>0</v>
      </c>
    </row>
    <row r="26" spans="2:27" ht="15.75" customHeight="1" x14ac:dyDescent="0.3">
      <c r="B26" s="25"/>
      <c r="C26" s="25"/>
      <c r="D26" s="25"/>
      <c r="E26" s="26" t="str">
        <f t="shared" si="7"/>
        <v/>
      </c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3" t="str">
        <f>IF($F26="","",IF(OR($B26="",$C26="",$D26=""),"⚠ Compléter Année/Niveau/Session",IF(AND($E26&lt;&gt;"",COUNTIF(D_KEY_DOUBLON,$B26&amp;"|"&amp;$D26&amp;"|"&amp;$E26)&gt;1),"⚠ Doublon",IF(AND($E26&lt;&gt;"",COUNTIF(D_KEY_STATUT,$B26&amp;"|"&amp;$E26&amp;"|P")&gt;0,COUNTIF(D_KEY_STATUT,$B26&amp;"|"&amp;$E26&amp;"|A")&gt;0),"⚠ Statut incohérent",IF(AND($D26="S1",$Y26&lt;&gt;"Parti",COUNTIF(ANNEES_VERROU,$B26)&gt;0,COUNTIF(D_KEY_NIVSES,$B26&amp;"|"&amp;$C26&amp;"|S2")&gt;0,COUNTIF(D_KEY_DOUBLON,$B26&amp;"|S2|"&amp;$E26)=0),"⚠ Départ non confirmé ?",IF(AND($C26&lt;&gt;"",ISNUMBER($I26),OR(VALUE(LEFT($B26,4))-$I26&lt;4+IFERROR(MATCH($C26,LISTE_NIVEAUX,0),99),VALUE(LEFT($B26,4))-$I26&gt;6+IFERROR(MATCH($C26,LISTE_NIVEAUX,0),99))),"⚠ Vérifier niveau",IF(AND(IFERROR(VLOOKUP($C26,TABLE_CYCLE,2,0),3)=2,COUNT($O26:$Q26)&gt;0),"⚠ Tests cycle 3",IF(COUNT($J26:$Q26)&gt;=IF(IFERROR(VLOOKUP($C26,TABLE_CYCLE,2,0),3)=2,5,8),"Complet","Incomplet"))))))))</f>
        <v/>
      </c>
      <c r="S26" s="24"/>
      <c r="T26" s="223" t="str">
        <f t="shared" si="0"/>
        <v/>
      </c>
      <c r="U26" s="224" t="str">
        <f t="shared" si="1"/>
        <v/>
      </c>
      <c r="V26" s="224" t="str">
        <f t="shared" si="2"/>
        <v/>
      </c>
      <c r="W26" s="224" t="str">
        <f t="shared" si="3"/>
        <v/>
      </c>
      <c r="X26" s="224" t="str">
        <f t="shared" si="4"/>
        <v/>
      </c>
      <c r="Y26" s="24" t="str">
        <f t="shared" si="5"/>
        <v/>
      </c>
      <c r="Z26">
        <f t="shared" si="6"/>
        <v>0</v>
      </c>
      <c r="AA26">
        <f t="shared" si="8"/>
        <v>0</v>
      </c>
    </row>
    <row r="27" spans="2:27" ht="15.75" customHeight="1" x14ac:dyDescent="0.3">
      <c r="B27" s="21"/>
      <c r="C27" s="21"/>
      <c r="D27" s="21"/>
      <c r="E27" s="22" t="str">
        <f t="shared" si="7"/>
        <v/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3" t="str">
        <f>IF($F27="","",IF(OR($B27="",$C27="",$D27=""),"⚠ Compléter Année/Niveau/Session",IF(AND($E27&lt;&gt;"",COUNTIF(D_KEY_DOUBLON,$B27&amp;"|"&amp;$D27&amp;"|"&amp;$E27)&gt;1),"⚠ Doublon",IF(AND($E27&lt;&gt;"",COUNTIF(D_KEY_STATUT,$B27&amp;"|"&amp;$E27&amp;"|P")&gt;0,COUNTIF(D_KEY_STATUT,$B27&amp;"|"&amp;$E27&amp;"|A")&gt;0),"⚠ Statut incohérent",IF(AND($D27="S1",$Y27&lt;&gt;"Parti",COUNTIF(ANNEES_VERROU,$B27)&gt;0,COUNTIF(D_KEY_NIVSES,$B27&amp;"|"&amp;$C27&amp;"|S2")&gt;0,COUNTIF(D_KEY_DOUBLON,$B27&amp;"|S2|"&amp;$E27)=0),"⚠ Départ non confirmé ?",IF(AND($C27&lt;&gt;"",ISNUMBER($I27),OR(VALUE(LEFT($B27,4))-$I27&lt;4+IFERROR(MATCH($C27,LISTE_NIVEAUX,0),99),VALUE(LEFT($B27,4))-$I27&gt;6+IFERROR(MATCH($C27,LISTE_NIVEAUX,0),99))),"⚠ Vérifier niveau",IF(AND(IFERROR(VLOOKUP($C27,TABLE_CYCLE,2,0),3)=2,COUNT($O27:$Q27)&gt;0),"⚠ Tests cycle 3",IF(COUNT($J27:$Q27)&gt;=IF(IFERROR(VLOOKUP($C27,TABLE_CYCLE,2,0),3)=2,5,8),"Complet","Incomplet"))))))))</f>
        <v/>
      </c>
      <c r="S27" s="24"/>
      <c r="T27" s="223" t="str">
        <f t="shared" si="0"/>
        <v/>
      </c>
      <c r="U27" s="224" t="str">
        <f t="shared" si="1"/>
        <v/>
      </c>
      <c r="V27" s="224" t="str">
        <f t="shared" si="2"/>
        <v/>
      </c>
      <c r="W27" s="224" t="str">
        <f t="shared" si="3"/>
        <v/>
      </c>
      <c r="X27" s="224" t="str">
        <f t="shared" si="4"/>
        <v/>
      </c>
      <c r="Y27" s="24" t="str">
        <f t="shared" si="5"/>
        <v/>
      </c>
      <c r="Z27">
        <f t="shared" si="6"/>
        <v>0</v>
      </c>
      <c r="AA27">
        <f t="shared" si="8"/>
        <v>0</v>
      </c>
    </row>
    <row r="28" spans="2:27" ht="15.75" customHeight="1" x14ac:dyDescent="0.3">
      <c r="B28" s="25"/>
      <c r="C28" s="25"/>
      <c r="D28" s="25"/>
      <c r="E28" s="26" t="str">
        <f t="shared" si="7"/>
        <v/>
      </c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3" t="str">
        <f>IF($F28="","",IF(OR($B28="",$C28="",$D28=""),"⚠ Compléter Année/Niveau/Session",IF(AND($E28&lt;&gt;"",COUNTIF(D_KEY_DOUBLON,$B28&amp;"|"&amp;$D28&amp;"|"&amp;$E28)&gt;1),"⚠ Doublon",IF(AND($E28&lt;&gt;"",COUNTIF(D_KEY_STATUT,$B28&amp;"|"&amp;$E28&amp;"|P")&gt;0,COUNTIF(D_KEY_STATUT,$B28&amp;"|"&amp;$E28&amp;"|A")&gt;0),"⚠ Statut incohérent",IF(AND($D28="S1",$Y28&lt;&gt;"Parti",COUNTIF(ANNEES_VERROU,$B28)&gt;0,COUNTIF(D_KEY_NIVSES,$B28&amp;"|"&amp;$C28&amp;"|S2")&gt;0,COUNTIF(D_KEY_DOUBLON,$B28&amp;"|S2|"&amp;$E28)=0),"⚠ Départ non confirmé ?",IF(AND($C28&lt;&gt;"",ISNUMBER($I28),OR(VALUE(LEFT($B28,4))-$I28&lt;4+IFERROR(MATCH($C28,LISTE_NIVEAUX,0),99),VALUE(LEFT($B28,4))-$I28&gt;6+IFERROR(MATCH($C28,LISTE_NIVEAUX,0),99))),"⚠ Vérifier niveau",IF(AND(IFERROR(VLOOKUP($C28,TABLE_CYCLE,2,0),3)=2,COUNT($O28:$Q28)&gt;0),"⚠ Tests cycle 3",IF(COUNT($J28:$Q28)&gt;=IF(IFERROR(VLOOKUP($C28,TABLE_CYCLE,2,0),3)=2,5,8),"Complet","Incomplet"))))))))</f>
        <v/>
      </c>
      <c r="S28" s="24"/>
      <c r="T28" s="223" t="str">
        <f t="shared" si="0"/>
        <v/>
      </c>
      <c r="U28" s="224" t="str">
        <f t="shared" si="1"/>
        <v/>
      </c>
      <c r="V28" s="224" t="str">
        <f t="shared" si="2"/>
        <v/>
      </c>
      <c r="W28" s="224" t="str">
        <f t="shared" si="3"/>
        <v/>
      </c>
      <c r="X28" s="224" t="str">
        <f t="shared" si="4"/>
        <v/>
      </c>
      <c r="Y28" s="24" t="str">
        <f t="shared" si="5"/>
        <v/>
      </c>
      <c r="Z28">
        <f t="shared" si="6"/>
        <v>0</v>
      </c>
      <c r="AA28">
        <f t="shared" si="8"/>
        <v>0</v>
      </c>
    </row>
    <row r="29" spans="2:27" ht="15.75" customHeight="1" x14ac:dyDescent="0.3">
      <c r="B29" s="21"/>
      <c r="C29" s="21"/>
      <c r="D29" s="21"/>
      <c r="E29" s="22" t="str">
        <f t="shared" si="7"/>
        <v/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3" t="str">
        <f>IF($F29="","",IF(OR($B29="",$C29="",$D29=""),"⚠ Compléter Année/Niveau/Session",IF(AND($E29&lt;&gt;"",COUNTIF(D_KEY_DOUBLON,$B29&amp;"|"&amp;$D29&amp;"|"&amp;$E29)&gt;1),"⚠ Doublon",IF(AND($E29&lt;&gt;"",COUNTIF(D_KEY_STATUT,$B29&amp;"|"&amp;$E29&amp;"|P")&gt;0,COUNTIF(D_KEY_STATUT,$B29&amp;"|"&amp;$E29&amp;"|A")&gt;0),"⚠ Statut incohérent",IF(AND($D29="S1",$Y29&lt;&gt;"Parti",COUNTIF(ANNEES_VERROU,$B29)&gt;0,COUNTIF(D_KEY_NIVSES,$B29&amp;"|"&amp;$C29&amp;"|S2")&gt;0,COUNTIF(D_KEY_DOUBLON,$B29&amp;"|S2|"&amp;$E29)=0),"⚠ Départ non confirmé ?",IF(AND($C29&lt;&gt;"",ISNUMBER($I29),OR(VALUE(LEFT($B29,4))-$I29&lt;4+IFERROR(MATCH($C29,LISTE_NIVEAUX,0),99),VALUE(LEFT($B29,4))-$I29&gt;6+IFERROR(MATCH($C29,LISTE_NIVEAUX,0),99))),"⚠ Vérifier niveau",IF(AND(IFERROR(VLOOKUP($C29,TABLE_CYCLE,2,0),3)=2,COUNT($O29:$Q29)&gt;0),"⚠ Tests cycle 3",IF(COUNT($J29:$Q29)&gt;=IF(IFERROR(VLOOKUP($C29,TABLE_CYCLE,2,0),3)=2,5,8),"Complet","Incomplet"))))))))</f>
        <v/>
      </c>
      <c r="S29" s="24"/>
      <c r="T29" s="223" t="str">
        <f t="shared" si="0"/>
        <v/>
      </c>
      <c r="U29" s="224" t="str">
        <f t="shared" si="1"/>
        <v/>
      </c>
      <c r="V29" s="224" t="str">
        <f t="shared" si="2"/>
        <v/>
      </c>
      <c r="W29" s="224" t="str">
        <f t="shared" si="3"/>
        <v/>
      </c>
      <c r="X29" s="224" t="str">
        <f t="shared" si="4"/>
        <v/>
      </c>
      <c r="Y29" s="24" t="str">
        <f t="shared" si="5"/>
        <v/>
      </c>
      <c r="Z29">
        <f t="shared" si="6"/>
        <v>0</v>
      </c>
      <c r="AA29">
        <f t="shared" si="8"/>
        <v>0</v>
      </c>
    </row>
    <row r="30" spans="2:27" ht="15.75" customHeight="1" x14ac:dyDescent="0.3">
      <c r="B30" s="25"/>
      <c r="C30" s="25"/>
      <c r="D30" s="25"/>
      <c r="E30" s="26" t="str">
        <f t="shared" si="7"/>
        <v/>
      </c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3" t="str">
        <f>IF($F30="","",IF(OR($B30="",$C30="",$D30=""),"⚠ Compléter Année/Niveau/Session",IF(AND($E30&lt;&gt;"",COUNTIF(D_KEY_DOUBLON,$B30&amp;"|"&amp;$D30&amp;"|"&amp;$E30)&gt;1),"⚠ Doublon",IF(AND($E30&lt;&gt;"",COUNTIF(D_KEY_STATUT,$B30&amp;"|"&amp;$E30&amp;"|P")&gt;0,COUNTIF(D_KEY_STATUT,$B30&amp;"|"&amp;$E30&amp;"|A")&gt;0),"⚠ Statut incohérent",IF(AND($D30="S1",$Y30&lt;&gt;"Parti",COUNTIF(ANNEES_VERROU,$B30)&gt;0,COUNTIF(D_KEY_NIVSES,$B30&amp;"|"&amp;$C30&amp;"|S2")&gt;0,COUNTIF(D_KEY_DOUBLON,$B30&amp;"|S2|"&amp;$E30)=0),"⚠ Départ non confirmé ?",IF(AND($C30&lt;&gt;"",ISNUMBER($I30),OR(VALUE(LEFT($B30,4))-$I30&lt;4+IFERROR(MATCH($C30,LISTE_NIVEAUX,0),99),VALUE(LEFT($B30,4))-$I30&gt;6+IFERROR(MATCH($C30,LISTE_NIVEAUX,0),99))),"⚠ Vérifier niveau",IF(AND(IFERROR(VLOOKUP($C30,TABLE_CYCLE,2,0),3)=2,COUNT($O30:$Q30)&gt;0),"⚠ Tests cycle 3",IF(COUNT($J30:$Q30)&gt;=IF(IFERROR(VLOOKUP($C30,TABLE_CYCLE,2,0),3)=2,5,8),"Complet","Incomplet"))))))))</f>
        <v/>
      </c>
      <c r="S30" s="24"/>
      <c r="T30" s="223" t="str">
        <f t="shared" si="0"/>
        <v/>
      </c>
      <c r="U30" s="224" t="str">
        <f t="shared" si="1"/>
        <v/>
      </c>
      <c r="V30" s="224" t="str">
        <f t="shared" si="2"/>
        <v/>
      </c>
      <c r="W30" s="224" t="str">
        <f t="shared" si="3"/>
        <v/>
      </c>
      <c r="X30" s="224" t="str">
        <f t="shared" si="4"/>
        <v/>
      </c>
      <c r="Y30" s="24" t="str">
        <f t="shared" si="5"/>
        <v/>
      </c>
      <c r="Z30">
        <f t="shared" si="6"/>
        <v>0</v>
      </c>
      <c r="AA30">
        <f t="shared" si="8"/>
        <v>0</v>
      </c>
    </row>
    <row r="31" spans="2:27" ht="15.75" customHeight="1" x14ac:dyDescent="0.3">
      <c r="B31" s="21"/>
      <c r="C31" s="21"/>
      <c r="D31" s="21"/>
      <c r="E31" s="22" t="str">
        <f t="shared" si="7"/>
        <v/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3" t="str">
        <f>IF($F31="","",IF(OR($B31="",$C31="",$D31=""),"⚠ Compléter Année/Niveau/Session",IF(AND($E31&lt;&gt;"",COUNTIF(D_KEY_DOUBLON,$B31&amp;"|"&amp;$D31&amp;"|"&amp;$E31)&gt;1),"⚠ Doublon",IF(AND($E31&lt;&gt;"",COUNTIF(D_KEY_STATUT,$B31&amp;"|"&amp;$E31&amp;"|P")&gt;0,COUNTIF(D_KEY_STATUT,$B31&amp;"|"&amp;$E31&amp;"|A")&gt;0),"⚠ Statut incohérent",IF(AND($D31="S1",$Y31&lt;&gt;"Parti",COUNTIF(ANNEES_VERROU,$B31)&gt;0,COUNTIF(D_KEY_NIVSES,$B31&amp;"|"&amp;$C31&amp;"|S2")&gt;0,COUNTIF(D_KEY_DOUBLON,$B31&amp;"|S2|"&amp;$E31)=0),"⚠ Départ non confirmé ?",IF(AND($C31&lt;&gt;"",ISNUMBER($I31),OR(VALUE(LEFT($B31,4))-$I31&lt;4+IFERROR(MATCH($C31,LISTE_NIVEAUX,0),99),VALUE(LEFT($B31,4))-$I31&gt;6+IFERROR(MATCH($C31,LISTE_NIVEAUX,0),99))),"⚠ Vérifier niveau",IF(AND(IFERROR(VLOOKUP($C31,TABLE_CYCLE,2,0),3)=2,COUNT($O31:$Q31)&gt;0),"⚠ Tests cycle 3",IF(COUNT($J31:$Q31)&gt;=IF(IFERROR(VLOOKUP($C31,TABLE_CYCLE,2,0),3)=2,5,8),"Complet","Incomplet"))))))))</f>
        <v/>
      </c>
      <c r="S31" s="24"/>
      <c r="T31" s="223" t="str">
        <f t="shared" si="0"/>
        <v/>
      </c>
      <c r="U31" s="224" t="str">
        <f t="shared" si="1"/>
        <v/>
      </c>
      <c r="V31" s="224" t="str">
        <f t="shared" si="2"/>
        <v/>
      </c>
      <c r="W31" s="224" t="str">
        <f t="shared" si="3"/>
        <v/>
      </c>
      <c r="X31" s="224" t="str">
        <f t="shared" si="4"/>
        <v/>
      </c>
      <c r="Y31" s="24" t="str">
        <f t="shared" si="5"/>
        <v/>
      </c>
      <c r="Z31">
        <f t="shared" si="6"/>
        <v>0</v>
      </c>
      <c r="AA31">
        <f t="shared" si="8"/>
        <v>0</v>
      </c>
    </row>
    <row r="32" spans="2:27" ht="15.75" customHeight="1" x14ac:dyDescent="0.3">
      <c r="B32" s="25"/>
      <c r="C32" s="25"/>
      <c r="D32" s="25"/>
      <c r="E32" s="26" t="str">
        <f t="shared" si="7"/>
        <v/>
      </c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3" t="str">
        <f>IF($F32="","",IF(OR($B32="",$C32="",$D32=""),"⚠ Compléter Année/Niveau/Session",IF(AND($E32&lt;&gt;"",COUNTIF(D_KEY_DOUBLON,$B32&amp;"|"&amp;$D32&amp;"|"&amp;$E32)&gt;1),"⚠ Doublon",IF(AND($E32&lt;&gt;"",COUNTIF(D_KEY_STATUT,$B32&amp;"|"&amp;$E32&amp;"|P")&gt;0,COUNTIF(D_KEY_STATUT,$B32&amp;"|"&amp;$E32&amp;"|A")&gt;0),"⚠ Statut incohérent",IF(AND($D32="S1",$Y32&lt;&gt;"Parti",COUNTIF(ANNEES_VERROU,$B32)&gt;0,COUNTIF(D_KEY_NIVSES,$B32&amp;"|"&amp;$C32&amp;"|S2")&gt;0,COUNTIF(D_KEY_DOUBLON,$B32&amp;"|S2|"&amp;$E32)=0),"⚠ Départ non confirmé ?",IF(AND($C32&lt;&gt;"",ISNUMBER($I32),OR(VALUE(LEFT($B32,4))-$I32&lt;4+IFERROR(MATCH($C32,LISTE_NIVEAUX,0),99),VALUE(LEFT($B32,4))-$I32&gt;6+IFERROR(MATCH($C32,LISTE_NIVEAUX,0),99))),"⚠ Vérifier niveau",IF(AND(IFERROR(VLOOKUP($C32,TABLE_CYCLE,2,0),3)=2,COUNT($O32:$Q32)&gt;0),"⚠ Tests cycle 3",IF(COUNT($J32:$Q32)&gt;=IF(IFERROR(VLOOKUP($C32,TABLE_CYCLE,2,0),3)=2,5,8),"Complet","Incomplet"))))))))</f>
        <v/>
      </c>
      <c r="S32" s="24"/>
      <c r="T32" s="223" t="str">
        <f t="shared" si="0"/>
        <v/>
      </c>
      <c r="U32" s="224" t="str">
        <f t="shared" si="1"/>
        <v/>
      </c>
      <c r="V32" s="224" t="str">
        <f t="shared" si="2"/>
        <v/>
      </c>
      <c r="W32" s="224" t="str">
        <f t="shared" si="3"/>
        <v/>
      </c>
      <c r="X32" s="224" t="str">
        <f t="shared" si="4"/>
        <v/>
      </c>
      <c r="Y32" s="24" t="str">
        <f t="shared" si="5"/>
        <v/>
      </c>
      <c r="Z32">
        <f t="shared" si="6"/>
        <v>0</v>
      </c>
      <c r="AA32">
        <f t="shared" si="8"/>
        <v>0</v>
      </c>
    </row>
    <row r="33" spans="2:27" ht="15.75" customHeight="1" x14ac:dyDescent="0.3">
      <c r="B33" s="21"/>
      <c r="C33" s="21"/>
      <c r="D33" s="21"/>
      <c r="E33" s="22" t="str">
        <f t="shared" si="7"/>
        <v/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3" t="str">
        <f>IF($F33="","",IF(OR($B33="",$C33="",$D33=""),"⚠ Compléter Année/Niveau/Session",IF(AND($E33&lt;&gt;"",COUNTIF(D_KEY_DOUBLON,$B33&amp;"|"&amp;$D33&amp;"|"&amp;$E33)&gt;1),"⚠ Doublon",IF(AND($E33&lt;&gt;"",COUNTIF(D_KEY_STATUT,$B33&amp;"|"&amp;$E33&amp;"|P")&gt;0,COUNTIF(D_KEY_STATUT,$B33&amp;"|"&amp;$E33&amp;"|A")&gt;0),"⚠ Statut incohérent",IF(AND($D33="S1",$Y33&lt;&gt;"Parti",COUNTIF(ANNEES_VERROU,$B33)&gt;0,COUNTIF(D_KEY_NIVSES,$B33&amp;"|"&amp;$C33&amp;"|S2")&gt;0,COUNTIF(D_KEY_DOUBLON,$B33&amp;"|S2|"&amp;$E33)=0),"⚠ Départ non confirmé ?",IF(AND($C33&lt;&gt;"",ISNUMBER($I33),OR(VALUE(LEFT($B33,4))-$I33&lt;4+IFERROR(MATCH($C33,LISTE_NIVEAUX,0),99),VALUE(LEFT($B33,4))-$I33&gt;6+IFERROR(MATCH($C33,LISTE_NIVEAUX,0),99))),"⚠ Vérifier niveau",IF(AND(IFERROR(VLOOKUP($C33,TABLE_CYCLE,2,0),3)=2,COUNT($O33:$Q33)&gt;0),"⚠ Tests cycle 3",IF(COUNT($J33:$Q33)&gt;=IF(IFERROR(VLOOKUP($C33,TABLE_CYCLE,2,0),3)=2,5,8),"Complet","Incomplet"))))))))</f>
        <v/>
      </c>
      <c r="S33" s="24"/>
      <c r="T33" s="223" t="str">
        <f t="shared" si="0"/>
        <v/>
      </c>
      <c r="U33" s="224" t="str">
        <f t="shared" si="1"/>
        <v/>
      </c>
      <c r="V33" s="224" t="str">
        <f t="shared" si="2"/>
        <v/>
      </c>
      <c r="W33" s="224" t="str">
        <f t="shared" si="3"/>
        <v/>
      </c>
      <c r="X33" s="224" t="str">
        <f t="shared" si="4"/>
        <v/>
      </c>
      <c r="Y33" s="24" t="str">
        <f t="shared" si="5"/>
        <v/>
      </c>
      <c r="Z33">
        <f t="shared" si="6"/>
        <v>0</v>
      </c>
      <c r="AA33">
        <f t="shared" si="8"/>
        <v>0</v>
      </c>
    </row>
    <row r="34" spans="2:27" ht="15.75" customHeight="1" x14ac:dyDescent="0.3">
      <c r="B34" s="25"/>
      <c r="C34" s="25"/>
      <c r="D34" s="25"/>
      <c r="E34" s="26" t="str">
        <f t="shared" si="7"/>
        <v/>
      </c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3" t="str">
        <f>IF($F34="","",IF(OR($B34="",$C34="",$D34=""),"⚠ Compléter Année/Niveau/Session",IF(AND($E34&lt;&gt;"",COUNTIF(D_KEY_DOUBLON,$B34&amp;"|"&amp;$D34&amp;"|"&amp;$E34)&gt;1),"⚠ Doublon",IF(AND($E34&lt;&gt;"",COUNTIF(D_KEY_STATUT,$B34&amp;"|"&amp;$E34&amp;"|P")&gt;0,COUNTIF(D_KEY_STATUT,$B34&amp;"|"&amp;$E34&amp;"|A")&gt;0),"⚠ Statut incohérent",IF(AND($D34="S1",$Y34&lt;&gt;"Parti",COUNTIF(ANNEES_VERROU,$B34)&gt;0,COUNTIF(D_KEY_NIVSES,$B34&amp;"|"&amp;$C34&amp;"|S2")&gt;0,COUNTIF(D_KEY_DOUBLON,$B34&amp;"|S2|"&amp;$E34)=0),"⚠ Départ non confirmé ?",IF(AND($C34&lt;&gt;"",ISNUMBER($I34),OR(VALUE(LEFT($B34,4))-$I34&lt;4+IFERROR(MATCH($C34,LISTE_NIVEAUX,0),99),VALUE(LEFT($B34,4))-$I34&gt;6+IFERROR(MATCH($C34,LISTE_NIVEAUX,0),99))),"⚠ Vérifier niveau",IF(AND(IFERROR(VLOOKUP($C34,TABLE_CYCLE,2,0),3)=2,COUNT($O34:$Q34)&gt;0),"⚠ Tests cycle 3",IF(COUNT($J34:$Q34)&gt;=IF(IFERROR(VLOOKUP($C34,TABLE_CYCLE,2,0),3)=2,5,8),"Complet","Incomplet"))))))))</f>
        <v/>
      </c>
      <c r="S34" s="24"/>
      <c r="T34" s="223" t="str">
        <f t="shared" si="0"/>
        <v/>
      </c>
      <c r="U34" s="224" t="str">
        <f t="shared" si="1"/>
        <v/>
      </c>
      <c r="V34" s="224" t="str">
        <f t="shared" si="2"/>
        <v/>
      </c>
      <c r="W34" s="224" t="str">
        <f t="shared" si="3"/>
        <v/>
      </c>
      <c r="X34" s="224" t="str">
        <f t="shared" si="4"/>
        <v/>
      </c>
      <c r="Y34" s="24" t="str">
        <f t="shared" si="5"/>
        <v/>
      </c>
      <c r="Z34">
        <f t="shared" si="6"/>
        <v>0</v>
      </c>
      <c r="AA34">
        <f t="shared" si="8"/>
        <v>0</v>
      </c>
    </row>
    <row r="35" spans="2:27" ht="15.75" customHeight="1" x14ac:dyDescent="0.3">
      <c r="B35" s="21"/>
      <c r="C35" s="21"/>
      <c r="D35" s="21"/>
      <c r="E35" s="22" t="str">
        <f t="shared" si="7"/>
        <v/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3" t="str">
        <f>IF($F35="","",IF(OR($B35="",$C35="",$D35=""),"⚠ Compléter Année/Niveau/Session",IF(AND($E35&lt;&gt;"",COUNTIF(D_KEY_DOUBLON,$B35&amp;"|"&amp;$D35&amp;"|"&amp;$E35)&gt;1),"⚠ Doublon",IF(AND($E35&lt;&gt;"",COUNTIF(D_KEY_STATUT,$B35&amp;"|"&amp;$E35&amp;"|P")&gt;0,COUNTIF(D_KEY_STATUT,$B35&amp;"|"&amp;$E35&amp;"|A")&gt;0),"⚠ Statut incohérent",IF(AND($D35="S1",$Y35&lt;&gt;"Parti",COUNTIF(ANNEES_VERROU,$B35)&gt;0,COUNTIF(D_KEY_NIVSES,$B35&amp;"|"&amp;$C35&amp;"|S2")&gt;0,COUNTIF(D_KEY_DOUBLON,$B35&amp;"|S2|"&amp;$E35)=0),"⚠ Départ non confirmé ?",IF(AND($C35&lt;&gt;"",ISNUMBER($I35),OR(VALUE(LEFT($B35,4))-$I35&lt;4+IFERROR(MATCH($C35,LISTE_NIVEAUX,0),99),VALUE(LEFT($B35,4))-$I35&gt;6+IFERROR(MATCH($C35,LISTE_NIVEAUX,0),99))),"⚠ Vérifier niveau",IF(AND(IFERROR(VLOOKUP($C35,TABLE_CYCLE,2,0),3)=2,COUNT($O35:$Q35)&gt;0),"⚠ Tests cycle 3",IF(COUNT($J35:$Q35)&gt;=IF(IFERROR(VLOOKUP($C35,TABLE_CYCLE,2,0),3)=2,5,8),"Complet","Incomplet"))))))))</f>
        <v/>
      </c>
      <c r="S35" s="24"/>
      <c r="T35" s="223" t="str">
        <f t="shared" si="0"/>
        <v/>
      </c>
      <c r="U35" s="224" t="str">
        <f t="shared" si="1"/>
        <v/>
      </c>
      <c r="V35" s="224" t="str">
        <f t="shared" si="2"/>
        <v/>
      </c>
      <c r="W35" s="224" t="str">
        <f t="shared" si="3"/>
        <v/>
      </c>
      <c r="X35" s="224" t="str">
        <f t="shared" si="4"/>
        <v/>
      </c>
      <c r="Y35" s="24" t="str">
        <f t="shared" si="5"/>
        <v/>
      </c>
      <c r="Z35">
        <f t="shared" si="6"/>
        <v>0</v>
      </c>
      <c r="AA35">
        <f t="shared" si="8"/>
        <v>0</v>
      </c>
    </row>
    <row r="36" spans="2:27" ht="15.75" customHeight="1" x14ac:dyDescent="0.3">
      <c r="B36" s="25"/>
      <c r="C36" s="25"/>
      <c r="D36" s="25"/>
      <c r="E36" s="26" t="str">
        <f t="shared" si="7"/>
        <v/>
      </c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3" t="str">
        <f>IF($F36="","",IF(OR($B36="",$C36="",$D36=""),"⚠ Compléter Année/Niveau/Session",IF(AND($E36&lt;&gt;"",COUNTIF(D_KEY_DOUBLON,$B36&amp;"|"&amp;$D36&amp;"|"&amp;$E36)&gt;1),"⚠ Doublon",IF(AND($E36&lt;&gt;"",COUNTIF(D_KEY_STATUT,$B36&amp;"|"&amp;$E36&amp;"|P")&gt;0,COUNTIF(D_KEY_STATUT,$B36&amp;"|"&amp;$E36&amp;"|A")&gt;0),"⚠ Statut incohérent",IF(AND($D36="S1",$Y36&lt;&gt;"Parti",COUNTIF(ANNEES_VERROU,$B36)&gt;0,COUNTIF(D_KEY_NIVSES,$B36&amp;"|"&amp;$C36&amp;"|S2")&gt;0,COUNTIF(D_KEY_DOUBLON,$B36&amp;"|S2|"&amp;$E36)=0),"⚠ Départ non confirmé ?",IF(AND($C36&lt;&gt;"",ISNUMBER($I36),OR(VALUE(LEFT($B36,4))-$I36&lt;4+IFERROR(MATCH($C36,LISTE_NIVEAUX,0),99),VALUE(LEFT($B36,4))-$I36&gt;6+IFERROR(MATCH($C36,LISTE_NIVEAUX,0),99))),"⚠ Vérifier niveau",IF(AND(IFERROR(VLOOKUP($C36,TABLE_CYCLE,2,0),3)=2,COUNT($O36:$Q36)&gt;0),"⚠ Tests cycle 3",IF(COUNT($J36:$Q36)&gt;=IF(IFERROR(VLOOKUP($C36,TABLE_CYCLE,2,0),3)=2,5,8),"Complet","Incomplet"))))))))</f>
        <v/>
      </c>
      <c r="S36" s="24"/>
      <c r="T36" s="223" t="str">
        <f t="shared" si="0"/>
        <v/>
      </c>
      <c r="U36" s="224" t="str">
        <f t="shared" si="1"/>
        <v/>
      </c>
      <c r="V36" s="224" t="str">
        <f t="shared" si="2"/>
        <v/>
      </c>
      <c r="W36" s="224" t="str">
        <f t="shared" si="3"/>
        <v/>
      </c>
      <c r="X36" s="224" t="str">
        <f t="shared" si="4"/>
        <v/>
      </c>
      <c r="Y36" s="24" t="str">
        <f t="shared" si="5"/>
        <v/>
      </c>
      <c r="Z36">
        <f t="shared" si="6"/>
        <v>0</v>
      </c>
      <c r="AA36">
        <f t="shared" si="8"/>
        <v>0</v>
      </c>
    </row>
    <row r="37" spans="2:27" ht="15.75" customHeight="1" x14ac:dyDescent="0.3">
      <c r="B37" s="21"/>
      <c r="C37" s="21"/>
      <c r="D37" s="21"/>
      <c r="E37" s="22" t="str">
        <f t="shared" si="7"/>
        <v/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3" t="str">
        <f>IF($F37="","",IF(OR($B37="",$C37="",$D37=""),"⚠ Compléter Année/Niveau/Session",IF(AND($E37&lt;&gt;"",COUNTIF(D_KEY_DOUBLON,$B37&amp;"|"&amp;$D37&amp;"|"&amp;$E37)&gt;1),"⚠ Doublon",IF(AND($E37&lt;&gt;"",COUNTIF(D_KEY_STATUT,$B37&amp;"|"&amp;$E37&amp;"|P")&gt;0,COUNTIF(D_KEY_STATUT,$B37&amp;"|"&amp;$E37&amp;"|A")&gt;0),"⚠ Statut incohérent",IF(AND($D37="S1",$Y37&lt;&gt;"Parti",COUNTIF(ANNEES_VERROU,$B37)&gt;0,COUNTIF(D_KEY_NIVSES,$B37&amp;"|"&amp;$C37&amp;"|S2")&gt;0,COUNTIF(D_KEY_DOUBLON,$B37&amp;"|S2|"&amp;$E37)=0),"⚠ Départ non confirmé ?",IF(AND($C37&lt;&gt;"",ISNUMBER($I37),OR(VALUE(LEFT($B37,4))-$I37&lt;4+IFERROR(MATCH($C37,LISTE_NIVEAUX,0),99),VALUE(LEFT($B37,4))-$I37&gt;6+IFERROR(MATCH($C37,LISTE_NIVEAUX,0),99))),"⚠ Vérifier niveau",IF(AND(IFERROR(VLOOKUP($C37,TABLE_CYCLE,2,0),3)=2,COUNT($O37:$Q37)&gt;0),"⚠ Tests cycle 3",IF(COUNT($J37:$Q37)&gt;=IF(IFERROR(VLOOKUP($C37,TABLE_CYCLE,2,0),3)=2,5,8),"Complet","Incomplet"))))))))</f>
        <v/>
      </c>
      <c r="S37" s="24"/>
      <c r="T37" s="223" t="str">
        <f t="shared" si="0"/>
        <v/>
      </c>
      <c r="U37" s="224" t="str">
        <f t="shared" si="1"/>
        <v/>
      </c>
      <c r="V37" s="224" t="str">
        <f t="shared" si="2"/>
        <v/>
      </c>
      <c r="W37" s="224" t="str">
        <f t="shared" si="3"/>
        <v/>
      </c>
      <c r="X37" s="224" t="str">
        <f t="shared" si="4"/>
        <v/>
      </c>
      <c r="Y37" s="24" t="str">
        <f t="shared" si="5"/>
        <v/>
      </c>
      <c r="Z37">
        <f t="shared" si="6"/>
        <v>0</v>
      </c>
      <c r="AA37">
        <f t="shared" si="8"/>
        <v>0</v>
      </c>
    </row>
    <row r="38" spans="2:27" ht="15.75" customHeight="1" x14ac:dyDescent="0.3">
      <c r="B38" s="25"/>
      <c r="C38" s="25"/>
      <c r="D38" s="25"/>
      <c r="E38" s="26" t="str">
        <f t="shared" si="7"/>
        <v/>
      </c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3" t="str">
        <f>IF($F38="","",IF(OR($B38="",$C38="",$D38=""),"⚠ Compléter Année/Niveau/Session",IF(AND($E38&lt;&gt;"",COUNTIF(D_KEY_DOUBLON,$B38&amp;"|"&amp;$D38&amp;"|"&amp;$E38)&gt;1),"⚠ Doublon",IF(AND($E38&lt;&gt;"",COUNTIF(D_KEY_STATUT,$B38&amp;"|"&amp;$E38&amp;"|P")&gt;0,COUNTIF(D_KEY_STATUT,$B38&amp;"|"&amp;$E38&amp;"|A")&gt;0),"⚠ Statut incohérent",IF(AND($D38="S1",$Y38&lt;&gt;"Parti",COUNTIF(ANNEES_VERROU,$B38)&gt;0,COUNTIF(D_KEY_NIVSES,$B38&amp;"|"&amp;$C38&amp;"|S2")&gt;0,COUNTIF(D_KEY_DOUBLON,$B38&amp;"|S2|"&amp;$E38)=0),"⚠ Départ non confirmé ?",IF(AND($C38&lt;&gt;"",ISNUMBER($I38),OR(VALUE(LEFT($B38,4))-$I38&lt;4+IFERROR(MATCH($C38,LISTE_NIVEAUX,0),99),VALUE(LEFT($B38,4))-$I38&gt;6+IFERROR(MATCH($C38,LISTE_NIVEAUX,0),99))),"⚠ Vérifier niveau",IF(AND(IFERROR(VLOOKUP($C38,TABLE_CYCLE,2,0),3)=2,COUNT($O38:$Q38)&gt;0),"⚠ Tests cycle 3",IF(COUNT($J38:$Q38)&gt;=IF(IFERROR(VLOOKUP($C38,TABLE_CYCLE,2,0),3)=2,5,8),"Complet","Incomplet"))))))))</f>
        <v/>
      </c>
      <c r="S38" s="24"/>
      <c r="T38" s="223" t="str">
        <f t="shared" si="0"/>
        <v/>
      </c>
      <c r="U38" s="224" t="str">
        <f t="shared" si="1"/>
        <v/>
      </c>
      <c r="V38" s="224" t="str">
        <f t="shared" si="2"/>
        <v/>
      </c>
      <c r="W38" s="224" t="str">
        <f t="shared" si="3"/>
        <v/>
      </c>
      <c r="X38" s="224" t="str">
        <f t="shared" si="4"/>
        <v/>
      </c>
      <c r="Y38" s="24" t="str">
        <f t="shared" si="5"/>
        <v/>
      </c>
      <c r="Z38">
        <f t="shared" si="6"/>
        <v>0</v>
      </c>
      <c r="AA38">
        <f t="shared" si="8"/>
        <v>0</v>
      </c>
    </row>
    <row r="39" spans="2:27" ht="15.75" customHeight="1" x14ac:dyDescent="0.3">
      <c r="B39" s="21"/>
      <c r="C39" s="21"/>
      <c r="D39" s="21"/>
      <c r="E39" s="22" t="str">
        <f t="shared" si="7"/>
        <v/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3" t="str">
        <f>IF($F39="","",IF(OR($B39="",$C39="",$D39=""),"⚠ Compléter Année/Niveau/Session",IF(AND($E39&lt;&gt;"",COUNTIF(D_KEY_DOUBLON,$B39&amp;"|"&amp;$D39&amp;"|"&amp;$E39)&gt;1),"⚠ Doublon",IF(AND($E39&lt;&gt;"",COUNTIF(D_KEY_STATUT,$B39&amp;"|"&amp;$E39&amp;"|P")&gt;0,COUNTIF(D_KEY_STATUT,$B39&amp;"|"&amp;$E39&amp;"|A")&gt;0),"⚠ Statut incohérent",IF(AND($D39="S1",$Y39&lt;&gt;"Parti",COUNTIF(ANNEES_VERROU,$B39)&gt;0,COUNTIF(D_KEY_NIVSES,$B39&amp;"|"&amp;$C39&amp;"|S2")&gt;0,COUNTIF(D_KEY_DOUBLON,$B39&amp;"|S2|"&amp;$E39)=0),"⚠ Départ non confirmé ?",IF(AND($C39&lt;&gt;"",ISNUMBER($I39),OR(VALUE(LEFT($B39,4))-$I39&lt;4+IFERROR(MATCH($C39,LISTE_NIVEAUX,0),99),VALUE(LEFT($B39,4))-$I39&gt;6+IFERROR(MATCH($C39,LISTE_NIVEAUX,0),99))),"⚠ Vérifier niveau",IF(AND(IFERROR(VLOOKUP($C39,TABLE_CYCLE,2,0),3)=2,COUNT($O39:$Q39)&gt;0),"⚠ Tests cycle 3",IF(COUNT($J39:$Q39)&gt;=IF(IFERROR(VLOOKUP($C39,TABLE_CYCLE,2,0),3)=2,5,8),"Complet","Incomplet"))))))))</f>
        <v/>
      </c>
      <c r="S39" s="24"/>
      <c r="T39" s="223" t="str">
        <f t="shared" si="0"/>
        <v/>
      </c>
      <c r="U39" s="224" t="str">
        <f t="shared" si="1"/>
        <v/>
      </c>
      <c r="V39" s="224" t="str">
        <f t="shared" si="2"/>
        <v/>
      </c>
      <c r="W39" s="224" t="str">
        <f t="shared" si="3"/>
        <v/>
      </c>
      <c r="X39" s="224" t="str">
        <f t="shared" si="4"/>
        <v/>
      </c>
      <c r="Y39" s="24" t="str">
        <f t="shared" si="5"/>
        <v/>
      </c>
      <c r="Z39">
        <f t="shared" si="6"/>
        <v>0</v>
      </c>
      <c r="AA39">
        <f t="shared" si="8"/>
        <v>0</v>
      </c>
    </row>
    <row r="40" spans="2:27" ht="15.75" customHeight="1" x14ac:dyDescent="0.3">
      <c r="B40" s="25"/>
      <c r="C40" s="25"/>
      <c r="D40" s="25"/>
      <c r="E40" s="26" t="str">
        <f t="shared" si="7"/>
        <v/>
      </c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3" t="str">
        <f>IF($F40="","",IF(OR($B40="",$C40="",$D40=""),"⚠ Compléter Année/Niveau/Session",IF(AND($E40&lt;&gt;"",COUNTIF(D_KEY_DOUBLON,$B40&amp;"|"&amp;$D40&amp;"|"&amp;$E40)&gt;1),"⚠ Doublon",IF(AND($E40&lt;&gt;"",COUNTIF(D_KEY_STATUT,$B40&amp;"|"&amp;$E40&amp;"|P")&gt;0,COUNTIF(D_KEY_STATUT,$B40&amp;"|"&amp;$E40&amp;"|A")&gt;0),"⚠ Statut incohérent",IF(AND($D40="S1",$Y40&lt;&gt;"Parti",COUNTIF(ANNEES_VERROU,$B40)&gt;0,COUNTIF(D_KEY_NIVSES,$B40&amp;"|"&amp;$C40&amp;"|S2")&gt;0,COUNTIF(D_KEY_DOUBLON,$B40&amp;"|S2|"&amp;$E40)=0),"⚠ Départ non confirmé ?",IF(AND($C40&lt;&gt;"",ISNUMBER($I40),OR(VALUE(LEFT($B40,4))-$I40&lt;4+IFERROR(MATCH($C40,LISTE_NIVEAUX,0),99),VALUE(LEFT($B40,4))-$I40&gt;6+IFERROR(MATCH($C40,LISTE_NIVEAUX,0),99))),"⚠ Vérifier niveau",IF(AND(IFERROR(VLOOKUP($C40,TABLE_CYCLE,2,0),3)=2,COUNT($O40:$Q40)&gt;0),"⚠ Tests cycle 3",IF(COUNT($J40:$Q40)&gt;=IF(IFERROR(VLOOKUP($C40,TABLE_CYCLE,2,0),3)=2,5,8),"Complet","Incomplet"))))))))</f>
        <v/>
      </c>
      <c r="S40" s="24"/>
      <c r="T40" s="223" t="str">
        <f t="shared" si="0"/>
        <v/>
      </c>
      <c r="U40" s="224" t="str">
        <f t="shared" si="1"/>
        <v/>
      </c>
      <c r="V40" s="224" t="str">
        <f t="shared" si="2"/>
        <v/>
      </c>
      <c r="W40" s="224" t="str">
        <f t="shared" si="3"/>
        <v/>
      </c>
      <c r="X40" s="224" t="str">
        <f t="shared" si="4"/>
        <v/>
      </c>
      <c r="Y40" s="24" t="str">
        <f t="shared" si="5"/>
        <v/>
      </c>
      <c r="Z40">
        <f t="shared" si="6"/>
        <v>0</v>
      </c>
      <c r="AA40">
        <f t="shared" si="8"/>
        <v>0</v>
      </c>
    </row>
    <row r="41" spans="2:27" ht="15.75" customHeight="1" x14ac:dyDescent="0.3">
      <c r="B41" s="21"/>
      <c r="C41" s="21"/>
      <c r="D41" s="21"/>
      <c r="E41" s="22" t="str">
        <f t="shared" si="7"/>
        <v/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3" t="str">
        <f>IF($F41="","",IF(OR($B41="",$C41="",$D41=""),"⚠ Compléter Année/Niveau/Session",IF(AND($E41&lt;&gt;"",COUNTIF(D_KEY_DOUBLON,$B41&amp;"|"&amp;$D41&amp;"|"&amp;$E41)&gt;1),"⚠ Doublon",IF(AND($E41&lt;&gt;"",COUNTIF(D_KEY_STATUT,$B41&amp;"|"&amp;$E41&amp;"|P")&gt;0,COUNTIF(D_KEY_STATUT,$B41&amp;"|"&amp;$E41&amp;"|A")&gt;0),"⚠ Statut incohérent",IF(AND($D41="S1",$Y41&lt;&gt;"Parti",COUNTIF(ANNEES_VERROU,$B41)&gt;0,COUNTIF(D_KEY_NIVSES,$B41&amp;"|"&amp;$C41&amp;"|S2")&gt;0,COUNTIF(D_KEY_DOUBLON,$B41&amp;"|S2|"&amp;$E41)=0),"⚠ Départ non confirmé ?",IF(AND($C41&lt;&gt;"",ISNUMBER($I41),OR(VALUE(LEFT($B41,4))-$I41&lt;4+IFERROR(MATCH($C41,LISTE_NIVEAUX,0),99),VALUE(LEFT($B41,4))-$I41&gt;6+IFERROR(MATCH($C41,LISTE_NIVEAUX,0),99))),"⚠ Vérifier niveau",IF(AND(IFERROR(VLOOKUP($C41,TABLE_CYCLE,2,0),3)=2,COUNT($O41:$Q41)&gt;0),"⚠ Tests cycle 3",IF(COUNT($J41:$Q41)&gt;=IF(IFERROR(VLOOKUP($C41,TABLE_CYCLE,2,0),3)=2,5,8),"Complet","Incomplet"))))))))</f>
        <v/>
      </c>
      <c r="S41" s="24"/>
      <c r="T41" s="223" t="str">
        <f t="shared" si="0"/>
        <v/>
      </c>
      <c r="U41" s="224" t="str">
        <f t="shared" si="1"/>
        <v/>
      </c>
      <c r="V41" s="224" t="str">
        <f t="shared" si="2"/>
        <v/>
      </c>
      <c r="W41" s="224" t="str">
        <f t="shared" si="3"/>
        <v/>
      </c>
      <c r="X41" s="224" t="str">
        <f t="shared" si="4"/>
        <v/>
      </c>
      <c r="Y41" s="24" t="str">
        <f t="shared" si="5"/>
        <v/>
      </c>
      <c r="Z41">
        <f t="shared" si="6"/>
        <v>0</v>
      </c>
      <c r="AA41">
        <f t="shared" si="8"/>
        <v>0</v>
      </c>
    </row>
    <row r="42" spans="2:27" ht="15.75" customHeight="1" x14ac:dyDescent="0.3">
      <c r="B42" s="25"/>
      <c r="C42" s="25"/>
      <c r="D42" s="25"/>
      <c r="E42" s="26" t="str">
        <f t="shared" si="7"/>
        <v/>
      </c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3" t="str">
        <f>IF($F42="","",IF(OR($B42="",$C42="",$D42=""),"⚠ Compléter Année/Niveau/Session",IF(AND($E42&lt;&gt;"",COUNTIF(D_KEY_DOUBLON,$B42&amp;"|"&amp;$D42&amp;"|"&amp;$E42)&gt;1),"⚠ Doublon",IF(AND($E42&lt;&gt;"",COUNTIF(D_KEY_STATUT,$B42&amp;"|"&amp;$E42&amp;"|P")&gt;0,COUNTIF(D_KEY_STATUT,$B42&amp;"|"&amp;$E42&amp;"|A")&gt;0),"⚠ Statut incohérent",IF(AND($D42="S1",$Y42&lt;&gt;"Parti",COUNTIF(ANNEES_VERROU,$B42)&gt;0,COUNTIF(D_KEY_NIVSES,$B42&amp;"|"&amp;$C42&amp;"|S2")&gt;0,COUNTIF(D_KEY_DOUBLON,$B42&amp;"|S2|"&amp;$E42)=0),"⚠ Départ non confirmé ?",IF(AND($C42&lt;&gt;"",ISNUMBER($I42),OR(VALUE(LEFT($B42,4))-$I42&lt;4+IFERROR(MATCH($C42,LISTE_NIVEAUX,0),99),VALUE(LEFT($B42,4))-$I42&gt;6+IFERROR(MATCH($C42,LISTE_NIVEAUX,0),99))),"⚠ Vérifier niveau",IF(AND(IFERROR(VLOOKUP($C42,TABLE_CYCLE,2,0),3)=2,COUNT($O42:$Q42)&gt;0),"⚠ Tests cycle 3",IF(COUNT($J42:$Q42)&gt;=IF(IFERROR(VLOOKUP($C42,TABLE_CYCLE,2,0),3)=2,5,8),"Complet","Incomplet"))))))))</f>
        <v/>
      </c>
      <c r="S42" s="24"/>
      <c r="T42" s="223" t="str">
        <f t="shared" si="0"/>
        <v/>
      </c>
      <c r="U42" s="224" t="str">
        <f t="shared" si="1"/>
        <v/>
      </c>
      <c r="V42" s="224" t="str">
        <f t="shared" si="2"/>
        <v/>
      </c>
      <c r="W42" s="224" t="str">
        <f t="shared" si="3"/>
        <v/>
      </c>
      <c r="X42" s="224" t="str">
        <f t="shared" si="4"/>
        <v/>
      </c>
      <c r="Y42" s="24" t="str">
        <f t="shared" si="5"/>
        <v/>
      </c>
      <c r="Z42">
        <f t="shared" si="6"/>
        <v>0</v>
      </c>
      <c r="AA42">
        <f t="shared" si="8"/>
        <v>0</v>
      </c>
    </row>
    <row r="43" spans="2:27" ht="15.75" customHeight="1" x14ac:dyDescent="0.3">
      <c r="B43" s="21"/>
      <c r="C43" s="21"/>
      <c r="D43" s="21"/>
      <c r="E43" s="22" t="str">
        <f t="shared" si="7"/>
        <v/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3" t="str">
        <f>IF($F43="","",IF(OR($B43="",$C43="",$D43=""),"⚠ Compléter Année/Niveau/Session",IF(AND($E43&lt;&gt;"",COUNTIF(D_KEY_DOUBLON,$B43&amp;"|"&amp;$D43&amp;"|"&amp;$E43)&gt;1),"⚠ Doublon",IF(AND($E43&lt;&gt;"",COUNTIF(D_KEY_STATUT,$B43&amp;"|"&amp;$E43&amp;"|P")&gt;0,COUNTIF(D_KEY_STATUT,$B43&amp;"|"&amp;$E43&amp;"|A")&gt;0),"⚠ Statut incohérent",IF(AND($D43="S1",$Y43&lt;&gt;"Parti",COUNTIF(ANNEES_VERROU,$B43)&gt;0,COUNTIF(D_KEY_NIVSES,$B43&amp;"|"&amp;$C43&amp;"|S2")&gt;0,COUNTIF(D_KEY_DOUBLON,$B43&amp;"|S2|"&amp;$E43)=0),"⚠ Départ non confirmé ?",IF(AND($C43&lt;&gt;"",ISNUMBER($I43),OR(VALUE(LEFT($B43,4))-$I43&lt;4+IFERROR(MATCH($C43,LISTE_NIVEAUX,0),99),VALUE(LEFT($B43,4))-$I43&gt;6+IFERROR(MATCH($C43,LISTE_NIVEAUX,0),99))),"⚠ Vérifier niveau",IF(AND(IFERROR(VLOOKUP($C43,TABLE_CYCLE,2,0),3)=2,COUNT($O43:$Q43)&gt;0),"⚠ Tests cycle 3",IF(COUNT($J43:$Q43)&gt;=IF(IFERROR(VLOOKUP($C43,TABLE_CYCLE,2,0),3)=2,5,8),"Complet","Incomplet"))))))))</f>
        <v/>
      </c>
      <c r="S43" s="24"/>
      <c r="T43" s="223" t="str">
        <f t="shared" si="0"/>
        <v/>
      </c>
      <c r="U43" s="224" t="str">
        <f t="shared" si="1"/>
        <v/>
      </c>
      <c r="V43" s="224" t="str">
        <f t="shared" si="2"/>
        <v/>
      </c>
      <c r="W43" s="224" t="str">
        <f t="shared" si="3"/>
        <v/>
      </c>
      <c r="X43" s="224" t="str">
        <f t="shared" si="4"/>
        <v/>
      </c>
      <c r="Y43" s="24" t="str">
        <f t="shared" si="5"/>
        <v/>
      </c>
      <c r="Z43">
        <f t="shared" si="6"/>
        <v>0</v>
      </c>
      <c r="AA43">
        <f t="shared" si="8"/>
        <v>0</v>
      </c>
    </row>
    <row r="44" spans="2:27" ht="15.75" customHeight="1" x14ac:dyDescent="0.3">
      <c r="B44" s="25"/>
      <c r="C44" s="25"/>
      <c r="D44" s="25"/>
      <c r="E44" s="26" t="str">
        <f t="shared" si="7"/>
        <v/>
      </c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3" t="str">
        <f>IF($F44="","",IF(OR($B44="",$C44="",$D44=""),"⚠ Compléter Année/Niveau/Session",IF(AND($E44&lt;&gt;"",COUNTIF(D_KEY_DOUBLON,$B44&amp;"|"&amp;$D44&amp;"|"&amp;$E44)&gt;1),"⚠ Doublon",IF(AND($E44&lt;&gt;"",COUNTIF(D_KEY_STATUT,$B44&amp;"|"&amp;$E44&amp;"|P")&gt;0,COUNTIF(D_KEY_STATUT,$B44&amp;"|"&amp;$E44&amp;"|A")&gt;0),"⚠ Statut incohérent",IF(AND($D44="S1",$Y44&lt;&gt;"Parti",COUNTIF(ANNEES_VERROU,$B44)&gt;0,COUNTIF(D_KEY_NIVSES,$B44&amp;"|"&amp;$C44&amp;"|S2")&gt;0,COUNTIF(D_KEY_DOUBLON,$B44&amp;"|S2|"&amp;$E44)=0),"⚠ Départ non confirmé ?",IF(AND($C44&lt;&gt;"",ISNUMBER($I44),OR(VALUE(LEFT($B44,4))-$I44&lt;4+IFERROR(MATCH($C44,LISTE_NIVEAUX,0),99),VALUE(LEFT($B44,4))-$I44&gt;6+IFERROR(MATCH($C44,LISTE_NIVEAUX,0),99))),"⚠ Vérifier niveau",IF(AND(IFERROR(VLOOKUP($C44,TABLE_CYCLE,2,0),3)=2,COUNT($O44:$Q44)&gt;0),"⚠ Tests cycle 3",IF(COUNT($J44:$Q44)&gt;=IF(IFERROR(VLOOKUP($C44,TABLE_CYCLE,2,0),3)=2,5,8),"Complet","Incomplet"))))))))</f>
        <v/>
      </c>
      <c r="S44" s="24"/>
      <c r="T44" s="223" t="str">
        <f t="shared" si="0"/>
        <v/>
      </c>
      <c r="U44" s="224" t="str">
        <f t="shared" si="1"/>
        <v/>
      </c>
      <c r="V44" s="224" t="str">
        <f t="shared" si="2"/>
        <v/>
      </c>
      <c r="W44" s="224" t="str">
        <f t="shared" si="3"/>
        <v/>
      </c>
      <c r="X44" s="224" t="str">
        <f t="shared" si="4"/>
        <v/>
      </c>
      <c r="Y44" s="24" t="str">
        <f t="shared" si="5"/>
        <v/>
      </c>
      <c r="Z44">
        <f t="shared" si="6"/>
        <v>0</v>
      </c>
      <c r="AA44">
        <f t="shared" si="8"/>
        <v>0</v>
      </c>
    </row>
    <row r="45" spans="2:27" ht="15.75" customHeight="1" x14ac:dyDescent="0.3">
      <c r="B45" s="21"/>
      <c r="C45" s="21"/>
      <c r="D45" s="21"/>
      <c r="E45" s="22" t="str">
        <f t="shared" si="7"/>
        <v/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3" t="str">
        <f>IF($F45="","",IF(OR($B45="",$C45="",$D45=""),"⚠ Compléter Année/Niveau/Session",IF(AND($E45&lt;&gt;"",COUNTIF(D_KEY_DOUBLON,$B45&amp;"|"&amp;$D45&amp;"|"&amp;$E45)&gt;1),"⚠ Doublon",IF(AND($E45&lt;&gt;"",COUNTIF(D_KEY_STATUT,$B45&amp;"|"&amp;$E45&amp;"|P")&gt;0,COUNTIF(D_KEY_STATUT,$B45&amp;"|"&amp;$E45&amp;"|A")&gt;0),"⚠ Statut incohérent",IF(AND($D45="S1",$Y45&lt;&gt;"Parti",COUNTIF(ANNEES_VERROU,$B45)&gt;0,COUNTIF(D_KEY_NIVSES,$B45&amp;"|"&amp;$C45&amp;"|S2")&gt;0,COUNTIF(D_KEY_DOUBLON,$B45&amp;"|S2|"&amp;$E45)=0),"⚠ Départ non confirmé ?",IF(AND($C45&lt;&gt;"",ISNUMBER($I45),OR(VALUE(LEFT($B45,4))-$I45&lt;4+IFERROR(MATCH($C45,LISTE_NIVEAUX,0),99),VALUE(LEFT($B45,4))-$I45&gt;6+IFERROR(MATCH($C45,LISTE_NIVEAUX,0),99))),"⚠ Vérifier niveau",IF(AND(IFERROR(VLOOKUP($C45,TABLE_CYCLE,2,0),3)=2,COUNT($O45:$Q45)&gt;0),"⚠ Tests cycle 3",IF(COUNT($J45:$Q45)&gt;=IF(IFERROR(VLOOKUP($C45,TABLE_CYCLE,2,0),3)=2,5,8),"Complet","Incomplet"))))))))</f>
        <v/>
      </c>
      <c r="S45" s="24"/>
      <c r="T45" s="223" t="str">
        <f t="shared" si="0"/>
        <v/>
      </c>
      <c r="U45" s="224" t="str">
        <f t="shared" si="1"/>
        <v/>
      </c>
      <c r="V45" s="224" t="str">
        <f t="shared" si="2"/>
        <v/>
      </c>
      <c r="W45" s="224" t="str">
        <f t="shared" si="3"/>
        <v/>
      </c>
      <c r="X45" s="224" t="str">
        <f t="shared" si="4"/>
        <v/>
      </c>
      <c r="Y45" s="24" t="str">
        <f t="shared" si="5"/>
        <v/>
      </c>
      <c r="Z45">
        <f t="shared" si="6"/>
        <v>0</v>
      </c>
      <c r="AA45">
        <f t="shared" si="8"/>
        <v>0</v>
      </c>
    </row>
    <row r="46" spans="2:27" ht="15.75" customHeight="1" x14ac:dyDescent="0.3">
      <c r="B46" s="25"/>
      <c r="C46" s="25"/>
      <c r="D46" s="25"/>
      <c r="E46" s="26" t="str">
        <f t="shared" si="7"/>
        <v/>
      </c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3" t="str">
        <f>IF($F46="","",IF(OR($B46="",$C46="",$D46=""),"⚠ Compléter Année/Niveau/Session",IF(AND($E46&lt;&gt;"",COUNTIF(D_KEY_DOUBLON,$B46&amp;"|"&amp;$D46&amp;"|"&amp;$E46)&gt;1),"⚠ Doublon",IF(AND($E46&lt;&gt;"",COUNTIF(D_KEY_STATUT,$B46&amp;"|"&amp;$E46&amp;"|P")&gt;0,COUNTIF(D_KEY_STATUT,$B46&amp;"|"&amp;$E46&amp;"|A")&gt;0),"⚠ Statut incohérent",IF(AND($D46="S1",$Y46&lt;&gt;"Parti",COUNTIF(ANNEES_VERROU,$B46)&gt;0,COUNTIF(D_KEY_NIVSES,$B46&amp;"|"&amp;$C46&amp;"|S2")&gt;0,COUNTIF(D_KEY_DOUBLON,$B46&amp;"|S2|"&amp;$E46)=0),"⚠ Départ non confirmé ?",IF(AND($C46&lt;&gt;"",ISNUMBER($I46),OR(VALUE(LEFT($B46,4))-$I46&lt;4+IFERROR(MATCH($C46,LISTE_NIVEAUX,0),99),VALUE(LEFT($B46,4))-$I46&gt;6+IFERROR(MATCH($C46,LISTE_NIVEAUX,0),99))),"⚠ Vérifier niveau",IF(AND(IFERROR(VLOOKUP($C46,TABLE_CYCLE,2,0),3)=2,COUNT($O46:$Q46)&gt;0),"⚠ Tests cycle 3",IF(COUNT($J46:$Q46)&gt;=IF(IFERROR(VLOOKUP($C46,TABLE_CYCLE,2,0),3)=2,5,8),"Complet","Incomplet"))))))))</f>
        <v/>
      </c>
      <c r="S46" s="24"/>
      <c r="T46" s="223" t="str">
        <f t="shared" si="0"/>
        <v/>
      </c>
      <c r="U46" s="224" t="str">
        <f t="shared" si="1"/>
        <v/>
      </c>
      <c r="V46" s="224" t="str">
        <f t="shared" si="2"/>
        <v/>
      </c>
      <c r="W46" s="224" t="str">
        <f t="shared" si="3"/>
        <v/>
      </c>
      <c r="X46" s="224" t="str">
        <f t="shared" si="4"/>
        <v/>
      </c>
      <c r="Y46" s="24" t="str">
        <f t="shared" si="5"/>
        <v/>
      </c>
      <c r="Z46">
        <f t="shared" si="6"/>
        <v>0</v>
      </c>
      <c r="AA46">
        <f t="shared" si="8"/>
        <v>0</v>
      </c>
    </row>
    <row r="47" spans="2:27" ht="15.75" customHeight="1" x14ac:dyDescent="0.3">
      <c r="B47" s="21"/>
      <c r="C47" s="21"/>
      <c r="D47" s="21"/>
      <c r="E47" s="22" t="str">
        <f t="shared" si="7"/>
        <v/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3" t="str">
        <f>IF($F47="","",IF(OR($B47="",$C47="",$D47=""),"⚠ Compléter Année/Niveau/Session",IF(AND($E47&lt;&gt;"",COUNTIF(D_KEY_DOUBLON,$B47&amp;"|"&amp;$D47&amp;"|"&amp;$E47)&gt;1),"⚠ Doublon",IF(AND($E47&lt;&gt;"",COUNTIF(D_KEY_STATUT,$B47&amp;"|"&amp;$E47&amp;"|P")&gt;0,COUNTIF(D_KEY_STATUT,$B47&amp;"|"&amp;$E47&amp;"|A")&gt;0),"⚠ Statut incohérent",IF(AND($D47="S1",$Y47&lt;&gt;"Parti",COUNTIF(ANNEES_VERROU,$B47)&gt;0,COUNTIF(D_KEY_NIVSES,$B47&amp;"|"&amp;$C47&amp;"|S2")&gt;0,COUNTIF(D_KEY_DOUBLON,$B47&amp;"|S2|"&amp;$E47)=0),"⚠ Départ non confirmé ?",IF(AND($C47&lt;&gt;"",ISNUMBER($I47),OR(VALUE(LEFT($B47,4))-$I47&lt;4+IFERROR(MATCH($C47,LISTE_NIVEAUX,0),99),VALUE(LEFT($B47,4))-$I47&gt;6+IFERROR(MATCH($C47,LISTE_NIVEAUX,0),99))),"⚠ Vérifier niveau",IF(AND(IFERROR(VLOOKUP($C47,TABLE_CYCLE,2,0),3)=2,COUNT($O47:$Q47)&gt;0),"⚠ Tests cycle 3",IF(COUNT($J47:$Q47)&gt;=IF(IFERROR(VLOOKUP($C47,TABLE_CYCLE,2,0),3)=2,5,8),"Complet","Incomplet"))))))))</f>
        <v/>
      </c>
      <c r="S47" s="24"/>
      <c r="T47" s="223" t="str">
        <f t="shared" si="0"/>
        <v/>
      </c>
      <c r="U47" s="224" t="str">
        <f t="shared" si="1"/>
        <v/>
      </c>
      <c r="V47" s="224" t="str">
        <f t="shared" si="2"/>
        <v/>
      </c>
      <c r="W47" s="224" t="str">
        <f t="shared" si="3"/>
        <v/>
      </c>
      <c r="X47" s="224" t="str">
        <f t="shared" si="4"/>
        <v/>
      </c>
      <c r="Y47" s="24" t="str">
        <f t="shared" si="5"/>
        <v/>
      </c>
      <c r="Z47">
        <f t="shared" si="6"/>
        <v>0</v>
      </c>
      <c r="AA47">
        <f t="shared" si="8"/>
        <v>0</v>
      </c>
    </row>
    <row r="48" spans="2:27" ht="15.75" customHeight="1" x14ac:dyDescent="0.3">
      <c r="B48" s="25"/>
      <c r="C48" s="25"/>
      <c r="D48" s="25"/>
      <c r="E48" s="26" t="str">
        <f t="shared" si="7"/>
        <v/>
      </c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3" t="str">
        <f>IF($F48="","",IF(OR($B48="",$C48="",$D48=""),"⚠ Compléter Année/Niveau/Session",IF(AND($E48&lt;&gt;"",COUNTIF(D_KEY_DOUBLON,$B48&amp;"|"&amp;$D48&amp;"|"&amp;$E48)&gt;1),"⚠ Doublon",IF(AND($E48&lt;&gt;"",COUNTIF(D_KEY_STATUT,$B48&amp;"|"&amp;$E48&amp;"|P")&gt;0,COUNTIF(D_KEY_STATUT,$B48&amp;"|"&amp;$E48&amp;"|A")&gt;0),"⚠ Statut incohérent",IF(AND($D48="S1",$Y48&lt;&gt;"Parti",COUNTIF(ANNEES_VERROU,$B48)&gt;0,COUNTIF(D_KEY_NIVSES,$B48&amp;"|"&amp;$C48&amp;"|S2")&gt;0,COUNTIF(D_KEY_DOUBLON,$B48&amp;"|S2|"&amp;$E48)=0),"⚠ Départ non confirmé ?",IF(AND($C48&lt;&gt;"",ISNUMBER($I48),OR(VALUE(LEFT($B48,4))-$I48&lt;4+IFERROR(MATCH($C48,LISTE_NIVEAUX,0),99),VALUE(LEFT($B48,4))-$I48&gt;6+IFERROR(MATCH($C48,LISTE_NIVEAUX,0),99))),"⚠ Vérifier niveau",IF(AND(IFERROR(VLOOKUP($C48,TABLE_CYCLE,2,0),3)=2,COUNT($O48:$Q48)&gt;0),"⚠ Tests cycle 3",IF(COUNT($J48:$Q48)&gt;=IF(IFERROR(VLOOKUP($C48,TABLE_CYCLE,2,0),3)=2,5,8),"Complet","Incomplet"))))))))</f>
        <v/>
      </c>
      <c r="S48" s="24"/>
      <c r="T48" s="223" t="str">
        <f t="shared" si="0"/>
        <v/>
      </c>
      <c r="U48" s="224" t="str">
        <f t="shared" si="1"/>
        <v/>
      </c>
      <c r="V48" s="224" t="str">
        <f t="shared" si="2"/>
        <v/>
      </c>
      <c r="W48" s="224" t="str">
        <f t="shared" si="3"/>
        <v/>
      </c>
      <c r="X48" s="224" t="str">
        <f t="shared" si="4"/>
        <v/>
      </c>
      <c r="Y48" s="24" t="str">
        <f t="shared" si="5"/>
        <v/>
      </c>
      <c r="Z48">
        <f t="shared" si="6"/>
        <v>0</v>
      </c>
      <c r="AA48">
        <f t="shared" si="8"/>
        <v>0</v>
      </c>
    </row>
    <row r="49" spans="2:27" ht="15.75" customHeight="1" x14ac:dyDescent="0.3">
      <c r="B49" s="21"/>
      <c r="C49" s="21"/>
      <c r="D49" s="21"/>
      <c r="E49" s="22" t="str">
        <f t="shared" si="7"/>
        <v/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3" t="str">
        <f>IF($F49="","",IF(OR($B49="",$C49="",$D49=""),"⚠ Compléter Année/Niveau/Session",IF(AND($E49&lt;&gt;"",COUNTIF(D_KEY_DOUBLON,$B49&amp;"|"&amp;$D49&amp;"|"&amp;$E49)&gt;1),"⚠ Doublon",IF(AND($E49&lt;&gt;"",COUNTIF(D_KEY_STATUT,$B49&amp;"|"&amp;$E49&amp;"|P")&gt;0,COUNTIF(D_KEY_STATUT,$B49&amp;"|"&amp;$E49&amp;"|A")&gt;0),"⚠ Statut incohérent",IF(AND($D49="S1",$Y49&lt;&gt;"Parti",COUNTIF(ANNEES_VERROU,$B49)&gt;0,COUNTIF(D_KEY_NIVSES,$B49&amp;"|"&amp;$C49&amp;"|S2")&gt;0,COUNTIF(D_KEY_DOUBLON,$B49&amp;"|S2|"&amp;$E49)=0),"⚠ Départ non confirmé ?",IF(AND($C49&lt;&gt;"",ISNUMBER($I49),OR(VALUE(LEFT($B49,4))-$I49&lt;4+IFERROR(MATCH($C49,LISTE_NIVEAUX,0),99),VALUE(LEFT($B49,4))-$I49&gt;6+IFERROR(MATCH($C49,LISTE_NIVEAUX,0),99))),"⚠ Vérifier niveau",IF(AND(IFERROR(VLOOKUP($C49,TABLE_CYCLE,2,0),3)=2,COUNT($O49:$Q49)&gt;0),"⚠ Tests cycle 3",IF(COUNT($J49:$Q49)&gt;=IF(IFERROR(VLOOKUP($C49,TABLE_CYCLE,2,0),3)=2,5,8),"Complet","Incomplet"))))))))</f>
        <v/>
      </c>
      <c r="S49" s="24"/>
      <c r="T49" s="223" t="str">
        <f t="shared" si="0"/>
        <v/>
      </c>
      <c r="U49" s="224" t="str">
        <f t="shared" si="1"/>
        <v/>
      </c>
      <c r="V49" s="224" t="str">
        <f t="shared" si="2"/>
        <v/>
      </c>
      <c r="W49" s="224" t="str">
        <f t="shared" si="3"/>
        <v/>
      </c>
      <c r="X49" s="224" t="str">
        <f t="shared" si="4"/>
        <v/>
      </c>
      <c r="Y49" s="24" t="str">
        <f t="shared" si="5"/>
        <v/>
      </c>
      <c r="Z49">
        <f t="shared" si="6"/>
        <v>0</v>
      </c>
      <c r="AA49">
        <f t="shared" si="8"/>
        <v>0</v>
      </c>
    </row>
    <row r="50" spans="2:27" ht="15.75" customHeight="1" x14ac:dyDescent="0.3">
      <c r="B50" s="25"/>
      <c r="C50" s="25"/>
      <c r="D50" s="25"/>
      <c r="E50" s="26" t="str">
        <f t="shared" si="7"/>
        <v/>
      </c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3" t="str">
        <f>IF($F50="","",IF(OR($B50="",$C50="",$D50=""),"⚠ Compléter Année/Niveau/Session",IF(AND($E50&lt;&gt;"",COUNTIF(D_KEY_DOUBLON,$B50&amp;"|"&amp;$D50&amp;"|"&amp;$E50)&gt;1),"⚠ Doublon",IF(AND($E50&lt;&gt;"",COUNTIF(D_KEY_STATUT,$B50&amp;"|"&amp;$E50&amp;"|P")&gt;0,COUNTIF(D_KEY_STATUT,$B50&amp;"|"&amp;$E50&amp;"|A")&gt;0),"⚠ Statut incohérent",IF(AND($D50="S1",$Y50&lt;&gt;"Parti",COUNTIF(ANNEES_VERROU,$B50)&gt;0,COUNTIF(D_KEY_NIVSES,$B50&amp;"|"&amp;$C50&amp;"|S2")&gt;0,COUNTIF(D_KEY_DOUBLON,$B50&amp;"|S2|"&amp;$E50)=0),"⚠ Départ non confirmé ?",IF(AND($C50&lt;&gt;"",ISNUMBER($I50),OR(VALUE(LEFT($B50,4))-$I50&lt;4+IFERROR(MATCH($C50,LISTE_NIVEAUX,0),99),VALUE(LEFT($B50,4))-$I50&gt;6+IFERROR(MATCH($C50,LISTE_NIVEAUX,0),99))),"⚠ Vérifier niveau",IF(AND(IFERROR(VLOOKUP($C50,TABLE_CYCLE,2,0),3)=2,COUNT($O50:$Q50)&gt;0),"⚠ Tests cycle 3",IF(COUNT($J50:$Q50)&gt;=IF(IFERROR(VLOOKUP($C50,TABLE_CYCLE,2,0),3)=2,5,8),"Complet","Incomplet"))))))))</f>
        <v/>
      </c>
      <c r="S50" s="24"/>
      <c r="T50" s="223" t="str">
        <f t="shared" si="0"/>
        <v/>
      </c>
      <c r="U50" s="224" t="str">
        <f t="shared" si="1"/>
        <v/>
      </c>
      <c r="V50" s="224" t="str">
        <f t="shared" si="2"/>
        <v/>
      </c>
      <c r="W50" s="224" t="str">
        <f t="shared" si="3"/>
        <v/>
      </c>
      <c r="X50" s="224" t="str">
        <f t="shared" si="4"/>
        <v/>
      </c>
      <c r="Y50" s="24" t="str">
        <f t="shared" si="5"/>
        <v/>
      </c>
      <c r="Z50">
        <f t="shared" si="6"/>
        <v>0</v>
      </c>
      <c r="AA50">
        <f t="shared" si="8"/>
        <v>0</v>
      </c>
    </row>
    <row r="51" spans="2:27" ht="15.75" customHeight="1" x14ac:dyDescent="0.3">
      <c r="B51" s="21"/>
      <c r="C51" s="21"/>
      <c r="D51" s="21"/>
      <c r="E51" s="22" t="str">
        <f t="shared" si="7"/>
        <v/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3" t="str">
        <f>IF($F51="","",IF(OR($B51="",$C51="",$D51=""),"⚠ Compléter Année/Niveau/Session",IF(AND($E51&lt;&gt;"",COUNTIF(D_KEY_DOUBLON,$B51&amp;"|"&amp;$D51&amp;"|"&amp;$E51)&gt;1),"⚠ Doublon",IF(AND($E51&lt;&gt;"",COUNTIF(D_KEY_STATUT,$B51&amp;"|"&amp;$E51&amp;"|P")&gt;0,COUNTIF(D_KEY_STATUT,$B51&amp;"|"&amp;$E51&amp;"|A")&gt;0),"⚠ Statut incohérent",IF(AND($D51="S1",$Y51&lt;&gt;"Parti",COUNTIF(ANNEES_VERROU,$B51)&gt;0,COUNTIF(D_KEY_NIVSES,$B51&amp;"|"&amp;$C51&amp;"|S2")&gt;0,COUNTIF(D_KEY_DOUBLON,$B51&amp;"|S2|"&amp;$E51)=0),"⚠ Départ non confirmé ?",IF(AND($C51&lt;&gt;"",ISNUMBER($I51),OR(VALUE(LEFT($B51,4))-$I51&lt;4+IFERROR(MATCH($C51,LISTE_NIVEAUX,0),99),VALUE(LEFT($B51,4))-$I51&gt;6+IFERROR(MATCH($C51,LISTE_NIVEAUX,0),99))),"⚠ Vérifier niveau",IF(AND(IFERROR(VLOOKUP($C51,TABLE_CYCLE,2,0),3)=2,COUNT($O51:$Q51)&gt;0),"⚠ Tests cycle 3",IF(COUNT($J51:$Q51)&gt;=IF(IFERROR(VLOOKUP($C51,TABLE_CYCLE,2,0),3)=2,5,8),"Complet","Incomplet"))))))))</f>
        <v/>
      </c>
      <c r="S51" s="24"/>
      <c r="T51" s="223" t="str">
        <f t="shared" si="0"/>
        <v/>
      </c>
      <c r="U51" s="224" t="str">
        <f t="shared" si="1"/>
        <v/>
      </c>
      <c r="V51" s="224" t="str">
        <f t="shared" si="2"/>
        <v/>
      </c>
      <c r="W51" s="224" t="str">
        <f t="shared" si="3"/>
        <v/>
      </c>
      <c r="X51" s="224" t="str">
        <f t="shared" si="4"/>
        <v/>
      </c>
      <c r="Y51" s="24" t="str">
        <f t="shared" si="5"/>
        <v/>
      </c>
      <c r="Z51">
        <f t="shared" si="6"/>
        <v>0</v>
      </c>
      <c r="AA51">
        <f t="shared" si="8"/>
        <v>0</v>
      </c>
    </row>
    <row r="52" spans="2:27" ht="15.75" customHeight="1" x14ac:dyDescent="0.3">
      <c r="B52" s="25"/>
      <c r="C52" s="25"/>
      <c r="D52" s="25"/>
      <c r="E52" s="26" t="str">
        <f t="shared" si="7"/>
        <v/>
      </c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3" t="str">
        <f>IF($F52="","",IF(OR($B52="",$C52="",$D52=""),"⚠ Compléter Année/Niveau/Session",IF(AND($E52&lt;&gt;"",COUNTIF(D_KEY_DOUBLON,$B52&amp;"|"&amp;$D52&amp;"|"&amp;$E52)&gt;1),"⚠ Doublon",IF(AND($E52&lt;&gt;"",COUNTIF(D_KEY_STATUT,$B52&amp;"|"&amp;$E52&amp;"|P")&gt;0,COUNTIF(D_KEY_STATUT,$B52&amp;"|"&amp;$E52&amp;"|A")&gt;0),"⚠ Statut incohérent",IF(AND($D52="S1",$Y52&lt;&gt;"Parti",COUNTIF(ANNEES_VERROU,$B52)&gt;0,COUNTIF(D_KEY_NIVSES,$B52&amp;"|"&amp;$C52&amp;"|S2")&gt;0,COUNTIF(D_KEY_DOUBLON,$B52&amp;"|S2|"&amp;$E52)=0),"⚠ Départ non confirmé ?",IF(AND($C52&lt;&gt;"",ISNUMBER($I52),OR(VALUE(LEFT($B52,4))-$I52&lt;4+IFERROR(MATCH($C52,LISTE_NIVEAUX,0),99),VALUE(LEFT($B52,4))-$I52&gt;6+IFERROR(MATCH($C52,LISTE_NIVEAUX,0),99))),"⚠ Vérifier niveau",IF(AND(IFERROR(VLOOKUP($C52,TABLE_CYCLE,2,0),3)=2,COUNT($O52:$Q52)&gt;0),"⚠ Tests cycle 3",IF(COUNT($J52:$Q52)&gt;=IF(IFERROR(VLOOKUP($C52,TABLE_CYCLE,2,0),3)=2,5,8),"Complet","Incomplet"))))))))</f>
        <v/>
      </c>
      <c r="S52" s="24"/>
      <c r="T52" s="223" t="str">
        <f t="shared" si="0"/>
        <v/>
      </c>
      <c r="U52" s="224" t="str">
        <f t="shared" si="1"/>
        <v/>
      </c>
      <c r="V52" s="224" t="str">
        <f t="shared" si="2"/>
        <v/>
      </c>
      <c r="W52" s="224" t="str">
        <f t="shared" si="3"/>
        <v/>
      </c>
      <c r="X52" s="224" t="str">
        <f t="shared" si="4"/>
        <v/>
      </c>
      <c r="Y52" s="24" t="str">
        <f t="shared" si="5"/>
        <v/>
      </c>
      <c r="Z52">
        <f t="shared" si="6"/>
        <v>0</v>
      </c>
      <c r="AA52">
        <f t="shared" si="8"/>
        <v>0</v>
      </c>
    </row>
    <row r="53" spans="2:27" ht="15.75" customHeight="1" x14ac:dyDescent="0.3">
      <c r="B53" s="21"/>
      <c r="C53" s="21"/>
      <c r="D53" s="21"/>
      <c r="E53" s="22" t="str">
        <f t="shared" si="7"/>
        <v/>
      </c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3" t="str">
        <f>IF($F53="","",IF(OR($B53="",$C53="",$D53=""),"⚠ Compléter Année/Niveau/Session",IF(AND($E53&lt;&gt;"",COUNTIF(D_KEY_DOUBLON,$B53&amp;"|"&amp;$D53&amp;"|"&amp;$E53)&gt;1),"⚠ Doublon",IF(AND($E53&lt;&gt;"",COUNTIF(D_KEY_STATUT,$B53&amp;"|"&amp;$E53&amp;"|P")&gt;0,COUNTIF(D_KEY_STATUT,$B53&amp;"|"&amp;$E53&amp;"|A")&gt;0),"⚠ Statut incohérent",IF(AND($D53="S1",$Y53&lt;&gt;"Parti",COUNTIF(ANNEES_VERROU,$B53)&gt;0,COUNTIF(D_KEY_NIVSES,$B53&amp;"|"&amp;$C53&amp;"|S2")&gt;0,COUNTIF(D_KEY_DOUBLON,$B53&amp;"|S2|"&amp;$E53)=0),"⚠ Départ non confirmé ?",IF(AND($C53&lt;&gt;"",ISNUMBER($I53),OR(VALUE(LEFT($B53,4))-$I53&lt;4+IFERROR(MATCH($C53,LISTE_NIVEAUX,0),99),VALUE(LEFT($B53,4))-$I53&gt;6+IFERROR(MATCH($C53,LISTE_NIVEAUX,0),99))),"⚠ Vérifier niveau",IF(AND(IFERROR(VLOOKUP($C53,TABLE_CYCLE,2,0),3)=2,COUNT($O53:$Q53)&gt;0),"⚠ Tests cycle 3",IF(COUNT($J53:$Q53)&gt;=IF(IFERROR(VLOOKUP($C53,TABLE_CYCLE,2,0),3)=2,5,8),"Complet","Incomplet"))))))))</f>
        <v/>
      </c>
      <c r="S53" s="24"/>
      <c r="T53" s="223" t="str">
        <f t="shared" si="0"/>
        <v/>
      </c>
      <c r="U53" s="224" t="str">
        <f t="shared" si="1"/>
        <v/>
      </c>
      <c r="V53" s="224" t="str">
        <f t="shared" si="2"/>
        <v/>
      </c>
      <c r="W53" s="224" t="str">
        <f t="shared" si="3"/>
        <v/>
      </c>
      <c r="X53" s="224" t="str">
        <f t="shared" si="4"/>
        <v/>
      </c>
      <c r="Y53" s="24" t="str">
        <f t="shared" si="5"/>
        <v/>
      </c>
      <c r="Z53">
        <f t="shared" si="6"/>
        <v>0</v>
      </c>
      <c r="AA53">
        <f t="shared" si="8"/>
        <v>0</v>
      </c>
    </row>
    <row r="54" spans="2:27" ht="15.75" customHeight="1" x14ac:dyDescent="0.3">
      <c r="B54" s="25"/>
      <c r="C54" s="25"/>
      <c r="D54" s="25"/>
      <c r="E54" s="26" t="str">
        <f t="shared" si="7"/>
        <v/>
      </c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3" t="str">
        <f>IF($F54="","",IF(OR($B54="",$C54="",$D54=""),"⚠ Compléter Année/Niveau/Session",IF(AND($E54&lt;&gt;"",COUNTIF(D_KEY_DOUBLON,$B54&amp;"|"&amp;$D54&amp;"|"&amp;$E54)&gt;1),"⚠ Doublon",IF(AND($E54&lt;&gt;"",COUNTIF(D_KEY_STATUT,$B54&amp;"|"&amp;$E54&amp;"|P")&gt;0,COUNTIF(D_KEY_STATUT,$B54&amp;"|"&amp;$E54&amp;"|A")&gt;0),"⚠ Statut incohérent",IF(AND($D54="S1",$Y54&lt;&gt;"Parti",COUNTIF(ANNEES_VERROU,$B54)&gt;0,COUNTIF(D_KEY_NIVSES,$B54&amp;"|"&amp;$C54&amp;"|S2")&gt;0,COUNTIF(D_KEY_DOUBLON,$B54&amp;"|S2|"&amp;$E54)=0),"⚠ Départ non confirmé ?",IF(AND($C54&lt;&gt;"",ISNUMBER($I54),OR(VALUE(LEFT($B54,4))-$I54&lt;4+IFERROR(MATCH($C54,LISTE_NIVEAUX,0),99),VALUE(LEFT($B54,4))-$I54&gt;6+IFERROR(MATCH($C54,LISTE_NIVEAUX,0),99))),"⚠ Vérifier niveau",IF(AND(IFERROR(VLOOKUP($C54,TABLE_CYCLE,2,0),3)=2,COUNT($O54:$Q54)&gt;0),"⚠ Tests cycle 3",IF(COUNT($J54:$Q54)&gt;=IF(IFERROR(VLOOKUP($C54,TABLE_CYCLE,2,0),3)=2,5,8),"Complet","Incomplet"))))))))</f>
        <v/>
      </c>
      <c r="S54" s="24"/>
      <c r="T54" s="223" t="str">
        <f t="shared" si="0"/>
        <v/>
      </c>
      <c r="U54" s="224" t="str">
        <f t="shared" si="1"/>
        <v/>
      </c>
      <c r="V54" s="224" t="str">
        <f t="shared" si="2"/>
        <v/>
      </c>
      <c r="W54" s="224" t="str">
        <f t="shared" si="3"/>
        <v/>
      </c>
      <c r="X54" s="224" t="str">
        <f t="shared" si="4"/>
        <v/>
      </c>
      <c r="Y54" s="24" t="str">
        <f t="shared" si="5"/>
        <v/>
      </c>
      <c r="Z54">
        <f t="shared" si="6"/>
        <v>0</v>
      </c>
      <c r="AA54">
        <f t="shared" si="8"/>
        <v>0</v>
      </c>
    </row>
    <row r="55" spans="2:27" ht="15.75" customHeight="1" x14ac:dyDescent="0.3">
      <c r="B55" s="21"/>
      <c r="C55" s="21"/>
      <c r="D55" s="21"/>
      <c r="E55" s="22" t="str">
        <f t="shared" si="7"/>
        <v/>
      </c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3" t="str">
        <f>IF($F55="","",IF(OR($B55="",$C55="",$D55=""),"⚠ Compléter Année/Niveau/Session",IF(AND($E55&lt;&gt;"",COUNTIF(D_KEY_DOUBLON,$B55&amp;"|"&amp;$D55&amp;"|"&amp;$E55)&gt;1),"⚠ Doublon",IF(AND($E55&lt;&gt;"",COUNTIF(D_KEY_STATUT,$B55&amp;"|"&amp;$E55&amp;"|P")&gt;0,COUNTIF(D_KEY_STATUT,$B55&amp;"|"&amp;$E55&amp;"|A")&gt;0),"⚠ Statut incohérent",IF(AND($D55="S1",$Y55&lt;&gt;"Parti",COUNTIF(ANNEES_VERROU,$B55)&gt;0,COUNTIF(D_KEY_NIVSES,$B55&amp;"|"&amp;$C55&amp;"|S2")&gt;0,COUNTIF(D_KEY_DOUBLON,$B55&amp;"|S2|"&amp;$E55)=0),"⚠ Départ non confirmé ?",IF(AND($C55&lt;&gt;"",ISNUMBER($I55),OR(VALUE(LEFT($B55,4))-$I55&lt;4+IFERROR(MATCH($C55,LISTE_NIVEAUX,0),99),VALUE(LEFT($B55,4))-$I55&gt;6+IFERROR(MATCH($C55,LISTE_NIVEAUX,0),99))),"⚠ Vérifier niveau",IF(AND(IFERROR(VLOOKUP($C55,TABLE_CYCLE,2,0),3)=2,COUNT($O55:$Q55)&gt;0),"⚠ Tests cycle 3",IF(COUNT($J55:$Q55)&gt;=IF(IFERROR(VLOOKUP($C55,TABLE_CYCLE,2,0),3)=2,5,8),"Complet","Incomplet"))))))))</f>
        <v/>
      </c>
      <c r="S55" s="24"/>
      <c r="T55" s="223" t="str">
        <f t="shared" si="0"/>
        <v/>
      </c>
      <c r="U55" s="224" t="str">
        <f t="shared" si="1"/>
        <v/>
      </c>
      <c r="V55" s="224" t="str">
        <f t="shared" si="2"/>
        <v/>
      </c>
      <c r="W55" s="224" t="str">
        <f t="shared" si="3"/>
        <v/>
      </c>
      <c r="X55" s="224" t="str">
        <f t="shared" si="4"/>
        <v/>
      </c>
      <c r="Y55" s="24" t="str">
        <f t="shared" si="5"/>
        <v/>
      </c>
      <c r="Z55">
        <f t="shared" si="6"/>
        <v>0</v>
      </c>
      <c r="AA55">
        <f t="shared" si="8"/>
        <v>0</v>
      </c>
    </row>
    <row r="56" spans="2:27" ht="15.75" customHeight="1" x14ac:dyDescent="0.3">
      <c r="B56" s="25"/>
      <c r="C56" s="25"/>
      <c r="D56" s="25"/>
      <c r="E56" s="26" t="str">
        <f t="shared" si="7"/>
        <v/>
      </c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3" t="str">
        <f>IF($F56="","",IF(OR($B56="",$C56="",$D56=""),"⚠ Compléter Année/Niveau/Session",IF(AND($E56&lt;&gt;"",COUNTIF(D_KEY_DOUBLON,$B56&amp;"|"&amp;$D56&amp;"|"&amp;$E56)&gt;1),"⚠ Doublon",IF(AND($E56&lt;&gt;"",COUNTIF(D_KEY_STATUT,$B56&amp;"|"&amp;$E56&amp;"|P")&gt;0,COUNTIF(D_KEY_STATUT,$B56&amp;"|"&amp;$E56&amp;"|A")&gt;0),"⚠ Statut incohérent",IF(AND($D56="S1",$Y56&lt;&gt;"Parti",COUNTIF(ANNEES_VERROU,$B56)&gt;0,COUNTIF(D_KEY_NIVSES,$B56&amp;"|"&amp;$C56&amp;"|S2")&gt;0,COUNTIF(D_KEY_DOUBLON,$B56&amp;"|S2|"&amp;$E56)=0),"⚠ Départ non confirmé ?",IF(AND($C56&lt;&gt;"",ISNUMBER($I56),OR(VALUE(LEFT($B56,4))-$I56&lt;4+IFERROR(MATCH($C56,LISTE_NIVEAUX,0),99),VALUE(LEFT($B56,4))-$I56&gt;6+IFERROR(MATCH($C56,LISTE_NIVEAUX,0),99))),"⚠ Vérifier niveau",IF(AND(IFERROR(VLOOKUP($C56,TABLE_CYCLE,2,0),3)=2,COUNT($O56:$Q56)&gt;0),"⚠ Tests cycle 3",IF(COUNT($J56:$Q56)&gt;=IF(IFERROR(VLOOKUP($C56,TABLE_CYCLE,2,0),3)=2,5,8),"Complet","Incomplet"))))))))</f>
        <v/>
      </c>
      <c r="S56" s="24"/>
      <c r="T56" s="223" t="str">
        <f t="shared" si="0"/>
        <v/>
      </c>
      <c r="U56" s="224" t="str">
        <f t="shared" si="1"/>
        <v/>
      </c>
      <c r="V56" s="224" t="str">
        <f t="shared" si="2"/>
        <v/>
      </c>
      <c r="W56" s="224" t="str">
        <f t="shared" si="3"/>
        <v/>
      </c>
      <c r="X56" s="224" t="str">
        <f t="shared" si="4"/>
        <v/>
      </c>
      <c r="Y56" s="24" t="str">
        <f t="shared" si="5"/>
        <v/>
      </c>
      <c r="Z56">
        <f t="shared" si="6"/>
        <v>0</v>
      </c>
      <c r="AA56">
        <f t="shared" si="8"/>
        <v>0</v>
      </c>
    </row>
    <row r="57" spans="2:27" ht="15.75" customHeight="1" x14ac:dyDescent="0.3">
      <c r="B57" s="21"/>
      <c r="C57" s="21"/>
      <c r="D57" s="21"/>
      <c r="E57" s="22" t="str">
        <f t="shared" si="7"/>
        <v/>
      </c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3" t="str">
        <f>IF($F57="","",IF(OR($B57="",$C57="",$D57=""),"⚠ Compléter Année/Niveau/Session",IF(AND($E57&lt;&gt;"",COUNTIF(D_KEY_DOUBLON,$B57&amp;"|"&amp;$D57&amp;"|"&amp;$E57)&gt;1),"⚠ Doublon",IF(AND($E57&lt;&gt;"",COUNTIF(D_KEY_STATUT,$B57&amp;"|"&amp;$E57&amp;"|P")&gt;0,COUNTIF(D_KEY_STATUT,$B57&amp;"|"&amp;$E57&amp;"|A")&gt;0),"⚠ Statut incohérent",IF(AND($D57="S1",$Y57&lt;&gt;"Parti",COUNTIF(ANNEES_VERROU,$B57)&gt;0,COUNTIF(D_KEY_NIVSES,$B57&amp;"|"&amp;$C57&amp;"|S2")&gt;0,COUNTIF(D_KEY_DOUBLON,$B57&amp;"|S2|"&amp;$E57)=0),"⚠ Départ non confirmé ?",IF(AND($C57&lt;&gt;"",ISNUMBER($I57),OR(VALUE(LEFT($B57,4))-$I57&lt;4+IFERROR(MATCH($C57,LISTE_NIVEAUX,0),99),VALUE(LEFT($B57,4))-$I57&gt;6+IFERROR(MATCH($C57,LISTE_NIVEAUX,0),99))),"⚠ Vérifier niveau",IF(AND(IFERROR(VLOOKUP($C57,TABLE_CYCLE,2,0),3)=2,COUNT($O57:$Q57)&gt;0),"⚠ Tests cycle 3",IF(COUNT($J57:$Q57)&gt;=IF(IFERROR(VLOOKUP($C57,TABLE_CYCLE,2,0),3)=2,5,8),"Complet","Incomplet"))))))))</f>
        <v/>
      </c>
      <c r="S57" s="24"/>
      <c r="T57" s="223" t="str">
        <f t="shared" si="0"/>
        <v/>
      </c>
      <c r="U57" s="224" t="str">
        <f t="shared" si="1"/>
        <v/>
      </c>
      <c r="V57" s="224" t="str">
        <f t="shared" si="2"/>
        <v/>
      </c>
      <c r="W57" s="224" t="str">
        <f t="shared" si="3"/>
        <v/>
      </c>
      <c r="X57" s="224" t="str">
        <f t="shared" si="4"/>
        <v/>
      </c>
      <c r="Y57" s="24" t="str">
        <f t="shared" si="5"/>
        <v/>
      </c>
      <c r="Z57">
        <f t="shared" si="6"/>
        <v>0</v>
      </c>
      <c r="AA57">
        <f t="shared" si="8"/>
        <v>0</v>
      </c>
    </row>
    <row r="58" spans="2:27" ht="15.75" customHeight="1" x14ac:dyDescent="0.3">
      <c r="B58" s="25"/>
      <c r="C58" s="25"/>
      <c r="D58" s="25"/>
      <c r="E58" s="26" t="str">
        <f t="shared" si="7"/>
        <v/>
      </c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3" t="str">
        <f>IF($F58="","",IF(OR($B58="",$C58="",$D58=""),"⚠ Compléter Année/Niveau/Session",IF(AND($E58&lt;&gt;"",COUNTIF(D_KEY_DOUBLON,$B58&amp;"|"&amp;$D58&amp;"|"&amp;$E58)&gt;1),"⚠ Doublon",IF(AND($E58&lt;&gt;"",COUNTIF(D_KEY_STATUT,$B58&amp;"|"&amp;$E58&amp;"|P")&gt;0,COUNTIF(D_KEY_STATUT,$B58&amp;"|"&amp;$E58&amp;"|A")&gt;0),"⚠ Statut incohérent",IF(AND($D58="S1",$Y58&lt;&gt;"Parti",COUNTIF(ANNEES_VERROU,$B58)&gt;0,COUNTIF(D_KEY_NIVSES,$B58&amp;"|"&amp;$C58&amp;"|S2")&gt;0,COUNTIF(D_KEY_DOUBLON,$B58&amp;"|S2|"&amp;$E58)=0),"⚠ Départ non confirmé ?",IF(AND($C58&lt;&gt;"",ISNUMBER($I58),OR(VALUE(LEFT($B58,4))-$I58&lt;4+IFERROR(MATCH($C58,LISTE_NIVEAUX,0),99),VALUE(LEFT($B58,4))-$I58&gt;6+IFERROR(MATCH($C58,LISTE_NIVEAUX,0),99))),"⚠ Vérifier niveau",IF(AND(IFERROR(VLOOKUP($C58,TABLE_CYCLE,2,0),3)=2,COUNT($O58:$Q58)&gt;0),"⚠ Tests cycle 3",IF(COUNT($J58:$Q58)&gt;=IF(IFERROR(VLOOKUP($C58,TABLE_CYCLE,2,0),3)=2,5,8),"Complet","Incomplet"))))))))</f>
        <v/>
      </c>
      <c r="S58" s="24"/>
      <c r="T58" s="223" t="str">
        <f t="shared" si="0"/>
        <v/>
      </c>
      <c r="U58" s="224" t="str">
        <f t="shared" si="1"/>
        <v/>
      </c>
      <c r="V58" s="224" t="str">
        <f t="shared" si="2"/>
        <v/>
      </c>
      <c r="W58" s="224" t="str">
        <f t="shared" si="3"/>
        <v/>
      </c>
      <c r="X58" s="224" t="str">
        <f t="shared" si="4"/>
        <v/>
      </c>
      <c r="Y58" s="24" t="str">
        <f t="shared" si="5"/>
        <v/>
      </c>
      <c r="Z58">
        <f t="shared" si="6"/>
        <v>0</v>
      </c>
      <c r="AA58">
        <f t="shared" si="8"/>
        <v>0</v>
      </c>
    </row>
    <row r="59" spans="2:27" ht="15.75" customHeight="1" x14ac:dyDescent="0.3">
      <c r="B59" s="21"/>
      <c r="C59" s="21"/>
      <c r="D59" s="21"/>
      <c r="E59" s="22" t="str">
        <f t="shared" si="7"/>
        <v/>
      </c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3" t="str">
        <f>IF($F59="","",IF(OR($B59="",$C59="",$D59=""),"⚠ Compléter Année/Niveau/Session",IF(AND($E59&lt;&gt;"",COUNTIF(D_KEY_DOUBLON,$B59&amp;"|"&amp;$D59&amp;"|"&amp;$E59)&gt;1),"⚠ Doublon",IF(AND($E59&lt;&gt;"",COUNTIF(D_KEY_STATUT,$B59&amp;"|"&amp;$E59&amp;"|P")&gt;0,COUNTIF(D_KEY_STATUT,$B59&amp;"|"&amp;$E59&amp;"|A")&gt;0),"⚠ Statut incohérent",IF(AND($D59="S1",$Y59&lt;&gt;"Parti",COUNTIF(ANNEES_VERROU,$B59)&gt;0,COUNTIF(D_KEY_NIVSES,$B59&amp;"|"&amp;$C59&amp;"|S2")&gt;0,COUNTIF(D_KEY_DOUBLON,$B59&amp;"|S2|"&amp;$E59)=0),"⚠ Départ non confirmé ?",IF(AND($C59&lt;&gt;"",ISNUMBER($I59),OR(VALUE(LEFT($B59,4))-$I59&lt;4+IFERROR(MATCH($C59,LISTE_NIVEAUX,0),99),VALUE(LEFT($B59,4))-$I59&gt;6+IFERROR(MATCH($C59,LISTE_NIVEAUX,0),99))),"⚠ Vérifier niveau",IF(AND(IFERROR(VLOOKUP($C59,TABLE_CYCLE,2,0),3)=2,COUNT($O59:$Q59)&gt;0),"⚠ Tests cycle 3",IF(COUNT($J59:$Q59)&gt;=IF(IFERROR(VLOOKUP($C59,TABLE_CYCLE,2,0),3)=2,5,8),"Complet","Incomplet"))))))))</f>
        <v/>
      </c>
      <c r="S59" s="24"/>
      <c r="T59" s="223" t="str">
        <f t="shared" si="0"/>
        <v/>
      </c>
      <c r="U59" s="224" t="str">
        <f t="shared" si="1"/>
        <v/>
      </c>
      <c r="V59" s="224" t="str">
        <f t="shared" si="2"/>
        <v/>
      </c>
      <c r="W59" s="224" t="str">
        <f t="shared" si="3"/>
        <v/>
      </c>
      <c r="X59" s="224" t="str">
        <f t="shared" si="4"/>
        <v/>
      </c>
      <c r="Y59" s="24" t="str">
        <f t="shared" si="5"/>
        <v/>
      </c>
      <c r="Z59">
        <f t="shared" si="6"/>
        <v>0</v>
      </c>
      <c r="AA59">
        <f t="shared" si="8"/>
        <v>0</v>
      </c>
    </row>
    <row r="60" spans="2:27" ht="15.75" customHeight="1" x14ac:dyDescent="0.3">
      <c r="B60" s="25"/>
      <c r="C60" s="25"/>
      <c r="D60" s="25"/>
      <c r="E60" s="26" t="str">
        <f t="shared" si="7"/>
        <v/>
      </c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3" t="str">
        <f>IF($F60="","",IF(OR($B60="",$C60="",$D60=""),"⚠ Compléter Année/Niveau/Session",IF(AND($E60&lt;&gt;"",COUNTIF(D_KEY_DOUBLON,$B60&amp;"|"&amp;$D60&amp;"|"&amp;$E60)&gt;1),"⚠ Doublon",IF(AND($E60&lt;&gt;"",COUNTIF(D_KEY_STATUT,$B60&amp;"|"&amp;$E60&amp;"|P")&gt;0,COUNTIF(D_KEY_STATUT,$B60&amp;"|"&amp;$E60&amp;"|A")&gt;0),"⚠ Statut incohérent",IF(AND($D60="S1",$Y60&lt;&gt;"Parti",COUNTIF(ANNEES_VERROU,$B60)&gt;0,COUNTIF(D_KEY_NIVSES,$B60&amp;"|"&amp;$C60&amp;"|S2")&gt;0,COUNTIF(D_KEY_DOUBLON,$B60&amp;"|S2|"&amp;$E60)=0),"⚠ Départ non confirmé ?",IF(AND($C60&lt;&gt;"",ISNUMBER($I60),OR(VALUE(LEFT($B60,4))-$I60&lt;4+IFERROR(MATCH($C60,LISTE_NIVEAUX,0),99),VALUE(LEFT($B60,4))-$I60&gt;6+IFERROR(MATCH($C60,LISTE_NIVEAUX,0),99))),"⚠ Vérifier niveau",IF(AND(IFERROR(VLOOKUP($C60,TABLE_CYCLE,2,0),3)=2,COUNT($O60:$Q60)&gt;0),"⚠ Tests cycle 3",IF(COUNT($J60:$Q60)&gt;=IF(IFERROR(VLOOKUP($C60,TABLE_CYCLE,2,0),3)=2,5,8),"Complet","Incomplet"))))))))</f>
        <v/>
      </c>
      <c r="S60" s="24"/>
      <c r="T60" s="223" t="str">
        <f t="shared" si="0"/>
        <v/>
      </c>
      <c r="U60" s="224" t="str">
        <f t="shared" si="1"/>
        <v/>
      </c>
      <c r="V60" s="224" t="str">
        <f t="shared" si="2"/>
        <v/>
      </c>
      <c r="W60" s="224" t="str">
        <f t="shared" si="3"/>
        <v/>
      </c>
      <c r="X60" s="224" t="str">
        <f t="shared" si="4"/>
        <v/>
      </c>
      <c r="Y60" s="24" t="str">
        <f t="shared" si="5"/>
        <v/>
      </c>
      <c r="Z60">
        <f t="shared" si="6"/>
        <v>0</v>
      </c>
      <c r="AA60">
        <f t="shared" si="8"/>
        <v>0</v>
      </c>
    </row>
    <row r="61" spans="2:27" ht="15.75" customHeight="1" x14ac:dyDescent="0.3">
      <c r="B61" s="21"/>
      <c r="C61" s="21"/>
      <c r="D61" s="21"/>
      <c r="E61" s="22" t="str">
        <f t="shared" si="7"/>
        <v/>
      </c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3" t="str">
        <f>IF($F61="","",IF(OR($B61="",$C61="",$D61=""),"⚠ Compléter Année/Niveau/Session",IF(AND($E61&lt;&gt;"",COUNTIF(D_KEY_DOUBLON,$B61&amp;"|"&amp;$D61&amp;"|"&amp;$E61)&gt;1),"⚠ Doublon",IF(AND($E61&lt;&gt;"",COUNTIF(D_KEY_STATUT,$B61&amp;"|"&amp;$E61&amp;"|P")&gt;0,COUNTIF(D_KEY_STATUT,$B61&amp;"|"&amp;$E61&amp;"|A")&gt;0),"⚠ Statut incohérent",IF(AND($D61="S1",$Y61&lt;&gt;"Parti",COUNTIF(ANNEES_VERROU,$B61)&gt;0,COUNTIF(D_KEY_NIVSES,$B61&amp;"|"&amp;$C61&amp;"|S2")&gt;0,COUNTIF(D_KEY_DOUBLON,$B61&amp;"|S2|"&amp;$E61)=0),"⚠ Départ non confirmé ?",IF(AND($C61&lt;&gt;"",ISNUMBER($I61),OR(VALUE(LEFT($B61,4))-$I61&lt;4+IFERROR(MATCH($C61,LISTE_NIVEAUX,0),99),VALUE(LEFT($B61,4))-$I61&gt;6+IFERROR(MATCH($C61,LISTE_NIVEAUX,0),99))),"⚠ Vérifier niveau",IF(AND(IFERROR(VLOOKUP($C61,TABLE_CYCLE,2,0),3)=2,COUNT($O61:$Q61)&gt;0),"⚠ Tests cycle 3",IF(COUNT($J61:$Q61)&gt;=IF(IFERROR(VLOOKUP($C61,TABLE_CYCLE,2,0),3)=2,5,8),"Complet","Incomplet"))))))))</f>
        <v/>
      </c>
      <c r="S61" s="24"/>
      <c r="T61" s="223" t="str">
        <f t="shared" si="0"/>
        <v/>
      </c>
      <c r="U61" s="224" t="str">
        <f t="shared" si="1"/>
        <v/>
      </c>
      <c r="V61" s="224" t="str">
        <f t="shared" si="2"/>
        <v/>
      </c>
      <c r="W61" s="224" t="str">
        <f t="shared" si="3"/>
        <v/>
      </c>
      <c r="X61" s="224" t="str">
        <f t="shared" si="4"/>
        <v/>
      </c>
      <c r="Y61" s="24" t="str">
        <f t="shared" si="5"/>
        <v/>
      </c>
      <c r="Z61">
        <f t="shared" si="6"/>
        <v>0</v>
      </c>
      <c r="AA61">
        <f t="shared" si="8"/>
        <v>0</v>
      </c>
    </row>
    <row r="62" spans="2:27" ht="15.75" customHeight="1" x14ac:dyDescent="0.3">
      <c r="B62" s="25"/>
      <c r="C62" s="25"/>
      <c r="D62" s="25"/>
      <c r="E62" s="26" t="str">
        <f t="shared" si="7"/>
        <v/>
      </c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3" t="str">
        <f>IF($F62="","",IF(OR($B62="",$C62="",$D62=""),"⚠ Compléter Année/Niveau/Session",IF(AND($E62&lt;&gt;"",COUNTIF(D_KEY_DOUBLON,$B62&amp;"|"&amp;$D62&amp;"|"&amp;$E62)&gt;1),"⚠ Doublon",IF(AND($E62&lt;&gt;"",COUNTIF(D_KEY_STATUT,$B62&amp;"|"&amp;$E62&amp;"|P")&gt;0,COUNTIF(D_KEY_STATUT,$B62&amp;"|"&amp;$E62&amp;"|A")&gt;0),"⚠ Statut incohérent",IF(AND($D62="S1",$Y62&lt;&gt;"Parti",COUNTIF(ANNEES_VERROU,$B62)&gt;0,COUNTIF(D_KEY_NIVSES,$B62&amp;"|"&amp;$C62&amp;"|S2")&gt;0,COUNTIF(D_KEY_DOUBLON,$B62&amp;"|S2|"&amp;$E62)=0),"⚠ Départ non confirmé ?",IF(AND($C62&lt;&gt;"",ISNUMBER($I62),OR(VALUE(LEFT($B62,4))-$I62&lt;4+IFERROR(MATCH($C62,LISTE_NIVEAUX,0),99),VALUE(LEFT($B62,4))-$I62&gt;6+IFERROR(MATCH($C62,LISTE_NIVEAUX,0),99))),"⚠ Vérifier niveau",IF(AND(IFERROR(VLOOKUP($C62,TABLE_CYCLE,2,0),3)=2,COUNT($O62:$Q62)&gt;0),"⚠ Tests cycle 3",IF(COUNT($J62:$Q62)&gt;=IF(IFERROR(VLOOKUP($C62,TABLE_CYCLE,2,0),3)=2,5,8),"Complet","Incomplet"))))))))</f>
        <v/>
      </c>
      <c r="S62" s="24"/>
      <c r="T62" s="223" t="str">
        <f t="shared" si="0"/>
        <v/>
      </c>
      <c r="U62" s="224" t="str">
        <f t="shared" si="1"/>
        <v/>
      </c>
      <c r="V62" s="224" t="str">
        <f t="shared" si="2"/>
        <v/>
      </c>
      <c r="W62" s="224" t="str">
        <f t="shared" si="3"/>
        <v/>
      </c>
      <c r="X62" s="224" t="str">
        <f t="shared" si="4"/>
        <v/>
      </c>
      <c r="Y62" s="24" t="str">
        <f t="shared" si="5"/>
        <v/>
      </c>
      <c r="Z62">
        <f t="shared" si="6"/>
        <v>0</v>
      </c>
      <c r="AA62">
        <f t="shared" si="8"/>
        <v>0</v>
      </c>
    </row>
    <row r="63" spans="2:27" ht="15.75" customHeight="1" x14ac:dyDescent="0.3">
      <c r="B63" s="21"/>
      <c r="C63" s="21"/>
      <c r="D63" s="21"/>
      <c r="E63" s="22" t="str">
        <f t="shared" si="7"/>
        <v/>
      </c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3" t="str">
        <f>IF($F63="","",IF(OR($B63="",$C63="",$D63=""),"⚠ Compléter Année/Niveau/Session",IF(AND($E63&lt;&gt;"",COUNTIF(D_KEY_DOUBLON,$B63&amp;"|"&amp;$D63&amp;"|"&amp;$E63)&gt;1),"⚠ Doublon",IF(AND($E63&lt;&gt;"",COUNTIF(D_KEY_STATUT,$B63&amp;"|"&amp;$E63&amp;"|P")&gt;0,COUNTIF(D_KEY_STATUT,$B63&amp;"|"&amp;$E63&amp;"|A")&gt;0),"⚠ Statut incohérent",IF(AND($D63="S1",$Y63&lt;&gt;"Parti",COUNTIF(ANNEES_VERROU,$B63)&gt;0,COUNTIF(D_KEY_NIVSES,$B63&amp;"|"&amp;$C63&amp;"|S2")&gt;0,COUNTIF(D_KEY_DOUBLON,$B63&amp;"|S2|"&amp;$E63)=0),"⚠ Départ non confirmé ?",IF(AND($C63&lt;&gt;"",ISNUMBER($I63),OR(VALUE(LEFT($B63,4))-$I63&lt;4+IFERROR(MATCH($C63,LISTE_NIVEAUX,0),99),VALUE(LEFT($B63,4))-$I63&gt;6+IFERROR(MATCH($C63,LISTE_NIVEAUX,0),99))),"⚠ Vérifier niveau",IF(AND(IFERROR(VLOOKUP($C63,TABLE_CYCLE,2,0),3)=2,COUNT($O63:$Q63)&gt;0),"⚠ Tests cycle 3",IF(COUNT($J63:$Q63)&gt;=IF(IFERROR(VLOOKUP($C63,TABLE_CYCLE,2,0),3)=2,5,8),"Complet","Incomplet"))))))))</f>
        <v/>
      </c>
      <c r="S63" s="24"/>
      <c r="T63" s="223" t="str">
        <f t="shared" si="0"/>
        <v/>
      </c>
      <c r="U63" s="224" t="str">
        <f t="shared" si="1"/>
        <v/>
      </c>
      <c r="V63" s="224" t="str">
        <f t="shared" si="2"/>
        <v/>
      </c>
      <c r="W63" s="224" t="str">
        <f t="shared" si="3"/>
        <v/>
      </c>
      <c r="X63" s="224" t="str">
        <f t="shared" si="4"/>
        <v/>
      </c>
      <c r="Y63" s="24" t="str">
        <f t="shared" si="5"/>
        <v/>
      </c>
      <c r="Z63">
        <f t="shared" si="6"/>
        <v>0</v>
      </c>
      <c r="AA63">
        <f t="shared" si="8"/>
        <v>0</v>
      </c>
    </row>
    <row r="64" spans="2:27" ht="15.75" customHeight="1" x14ac:dyDescent="0.3">
      <c r="B64" s="25"/>
      <c r="C64" s="25"/>
      <c r="D64" s="25"/>
      <c r="E64" s="26" t="str">
        <f t="shared" si="7"/>
        <v/>
      </c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3" t="str">
        <f>IF($F64="","",IF(OR($B64="",$C64="",$D64=""),"⚠ Compléter Année/Niveau/Session",IF(AND($E64&lt;&gt;"",COUNTIF(D_KEY_DOUBLON,$B64&amp;"|"&amp;$D64&amp;"|"&amp;$E64)&gt;1),"⚠ Doublon",IF(AND($E64&lt;&gt;"",COUNTIF(D_KEY_STATUT,$B64&amp;"|"&amp;$E64&amp;"|P")&gt;0,COUNTIF(D_KEY_STATUT,$B64&amp;"|"&amp;$E64&amp;"|A")&gt;0),"⚠ Statut incohérent",IF(AND($D64="S1",$Y64&lt;&gt;"Parti",COUNTIF(ANNEES_VERROU,$B64)&gt;0,COUNTIF(D_KEY_NIVSES,$B64&amp;"|"&amp;$C64&amp;"|S2")&gt;0,COUNTIF(D_KEY_DOUBLON,$B64&amp;"|S2|"&amp;$E64)=0),"⚠ Départ non confirmé ?",IF(AND($C64&lt;&gt;"",ISNUMBER($I64),OR(VALUE(LEFT($B64,4))-$I64&lt;4+IFERROR(MATCH($C64,LISTE_NIVEAUX,0),99),VALUE(LEFT($B64,4))-$I64&gt;6+IFERROR(MATCH($C64,LISTE_NIVEAUX,0),99))),"⚠ Vérifier niveau",IF(AND(IFERROR(VLOOKUP($C64,TABLE_CYCLE,2,0),3)=2,COUNT($O64:$Q64)&gt;0),"⚠ Tests cycle 3",IF(COUNT($J64:$Q64)&gt;=IF(IFERROR(VLOOKUP($C64,TABLE_CYCLE,2,0),3)=2,5,8),"Complet","Incomplet"))))))))</f>
        <v/>
      </c>
      <c r="S64" s="24"/>
      <c r="T64" s="223" t="str">
        <f t="shared" si="0"/>
        <v/>
      </c>
      <c r="U64" s="224" t="str">
        <f t="shared" si="1"/>
        <v/>
      </c>
      <c r="V64" s="224" t="str">
        <f t="shared" si="2"/>
        <v/>
      </c>
      <c r="W64" s="224" t="str">
        <f t="shared" si="3"/>
        <v/>
      </c>
      <c r="X64" s="224" t="str">
        <f t="shared" si="4"/>
        <v/>
      </c>
      <c r="Y64" s="24" t="str">
        <f t="shared" si="5"/>
        <v/>
      </c>
      <c r="Z64">
        <f t="shared" si="6"/>
        <v>0</v>
      </c>
      <c r="AA64">
        <f t="shared" si="8"/>
        <v>0</v>
      </c>
    </row>
    <row r="65" spans="2:27" ht="15.75" customHeight="1" x14ac:dyDescent="0.3">
      <c r="B65" s="21"/>
      <c r="C65" s="21"/>
      <c r="D65" s="21"/>
      <c r="E65" s="22" t="str">
        <f t="shared" si="7"/>
        <v/>
      </c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3" t="str">
        <f>IF($F65="","",IF(OR($B65="",$C65="",$D65=""),"⚠ Compléter Année/Niveau/Session",IF(AND($E65&lt;&gt;"",COUNTIF(D_KEY_DOUBLON,$B65&amp;"|"&amp;$D65&amp;"|"&amp;$E65)&gt;1),"⚠ Doublon",IF(AND($E65&lt;&gt;"",COUNTIF(D_KEY_STATUT,$B65&amp;"|"&amp;$E65&amp;"|P")&gt;0,COUNTIF(D_KEY_STATUT,$B65&amp;"|"&amp;$E65&amp;"|A")&gt;0),"⚠ Statut incohérent",IF(AND($D65="S1",$Y65&lt;&gt;"Parti",COUNTIF(ANNEES_VERROU,$B65)&gt;0,COUNTIF(D_KEY_NIVSES,$B65&amp;"|"&amp;$C65&amp;"|S2")&gt;0,COUNTIF(D_KEY_DOUBLON,$B65&amp;"|S2|"&amp;$E65)=0),"⚠ Départ non confirmé ?",IF(AND($C65&lt;&gt;"",ISNUMBER($I65),OR(VALUE(LEFT($B65,4))-$I65&lt;4+IFERROR(MATCH($C65,LISTE_NIVEAUX,0),99),VALUE(LEFT($B65,4))-$I65&gt;6+IFERROR(MATCH($C65,LISTE_NIVEAUX,0),99))),"⚠ Vérifier niveau",IF(AND(IFERROR(VLOOKUP($C65,TABLE_CYCLE,2,0),3)=2,COUNT($O65:$Q65)&gt;0),"⚠ Tests cycle 3",IF(COUNT($J65:$Q65)&gt;=IF(IFERROR(VLOOKUP($C65,TABLE_CYCLE,2,0),3)=2,5,8),"Complet","Incomplet"))))))))</f>
        <v/>
      </c>
      <c r="S65" s="24"/>
      <c r="T65" s="223" t="str">
        <f t="shared" si="0"/>
        <v/>
      </c>
      <c r="U65" s="224" t="str">
        <f t="shared" si="1"/>
        <v/>
      </c>
      <c r="V65" s="224" t="str">
        <f t="shared" si="2"/>
        <v/>
      </c>
      <c r="W65" s="224" t="str">
        <f t="shared" si="3"/>
        <v/>
      </c>
      <c r="X65" s="224" t="str">
        <f t="shared" si="4"/>
        <v/>
      </c>
      <c r="Y65" s="24" t="str">
        <f t="shared" si="5"/>
        <v/>
      </c>
      <c r="Z65">
        <f t="shared" si="6"/>
        <v>0</v>
      </c>
      <c r="AA65">
        <f t="shared" si="8"/>
        <v>0</v>
      </c>
    </row>
    <row r="66" spans="2:27" ht="15.75" customHeight="1" x14ac:dyDescent="0.3">
      <c r="B66" s="25"/>
      <c r="C66" s="25"/>
      <c r="D66" s="25"/>
      <c r="E66" s="26" t="str">
        <f t="shared" si="7"/>
        <v/>
      </c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3" t="str">
        <f>IF($F66="","",IF(OR($B66="",$C66="",$D66=""),"⚠ Compléter Année/Niveau/Session",IF(AND($E66&lt;&gt;"",COUNTIF(D_KEY_DOUBLON,$B66&amp;"|"&amp;$D66&amp;"|"&amp;$E66)&gt;1),"⚠ Doublon",IF(AND($E66&lt;&gt;"",COUNTIF(D_KEY_STATUT,$B66&amp;"|"&amp;$E66&amp;"|P")&gt;0,COUNTIF(D_KEY_STATUT,$B66&amp;"|"&amp;$E66&amp;"|A")&gt;0),"⚠ Statut incohérent",IF(AND($D66="S1",$Y66&lt;&gt;"Parti",COUNTIF(ANNEES_VERROU,$B66)&gt;0,COUNTIF(D_KEY_NIVSES,$B66&amp;"|"&amp;$C66&amp;"|S2")&gt;0,COUNTIF(D_KEY_DOUBLON,$B66&amp;"|S2|"&amp;$E66)=0),"⚠ Départ non confirmé ?",IF(AND($C66&lt;&gt;"",ISNUMBER($I66),OR(VALUE(LEFT($B66,4))-$I66&lt;4+IFERROR(MATCH($C66,LISTE_NIVEAUX,0),99),VALUE(LEFT($B66,4))-$I66&gt;6+IFERROR(MATCH($C66,LISTE_NIVEAUX,0),99))),"⚠ Vérifier niveau",IF(AND(IFERROR(VLOOKUP($C66,TABLE_CYCLE,2,0),3)=2,COUNT($O66:$Q66)&gt;0),"⚠ Tests cycle 3",IF(COUNT($J66:$Q66)&gt;=IF(IFERROR(VLOOKUP($C66,TABLE_CYCLE,2,0),3)=2,5,8),"Complet","Incomplet"))))))))</f>
        <v/>
      </c>
      <c r="S66" s="24"/>
      <c r="T66" s="223" t="str">
        <f t="shared" si="0"/>
        <v/>
      </c>
      <c r="U66" s="224" t="str">
        <f t="shared" si="1"/>
        <v/>
      </c>
      <c r="V66" s="224" t="str">
        <f t="shared" si="2"/>
        <v/>
      </c>
      <c r="W66" s="224" t="str">
        <f t="shared" si="3"/>
        <v/>
      </c>
      <c r="X66" s="224" t="str">
        <f t="shared" si="4"/>
        <v/>
      </c>
      <c r="Y66" s="24" t="str">
        <f t="shared" si="5"/>
        <v/>
      </c>
      <c r="Z66">
        <f t="shared" si="6"/>
        <v>0</v>
      </c>
      <c r="AA66">
        <f t="shared" si="8"/>
        <v>0</v>
      </c>
    </row>
    <row r="67" spans="2:27" ht="15.75" customHeight="1" x14ac:dyDescent="0.3">
      <c r="B67" s="21"/>
      <c r="C67" s="21"/>
      <c r="D67" s="21"/>
      <c r="E67" s="22" t="str">
        <f t="shared" si="7"/>
        <v/>
      </c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3" t="str">
        <f>IF($F67="","",IF(OR($B67="",$C67="",$D67=""),"⚠ Compléter Année/Niveau/Session",IF(AND($E67&lt;&gt;"",COUNTIF(D_KEY_DOUBLON,$B67&amp;"|"&amp;$D67&amp;"|"&amp;$E67)&gt;1),"⚠ Doublon",IF(AND($E67&lt;&gt;"",COUNTIF(D_KEY_STATUT,$B67&amp;"|"&amp;$E67&amp;"|P")&gt;0,COUNTIF(D_KEY_STATUT,$B67&amp;"|"&amp;$E67&amp;"|A")&gt;0),"⚠ Statut incohérent",IF(AND($D67="S1",$Y67&lt;&gt;"Parti",COUNTIF(ANNEES_VERROU,$B67)&gt;0,COUNTIF(D_KEY_NIVSES,$B67&amp;"|"&amp;$C67&amp;"|S2")&gt;0,COUNTIF(D_KEY_DOUBLON,$B67&amp;"|S2|"&amp;$E67)=0),"⚠ Départ non confirmé ?",IF(AND($C67&lt;&gt;"",ISNUMBER($I67),OR(VALUE(LEFT($B67,4))-$I67&lt;4+IFERROR(MATCH($C67,LISTE_NIVEAUX,0),99),VALUE(LEFT($B67,4))-$I67&gt;6+IFERROR(MATCH($C67,LISTE_NIVEAUX,0),99))),"⚠ Vérifier niveau",IF(AND(IFERROR(VLOOKUP($C67,TABLE_CYCLE,2,0),3)=2,COUNT($O67:$Q67)&gt;0),"⚠ Tests cycle 3",IF(COUNT($J67:$Q67)&gt;=IF(IFERROR(VLOOKUP($C67,TABLE_CYCLE,2,0),3)=2,5,8),"Complet","Incomplet"))))))))</f>
        <v/>
      </c>
      <c r="S67" s="24"/>
      <c r="T67" s="67" t="str">
        <f t="shared" si="0"/>
        <v/>
      </c>
      <c r="U67" s="67" t="str">
        <f t="shared" si="1"/>
        <v/>
      </c>
      <c r="V67" s="67" t="str">
        <f t="shared" si="2"/>
        <v/>
      </c>
      <c r="W67" s="67" t="str">
        <f t="shared" si="3"/>
        <v/>
      </c>
      <c r="X67" s="67" t="str">
        <f t="shared" si="4"/>
        <v/>
      </c>
      <c r="Y67" s="24" t="str">
        <f t="shared" si="5"/>
        <v/>
      </c>
      <c r="Z67">
        <f t="shared" si="6"/>
        <v>0</v>
      </c>
      <c r="AA67">
        <f t="shared" si="8"/>
        <v>0</v>
      </c>
    </row>
    <row r="68" spans="2:27" ht="15.75" customHeight="1" x14ac:dyDescent="0.3">
      <c r="B68" s="25"/>
      <c r="C68" s="25"/>
      <c r="D68" s="25"/>
      <c r="E68" s="26" t="str">
        <f t="shared" si="7"/>
        <v/>
      </c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3" t="str">
        <f>IF($F68="","",IF(OR($B68="",$C68="",$D68=""),"⚠ Compléter Année/Niveau/Session",IF(AND($E68&lt;&gt;"",COUNTIF(D_KEY_DOUBLON,$B68&amp;"|"&amp;$D68&amp;"|"&amp;$E68)&gt;1),"⚠ Doublon",IF(AND($E68&lt;&gt;"",COUNTIF(D_KEY_STATUT,$B68&amp;"|"&amp;$E68&amp;"|P")&gt;0,COUNTIF(D_KEY_STATUT,$B68&amp;"|"&amp;$E68&amp;"|A")&gt;0),"⚠ Statut incohérent",IF(AND($D68="S1",$Y68&lt;&gt;"Parti",COUNTIF(ANNEES_VERROU,$B68)&gt;0,COUNTIF(D_KEY_NIVSES,$B68&amp;"|"&amp;$C68&amp;"|S2")&gt;0,COUNTIF(D_KEY_DOUBLON,$B68&amp;"|S2|"&amp;$E68)=0),"⚠ Départ non confirmé ?",IF(AND($C68&lt;&gt;"",ISNUMBER($I68),OR(VALUE(LEFT($B68,4))-$I68&lt;4+IFERROR(MATCH($C68,LISTE_NIVEAUX,0),99),VALUE(LEFT($B68,4))-$I68&gt;6+IFERROR(MATCH($C68,LISTE_NIVEAUX,0),99))),"⚠ Vérifier niveau",IF(AND(IFERROR(VLOOKUP($C68,TABLE_CYCLE,2,0),3)=2,COUNT($O68:$Q68)&gt;0),"⚠ Tests cycle 3",IF(COUNT($J68:$Q68)&gt;=IF(IFERROR(VLOOKUP($C68,TABLE_CYCLE,2,0),3)=2,5,8),"Complet","Incomplet"))))))))</f>
        <v/>
      </c>
      <c r="S68" s="24"/>
      <c r="T68" s="67" t="str">
        <f t="shared" si="0"/>
        <v/>
      </c>
      <c r="U68" s="67" t="str">
        <f t="shared" si="1"/>
        <v/>
      </c>
      <c r="V68" s="67" t="str">
        <f t="shared" si="2"/>
        <v/>
      </c>
      <c r="W68" s="67" t="str">
        <f t="shared" si="3"/>
        <v/>
      </c>
      <c r="X68" s="67" t="str">
        <f t="shared" si="4"/>
        <v/>
      </c>
      <c r="Y68" s="24" t="str">
        <f t="shared" si="5"/>
        <v/>
      </c>
      <c r="Z68">
        <f t="shared" si="6"/>
        <v>0</v>
      </c>
      <c r="AA68">
        <f t="shared" si="8"/>
        <v>0</v>
      </c>
    </row>
    <row r="69" spans="2:27" ht="15.75" customHeight="1" x14ac:dyDescent="0.3">
      <c r="B69" s="21"/>
      <c r="C69" s="21"/>
      <c r="D69" s="21"/>
      <c r="E69" s="22" t="str">
        <f t="shared" si="7"/>
        <v/>
      </c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3" t="str">
        <f>IF($F69="","",IF(OR($B69="",$C69="",$D69=""),"⚠ Compléter Année/Niveau/Session",IF(AND($E69&lt;&gt;"",COUNTIF(D_KEY_DOUBLON,$B69&amp;"|"&amp;$D69&amp;"|"&amp;$E69)&gt;1),"⚠ Doublon",IF(AND($E69&lt;&gt;"",COUNTIF(D_KEY_STATUT,$B69&amp;"|"&amp;$E69&amp;"|P")&gt;0,COUNTIF(D_KEY_STATUT,$B69&amp;"|"&amp;$E69&amp;"|A")&gt;0),"⚠ Statut incohérent",IF(AND($D69="S1",$Y69&lt;&gt;"Parti",COUNTIF(ANNEES_VERROU,$B69)&gt;0,COUNTIF(D_KEY_NIVSES,$B69&amp;"|"&amp;$C69&amp;"|S2")&gt;0,COUNTIF(D_KEY_DOUBLON,$B69&amp;"|S2|"&amp;$E69)=0),"⚠ Départ non confirmé ?",IF(AND($C69&lt;&gt;"",ISNUMBER($I69),OR(VALUE(LEFT($B69,4))-$I69&lt;4+IFERROR(MATCH($C69,LISTE_NIVEAUX,0),99),VALUE(LEFT($B69,4))-$I69&gt;6+IFERROR(MATCH($C69,LISTE_NIVEAUX,0),99))),"⚠ Vérifier niveau",IF(AND(IFERROR(VLOOKUP($C69,TABLE_CYCLE,2,0),3)=2,COUNT($O69:$Q69)&gt;0),"⚠ Tests cycle 3",IF(COUNT($J69:$Q69)&gt;=IF(IFERROR(VLOOKUP($C69,TABLE_CYCLE,2,0),3)=2,5,8),"Complet","Incomplet"))))))))</f>
        <v/>
      </c>
      <c r="S69" s="24"/>
      <c r="T69" s="67" t="str">
        <f t="shared" si="0"/>
        <v/>
      </c>
      <c r="U69" s="67" t="str">
        <f t="shared" si="1"/>
        <v/>
      </c>
      <c r="V69" s="67" t="str">
        <f t="shared" si="2"/>
        <v/>
      </c>
      <c r="W69" s="67" t="str">
        <f t="shared" si="3"/>
        <v/>
      </c>
      <c r="X69" s="67" t="str">
        <f t="shared" si="4"/>
        <v/>
      </c>
      <c r="Y69" s="24" t="str">
        <f t="shared" si="5"/>
        <v/>
      </c>
      <c r="Z69">
        <f t="shared" si="6"/>
        <v>0</v>
      </c>
      <c r="AA69">
        <f t="shared" si="8"/>
        <v>0</v>
      </c>
    </row>
    <row r="70" spans="2:27" ht="15.75" customHeight="1" x14ac:dyDescent="0.3">
      <c r="B70" s="25"/>
      <c r="C70" s="25"/>
      <c r="D70" s="25"/>
      <c r="E70" s="26" t="str">
        <f t="shared" si="7"/>
        <v/>
      </c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3" t="str">
        <f>IF($F70="","",IF(OR($B70="",$C70="",$D70=""),"⚠ Compléter Année/Niveau/Session",IF(AND($E70&lt;&gt;"",COUNTIF(D_KEY_DOUBLON,$B70&amp;"|"&amp;$D70&amp;"|"&amp;$E70)&gt;1),"⚠ Doublon",IF(AND($E70&lt;&gt;"",COUNTIF(D_KEY_STATUT,$B70&amp;"|"&amp;$E70&amp;"|P")&gt;0,COUNTIF(D_KEY_STATUT,$B70&amp;"|"&amp;$E70&amp;"|A")&gt;0),"⚠ Statut incohérent",IF(AND($D70="S1",$Y70&lt;&gt;"Parti",COUNTIF(ANNEES_VERROU,$B70)&gt;0,COUNTIF(D_KEY_NIVSES,$B70&amp;"|"&amp;$C70&amp;"|S2")&gt;0,COUNTIF(D_KEY_DOUBLON,$B70&amp;"|S2|"&amp;$E70)=0),"⚠ Départ non confirmé ?",IF(AND($C70&lt;&gt;"",ISNUMBER($I70),OR(VALUE(LEFT($B70,4))-$I70&lt;4+IFERROR(MATCH($C70,LISTE_NIVEAUX,0),99),VALUE(LEFT($B70,4))-$I70&gt;6+IFERROR(MATCH($C70,LISTE_NIVEAUX,0),99))),"⚠ Vérifier niveau",IF(AND(IFERROR(VLOOKUP($C70,TABLE_CYCLE,2,0),3)=2,COUNT($O70:$Q70)&gt;0),"⚠ Tests cycle 3",IF(COUNT($J70:$Q70)&gt;=IF(IFERROR(VLOOKUP($C70,TABLE_CYCLE,2,0),3)=2,5,8),"Complet","Incomplet"))))))))</f>
        <v/>
      </c>
      <c r="S70" s="24"/>
      <c r="T70" s="67" t="str">
        <f t="shared" si="0"/>
        <v/>
      </c>
      <c r="U70" s="67" t="str">
        <f t="shared" si="1"/>
        <v/>
      </c>
      <c r="V70" s="67" t="str">
        <f t="shared" si="2"/>
        <v/>
      </c>
      <c r="W70" s="67" t="str">
        <f t="shared" si="3"/>
        <v/>
      </c>
      <c r="X70" s="67" t="str">
        <f t="shared" si="4"/>
        <v/>
      </c>
      <c r="Y70" s="24" t="str">
        <f t="shared" si="5"/>
        <v/>
      </c>
      <c r="Z70">
        <f t="shared" si="6"/>
        <v>0</v>
      </c>
      <c r="AA70">
        <f t="shared" si="8"/>
        <v>0</v>
      </c>
    </row>
    <row r="71" spans="2:27" ht="15.75" customHeight="1" x14ac:dyDescent="0.3">
      <c r="B71" s="21"/>
      <c r="C71" s="21"/>
      <c r="D71" s="21"/>
      <c r="E71" s="22" t="str">
        <f t="shared" ref="E71:E134" si="9">IF(OR($F71="",$G71=""),"",IF(ISNUMBER($I71),TEXT($I71-2000,"00")&amp;"_","__")&amp;UPPER(TRIM($F71))&amp;"_"&amp;UPPER(TRIM($G71)))</f>
        <v/>
      </c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3" t="str">
        <f>IF($F71="","",IF(OR($B71="",$C71="",$D71=""),"⚠ Compléter Année/Niveau/Session",IF(AND($E71&lt;&gt;"",COUNTIF(D_KEY_DOUBLON,$B71&amp;"|"&amp;$D71&amp;"|"&amp;$E71)&gt;1),"⚠ Doublon",IF(AND($E71&lt;&gt;"",COUNTIF(D_KEY_STATUT,$B71&amp;"|"&amp;$E71&amp;"|P")&gt;0,COUNTIF(D_KEY_STATUT,$B71&amp;"|"&amp;$E71&amp;"|A")&gt;0),"⚠ Statut incohérent",IF(AND($D71="S1",$Y71&lt;&gt;"Parti",COUNTIF(ANNEES_VERROU,$B71)&gt;0,COUNTIF(D_KEY_NIVSES,$B71&amp;"|"&amp;$C71&amp;"|S2")&gt;0,COUNTIF(D_KEY_DOUBLON,$B71&amp;"|S2|"&amp;$E71)=0),"⚠ Départ non confirmé ?",IF(AND($C71&lt;&gt;"",ISNUMBER($I71),OR(VALUE(LEFT($B71,4))-$I71&lt;4+IFERROR(MATCH($C71,LISTE_NIVEAUX,0),99),VALUE(LEFT($B71,4))-$I71&gt;6+IFERROR(MATCH($C71,LISTE_NIVEAUX,0),99))),"⚠ Vérifier niveau",IF(AND(IFERROR(VLOOKUP($C71,TABLE_CYCLE,2,0),3)=2,COUNT($O71:$Q71)&gt;0),"⚠ Tests cycle 3",IF(COUNT($J71:$Q71)&gt;=IF(IFERROR(VLOOKUP($C71,TABLE_CYCLE,2,0),3)=2,5,8),"Complet","Incomplet"))))))))</f>
        <v/>
      </c>
      <c r="S71" s="24"/>
      <c r="T71" s="67" t="str">
        <f t="shared" ref="T71:T134" si="10">IFERROR(INDEX(D_NOM,MATCH(ROW()-6,D_RANG_RECUP,0)),"")</f>
        <v/>
      </c>
      <c r="U71" s="67" t="str">
        <f t="shared" ref="U71:U134" si="11">IFERROR(INDEX(D_PRENOM,MATCH(ROW()-6,D_RANG_RECUP,0)),"")</f>
        <v/>
      </c>
      <c r="V71" s="67" t="str">
        <f t="shared" ref="V71:V134" si="12">IFERROR(INDEX(D_SEXE,MATCH(ROW()-6,D_RANG_RECUP,0)),"")</f>
        <v/>
      </c>
      <c r="W71" s="67" t="str">
        <f t="shared" ref="W71:W134" si="13">IFERROR(INDEX(D_NAISS,MATCH(ROW()-6,D_RANG_RECUP,0)),"")</f>
        <v/>
      </c>
      <c r="X71" s="67" t="str">
        <f t="shared" ref="X71:X134" si="14">IF($T71="","",IF($X$4="→ Session 2 (même année)",$W$4,IFERROR(INDEX(LISTE_NIVEAUX,MATCH($W$4,LISTE_NIVEAUX,0)+1),"CM2 terminé")))</f>
        <v/>
      </c>
      <c r="Y71" s="24" t="str">
        <f t="shared" ref="Y71:Y134" si="15">IF($S71="","",$S71)</f>
        <v/>
      </c>
      <c r="Z71">
        <f t="shared" ref="Z71:Z134" si="16">SUBTOTAL(103,$F71)*($R71="Complet")</f>
        <v>0</v>
      </c>
      <c r="AA71">
        <f t="shared" ref="AA71:AA134" si="17">IF(OR($F71="",$C71=""),0,IF(COUNTIFS($B$7:$B$1206,$B71,$F$7:$F$1206,$F71,$G$7:$G$1206,$G71,$I$7:$I$1206,$I71,$C$7:$C$1206,"&lt;&gt;"&amp;$C71)&gt;0,1,0))</f>
        <v>0</v>
      </c>
    </row>
    <row r="72" spans="2:27" ht="15.75" customHeight="1" x14ac:dyDescent="0.3">
      <c r="B72" s="25"/>
      <c r="C72" s="25"/>
      <c r="D72" s="25"/>
      <c r="E72" s="26" t="str">
        <f t="shared" si="9"/>
        <v/>
      </c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3" t="str">
        <f>IF($F72="","",IF(OR($B72="",$C72="",$D72=""),"⚠ Compléter Année/Niveau/Session",IF(AND($E72&lt;&gt;"",COUNTIF(D_KEY_DOUBLON,$B72&amp;"|"&amp;$D72&amp;"|"&amp;$E72)&gt;1),"⚠ Doublon",IF(AND($E72&lt;&gt;"",COUNTIF(D_KEY_STATUT,$B72&amp;"|"&amp;$E72&amp;"|P")&gt;0,COUNTIF(D_KEY_STATUT,$B72&amp;"|"&amp;$E72&amp;"|A")&gt;0),"⚠ Statut incohérent",IF(AND($D72="S1",$Y72&lt;&gt;"Parti",COUNTIF(ANNEES_VERROU,$B72)&gt;0,COUNTIF(D_KEY_NIVSES,$B72&amp;"|"&amp;$C72&amp;"|S2")&gt;0,COUNTIF(D_KEY_DOUBLON,$B72&amp;"|S2|"&amp;$E72)=0),"⚠ Départ non confirmé ?",IF(AND($C72&lt;&gt;"",ISNUMBER($I72),OR(VALUE(LEFT($B72,4))-$I72&lt;4+IFERROR(MATCH($C72,LISTE_NIVEAUX,0),99),VALUE(LEFT($B72,4))-$I72&gt;6+IFERROR(MATCH($C72,LISTE_NIVEAUX,0),99))),"⚠ Vérifier niveau",IF(AND(IFERROR(VLOOKUP($C72,TABLE_CYCLE,2,0),3)=2,COUNT($O72:$Q72)&gt;0),"⚠ Tests cycle 3",IF(COUNT($J72:$Q72)&gt;=IF(IFERROR(VLOOKUP($C72,TABLE_CYCLE,2,0),3)=2,5,8),"Complet","Incomplet"))))))))</f>
        <v/>
      </c>
      <c r="S72" s="24"/>
      <c r="T72" s="67" t="str">
        <f t="shared" si="10"/>
        <v/>
      </c>
      <c r="U72" s="67" t="str">
        <f t="shared" si="11"/>
        <v/>
      </c>
      <c r="V72" s="67" t="str">
        <f t="shared" si="12"/>
        <v/>
      </c>
      <c r="W72" s="67" t="str">
        <f t="shared" si="13"/>
        <v/>
      </c>
      <c r="X72" s="67" t="str">
        <f t="shared" si="14"/>
        <v/>
      </c>
      <c r="Y72" s="24" t="str">
        <f t="shared" si="15"/>
        <v/>
      </c>
      <c r="Z72">
        <f t="shared" si="16"/>
        <v>0</v>
      </c>
      <c r="AA72">
        <f t="shared" si="17"/>
        <v>0</v>
      </c>
    </row>
    <row r="73" spans="2:27" ht="15.75" customHeight="1" x14ac:dyDescent="0.3">
      <c r="B73" s="21"/>
      <c r="C73" s="21"/>
      <c r="D73" s="21"/>
      <c r="E73" s="22" t="str">
        <f t="shared" si="9"/>
        <v/>
      </c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3" t="str">
        <f>IF($F73="","",IF(OR($B73="",$C73="",$D73=""),"⚠ Compléter Année/Niveau/Session",IF(AND($E73&lt;&gt;"",COUNTIF(D_KEY_DOUBLON,$B73&amp;"|"&amp;$D73&amp;"|"&amp;$E73)&gt;1),"⚠ Doublon",IF(AND($E73&lt;&gt;"",COUNTIF(D_KEY_STATUT,$B73&amp;"|"&amp;$E73&amp;"|P")&gt;0,COUNTIF(D_KEY_STATUT,$B73&amp;"|"&amp;$E73&amp;"|A")&gt;0),"⚠ Statut incohérent",IF(AND($D73="S1",$Y73&lt;&gt;"Parti",COUNTIF(ANNEES_VERROU,$B73)&gt;0,COUNTIF(D_KEY_NIVSES,$B73&amp;"|"&amp;$C73&amp;"|S2")&gt;0,COUNTIF(D_KEY_DOUBLON,$B73&amp;"|S2|"&amp;$E73)=0),"⚠ Départ non confirmé ?",IF(AND($C73&lt;&gt;"",ISNUMBER($I73),OR(VALUE(LEFT($B73,4))-$I73&lt;4+IFERROR(MATCH($C73,LISTE_NIVEAUX,0),99),VALUE(LEFT($B73,4))-$I73&gt;6+IFERROR(MATCH($C73,LISTE_NIVEAUX,0),99))),"⚠ Vérifier niveau",IF(AND(IFERROR(VLOOKUP($C73,TABLE_CYCLE,2,0),3)=2,COUNT($O73:$Q73)&gt;0),"⚠ Tests cycle 3",IF(COUNT($J73:$Q73)&gt;=IF(IFERROR(VLOOKUP($C73,TABLE_CYCLE,2,0),3)=2,5,8),"Complet","Incomplet"))))))))</f>
        <v/>
      </c>
      <c r="S73" s="24"/>
      <c r="T73" s="67" t="str">
        <f t="shared" si="10"/>
        <v/>
      </c>
      <c r="U73" s="67" t="str">
        <f t="shared" si="11"/>
        <v/>
      </c>
      <c r="V73" s="67" t="str">
        <f t="shared" si="12"/>
        <v/>
      </c>
      <c r="W73" s="67" t="str">
        <f t="shared" si="13"/>
        <v/>
      </c>
      <c r="X73" s="67" t="str">
        <f t="shared" si="14"/>
        <v/>
      </c>
      <c r="Y73" s="24" t="str">
        <f t="shared" si="15"/>
        <v/>
      </c>
      <c r="Z73">
        <f t="shared" si="16"/>
        <v>0</v>
      </c>
      <c r="AA73">
        <f t="shared" si="17"/>
        <v>0</v>
      </c>
    </row>
    <row r="74" spans="2:27" ht="15.75" customHeight="1" x14ac:dyDescent="0.3">
      <c r="B74" s="25"/>
      <c r="C74" s="25"/>
      <c r="D74" s="25"/>
      <c r="E74" s="26" t="str">
        <f t="shared" si="9"/>
        <v/>
      </c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3" t="str">
        <f>IF($F74="","",IF(OR($B74="",$C74="",$D74=""),"⚠ Compléter Année/Niveau/Session",IF(AND($E74&lt;&gt;"",COUNTIF(D_KEY_DOUBLON,$B74&amp;"|"&amp;$D74&amp;"|"&amp;$E74)&gt;1),"⚠ Doublon",IF(AND($E74&lt;&gt;"",COUNTIF(D_KEY_STATUT,$B74&amp;"|"&amp;$E74&amp;"|P")&gt;0,COUNTIF(D_KEY_STATUT,$B74&amp;"|"&amp;$E74&amp;"|A")&gt;0),"⚠ Statut incohérent",IF(AND($D74="S1",$Y74&lt;&gt;"Parti",COUNTIF(ANNEES_VERROU,$B74)&gt;0,COUNTIF(D_KEY_NIVSES,$B74&amp;"|"&amp;$C74&amp;"|S2")&gt;0,COUNTIF(D_KEY_DOUBLON,$B74&amp;"|S2|"&amp;$E74)=0),"⚠ Départ non confirmé ?",IF(AND($C74&lt;&gt;"",ISNUMBER($I74),OR(VALUE(LEFT($B74,4))-$I74&lt;4+IFERROR(MATCH($C74,LISTE_NIVEAUX,0),99),VALUE(LEFT($B74,4))-$I74&gt;6+IFERROR(MATCH($C74,LISTE_NIVEAUX,0),99))),"⚠ Vérifier niveau",IF(AND(IFERROR(VLOOKUP($C74,TABLE_CYCLE,2,0),3)=2,COUNT($O74:$Q74)&gt;0),"⚠ Tests cycle 3",IF(COUNT($J74:$Q74)&gt;=IF(IFERROR(VLOOKUP($C74,TABLE_CYCLE,2,0),3)=2,5,8),"Complet","Incomplet"))))))))</f>
        <v/>
      </c>
      <c r="S74" s="24"/>
      <c r="T74" s="67" t="str">
        <f t="shared" si="10"/>
        <v/>
      </c>
      <c r="U74" s="67" t="str">
        <f t="shared" si="11"/>
        <v/>
      </c>
      <c r="V74" s="67" t="str">
        <f t="shared" si="12"/>
        <v/>
      </c>
      <c r="W74" s="67" t="str">
        <f t="shared" si="13"/>
        <v/>
      </c>
      <c r="X74" s="67" t="str">
        <f t="shared" si="14"/>
        <v/>
      </c>
      <c r="Y74" s="24" t="str">
        <f t="shared" si="15"/>
        <v/>
      </c>
      <c r="Z74">
        <f t="shared" si="16"/>
        <v>0</v>
      </c>
      <c r="AA74">
        <f t="shared" si="17"/>
        <v>0</v>
      </c>
    </row>
    <row r="75" spans="2:27" ht="15.75" customHeight="1" x14ac:dyDescent="0.3">
      <c r="B75" s="21"/>
      <c r="C75" s="21"/>
      <c r="D75" s="21"/>
      <c r="E75" s="22" t="str">
        <f t="shared" si="9"/>
        <v/>
      </c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3" t="str">
        <f>IF($F75="","",IF(OR($B75="",$C75="",$D75=""),"⚠ Compléter Année/Niveau/Session",IF(AND($E75&lt;&gt;"",COUNTIF(D_KEY_DOUBLON,$B75&amp;"|"&amp;$D75&amp;"|"&amp;$E75)&gt;1),"⚠ Doublon",IF(AND($E75&lt;&gt;"",COUNTIF(D_KEY_STATUT,$B75&amp;"|"&amp;$E75&amp;"|P")&gt;0,COUNTIF(D_KEY_STATUT,$B75&amp;"|"&amp;$E75&amp;"|A")&gt;0),"⚠ Statut incohérent",IF(AND($D75="S1",$Y75&lt;&gt;"Parti",COUNTIF(ANNEES_VERROU,$B75)&gt;0,COUNTIF(D_KEY_NIVSES,$B75&amp;"|"&amp;$C75&amp;"|S2")&gt;0,COUNTIF(D_KEY_DOUBLON,$B75&amp;"|S2|"&amp;$E75)=0),"⚠ Départ non confirmé ?",IF(AND($C75&lt;&gt;"",ISNUMBER($I75),OR(VALUE(LEFT($B75,4))-$I75&lt;4+IFERROR(MATCH($C75,LISTE_NIVEAUX,0),99),VALUE(LEFT($B75,4))-$I75&gt;6+IFERROR(MATCH($C75,LISTE_NIVEAUX,0),99))),"⚠ Vérifier niveau",IF(AND(IFERROR(VLOOKUP($C75,TABLE_CYCLE,2,0),3)=2,COUNT($O75:$Q75)&gt;0),"⚠ Tests cycle 3",IF(COUNT($J75:$Q75)&gt;=IF(IFERROR(VLOOKUP($C75,TABLE_CYCLE,2,0),3)=2,5,8),"Complet","Incomplet"))))))))</f>
        <v/>
      </c>
      <c r="S75" s="24"/>
      <c r="T75" s="67" t="str">
        <f t="shared" si="10"/>
        <v/>
      </c>
      <c r="U75" s="67" t="str">
        <f t="shared" si="11"/>
        <v/>
      </c>
      <c r="V75" s="67" t="str">
        <f t="shared" si="12"/>
        <v/>
      </c>
      <c r="W75" s="67" t="str">
        <f t="shared" si="13"/>
        <v/>
      </c>
      <c r="X75" s="67" t="str">
        <f t="shared" si="14"/>
        <v/>
      </c>
      <c r="Y75" s="24" t="str">
        <f t="shared" si="15"/>
        <v/>
      </c>
      <c r="Z75">
        <f t="shared" si="16"/>
        <v>0</v>
      </c>
      <c r="AA75">
        <f t="shared" si="17"/>
        <v>0</v>
      </c>
    </row>
    <row r="76" spans="2:27" ht="15.75" customHeight="1" x14ac:dyDescent="0.3">
      <c r="B76" s="25"/>
      <c r="C76" s="25"/>
      <c r="D76" s="25"/>
      <c r="E76" s="26" t="str">
        <f t="shared" si="9"/>
        <v/>
      </c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3" t="str">
        <f>IF($F76="","",IF(OR($B76="",$C76="",$D76=""),"⚠ Compléter Année/Niveau/Session",IF(AND($E76&lt;&gt;"",COUNTIF(D_KEY_DOUBLON,$B76&amp;"|"&amp;$D76&amp;"|"&amp;$E76)&gt;1),"⚠ Doublon",IF(AND($E76&lt;&gt;"",COUNTIF(D_KEY_STATUT,$B76&amp;"|"&amp;$E76&amp;"|P")&gt;0,COUNTIF(D_KEY_STATUT,$B76&amp;"|"&amp;$E76&amp;"|A")&gt;0),"⚠ Statut incohérent",IF(AND($D76="S1",$Y76&lt;&gt;"Parti",COUNTIF(ANNEES_VERROU,$B76)&gt;0,COUNTIF(D_KEY_NIVSES,$B76&amp;"|"&amp;$C76&amp;"|S2")&gt;0,COUNTIF(D_KEY_DOUBLON,$B76&amp;"|S2|"&amp;$E76)=0),"⚠ Départ non confirmé ?",IF(AND($C76&lt;&gt;"",ISNUMBER($I76),OR(VALUE(LEFT($B76,4))-$I76&lt;4+IFERROR(MATCH($C76,LISTE_NIVEAUX,0),99),VALUE(LEFT($B76,4))-$I76&gt;6+IFERROR(MATCH($C76,LISTE_NIVEAUX,0),99))),"⚠ Vérifier niveau",IF(AND(IFERROR(VLOOKUP($C76,TABLE_CYCLE,2,0),3)=2,COUNT($O76:$Q76)&gt;0),"⚠ Tests cycle 3",IF(COUNT($J76:$Q76)&gt;=IF(IFERROR(VLOOKUP($C76,TABLE_CYCLE,2,0),3)=2,5,8),"Complet","Incomplet"))))))))</f>
        <v/>
      </c>
      <c r="S76" s="24"/>
      <c r="T76" s="67" t="str">
        <f t="shared" si="10"/>
        <v/>
      </c>
      <c r="U76" s="67" t="str">
        <f t="shared" si="11"/>
        <v/>
      </c>
      <c r="V76" s="67" t="str">
        <f t="shared" si="12"/>
        <v/>
      </c>
      <c r="W76" s="67" t="str">
        <f t="shared" si="13"/>
        <v/>
      </c>
      <c r="X76" s="67" t="str">
        <f t="shared" si="14"/>
        <v/>
      </c>
      <c r="Y76" s="24" t="str">
        <f t="shared" si="15"/>
        <v/>
      </c>
      <c r="Z76">
        <f t="shared" si="16"/>
        <v>0</v>
      </c>
      <c r="AA76">
        <f t="shared" si="17"/>
        <v>0</v>
      </c>
    </row>
    <row r="77" spans="2:27" ht="15.75" customHeight="1" x14ac:dyDescent="0.3">
      <c r="B77" s="21"/>
      <c r="C77" s="21"/>
      <c r="D77" s="21"/>
      <c r="E77" s="22" t="str">
        <f t="shared" si="9"/>
        <v/>
      </c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3" t="str">
        <f>IF($F77="","",IF(OR($B77="",$C77="",$D77=""),"⚠ Compléter Année/Niveau/Session",IF(AND($E77&lt;&gt;"",COUNTIF(D_KEY_DOUBLON,$B77&amp;"|"&amp;$D77&amp;"|"&amp;$E77)&gt;1),"⚠ Doublon",IF(AND($E77&lt;&gt;"",COUNTIF(D_KEY_STATUT,$B77&amp;"|"&amp;$E77&amp;"|P")&gt;0,COUNTIF(D_KEY_STATUT,$B77&amp;"|"&amp;$E77&amp;"|A")&gt;0),"⚠ Statut incohérent",IF(AND($D77="S1",$Y77&lt;&gt;"Parti",COUNTIF(ANNEES_VERROU,$B77)&gt;0,COUNTIF(D_KEY_NIVSES,$B77&amp;"|"&amp;$C77&amp;"|S2")&gt;0,COUNTIF(D_KEY_DOUBLON,$B77&amp;"|S2|"&amp;$E77)=0),"⚠ Départ non confirmé ?",IF(AND($C77&lt;&gt;"",ISNUMBER($I77),OR(VALUE(LEFT($B77,4))-$I77&lt;4+IFERROR(MATCH($C77,LISTE_NIVEAUX,0),99),VALUE(LEFT($B77,4))-$I77&gt;6+IFERROR(MATCH($C77,LISTE_NIVEAUX,0),99))),"⚠ Vérifier niveau",IF(AND(IFERROR(VLOOKUP($C77,TABLE_CYCLE,2,0),3)=2,COUNT($O77:$Q77)&gt;0),"⚠ Tests cycle 3",IF(COUNT($J77:$Q77)&gt;=IF(IFERROR(VLOOKUP($C77,TABLE_CYCLE,2,0),3)=2,5,8),"Complet","Incomplet"))))))))</f>
        <v/>
      </c>
      <c r="S77" s="24"/>
      <c r="T77" s="67" t="str">
        <f t="shared" si="10"/>
        <v/>
      </c>
      <c r="U77" s="67" t="str">
        <f t="shared" si="11"/>
        <v/>
      </c>
      <c r="V77" s="67" t="str">
        <f t="shared" si="12"/>
        <v/>
      </c>
      <c r="W77" s="67" t="str">
        <f t="shared" si="13"/>
        <v/>
      </c>
      <c r="X77" s="67" t="str">
        <f t="shared" si="14"/>
        <v/>
      </c>
      <c r="Y77" s="24" t="str">
        <f t="shared" si="15"/>
        <v/>
      </c>
      <c r="Z77">
        <f t="shared" si="16"/>
        <v>0</v>
      </c>
      <c r="AA77">
        <f t="shared" si="17"/>
        <v>0</v>
      </c>
    </row>
    <row r="78" spans="2:27" ht="15.75" customHeight="1" x14ac:dyDescent="0.3">
      <c r="B78" s="25"/>
      <c r="C78" s="25"/>
      <c r="D78" s="25"/>
      <c r="E78" s="26" t="str">
        <f t="shared" si="9"/>
        <v/>
      </c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3" t="str">
        <f>IF($F78="","",IF(OR($B78="",$C78="",$D78=""),"⚠ Compléter Année/Niveau/Session",IF(AND($E78&lt;&gt;"",COUNTIF(D_KEY_DOUBLON,$B78&amp;"|"&amp;$D78&amp;"|"&amp;$E78)&gt;1),"⚠ Doublon",IF(AND($E78&lt;&gt;"",COUNTIF(D_KEY_STATUT,$B78&amp;"|"&amp;$E78&amp;"|P")&gt;0,COUNTIF(D_KEY_STATUT,$B78&amp;"|"&amp;$E78&amp;"|A")&gt;0),"⚠ Statut incohérent",IF(AND($D78="S1",$Y78&lt;&gt;"Parti",COUNTIF(ANNEES_VERROU,$B78)&gt;0,COUNTIF(D_KEY_NIVSES,$B78&amp;"|"&amp;$C78&amp;"|S2")&gt;0,COUNTIF(D_KEY_DOUBLON,$B78&amp;"|S2|"&amp;$E78)=0),"⚠ Départ non confirmé ?",IF(AND($C78&lt;&gt;"",ISNUMBER($I78),OR(VALUE(LEFT($B78,4))-$I78&lt;4+IFERROR(MATCH($C78,LISTE_NIVEAUX,0),99),VALUE(LEFT($B78,4))-$I78&gt;6+IFERROR(MATCH($C78,LISTE_NIVEAUX,0),99))),"⚠ Vérifier niveau",IF(AND(IFERROR(VLOOKUP($C78,TABLE_CYCLE,2,0),3)=2,COUNT($O78:$Q78)&gt;0),"⚠ Tests cycle 3",IF(COUNT($J78:$Q78)&gt;=IF(IFERROR(VLOOKUP($C78,TABLE_CYCLE,2,0),3)=2,5,8),"Complet","Incomplet"))))))))</f>
        <v/>
      </c>
      <c r="S78" s="24"/>
      <c r="T78" s="67" t="str">
        <f t="shared" si="10"/>
        <v/>
      </c>
      <c r="U78" s="67" t="str">
        <f t="shared" si="11"/>
        <v/>
      </c>
      <c r="V78" s="67" t="str">
        <f t="shared" si="12"/>
        <v/>
      </c>
      <c r="W78" s="67" t="str">
        <f t="shared" si="13"/>
        <v/>
      </c>
      <c r="X78" s="67" t="str">
        <f t="shared" si="14"/>
        <v/>
      </c>
      <c r="Y78" s="24" t="str">
        <f t="shared" si="15"/>
        <v/>
      </c>
      <c r="Z78">
        <f t="shared" si="16"/>
        <v>0</v>
      </c>
      <c r="AA78">
        <f t="shared" si="17"/>
        <v>0</v>
      </c>
    </row>
    <row r="79" spans="2:27" ht="15.75" customHeight="1" x14ac:dyDescent="0.3">
      <c r="B79" s="21"/>
      <c r="C79" s="21"/>
      <c r="D79" s="21"/>
      <c r="E79" s="22" t="str">
        <f t="shared" si="9"/>
        <v/>
      </c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3" t="str">
        <f>IF($F79="","",IF(OR($B79="",$C79="",$D79=""),"⚠ Compléter Année/Niveau/Session",IF(AND($E79&lt;&gt;"",COUNTIF(D_KEY_DOUBLON,$B79&amp;"|"&amp;$D79&amp;"|"&amp;$E79)&gt;1),"⚠ Doublon",IF(AND($E79&lt;&gt;"",COUNTIF(D_KEY_STATUT,$B79&amp;"|"&amp;$E79&amp;"|P")&gt;0,COUNTIF(D_KEY_STATUT,$B79&amp;"|"&amp;$E79&amp;"|A")&gt;0),"⚠ Statut incohérent",IF(AND($D79="S1",$Y79&lt;&gt;"Parti",COUNTIF(ANNEES_VERROU,$B79)&gt;0,COUNTIF(D_KEY_NIVSES,$B79&amp;"|"&amp;$C79&amp;"|S2")&gt;0,COUNTIF(D_KEY_DOUBLON,$B79&amp;"|S2|"&amp;$E79)=0),"⚠ Départ non confirmé ?",IF(AND($C79&lt;&gt;"",ISNUMBER($I79),OR(VALUE(LEFT($B79,4))-$I79&lt;4+IFERROR(MATCH($C79,LISTE_NIVEAUX,0),99),VALUE(LEFT($B79,4))-$I79&gt;6+IFERROR(MATCH($C79,LISTE_NIVEAUX,0),99))),"⚠ Vérifier niveau",IF(AND(IFERROR(VLOOKUP($C79,TABLE_CYCLE,2,0),3)=2,COUNT($O79:$Q79)&gt;0),"⚠ Tests cycle 3",IF(COUNT($J79:$Q79)&gt;=IF(IFERROR(VLOOKUP($C79,TABLE_CYCLE,2,0),3)=2,5,8),"Complet","Incomplet"))))))))</f>
        <v/>
      </c>
      <c r="S79" s="24"/>
      <c r="T79" s="67" t="str">
        <f t="shared" si="10"/>
        <v/>
      </c>
      <c r="U79" s="67" t="str">
        <f t="shared" si="11"/>
        <v/>
      </c>
      <c r="V79" s="67" t="str">
        <f t="shared" si="12"/>
        <v/>
      </c>
      <c r="W79" s="67" t="str">
        <f t="shared" si="13"/>
        <v/>
      </c>
      <c r="X79" s="67" t="str">
        <f t="shared" si="14"/>
        <v/>
      </c>
      <c r="Y79" s="24" t="str">
        <f t="shared" si="15"/>
        <v/>
      </c>
      <c r="Z79">
        <f t="shared" si="16"/>
        <v>0</v>
      </c>
      <c r="AA79">
        <f t="shared" si="17"/>
        <v>0</v>
      </c>
    </row>
    <row r="80" spans="2:27" ht="15.75" customHeight="1" x14ac:dyDescent="0.3">
      <c r="B80" s="25"/>
      <c r="C80" s="25"/>
      <c r="D80" s="25"/>
      <c r="E80" s="26" t="str">
        <f t="shared" si="9"/>
        <v/>
      </c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3" t="str">
        <f>IF($F80="","",IF(OR($B80="",$C80="",$D80=""),"⚠ Compléter Année/Niveau/Session",IF(AND($E80&lt;&gt;"",COUNTIF(D_KEY_DOUBLON,$B80&amp;"|"&amp;$D80&amp;"|"&amp;$E80)&gt;1),"⚠ Doublon",IF(AND($E80&lt;&gt;"",COUNTIF(D_KEY_STATUT,$B80&amp;"|"&amp;$E80&amp;"|P")&gt;0,COUNTIF(D_KEY_STATUT,$B80&amp;"|"&amp;$E80&amp;"|A")&gt;0),"⚠ Statut incohérent",IF(AND($D80="S1",$Y80&lt;&gt;"Parti",COUNTIF(ANNEES_VERROU,$B80)&gt;0,COUNTIF(D_KEY_NIVSES,$B80&amp;"|"&amp;$C80&amp;"|S2")&gt;0,COUNTIF(D_KEY_DOUBLON,$B80&amp;"|S2|"&amp;$E80)=0),"⚠ Départ non confirmé ?",IF(AND($C80&lt;&gt;"",ISNUMBER($I80),OR(VALUE(LEFT($B80,4))-$I80&lt;4+IFERROR(MATCH($C80,LISTE_NIVEAUX,0),99),VALUE(LEFT($B80,4))-$I80&gt;6+IFERROR(MATCH($C80,LISTE_NIVEAUX,0),99))),"⚠ Vérifier niveau",IF(AND(IFERROR(VLOOKUP($C80,TABLE_CYCLE,2,0),3)=2,COUNT($O80:$Q80)&gt;0),"⚠ Tests cycle 3",IF(COUNT($J80:$Q80)&gt;=IF(IFERROR(VLOOKUP($C80,TABLE_CYCLE,2,0),3)=2,5,8),"Complet","Incomplet"))))))))</f>
        <v/>
      </c>
      <c r="S80" s="24"/>
      <c r="T80" s="67" t="str">
        <f t="shared" si="10"/>
        <v/>
      </c>
      <c r="U80" s="67" t="str">
        <f t="shared" si="11"/>
        <v/>
      </c>
      <c r="V80" s="67" t="str">
        <f t="shared" si="12"/>
        <v/>
      </c>
      <c r="W80" s="67" t="str">
        <f t="shared" si="13"/>
        <v/>
      </c>
      <c r="X80" s="67" t="str">
        <f t="shared" si="14"/>
        <v/>
      </c>
      <c r="Y80" s="24" t="str">
        <f t="shared" si="15"/>
        <v/>
      </c>
      <c r="Z80">
        <f t="shared" si="16"/>
        <v>0</v>
      </c>
      <c r="AA80">
        <f t="shared" si="17"/>
        <v>0</v>
      </c>
    </row>
    <row r="81" spans="2:27" ht="15.75" customHeight="1" x14ac:dyDescent="0.3">
      <c r="B81" s="21"/>
      <c r="C81" s="21"/>
      <c r="D81" s="21"/>
      <c r="E81" s="22" t="str">
        <f t="shared" si="9"/>
        <v/>
      </c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3" t="str">
        <f>IF($F81="","",IF(OR($B81="",$C81="",$D81=""),"⚠ Compléter Année/Niveau/Session",IF(AND($E81&lt;&gt;"",COUNTIF(D_KEY_DOUBLON,$B81&amp;"|"&amp;$D81&amp;"|"&amp;$E81)&gt;1),"⚠ Doublon",IF(AND($E81&lt;&gt;"",COUNTIF(D_KEY_STATUT,$B81&amp;"|"&amp;$E81&amp;"|P")&gt;0,COUNTIF(D_KEY_STATUT,$B81&amp;"|"&amp;$E81&amp;"|A")&gt;0),"⚠ Statut incohérent",IF(AND($D81="S1",$Y81&lt;&gt;"Parti",COUNTIF(ANNEES_VERROU,$B81)&gt;0,COUNTIF(D_KEY_NIVSES,$B81&amp;"|"&amp;$C81&amp;"|S2")&gt;0,COUNTIF(D_KEY_DOUBLON,$B81&amp;"|S2|"&amp;$E81)=0),"⚠ Départ non confirmé ?",IF(AND($C81&lt;&gt;"",ISNUMBER($I81),OR(VALUE(LEFT($B81,4))-$I81&lt;4+IFERROR(MATCH($C81,LISTE_NIVEAUX,0),99),VALUE(LEFT($B81,4))-$I81&gt;6+IFERROR(MATCH($C81,LISTE_NIVEAUX,0),99))),"⚠ Vérifier niveau",IF(AND(IFERROR(VLOOKUP($C81,TABLE_CYCLE,2,0),3)=2,COUNT($O81:$Q81)&gt;0),"⚠ Tests cycle 3",IF(COUNT($J81:$Q81)&gt;=IF(IFERROR(VLOOKUP($C81,TABLE_CYCLE,2,0),3)=2,5,8),"Complet","Incomplet"))))))))</f>
        <v/>
      </c>
      <c r="S81" s="24"/>
      <c r="T81" s="67" t="str">
        <f t="shared" si="10"/>
        <v/>
      </c>
      <c r="U81" s="67" t="str">
        <f t="shared" si="11"/>
        <v/>
      </c>
      <c r="V81" s="67" t="str">
        <f t="shared" si="12"/>
        <v/>
      </c>
      <c r="W81" s="67" t="str">
        <f t="shared" si="13"/>
        <v/>
      </c>
      <c r="X81" s="67" t="str">
        <f t="shared" si="14"/>
        <v/>
      </c>
      <c r="Y81" s="24" t="str">
        <f t="shared" si="15"/>
        <v/>
      </c>
      <c r="Z81">
        <f t="shared" si="16"/>
        <v>0</v>
      </c>
      <c r="AA81">
        <f t="shared" si="17"/>
        <v>0</v>
      </c>
    </row>
    <row r="82" spans="2:27" ht="15.75" customHeight="1" x14ac:dyDescent="0.3">
      <c r="B82" s="25"/>
      <c r="C82" s="25"/>
      <c r="D82" s="25"/>
      <c r="E82" s="26" t="str">
        <f t="shared" si="9"/>
        <v/>
      </c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3" t="str">
        <f>IF($F82="","",IF(OR($B82="",$C82="",$D82=""),"⚠ Compléter Année/Niveau/Session",IF(AND($E82&lt;&gt;"",COUNTIF(D_KEY_DOUBLON,$B82&amp;"|"&amp;$D82&amp;"|"&amp;$E82)&gt;1),"⚠ Doublon",IF(AND($E82&lt;&gt;"",COUNTIF(D_KEY_STATUT,$B82&amp;"|"&amp;$E82&amp;"|P")&gt;0,COUNTIF(D_KEY_STATUT,$B82&amp;"|"&amp;$E82&amp;"|A")&gt;0),"⚠ Statut incohérent",IF(AND($D82="S1",$Y82&lt;&gt;"Parti",COUNTIF(ANNEES_VERROU,$B82)&gt;0,COUNTIF(D_KEY_NIVSES,$B82&amp;"|"&amp;$C82&amp;"|S2")&gt;0,COUNTIF(D_KEY_DOUBLON,$B82&amp;"|S2|"&amp;$E82)=0),"⚠ Départ non confirmé ?",IF(AND($C82&lt;&gt;"",ISNUMBER($I82),OR(VALUE(LEFT($B82,4))-$I82&lt;4+IFERROR(MATCH($C82,LISTE_NIVEAUX,0),99),VALUE(LEFT($B82,4))-$I82&gt;6+IFERROR(MATCH($C82,LISTE_NIVEAUX,0),99))),"⚠ Vérifier niveau",IF(AND(IFERROR(VLOOKUP($C82,TABLE_CYCLE,2,0),3)=2,COUNT($O82:$Q82)&gt;0),"⚠ Tests cycle 3",IF(COUNT($J82:$Q82)&gt;=IF(IFERROR(VLOOKUP($C82,TABLE_CYCLE,2,0),3)=2,5,8),"Complet","Incomplet"))))))))</f>
        <v/>
      </c>
      <c r="S82" s="24"/>
      <c r="T82" s="67" t="str">
        <f t="shared" si="10"/>
        <v/>
      </c>
      <c r="U82" s="67" t="str">
        <f t="shared" si="11"/>
        <v/>
      </c>
      <c r="V82" s="67" t="str">
        <f t="shared" si="12"/>
        <v/>
      </c>
      <c r="W82" s="67" t="str">
        <f t="shared" si="13"/>
        <v/>
      </c>
      <c r="X82" s="67" t="str">
        <f t="shared" si="14"/>
        <v/>
      </c>
      <c r="Y82" s="24" t="str">
        <f t="shared" si="15"/>
        <v/>
      </c>
      <c r="Z82">
        <f t="shared" si="16"/>
        <v>0</v>
      </c>
      <c r="AA82">
        <f t="shared" si="17"/>
        <v>0</v>
      </c>
    </row>
    <row r="83" spans="2:27" ht="15.75" customHeight="1" x14ac:dyDescent="0.3">
      <c r="B83" s="21"/>
      <c r="C83" s="21"/>
      <c r="D83" s="21"/>
      <c r="E83" s="22" t="str">
        <f t="shared" si="9"/>
        <v/>
      </c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3" t="str">
        <f>IF($F83="","",IF(OR($B83="",$C83="",$D83=""),"⚠ Compléter Année/Niveau/Session",IF(AND($E83&lt;&gt;"",COUNTIF(D_KEY_DOUBLON,$B83&amp;"|"&amp;$D83&amp;"|"&amp;$E83)&gt;1),"⚠ Doublon",IF(AND($E83&lt;&gt;"",COUNTIF(D_KEY_STATUT,$B83&amp;"|"&amp;$E83&amp;"|P")&gt;0,COUNTIF(D_KEY_STATUT,$B83&amp;"|"&amp;$E83&amp;"|A")&gt;0),"⚠ Statut incohérent",IF(AND($D83="S1",$Y83&lt;&gt;"Parti",COUNTIF(ANNEES_VERROU,$B83)&gt;0,COUNTIF(D_KEY_NIVSES,$B83&amp;"|"&amp;$C83&amp;"|S2")&gt;0,COUNTIF(D_KEY_DOUBLON,$B83&amp;"|S2|"&amp;$E83)=0),"⚠ Départ non confirmé ?",IF(AND($C83&lt;&gt;"",ISNUMBER($I83),OR(VALUE(LEFT($B83,4))-$I83&lt;4+IFERROR(MATCH($C83,LISTE_NIVEAUX,0),99),VALUE(LEFT($B83,4))-$I83&gt;6+IFERROR(MATCH($C83,LISTE_NIVEAUX,0),99))),"⚠ Vérifier niveau",IF(AND(IFERROR(VLOOKUP($C83,TABLE_CYCLE,2,0),3)=2,COUNT($O83:$Q83)&gt;0),"⚠ Tests cycle 3",IF(COUNT($J83:$Q83)&gt;=IF(IFERROR(VLOOKUP($C83,TABLE_CYCLE,2,0),3)=2,5,8),"Complet","Incomplet"))))))))</f>
        <v/>
      </c>
      <c r="S83" s="24"/>
      <c r="T83" s="67" t="str">
        <f t="shared" si="10"/>
        <v/>
      </c>
      <c r="U83" s="67" t="str">
        <f t="shared" si="11"/>
        <v/>
      </c>
      <c r="V83" s="67" t="str">
        <f t="shared" si="12"/>
        <v/>
      </c>
      <c r="W83" s="67" t="str">
        <f t="shared" si="13"/>
        <v/>
      </c>
      <c r="X83" s="67" t="str">
        <f t="shared" si="14"/>
        <v/>
      </c>
      <c r="Y83" s="24" t="str">
        <f t="shared" si="15"/>
        <v/>
      </c>
      <c r="Z83">
        <f t="shared" si="16"/>
        <v>0</v>
      </c>
      <c r="AA83">
        <f t="shared" si="17"/>
        <v>0</v>
      </c>
    </row>
    <row r="84" spans="2:27" ht="15.75" customHeight="1" x14ac:dyDescent="0.3">
      <c r="B84" s="25"/>
      <c r="C84" s="25"/>
      <c r="D84" s="25"/>
      <c r="E84" s="26" t="str">
        <f t="shared" si="9"/>
        <v/>
      </c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3" t="str">
        <f>IF($F84="","",IF(OR($B84="",$C84="",$D84=""),"⚠ Compléter Année/Niveau/Session",IF(AND($E84&lt;&gt;"",COUNTIF(D_KEY_DOUBLON,$B84&amp;"|"&amp;$D84&amp;"|"&amp;$E84)&gt;1),"⚠ Doublon",IF(AND($E84&lt;&gt;"",COUNTIF(D_KEY_STATUT,$B84&amp;"|"&amp;$E84&amp;"|P")&gt;0,COUNTIF(D_KEY_STATUT,$B84&amp;"|"&amp;$E84&amp;"|A")&gt;0),"⚠ Statut incohérent",IF(AND($D84="S1",$Y84&lt;&gt;"Parti",COUNTIF(ANNEES_VERROU,$B84)&gt;0,COUNTIF(D_KEY_NIVSES,$B84&amp;"|"&amp;$C84&amp;"|S2")&gt;0,COUNTIF(D_KEY_DOUBLON,$B84&amp;"|S2|"&amp;$E84)=0),"⚠ Départ non confirmé ?",IF(AND($C84&lt;&gt;"",ISNUMBER($I84),OR(VALUE(LEFT($B84,4))-$I84&lt;4+IFERROR(MATCH($C84,LISTE_NIVEAUX,0),99),VALUE(LEFT($B84,4))-$I84&gt;6+IFERROR(MATCH($C84,LISTE_NIVEAUX,0),99))),"⚠ Vérifier niveau",IF(AND(IFERROR(VLOOKUP($C84,TABLE_CYCLE,2,0),3)=2,COUNT($O84:$Q84)&gt;0),"⚠ Tests cycle 3",IF(COUNT($J84:$Q84)&gt;=IF(IFERROR(VLOOKUP($C84,TABLE_CYCLE,2,0),3)=2,5,8),"Complet","Incomplet"))))))))</f>
        <v/>
      </c>
      <c r="S84" s="24"/>
      <c r="T84" s="67" t="str">
        <f t="shared" si="10"/>
        <v/>
      </c>
      <c r="U84" s="67" t="str">
        <f t="shared" si="11"/>
        <v/>
      </c>
      <c r="V84" s="67" t="str">
        <f t="shared" si="12"/>
        <v/>
      </c>
      <c r="W84" s="67" t="str">
        <f t="shared" si="13"/>
        <v/>
      </c>
      <c r="X84" s="67" t="str">
        <f t="shared" si="14"/>
        <v/>
      </c>
      <c r="Y84" s="24" t="str">
        <f t="shared" si="15"/>
        <v/>
      </c>
      <c r="Z84">
        <f t="shared" si="16"/>
        <v>0</v>
      </c>
      <c r="AA84">
        <f t="shared" si="17"/>
        <v>0</v>
      </c>
    </row>
    <row r="85" spans="2:27" ht="15.75" customHeight="1" x14ac:dyDescent="0.3">
      <c r="B85" s="21"/>
      <c r="C85" s="21"/>
      <c r="D85" s="21"/>
      <c r="E85" s="22" t="str">
        <f t="shared" si="9"/>
        <v/>
      </c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3" t="str">
        <f>IF($F85="","",IF(OR($B85="",$C85="",$D85=""),"⚠ Compléter Année/Niveau/Session",IF(AND($E85&lt;&gt;"",COUNTIF(D_KEY_DOUBLON,$B85&amp;"|"&amp;$D85&amp;"|"&amp;$E85)&gt;1),"⚠ Doublon",IF(AND($E85&lt;&gt;"",COUNTIF(D_KEY_STATUT,$B85&amp;"|"&amp;$E85&amp;"|P")&gt;0,COUNTIF(D_KEY_STATUT,$B85&amp;"|"&amp;$E85&amp;"|A")&gt;0),"⚠ Statut incohérent",IF(AND($D85="S1",$Y85&lt;&gt;"Parti",COUNTIF(ANNEES_VERROU,$B85)&gt;0,COUNTIF(D_KEY_NIVSES,$B85&amp;"|"&amp;$C85&amp;"|S2")&gt;0,COUNTIF(D_KEY_DOUBLON,$B85&amp;"|S2|"&amp;$E85)=0),"⚠ Départ non confirmé ?",IF(AND($C85&lt;&gt;"",ISNUMBER($I85),OR(VALUE(LEFT($B85,4))-$I85&lt;4+IFERROR(MATCH($C85,LISTE_NIVEAUX,0),99),VALUE(LEFT($B85,4))-$I85&gt;6+IFERROR(MATCH($C85,LISTE_NIVEAUX,0),99))),"⚠ Vérifier niveau",IF(AND(IFERROR(VLOOKUP($C85,TABLE_CYCLE,2,0),3)=2,COUNT($O85:$Q85)&gt;0),"⚠ Tests cycle 3",IF(COUNT($J85:$Q85)&gt;=IF(IFERROR(VLOOKUP($C85,TABLE_CYCLE,2,0),3)=2,5,8),"Complet","Incomplet"))))))))</f>
        <v/>
      </c>
      <c r="S85" s="24"/>
      <c r="T85" s="67" t="str">
        <f t="shared" si="10"/>
        <v/>
      </c>
      <c r="U85" s="67" t="str">
        <f t="shared" si="11"/>
        <v/>
      </c>
      <c r="V85" s="67" t="str">
        <f t="shared" si="12"/>
        <v/>
      </c>
      <c r="W85" s="67" t="str">
        <f t="shared" si="13"/>
        <v/>
      </c>
      <c r="X85" s="67" t="str">
        <f t="shared" si="14"/>
        <v/>
      </c>
      <c r="Y85" s="24" t="str">
        <f t="shared" si="15"/>
        <v/>
      </c>
      <c r="Z85">
        <f t="shared" si="16"/>
        <v>0</v>
      </c>
      <c r="AA85">
        <f t="shared" si="17"/>
        <v>0</v>
      </c>
    </row>
    <row r="86" spans="2:27" ht="15.75" customHeight="1" x14ac:dyDescent="0.3">
      <c r="B86" s="25"/>
      <c r="C86" s="25"/>
      <c r="D86" s="25"/>
      <c r="E86" s="26" t="str">
        <f t="shared" si="9"/>
        <v/>
      </c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3" t="str">
        <f>IF($F86="","",IF(OR($B86="",$C86="",$D86=""),"⚠ Compléter Année/Niveau/Session",IF(AND($E86&lt;&gt;"",COUNTIF(D_KEY_DOUBLON,$B86&amp;"|"&amp;$D86&amp;"|"&amp;$E86)&gt;1),"⚠ Doublon",IF(AND($E86&lt;&gt;"",COUNTIF(D_KEY_STATUT,$B86&amp;"|"&amp;$E86&amp;"|P")&gt;0,COUNTIF(D_KEY_STATUT,$B86&amp;"|"&amp;$E86&amp;"|A")&gt;0),"⚠ Statut incohérent",IF(AND($D86="S1",$Y86&lt;&gt;"Parti",COUNTIF(ANNEES_VERROU,$B86)&gt;0,COUNTIF(D_KEY_NIVSES,$B86&amp;"|"&amp;$C86&amp;"|S2")&gt;0,COUNTIF(D_KEY_DOUBLON,$B86&amp;"|S2|"&amp;$E86)=0),"⚠ Départ non confirmé ?",IF(AND($C86&lt;&gt;"",ISNUMBER($I86),OR(VALUE(LEFT($B86,4))-$I86&lt;4+IFERROR(MATCH($C86,LISTE_NIVEAUX,0),99),VALUE(LEFT($B86,4))-$I86&gt;6+IFERROR(MATCH($C86,LISTE_NIVEAUX,0),99))),"⚠ Vérifier niveau",IF(AND(IFERROR(VLOOKUP($C86,TABLE_CYCLE,2,0),3)=2,COUNT($O86:$Q86)&gt;0),"⚠ Tests cycle 3",IF(COUNT($J86:$Q86)&gt;=IF(IFERROR(VLOOKUP($C86,TABLE_CYCLE,2,0),3)=2,5,8),"Complet","Incomplet"))))))))</f>
        <v/>
      </c>
      <c r="S86" s="24"/>
      <c r="T86" s="67" t="str">
        <f t="shared" si="10"/>
        <v/>
      </c>
      <c r="U86" s="67" t="str">
        <f t="shared" si="11"/>
        <v/>
      </c>
      <c r="V86" s="67" t="str">
        <f t="shared" si="12"/>
        <v/>
      </c>
      <c r="W86" s="67" t="str">
        <f t="shared" si="13"/>
        <v/>
      </c>
      <c r="X86" s="67" t="str">
        <f t="shared" si="14"/>
        <v/>
      </c>
      <c r="Y86" s="24" t="str">
        <f t="shared" si="15"/>
        <v/>
      </c>
      <c r="Z86">
        <f t="shared" si="16"/>
        <v>0</v>
      </c>
      <c r="AA86">
        <f t="shared" si="17"/>
        <v>0</v>
      </c>
    </row>
    <row r="87" spans="2:27" ht="15.75" customHeight="1" x14ac:dyDescent="0.3">
      <c r="B87" s="21"/>
      <c r="C87" s="21"/>
      <c r="D87" s="21"/>
      <c r="E87" s="22" t="str">
        <f t="shared" si="9"/>
        <v/>
      </c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3" t="str">
        <f>IF($F87="","",IF(OR($B87="",$C87="",$D87=""),"⚠ Compléter Année/Niveau/Session",IF(AND($E87&lt;&gt;"",COUNTIF(D_KEY_DOUBLON,$B87&amp;"|"&amp;$D87&amp;"|"&amp;$E87)&gt;1),"⚠ Doublon",IF(AND($E87&lt;&gt;"",COUNTIF(D_KEY_STATUT,$B87&amp;"|"&amp;$E87&amp;"|P")&gt;0,COUNTIF(D_KEY_STATUT,$B87&amp;"|"&amp;$E87&amp;"|A")&gt;0),"⚠ Statut incohérent",IF(AND($D87="S1",$Y87&lt;&gt;"Parti",COUNTIF(ANNEES_VERROU,$B87)&gt;0,COUNTIF(D_KEY_NIVSES,$B87&amp;"|"&amp;$C87&amp;"|S2")&gt;0,COUNTIF(D_KEY_DOUBLON,$B87&amp;"|S2|"&amp;$E87)=0),"⚠ Départ non confirmé ?",IF(AND($C87&lt;&gt;"",ISNUMBER($I87),OR(VALUE(LEFT($B87,4))-$I87&lt;4+IFERROR(MATCH($C87,LISTE_NIVEAUX,0),99),VALUE(LEFT($B87,4))-$I87&gt;6+IFERROR(MATCH($C87,LISTE_NIVEAUX,0),99))),"⚠ Vérifier niveau",IF(AND(IFERROR(VLOOKUP($C87,TABLE_CYCLE,2,0),3)=2,COUNT($O87:$Q87)&gt;0),"⚠ Tests cycle 3",IF(COUNT($J87:$Q87)&gt;=IF(IFERROR(VLOOKUP($C87,TABLE_CYCLE,2,0),3)=2,5,8),"Complet","Incomplet"))))))))</f>
        <v/>
      </c>
      <c r="S87" s="24"/>
      <c r="T87" s="67" t="str">
        <f t="shared" si="10"/>
        <v/>
      </c>
      <c r="U87" s="67" t="str">
        <f t="shared" si="11"/>
        <v/>
      </c>
      <c r="V87" s="67" t="str">
        <f t="shared" si="12"/>
        <v/>
      </c>
      <c r="W87" s="67" t="str">
        <f t="shared" si="13"/>
        <v/>
      </c>
      <c r="X87" s="67" t="str">
        <f t="shared" si="14"/>
        <v/>
      </c>
      <c r="Y87" s="24" t="str">
        <f t="shared" si="15"/>
        <v/>
      </c>
      <c r="Z87">
        <f t="shared" si="16"/>
        <v>0</v>
      </c>
      <c r="AA87">
        <f t="shared" si="17"/>
        <v>0</v>
      </c>
    </row>
    <row r="88" spans="2:27" ht="15.75" customHeight="1" x14ac:dyDescent="0.3">
      <c r="B88" s="25"/>
      <c r="C88" s="25"/>
      <c r="D88" s="25"/>
      <c r="E88" s="26" t="str">
        <f t="shared" si="9"/>
        <v/>
      </c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3" t="str">
        <f>IF($F88="","",IF(OR($B88="",$C88="",$D88=""),"⚠ Compléter Année/Niveau/Session",IF(AND($E88&lt;&gt;"",COUNTIF(D_KEY_DOUBLON,$B88&amp;"|"&amp;$D88&amp;"|"&amp;$E88)&gt;1),"⚠ Doublon",IF(AND($E88&lt;&gt;"",COUNTIF(D_KEY_STATUT,$B88&amp;"|"&amp;$E88&amp;"|P")&gt;0,COUNTIF(D_KEY_STATUT,$B88&amp;"|"&amp;$E88&amp;"|A")&gt;0),"⚠ Statut incohérent",IF(AND($D88="S1",$Y88&lt;&gt;"Parti",COUNTIF(ANNEES_VERROU,$B88)&gt;0,COUNTIF(D_KEY_NIVSES,$B88&amp;"|"&amp;$C88&amp;"|S2")&gt;0,COUNTIF(D_KEY_DOUBLON,$B88&amp;"|S2|"&amp;$E88)=0),"⚠ Départ non confirmé ?",IF(AND($C88&lt;&gt;"",ISNUMBER($I88),OR(VALUE(LEFT($B88,4))-$I88&lt;4+IFERROR(MATCH($C88,LISTE_NIVEAUX,0),99),VALUE(LEFT($B88,4))-$I88&gt;6+IFERROR(MATCH($C88,LISTE_NIVEAUX,0),99))),"⚠ Vérifier niveau",IF(AND(IFERROR(VLOOKUP($C88,TABLE_CYCLE,2,0),3)=2,COUNT($O88:$Q88)&gt;0),"⚠ Tests cycle 3",IF(COUNT($J88:$Q88)&gt;=IF(IFERROR(VLOOKUP($C88,TABLE_CYCLE,2,0),3)=2,5,8),"Complet","Incomplet"))))))))</f>
        <v/>
      </c>
      <c r="S88" s="24"/>
      <c r="T88" s="67" t="str">
        <f t="shared" si="10"/>
        <v/>
      </c>
      <c r="U88" s="67" t="str">
        <f t="shared" si="11"/>
        <v/>
      </c>
      <c r="V88" s="67" t="str">
        <f t="shared" si="12"/>
        <v/>
      </c>
      <c r="W88" s="67" t="str">
        <f t="shared" si="13"/>
        <v/>
      </c>
      <c r="X88" s="67" t="str">
        <f t="shared" si="14"/>
        <v/>
      </c>
      <c r="Y88" s="24" t="str">
        <f t="shared" si="15"/>
        <v/>
      </c>
      <c r="Z88">
        <f t="shared" si="16"/>
        <v>0</v>
      </c>
      <c r="AA88">
        <f t="shared" si="17"/>
        <v>0</v>
      </c>
    </row>
    <row r="89" spans="2:27" ht="15.75" customHeight="1" x14ac:dyDescent="0.3">
      <c r="B89" s="21"/>
      <c r="C89" s="21"/>
      <c r="D89" s="21"/>
      <c r="E89" s="22" t="str">
        <f t="shared" si="9"/>
        <v/>
      </c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3" t="str">
        <f>IF($F89="","",IF(OR($B89="",$C89="",$D89=""),"⚠ Compléter Année/Niveau/Session",IF(AND($E89&lt;&gt;"",COUNTIF(D_KEY_DOUBLON,$B89&amp;"|"&amp;$D89&amp;"|"&amp;$E89)&gt;1),"⚠ Doublon",IF(AND($E89&lt;&gt;"",COUNTIF(D_KEY_STATUT,$B89&amp;"|"&amp;$E89&amp;"|P")&gt;0,COUNTIF(D_KEY_STATUT,$B89&amp;"|"&amp;$E89&amp;"|A")&gt;0),"⚠ Statut incohérent",IF(AND($D89="S1",$Y89&lt;&gt;"Parti",COUNTIF(ANNEES_VERROU,$B89)&gt;0,COUNTIF(D_KEY_NIVSES,$B89&amp;"|"&amp;$C89&amp;"|S2")&gt;0,COUNTIF(D_KEY_DOUBLON,$B89&amp;"|S2|"&amp;$E89)=0),"⚠ Départ non confirmé ?",IF(AND($C89&lt;&gt;"",ISNUMBER($I89),OR(VALUE(LEFT($B89,4))-$I89&lt;4+IFERROR(MATCH($C89,LISTE_NIVEAUX,0),99),VALUE(LEFT($B89,4))-$I89&gt;6+IFERROR(MATCH($C89,LISTE_NIVEAUX,0),99))),"⚠ Vérifier niveau",IF(AND(IFERROR(VLOOKUP($C89,TABLE_CYCLE,2,0),3)=2,COUNT($O89:$Q89)&gt;0),"⚠ Tests cycle 3",IF(COUNT($J89:$Q89)&gt;=IF(IFERROR(VLOOKUP($C89,TABLE_CYCLE,2,0),3)=2,5,8),"Complet","Incomplet"))))))))</f>
        <v/>
      </c>
      <c r="S89" s="24"/>
      <c r="T89" s="67" t="str">
        <f t="shared" si="10"/>
        <v/>
      </c>
      <c r="U89" s="67" t="str">
        <f t="shared" si="11"/>
        <v/>
      </c>
      <c r="V89" s="67" t="str">
        <f t="shared" si="12"/>
        <v/>
      </c>
      <c r="W89" s="67" t="str">
        <f t="shared" si="13"/>
        <v/>
      </c>
      <c r="X89" s="67" t="str">
        <f t="shared" si="14"/>
        <v/>
      </c>
      <c r="Y89" s="24" t="str">
        <f t="shared" si="15"/>
        <v/>
      </c>
      <c r="Z89">
        <f t="shared" si="16"/>
        <v>0</v>
      </c>
      <c r="AA89">
        <f t="shared" si="17"/>
        <v>0</v>
      </c>
    </row>
    <row r="90" spans="2:27" ht="15.75" customHeight="1" x14ac:dyDescent="0.3">
      <c r="B90" s="25"/>
      <c r="C90" s="25"/>
      <c r="D90" s="25"/>
      <c r="E90" s="26" t="str">
        <f t="shared" si="9"/>
        <v/>
      </c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3" t="str">
        <f>IF($F90="","",IF(OR($B90="",$C90="",$D90=""),"⚠ Compléter Année/Niveau/Session",IF(AND($E90&lt;&gt;"",COUNTIF(D_KEY_DOUBLON,$B90&amp;"|"&amp;$D90&amp;"|"&amp;$E90)&gt;1),"⚠ Doublon",IF(AND($E90&lt;&gt;"",COUNTIF(D_KEY_STATUT,$B90&amp;"|"&amp;$E90&amp;"|P")&gt;0,COUNTIF(D_KEY_STATUT,$B90&amp;"|"&amp;$E90&amp;"|A")&gt;0),"⚠ Statut incohérent",IF(AND($D90="S1",$Y90&lt;&gt;"Parti",COUNTIF(ANNEES_VERROU,$B90)&gt;0,COUNTIF(D_KEY_NIVSES,$B90&amp;"|"&amp;$C90&amp;"|S2")&gt;0,COUNTIF(D_KEY_DOUBLON,$B90&amp;"|S2|"&amp;$E90)=0),"⚠ Départ non confirmé ?",IF(AND($C90&lt;&gt;"",ISNUMBER($I90),OR(VALUE(LEFT($B90,4))-$I90&lt;4+IFERROR(MATCH($C90,LISTE_NIVEAUX,0),99),VALUE(LEFT($B90,4))-$I90&gt;6+IFERROR(MATCH($C90,LISTE_NIVEAUX,0),99))),"⚠ Vérifier niveau",IF(AND(IFERROR(VLOOKUP($C90,TABLE_CYCLE,2,0),3)=2,COUNT($O90:$Q90)&gt;0),"⚠ Tests cycle 3",IF(COUNT($J90:$Q90)&gt;=IF(IFERROR(VLOOKUP($C90,TABLE_CYCLE,2,0),3)=2,5,8),"Complet","Incomplet"))))))))</f>
        <v/>
      </c>
      <c r="S90" s="24"/>
      <c r="T90" s="67" t="str">
        <f t="shared" si="10"/>
        <v/>
      </c>
      <c r="U90" s="67" t="str">
        <f t="shared" si="11"/>
        <v/>
      </c>
      <c r="V90" s="67" t="str">
        <f t="shared" si="12"/>
        <v/>
      </c>
      <c r="W90" s="67" t="str">
        <f t="shared" si="13"/>
        <v/>
      </c>
      <c r="X90" s="67" t="str">
        <f t="shared" si="14"/>
        <v/>
      </c>
      <c r="Y90" s="24" t="str">
        <f t="shared" si="15"/>
        <v/>
      </c>
      <c r="Z90">
        <f t="shared" si="16"/>
        <v>0</v>
      </c>
      <c r="AA90">
        <f t="shared" si="17"/>
        <v>0</v>
      </c>
    </row>
    <row r="91" spans="2:27" ht="15.75" customHeight="1" x14ac:dyDescent="0.3">
      <c r="B91" s="21"/>
      <c r="C91" s="21"/>
      <c r="D91" s="21"/>
      <c r="E91" s="22" t="str">
        <f t="shared" si="9"/>
        <v/>
      </c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3" t="str">
        <f>IF($F91="","",IF(OR($B91="",$C91="",$D91=""),"⚠ Compléter Année/Niveau/Session",IF(AND($E91&lt;&gt;"",COUNTIF(D_KEY_DOUBLON,$B91&amp;"|"&amp;$D91&amp;"|"&amp;$E91)&gt;1),"⚠ Doublon",IF(AND($E91&lt;&gt;"",COUNTIF(D_KEY_STATUT,$B91&amp;"|"&amp;$E91&amp;"|P")&gt;0,COUNTIF(D_KEY_STATUT,$B91&amp;"|"&amp;$E91&amp;"|A")&gt;0),"⚠ Statut incohérent",IF(AND($D91="S1",$Y91&lt;&gt;"Parti",COUNTIF(ANNEES_VERROU,$B91)&gt;0,COUNTIF(D_KEY_NIVSES,$B91&amp;"|"&amp;$C91&amp;"|S2")&gt;0,COUNTIF(D_KEY_DOUBLON,$B91&amp;"|S2|"&amp;$E91)=0),"⚠ Départ non confirmé ?",IF(AND($C91&lt;&gt;"",ISNUMBER($I91),OR(VALUE(LEFT($B91,4))-$I91&lt;4+IFERROR(MATCH($C91,LISTE_NIVEAUX,0),99),VALUE(LEFT($B91,4))-$I91&gt;6+IFERROR(MATCH($C91,LISTE_NIVEAUX,0),99))),"⚠ Vérifier niveau",IF(AND(IFERROR(VLOOKUP($C91,TABLE_CYCLE,2,0),3)=2,COUNT($O91:$Q91)&gt;0),"⚠ Tests cycle 3",IF(COUNT($J91:$Q91)&gt;=IF(IFERROR(VLOOKUP($C91,TABLE_CYCLE,2,0),3)=2,5,8),"Complet","Incomplet"))))))))</f>
        <v/>
      </c>
      <c r="S91" s="24"/>
      <c r="T91" s="67" t="str">
        <f t="shared" si="10"/>
        <v/>
      </c>
      <c r="U91" s="67" t="str">
        <f t="shared" si="11"/>
        <v/>
      </c>
      <c r="V91" s="67" t="str">
        <f t="shared" si="12"/>
        <v/>
      </c>
      <c r="W91" s="67" t="str">
        <f t="shared" si="13"/>
        <v/>
      </c>
      <c r="X91" s="67" t="str">
        <f t="shared" si="14"/>
        <v/>
      </c>
      <c r="Y91" s="24" t="str">
        <f t="shared" si="15"/>
        <v/>
      </c>
      <c r="Z91">
        <f t="shared" si="16"/>
        <v>0</v>
      </c>
      <c r="AA91">
        <f t="shared" si="17"/>
        <v>0</v>
      </c>
    </row>
    <row r="92" spans="2:27" ht="15.75" customHeight="1" x14ac:dyDescent="0.3">
      <c r="B92" s="25"/>
      <c r="C92" s="25"/>
      <c r="D92" s="25"/>
      <c r="E92" s="26" t="str">
        <f t="shared" si="9"/>
        <v/>
      </c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3" t="str">
        <f>IF($F92="","",IF(OR($B92="",$C92="",$D92=""),"⚠ Compléter Année/Niveau/Session",IF(AND($E92&lt;&gt;"",COUNTIF(D_KEY_DOUBLON,$B92&amp;"|"&amp;$D92&amp;"|"&amp;$E92)&gt;1),"⚠ Doublon",IF(AND($E92&lt;&gt;"",COUNTIF(D_KEY_STATUT,$B92&amp;"|"&amp;$E92&amp;"|P")&gt;0,COUNTIF(D_KEY_STATUT,$B92&amp;"|"&amp;$E92&amp;"|A")&gt;0),"⚠ Statut incohérent",IF(AND($D92="S1",$Y92&lt;&gt;"Parti",COUNTIF(ANNEES_VERROU,$B92)&gt;0,COUNTIF(D_KEY_NIVSES,$B92&amp;"|"&amp;$C92&amp;"|S2")&gt;0,COUNTIF(D_KEY_DOUBLON,$B92&amp;"|S2|"&amp;$E92)=0),"⚠ Départ non confirmé ?",IF(AND($C92&lt;&gt;"",ISNUMBER($I92),OR(VALUE(LEFT($B92,4))-$I92&lt;4+IFERROR(MATCH($C92,LISTE_NIVEAUX,0),99),VALUE(LEFT($B92,4))-$I92&gt;6+IFERROR(MATCH($C92,LISTE_NIVEAUX,0),99))),"⚠ Vérifier niveau",IF(AND(IFERROR(VLOOKUP($C92,TABLE_CYCLE,2,0),3)=2,COUNT($O92:$Q92)&gt;0),"⚠ Tests cycle 3",IF(COUNT($J92:$Q92)&gt;=IF(IFERROR(VLOOKUP($C92,TABLE_CYCLE,2,0),3)=2,5,8),"Complet","Incomplet"))))))))</f>
        <v/>
      </c>
      <c r="S92" s="24"/>
      <c r="T92" s="67" t="str">
        <f t="shared" si="10"/>
        <v/>
      </c>
      <c r="U92" s="67" t="str">
        <f t="shared" si="11"/>
        <v/>
      </c>
      <c r="V92" s="67" t="str">
        <f t="shared" si="12"/>
        <v/>
      </c>
      <c r="W92" s="67" t="str">
        <f t="shared" si="13"/>
        <v/>
      </c>
      <c r="X92" s="67" t="str">
        <f t="shared" si="14"/>
        <v/>
      </c>
      <c r="Y92" s="24" t="str">
        <f t="shared" si="15"/>
        <v/>
      </c>
      <c r="Z92">
        <f t="shared" si="16"/>
        <v>0</v>
      </c>
      <c r="AA92">
        <f t="shared" si="17"/>
        <v>0</v>
      </c>
    </row>
    <row r="93" spans="2:27" ht="15.75" customHeight="1" x14ac:dyDescent="0.3">
      <c r="B93" s="21"/>
      <c r="C93" s="21"/>
      <c r="D93" s="21"/>
      <c r="E93" s="22" t="str">
        <f t="shared" si="9"/>
        <v/>
      </c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3" t="str">
        <f>IF($F93="","",IF(OR($B93="",$C93="",$D93=""),"⚠ Compléter Année/Niveau/Session",IF(AND($E93&lt;&gt;"",COUNTIF(D_KEY_DOUBLON,$B93&amp;"|"&amp;$D93&amp;"|"&amp;$E93)&gt;1),"⚠ Doublon",IF(AND($E93&lt;&gt;"",COUNTIF(D_KEY_STATUT,$B93&amp;"|"&amp;$E93&amp;"|P")&gt;0,COUNTIF(D_KEY_STATUT,$B93&amp;"|"&amp;$E93&amp;"|A")&gt;0),"⚠ Statut incohérent",IF(AND($D93="S1",$Y93&lt;&gt;"Parti",COUNTIF(ANNEES_VERROU,$B93)&gt;0,COUNTIF(D_KEY_NIVSES,$B93&amp;"|"&amp;$C93&amp;"|S2")&gt;0,COUNTIF(D_KEY_DOUBLON,$B93&amp;"|S2|"&amp;$E93)=0),"⚠ Départ non confirmé ?",IF(AND($C93&lt;&gt;"",ISNUMBER($I93),OR(VALUE(LEFT($B93,4))-$I93&lt;4+IFERROR(MATCH($C93,LISTE_NIVEAUX,0),99),VALUE(LEFT($B93,4))-$I93&gt;6+IFERROR(MATCH($C93,LISTE_NIVEAUX,0),99))),"⚠ Vérifier niveau",IF(AND(IFERROR(VLOOKUP($C93,TABLE_CYCLE,2,0),3)=2,COUNT($O93:$Q93)&gt;0),"⚠ Tests cycle 3",IF(COUNT($J93:$Q93)&gt;=IF(IFERROR(VLOOKUP($C93,TABLE_CYCLE,2,0),3)=2,5,8),"Complet","Incomplet"))))))))</f>
        <v/>
      </c>
      <c r="S93" s="24"/>
      <c r="T93" s="67" t="str">
        <f t="shared" si="10"/>
        <v/>
      </c>
      <c r="U93" s="67" t="str">
        <f t="shared" si="11"/>
        <v/>
      </c>
      <c r="V93" s="67" t="str">
        <f t="shared" si="12"/>
        <v/>
      </c>
      <c r="W93" s="67" t="str">
        <f t="shared" si="13"/>
        <v/>
      </c>
      <c r="X93" s="67" t="str">
        <f t="shared" si="14"/>
        <v/>
      </c>
      <c r="Y93" s="24" t="str">
        <f t="shared" si="15"/>
        <v/>
      </c>
      <c r="Z93">
        <f t="shared" si="16"/>
        <v>0</v>
      </c>
      <c r="AA93">
        <f t="shared" si="17"/>
        <v>0</v>
      </c>
    </row>
    <row r="94" spans="2:27" ht="15.75" customHeight="1" x14ac:dyDescent="0.3">
      <c r="B94" s="25"/>
      <c r="C94" s="25"/>
      <c r="D94" s="25"/>
      <c r="E94" s="26" t="str">
        <f t="shared" si="9"/>
        <v/>
      </c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3" t="str">
        <f>IF($F94="","",IF(OR($B94="",$C94="",$D94=""),"⚠ Compléter Année/Niveau/Session",IF(AND($E94&lt;&gt;"",COUNTIF(D_KEY_DOUBLON,$B94&amp;"|"&amp;$D94&amp;"|"&amp;$E94)&gt;1),"⚠ Doublon",IF(AND($E94&lt;&gt;"",COUNTIF(D_KEY_STATUT,$B94&amp;"|"&amp;$E94&amp;"|P")&gt;0,COUNTIF(D_KEY_STATUT,$B94&amp;"|"&amp;$E94&amp;"|A")&gt;0),"⚠ Statut incohérent",IF(AND($D94="S1",$Y94&lt;&gt;"Parti",COUNTIF(ANNEES_VERROU,$B94)&gt;0,COUNTIF(D_KEY_NIVSES,$B94&amp;"|"&amp;$C94&amp;"|S2")&gt;0,COUNTIF(D_KEY_DOUBLON,$B94&amp;"|S2|"&amp;$E94)=0),"⚠ Départ non confirmé ?",IF(AND($C94&lt;&gt;"",ISNUMBER($I94),OR(VALUE(LEFT($B94,4))-$I94&lt;4+IFERROR(MATCH($C94,LISTE_NIVEAUX,0),99),VALUE(LEFT($B94,4))-$I94&gt;6+IFERROR(MATCH($C94,LISTE_NIVEAUX,0),99))),"⚠ Vérifier niveau",IF(AND(IFERROR(VLOOKUP($C94,TABLE_CYCLE,2,0),3)=2,COUNT($O94:$Q94)&gt;0),"⚠ Tests cycle 3",IF(COUNT($J94:$Q94)&gt;=IF(IFERROR(VLOOKUP($C94,TABLE_CYCLE,2,0),3)=2,5,8),"Complet","Incomplet"))))))))</f>
        <v/>
      </c>
      <c r="S94" s="24"/>
      <c r="T94" s="67" t="str">
        <f t="shared" si="10"/>
        <v/>
      </c>
      <c r="U94" s="67" t="str">
        <f t="shared" si="11"/>
        <v/>
      </c>
      <c r="V94" s="67" t="str">
        <f t="shared" si="12"/>
        <v/>
      </c>
      <c r="W94" s="67" t="str">
        <f t="shared" si="13"/>
        <v/>
      </c>
      <c r="X94" s="67" t="str">
        <f t="shared" si="14"/>
        <v/>
      </c>
      <c r="Y94" s="24" t="str">
        <f t="shared" si="15"/>
        <v/>
      </c>
      <c r="Z94">
        <f t="shared" si="16"/>
        <v>0</v>
      </c>
      <c r="AA94">
        <f t="shared" si="17"/>
        <v>0</v>
      </c>
    </row>
    <row r="95" spans="2:27" ht="15.75" customHeight="1" x14ac:dyDescent="0.3">
      <c r="B95" s="21"/>
      <c r="C95" s="21"/>
      <c r="D95" s="21"/>
      <c r="E95" s="22" t="str">
        <f t="shared" si="9"/>
        <v/>
      </c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3" t="str">
        <f>IF($F95="","",IF(OR($B95="",$C95="",$D95=""),"⚠ Compléter Année/Niveau/Session",IF(AND($E95&lt;&gt;"",COUNTIF(D_KEY_DOUBLON,$B95&amp;"|"&amp;$D95&amp;"|"&amp;$E95)&gt;1),"⚠ Doublon",IF(AND($E95&lt;&gt;"",COUNTIF(D_KEY_STATUT,$B95&amp;"|"&amp;$E95&amp;"|P")&gt;0,COUNTIF(D_KEY_STATUT,$B95&amp;"|"&amp;$E95&amp;"|A")&gt;0),"⚠ Statut incohérent",IF(AND($D95="S1",$Y95&lt;&gt;"Parti",COUNTIF(ANNEES_VERROU,$B95)&gt;0,COUNTIF(D_KEY_NIVSES,$B95&amp;"|"&amp;$C95&amp;"|S2")&gt;0,COUNTIF(D_KEY_DOUBLON,$B95&amp;"|S2|"&amp;$E95)=0),"⚠ Départ non confirmé ?",IF(AND($C95&lt;&gt;"",ISNUMBER($I95),OR(VALUE(LEFT($B95,4))-$I95&lt;4+IFERROR(MATCH($C95,LISTE_NIVEAUX,0),99),VALUE(LEFT($B95,4))-$I95&gt;6+IFERROR(MATCH($C95,LISTE_NIVEAUX,0),99))),"⚠ Vérifier niveau",IF(AND(IFERROR(VLOOKUP($C95,TABLE_CYCLE,2,0),3)=2,COUNT($O95:$Q95)&gt;0),"⚠ Tests cycle 3",IF(COUNT($J95:$Q95)&gt;=IF(IFERROR(VLOOKUP($C95,TABLE_CYCLE,2,0),3)=2,5,8),"Complet","Incomplet"))))))))</f>
        <v/>
      </c>
      <c r="S95" s="24"/>
      <c r="T95" s="67" t="str">
        <f t="shared" si="10"/>
        <v/>
      </c>
      <c r="U95" s="67" t="str">
        <f t="shared" si="11"/>
        <v/>
      </c>
      <c r="V95" s="67" t="str">
        <f t="shared" si="12"/>
        <v/>
      </c>
      <c r="W95" s="67" t="str">
        <f t="shared" si="13"/>
        <v/>
      </c>
      <c r="X95" s="67" t="str">
        <f t="shared" si="14"/>
        <v/>
      </c>
      <c r="Y95" s="24" t="str">
        <f t="shared" si="15"/>
        <v/>
      </c>
      <c r="Z95">
        <f t="shared" si="16"/>
        <v>0</v>
      </c>
      <c r="AA95">
        <f t="shared" si="17"/>
        <v>0</v>
      </c>
    </row>
    <row r="96" spans="2:27" ht="15.75" customHeight="1" x14ac:dyDescent="0.3">
      <c r="B96" s="25"/>
      <c r="C96" s="25"/>
      <c r="D96" s="25"/>
      <c r="E96" s="26" t="str">
        <f t="shared" si="9"/>
        <v/>
      </c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3" t="str">
        <f>IF($F96="","",IF(OR($B96="",$C96="",$D96=""),"⚠ Compléter Année/Niveau/Session",IF(AND($E96&lt;&gt;"",COUNTIF(D_KEY_DOUBLON,$B96&amp;"|"&amp;$D96&amp;"|"&amp;$E96)&gt;1),"⚠ Doublon",IF(AND($E96&lt;&gt;"",COUNTIF(D_KEY_STATUT,$B96&amp;"|"&amp;$E96&amp;"|P")&gt;0,COUNTIF(D_KEY_STATUT,$B96&amp;"|"&amp;$E96&amp;"|A")&gt;0),"⚠ Statut incohérent",IF(AND($D96="S1",$Y96&lt;&gt;"Parti",COUNTIF(ANNEES_VERROU,$B96)&gt;0,COUNTIF(D_KEY_NIVSES,$B96&amp;"|"&amp;$C96&amp;"|S2")&gt;0,COUNTIF(D_KEY_DOUBLON,$B96&amp;"|S2|"&amp;$E96)=0),"⚠ Départ non confirmé ?",IF(AND($C96&lt;&gt;"",ISNUMBER($I96),OR(VALUE(LEFT($B96,4))-$I96&lt;4+IFERROR(MATCH($C96,LISTE_NIVEAUX,0),99),VALUE(LEFT($B96,4))-$I96&gt;6+IFERROR(MATCH($C96,LISTE_NIVEAUX,0),99))),"⚠ Vérifier niveau",IF(AND(IFERROR(VLOOKUP($C96,TABLE_CYCLE,2,0),3)=2,COUNT($O96:$Q96)&gt;0),"⚠ Tests cycle 3",IF(COUNT($J96:$Q96)&gt;=IF(IFERROR(VLOOKUP($C96,TABLE_CYCLE,2,0),3)=2,5,8),"Complet","Incomplet"))))))))</f>
        <v/>
      </c>
      <c r="S96" s="24"/>
      <c r="T96" s="67" t="str">
        <f t="shared" si="10"/>
        <v/>
      </c>
      <c r="U96" s="67" t="str">
        <f t="shared" si="11"/>
        <v/>
      </c>
      <c r="V96" s="67" t="str">
        <f t="shared" si="12"/>
        <v/>
      </c>
      <c r="W96" s="67" t="str">
        <f t="shared" si="13"/>
        <v/>
      </c>
      <c r="X96" s="67" t="str">
        <f t="shared" si="14"/>
        <v/>
      </c>
      <c r="Y96" s="24" t="str">
        <f t="shared" si="15"/>
        <v/>
      </c>
      <c r="Z96">
        <f t="shared" si="16"/>
        <v>0</v>
      </c>
      <c r="AA96">
        <f t="shared" si="17"/>
        <v>0</v>
      </c>
    </row>
    <row r="97" spans="2:27" ht="15.75" customHeight="1" x14ac:dyDescent="0.3">
      <c r="B97" s="21"/>
      <c r="C97" s="21"/>
      <c r="D97" s="21"/>
      <c r="E97" s="22" t="str">
        <f t="shared" si="9"/>
        <v/>
      </c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3" t="str">
        <f>IF($F97="","",IF(OR($B97="",$C97="",$D97=""),"⚠ Compléter Année/Niveau/Session",IF(AND($E97&lt;&gt;"",COUNTIF(D_KEY_DOUBLON,$B97&amp;"|"&amp;$D97&amp;"|"&amp;$E97)&gt;1),"⚠ Doublon",IF(AND($E97&lt;&gt;"",COUNTIF(D_KEY_STATUT,$B97&amp;"|"&amp;$E97&amp;"|P")&gt;0,COUNTIF(D_KEY_STATUT,$B97&amp;"|"&amp;$E97&amp;"|A")&gt;0),"⚠ Statut incohérent",IF(AND($D97="S1",$Y97&lt;&gt;"Parti",COUNTIF(ANNEES_VERROU,$B97)&gt;0,COUNTIF(D_KEY_NIVSES,$B97&amp;"|"&amp;$C97&amp;"|S2")&gt;0,COUNTIF(D_KEY_DOUBLON,$B97&amp;"|S2|"&amp;$E97)=0),"⚠ Départ non confirmé ?",IF(AND($C97&lt;&gt;"",ISNUMBER($I97),OR(VALUE(LEFT($B97,4))-$I97&lt;4+IFERROR(MATCH($C97,LISTE_NIVEAUX,0),99),VALUE(LEFT($B97,4))-$I97&gt;6+IFERROR(MATCH($C97,LISTE_NIVEAUX,0),99))),"⚠ Vérifier niveau",IF(AND(IFERROR(VLOOKUP($C97,TABLE_CYCLE,2,0),3)=2,COUNT($O97:$Q97)&gt;0),"⚠ Tests cycle 3",IF(COUNT($J97:$Q97)&gt;=IF(IFERROR(VLOOKUP($C97,TABLE_CYCLE,2,0),3)=2,5,8),"Complet","Incomplet"))))))))</f>
        <v/>
      </c>
      <c r="S97" s="24"/>
      <c r="T97" s="67" t="str">
        <f t="shared" si="10"/>
        <v/>
      </c>
      <c r="U97" s="67" t="str">
        <f t="shared" si="11"/>
        <v/>
      </c>
      <c r="V97" s="67" t="str">
        <f t="shared" si="12"/>
        <v/>
      </c>
      <c r="W97" s="67" t="str">
        <f t="shared" si="13"/>
        <v/>
      </c>
      <c r="X97" s="67" t="str">
        <f t="shared" si="14"/>
        <v/>
      </c>
      <c r="Y97" s="24" t="str">
        <f t="shared" si="15"/>
        <v/>
      </c>
      <c r="Z97">
        <f t="shared" si="16"/>
        <v>0</v>
      </c>
      <c r="AA97">
        <f t="shared" si="17"/>
        <v>0</v>
      </c>
    </row>
    <row r="98" spans="2:27" ht="15.75" customHeight="1" x14ac:dyDescent="0.3">
      <c r="B98" s="25"/>
      <c r="C98" s="25"/>
      <c r="D98" s="25"/>
      <c r="E98" s="26" t="str">
        <f t="shared" si="9"/>
        <v/>
      </c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3" t="str">
        <f>IF($F98="","",IF(OR($B98="",$C98="",$D98=""),"⚠ Compléter Année/Niveau/Session",IF(AND($E98&lt;&gt;"",COUNTIF(D_KEY_DOUBLON,$B98&amp;"|"&amp;$D98&amp;"|"&amp;$E98)&gt;1),"⚠ Doublon",IF(AND($E98&lt;&gt;"",COUNTIF(D_KEY_STATUT,$B98&amp;"|"&amp;$E98&amp;"|P")&gt;0,COUNTIF(D_KEY_STATUT,$B98&amp;"|"&amp;$E98&amp;"|A")&gt;0),"⚠ Statut incohérent",IF(AND($D98="S1",$Y98&lt;&gt;"Parti",COUNTIF(ANNEES_VERROU,$B98)&gt;0,COUNTIF(D_KEY_NIVSES,$B98&amp;"|"&amp;$C98&amp;"|S2")&gt;0,COUNTIF(D_KEY_DOUBLON,$B98&amp;"|S2|"&amp;$E98)=0),"⚠ Départ non confirmé ?",IF(AND($C98&lt;&gt;"",ISNUMBER($I98),OR(VALUE(LEFT($B98,4))-$I98&lt;4+IFERROR(MATCH($C98,LISTE_NIVEAUX,0),99),VALUE(LEFT($B98,4))-$I98&gt;6+IFERROR(MATCH($C98,LISTE_NIVEAUX,0),99))),"⚠ Vérifier niveau",IF(AND(IFERROR(VLOOKUP($C98,TABLE_CYCLE,2,0),3)=2,COUNT($O98:$Q98)&gt;0),"⚠ Tests cycle 3",IF(COUNT($J98:$Q98)&gt;=IF(IFERROR(VLOOKUP($C98,TABLE_CYCLE,2,0),3)=2,5,8),"Complet","Incomplet"))))))))</f>
        <v/>
      </c>
      <c r="S98" s="24"/>
      <c r="T98" s="67" t="str">
        <f t="shared" si="10"/>
        <v/>
      </c>
      <c r="U98" s="67" t="str">
        <f t="shared" si="11"/>
        <v/>
      </c>
      <c r="V98" s="67" t="str">
        <f t="shared" si="12"/>
        <v/>
      </c>
      <c r="W98" s="67" t="str">
        <f t="shared" si="13"/>
        <v/>
      </c>
      <c r="X98" s="67" t="str">
        <f t="shared" si="14"/>
        <v/>
      </c>
      <c r="Y98" s="24" t="str">
        <f t="shared" si="15"/>
        <v/>
      </c>
      <c r="Z98">
        <f t="shared" si="16"/>
        <v>0</v>
      </c>
      <c r="AA98">
        <f t="shared" si="17"/>
        <v>0</v>
      </c>
    </row>
    <row r="99" spans="2:27" ht="15.75" customHeight="1" x14ac:dyDescent="0.3">
      <c r="B99" s="21"/>
      <c r="C99" s="21"/>
      <c r="D99" s="21"/>
      <c r="E99" s="22" t="str">
        <f t="shared" si="9"/>
        <v/>
      </c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3" t="str">
        <f>IF($F99="","",IF(OR($B99="",$C99="",$D99=""),"⚠ Compléter Année/Niveau/Session",IF(AND($E99&lt;&gt;"",COUNTIF(D_KEY_DOUBLON,$B99&amp;"|"&amp;$D99&amp;"|"&amp;$E99)&gt;1),"⚠ Doublon",IF(AND($E99&lt;&gt;"",COUNTIF(D_KEY_STATUT,$B99&amp;"|"&amp;$E99&amp;"|P")&gt;0,COUNTIF(D_KEY_STATUT,$B99&amp;"|"&amp;$E99&amp;"|A")&gt;0),"⚠ Statut incohérent",IF(AND($D99="S1",$Y99&lt;&gt;"Parti",COUNTIF(ANNEES_VERROU,$B99)&gt;0,COUNTIF(D_KEY_NIVSES,$B99&amp;"|"&amp;$C99&amp;"|S2")&gt;0,COUNTIF(D_KEY_DOUBLON,$B99&amp;"|S2|"&amp;$E99)=0),"⚠ Départ non confirmé ?",IF(AND($C99&lt;&gt;"",ISNUMBER($I99),OR(VALUE(LEFT($B99,4))-$I99&lt;4+IFERROR(MATCH($C99,LISTE_NIVEAUX,0),99),VALUE(LEFT($B99,4))-$I99&gt;6+IFERROR(MATCH($C99,LISTE_NIVEAUX,0),99))),"⚠ Vérifier niveau",IF(AND(IFERROR(VLOOKUP($C99,TABLE_CYCLE,2,0),3)=2,COUNT($O99:$Q99)&gt;0),"⚠ Tests cycle 3",IF(COUNT($J99:$Q99)&gt;=IF(IFERROR(VLOOKUP($C99,TABLE_CYCLE,2,0),3)=2,5,8),"Complet","Incomplet"))))))))</f>
        <v/>
      </c>
      <c r="S99" s="24"/>
      <c r="T99" s="67" t="str">
        <f t="shared" si="10"/>
        <v/>
      </c>
      <c r="U99" s="67" t="str">
        <f t="shared" si="11"/>
        <v/>
      </c>
      <c r="V99" s="67" t="str">
        <f t="shared" si="12"/>
        <v/>
      </c>
      <c r="W99" s="67" t="str">
        <f t="shared" si="13"/>
        <v/>
      </c>
      <c r="X99" s="67" t="str">
        <f t="shared" si="14"/>
        <v/>
      </c>
      <c r="Y99" s="24" t="str">
        <f t="shared" si="15"/>
        <v/>
      </c>
      <c r="Z99">
        <f t="shared" si="16"/>
        <v>0</v>
      </c>
      <c r="AA99">
        <f t="shared" si="17"/>
        <v>0</v>
      </c>
    </row>
    <row r="100" spans="2:27" ht="15.75" customHeight="1" x14ac:dyDescent="0.3">
      <c r="B100" s="25"/>
      <c r="C100" s="25"/>
      <c r="D100" s="25"/>
      <c r="E100" s="26" t="str">
        <f t="shared" si="9"/>
        <v/>
      </c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3" t="str">
        <f>IF($F100="","",IF(OR($B100="",$C100="",$D100=""),"⚠ Compléter Année/Niveau/Session",IF(AND($E100&lt;&gt;"",COUNTIF(D_KEY_DOUBLON,$B100&amp;"|"&amp;$D100&amp;"|"&amp;$E100)&gt;1),"⚠ Doublon",IF(AND($E100&lt;&gt;"",COUNTIF(D_KEY_STATUT,$B100&amp;"|"&amp;$E100&amp;"|P")&gt;0,COUNTIF(D_KEY_STATUT,$B100&amp;"|"&amp;$E100&amp;"|A")&gt;0),"⚠ Statut incohérent",IF(AND($D100="S1",$Y100&lt;&gt;"Parti",COUNTIF(ANNEES_VERROU,$B100)&gt;0,COUNTIF(D_KEY_NIVSES,$B100&amp;"|"&amp;$C100&amp;"|S2")&gt;0,COUNTIF(D_KEY_DOUBLON,$B100&amp;"|S2|"&amp;$E100)=0),"⚠ Départ non confirmé ?",IF(AND($C100&lt;&gt;"",ISNUMBER($I100),OR(VALUE(LEFT($B100,4))-$I100&lt;4+IFERROR(MATCH($C100,LISTE_NIVEAUX,0),99),VALUE(LEFT($B100,4))-$I100&gt;6+IFERROR(MATCH($C100,LISTE_NIVEAUX,0),99))),"⚠ Vérifier niveau",IF(AND(IFERROR(VLOOKUP($C100,TABLE_CYCLE,2,0),3)=2,COUNT($O100:$Q100)&gt;0),"⚠ Tests cycle 3",IF(COUNT($J100:$Q100)&gt;=IF(IFERROR(VLOOKUP($C100,TABLE_CYCLE,2,0),3)=2,5,8),"Complet","Incomplet"))))))))</f>
        <v/>
      </c>
      <c r="S100" s="24"/>
      <c r="T100" s="67" t="str">
        <f t="shared" si="10"/>
        <v/>
      </c>
      <c r="U100" s="67" t="str">
        <f t="shared" si="11"/>
        <v/>
      </c>
      <c r="V100" s="67" t="str">
        <f t="shared" si="12"/>
        <v/>
      </c>
      <c r="W100" s="67" t="str">
        <f t="shared" si="13"/>
        <v/>
      </c>
      <c r="X100" s="67" t="str">
        <f t="shared" si="14"/>
        <v/>
      </c>
      <c r="Y100" s="24" t="str">
        <f t="shared" si="15"/>
        <v/>
      </c>
      <c r="Z100">
        <f t="shared" si="16"/>
        <v>0</v>
      </c>
      <c r="AA100">
        <f t="shared" si="17"/>
        <v>0</v>
      </c>
    </row>
    <row r="101" spans="2:27" ht="15.75" customHeight="1" x14ac:dyDescent="0.3">
      <c r="B101" s="21"/>
      <c r="C101" s="21"/>
      <c r="D101" s="21"/>
      <c r="E101" s="22" t="str">
        <f t="shared" si="9"/>
        <v/>
      </c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3" t="str">
        <f>IF($F101="","",IF(OR($B101="",$C101="",$D101=""),"⚠ Compléter Année/Niveau/Session",IF(AND($E101&lt;&gt;"",COUNTIF(D_KEY_DOUBLON,$B101&amp;"|"&amp;$D101&amp;"|"&amp;$E101)&gt;1),"⚠ Doublon",IF(AND($E101&lt;&gt;"",COUNTIF(D_KEY_STATUT,$B101&amp;"|"&amp;$E101&amp;"|P")&gt;0,COUNTIF(D_KEY_STATUT,$B101&amp;"|"&amp;$E101&amp;"|A")&gt;0),"⚠ Statut incohérent",IF(AND($D101="S1",$Y101&lt;&gt;"Parti",COUNTIF(ANNEES_VERROU,$B101)&gt;0,COUNTIF(D_KEY_NIVSES,$B101&amp;"|"&amp;$C101&amp;"|S2")&gt;0,COUNTIF(D_KEY_DOUBLON,$B101&amp;"|S2|"&amp;$E101)=0),"⚠ Départ non confirmé ?",IF(AND($C101&lt;&gt;"",ISNUMBER($I101),OR(VALUE(LEFT($B101,4))-$I101&lt;4+IFERROR(MATCH($C101,LISTE_NIVEAUX,0),99),VALUE(LEFT($B101,4))-$I101&gt;6+IFERROR(MATCH($C101,LISTE_NIVEAUX,0),99))),"⚠ Vérifier niveau",IF(AND(IFERROR(VLOOKUP($C101,TABLE_CYCLE,2,0),3)=2,COUNT($O101:$Q101)&gt;0),"⚠ Tests cycle 3",IF(COUNT($J101:$Q101)&gt;=IF(IFERROR(VLOOKUP($C101,TABLE_CYCLE,2,0),3)=2,5,8),"Complet","Incomplet"))))))))</f>
        <v/>
      </c>
      <c r="S101" s="24"/>
      <c r="T101" s="67" t="str">
        <f t="shared" si="10"/>
        <v/>
      </c>
      <c r="U101" s="67" t="str">
        <f t="shared" si="11"/>
        <v/>
      </c>
      <c r="V101" s="67" t="str">
        <f t="shared" si="12"/>
        <v/>
      </c>
      <c r="W101" s="67" t="str">
        <f t="shared" si="13"/>
        <v/>
      </c>
      <c r="X101" s="67" t="str">
        <f t="shared" si="14"/>
        <v/>
      </c>
      <c r="Y101" s="24" t="str">
        <f t="shared" si="15"/>
        <v/>
      </c>
      <c r="Z101">
        <f t="shared" si="16"/>
        <v>0</v>
      </c>
      <c r="AA101">
        <f t="shared" si="17"/>
        <v>0</v>
      </c>
    </row>
    <row r="102" spans="2:27" ht="15.75" customHeight="1" x14ac:dyDescent="0.3">
      <c r="B102" s="25"/>
      <c r="C102" s="25"/>
      <c r="D102" s="25"/>
      <c r="E102" s="26" t="str">
        <f t="shared" si="9"/>
        <v/>
      </c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3" t="str">
        <f>IF($F102="","",IF(OR($B102="",$C102="",$D102=""),"⚠ Compléter Année/Niveau/Session",IF(AND($E102&lt;&gt;"",COUNTIF(D_KEY_DOUBLON,$B102&amp;"|"&amp;$D102&amp;"|"&amp;$E102)&gt;1),"⚠ Doublon",IF(AND($E102&lt;&gt;"",COUNTIF(D_KEY_STATUT,$B102&amp;"|"&amp;$E102&amp;"|P")&gt;0,COUNTIF(D_KEY_STATUT,$B102&amp;"|"&amp;$E102&amp;"|A")&gt;0),"⚠ Statut incohérent",IF(AND($D102="S1",$Y102&lt;&gt;"Parti",COUNTIF(ANNEES_VERROU,$B102)&gt;0,COUNTIF(D_KEY_NIVSES,$B102&amp;"|"&amp;$C102&amp;"|S2")&gt;0,COUNTIF(D_KEY_DOUBLON,$B102&amp;"|S2|"&amp;$E102)=0),"⚠ Départ non confirmé ?",IF(AND($C102&lt;&gt;"",ISNUMBER($I102),OR(VALUE(LEFT($B102,4))-$I102&lt;4+IFERROR(MATCH($C102,LISTE_NIVEAUX,0),99),VALUE(LEFT($B102,4))-$I102&gt;6+IFERROR(MATCH($C102,LISTE_NIVEAUX,0),99))),"⚠ Vérifier niveau",IF(AND(IFERROR(VLOOKUP($C102,TABLE_CYCLE,2,0),3)=2,COUNT($O102:$Q102)&gt;0),"⚠ Tests cycle 3",IF(COUNT($J102:$Q102)&gt;=IF(IFERROR(VLOOKUP($C102,TABLE_CYCLE,2,0),3)=2,5,8),"Complet","Incomplet"))))))))</f>
        <v/>
      </c>
      <c r="S102" s="24"/>
      <c r="T102" s="67" t="str">
        <f t="shared" si="10"/>
        <v/>
      </c>
      <c r="U102" s="67" t="str">
        <f t="shared" si="11"/>
        <v/>
      </c>
      <c r="V102" s="67" t="str">
        <f t="shared" si="12"/>
        <v/>
      </c>
      <c r="W102" s="67" t="str">
        <f t="shared" si="13"/>
        <v/>
      </c>
      <c r="X102" s="67" t="str">
        <f t="shared" si="14"/>
        <v/>
      </c>
      <c r="Y102" s="24" t="str">
        <f t="shared" si="15"/>
        <v/>
      </c>
      <c r="Z102">
        <f t="shared" si="16"/>
        <v>0</v>
      </c>
      <c r="AA102">
        <f t="shared" si="17"/>
        <v>0</v>
      </c>
    </row>
    <row r="103" spans="2:27" ht="15.75" customHeight="1" x14ac:dyDescent="0.3">
      <c r="B103" s="21"/>
      <c r="C103" s="21"/>
      <c r="D103" s="21"/>
      <c r="E103" s="22" t="str">
        <f t="shared" si="9"/>
        <v/>
      </c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3" t="str">
        <f>IF($F103="","",IF(OR($B103="",$C103="",$D103=""),"⚠ Compléter Année/Niveau/Session",IF(AND($E103&lt;&gt;"",COUNTIF(D_KEY_DOUBLON,$B103&amp;"|"&amp;$D103&amp;"|"&amp;$E103)&gt;1),"⚠ Doublon",IF(AND($E103&lt;&gt;"",COUNTIF(D_KEY_STATUT,$B103&amp;"|"&amp;$E103&amp;"|P")&gt;0,COUNTIF(D_KEY_STATUT,$B103&amp;"|"&amp;$E103&amp;"|A")&gt;0),"⚠ Statut incohérent",IF(AND($D103="S1",$Y103&lt;&gt;"Parti",COUNTIF(ANNEES_VERROU,$B103)&gt;0,COUNTIF(D_KEY_NIVSES,$B103&amp;"|"&amp;$C103&amp;"|S2")&gt;0,COUNTIF(D_KEY_DOUBLON,$B103&amp;"|S2|"&amp;$E103)=0),"⚠ Départ non confirmé ?",IF(AND($C103&lt;&gt;"",ISNUMBER($I103),OR(VALUE(LEFT($B103,4))-$I103&lt;4+IFERROR(MATCH($C103,LISTE_NIVEAUX,0),99),VALUE(LEFT($B103,4))-$I103&gt;6+IFERROR(MATCH($C103,LISTE_NIVEAUX,0),99))),"⚠ Vérifier niveau",IF(AND(IFERROR(VLOOKUP($C103,TABLE_CYCLE,2,0),3)=2,COUNT($O103:$Q103)&gt;0),"⚠ Tests cycle 3",IF(COUNT($J103:$Q103)&gt;=IF(IFERROR(VLOOKUP($C103,TABLE_CYCLE,2,0),3)=2,5,8),"Complet","Incomplet"))))))))</f>
        <v/>
      </c>
      <c r="S103" s="24"/>
      <c r="T103" s="67" t="str">
        <f t="shared" si="10"/>
        <v/>
      </c>
      <c r="U103" s="67" t="str">
        <f t="shared" si="11"/>
        <v/>
      </c>
      <c r="V103" s="67" t="str">
        <f t="shared" si="12"/>
        <v/>
      </c>
      <c r="W103" s="67" t="str">
        <f t="shared" si="13"/>
        <v/>
      </c>
      <c r="X103" s="67" t="str">
        <f t="shared" si="14"/>
        <v/>
      </c>
      <c r="Y103" s="24" t="str">
        <f t="shared" si="15"/>
        <v/>
      </c>
      <c r="Z103">
        <f t="shared" si="16"/>
        <v>0</v>
      </c>
      <c r="AA103">
        <f t="shared" si="17"/>
        <v>0</v>
      </c>
    </row>
    <row r="104" spans="2:27" ht="15.75" customHeight="1" x14ac:dyDescent="0.3">
      <c r="B104" s="25"/>
      <c r="C104" s="25"/>
      <c r="D104" s="25"/>
      <c r="E104" s="26" t="str">
        <f t="shared" si="9"/>
        <v/>
      </c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3" t="str">
        <f>IF($F104="","",IF(OR($B104="",$C104="",$D104=""),"⚠ Compléter Année/Niveau/Session",IF(AND($E104&lt;&gt;"",COUNTIF(D_KEY_DOUBLON,$B104&amp;"|"&amp;$D104&amp;"|"&amp;$E104)&gt;1),"⚠ Doublon",IF(AND($E104&lt;&gt;"",COUNTIF(D_KEY_STATUT,$B104&amp;"|"&amp;$E104&amp;"|P")&gt;0,COUNTIF(D_KEY_STATUT,$B104&amp;"|"&amp;$E104&amp;"|A")&gt;0),"⚠ Statut incohérent",IF(AND($D104="S1",$Y104&lt;&gt;"Parti",COUNTIF(ANNEES_VERROU,$B104)&gt;0,COUNTIF(D_KEY_NIVSES,$B104&amp;"|"&amp;$C104&amp;"|S2")&gt;0,COUNTIF(D_KEY_DOUBLON,$B104&amp;"|S2|"&amp;$E104)=0),"⚠ Départ non confirmé ?",IF(AND($C104&lt;&gt;"",ISNUMBER($I104),OR(VALUE(LEFT($B104,4))-$I104&lt;4+IFERROR(MATCH($C104,LISTE_NIVEAUX,0),99),VALUE(LEFT($B104,4))-$I104&gt;6+IFERROR(MATCH($C104,LISTE_NIVEAUX,0),99))),"⚠ Vérifier niveau",IF(AND(IFERROR(VLOOKUP($C104,TABLE_CYCLE,2,0),3)=2,COUNT($O104:$Q104)&gt;0),"⚠ Tests cycle 3",IF(COUNT($J104:$Q104)&gt;=IF(IFERROR(VLOOKUP($C104,TABLE_CYCLE,2,0),3)=2,5,8),"Complet","Incomplet"))))))))</f>
        <v/>
      </c>
      <c r="S104" s="24"/>
      <c r="T104" s="67" t="str">
        <f t="shared" si="10"/>
        <v/>
      </c>
      <c r="U104" s="67" t="str">
        <f t="shared" si="11"/>
        <v/>
      </c>
      <c r="V104" s="67" t="str">
        <f t="shared" si="12"/>
        <v/>
      </c>
      <c r="W104" s="67" t="str">
        <f t="shared" si="13"/>
        <v/>
      </c>
      <c r="X104" s="67" t="str">
        <f t="shared" si="14"/>
        <v/>
      </c>
      <c r="Y104" s="24" t="str">
        <f t="shared" si="15"/>
        <v/>
      </c>
      <c r="Z104">
        <f t="shared" si="16"/>
        <v>0</v>
      </c>
      <c r="AA104">
        <f t="shared" si="17"/>
        <v>0</v>
      </c>
    </row>
    <row r="105" spans="2:27" ht="15.75" customHeight="1" x14ac:dyDescent="0.3">
      <c r="B105" s="21"/>
      <c r="C105" s="21"/>
      <c r="D105" s="21"/>
      <c r="E105" s="22" t="str">
        <f t="shared" si="9"/>
        <v/>
      </c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3" t="str">
        <f>IF($F105="","",IF(OR($B105="",$C105="",$D105=""),"⚠ Compléter Année/Niveau/Session",IF(AND($E105&lt;&gt;"",COUNTIF(D_KEY_DOUBLON,$B105&amp;"|"&amp;$D105&amp;"|"&amp;$E105)&gt;1),"⚠ Doublon",IF(AND($E105&lt;&gt;"",COUNTIF(D_KEY_STATUT,$B105&amp;"|"&amp;$E105&amp;"|P")&gt;0,COUNTIF(D_KEY_STATUT,$B105&amp;"|"&amp;$E105&amp;"|A")&gt;0),"⚠ Statut incohérent",IF(AND($D105="S1",$Y105&lt;&gt;"Parti",COUNTIF(ANNEES_VERROU,$B105)&gt;0,COUNTIF(D_KEY_NIVSES,$B105&amp;"|"&amp;$C105&amp;"|S2")&gt;0,COUNTIF(D_KEY_DOUBLON,$B105&amp;"|S2|"&amp;$E105)=0),"⚠ Départ non confirmé ?",IF(AND($C105&lt;&gt;"",ISNUMBER($I105),OR(VALUE(LEFT($B105,4))-$I105&lt;4+IFERROR(MATCH($C105,LISTE_NIVEAUX,0),99),VALUE(LEFT($B105,4))-$I105&gt;6+IFERROR(MATCH($C105,LISTE_NIVEAUX,0),99))),"⚠ Vérifier niveau",IF(AND(IFERROR(VLOOKUP($C105,TABLE_CYCLE,2,0),3)=2,COUNT($O105:$Q105)&gt;0),"⚠ Tests cycle 3",IF(COUNT($J105:$Q105)&gt;=IF(IFERROR(VLOOKUP($C105,TABLE_CYCLE,2,0),3)=2,5,8),"Complet","Incomplet"))))))))</f>
        <v/>
      </c>
      <c r="S105" s="24"/>
      <c r="T105" s="67" t="str">
        <f t="shared" si="10"/>
        <v/>
      </c>
      <c r="U105" s="67" t="str">
        <f t="shared" si="11"/>
        <v/>
      </c>
      <c r="V105" s="67" t="str">
        <f t="shared" si="12"/>
        <v/>
      </c>
      <c r="W105" s="67" t="str">
        <f t="shared" si="13"/>
        <v/>
      </c>
      <c r="X105" s="67" t="str">
        <f t="shared" si="14"/>
        <v/>
      </c>
      <c r="Y105" s="24" t="str">
        <f t="shared" si="15"/>
        <v/>
      </c>
      <c r="Z105">
        <f t="shared" si="16"/>
        <v>0</v>
      </c>
      <c r="AA105">
        <f t="shared" si="17"/>
        <v>0</v>
      </c>
    </row>
    <row r="106" spans="2:27" ht="15.75" customHeight="1" x14ac:dyDescent="0.3">
      <c r="B106" s="25"/>
      <c r="C106" s="25"/>
      <c r="D106" s="25"/>
      <c r="E106" s="26" t="str">
        <f t="shared" si="9"/>
        <v/>
      </c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3" t="str">
        <f>IF($F106="","",IF(OR($B106="",$C106="",$D106=""),"⚠ Compléter Année/Niveau/Session",IF(AND($E106&lt;&gt;"",COUNTIF(D_KEY_DOUBLON,$B106&amp;"|"&amp;$D106&amp;"|"&amp;$E106)&gt;1),"⚠ Doublon",IF(AND($E106&lt;&gt;"",COUNTIF(D_KEY_STATUT,$B106&amp;"|"&amp;$E106&amp;"|P")&gt;0,COUNTIF(D_KEY_STATUT,$B106&amp;"|"&amp;$E106&amp;"|A")&gt;0),"⚠ Statut incohérent",IF(AND($D106="S1",$Y106&lt;&gt;"Parti",COUNTIF(ANNEES_VERROU,$B106)&gt;0,COUNTIF(D_KEY_NIVSES,$B106&amp;"|"&amp;$C106&amp;"|S2")&gt;0,COUNTIF(D_KEY_DOUBLON,$B106&amp;"|S2|"&amp;$E106)=0),"⚠ Départ non confirmé ?",IF(AND($C106&lt;&gt;"",ISNUMBER($I106),OR(VALUE(LEFT($B106,4))-$I106&lt;4+IFERROR(MATCH($C106,LISTE_NIVEAUX,0),99),VALUE(LEFT($B106,4))-$I106&gt;6+IFERROR(MATCH($C106,LISTE_NIVEAUX,0),99))),"⚠ Vérifier niveau",IF(AND(IFERROR(VLOOKUP($C106,TABLE_CYCLE,2,0),3)=2,COUNT($O106:$Q106)&gt;0),"⚠ Tests cycle 3",IF(COUNT($J106:$Q106)&gt;=IF(IFERROR(VLOOKUP($C106,TABLE_CYCLE,2,0),3)=2,5,8),"Complet","Incomplet"))))))))</f>
        <v/>
      </c>
      <c r="S106" s="24"/>
      <c r="T106" s="67" t="str">
        <f t="shared" si="10"/>
        <v/>
      </c>
      <c r="U106" s="67" t="str">
        <f t="shared" si="11"/>
        <v/>
      </c>
      <c r="V106" s="67" t="str">
        <f t="shared" si="12"/>
        <v/>
      </c>
      <c r="W106" s="67" t="str">
        <f t="shared" si="13"/>
        <v/>
      </c>
      <c r="X106" s="67" t="str">
        <f t="shared" si="14"/>
        <v/>
      </c>
      <c r="Y106" s="24" t="str">
        <f t="shared" si="15"/>
        <v/>
      </c>
      <c r="Z106">
        <f t="shared" si="16"/>
        <v>0</v>
      </c>
      <c r="AA106">
        <f t="shared" si="17"/>
        <v>0</v>
      </c>
    </row>
    <row r="107" spans="2:27" ht="15.75" customHeight="1" x14ac:dyDescent="0.3">
      <c r="B107" s="21"/>
      <c r="C107" s="21"/>
      <c r="D107" s="21"/>
      <c r="E107" s="22" t="str">
        <f t="shared" si="9"/>
        <v/>
      </c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3" t="str">
        <f>IF($F107="","",IF(OR($B107="",$C107="",$D107=""),"⚠ Compléter Année/Niveau/Session",IF(AND($E107&lt;&gt;"",COUNTIF(D_KEY_DOUBLON,$B107&amp;"|"&amp;$D107&amp;"|"&amp;$E107)&gt;1),"⚠ Doublon",IF(AND($E107&lt;&gt;"",COUNTIF(D_KEY_STATUT,$B107&amp;"|"&amp;$E107&amp;"|P")&gt;0,COUNTIF(D_KEY_STATUT,$B107&amp;"|"&amp;$E107&amp;"|A")&gt;0),"⚠ Statut incohérent",IF(AND($D107="S1",$Y107&lt;&gt;"Parti",COUNTIF(ANNEES_VERROU,$B107)&gt;0,COUNTIF(D_KEY_NIVSES,$B107&amp;"|"&amp;$C107&amp;"|S2")&gt;0,COUNTIF(D_KEY_DOUBLON,$B107&amp;"|S2|"&amp;$E107)=0),"⚠ Départ non confirmé ?",IF(AND($C107&lt;&gt;"",ISNUMBER($I107),OR(VALUE(LEFT($B107,4))-$I107&lt;4+IFERROR(MATCH($C107,LISTE_NIVEAUX,0),99),VALUE(LEFT($B107,4))-$I107&gt;6+IFERROR(MATCH($C107,LISTE_NIVEAUX,0),99))),"⚠ Vérifier niveau",IF(AND(IFERROR(VLOOKUP($C107,TABLE_CYCLE,2,0),3)=2,COUNT($O107:$Q107)&gt;0),"⚠ Tests cycle 3",IF(COUNT($J107:$Q107)&gt;=IF(IFERROR(VLOOKUP($C107,TABLE_CYCLE,2,0),3)=2,5,8),"Complet","Incomplet"))))))))</f>
        <v/>
      </c>
      <c r="S107" s="24"/>
      <c r="T107" s="67" t="str">
        <f t="shared" si="10"/>
        <v/>
      </c>
      <c r="U107" s="67" t="str">
        <f t="shared" si="11"/>
        <v/>
      </c>
      <c r="V107" s="67" t="str">
        <f t="shared" si="12"/>
        <v/>
      </c>
      <c r="W107" s="67" t="str">
        <f t="shared" si="13"/>
        <v/>
      </c>
      <c r="X107" s="67" t="str">
        <f t="shared" si="14"/>
        <v/>
      </c>
      <c r="Y107" s="24" t="str">
        <f t="shared" si="15"/>
        <v/>
      </c>
      <c r="Z107">
        <f t="shared" si="16"/>
        <v>0</v>
      </c>
      <c r="AA107">
        <f t="shared" si="17"/>
        <v>0</v>
      </c>
    </row>
    <row r="108" spans="2:27" ht="15.75" customHeight="1" x14ac:dyDescent="0.3">
      <c r="B108" s="25"/>
      <c r="C108" s="25"/>
      <c r="D108" s="25"/>
      <c r="E108" s="26" t="str">
        <f t="shared" si="9"/>
        <v/>
      </c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3" t="str">
        <f>IF($F108="","",IF(OR($B108="",$C108="",$D108=""),"⚠ Compléter Année/Niveau/Session",IF(AND($E108&lt;&gt;"",COUNTIF(D_KEY_DOUBLON,$B108&amp;"|"&amp;$D108&amp;"|"&amp;$E108)&gt;1),"⚠ Doublon",IF(AND($E108&lt;&gt;"",COUNTIF(D_KEY_STATUT,$B108&amp;"|"&amp;$E108&amp;"|P")&gt;0,COUNTIF(D_KEY_STATUT,$B108&amp;"|"&amp;$E108&amp;"|A")&gt;0),"⚠ Statut incohérent",IF(AND($D108="S1",$Y108&lt;&gt;"Parti",COUNTIF(ANNEES_VERROU,$B108)&gt;0,COUNTIF(D_KEY_NIVSES,$B108&amp;"|"&amp;$C108&amp;"|S2")&gt;0,COUNTIF(D_KEY_DOUBLON,$B108&amp;"|S2|"&amp;$E108)=0),"⚠ Départ non confirmé ?",IF(AND($C108&lt;&gt;"",ISNUMBER($I108),OR(VALUE(LEFT($B108,4))-$I108&lt;4+IFERROR(MATCH($C108,LISTE_NIVEAUX,0),99),VALUE(LEFT($B108,4))-$I108&gt;6+IFERROR(MATCH($C108,LISTE_NIVEAUX,0),99))),"⚠ Vérifier niveau",IF(AND(IFERROR(VLOOKUP($C108,TABLE_CYCLE,2,0),3)=2,COUNT($O108:$Q108)&gt;0),"⚠ Tests cycle 3",IF(COUNT($J108:$Q108)&gt;=IF(IFERROR(VLOOKUP($C108,TABLE_CYCLE,2,0),3)=2,5,8),"Complet","Incomplet"))))))))</f>
        <v/>
      </c>
      <c r="S108" s="24"/>
      <c r="T108" s="67" t="str">
        <f t="shared" si="10"/>
        <v/>
      </c>
      <c r="U108" s="67" t="str">
        <f t="shared" si="11"/>
        <v/>
      </c>
      <c r="V108" s="67" t="str">
        <f t="shared" si="12"/>
        <v/>
      </c>
      <c r="W108" s="67" t="str">
        <f t="shared" si="13"/>
        <v/>
      </c>
      <c r="X108" s="67" t="str">
        <f t="shared" si="14"/>
        <v/>
      </c>
      <c r="Y108" s="24" t="str">
        <f t="shared" si="15"/>
        <v/>
      </c>
      <c r="Z108">
        <f t="shared" si="16"/>
        <v>0</v>
      </c>
      <c r="AA108">
        <f t="shared" si="17"/>
        <v>0</v>
      </c>
    </row>
    <row r="109" spans="2:27" ht="15.75" customHeight="1" x14ac:dyDescent="0.3">
      <c r="B109" s="21"/>
      <c r="C109" s="21"/>
      <c r="D109" s="21"/>
      <c r="E109" s="22" t="str">
        <f t="shared" si="9"/>
        <v/>
      </c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3" t="str">
        <f>IF($F109="","",IF(OR($B109="",$C109="",$D109=""),"⚠ Compléter Année/Niveau/Session",IF(AND($E109&lt;&gt;"",COUNTIF(D_KEY_DOUBLON,$B109&amp;"|"&amp;$D109&amp;"|"&amp;$E109)&gt;1),"⚠ Doublon",IF(AND($E109&lt;&gt;"",COUNTIF(D_KEY_STATUT,$B109&amp;"|"&amp;$E109&amp;"|P")&gt;0,COUNTIF(D_KEY_STATUT,$B109&amp;"|"&amp;$E109&amp;"|A")&gt;0),"⚠ Statut incohérent",IF(AND($D109="S1",$Y109&lt;&gt;"Parti",COUNTIF(ANNEES_VERROU,$B109)&gt;0,COUNTIF(D_KEY_NIVSES,$B109&amp;"|"&amp;$C109&amp;"|S2")&gt;0,COUNTIF(D_KEY_DOUBLON,$B109&amp;"|S2|"&amp;$E109)=0),"⚠ Départ non confirmé ?",IF(AND($C109&lt;&gt;"",ISNUMBER($I109),OR(VALUE(LEFT($B109,4))-$I109&lt;4+IFERROR(MATCH($C109,LISTE_NIVEAUX,0),99),VALUE(LEFT($B109,4))-$I109&gt;6+IFERROR(MATCH($C109,LISTE_NIVEAUX,0),99))),"⚠ Vérifier niveau",IF(AND(IFERROR(VLOOKUP($C109,TABLE_CYCLE,2,0),3)=2,COUNT($O109:$Q109)&gt;0),"⚠ Tests cycle 3",IF(COUNT($J109:$Q109)&gt;=IF(IFERROR(VLOOKUP($C109,TABLE_CYCLE,2,0),3)=2,5,8),"Complet","Incomplet"))))))))</f>
        <v/>
      </c>
      <c r="S109" s="24"/>
      <c r="T109" s="67" t="str">
        <f t="shared" si="10"/>
        <v/>
      </c>
      <c r="U109" s="67" t="str">
        <f t="shared" si="11"/>
        <v/>
      </c>
      <c r="V109" s="67" t="str">
        <f t="shared" si="12"/>
        <v/>
      </c>
      <c r="W109" s="67" t="str">
        <f t="shared" si="13"/>
        <v/>
      </c>
      <c r="X109" s="67" t="str">
        <f t="shared" si="14"/>
        <v/>
      </c>
      <c r="Y109" s="24" t="str">
        <f t="shared" si="15"/>
        <v/>
      </c>
      <c r="Z109">
        <f t="shared" si="16"/>
        <v>0</v>
      </c>
      <c r="AA109">
        <f t="shared" si="17"/>
        <v>0</v>
      </c>
    </row>
    <row r="110" spans="2:27" ht="15.75" customHeight="1" x14ac:dyDescent="0.3">
      <c r="B110" s="25"/>
      <c r="C110" s="25"/>
      <c r="D110" s="25"/>
      <c r="E110" s="26" t="str">
        <f t="shared" si="9"/>
        <v/>
      </c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3" t="str">
        <f>IF($F110="","",IF(OR($B110="",$C110="",$D110=""),"⚠ Compléter Année/Niveau/Session",IF(AND($E110&lt;&gt;"",COUNTIF(D_KEY_DOUBLON,$B110&amp;"|"&amp;$D110&amp;"|"&amp;$E110)&gt;1),"⚠ Doublon",IF(AND($E110&lt;&gt;"",COUNTIF(D_KEY_STATUT,$B110&amp;"|"&amp;$E110&amp;"|P")&gt;0,COUNTIF(D_KEY_STATUT,$B110&amp;"|"&amp;$E110&amp;"|A")&gt;0),"⚠ Statut incohérent",IF(AND($D110="S1",$Y110&lt;&gt;"Parti",COUNTIF(ANNEES_VERROU,$B110)&gt;0,COUNTIF(D_KEY_NIVSES,$B110&amp;"|"&amp;$C110&amp;"|S2")&gt;0,COUNTIF(D_KEY_DOUBLON,$B110&amp;"|S2|"&amp;$E110)=0),"⚠ Départ non confirmé ?",IF(AND($C110&lt;&gt;"",ISNUMBER($I110),OR(VALUE(LEFT($B110,4))-$I110&lt;4+IFERROR(MATCH($C110,LISTE_NIVEAUX,0),99),VALUE(LEFT($B110,4))-$I110&gt;6+IFERROR(MATCH($C110,LISTE_NIVEAUX,0),99))),"⚠ Vérifier niveau",IF(AND(IFERROR(VLOOKUP($C110,TABLE_CYCLE,2,0),3)=2,COUNT($O110:$Q110)&gt;0),"⚠ Tests cycle 3",IF(COUNT($J110:$Q110)&gt;=IF(IFERROR(VLOOKUP($C110,TABLE_CYCLE,2,0),3)=2,5,8),"Complet","Incomplet"))))))))</f>
        <v/>
      </c>
      <c r="S110" s="24"/>
      <c r="T110" s="67" t="str">
        <f t="shared" si="10"/>
        <v/>
      </c>
      <c r="U110" s="67" t="str">
        <f t="shared" si="11"/>
        <v/>
      </c>
      <c r="V110" s="67" t="str">
        <f t="shared" si="12"/>
        <v/>
      </c>
      <c r="W110" s="67" t="str">
        <f t="shared" si="13"/>
        <v/>
      </c>
      <c r="X110" s="67" t="str">
        <f t="shared" si="14"/>
        <v/>
      </c>
      <c r="Y110" s="24" t="str">
        <f t="shared" si="15"/>
        <v/>
      </c>
      <c r="Z110">
        <f t="shared" si="16"/>
        <v>0</v>
      </c>
      <c r="AA110">
        <f t="shared" si="17"/>
        <v>0</v>
      </c>
    </row>
    <row r="111" spans="2:27" ht="15.75" customHeight="1" x14ac:dyDescent="0.3">
      <c r="B111" s="21"/>
      <c r="C111" s="21"/>
      <c r="D111" s="21"/>
      <c r="E111" s="22" t="str">
        <f t="shared" si="9"/>
        <v/>
      </c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3" t="str">
        <f>IF($F111="","",IF(OR($B111="",$C111="",$D111=""),"⚠ Compléter Année/Niveau/Session",IF(AND($E111&lt;&gt;"",COUNTIF(D_KEY_DOUBLON,$B111&amp;"|"&amp;$D111&amp;"|"&amp;$E111)&gt;1),"⚠ Doublon",IF(AND($E111&lt;&gt;"",COUNTIF(D_KEY_STATUT,$B111&amp;"|"&amp;$E111&amp;"|P")&gt;0,COUNTIF(D_KEY_STATUT,$B111&amp;"|"&amp;$E111&amp;"|A")&gt;0),"⚠ Statut incohérent",IF(AND($D111="S1",$Y111&lt;&gt;"Parti",COUNTIF(ANNEES_VERROU,$B111)&gt;0,COUNTIF(D_KEY_NIVSES,$B111&amp;"|"&amp;$C111&amp;"|S2")&gt;0,COUNTIF(D_KEY_DOUBLON,$B111&amp;"|S2|"&amp;$E111)=0),"⚠ Départ non confirmé ?",IF(AND($C111&lt;&gt;"",ISNUMBER($I111),OR(VALUE(LEFT($B111,4))-$I111&lt;4+IFERROR(MATCH($C111,LISTE_NIVEAUX,0),99),VALUE(LEFT($B111,4))-$I111&gt;6+IFERROR(MATCH($C111,LISTE_NIVEAUX,0),99))),"⚠ Vérifier niveau",IF(AND(IFERROR(VLOOKUP($C111,TABLE_CYCLE,2,0),3)=2,COUNT($O111:$Q111)&gt;0),"⚠ Tests cycle 3",IF(COUNT($J111:$Q111)&gt;=IF(IFERROR(VLOOKUP($C111,TABLE_CYCLE,2,0),3)=2,5,8),"Complet","Incomplet"))))))))</f>
        <v/>
      </c>
      <c r="S111" s="24"/>
      <c r="T111" s="67" t="str">
        <f t="shared" si="10"/>
        <v/>
      </c>
      <c r="U111" s="67" t="str">
        <f t="shared" si="11"/>
        <v/>
      </c>
      <c r="V111" s="67" t="str">
        <f t="shared" si="12"/>
        <v/>
      </c>
      <c r="W111" s="67" t="str">
        <f t="shared" si="13"/>
        <v/>
      </c>
      <c r="X111" s="67" t="str">
        <f t="shared" si="14"/>
        <v/>
      </c>
      <c r="Y111" s="24" t="str">
        <f t="shared" si="15"/>
        <v/>
      </c>
      <c r="Z111">
        <f t="shared" si="16"/>
        <v>0</v>
      </c>
      <c r="AA111">
        <f t="shared" si="17"/>
        <v>0</v>
      </c>
    </row>
    <row r="112" spans="2:27" ht="15.75" customHeight="1" x14ac:dyDescent="0.3">
      <c r="B112" s="25"/>
      <c r="C112" s="25"/>
      <c r="D112" s="25"/>
      <c r="E112" s="26" t="str">
        <f t="shared" si="9"/>
        <v/>
      </c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3" t="str">
        <f>IF($F112="","",IF(OR($B112="",$C112="",$D112=""),"⚠ Compléter Année/Niveau/Session",IF(AND($E112&lt;&gt;"",COUNTIF(D_KEY_DOUBLON,$B112&amp;"|"&amp;$D112&amp;"|"&amp;$E112)&gt;1),"⚠ Doublon",IF(AND($E112&lt;&gt;"",COUNTIF(D_KEY_STATUT,$B112&amp;"|"&amp;$E112&amp;"|P")&gt;0,COUNTIF(D_KEY_STATUT,$B112&amp;"|"&amp;$E112&amp;"|A")&gt;0),"⚠ Statut incohérent",IF(AND($D112="S1",$Y112&lt;&gt;"Parti",COUNTIF(ANNEES_VERROU,$B112)&gt;0,COUNTIF(D_KEY_NIVSES,$B112&amp;"|"&amp;$C112&amp;"|S2")&gt;0,COUNTIF(D_KEY_DOUBLON,$B112&amp;"|S2|"&amp;$E112)=0),"⚠ Départ non confirmé ?",IF(AND($C112&lt;&gt;"",ISNUMBER($I112),OR(VALUE(LEFT($B112,4))-$I112&lt;4+IFERROR(MATCH($C112,LISTE_NIVEAUX,0),99),VALUE(LEFT($B112,4))-$I112&gt;6+IFERROR(MATCH($C112,LISTE_NIVEAUX,0),99))),"⚠ Vérifier niveau",IF(AND(IFERROR(VLOOKUP($C112,TABLE_CYCLE,2,0),3)=2,COUNT($O112:$Q112)&gt;0),"⚠ Tests cycle 3",IF(COUNT($J112:$Q112)&gt;=IF(IFERROR(VLOOKUP($C112,TABLE_CYCLE,2,0),3)=2,5,8),"Complet","Incomplet"))))))))</f>
        <v/>
      </c>
      <c r="S112" s="24"/>
      <c r="T112" s="67" t="str">
        <f t="shared" si="10"/>
        <v/>
      </c>
      <c r="U112" s="67" t="str">
        <f t="shared" si="11"/>
        <v/>
      </c>
      <c r="V112" s="67" t="str">
        <f t="shared" si="12"/>
        <v/>
      </c>
      <c r="W112" s="67" t="str">
        <f t="shared" si="13"/>
        <v/>
      </c>
      <c r="X112" s="67" t="str">
        <f t="shared" si="14"/>
        <v/>
      </c>
      <c r="Y112" s="24" t="str">
        <f t="shared" si="15"/>
        <v/>
      </c>
      <c r="Z112">
        <f t="shared" si="16"/>
        <v>0</v>
      </c>
      <c r="AA112">
        <f t="shared" si="17"/>
        <v>0</v>
      </c>
    </row>
    <row r="113" spans="2:27" ht="15.75" customHeight="1" x14ac:dyDescent="0.3">
      <c r="B113" s="21"/>
      <c r="C113" s="21"/>
      <c r="D113" s="21"/>
      <c r="E113" s="22" t="str">
        <f t="shared" si="9"/>
        <v/>
      </c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3" t="str">
        <f>IF($F113="","",IF(OR($B113="",$C113="",$D113=""),"⚠ Compléter Année/Niveau/Session",IF(AND($E113&lt;&gt;"",COUNTIF(D_KEY_DOUBLON,$B113&amp;"|"&amp;$D113&amp;"|"&amp;$E113)&gt;1),"⚠ Doublon",IF(AND($E113&lt;&gt;"",COUNTIF(D_KEY_STATUT,$B113&amp;"|"&amp;$E113&amp;"|P")&gt;0,COUNTIF(D_KEY_STATUT,$B113&amp;"|"&amp;$E113&amp;"|A")&gt;0),"⚠ Statut incohérent",IF(AND($D113="S1",$Y113&lt;&gt;"Parti",COUNTIF(ANNEES_VERROU,$B113)&gt;0,COUNTIF(D_KEY_NIVSES,$B113&amp;"|"&amp;$C113&amp;"|S2")&gt;0,COUNTIF(D_KEY_DOUBLON,$B113&amp;"|S2|"&amp;$E113)=0),"⚠ Départ non confirmé ?",IF(AND($C113&lt;&gt;"",ISNUMBER($I113),OR(VALUE(LEFT($B113,4))-$I113&lt;4+IFERROR(MATCH($C113,LISTE_NIVEAUX,0),99),VALUE(LEFT($B113,4))-$I113&gt;6+IFERROR(MATCH($C113,LISTE_NIVEAUX,0),99))),"⚠ Vérifier niveau",IF(AND(IFERROR(VLOOKUP($C113,TABLE_CYCLE,2,0),3)=2,COUNT($O113:$Q113)&gt;0),"⚠ Tests cycle 3",IF(COUNT($J113:$Q113)&gt;=IF(IFERROR(VLOOKUP($C113,TABLE_CYCLE,2,0),3)=2,5,8),"Complet","Incomplet"))))))))</f>
        <v/>
      </c>
      <c r="S113" s="24"/>
      <c r="T113" s="67" t="str">
        <f t="shared" si="10"/>
        <v/>
      </c>
      <c r="U113" s="67" t="str">
        <f t="shared" si="11"/>
        <v/>
      </c>
      <c r="V113" s="67" t="str">
        <f t="shared" si="12"/>
        <v/>
      </c>
      <c r="W113" s="67" t="str">
        <f t="shared" si="13"/>
        <v/>
      </c>
      <c r="X113" s="67" t="str">
        <f t="shared" si="14"/>
        <v/>
      </c>
      <c r="Y113" s="24" t="str">
        <f t="shared" si="15"/>
        <v/>
      </c>
      <c r="Z113">
        <f t="shared" si="16"/>
        <v>0</v>
      </c>
      <c r="AA113">
        <f t="shared" si="17"/>
        <v>0</v>
      </c>
    </row>
    <row r="114" spans="2:27" ht="15.75" customHeight="1" x14ac:dyDescent="0.3">
      <c r="B114" s="25"/>
      <c r="C114" s="25"/>
      <c r="D114" s="25"/>
      <c r="E114" s="26" t="str">
        <f t="shared" si="9"/>
        <v/>
      </c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3" t="str">
        <f>IF($F114="","",IF(OR($B114="",$C114="",$D114=""),"⚠ Compléter Année/Niveau/Session",IF(AND($E114&lt;&gt;"",COUNTIF(D_KEY_DOUBLON,$B114&amp;"|"&amp;$D114&amp;"|"&amp;$E114)&gt;1),"⚠ Doublon",IF(AND($E114&lt;&gt;"",COUNTIF(D_KEY_STATUT,$B114&amp;"|"&amp;$E114&amp;"|P")&gt;0,COUNTIF(D_KEY_STATUT,$B114&amp;"|"&amp;$E114&amp;"|A")&gt;0),"⚠ Statut incohérent",IF(AND($D114="S1",$Y114&lt;&gt;"Parti",COUNTIF(ANNEES_VERROU,$B114)&gt;0,COUNTIF(D_KEY_NIVSES,$B114&amp;"|"&amp;$C114&amp;"|S2")&gt;0,COUNTIF(D_KEY_DOUBLON,$B114&amp;"|S2|"&amp;$E114)=0),"⚠ Départ non confirmé ?",IF(AND($C114&lt;&gt;"",ISNUMBER($I114),OR(VALUE(LEFT($B114,4))-$I114&lt;4+IFERROR(MATCH($C114,LISTE_NIVEAUX,0),99),VALUE(LEFT($B114,4))-$I114&gt;6+IFERROR(MATCH($C114,LISTE_NIVEAUX,0),99))),"⚠ Vérifier niveau",IF(AND(IFERROR(VLOOKUP($C114,TABLE_CYCLE,2,0),3)=2,COUNT($O114:$Q114)&gt;0),"⚠ Tests cycle 3",IF(COUNT($J114:$Q114)&gt;=IF(IFERROR(VLOOKUP($C114,TABLE_CYCLE,2,0),3)=2,5,8),"Complet","Incomplet"))))))))</f>
        <v/>
      </c>
      <c r="S114" s="24"/>
      <c r="T114" s="67" t="str">
        <f t="shared" si="10"/>
        <v/>
      </c>
      <c r="U114" s="67" t="str">
        <f t="shared" si="11"/>
        <v/>
      </c>
      <c r="V114" s="67" t="str">
        <f t="shared" si="12"/>
        <v/>
      </c>
      <c r="W114" s="67" t="str">
        <f t="shared" si="13"/>
        <v/>
      </c>
      <c r="X114" s="67" t="str">
        <f t="shared" si="14"/>
        <v/>
      </c>
      <c r="Y114" s="24" t="str">
        <f t="shared" si="15"/>
        <v/>
      </c>
      <c r="Z114">
        <f t="shared" si="16"/>
        <v>0</v>
      </c>
      <c r="AA114">
        <f t="shared" si="17"/>
        <v>0</v>
      </c>
    </row>
    <row r="115" spans="2:27" ht="15.75" customHeight="1" x14ac:dyDescent="0.3">
      <c r="B115" s="21"/>
      <c r="C115" s="21"/>
      <c r="D115" s="21"/>
      <c r="E115" s="22" t="str">
        <f t="shared" si="9"/>
        <v/>
      </c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3" t="str">
        <f>IF($F115="","",IF(OR($B115="",$C115="",$D115=""),"⚠ Compléter Année/Niveau/Session",IF(AND($E115&lt;&gt;"",COUNTIF(D_KEY_DOUBLON,$B115&amp;"|"&amp;$D115&amp;"|"&amp;$E115)&gt;1),"⚠ Doublon",IF(AND($E115&lt;&gt;"",COUNTIF(D_KEY_STATUT,$B115&amp;"|"&amp;$E115&amp;"|P")&gt;0,COUNTIF(D_KEY_STATUT,$B115&amp;"|"&amp;$E115&amp;"|A")&gt;0),"⚠ Statut incohérent",IF(AND($D115="S1",$Y115&lt;&gt;"Parti",COUNTIF(ANNEES_VERROU,$B115)&gt;0,COUNTIF(D_KEY_NIVSES,$B115&amp;"|"&amp;$C115&amp;"|S2")&gt;0,COUNTIF(D_KEY_DOUBLON,$B115&amp;"|S2|"&amp;$E115)=0),"⚠ Départ non confirmé ?",IF(AND($C115&lt;&gt;"",ISNUMBER($I115),OR(VALUE(LEFT($B115,4))-$I115&lt;4+IFERROR(MATCH($C115,LISTE_NIVEAUX,0),99),VALUE(LEFT($B115,4))-$I115&gt;6+IFERROR(MATCH($C115,LISTE_NIVEAUX,0),99))),"⚠ Vérifier niveau",IF(AND(IFERROR(VLOOKUP($C115,TABLE_CYCLE,2,0),3)=2,COUNT($O115:$Q115)&gt;0),"⚠ Tests cycle 3",IF(COUNT($J115:$Q115)&gt;=IF(IFERROR(VLOOKUP($C115,TABLE_CYCLE,2,0),3)=2,5,8),"Complet","Incomplet"))))))))</f>
        <v/>
      </c>
      <c r="S115" s="24"/>
      <c r="T115" s="67" t="str">
        <f t="shared" si="10"/>
        <v/>
      </c>
      <c r="U115" s="67" t="str">
        <f t="shared" si="11"/>
        <v/>
      </c>
      <c r="V115" s="67" t="str">
        <f t="shared" si="12"/>
        <v/>
      </c>
      <c r="W115" s="67" t="str">
        <f t="shared" si="13"/>
        <v/>
      </c>
      <c r="X115" s="67" t="str">
        <f t="shared" si="14"/>
        <v/>
      </c>
      <c r="Y115" s="24" t="str">
        <f t="shared" si="15"/>
        <v/>
      </c>
      <c r="Z115">
        <f t="shared" si="16"/>
        <v>0</v>
      </c>
      <c r="AA115">
        <f t="shared" si="17"/>
        <v>0</v>
      </c>
    </row>
    <row r="116" spans="2:27" ht="15.75" customHeight="1" x14ac:dyDescent="0.3">
      <c r="B116" s="25"/>
      <c r="C116" s="25"/>
      <c r="D116" s="25"/>
      <c r="E116" s="26" t="str">
        <f t="shared" si="9"/>
        <v/>
      </c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3" t="str">
        <f>IF($F116="","",IF(OR($B116="",$C116="",$D116=""),"⚠ Compléter Année/Niveau/Session",IF(AND($E116&lt;&gt;"",COUNTIF(D_KEY_DOUBLON,$B116&amp;"|"&amp;$D116&amp;"|"&amp;$E116)&gt;1),"⚠ Doublon",IF(AND($E116&lt;&gt;"",COUNTIF(D_KEY_STATUT,$B116&amp;"|"&amp;$E116&amp;"|P")&gt;0,COUNTIF(D_KEY_STATUT,$B116&amp;"|"&amp;$E116&amp;"|A")&gt;0),"⚠ Statut incohérent",IF(AND($D116="S1",$Y116&lt;&gt;"Parti",COUNTIF(ANNEES_VERROU,$B116)&gt;0,COUNTIF(D_KEY_NIVSES,$B116&amp;"|"&amp;$C116&amp;"|S2")&gt;0,COUNTIF(D_KEY_DOUBLON,$B116&amp;"|S2|"&amp;$E116)=0),"⚠ Départ non confirmé ?",IF(AND($C116&lt;&gt;"",ISNUMBER($I116),OR(VALUE(LEFT($B116,4))-$I116&lt;4+IFERROR(MATCH($C116,LISTE_NIVEAUX,0),99),VALUE(LEFT($B116,4))-$I116&gt;6+IFERROR(MATCH($C116,LISTE_NIVEAUX,0),99))),"⚠ Vérifier niveau",IF(AND(IFERROR(VLOOKUP($C116,TABLE_CYCLE,2,0),3)=2,COUNT($O116:$Q116)&gt;0),"⚠ Tests cycle 3",IF(COUNT($J116:$Q116)&gt;=IF(IFERROR(VLOOKUP($C116,TABLE_CYCLE,2,0),3)=2,5,8),"Complet","Incomplet"))))))))</f>
        <v/>
      </c>
      <c r="S116" s="24"/>
      <c r="T116" s="67" t="str">
        <f t="shared" si="10"/>
        <v/>
      </c>
      <c r="U116" s="67" t="str">
        <f t="shared" si="11"/>
        <v/>
      </c>
      <c r="V116" s="67" t="str">
        <f t="shared" si="12"/>
        <v/>
      </c>
      <c r="W116" s="67" t="str">
        <f t="shared" si="13"/>
        <v/>
      </c>
      <c r="X116" s="67" t="str">
        <f t="shared" si="14"/>
        <v/>
      </c>
      <c r="Y116" s="24" t="str">
        <f t="shared" si="15"/>
        <v/>
      </c>
      <c r="Z116">
        <f t="shared" si="16"/>
        <v>0</v>
      </c>
      <c r="AA116">
        <f t="shared" si="17"/>
        <v>0</v>
      </c>
    </row>
    <row r="117" spans="2:27" ht="15.75" customHeight="1" x14ac:dyDescent="0.3">
      <c r="B117" s="21"/>
      <c r="C117" s="21"/>
      <c r="D117" s="21"/>
      <c r="E117" s="22" t="str">
        <f t="shared" si="9"/>
        <v/>
      </c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3" t="str">
        <f>IF($F117="","",IF(OR($B117="",$C117="",$D117=""),"⚠ Compléter Année/Niveau/Session",IF(AND($E117&lt;&gt;"",COUNTIF(D_KEY_DOUBLON,$B117&amp;"|"&amp;$D117&amp;"|"&amp;$E117)&gt;1),"⚠ Doublon",IF(AND($E117&lt;&gt;"",COUNTIF(D_KEY_STATUT,$B117&amp;"|"&amp;$E117&amp;"|P")&gt;0,COUNTIF(D_KEY_STATUT,$B117&amp;"|"&amp;$E117&amp;"|A")&gt;0),"⚠ Statut incohérent",IF(AND($D117="S1",$Y117&lt;&gt;"Parti",COUNTIF(ANNEES_VERROU,$B117)&gt;0,COUNTIF(D_KEY_NIVSES,$B117&amp;"|"&amp;$C117&amp;"|S2")&gt;0,COUNTIF(D_KEY_DOUBLON,$B117&amp;"|S2|"&amp;$E117)=0),"⚠ Départ non confirmé ?",IF(AND($C117&lt;&gt;"",ISNUMBER($I117),OR(VALUE(LEFT($B117,4))-$I117&lt;4+IFERROR(MATCH($C117,LISTE_NIVEAUX,0),99),VALUE(LEFT($B117,4))-$I117&gt;6+IFERROR(MATCH($C117,LISTE_NIVEAUX,0),99))),"⚠ Vérifier niveau",IF(AND(IFERROR(VLOOKUP($C117,TABLE_CYCLE,2,0),3)=2,COUNT($O117:$Q117)&gt;0),"⚠ Tests cycle 3",IF(COUNT($J117:$Q117)&gt;=IF(IFERROR(VLOOKUP($C117,TABLE_CYCLE,2,0),3)=2,5,8),"Complet","Incomplet"))))))))</f>
        <v/>
      </c>
      <c r="S117" s="24"/>
      <c r="T117" s="67" t="str">
        <f t="shared" si="10"/>
        <v/>
      </c>
      <c r="U117" s="67" t="str">
        <f t="shared" si="11"/>
        <v/>
      </c>
      <c r="V117" s="67" t="str">
        <f t="shared" si="12"/>
        <v/>
      </c>
      <c r="W117" s="67" t="str">
        <f t="shared" si="13"/>
        <v/>
      </c>
      <c r="X117" s="67" t="str">
        <f t="shared" si="14"/>
        <v/>
      </c>
      <c r="Y117" s="24" t="str">
        <f t="shared" si="15"/>
        <v/>
      </c>
      <c r="Z117">
        <f t="shared" si="16"/>
        <v>0</v>
      </c>
      <c r="AA117">
        <f t="shared" si="17"/>
        <v>0</v>
      </c>
    </row>
    <row r="118" spans="2:27" ht="15.75" customHeight="1" x14ac:dyDescent="0.3">
      <c r="B118" s="25"/>
      <c r="C118" s="25"/>
      <c r="D118" s="25"/>
      <c r="E118" s="26" t="str">
        <f t="shared" si="9"/>
        <v/>
      </c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3" t="str">
        <f>IF($F118="","",IF(OR($B118="",$C118="",$D118=""),"⚠ Compléter Année/Niveau/Session",IF(AND($E118&lt;&gt;"",COUNTIF(D_KEY_DOUBLON,$B118&amp;"|"&amp;$D118&amp;"|"&amp;$E118)&gt;1),"⚠ Doublon",IF(AND($E118&lt;&gt;"",COUNTIF(D_KEY_STATUT,$B118&amp;"|"&amp;$E118&amp;"|P")&gt;0,COUNTIF(D_KEY_STATUT,$B118&amp;"|"&amp;$E118&amp;"|A")&gt;0),"⚠ Statut incohérent",IF(AND($D118="S1",$Y118&lt;&gt;"Parti",COUNTIF(ANNEES_VERROU,$B118)&gt;0,COUNTIF(D_KEY_NIVSES,$B118&amp;"|"&amp;$C118&amp;"|S2")&gt;0,COUNTIF(D_KEY_DOUBLON,$B118&amp;"|S2|"&amp;$E118)=0),"⚠ Départ non confirmé ?",IF(AND($C118&lt;&gt;"",ISNUMBER($I118),OR(VALUE(LEFT($B118,4))-$I118&lt;4+IFERROR(MATCH($C118,LISTE_NIVEAUX,0),99),VALUE(LEFT($B118,4))-$I118&gt;6+IFERROR(MATCH($C118,LISTE_NIVEAUX,0),99))),"⚠ Vérifier niveau",IF(AND(IFERROR(VLOOKUP($C118,TABLE_CYCLE,2,0),3)=2,COUNT($O118:$Q118)&gt;0),"⚠ Tests cycle 3",IF(COUNT($J118:$Q118)&gt;=IF(IFERROR(VLOOKUP($C118,TABLE_CYCLE,2,0),3)=2,5,8),"Complet","Incomplet"))))))))</f>
        <v/>
      </c>
      <c r="S118" s="24"/>
      <c r="T118" s="67" t="str">
        <f t="shared" si="10"/>
        <v/>
      </c>
      <c r="U118" s="67" t="str">
        <f t="shared" si="11"/>
        <v/>
      </c>
      <c r="V118" s="67" t="str">
        <f t="shared" si="12"/>
        <v/>
      </c>
      <c r="W118" s="67" t="str">
        <f t="shared" si="13"/>
        <v/>
      </c>
      <c r="X118" s="67" t="str">
        <f t="shared" si="14"/>
        <v/>
      </c>
      <c r="Y118" s="24" t="str">
        <f t="shared" si="15"/>
        <v/>
      </c>
      <c r="Z118">
        <f t="shared" si="16"/>
        <v>0</v>
      </c>
      <c r="AA118">
        <f t="shared" si="17"/>
        <v>0</v>
      </c>
    </row>
    <row r="119" spans="2:27" ht="15.75" customHeight="1" x14ac:dyDescent="0.3">
      <c r="B119" s="21"/>
      <c r="C119" s="21"/>
      <c r="D119" s="21"/>
      <c r="E119" s="22" t="str">
        <f t="shared" si="9"/>
        <v/>
      </c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3" t="str">
        <f>IF($F119="","",IF(OR($B119="",$C119="",$D119=""),"⚠ Compléter Année/Niveau/Session",IF(AND($E119&lt;&gt;"",COUNTIF(D_KEY_DOUBLON,$B119&amp;"|"&amp;$D119&amp;"|"&amp;$E119)&gt;1),"⚠ Doublon",IF(AND($E119&lt;&gt;"",COUNTIF(D_KEY_STATUT,$B119&amp;"|"&amp;$E119&amp;"|P")&gt;0,COUNTIF(D_KEY_STATUT,$B119&amp;"|"&amp;$E119&amp;"|A")&gt;0),"⚠ Statut incohérent",IF(AND($D119="S1",$Y119&lt;&gt;"Parti",COUNTIF(ANNEES_VERROU,$B119)&gt;0,COUNTIF(D_KEY_NIVSES,$B119&amp;"|"&amp;$C119&amp;"|S2")&gt;0,COUNTIF(D_KEY_DOUBLON,$B119&amp;"|S2|"&amp;$E119)=0),"⚠ Départ non confirmé ?",IF(AND($C119&lt;&gt;"",ISNUMBER($I119),OR(VALUE(LEFT($B119,4))-$I119&lt;4+IFERROR(MATCH($C119,LISTE_NIVEAUX,0),99),VALUE(LEFT($B119,4))-$I119&gt;6+IFERROR(MATCH($C119,LISTE_NIVEAUX,0),99))),"⚠ Vérifier niveau",IF(AND(IFERROR(VLOOKUP($C119,TABLE_CYCLE,2,0),3)=2,COUNT($O119:$Q119)&gt;0),"⚠ Tests cycle 3",IF(COUNT($J119:$Q119)&gt;=IF(IFERROR(VLOOKUP($C119,TABLE_CYCLE,2,0),3)=2,5,8),"Complet","Incomplet"))))))))</f>
        <v/>
      </c>
      <c r="S119" s="24"/>
      <c r="T119" s="67" t="str">
        <f t="shared" si="10"/>
        <v/>
      </c>
      <c r="U119" s="67" t="str">
        <f t="shared" si="11"/>
        <v/>
      </c>
      <c r="V119" s="67" t="str">
        <f t="shared" si="12"/>
        <v/>
      </c>
      <c r="W119" s="67" t="str">
        <f t="shared" si="13"/>
        <v/>
      </c>
      <c r="X119" s="67" t="str">
        <f t="shared" si="14"/>
        <v/>
      </c>
      <c r="Y119" s="24" t="str">
        <f t="shared" si="15"/>
        <v/>
      </c>
      <c r="Z119">
        <f t="shared" si="16"/>
        <v>0</v>
      </c>
      <c r="AA119">
        <f t="shared" si="17"/>
        <v>0</v>
      </c>
    </row>
    <row r="120" spans="2:27" ht="15.75" customHeight="1" x14ac:dyDescent="0.3">
      <c r="B120" s="25"/>
      <c r="C120" s="25"/>
      <c r="D120" s="25"/>
      <c r="E120" s="26" t="str">
        <f t="shared" si="9"/>
        <v/>
      </c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3" t="str">
        <f>IF($F120="","",IF(OR($B120="",$C120="",$D120=""),"⚠ Compléter Année/Niveau/Session",IF(AND($E120&lt;&gt;"",COUNTIF(D_KEY_DOUBLON,$B120&amp;"|"&amp;$D120&amp;"|"&amp;$E120)&gt;1),"⚠ Doublon",IF(AND($E120&lt;&gt;"",COUNTIF(D_KEY_STATUT,$B120&amp;"|"&amp;$E120&amp;"|P")&gt;0,COUNTIF(D_KEY_STATUT,$B120&amp;"|"&amp;$E120&amp;"|A")&gt;0),"⚠ Statut incohérent",IF(AND($D120="S1",$Y120&lt;&gt;"Parti",COUNTIF(ANNEES_VERROU,$B120)&gt;0,COUNTIF(D_KEY_NIVSES,$B120&amp;"|"&amp;$C120&amp;"|S2")&gt;0,COUNTIF(D_KEY_DOUBLON,$B120&amp;"|S2|"&amp;$E120)=0),"⚠ Départ non confirmé ?",IF(AND($C120&lt;&gt;"",ISNUMBER($I120),OR(VALUE(LEFT($B120,4))-$I120&lt;4+IFERROR(MATCH($C120,LISTE_NIVEAUX,0),99),VALUE(LEFT($B120,4))-$I120&gt;6+IFERROR(MATCH($C120,LISTE_NIVEAUX,0),99))),"⚠ Vérifier niveau",IF(AND(IFERROR(VLOOKUP($C120,TABLE_CYCLE,2,0),3)=2,COUNT($O120:$Q120)&gt;0),"⚠ Tests cycle 3",IF(COUNT($J120:$Q120)&gt;=IF(IFERROR(VLOOKUP($C120,TABLE_CYCLE,2,0),3)=2,5,8),"Complet","Incomplet"))))))))</f>
        <v/>
      </c>
      <c r="S120" s="24"/>
      <c r="T120" s="67" t="str">
        <f t="shared" si="10"/>
        <v/>
      </c>
      <c r="U120" s="67" t="str">
        <f t="shared" si="11"/>
        <v/>
      </c>
      <c r="V120" s="67" t="str">
        <f t="shared" si="12"/>
        <v/>
      </c>
      <c r="W120" s="67" t="str">
        <f t="shared" si="13"/>
        <v/>
      </c>
      <c r="X120" s="67" t="str">
        <f t="shared" si="14"/>
        <v/>
      </c>
      <c r="Y120" s="24" t="str">
        <f t="shared" si="15"/>
        <v/>
      </c>
      <c r="Z120">
        <f t="shared" si="16"/>
        <v>0</v>
      </c>
      <c r="AA120">
        <f t="shared" si="17"/>
        <v>0</v>
      </c>
    </row>
    <row r="121" spans="2:27" ht="15.75" customHeight="1" x14ac:dyDescent="0.3">
      <c r="B121" s="21"/>
      <c r="C121" s="21"/>
      <c r="D121" s="21"/>
      <c r="E121" s="22" t="str">
        <f t="shared" si="9"/>
        <v/>
      </c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3" t="str">
        <f>IF($F121="","",IF(OR($B121="",$C121="",$D121=""),"⚠ Compléter Année/Niveau/Session",IF(AND($E121&lt;&gt;"",COUNTIF(D_KEY_DOUBLON,$B121&amp;"|"&amp;$D121&amp;"|"&amp;$E121)&gt;1),"⚠ Doublon",IF(AND($E121&lt;&gt;"",COUNTIF(D_KEY_STATUT,$B121&amp;"|"&amp;$E121&amp;"|P")&gt;0,COUNTIF(D_KEY_STATUT,$B121&amp;"|"&amp;$E121&amp;"|A")&gt;0),"⚠ Statut incohérent",IF(AND($D121="S1",$Y121&lt;&gt;"Parti",COUNTIF(ANNEES_VERROU,$B121)&gt;0,COUNTIF(D_KEY_NIVSES,$B121&amp;"|"&amp;$C121&amp;"|S2")&gt;0,COUNTIF(D_KEY_DOUBLON,$B121&amp;"|S2|"&amp;$E121)=0),"⚠ Départ non confirmé ?",IF(AND($C121&lt;&gt;"",ISNUMBER($I121),OR(VALUE(LEFT($B121,4))-$I121&lt;4+IFERROR(MATCH($C121,LISTE_NIVEAUX,0),99),VALUE(LEFT($B121,4))-$I121&gt;6+IFERROR(MATCH($C121,LISTE_NIVEAUX,0),99))),"⚠ Vérifier niveau",IF(AND(IFERROR(VLOOKUP($C121,TABLE_CYCLE,2,0),3)=2,COUNT($O121:$Q121)&gt;0),"⚠ Tests cycle 3",IF(COUNT($J121:$Q121)&gt;=IF(IFERROR(VLOOKUP($C121,TABLE_CYCLE,2,0),3)=2,5,8),"Complet","Incomplet"))))))))</f>
        <v/>
      </c>
      <c r="S121" s="24"/>
      <c r="T121" s="67" t="str">
        <f t="shared" si="10"/>
        <v/>
      </c>
      <c r="U121" s="67" t="str">
        <f t="shared" si="11"/>
        <v/>
      </c>
      <c r="V121" s="67" t="str">
        <f t="shared" si="12"/>
        <v/>
      </c>
      <c r="W121" s="67" t="str">
        <f t="shared" si="13"/>
        <v/>
      </c>
      <c r="X121" s="67" t="str">
        <f t="shared" si="14"/>
        <v/>
      </c>
      <c r="Y121" s="24" t="str">
        <f t="shared" si="15"/>
        <v/>
      </c>
      <c r="Z121">
        <f t="shared" si="16"/>
        <v>0</v>
      </c>
      <c r="AA121">
        <f t="shared" si="17"/>
        <v>0</v>
      </c>
    </row>
    <row r="122" spans="2:27" ht="15.75" customHeight="1" x14ac:dyDescent="0.3">
      <c r="B122" s="25"/>
      <c r="C122" s="25"/>
      <c r="D122" s="25"/>
      <c r="E122" s="26" t="str">
        <f t="shared" si="9"/>
        <v/>
      </c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3" t="str">
        <f>IF($F122="","",IF(OR($B122="",$C122="",$D122=""),"⚠ Compléter Année/Niveau/Session",IF(AND($E122&lt;&gt;"",COUNTIF(D_KEY_DOUBLON,$B122&amp;"|"&amp;$D122&amp;"|"&amp;$E122)&gt;1),"⚠ Doublon",IF(AND($E122&lt;&gt;"",COUNTIF(D_KEY_STATUT,$B122&amp;"|"&amp;$E122&amp;"|P")&gt;0,COUNTIF(D_KEY_STATUT,$B122&amp;"|"&amp;$E122&amp;"|A")&gt;0),"⚠ Statut incohérent",IF(AND($D122="S1",$Y122&lt;&gt;"Parti",COUNTIF(ANNEES_VERROU,$B122)&gt;0,COUNTIF(D_KEY_NIVSES,$B122&amp;"|"&amp;$C122&amp;"|S2")&gt;0,COUNTIF(D_KEY_DOUBLON,$B122&amp;"|S2|"&amp;$E122)=0),"⚠ Départ non confirmé ?",IF(AND($C122&lt;&gt;"",ISNUMBER($I122),OR(VALUE(LEFT($B122,4))-$I122&lt;4+IFERROR(MATCH($C122,LISTE_NIVEAUX,0),99),VALUE(LEFT($B122,4))-$I122&gt;6+IFERROR(MATCH($C122,LISTE_NIVEAUX,0),99))),"⚠ Vérifier niveau",IF(AND(IFERROR(VLOOKUP($C122,TABLE_CYCLE,2,0),3)=2,COUNT($O122:$Q122)&gt;0),"⚠ Tests cycle 3",IF(COUNT($J122:$Q122)&gt;=IF(IFERROR(VLOOKUP($C122,TABLE_CYCLE,2,0),3)=2,5,8),"Complet","Incomplet"))))))))</f>
        <v/>
      </c>
      <c r="S122" s="24"/>
      <c r="T122" s="67" t="str">
        <f t="shared" si="10"/>
        <v/>
      </c>
      <c r="U122" s="67" t="str">
        <f t="shared" si="11"/>
        <v/>
      </c>
      <c r="V122" s="67" t="str">
        <f t="shared" si="12"/>
        <v/>
      </c>
      <c r="W122" s="67" t="str">
        <f t="shared" si="13"/>
        <v/>
      </c>
      <c r="X122" s="67" t="str">
        <f t="shared" si="14"/>
        <v/>
      </c>
      <c r="Y122" s="24" t="str">
        <f t="shared" si="15"/>
        <v/>
      </c>
      <c r="Z122">
        <f t="shared" si="16"/>
        <v>0</v>
      </c>
      <c r="AA122">
        <f t="shared" si="17"/>
        <v>0</v>
      </c>
    </row>
    <row r="123" spans="2:27" ht="15.75" customHeight="1" x14ac:dyDescent="0.3">
      <c r="B123" s="21"/>
      <c r="C123" s="21"/>
      <c r="D123" s="21"/>
      <c r="E123" s="22" t="str">
        <f t="shared" si="9"/>
        <v/>
      </c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3" t="str">
        <f>IF($F123="","",IF(OR($B123="",$C123="",$D123=""),"⚠ Compléter Année/Niveau/Session",IF(AND($E123&lt;&gt;"",COUNTIF(D_KEY_DOUBLON,$B123&amp;"|"&amp;$D123&amp;"|"&amp;$E123)&gt;1),"⚠ Doublon",IF(AND($E123&lt;&gt;"",COUNTIF(D_KEY_STATUT,$B123&amp;"|"&amp;$E123&amp;"|P")&gt;0,COUNTIF(D_KEY_STATUT,$B123&amp;"|"&amp;$E123&amp;"|A")&gt;0),"⚠ Statut incohérent",IF(AND($D123="S1",$Y123&lt;&gt;"Parti",COUNTIF(ANNEES_VERROU,$B123)&gt;0,COUNTIF(D_KEY_NIVSES,$B123&amp;"|"&amp;$C123&amp;"|S2")&gt;0,COUNTIF(D_KEY_DOUBLON,$B123&amp;"|S2|"&amp;$E123)=0),"⚠ Départ non confirmé ?",IF(AND($C123&lt;&gt;"",ISNUMBER($I123),OR(VALUE(LEFT($B123,4))-$I123&lt;4+IFERROR(MATCH($C123,LISTE_NIVEAUX,0),99),VALUE(LEFT($B123,4))-$I123&gt;6+IFERROR(MATCH($C123,LISTE_NIVEAUX,0),99))),"⚠ Vérifier niveau",IF(AND(IFERROR(VLOOKUP($C123,TABLE_CYCLE,2,0),3)=2,COUNT($O123:$Q123)&gt;0),"⚠ Tests cycle 3",IF(COUNT($J123:$Q123)&gt;=IF(IFERROR(VLOOKUP($C123,TABLE_CYCLE,2,0),3)=2,5,8),"Complet","Incomplet"))))))))</f>
        <v/>
      </c>
      <c r="S123" s="24"/>
      <c r="T123" s="67" t="str">
        <f t="shared" si="10"/>
        <v/>
      </c>
      <c r="U123" s="67" t="str">
        <f t="shared" si="11"/>
        <v/>
      </c>
      <c r="V123" s="67" t="str">
        <f t="shared" si="12"/>
        <v/>
      </c>
      <c r="W123" s="67" t="str">
        <f t="shared" si="13"/>
        <v/>
      </c>
      <c r="X123" s="67" t="str">
        <f t="shared" si="14"/>
        <v/>
      </c>
      <c r="Y123" s="24" t="str">
        <f t="shared" si="15"/>
        <v/>
      </c>
      <c r="Z123">
        <f t="shared" si="16"/>
        <v>0</v>
      </c>
      <c r="AA123">
        <f t="shared" si="17"/>
        <v>0</v>
      </c>
    </row>
    <row r="124" spans="2:27" ht="15.75" customHeight="1" x14ac:dyDescent="0.3">
      <c r="B124" s="25"/>
      <c r="C124" s="25"/>
      <c r="D124" s="25"/>
      <c r="E124" s="26" t="str">
        <f t="shared" si="9"/>
        <v/>
      </c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3" t="str">
        <f>IF($F124="","",IF(OR($B124="",$C124="",$D124=""),"⚠ Compléter Année/Niveau/Session",IF(AND($E124&lt;&gt;"",COUNTIF(D_KEY_DOUBLON,$B124&amp;"|"&amp;$D124&amp;"|"&amp;$E124)&gt;1),"⚠ Doublon",IF(AND($E124&lt;&gt;"",COUNTIF(D_KEY_STATUT,$B124&amp;"|"&amp;$E124&amp;"|P")&gt;0,COUNTIF(D_KEY_STATUT,$B124&amp;"|"&amp;$E124&amp;"|A")&gt;0),"⚠ Statut incohérent",IF(AND($D124="S1",$Y124&lt;&gt;"Parti",COUNTIF(ANNEES_VERROU,$B124)&gt;0,COUNTIF(D_KEY_NIVSES,$B124&amp;"|"&amp;$C124&amp;"|S2")&gt;0,COUNTIF(D_KEY_DOUBLON,$B124&amp;"|S2|"&amp;$E124)=0),"⚠ Départ non confirmé ?",IF(AND($C124&lt;&gt;"",ISNUMBER($I124),OR(VALUE(LEFT($B124,4))-$I124&lt;4+IFERROR(MATCH($C124,LISTE_NIVEAUX,0),99),VALUE(LEFT($B124,4))-$I124&gt;6+IFERROR(MATCH($C124,LISTE_NIVEAUX,0),99))),"⚠ Vérifier niveau",IF(AND(IFERROR(VLOOKUP($C124,TABLE_CYCLE,2,0),3)=2,COUNT($O124:$Q124)&gt;0),"⚠ Tests cycle 3",IF(COUNT($J124:$Q124)&gt;=IF(IFERROR(VLOOKUP($C124,TABLE_CYCLE,2,0),3)=2,5,8),"Complet","Incomplet"))))))))</f>
        <v/>
      </c>
      <c r="S124" s="24"/>
      <c r="T124" s="67" t="str">
        <f t="shared" si="10"/>
        <v/>
      </c>
      <c r="U124" s="67" t="str">
        <f t="shared" si="11"/>
        <v/>
      </c>
      <c r="V124" s="67" t="str">
        <f t="shared" si="12"/>
        <v/>
      </c>
      <c r="W124" s="67" t="str">
        <f t="shared" si="13"/>
        <v/>
      </c>
      <c r="X124" s="67" t="str">
        <f t="shared" si="14"/>
        <v/>
      </c>
      <c r="Y124" s="24" t="str">
        <f t="shared" si="15"/>
        <v/>
      </c>
      <c r="Z124">
        <f t="shared" si="16"/>
        <v>0</v>
      </c>
      <c r="AA124">
        <f t="shared" si="17"/>
        <v>0</v>
      </c>
    </row>
    <row r="125" spans="2:27" ht="15.75" customHeight="1" x14ac:dyDescent="0.3">
      <c r="B125" s="21"/>
      <c r="C125" s="21"/>
      <c r="D125" s="21"/>
      <c r="E125" s="22" t="str">
        <f t="shared" si="9"/>
        <v/>
      </c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3" t="str">
        <f>IF($F125="","",IF(OR($B125="",$C125="",$D125=""),"⚠ Compléter Année/Niveau/Session",IF(AND($E125&lt;&gt;"",COUNTIF(D_KEY_DOUBLON,$B125&amp;"|"&amp;$D125&amp;"|"&amp;$E125)&gt;1),"⚠ Doublon",IF(AND($E125&lt;&gt;"",COUNTIF(D_KEY_STATUT,$B125&amp;"|"&amp;$E125&amp;"|P")&gt;0,COUNTIF(D_KEY_STATUT,$B125&amp;"|"&amp;$E125&amp;"|A")&gt;0),"⚠ Statut incohérent",IF(AND($D125="S1",$Y125&lt;&gt;"Parti",COUNTIF(ANNEES_VERROU,$B125)&gt;0,COUNTIF(D_KEY_NIVSES,$B125&amp;"|"&amp;$C125&amp;"|S2")&gt;0,COUNTIF(D_KEY_DOUBLON,$B125&amp;"|S2|"&amp;$E125)=0),"⚠ Départ non confirmé ?",IF(AND($C125&lt;&gt;"",ISNUMBER($I125),OR(VALUE(LEFT($B125,4))-$I125&lt;4+IFERROR(MATCH($C125,LISTE_NIVEAUX,0),99),VALUE(LEFT($B125,4))-$I125&gt;6+IFERROR(MATCH($C125,LISTE_NIVEAUX,0),99))),"⚠ Vérifier niveau",IF(AND(IFERROR(VLOOKUP($C125,TABLE_CYCLE,2,0),3)=2,COUNT($O125:$Q125)&gt;0),"⚠ Tests cycle 3",IF(COUNT($J125:$Q125)&gt;=IF(IFERROR(VLOOKUP($C125,TABLE_CYCLE,2,0),3)=2,5,8),"Complet","Incomplet"))))))))</f>
        <v/>
      </c>
      <c r="S125" s="24"/>
      <c r="T125" s="67" t="str">
        <f t="shared" si="10"/>
        <v/>
      </c>
      <c r="U125" s="67" t="str">
        <f t="shared" si="11"/>
        <v/>
      </c>
      <c r="V125" s="67" t="str">
        <f t="shared" si="12"/>
        <v/>
      </c>
      <c r="W125" s="67" t="str">
        <f t="shared" si="13"/>
        <v/>
      </c>
      <c r="X125" s="67" t="str">
        <f t="shared" si="14"/>
        <v/>
      </c>
      <c r="Y125" s="24" t="str">
        <f t="shared" si="15"/>
        <v/>
      </c>
      <c r="Z125">
        <f t="shared" si="16"/>
        <v>0</v>
      </c>
      <c r="AA125">
        <f t="shared" si="17"/>
        <v>0</v>
      </c>
    </row>
    <row r="126" spans="2:27" ht="15.75" customHeight="1" x14ac:dyDescent="0.3">
      <c r="B126" s="25"/>
      <c r="C126" s="25"/>
      <c r="D126" s="25"/>
      <c r="E126" s="26" t="str">
        <f t="shared" si="9"/>
        <v/>
      </c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3" t="str">
        <f>IF($F126="","",IF(OR($B126="",$C126="",$D126=""),"⚠ Compléter Année/Niveau/Session",IF(AND($E126&lt;&gt;"",COUNTIF(D_KEY_DOUBLON,$B126&amp;"|"&amp;$D126&amp;"|"&amp;$E126)&gt;1),"⚠ Doublon",IF(AND($E126&lt;&gt;"",COUNTIF(D_KEY_STATUT,$B126&amp;"|"&amp;$E126&amp;"|P")&gt;0,COUNTIF(D_KEY_STATUT,$B126&amp;"|"&amp;$E126&amp;"|A")&gt;0),"⚠ Statut incohérent",IF(AND($D126="S1",$Y126&lt;&gt;"Parti",COUNTIF(ANNEES_VERROU,$B126)&gt;0,COUNTIF(D_KEY_NIVSES,$B126&amp;"|"&amp;$C126&amp;"|S2")&gt;0,COUNTIF(D_KEY_DOUBLON,$B126&amp;"|S2|"&amp;$E126)=0),"⚠ Départ non confirmé ?",IF(AND($C126&lt;&gt;"",ISNUMBER($I126),OR(VALUE(LEFT($B126,4))-$I126&lt;4+IFERROR(MATCH($C126,LISTE_NIVEAUX,0),99),VALUE(LEFT($B126,4))-$I126&gt;6+IFERROR(MATCH($C126,LISTE_NIVEAUX,0),99))),"⚠ Vérifier niveau",IF(AND(IFERROR(VLOOKUP($C126,TABLE_CYCLE,2,0),3)=2,COUNT($O126:$Q126)&gt;0),"⚠ Tests cycle 3",IF(COUNT($J126:$Q126)&gt;=IF(IFERROR(VLOOKUP($C126,TABLE_CYCLE,2,0),3)=2,5,8),"Complet","Incomplet"))))))))</f>
        <v/>
      </c>
      <c r="S126" s="24"/>
      <c r="T126" s="67" t="str">
        <f t="shared" si="10"/>
        <v/>
      </c>
      <c r="U126" s="67" t="str">
        <f t="shared" si="11"/>
        <v/>
      </c>
      <c r="V126" s="67" t="str">
        <f t="shared" si="12"/>
        <v/>
      </c>
      <c r="W126" s="67" t="str">
        <f t="shared" si="13"/>
        <v/>
      </c>
      <c r="X126" s="67" t="str">
        <f t="shared" si="14"/>
        <v/>
      </c>
      <c r="Y126" s="24" t="str">
        <f t="shared" si="15"/>
        <v/>
      </c>
      <c r="Z126">
        <f t="shared" si="16"/>
        <v>0</v>
      </c>
      <c r="AA126">
        <f t="shared" si="17"/>
        <v>0</v>
      </c>
    </row>
    <row r="127" spans="2:27" ht="15.75" customHeight="1" x14ac:dyDescent="0.3">
      <c r="B127" s="21"/>
      <c r="C127" s="21"/>
      <c r="D127" s="21"/>
      <c r="E127" s="22" t="str">
        <f t="shared" si="9"/>
        <v/>
      </c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3" t="str">
        <f>IF($F127="","",IF(OR($B127="",$C127="",$D127=""),"⚠ Compléter Année/Niveau/Session",IF(AND($E127&lt;&gt;"",COUNTIF(D_KEY_DOUBLON,$B127&amp;"|"&amp;$D127&amp;"|"&amp;$E127)&gt;1),"⚠ Doublon",IF(AND($E127&lt;&gt;"",COUNTIF(D_KEY_STATUT,$B127&amp;"|"&amp;$E127&amp;"|P")&gt;0,COUNTIF(D_KEY_STATUT,$B127&amp;"|"&amp;$E127&amp;"|A")&gt;0),"⚠ Statut incohérent",IF(AND($D127="S1",$Y127&lt;&gt;"Parti",COUNTIF(ANNEES_VERROU,$B127)&gt;0,COUNTIF(D_KEY_NIVSES,$B127&amp;"|"&amp;$C127&amp;"|S2")&gt;0,COUNTIF(D_KEY_DOUBLON,$B127&amp;"|S2|"&amp;$E127)=0),"⚠ Départ non confirmé ?",IF(AND($C127&lt;&gt;"",ISNUMBER($I127),OR(VALUE(LEFT($B127,4))-$I127&lt;4+IFERROR(MATCH($C127,LISTE_NIVEAUX,0),99),VALUE(LEFT($B127,4))-$I127&gt;6+IFERROR(MATCH($C127,LISTE_NIVEAUX,0),99))),"⚠ Vérifier niveau",IF(AND(IFERROR(VLOOKUP($C127,TABLE_CYCLE,2,0),3)=2,COUNT($O127:$Q127)&gt;0),"⚠ Tests cycle 3",IF(COUNT($J127:$Q127)&gt;=IF(IFERROR(VLOOKUP($C127,TABLE_CYCLE,2,0),3)=2,5,8),"Complet","Incomplet"))))))))</f>
        <v/>
      </c>
      <c r="S127" s="24"/>
      <c r="T127" s="67" t="str">
        <f t="shared" si="10"/>
        <v/>
      </c>
      <c r="U127" s="67" t="str">
        <f t="shared" si="11"/>
        <v/>
      </c>
      <c r="V127" s="67" t="str">
        <f t="shared" si="12"/>
        <v/>
      </c>
      <c r="W127" s="67" t="str">
        <f t="shared" si="13"/>
        <v/>
      </c>
      <c r="X127" s="67" t="str">
        <f t="shared" si="14"/>
        <v/>
      </c>
      <c r="Y127" s="24" t="str">
        <f t="shared" si="15"/>
        <v/>
      </c>
      <c r="Z127">
        <f t="shared" si="16"/>
        <v>0</v>
      </c>
      <c r="AA127">
        <f t="shared" si="17"/>
        <v>0</v>
      </c>
    </row>
    <row r="128" spans="2:27" ht="15.75" customHeight="1" x14ac:dyDescent="0.3">
      <c r="B128" s="25"/>
      <c r="C128" s="25"/>
      <c r="D128" s="25"/>
      <c r="E128" s="26" t="str">
        <f t="shared" si="9"/>
        <v/>
      </c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3" t="str">
        <f>IF($F128="","",IF(OR($B128="",$C128="",$D128=""),"⚠ Compléter Année/Niveau/Session",IF(AND($E128&lt;&gt;"",COUNTIF(D_KEY_DOUBLON,$B128&amp;"|"&amp;$D128&amp;"|"&amp;$E128)&gt;1),"⚠ Doublon",IF(AND($E128&lt;&gt;"",COUNTIF(D_KEY_STATUT,$B128&amp;"|"&amp;$E128&amp;"|P")&gt;0,COUNTIF(D_KEY_STATUT,$B128&amp;"|"&amp;$E128&amp;"|A")&gt;0),"⚠ Statut incohérent",IF(AND($D128="S1",$Y128&lt;&gt;"Parti",COUNTIF(ANNEES_VERROU,$B128)&gt;0,COUNTIF(D_KEY_NIVSES,$B128&amp;"|"&amp;$C128&amp;"|S2")&gt;0,COUNTIF(D_KEY_DOUBLON,$B128&amp;"|S2|"&amp;$E128)=0),"⚠ Départ non confirmé ?",IF(AND($C128&lt;&gt;"",ISNUMBER($I128),OR(VALUE(LEFT($B128,4))-$I128&lt;4+IFERROR(MATCH($C128,LISTE_NIVEAUX,0),99),VALUE(LEFT($B128,4))-$I128&gt;6+IFERROR(MATCH($C128,LISTE_NIVEAUX,0),99))),"⚠ Vérifier niveau",IF(AND(IFERROR(VLOOKUP($C128,TABLE_CYCLE,2,0),3)=2,COUNT($O128:$Q128)&gt;0),"⚠ Tests cycle 3",IF(COUNT($J128:$Q128)&gt;=IF(IFERROR(VLOOKUP($C128,TABLE_CYCLE,2,0),3)=2,5,8),"Complet","Incomplet"))))))))</f>
        <v/>
      </c>
      <c r="S128" s="24"/>
      <c r="T128" s="67" t="str">
        <f t="shared" si="10"/>
        <v/>
      </c>
      <c r="U128" s="67" t="str">
        <f t="shared" si="11"/>
        <v/>
      </c>
      <c r="V128" s="67" t="str">
        <f t="shared" si="12"/>
        <v/>
      </c>
      <c r="W128" s="67" t="str">
        <f t="shared" si="13"/>
        <v/>
      </c>
      <c r="X128" s="67" t="str">
        <f t="shared" si="14"/>
        <v/>
      </c>
      <c r="Y128" s="24" t="str">
        <f t="shared" si="15"/>
        <v/>
      </c>
      <c r="Z128">
        <f t="shared" si="16"/>
        <v>0</v>
      </c>
      <c r="AA128">
        <f t="shared" si="17"/>
        <v>0</v>
      </c>
    </row>
    <row r="129" spans="2:27" ht="15.75" customHeight="1" x14ac:dyDescent="0.3">
      <c r="B129" s="21"/>
      <c r="C129" s="21"/>
      <c r="D129" s="21"/>
      <c r="E129" s="22" t="str">
        <f t="shared" si="9"/>
        <v/>
      </c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3" t="str">
        <f>IF($F129="","",IF(OR($B129="",$C129="",$D129=""),"⚠ Compléter Année/Niveau/Session",IF(AND($E129&lt;&gt;"",COUNTIF(D_KEY_DOUBLON,$B129&amp;"|"&amp;$D129&amp;"|"&amp;$E129)&gt;1),"⚠ Doublon",IF(AND($E129&lt;&gt;"",COUNTIF(D_KEY_STATUT,$B129&amp;"|"&amp;$E129&amp;"|P")&gt;0,COUNTIF(D_KEY_STATUT,$B129&amp;"|"&amp;$E129&amp;"|A")&gt;0),"⚠ Statut incohérent",IF(AND($D129="S1",$Y129&lt;&gt;"Parti",COUNTIF(ANNEES_VERROU,$B129)&gt;0,COUNTIF(D_KEY_NIVSES,$B129&amp;"|"&amp;$C129&amp;"|S2")&gt;0,COUNTIF(D_KEY_DOUBLON,$B129&amp;"|S2|"&amp;$E129)=0),"⚠ Départ non confirmé ?",IF(AND($C129&lt;&gt;"",ISNUMBER($I129),OR(VALUE(LEFT($B129,4))-$I129&lt;4+IFERROR(MATCH($C129,LISTE_NIVEAUX,0),99),VALUE(LEFT($B129,4))-$I129&gt;6+IFERROR(MATCH($C129,LISTE_NIVEAUX,0),99))),"⚠ Vérifier niveau",IF(AND(IFERROR(VLOOKUP($C129,TABLE_CYCLE,2,0),3)=2,COUNT($O129:$Q129)&gt;0),"⚠ Tests cycle 3",IF(COUNT($J129:$Q129)&gt;=IF(IFERROR(VLOOKUP($C129,TABLE_CYCLE,2,0),3)=2,5,8),"Complet","Incomplet"))))))))</f>
        <v/>
      </c>
      <c r="S129" s="24"/>
      <c r="T129" s="67" t="str">
        <f t="shared" si="10"/>
        <v/>
      </c>
      <c r="U129" s="67" t="str">
        <f t="shared" si="11"/>
        <v/>
      </c>
      <c r="V129" s="67" t="str">
        <f t="shared" si="12"/>
        <v/>
      </c>
      <c r="W129" s="67" t="str">
        <f t="shared" si="13"/>
        <v/>
      </c>
      <c r="X129" s="67" t="str">
        <f t="shared" si="14"/>
        <v/>
      </c>
      <c r="Y129" s="24" t="str">
        <f t="shared" si="15"/>
        <v/>
      </c>
      <c r="Z129">
        <f t="shared" si="16"/>
        <v>0</v>
      </c>
      <c r="AA129">
        <f t="shared" si="17"/>
        <v>0</v>
      </c>
    </row>
    <row r="130" spans="2:27" ht="15.75" customHeight="1" x14ac:dyDescent="0.3">
      <c r="B130" s="25"/>
      <c r="C130" s="25"/>
      <c r="D130" s="25"/>
      <c r="E130" s="26" t="str">
        <f t="shared" si="9"/>
        <v/>
      </c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3" t="str">
        <f>IF($F130="","",IF(OR($B130="",$C130="",$D130=""),"⚠ Compléter Année/Niveau/Session",IF(AND($E130&lt;&gt;"",COUNTIF(D_KEY_DOUBLON,$B130&amp;"|"&amp;$D130&amp;"|"&amp;$E130)&gt;1),"⚠ Doublon",IF(AND($E130&lt;&gt;"",COUNTIF(D_KEY_STATUT,$B130&amp;"|"&amp;$E130&amp;"|P")&gt;0,COUNTIF(D_KEY_STATUT,$B130&amp;"|"&amp;$E130&amp;"|A")&gt;0),"⚠ Statut incohérent",IF(AND($D130="S1",$Y130&lt;&gt;"Parti",COUNTIF(ANNEES_VERROU,$B130)&gt;0,COUNTIF(D_KEY_NIVSES,$B130&amp;"|"&amp;$C130&amp;"|S2")&gt;0,COUNTIF(D_KEY_DOUBLON,$B130&amp;"|S2|"&amp;$E130)=0),"⚠ Départ non confirmé ?",IF(AND($C130&lt;&gt;"",ISNUMBER($I130),OR(VALUE(LEFT($B130,4))-$I130&lt;4+IFERROR(MATCH($C130,LISTE_NIVEAUX,0),99),VALUE(LEFT($B130,4))-$I130&gt;6+IFERROR(MATCH($C130,LISTE_NIVEAUX,0),99))),"⚠ Vérifier niveau",IF(AND(IFERROR(VLOOKUP($C130,TABLE_CYCLE,2,0),3)=2,COUNT($O130:$Q130)&gt;0),"⚠ Tests cycle 3",IF(COUNT($J130:$Q130)&gt;=IF(IFERROR(VLOOKUP($C130,TABLE_CYCLE,2,0),3)=2,5,8),"Complet","Incomplet"))))))))</f>
        <v/>
      </c>
      <c r="S130" s="24"/>
      <c r="T130" s="67" t="str">
        <f t="shared" si="10"/>
        <v/>
      </c>
      <c r="U130" s="67" t="str">
        <f t="shared" si="11"/>
        <v/>
      </c>
      <c r="V130" s="67" t="str">
        <f t="shared" si="12"/>
        <v/>
      </c>
      <c r="W130" s="67" t="str">
        <f t="shared" si="13"/>
        <v/>
      </c>
      <c r="X130" s="67" t="str">
        <f t="shared" si="14"/>
        <v/>
      </c>
      <c r="Y130" s="24" t="str">
        <f t="shared" si="15"/>
        <v/>
      </c>
      <c r="Z130">
        <f t="shared" si="16"/>
        <v>0</v>
      </c>
      <c r="AA130">
        <f t="shared" si="17"/>
        <v>0</v>
      </c>
    </row>
    <row r="131" spans="2:27" ht="15.75" customHeight="1" x14ac:dyDescent="0.3">
      <c r="B131" s="21"/>
      <c r="C131" s="21"/>
      <c r="D131" s="21"/>
      <c r="E131" s="22" t="str">
        <f t="shared" si="9"/>
        <v/>
      </c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3" t="str">
        <f>IF($F131="","",IF(OR($B131="",$C131="",$D131=""),"⚠ Compléter Année/Niveau/Session",IF(AND($E131&lt;&gt;"",COUNTIF(D_KEY_DOUBLON,$B131&amp;"|"&amp;$D131&amp;"|"&amp;$E131)&gt;1),"⚠ Doublon",IF(AND($E131&lt;&gt;"",COUNTIF(D_KEY_STATUT,$B131&amp;"|"&amp;$E131&amp;"|P")&gt;0,COUNTIF(D_KEY_STATUT,$B131&amp;"|"&amp;$E131&amp;"|A")&gt;0),"⚠ Statut incohérent",IF(AND($D131="S1",$Y131&lt;&gt;"Parti",COUNTIF(ANNEES_VERROU,$B131)&gt;0,COUNTIF(D_KEY_NIVSES,$B131&amp;"|"&amp;$C131&amp;"|S2")&gt;0,COUNTIF(D_KEY_DOUBLON,$B131&amp;"|S2|"&amp;$E131)=0),"⚠ Départ non confirmé ?",IF(AND($C131&lt;&gt;"",ISNUMBER($I131),OR(VALUE(LEFT($B131,4))-$I131&lt;4+IFERROR(MATCH($C131,LISTE_NIVEAUX,0),99),VALUE(LEFT($B131,4))-$I131&gt;6+IFERROR(MATCH($C131,LISTE_NIVEAUX,0),99))),"⚠ Vérifier niveau",IF(AND(IFERROR(VLOOKUP($C131,TABLE_CYCLE,2,0),3)=2,COUNT($O131:$Q131)&gt;0),"⚠ Tests cycle 3",IF(COUNT($J131:$Q131)&gt;=IF(IFERROR(VLOOKUP($C131,TABLE_CYCLE,2,0),3)=2,5,8),"Complet","Incomplet"))))))))</f>
        <v/>
      </c>
      <c r="S131" s="24"/>
      <c r="T131" s="67" t="str">
        <f t="shared" si="10"/>
        <v/>
      </c>
      <c r="U131" s="67" t="str">
        <f t="shared" si="11"/>
        <v/>
      </c>
      <c r="V131" s="67" t="str">
        <f t="shared" si="12"/>
        <v/>
      </c>
      <c r="W131" s="67" t="str">
        <f t="shared" si="13"/>
        <v/>
      </c>
      <c r="X131" s="67" t="str">
        <f t="shared" si="14"/>
        <v/>
      </c>
      <c r="Y131" s="24" t="str">
        <f t="shared" si="15"/>
        <v/>
      </c>
      <c r="Z131">
        <f t="shared" si="16"/>
        <v>0</v>
      </c>
      <c r="AA131">
        <f t="shared" si="17"/>
        <v>0</v>
      </c>
    </row>
    <row r="132" spans="2:27" ht="15.75" customHeight="1" x14ac:dyDescent="0.3">
      <c r="B132" s="25"/>
      <c r="C132" s="25"/>
      <c r="D132" s="25"/>
      <c r="E132" s="26" t="str">
        <f t="shared" si="9"/>
        <v/>
      </c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3" t="str">
        <f>IF($F132="","",IF(OR($B132="",$C132="",$D132=""),"⚠ Compléter Année/Niveau/Session",IF(AND($E132&lt;&gt;"",COUNTIF(D_KEY_DOUBLON,$B132&amp;"|"&amp;$D132&amp;"|"&amp;$E132)&gt;1),"⚠ Doublon",IF(AND($E132&lt;&gt;"",COUNTIF(D_KEY_STATUT,$B132&amp;"|"&amp;$E132&amp;"|P")&gt;0,COUNTIF(D_KEY_STATUT,$B132&amp;"|"&amp;$E132&amp;"|A")&gt;0),"⚠ Statut incohérent",IF(AND($D132="S1",$Y132&lt;&gt;"Parti",COUNTIF(ANNEES_VERROU,$B132)&gt;0,COUNTIF(D_KEY_NIVSES,$B132&amp;"|"&amp;$C132&amp;"|S2")&gt;0,COUNTIF(D_KEY_DOUBLON,$B132&amp;"|S2|"&amp;$E132)=0),"⚠ Départ non confirmé ?",IF(AND($C132&lt;&gt;"",ISNUMBER($I132),OR(VALUE(LEFT($B132,4))-$I132&lt;4+IFERROR(MATCH($C132,LISTE_NIVEAUX,0),99),VALUE(LEFT($B132,4))-$I132&gt;6+IFERROR(MATCH($C132,LISTE_NIVEAUX,0),99))),"⚠ Vérifier niveau",IF(AND(IFERROR(VLOOKUP($C132,TABLE_CYCLE,2,0),3)=2,COUNT($O132:$Q132)&gt;0),"⚠ Tests cycle 3",IF(COUNT($J132:$Q132)&gt;=IF(IFERROR(VLOOKUP($C132,TABLE_CYCLE,2,0),3)=2,5,8),"Complet","Incomplet"))))))))</f>
        <v/>
      </c>
      <c r="S132" s="24"/>
      <c r="T132" s="67" t="str">
        <f t="shared" si="10"/>
        <v/>
      </c>
      <c r="U132" s="67" t="str">
        <f t="shared" si="11"/>
        <v/>
      </c>
      <c r="V132" s="67" t="str">
        <f t="shared" si="12"/>
        <v/>
      </c>
      <c r="W132" s="67" t="str">
        <f t="shared" si="13"/>
        <v/>
      </c>
      <c r="X132" s="67" t="str">
        <f t="shared" si="14"/>
        <v/>
      </c>
      <c r="Y132" s="24" t="str">
        <f t="shared" si="15"/>
        <v/>
      </c>
      <c r="Z132">
        <f t="shared" si="16"/>
        <v>0</v>
      </c>
      <c r="AA132">
        <f t="shared" si="17"/>
        <v>0</v>
      </c>
    </row>
    <row r="133" spans="2:27" ht="15.75" customHeight="1" x14ac:dyDescent="0.3">
      <c r="B133" s="21"/>
      <c r="C133" s="21"/>
      <c r="D133" s="21"/>
      <c r="E133" s="22" t="str">
        <f t="shared" si="9"/>
        <v/>
      </c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3" t="str">
        <f>IF($F133="","",IF(OR($B133="",$C133="",$D133=""),"⚠ Compléter Année/Niveau/Session",IF(AND($E133&lt;&gt;"",COUNTIF(D_KEY_DOUBLON,$B133&amp;"|"&amp;$D133&amp;"|"&amp;$E133)&gt;1),"⚠ Doublon",IF(AND($E133&lt;&gt;"",COUNTIF(D_KEY_STATUT,$B133&amp;"|"&amp;$E133&amp;"|P")&gt;0,COUNTIF(D_KEY_STATUT,$B133&amp;"|"&amp;$E133&amp;"|A")&gt;0),"⚠ Statut incohérent",IF(AND($D133="S1",$Y133&lt;&gt;"Parti",COUNTIF(ANNEES_VERROU,$B133)&gt;0,COUNTIF(D_KEY_NIVSES,$B133&amp;"|"&amp;$C133&amp;"|S2")&gt;0,COUNTIF(D_KEY_DOUBLON,$B133&amp;"|S2|"&amp;$E133)=0),"⚠ Départ non confirmé ?",IF(AND($C133&lt;&gt;"",ISNUMBER($I133),OR(VALUE(LEFT($B133,4))-$I133&lt;4+IFERROR(MATCH($C133,LISTE_NIVEAUX,0),99),VALUE(LEFT($B133,4))-$I133&gt;6+IFERROR(MATCH($C133,LISTE_NIVEAUX,0),99))),"⚠ Vérifier niveau",IF(AND(IFERROR(VLOOKUP($C133,TABLE_CYCLE,2,0),3)=2,COUNT($O133:$Q133)&gt;0),"⚠ Tests cycle 3",IF(COUNT($J133:$Q133)&gt;=IF(IFERROR(VLOOKUP($C133,TABLE_CYCLE,2,0),3)=2,5,8),"Complet","Incomplet"))))))))</f>
        <v/>
      </c>
      <c r="S133" s="24"/>
      <c r="T133" s="67" t="str">
        <f t="shared" si="10"/>
        <v/>
      </c>
      <c r="U133" s="67" t="str">
        <f t="shared" si="11"/>
        <v/>
      </c>
      <c r="V133" s="67" t="str">
        <f t="shared" si="12"/>
        <v/>
      </c>
      <c r="W133" s="67" t="str">
        <f t="shared" si="13"/>
        <v/>
      </c>
      <c r="X133" s="67" t="str">
        <f t="shared" si="14"/>
        <v/>
      </c>
      <c r="Y133" s="24" t="str">
        <f t="shared" si="15"/>
        <v/>
      </c>
      <c r="Z133">
        <f t="shared" si="16"/>
        <v>0</v>
      </c>
      <c r="AA133">
        <f t="shared" si="17"/>
        <v>0</v>
      </c>
    </row>
    <row r="134" spans="2:27" ht="15.75" customHeight="1" x14ac:dyDescent="0.3">
      <c r="B134" s="25"/>
      <c r="C134" s="25"/>
      <c r="D134" s="25"/>
      <c r="E134" s="26" t="str">
        <f t="shared" si="9"/>
        <v/>
      </c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3" t="str">
        <f>IF($F134="","",IF(OR($B134="",$C134="",$D134=""),"⚠ Compléter Année/Niveau/Session",IF(AND($E134&lt;&gt;"",COUNTIF(D_KEY_DOUBLON,$B134&amp;"|"&amp;$D134&amp;"|"&amp;$E134)&gt;1),"⚠ Doublon",IF(AND($E134&lt;&gt;"",COUNTIF(D_KEY_STATUT,$B134&amp;"|"&amp;$E134&amp;"|P")&gt;0,COUNTIF(D_KEY_STATUT,$B134&amp;"|"&amp;$E134&amp;"|A")&gt;0),"⚠ Statut incohérent",IF(AND($D134="S1",$Y134&lt;&gt;"Parti",COUNTIF(ANNEES_VERROU,$B134)&gt;0,COUNTIF(D_KEY_NIVSES,$B134&amp;"|"&amp;$C134&amp;"|S2")&gt;0,COUNTIF(D_KEY_DOUBLON,$B134&amp;"|S2|"&amp;$E134)=0),"⚠ Départ non confirmé ?",IF(AND($C134&lt;&gt;"",ISNUMBER($I134),OR(VALUE(LEFT($B134,4))-$I134&lt;4+IFERROR(MATCH($C134,LISTE_NIVEAUX,0),99),VALUE(LEFT($B134,4))-$I134&gt;6+IFERROR(MATCH($C134,LISTE_NIVEAUX,0),99))),"⚠ Vérifier niveau",IF(AND(IFERROR(VLOOKUP($C134,TABLE_CYCLE,2,0),3)=2,COUNT($O134:$Q134)&gt;0),"⚠ Tests cycle 3",IF(COUNT($J134:$Q134)&gt;=IF(IFERROR(VLOOKUP($C134,TABLE_CYCLE,2,0),3)=2,5,8),"Complet","Incomplet"))))))))</f>
        <v/>
      </c>
      <c r="S134" s="24"/>
      <c r="T134" s="67" t="str">
        <f t="shared" si="10"/>
        <v/>
      </c>
      <c r="U134" s="67" t="str">
        <f t="shared" si="11"/>
        <v/>
      </c>
      <c r="V134" s="67" t="str">
        <f t="shared" si="12"/>
        <v/>
      </c>
      <c r="W134" s="67" t="str">
        <f t="shared" si="13"/>
        <v/>
      </c>
      <c r="X134" s="67" t="str">
        <f t="shared" si="14"/>
        <v/>
      </c>
      <c r="Y134" s="24" t="str">
        <f t="shared" si="15"/>
        <v/>
      </c>
      <c r="Z134">
        <f t="shared" si="16"/>
        <v>0</v>
      </c>
      <c r="AA134">
        <f t="shared" si="17"/>
        <v>0</v>
      </c>
    </row>
    <row r="135" spans="2:27" ht="15.75" customHeight="1" x14ac:dyDescent="0.3">
      <c r="B135" s="21"/>
      <c r="C135" s="21"/>
      <c r="D135" s="21"/>
      <c r="E135" s="22" t="str">
        <f t="shared" ref="E135:E198" si="18">IF(OR($F135="",$G135=""),"",IF(ISNUMBER($I135),TEXT($I135-2000,"00")&amp;"_","__")&amp;UPPER(TRIM($F135))&amp;"_"&amp;UPPER(TRIM($G135)))</f>
        <v/>
      </c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3" t="str">
        <f>IF($F135="","",IF(OR($B135="",$C135="",$D135=""),"⚠ Compléter Année/Niveau/Session",IF(AND($E135&lt;&gt;"",COUNTIF(D_KEY_DOUBLON,$B135&amp;"|"&amp;$D135&amp;"|"&amp;$E135)&gt;1),"⚠ Doublon",IF(AND($E135&lt;&gt;"",COUNTIF(D_KEY_STATUT,$B135&amp;"|"&amp;$E135&amp;"|P")&gt;0,COUNTIF(D_KEY_STATUT,$B135&amp;"|"&amp;$E135&amp;"|A")&gt;0),"⚠ Statut incohérent",IF(AND($D135="S1",$Y135&lt;&gt;"Parti",COUNTIF(ANNEES_VERROU,$B135)&gt;0,COUNTIF(D_KEY_NIVSES,$B135&amp;"|"&amp;$C135&amp;"|S2")&gt;0,COUNTIF(D_KEY_DOUBLON,$B135&amp;"|S2|"&amp;$E135)=0),"⚠ Départ non confirmé ?",IF(AND($C135&lt;&gt;"",ISNUMBER($I135),OR(VALUE(LEFT($B135,4))-$I135&lt;4+IFERROR(MATCH($C135,LISTE_NIVEAUX,0),99),VALUE(LEFT($B135,4))-$I135&gt;6+IFERROR(MATCH($C135,LISTE_NIVEAUX,0),99))),"⚠ Vérifier niveau",IF(AND(IFERROR(VLOOKUP($C135,TABLE_CYCLE,2,0),3)=2,COUNT($O135:$Q135)&gt;0),"⚠ Tests cycle 3",IF(COUNT($J135:$Q135)&gt;=IF(IFERROR(VLOOKUP($C135,TABLE_CYCLE,2,0),3)=2,5,8),"Complet","Incomplet"))))))))</f>
        <v/>
      </c>
      <c r="S135" s="24"/>
      <c r="T135" s="67" t="str">
        <f t="shared" ref="T135:T198" si="19">IFERROR(INDEX(D_NOM,MATCH(ROW()-6,D_RANG_RECUP,0)),"")</f>
        <v/>
      </c>
      <c r="U135" s="67" t="str">
        <f t="shared" ref="U135:U198" si="20">IFERROR(INDEX(D_PRENOM,MATCH(ROW()-6,D_RANG_RECUP,0)),"")</f>
        <v/>
      </c>
      <c r="V135" s="67" t="str">
        <f t="shared" ref="V135:V198" si="21">IFERROR(INDEX(D_SEXE,MATCH(ROW()-6,D_RANG_RECUP,0)),"")</f>
        <v/>
      </c>
      <c r="W135" s="67" t="str">
        <f t="shared" ref="W135:W198" si="22">IFERROR(INDEX(D_NAISS,MATCH(ROW()-6,D_RANG_RECUP,0)),"")</f>
        <v/>
      </c>
      <c r="X135" s="67" t="str">
        <f t="shared" ref="X135:X198" si="23">IF($T135="","",IF($X$4="→ Session 2 (même année)",$W$4,IFERROR(INDEX(LISTE_NIVEAUX,MATCH($W$4,LISTE_NIVEAUX,0)+1),"CM2 terminé")))</f>
        <v/>
      </c>
      <c r="Y135" s="24" t="str">
        <f t="shared" ref="Y135:Y198" si="24">IF($S135="","",$S135)</f>
        <v/>
      </c>
      <c r="Z135">
        <f t="shared" ref="Z135:Z198" si="25">SUBTOTAL(103,$F135)*($R135="Complet")</f>
        <v>0</v>
      </c>
      <c r="AA135">
        <f t="shared" ref="AA135:AA198" si="26">IF(OR($F135="",$C135=""),0,IF(COUNTIFS($B$7:$B$1206,$B135,$F$7:$F$1206,$F135,$G$7:$G$1206,$G135,$I$7:$I$1206,$I135,$C$7:$C$1206,"&lt;&gt;"&amp;$C135)&gt;0,1,0))</f>
        <v>0</v>
      </c>
    </row>
    <row r="136" spans="2:27" ht="15.75" customHeight="1" x14ac:dyDescent="0.3">
      <c r="B136" s="25"/>
      <c r="C136" s="25"/>
      <c r="D136" s="25"/>
      <c r="E136" s="26" t="str">
        <f t="shared" si="18"/>
        <v/>
      </c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3" t="str">
        <f>IF($F136="","",IF(OR($B136="",$C136="",$D136=""),"⚠ Compléter Année/Niveau/Session",IF(AND($E136&lt;&gt;"",COUNTIF(D_KEY_DOUBLON,$B136&amp;"|"&amp;$D136&amp;"|"&amp;$E136)&gt;1),"⚠ Doublon",IF(AND($E136&lt;&gt;"",COUNTIF(D_KEY_STATUT,$B136&amp;"|"&amp;$E136&amp;"|P")&gt;0,COUNTIF(D_KEY_STATUT,$B136&amp;"|"&amp;$E136&amp;"|A")&gt;0),"⚠ Statut incohérent",IF(AND($D136="S1",$Y136&lt;&gt;"Parti",COUNTIF(ANNEES_VERROU,$B136)&gt;0,COUNTIF(D_KEY_NIVSES,$B136&amp;"|"&amp;$C136&amp;"|S2")&gt;0,COUNTIF(D_KEY_DOUBLON,$B136&amp;"|S2|"&amp;$E136)=0),"⚠ Départ non confirmé ?",IF(AND($C136&lt;&gt;"",ISNUMBER($I136),OR(VALUE(LEFT($B136,4))-$I136&lt;4+IFERROR(MATCH($C136,LISTE_NIVEAUX,0),99),VALUE(LEFT($B136,4))-$I136&gt;6+IFERROR(MATCH($C136,LISTE_NIVEAUX,0),99))),"⚠ Vérifier niveau",IF(AND(IFERROR(VLOOKUP($C136,TABLE_CYCLE,2,0),3)=2,COUNT($O136:$Q136)&gt;0),"⚠ Tests cycle 3",IF(COUNT($J136:$Q136)&gt;=IF(IFERROR(VLOOKUP($C136,TABLE_CYCLE,2,0),3)=2,5,8),"Complet","Incomplet"))))))))</f>
        <v/>
      </c>
      <c r="S136" s="24"/>
      <c r="T136" s="67" t="str">
        <f t="shared" si="19"/>
        <v/>
      </c>
      <c r="U136" s="67" t="str">
        <f t="shared" si="20"/>
        <v/>
      </c>
      <c r="V136" s="67" t="str">
        <f t="shared" si="21"/>
        <v/>
      </c>
      <c r="W136" s="67" t="str">
        <f t="shared" si="22"/>
        <v/>
      </c>
      <c r="X136" s="67" t="str">
        <f t="shared" si="23"/>
        <v/>
      </c>
      <c r="Y136" s="24" t="str">
        <f t="shared" si="24"/>
        <v/>
      </c>
      <c r="Z136">
        <f t="shared" si="25"/>
        <v>0</v>
      </c>
      <c r="AA136">
        <f t="shared" si="26"/>
        <v>0</v>
      </c>
    </row>
    <row r="137" spans="2:27" ht="15.75" customHeight="1" x14ac:dyDescent="0.3">
      <c r="B137" s="21"/>
      <c r="C137" s="21"/>
      <c r="D137" s="21"/>
      <c r="E137" s="22" t="str">
        <f t="shared" si="18"/>
        <v/>
      </c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3" t="str">
        <f>IF($F137="","",IF(OR($B137="",$C137="",$D137=""),"⚠ Compléter Année/Niveau/Session",IF(AND($E137&lt;&gt;"",COUNTIF(D_KEY_DOUBLON,$B137&amp;"|"&amp;$D137&amp;"|"&amp;$E137)&gt;1),"⚠ Doublon",IF(AND($E137&lt;&gt;"",COUNTIF(D_KEY_STATUT,$B137&amp;"|"&amp;$E137&amp;"|P")&gt;0,COUNTIF(D_KEY_STATUT,$B137&amp;"|"&amp;$E137&amp;"|A")&gt;0),"⚠ Statut incohérent",IF(AND($D137="S1",$Y137&lt;&gt;"Parti",COUNTIF(ANNEES_VERROU,$B137)&gt;0,COUNTIF(D_KEY_NIVSES,$B137&amp;"|"&amp;$C137&amp;"|S2")&gt;0,COUNTIF(D_KEY_DOUBLON,$B137&amp;"|S2|"&amp;$E137)=0),"⚠ Départ non confirmé ?",IF(AND($C137&lt;&gt;"",ISNUMBER($I137),OR(VALUE(LEFT($B137,4))-$I137&lt;4+IFERROR(MATCH($C137,LISTE_NIVEAUX,0),99),VALUE(LEFT($B137,4))-$I137&gt;6+IFERROR(MATCH($C137,LISTE_NIVEAUX,0),99))),"⚠ Vérifier niveau",IF(AND(IFERROR(VLOOKUP($C137,TABLE_CYCLE,2,0),3)=2,COUNT($O137:$Q137)&gt;0),"⚠ Tests cycle 3",IF(COUNT($J137:$Q137)&gt;=IF(IFERROR(VLOOKUP($C137,TABLE_CYCLE,2,0),3)=2,5,8),"Complet","Incomplet"))))))))</f>
        <v/>
      </c>
      <c r="S137" s="24"/>
      <c r="T137" s="67" t="str">
        <f t="shared" si="19"/>
        <v/>
      </c>
      <c r="U137" s="67" t="str">
        <f t="shared" si="20"/>
        <v/>
      </c>
      <c r="V137" s="67" t="str">
        <f t="shared" si="21"/>
        <v/>
      </c>
      <c r="W137" s="67" t="str">
        <f t="shared" si="22"/>
        <v/>
      </c>
      <c r="X137" s="67" t="str">
        <f t="shared" si="23"/>
        <v/>
      </c>
      <c r="Y137" s="24" t="str">
        <f t="shared" si="24"/>
        <v/>
      </c>
      <c r="Z137">
        <f t="shared" si="25"/>
        <v>0</v>
      </c>
      <c r="AA137">
        <f t="shared" si="26"/>
        <v>0</v>
      </c>
    </row>
    <row r="138" spans="2:27" ht="15.75" customHeight="1" x14ac:dyDescent="0.3">
      <c r="B138" s="25"/>
      <c r="C138" s="25"/>
      <c r="D138" s="25"/>
      <c r="E138" s="26" t="str">
        <f t="shared" si="18"/>
        <v/>
      </c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3" t="str">
        <f>IF($F138="","",IF(OR($B138="",$C138="",$D138=""),"⚠ Compléter Année/Niveau/Session",IF(AND($E138&lt;&gt;"",COUNTIF(D_KEY_DOUBLON,$B138&amp;"|"&amp;$D138&amp;"|"&amp;$E138)&gt;1),"⚠ Doublon",IF(AND($E138&lt;&gt;"",COUNTIF(D_KEY_STATUT,$B138&amp;"|"&amp;$E138&amp;"|P")&gt;0,COUNTIF(D_KEY_STATUT,$B138&amp;"|"&amp;$E138&amp;"|A")&gt;0),"⚠ Statut incohérent",IF(AND($D138="S1",$Y138&lt;&gt;"Parti",COUNTIF(ANNEES_VERROU,$B138)&gt;0,COUNTIF(D_KEY_NIVSES,$B138&amp;"|"&amp;$C138&amp;"|S2")&gt;0,COUNTIF(D_KEY_DOUBLON,$B138&amp;"|S2|"&amp;$E138)=0),"⚠ Départ non confirmé ?",IF(AND($C138&lt;&gt;"",ISNUMBER($I138),OR(VALUE(LEFT($B138,4))-$I138&lt;4+IFERROR(MATCH($C138,LISTE_NIVEAUX,0),99),VALUE(LEFT($B138,4))-$I138&gt;6+IFERROR(MATCH($C138,LISTE_NIVEAUX,0),99))),"⚠ Vérifier niveau",IF(AND(IFERROR(VLOOKUP($C138,TABLE_CYCLE,2,0),3)=2,COUNT($O138:$Q138)&gt;0),"⚠ Tests cycle 3",IF(COUNT($J138:$Q138)&gt;=IF(IFERROR(VLOOKUP($C138,TABLE_CYCLE,2,0),3)=2,5,8),"Complet","Incomplet"))))))))</f>
        <v/>
      </c>
      <c r="S138" s="24"/>
      <c r="T138" s="67" t="str">
        <f t="shared" si="19"/>
        <v/>
      </c>
      <c r="U138" s="67" t="str">
        <f t="shared" si="20"/>
        <v/>
      </c>
      <c r="V138" s="67" t="str">
        <f t="shared" si="21"/>
        <v/>
      </c>
      <c r="W138" s="67" t="str">
        <f t="shared" si="22"/>
        <v/>
      </c>
      <c r="X138" s="67" t="str">
        <f t="shared" si="23"/>
        <v/>
      </c>
      <c r="Y138" s="24" t="str">
        <f t="shared" si="24"/>
        <v/>
      </c>
      <c r="Z138">
        <f t="shared" si="25"/>
        <v>0</v>
      </c>
      <c r="AA138">
        <f t="shared" si="26"/>
        <v>0</v>
      </c>
    </row>
    <row r="139" spans="2:27" ht="15.75" customHeight="1" x14ac:dyDescent="0.3">
      <c r="B139" s="21"/>
      <c r="C139" s="21"/>
      <c r="D139" s="21"/>
      <c r="E139" s="22" t="str">
        <f t="shared" si="18"/>
        <v/>
      </c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3" t="str">
        <f>IF($F139="","",IF(OR($B139="",$C139="",$D139=""),"⚠ Compléter Année/Niveau/Session",IF(AND($E139&lt;&gt;"",COUNTIF(D_KEY_DOUBLON,$B139&amp;"|"&amp;$D139&amp;"|"&amp;$E139)&gt;1),"⚠ Doublon",IF(AND($E139&lt;&gt;"",COUNTIF(D_KEY_STATUT,$B139&amp;"|"&amp;$E139&amp;"|P")&gt;0,COUNTIF(D_KEY_STATUT,$B139&amp;"|"&amp;$E139&amp;"|A")&gt;0),"⚠ Statut incohérent",IF(AND($D139="S1",$Y139&lt;&gt;"Parti",COUNTIF(ANNEES_VERROU,$B139)&gt;0,COUNTIF(D_KEY_NIVSES,$B139&amp;"|"&amp;$C139&amp;"|S2")&gt;0,COUNTIF(D_KEY_DOUBLON,$B139&amp;"|S2|"&amp;$E139)=0),"⚠ Départ non confirmé ?",IF(AND($C139&lt;&gt;"",ISNUMBER($I139),OR(VALUE(LEFT($B139,4))-$I139&lt;4+IFERROR(MATCH($C139,LISTE_NIVEAUX,0),99),VALUE(LEFT($B139,4))-$I139&gt;6+IFERROR(MATCH($C139,LISTE_NIVEAUX,0),99))),"⚠ Vérifier niveau",IF(AND(IFERROR(VLOOKUP($C139,TABLE_CYCLE,2,0),3)=2,COUNT($O139:$Q139)&gt;0),"⚠ Tests cycle 3",IF(COUNT($J139:$Q139)&gt;=IF(IFERROR(VLOOKUP($C139,TABLE_CYCLE,2,0),3)=2,5,8),"Complet","Incomplet"))))))))</f>
        <v/>
      </c>
      <c r="S139" s="24"/>
      <c r="T139" s="67" t="str">
        <f t="shared" si="19"/>
        <v/>
      </c>
      <c r="U139" s="67" t="str">
        <f t="shared" si="20"/>
        <v/>
      </c>
      <c r="V139" s="67" t="str">
        <f t="shared" si="21"/>
        <v/>
      </c>
      <c r="W139" s="67" t="str">
        <f t="shared" si="22"/>
        <v/>
      </c>
      <c r="X139" s="67" t="str">
        <f t="shared" si="23"/>
        <v/>
      </c>
      <c r="Y139" s="24" t="str">
        <f t="shared" si="24"/>
        <v/>
      </c>
      <c r="Z139">
        <f t="shared" si="25"/>
        <v>0</v>
      </c>
      <c r="AA139">
        <f t="shared" si="26"/>
        <v>0</v>
      </c>
    </row>
    <row r="140" spans="2:27" ht="15.75" customHeight="1" x14ac:dyDescent="0.3">
      <c r="B140" s="25"/>
      <c r="C140" s="25"/>
      <c r="D140" s="25"/>
      <c r="E140" s="26" t="str">
        <f t="shared" si="18"/>
        <v/>
      </c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3" t="str">
        <f>IF($F140="","",IF(OR($B140="",$C140="",$D140=""),"⚠ Compléter Année/Niveau/Session",IF(AND($E140&lt;&gt;"",COUNTIF(D_KEY_DOUBLON,$B140&amp;"|"&amp;$D140&amp;"|"&amp;$E140)&gt;1),"⚠ Doublon",IF(AND($E140&lt;&gt;"",COUNTIF(D_KEY_STATUT,$B140&amp;"|"&amp;$E140&amp;"|P")&gt;0,COUNTIF(D_KEY_STATUT,$B140&amp;"|"&amp;$E140&amp;"|A")&gt;0),"⚠ Statut incohérent",IF(AND($D140="S1",$Y140&lt;&gt;"Parti",COUNTIF(ANNEES_VERROU,$B140)&gt;0,COUNTIF(D_KEY_NIVSES,$B140&amp;"|"&amp;$C140&amp;"|S2")&gt;0,COUNTIF(D_KEY_DOUBLON,$B140&amp;"|S2|"&amp;$E140)=0),"⚠ Départ non confirmé ?",IF(AND($C140&lt;&gt;"",ISNUMBER($I140),OR(VALUE(LEFT($B140,4))-$I140&lt;4+IFERROR(MATCH($C140,LISTE_NIVEAUX,0),99),VALUE(LEFT($B140,4))-$I140&gt;6+IFERROR(MATCH($C140,LISTE_NIVEAUX,0),99))),"⚠ Vérifier niveau",IF(AND(IFERROR(VLOOKUP($C140,TABLE_CYCLE,2,0),3)=2,COUNT($O140:$Q140)&gt;0),"⚠ Tests cycle 3",IF(COUNT($J140:$Q140)&gt;=IF(IFERROR(VLOOKUP($C140,TABLE_CYCLE,2,0),3)=2,5,8),"Complet","Incomplet"))))))))</f>
        <v/>
      </c>
      <c r="S140" s="24"/>
      <c r="T140" s="67" t="str">
        <f t="shared" si="19"/>
        <v/>
      </c>
      <c r="U140" s="67" t="str">
        <f t="shared" si="20"/>
        <v/>
      </c>
      <c r="V140" s="67" t="str">
        <f t="shared" si="21"/>
        <v/>
      </c>
      <c r="W140" s="67" t="str">
        <f t="shared" si="22"/>
        <v/>
      </c>
      <c r="X140" s="67" t="str">
        <f t="shared" si="23"/>
        <v/>
      </c>
      <c r="Y140" s="24" t="str">
        <f t="shared" si="24"/>
        <v/>
      </c>
      <c r="Z140">
        <f t="shared" si="25"/>
        <v>0</v>
      </c>
      <c r="AA140">
        <f t="shared" si="26"/>
        <v>0</v>
      </c>
    </row>
    <row r="141" spans="2:27" ht="15.75" customHeight="1" x14ac:dyDescent="0.3">
      <c r="B141" s="21"/>
      <c r="C141" s="21"/>
      <c r="D141" s="21"/>
      <c r="E141" s="22" t="str">
        <f t="shared" si="18"/>
        <v/>
      </c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3" t="str">
        <f>IF($F141="","",IF(OR($B141="",$C141="",$D141=""),"⚠ Compléter Année/Niveau/Session",IF(AND($E141&lt;&gt;"",COUNTIF(D_KEY_DOUBLON,$B141&amp;"|"&amp;$D141&amp;"|"&amp;$E141)&gt;1),"⚠ Doublon",IF(AND($E141&lt;&gt;"",COUNTIF(D_KEY_STATUT,$B141&amp;"|"&amp;$E141&amp;"|P")&gt;0,COUNTIF(D_KEY_STATUT,$B141&amp;"|"&amp;$E141&amp;"|A")&gt;0),"⚠ Statut incohérent",IF(AND($D141="S1",$Y141&lt;&gt;"Parti",COUNTIF(ANNEES_VERROU,$B141)&gt;0,COUNTIF(D_KEY_NIVSES,$B141&amp;"|"&amp;$C141&amp;"|S2")&gt;0,COUNTIF(D_KEY_DOUBLON,$B141&amp;"|S2|"&amp;$E141)=0),"⚠ Départ non confirmé ?",IF(AND($C141&lt;&gt;"",ISNUMBER($I141),OR(VALUE(LEFT($B141,4))-$I141&lt;4+IFERROR(MATCH($C141,LISTE_NIVEAUX,0),99),VALUE(LEFT($B141,4))-$I141&gt;6+IFERROR(MATCH($C141,LISTE_NIVEAUX,0),99))),"⚠ Vérifier niveau",IF(AND(IFERROR(VLOOKUP($C141,TABLE_CYCLE,2,0),3)=2,COUNT($O141:$Q141)&gt;0),"⚠ Tests cycle 3",IF(COUNT($J141:$Q141)&gt;=IF(IFERROR(VLOOKUP($C141,TABLE_CYCLE,2,0),3)=2,5,8),"Complet","Incomplet"))))))))</f>
        <v/>
      </c>
      <c r="S141" s="24"/>
      <c r="T141" s="67" t="str">
        <f t="shared" si="19"/>
        <v/>
      </c>
      <c r="U141" s="67" t="str">
        <f t="shared" si="20"/>
        <v/>
      </c>
      <c r="V141" s="67" t="str">
        <f t="shared" si="21"/>
        <v/>
      </c>
      <c r="W141" s="67" t="str">
        <f t="shared" si="22"/>
        <v/>
      </c>
      <c r="X141" s="67" t="str">
        <f t="shared" si="23"/>
        <v/>
      </c>
      <c r="Y141" s="24" t="str">
        <f t="shared" si="24"/>
        <v/>
      </c>
      <c r="Z141">
        <f t="shared" si="25"/>
        <v>0</v>
      </c>
      <c r="AA141">
        <f t="shared" si="26"/>
        <v>0</v>
      </c>
    </row>
    <row r="142" spans="2:27" ht="15.75" customHeight="1" x14ac:dyDescent="0.3">
      <c r="B142" s="25"/>
      <c r="C142" s="25"/>
      <c r="D142" s="25"/>
      <c r="E142" s="26" t="str">
        <f t="shared" si="18"/>
        <v/>
      </c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3" t="str">
        <f>IF($F142="","",IF(OR($B142="",$C142="",$D142=""),"⚠ Compléter Année/Niveau/Session",IF(AND($E142&lt;&gt;"",COUNTIF(D_KEY_DOUBLON,$B142&amp;"|"&amp;$D142&amp;"|"&amp;$E142)&gt;1),"⚠ Doublon",IF(AND($E142&lt;&gt;"",COUNTIF(D_KEY_STATUT,$B142&amp;"|"&amp;$E142&amp;"|P")&gt;0,COUNTIF(D_KEY_STATUT,$B142&amp;"|"&amp;$E142&amp;"|A")&gt;0),"⚠ Statut incohérent",IF(AND($D142="S1",$Y142&lt;&gt;"Parti",COUNTIF(ANNEES_VERROU,$B142)&gt;0,COUNTIF(D_KEY_NIVSES,$B142&amp;"|"&amp;$C142&amp;"|S2")&gt;0,COUNTIF(D_KEY_DOUBLON,$B142&amp;"|S2|"&amp;$E142)=0),"⚠ Départ non confirmé ?",IF(AND($C142&lt;&gt;"",ISNUMBER($I142),OR(VALUE(LEFT($B142,4))-$I142&lt;4+IFERROR(MATCH($C142,LISTE_NIVEAUX,0),99),VALUE(LEFT($B142,4))-$I142&gt;6+IFERROR(MATCH($C142,LISTE_NIVEAUX,0),99))),"⚠ Vérifier niveau",IF(AND(IFERROR(VLOOKUP($C142,TABLE_CYCLE,2,0),3)=2,COUNT($O142:$Q142)&gt;0),"⚠ Tests cycle 3",IF(COUNT($J142:$Q142)&gt;=IF(IFERROR(VLOOKUP($C142,TABLE_CYCLE,2,0),3)=2,5,8),"Complet","Incomplet"))))))))</f>
        <v/>
      </c>
      <c r="S142" s="24"/>
      <c r="T142" s="67" t="str">
        <f t="shared" si="19"/>
        <v/>
      </c>
      <c r="U142" s="67" t="str">
        <f t="shared" si="20"/>
        <v/>
      </c>
      <c r="V142" s="67" t="str">
        <f t="shared" si="21"/>
        <v/>
      </c>
      <c r="W142" s="67" t="str">
        <f t="shared" si="22"/>
        <v/>
      </c>
      <c r="X142" s="67" t="str">
        <f t="shared" si="23"/>
        <v/>
      </c>
      <c r="Y142" s="24" t="str">
        <f t="shared" si="24"/>
        <v/>
      </c>
      <c r="Z142">
        <f t="shared" si="25"/>
        <v>0</v>
      </c>
      <c r="AA142">
        <f t="shared" si="26"/>
        <v>0</v>
      </c>
    </row>
    <row r="143" spans="2:27" ht="15.75" customHeight="1" x14ac:dyDescent="0.3">
      <c r="B143" s="21"/>
      <c r="C143" s="21"/>
      <c r="D143" s="21"/>
      <c r="E143" s="22" t="str">
        <f t="shared" si="18"/>
        <v/>
      </c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3" t="str">
        <f>IF($F143="","",IF(OR($B143="",$C143="",$D143=""),"⚠ Compléter Année/Niveau/Session",IF(AND($E143&lt;&gt;"",COUNTIF(D_KEY_DOUBLON,$B143&amp;"|"&amp;$D143&amp;"|"&amp;$E143)&gt;1),"⚠ Doublon",IF(AND($E143&lt;&gt;"",COUNTIF(D_KEY_STATUT,$B143&amp;"|"&amp;$E143&amp;"|P")&gt;0,COUNTIF(D_KEY_STATUT,$B143&amp;"|"&amp;$E143&amp;"|A")&gt;0),"⚠ Statut incohérent",IF(AND($D143="S1",$Y143&lt;&gt;"Parti",COUNTIF(ANNEES_VERROU,$B143)&gt;0,COUNTIF(D_KEY_NIVSES,$B143&amp;"|"&amp;$C143&amp;"|S2")&gt;0,COUNTIF(D_KEY_DOUBLON,$B143&amp;"|S2|"&amp;$E143)=0),"⚠ Départ non confirmé ?",IF(AND($C143&lt;&gt;"",ISNUMBER($I143),OR(VALUE(LEFT($B143,4))-$I143&lt;4+IFERROR(MATCH($C143,LISTE_NIVEAUX,0),99),VALUE(LEFT($B143,4))-$I143&gt;6+IFERROR(MATCH($C143,LISTE_NIVEAUX,0),99))),"⚠ Vérifier niveau",IF(AND(IFERROR(VLOOKUP($C143,TABLE_CYCLE,2,0),3)=2,COUNT($O143:$Q143)&gt;0),"⚠ Tests cycle 3",IF(COUNT($J143:$Q143)&gt;=IF(IFERROR(VLOOKUP($C143,TABLE_CYCLE,2,0),3)=2,5,8),"Complet","Incomplet"))))))))</f>
        <v/>
      </c>
      <c r="S143" s="24"/>
      <c r="T143" s="67" t="str">
        <f t="shared" si="19"/>
        <v/>
      </c>
      <c r="U143" s="67" t="str">
        <f t="shared" si="20"/>
        <v/>
      </c>
      <c r="V143" s="67" t="str">
        <f t="shared" si="21"/>
        <v/>
      </c>
      <c r="W143" s="67" t="str">
        <f t="shared" si="22"/>
        <v/>
      </c>
      <c r="X143" s="67" t="str">
        <f t="shared" si="23"/>
        <v/>
      </c>
      <c r="Y143" s="24" t="str">
        <f t="shared" si="24"/>
        <v/>
      </c>
      <c r="Z143">
        <f t="shared" si="25"/>
        <v>0</v>
      </c>
      <c r="AA143">
        <f t="shared" si="26"/>
        <v>0</v>
      </c>
    </row>
    <row r="144" spans="2:27" ht="15.75" customHeight="1" x14ac:dyDescent="0.3">
      <c r="B144" s="25"/>
      <c r="C144" s="25"/>
      <c r="D144" s="25"/>
      <c r="E144" s="26" t="str">
        <f t="shared" si="18"/>
        <v/>
      </c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3" t="str">
        <f>IF($F144="","",IF(OR($B144="",$C144="",$D144=""),"⚠ Compléter Année/Niveau/Session",IF(AND($E144&lt;&gt;"",COUNTIF(D_KEY_DOUBLON,$B144&amp;"|"&amp;$D144&amp;"|"&amp;$E144)&gt;1),"⚠ Doublon",IF(AND($E144&lt;&gt;"",COUNTIF(D_KEY_STATUT,$B144&amp;"|"&amp;$E144&amp;"|P")&gt;0,COUNTIF(D_KEY_STATUT,$B144&amp;"|"&amp;$E144&amp;"|A")&gt;0),"⚠ Statut incohérent",IF(AND($D144="S1",$Y144&lt;&gt;"Parti",COUNTIF(ANNEES_VERROU,$B144)&gt;0,COUNTIF(D_KEY_NIVSES,$B144&amp;"|"&amp;$C144&amp;"|S2")&gt;0,COUNTIF(D_KEY_DOUBLON,$B144&amp;"|S2|"&amp;$E144)=0),"⚠ Départ non confirmé ?",IF(AND($C144&lt;&gt;"",ISNUMBER($I144),OR(VALUE(LEFT($B144,4))-$I144&lt;4+IFERROR(MATCH($C144,LISTE_NIVEAUX,0),99),VALUE(LEFT($B144,4))-$I144&gt;6+IFERROR(MATCH($C144,LISTE_NIVEAUX,0),99))),"⚠ Vérifier niveau",IF(AND(IFERROR(VLOOKUP($C144,TABLE_CYCLE,2,0),3)=2,COUNT($O144:$Q144)&gt;0),"⚠ Tests cycle 3",IF(COUNT($J144:$Q144)&gt;=IF(IFERROR(VLOOKUP($C144,TABLE_CYCLE,2,0),3)=2,5,8),"Complet","Incomplet"))))))))</f>
        <v/>
      </c>
      <c r="S144" s="24"/>
      <c r="T144" s="67" t="str">
        <f t="shared" si="19"/>
        <v/>
      </c>
      <c r="U144" s="67" t="str">
        <f t="shared" si="20"/>
        <v/>
      </c>
      <c r="V144" s="67" t="str">
        <f t="shared" si="21"/>
        <v/>
      </c>
      <c r="W144" s="67" t="str">
        <f t="shared" si="22"/>
        <v/>
      </c>
      <c r="X144" s="67" t="str">
        <f t="shared" si="23"/>
        <v/>
      </c>
      <c r="Y144" s="24" t="str">
        <f t="shared" si="24"/>
        <v/>
      </c>
      <c r="Z144">
        <f t="shared" si="25"/>
        <v>0</v>
      </c>
      <c r="AA144">
        <f t="shared" si="26"/>
        <v>0</v>
      </c>
    </row>
    <row r="145" spans="2:27" ht="15.75" customHeight="1" x14ac:dyDescent="0.3">
      <c r="B145" s="21"/>
      <c r="C145" s="21"/>
      <c r="D145" s="21"/>
      <c r="E145" s="22" t="str">
        <f t="shared" si="18"/>
        <v/>
      </c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3" t="str">
        <f>IF($F145="","",IF(OR($B145="",$C145="",$D145=""),"⚠ Compléter Année/Niveau/Session",IF(AND($E145&lt;&gt;"",COUNTIF(D_KEY_DOUBLON,$B145&amp;"|"&amp;$D145&amp;"|"&amp;$E145)&gt;1),"⚠ Doublon",IF(AND($E145&lt;&gt;"",COUNTIF(D_KEY_STATUT,$B145&amp;"|"&amp;$E145&amp;"|P")&gt;0,COUNTIF(D_KEY_STATUT,$B145&amp;"|"&amp;$E145&amp;"|A")&gt;0),"⚠ Statut incohérent",IF(AND($D145="S1",$Y145&lt;&gt;"Parti",COUNTIF(ANNEES_VERROU,$B145)&gt;0,COUNTIF(D_KEY_NIVSES,$B145&amp;"|"&amp;$C145&amp;"|S2")&gt;0,COUNTIF(D_KEY_DOUBLON,$B145&amp;"|S2|"&amp;$E145)=0),"⚠ Départ non confirmé ?",IF(AND($C145&lt;&gt;"",ISNUMBER($I145),OR(VALUE(LEFT($B145,4))-$I145&lt;4+IFERROR(MATCH($C145,LISTE_NIVEAUX,0),99),VALUE(LEFT($B145,4))-$I145&gt;6+IFERROR(MATCH($C145,LISTE_NIVEAUX,0),99))),"⚠ Vérifier niveau",IF(AND(IFERROR(VLOOKUP($C145,TABLE_CYCLE,2,0),3)=2,COUNT($O145:$Q145)&gt;0),"⚠ Tests cycle 3",IF(COUNT($J145:$Q145)&gt;=IF(IFERROR(VLOOKUP($C145,TABLE_CYCLE,2,0),3)=2,5,8),"Complet","Incomplet"))))))))</f>
        <v/>
      </c>
      <c r="S145" s="24"/>
      <c r="T145" s="67" t="str">
        <f t="shared" si="19"/>
        <v/>
      </c>
      <c r="U145" s="67" t="str">
        <f t="shared" si="20"/>
        <v/>
      </c>
      <c r="V145" s="67" t="str">
        <f t="shared" si="21"/>
        <v/>
      </c>
      <c r="W145" s="67" t="str">
        <f t="shared" si="22"/>
        <v/>
      </c>
      <c r="X145" s="67" t="str">
        <f t="shared" si="23"/>
        <v/>
      </c>
      <c r="Y145" s="24" t="str">
        <f t="shared" si="24"/>
        <v/>
      </c>
      <c r="Z145">
        <f t="shared" si="25"/>
        <v>0</v>
      </c>
      <c r="AA145">
        <f t="shared" si="26"/>
        <v>0</v>
      </c>
    </row>
    <row r="146" spans="2:27" ht="15.75" customHeight="1" x14ac:dyDescent="0.3">
      <c r="B146" s="25"/>
      <c r="C146" s="25"/>
      <c r="D146" s="25"/>
      <c r="E146" s="26" t="str">
        <f t="shared" si="18"/>
        <v/>
      </c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3" t="str">
        <f>IF($F146="","",IF(OR($B146="",$C146="",$D146=""),"⚠ Compléter Année/Niveau/Session",IF(AND($E146&lt;&gt;"",COUNTIF(D_KEY_DOUBLON,$B146&amp;"|"&amp;$D146&amp;"|"&amp;$E146)&gt;1),"⚠ Doublon",IF(AND($E146&lt;&gt;"",COUNTIF(D_KEY_STATUT,$B146&amp;"|"&amp;$E146&amp;"|P")&gt;0,COUNTIF(D_KEY_STATUT,$B146&amp;"|"&amp;$E146&amp;"|A")&gt;0),"⚠ Statut incohérent",IF(AND($D146="S1",$Y146&lt;&gt;"Parti",COUNTIF(ANNEES_VERROU,$B146)&gt;0,COUNTIF(D_KEY_NIVSES,$B146&amp;"|"&amp;$C146&amp;"|S2")&gt;0,COUNTIF(D_KEY_DOUBLON,$B146&amp;"|S2|"&amp;$E146)=0),"⚠ Départ non confirmé ?",IF(AND($C146&lt;&gt;"",ISNUMBER($I146),OR(VALUE(LEFT($B146,4))-$I146&lt;4+IFERROR(MATCH($C146,LISTE_NIVEAUX,0),99),VALUE(LEFT($B146,4))-$I146&gt;6+IFERROR(MATCH($C146,LISTE_NIVEAUX,0),99))),"⚠ Vérifier niveau",IF(AND(IFERROR(VLOOKUP($C146,TABLE_CYCLE,2,0),3)=2,COUNT($O146:$Q146)&gt;0),"⚠ Tests cycle 3",IF(COUNT($J146:$Q146)&gt;=IF(IFERROR(VLOOKUP($C146,TABLE_CYCLE,2,0),3)=2,5,8),"Complet","Incomplet"))))))))</f>
        <v/>
      </c>
      <c r="S146" s="24"/>
      <c r="T146" s="67" t="str">
        <f t="shared" si="19"/>
        <v/>
      </c>
      <c r="U146" s="67" t="str">
        <f t="shared" si="20"/>
        <v/>
      </c>
      <c r="V146" s="67" t="str">
        <f t="shared" si="21"/>
        <v/>
      </c>
      <c r="W146" s="67" t="str">
        <f t="shared" si="22"/>
        <v/>
      </c>
      <c r="X146" s="67" t="str">
        <f t="shared" si="23"/>
        <v/>
      </c>
      <c r="Y146" s="24" t="str">
        <f t="shared" si="24"/>
        <v/>
      </c>
      <c r="Z146">
        <f t="shared" si="25"/>
        <v>0</v>
      </c>
      <c r="AA146">
        <f t="shared" si="26"/>
        <v>0</v>
      </c>
    </row>
    <row r="147" spans="2:27" ht="15.75" customHeight="1" x14ac:dyDescent="0.3">
      <c r="B147" s="21"/>
      <c r="C147" s="21"/>
      <c r="D147" s="21"/>
      <c r="E147" s="22" t="str">
        <f t="shared" si="18"/>
        <v/>
      </c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3" t="str">
        <f>IF($F147="","",IF(OR($B147="",$C147="",$D147=""),"⚠ Compléter Année/Niveau/Session",IF(AND($E147&lt;&gt;"",COUNTIF(D_KEY_DOUBLON,$B147&amp;"|"&amp;$D147&amp;"|"&amp;$E147)&gt;1),"⚠ Doublon",IF(AND($E147&lt;&gt;"",COUNTIF(D_KEY_STATUT,$B147&amp;"|"&amp;$E147&amp;"|P")&gt;0,COUNTIF(D_KEY_STATUT,$B147&amp;"|"&amp;$E147&amp;"|A")&gt;0),"⚠ Statut incohérent",IF(AND($D147="S1",$Y147&lt;&gt;"Parti",COUNTIF(ANNEES_VERROU,$B147)&gt;0,COUNTIF(D_KEY_NIVSES,$B147&amp;"|"&amp;$C147&amp;"|S2")&gt;0,COUNTIF(D_KEY_DOUBLON,$B147&amp;"|S2|"&amp;$E147)=0),"⚠ Départ non confirmé ?",IF(AND($C147&lt;&gt;"",ISNUMBER($I147),OR(VALUE(LEFT($B147,4))-$I147&lt;4+IFERROR(MATCH($C147,LISTE_NIVEAUX,0),99),VALUE(LEFT($B147,4))-$I147&gt;6+IFERROR(MATCH($C147,LISTE_NIVEAUX,0),99))),"⚠ Vérifier niveau",IF(AND(IFERROR(VLOOKUP($C147,TABLE_CYCLE,2,0),3)=2,COUNT($O147:$Q147)&gt;0),"⚠ Tests cycle 3",IF(COUNT($J147:$Q147)&gt;=IF(IFERROR(VLOOKUP($C147,TABLE_CYCLE,2,0),3)=2,5,8),"Complet","Incomplet"))))))))</f>
        <v/>
      </c>
      <c r="S147" s="24"/>
      <c r="T147" s="67" t="str">
        <f t="shared" si="19"/>
        <v/>
      </c>
      <c r="U147" s="67" t="str">
        <f t="shared" si="20"/>
        <v/>
      </c>
      <c r="V147" s="67" t="str">
        <f t="shared" si="21"/>
        <v/>
      </c>
      <c r="W147" s="67" t="str">
        <f t="shared" si="22"/>
        <v/>
      </c>
      <c r="X147" s="67" t="str">
        <f t="shared" si="23"/>
        <v/>
      </c>
      <c r="Y147" s="24" t="str">
        <f t="shared" si="24"/>
        <v/>
      </c>
      <c r="Z147">
        <f t="shared" si="25"/>
        <v>0</v>
      </c>
      <c r="AA147">
        <f t="shared" si="26"/>
        <v>0</v>
      </c>
    </row>
    <row r="148" spans="2:27" ht="15.75" customHeight="1" x14ac:dyDescent="0.3">
      <c r="B148" s="25"/>
      <c r="C148" s="25"/>
      <c r="D148" s="25"/>
      <c r="E148" s="26" t="str">
        <f t="shared" si="18"/>
        <v/>
      </c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3" t="str">
        <f>IF($F148="","",IF(OR($B148="",$C148="",$D148=""),"⚠ Compléter Année/Niveau/Session",IF(AND($E148&lt;&gt;"",COUNTIF(D_KEY_DOUBLON,$B148&amp;"|"&amp;$D148&amp;"|"&amp;$E148)&gt;1),"⚠ Doublon",IF(AND($E148&lt;&gt;"",COUNTIF(D_KEY_STATUT,$B148&amp;"|"&amp;$E148&amp;"|P")&gt;0,COUNTIF(D_KEY_STATUT,$B148&amp;"|"&amp;$E148&amp;"|A")&gt;0),"⚠ Statut incohérent",IF(AND($D148="S1",$Y148&lt;&gt;"Parti",COUNTIF(ANNEES_VERROU,$B148)&gt;0,COUNTIF(D_KEY_NIVSES,$B148&amp;"|"&amp;$C148&amp;"|S2")&gt;0,COUNTIF(D_KEY_DOUBLON,$B148&amp;"|S2|"&amp;$E148)=0),"⚠ Départ non confirmé ?",IF(AND($C148&lt;&gt;"",ISNUMBER($I148),OR(VALUE(LEFT($B148,4))-$I148&lt;4+IFERROR(MATCH($C148,LISTE_NIVEAUX,0),99),VALUE(LEFT($B148,4))-$I148&gt;6+IFERROR(MATCH($C148,LISTE_NIVEAUX,0),99))),"⚠ Vérifier niveau",IF(AND(IFERROR(VLOOKUP($C148,TABLE_CYCLE,2,0),3)=2,COUNT($O148:$Q148)&gt;0),"⚠ Tests cycle 3",IF(COUNT($J148:$Q148)&gt;=IF(IFERROR(VLOOKUP($C148,TABLE_CYCLE,2,0),3)=2,5,8),"Complet","Incomplet"))))))))</f>
        <v/>
      </c>
      <c r="S148" s="24"/>
      <c r="T148" s="67" t="str">
        <f t="shared" si="19"/>
        <v/>
      </c>
      <c r="U148" s="67" t="str">
        <f t="shared" si="20"/>
        <v/>
      </c>
      <c r="V148" s="67" t="str">
        <f t="shared" si="21"/>
        <v/>
      </c>
      <c r="W148" s="67" t="str">
        <f t="shared" si="22"/>
        <v/>
      </c>
      <c r="X148" s="67" t="str">
        <f t="shared" si="23"/>
        <v/>
      </c>
      <c r="Y148" s="24" t="str">
        <f t="shared" si="24"/>
        <v/>
      </c>
      <c r="Z148">
        <f t="shared" si="25"/>
        <v>0</v>
      </c>
      <c r="AA148">
        <f t="shared" si="26"/>
        <v>0</v>
      </c>
    </row>
    <row r="149" spans="2:27" ht="15.75" customHeight="1" x14ac:dyDescent="0.3">
      <c r="B149" s="21"/>
      <c r="C149" s="21"/>
      <c r="D149" s="21"/>
      <c r="E149" s="22" t="str">
        <f t="shared" si="18"/>
        <v/>
      </c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3" t="str">
        <f>IF($F149="","",IF(OR($B149="",$C149="",$D149=""),"⚠ Compléter Année/Niveau/Session",IF(AND($E149&lt;&gt;"",COUNTIF(D_KEY_DOUBLON,$B149&amp;"|"&amp;$D149&amp;"|"&amp;$E149)&gt;1),"⚠ Doublon",IF(AND($E149&lt;&gt;"",COUNTIF(D_KEY_STATUT,$B149&amp;"|"&amp;$E149&amp;"|P")&gt;0,COUNTIF(D_KEY_STATUT,$B149&amp;"|"&amp;$E149&amp;"|A")&gt;0),"⚠ Statut incohérent",IF(AND($D149="S1",$Y149&lt;&gt;"Parti",COUNTIF(ANNEES_VERROU,$B149)&gt;0,COUNTIF(D_KEY_NIVSES,$B149&amp;"|"&amp;$C149&amp;"|S2")&gt;0,COUNTIF(D_KEY_DOUBLON,$B149&amp;"|S2|"&amp;$E149)=0),"⚠ Départ non confirmé ?",IF(AND($C149&lt;&gt;"",ISNUMBER($I149),OR(VALUE(LEFT($B149,4))-$I149&lt;4+IFERROR(MATCH($C149,LISTE_NIVEAUX,0),99),VALUE(LEFT($B149,4))-$I149&gt;6+IFERROR(MATCH($C149,LISTE_NIVEAUX,0),99))),"⚠ Vérifier niveau",IF(AND(IFERROR(VLOOKUP($C149,TABLE_CYCLE,2,0),3)=2,COUNT($O149:$Q149)&gt;0),"⚠ Tests cycle 3",IF(COUNT($J149:$Q149)&gt;=IF(IFERROR(VLOOKUP($C149,TABLE_CYCLE,2,0),3)=2,5,8),"Complet","Incomplet"))))))))</f>
        <v/>
      </c>
      <c r="S149" s="24"/>
      <c r="T149" s="67" t="str">
        <f t="shared" si="19"/>
        <v/>
      </c>
      <c r="U149" s="67" t="str">
        <f t="shared" si="20"/>
        <v/>
      </c>
      <c r="V149" s="67" t="str">
        <f t="shared" si="21"/>
        <v/>
      </c>
      <c r="W149" s="67" t="str">
        <f t="shared" si="22"/>
        <v/>
      </c>
      <c r="X149" s="67" t="str">
        <f t="shared" si="23"/>
        <v/>
      </c>
      <c r="Y149" s="24" t="str">
        <f t="shared" si="24"/>
        <v/>
      </c>
      <c r="Z149">
        <f t="shared" si="25"/>
        <v>0</v>
      </c>
      <c r="AA149">
        <f t="shared" si="26"/>
        <v>0</v>
      </c>
    </row>
    <row r="150" spans="2:27" ht="15.75" customHeight="1" x14ac:dyDescent="0.3">
      <c r="B150" s="25"/>
      <c r="C150" s="25"/>
      <c r="D150" s="25"/>
      <c r="E150" s="26" t="str">
        <f t="shared" si="18"/>
        <v/>
      </c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3" t="str">
        <f>IF($F150="","",IF(OR($B150="",$C150="",$D150=""),"⚠ Compléter Année/Niveau/Session",IF(AND($E150&lt;&gt;"",COUNTIF(D_KEY_DOUBLON,$B150&amp;"|"&amp;$D150&amp;"|"&amp;$E150)&gt;1),"⚠ Doublon",IF(AND($E150&lt;&gt;"",COUNTIF(D_KEY_STATUT,$B150&amp;"|"&amp;$E150&amp;"|P")&gt;0,COUNTIF(D_KEY_STATUT,$B150&amp;"|"&amp;$E150&amp;"|A")&gt;0),"⚠ Statut incohérent",IF(AND($D150="S1",$Y150&lt;&gt;"Parti",COUNTIF(ANNEES_VERROU,$B150)&gt;0,COUNTIF(D_KEY_NIVSES,$B150&amp;"|"&amp;$C150&amp;"|S2")&gt;0,COUNTIF(D_KEY_DOUBLON,$B150&amp;"|S2|"&amp;$E150)=0),"⚠ Départ non confirmé ?",IF(AND($C150&lt;&gt;"",ISNUMBER($I150),OR(VALUE(LEFT($B150,4))-$I150&lt;4+IFERROR(MATCH($C150,LISTE_NIVEAUX,0),99),VALUE(LEFT($B150,4))-$I150&gt;6+IFERROR(MATCH($C150,LISTE_NIVEAUX,0),99))),"⚠ Vérifier niveau",IF(AND(IFERROR(VLOOKUP($C150,TABLE_CYCLE,2,0),3)=2,COUNT($O150:$Q150)&gt;0),"⚠ Tests cycle 3",IF(COUNT($J150:$Q150)&gt;=IF(IFERROR(VLOOKUP($C150,TABLE_CYCLE,2,0),3)=2,5,8),"Complet","Incomplet"))))))))</f>
        <v/>
      </c>
      <c r="S150" s="24"/>
      <c r="T150" s="67" t="str">
        <f t="shared" si="19"/>
        <v/>
      </c>
      <c r="U150" s="67" t="str">
        <f t="shared" si="20"/>
        <v/>
      </c>
      <c r="V150" s="67" t="str">
        <f t="shared" si="21"/>
        <v/>
      </c>
      <c r="W150" s="67" t="str">
        <f t="shared" si="22"/>
        <v/>
      </c>
      <c r="X150" s="67" t="str">
        <f t="shared" si="23"/>
        <v/>
      </c>
      <c r="Y150" s="24" t="str">
        <f t="shared" si="24"/>
        <v/>
      </c>
      <c r="Z150">
        <f t="shared" si="25"/>
        <v>0</v>
      </c>
      <c r="AA150">
        <f t="shared" si="26"/>
        <v>0</v>
      </c>
    </row>
    <row r="151" spans="2:27" ht="15.75" customHeight="1" x14ac:dyDescent="0.3">
      <c r="B151" s="21"/>
      <c r="C151" s="21"/>
      <c r="D151" s="21"/>
      <c r="E151" s="22" t="str">
        <f t="shared" si="18"/>
        <v/>
      </c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3" t="str">
        <f>IF($F151="","",IF(OR($B151="",$C151="",$D151=""),"⚠ Compléter Année/Niveau/Session",IF(AND($E151&lt;&gt;"",COUNTIF(D_KEY_DOUBLON,$B151&amp;"|"&amp;$D151&amp;"|"&amp;$E151)&gt;1),"⚠ Doublon",IF(AND($E151&lt;&gt;"",COUNTIF(D_KEY_STATUT,$B151&amp;"|"&amp;$E151&amp;"|P")&gt;0,COUNTIF(D_KEY_STATUT,$B151&amp;"|"&amp;$E151&amp;"|A")&gt;0),"⚠ Statut incohérent",IF(AND($D151="S1",$Y151&lt;&gt;"Parti",COUNTIF(ANNEES_VERROU,$B151)&gt;0,COUNTIF(D_KEY_NIVSES,$B151&amp;"|"&amp;$C151&amp;"|S2")&gt;0,COUNTIF(D_KEY_DOUBLON,$B151&amp;"|S2|"&amp;$E151)=0),"⚠ Départ non confirmé ?",IF(AND($C151&lt;&gt;"",ISNUMBER($I151),OR(VALUE(LEFT($B151,4))-$I151&lt;4+IFERROR(MATCH($C151,LISTE_NIVEAUX,0),99),VALUE(LEFT($B151,4))-$I151&gt;6+IFERROR(MATCH($C151,LISTE_NIVEAUX,0),99))),"⚠ Vérifier niveau",IF(AND(IFERROR(VLOOKUP($C151,TABLE_CYCLE,2,0),3)=2,COUNT($O151:$Q151)&gt;0),"⚠ Tests cycle 3",IF(COUNT($J151:$Q151)&gt;=IF(IFERROR(VLOOKUP($C151,TABLE_CYCLE,2,0),3)=2,5,8),"Complet","Incomplet"))))))))</f>
        <v/>
      </c>
      <c r="S151" s="24"/>
      <c r="T151" s="67" t="str">
        <f t="shared" si="19"/>
        <v/>
      </c>
      <c r="U151" s="67" t="str">
        <f t="shared" si="20"/>
        <v/>
      </c>
      <c r="V151" s="67" t="str">
        <f t="shared" si="21"/>
        <v/>
      </c>
      <c r="W151" s="67" t="str">
        <f t="shared" si="22"/>
        <v/>
      </c>
      <c r="X151" s="67" t="str">
        <f t="shared" si="23"/>
        <v/>
      </c>
      <c r="Y151" s="24" t="str">
        <f t="shared" si="24"/>
        <v/>
      </c>
      <c r="Z151">
        <f t="shared" si="25"/>
        <v>0</v>
      </c>
      <c r="AA151">
        <f t="shared" si="26"/>
        <v>0</v>
      </c>
    </row>
    <row r="152" spans="2:27" ht="15.75" customHeight="1" x14ac:dyDescent="0.3">
      <c r="B152" s="25"/>
      <c r="C152" s="25"/>
      <c r="D152" s="25"/>
      <c r="E152" s="26" t="str">
        <f t="shared" si="18"/>
        <v/>
      </c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3" t="str">
        <f>IF($F152="","",IF(OR($B152="",$C152="",$D152=""),"⚠ Compléter Année/Niveau/Session",IF(AND($E152&lt;&gt;"",COUNTIF(D_KEY_DOUBLON,$B152&amp;"|"&amp;$D152&amp;"|"&amp;$E152)&gt;1),"⚠ Doublon",IF(AND($E152&lt;&gt;"",COUNTIF(D_KEY_STATUT,$B152&amp;"|"&amp;$E152&amp;"|P")&gt;0,COUNTIF(D_KEY_STATUT,$B152&amp;"|"&amp;$E152&amp;"|A")&gt;0),"⚠ Statut incohérent",IF(AND($D152="S1",$Y152&lt;&gt;"Parti",COUNTIF(ANNEES_VERROU,$B152)&gt;0,COUNTIF(D_KEY_NIVSES,$B152&amp;"|"&amp;$C152&amp;"|S2")&gt;0,COUNTIF(D_KEY_DOUBLON,$B152&amp;"|S2|"&amp;$E152)=0),"⚠ Départ non confirmé ?",IF(AND($C152&lt;&gt;"",ISNUMBER($I152),OR(VALUE(LEFT($B152,4))-$I152&lt;4+IFERROR(MATCH($C152,LISTE_NIVEAUX,0),99),VALUE(LEFT($B152,4))-$I152&gt;6+IFERROR(MATCH($C152,LISTE_NIVEAUX,0),99))),"⚠ Vérifier niveau",IF(AND(IFERROR(VLOOKUP($C152,TABLE_CYCLE,2,0),3)=2,COUNT($O152:$Q152)&gt;0),"⚠ Tests cycle 3",IF(COUNT($J152:$Q152)&gt;=IF(IFERROR(VLOOKUP($C152,TABLE_CYCLE,2,0),3)=2,5,8),"Complet","Incomplet"))))))))</f>
        <v/>
      </c>
      <c r="S152" s="24"/>
      <c r="T152" s="67" t="str">
        <f t="shared" si="19"/>
        <v/>
      </c>
      <c r="U152" s="67" t="str">
        <f t="shared" si="20"/>
        <v/>
      </c>
      <c r="V152" s="67" t="str">
        <f t="shared" si="21"/>
        <v/>
      </c>
      <c r="W152" s="67" t="str">
        <f t="shared" si="22"/>
        <v/>
      </c>
      <c r="X152" s="67" t="str">
        <f t="shared" si="23"/>
        <v/>
      </c>
      <c r="Y152" s="24" t="str">
        <f t="shared" si="24"/>
        <v/>
      </c>
      <c r="Z152">
        <f t="shared" si="25"/>
        <v>0</v>
      </c>
      <c r="AA152">
        <f t="shared" si="26"/>
        <v>0</v>
      </c>
    </row>
    <row r="153" spans="2:27" ht="15.75" customHeight="1" x14ac:dyDescent="0.3">
      <c r="B153" s="21"/>
      <c r="C153" s="21"/>
      <c r="D153" s="21"/>
      <c r="E153" s="22" t="str">
        <f t="shared" si="18"/>
        <v/>
      </c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3" t="str">
        <f>IF($F153="","",IF(OR($B153="",$C153="",$D153=""),"⚠ Compléter Année/Niveau/Session",IF(AND($E153&lt;&gt;"",COUNTIF(D_KEY_DOUBLON,$B153&amp;"|"&amp;$D153&amp;"|"&amp;$E153)&gt;1),"⚠ Doublon",IF(AND($E153&lt;&gt;"",COUNTIF(D_KEY_STATUT,$B153&amp;"|"&amp;$E153&amp;"|P")&gt;0,COUNTIF(D_KEY_STATUT,$B153&amp;"|"&amp;$E153&amp;"|A")&gt;0),"⚠ Statut incohérent",IF(AND($D153="S1",$Y153&lt;&gt;"Parti",COUNTIF(ANNEES_VERROU,$B153)&gt;0,COUNTIF(D_KEY_NIVSES,$B153&amp;"|"&amp;$C153&amp;"|S2")&gt;0,COUNTIF(D_KEY_DOUBLON,$B153&amp;"|S2|"&amp;$E153)=0),"⚠ Départ non confirmé ?",IF(AND($C153&lt;&gt;"",ISNUMBER($I153),OR(VALUE(LEFT($B153,4))-$I153&lt;4+IFERROR(MATCH($C153,LISTE_NIVEAUX,0),99),VALUE(LEFT($B153,4))-$I153&gt;6+IFERROR(MATCH($C153,LISTE_NIVEAUX,0),99))),"⚠ Vérifier niveau",IF(AND(IFERROR(VLOOKUP($C153,TABLE_CYCLE,2,0),3)=2,COUNT($O153:$Q153)&gt;0),"⚠ Tests cycle 3",IF(COUNT($J153:$Q153)&gt;=IF(IFERROR(VLOOKUP($C153,TABLE_CYCLE,2,0),3)=2,5,8),"Complet","Incomplet"))))))))</f>
        <v/>
      </c>
      <c r="S153" s="24"/>
      <c r="T153" s="67" t="str">
        <f t="shared" si="19"/>
        <v/>
      </c>
      <c r="U153" s="67" t="str">
        <f t="shared" si="20"/>
        <v/>
      </c>
      <c r="V153" s="67" t="str">
        <f t="shared" si="21"/>
        <v/>
      </c>
      <c r="W153" s="67" t="str">
        <f t="shared" si="22"/>
        <v/>
      </c>
      <c r="X153" s="67" t="str">
        <f t="shared" si="23"/>
        <v/>
      </c>
      <c r="Y153" s="24" t="str">
        <f t="shared" si="24"/>
        <v/>
      </c>
      <c r="Z153">
        <f t="shared" si="25"/>
        <v>0</v>
      </c>
      <c r="AA153">
        <f t="shared" si="26"/>
        <v>0</v>
      </c>
    </row>
    <row r="154" spans="2:27" ht="15.75" customHeight="1" x14ac:dyDescent="0.3">
      <c r="B154" s="25"/>
      <c r="C154" s="25"/>
      <c r="D154" s="25"/>
      <c r="E154" s="26" t="str">
        <f t="shared" si="18"/>
        <v/>
      </c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3" t="str">
        <f>IF($F154="","",IF(OR($B154="",$C154="",$D154=""),"⚠ Compléter Année/Niveau/Session",IF(AND($E154&lt;&gt;"",COUNTIF(D_KEY_DOUBLON,$B154&amp;"|"&amp;$D154&amp;"|"&amp;$E154)&gt;1),"⚠ Doublon",IF(AND($E154&lt;&gt;"",COUNTIF(D_KEY_STATUT,$B154&amp;"|"&amp;$E154&amp;"|P")&gt;0,COUNTIF(D_KEY_STATUT,$B154&amp;"|"&amp;$E154&amp;"|A")&gt;0),"⚠ Statut incohérent",IF(AND($D154="S1",$Y154&lt;&gt;"Parti",COUNTIF(ANNEES_VERROU,$B154)&gt;0,COUNTIF(D_KEY_NIVSES,$B154&amp;"|"&amp;$C154&amp;"|S2")&gt;0,COUNTIF(D_KEY_DOUBLON,$B154&amp;"|S2|"&amp;$E154)=0),"⚠ Départ non confirmé ?",IF(AND($C154&lt;&gt;"",ISNUMBER($I154),OR(VALUE(LEFT($B154,4))-$I154&lt;4+IFERROR(MATCH($C154,LISTE_NIVEAUX,0),99),VALUE(LEFT($B154,4))-$I154&gt;6+IFERROR(MATCH($C154,LISTE_NIVEAUX,0),99))),"⚠ Vérifier niveau",IF(AND(IFERROR(VLOOKUP($C154,TABLE_CYCLE,2,0),3)=2,COUNT($O154:$Q154)&gt;0),"⚠ Tests cycle 3",IF(COUNT($J154:$Q154)&gt;=IF(IFERROR(VLOOKUP($C154,TABLE_CYCLE,2,0),3)=2,5,8),"Complet","Incomplet"))))))))</f>
        <v/>
      </c>
      <c r="S154" s="24"/>
      <c r="T154" s="67" t="str">
        <f t="shared" si="19"/>
        <v/>
      </c>
      <c r="U154" s="67" t="str">
        <f t="shared" si="20"/>
        <v/>
      </c>
      <c r="V154" s="67" t="str">
        <f t="shared" si="21"/>
        <v/>
      </c>
      <c r="W154" s="67" t="str">
        <f t="shared" si="22"/>
        <v/>
      </c>
      <c r="X154" s="67" t="str">
        <f t="shared" si="23"/>
        <v/>
      </c>
      <c r="Y154" s="24" t="str">
        <f t="shared" si="24"/>
        <v/>
      </c>
      <c r="Z154">
        <f t="shared" si="25"/>
        <v>0</v>
      </c>
      <c r="AA154">
        <f t="shared" si="26"/>
        <v>0</v>
      </c>
    </row>
    <row r="155" spans="2:27" ht="15.75" customHeight="1" x14ac:dyDescent="0.3">
      <c r="B155" s="21"/>
      <c r="C155" s="21"/>
      <c r="D155" s="21"/>
      <c r="E155" s="22" t="str">
        <f t="shared" si="18"/>
        <v/>
      </c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3" t="str">
        <f>IF($F155="","",IF(OR($B155="",$C155="",$D155=""),"⚠ Compléter Année/Niveau/Session",IF(AND($E155&lt;&gt;"",COUNTIF(D_KEY_DOUBLON,$B155&amp;"|"&amp;$D155&amp;"|"&amp;$E155)&gt;1),"⚠ Doublon",IF(AND($E155&lt;&gt;"",COUNTIF(D_KEY_STATUT,$B155&amp;"|"&amp;$E155&amp;"|P")&gt;0,COUNTIF(D_KEY_STATUT,$B155&amp;"|"&amp;$E155&amp;"|A")&gt;0),"⚠ Statut incohérent",IF(AND($D155="S1",$Y155&lt;&gt;"Parti",COUNTIF(ANNEES_VERROU,$B155)&gt;0,COUNTIF(D_KEY_NIVSES,$B155&amp;"|"&amp;$C155&amp;"|S2")&gt;0,COUNTIF(D_KEY_DOUBLON,$B155&amp;"|S2|"&amp;$E155)=0),"⚠ Départ non confirmé ?",IF(AND($C155&lt;&gt;"",ISNUMBER($I155),OR(VALUE(LEFT($B155,4))-$I155&lt;4+IFERROR(MATCH($C155,LISTE_NIVEAUX,0),99),VALUE(LEFT($B155,4))-$I155&gt;6+IFERROR(MATCH($C155,LISTE_NIVEAUX,0),99))),"⚠ Vérifier niveau",IF(AND(IFERROR(VLOOKUP($C155,TABLE_CYCLE,2,0),3)=2,COUNT($O155:$Q155)&gt;0),"⚠ Tests cycle 3",IF(COUNT($J155:$Q155)&gt;=IF(IFERROR(VLOOKUP($C155,TABLE_CYCLE,2,0),3)=2,5,8),"Complet","Incomplet"))))))))</f>
        <v/>
      </c>
      <c r="S155" s="24"/>
      <c r="T155" s="67" t="str">
        <f t="shared" si="19"/>
        <v/>
      </c>
      <c r="U155" s="67" t="str">
        <f t="shared" si="20"/>
        <v/>
      </c>
      <c r="V155" s="67" t="str">
        <f t="shared" si="21"/>
        <v/>
      </c>
      <c r="W155" s="67" t="str">
        <f t="shared" si="22"/>
        <v/>
      </c>
      <c r="X155" s="67" t="str">
        <f t="shared" si="23"/>
        <v/>
      </c>
      <c r="Y155" s="24" t="str">
        <f t="shared" si="24"/>
        <v/>
      </c>
      <c r="Z155">
        <f t="shared" si="25"/>
        <v>0</v>
      </c>
      <c r="AA155">
        <f t="shared" si="26"/>
        <v>0</v>
      </c>
    </row>
    <row r="156" spans="2:27" ht="15.75" customHeight="1" x14ac:dyDescent="0.3">
      <c r="B156" s="25"/>
      <c r="C156" s="25"/>
      <c r="D156" s="25"/>
      <c r="E156" s="26" t="str">
        <f t="shared" si="18"/>
        <v/>
      </c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3" t="str">
        <f>IF($F156="","",IF(OR($B156="",$C156="",$D156=""),"⚠ Compléter Année/Niveau/Session",IF(AND($E156&lt;&gt;"",COUNTIF(D_KEY_DOUBLON,$B156&amp;"|"&amp;$D156&amp;"|"&amp;$E156)&gt;1),"⚠ Doublon",IF(AND($E156&lt;&gt;"",COUNTIF(D_KEY_STATUT,$B156&amp;"|"&amp;$E156&amp;"|P")&gt;0,COUNTIF(D_KEY_STATUT,$B156&amp;"|"&amp;$E156&amp;"|A")&gt;0),"⚠ Statut incohérent",IF(AND($D156="S1",$Y156&lt;&gt;"Parti",COUNTIF(ANNEES_VERROU,$B156)&gt;0,COUNTIF(D_KEY_NIVSES,$B156&amp;"|"&amp;$C156&amp;"|S2")&gt;0,COUNTIF(D_KEY_DOUBLON,$B156&amp;"|S2|"&amp;$E156)=0),"⚠ Départ non confirmé ?",IF(AND($C156&lt;&gt;"",ISNUMBER($I156),OR(VALUE(LEFT($B156,4))-$I156&lt;4+IFERROR(MATCH($C156,LISTE_NIVEAUX,0),99),VALUE(LEFT($B156,4))-$I156&gt;6+IFERROR(MATCH($C156,LISTE_NIVEAUX,0),99))),"⚠ Vérifier niveau",IF(AND(IFERROR(VLOOKUP($C156,TABLE_CYCLE,2,0),3)=2,COUNT($O156:$Q156)&gt;0),"⚠ Tests cycle 3",IF(COUNT($J156:$Q156)&gt;=IF(IFERROR(VLOOKUP($C156,TABLE_CYCLE,2,0),3)=2,5,8),"Complet","Incomplet"))))))))</f>
        <v/>
      </c>
      <c r="S156" s="24"/>
      <c r="T156" s="67" t="str">
        <f t="shared" si="19"/>
        <v/>
      </c>
      <c r="U156" s="67" t="str">
        <f t="shared" si="20"/>
        <v/>
      </c>
      <c r="V156" s="67" t="str">
        <f t="shared" si="21"/>
        <v/>
      </c>
      <c r="W156" s="67" t="str">
        <f t="shared" si="22"/>
        <v/>
      </c>
      <c r="X156" s="67" t="str">
        <f t="shared" si="23"/>
        <v/>
      </c>
      <c r="Y156" s="24" t="str">
        <f t="shared" si="24"/>
        <v/>
      </c>
      <c r="Z156">
        <f t="shared" si="25"/>
        <v>0</v>
      </c>
      <c r="AA156">
        <f t="shared" si="26"/>
        <v>0</v>
      </c>
    </row>
    <row r="157" spans="2:27" ht="15.75" customHeight="1" x14ac:dyDescent="0.3">
      <c r="B157" s="21"/>
      <c r="C157" s="21"/>
      <c r="D157" s="21"/>
      <c r="E157" s="22" t="str">
        <f t="shared" si="18"/>
        <v/>
      </c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3" t="str">
        <f>IF($F157="","",IF(OR($B157="",$C157="",$D157=""),"⚠ Compléter Année/Niveau/Session",IF(AND($E157&lt;&gt;"",COUNTIF(D_KEY_DOUBLON,$B157&amp;"|"&amp;$D157&amp;"|"&amp;$E157)&gt;1),"⚠ Doublon",IF(AND($E157&lt;&gt;"",COUNTIF(D_KEY_STATUT,$B157&amp;"|"&amp;$E157&amp;"|P")&gt;0,COUNTIF(D_KEY_STATUT,$B157&amp;"|"&amp;$E157&amp;"|A")&gt;0),"⚠ Statut incohérent",IF(AND($D157="S1",$Y157&lt;&gt;"Parti",COUNTIF(ANNEES_VERROU,$B157)&gt;0,COUNTIF(D_KEY_NIVSES,$B157&amp;"|"&amp;$C157&amp;"|S2")&gt;0,COUNTIF(D_KEY_DOUBLON,$B157&amp;"|S2|"&amp;$E157)=0),"⚠ Départ non confirmé ?",IF(AND($C157&lt;&gt;"",ISNUMBER($I157),OR(VALUE(LEFT($B157,4))-$I157&lt;4+IFERROR(MATCH($C157,LISTE_NIVEAUX,0),99),VALUE(LEFT($B157,4))-$I157&gt;6+IFERROR(MATCH($C157,LISTE_NIVEAUX,0),99))),"⚠ Vérifier niveau",IF(AND(IFERROR(VLOOKUP($C157,TABLE_CYCLE,2,0),3)=2,COUNT($O157:$Q157)&gt;0),"⚠ Tests cycle 3",IF(COUNT($J157:$Q157)&gt;=IF(IFERROR(VLOOKUP($C157,TABLE_CYCLE,2,0),3)=2,5,8),"Complet","Incomplet"))))))))</f>
        <v/>
      </c>
      <c r="S157" s="24"/>
      <c r="T157" s="67" t="str">
        <f t="shared" si="19"/>
        <v/>
      </c>
      <c r="U157" s="67" t="str">
        <f t="shared" si="20"/>
        <v/>
      </c>
      <c r="V157" s="67" t="str">
        <f t="shared" si="21"/>
        <v/>
      </c>
      <c r="W157" s="67" t="str">
        <f t="shared" si="22"/>
        <v/>
      </c>
      <c r="X157" s="67" t="str">
        <f t="shared" si="23"/>
        <v/>
      </c>
      <c r="Y157" s="24" t="str">
        <f t="shared" si="24"/>
        <v/>
      </c>
      <c r="Z157">
        <f t="shared" si="25"/>
        <v>0</v>
      </c>
      <c r="AA157">
        <f t="shared" si="26"/>
        <v>0</v>
      </c>
    </row>
    <row r="158" spans="2:27" ht="15.75" customHeight="1" x14ac:dyDescent="0.3">
      <c r="B158" s="25"/>
      <c r="C158" s="25"/>
      <c r="D158" s="25"/>
      <c r="E158" s="26" t="str">
        <f t="shared" si="18"/>
        <v/>
      </c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3" t="str">
        <f>IF($F158="","",IF(OR($B158="",$C158="",$D158=""),"⚠ Compléter Année/Niveau/Session",IF(AND($E158&lt;&gt;"",COUNTIF(D_KEY_DOUBLON,$B158&amp;"|"&amp;$D158&amp;"|"&amp;$E158)&gt;1),"⚠ Doublon",IF(AND($E158&lt;&gt;"",COUNTIF(D_KEY_STATUT,$B158&amp;"|"&amp;$E158&amp;"|P")&gt;0,COUNTIF(D_KEY_STATUT,$B158&amp;"|"&amp;$E158&amp;"|A")&gt;0),"⚠ Statut incohérent",IF(AND($D158="S1",$Y158&lt;&gt;"Parti",COUNTIF(ANNEES_VERROU,$B158)&gt;0,COUNTIF(D_KEY_NIVSES,$B158&amp;"|"&amp;$C158&amp;"|S2")&gt;0,COUNTIF(D_KEY_DOUBLON,$B158&amp;"|S2|"&amp;$E158)=0),"⚠ Départ non confirmé ?",IF(AND($C158&lt;&gt;"",ISNUMBER($I158),OR(VALUE(LEFT($B158,4))-$I158&lt;4+IFERROR(MATCH($C158,LISTE_NIVEAUX,0),99),VALUE(LEFT($B158,4))-$I158&gt;6+IFERROR(MATCH($C158,LISTE_NIVEAUX,0),99))),"⚠ Vérifier niveau",IF(AND(IFERROR(VLOOKUP($C158,TABLE_CYCLE,2,0),3)=2,COUNT($O158:$Q158)&gt;0),"⚠ Tests cycle 3",IF(COUNT($J158:$Q158)&gt;=IF(IFERROR(VLOOKUP($C158,TABLE_CYCLE,2,0),3)=2,5,8),"Complet","Incomplet"))))))))</f>
        <v/>
      </c>
      <c r="S158" s="24"/>
      <c r="T158" s="67" t="str">
        <f t="shared" si="19"/>
        <v/>
      </c>
      <c r="U158" s="67" t="str">
        <f t="shared" si="20"/>
        <v/>
      </c>
      <c r="V158" s="67" t="str">
        <f t="shared" si="21"/>
        <v/>
      </c>
      <c r="W158" s="67" t="str">
        <f t="shared" si="22"/>
        <v/>
      </c>
      <c r="X158" s="67" t="str">
        <f t="shared" si="23"/>
        <v/>
      </c>
      <c r="Y158" s="24" t="str">
        <f t="shared" si="24"/>
        <v/>
      </c>
      <c r="Z158">
        <f t="shared" si="25"/>
        <v>0</v>
      </c>
      <c r="AA158">
        <f t="shared" si="26"/>
        <v>0</v>
      </c>
    </row>
    <row r="159" spans="2:27" ht="15.75" customHeight="1" x14ac:dyDescent="0.3">
      <c r="B159" s="21"/>
      <c r="C159" s="21"/>
      <c r="D159" s="21"/>
      <c r="E159" s="22" t="str">
        <f t="shared" si="18"/>
        <v/>
      </c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3" t="str">
        <f>IF($F159="","",IF(OR($B159="",$C159="",$D159=""),"⚠ Compléter Année/Niveau/Session",IF(AND($E159&lt;&gt;"",COUNTIF(D_KEY_DOUBLON,$B159&amp;"|"&amp;$D159&amp;"|"&amp;$E159)&gt;1),"⚠ Doublon",IF(AND($E159&lt;&gt;"",COUNTIF(D_KEY_STATUT,$B159&amp;"|"&amp;$E159&amp;"|P")&gt;0,COUNTIF(D_KEY_STATUT,$B159&amp;"|"&amp;$E159&amp;"|A")&gt;0),"⚠ Statut incohérent",IF(AND($D159="S1",$Y159&lt;&gt;"Parti",COUNTIF(ANNEES_VERROU,$B159)&gt;0,COUNTIF(D_KEY_NIVSES,$B159&amp;"|"&amp;$C159&amp;"|S2")&gt;0,COUNTIF(D_KEY_DOUBLON,$B159&amp;"|S2|"&amp;$E159)=0),"⚠ Départ non confirmé ?",IF(AND($C159&lt;&gt;"",ISNUMBER($I159),OR(VALUE(LEFT($B159,4))-$I159&lt;4+IFERROR(MATCH($C159,LISTE_NIVEAUX,0),99),VALUE(LEFT($B159,4))-$I159&gt;6+IFERROR(MATCH($C159,LISTE_NIVEAUX,0),99))),"⚠ Vérifier niveau",IF(AND(IFERROR(VLOOKUP($C159,TABLE_CYCLE,2,0),3)=2,COUNT($O159:$Q159)&gt;0),"⚠ Tests cycle 3",IF(COUNT($J159:$Q159)&gt;=IF(IFERROR(VLOOKUP($C159,TABLE_CYCLE,2,0),3)=2,5,8),"Complet","Incomplet"))))))))</f>
        <v/>
      </c>
      <c r="S159" s="24"/>
      <c r="T159" s="67" t="str">
        <f t="shared" si="19"/>
        <v/>
      </c>
      <c r="U159" s="67" t="str">
        <f t="shared" si="20"/>
        <v/>
      </c>
      <c r="V159" s="67" t="str">
        <f t="shared" si="21"/>
        <v/>
      </c>
      <c r="W159" s="67" t="str">
        <f t="shared" si="22"/>
        <v/>
      </c>
      <c r="X159" s="67" t="str">
        <f t="shared" si="23"/>
        <v/>
      </c>
      <c r="Y159" s="24" t="str">
        <f t="shared" si="24"/>
        <v/>
      </c>
      <c r="Z159">
        <f t="shared" si="25"/>
        <v>0</v>
      </c>
      <c r="AA159">
        <f t="shared" si="26"/>
        <v>0</v>
      </c>
    </row>
    <row r="160" spans="2:27" ht="15.75" customHeight="1" x14ac:dyDescent="0.3">
      <c r="B160" s="25"/>
      <c r="C160" s="25"/>
      <c r="D160" s="25"/>
      <c r="E160" s="26" t="str">
        <f t="shared" si="18"/>
        <v/>
      </c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3" t="str">
        <f>IF($F160="","",IF(OR($B160="",$C160="",$D160=""),"⚠ Compléter Année/Niveau/Session",IF(AND($E160&lt;&gt;"",COUNTIF(D_KEY_DOUBLON,$B160&amp;"|"&amp;$D160&amp;"|"&amp;$E160)&gt;1),"⚠ Doublon",IF(AND($E160&lt;&gt;"",COUNTIF(D_KEY_STATUT,$B160&amp;"|"&amp;$E160&amp;"|P")&gt;0,COUNTIF(D_KEY_STATUT,$B160&amp;"|"&amp;$E160&amp;"|A")&gt;0),"⚠ Statut incohérent",IF(AND($D160="S1",$Y160&lt;&gt;"Parti",COUNTIF(ANNEES_VERROU,$B160)&gt;0,COUNTIF(D_KEY_NIVSES,$B160&amp;"|"&amp;$C160&amp;"|S2")&gt;0,COUNTIF(D_KEY_DOUBLON,$B160&amp;"|S2|"&amp;$E160)=0),"⚠ Départ non confirmé ?",IF(AND($C160&lt;&gt;"",ISNUMBER($I160),OR(VALUE(LEFT($B160,4))-$I160&lt;4+IFERROR(MATCH($C160,LISTE_NIVEAUX,0),99),VALUE(LEFT($B160,4))-$I160&gt;6+IFERROR(MATCH($C160,LISTE_NIVEAUX,0),99))),"⚠ Vérifier niveau",IF(AND(IFERROR(VLOOKUP($C160,TABLE_CYCLE,2,0),3)=2,COUNT($O160:$Q160)&gt;0),"⚠ Tests cycle 3",IF(COUNT($J160:$Q160)&gt;=IF(IFERROR(VLOOKUP($C160,TABLE_CYCLE,2,0),3)=2,5,8),"Complet","Incomplet"))))))))</f>
        <v/>
      </c>
      <c r="S160" s="24"/>
      <c r="T160" s="67" t="str">
        <f t="shared" si="19"/>
        <v/>
      </c>
      <c r="U160" s="67" t="str">
        <f t="shared" si="20"/>
        <v/>
      </c>
      <c r="V160" s="67" t="str">
        <f t="shared" si="21"/>
        <v/>
      </c>
      <c r="W160" s="67" t="str">
        <f t="shared" si="22"/>
        <v/>
      </c>
      <c r="X160" s="67" t="str">
        <f t="shared" si="23"/>
        <v/>
      </c>
      <c r="Y160" s="24" t="str">
        <f t="shared" si="24"/>
        <v/>
      </c>
      <c r="Z160">
        <f t="shared" si="25"/>
        <v>0</v>
      </c>
      <c r="AA160">
        <f t="shared" si="26"/>
        <v>0</v>
      </c>
    </row>
    <row r="161" spans="2:27" ht="15.75" customHeight="1" x14ac:dyDescent="0.3">
      <c r="B161" s="21"/>
      <c r="C161" s="21"/>
      <c r="D161" s="21"/>
      <c r="E161" s="22" t="str">
        <f t="shared" si="18"/>
        <v/>
      </c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3" t="str">
        <f>IF($F161="","",IF(OR($B161="",$C161="",$D161=""),"⚠ Compléter Année/Niveau/Session",IF(AND($E161&lt;&gt;"",COUNTIF(D_KEY_DOUBLON,$B161&amp;"|"&amp;$D161&amp;"|"&amp;$E161)&gt;1),"⚠ Doublon",IF(AND($E161&lt;&gt;"",COUNTIF(D_KEY_STATUT,$B161&amp;"|"&amp;$E161&amp;"|P")&gt;0,COUNTIF(D_KEY_STATUT,$B161&amp;"|"&amp;$E161&amp;"|A")&gt;0),"⚠ Statut incohérent",IF(AND($D161="S1",$Y161&lt;&gt;"Parti",COUNTIF(ANNEES_VERROU,$B161)&gt;0,COUNTIF(D_KEY_NIVSES,$B161&amp;"|"&amp;$C161&amp;"|S2")&gt;0,COUNTIF(D_KEY_DOUBLON,$B161&amp;"|S2|"&amp;$E161)=0),"⚠ Départ non confirmé ?",IF(AND($C161&lt;&gt;"",ISNUMBER($I161),OR(VALUE(LEFT($B161,4))-$I161&lt;4+IFERROR(MATCH($C161,LISTE_NIVEAUX,0),99),VALUE(LEFT($B161,4))-$I161&gt;6+IFERROR(MATCH($C161,LISTE_NIVEAUX,0),99))),"⚠ Vérifier niveau",IF(AND(IFERROR(VLOOKUP($C161,TABLE_CYCLE,2,0),3)=2,COUNT($O161:$Q161)&gt;0),"⚠ Tests cycle 3",IF(COUNT($J161:$Q161)&gt;=IF(IFERROR(VLOOKUP($C161,TABLE_CYCLE,2,0),3)=2,5,8),"Complet","Incomplet"))))))))</f>
        <v/>
      </c>
      <c r="S161" s="24"/>
      <c r="T161" s="67" t="str">
        <f t="shared" si="19"/>
        <v/>
      </c>
      <c r="U161" s="67" t="str">
        <f t="shared" si="20"/>
        <v/>
      </c>
      <c r="V161" s="67" t="str">
        <f t="shared" si="21"/>
        <v/>
      </c>
      <c r="W161" s="67" t="str">
        <f t="shared" si="22"/>
        <v/>
      </c>
      <c r="X161" s="67" t="str">
        <f t="shared" si="23"/>
        <v/>
      </c>
      <c r="Y161" s="24" t="str">
        <f t="shared" si="24"/>
        <v/>
      </c>
      <c r="Z161">
        <f t="shared" si="25"/>
        <v>0</v>
      </c>
      <c r="AA161">
        <f t="shared" si="26"/>
        <v>0</v>
      </c>
    </row>
    <row r="162" spans="2:27" ht="15.75" customHeight="1" x14ac:dyDescent="0.3">
      <c r="B162" s="25"/>
      <c r="C162" s="25"/>
      <c r="D162" s="25"/>
      <c r="E162" s="26" t="str">
        <f t="shared" si="18"/>
        <v/>
      </c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3" t="str">
        <f>IF($F162="","",IF(OR($B162="",$C162="",$D162=""),"⚠ Compléter Année/Niveau/Session",IF(AND($E162&lt;&gt;"",COUNTIF(D_KEY_DOUBLON,$B162&amp;"|"&amp;$D162&amp;"|"&amp;$E162)&gt;1),"⚠ Doublon",IF(AND($E162&lt;&gt;"",COUNTIF(D_KEY_STATUT,$B162&amp;"|"&amp;$E162&amp;"|P")&gt;0,COUNTIF(D_KEY_STATUT,$B162&amp;"|"&amp;$E162&amp;"|A")&gt;0),"⚠ Statut incohérent",IF(AND($D162="S1",$Y162&lt;&gt;"Parti",COUNTIF(ANNEES_VERROU,$B162)&gt;0,COUNTIF(D_KEY_NIVSES,$B162&amp;"|"&amp;$C162&amp;"|S2")&gt;0,COUNTIF(D_KEY_DOUBLON,$B162&amp;"|S2|"&amp;$E162)=0),"⚠ Départ non confirmé ?",IF(AND($C162&lt;&gt;"",ISNUMBER($I162),OR(VALUE(LEFT($B162,4))-$I162&lt;4+IFERROR(MATCH($C162,LISTE_NIVEAUX,0),99),VALUE(LEFT($B162,4))-$I162&gt;6+IFERROR(MATCH($C162,LISTE_NIVEAUX,0),99))),"⚠ Vérifier niveau",IF(AND(IFERROR(VLOOKUP($C162,TABLE_CYCLE,2,0),3)=2,COUNT($O162:$Q162)&gt;0),"⚠ Tests cycle 3",IF(COUNT($J162:$Q162)&gt;=IF(IFERROR(VLOOKUP($C162,TABLE_CYCLE,2,0),3)=2,5,8),"Complet","Incomplet"))))))))</f>
        <v/>
      </c>
      <c r="S162" s="24"/>
      <c r="T162" s="67" t="str">
        <f t="shared" si="19"/>
        <v/>
      </c>
      <c r="U162" s="67" t="str">
        <f t="shared" si="20"/>
        <v/>
      </c>
      <c r="V162" s="67" t="str">
        <f t="shared" si="21"/>
        <v/>
      </c>
      <c r="W162" s="67" t="str">
        <f t="shared" si="22"/>
        <v/>
      </c>
      <c r="X162" s="67" t="str">
        <f t="shared" si="23"/>
        <v/>
      </c>
      <c r="Y162" s="24" t="str">
        <f t="shared" si="24"/>
        <v/>
      </c>
      <c r="Z162">
        <f t="shared" si="25"/>
        <v>0</v>
      </c>
      <c r="AA162">
        <f t="shared" si="26"/>
        <v>0</v>
      </c>
    </row>
    <row r="163" spans="2:27" ht="15.75" customHeight="1" x14ac:dyDescent="0.3">
      <c r="B163" s="21"/>
      <c r="C163" s="21"/>
      <c r="D163" s="21"/>
      <c r="E163" s="22" t="str">
        <f t="shared" si="18"/>
        <v/>
      </c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3" t="str">
        <f>IF($F163="","",IF(OR($B163="",$C163="",$D163=""),"⚠ Compléter Année/Niveau/Session",IF(AND($E163&lt;&gt;"",COUNTIF(D_KEY_DOUBLON,$B163&amp;"|"&amp;$D163&amp;"|"&amp;$E163)&gt;1),"⚠ Doublon",IF(AND($E163&lt;&gt;"",COUNTIF(D_KEY_STATUT,$B163&amp;"|"&amp;$E163&amp;"|P")&gt;0,COUNTIF(D_KEY_STATUT,$B163&amp;"|"&amp;$E163&amp;"|A")&gt;0),"⚠ Statut incohérent",IF(AND($D163="S1",$Y163&lt;&gt;"Parti",COUNTIF(ANNEES_VERROU,$B163)&gt;0,COUNTIF(D_KEY_NIVSES,$B163&amp;"|"&amp;$C163&amp;"|S2")&gt;0,COUNTIF(D_KEY_DOUBLON,$B163&amp;"|S2|"&amp;$E163)=0),"⚠ Départ non confirmé ?",IF(AND($C163&lt;&gt;"",ISNUMBER($I163),OR(VALUE(LEFT($B163,4))-$I163&lt;4+IFERROR(MATCH($C163,LISTE_NIVEAUX,0),99),VALUE(LEFT($B163,4))-$I163&gt;6+IFERROR(MATCH($C163,LISTE_NIVEAUX,0),99))),"⚠ Vérifier niveau",IF(AND(IFERROR(VLOOKUP($C163,TABLE_CYCLE,2,0),3)=2,COUNT($O163:$Q163)&gt;0),"⚠ Tests cycle 3",IF(COUNT($J163:$Q163)&gt;=IF(IFERROR(VLOOKUP($C163,TABLE_CYCLE,2,0),3)=2,5,8),"Complet","Incomplet"))))))))</f>
        <v/>
      </c>
      <c r="S163" s="24"/>
      <c r="T163" s="67" t="str">
        <f t="shared" si="19"/>
        <v/>
      </c>
      <c r="U163" s="67" t="str">
        <f t="shared" si="20"/>
        <v/>
      </c>
      <c r="V163" s="67" t="str">
        <f t="shared" si="21"/>
        <v/>
      </c>
      <c r="W163" s="67" t="str">
        <f t="shared" si="22"/>
        <v/>
      </c>
      <c r="X163" s="67" t="str">
        <f t="shared" si="23"/>
        <v/>
      </c>
      <c r="Y163" s="24" t="str">
        <f t="shared" si="24"/>
        <v/>
      </c>
      <c r="Z163">
        <f t="shared" si="25"/>
        <v>0</v>
      </c>
      <c r="AA163">
        <f t="shared" si="26"/>
        <v>0</v>
      </c>
    </row>
    <row r="164" spans="2:27" ht="15.75" customHeight="1" x14ac:dyDescent="0.3">
      <c r="B164" s="25"/>
      <c r="C164" s="25"/>
      <c r="D164" s="25"/>
      <c r="E164" s="26" t="str">
        <f t="shared" si="18"/>
        <v/>
      </c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3" t="str">
        <f>IF($F164="","",IF(OR($B164="",$C164="",$D164=""),"⚠ Compléter Année/Niveau/Session",IF(AND($E164&lt;&gt;"",COUNTIF(D_KEY_DOUBLON,$B164&amp;"|"&amp;$D164&amp;"|"&amp;$E164)&gt;1),"⚠ Doublon",IF(AND($E164&lt;&gt;"",COUNTIF(D_KEY_STATUT,$B164&amp;"|"&amp;$E164&amp;"|P")&gt;0,COUNTIF(D_KEY_STATUT,$B164&amp;"|"&amp;$E164&amp;"|A")&gt;0),"⚠ Statut incohérent",IF(AND($D164="S1",$Y164&lt;&gt;"Parti",COUNTIF(ANNEES_VERROU,$B164)&gt;0,COUNTIF(D_KEY_NIVSES,$B164&amp;"|"&amp;$C164&amp;"|S2")&gt;0,COUNTIF(D_KEY_DOUBLON,$B164&amp;"|S2|"&amp;$E164)=0),"⚠ Départ non confirmé ?",IF(AND($C164&lt;&gt;"",ISNUMBER($I164),OR(VALUE(LEFT($B164,4))-$I164&lt;4+IFERROR(MATCH($C164,LISTE_NIVEAUX,0),99),VALUE(LEFT($B164,4))-$I164&gt;6+IFERROR(MATCH($C164,LISTE_NIVEAUX,0),99))),"⚠ Vérifier niveau",IF(AND(IFERROR(VLOOKUP($C164,TABLE_CYCLE,2,0),3)=2,COUNT($O164:$Q164)&gt;0),"⚠ Tests cycle 3",IF(COUNT($J164:$Q164)&gt;=IF(IFERROR(VLOOKUP($C164,TABLE_CYCLE,2,0),3)=2,5,8),"Complet","Incomplet"))))))))</f>
        <v/>
      </c>
      <c r="S164" s="24"/>
      <c r="T164" s="67" t="str">
        <f t="shared" si="19"/>
        <v/>
      </c>
      <c r="U164" s="67" t="str">
        <f t="shared" si="20"/>
        <v/>
      </c>
      <c r="V164" s="67" t="str">
        <f t="shared" si="21"/>
        <v/>
      </c>
      <c r="W164" s="67" t="str">
        <f t="shared" si="22"/>
        <v/>
      </c>
      <c r="X164" s="67" t="str">
        <f t="shared" si="23"/>
        <v/>
      </c>
      <c r="Y164" s="24" t="str">
        <f t="shared" si="24"/>
        <v/>
      </c>
      <c r="Z164">
        <f t="shared" si="25"/>
        <v>0</v>
      </c>
      <c r="AA164">
        <f t="shared" si="26"/>
        <v>0</v>
      </c>
    </row>
    <row r="165" spans="2:27" ht="15.75" customHeight="1" x14ac:dyDescent="0.3">
      <c r="B165" s="21"/>
      <c r="C165" s="21"/>
      <c r="D165" s="21"/>
      <c r="E165" s="22" t="str">
        <f t="shared" si="18"/>
        <v/>
      </c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3" t="str">
        <f>IF($F165="","",IF(OR($B165="",$C165="",$D165=""),"⚠ Compléter Année/Niveau/Session",IF(AND($E165&lt;&gt;"",COUNTIF(D_KEY_DOUBLON,$B165&amp;"|"&amp;$D165&amp;"|"&amp;$E165)&gt;1),"⚠ Doublon",IF(AND($E165&lt;&gt;"",COUNTIF(D_KEY_STATUT,$B165&amp;"|"&amp;$E165&amp;"|P")&gt;0,COUNTIF(D_KEY_STATUT,$B165&amp;"|"&amp;$E165&amp;"|A")&gt;0),"⚠ Statut incohérent",IF(AND($D165="S1",$Y165&lt;&gt;"Parti",COUNTIF(ANNEES_VERROU,$B165)&gt;0,COUNTIF(D_KEY_NIVSES,$B165&amp;"|"&amp;$C165&amp;"|S2")&gt;0,COUNTIF(D_KEY_DOUBLON,$B165&amp;"|S2|"&amp;$E165)=0),"⚠ Départ non confirmé ?",IF(AND($C165&lt;&gt;"",ISNUMBER($I165),OR(VALUE(LEFT($B165,4))-$I165&lt;4+IFERROR(MATCH($C165,LISTE_NIVEAUX,0),99),VALUE(LEFT($B165,4))-$I165&gt;6+IFERROR(MATCH($C165,LISTE_NIVEAUX,0),99))),"⚠ Vérifier niveau",IF(AND(IFERROR(VLOOKUP($C165,TABLE_CYCLE,2,0),3)=2,COUNT($O165:$Q165)&gt;0),"⚠ Tests cycle 3",IF(COUNT($J165:$Q165)&gt;=IF(IFERROR(VLOOKUP($C165,TABLE_CYCLE,2,0),3)=2,5,8),"Complet","Incomplet"))))))))</f>
        <v/>
      </c>
      <c r="S165" s="24"/>
      <c r="T165" s="67" t="str">
        <f t="shared" si="19"/>
        <v/>
      </c>
      <c r="U165" s="67" t="str">
        <f t="shared" si="20"/>
        <v/>
      </c>
      <c r="V165" s="67" t="str">
        <f t="shared" si="21"/>
        <v/>
      </c>
      <c r="W165" s="67" t="str">
        <f t="shared" si="22"/>
        <v/>
      </c>
      <c r="X165" s="67" t="str">
        <f t="shared" si="23"/>
        <v/>
      </c>
      <c r="Y165" s="24" t="str">
        <f t="shared" si="24"/>
        <v/>
      </c>
      <c r="Z165">
        <f t="shared" si="25"/>
        <v>0</v>
      </c>
      <c r="AA165">
        <f t="shared" si="26"/>
        <v>0</v>
      </c>
    </row>
    <row r="166" spans="2:27" ht="15.75" customHeight="1" x14ac:dyDescent="0.3">
      <c r="B166" s="25"/>
      <c r="C166" s="25"/>
      <c r="D166" s="25"/>
      <c r="E166" s="26" t="str">
        <f t="shared" si="18"/>
        <v/>
      </c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3" t="str">
        <f>IF($F166="","",IF(OR($B166="",$C166="",$D166=""),"⚠ Compléter Année/Niveau/Session",IF(AND($E166&lt;&gt;"",COUNTIF(D_KEY_DOUBLON,$B166&amp;"|"&amp;$D166&amp;"|"&amp;$E166)&gt;1),"⚠ Doublon",IF(AND($E166&lt;&gt;"",COUNTIF(D_KEY_STATUT,$B166&amp;"|"&amp;$E166&amp;"|P")&gt;0,COUNTIF(D_KEY_STATUT,$B166&amp;"|"&amp;$E166&amp;"|A")&gt;0),"⚠ Statut incohérent",IF(AND($D166="S1",$Y166&lt;&gt;"Parti",COUNTIF(ANNEES_VERROU,$B166)&gt;0,COUNTIF(D_KEY_NIVSES,$B166&amp;"|"&amp;$C166&amp;"|S2")&gt;0,COUNTIF(D_KEY_DOUBLON,$B166&amp;"|S2|"&amp;$E166)=0),"⚠ Départ non confirmé ?",IF(AND($C166&lt;&gt;"",ISNUMBER($I166),OR(VALUE(LEFT($B166,4))-$I166&lt;4+IFERROR(MATCH($C166,LISTE_NIVEAUX,0),99),VALUE(LEFT($B166,4))-$I166&gt;6+IFERROR(MATCH($C166,LISTE_NIVEAUX,0),99))),"⚠ Vérifier niveau",IF(AND(IFERROR(VLOOKUP($C166,TABLE_CYCLE,2,0),3)=2,COUNT($O166:$Q166)&gt;0),"⚠ Tests cycle 3",IF(COUNT($J166:$Q166)&gt;=IF(IFERROR(VLOOKUP($C166,TABLE_CYCLE,2,0),3)=2,5,8),"Complet","Incomplet"))))))))</f>
        <v/>
      </c>
      <c r="S166" s="24"/>
      <c r="T166" s="67" t="str">
        <f t="shared" si="19"/>
        <v/>
      </c>
      <c r="U166" s="67" t="str">
        <f t="shared" si="20"/>
        <v/>
      </c>
      <c r="V166" s="67" t="str">
        <f t="shared" si="21"/>
        <v/>
      </c>
      <c r="W166" s="67" t="str">
        <f t="shared" si="22"/>
        <v/>
      </c>
      <c r="X166" s="67" t="str">
        <f t="shared" si="23"/>
        <v/>
      </c>
      <c r="Y166" s="24" t="str">
        <f t="shared" si="24"/>
        <v/>
      </c>
      <c r="Z166">
        <f t="shared" si="25"/>
        <v>0</v>
      </c>
      <c r="AA166">
        <f t="shared" si="26"/>
        <v>0</v>
      </c>
    </row>
    <row r="167" spans="2:27" ht="15.75" customHeight="1" x14ac:dyDescent="0.3">
      <c r="B167" s="21"/>
      <c r="C167" s="21"/>
      <c r="D167" s="21"/>
      <c r="E167" s="22" t="str">
        <f t="shared" si="18"/>
        <v/>
      </c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3" t="str">
        <f>IF($F167="","",IF(OR($B167="",$C167="",$D167=""),"⚠ Compléter Année/Niveau/Session",IF(AND($E167&lt;&gt;"",COUNTIF(D_KEY_DOUBLON,$B167&amp;"|"&amp;$D167&amp;"|"&amp;$E167)&gt;1),"⚠ Doublon",IF(AND($E167&lt;&gt;"",COUNTIF(D_KEY_STATUT,$B167&amp;"|"&amp;$E167&amp;"|P")&gt;0,COUNTIF(D_KEY_STATUT,$B167&amp;"|"&amp;$E167&amp;"|A")&gt;0),"⚠ Statut incohérent",IF(AND($D167="S1",$Y167&lt;&gt;"Parti",COUNTIF(ANNEES_VERROU,$B167)&gt;0,COUNTIF(D_KEY_NIVSES,$B167&amp;"|"&amp;$C167&amp;"|S2")&gt;0,COUNTIF(D_KEY_DOUBLON,$B167&amp;"|S2|"&amp;$E167)=0),"⚠ Départ non confirmé ?",IF(AND($C167&lt;&gt;"",ISNUMBER($I167),OR(VALUE(LEFT($B167,4))-$I167&lt;4+IFERROR(MATCH($C167,LISTE_NIVEAUX,0),99),VALUE(LEFT($B167,4))-$I167&gt;6+IFERROR(MATCH($C167,LISTE_NIVEAUX,0),99))),"⚠ Vérifier niveau",IF(AND(IFERROR(VLOOKUP($C167,TABLE_CYCLE,2,0),3)=2,COUNT($O167:$Q167)&gt;0),"⚠ Tests cycle 3",IF(COUNT($J167:$Q167)&gt;=IF(IFERROR(VLOOKUP($C167,TABLE_CYCLE,2,0),3)=2,5,8),"Complet","Incomplet"))))))))</f>
        <v/>
      </c>
      <c r="S167" s="24"/>
      <c r="T167" s="67" t="str">
        <f t="shared" si="19"/>
        <v/>
      </c>
      <c r="U167" s="67" t="str">
        <f t="shared" si="20"/>
        <v/>
      </c>
      <c r="V167" s="67" t="str">
        <f t="shared" si="21"/>
        <v/>
      </c>
      <c r="W167" s="67" t="str">
        <f t="shared" si="22"/>
        <v/>
      </c>
      <c r="X167" s="67" t="str">
        <f t="shared" si="23"/>
        <v/>
      </c>
      <c r="Y167" s="24" t="str">
        <f t="shared" si="24"/>
        <v/>
      </c>
      <c r="Z167">
        <f t="shared" si="25"/>
        <v>0</v>
      </c>
      <c r="AA167">
        <f t="shared" si="26"/>
        <v>0</v>
      </c>
    </row>
    <row r="168" spans="2:27" ht="15.75" customHeight="1" x14ac:dyDescent="0.3">
      <c r="B168" s="25"/>
      <c r="C168" s="25"/>
      <c r="D168" s="25"/>
      <c r="E168" s="26" t="str">
        <f t="shared" si="18"/>
        <v/>
      </c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3" t="str">
        <f>IF($F168="","",IF(OR($B168="",$C168="",$D168=""),"⚠ Compléter Année/Niveau/Session",IF(AND($E168&lt;&gt;"",COUNTIF(D_KEY_DOUBLON,$B168&amp;"|"&amp;$D168&amp;"|"&amp;$E168)&gt;1),"⚠ Doublon",IF(AND($E168&lt;&gt;"",COUNTIF(D_KEY_STATUT,$B168&amp;"|"&amp;$E168&amp;"|P")&gt;0,COUNTIF(D_KEY_STATUT,$B168&amp;"|"&amp;$E168&amp;"|A")&gt;0),"⚠ Statut incohérent",IF(AND($D168="S1",$Y168&lt;&gt;"Parti",COUNTIF(ANNEES_VERROU,$B168)&gt;0,COUNTIF(D_KEY_NIVSES,$B168&amp;"|"&amp;$C168&amp;"|S2")&gt;0,COUNTIF(D_KEY_DOUBLON,$B168&amp;"|S2|"&amp;$E168)=0),"⚠ Départ non confirmé ?",IF(AND($C168&lt;&gt;"",ISNUMBER($I168),OR(VALUE(LEFT($B168,4))-$I168&lt;4+IFERROR(MATCH($C168,LISTE_NIVEAUX,0),99),VALUE(LEFT($B168,4))-$I168&gt;6+IFERROR(MATCH($C168,LISTE_NIVEAUX,0),99))),"⚠ Vérifier niveau",IF(AND(IFERROR(VLOOKUP($C168,TABLE_CYCLE,2,0),3)=2,COUNT($O168:$Q168)&gt;0),"⚠ Tests cycle 3",IF(COUNT($J168:$Q168)&gt;=IF(IFERROR(VLOOKUP($C168,TABLE_CYCLE,2,0),3)=2,5,8),"Complet","Incomplet"))))))))</f>
        <v/>
      </c>
      <c r="S168" s="24"/>
      <c r="T168" s="67" t="str">
        <f t="shared" si="19"/>
        <v/>
      </c>
      <c r="U168" s="67" t="str">
        <f t="shared" si="20"/>
        <v/>
      </c>
      <c r="V168" s="67" t="str">
        <f t="shared" si="21"/>
        <v/>
      </c>
      <c r="W168" s="67" t="str">
        <f t="shared" si="22"/>
        <v/>
      </c>
      <c r="X168" s="67" t="str">
        <f t="shared" si="23"/>
        <v/>
      </c>
      <c r="Y168" s="24" t="str">
        <f t="shared" si="24"/>
        <v/>
      </c>
      <c r="Z168">
        <f t="shared" si="25"/>
        <v>0</v>
      </c>
      <c r="AA168">
        <f t="shared" si="26"/>
        <v>0</v>
      </c>
    </row>
    <row r="169" spans="2:27" ht="15.75" customHeight="1" x14ac:dyDescent="0.3">
      <c r="B169" s="21"/>
      <c r="C169" s="21"/>
      <c r="D169" s="21"/>
      <c r="E169" s="22" t="str">
        <f t="shared" si="18"/>
        <v/>
      </c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3" t="str">
        <f>IF($F169="","",IF(OR($B169="",$C169="",$D169=""),"⚠ Compléter Année/Niveau/Session",IF(AND($E169&lt;&gt;"",COUNTIF(D_KEY_DOUBLON,$B169&amp;"|"&amp;$D169&amp;"|"&amp;$E169)&gt;1),"⚠ Doublon",IF(AND($E169&lt;&gt;"",COUNTIF(D_KEY_STATUT,$B169&amp;"|"&amp;$E169&amp;"|P")&gt;0,COUNTIF(D_KEY_STATUT,$B169&amp;"|"&amp;$E169&amp;"|A")&gt;0),"⚠ Statut incohérent",IF(AND($D169="S1",$Y169&lt;&gt;"Parti",COUNTIF(ANNEES_VERROU,$B169)&gt;0,COUNTIF(D_KEY_NIVSES,$B169&amp;"|"&amp;$C169&amp;"|S2")&gt;0,COUNTIF(D_KEY_DOUBLON,$B169&amp;"|S2|"&amp;$E169)=0),"⚠ Départ non confirmé ?",IF(AND($C169&lt;&gt;"",ISNUMBER($I169),OR(VALUE(LEFT($B169,4))-$I169&lt;4+IFERROR(MATCH($C169,LISTE_NIVEAUX,0),99),VALUE(LEFT($B169,4))-$I169&gt;6+IFERROR(MATCH($C169,LISTE_NIVEAUX,0),99))),"⚠ Vérifier niveau",IF(AND(IFERROR(VLOOKUP($C169,TABLE_CYCLE,2,0),3)=2,COUNT($O169:$Q169)&gt;0),"⚠ Tests cycle 3",IF(COUNT($J169:$Q169)&gt;=IF(IFERROR(VLOOKUP($C169,TABLE_CYCLE,2,0),3)=2,5,8),"Complet","Incomplet"))))))))</f>
        <v/>
      </c>
      <c r="S169" s="24"/>
      <c r="T169" s="67" t="str">
        <f t="shared" si="19"/>
        <v/>
      </c>
      <c r="U169" s="67" t="str">
        <f t="shared" si="20"/>
        <v/>
      </c>
      <c r="V169" s="67" t="str">
        <f t="shared" si="21"/>
        <v/>
      </c>
      <c r="W169" s="67" t="str">
        <f t="shared" si="22"/>
        <v/>
      </c>
      <c r="X169" s="67" t="str">
        <f t="shared" si="23"/>
        <v/>
      </c>
      <c r="Y169" s="24" t="str">
        <f t="shared" si="24"/>
        <v/>
      </c>
      <c r="Z169">
        <f t="shared" si="25"/>
        <v>0</v>
      </c>
      <c r="AA169">
        <f t="shared" si="26"/>
        <v>0</v>
      </c>
    </row>
    <row r="170" spans="2:27" ht="15.75" customHeight="1" x14ac:dyDescent="0.3">
      <c r="B170" s="25"/>
      <c r="C170" s="25"/>
      <c r="D170" s="25"/>
      <c r="E170" s="26" t="str">
        <f t="shared" si="18"/>
        <v/>
      </c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3" t="str">
        <f>IF($F170="","",IF(OR($B170="",$C170="",$D170=""),"⚠ Compléter Année/Niveau/Session",IF(AND($E170&lt;&gt;"",COUNTIF(D_KEY_DOUBLON,$B170&amp;"|"&amp;$D170&amp;"|"&amp;$E170)&gt;1),"⚠ Doublon",IF(AND($E170&lt;&gt;"",COUNTIF(D_KEY_STATUT,$B170&amp;"|"&amp;$E170&amp;"|P")&gt;0,COUNTIF(D_KEY_STATUT,$B170&amp;"|"&amp;$E170&amp;"|A")&gt;0),"⚠ Statut incohérent",IF(AND($D170="S1",$Y170&lt;&gt;"Parti",COUNTIF(ANNEES_VERROU,$B170)&gt;0,COUNTIF(D_KEY_NIVSES,$B170&amp;"|"&amp;$C170&amp;"|S2")&gt;0,COUNTIF(D_KEY_DOUBLON,$B170&amp;"|S2|"&amp;$E170)=0),"⚠ Départ non confirmé ?",IF(AND($C170&lt;&gt;"",ISNUMBER($I170),OR(VALUE(LEFT($B170,4))-$I170&lt;4+IFERROR(MATCH($C170,LISTE_NIVEAUX,0),99),VALUE(LEFT($B170,4))-$I170&gt;6+IFERROR(MATCH($C170,LISTE_NIVEAUX,0),99))),"⚠ Vérifier niveau",IF(AND(IFERROR(VLOOKUP($C170,TABLE_CYCLE,2,0),3)=2,COUNT($O170:$Q170)&gt;0),"⚠ Tests cycle 3",IF(COUNT($J170:$Q170)&gt;=IF(IFERROR(VLOOKUP($C170,TABLE_CYCLE,2,0),3)=2,5,8),"Complet","Incomplet"))))))))</f>
        <v/>
      </c>
      <c r="S170" s="24"/>
      <c r="T170" s="67" t="str">
        <f t="shared" si="19"/>
        <v/>
      </c>
      <c r="U170" s="67" t="str">
        <f t="shared" si="20"/>
        <v/>
      </c>
      <c r="V170" s="67" t="str">
        <f t="shared" si="21"/>
        <v/>
      </c>
      <c r="W170" s="67" t="str">
        <f t="shared" si="22"/>
        <v/>
      </c>
      <c r="X170" s="67" t="str">
        <f t="shared" si="23"/>
        <v/>
      </c>
      <c r="Y170" s="24" t="str">
        <f t="shared" si="24"/>
        <v/>
      </c>
      <c r="Z170">
        <f t="shared" si="25"/>
        <v>0</v>
      </c>
      <c r="AA170">
        <f t="shared" si="26"/>
        <v>0</v>
      </c>
    </row>
    <row r="171" spans="2:27" ht="15.75" customHeight="1" x14ac:dyDescent="0.3">
      <c r="B171" s="21"/>
      <c r="C171" s="21"/>
      <c r="D171" s="21"/>
      <c r="E171" s="22" t="str">
        <f t="shared" si="18"/>
        <v/>
      </c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3" t="str">
        <f>IF($F171="","",IF(OR($B171="",$C171="",$D171=""),"⚠ Compléter Année/Niveau/Session",IF(AND($E171&lt;&gt;"",COUNTIF(D_KEY_DOUBLON,$B171&amp;"|"&amp;$D171&amp;"|"&amp;$E171)&gt;1),"⚠ Doublon",IF(AND($E171&lt;&gt;"",COUNTIF(D_KEY_STATUT,$B171&amp;"|"&amp;$E171&amp;"|P")&gt;0,COUNTIF(D_KEY_STATUT,$B171&amp;"|"&amp;$E171&amp;"|A")&gt;0),"⚠ Statut incohérent",IF(AND($D171="S1",$Y171&lt;&gt;"Parti",COUNTIF(ANNEES_VERROU,$B171)&gt;0,COUNTIF(D_KEY_NIVSES,$B171&amp;"|"&amp;$C171&amp;"|S2")&gt;0,COUNTIF(D_KEY_DOUBLON,$B171&amp;"|S2|"&amp;$E171)=0),"⚠ Départ non confirmé ?",IF(AND($C171&lt;&gt;"",ISNUMBER($I171),OR(VALUE(LEFT($B171,4))-$I171&lt;4+IFERROR(MATCH($C171,LISTE_NIVEAUX,0),99),VALUE(LEFT($B171,4))-$I171&gt;6+IFERROR(MATCH($C171,LISTE_NIVEAUX,0),99))),"⚠ Vérifier niveau",IF(AND(IFERROR(VLOOKUP($C171,TABLE_CYCLE,2,0),3)=2,COUNT($O171:$Q171)&gt;0),"⚠ Tests cycle 3",IF(COUNT($J171:$Q171)&gt;=IF(IFERROR(VLOOKUP($C171,TABLE_CYCLE,2,0),3)=2,5,8),"Complet","Incomplet"))))))))</f>
        <v/>
      </c>
      <c r="S171" s="24"/>
      <c r="T171" s="67" t="str">
        <f t="shared" si="19"/>
        <v/>
      </c>
      <c r="U171" s="67" t="str">
        <f t="shared" si="20"/>
        <v/>
      </c>
      <c r="V171" s="67" t="str">
        <f t="shared" si="21"/>
        <v/>
      </c>
      <c r="W171" s="67" t="str">
        <f t="shared" si="22"/>
        <v/>
      </c>
      <c r="X171" s="67" t="str">
        <f t="shared" si="23"/>
        <v/>
      </c>
      <c r="Y171" s="24" t="str">
        <f t="shared" si="24"/>
        <v/>
      </c>
      <c r="Z171">
        <f t="shared" si="25"/>
        <v>0</v>
      </c>
      <c r="AA171">
        <f t="shared" si="26"/>
        <v>0</v>
      </c>
    </row>
    <row r="172" spans="2:27" ht="15.75" customHeight="1" x14ac:dyDescent="0.3">
      <c r="B172" s="25"/>
      <c r="C172" s="25"/>
      <c r="D172" s="25"/>
      <c r="E172" s="26" t="str">
        <f t="shared" si="18"/>
        <v/>
      </c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3" t="str">
        <f>IF($F172="","",IF(OR($B172="",$C172="",$D172=""),"⚠ Compléter Année/Niveau/Session",IF(AND($E172&lt;&gt;"",COUNTIF(D_KEY_DOUBLON,$B172&amp;"|"&amp;$D172&amp;"|"&amp;$E172)&gt;1),"⚠ Doublon",IF(AND($E172&lt;&gt;"",COUNTIF(D_KEY_STATUT,$B172&amp;"|"&amp;$E172&amp;"|P")&gt;0,COUNTIF(D_KEY_STATUT,$B172&amp;"|"&amp;$E172&amp;"|A")&gt;0),"⚠ Statut incohérent",IF(AND($D172="S1",$Y172&lt;&gt;"Parti",COUNTIF(ANNEES_VERROU,$B172)&gt;0,COUNTIF(D_KEY_NIVSES,$B172&amp;"|"&amp;$C172&amp;"|S2")&gt;0,COUNTIF(D_KEY_DOUBLON,$B172&amp;"|S2|"&amp;$E172)=0),"⚠ Départ non confirmé ?",IF(AND($C172&lt;&gt;"",ISNUMBER($I172),OR(VALUE(LEFT($B172,4))-$I172&lt;4+IFERROR(MATCH($C172,LISTE_NIVEAUX,0),99),VALUE(LEFT($B172,4))-$I172&gt;6+IFERROR(MATCH($C172,LISTE_NIVEAUX,0),99))),"⚠ Vérifier niveau",IF(AND(IFERROR(VLOOKUP($C172,TABLE_CYCLE,2,0),3)=2,COUNT($O172:$Q172)&gt;0),"⚠ Tests cycle 3",IF(COUNT($J172:$Q172)&gt;=IF(IFERROR(VLOOKUP($C172,TABLE_CYCLE,2,0),3)=2,5,8),"Complet","Incomplet"))))))))</f>
        <v/>
      </c>
      <c r="S172" s="24"/>
      <c r="T172" s="67" t="str">
        <f t="shared" si="19"/>
        <v/>
      </c>
      <c r="U172" s="67" t="str">
        <f t="shared" si="20"/>
        <v/>
      </c>
      <c r="V172" s="67" t="str">
        <f t="shared" si="21"/>
        <v/>
      </c>
      <c r="W172" s="67" t="str">
        <f t="shared" si="22"/>
        <v/>
      </c>
      <c r="X172" s="67" t="str">
        <f t="shared" si="23"/>
        <v/>
      </c>
      <c r="Y172" s="24" t="str">
        <f t="shared" si="24"/>
        <v/>
      </c>
      <c r="Z172">
        <f t="shared" si="25"/>
        <v>0</v>
      </c>
      <c r="AA172">
        <f t="shared" si="26"/>
        <v>0</v>
      </c>
    </row>
    <row r="173" spans="2:27" ht="15.75" customHeight="1" x14ac:dyDescent="0.3">
      <c r="B173" s="21"/>
      <c r="C173" s="21"/>
      <c r="D173" s="21"/>
      <c r="E173" s="22" t="str">
        <f t="shared" si="18"/>
        <v/>
      </c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3" t="str">
        <f>IF($F173="","",IF(OR($B173="",$C173="",$D173=""),"⚠ Compléter Année/Niveau/Session",IF(AND($E173&lt;&gt;"",COUNTIF(D_KEY_DOUBLON,$B173&amp;"|"&amp;$D173&amp;"|"&amp;$E173)&gt;1),"⚠ Doublon",IF(AND($E173&lt;&gt;"",COUNTIF(D_KEY_STATUT,$B173&amp;"|"&amp;$E173&amp;"|P")&gt;0,COUNTIF(D_KEY_STATUT,$B173&amp;"|"&amp;$E173&amp;"|A")&gt;0),"⚠ Statut incohérent",IF(AND($D173="S1",$Y173&lt;&gt;"Parti",COUNTIF(ANNEES_VERROU,$B173)&gt;0,COUNTIF(D_KEY_NIVSES,$B173&amp;"|"&amp;$C173&amp;"|S2")&gt;0,COUNTIF(D_KEY_DOUBLON,$B173&amp;"|S2|"&amp;$E173)=0),"⚠ Départ non confirmé ?",IF(AND($C173&lt;&gt;"",ISNUMBER($I173),OR(VALUE(LEFT($B173,4))-$I173&lt;4+IFERROR(MATCH($C173,LISTE_NIVEAUX,0),99),VALUE(LEFT($B173,4))-$I173&gt;6+IFERROR(MATCH($C173,LISTE_NIVEAUX,0),99))),"⚠ Vérifier niveau",IF(AND(IFERROR(VLOOKUP($C173,TABLE_CYCLE,2,0),3)=2,COUNT($O173:$Q173)&gt;0),"⚠ Tests cycle 3",IF(COUNT($J173:$Q173)&gt;=IF(IFERROR(VLOOKUP($C173,TABLE_CYCLE,2,0),3)=2,5,8),"Complet","Incomplet"))))))))</f>
        <v/>
      </c>
      <c r="S173" s="24"/>
      <c r="T173" s="67" t="str">
        <f t="shared" si="19"/>
        <v/>
      </c>
      <c r="U173" s="67" t="str">
        <f t="shared" si="20"/>
        <v/>
      </c>
      <c r="V173" s="67" t="str">
        <f t="shared" si="21"/>
        <v/>
      </c>
      <c r="W173" s="67" t="str">
        <f t="shared" si="22"/>
        <v/>
      </c>
      <c r="X173" s="67" t="str">
        <f t="shared" si="23"/>
        <v/>
      </c>
      <c r="Y173" s="24" t="str">
        <f t="shared" si="24"/>
        <v/>
      </c>
      <c r="Z173">
        <f t="shared" si="25"/>
        <v>0</v>
      </c>
      <c r="AA173">
        <f t="shared" si="26"/>
        <v>0</v>
      </c>
    </row>
    <row r="174" spans="2:27" ht="15.75" customHeight="1" x14ac:dyDescent="0.3">
      <c r="B174" s="25"/>
      <c r="C174" s="25"/>
      <c r="D174" s="25"/>
      <c r="E174" s="26" t="str">
        <f t="shared" si="18"/>
        <v/>
      </c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3" t="str">
        <f>IF($F174="","",IF(OR($B174="",$C174="",$D174=""),"⚠ Compléter Année/Niveau/Session",IF(AND($E174&lt;&gt;"",COUNTIF(D_KEY_DOUBLON,$B174&amp;"|"&amp;$D174&amp;"|"&amp;$E174)&gt;1),"⚠ Doublon",IF(AND($E174&lt;&gt;"",COUNTIF(D_KEY_STATUT,$B174&amp;"|"&amp;$E174&amp;"|P")&gt;0,COUNTIF(D_KEY_STATUT,$B174&amp;"|"&amp;$E174&amp;"|A")&gt;0),"⚠ Statut incohérent",IF(AND($D174="S1",$Y174&lt;&gt;"Parti",COUNTIF(ANNEES_VERROU,$B174)&gt;0,COUNTIF(D_KEY_NIVSES,$B174&amp;"|"&amp;$C174&amp;"|S2")&gt;0,COUNTIF(D_KEY_DOUBLON,$B174&amp;"|S2|"&amp;$E174)=0),"⚠ Départ non confirmé ?",IF(AND($C174&lt;&gt;"",ISNUMBER($I174),OR(VALUE(LEFT($B174,4))-$I174&lt;4+IFERROR(MATCH($C174,LISTE_NIVEAUX,0),99),VALUE(LEFT($B174,4))-$I174&gt;6+IFERROR(MATCH($C174,LISTE_NIVEAUX,0),99))),"⚠ Vérifier niveau",IF(AND(IFERROR(VLOOKUP($C174,TABLE_CYCLE,2,0),3)=2,COUNT($O174:$Q174)&gt;0),"⚠ Tests cycle 3",IF(COUNT($J174:$Q174)&gt;=IF(IFERROR(VLOOKUP($C174,TABLE_CYCLE,2,0),3)=2,5,8),"Complet","Incomplet"))))))))</f>
        <v/>
      </c>
      <c r="S174" s="24"/>
      <c r="T174" s="67" t="str">
        <f t="shared" si="19"/>
        <v/>
      </c>
      <c r="U174" s="67" t="str">
        <f t="shared" si="20"/>
        <v/>
      </c>
      <c r="V174" s="67" t="str">
        <f t="shared" si="21"/>
        <v/>
      </c>
      <c r="W174" s="67" t="str">
        <f t="shared" si="22"/>
        <v/>
      </c>
      <c r="X174" s="67" t="str">
        <f t="shared" si="23"/>
        <v/>
      </c>
      <c r="Y174" s="24" t="str">
        <f t="shared" si="24"/>
        <v/>
      </c>
      <c r="Z174">
        <f t="shared" si="25"/>
        <v>0</v>
      </c>
      <c r="AA174">
        <f t="shared" si="26"/>
        <v>0</v>
      </c>
    </row>
    <row r="175" spans="2:27" ht="15.75" customHeight="1" x14ac:dyDescent="0.3">
      <c r="B175" s="21"/>
      <c r="C175" s="21"/>
      <c r="D175" s="21"/>
      <c r="E175" s="22" t="str">
        <f t="shared" si="18"/>
        <v/>
      </c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3" t="str">
        <f>IF($F175="","",IF(OR($B175="",$C175="",$D175=""),"⚠ Compléter Année/Niveau/Session",IF(AND($E175&lt;&gt;"",COUNTIF(D_KEY_DOUBLON,$B175&amp;"|"&amp;$D175&amp;"|"&amp;$E175)&gt;1),"⚠ Doublon",IF(AND($E175&lt;&gt;"",COUNTIF(D_KEY_STATUT,$B175&amp;"|"&amp;$E175&amp;"|P")&gt;0,COUNTIF(D_KEY_STATUT,$B175&amp;"|"&amp;$E175&amp;"|A")&gt;0),"⚠ Statut incohérent",IF(AND($D175="S1",$Y175&lt;&gt;"Parti",COUNTIF(ANNEES_VERROU,$B175)&gt;0,COUNTIF(D_KEY_NIVSES,$B175&amp;"|"&amp;$C175&amp;"|S2")&gt;0,COUNTIF(D_KEY_DOUBLON,$B175&amp;"|S2|"&amp;$E175)=0),"⚠ Départ non confirmé ?",IF(AND($C175&lt;&gt;"",ISNUMBER($I175),OR(VALUE(LEFT($B175,4))-$I175&lt;4+IFERROR(MATCH($C175,LISTE_NIVEAUX,0),99),VALUE(LEFT($B175,4))-$I175&gt;6+IFERROR(MATCH($C175,LISTE_NIVEAUX,0),99))),"⚠ Vérifier niveau",IF(AND(IFERROR(VLOOKUP($C175,TABLE_CYCLE,2,0),3)=2,COUNT($O175:$Q175)&gt;0),"⚠ Tests cycle 3",IF(COUNT($J175:$Q175)&gt;=IF(IFERROR(VLOOKUP($C175,TABLE_CYCLE,2,0),3)=2,5,8),"Complet","Incomplet"))))))))</f>
        <v/>
      </c>
      <c r="S175" s="24"/>
      <c r="T175" s="67" t="str">
        <f t="shared" si="19"/>
        <v/>
      </c>
      <c r="U175" s="67" t="str">
        <f t="shared" si="20"/>
        <v/>
      </c>
      <c r="V175" s="67" t="str">
        <f t="shared" si="21"/>
        <v/>
      </c>
      <c r="W175" s="67" t="str">
        <f t="shared" si="22"/>
        <v/>
      </c>
      <c r="X175" s="67" t="str">
        <f t="shared" si="23"/>
        <v/>
      </c>
      <c r="Y175" s="24" t="str">
        <f t="shared" si="24"/>
        <v/>
      </c>
      <c r="Z175">
        <f t="shared" si="25"/>
        <v>0</v>
      </c>
      <c r="AA175">
        <f t="shared" si="26"/>
        <v>0</v>
      </c>
    </row>
    <row r="176" spans="2:27" ht="15.75" customHeight="1" x14ac:dyDescent="0.3">
      <c r="B176" s="25"/>
      <c r="C176" s="25"/>
      <c r="D176" s="25"/>
      <c r="E176" s="26" t="str">
        <f t="shared" si="18"/>
        <v/>
      </c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3" t="str">
        <f>IF($F176="","",IF(OR($B176="",$C176="",$D176=""),"⚠ Compléter Année/Niveau/Session",IF(AND($E176&lt;&gt;"",COUNTIF(D_KEY_DOUBLON,$B176&amp;"|"&amp;$D176&amp;"|"&amp;$E176)&gt;1),"⚠ Doublon",IF(AND($E176&lt;&gt;"",COUNTIF(D_KEY_STATUT,$B176&amp;"|"&amp;$E176&amp;"|P")&gt;0,COUNTIF(D_KEY_STATUT,$B176&amp;"|"&amp;$E176&amp;"|A")&gt;0),"⚠ Statut incohérent",IF(AND($D176="S1",$Y176&lt;&gt;"Parti",COUNTIF(ANNEES_VERROU,$B176)&gt;0,COUNTIF(D_KEY_NIVSES,$B176&amp;"|"&amp;$C176&amp;"|S2")&gt;0,COUNTIF(D_KEY_DOUBLON,$B176&amp;"|S2|"&amp;$E176)=0),"⚠ Départ non confirmé ?",IF(AND($C176&lt;&gt;"",ISNUMBER($I176),OR(VALUE(LEFT($B176,4))-$I176&lt;4+IFERROR(MATCH($C176,LISTE_NIVEAUX,0),99),VALUE(LEFT($B176,4))-$I176&gt;6+IFERROR(MATCH($C176,LISTE_NIVEAUX,0),99))),"⚠ Vérifier niveau",IF(AND(IFERROR(VLOOKUP($C176,TABLE_CYCLE,2,0),3)=2,COUNT($O176:$Q176)&gt;0),"⚠ Tests cycle 3",IF(COUNT($J176:$Q176)&gt;=IF(IFERROR(VLOOKUP($C176,TABLE_CYCLE,2,0),3)=2,5,8),"Complet","Incomplet"))))))))</f>
        <v/>
      </c>
      <c r="S176" s="24"/>
      <c r="T176" s="67" t="str">
        <f t="shared" si="19"/>
        <v/>
      </c>
      <c r="U176" s="67" t="str">
        <f t="shared" si="20"/>
        <v/>
      </c>
      <c r="V176" s="67" t="str">
        <f t="shared" si="21"/>
        <v/>
      </c>
      <c r="W176" s="67" t="str">
        <f t="shared" si="22"/>
        <v/>
      </c>
      <c r="X176" s="67" t="str">
        <f t="shared" si="23"/>
        <v/>
      </c>
      <c r="Y176" s="24" t="str">
        <f t="shared" si="24"/>
        <v/>
      </c>
      <c r="Z176">
        <f t="shared" si="25"/>
        <v>0</v>
      </c>
      <c r="AA176">
        <f t="shared" si="26"/>
        <v>0</v>
      </c>
    </row>
    <row r="177" spans="2:27" ht="15.75" customHeight="1" x14ac:dyDescent="0.3">
      <c r="B177" s="21"/>
      <c r="C177" s="21"/>
      <c r="D177" s="21"/>
      <c r="E177" s="22" t="str">
        <f t="shared" si="18"/>
        <v/>
      </c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3" t="str">
        <f>IF($F177="","",IF(OR($B177="",$C177="",$D177=""),"⚠ Compléter Année/Niveau/Session",IF(AND($E177&lt;&gt;"",COUNTIF(D_KEY_DOUBLON,$B177&amp;"|"&amp;$D177&amp;"|"&amp;$E177)&gt;1),"⚠ Doublon",IF(AND($E177&lt;&gt;"",COUNTIF(D_KEY_STATUT,$B177&amp;"|"&amp;$E177&amp;"|P")&gt;0,COUNTIF(D_KEY_STATUT,$B177&amp;"|"&amp;$E177&amp;"|A")&gt;0),"⚠ Statut incohérent",IF(AND($D177="S1",$Y177&lt;&gt;"Parti",COUNTIF(ANNEES_VERROU,$B177)&gt;0,COUNTIF(D_KEY_NIVSES,$B177&amp;"|"&amp;$C177&amp;"|S2")&gt;0,COUNTIF(D_KEY_DOUBLON,$B177&amp;"|S2|"&amp;$E177)=0),"⚠ Départ non confirmé ?",IF(AND($C177&lt;&gt;"",ISNUMBER($I177),OR(VALUE(LEFT($B177,4))-$I177&lt;4+IFERROR(MATCH($C177,LISTE_NIVEAUX,0),99),VALUE(LEFT($B177,4))-$I177&gt;6+IFERROR(MATCH($C177,LISTE_NIVEAUX,0),99))),"⚠ Vérifier niveau",IF(AND(IFERROR(VLOOKUP($C177,TABLE_CYCLE,2,0),3)=2,COUNT($O177:$Q177)&gt;0),"⚠ Tests cycle 3",IF(COUNT($J177:$Q177)&gt;=IF(IFERROR(VLOOKUP($C177,TABLE_CYCLE,2,0),3)=2,5,8),"Complet","Incomplet"))))))))</f>
        <v/>
      </c>
      <c r="S177" s="24"/>
      <c r="T177" s="67" t="str">
        <f t="shared" si="19"/>
        <v/>
      </c>
      <c r="U177" s="67" t="str">
        <f t="shared" si="20"/>
        <v/>
      </c>
      <c r="V177" s="67" t="str">
        <f t="shared" si="21"/>
        <v/>
      </c>
      <c r="W177" s="67" t="str">
        <f t="shared" si="22"/>
        <v/>
      </c>
      <c r="X177" s="67" t="str">
        <f t="shared" si="23"/>
        <v/>
      </c>
      <c r="Y177" s="24" t="str">
        <f t="shared" si="24"/>
        <v/>
      </c>
      <c r="Z177">
        <f t="shared" si="25"/>
        <v>0</v>
      </c>
      <c r="AA177">
        <f t="shared" si="26"/>
        <v>0</v>
      </c>
    </row>
    <row r="178" spans="2:27" ht="15.75" customHeight="1" x14ac:dyDescent="0.3">
      <c r="B178" s="25"/>
      <c r="C178" s="25"/>
      <c r="D178" s="25"/>
      <c r="E178" s="26" t="str">
        <f t="shared" si="18"/>
        <v/>
      </c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3" t="str">
        <f>IF($F178="","",IF(OR($B178="",$C178="",$D178=""),"⚠ Compléter Année/Niveau/Session",IF(AND($E178&lt;&gt;"",COUNTIF(D_KEY_DOUBLON,$B178&amp;"|"&amp;$D178&amp;"|"&amp;$E178)&gt;1),"⚠ Doublon",IF(AND($E178&lt;&gt;"",COUNTIF(D_KEY_STATUT,$B178&amp;"|"&amp;$E178&amp;"|P")&gt;0,COUNTIF(D_KEY_STATUT,$B178&amp;"|"&amp;$E178&amp;"|A")&gt;0),"⚠ Statut incohérent",IF(AND($D178="S1",$Y178&lt;&gt;"Parti",COUNTIF(ANNEES_VERROU,$B178)&gt;0,COUNTIF(D_KEY_NIVSES,$B178&amp;"|"&amp;$C178&amp;"|S2")&gt;0,COUNTIF(D_KEY_DOUBLON,$B178&amp;"|S2|"&amp;$E178)=0),"⚠ Départ non confirmé ?",IF(AND($C178&lt;&gt;"",ISNUMBER($I178),OR(VALUE(LEFT($B178,4))-$I178&lt;4+IFERROR(MATCH($C178,LISTE_NIVEAUX,0),99),VALUE(LEFT($B178,4))-$I178&gt;6+IFERROR(MATCH($C178,LISTE_NIVEAUX,0),99))),"⚠ Vérifier niveau",IF(AND(IFERROR(VLOOKUP($C178,TABLE_CYCLE,2,0),3)=2,COUNT($O178:$Q178)&gt;0),"⚠ Tests cycle 3",IF(COUNT($J178:$Q178)&gt;=IF(IFERROR(VLOOKUP($C178,TABLE_CYCLE,2,0),3)=2,5,8),"Complet","Incomplet"))))))))</f>
        <v/>
      </c>
      <c r="S178" s="24"/>
      <c r="T178" s="67" t="str">
        <f t="shared" si="19"/>
        <v/>
      </c>
      <c r="U178" s="67" t="str">
        <f t="shared" si="20"/>
        <v/>
      </c>
      <c r="V178" s="67" t="str">
        <f t="shared" si="21"/>
        <v/>
      </c>
      <c r="W178" s="67" t="str">
        <f t="shared" si="22"/>
        <v/>
      </c>
      <c r="X178" s="67" t="str">
        <f t="shared" si="23"/>
        <v/>
      </c>
      <c r="Y178" s="24" t="str">
        <f t="shared" si="24"/>
        <v/>
      </c>
      <c r="Z178">
        <f t="shared" si="25"/>
        <v>0</v>
      </c>
      <c r="AA178">
        <f t="shared" si="26"/>
        <v>0</v>
      </c>
    </row>
    <row r="179" spans="2:27" ht="15.75" customHeight="1" x14ac:dyDescent="0.3">
      <c r="B179" s="21"/>
      <c r="C179" s="21"/>
      <c r="D179" s="21"/>
      <c r="E179" s="22" t="str">
        <f t="shared" si="18"/>
        <v/>
      </c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3" t="str">
        <f>IF($F179="","",IF(OR($B179="",$C179="",$D179=""),"⚠ Compléter Année/Niveau/Session",IF(AND($E179&lt;&gt;"",COUNTIF(D_KEY_DOUBLON,$B179&amp;"|"&amp;$D179&amp;"|"&amp;$E179)&gt;1),"⚠ Doublon",IF(AND($E179&lt;&gt;"",COUNTIF(D_KEY_STATUT,$B179&amp;"|"&amp;$E179&amp;"|P")&gt;0,COUNTIF(D_KEY_STATUT,$B179&amp;"|"&amp;$E179&amp;"|A")&gt;0),"⚠ Statut incohérent",IF(AND($D179="S1",$Y179&lt;&gt;"Parti",COUNTIF(ANNEES_VERROU,$B179)&gt;0,COUNTIF(D_KEY_NIVSES,$B179&amp;"|"&amp;$C179&amp;"|S2")&gt;0,COUNTIF(D_KEY_DOUBLON,$B179&amp;"|S2|"&amp;$E179)=0),"⚠ Départ non confirmé ?",IF(AND($C179&lt;&gt;"",ISNUMBER($I179),OR(VALUE(LEFT($B179,4))-$I179&lt;4+IFERROR(MATCH($C179,LISTE_NIVEAUX,0),99),VALUE(LEFT($B179,4))-$I179&gt;6+IFERROR(MATCH($C179,LISTE_NIVEAUX,0),99))),"⚠ Vérifier niveau",IF(AND(IFERROR(VLOOKUP($C179,TABLE_CYCLE,2,0),3)=2,COUNT($O179:$Q179)&gt;0),"⚠ Tests cycle 3",IF(COUNT($J179:$Q179)&gt;=IF(IFERROR(VLOOKUP($C179,TABLE_CYCLE,2,0),3)=2,5,8),"Complet","Incomplet"))))))))</f>
        <v/>
      </c>
      <c r="S179" s="24"/>
      <c r="T179" s="67" t="str">
        <f t="shared" si="19"/>
        <v/>
      </c>
      <c r="U179" s="67" t="str">
        <f t="shared" si="20"/>
        <v/>
      </c>
      <c r="V179" s="67" t="str">
        <f t="shared" si="21"/>
        <v/>
      </c>
      <c r="W179" s="67" t="str">
        <f t="shared" si="22"/>
        <v/>
      </c>
      <c r="X179" s="67" t="str">
        <f t="shared" si="23"/>
        <v/>
      </c>
      <c r="Y179" s="24" t="str">
        <f t="shared" si="24"/>
        <v/>
      </c>
      <c r="Z179">
        <f t="shared" si="25"/>
        <v>0</v>
      </c>
      <c r="AA179">
        <f t="shared" si="26"/>
        <v>0</v>
      </c>
    </row>
    <row r="180" spans="2:27" ht="15.75" customHeight="1" x14ac:dyDescent="0.3">
      <c r="B180" s="25"/>
      <c r="C180" s="25"/>
      <c r="D180" s="25"/>
      <c r="E180" s="26" t="str">
        <f t="shared" si="18"/>
        <v/>
      </c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3" t="str">
        <f>IF($F180="","",IF(OR($B180="",$C180="",$D180=""),"⚠ Compléter Année/Niveau/Session",IF(AND($E180&lt;&gt;"",COUNTIF(D_KEY_DOUBLON,$B180&amp;"|"&amp;$D180&amp;"|"&amp;$E180)&gt;1),"⚠ Doublon",IF(AND($E180&lt;&gt;"",COUNTIF(D_KEY_STATUT,$B180&amp;"|"&amp;$E180&amp;"|P")&gt;0,COUNTIF(D_KEY_STATUT,$B180&amp;"|"&amp;$E180&amp;"|A")&gt;0),"⚠ Statut incohérent",IF(AND($D180="S1",$Y180&lt;&gt;"Parti",COUNTIF(ANNEES_VERROU,$B180)&gt;0,COUNTIF(D_KEY_NIVSES,$B180&amp;"|"&amp;$C180&amp;"|S2")&gt;0,COUNTIF(D_KEY_DOUBLON,$B180&amp;"|S2|"&amp;$E180)=0),"⚠ Départ non confirmé ?",IF(AND($C180&lt;&gt;"",ISNUMBER($I180),OR(VALUE(LEFT($B180,4))-$I180&lt;4+IFERROR(MATCH($C180,LISTE_NIVEAUX,0),99),VALUE(LEFT($B180,4))-$I180&gt;6+IFERROR(MATCH($C180,LISTE_NIVEAUX,0),99))),"⚠ Vérifier niveau",IF(AND(IFERROR(VLOOKUP($C180,TABLE_CYCLE,2,0),3)=2,COUNT($O180:$Q180)&gt;0),"⚠ Tests cycle 3",IF(COUNT($J180:$Q180)&gt;=IF(IFERROR(VLOOKUP($C180,TABLE_CYCLE,2,0),3)=2,5,8),"Complet","Incomplet"))))))))</f>
        <v/>
      </c>
      <c r="S180" s="24"/>
      <c r="T180" s="67" t="str">
        <f t="shared" si="19"/>
        <v/>
      </c>
      <c r="U180" s="67" t="str">
        <f t="shared" si="20"/>
        <v/>
      </c>
      <c r="V180" s="67" t="str">
        <f t="shared" si="21"/>
        <v/>
      </c>
      <c r="W180" s="67" t="str">
        <f t="shared" si="22"/>
        <v/>
      </c>
      <c r="X180" s="67" t="str">
        <f t="shared" si="23"/>
        <v/>
      </c>
      <c r="Y180" s="24" t="str">
        <f t="shared" si="24"/>
        <v/>
      </c>
      <c r="Z180">
        <f t="shared" si="25"/>
        <v>0</v>
      </c>
      <c r="AA180">
        <f t="shared" si="26"/>
        <v>0</v>
      </c>
    </row>
    <row r="181" spans="2:27" ht="15.75" customHeight="1" x14ac:dyDescent="0.3">
      <c r="B181" s="21"/>
      <c r="C181" s="21"/>
      <c r="D181" s="21"/>
      <c r="E181" s="22" t="str">
        <f t="shared" si="18"/>
        <v/>
      </c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3" t="str">
        <f>IF($F181="","",IF(OR($B181="",$C181="",$D181=""),"⚠ Compléter Année/Niveau/Session",IF(AND($E181&lt;&gt;"",COUNTIF(D_KEY_DOUBLON,$B181&amp;"|"&amp;$D181&amp;"|"&amp;$E181)&gt;1),"⚠ Doublon",IF(AND($E181&lt;&gt;"",COUNTIF(D_KEY_STATUT,$B181&amp;"|"&amp;$E181&amp;"|P")&gt;0,COUNTIF(D_KEY_STATUT,$B181&amp;"|"&amp;$E181&amp;"|A")&gt;0),"⚠ Statut incohérent",IF(AND($D181="S1",$Y181&lt;&gt;"Parti",COUNTIF(ANNEES_VERROU,$B181)&gt;0,COUNTIF(D_KEY_NIVSES,$B181&amp;"|"&amp;$C181&amp;"|S2")&gt;0,COUNTIF(D_KEY_DOUBLON,$B181&amp;"|S2|"&amp;$E181)=0),"⚠ Départ non confirmé ?",IF(AND($C181&lt;&gt;"",ISNUMBER($I181),OR(VALUE(LEFT($B181,4))-$I181&lt;4+IFERROR(MATCH($C181,LISTE_NIVEAUX,0),99),VALUE(LEFT($B181,4))-$I181&gt;6+IFERROR(MATCH($C181,LISTE_NIVEAUX,0),99))),"⚠ Vérifier niveau",IF(AND(IFERROR(VLOOKUP($C181,TABLE_CYCLE,2,0),3)=2,COUNT($O181:$Q181)&gt;0),"⚠ Tests cycle 3",IF(COUNT($J181:$Q181)&gt;=IF(IFERROR(VLOOKUP($C181,TABLE_CYCLE,2,0),3)=2,5,8),"Complet","Incomplet"))))))))</f>
        <v/>
      </c>
      <c r="S181" s="24"/>
      <c r="T181" s="67" t="str">
        <f t="shared" si="19"/>
        <v/>
      </c>
      <c r="U181" s="67" t="str">
        <f t="shared" si="20"/>
        <v/>
      </c>
      <c r="V181" s="67" t="str">
        <f t="shared" si="21"/>
        <v/>
      </c>
      <c r="W181" s="67" t="str">
        <f t="shared" si="22"/>
        <v/>
      </c>
      <c r="X181" s="67" t="str">
        <f t="shared" si="23"/>
        <v/>
      </c>
      <c r="Y181" s="24" t="str">
        <f t="shared" si="24"/>
        <v/>
      </c>
      <c r="Z181">
        <f t="shared" si="25"/>
        <v>0</v>
      </c>
      <c r="AA181">
        <f t="shared" si="26"/>
        <v>0</v>
      </c>
    </row>
    <row r="182" spans="2:27" ht="15.75" customHeight="1" x14ac:dyDescent="0.3">
      <c r="B182" s="25"/>
      <c r="C182" s="25"/>
      <c r="D182" s="25"/>
      <c r="E182" s="26" t="str">
        <f t="shared" si="18"/>
        <v/>
      </c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3" t="str">
        <f>IF($F182="","",IF(OR($B182="",$C182="",$D182=""),"⚠ Compléter Année/Niveau/Session",IF(AND($E182&lt;&gt;"",COUNTIF(D_KEY_DOUBLON,$B182&amp;"|"&amp;$D182&amp;"|"&amp;$E182)&gt;1),"⚠ Doublon",IF(AND($E182&lt;&gt;"",COUNTIF(D_KEY_STATUT,$B182&amp;"|"&amp;$E182&amp;"|P")&gt;0,COUNTIF(D_KEY_STATUT,$B182&amp;"|"&amp;$E182&amp;"|A")&gt;0),"⚠ Statut incohérent",IF(AND($D182="S1",$Y182&lt;&gt;"Parti",COUNTIF(ANNEES_VERROU,$B182)&gt;0,COUNTIF(D_KEY_NIVSES,$B182&amp;"|"&amp;$C182&amp;"|S2")&gt;0,COUNTIF(D_KEY_DOUBLON,$B182&amp;"|S2|"&amp;$E182)=0),"⚠ Départ non confirmé ?",IF(AND($C182&lt;&gt;"",ISNUMBER($I182),OR(VALUE(LEFT($B182,4))-$I182&lt;4+IFERROR(MATCH($C182,LISTE_NIVEAUX,0),99),VALUE(LEFT($B182,4))-$I182&gt;6+IFERROR(MATCH($C182,LISTE_NIVEAUX,0),99))),"⚠ Vérifier niveau",IF(AND(IFERROR(VLOOKUP($C182,TABLE_CYCLE,2,0),3)=2,COUNT($O182:$Q182)&gt;0),"⚠ Tests cycle 3",IF(COUNT($J182:$Q182)&gt;=IF(IFERROR(VLOOKUP($C182,TABLE_CYCLE,2,0),3)=2,5,8),"Complet","Incomplet"))))))))</f>
        <v/>
      </c>
      <c r="S182" s="24"/>
      <c r="T182" s="67" t="str">
        <f t="shared" si="19"/>
        <v/>
      </c>
      <c r="U182" s="67" t="str">
        <f t="shared" si="20"/>
        <v/>
      </c>
      <c r="V182" s="67" t="str">
        <f t="shared" si="21"/>
        <v/>
      </c>
      <c r="W182" s="67" t="str">
        <f t="shared" si="22"/>
        <v/>
      </c>
      <c r="X182" s="67" t="str">
        <f t="shared" si="23"/>
        <v/>
      </c>
      <c r="Y182" s="24" t="str">
        <f t="shared" si="24"/>
        <v/>
      </c>
      <c r="Z182">
        <f t="shared" si="25"/>
        <v>0</v>
      </c>
      <c r="AA182">
        <f t="shared" si="26"/>
        <v>0</v>
      </c>
    </row>
    <row r="183" spans="2:27" ht="15.75" customHeight="1" x14ac:dyDescent="0.3">
      <c r="B183" s="21"/>
      <c r="C183" s="21"/>
      <c r="D183" s="21"/>
      <c r="E183" s="22" t="str">
        <f t="shared" si="18"/>
        <v/>
      </c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3" t="str">
        <f>IF($F183="","",IF(OR($B183="",$C183="",$D183=""),"⚠ Compléter Année/Niveau/Session",IF(AND($E183&lt;&gt;"",COUNTIF(D_KEY_DOUBLON,$B183&amp;"|"&amp;$D183&amp;"|"&amp;$E183)&gt;1),"⚠ Doublon",IF(AND($E183&lt;&gt;"",COUNTIF(D_KEY_STATUT,$B183&amp;"|"&amp;$E183&amp;"|P")&gt;0,COUNTIF(D_KEY_STATUT,$B183&amp;"|"&amp;$E183&amp;"|A")&gt;0),"⚠ Statut incohérent",IF(AND($D183="S1",$Y183&lt;&gt;"Parti",COUNTIF(ANNEES_VERROU,$B183)&gt;0,COUNTIF(D_KEY_NIVSES,$B183&amp;"|"&amp;$C183&amp;"|S2")&gt;0,COUNTIF(D_KEY_DOUBLON,$B183&amp;"|S2|"&amp;$E183)=0),"⚠ Départ non confirmé ?",IF(AND($C183&lt;&gt;"",ISNUMBER($I183),OR(VALUE(LEFT($B183,4))-$I183&lt;4+IFERROR(MATCH($C183,LISTE_NIVEAUX,0),99),VALUE(LEFT($B183,4))-$I183&gt;6+IFERROR(MATCH($C183,LISTE_NIVEAUX,0),99))),"⚠ Vérifier niveau",IF(AND(IFERROR(VLOOKUP($C183,TABLE_CYCLE,2,0),3)=2,COUNT($O183:$Q183)&gt;0),"⚠ Tests cycle 3",IF(COUNT($J183:$Q183)&gt;=IF(IFERROR(VLOOKUP($C183,TABLE_CYCLE,2,0),3)=2,5,8),"Complet","Incomplet"))))))))</f>
        <v/>
      </c>
      <c r="S183" s="24"/>
      <c r="T183" s="67" t="str">
        <f t="shared" si="19"/>
        <v/>
      </c>
      <c r="U183" s="67" t="str">
        <f t="shared" si="20"/>
        <v/>
      </c>
      <c r="V183" s="67" t="str">
        <f t="shared" si="21"/>
        <v/>
      </c>
      <c r="W183" s="67" t="str">
        <f t="shared" si="22"/>
        <v/>
      </c>
      <c r="X183" s="67" t="str">
        <f t="shared" si="23"/>
        <v/>
      </c>
      <c r="Y183" s="24" t="str">
        <f t="shared" si="24"/>
        <v/>
      </c>
      <c r="Z183">
        <f t="shared" si="25"/>
        <v>0</v>
      </c>
      <c r="AA183">
        <f t="shared" si="26"/>
        <v>0</v>
      </c>
    </row>
    <row r="184" spans="2:27" ht="15.75" customHeight="1" x14ac:dyDescent="0.3">
      <c r="B184" s="25"/>
      <c r="C184" s="25"/>
      <c r="D184" s="25"/>
      <c r="E184" s="26" t="str">
        <f t="shared" si="18"/>
        <v/>
      </c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3" t="str">
        <f>IF($F184="","",IF(OR($B184="",$C184="",$D184=""),"⚠ Compléter Année/Niveau/Session",IF(AND($E184&lt;&gt;"",COUNTIF(D_KEY_DOUBLON,$B184&amp;"|"&amp;$D184&amp;"|"&amp;$E184)&gt;1),"⚠ Doublon",IF(AND($E184&lt;&gt;"",COUNTIF(D_KEY_STATUT,$B184&amp;"|"&amp;$E184&amp;"|P")&gt;0,COUNTIF(D_KEY_STATUT,$B184&amp;"|"&amp;$E184&amp;"|A")&gt;0),"⚠ Statut incohérent",IF(AND($D184="S1",$Y184&lt;&gt;"Parti",COUNTIF(ANNEES_VERROU,$B184)&gt;0,COUNTIF(D_KEY_NIVSES,$B184&amp;"|"&amp;$C184&amp;"|S2")&gt;0,COUNTIF(D_KEY_DOUBLON,$B184&amp;"|S2|"&amp;$E184)=0),"⚠ Départ non confirmé ?",IF(AND($C184&lt;&gt;"",ISNUMBER($I184),OR(VALUE(LEFT($B184,4))-$I184&lt;4+IFERROR(MATCH($C184,LISTE_NIVEAUX,0),99),VALUE(LEFT($B184,4))-$I184&gt;6+IFERROR(MATCH($C184,LISTE_NIVEAUX,0),99))),"⚠ Vérifier niveau",IF(AND(IFERROR(VLOOKUP($C184,TABLE_CYCLE,2,0),3)=2,COUNT($O184:$Q184)&gt;0),"⚠ Tests cycle 3",IF(COUNT($J184:$Q184)&gt;=IF(IFERROR(VLOOKUP($C184,TABLE_CYCLE,2,0),3)=2,5,8),"Complet","Incomplet"))))))))</f>
        <v/>
      </c>
      <c r="S184" s="24"/>
      <c r="T184" s="67" t="str">
        <f t="shared" si="19"/>
        <v/>
      </c>
      <c r="U184" s="67" t="str">
        <f t="shared" si="20"/>
        <v/>
      </c>
      <c r="V184" s="67" t="str">
        <f t="shared" si="21"/>
        <v/>
      </c>
      <c r="W184" s="67" t="str">
        <f t="shared" si="22"/>
        <v/>
      </c>
      <c r="X184" s="67" t="str">
        <f t="shared" si="23"/>
        <v/>
      </c>
      <c r="Y184" s="24" t="str">
        <f t="shared" si="24"/>
        <v/>
      </c>
      <c r="Z184">
        <f t="shared" si="25"/>
        <v>0</v>
      </c>
      <c r="AA184">
        <f t="shared" si="26"/>
        <v>0</v>
      </c>
    </row>
    <row r="185" spans="2:27" ht="15.75" customHeight="1" x14ac:dyDescent="0.3">
      <c r="B185" s="21"/>
      <c r="C185" s="21"/>
      <c r="D185" s="21"/>
      <c r="E185" s="22" t="str">
        <f t="shared" si="18"/>
        <v/>
      </c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3" t="str">
        <f>IF($F185="","",IF(OR($B185="",$C185="",$D185=""),"⚠ Compléter Année/Niveau/Session",IF(AND($E185&lt;&gt;"",COUNTIF(D_KEY_DOUBLON,$B185&amp;"|"&amp;$D185&amp;"|"&amp;$E185)&gt;1),"⚠ Doublon",IF(AND($E185&lt;&gt;"",COUNTIF(D_KEY_STATUT,$B185&amp;"|"&amp;$E185&amp;"|P")&gt;0,COUNTIF(D_KEY_STATUT,$B185&amp;"|"&amp;$E185&amp;"|A")&gt;0),"⚠ Statut incohérent",IF(AND($D185="S1",$Y185&lt;&gt;"Parti",COUNTIF(ANNEES_VERROU,$B185)&gt;0,COUNTIF(D_KEY_NIVSES,$B185&amp;"|"&amp;$C185&amp;"|S2")&gt;0,COUNTIF(D_KEY_DOUBLON,$B185&amp;"|S2|"&amp;$E185)=0),"⚠ Départ non confirmé ?",IF(AND($C185&lt;&gt;"",ISNUMBER($I185),OR(VALUE(LEFT($B185,4))-$I185&lt;4+IFERROR(MATCH($C185,LISTE_NIVEAUX,0),99),VALUE(LEFT($B185,4))-$I185&gt;6+IFERROR(MATCH($C185,LISTE_NIVEAUX,0),99))),"⚠ Vérifier niveau",IF(AND(IFERROR(VLOOKUP($C185,TABLE_CYCLE,2,0),3)=2,COUNT($O185:$Q185)&gt;0),"⚠ Tests cycle 3",IF(COUNT($J185:$Q185)&gt;=IF(IFERROR(VLOOKUP($C185,TABLE_CYCLE,2,0),3)=2,5,8),"Complet","Incomplet"))))))))</f>
        <v/>
      </c>
      <c r="S185" s="24"/>
      <c r="T185" s="67" t="str">
        <f t="shared" si="19"/>
        <v/>
      </c>
      <c r="U185" s="67" t="str">
        <f t="shared" si="20"/>
        <v/>
      </c>
      <c r="V185" s="67" t="str">
        <f t="shared" si="21"/>
        <v/>
      </c>
      <c r="W185" s="67" t="str">
        <f t="shared" si="22"/>
        <v/>
      </c>
      <c r="X185" s="67" t="str">
        <f t="shared" si="23"/>
        <v/>
      </c>
      <c r="Y185" s="24" t="str">
        <f t="shared" si="24"/>
        <v/>
      </c>
      <c r="Z185">
        <f t="shared" si="25"/>
        <v>0</v>
      </c>
      <c r="AA185">
        <f t="shared" si="26"/>
        <v>0</v>
      </c>
    </row>
    <row r="186" spans="2:27" ht="15.75" customHeight="1" x14ac:dyDescent="0.3">
      <c r="B186" s="25"/>
      <c r="C186" s="25"/>
      <c r="D186" s="25"/>
      <c r="E186" s="26" t="str">
        <f t="shared" si="18"/>
        <v/>
      </c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3" t="str">
        <f>IF($F186="","",IF(OR($B186="",$C186="",$D186=""),"⚠ Compléter Année/Niveau/Session",IF(AND($E186&lt;&gt;"",COUNTIF(D_KEY_DOUBLON,$B186&amp;"|"&amp;$D186&amp;"|"&amp;$E186)&gt;1),"⚠ Doublon",IF(AND($E186&lt;&gt;"",COUNTIF(D_KEY_STATUT,$B186&amp;"|"&amp;$E186&amp;"|P")&gt;0,COUNTIF(D_KEY_STATUT,$B186&amp;"|"&amp;$E186&amp;"|A")&gt;0),"⚠ Statut incohérent",IF(AND($D186="S1",$Y186&lt;&gt;"Parti",COUNTIF(ANNEES_VERROU,$B186)&gt;0,COUNTIF(D_KEY_NIVSES,$B186&amp;"|"&amp;$C186&amp;"|S2")&gt;0,COUNTIF(D_KEY_DOUBLON,$B186&amp;"|S2|"&amp;$E186)=0),"⚠ Départ non confirmé ?",IF(AND($C186&lt;&gt;"",ISNUMBER($I186),OR(VALUE(LEFT($B186,4))-$I186&lt;4+IFERROR(MATCH($C186,LISTE_NIVEAUX,0),99),VALUE(LEFT($B186,4))-$I186&gt;6+IFERROR(MATCH($C186,LISTE_NIVEAUX,0),99))),"⚠ Vérifier niveau",IF(AND(IFERROR(VLOOKUP($C186,TABLE_CYCLE,2,0),3)=2,COUNT($O186:$Q186)&gt;0),"⚠ Tests cycle 3",IF(COUNT($J186:$Q186)&gt;=IF(IFERROR(VLOOKUP($C186,TABLE_CYCLE,2,0),3)=2,5,8),"Complet","Incomplet"))))))))</f>
        <v/>
      </c>
      <c r="S186" s="24"/>
      <c r="T186" s="67" t="str">
        <f t="shared" si="19"/>
        <v/>
      </c>
      <c r="U186" s="67" t="str">
        <f t="shared" si="20"/>
        <v/>
      </c>
      <c r="V186" s="67" t="str">
        <f t="shared" si="21"/>
        <v/>
      </c>
      <c r="W186" s="67" t="str">
        <f t="shared" si="22"/>
        <v/>
      </c>
      <c r="X186" s="67" t="str">
        <f t="shared" si="23"/>
        <v/>
      </c>
      <c r="Y186" s="24" t="str">
        <f t="shared" si="24"/>
        <v/>
      </c>
      <c r="Z186">
        <f t="shared" si="25"/>
        <v>0</v>
      </c>
      <c r="AA186">
        <f t="shared" si="26"/>
        <v>0</v>
      </c>
    </row>
    <row r="187" spans="2:27" ht="15.75" customHeight="1" x14ac:dyDescent="0.3">
      <c r="B187" s="21"/>
      <c r="C187" s="21"/>
      <c r="D187" s="21"/>
      <c r="E187" s="22" t="str">
        <f t="shared" si="18"/>
        <v/>
      </c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3" t="str">
        <f>IF($F187="","",IF(OR($B187="",$C187="",$D187=""),"⚠ Compléter Année/Niveau/Session",IF(AND($E187&lt;&gt;"",COUNTIF(D_KEY_DOUBLON,$B187&amp;"|"&amp;$D187&amp;"|"&amp;$E187)&gt;1),"⚠ Doublon",IF(AND($E187&lt;&gt;"",COUNTIF(D_KEY_STATUT,$B187&amp;"|"&amp;$E187&amp;"|P")&gt;0,COUNTIF(D_KEY_STATUT,$B187&amp;"|"&amp;$E187&amp;"|A")&gt;0),"⚠ Statut incohérent",IF(AND($D187="S1",$Y187&lt;&gt;"Parti",COUNTIF(ANNEES_VERROU,$B187)&gt;0,COUNTIF(D_KEY_NIVSES,$B187&amp;"|"&amp;$C187&amp;"|S2")&gt;0,COUNTIF(D_KEY_DOUBLON,$B187&amp;"|S2|"&amp;$E187)=0),"⚠ Départ non confirmé ?",IF(AND($C187&lt;&gt;"",ISNUMBER($I187),OR(VALUE(LEFT($B187,4))-$I187&lt;4+IFERROR(MATCH($C187,LISTE_NIVEAUX,0),99),VALUE(LEFT($B187,4))-$I187&gt;6+IFERROR(MATCH($C187,LISTE_NIVEAUX,0),99))),"⚠ Vérifier niveau",IF(AND(IFERROR(VLOOKUP($C187,TABLE_CYCLE,2,0),3)=2,COUNT($O187:$Q187)&gt;0),"⚠ Tests cycle 3",IF(COUNT($J187:$Q187)&gt;=IF(IFERROR(VLOOKUP($C187,TABLE_CYCLE,2,0),3)=2,5,8),"Complet","Incomplet"))))))))</f>
        <v/>
      </c>
      <c r="S187" s="24"/>
      <c r="T187" s="67" t="str">
        <f t="shared" si="19"/>
        <v/>
      </c>
      <c r="U187" s="67" t="str">
        <f t="shared" si="20"/>
        <v/>
      </c>
      <c r="V187" s="67" t="str">
        <f t="shared" si="21"/>
        <v/>
      </c>
      <c r="W187" s="67" t="str">
        <f t="shared" si="22"/>
        <v/>
      </c>
      <c r="X187" s="67" t="str">
        <f t="shared" si="23"/>
        <v/>
      </c>
      <c r="Y187" s="24" t="str">
        <f t="shared" si="24"/>
        <v/>
      </c>
      <c r="Z187">
        <f t="shared" si="25"/>
        <v>0</v>
      </c>
      <c r="AA187">
        <f t="shared" si="26"/>
        <v>0</v>
      </c>
    </row>
    <row r="188" spans="2:27" ht="15.75" customHeight="1" x14ac:dyDescent="0.3">
      <c r="B188" s="25"/>
      <c r="C188" s="25"/>
      <c r="D188" s="25"/>
      <c r="E188" s="26" t="str">
        <f t="shared" si="18"/>
        <v/>
      </c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3" t="str">
        <f>IF($F188="","",IF(OR($B188="",$C188="",$D188=""),"⚠ Compléter Année/Niveau/Session",IF(AND($E188&lt;&gt;"",COUNTIF(D_KEY_DOUBLON,$B188&amp;"|"&amp;$D188&amp;"|"&amp;$E188)&gt;1),"⚠ Doublon",IF(AND($E188&lt;&gt;"",COUNTIF(D_KEY_STATUT,$B188&amp;"|"&amp;$E188&amp;"|P")&gt;0,COUNTIF(D_KEY_STATUT,$B188&amp;"|"&amp;$E188&amp;"|A")&gt;0),"⚠ Statut incohérent",IF(AND($D188="S1",$Y188&lt;&gt;"Parti",COUNTIF(ANNEES_VERROU,$B188)&gt;0,COUNTIF(D_KEY_NIVSES,$B188&amp;"|"&amp;$C188&amp;"|S2")&gt;0,COUNTIF(D_KEY_DOUBLON,$B188&amp;"|S2|"&amp;$E188)=0),"⚠ Départ non confirmé ?",IF(AND($C188&lt;&gt;"",ISNUMBER($I188),OR(VALUE(LEFT($B188,4))-$I188&lt;4+IFERROR(MATCH($C188,LISTE_NIVEAUX,0),99),VALUE(LEFT($B188,4))-$I188&gt;6+IFERROR(MATCH($C188,LISTE_NIVEAUX,0),99))),"⚠ Vérifier niveau",IF(AND(IFERROR(VLOOKUP($C188,TABLE_CYCLE,2,0),3)=2,COUNT($O188:$Q188)&gt;0),"⚠ Tests cycle 3",IF(COUNT($J188:$Q188)&gt;=IF(IFERROR(VLOOKUP($C188,TABLE_CYCLE,2,0),3)=2,5,8),"Complet","Incomplet"))))))))</f>
        <v/>
      </c>
      <c r="S188" s="24"/>
      <c r="T188" s="67" t="str">
        <f t="shared" si="19"/>
        <v/>
      </c>
      <c r="U188" s="67" t="str">
        <f t="shared" si="20"/>
        <v/>
      </c>
      <c r="V188" s="67" t="str">
        <f t="shared" si="21"/>
        <v/>
      </c>
      <c r="W188" s="67" t="str">
        <f t="shared" si="22"/>
        <v/>
      </c>
      <c r="X188" s="67" t="str">
        <f t="shared" si="23"/>
        <v/>
      </c>
      <c r="Y188" s="24" t="str">
        <f t="shared" si="24"/>
        <v/>
      </c>
      <c r="Z188">
        <f t="shared" si="25"/>
        <v>0</v>
      </c>
      <c r="AA188">
        <f t="shared" si="26"/>
        <v>0</v>
      </c>
    </row>
    <row r="189" spans="2:27" ht="15.75" customHeight="1" x14ac:dyDescent="0.3">
      <c r="B189" s="21"/>
      <c r="C189" s="21"/>
      <c r="D189" s="21"/>
      <c r="E189" s="22" t="str">
        <f t="shared" si="18"/>
        <v/>
      </c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3" t="str">
        <f>IF($F189="","",IF(OR($B189="",$C189="",$D189=""),"⚠ Compléter Année/Niveau/Session",IF(AND($E189&lt;&gt;"",COUNTIF(D_KEY_DOUBLON,$B189&amp;"|"&amp;$D189&amp;"|"&amp;$E189)&gt;1),"⚠ Doublon",IF(AND($E189&lt;&gt;"",COUNTIF(D_KEY_STATUT,$B189&amp;"|"&amp;$E189&amp;"|P")&gt;0,COUNTIF(D_KEY_STATUT,$B189&amp;"|"&amp;$E189&amp;"|A")&gt;0),"⚠ Statut incohérent",IF(AND($D189="S1",$Y189&lt;&gt;"Parti",COUNTIF(ANNEES_VERROU,$B189)&gt;0,COUNTIF(D_KEY_NIVSES,$B189&amp;"|"&amp;$C189&amp;"|S2")&gt;0,COUNTIF(D_KEY_DOUBLON,$B189&amp;"|S2|"&amp;$E189)=0),"⚠ Départ non confirmé ?",IF(AND($C189&lt;&gt;"",ISNUMBER($I189),OR(VALUE(LEFT($B189,4))-$I189&lt;4+IFERROR(MATCH($C189,LISTE_NIVEAUX,0),99),VALUE(LEFT($B189,4))-$I189&gt;6+IFERROR(MATCH($C189,LISTE_NIVEAUX,0),99))),"⚠ Vérifier niveau",IF(AND(IFERROR(VLOOKUP($C189,TABLE_CYCLE,2,0),3)=2,COUNT($O189:$Q189)&gt;0),"⚠ Tests cycle 3",IF(COUNT($J189:$Q189)&gt;=IF(IFERROR(VLOOKUP($C189,TABLE_CYCLE,2,0),3)=2,5,8),"Complet","Incomplet"))))))))</f>
        <v/>
      </c>
      <c r="S189" s="24"/>
      <c r="T189" s="67" t="str">
        <f t="shared" si="19"/>
        <v/>
      </c>
      <c r="U189" s="67" t="str">
        <f t="shared" si="20"/>
        <v/>
      </c>
      <c r="V189" s="67" t="str">
        <f t="shared" si="21"/>
        <v/>
      </c>
      <c r="W189" s="67" t="str">
        <f t="shared" si="22"/>
        <v/>
      </c>
      <c r="X189" s="67" t="str">
        <f t="shared" si="23"/>
        <v/>
      </c>
      <c r="Y189" s="24" t="str">
        <f t="shared" si="24"/>
        <v/>
      </c>
      <c r="Z189">
        <f t="shared" si="25"/>
        <v>0</v>
      </c>
      <c r="AA189">
        <f t="shared" si="26"/>
        <v>0</v>
      </c>
    </row>
    <row r="190" spans="2:27" ht="15.75" customHeight="1" x14ac:dyDescent="0.3">
      <c r="B190" s="25"/>
      <c r="C190" s="25"/>
      <c r="D190" s="25"/>
      <c r="E190" s="26" t="str">
        <f t="shared" si="18"/>
        <v/>
      </c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3" t="str">
        <f>IF($F190="","",IF(OR($B190="",$C190="",$D190=""),"⚠ Compléter Année/Niveau/Session",IF(AND($E190&lt;&gt;"",COUNTIF(D_KEY_DOUBLON,$B190&amp;"|"&amp;$D190&amp;"|"&amp;$E190)&gt;1),"⚠ Doublon",IF(AND($E190&lt;&gt;"",COUNTIF(D_KEY_STATUT,$B190&amp;"|"&amp;$E190&amp;"|P")&gt;0,COUNTIF(D_KEY_STATUT,$B190&amp;"|"&amp;$E190&amp;"|A")&gt;0),"⚠ Statut incohérent",IF(AND($D190="S1",$Y190&lt;&gt;"Parti",COUNTIF(ANNEES_VERROU,$B190)&gt;0,COUNTIF(D_KEY_NIVSES,$B190&amp;"|"&amp;$C190&amp;"|S2")&gt;0,COUNTIF(D_KEY_DOUBLON,$B190&amp;"|S2|"&amp;$E190)=0),"⚠ Départ non confirmé ?",IF(AND($C190&lt;&gt;"",ISNUMBER($I190),OR(VALUE(LEFT($B190,4))-$I190&lt;4+IFERROR(MATCH($C190,LISTE_NIVEAUX,0),99),VALUE(LEFT($B190,4))-$I190&gt;6+IFERROR(MATCH($C190,LISTE_NIVEAUX,0),99))),"⚠ Vérifier niveau",IF(AND(IFERROR(VLOOKUP($C190,TABLE_CYCLE,2,0),3)=2,COUNT($O190:$Q190)&gt;0),"⚠ Tests cycle 3",IF(COUNT($J190:$Q190)&gt;=IF(IFERROR(VLOOKUP($C190,TABLE_CYCLE,2,0),3)=2,5,8),"Complet","Incomplet"))))))))</f>
        <v/>
      </c>
      <c r="S190" s="24"/>
      <c r="T190" s="67" t="str">
        <f t="shared" si="19"/>
        <v/>
      </c>
      <c r="U190" s="67" t="str">
        <f t="shared" si="20"/>
        <v/>
      </c>
      <c r="V190" s="67" t="str">
        <f t="shared" si="21"/>
        <v/>
      </c>
      <c r="W190" s="67" t="str">
        <f t="shared" si="22"/>
        <v/>
      </c>
      <c r="X190" s="67" t="str">
        <f t="shared" si="23"/>
        <v/>
      </c>
      <c r="Y190" s="24" t="str">
        <f t="shared" si="24"/>
        <v/>
      </c>
      <c r="Z190">
        <f t="shared" si="25"/>
        <v>0</v>
      </c>
      <c r="AA190">
        <f t="shared" si="26"/>
        <v>0</v>
      </c>
    </row>
    <row r="191" spans="2:27" ht="15.75" customHeight="1" x14ac:dyDescent="0.3">
      <c r="B191" s="21"/>
      <c r="C191" s="21"/>
      <c r="D191" s="21"/>
      <c r="E191" s="22" t="str">
        <f t="shared" si="18"/>
        <v/>
      </c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3" t="str">
        <f>IF($F191="","",IF(OR($B191="",$C191="",$D191=""),"⚠ Compléter Année/Niveau/Session",IF(AND($E191&lt;&gt;"",COUNTIF(D_KEY_DOUBLON,$B191&amp;"|"&amp;$D191&amp;"|"&amp;$E191)&gt;1),"⚠ Doublon",IF(AND($E191&lt;&gt;"",COUNTIF(D_KEY_STATUT,$B191&amp;"|"&amp;$E191&amp;"|P")&gt;0,COUNTIF(D_KEY_STATUT,$B191&amp;"|"&amp;$E191&amp;"|A")&gt;0),"⚠ Statut incohérent",IF(AND($D191="S1",$Y191&lt;&gt;"Parti",COUNTIF(ANNEES_VERROU,$B191)&gt;0,COUNTIF(D_KEY_NIVSES,$B191&amp;"|"&amp;$C191&amp;"|S2")&gt;0,COUNTIF(D_KEY_DOUBLON,$B191&amp;"|S2|"&amp;$E191)=0),"⚠ Départ non confirmé ?",IF(AND($C191&lt;&gt;"",ISNUMBER($I191),OR(VALUE(LEFT($B191,4))-$I191&lt;4+IFERROR(MATCH($C191,LISTE_NIVEAUX,0),99),VALUE(LEFT($B191,4))-$I191&gt;6+IFERROR(MATCH($C191,LISTE_NIVEAUX,0),99))),"⚠ Vérifier niveau",IF(AND(IFERROR(VLOOKUP($C191,TABLE_CYCLE,2,0),3)=2,COUNT($O191:$Q191)&gt;0),"⚠ Tests cycle 3",IF(COUNT($J191:$Q191)&gt;=IF(IFERROR(VLOOKUP($C191,TABLE_CYCLE,2,0),3)=2,5,8),"Complet","Incomplet"))))))))</f>
        <v/>
      </c>
      <c r="S191" s="24"/>
      <c r="T191" s="67" t="str">
        <f t="shared" si="19"/>
        <v/>
      </c>
      <c r="U191" s="67" t="str">
        <f t="shared" si="20"/>
        <v/>
      </c>
      <c r="V191" s="67" t="str">
        <f t="shared" si="21"/>
        <v/>
      </c>
      <c r="W191" s="67" t="str">
        <f t="shared" si="22"/>
        <v/>
      </c>
      <c r="X191" s="67" t="str">
        <f t="shared" si="23"/>
        <v/>
      </c>
      <c r="Y191" s="24" t="str">
        <f t="shared" si="24"/>
        <v/>
      </c>
      <c r="Z191">
        <f t="shared" si="25"/>
        <v>0</v>
      </c>
      <c r="AA191">
        <f t="shared" si="26"/>
        <v>0</v>
      </c>
    </row>
    <row r="192" spans="2:27" ht="15.75" customHeight="1" x14ac:dyDescent="0.3">
      <c r="B192" s="25"/>
      <c r="C192" s="25"/>
      <c r="D192" s="25"/>
      <c r="E192" s="26" t="str">
        <f t="shared" si="18"/>
        <v/>
      </c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3" t="str">
        <f>IF($F192="","",IF(OR($B192="",$C192="",$D192=""),"⚠ Compléter Année/Niveau/Session",IF(AND($E192&lt;&gt;"",COUNTIF(D_KEY_DOUBLON,$B192&amp;"|"&amp;$D192&amp;"|"&amp;$E192)&gt;1),"⚠ Doublon",IF(AND($E192&lt;&gt;"",COUNTIF(D_KEY_STATUT,$B192&amp;"|"&amp;$E192&amp;"|P")&gt;0,COUNTIF(D_KEY_STATUT,$B192&amp;"|"&amp;$E192&amp;"|A")&gt;0),"⚠ Statut incohérent",IF(AND($D192="S1",$Y192&lt;&gt;"Parti",COUNTIF(ANNEES_VERROU,$B192)&gt;0,COUNTIF(D_KEY_NIVSES,$B192&amp;"|"&amp;$C192&amp;"|S2")&gt;0,COUNTIF(D_KEY_DOUBLON,$B192&amp;"|S2|"&amp;$E192)=0),"⚠ Départ non confirmé ?",IF(AND($C192&lt;&gt;"",ISNUMBER($I192),OR(VALUE(LEFT($B192,4))-$I192&lt;4+IFERROR(MATCH($C192,LISTE_NIVEAUX,0),99),VALUE(LEFT($B192,4))-$I192&gt;6+IFERROR(MATCH($C192,LISTE_NIVEAUX,0),99))),"⚠ Vérifier niveau",IF(AND(IFERROR(VLOOKUP($C192,TABLE_CYCLE,2,0),3)=2,COUNT($O192:$Q192)&gt;0),"⚠ Tests cycle 3",IF(COUNT($J192:$Q192)&gt;=IF(IFERROR(VLOOKUP($C192,TABLE_CYCLE,2,0),3)=2,5,8),"Complet","Incomplet"))))))))</f>
        <v/>
      </c>
      <c r="S192" s="24"/>
      <c r="T192" s="67" t="str">
        <f t="shared" si="19"/>
        <v/>
      </c>
      <c r="U192" s="67" t="str">
        <f t="shared" si="20"/>
        <v/>
      </c>
      <c r="V192" s="67" t="str">
        <f t="shared" si="21"/>
        <v/>
      </c>
      <c r="W192" s="67" t="str">
        <f t="shared" si="22"/>
        <v/>
      </c>
      <c r="X192" s="67" t="str">
        <f t="shared" si="23"/>
        <v/>
      </c>
      <c r="Y192" s="24" t="str">
        <f t="shared" si="24"/>
        <v/>
      </c>
      <c r="Z192">
        <f t="shared" si="25"/>
        <v>0</v>
      </c>
      <c r="AA192">
        <f t="shared" si="26"/>
        <v>0</v>
      </c>
    </row>
    <row r="193" spans="2:27" ht="15.75" customHeight="1" x14ac:dyDescent="0.3">
      <c r="B193" s="21"/>
      <c r="C193" s="21"/>
      <c r="D193" s="21"/>
      <c r="E193" s="22" t="str">
        <f t="shared" si="18"/>
        <v/>
      </c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3" t="str">
        <f>IF($F193="","",IF(OR($B193="",$C193="",$D193=""),"⚠ Compléter Année/Niveau/Session",IF(AND($E193&lt;&gt;"",COUNTIF(D_KEY_DOUBLON,$B193&amp;"|"&amp;$D193&amp;"|"&amp;$E193)&gt;1),"⚠ Doublon",IF(AND($E193&lt;&gt;"",COUNTIF(D_KEY_STATUT,$B193&amp;"|"&amp;$E193&amp;"|P")&gt;0,COUNTIF(D_KEY_STATUT,$B193&amp;"|"&amp;$E193&amp;"|A")&gt;0),"⚠ Statut incohérent",IF(AND($D193="S1",$Y193&lt;&gt;"Parti",COUNTIF(ANNEES_VERROU,$B193)&gt;0,COUNTIF(D_KEY_NIVSES,$B193&amp;"|"&amp;$C193&amp;"|S2")&gt;0,COUNTIF(D_KEY_DOUBLON,$B193&amp;"|S2|"&amp;$E193)=0),"⚠ Départ non confirmé ?",IF(AND($C193&lt;&gt;"",ISNUMBER($I193),OR(VALUE(LEFT($B193,4))-$I193&lt;4+IFERROR(MATCH($C193,LISTE_NIVEAUX,0),99),VALUE(LEFT($B193,4))-$I193&gt;6+IFERROR(MATCH($C193,LISTE_NIVEAUX,0),99))),"⚠ Vérifier niveau",IF(AND(IFERROR(VLOOKUP($C193,TABLE_CYCLE,2,0),3)=2,COUNT($O193:$Q193)&gt;0),"⚠ Tests cycle 3",IF(COUNT($J193:$Q193)&gt;=IF(IFERROR(VLOOKUP($C193,TABLE_CYCLE,2,0),3)=2,5,8),"Complet","Incomplet"))))))))</f>
        <v/>
      </c>
      <c r="S193" s="24"/>
      <c r="T193" s="67" t="str">
        <f t="shared" si="19"/>
        <v/>
      </c>
      <c r="U193" s="67" t="str">
        <f t="shared" si="20"/>
        <v/>
      </c>
      <c r="V193" s="67" t="str">
        <f t="shared" si="21"/>
        <v/>
      </c>
      <c r="W193" s="67" t="str">
        <f t="shared" si="22"/>
        <v/>
      </c>
      <c r="X193" s="67" t="str">
        <f t="shared" si="23"/>
        <v/>
      </c>
      <c r="Y193" s="24" t="str">
        <f t="shared" si="24"/>
        <v/>
      </c>
      <c r="Z193">
        <f t="shared" si="25"/>
        <v>0</v>
      </c>
      <c r="AA193">
        <f t="shared" si="26"/>
        <v>0</v>
      </c>
    </row>
    <row r="194" spans="2:27" ht="15.75" customHeight="1" x14ac:dyDescent="0.3">
      <c r="B194" s="25"/>
      <c r="C194" s="25"/>
      <c r="D194" s="25"/>
      <c r="E194" s="26" t="str">
        <f t="shared" si="18"/>
        <v/>
      </c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3" t="str">
        <f>IF($F194="","",IF(OR($B194="",$C194="",$D194=""),"⚠ Compléter Année/Niveau/Session",IF(AND($E194&lt;&gt;"",COUNTIF(D_KEY_DOUBLON,$B194&amp;"|"&amp;$D194&amp;"|"&amp;$E194)&gt;1),"⚠ Doublon",IF(AND($E194&lt;&gt;"",COUNTIF(D_KEY_STATUT,$B194&amp;"|"&amp;$E194&amp;"|P")&gt;0,COUNTIF(D_KEY_STATUT,$B194&amp;"|"&amp;$E194&amp;"|A")&gt;0),"⚠ Statut incohérent",IF(AND($D194="S1",$Y194&lt;&gt;"Parti",COUNTIF(ANNEES_VERROU,$B194)&gt;0,COUNTIF(D_KEY_NIVSES,$B194&amp;"|"&amp;$C194&amp;"|S2")&gt;0,COUNTIF(D_KEY_DOUBLON,$B194&amp;"|S2|"&amp;$E194)=0),"⚠ Départ non confirmé ?",IF(AND($C194&lt;&gt;"",ISNUMBER($I194),OR(VALUE(LEFT($B194,4))-$I194&lt;4+IFERROR(MATCH($C194,LISTE_NIVEAUX,0),99),VALUE(LEFT($B194,4))-$I194&gt;6+IFERROR(MATCH($C194,LISTE_NIVEAUX,0),99))),"⚠ Vérifier niveau",IF(AND(IFERROR(VLOOKUP($C194,TABLE_CYCLE,2,0),3)=2,COUNT($O194:$Q194)&gt;0),"⚠ Tests cycle 3",IF(COUNT($J194:$Q194)&gt;=IF(IFERROR(VLOOKUP($C194,TABLE_CYCLE,2,0),3)=2,5,8),"Complet","Incomplet"))))))))</f>
        <v/>
      </c>
      <c r="S194" s="24"/>
      <c r="T194" s="67" t="str">
        <f t="shared" si="19"/>
        <v/>
      </c>
      <c r="U194" s="67" t="str">
        <f t="shared" si="20"/>
        <v/>
      </c>
      <c r="V194" s="67" t="str">
        <f t="shared" si="21"/>
        <v/>
      </c>
      <c r="W194" s="67" t="str">
        <f t="shared" si="22"/>
        <v/>
      </c>
      <c r="X194" s="67" t="str">
        <f t="shared" si="23"/>
        <v/>
      </c>
      <c r="Y194" s="24" t="str">
        <f t="shared" si="24"/>
        <v/>
      </c>
      <c r="Z194">
        <f t="shared" si="25"/>
        <v>0</v>
      </c>
      <c r="AA194">
        <f t="shared" si="26"/>
        <v>0</v>
      </c>
    </row>
    <row r="195" spans="2:27" ht="15.75" customHeight="1" x14ac:dyDescent="0.3">
      <c r="B195" s="21"/>
      <c r="C195" s="21"/>
      <c r="D195" s="21"/>
      <c r="E195" s="22" t="str">
        <f t="shared" si="18"/>
        <v/>
      </c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3" t="str">
        <f>IF($F195="","",IF(OR($B195="",$C195="",$D195=""),"⚠ Compléter Année/Niveau/Session",IF(AND($E195&lt;&gt;"",COUNTIF(D_KEY_DOUBLON,$B195&amp;"|"&amp;$D195&amp;"|"&amp;$E195)&gt;1),"⚠ Doublon",IF(AND($E195&lt;&gt;"",COUNTIF(D_KEY_STATUT,$B195&amp;"|"&amp;$E195&amp;"|P")&gt;0,COUNTIF(D_KEY_STATUT,$B195&amp;"|"&amp;$E195&amp;"|A")&gt;0),"⚠ Statut incohérent",IF(AND($D195="S1",$Y195&lt;&gt;"Parti",COUNTIF(ANNEES_VERROU,$B195)&gt;0,COUNTIF(D_KEY_NIVSES,$B195&amp;"|"&amp;$C195&amp;"|S2")&gt;0,COUNTIF(D_KEY_DOUBLON,$B195&amp;"|S2|"&amp;$E195)=0),"⚠ Départ non confirmé ?",IF(AND($C195&lt;&gt;"",ISNUMBER($I195),OR(VALUE(LEFT($B195,4))-$I195&lt;4+IFERROR(MATCH($C195,LISTE_NIVEAUX,0),99),VALUE(LEFT($B195,4))-$I195&gt;6+IFERROR(MATCH($C195,LISTE_NIVEAUX,0),99))),"⚠ Vérifier niveau",IF(AND(IFERROR(VLOOKUP($C195,TABLE_CYCLE,2,0),3)=2,COUNT($O195:$Q195)&gt;0),"⚠ Tests cycle 3",IF(COUNT($J195:$Q195)&gt;=IF(IFERROR(VLOOKUP($C195,TABLE_CYCLE,2,0),3)=2,5,8),"Complet","Incomplet"))))))))</f>
        <v/>
      </c>
      <c r="S195" s="24"/>
      <c r="T195" s="67" t="str">
        <f t="shared" si="19"/>
        <v/>
      </c>
      <c r="U195" s="67" t="str">
        <f t="shared" si="20"/>
        <v/>
      </c>
      <c r="V195" s="67" t="str">
        <f t="shared" si="21"/>
        <v/>
      </c>
      <c r="W195" s="67" t="str">
        <f t="shared" si="22"/>
        <v/>
      </c>
      <c r="X195" s="67" t="str">
        <f t="shared" si="23"/>
        <v/>
      </c>
      <c r="Y195" s="24" t="str">
        <f t="shared" si="24"/>
        <v/>
      </c>
      <c r="Z195">
        <f t="shared" si="25"/>
        <v>0</v>
      </c>
      <c r="AA195">
        <f t="shared" si="26"/>
        <v>0</v>
      </c>
    </row>
    <row r="196" spans="2:27" ht="15.75" customHeight="1" x14ac:dyDescent="0.3">
      <c r="B196" s="25"/>
      <c r="C196" s="25"/>
      <c r="D196" s="25"/>
      <c r="E196" s="26" t="str">
        <f t="shared" si="18"/>
        <v/>
      </c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3" t="str">
        <f>IF($F196="","",IF(OR($B196="",$C196="",$D196=""),"⚠ Compléter Année/Niveau/Session",IF(AND($E196&lt;&gt;"",COUNTIF(D_KEY_DOUBLON,$B196&amp;"|"&amp;$D196&amp;"|"&amp;$E196)&gt;1),"⚠ Doublon",IF(AND($E196&lt;&gt;"",COUNTIF(D_KEY_STATUT,$B196&amp;"|"&amp;$E196&amp;"|P")&gt;0,COUNTIF(D_KEY_STATUT,$B196&amp;"|"&amp;$E196&amp;"|A")&gt;0),"⚠ Statut incohérent",IF(AND($D196="S1",$Y196&lt;&gt;"Parti",COUNTIF(ANNEES_VERROU,$B196)&gt;0,COUNTIF(D_KEY_NIVSES,$B196&amp;"|"&amp;$C196&amp;"|S2")&gt;0,COUNTIF(D_KEY_DOUBLON,$B196&amp;"|S2|"&amp;$E196)=0),"⚠ Départ non confirmé ?",IF(AND($C196&lt;&gt;"",ISNUMBER($I196),OR(VALUE(LEFT($B196,4))-$I196&lt;4+IFERROR(MATCH($C196,LISTE_NIVEAUX,0),99),VALUE(LEFT($B196,4))-$I196&gt;6+IFERROR(MATCH($C196,LISTE_NIVEAUX,0),99))),"⚠ Vérifier niveau",IF(AND(IFERROR(VLOOKUP($C196,TABLE_CYCLE,2,0),3)=2,COUNT($O196:$Q196)&gt;0),"⚠ Tests cycle 3",IF(COUNT($J196:$Q196)&gt;=IF(IFERROR(VLOOKUP($C196,TABLE_CYCLE,2,0),3)=2,5,8),"Complet","Incomplet"))))))))</f>
        <v/>
      </c>
      <c r="S196" s="24"/>
      <c r="T196" s="67" t="str">
        <f t="shared" si="19"/>
        <v/>
      </c>
      <c r="U196" s="67" t="str">
        <f t="shared" si="20"/>
        <v/>
      </c>
      <c r="V196" s="67" t="str">
        <f t="shared" si="21"/>
        <v/>
      </c>
      <c r="W196" s="67" t="str">
        <f t="shared" si="22"/>
        <v/>
      </c>
      <c r="X196" s="67" t="str">
        <f t="shared" si="23"/>
        <v/>
      </c>
      <c r="Y196" s="24" t="str">
        <f t="shared" si="24"/>
        <v/>
      </c>
      <c r="Z196">
        <f t="shared" si="25"/>
        <v>0</v>
      </c>
      <c r="AA196">
        <f t="shared" si="26"/>
        <v>0</v>
      </c>
    </row>
    <row r="197" spans="2:27" ht="15.75" customHeight="1" x14ac:dyDescent="0.3">
      <c r="B197" s="21"/>
      <c r="C197" s="21"/>
      <c r="D197" s="21"/>
      <c r="E197" s="22" t="str">
        <f t="shared" si="18"/>
        <v/>
      </c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3" t="str">
        <f>IF($F197="","",IF(OR($B197="",$C197="",$D197=""),"⚠ Compléter Année/Niveau/Session",IF(AND($E197&lt;&gt;"",COUNTIF(D_KEY_DOUBLON,$B197&amp;"|"&amp;$D197&amp;"|"&amp;$E197)&gt;1),"⚠ Doublon",IF(AND($E197&lt;&gt;"",COUNTIF(D_KEY_STATUT,$B197&amp;"|"&amp;$E197&amp;"|P")&gt;0,COUNTIF(D_KEY_STATUT,$B197&amp;"|"&amp;$E197&amp;"|A")&gt;0),"⚠ Statut incohérent",IF(AND($D197="S1",$Y197&lt;&gt;"Parti",COUNTIF(ANNEES_VERROU,$B197)&gt;0,COUNTIF(D_KEY_NIVSES,$B197&amp;"|"&amp;$C197&amp;"|S2")&gt;0,COUNTIF(D_KEY_DOUBLON,$B197&amp;"|S2|"&amp;$E197)=0),"⚠ Départ non confirmé ?",IF(AND($C197&lt;&gt;"",ISNUMBER($I197),OR(VALUE(LEFT($B197,4))-$I197&lt;4+IFERROR(MATCH($C197,LISTE_NIVEAUX,0),99),VALUE(LEFT($B197,4))-$I197&gt;6+IFERROR(MATCH($C197,LISTE_NIVEAUX,0),99))),"⚠ Vérifier niveau",IF(AND(IFERROR(VLOOKUP($C197,TABLE_CYCLE,2,0),3)=2,COUNT($O197:$Q197)&gt;0),"⚠ Tests cycle 3",IF(COUNT($J197:$Q197)&gt;=IF(IFERROR(VLOOKUP($C197,TABLE_CYCLE,2,0),3)=2,5,8),"Complet","Incomplet"))))))))</f>
        <v/>
      </c>
      <c r="S197" s="24"/>
      <c r="T197" s="67" t="str">
        <f t="shared" si="19"/>
        <v/>
      </c>
      <c r="U197" s="67" t="str">
        <f t="shared" si="20"/>
        <v/>
      </c>
      <c r="V197" s="67" t="str">
        <f t="shared" si="21"/>
        <v/>
      </c>
      <c r="W197" s="67" t="str">
        <f t="shared" si="22"/>
        <v/>
      </c>
      <c r="X197" s="67" t="str">
        <f t="shared" si="23"/>
        <v/>
      </c>
      <c r="Y197" s="24" t="str">
        <f t="shared" si="24"/>
        <v/>
      </c>
      <c r="Z197">
        <f t="shared" si="25"/>
        <v>0</v>
      </c>
      <c r="AA197">
        <f t="shared" si="26"/>
        <v>0</v>
      </c>
    </row>
    <row r="198" spans="2:27" ht="15.75" customHeight="1" x14ac:dyDescent="0.3">
      <c r="B198" s="25"/>
      <c r="C198" s="25"/>
      <c r="D198" s="25"/>
      <c r="E198" s="26" t="str">
        <f t="shared" si="18"/>
        <v/>
      </c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3" t="str">
        <f>IF($F198="","",IF(OR($B198="",$C198="",$D198=""),"⚠ Compléter Année/Niveau/Session",IF(AND($E198&lt;&gt;"",COUNTIF(D_KEY_DOUBLON,$B198&amp;"|"&amp;$D198&amp;"|"&amp;$E198)&gt;1),"⚠ Doublon",IF(AND($E198&lt;&gt;"",COUNTIF(D_KEY_STATUT,$B198&amp;"|"&amp;$E198&amp;"|P")&gt;0,COUNTIF(D_KEY_STATUT,$B198&amp;"|"&amp;$E198&amp;"|A")&gt;0),"⚠ Statut incohérent",IF(AND($D198="S1",$Y198&lt;&gt;"Parti",COUNTIF(ANNEES_VERROU,$B198)&gt;0,COUNTIF(D_KEY_NIVSES,$B198&amp;"|"&amp;$C198&amp;"|S2")&gt;0,COUNTIF(D_KEY_DOUBLON,$B198&amp;"|S2|"&amp;$E198)=0),"⚠ Départ non confirmé ?",IF(AND($C198&lt;&gt;"",ISNUMBER($I198),OR(VALUE(LEFT($B198,4))-$I198&lt;4+IFERROR(MATCH($C198,LISTE_NIVEAUX,0),99),VALUE(LEFT($B198,4))-$I198&gt;6+IFERROR(MATCH($C198,LISTE_NIVEAUX,0),99))),"⚠ Vérifier niveau",IF(AND(IFERROR(VLOOKUP($C198,TABLE_CYCLE,2,0),3)=2,COUNT($O198:$Q198)&gt;0),"⚠ Tests cycle 3",IF(COUNT($J198:$Q198)&gt;=IF(IFERROR(VLOOKUP($C198,TABLE_CYCLE,2,0),3)=2,5,8),"Complet","Incomplet"))))))))</f>
        <v/>
      </c>
      <c r="S198" s="24"/>
      <c r="T198" s="67" t="str">
        <f t="shared" si="19"/>
        <v/>
      </c>
      <c r="U198" s="67" t="str">
        <f t="shared" si="20"/>
        <v/>
      </c>
      <c r="V198" s="67" t="str">
        <f t="shared" si="21"/>
        <v/>
      </c>
      <c r="W198" s="67" t="str">
        <f t="shared" si="22"/>
        <v/>
      </c>
      <c r="X198" s="67" t="str">
        <f t="shared" si="23"/>
        <v/>
      </c>
      <c r="Y198" s="24" t="str">
        <f t="shared" si="24"/>
        <v/>
      </c>
      <c r="Z198">
        <f t="shared" si="25"/>
        <v>0</v>
      </c>
      <c r="AA198">
        <f t="shared" si="26"/>
        <v>0</v>
      </c>
    </row>
    <row r="199" spans="2:27" ht="15.75" customHeight="1" x14ac:dyDescent="0.3">
      <c r="B199" s="21"/>
      <c r="C199" s="21"/>
      <c r="D199" s="21"/>
      <c r="E199" s="22" t="str">
        <f t="shared" ref="E199:E262" si="27">IF(OR($F199="",$G199=""),"",IF(ISNUMBER($I199),TEXT($I199-2000,"00")&amp;"_","__")&amp;UPPER(TRIM($F199))&amp;"_"&amp;UPPER(TRIM($G199)))</f>
        <v/>
      </c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3" t="str">
        <f>IF($F199="","",IF(OR($B199="",$C199="",$D199=""),"⚠ Compléter Année/Niveau/Session",IF(AND($E199&lt;&gt;"",COUNTIF(D_KEY_DOUBLON,$B199&amp;"|"&amp;$D199&amp;"|"&amp;$E199)&gt;1),"⚠ Doublon",IF(AND($E199&lt;&gt;"",COUNTIF(D_KEY_STATUT,$B199&amp;"|"&amp;$E199&amp;"|P")&gt;0,COUNTIF(D_KEY_STATUT,$B199&amp;"|"&amp;$E199&amp;"|A")&gt;0),"⚠ Statut incohérent",IF(AND($D199="S1",$Y199&lt;&gt;"Parti",COUNTIF(ANNEES_VERROU,$B199)&gt;0,COUNTIF(D_KEY_NIVSES,$B199&amp;"|"&amp;$C199&amp;"|S2")&gt;0,COUNTIF(D_KEY_DOUBLON,$B199&amp;"|S2|"&amp;$E199)=0),"⚠ Départ non confirmé ?",IF(AND($C199&lt;&gt;"",ISNUMBER($I199),OR(VALUE(LEFT($B199,4))-$I199&lt;4+IFERROR(MATCH($C199,LISTE_NIVEAUX,0),99),VALUE(LEFT($B199,4))-$I199&gt;6+IFERROR(MATCH($C199,LISTE_NIVEAUX,0),99))),"⚠ Vérifier niveau",IF(AND(IFERROR(VLOOKUP($C199,TABLE_CYCLE,2,0),3)=2,COUNT($O199:$Q199)&gt;0),"⚠ Tests cycle 3",IF(COUNT($J199:$Q199)&gt;=IF(IFERROR(VLOOKUP($C199,TABLE_CYCLE,2,0),3)=2,5,8),"Complet","Incomplet"))))))))</f>
        <v/>
      </c>
      <c r="S199" s="24"/>
      <c r="T199" s="67" t="str">
        <f t="shared" ref="T199:T262" si="28">IFERROR(INDEX(D_NOM,MATCH(ROW()-6,D_RANG_RECUP,0)),"")</f>
        <v/>
      </c>
      <c r="U199" s="67" t="str">
        <f t="shared" ref="U199:U262" si="29">IFERROR(INDEX(D_PRENOM,MATCH(ROW()-6,D_RANG_RECUP,0)),"")</f>
        <v/>
      </c>
      <c r="V199" s="67" t="str">
        <f t="shared" ref="V199:V262" si="30">IFERROR(INDEX(D_SEXE,MATCH(ROW()-6,D_RANG_RECUP,0)),"")</f>
        <v/>
      </c>
      <c r="W199" s="67" t="str">
        <f t="shared" ref="W199:W262" si="31">IFERROR(INDEX(D_NAISS,MATCH(ROW()-6,D_RANG_RECUP,0)),"")</f>
        <v/>
      </c>
      <c r="X199" s="67" t="str">
        <f t="shared" ref="X199:X262" si="32">IF($T199="","",IF($X$4="→ Session 2 (même année)",$W$4,IFERROR(INDEX(LISTE_NIVEAUX,MATCH($W$4,LISTE_NIVEAUX,0)+1),"CM2 terminé")))</f>
        <v/>
      </c>
      <c r="Y199" s="24" t="str">
        <f t="shared" ref="Y199:Y262" si="33">IF($S199="","",$S199)</f>
        <v/>
      </c>
      <c r="Z199">
        <f t="shared" ref="Z199:Z262" si="34">SUBTOTAL(103,$F199)*($R199="Complet")</f>
        <v>0</v>
      </c>
      <c r="AA199">
        <f t="shared" ref="AA199:AA262" si="35">IF(OR($F199="",$C199=""),0,IF(COUNTIFS($B$7:$B$1206,$B199,$F$7:$F$1206,$F199,$G$7:$G$1206,$G199,$I$7:$I$1206,$I199,$C$7:$C$1206,"&lt;&gt;"&amp;$C199)&gt;0,1,0))</f>
        <v>0</v>
      </c>
    </row>
    <row r="200" spans="2:27" ht="15.75" customHeight="1" x14ac:dyDescent="0.3">
      <c r="B200" s="25"/>
      <c r="C200" s="25"/>
      <c r="D200" s="25"/>
      <c r="E200" s="26" t="str">
        <f t="shared" si="27"/>
        <v/>
      </c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3" t="str">
        <f>IF($F200="","",IF(OR($B200="",$C200="",$D200=""),"⚠ Compléter Année/Niveau/Session",IF(AND($E200&lt;&gt;"",COUNTIF(D_KEY_DOUBLON,$B200&amp;"|"&amp;$D200&amp;"|"&amp;$E200)&gt;1),"⚠ Doublon",IF(AND($E200&lt;&gt;"",COUNTIF(D_KEY_STATUT,$B200&amp;"|"&amp;$E200&amp;"|P")&gt;0,COUNTIF(D_KEY_STATUT,$B200&amp;"|"&amp;$E200&amp;"|A")&gt;0),"⚠ Statut incohérent",IF(AND($D200="S1",$Y200&lt;&gt;"Parti",COUNTIF(ANNEES_VERROU,$B200)&gt;0,COUNTIF(D_KEY_NIVSES,$B200&amp;"|"&amp;$C200&amp;"|S2")&gt;0,COUNTIF(D_KEY_DOUBLON,$B200&amp;"|S2|"&amp;$E200)=0),"⚠ Départ non confirmé ?",IF(AND($C200&lt;&gt;"",ISNUMBER($I200),OR(VALUE(LEFT($B200,4))-$I200&lt;4+IFERROR(MATCH($C200,LISTE_NIVEAUX,0),99),VALUE(LEFT($B200,4))-$I200&gt;6+IFERROR(MATCH($C200,LISTE_NIVEAUX,0),99))),"⚠ Vérifier niveau",IF(AND(IFERROR(VLOOKUP($C200,TABLE_CYCLE,2,0),3)=2,COUNT($O200:$Q200)&gt;0),"⚠ Tests cycle 3",IF(COUNT($J200:$Q200)&gt;=IF(IFERROR(VLOOKUP($C200,TABLE_CYCLE,2,0),3)=2,5,8),"Complet","Incomplet"))))))))</f>
        <v/>
      </c>
      <c r="S200" s="24"/>
      <c r="T200" s="67" t="str">
        <f t="shared" si="28"/>
        <v/>
      </c>
      <c r="U200" s="67" t="str">
        <f t="shared" si="29"/>
        <v/>
      </c>
      <c r="V200" s="67" t="str">
        <f t="shared" si="30"/>
        <v/>
      </c>
      <c r="W200" s="67" t="str">
        <f t="shared" si="31"/>
        <v/>
      </c>
      <c r="X200" s="67" t="str">
        <f t="shared" si="32"/>
        <v/>
      </c>
      <c r="Y200" s="24" t="str">
        <f t="shared" si="33"/>
        <v/>
      </c>
      <c r="Z200">
        <f t="shared" si="34"/>
        <v>0</v>
      </c>
      <c r="AA200">
        <f t="shared" si="35"/>
        <v>0</v>
      </c>
    </row>
    <row r="201" spans="2:27" ht="15.75" customHeight="1" x14ac:dyDescent="0.3">
      <c r="B201" s="21"/>
      <c r="C201" s="21"/>
      <c r="D201" s="21"/>
      <c r="E201" s="22" t="str">
        <f t="shared" si="27"/>
        <v/>
      </c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3" t="str">
        <f>IF($F201="","",IF(OR($B201="",$C201="",$D201=""),"⚠ Compléter Année/Niveau/Session",IF(AND($E201&lt;&gt;"",COUNTIF(D_KEY_DOUBLON,$B201&amp;"|"&amp;$D201&amp;"|"&amp;$E201)&gt;1),"⚠ Doublon",IF(AND($E201&lt;&gt;"",COUNTIF(D_KEY_STATUT,$B201&amp;"|"&amp;$E201&amp;"|P")&gt;0,COUNTIF(D_KEY_STATUT,$B201&amp;"|"&amp;$E201&amp;"|A")&gt;0),"⚠ Statut incohérent",IF(AND($D201="S1",$Y201&lt;&gt;"Parti",COUNTIF(ANNEES_VERROU,$B201)&gt;0,COUNTIF(D_KEY_NIVSES,$B201&amp;"|"&amp;$C201&amp;"|S2")&gt;0,COUNTIF(D_KEY_DOUBLON,$B201&amp;"|S2|"&amp;$E201)=0),"⚠ Départ non confirmé ?",IF(AND($C201&lt;&gt;"",ISNUMBER($I201),OR(VALUE(LEFT($B201,4))-$I201&lt;4+IFERROR(MATCH($C201,LISTE_NIVEAUX,0),99),VALUE(LEFT($B201,4))-$I201&gt;6+IFERROR(MATCH($C201,LISTE_NIVEAUX,0),99))),"⚠ Vérifier niveau",IF(AND(IFERROR(VLOOKUP($C201,TABLE_CYCLE,2,0),3)=2,COUNT($O201:$Q201)&gt;0),"⚠ Tests cycle 3",IF(COUNT($J201:$Q201)&gt;=IF(IFERROR(VLOOKUP($C201,TABLE_CYCLE,2,0),3)=2,5,8),"Complet","Incomplet"))))))))</f>
        <v/>
      </c>
      <c r="S201" s="24"/>
      <c r="T201" s="67" t="str">
        <f t="shared" si="28"/>
        <v/>
      </c>
      <c r="U201" s="67" t="str">
        <f t="shared" si="29"/>
        <v/>
      </c>
      <c r="V201" s="67" t="str">
        <f t="shared" si="30"/>
        <v/>
      </c>
      <c r="W201" s="67" t="str">
        <f t="shared" si="31"/>
        <v/>
      </c>
      <c r="X201" s="67" t="str">
        <f t="shared" si="32"/>
        <v/>
      </c>
      <c r="Y201" s="24" t="str">
        <f t="shared" si="33"/>
        <v/>
      </c>
      <c r="Z201">
        <f t="shared" si="34"/>
        <v>0</v>
      </c>
      <c r="AA201">
        <f t="shared" si="35"/>
        <v>0</v>
      </c>
    </row>
    <row r="202" spans="2:27" ht="15.75" customHeight="1" x14ac:dyDescent="0.3">
      <c r="B202" s="25"/>
      <c r="C202" s="25"/>
      <c r="D202" s="25"/>
      <c r="E202" s="26" t="str">
        <f t="shared" si="27"/>
        <v/>
      </c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3" t="str">
        <f>IF($F202="","",IF(OR($B202="",$C202="",$D202=""),"⚠ Compléter Année/Niveau/Session",IF(AND($E202&lt;&gt;"",COUNTIF(D_KEY_DOUBLON,$B202&amp;"|"&amp;$D202&amp;"|"&amp;$E202)&gt;1),"⚠ Doublon",IF(AND($E202&lt;&gt;"",COUNTIF(D_KEY_STATUT,$B202&amp;"|"&amp;$E202&amp;"|P")&gt;0,COUNTIF(D_KEY_STATUT,$B202&amp;"|"&amp;$E202&amp;"|A")&gt;0),"⚠ Statut incohérent",IF(AND($D202="S1",$Y202&lt;&gt;"Parti",COUNTIF(ANNEES_VERROU,$B202)&gt;0,COUNTIF(D_KEY_NIVSES,$B202&amp;"|"&amp;$C202&amp;"|S2")&gt;0,COUNTIF(D_KEY_DOUBLON,$B202&amp;"|S2|"&amp;$E202)=0),"⚠ Départ non confirmé ?",IF(AND($C202&lt;&gt;"",ISNUMBER($I202),OR(VALUE(LEFT($B202,4))-$I202&lt;4+IFERROR(MATCH($C202,LISTE_NIVEAUX,0),99),VALUE(LEFT($B202,4))-$I202&gt;6+IFERROR(MATCH($C202,LISTE_NIVEAUX,0),99))),"⚠ Vérifier niveau",IF(AND(IFERROR(VLOOKUP($C202,TABLE_CYCLE,2,0),3)=2,COUNT($O202:$Q202)&gt;0),"⚠ Tests cycle 3",IF(COUNT($J202:$Q202)&gt;=IF(IFERROR(VLOOKUP($C202,TABLE_CYCLE,2,0),3)=2,5,8),"Complet","Incomplet"))))))))</f>
        <v/>
      </c>
      <c r="S202" s="24"/>
      <c r="T202" s="67" t="str">
        <f t="shared" si="28"/>
        <v/>
      </c>
      <c r="U202" s="67" t="str">
        <f t="shared" si="29"/>
        <v/>
      </c>
      <c r="V202" s="67" t="str">
        <f t="shared" si="30"/>
        <v/>
      </c>
      <c r="W202" s="67" t="str">
        <f t="shared" si="31"/>
        <v/>
      </c>
      <c r="X202" s="67" t="str">
        <f t="shared" si="32"/>
        <v/>
      </c>
      <c r="Y202" s="24" t="str">
        <f t="shared" si="33"/>
        <v/>
      </c>
      <c r="Z202">
        <f t="shared" si="34"/>
        <v>0</v>
      </c>
      <c r="AA202">
        <f t="shared" si="35"/>
        <v>0</v>
      </c>
    </row>
    <row r="203" spans="2:27" ht="15.75" customHeight="1" x14ac:dyDescent="0.3">
      <c r="B203" s="21"/>
      <c r="C203" s="21"/>
      <c r="D203" s="21"/>
      <c r="E203" s="22" t="str">
        <f t="shared" si="27"/>
        <v/>
      </c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3" t="str">
        <f>IF($F203="","",IF(OR($B203="",$C203="",$D203=""),"⚠ Compléter Année/Niveau/Session",IF(AND($E203&lt;&gt;"",COUNTIF(D_KEY_DOUBLON,$B203&amp;"|"&amp;$D203&amp;"|"&amp;$E203)&gt;1),"⚠ Doublon",IF(AND($E203&lt;&gt;"",COUNTIF(D_KEY_STATUT,$B203&amp;"|"&amp;$E203&amp;"|P")&gt;0,COUNTIF(D_KEY_STATUT,$B203&amp;"|"&amp;$E203&amp;"|A")&gt;0),"⚠ Statut incohérent",IF(AND($D203="S1",$Y203&lt;&gt;"Parti",COUNTIF(ANNEES_VERROU,$B203)&gt;0,COUNTIF(D_KEY_NIVSES,$B203&amp;"|"&amp;$C203&amp;"|S2")&gt;0,COUNTIF(D_KEY_DOUBLON,$B203&amp;"|S2|"&amp;$E203)=0),"⚠ Départ non confirmé ?",IF(AND($C203&lt;&gt;"",ISNUMBER($I203),OR(VALUE(LEFT($B203,4))-$I203&lt;4+IFERROR(MATCH($C203,LISTE_NIVEAUX,0),99),VALUE(LEFT($B203,4))-$I203&gt;6+IFERROR(MATCH($C203,LISTE_NIVEAUX,0),99))),"⚠ Vérifier niveau",IF(AND(IFERROR(VLOOKUP($C203,TABLE_CYCLE,2,0),3)=2,COUNT($O203:$Q203)&gt;0),"⚠ Tests cycle 3",IF(COUNT($J203:$Q203)&gt;=IF(IFERROR(VLOOKUP($C203,TABLE_CYCLE,2,0),3)=2,5,8),"Complet","Incomplet"))))))))</f>
        <v/>
      </c>
      <c r="S203" s="24"/>
      <c r="T203" s="67" t="str">
        <f t="shared" si="28"/>
        <v/>
      </c>
      <c r="U203" s="67" t="str">
        <f t="shared" si="29"/>
        <v/>
      </c>
      <c r="V203" s="67" t="str">
        <f t="shared" si="30"/>
        <v/>
      </c>
      <c r="W203" s="67" t="str">
        <f t="shared" si="31"/>
        <v/>
      </c>
      <c r="X203" s="67" t="str">
        <f t="shared" si="32"/>
        <v/>
      </c>
      <c r="Y203" s="24" t="str">
        <f t="shared" si="33"/>
        <v/>
      </c>
      <c r="Z203">
        <f t="shared" si="34"/>
        <v>0</v>
      </c>
      <c r="AA203">
        <f t="shared" si="35"/>
        <v>0</v>
      </c>
    </row>
    <row r="204" spans="2:27" ht="15.75" customHeight="1" x14ac:dyDescent="0.3">
      <c r="B204" s="25"/>
      <c r="C204" s="25"/>
      <c r="D204" s="25"/>
      <c r="E204" s="26" t="str">
        <f t="shared" si="27"/>
        <v/>
      </c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3" t="str">
        <f>IF($F204="","",IF(OR($B204="",$C204="",$D204=""),"⚠ Compléter Année/Niveau/Session",IF(AND($E204&lt;&gt;"",COUNTIF(D_KEY_DOUBLON,$B204&amp;"|"&amp;$D204&amp;"|"&amp;$E204)&gt;1),"⚠ Doublon",IF(AND($E204&lt;&gt;"",COUNTIF(D_KEY_STATUT,$B204&amp;"|"&amp;$E204&amp;"|P")&gt;0,COUNTIF(D_KEY_STATUT,$B204&amp;"|"&amp;$E204&amp;"|A")&gt;0),"⚠ Statut incohérent",IF(AND($D204="S1",$Y204&lt;&gt;"Parti",COUNTIF(ANNEES_VERROU,$B204)&gt;0,COUNTIF(D_KEY_NIVSES,$B204&amp;"|"&amp;$C204&amp;"|S2")&gt;0,COUNTIF(D_KEY_DOUBLON,$B204&amp;"|S2|"&amp;$E204)=0),"⚠ Départ non confirmé ?",IF(AND($C204&lt;&gt;"",ISNUMBER($I204),OR(VALUE(LEFT($B204,4))-$I204&lt;4+IFERROR(MATCH($C204,LISTE_NIVEAUX,0),99),VALUE(LEFT($B204,4))-$I204&gt;6+IFERROR(MATCH($C204,LISTE_NIVEAUX,0),99))),"⚠ Vérifier niveau",IF(AND(IFERROR(VLOOKUP($C204,TABLE_CYCLE,2,0),3)=2,COUNT($O204:$Q204)&gt;0),"⚠ Tests cycle 3",IF(COUNT($J204:$Q204)&gt;=IF(IFERROR(VLOOKUP($C204,TABLE_CYCLE,2,0),3)=2,5,8),"Complet","Incomplet"))))))))</f>
        <v/>
      </c>
      <c r="S204" s="24"/>
      <c r="T204" s="67" t="str">
        <f t="shared" si="28"/>
        <v/>
      </c>
      <c r="U204" s="67" t="str">
        <f t="shared" si="29"/>
        <v/>
      </c>
      <c r="V204" s="67" t="str">
        <f t="shared" si="30"/>
        <v/>
      </c>
      <c r="W204" s="67" t="str">
        <f t="shared" si="31"/>
        <v/>
      </c>
      <c r="X204" s="67" t="str">
        <f t="shared" si="32"/>
        <v/>
      </c>
      <c r="Y204" s="24" t="str">
        <f t="shared" si="33"/>
        <v/>
      </c>
      <c r="Z204">
        <f t="shared" si="34"/>
        <v>0</v>
      </c>
      <c r="AA204">
        <f t="shared" si="35"/>
        <v>0</v>
      </c>
    </row>
    <row r="205" spans="2:27" ht="15.75" customHeight="1" x14ac:dyDescent="0.3">
      <c r="B205" s="21"/>
      <c r="C205" s="21"/>
      <c r="D205" s="21"/>
      <c r="E205" s="22" t="str">
        <f t="shared" si="27"/>
        <v/>
      </c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3" t="str">
        <f>IF($F205="","",IF(OR($B205="",$C205="",$D205=""),"⚠ Compléter Année/Niveau/Session",IF(AND($E205&lt;&gt;"",COUNTIF(D_KEY_DOUBLON,$B205&amp;"|"&amp;$D205&amp;"|"&amp;$E205)&gt;1),"⚠ Doublon",IF(AND($E205&lt;&gt;"",COUNTIF(D_KEY_STATUT,$B205&amp;"|"&amp;$E205&amp;"|P")&gt;0,COUNTIF(D_KEY_STATUT,$B205&amp;"|"&amp;$E205&amp;"|A")&gt;0),"⚠ Statut incohérent",IF(AND($D205="S1",$Y205&lt;&gt;"Parti",COUNTIF(ANNEES_VERROU,$B205)&gt;0,COUNTIF(D_KEY_NIVSES,$B205&amp;"|"&amp;$C205&amp;"|S2")&gt;0,COUNTIF(D_KEY_DOUBLON,$B205&amp;"|S2|"&amp;$E205)=0),"⚠ Départ non confirmé ?",IF(AND($C205&lt;&gt;"",ISNUMBER($I205),OR(VALUE(LEFT($B205,4))-$I205&lt;4+IFERROR(MATCH($C205,LISTE_NIVEAUX,0),99),VALUE(LEFT($B205,4))-$I205&gt;6+IFERROR(MATCH($C205,LISTE_NIVEAUX,0),99))),"⚠ Vérifier niveau",IF(AND(IFERROR(VLOOKUP($C205,TABLE_CYCLE,2,0),3)=2,COUNT($O205:$Q205)&gt;0),"⚠ Tests cycle 3",IF(COUNT($J205:$Q205)&gt;=IF(IFERROR(VLOOKUP($C205,TABLE_CYCLE,2,0),3)=2,5,8),"Complet","Incomplet"))))))))</f>
        <v/>
      </c>
      <c r="S205" s="24"/>
      <c r="T205" s="67" t="str">
        <f t="shared" si="28"/>
        <v/>
      </c>
      <c r="U205" s="67" t="str">
        <f t="shared" si="29"/>
        <v/>
      </c>
      <c r="V205" s="67" t="str">
        <f t="shared" si="30"/>
        <v/>
      </c>
      <c r="W205" s="67" t="str">
        <f t="shared" si="31"/>
        <v/>
      </c>
      <c r="X205" s="67" t="str">
        <f t="shared" si="32"/>
        <v/>
      </c>
      <c r="Y205" s="24" t="str">
        <f t="shared" si="33"/>
        <v/>
      </c>
      <c r="Z205">
        <f t="shared" si="34"/>
        <v>0</v>
      </c>
      <c r="AA205">
        <f t="shared" si="35"/>
        <v>0</v>
      </c>
    </row>
    <row r="206" spans="2:27" ht="15.75" customHeight="1" x14ac:dyDescent="0.3">
      <c r="B206" s="25"/>
      <c r="C206" s="25"/>
      <c r="D206" s="25"/>
      <c r="E206" s="26" t="str">
        <f t="shared" si="27"/>
        <v/>
      </c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3" t="str">
        <f>IF($F206="","",IF(OR($B206="",$C206="",$D206=""),"⚠ Compléter Année/Niveau/Session",IF(AND($E206&lt;&gt;"",COUNTIF(D_KEY_DOUBLON,$B206&amp;"|"&amp;$D206&amp;"|"&amp;$E206)&gt;1),"⚠ Doublon",IF(AND($E206&lt;&gt;"",COUNTIF(D_KEY_STATUT,$B206&amp;"|"&amp;$E206&amp;"|P")&gt;0,COUNTIF(D_KEY_STATUT,$B206&amp;"|"&amp;$E206&amp;"|A")&gt;0),"⚠ Statut incohérent",IF(AND($D206="S1",$Y206&lt;&gt;"Parti",COUNTIF(ANNEES_VERROU,$B206)&gt;0,COUNTIF(D_KEY_NIVSES,$B206&amp;"|"&amp;$C206&amp;"|S2")&gt;0,COUNTIF(D_KEY_DOUBLON,$B206&amp;"|S2|"&amp;$E206)=0),"⚠ Départ non confirmé ?",IF(AND($C206&lt;&gt;"",ISNUMBER($I206),OR(VALUE(LEFT($B206,4))-$I206&lt;4+IFERROR(MATCH($C206,LISTE_NIVEAUX,0),99),VALUE(LEFT($B206,4))-$I206&gt;6+IFERROR(MATCH($C206,LISTE_NIVEAUX,0),99))),"⚠ Vérifier niveau",IF(AND(IFERROR(VLOOKUP($C206,TABLE_CYCLE,2,0),3)=2,COUNT($O206:$Q206)&gt;0),"⚠ Tests cycle 3",IF(COUNT($J206:$Q206)&gt;=IF(IFERROR(VLOOKUP($C206,TABLE_CYCLE,2,0),3)=2,5,8),"Complet","Incomplet"))))))))</f>
        <v/>
      </c>
      <c r="S206" s="24"/>
      <c r="T206" s="67" t="str">
        <f t="shared" si="28"/>
        <v/>
      </c>
      <c r="U206" s="67" t="str">
        <f t="shared" si="29"/>
        <v/>
      </c>
      <c r="V206" s="67" t="str">
        <f t="shared" si="30"/>
        <v/>
      </c>
      <c r="W206" s="67" t="str">
        <f t="shared" si="31"/>
        <v/>
      </c>
      <c r="X206" s="67" t="str">
        <f t="shared" si="32"/>
        <v/>
      </c>
      <c r="Y206" s="24" t="str">
        <f t="shared" si="33"/>
        <v/>
      </c>
      <c r="Z206">
        <f t="shared" si="34"/>
        <v>0</v>
      </c>
      <c r="AA206">
        <f t="shared" si="35"/>
        <v>0</v>
      </c>
    </row>
    <row r="207" spans="2:27" ht="15.75" customHeight="1" x14ac:dyDescent="0.3">
      <c r="B207" s="21"/>
      <c r="C207" s="21"/>
      <c r="D207" s="21"/>
      <c r="E207" s="22" t="str">
        <f t="shared" si="27"/>
        <v/>
      </c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3" t="str">
        <f>IF($F207="","",IF(OR($B207="",$C207="",$D207=""),"⚠ Compléter Année/Niveau/Session",IF(AND($E207&lt;&gt;"",COUNTIF(D_KEY_DOUBLON,$B207&amp;"|"&amp;$D207&amp;"|"&amp;$E207)&gt;1),"⚠ Doublon",IF(AND($E207&lt;&gt;"",COUNTIF(D_KEY_STATUT,$B207&amp;"|"&amp;$E207&amp;"|P")&gt;0,COUNTIF(D_KEY_STATUT,$B207&amp;"|"&amp;$E207&amp;"|A")&gt;0),"⚠ Statut incohérent",IF(AND($D207="S1",$Y207&lt;&gt;"Parti",COUNTIF(ANNEES_VERROU,$B207)&gt;0,COUNTIF(D_KEY_NIVSES,$B207&amp;"|"&amp;$C207&amp;"|S2")&gt;0,COUNTIF(D_KEY_DOUBLON,$B207&amp;"|S2|"&amp;$E207)=0),"⚠ Départ non confirmé ?",IF(AND($C207&lt;&gt;"",ISNUMBER($I207),OR(VALUE(LEFT($B207,4))-$I207&lt;4+IFERROR(MATCH($C207,LISTE_NIVEAUX,0),99),VALUE(LEFT($B207,4))-$I207&gt;6+IFERROR(MATCH($C207,LISTE_NIVEAUX,0),99))),"⚠ Vérifier niveau",IF(AND(IFERROR(VLOOKUP($C207,TABLE_CYCLE,2,0),3)=2,COUNT($O207:$Q207)&gt;0),"⚠ Tests cycle 3",IF(COUNT($J207:$Q207)&gt;=IF(IFERROR(VLOOKUP($C207,TABLE_CYCLE,2,0),3)=2,5,8),"Complet","Incomplet"))))))))</f>
        <v/>
      </c>
      <c r="S207" s="24"/>
      <c r="T207" s="67" t="str">
        <f t="shared" si="28"/>
        <v/>
      </c>
      <c r="U207" s="67" t="str">
        <f t="shared" si="29"/>
        <v/>
      </c>
      <c r="V207" s="67" t="str">
        <f t="shared" si="30"/>
        <v/>
      </c>
      <c r="W207" s="67" t="str">
        <f t="shared" si="31"/>
        <v/>
      </c>
      <c r="X207" s="67" t="str">
        <f t="shared" si="32"/>
        <v/>
      </c>
      <c r="Y207" s="24" t="str">
        <f t="shared" si="33"/>
        <v/>
      </c>
      <c r="Z207">
        <f t="shared" si="34"/>
        <v>0</v>
      </c>
      <c r="AA207">
        <f t="shared" si="35"/>
        <v>0</v>
      </c>
    </row>
    <row r="208" spans="2:27" ht="15.75" customHeight="1" x14ac:dyDescent="0.3">
      <c r="B208" s="25"/>
      <c r="C208" s="25"/>
      <c r="D208" s="25"/>
      <c r="E208" s="26" t="str">
        <f t="shared" si="27"/>
        <v/>
      </c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3" t="str">
        <f>IF($F208="","",IF(OR($B208="",$C208="",$D208=""),"⚠ Compléter Année/Niveau/Session",IF(AND($E208&lt;&gt;"",COUNTIF(D_KEY_DOUBLON,$B208&amp;"|"&amp;$D208&amp;"|"&amp;$E208)&gt;1),"⚠ Doublon",IF(AND($E208&lt;&gt;"",COUNTIF(D_KEY_STATUT,$B208&amp;"|"&amp;$E208&amp;"|P")&gt;0,COUNTIF(D_KEY_STATUT,$B208&amp;"|"&amp;$E208&amp;"|A")&gt;0),"⚠ Statut incohérent",IF(AND($D208="S1",$Y208&lt;&gt;"Parti",COUNTIF(ANNEES_VERROU,$B208)&gt;0,COUNTIF(D_KEY_NIVSES,$B208&amp;"|"&amp;$C208&amp;"|S2")&gt;0,COUNTIF(D_KEY_DOUBLON,$B208&amp;"|S2|"&amp;$E208)=0),"⚠ Départ non confirmé ?",IF(AND($C208&lt;&gt;"",ISNUMBER($I208),OR(VALUE(LEFT($B208,4))-$I208&lt;4+IFERROR(MATCH($C208,LISTE_NIVEAUX,0),99),VALUE(LEFT($B208,4))-$I208&gt;6+IFERROR(MATCH($C208,LISTE_NIVEAUX,0),99))),"⚠ Vérifier niveau",IF(AND(IFERROR(VLOOKUP($C208,TABLE_CYCLE,2,0),3)=2,COUNT($O208:$Q208)&gt;0),"⚠ Tests cycle 3",IF(COUNT($J208:$Q208)&gt;=IF(IFERROR(VLOOKUP($C208,TABLE_CYCLE,2,0),3)=2,5,8),"Complet","Incomplet"))))))))</f>
        <v/>
      </c>
      <c r="S208" s="24"/>
      <c r="T208" s="67" t="str">
        <f t="shared" si="28"/>
        <v/>
      </c>
      <c r="U208" s="67" t="str">
        <f t="shared" si="29"/>
        <v/>
      </c>
      <c r="V208" s="67" t="str">
        <f t="shared" si="30"/>
        <v/>
      </c>
      <c r="W208" s="67" t="str">
        <f t="shared" si="31"/>
        <v/>
      </c>
      <c r="X208" s="67" t="str">
        <f t="shared" si="32"/>
        <v/>
      </c>
      <c r="Y208" s="24" t="str">
        <f t="shared" si="33"/>
        <v/>
      </c>
      <c r="Z208">
        <f t="shared" si="34"/>
        <v>0</v>
      </c>
      <c r="AA208">
        <f t="shared" si="35"/>
        <v>0</v>
      </c>
    </row>
    <row r="209" spans="2:27" ht="15.75" customHeight="1" x14ac:dyDescent="0.3">
      <c r="B209" s="21"/>
      <c r="C209" s="21"/>
      <c r="D209" s="21"/>
      <c r="E209" s="22" t="str">
        <f t="shared" si="27"/>
        <v/>
      </c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3" t="str">
        <f>IF($F209="","",IF(OR($B209="",$C209="",$D209=""),"⚠ Compléter Année/Niveau/Session",IF(AND($E209&lt;&gt;"",COUNTIF(D_KEY_DOUBLON,$B209&amp;"|"&amp;$D209&amp;"|"&amp;$E209)&gt;1),"⚠ Doublon",IF(AND($E209&lt;&gt;"",COUNTIF(D_KEY_STATUT,$B209&amp;"|"&amp;$E209&amp;"|P")&gt;0,COUNTIF(D_KEY_STATUT,$B209&amp;"|"&amp;$E209&amp;"|A")&gt;0),"⚠ Statut incohérent",IF(AND($D209="S1",$Y209&lt;&gt;"Parti",COUNTIF(ANNEES_VERROU,$B209)&gt;0,COUNTIF(D_KEY_NIVSES,$B209&amp;"|"&amp;$C209&amp;"|S2")&gt;0,COUNTIF(D_KEY_DOUBLON,$B209&amp;"|S2|"&amp;$E209)=0),"⚠ Départ non confirmé ?",IF(AND($C209&lt;&gt;"",ISNUMBER($I209),OR(VALUE(LEFT($B209,4))-$I209&lt;4+IFERROR(MATCH($C209,LISTE_NIVEAUX,0),99),VALUE(LEFT($B209,4))-$I209&gt;6+IFERROR(MATCH($C209,LISTE_NIVEAUX,0),99))),"⚠ Vérifier niveau",IF(AND(IFERROR(VLOOKUP($C209,TABLE_CYCLE,2,0),3)=2,COUNT($O209:$Q209)&gt;0),"⚠ Tests cycle 3",IF(COUNT($J209:$Q209)&gt;=IF(IFERROR(VLOOKUP($C209,TABLE_CYCLE,2,0),3)=2,5,8),"Complet","Incomplet"))))))))</f>
        <v/>
      </c>
      <c r="S209" s="24"/>
      <c r="T209" s="67" t="str">
        <f t="shared" si="28"/>
        <v/>
      </c>
      <c r="U209" s="67" t="str">
        <f t="shared" si="29"/>
        <v/>
      </c>
      <c r="V209" s="67" t="str">
        <f t="shared" si="30"/>
        <v/>
      </c>
      <c r="W209" s="67" t="str">
        <f t="shared" si="31"/>
        <v/>
      </c>
      <c r="X209" s="67" t="str">
        <f t="shared" si="32"/>
        <v/>
      </c>
      <c r="Y209" s="24" t="str">
        <f t="shared" si="33"/>
        <v/>
      </c>
      <c r="Z209">
        <f t="shared" si="34"/>
        <v>0</v>
      </c>
      <c r="AA209">
        <f t="shared" si="35"/>
        <v>0</v>
      </c>
    </row>
    <row r="210" spans="2:27" ht="15.75" customHeight="1" x14ac:dyDescent="0.3">
      <c r="B210" s="25"/>
      <c r="C210" s="25"/>
      <c r="D210" s="25"/>
      <c r="E210" s="26" t="str">
        <f t="shared" si="27"/>
        <v/>
      </c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3" t="str">
        <f>IF($F210="","",IF(OR($B210="",$C210="",$D210=""),"⚠ Compléter Année/Niveau/Session",IF(AND($E210&lt;&gt;"",COUNTIF(D_KEY_DOUBLON,$B210&amp;"|"&amp;$D210&amp;"|"&amp;$E210)&gt;1),"⚠ Doublon",IF(AND($E210&lt;&gt;"",COUNTIF(D_KEY_STATUT,$B210&amp;"|"&amp;$E210&amp;"|P")&gt;0,COUNTIF(D_KEY_STATUT,$B210&amp;"|"&amp;$E210&amp;"|A")&gt;0),"⚠ Statut incohérent",IF(AND($D210="S1",$Y210&lt;&gt;"Parti",COUNTIF(ANNEES_VERROU,$B210)&gt;0,COUNTIF(D_KEY_NIVSES,$B210&amp;"|"&amp;$C210&amp;"|S2")&gt;0,COUNTIF(D_KEY_DOUBLON,$B210&amp;"|S2|"&amp;$E210)=0),"⚠ Départ non confirmé ?",IF(AND($C210&lt;&gt;"",ISNUMBER($I210),OR(VALUE(LEFT($B210,4))-$I210&lt;4+IFERROR(MATCH($C210,LISTE_NIVEAUX,0),99),VALUE(LEFT($B210,4))-$I210&gt;6+IFERROR(MATCH($C210,LISTE_NIVEAUX,0),99))),"⚠ Vérifier niveau",IF(AND(IFERROR(VLOOKUP($C210,TABLE_CYCLE,2,0),3)=2,COUNT($O210:$Q210)&gt;0),"⚠ Tests cycle 3",IF(COUNT($J210:$Q210)&gt;=IF(IFERROR(VLOOKUP($C210,TABLE_CYCLE,2,0),3)=2,5,8),"Complet","Incomplet"))))))))</f>
        <v/>
      </c>
      <c r="S210" s="24"/>
      <c r="T210" s="67" t="str">
        <f t="shared" si="28"/>
        <v/>
      </c>
      <c r="U210" s="67" t="str">
        <f t="shared" si="29"/>
        <v/>
      </c>
      <c r="V210" s="67" t="str">
        <f t="shared" si="30"/>
        <v/>
      </c>
      <c r="W210" s="67" t="str">
        <f t="shared" si="31"/>
        <v/>
      </c>
      <c r="X210" s="67" t="str">
        <f t="shared" si="32"/>
        <v/>
      </c>
      <c r="Y210" s="24" t="str">
        <f t="shared" si="33"/>
        <v/>
      </c>
      <c r="Z210">
        <f t="shared" si="34"/>
        <v>0</v>
      </c>
      <c r="AA210">
        <f t="shared" si="35"/>
        <v>0</v>
      </c>
    </row>
    <row r="211" spans="2:27" ht="15.75" customHeight="1" x14ac:dyDescent="0.3">
      <c r="B211" s="21"/>
      <c r="C211" s="21"/>
      <c r="D211" s="21"/>
      <c r="E211" s="22" t="str">
        <f t="shared" si="27"/>
        <v/>
      </c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3" t="str">
        <f>IF($F211="","",IF(OR($B211="",$C211="",$D211=""),"⚠ Compléter Année/Niveau/Session",IF(AND($E211&lt;&gt;"",COUNTIF(D_KEY_DOUBLON,$B211&amp;"|"&amp;$D211&amp;"|"&amp;$E211)&gt;1),"⚠ Doublon",IF(AND($E211&lt;&gt;"",COUNTIF(D_KEY_STATUT,$B211&amp;"|"&amp;$E211&amp;"|P")&gt;0,COUNTIF(D_KEY_STATUT,$B211&amp;"|"&amp;$E211&amp;"|A")&gt;0),"⚠ Statut incohérent",IF(AND($D211="S1",$Y211&lt;&gt;"Parti",COUNTIF(ANNEES_VERROU,$B211)&gt;0,COUNTIF(D_KEY_NIVSES,$B211&amp;"|"&amp;$C211&amp;"|S2")&gt;0,COUNTIF(D_KEY_DOUBLON,$B211&amp;"|S2|"&amp;$E211)=0),"⚠ Départ non confirmé ?",IF(AND($C211&lt;&gt;"",ISNUMBER($I211),OR(VALUE(LEFT($B211,4))-$I211&lt;4+IFERROR(MATCH($C211,LISTE_NIVEAUX,0),99),VALUE(LEFT($B211,4))-$I211&gt;6+IFERROR(MATCH($C211,LISTE_NIVEAUX,0),99))),"⚠ Vérifier niveau",IF(AND(IFERROR(VLOOKUP($C211,TABLE_CYCLE,2,0),3)=2,COUNT($O211:$Q211)&gt;0),"⚠ Tests cycle 3",IF(COUNT($J211:$Q211)&gt;=IF(IFERROR(VLOOKUP($C211,TABLE_CYCLE,2,0),3)=2,5,8),"Complet","Incomplet"))))))))</f>
        <v/>
      </c>
      <c r="S211" s="24"/>
      <c r="T211" s="67" t="str">
        <f t="shared" si="28"/>
        <v/>
      </c>
      <c r="U211" s="67" t="str">
        <f t="shared" si="29"/>
        <v/>
      </c>
      <c r="V211" s="67" t="str">
        <f t="shared" si="30"/>
        <v/>
      </c>
      <c r="W211" s="67" t="str">
        <f t="shared" si="31"/>
        <v/>
      </c>
      <c r="X211" s="67" t="str">
        <f t="shared" si="32"/>
        <v/>
      </c>
      <c r="Y211" s="24" t="str">
        <f t="shared" si="33"/>
        <v/>
      </c>
      <c r="Z211">
        <f t="shared" si="34"/>
        <v>0</v>
      </c>
      <c r="AA211">
        <f t="shared" si="35"/>
        <v>0</v>
      </c>
    </row>
    <row r="212" spans="2:27" ht="15.75" customHeight="1" x14ac:dyDescent="0.3">
      <c r="B212" s="25"/>
      <c r="C212" s="25"/>
      <c r="D212" s="25"/>
      <c r="E212" s="26" t="str">
        <f t="shared" si="27"/>
        <v/>
      </c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3" t="str">
        <f>IF($F212="","",IF(OR($B212="",$C212="",$D212=""),"⚠ Compléter Année/Niveau/Session",IF(AND($E212&lt;&gt;"",COUNTIF(D_KEY_DOUBLON,$B212&amp;"|"&amp;$D212&amp;"|"&amp;$E212)&gt;1),"⚠ Doublon",IF(AND($E212&lt;&gt;"",COUNTIF(D_KEY_STATUT,$B212&amp;"|"&amp;$E212&amp;"|P")&gt;0,COUNTIF(D_KEY_STATUT,$B212&amp;"|"&amp;$E212&amp;"|A")&gt;0),"⚠ Statut incohérent",IF(AND($D212="S1",$Y212&lt;&gt;"Parti",COUNTIF(ANNEES_VERROU,$B212)&gt;0,COUNTIF(D_KEY_NIVSES,$B212&amp;"|"&amp;$C212&amp;"|S2")&gt;0,COUNTIF(D_KEY_DOUBLON,$B212&amp;"|S2|"&amp;$E212)=0),"⚠ Départ non confirmé ?",IF(AND($C212&lt;&gt;"",ISNUMBER($I212),OR(VALUE(LEFT($B212,4))-$I212&lt;4+IFERROR(MATCH($C212,LISTE_NIVEAUX,0),99),VALUE(LEFT($B212,4))-$I212&gt;6+IFERROR(MATCH($C212,LISTE_NIVEAUX,0),99))),"⚠ Vérifier niveau",IF(AND(IFERROR(VLOOKUP($C212,TABLE_CYCLE,2,0),3)=2,COUNT($O212:$Q212)&gt;0),"⚠ Tests cycle 3",IF(COUNT($J212:$Q212)&gt;=IF(IFERROR(VLOOKUP($C212,TABLE_CYCLE,2,0),3)=2,5,8),"Complet","Incomplet"))))))))</f>
        <v/>
      </c>
      <c r="S212" s="24"/>
      <c r="T212" s="67" t="str">
        <f t="shared" si="28"/>
        <v/>
      </c>
      <c r="U212" s="67" t="str">
        <f t="shared" si="29"/>
        <v/>
      </c>
      <c r="V212" s="67" t="str">
        <f t="shared" si="30"/>
        <v/>
      </c>
      <c r="W212" s="67" t="str">
        <f t="shared" si="31"/>
        <v/>
      </c>
      <c r="X212" s="67" t="str">
        <f t="shared" si="32"/>
        <v/>
      </c>
      <c r="Y212" s="24" t="str">
        <f t="shared" si="33"/>
        <v/>
      </c>
      <c r="Z212">
        <f t="shared" si="34"/>
        <v>0</v>
      </c>
      <c r="AA212">
        <f t="shared" si="35"/>
        <v>0</v>
      </c>
    </row>
    <row r="213" spans="2:27" ht="15.75" customHeight="1" x14ac:dyDescent="0.3">
      <c r="B213" s="21"/>
      <c r="C213" s="21"/>
      <c r="D213" s="21"/>
      <c r="E213" s="22" t="str">
        <f t="shared" si="27"/>
        <v/>
      </c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3" t="str">
        <f>IF($F213="","",IF(OR($B213="",$C213="",$D213=""),"⚠ Compléter Année/Niveau/Session",IF(AND($E213&lt;&gt;"",COUNTIF(D_KEY_DOUBLON,$B213&amp;"|"&amp;$D213&amp;"|"&amp;$E213)&gt;1),"⚠ Doublon",IF(AND($E213&lt;&gt;"",COUNTIF(D_KEY_STATUT,$B213&amp;"|"&amp;$E213&amp;"|P")&gt;0,COUNTIF(D_KEY_STATUT,$B213&amp;"|"&amp;$E213&amp;"|A")&gt;0),"⚠ Statut incohérent",IF(AND($D213="S1",$Y213&lt;&gt;"Parti",COUNTIF(ANNEES_VERROU,$B213)&gt;0,COUNTIF(D_KEY_NIVSES,$B213&amp;"|"&amp;$C213&amp;"|S2")&gt;0,COUNTIF(D_KEY_DOUBLON,$B213&amp;"|S2|"&amp;$E213)=0),"⚠ Départ non confirmé ?",IF(AND($C213&lt;&gt;"",ISNUMBER($I213),OR(VALUE(LEFT($B213,4))-$I213&lt;4+IFERROR(MATCH($C213,LISTE_NIVEAUX,0),99),VALUE(LEFT($B213,4))-$I213&gt;6+IFERROR(MATCH($C213,LISTE_NIVEAUX,0),99))),"⚠ Vérifier niveau",IF(AND(IFERROR(VLOOKUP($C213,TABLE_CYCLE,2,0),3)=2,COUNT($O213:$Q213)&gt;0),"⚠ Tests cycle 3",IF(COUNT($J213:$Q213)&gt;=IF(IFERROR(VLOOKUP($C213,TABLE_CYCLE,2,0),3)=2,5,8),"Complet","Incomplet"))))))))</f>
        <v/>
      </c>
      <c r="S213" s="24"/>
      <c r="T213" s="67" t="str">
        <f t="shared" si="28"/>
        <v/>
      </c>
      <c r="U213" s="67" t="str">
        <f t="shared" si="29"/>
        <v/>
      </c>
      <c r="V213" s="67" t="str">
        <f t="shared" si="30"/>
        <v/>
      </c>
      <c r="W213" s="67" t="str">
        <f t="shared" si="31"/>
        <v/>
      </c>
      <c r="X213" s="67" t="str">
        <f t="shared" si="32"/>
        <v/>
      </c>
      <c r="Y213" s="24" t="str">
        <f t="shared" si="33"/>
        <v/>
      </c>
      <c r="Z213">
        <f t="shared" si="34"/>
        <v>0</v>
      </c>
      <c r="AA213">
        <f t="shared" si="35"/>
        <v>0</v>
      </c>
    </row>
    <row r="214" spans="2:27" ht="15.75" customHeight="1" x14ac:dyDescent="0.3">
      <c r="B214" s="25"/>
      <c r="C214" s="25"/>
      <c r="D214" s="25"/>
      <c r="E214" s="26" t="str">
        <f t="shared" si="27"/>
        <v/>
      </c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3" t="str">
        <f>IF($F214="","",IF(OR($B214="",$C214="",$D214=""),"⚠ Compléter Année/Niveau/Session",IF(AND($E214&lt;&gt;"",COUNTIF(D_KEY_DOUBLON,$B214&amp;"|"&amp;$D214&amp;"|"&amp;$E214)&gt;1),"⚠ Doublon",IF(AND($E214&lt;&gt;"",COUNTIF(D_KEY_STATUT,$B214&amp;"|"&amp;$E214&amp;"|P")&gt;0,COUNTIF(D_KEY_STATUT,$B214&amp;"|"&amp;$E214&amp;"|A")&gt;0),"⚠ Statut incohérent",IF(AND($D214="S1",$Y214&lt;&gt;"Parti",COUNTIF(ANNEES_VERROU,$B214)&gt;0,COUNTIF(D_KEY_NIVSES,$B214&amp;"|"&amp;$C214&amp;"|S2")&gt;0,COUNTIF(D_KEY_DOUBLON,$B214&amp;"|S2|"&amp;$E214)=0),"⚠ Départ non confirmé ?",IF(AND($C214&lt;&gt;"",ISNUMBER($I214),OR(VALUE(LEFT($B214,4))-$I214&lt;4+IFERROR(MATCH($C214,LISTE_NIVEAUX,0),99),VALUE(LEFT($B214,4))-$I214&gt;6+IFERROR(MATCH($C214,LISTE_NIVEAUX,0),99))),"⚠ Vérifier niveau",IF(AND(IFERROR(VLOOKUP($C214,TABLE_CYCLE,2,0),3)=2,COUNT($O214:$Q214)&gt;0),"⚠ Tests cycle 3",IF(COUNT($J214:$Q214)&gt;=IF(IFERROR(VLOOKUP($C214,TABLE_CYCLE,2,0),3)=2,5,8),"Complet","Incomplet"))))))))</f>
        <v/>
      </c>
      <c r="S214" s="24"/>
      <c r="T214" s="67" t="str">
        <f t="shared" si="28"/>
        <v/>
      </c>
      <c r="U214" s="67" t="str">
        <f t="shared" si="29"/>
        <v/>
      </c>
      <c r="V214" s="67" t="str">
        <f t="shared" si="30"/>
        <v/>
      </c>
      <c r="W214" s="67" t="str">
        <f t="shared" si="31"/>
        <v/>
      </c>
      <c r="X214" s="67" t="str">
        <f t="shared" si="32"/>
        <v/>
      </c>
      <c r="Y214" s="24" t="str">
        <f t="shared" si="33"/>
        <v/>
      </c>
      <c r="Z214">
        <f t="shared" si="34"/>
        <v>0</v>
      </c>
      <c r="AA214">
        <f t="shared" si="35"/>
        <v>0</v>
      </c>
    </row>
    <row r="215" spans="2:27" ht="15.75" customHeight="1" x14ac:dyDescent="0.3">
      <c r="B215" s="21"/>
      <c r="C215" s="21"/>
      <c r="D215" s="21"/>
      <c r="E215" s="22" t="str">
        <f t="shared" si="27"/>
        <v/>
      </c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3" t="str">
        <f>IF($F215="","",IF(OR($B215="",$C215="",$D215=""),"⚠ Compléter Année/Niveau/Session",IF(AND($E215&lt;&gt;"",COUNTIF(D_KEY_DOUBLON,$B215&amp;"|"&amp;$D215&amp;"|"&amp;$E215)&gt;1),"⚠ Doublon",IF(AND($E215&lt;&gt;"",COUNTIF(D_KEY_STATUT,$B215&amp;"|"&amp;$E215&amp;"|P")&gt;0,COUNTIF(D_KEY_STATUT,$B215&amp;"|"&amp;$E215&amp;"|A")&gt;0),"⚠ Statut incohérent",IF(AND($D215="S1",$Y215&lt;&gt;"Parti",COUNTIF(ANNEES_VERROU,$B215)&gt;0,COUNTIF(D_KEY_NIVSES,$B215&amp;"|"&amp;$C215&amp;"|S2")&gt;0,COUNTIF(D_KEY_DOUBLON,$B215&amp;"|S2|"&amp;$E215)=0),"⚠ Départ non confirmé ?",IF(AND($C215&lt;&gt;"",ISNUMBER($I215),OR(VALUE(LEFT($B215,4))-$I215&lt;4+IFERROR(MATCH($C215,LISTE_NIVEAUX,0),99),VALUE(LEFT($B215,4))-$I215&gt;6+IFERROR(MATCH($C215,LISTE_NIVEAUX,0),99))),"⚠ Vérifier niveau",IF(AND(IFERROR(VLOOKUP($C215,TABLE_CYCLE,2,0),3)=2,COUNT($O215:$Q215)&gt;0),"⚠ Tests cycle 3",IF(COUNT($J215:$Q215)&gt;=IF(IFERROR(VLOOKUP($C215,TABLE_CYCLE,2,0),3)=2,5,8),"Complet","Incomplet"))))))))</f>
        <v/>
      </c>
      <c r="S215" s="24"/>
      <c r="T215" s="67" t="str">
        <f t="shared" si="28"/>
        <v/>
      </c>
      <c r="U215" s="67" t="str">
        <f t="shared" si="29"/>
        <v/>
      </c>
      <c r="V215" s="67" t="str">
        <f t="shared" si="30"/>
        <v/>
      </c>
      <c r="W215" s="67" t="str">
        <f t="shared" si="31"/>
        <v/>
      </c>
      <c r="X215" s="67" t="str">
        <f t="shared" si="32"/>
        <v/>
      </c>
      <c r="Y215" s="24" t="str">
        <f t="shared" si="33"/>
        <v/>
      </c>
      <c r="Z215">
        <f t="shared" si="34"/>
        <v>0</v>
      </c>
      <c r="AA215">
        <f t="shared" si="35"/>
        <v>0</v>
      </c>
    </row>
    <row r="216" spans="2:27" ht="15.75" customHeight="1" x14ac:dyDescent="0.3">
      <c r="B216" s="25"/>
      <c r="C216" s="25"/>
      <c r="D216" s="25"/>
      <c r="E216" s="26" t="str">
        <f t="shared" si="27"/>
        <v/>
      </c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3" t="str">
        <f>IF($F216="","",IF(OR($B216="",$C216="",$D216=""),"⚠ Compléter Année/Niveau/Session",IF(AND($E216&lt;&gt;"",COUNTIF(D_KEY_DOUBLON,$B216&amp;"|"&amp;$D216&amp;"|"&amp;$E216)&gt;1),"⚠ Doublon",IF(AND($E216&lt;&gt;"",COUNTIF(D_KEY_STATUT,$B216&amp;"|"&amp;$E216&amp;"|P")&gt;0,COUNTIF(D_KEY_STATUT,$B216&amp;"|"&amp;$E216&amp;"|A")&gt;0),"⚠ Statut incohérent",IF(AND($D216="S1",$Y216&lt;&gt;"Parti",COUNTIF(ANNEES_VERROU,$B216)&gt;0,COUNTIF(D_KEY_NIVSES,$B216&amp;"|"&amp;$C216&amp;"|S2")&gt;0,COUNTIF(D_KEY_DOUBLON,$B216&amp;"|S2|"&amp;$E216)=0),"⚠ Départ non confirmé ?",IF(AND($C216&lt;&gt;"",ISNUMBER($I216),OR(VALUE(LEFT($B216,4))-$I216&lt;4+IFERROR(MATCH($C216,LISTE_NIVEAUX,0),99),VALUE(LEFT($B216,4))-$I216&gt;6+IFERROR(MATCH($C216,LISTE_NIVEAUX,0),99))),"⚠ Vérifier niveau",IF(AND(IFERROR(VLOOKUP($C216,TABLE_CYCLE,2,0),3)=2,COUNT($O216:$Q216)&gt;0),"⚠ Tests cycle 3",IF(COUNT($J216:$Q216)&gt;=IF(IFERROR(VLOOKUP($C216,TABLE_CYCLE,2,0),3)=2,5,8),"Complet","Incomplet"))))))))</f>
        <v/>
      </c>
      <c r="S216" s="24"/>
      <c r="T216" s="67" t="str">
        <f t="shared" si="28"/>
        <v/>
      </c>
      <c r="U216" s="67" t="str">
        <f t="shared" si="29"/>
        <v/>
      </c>
      <c r="V216" s="67" t="str">
        <f t="shared" si="30"/>
        <v/>
      </c>
      <c r="W216" s="67" t="str">
        <f t="shared" si="31"/>
        <v/>
      </c>
      <c r="X216" s="67" t="str">
        <f t="shared" si="32"/>
        <v/>
      </c>
      <c r="Y216" s="24" t="str">
        <f t="shared" si="33"/>
        <v/>
      </c>
      <c r="Z216">
        <f t="shared" si="34"/>
        <v>0</v>
      </c>
      <c r="AA216">
        <f t="shared" si="35"/>
        <v>0</v>
      </c>
    </row>
    <row r="217" spans="2:27" ht="15.75" customHeight="1" x14ac:dyDescent="0.3">
      <c r="B217" s="21"/>
      <c r="C217" s="21"/>
      <c r="D217" s="21"/>
      <c r="E217" s="22" t="str">
        <f t="shared" si="27"/>
        <v/>
      </c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3" t="str">
        <f>IF($F217="","",IF(OR($B217="",$C217="",$D217=""),"⚠ Compléter Année/Niveau/Session",IF(AND($E217&lt;&gt;"",COUNTIF(D_KEY_DOUBLON,$B217&amp;"|"&amp;$D217&amp;"|"&amp;$E217)&gt;1),"⚠ Doublon",IF(AND($E217&lt;&gt;"",COUNTIF(D_KEY_STATUT,$B217&amp;"|"&amp;$E217&amp;"|P")&gt;0,COUNTIF(D_KEY_STATUT,$B217&amp;"|"&amp;$E217&amp;"|A")&gt;0),"⚠ Statut incohérent",IF(AND($D217="S1",$Y217&lt;&gt;"Parti",COUNTIF(ANNEES_VERROU,$B217)&gt;0,COUNTIF(D_KEY_NIVSES,$B217&amp;"|"&amp;$C217&amp;"|S2")&gt;0,COUNTIF(D_KEY_DOUBLON,$B217&amp;"|S2|"&amp;$E217)=0),"⚠ Départ non confirmé ?",IF(AND($C217&lt;&gt;"",ISNUMBER($I217),OR(VALUE(LEFT($B217,4))-$I217&lt;4+IFERROR(MATCH($C217,LISTE_NIVEAUX,0),99),VALUE(LEFT($B217,4))-$I217&gt;6+IFERROR(MATCH($C217,LISTE_NIVEAUX,0),99))),"⚠ Vérifier niveau",IF(AND(IFERROR(VLOOKUP($C217,TABLE_CYCLE,2,0),3)=2,COUNT($O217:$Q217)&gt;0),"⚠ Tests cycle 3",IF(COUNT($J217:$Q217)&gt;=IF(IFERROR(VLOOKUP($C217,TABLE_CYCLE,2,0),3)=2,5,8),"Complet","Incomplet"))))))))</f>
        <v/>
      </c>
      <c r="S217" s="24"/>
      <c r="T217" s="67" t="str">
        <f t="shared" si="28"/>
        <v/>
      </c>
      <c r="U217" s="67" t="str">
        <f t="shared" si="29"/>
        <v/>
      </c>
      <c r="V217" s="67" t="str">
        <f t="shared" si="30"/>
        <v/>
      </c>
      <c r="W217" s="67" t="str">
        <f t="shared" si="31"/>
        <v/>
      </c>
      <c r="X217" s="67" t="str">
        <f t="shared" si="32"/>
        <v/>
      </c>
      <c r="Y217" s="24" t="str">
        <f t="shared" si="33"/>
        <v/>
      </c>
      <c r="Z217">
        <f t="shared" si="34"/>
        <v>0</v>
      </c>
      <c r="AA217">
        <f t="shared" si="35"/>
        <v>0</v>
      </c>
    </row>
    <row r="218" spans="2:27" ht="15.75" customHeight="1" x14ac:dyDescent="0.3">
      <c r="B218" s="25"/>
      <c r="C218" s="25"/>
      <c r="D218" s="25"/>
      <c r="E218" s="26" t="str">
        <f t="shared" si="27"/>
        <v/>
      </c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3" t="str">
        <f>IF($F218="","",IF(OR($B218="",$C218="",$D218=""),"⚠ Compléter Année/Niveau/Session",IF(AND($E218&lt;&gt;"",COUNTIF(D_KEY_DOUBLON,$B218&amp;"|"&amp;$D218&amp;"|"&amp;$E218)&gt;1),"⚠ Doublon",IF(AND($E218&lt;&gt;"",COUNTIF(D_KEY_STATUT,$B218&amp;"|"&amp;$E218&amp;"|P")&gt;0,COUNTIF(D_KEY_STATUT,$B218&amp;"|"&amp;$E218&amp;"|A")&gt;0),"⚠ Statut incohérent",IF(AND($D218="S1",$Y218&lt;&gt;"Parti",COUNTIF(ANNEES_VERROU,$B218)&gt;0,COUNTIF(D_KEY_NIVSES,$B218&amp;"|"&amp;$C218&amp;"|S2")&gt;0,COUNTIF(D_KEY_DOUBLON,$B218&amp;"|S2|"&amp;$E218)=0),"⚠ Départ non confirmé ?",IF(AND($C218&lt;&gt;"",ISNUMBER($I218),OR(VALUE(LEFT($B218,4))-$I218&lt;4+IFERROR(MATCH($C218,LISTE_NIVEAUX,0),99),VALUE(LEFT($B218,4))-$I218&gt;6+IFERROR(MATCH($C218,LISTE_NIVEAUX,0),99))),"⚠ Vérifier niveau",IF(AND(IFERROR(VLOOKUP($C218,TABLE_CYCLE,2,0),3)=2,COUNT($O218:$Q218)&gt;0),"⚠ Tests cycle 3",IF(COUNT($J218:$Q218)&gt;=IF(IFERROR(VLOOKUP($C218,TABLE_CYCLE,2,0),3)=2,5,8),"Complet","Incomplet"))))))))</f>
        <v/>
      </c>
      <c r="S218" s="24"/>
      <c r="T218" s="67" t="str">
        <f t="shared" si="28"/>
        <v/>
      </c>
      <c r="U218" s="67" t="str">
        <f t="shared" si="29"/>
        <v/>
      </c>
      <c r="V218" s="67" t="str">
        <f t="shared" si="30"/>
        <v/>
      </c>
      <c r="W218" s="67" t="str">
        <f t="shared" si="31"/>
        <v/>
      </c>
      <c r="X218" s="67" t="str">
        <f t="shared" si="32"/>
        <v/>
      </c>
      <c r="Y218" s="24" t="str">
        <f t="shared" si="33"/>
        <v/>
      </c>
      <c r="Z218">
        <f t="shared" si="34"/>
        <v>0</v>
      </c>
      <c r="AA218">
        <f t="shared" si="35"/>
        <v>0</v>
      </c>
    </row>
    <row r="219" spans="2:27" ht="15.75" customHeight="1" x14ac:dyDescent="0.3">
      <c r="B219" s="21"/>
      <c r="C219" s="21"/>
      <c r="D219" s="21"/>
      <c r="E219" s="22" t="str">
        <f t="shared" si="27"/>
        <v/>
      </c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3" t="str">
        <f>IF($F219="","",IF(OR($B219="",$C219="",$D219=""),"⚠ Compléter Année/Niveau/Session",IF(AND($E219&lt;&gt;"",COUNTIF(D_KEY_DOUBLON,$B219&amp;"|"&amp;$D219&amp;"|"&amp;$E219)&gt;1),"⚠ Doublon",IF(AND($E219&lt;&gt;"",COUNTIF(D_KEY_STATUT,$B219&amp;"|"&amp;$E219&amp;"|P")&gt;0,COUNTIF(D_KEY_STATUT,$B219&amp;"|"&amp;$E219&amp;"|A")&gt;0),"⚠ Statut incohérent",IF(AND($D219="S1",$Y219&lt;&gt;"Parti",COUNTIF(ANNEES_VERROU,$B219)&gt;0,COUNTIF(D_KEY_NIVSES,$B219&amp;"|"&amp;$C219&amp;"|S2")&gt;0,COUNTIF(D_KEY_DOUBLON,$B219&amp;"|S2|"&amp;$E219)=0),"⚠ Départ non confirmé ?",IF(AND($C219&lt;&gt;"",ISNUMBER($I219),OR(VALUE(LEFT($B219,4))-$I219&lt;4+IFERROR(MATCH($C219,LISTE_NIVEAUX,0),99),VALUE(LEFT($B219,4))-$I219&gt;6+IFERROR(MATCH($C219,LISTE_NIVEAUX,0),99))),"⚠ Vérifier niveau",IF(AND(IFERROR(VLOOKUP($C219,TABLE_CYCLE,2,0),3)=2,COUNT($O219:$Q219)&gt;0),"⚠ Tests cycle 3",IF(COUNT($J219:$Q219)&gt;=IF(IFERROR(VLOOKUP($C219,TABLE_CYCLE,2,0),3)=2,5,8),"Complet","Incomplet"))))))))</f>
        <v/>
      </c>
      <c r="S219" s="24"/>
      <c r="T219" s="67" t="str">
        <f t="shared" si="28"/>
        <v/>
      </c>
      <c r="U219" s="67" t="str">
        <f t="shared" si="29"/>
        <v/>
      </c>
      <c r="V219" s="67" t="str">
        <f t="shared" si="30"/>
        <v/>
      </c>
      <c r="W219" s="67" t="str">
        <f t="shared" si="31"/>
        <v/>
      </c>
      <c r="X219" s="67" t="str">
        <f t="shared" si="32"/>
        <v/>
      </c>
      <c r="Y219" s="24" t="str">
        <f t="shared" si="33"/>
        <v/>
      </c>
      <c r="Z219">
        <f t="shared" si="34"/>
        <v>0</v>
      </c>
      <c r="AA219">
        <f t="shared" si="35"/>
        <v>0</v>
      </c>
    </row>
    <row r="220" spans="2:27" ht="15.75" customHeight="1" x14ac:dyDescent="0.3">
      <c r="B220" s="25"/>
      <c r="C220" s="25"/>
      <c r="D220" s="25"/>
      <c r="E220" s="26" t="str">
        <f t="shared" si="27"/>
        <v/>
      </c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3" t="str">
        <f>IF($F220="","",IF(OR($B220="",$C220="",$D220=""),"⚠ Compléter Année/Niveau/Session",IF(AND($E220&lt;&gt;"",COUNTIF(D_KEY_DOUBLON,$B220&amp;"|"&amp;$D220&amp;"|"&amp;$E220)&gt;1),"⚠ Doublon",IF(AND($E220&lt;&gt;"",COUNTIF(D_KEY_STATUT,$B220&amp;"|"&amp;$E220&amp;"|P")&gt;0,COUNTIF(D_KEY_STATUT,$B220&amp;"|"&amp;$E220&amp;"|A")&gt;0),"⚠ Statut incohérent",IF(AND($D220="S1",$Y220&lt;&gt;"Parti",COUNTIF(ANNEES_VERROU,$B220)&gt;0,COUNTIF(D_KEY_NIVSES,$B220&amp;"|"&amp;$C220&amp;"|S2")&gt;0,COUNTIF(D_KEY_DOUBLON,$B220&amp;"|S2|"&amp;$E220)=0),"⚠ Départ non confirmé ?",IF(AND($C220&lt;&gt;"",ISNUMBER($I220),OR(VALUE(LEFT($B220,4))-$I220&lt;4+IFERROR(MATCH($C220,LISTE_NIVEAUX,0),99),VALUE(LEFT($B220,4))-$I220&gt;6+IFERROR(MATCH($C220,LISTE_NIVEAUX,0),99))),"⚠ Vérifier niveau",IF(AND(IFERROR(VLOOKUP($C220,TABLE_CYCLE,2,0),3)=2,COUNT($O220:$Q220)&gt;0),"⚠ Tests cycle 3",IF(COUNT($J220:$Q220)&gt;=IF(IFERROR(VLOOKUP($C220,TABLE_CYCLE,2,0),3)=2,5,8),"Complet","Incomplet"))))))))</f>
        <v/>
      </c>
      <c r="S220" s="24"/>
      <c r="T220" s="67" t="str">
        <f t="shared" si="28"/>
        <v/>
      </c>
      <c r="U220" s="67" t="str">
        <f t="shared" si="29"/>
        <v/>
      </c>
      <c r="V220" s="67" t="str">
        <f t="shared" si="30"/>
        <v/>
      </c>
      <c r="W220" s="67" t="str">
        <f t="shared" si="31"/>
        <v/>
      </c>
      <c r="X220" s="67" t="str">
        <f t="shared" si="32"/>
        <v/>
      </c>
      <c r="Y220" s="24" t="str">
        <f t="shared" si="33"/>
        <v/>
      </c>
      <c r="Z220">
        <f t="shared" si="34"/>
        <v>0</v>
      </c>
      <c r="AA220">
        <f t="shared" si="35"/>
        <v>0</v>
      </c>
    </row>
    <row r="221" spans="2:27" ht="15.75" customHeight="1" x14ac:dyDescent="0.3">
      <c r="B221" s="21"/>
      <c r="C221" s="21"/>
      <c r="D221" s="21"/>
      <c r="E221" s="22" t="str">
        <f t="shared" si="27"/>
        <v/>
      </c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3" t="str">
        <f>IF($F221="","",IF(OR($B221="",$C221="",$D221=""),"⚠ Compléter Année/Niveau/Session",IF(AND($E221&lt;&gt;"",COUNTIF(D_KEY_DOUBLON,$B221&amp;"|"&amp;$D221&amp;"|"&amp;$E221)&gt;1),"⚠ Doublon",IF(AND($E221&lt;&gt;"",COUNTIF(D_KEY_STATUT,$B221&amp;"|"&amp;$E221&amp;"|P")&gt;0,COUNTIF(D_KEY_STATUT,$B221&amp;"|"&amp;$E221&amp;"|A")&gt;0),"⚠ Statut incohérent",IF(AND($D221="S1",$Y221&lt;&gt;"Parti",COUNTIF(ANNEES_VERROU,$B221)&gt;0,COUNTIF(D_KEY_NIVSES,$B221&amp;"|"&amp;$C221&amp;"|S2")&gt;0,COUNTIF(D_KEY_DOUBLON,$B221&amp;"|S2|"&amp;$E221)=0),"⚠ Départ non confirmé ?",IF(AND($C221&lt;&gt;"",ISNUMBER($I221),OR(VALUE(LEFT($B221,4))-$I221&lt;4+IFERROR(MATCH($C221,LISTE_NIVEAUX,0),99),VALUE(LEFT($B221,4))-$I221&gt;6+IFERROR(MATCH($C221,LISTE_NIVEAUX,0),99))),"⚠ Vérifier niveau",IF(AND(IFERROR(VLOOKUP($C221,TABLE_CYCLE,2,0),3)=2,COUNT($O221:$Q221)&gt;0),"⚠ Tests cycle 3",IF(COUNT($J221:$Q221)&gt;=IF(IFERROR(VLOOKUP($C221,TABLE_CYCLE,2,0),3)=2,5,8),"Complet","Incomplet"))))))))</f>
        <v/>
      </c>
      <c r="S221" s="24"/>
      <c r="T221" s="67" t="str">
        <f t="shared" si="28"/>
        <v/>
      </c>
      <c r="U221" s="67" t="str">
        <f t="shared" si="29"/>
        <v/>
      </c>
      <c r="V221" s="67" t="str">
        <f t="shared" si="30"/>
        <v/>
      </c>
      <c r="W221" s="67" t="str">
        <f t="shared" si="31"/>
        <v/>
      </c>
      <c r="X221" s="67" t="str">
        <f t="shared" si="32"/>
        <v/>
      </c>
      <c r="Y221" s="24" t="str">
        <f t="shared" si="33"/>
        <v/>
      </c>
      <c r="Z221">
        <f t="shared" si="34"/>
        <v>0</v>
      </c>
      <c r="AA221">
        <f t="shared" si="35"/>
        <v>0</v>
      </c>
    </row>
    <row r="222" spans="2:27" ht="15.75" customHeight="1" x14ac:dyDescent="0.3">
      <c r="B222" s="25"/>
      <c r="C222" s="25"/>
      <c r="D222" s="25"/>
      <c r="E222" s="26" t="str">
        <f t="shared" si="27"/>
        <v/>
      </c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3" t="str">
        <f>IF($F222="","",IF(OR($B222="",$C222="",$D222=""),"⚠ Compléter Année/Niveau/Session",IF(AND($E222&lt;&gt;"",COUNTIF(D_KEY_DOUBLON,$B222&amp;"|"&amp;$D222&amp;"|"&amp;$E222)&gt;1),"⚠ Doublon",IF(AND($E222&lt;&gt;"",COUNTIF(D_KEY_STATUT,$B222&amp;"|"&amp;$E222&amp;"|P")&gt;0,COUNTIF(D_KEY_STATUT,$B222&amp;"|"&amp;$E222&amp;"|A")&gt;0),"⚠ Statut incohérent",IF(AND($D222="S1",$Y222&lt;&gt;"Parti",COUNTIF(ANNEES_VERROU,$B222)&gt;0,COUNTIF(D_KEY_NIVSES,$B222&amp;"|"&amp;$C222&amp;"|S2")&gt;0,COUNTIF(D_KEY_DOUBLON,$B222&amp;"|S2|"&amp;$E222)=0),"⚠ Départ non confirmé ?",IF(AND($C222&lt;&gt;"",ISNUMBER($I222),OR(VALUE(LEFT($B222,4))-$I222&lt;4+IFERROR(MATCH($C222,LISTE_NIVEAUX,0),99),VALUE(LEFT($B222,4))-$I222&gt;6+IFERROR(MATCH($C222,LISTE_NIVEAUX,0),99))),"⚠ Vérifier niveau",IF(AND(IFERROR(VLOOKUP($C222,TABLE_CYCLE,2,0),3)=2,COUNT($O222:$Q222)&gt;0),"⚠ Tests cycle 3",IF(COUNT($J222:$Q222)&gt;=IF(IFERROR(VLOOKUP($C222,TABLE_CYCLE,2,0),3)=2,5,8),"Complet","Incomplet"))))))))</f>
        <v/>
      </c>
      <c r="S222" s="24"/>
      <c r="T222" s="67" t="str">
        <f t="shared" si="28"/>
        <v/>
      </c>
      <c r="U222" s="67" t="str">
        <f t="shared" si="29"/>
        <v/>
      </c>
      <c r="V222" s="67" t="str">
        <f t="shared" si="30"/>
        <v/>
      </c>
      <c r="W222" s="67" t="str">
        <f t="shared" si="31"/>
        <v/>
      </c>
      <c r="X222" s="67" t="str">
        <f t="shared" si="32"/>
        <v/>
      </c>
      <c r="Y222" s="24" t="str">
        <f t="shared" si="33"/>
        <v/>
      </c>
      <c r="Z222">
        <f t="shared" si="34"/>
        <v>0</v>
      </c>
      <c r="AA222">
        <f t="shared" si="35"/>
        <v>0</v>
      </c>
    </row>
    <row r="223" spans="2:27" ht="15.75" customHeight="1" x14ac:dyDescent="0.3">
      <c r="B223" s="21"/>
      <c r="C223" s="21"/>
      <c r="D223" s="21"/>
      <c r="E223" s="22" t="str">
        <f t="shared" si="27"/>
        <v/>
      </c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3" t="str">
        <f>IF($F223="","",IF(OR($B223="",$C223="",$D223=""),"⚠ Compléter Année/Niveau/Session",IF(AND($E223&lt;&gt;"",COUNTIF(D_KEY_DOUBLON,$B223&amp;"|"&amp;$D223&amp;"|"&amp;$E223)&gt;1),"⚠ Doublon",IF(AND($E223&lt;&gt;"",COUNTIF(D_KEY_STATUT,$B223&amp;"|"&amp;$E223&amp;"|P")&gt;0,COUNTIF(D_KEY_STATUT,$B223&amp;"|"&amp;$E223&amp;"|A")&gt;0),"⚠ Statut incohérent",IF(AND($D223="S1",$Y223&lt;&gt;"Parti",COUNTIF(ANNEES_VERROU,$B223)&gt;0,COUNTIF(D_KEY_NIVSES,$B223&amp;"|"&amp;$C223&amp;"|S2")&gt;0,COUNTIF(D_KEY_DOUBLON,$B223&amp;"|S2|"&amp;$E223)=0),"⚠ Départ non confirmé ?",IF(AND($C223&lt;&gt;"",ISNUMBER($I223),OR(VALUE(LEFT($B223,4))-$I223&lt;4+IFERROR(MATCH($C223,LISTE_NIVEAUX,0),99),VALUE(LEFT($B223,4))-$I223&gt;6+IFERROR(MATCH($C223,LISTE_NIVEAUX,0),99))),"⚠ Vérifier niveau",IF(AND(IFERROR(VLOOKUP($C223,TABLE_CYCLE,2,0),3)=2,COUNT($O223:$Q223)&gt;0),"⚠ Tests cycle 3",IF(COUNT($J223:$Q223)&gt;=IF(IFERROR(VLOOKUP($C223,TABLE_CYCLE,2,0),3)=2,5,8),"Complet","Incomplet"))))))))</f>
        <v/>
      </c>
      <c r="S223" s="24"/>
      <c r="T223" s="67" t="str">
        <f t="shared" si="28"/>
        <v/>
      </c>
      <c r="U223" s="67" t="str">
        <f t="shared" si="29"/>
        <v/>
      </c>
      <c r="V223" s="67" t="str">
        <f t="shared" si="30"/>
        <v/>
      </c>
      <c r="W223" s="67" t="str">
        <f t="shared" si="31"/>
        <v/>
      </c>
      <c r="X223" s="67" t="str">
        <f t="shared" si="32"/>
        <v/>
      </c>
      <c r="Y223" s="24" t="str">
        <f t="shared" si="33"/>
        <v/>
      </c>
      <c r="Z223">
        <f t="shared" si="34"/>
        <v>0</v>
      </c>
      <c r="AA223">
        <f t="shared" si="35"/>
        <v>0</v>
      </c>
    </row>
    <row r="224" spans="2:27" ht="15.75" customHeight="1" x14ac:dyDescent="0.3">
      <c r="B224" s="25"/>
      <c r="C224" s="25"/>
      <c r="D224" s="25"/>
      <c r="E224" s="26" t="str">
        <f t="shared" si="27"/>
        <v/>
      </c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3" t="str">
        <f>IF($F224="","",IF(OR($B224="",$C224="",$D224=""),"⚠ Compléter Année/Niveau/Session",IF(AND($E224&lt;&gt;"",COUNTIF(D_KEY_DOUBLON,$B224&amp;"|"&amp;$D224&amp;"|"&amp;$E224)&gt;1),"⚠ Doublon",IF(AND($E224&lt;&gt;"",COUNTIF(D_KEY_STATUT,$B224&amp;"|"&amp;$E224&amp;"|P")&gt;0,COUNTIF(D_KEY_STATUT,$B224&amp;"|"&amp;$E224&amp;"|A")&gt;0),"⚠ Statut incohérent",IF(AND($D224="S1",$Y224&lt;&gt;"Parti",COUNTIF(ANNEES_VERROU,$B224)&gt;0,COUNTIF(D_KEY_NIVSES,$B224&amp;"|"&amp;$C224&amp;"|S2")&gt;0,COUNTIF(D_KEY_DOUBLON,$B224&amp;"|S2|"&amp;$E224)=0),"⚠ Départ non confirmé ?",IF(AND($C224&lt;&gt;"",ISNUMBER($I224),OR(VALUE(LEFT($B224,4))-$I224&lt;4+IFERROR(MATCH($C224,LISTE_NIVEAUX,0),99),VALUE(LEFT($B224,4))-$I224&gt;6+IFERROR(MATCH($C224,LISTE_NIVEAUX,0),99))),"⚠ Vérifier niveau",IF(AND(IFERROR(VLOOKUP($C224,TABLE_CYCLE,2,0),3)=2,COUNT($O224:$Q224)&gt;0),"⚠ Tests cycle 3",IF(COUNT($J224:$Q224)&gt;=IF(IFERROR(VLOOKUP($C224,TABLE_CYCLE,2,0),3)=2,5,8),"Complet","Incomplet"))))))))</f>
        <v/>
      </c>
      <c r="S224" s="24"/>
      <c r="T224" s="67" t="str">
        <f t="shared" si="28"/>
        <v/>
      </c>
      <c r="U224" s="67" t="str">
        <f t="shared" si="29"/>
        <v/>
      </c>
      <c r="V224" s="67" t="str">
        <f t="shared" si="30"/>
        <v/>
      </c>
      <c r="W224" s="67" t="str">
        <f t="shared" si="31"/>
        <v/>
      </c>
      <c r="X224" s="67" t="str">
        <f t="shared" si="32"/>
        <v/>
      </c>
      <c r="Y224" s="24" t="str">
        <f t="shared" si="33"/>
        <v/>
      </c>
      <c r="Z224">
        <f t="shared" si="34"/>
        <v>0</v>
      </c>
      <c r="AA224">
        <f t="shared" si="35"/>
        <v>0</v>
      </c>
    </row>
    <row r="225" spans="2:27" ht="15.75" customHeight="1" x14ac:dyDescent="0.3">
      <c r="B225" s="21"/>
      <c r="C225" s="21"/>
      <c r="D225" s="21"/>
      <c r="E225" s="22" t="str">
        <f t="shared" si="27"/>
        <v/>
      </c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3" t="str">
        <f>IF($F225="","",IF(OR($B225="",$C225="",$D225=""),"⚠ Compléter Année/Niveau/Session",IF(AND($E225&lt;&gt;"",COUNTIF(D_KEY_DOUBLON,$B225&amp;"|"&amp;$D225&amp;"|"&amp;$E225)&gt;1),"⚠ Doublon",IF(AND($E225&lt;&gt;"",COUNTIF(D_KEY_STATUT,$B225&amp;"|"&amp;$E225&amp;"|P")&gt;0,COUNTIF(D_KEY_STATUT,$B225&amp;"|"&amp;$E225&amp;"|A")&gt;0),"⚠ Statut incohérent",IF(AND($D225="S1",$Y225&lt;&gt;"Parti",COUNTIF(ANNEES_VERROU,$B225)&gt;0,COUNTIF(D_KEY_NIVSES,$B225&amp;"|"&amp;$C225&amp;"|S2")&gt;0,COUNTIF(D_KEY_DOUBLON,$B225&amp;"|S2|"&amp;$E225)=0),"⚠ Départ non confirmé ?",IF(AND($C225&lt;&gt;"",ISNUMBER($I225),OR(VALUE(LEFT($B225,4))-$I225&lt;4+IFERROR(MATCH($C225,LISTE_NIVEAUX,0),99),VALUE(LEFT($B225,4))-$I225&gt;6+IFERROR(MATCH($C225,LISTE_NIVEAUX,0),99))),"⚠ Vérifier niveau",IF(AND(IFERROR(VLOOKUP($C225,TABLE_CYCLE,2,0),3)=2,COUNT($O225:$Q225)&gt;0),"⚠ Tests cycle 3",IF(COUNT($J225:$Q225)&gt;=IF(IFERROR(VLOOKUP($C225,TABLE_CYCLE,2,0),3)=2,5,8),"Complet","Incomplet"))))))))</f>
        <v/>
      </c>
      <c r="S225" s="24"/>
      <c r="T225" s="67" t="str">
        <f t="shared" si="28"/>
        <v/>
      </c>
      <c r="U225" s="67" t="str">
        <f t="shared" si="29"/>
        <v/>
      </c>
      <c r="V225" s="67" t="str">
        <f t="shared" si="30"/>
        <v/>
      </c>
      <c r="W225" s="67" t="str">
        <f t="shared" si="31"/>
        <v/>
      </c>
      <c r="X225" s="67" t="str">
        <f t="shared" si="32"/>
        <v/>
      </c>
      <c r="Y225" s="24" t="str">
        <f t="shared" si="33"/>
        <v/>
      </c>
      <c r="Z225">
        <f t="shared" si="34"/>
        <v>0</v>
      </c>
      <c r="AA225">
        <f t="shared" si="35"/>
        <v>0</v>
      </c>
    </row>
    <row r="226" spans="2:27" ht="15.75" customHeight="1" x14ac:dyDescent="0.3">
      <c r="B226" s="25"/>
      <c r="C226" s="25"/>
      <c r="D226" s="25"/>
      <c r="E226" s="26" t="str">
        <f t="shared" si="27"/>
        <v/>
      </c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3" t="str">
        <f>IF($F226="","",IF(OR($B226="",$C226="",$D226=""),"⚠ Compléter Année/Niveau/Session",IF(AND($E226&lt;&gt;"",COUNTIF(D_KEY_DOUBLON,$B226&amp;"|"&amp;$D226&amp;"|"&amp;$E226)&gt;1),"⚠ Doublon",IF(AND($E226&lt;&gt;"",COUNTIF(D_KEY_STATUT,$B226&amp;"|"&amp;$E226&amp;"|P")&gt;0,COUNTIF(D_KEY_STATUT,$B226&amp;"|"&amp;$E226&amp;"|A")&gt;0),"⚠ Statut incohérent",IF(AND($D226="S1",$Y226&lt;&gt;"Parti",COUNTIF(ANNEES_VERROU,$B226)&gt;0,COUNTIF(D_KEY_NIVSES,$B226&amp;"|"&amp;$C226&amp;"|S2")&gt;0,COUNTIF(D_KEY_DOUBLON,$B226&amp;"|S2|"&amp;$E226)=0),"⚠ Départ non confirmé ?",IF(AND($C226&lt;&gt;"",ISNUMBER($I226),OR(VALUE(LEFT($B226,4))-$I226&lt;4+IFERROR(MATCH($C226,LISTE_NIVEAUX,0),99),VALUE(LEFT($B226,4))-$I226&gt;6+IFERROR(MATCH($C226,LISTE_NIVEAUX,0),99))),"⚠ Vérifier niveau",IF(AND(IFERROR(VLOOKUP($C226,TABLE_CYCLE,2,0),3)=2,COUNT($O226:$Q226)&gt;0),"⚠ Tests cycle 3",IF(COUNT($J226:$Q226)&gt;=IF(IFERROR(VLOOKUP($C226,TABLE_CYCLE,2,0),3)=2,5,8),"Complet","Incomplet"))))))))</f>
        <v/>
      </c>
      <c r="S226" s="24"/>
      <c r="T226" s="67" t="str">
        <f t="shared" si="28"/>
        <v/>
      </c>
      <c r="U226" s="67" t="str">
        <f t="shared" si="29"/>
        <v/>
      </c>
      <c r="V226" s="67" t="str">
        <f t="shared" si="30"/>
        <v/>
      </c>
      <c r="W226" s="67" t="str">
        <f t="shared" si="31"/>
        <v/>
      </c>
      <c r="X226" s="67" t="str">
        <f t="shared" si="32"/>
        <v/>
      </c>
      <c r="Y226" s="24" t="str">
        <f t="shared" si="33"/>
        <v/>
      </c>
      <c r="Z226">
        <f t="shared" si="34"/>
        <v>0</v>
      </c>
      <c r="AA226">
        <f t="shared" si="35"/>
        <v>0</v>
      </c>
    </row>
    <row r="227" spans="2:27" ht="15.75" customHeight="1" x14ac:dyDescent="0.3">
      <c r="B227" s="21"/>
      <c r="C227" s="21"/>
      <c r="D227" s="21"/>
      <c r="E227" s="22" t="str">
        <f t="shared" si="27"/>
        <v/>
      </c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3" t="str">
        <f>IF($F227="","",IF(OR($B227="",$C227="",$D227=""),"⚠ Compléter Année/Niveau/Session",IF(AND($E227&lt;&gt;"",COUNTIF(D_KEY_DOUBLON,$B227&amp;"|"&amp;$D227&amp;"|"&amp;$E227)&gt;1),"⚠ Doublon",IF(AND($E227&lt;&gt;"",COUNTIF(D_KEY_STATUT,$B227&amp;"|"&amp;$E227&amp;"|P")&gt;0,COUNTIF(D_KEY_STATUT,$B227&amp;"|"&amp;$E227&amp;"|A")&gt;0),"⚠ Statut incohérent",IF(AND($D227="S1",$Y227&lt;&gt;"Parti",COUNTIF(ANNEES_VERROU,$B227)&gt;0,COUNTIF(D_KEY_NIVSES,$B227&amp;"|"&amp;$C227&amp;"|S2")&gt;0,COUNTIF(D_KEY_DOUBLON,$B227&amp;"|S2|"&amp;$E227)=0),"⚠ Départ non confirmé ?",IF(AND($C227&lt;&gt;"",ISNUMBER($I227),OR(VALUE(LEFT($B227,4))-$I227&lt;4+IFERROR(MATCH($C227,LISTE_NIVEAUX,0),99),VALUE(LEFT($B227,4))-$I227&gt;6+IFERROR(MATCH($C227,LISTE_NIVEAUX,0),99))),"⚠ Vérifier niveau",IF(AND(IFERROR(VLOOKUP($C227,TABLE_CYCLE,2,0),3)=2,COUNT($O227:$Q227)&gt;0),"⚠ Tests cycle 3",IF(COUNT($J227:$Q227)&gt;=IF(IFERROR(VLOOKUP($C227,TABLE_CYCLE,2,0),3)=2,5,8),"Complet","Incomplet"))))))))</f>
        <v/>
      </c>
      <c r="S227" s="24"/>
      <c r="T227" s="67" t="str">
        <f t="shared" si="28"/>
        <v/>
      </c>
      <c r="U227" s="67" t="str">
        <f t="shared" si="29"/>
        <v/>
      </c>
      <c r="V227" s="67" t="str">
        <f t="shared" si="30"/>
        <v/>
      </c>
      <c r="W227" s="67" t="str">
        <f t="shared" si="31"/>
        <v/>
      </c>
      <c r="X227" s="67" t="str">
        <f t="shared" si="32"/>
        <v/>
      </c>
      <c r="Y227" s="24" t="str">
        <f t="shared" si="33"/>
        <v/>
      </c>
      <c r="Z227">
        <f t="shared" si="34"/>
        <v>0</v>
      </c>
      <c r="AA227">
        <f t="shared" si="35"/>
        <v>0</v>
      </c>
    </row>
    <row r="228" spans="2:27" ht="15.75" customHeight="1" x14ac:dyDescent="0.3">
      <c r="B228" s="25"/>
      <c r="C228" s="25"/>
      <c r="D228" s="25"/>
      <c r="E228" s="26" t="str">
        <f t="shared" si="27"/>
        <v/>
      </c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3" t="str">
        <f>IF($F228="","",IF(OR($B228="",$C228="",$D228=""),"⚠ Compléter Année/Niveau/Session",IF(AND($E228&lt;&gt;"",COUNTIF(D_KEY_DOUBLON,$B228&amp;"|"&amp;$D228&amp;"|"&amp;$E228)&gt;1),"⚠ Doublon",IF(AND($E228&lt;&gt;"",COUNTIF(D_KEY_STATUT,$B228&amp;"|"&amp;$E228&amp;"|P")&gt;0,COUNTIF(D_KEY_STATUT,$B228&amp;"|"&amp;$E228&amp;"|A")&gt;0),"⚠ Statut incohérent",IF(AND($D228="S1",$Y228&lt;&gt;"Parti",COUNTIF(ANNEES_VERROU,$B228)&gt;0,COUNTIF(D_KEY_NIVSES,$B228&amp;"|"&amp;$C228&amp;"|S2")&gt;0,COUNTIF(D_KEY_DOUBLON,$B228&amp;"|S2|"&amp;$E228)=0),"⚠ Départ non confirmé ?",IF(AND($C228&lt;&gt;"",ISNUMBER($I228),OR(VALUE(LEFT($B228,4))-$I228&lt;4+IFERROR(MATCH($C228,LISTE_NIVEAUX,0),99),VALUE(LEFT($B228,4))-$I228&gt;6+IFERROR(MATCH($C228,LISTE_NIVEAUX,0),99))),"⚠ Vérifier niveau",IF(AND(IFERROR(VLOOKUP($C228,TABLE_CYCLE,2,0),3)=2,COUNT($O228:$Q228)&gt;0),"⚠ Tests cycle 3",IF(COUNT($J228:$Q228)&gt;=IF(IFERROR(VLOOKUP($C228,TABLE_CYCLE,2,0),3)=2,5,8),"Complet","Incomplet"))))))))</f>
        <v/>
      </c>
      <c r="S228" s="24"/>
      <c r="T228" s="67" t="str">
        <f t="shared" si="28"/>
        <v/>
      </c>
      <c r="U228" s="67" t="str">
        <f t="shared" si="29"/>
        <v/>
      </c>
      <c r="V228" s="67" t="str">
        <f t="shared" si="30"/>
        <v/>
      </c>
      <c r="W228" s="67" t="str">
        <f t="shared" si="31"/>
        <v/>
      </c>
      <c r="X228" s="67" t="str">
        <f t="shared" si="32"/>
        <v/>
      </c>
      <c r="Y228" s="24" t="str">
        <f t="shared" si="33"/>
        <v/>
      </c>
      <c r="Z228">
        <f t="shared" si="34"/>
        <v>0</v>
      </c>
      <c r="AA228">
        <f t="shared" si="35"/>
        <v>0</v>
      </c>
    </row>
    <row r="229" spans="2:27" ht="15.75" customHeight="1" x14ac:dyDescent="0.3">
      <c r="B229" s="21"/>
      <c r="C229" s="21"/>
      <c r="D229" s="21"/>
      <c r="E229" s="22" t="str">
        <f t="shared" si="27"/>
        <v/>
      </c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3" t="str">
        <f>IF($F229="","",IF(OR($B229="",$C229="",$D229=""),"⚠ Compléter Année/Niveau/Session",IF(AND($E229&lt;&gt;"",COUNTIF(D_KEY_DOUBLON,$B229&amp;"|"&amp;$D229&amp;"|"&amp;$E229)&gt;1),"⚠ Doublon",IF(AND($E229&lt;&gt;"",COUNTIF(D_KEY_STATUT,$B229&amp;"|"&amp;$E229&amp;"|P")&gt;0,COUNTIF(D_KEY_STATUT,$B229&amp;"|"&amp;$E229&amp;"|A")&gt;0),"⚠ Statut incohérent",IF(AND($D229="S1",$Y229&lt;&gt;"Parti",COUNTIF(ANNEES_VERROU,$B229)&gt;0,COUNTIF(D_KEY_NIVSES,$B229&amp;"|"&amp;$C229&amp;"|S2")&gt;0,COUNTIF(D_KEY_DOUBLON,$B229&amp;"|S2|"&amp;$E229)=0),"⚠ Départ non confirmé ?",IF(AND($C229&lt;&gt;"",ISNUMBER($I229),OR(VALUE(LEFT($B229,4))-$I229&lt;4+IFERROR(MATCH($C229,LISTE_NIVEAUX,0),99),VALUE(LEFT($B229,4))-$I229&gt;6+IFERROR(MATCH($C229,LISTE_NIVEAUX,0),99))),"⚠ Vérifier niveau",IF(AND(IFERROR(VLOOKUP($C229,TABLE_CYCLE,2,0),3)=2,COUNT($O229:$Q229)&gt;0),"⚠ Tests cycle 3",IF(COUNT($J229:$Q229)&gt;=IF(IFERROR(VLOOKUP($C229,TABLE_CYCLE,2,0),3)=2,5,8),"Complet","Incomplet"))))))))</f>
        <v/>
      </c>
      <c r="S229" s="24"/>
      <c r="T229" s="67" t="str">
        <f t="shared" si="28"/>
        <v/>
      </c>
      <c r="U229" s="67" t="str">
        <f t="shared" si="29"/>
        <v/>
      </c>
      <c r="V229" s="67" t="str">
        <f t="shared" si="30"/>
        <v/>
      </c>
      <c r="W229" s="67" t="str">
        <f t="shared" si="31"/>
        <v/>
      </c>
      <c r="X229" s="67" t="str">
        <f t="shared" si="32"/>
        <v/>
      </c>
      <c r="Y229" s="24" t="str">
        <f t="shared" si="33"/>
        <v/>
      </c>
      <c r="Z229">
        <f t="shared" si="34"/>
        <v>0</v>
      </c>
      <c r="AA229">
        <f t="shared" si="35"/>
        <v>0</v>
      </c>
    </row>
    <row r="230" spans="2:27" ht="15.75" customHeight="1" x14ac:dyDescent="0.3">
      <c r="B230" s="25"/>
      <c r="C230" s="25"/>
      <c r="D230" s="25"/>
      <c r="E230" s="26" t="str">
        <f t="shared" si="27"/>
        <v/>
      </c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3" t="str">
        <f>IF($F230="","",IF(OR($B230="",$C230="",$D230=""),"⚠ Compléter Année/Niveau/Session",IF(AND($E230&lt;&gt;"",COUNTIF(D_KEY_DOUBLON,$B230&amp;"|"&amp;$D230&amp;"|"&amp;$E230)&gt;1),"⚠ Doublon",IF(AND($E230&lt;&gt;"",COUNTIF(D_KEY_STATUT,$B230&amp;"|"&amp;$E230&amp;"|P")&gt;0,COUNTIF(D_KEY_STATUT,$B230&amp;"|"&amp;$E230&amp;"|A")&gt;0),"⚠ Statut incohérent",IF(AND($D230="S1",$Y230&lt;&gt;"Parti",COUNTIF(ANNEES_VERROU,$B230)&gt;0,COUNTIF(D_KEY_NIVSES,$B230&amp;"|"&amp;$C230&amp;"|S2")&gt;0,COUNTIF(D_KEY_DOUBLON,$B230&amp;"|S2|"&amp;$E230)=0),"⚠ Départ non confirmé ?",IF(AND($C230&lt;&gt;"",ISNUMBER($I230),OR(VALUE(LEFT($B230,4))-$I230&lt;4+IFERROR(MATCH($C230,LISTE_NIVEAUX,0),99),VALUE(LEFT($B230,4))-$I230&gt;6+IFERROR(MATCH($C230,LISTE_NIVEAUX,0),99))),"⚠ Vérifier niveau",IF(AND(IFERROR(VLOOKUP($C230,TABLE_CYCLE,2,0),3)=2,COUNT($O230:$Q230)&gt;0),"⚠ Tests cycle 3",IF(COUNT($J230:$Q230)&gt;=IF(IFERROR(VLOOKUP($C230,TABLE_CYCLE,2,0),3)=2,5,8),"Complet","Incomplet"))))))))</f>
        <v/>
      </c>
      <c r="S230" s="24"/>
      <c r="T230" s="67" t="str">
        <f t="shared" si="28"/>
        <v/>
      </c>
      <c r="U230" s="67" t="str">
        <f t="shared" si="29"/>
        <v/>
      </c>
      <c r="V230" s="67" t="str">
        <f t="shared" si="30"/>
        <v/>
      </c>
      <c r="W230" s="67" t="str">
        <f t="shared" si="31"/>
        <v/>
      </c>
      <c r="X230" s="67" t="str">
        <f t="shared" si="32"/>
        <v/>
      </c>
      <c r="Y230" s="24" t="str">
        <f t="shared" si="33"/>
        <v/>
      </c>
      <c r="Z230">
        <f t="shared" si="34"/>
        <v>0</v>
      </c>
      <c r="AA230">
        <f t="shared" si="35"/>
        <v>0</v>
      </c>
    </row>
    <row r="231" spans="2:27" ht="15.75" customHeight="1" x14ac:dyDescent="0.3">
      <c r="B231" s="21"/>
      <c r="C231" s="21"/>
      <c r="D231" s="21"/>
      <c r="E231" s="22" t="str">
        <f t="shared" si="27"/>
        <v/>
      </c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3" t="str">
        <f>IF($F231="","",IF(OR($B231="",$C231="",$D231=""),"⚠ Compléter Année/Niveau/Session",IF(AND($E231&lt;&gt;"",COUNTIF(D_KEY_DOUBLON,$B231&amp;"|"&amp;$D231&amp;"|"&amp;$E231)&gt;1),"⚠ Doublon",IF(AND($E231&lt;&gt;"",COUNTIF(D_KEY_STATUT,$B231&amp;"|"&amp;$E231&amp;"|P")&gt;0,COUNTIF(D_KEY_STATUT,$B231&amp;"|"&amp;$E231&amp;"|A")&gt;0),"⚠ Statut incohérent",IF(AND($D231="S1",$Y231&lt;&gt;"Parti",COUNTIF(ANNEES_VERROU,$B231)&gt;0,COUNTIF(D_KEY_NIVSES,$B231&amp;"|"&amp;$C231&amp;"|S2")&gt;0,COUNTIF(D_KEY_DOUBLON,$B231&amp;"|S2|"&amp;$E231)=0),"⚠ Départ non confirmé ?",IF(AND($C231&lt;&gt;"",ISNUMBER($I231),OR(VALUE(LEFT($B231,4))-$I231&lt;4+IFERROR(MATCH($C231,LISTE_NIVEAUX,0),99),VALUE(LEFT($B231,4))-$I231&gt;6+IFERROR(MATCH($C231,LISTE_NIVEAUX,0),99))),"⚠ Vérifier niveau",IF(AND(IFERROR(VLOOKUP($C231,TABLE_CYCLE,2,0),3)=2,COUNT($O231:$Q231)&gt;0),"⚠ Tests cycle 3",IF(COUNT($J231:$Q231)&gt;=IF(IFERROR(VLOOKUP($C231,TABLE_CYCLE,2,0),3)=2,5,8),"Complet","Incomplet"))))))))</f>
        <v/>
      </c>
      <c r="S231" s="24"/>
      <c r="T231" s="67" t="str">
        <f t="shared" si="28"/>
        <v/>
      </c>
      <c r="U231" s="67" t="str">
        <f t="shared" si="29"/>
        <v/>
      </c>
      <c r="V231" s="67" t="str">
        <f t="shared" si="30"/>
        <v/>
      </c>
      <c r="W231" s="67" t="str">
        <f t="shared" si="31"/>
        <v/>
      </c>
      <c r="X231" s="67" t="str">
        <f t="shared" si="32"/>
        <v/>
      </c>
      <c r="Y231" s="24" t="str">
        <f t="shared" si="33"/>
        <v/>
      </c>
      <c r="Z231">
        <f t="shared" si="34"/>
        <v>0</v>
      </c>
      <c r="AA231">
        <f t="shared" si="35"/>
        <v>0</v>
      </c>
    </row>
    <row r="232" spans="2:27" ht="15.75" customHeight="1" x14ac:dyDescent="0.3">
      <c r="B232" s="25"/>
      <c r="C232" s="25"/>
      <c r="D232" s="25"/>
      <c r="E232" s="26" t="str">
        <f t="shared" si="27"/>
        <v/>
      </c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3" t="str">
        <f>IF($F232="","",IF(OR($B232="",$C232="",$D232=""),"⚠ Compléter Année/Niveau/Session",IF(AND($E232&lt;&gt;"",COUNTIF(D_KEY_DOUBLON,$B232&amp;"|"&amp;$D232&amp;"|"&amp;$E232)&gt;1),"⚠ Doublon",IF(AND($E232&lt;&gt;"",COUNTIF(D_KEY_STATUT,$B232&amp;"|"&amp;$E232&amp;"|P")&gt;0,COUNTIF(D_KEY_STATUT,$B232&amp;"|"&amp;$E232&amp;"|A")&gt;0),"⚠ Statut incohérent",IF(AND($D232="S1",$Y232&lt;&gt;"Parti",COUNTIF(ANNEES_VERROU,$B232)&gt;0,COUNTIF(D_KEY_NIVSES,$B232&amp;"|"&amp;$C232&amp;"|S2")&gt;0,COUNTIF(D_KEY_DOUBLON,$B232&amp;"|S2|"&amp;$E232)=0),"⚠ Départ non confirmé ?",IF(AND($C232&lt;&gt;"",ISNUMBER($I232),OR(VALUE(LEFT($B232,4))-$I232&lt;4+IFERROR(MATCH($C232,LISTE_NIVEAUX,0),99),VALUE(LEFT($B232,4))-$I232&gt;6+IFERROR(MATCH($C232,LISTE_NIVEAUX,0),99))),"⚠ Vérifier niveau",IF(AND(IFERROR(VLOOKUP($C232,TABLE_CYCLE,2,0),3)=2,COUNT($O232:$Q232)&gt;0),"⚠ Tests cycle 3",IF(COUNT($J232:$Q232)&gt;=IF(IFERROR(VLOOKUP($C232,TABLE_CYCLE,2,0),3)=2,5,8),"Complet","Incomplet"))))))))</f>
        <v/>
      </c>
      <c r="S232" s="24"/>
      <c r="T232" s="67" t="str">
        <f t="shared" si="28"/>
        <v/>
      </c>
      <c r="U232" s="67" t="str">
        <f t="shared" si="29"/>
        <v/>
      </c>
      <c r="V232" s="67" t="str">
        <f t="shared" si="30"/>
        <v/>
      </c>
      <c r="W232" s="67" t="str">
        <f t="shared" si="31"/>
        <v/>
      </c>
      <c r="X232" s="67" t="str">
        <f t="shared" si="32"/>
        <v/>
      </c>
      <c r="Y232" s="24" t="str">
        <f t="shared" si="33"/>
        <v/>
      </c>
      <c r="Z232">
        <f t="shared" si="34"/>
        <v>0</v>
      </c>
      <c r="AA232">
        <f t="shared" si="35"/>
        <v>0</v>
      </c>
    </row>
    <row r="233" spans="2:27" ht="15.75" customHeight="1" x14ac:dyDescent="0.3">
      <c r="B233" s="21"/>
      <c r="C233" s="21"/>
      <c r="D233" s="21"/>
      <c r="E233" s="22" t="str">
        <f t="shared" si="27"/>
        <v/>
      </c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3" t="str">
        <f>IF($F233="","",IF(OR($B233="",$C233="",$D233=""),"⚠ Compléter Année/Niveau/Session",IF(AND($E233&lt;&gt;"",COUNTIF(D_KEY_DOUBLON,$B233&amp;"|"&amp;$D233&amp;"|"&amp;$E233)&gt;1),"⚠ Doublon",IF(AND($E233&lt;&gt;"",COUNTIF(D_KEY_STATUT,$B233&amp;"|"&amp;$E233&amp;"|P")&gt;0,COUNTIF(D_KEY_STATUT,$B233&amp;"|"&amp;$E233&amp;"|A")&gt;0),"⚠ Statut incohérent",IF(AND($D233="S1",$Y233&lt;&gt;"Parti",COUNTIF(ANNEES_VERROU,$B233)&gt;0,COUNTIF(D_KEY_NIVSES,$B233&amp;"|"&amp;$C233&amp;"|S2")&gt;0,COUNTIF(D_KEY_DOUBLON,$B233&amp;"|S2|"&amp;$E233)=0),"⚠ Départ non confirmé ?",IF(AND($C233&lt;&gt;"",ISNUMBER($I233),OR(VALUE(LEFT($B233,4))-$I233&lt;4+IFERROR(MATCH($C233,LISTE_NIVEAUX,0),99),VALUE(LEFT($B233,4))-$I233&gt;6+IFERROR(MATCH($C233,LISTE_NIVEAUX,0),99))),"⚠ Vérifier niveau",IF(AND(IFERROR(VLOOKUP($C233,TABLE_CYCLE,2,0),3)=2,COUNT($O233:$Q233)&gt;0),"⚠ Tests cycle 3",IF(COUNT($J233:$Q233)&gt;=IF(IFERROR(VLOOKUP($C233,TABLE_CYCLE,2,0),3)=2,5,8),"Complet","Incomplet"))))))))</f>
        <v/>
      </c>
      <c r="S233" s="24"/>
      <c r="T233" s="67" t="str">
        <f t="shared" si="28"/>
        <v/>
      </c>
      <c r="U233" s="67" t="str">
        <f t="shared" si="29"/>
        <v/>
      </c>
      <c r="V233" s="67" t="str">
        <f t="shared" si="30"/>
        <v/>
      </c>
      <c r="W233" s="67" t="str">
        <f t="shared" si="31"/>
        <v/>
      </c>
      <c r="X233" s="67" t="str">
        <f t="shared" si="32"/>
        <v/>
      </c>
      <c r="Y233" s="24" t="str">
        <f t="shared" si="33"/>
        <v/>
      </c>
      <c r="Z233">
        <f t="shared" si="34"/>
        <v>0</v>
      </c>
      <c r="AA233">
        <f t="shared" si="35"/>
        <v>0</v>
      </c>
    </row>
    <row r="234" spans="2:27" ht="15.75" customHeight="1" x14ac:dyDescent="0.3">
      <c r="B234" s="25"/>
      <c r="C234" s="25"/>
      <c r="D234" s="25"/>
      <c r="E234" s="26" t="str">
        <f t="shared" si="27"/>
        <v/>
      </c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3" t="str">
        <f>IF($F234="","",IF(OR($B234="",$C234="",$D234=""),"⚠ Compléter Année/Niveau/Session",IF(AND($E234&lt;&gt;"",COUNTIF(D_KEY_DOUBLON,$B234&amp;"|"&amp;$D234&amp;"|"&amp;$E234)&gt;1),"⚠ Doublon",IF(AND($E234&lt;&gt;"",COUNTIF(D_KEY_STATUT,$B234&amp;"|"&amp;$E234&amp;"|P")&gt;0,COUNTIF(D_KEY_STATUT,$B234&amp;"|"&amp;$E234&amp;"|A")&gt;0),"⚠ Statut incohérent",IF(AND($D234="S1",$Y234&lt;&gt;"Parti",COUNTIF(ANNEES_VERROU,$B234)&gt;0,COUNTIF(D_KEY_NIVSES,$B234&amp;"|"&amp;$C234&amp;"|S2")&gt;0,COUNTIF(D_KEY_DOUBLON,$B234&amp;"|S2|"&amp;$E234)=0),"⚠ Départ non confirmé ?",IF(AND($C234&lt;&gt;"",ISNUMBER($I234),OR(VALUE(LEFT($B234,4))-$I234&lt;4+IFERROR(MATCH($C234,LISTE_NIVEAUX,0),99),VALUE(LEFT($B234,4))-$I234&gt;6+IFERROR(MATCH($C234,LISTE_NIVEAUX,0),99))),"⚠ Vérifier niveau",IF(AND(IFERROR(VLOOKUP($C234,TABLE_CYCLE,2,0),3)=2,COUNT($O234:$Q234)&gt;0),"⚠ Tests cycle 3",IF(COUNT($J234:$Q234)&gt;=IF(IFERROR(VLOOKUP($C234,TABLE_CYCLE,2,0),3)=2,5,8),"Complet","Incomplet"))))))))</f>
        <v/>
      </c>
      <c r="S234" s="24"/>
      <c r="T234" s="67" t="str">
        <f t="shared" si="28"/>
        <v/>
      </c>
      <c r="U234" s="67" t="str">
        <f t="shared" si="29"/>
        <v/>
      </c>
      <c r="V234" s="67" t="str">
        <f t="shared" si="30"/>
        <v/>
      </c>
      <c r="W234" s="67" t="str">
        <f t="shared" si="31"/>
        <v/>
      </c>
      <c r="X234" s="67" t="str">
        <f t="shared" si="32"/>
        <v/>
      </c>
      <c r="Y234" s="24" t="str">
        <f t="shared" si="33"/>
        <v/>
      </c>
      <c r="Z234">
        <f t="shared" si="34"/>
        <v>0</v>
      </c>
      <c r="AA234">
        <f t="shared" si="35"/>
        <v>0</v>
      </c>
    </row>
    <row r="235" spans="2:27" ht="15.75" customHeight="1" x14ac:dyDescent="0.3">
      <c r="B235" s="21"/>
      <c r="C235" s="21"/>
      <c r="D235" s="21"/>
      <c r="E235" s="22" t="str">
        <f t="shared" si="27"/>
        <v/>
      </c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3" t="str">
        <f>IF($F235="","",IF(OR($B235="",$C235="",$D235=""),"⚠ Compléter Année/Niveau/Session",IF(AND($E235&lt;&gt;"",COUNTIF(D_KEY_DOUBLON,$B235&amp;"|"&amp;$D235&amp;"|"&amp;$E235)&gt;1),"⚠ Doublon",IF(AND($E235&lt;&gt;"",COUNTIF(D_KEY_STATUT,$B235&amp;"|"&amp;$E235&amp;"|P")&gt;0,COUNTIF(D_KEY_STATUT,$B235&amp;"|"&amp;$E235&amp;"|A")&gt;0),"⚠ Statut incohérent",IF(AND($D235="S1",$Y235&lt;&gt;"Parti",COUNTIF(ANNEES_VERROU,$B235)&gt;0,COUNTIF(D_KEY_NIVSES,$B235&amp;"|"&amp;$C235&amp;"|S2")&gt;0,COUNTIF(D_KEY_DOUBLON,$B235&amp;"|S2|"&amp;$E235)=0),"⚠ Départ non confirmé ?",IF(AND($C235&lt;&gt;"",ISNUMBER($I235),OR(VALUE(LEFT($B235,4))-$I235&lt;4+IFERROR(MATCH($C235,LISTE_NIVEAUX,0),99),VALUE(LEFT($B235,4))-$I235&gt;6+IFERROR(MATCH($C235,LISTE_NIVEAUX,0),99))),"⚠ Vérifier niveau",IF(AND(IFERROR(VLOOKUP($C235,TABLE_CYCLE,2,0),3)=2,COUNT($O235:$Q235)&gt;0),"⚠ Tests cycle 3",IF(COUNT($J235:$Q235)&gt;=IF(IFERROR(VLOOKUP($C235,TABLE_CYCLE,2,0),3)=2,5,8),"Complet","Incomplet"))))))))</f>
        <v/>
      </c>
      <c r="S235" s="24"/>
      <c r="T235" s="67" t="str">
        <f t="shared" si="28"/>
        <v/>
      </c>
      <c r="U235" s="67" t="str">
        <f t="shared" si="29"/>
        <v/>
      </c>
      <c r="V235" s="67" t="str">
        <f t="shared" si="30"/>
        <v/>
      </c>
      <c r="W235" s="67" t="str">
        <f t="shared" si="31"/>
        <v/>
      </c>
      <c r="X235" s="67" t="str">
        <f t="shared" si="32"/>
        <v/>
      </c>
      <c r="Y235" s="24" t="str">
        <f t="shared" si="33"/>
        <v/>
      </c>
      <c r="Z235">
        <f t="shared" si="34"/>
        <v>0</v>
      </c>
      <c r="AA235">
        <f t="shared" si="35"/>
        <v>0</v>
      </c>
    </row>
    <row r="236" spans="2:27" ht="15.75" customHeight="1" x14ac:dyDescent="0.3">
      <c r="B236" s="25"/>
      <c r="C236" s="25"/>
      <c r="D236" s="25"/>
      <c r="E236" s="26" t="str">
        <f t="shared" si="27"/>
        <v/>
      </c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3" t="str">
        <f>IF($F236="","",IF(OR($B236="",$C236="",$D236=""),"⚠ Compléter Année/Niveau/Session",IF(AND($E236&lt;&gt;"",COUNTIF(D_KEY_DOUBLON,$B236&amp;"|"&amp;$D236&amp;"|"&amp;$E236)&gt;1),"⚠ Doublon",IF(AND($E236&lt;&gt;"",COUNTIF(D_KEY_STATUT,$B236&amp;"|"&amp;$E236&amp;"|P")&gt;0,COUNTIF(D_KEY_STATUT,$B236&amp;"|"&amp;$E236&amp;"|A")&gt;0),"⚠ Statut incohérent",IF(AND($D236="S1",$Y236&lt;&gt;"Parti",COUNTIF(ANNEES_VERROU,$B236)&gt;0,COUNTIF(D_KEY_NIVSES,$B236&amp;"|"&amp;$C236&amp;"|S2")&gt;0,COUNTIF(D_KEY_DOUBLON,$B236&amp;"|S2|"&amp;$E236)=0),"⚠ Départ non confirmé ?",IF(AND($C236&lt;&gt;"",ISNUMBER($I236),OR(VALUE(LEFT($B236,4))-$I236&lt;4+IFERROR(MATCH($C236,LISTE_NIVEAUX,0),99),VALUE(LEFT($B236,4))-$I236&gt;6+IFERROR(MATCH($C236,LISTE_NIVEAUX,0),99))),"⚠ Vérifier niveau",IF(AND(IFERROR(VLOOKUP($C236,TABLE_CYCLE,2,0),3)=2,COUNT($O236:$Q236)&gt;0),"⚠ Tests cycle 3",IF(COUNT($J236:$Q236)&gt;=IF(IFERROR(VLOOKUP($C236,TABLE_CYCLE,2,0),3)=2,5,8),"Complet","Incomplet"))))))))</f>
        <v/>
      </c>
      <c r="S236" s="24"/>
      <c r="T236" s="67" t="str">
        <f t="shared" si="28"/>
        <v/>
      </c>
      <c r="U236" s="67" t="str">
        <f t="shared" si="29"/>
        <v/>
      </c>
      <c r="V236" s="67" t="str">
        <f t="shared" si="30"/>
        <v/>
      </c>
      <c r="W236" s="67" t="str">
        <f t="shared" si="31"/>
        <v/>
      </c>
      <c r="X236" s="67" t="str">
        <f t="shared" si="32"/>
        <v/>
      </c>
      <c r="Y236" s="24" t="str">
        <f t="shared" si="33"/>
        <v/>
      </c>
      <c r="Z236">
        <f t="shared" si="34"/>
        <v>0</v>
      </c>
      <c r="AA236">
        <f t="shared" si="35"/>
        <v>0</v>
      </c>
    </row>
    <row r="237" spans="2:27" ht="15.75" customHeight="1" x14ac:dyDescent="0.3">
      <c r="B237" s="21"/>
      <c r="C237" s="21"/>
      <c r="D237" s="21"/>
      <c r="E237" s="22" t="str">
        <f t="shared" si="27"/>
        <v/>
      </c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3" t="str">
        <f>IF($F237="","",IF(OR($B237="",$C237="",$D237=""),"⚠ Compléter Année/Niveau/Session",IF(AND($E237&lt;&gt;"",COUNTIF(D_KEY_DOUBLON,$B237&amp;"|"&amp;$D237&amp;"|"&amp;$E237)&gt;1),"⚠ Doublon",IF(AND($E237&lt;&gt;"",COUNTIF(D_KEY_STATUT,$B237&amp;"|"&amp;$E237&amp;"|P")&gt;0,COUNTIF(D_KEY_STATUT,$B237&amp;"|"&amp;$E237&amp;"|A")&gt;0),"⚠ Statut incohérent",IF(AND($D237="S1",$Y237&lt;&gt;"Parti",COUNTIF(ANNEES_VERROU,$B237)&gt;0,COUNTIF(D_KEY_NIVSES,$B237&amp;"|"&amp;$C237&amp;"|S2")&gt;0,COUNTIF(D_KEY_DOUBLON,$B237&amp;"|S2|"&amp;$E237)=0),"⚠ Départ non confirmé ?",IF(AND($C237&lt;&gt;"",ISNUMBER($I237),OR(VALUE(LEFT($B237,4))-$I237&lt;4+IFERROR(MATCH($C237,LISTE_NIVEAUX,0),99),VALUE(LEFT($B237,4))-$I237&gt;6+IFERROR(MATCH($C237,LISTE_NIVEAUX,0),99))),"⚠ Vérifier niveau",IF(AND(IFERROR(VLOOKUP($C237,TABLE_CYCLE,2,0),3)=2,COUNT($O237:$Q237)&gt;0),"⚠ Tests cycle 3",IF(COUNT($J237:$Q237)&gt;=IF(IFERROR(VLOOKUP($C237,TABLE_CYCLE,2,0),3)=2,5,8),"Complet","Incomplet"))))))))</f>
        <v/>
      </c>
      <c r="S237" s="24"/>
      <c r="T237" s="67" t="str">
        <f t="shared" si="28"/>
        <v/>
      </c>
      <c r="U237" s="67" t="str">
        <f t="shared" si="29"/>
        <v/>
      </c>
      <c r="V237" s="67" t="str">
        <f t="shared" si="30"/>
        <v/>
      </c>
      <c r="W237" s="67" t="str">
        <f t="shared" si="31"/>
        <v/>
      </c>
      <c r="X237" s="67" t="str">
        <f t="shared" si="32"/>
        <v/>
      </c>
      <c r="Y237" s="24" t="str">
        <f t="shared" si="33"/>
        <v/>
      </c>
      <c r="Z237">
        <f t="shared" si="34"/>
        <v>0</v>
      </c>
      <c r="AA237">
        <f t="shared" si="35"/>
        <v>0</v>
      </c>
    </row>
    <row r="238" spans="2:27" ht="15.75" customHeight="1" x14ac:dyDescent="0.3">
      <c r="B238" s="25"/>
      <c r="C238" s="25"/>
      <c r="D238" s="25"/>
      <c r="E238" s="26" t="str">
        <f t="shared" si="27"/>
        <v/>
      </c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3" t="str">
        <f>IF($F238="","",IF(OR($B238="",$C238="",$D238=""),"⚠ Compléter Année/Niveau/Session",IF(AND($E238&lt;&gt;"",COUNTIF(D_KEY_DOUBLON,$B238&amp;"|"&amp;$D238&amp;"|"&amp;$E238)&gt;1),"⚠ Doublon",IF(AND($E238&lt;&gt;"",COUNTIF(D_KEY_STATUT,$B238&amp;"|"&amp;$E238&amp;"|P")&gt;0,COUNTIF(D_KEY_STATUT,$B238&amp;"|"&amp;$E238&amp;"|A")&gt;0),"⚠ Statut incohérent",IF(AND($D238="S1",$Y238&lt;&gt;"Parti",COUNTIF(ANNEES_VERROU,$B238)&gt;0,COUNTIF(D_KEY_NIVSES,$B238&amp;"|"&amp;$C238&amp;"|S2")&gt;0,COUNTIF(D_KEY_DOUBLON,$B238&amp;"|S2|"&amp;$E238)=0),"⚠ Départ non confirmé ?",IF(AND($C238&lt;&gt;"",ISNUMBER($I238),OR(VALUE(LEFT($B238,4))-$I238&lt;4+IFERROR(MATCH($C238,LISTE_NIVEAUX,0),99),VALUE(LEFT($B238,4))-$I238&gt;6+IFERROR(MATCH($C238,LISTE_NIVEAUX,0),99))),"⚠ Vérifier niveau",IF(AND(IFERROR(VLOOKUP($C238,TABLE_CYCLE,2,0),3)=2,COUNT($O238:$Q238)&gt;0),"⚠ Tests cycle 3",IF(COUNT($J238:$Q238)&gt;=IF(IFERROR(VLOOKUP($C238,TABLE_CYCLE,2,0),3)=2,5,8),"Complet","Incomplet"))))))))</f>
        <v/>
      </c>
      <c r="S238" s="24"/>
      <c r="T238" s="67" t="str">
        <f t="shared" si="28"/>
        <v/>
      </c>
      <c r="U238" s="67" t="str">
        <f t="shared" si="29"/>
        <v/>
      </c>
      <c r="V238" s="67" t="str">
        <f t="shared" si="30"/>
        <v/>
      </c>
      <c r="W238" s="67" t="str">
        <f t="shared" si="31"/>
        <v/>
      </c>
      <c r="X238" s="67" t="str">
        <f t="shared" si="32"/>
        <v/>
      </c>
      <c r="Y238" s="24" t="str">
        <f t="shared" si="33"/>
        <v/>
      </c>
      <c r="Z238">
        <f t="shared" si="34"/>
        <v>0</v>
      </c>
      <c r="AA238">
        <f t="shared" si="35"/>
        <v>0</v>
      </c>
    </row>
    <row r="239" spans="2:27" ht="15.75" customHeight="1" x14ac:dyDescent="0.3">
      <c r="B239" s="21"/>
      <c r="C239" s="21"/>
      <c r="D239" s="21"/>
      <c r="E239" s="22" t="str">
        <f t="shared" si="27"/>
        <v/>
      </c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3" t="str">
        <f>IF($F239="","",IF(OR($B239="",$C239="",$D239=""),"⚠ Compléter Année/Niveau/Session",IF(AND($E239&lt;&gt;"",COUNTIF(D_KEY_DOUBLON,$B239&amp;"|"&amp;$D239&amp;"|"&amp;$E239)&gt;1),"⚠ Doublon",IF(AND($E239&lt;&gt;"",COUNTIF(D_KEY_STATUT,$B239&amp;"|"&amp;$E239&amp;"|P")&gt;0,COUNTIF(D_KEY_STATUT,$B239&amp;"|"&amp;$E239&amp;"|A")&gt;0),"⚠ Statut incohérent",IF(AND($D239="S1",$Y239&lt;&gt;"Parti",COUNTIF(ANNEES_VERROU,$B239)&gt;0,COUNTIF(D_KEY_NIVSES,$B239&amp;"|"&amp;$C239&amp;"|S2")&gt;0,COUNTIF(D_KEY_DOUBLON,$B239&amp;"|S2|"&amp;$E239)=0),"⚠ Départ non confirmé ?",IF(AND($C239&lt;&gt;"",ISNUMBER($I239),OR(VALUE(LEFT($B239,4))-$I239&lt;4+IFERROR(MATCH($C239,LISTE_NIVEAUX,0),99),VALUE(LEFT($B239,4))-$I239&gt;6+IFERROR(MATCH($C239,LISTE_NIVEAUX,0),99))),"⚠ Vérifier niveau",IF(AND(IFERROR(VLOOKUP($C239,TABLE_CYCLE,2,0),3)=2,COUNT($O239:$Q239)&gt;0),"⚠ Tests cycle 3",IF(COUNT($J239:$Q239)&gt;=IF(IFERROR(VLOOKUP($C239,TABLE_CYCLE,2,0),3)=2,5,8),"Complet","Incomplet"))))))))</f>
        <v/>
      </c>
      <c r="S239" s="24"/>
      <c r="T239" s="67" t="str">
        <f t="shared" si="28"/>
        <v/>
      </c>
      <c r="U239" s="67" t="str">
        <f t="shared" si="29"/>
        <v/>
      </c>
      <c r="V239" s="67" t="str">
        <f t="shared" si="30"/>
        <v/>
      </c>
      <c r="W239" s="67" t="str">
        <f t="shared" si="31"/>
        <v/>
      </c>
      <c r="X239" s="67" t="str">
        <f t="shared" si="32"/>
        <v/>
      </c>
      <c r="Y239" s="24" t="str">
        <f t="shared" si="33"/>
        <v/>
      </c>
      <c r="Z239">
        <f t="shared" si="34"/>
        <v>0</v>
      </c>
      <c r="AA239">
        <f t="shared" si="35"/>
        <v>0</v>
      </c>
    </row>
    <row r="240" spans="2:27" ht="15.75" customHeight="1" x14ac:dyDescent="0.3">
      <c r="B240" s="25"/>
      <c r="C240" s="25"/>
      <c r="D240" s="25"/>
      <c r="E240" s="26" t="str">
        <f t="shared" si="27"/>
        <v/>
      </c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3" t="str">
        <f>IF($F240="","",IF(OR($B240="",$C240="",$D240=""),"⚠ Compléter Année/Niveau/Session",IF(AND($E240&lt;&gt;"",COUNTIF(D_KEY_DOUBLON,$B240&amp;"|"&amp;$D240&amp;"|"&amp;$E240)&gt;1),"⚠ Doublon",IF(AND($E240&lt;&gt;"",COUNTIF(D_KEY_STATUT,$B240&amp;"|"&amp;$E240&amp;"|P")&gt;0,COUNTIF(D_KEY_STATUT,$B240&amp;"|"&amp;$E240&amp;"|A")&gt;0),"⚠ Statut incohérent",IF(AND($D240="S1",$Y240&lt;&gt;"Parti",COUNTIF(ANNEES_VERROU,$B240)&gt;0,COUNTIF(D_KEY_NIVSES,$B240&amp;"|"&amp;$C240&amp;"|S2")&gt;0,COUNTIF(D_KEY_DOUBLON,$B240&amp;"|S2|"&amp;$E240)=0),"⚠ Départ non confirmé ?",IF(AND($C240&lt;&gt;"",ISNUMBER($I240),OR(VALUE(LEFT($B240,4))-$I240&lt;4+IFERROR(MATCH($C240,LISTE_NIVEAUX,0),99),VALUE(LEFT($B240,4))-$I240&gt;6+IFERROR(MATCH($C240,LISTE_NIVEAUX,0),99))),"⚠ Vérifier niveau",IF(AND(IFERROR(VLOOKUP($C240,TABLE_CYCLE,2,0),3)=2,COUNT($O240:$Q240)&gt;0),"⚠ Tests cycle 3",IF(COUNT($J240:$Q240)&gt;=IF(IFERROR(VLOOKUP($C240,TABLE_CYCLE,2,0),3)=2,5,8),"Complet","Incomplet"))))))))</f>
        <v/>
      </c>
      <c r="S240" s="24"/>
      <c r="T240" s="67" t="str">
        <f t="shared" si="28"/>
        <v/>
      </c>
      <c r="U240" s="67" t="str">
        <f t="shared" si="29"/>
        <v/>
      </c>
      <c r="V240" s="67" t="str">
        <f t="shared" si="30"/>
        <v/>
      </c>
      <c r="W240" s="67" t="str">
        <f t="shared" si="31"/>
        <v/>
      </c>
      <c r="X240" s="67" t="str">
        <f t="shared" si="32"/>
        <v/>
      </c>
      <c r="Y240" s="24" t="str">
        <f t="shared" si="33"/>
        <v/>
      </c>
      <c r="Z240">
        <f t="shared" si="34"/>
        <v>0</v>
      </c>
      <c r="AA240">
        <f t="shared" si="35"/>
        <v>0</v>
      </c>
    </row>
    <row r="241" spans="2:27" ht="15.75" customHeight="1" x14ac:dyDescent="0.3">
      <c r="B241" s="21"/>
      <c r="C241" s="21"/>
      <c r="D241" s="21"/>
      <c r="E241" s="22" t="str">
        <f t="shared" si="27"/>
        <v/>
      </c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3" t="str">
        <f>IF($F241="","",IF(OR($B241="",$C241="",$D241=""),"⚠ Compléter Année/Niveau/Session",IF(AND($E241&lt;&gt;"",COUNTIF(D_KEY_DOUBLON,$B241&amp;"|"&amp;$D241&amp;"|"&amp;$E241)&gt;1),"⚠ Doublon",IF(AND($E241&lt;&gt;"",COUNTIF(D_KEY_STATUT,$B241&amp;"|"&amp;$E241&amp;"|P")&gt;0,COUNTIF(D_KEY_STATUT,$B241&amp;"|"&amp;$E241&amp;"|A")&gt;0),"⚠ Statut incohérent",IF(AND($D241="S1",$Y241&lt;&gt;"Parti",COUNTIF(ANNEES_VERROU,$B241)&gt;0,COUNTIF(D_KEY_NIVSES,$B241&amp;"|"&amp;$C241&amp;"|S2")&gt;0,COUNTIF(D_KEY_DOUBLON,$B241&amp;"|S2|"&amp;$E241)=0),"⚠ Départ non confirmé ?",IF(AND($C241&lt;&gt;"",ISNUMBER($I241),OR(VALUE(LEFT($B241,4))-$I241&lt;4+IFERROR(MATCH($C241,LISTE_NIVEAUX,0),99),VALUE(LEFT($B241,4))-$I241&gt;6+IFERROR(MATCH($C241,LISTE_NIVEAUX,0),99))),"⚠ Vérifier niveau",IF(AND(IFERROR(VLOOKUP($C241,TABLE_CYCLE,2,0),3)=2,COUNT($O241:$Q241)&gt;0),"⚠ Tests cycle 3",IF(COUNT($J241:$Q241)&gt;=IF(IFERROR(VLOOKUP($C241,TABLE_CYCLE,2,0),3)=2,5,8),"Complet","Incomplet"))))))))</f>
        <v/>
      </c>
      <c r="S241" s="24"/>
      <c r="T241" s="67" t="str">
        <f t="shared" si="28"/>
        <v/>
      </c>
      <c r="U241" s="67" t="str">
        <f t="shared" si="29"/>
        <v/>
      </c>
      <c r="V241" s="67" t="str">
        <f t="shared" si="30"/>
        <v/>
      </c>
      <c r="W241" s="67" t="str">
        <f t="shared" si="31"/>
        <v/>
      </c>
      <c r="X241" s="67" t="str">
        <f t="shared" si="32"/>
        <v/>
      </c>
      <c r="Y241" s="24" t="str">
        <f t="shared" si="33"/>
        <v/>
      </c>
      <c r="Z241">
        <f t="shared" si="34"/>
        <v>0</v>
      </c>
      <c r="AA241">
        <f t="shared" si="35"/>
        <v>0</v>
      </c>
    </row>
    <row r="242" spans="2:27" ht="15.75" customHeight="1" x14ac:dyDescent="0.3">
      <c r="B242" s="25"/>
      <c r="C242" s="25"/>
      <c r="D242" s="25"/>
      <c r="E242" s="26" t="str">
        <f t="shared" si="27"/>
        <v/>
      </c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3" t="str">
        <f>IF($F242="","",IF(OR($B242="",$C242="",$D242=""),"⚠ Compléter Année/Niveau/Session",IF(AND($E242&lt;&gt;"",COUNTIF(D_KEY_DOUBLON,$B242&amp;"|"&amp;$D242&amp;"|"&amp;$E242)&gt;1),"⚠ Doublon",IF(AND($E242&lt;&gt;"",COUNTIF(D_KEY_STATUT,$B242&amp;"|"&amp;$E242&amp;"|P")&gt;0,COUNTIF(D_KEY_STATUT,$B242&amp;"|"&amp;$E242&amp;"|A")&gt;0),"⚠ Statut incohérent",IF(AND($D242="S1",$Y242&lt;&gt;"Parti",COUNTIF(ANNEES_VERROU,$B242)&gt;0,COUNTIF(D_KEY_NIVSES,$B242&amp;"|"&amp;$C242&amp;"|S2")&gt;0,COUNTIF(D_KEY_DOUBLON,$B242&amp;"|S2|"&amp;$E242)=0),"⚠ Départ non confirmé ?",IF(AND($C242&lt;&gt;"",ISNUMBER($I242),OR(VALUE(LEFT($B242,4))-$I242&lt;4+IFERROR(MATCH($C242,LISTE_NIVEAUX,0),99),VALUE(LEFT($B242,4))-$I242&gt;6+IFERROR(MATCH($C242,LISTE_NIVEAUX,0),99))),"⚠ Vérifier niveau",IF(AND(IFERROR(VLOOKUP($C242,TABLE_CYCLE,2,0),3)=2,COUNT($O242:$Q242)&gt;0),"⚠ Tests cycle 3",IF(COUNT($J242:$Q242)&gt;=IF(IFERROR(VLOOKUP($C242,TABLE_CYCLE,2,0),3)=2,5,8),"Complet","Incomplet"))))))))</f>
        <v/>
      </c>
      <c r="S242" s="24"/>
      <c r="T242" s="67" t="str">
        <f t="shared" si="28"/>
        <v/>
      </c>
      <c r="U242" s="67" t="str">
        <f t="shared" si="29"/>
        <v/>
      </c>
      <c r="V242" s="67" t="str">
        <f t="shared" si="30"/>
        <v/>
      </c>
      <c r="W242" s="67" t="str">
        <f t="shared" si="31"/>
        <v/>
      </c>
      <c r="X242" s="67" t="str">
        <f t="shared" si="32"/>
        <v/>
      </c>
      <c r="Y242" s="24" t="str">
        <f t="shared" si="33"/>
        <v/>
      </c>
      <c r="Z242">
        <f t="shared" si="34"/>
        <v>0</v>
      </c>
      <c r="AA242">
        <f t="shared" si="35"/>
        <v>0</v>
      </c>
    </row>
    <row r="243" spans="2:27" ht="15.75" customHeight="1" x14ac:dyDescent="0.3">
      <c r="B243" s="21"/>
      <c r="C243" s="21"/>
      <c r="D243" s="21"/>
      <c r="E243" s="22" t="str">
        <f t="shared" si="27"/>
        <v/>
      </c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3" t="str">
        <f>IF($F243="","",IF(OR($B243="",$C243="",$D243=""),"⚠ Compléter Année/Niveau/Session",IF(AND($E243&lt;&gt;"",COUNTIF(D_KEY_DOUBLON,$B243&amp;"|"&amp;$D243&amp;"|"&amp;$E243)&gt;1),"⚠ Doublon",IF(AND($E243&lt;&gt;"",COUNTIF(D_KEY_STATUT,$B243&amp;"|"&amp;$E243&amp;"|P")&gt;0,COUNTIF(D_KEY_STATUT,$B243&amp;"|"&amp;$E243&amp;"|A")&gt;0),"⚠ Statut incohérent",IF(AND($D243="S1",$Y243&lt;&gt;"Parti",COUNTIF(ANNEES_VERROU,$B243)&gt;0,COUNTIF(D_KEY_NIVSES,$B243&amp;"|"&amp;$C243&amp;"|S2")&gt;0,COUNTIF(D_KEY_DOUBLON,$B243&amp;"|S2|"&amp;$E243)=0),"⚠ Départ non confirmé ?",IF(AND($C243&lt;&gt;"",ISNUMBER($I243),OR(VALUE(LEFT($B243,4))-$I243&lt;4+IFERROR(MATCH($C243,LISTE_NIVEAUX,0),99),VALUE(LEFT($B243,4))-$I243&gt;6+IFERROR(MATCH($C243,LISTE_NIVEAUX,0),99))),"⚠ Vérifier niveau",IF(AND(IFERROR(VLOOKUP($C243,TABLE_CYCLE,2,0),3)=2,COUNT($O243:$Q243)&gt;0),"⚠ Tests cycle 3",IF(COUNT($J243:$Q243)&gt;=IF(IFERROR(VLOOKUP($C243,TABLE_CYCLE,2,0),3)=2,5,8),"Complet","Incomplet"))))))))</f>
        <v/>
      </c>
      <c r="S243" s="24"/>
      <c r="T243" s="67" t="str">
        <f t="shared" si="28"/>
        <v/>
      </c>
      <c r="U243" s="67" t="str">
        <f t="shared" si="29"/>
        <v/>
      </c>
      <c r="V243" s="67" t="str">
        <f t="shared" si="30"/>
        <v/>
      </c>
      <c r="W243" s="67" t="str">
        <f t="shared" si="31"/>
        <v/>
      </c>
      <c r="X243" s="67" t="str">
        <f t="shared" si="32"/>
        <v/>
      </c>
      <c r="Y243" s="24" t="str">
        <f t="shared" si="33"/>
        <v/>
      </c>
      <c r="Z243">
        <f t="shared" si="34"/>
        <v>0</v>
      </c>
      <c r="AA243">
        <f t="shared" si="35"/>
        <v>0</v>
      </c>
    </row>
    <row r="244" spans="2:27" ht="15.75" customHeight="1" x14ac:dyDescent="0.3">
      <c r="B244" s="25"/>
      <c r="C244" s="25"/>
      <c r="D244" s="25"/>
      <c r="E244" s="26" t="str">
        <f t="shared" si="27"/>
        <v/>
      </c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3" t="str">
        <f>IF($F244="","",IF(OR($B244="",$C244="",$D244=""),"⚠ Compléter Année/Niveau/Session",IF(AND($E244&lt;&gt;"",COUNTIF(D_KEY_DOUBLON,$B244&amp;"|"&amp;$D244&amp;"|"&amp;$E244)&gt;1),"⚠ Doublon",IF(AND($E244&lt;&gt;"",COUNTIF(D_KEY_STATUT,$B244&amp;"|"&amp;$E244&amp;"|P")&gt;0,COUNTIF(D_KEY_STATUT,$B244&amp;"|"&amp;$E244&amp;"|A")&gt;0),"⚠ Statut incohérent",IF(AND($D244="S1",$Y244&lt;&gt;"Parti",COUNTIF(ANNEES_VERROU,$B244)&gt;0,COUNTIF(D_KEY_NIVSES,$B244&amp;"|"&amp;$C244&amp;"|S2")&gt;0,COUNTIF(D_KEY_DOUBLON,$B244&amp;"|S2|"&amp;$E244)=0),"⚠ Départ non confirmé ?",IF(AND($C244&lt;&gt;"",ISNUMBER($I244),OR(VALUE(LEFT($B244,4))-$I244&lt;4+IFERROR(MATCH($C244,LISTE_NIVEAUX,0),99),VALUE(LEFT($B244,4))-$I244&gt;6+IFERROR(MATCH($C244,LISTE_NIVEAUX,0),99))),"⚠ Vérifier niveau",IF(AND(IFERROR(VLOOKUP($C244,TABLE_CYCLE,2,0),3)=2,COUNT($O244:$Q244)&gt;0),"⚠ Tests cycle 3",IF(COUNT($J244:$Q244)&gt;=IF(IFERROR(VLOOKUP($C244,TABLE_CYCLE,2,0),3)=2,5,8),"Complet","Incomplet"))))))))</f>
        <v/>
      </c>
      <c r="S244" s="24"/>
      <c r="T244" s="67" t="str">
        <f t="shared" si="28"/>
        <v/>
      </c>
      <c r="U244" s="67" t="str">
        <f t="shared" si="29"/>
        <v/>
      </c>
      <c r="V244" s="67" t="str">
        <f t="shared" si="30"/>
        <v/>
      </c>
      <c r="W244" s="67" t="str">
        <f t="shared" si="31"/>
        <v/>
      </c>
      <c r="X244" s="67" t="str">
        <f t="shared" si="32"/>
        <v/>
      </c>
      <c r="Y244" s="24" t="str">
        <f t="shared" si="33"/>
        <v/>
      </c>
      <c r="Z244">
        <f t="shared" si="34"/>
        <v>0</v>
      </c>
      <c r="AA244">
        <f t="shared" si="35"/>
        <v>0</v>
      </c>
    </row>
    <row r="245" spans="2:27" ht="15.75" customHeight="1" x14ac:dyDescent="0.3">
      <c r="B245" s="21"/>
      <c r="C245" s="21"/>
      <c r="D245" s="21"/>
      <c r="E245" s="22" t="str">
        <f t="shared" si="27"/>
        <v/>
      </c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3" t="str">
        <f>IF($F245="","",IF(OR($B245="",$C245="",$D245=""),"⚠ Compléter Année/Niveau/Session",IF(AND($E245&lt;&gt;"",COUNTIF(D_KEY_DOUBLON,$B245&amp;"|"&amp;$D245&amp;"|"&amp;$E245)&gt;1),"⚠ Doublon",IF(AND($E245&lt;&gt;"",COUNTIF(D_KEY_STATUT,$B245&amp;"|"&amp;$E245&amp;"|P")&gt;0,COUNTIF(D_KEY_STATUT,$B245&amp;"|"&amp;$E245&amp;"|A")&gt;0),"⚠ Statut incohérent",IF(AND($D245="S1",$Y245&lt;&gt;"Parti",COUNTIF(ANNEES_VERROU,$B245)&gt;0,COUNTIF(D_KEY_NIVSES,$B245&amp;"|"&amp;$C245&amp;"|S2")&gt;0,COUNTIF(D_KEY_DOUBLON,$B245&amp;"|S2|"&amp;$E245)=0),"⚠ Départ non confirmé ?",IF(AND($C245&lt;&gt;"",ISNUMBER($I245),OR(VALUE(LEFT($B245,4))-$I245&lt;4+IFERROR(MATCH($C245,LISTE_NIVEAUX,0),99),VALUE(LEFT($B245,4))-$I245&gt;6+IFERROR(MATCH($C245,LISTE_NIVEAUX,0),99))),"⚠ Vérifier niveau",IF(AND(IFERROR(VLOOKUP($C245,TABLE_CYCLE,2,0),3)=2,COUNT($O245:$Q245)&gt;0),"⚠ Tests cycle 3",IF(COUNT($J245:$Q245)&gt;=IF(IFERROR(VLOOKUP($C245,TABLE_CYCLE,2,0),3)=2,5,8),"Complet","Incomplet"))))))))</f>
        <v/>
      </c>
      <c r="S245" s="24"/>
      <c r="T245" s="67" t="str">
        <f t="shared" si="28"/>
        <v/>
      </c>
      <c r="U245" s="67" t="str">
        <f t="shared" si="29"/>
        <v/>
      </c>
      <c r="V245" s="67" t="str">
        <f t="shared" si="30"/>
        <v/>
      </c>
      <c r="W245" s="67" t="str">
        <f t="shared" si="31"/>
        <v/>
      </c>
      <c r="X245" s="67" t="str">
        <f t="shared" si="32"/>
        <v/>
      </c>
      <c r="Y245" s="24" t="str">
        <f t="shared" si="33"/>
        <v/>
      </c>
      <c r="Z245">
        <f t="shared" si="34"/>
        <v>0</v>
      </c>
      <c r="AA245">
        <f t="shared" si="35"/>
        <v>0</v>
      </c>
    </row>
    <row r="246" spans="2:27" ht="15.75" customHeight="1" x14ac:dyDescent="0.3">
      <c r="B246" s="25"/>
      <c r="C246" s="25"/>
      <c r="D246" s="25"/>
      <c r="E246" s="26" t="str">
        <f t="shared" si="27"/>
        <v/>
      </c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3" t="str">
        <f>IF($F246="","",IF(OR($B246="",$C246="",$D246=""),"⚠ Compléter Année/Niveau/Session",IF(AND($E246&lt;&gt;"",COUNTIF(D_KEY_DOUBLON,$B246&amp;"|"&amp;$D246&amp;"|"&amp;$E246)&gt;1),"⚠ Doublon",IF(AND($E246&lt;&gt;"",COUNTIF(D_KEY_STATUT,$B246&amp;"|"&amp;$E246&amp;"|P")&gt;0,COUNTIF(D_KEY_STATUT,$B246&amp;"|"&amp;$E246&amp;"|A")&gt;0),"⚠ Statut incohérent",IF(AND($D246="S1",$Y246&lt;&gt;"Parti",COUNTIF(ANNEES_VERROU,$B246)&gt;0,COUNTIF(D_KEY_NIVSES,$B246&amp;"|"&amp;$C246&amp;"|S2")&gt;0,COUNTIF(D_KEY_DOUBLON,$B246&amp;"|S2|"&amp;$E246)=0),"⚠ Départ non confirmé ?",IF(AND($C246&lt;&gt;"",ISNUMBER($I246),OR(VALUE(LEFT($B246,4))-$I246&lt;4+IFERROR(MATCH($C246,LISTE_NIVEAUX,0),99),VALUE(LEFT($B246,4))-$I246&gt;6+IFERROR(MATCH($C246,LISTE_NIVEAUX,0),99))),"⚠ Vérifier niveau",IF(AND(IFERROR(VLOOKUP($C246,TABLE_CYCLE,2,0),3)=2,COUNT($O246:$Q246)&gt;0),"⚠ Tests cycle 3",IF(COUNT($J246:$Q246)&gt;=IF(IFERROR(VLOOKUP($C246,TABLE_CYCLE,2,0),3)=2,5,8),"Complet","Incomplet"))))))))</f>
        <v/>
      </c>
      <c r="S246" s="24"/>
      <c r="T246" s="67" t="str">
        <f t="shared" si="28"/>
        <v/>
      </c>
      <c r="U246" s="67" t="str">
        <f t="shared" si="29"/>
        <v/>
      </c>
      <c r="V246" s="67" t="str">
        <f t="shared" si="30"/>
        <v/>
      </c>
      <c r="W246" s="67" t="str">
        <f t="shared" si="31"/>
        <v/>
      </c>
      <c r="X246" s="67" t="str">
        <f t="shared" si="32"/>
        <v/>
      </c>
      <c r="Y246" s="24" t="str">
        <f t="shared" si="33"/>
        <v/>
      </c>
      <c r="Z246">
        <f t="shared" si="34"/>
        <v>0</v>
      </c>
      <c r="AA246">
        <f t="shared" si="35"/>
        <v>0</v>
      </c>
    </row>
    <row r="247" spans="2:27" ht="15.75" customHeight="1" x14ac:dyDescent="0.3">
      <c r="B247" s="21"/>
      <c r="C247" s="21"/>
      <c r="D247" s="21"/>
      <c r="E247" s="22" t="str">
        <f t="shared" si="27"/>
        <v/>
      </c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3" t="str">
        <f>IF($F247="","",IF(OR($B247="",$C247="",$D247=""),"⚠ Compléter Année/Niveau/Session",IF(AND($E247&lt;&gt;"",COUNTIF(D_KEY_DOUBLON,$B247&amp;"|"&amp;$D247&amp;"|"&amp;$E247)&gt;1),"⚠ Doublon",IF(AND($E247&lt;&gt;"",COUNTIF(D_KEY_STATUT,$B247&amp;"|"&amp;$E247&amp;"|P")&gt;0,COUNTIF(D_KEY_STATUT,$B247&amp;"|"&amp;$E247&amp;"|A")&gt;0),"⚠ Statut incohérent",IF(AND($D247="S1",$Y247&lt;&gt;"Parti",COUNTIF(ANNEES_VERROU,$B247)&gt;0,COUNTIF(D_KEY_NIVSES,$B247&amp;"|"&amp;$C247&amp;"|S2")&gt;0,COUNTIF(D_KEY_DOUBLON,$B247&amp;"|S2|"&amp;$E247)=0),"⚠ Départ non confirmé ?",IF(AND($C247&lt;&gt;"",ISNUMBER($I247),OR(VALUE(LEFT($B247,4))-$I247&lt;4+IFERROR(MATCH($C247,LISTE_NIVEAUX,0),99),VALUE(LEFT($B247,4))-$I247&gt;6+IFERROR(MATCH($C247,LISTE_NIVEAUX,0),99))),"⚠ Vérifier niveau",IF(AND(IFERROR(VLOOKUP($C247,TABLE_CYCLE,2,0),3)=2,COUNT($O247:$Q247)&gt;0),"⚠ Tests cycle 3",IF(COUNT($J247:$Q247)&gt;=IF(IFERROR(VLOOKUP($C247,TABLE_CYCLE,2,0),3)=2,5,8),"Complet","Incomplet"))))))))</f>
        <v/>
      </c>
      <c r="S247" s="24"/>
      <c r="T247" s="67" t="str">
        <f t="shared" si="28"/>
        <v/>
      </c>
      <c r="U247" s="67" t="str">
        <f t="shared" si="29"/>
        <v/>
      </c>
      <c r="V247" s="67" t="str">
        <f t="shared" si="30"/>
        <v/>
      </c>
      <c r="W247" s="67" t="str">
        <f t="shared" si="31"/>
        <v/>
      </c>
      <c r="X247" s="67" t="str">
        <f t="shared" si="32"/>
        <v/>
      </c>
      <c r="Y247" s="24" t="str">
        <f t="shared" si="33"/>
        <v/>
      </c>
      <c r="Z247">
        <f t="shared" si="34"/>
        <v>0</v>
      </c>
      <c r="AA247">
        <f t="shared" si="35"/>
        <v>0</v>
      </c>
    </row>
    <row r="248" spans="2:27" ht="15.75" customHeight="1" x14ac:dyDescent="0.3">
      <c r="B248" s="25"/>
      <c r="C248" s="25"/>
      <c r="D248" s="25"/>
      <c r="E248" s="26" t="str">
        <f t="shared" si="27"/>
        <v/>
      </c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3" t="str">
        <f>IF($F248="","",IF(OR($B248="",$C248="",$D248=""),"⚠ Compléter Année/Niveau/Session",IF(AND($E248&lt;&gt;"",COUNTIF(D_KEY_DOUBLON,$B248&amp;"|"&amp;$D248&amp;"|"&amp;$E248)&gt;1),"⚠ Doublon",IF(AND($E248&lt;&gt;"",COUNTIF(D_KEY_STATUT,$B248&amp;"|"&amp;$E248&amp;"|P")&gt;0,COUNTIF(D_KEY_STATUT,$B248&amp;"|"&amp;$E248&amp;"|A")&gt;0),"⚠ Statut incohérent",IF(AND($D248="S1",$Y248&lt;&gt;"Parti",COUNTIF(ANNEES_VERROU,$B248)&gt;0,COUNTIF(D_KEY_NIVSES,$B248&amp;"|"&amp;$C248&amp;"|S2")&gt;0,COUNTIF(D_KEY_DOUBLON,$B248&amp;"|S2|"&amp;$E248)=0),"⚠ Départ non confirmé ?",IF(AND($C248&lt;&gt;"",ISNUMBER($I248),OR(VALUE(LEFT($B248,4))-$I248&lt;4+IFERROR(MATCH($C248,LISTE_NIVEAUX,0),99),VALUE(LEFT($B248,4))-$I248&gt;6+IFERROR(MATCH($C248,LISTE_NIVEAUX,0),99))),"⚠ Vérifier niveau",IF(AND(IFERROR(VLOOKUP($C248,TABLE_CYCLE,2,0),3)=2,COUNT($O248:$Q248)&gt;0),"⚠ Tests cycle 3",IF(COUNT($J248:$Q248)&gt;=IF(IFERROR(VLOOKUP($C248,TABLE_CYCLE,2,0),3)=2,5,8),"Complet","Incomplet"))))))))</f>
        <v/>
      </c>
      <c r="S248" s="24"/>
      <c r="T248" s="67" t="str">
        <f t="shared" si="28"/>
        <v/>
      </c>
      <c r="U248" s="67" t="str">
        <f t="shared" si="29"/>
        <v/>
      </c>
      <c r="V248" s="67" t="str">
        <f t="shared" si="30"/>
        <v/>
      </c>
      <c r="W248" s="67" t="str">
        <f t="shared" si="31"/>
        <v/>
      </c>
      <c r="X248" s="67" t="str">
        <f t="shared" si="32"/>
        <v/>
      </c>
      <c r="Y248" s="24" t="str">
        <f t="shared" si="33"/>
        <v/>
      </c>
      <c r="Z248">
        <f t="shared" si="34"/>
        <v>0</v>
      </c>
      <c r="AA248">
        <f t="shared" si="35"/>
        <v>0</v>
      </c>
    </row>
    <row r="249" spans="2:27" ht="15.75" customHeight="1" x14ac:dyDescent="0.3">
      <c r="B249" s="21"/>
      <c r="C249" s="21"/>
      <c r="D249" s="21"/>
      <c r="E249" s="22" t="str">
        <f t="shared" si="27"/>
        <v/>
      </c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3" t="str">
        <f>IF($F249="","",IF(OR($B249="",$C249="",$D249=""),"⚠ Compléter Année/Niveau/Session",IF(AND($E249&lt;&gt;"",COUNTIF(D_KEY_DOUBLON,$B249&amp;"|"&amp;$D249&amp;"|"&amp;$E249)&gt;1),"⚠ Doublon",IF(AND($E249&lt;&gt;"",COUNTIF(D_KEY_STATUT,$B249&amp;"|"&amp;$E249&amp;"|P")&gt;0,COUNTIF(D_KEY_STATUT,$B249&amp;"|"&amp;$E249&amp;"|A")&gt;0),"⚠ Statut incohérent",IF(AND($D249="S1",$Y249&lt;&gt;"Parti",COUNTIF(ANNEES_VERROU,$B249)&gt;0,COUNTIF(D_KEY_NIVSES,$B249&amp;"|"&amp;$C249&amp;"|S2")&gt;0,COUNTIF(D_KEY_DOUBLON,$B249&amp;"|S2|"&amp;$E249)=0),"⚠ Départ non confirmé ?",IF(AND($C249&lt;&gt;"",ISNUMBER($I249),OR(VALUE(LEFT($B249,4))-$I249&lt;4+IFERROR(MATCH($C249,LISTE_NIVEAUX,0),99),VALUE(LEFT($B249,4))-$I249&gt;6+IFERROR(MATCH($C249,LISTE_NIVEAUX,0),99))),"⚠ Vérifier niveau",IF(AND(IFERROR(VLOOKUP($C249,TABLE_CYCLE,2,0),3)=2,COUNT($O249:$Q249)&gt;0),"⚠ Tests cycle 3",IF(COUNT($J249:$Q249)&gt;=IF(IFERROR(VLOOKUP($C249,TABLE_CYCLE,2,0),3)=2,5,8),"Complet","Incomplet"))))))))</f>
        <v/>
      </c>
      <c r="S249" s="24"/>
      <c r="T249" s="67" t="str">
        <f t="shared" si="28"/>
        <v/>
      </c>
      <c r="U249" s="67" t="str">
        <f t="shared" si="29"/>
        <v/>
      </c>
      <c r="V249" s="67" t="str">
        <f t="shared" si="30"/>
        <v/>
      </c>
      <c r="W249" s="67" t="str">
        <f t="shared" si="31"/>
        <v/>
      </c>
      <c r="X249" s="67" t="str">
        <f t="shared" si="32"/>
        <v/>
      </c>
      <c r="Y249" s="24" t="str">
        <f t="shared" si="33"/>
        <v/>
      </c>
      <c r="Z249">
        <f t="shared" si="34"/>
        <v>0</v>
      </c>
      <c r="AA249">
        <f t="shared" si="35"/>
        <v>0</v>
      </c>
    </row>
    <row r="250" spans="2:27" ht="15.75" customHeight="1" x14ac:dyDescent="0.3">
      <c r="B250" s="25"/>
      <c r="C250" s="25"/>
      <c r="D250" s="25"/>
      <c r="E250" s="26" t="str">
        <f t="shared" si="27"/>
        <v/>
      </c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3" t="str">
        <f>IF($F250="","",IF(OR($B250="",$C250="",$D250=""),"⚠ Compléter Année/Niveau/Session",IF(AND($E250&lt;&gt;"",COUNTIF(D_KEY_DOUBLON,$B250&amp;"|"&amp;$D250&amp;"|"&amp;$E250)&gt;1),"⚠ Doublon",IF(AND($E250&lt;&gt;"",COUNTIF(D_KEY_STATUT,$B250&amp;"|"&amp;$E250&amp;"|P")&gt;0,COUNTIF(D_KEY_STATUT,$B250&amp;"|"&amp;$E250&amp;"|A")&gt;0),"⚠ Statut incohérent",IF(AND($D250="S1",$Y250&lt;&gt;"Parti",COUNTIF(ANNEES_VERROU,$B250)&gt;0,COUNTIF(D_KEY_NIVSES,$B250&amp;"|"&amp;$C250&amp;"|S2")&gt;0,COUNTIF(D_KEY_DOUBLON,$B250&amp;"|S2|"&amp;$E250)=0),"⚠ Départ non confirmé ?",IF(AND($C250&lt;&gt;"",ISNUMBER($I250),OR(VALUE(LEFT($B250,4))-$I250&lt;4+IFERROR(MATCH($C250,LISTE_NIVEAUX,0),99),VALUE(LEFT($B250,4))-$I250&gt;6+IFERROR(MATCH($C250,LISTE_NIVEAUX,0),99))),"⚠ Vérifier niveau",IF(AND(IFERROR(VLOOKUP($C250,TABLE_CYCLE,2,0),3)=2,COUNT($O250:$Q250)&gt;0),"⚠ Tests cycle 3",IF(COUNT($J250:$Q250)&gt;=IF(IFERROR(VLOOKUP($C250,TABLE_CYCLE,2,0),3)=2,5,8),"Complet","Incomplet"))))))))</f>
        <v/>
      </c>
      <c r="S250" s="24"/>
      <c r="T250" s="67" t="str">
        <f t="shared" si="28"/>
        <v/>
      </c>
      <c r="U250" s="67" t="str">
        <f t="shared" si="29"/>
        <v/>
      </c>
      <c r="V250" s="67" t="str">
        <f t="shared" si="30"/>
        <v/>
      </c>
      <c r="W250" s="67" t="str">
        <f t="shared" si="31"/>
        <v/>
      </c>
      <c r="X250" s="67" t="str">
        <f t="shared" si="32"/>
        <v/>
      </c>
      <c r="Y250" s="24" t="str">
        <f t="shared" si="33"/>
        <v/>
      </c>
      <c r="Z250">
        <f t="shared" si="34"/>
        <v>0</v>
      </c>
      <c r="AA250">
        <f t="shared" si="35"/>
        <v>0</v>
      </c>
    </row>
    <row r="251" spans="2:27" ht="15.75" customHeight="1" x14ac:dyDescent="0.3">
      <c r="B251" s="21"/>
      <c r="C251" s="21"/>
      <c r="D251" s="21"/>
      <c r="E251" s="22" t="str">
        <f t="shared" si="27"/>
        <v/>
      </c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3" t="str">
        <f>IF($F251="","",IF(OR($B251="",$C251="",$D251=""),"⚠ Compléter Année/Niveau/Session",IF(AND($E251&lt;&gt;"",COUNTIF(D_KEY_DOUBLON,$B251&amp;"|"&amp;$D251&amp;"|"&amp;$E251)&gt;1),"⚠ Doublon",IF(AND($E251&lt;&gt;"",COUNTIF(D_KEY_STATUT,$B251&amp;"|"&amp;$E251&amp;"|P")&gt;0,COUNTIF(D_KEY_STATUT,$B251&amp;"|"&amp;$E251&amp;"|A")&gt;0),"⚠ Statut incohérent",IF(AND($D251="S1",$Y251&lt;&gt;"Parti",COUNTIF(ANNEES_VERROU,$B251)&gt;0,COUNTIF(D_KEY_NIVSES,$B251&amp;"|"&amp;$C251&amp;"|S2")&gt;0,COUNTIF(D_KEY_DOUBLON,$B251&amp;"|S2|"&amp;$E251)=0),"⚠ Départ non confirmé ?",IF(AND($C251&lt;&gt;"",ISNUMBER($I251),OR(VALUE(LEFT($B251,4))-$I251&lt;4+IFERROR(MATCH($C251,LISTE_NIVEAUX,0),99),VALUE(LEFT($B251,4))-$I251&gt;6+IFERROR(MATCH($C251,LISTE_NIVEAUX,0),99))),"⚠ Vérifier niveau",IF(AND(IFERROR(VLOOKUP($C251,TABLE_CYCLE,2,0),3)=2,COUNT($O251:$Q251)&gt;0),"⚠ Tests cycle 3",IF(COUNT($J251:$Q251)&gt;=IF(IFERROR(VLOOKUP($C251,TABLE_CYCLE,2,0),3)=2,5,8),"Complet","Incomplet"))))))))</f>
        <v/>
      </c>
      <c r="S251" s="24"/>
      <c r="T251" s="67" t="str">
        <f t="shared" si="28"/>
        <v/>
      </c>
      <c r="U251" s="67" t="str">
        <f t="shared" si="29"/>
        <v/>
      </c>
      <c r="V251" s="67" t="str">
        <f t="shared" si="30"/>
        <v/>
      </c>
      <c r="W251" s="67" t="str">
        <f t="shared" si="31"/>
        <v/>
      </c>
      <c r="X251" s="67" t="str">
        <f t="shared" si="32"/>
        <v/>
      </c>
      <c r="Y251" s="24" t="str">
        <f t="shared" si="33"/>
        <v/>
      </c>
      <c r="Z251">
        <f t="shared" si="34"/>
        <v>0</v>
      </c>
      <c r="AA251">
        <f t="shared" si="35"/>
        <v>0</v>
      </c>
    </row>
    <row r="252" spans="2:27" ht="15.75" customHeight="1" x14ac:dyDescent="0.3">
      <c r="B252" s="25"/>
      <c r="C252" s="25"/>
      <c r="D252" s="25"/>
      <c r="E252" s="26" t="str">
        <f t="shared" si="27"/>
        <v/>
      </c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3" t="str">
        <f>IF($F252="","",IF(OR($B252="",$C252="",$D252=""),"⚠ Compléter Année/Niveau/Session",IF(AND($E252&lt;&gt;"",COUNTIF(D_KEY_DOUBLON,$B252&amp;"|"&amp;$D252&amp;"|"&amp;$E252)&gt;1),"⚠ Doublon",IF(AND($E252&lt;&gt;"",COUNTIF(D_KEY_STATUT,$B252&amp;"|"&amp;$E252&amp;"|P")&gt;0,COUNTIF(D_KEY_STATUT,$B252&amp;"|"&amp;$E252&amp;"|A")&gt;0),"⚠ Statut incohérent",IF(AND($D252="S1",$Y252&lt;&gt;"Parti",COUNTIF(ANNEES_VERROU,$B252)&gt;0,COUNTIF(D_KEY_NIVSES,$B252&amp;"|"&amp;$C252&amp;"|S2")&gt;0,COUNTIF(D_KEY_DOUBLON,$B252&amp;"|S2|"&amp;$E252)=0),"⚠ Départ non confirmé ?",IF(AND($C252&lt;&gt;"",ISNUMBER($I252),OR(VALUE(LEFT($B252,4))-$I252&lt;4+IFERROR(MATCH($C252,LISTE_NIVEAUX,0),99),VALUE(LEFT($B252,4))-$I252&gt;6+IFERROR(MATCH($C252,LISTE_NIVEAUX,0),99))),"⚠ Vérifier niveau",IF(AND(IFERROR(VLOOKUP($C252,TABLE_CYCLE,2,0),3)=2,COUNT($O252:$Q252)&gt;0),"⚠ Tests cycle 3",IF(COUNT($J252:$Q252)&gt;=IF(IFERROR(VLOOKUP($C252,TABLE_CYCLE,2,0),3)=2,5,8),"Complet","Incomplet"))))))))</f>
        <v/>
      </c>
      <c r="S252" s="24"/>
      <c r="T252" s="67" t="str">
        <f t="shared" si="28"/>
        <v/>
      </c>
      <c r="U252" s="67" t="str">
        <f t="shared" si="29"/>
        <v/>
      </c>
      <c r="V252" s="67" t="str">
        <f t="shared" si="30"/>
        <v/>
      </c>
      <c r="W252" s="67" t="str">
        <f t="shared" si="31"/>
        <v/>
      </c>
      <c r="X252" s="67" t="str">
        <f t="shared" si="32"/>
        <v/>
      </c>
      <c r="Y252" s="24" t="str">
        <f t="shared" si="33"/>
        <v/>
      </c>
      <c r="Z252">
        <f t="shared" si="34"/>
        <v>0</v>
      </c>
      <c r="AA252">
        <f t="shared" si="35"/>
        <v>0</v>
      </c>
    </row>
    <row r="253" spans="2:27" ht="15.75" customHeight="1" x14ac:dyDescent="0.3">
      <c r="B253" s="21"/>
      <c r="C253" s="21"/>
      <c r="D253" s="21"/>
      <c r="E253" s="22" t="str">
        <f t="shared" si="27"/>
        <v/>
      </c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3" t="str">
        <f>IF($F253="","",IF(OR($B253="",$C253="",$D253=""),"⚠ Compléter Année/Niveau/Session",IF(AND($E253&lt;&gt;"",COUNTIF(D_KEY_DOUBLON,$B253&amp;"|"&amp;$D253&amp;"|"&amp;$E253)&gt;1),"⚠ Doublon",IF(AND($E253&lt;&gt;"",COUNTIF(D_KEY_STATUT,$B253&amp;"|"&amp;$E253&amp;"|P")&gt;0,COUNTIF(D_KEY_STATUT,$B253&amp;"|"&amp;$E253&amp;"|A")&gt;0),"⚠ Statut incohérent",IF(AND($D253="S1",$Y253&lt;&gt;"Parti",COUNTIF(ANNEES_VERROU,$B253)&gt;0,COUNTIF(D_KEY_NIVSES,$B253&amp;"|"&amp;$C253&amp;"|S2")&gt;0,COUNTIF(D_KEY_DOUBLON,$B253&amp;"|S2|"&amp;$E253)=0),"⚠ Départ non confirmé ?",IF(AND($C253&lt;&gt;"",ISNUMBER($I253),OR(VALUE(LEFT($B253,4))-$I253&lt;4+IFERROR(MATCH($C253,LISTE_NIVEAUX,0),99),VALUE(LEFT($B253,4))-$I253&gt;6+IFERROR(MATCH($C253,LISTE_NIVEAUX,0),99))),"⚠ Vérifier niveau",IF(AND(IFERROR(VLOOKUP($C253,TABLE_CYCLE,2,0),3)=2,COUNT($O253:$Q253)&gt;0),"⚠ Tests cycle 3",IF(COUNT($J253:$Q253)&gt;=IF(IFERROR(VLOOKUP($C253,TABLE_CYCLE,2,0),3)=2,5,8),"Complet","Incomplet"))))))))</f>
        <v/>
      </c>
      <c r="S253" s="24"/>
      <c r="T253" s="67" t="str">
        <f t="shared" si="28"/>
        <v/>
      </c>
      <c r="U253" s="67" t="str">
        <f t="shared" si="29"/>
        <v/>
      </c>
      <c r="V253" s="67" t="str">
        <f t="shared" si="30"/>
        <v/>
      </c>
      <c r="W253" s="67" t="str">
        <f t="shared" si="31"/>
        <v/>
      </c>
      <c r="X253" s="67" t="str">
        <f t="shared" si="32"/>
        <v/>
      </c>
      <c r="Y253" s="24" t="str">
        <f t="shared" si="33"/>
        <v/>
      </c>
      <c r="Z253">
        <f t="shared" si="34"/>
        <v>0</v>
      </c>
      <c r="AA253">
        <f t="shared" si="35"/>
        <v>0</v>
      </c>
    </row>
    <row r="254" spans="2:27" ht="15.75" customHeight="1" x14ac:dyDescent="0.3">
      <c r="B254" s="25"/>
      <c r="C254" s="25"/>
      <c r="D254" s="25"/>
      <c r="E254" s="26" t="str">
        <f t="shared" si="27"/>
        <v/>
      </c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3" t="str">
        <f>IF($F254="","",IF(OR($B254="",$C254="",$D254=""),"⚠ Compléter Année/Niveau/Session",IF(AND($E254&lt;&gt;"",COUNTIF(D_KEY_DOUBLON,$B254&amp;"|"&amp;$D254&amp;"|"&amp;$E254)&gt;1),"⚠ Doublon",IF(AND($E254&lt;&gt;"",COUNTIF(D_KEY_STATUT,$B254&amp;"|"&amp;$E254&amp;"|P")&gt;0,COUNTIF(D_KEY_STATUT,$B254&amp;"|"&amp;$E254&amp;"|A")&gt;0),"⚠ Statut incohérent",IF(AND($D254="S1",$Y254&lt;&gt;"Parti",COUNTIF(ANNEES_VERROU,$B254)&gt;0,COUNTIF(D_KEY_NIVSES,$B254&amp;"|"&amp;$C254&amp;"|S2")&gt;0,COUNTIF(D_KEY_DOUBLON,$B254&amp;"|S2|"&amp;$E254)=0),"⚠ Départ non confirmé ?",IF(AND($C254&lt;&gt;"",ISNUMBER($I254),OR(VALUE(LEFT($B254,4))-$I254&lt;4+IFERROR(MATCH($C254,LISTE_NIVEAUX,0),99),VALUE(LEFT($B254,4))-$I254&gt;6+IFERROR(MATCH($C254,LISTE_NIVEAUX,0),99))),"⚠ Vérifier niveau",IF(AND(IFERROR(VLOOKUP($C254,TABLE_CYCLE,2,0),3)=2,COUNT($O254:$Q254)&gt;0),"⚠ Tests cycle 3",IF(COUNT($J254:$Q254)&gt;=IF(IFERROR(VLOOKUP($C254,TABLE_CYCLE,2,0),3)=2,5,8),"Complet","Incomplet"))))))))</f>
        <v/>
      </c>
      <c r="S254" s="24"/>
      <c r="T254" s="67" t="str">
        <f t="shared" si="28"/>
        <v/>
      </c>
      <c r="U254" s="67" t="str">
        <f t="shared" si="29"/>
        <v/>
      </c>
      <c r="V254" s="67" t="str">
        <f t="shared" si="30"/>
        <v/>
      </c>
      <c r="W254" s="67" t="str">
        <f t="shared" si="31"/>
        <v/>
      </c>
      <c r="X254" s="67" t="str">
        <f t="shared" si="32"/>
        <v/>
      </c>
      <c r="Y254" s="24" t="str">
        <f t="shared" si="33"/>
        <v/>
      </c>
      <c r="Z254">
        <f t="shared" si="34"/>
        <v>0</v>
      </c>
      <c r="AA254">
        <f t="shared" si="35"/>
        <v>0</v>
      </c>
    </row>
    <row r="255" spans="2:27" ht="15.75" customHeight="1" x14ac:dyDescent="0.3">
      <c r="B255" s="21"/>
      <c r="C255" s="21"/>
      <c r="D255" s="21"/>
      <c r="E255" s="22" t="str">
        <f t="shared" si="27"/>
        <v/>
      </c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3" t="str">
        <f>IF($F255="","",IF(OR($B255="",$C255="",$D255=""),"⚠ Compléter Année/Niveau/Session",IF(AND($E255&lt;&gt;"",COUNTIF(D_KEY_DOUBLON,$B255&amp;"|"&amp;$D255&amp;"|"&amp;$E255)&gt;1),"⚠ Doublon",IF(AND($E255&lt;&gt;"",COUNTIF(D_KEY_STATUT,$B255&amp;"|"&amp;$E255&amp;"|P")&gt;0,COUNTIF(D_KEY_STATUT,$B255&amp;"|"&amp;$E255&amp;"|A")&gt;0),"⚠ Statut incohérent",IF(AND($D255="S1",$Y255&lt;&gt;"Parti",COUNTIF(ANNEES_VERROU,$B255)&gt;0,COUNTIF(D_KEY_NIVSES,$B255&amp;"|"&amp;$C255&amp;"|S2")&gt;0,COUNTIF(D_KEY_DOUBLON,$B255&amp;"|S2|"&amp;$E255)=0),"⚠ Départ non confirmé ?",IF(AND($C255&lt;&gt;"",ISNUMBER($I255),OR(VALUE(LEFT($B255,4))-$I255&lt;4+IFERROR(MATCH($C255,LISTE_NIVEAUX,0),99),VALUE(LEFT($B255,4))-$I255&gt;6+IFERROR(MATCH($C255,LISTE_NIVEAUX,0),99))),"⚠ Vérifier niveau",IF(AND(IFERROR(VLOOKUP($C255,TABLE_CYCLE,2,0),3)=2,COUNT($O255:$Q255)&gt;0),"⚠ Tests cycle 3",IF(COUNT($J255:$Q255)&gt;=IF(IFERROR(VLOOKUP($C255,TABLE_CYCLE,2,0),3)=2,5,8),"Complet","Incomplet"))))))))</f>
        <v/>
      </c>
      <c r="S255" s="24"/>
      <c r="T255" s="67" t="str">
        <f t="shared" si="28"/>
        <v/>
      </c>
      <c r="U255" s="67" t="str">
        <f t="shared" si="29"/>
        <v/>
      </c>
      <c r="V255" s="67" t="str">
        <f t="shared" si="30"/>
        <v/>
      </c>
      <c r="W255" s="67" t="str">
        <f t="shared" si="31"/>
        <v/>
      </c>
      <c r="X255" s="67" t="str">
        <f t="shared" si="32"/>
        <v/>
      </c>
      <c r="Y255" s="24" t="str">
        <f t="shared" si="33"/>
        <v/>
      </c>
      <c r="Z255">
        <f t="shared" si="34"/>
        <v>0</v>
      </c>
      <c r="AA255">
        <f t="shared" si="35"/>
        <v>0</v>
      </c>
    </row>
    <row r="256" spans="2:27" ht="15.75" customHeight="1" x14ac:dyDescent="0.3">
      <c r="B256" s="25"/>
      <c r="C256" s="25"/>
      <c r="D256" s="25"/>
      <c r="E256" s="26" t="str">
        <f t="shared" si="27"/>
        <v/>
      </c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3" t="str">
        <f>IF($F256="","",IF(OR($B256="",$C256="",$D256=""),"⚠ Compléter Année/Niveau/Session",IF(AND($E256&lt;&gt;"",COUNTIF(D_KEY_DOUBLON,$B256&amp;"|"&amp;$D256&amp;"|"&amp;$E256)&gt;1),"⚠ Doublon",IF(AND($E256&lt;&gt;"",COUNTIF(D_KEY_STATUT,$B256&amp;"|"&amp;$E256&amp;"|P")&gt;0,COUNTIF(D_KEY_STATUT,$B256&amp;"|"&amp;$E256&amp;"|A")&gt;0),"⚠ Statut incohérent",IF(AND($D256="S1",$Y256&lt;&gt;"Parti",COUNTIF(ANNEES_VERROU,$B256)&gt;0,COUNTIF(D_KEY_NIVSES,$B256&amp;"|"&amp;$C256&amp;"|S2")&gt;0,COUNTIF(D_KEY_DOUBLON,$B256&amp;"|S2|"&amp;$E256)=0),"⚠ Départ non confirmé ?",IF(AND($C256&lt;&gt;"",ISNUMBER($I256),OR(VALUE(LEFT($B256,4))-$I256&lt;4+IFERROR(MATCH($C256,LISTE_NIVEAUX,0),99),VALUE(LEFT($B256,4))-$I256&gt;6+IFERROR(MATCH($C256,LISTE_NIVEAUX,0),99))),"⚠ Vérifier niveau",IF(AND(IFERROR(VLOOKUP($C256,TABLE_CYCLE,2,0),3)=2,COUNT($O256:$Q256)&gt;0),"⚠ Tests cycle 3",IF(COUNT($J256:$Q256)&gt;=IF(IFERROR(VLOOKUP($C256,TABLE_CYCLE,2,0),3)=2,5,8),"Complet","Incomplet"))))))))</f>
        <v/>
      </c>
      <c r="S256" s="24"/>
      <c r="T256" s="67" t="str">
        <f t="shared" si="28"/>
        <v/>
      </c>
      <c r="U256" s="67" t="str">
        <f t="shared" si="29"/>
        <v/>
      </c>
      <c r="V256" s="67" t="str">
        <f t="shared" si="30"/>
        <v/>
      </c>
      <c r="W256" s="67" t="str">
        <f t="shared" si="31"/>
        <v/>
      </c>
      <c r="X256" s="67" t="str">
        <f t="shared" si="32"/>
        <v/>
      </c>
      <c r="Y256" s="24" t="str">
        <f t="shared" si="33"/>
        <v/>
      </c>
      <c r="Z256">
        <f t="shared" si="34"/>
        <v>0</v>
      </c>
      <c r="AA256">
        <f t="shared" si="35"/>
        <v>0</v>
      </c>
    </row>
    <row r="257" spans="2:27" ht="15.75" customHeight="1" x14ac:dyDescent="0.3">
      <c r="B257" s="21"/>
      <c r="C257" s="21"/>
      <c r="D257" s="21"/>
      <c r="E257" s="22" t="str">
        <f t="shared" si="27"/>
        <v/>
      </c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3" t="str">
        <f>IF($F257="","",IF(OR($B257="",$C257="",$D257=""),"⚠ Compléter Année/Niveau/Session",IF(AND($E257&lt;&gt;"",COUNTIF(D_KEY_DOUBLON,$B257&amp;"|"&amp;$D257&amp;"|"&amp;$E257)&gt;1),"⚠ Doublon",IF(AND($E257&lt;&gt;"",COUNTIF(D_KEY_STATUT,$B257&amp;"|"&amp;$E257&amp;"|P")&gt;0,COUNTIF(D_KEY_STATUT,$B257&amp;"|"&amp;$E257&amp;"|A")&gt;0),"⚠ Statut incohérent",IF(AND($D257="S1",$Y257&lt;&gt;"Parti",COUNTIF(ANNEES_VERROU,$B257)&gt;0,COUNTIF(D_KEY_NIVSES,$B257&amp;"|"&amp;$C257&amp;"|S2")&gt;0,COUNTIF(D_KEY_DOUBLON,$B257&amp;"|S2|"&amp;$E257)=0),"⚠ Départ non confirmé ?",IF(AND($C257&lt;&gt;"",ISNUMBER($I257),OR(VALUE(LEFT($B257,4))-$I257&lt;4+IFERROR(MATCH($C257,LISTE_NIVEAUX,0),99),VALUE(LEFT($B257,4))-$I257&gt;6+IFERROR(MATCH($C257,LISTE_NIVEAUX,0),99))),"⚠ Vérifier niveau",IF(AND(IFERROR(VLOOKUP($C257,TABLE_CYCLE,2,0),3)=2,COUNT($O257:$Q257)&gt;0),"⚠ Tests cycle 3",IF(COUNT($J257:$Q257)&gt;=IF(IFERROR(VLOOKUP($C257,TABLE_CYCLE,2,0),3)=2,5,8),"Complet","Incomplet"))))))))</f>
        <v/>
      </c>
      <c r="S257" s="24"/>
      <c r="T257" s="67" t="str">
        <f t="shared" si="28"/>
        <v/>
      </c>
      <c r="U257" s="67" t="str">
        <f t="shared" si="29"/>
        <v/>
      </c>
      <c r="V257" s="67" t="str">
        <f t="shared" si="30"/>
        <v/>
      </c>
      <c r="W257" s="67" t="str">
        <f t="shared" si="31"/>
        <v/>
      </c>
      <c r="X257" s="67" t="str">
        <f t="shared" si="32"/>
        <v/>
      </c>
      <c r="Y257" s="24" t="str">
        <f t="shared" si="33"/>
        <v/>
      </c>
      <c r="Z257">
        <f t="shared" si="34"/>
        <v>0</v>
      </c>
      <c r="AA257">
        <f t="shared" si="35"/>
        <v>0</v>
      </c>
    </row>
    <row r="258" spans="2:27" ht="15.75" customHeight="1" x14ac:dyDescent="0.3">
      <c r="B258" s="25"/>
      <c r="C258" s="25"/>
      <c r="D258" s="25"/>
      <c r="E258" s="26" t="str">
        <f t="shared" si="27"/>
        <v/>
      </c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3" t="str">
        <f>IF($F258="","",IF(OR($B258="",$C258="",$D258=""),"⚠ Compléter Année/Niveau/Session",IF(AND($E258&lt;&gt;"",COUNTIF(D_KEY_DOUBLON,$B258&amp;"|"&amp;$D258&amp;"|"&amp;$E258)&gt;1),"⚠ Doublon",IF(AND($E258&lt;&gt;"",COUNTIF(D_KEY_STATUT,$B258&amp;"|"&amp;$E258&amp;"|P")&gt;0,COUNTIF(D_KEY_STATUT,$B258&amp;"|"&amp;$E258&amp;"|A")&gt;0),"⚠ Statut incohérent",IF(AND($D258="S1",$Y258&lt;&gt;"Parti",COUNTIF(ANNEES_VERROU,$B258)&gt;0,COUNTIF(D_KEY_NIVSES,$B258&amp;"|"&amp;$C258&amp;"|S2")&gt;0,COUNTIF(D_KEY_DOUBLON,$B258&amp;"|S2|"&amp;$E258)=0),"⚠ Départ non confirmé ?",IF(AND($C258&lt;&gt;"",ISNUMBER($I258),OR(VALUE(LEFT($B258,4))-$I258&lt;4+IFERROR(MATCH($C258,LISTE_NIVEAUX,0),99),VALUE(LEFT($B258,4))-$I258&gt;6+IFERROR(MATCH($C258,LISTE_NIVEAUX,0),99))),"⚠ Vérifier niveau",IF(AND(IFERROR(VLOOKUP($C258,TABLE_CYCLE,2,0),3)=2,COUNT($O258:$Q258)&gt;0),"⚠ Tests cycle 3",IF(COUNT($J258:$Q258)&gt;=IF(IFERROR(VLOOKUP($C258,TABLE_CYCLE,2,0),3)=2,5,8),"Complet","Incomplet"))))))))</f>
        <v/>
      </c>
      <c r="S258" s="24"/>
      <c r="T258" s="67" t="str">
        <f t="shared" si="28"/>
        <v/>
      </c>
      <c r="U258" s="67" t="str">
        <f t="shared" si="29"/>
        <v/>
      </c>
      <c r="V258" s="67" t="str">
        <f t="shared" si="30"/>
        <v/>
      </c>
      <c r="W258" s="67" t="str">
        <f t="shared" si="31"/>
        <v/>
      </c>
      <c r="X258" s="67" t="str">
        <f t="shared" si="32"/>
        <v/>
      </c>
      <c r="Y258" s="24" t="str">
        <f t="shared" si="33"/>
        <v/>
      </c>
      <c r="Z258">
        <f t="shared" si="34"/>
        <v>0</v>
      </c>
      <c r="AA258">
        <f t="shared" si="35"/>
        <v>0</v>
      </c>
    </row>
    <row r="259" spans="2:27" ht="15.75" customHeight="1" x14ac:dyDescent="0.3">
      <c r="B259" s="21"/>
      <c r="C259" s="21"/>
      <c r="D259" s="21"/>
      <c r="E259" s="22" t="str">
        <f t="shared" si="27"/>
        <v/>
      </c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3" t="str">
        <f>IF($F259="","",IF(OR($B259="",$C259="",$D259=""),"⚠ Compléter Année/Niveau/Session",IF(AND($E259&lt;&gt;"",COUNTIF(D_KEY_DOUBLON,$B259&amp;"|"&amp;$D259&amp;"|"&amp;$E259)&gt;1),"⚠ Doublon",IF(AND($E259&lt;&gt;"",COUNTIF(D_KEY_STATUT,$B259&amp;"|"&amp;$E259&amp;"|P")&gt;0,COUNTIF(D_KEY_STATUT,$B259&amp;"|"&amp;$E259&amp;"|A")&gt;0),"⚠ Statut incohérent",IF(AND($D259="S1",$Y259&lt;&gt;"Parti",COUNTIF(ANNEES_VERROU,$B259)&gt;0,COUNTIF(D_KEY_NIVSES,$B259&amp;"|"&amp;$C259&amp;"|S2")&gt;0,COUNTIF(D_KEY_DOUBLON,$B259&amp;"|S2|"&amp;$E259)=0),"⚠ Départ non confirmé ?",IF(AND($C259&lt;&gt;"",ISNUMBER($I259),OR(VALUE(LEFT($B259,4))-$I259&lt;4+IFERROR(MATCH($C259,LISTE_NIVEAUX,0),99),VALUE(LEFT($B259,4))-$I259&gt;6+IFERROR(MATCH($C259,LISTE_NIVEAUX,0),99))),"⚠ Vérifier niveau",IF(AND(IFERROR(VLOOKUP($C259,TABLE_CYCLE,2,0),3)=2,COUNT($O259:$Q259)&gt;0),"⚠ Tests cycle 3",IF(COUNT($J259:$Q259)&gt;=IF(IFERROR(VLOOKUP($C259,TABLE_CYCLE,2,0),3)=2,5,8),"Complet","Incomplet"))))))))</f>
        <v/>
      </c>
      <c r="S259" s="24"/>
      <c r="T259" s="67" t="str">
        <f t="shared" si="28"/>
        <v/>
      </c>
      <c r="U259" s="67" t="str">
        <f t="shared" si="29"/>
        <v/>
      </c>
      <c r="V259" s="67" t="str">
        <f t="shared" si="30"/>
        <v/>
      </c>
      <c r="W259" s="67" t="str">
        <f t="shared" si="31"/>
        <v/>
      </c>
      <c r="X259" s="67" t="str">
        <f t="shared" si="32"/>
        <v/>
      </c>
      <c r="Y259" s="24" t="str">
        <f t="shared" si="33"/>
        <v/>
      </c>
      <c r="Z259">
        <f t="shared" si="34"/>
        <v>0</v>
      </c>
      <c r="AA259">
        <f t="shared" si="35"/>
        <v>0</v>
      </c>
    </row>
    <row r="260" spans="2:27" ht="15.75" customHeight="1" x14ac:dyDescent="0.3">
      <c r="B260" s="25"/>
      <c r="C260" s="25"/>
      <c r="D260" s="25"/>
      <c r="E260" s="26" t="str">
        <f t="shared" si="27"/>
        <v/>
      </c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3" t="str">
        <f>IF($F260="","",IF(OR($B260="",$C260="",$D260=""),"⚠ Compléter Année/Niveau/Session",IF(AND($E260&lt;&gt;"",COUNTIF(D_KEY_DOUBLON,$B260&amp;"|"&amp;$D260&amp;"|"&amp;$E260)&gt;1),"⚠ Doublon",IF(AND($E260&lt;&gt;"",COUNTIF(D_KEY_STATUT,$B260&amp;"|"&amp;$E260&amp;"|P")&gt;0,COUNTIF(D_KEY_STATUT,$B260&amp;"|"&amp;$E260&amp;"|A")&gt;0),"⚠ Statut incohérent",IF(AND($D260="S1",$Y260&lt;&gt;"Parti",COUNTIF(ANNEES_VERROU,$B260)&gt;0,COUNTIF(D_KEY_NIVSES,$B260&amp;"|"&amp;$C260&amp;"|S2")&gt;0,COUNTIF(D_KEY_DOUBLON,$B260&amp;"|S2|"&amp;$E260)=0),"⚠ Départ non confirmé ?",IF(AND($C260&lt;&gt;"",ISNUMBER($I260),OR(VALUE(LEFT($B260,4))-$I260&lt;4+IFERROR(MATCH($C260,LISTE_NIVEAUX,0),99),VALUE(LEFT($B260,4))-$I260&gt;6+IFERROR(MATCH($C260,LISTE_NIVEAUX,0),99))),"⚠ Vérifier niveau",IF(AND(IFERROR(VLOOKUP($C260,TABLE_CYCLE,2,0),3)=2,COUNT($O260:$Q260)&gt;0),"⚠ Tests cycle 3",IF(COUNT($J260:$Q260)&gt;=IF(IFERROR(VLOOKUP($C260,TABLE_CYCLE,2,0),3)=2,5,8),"Complet","Incomplet"))))))))</f>
        <v/>
      </c>
      <c r="S260" s="24"/>
      <c r="T260" s="67" t="str">
        <f t="shared" si="28"/>
        <v/>
      </c>
      <c r="U260" s="67" t="str">
        <f t="shared" si="29"/>
        <v/>
      </c>
      <c r="V260" s="67" t="str">
        <f t="shared" si="30"/>
        <v/>
      </c>
      <c r="W260" s="67" t="str">
        <f t="shared" si="31"/>
        <v/>
      </c>
      <c r="X260" s="67" t="str">
        <f t="shared" si="32"/>
        <v/>
      </c>
      <c r="Y260" s="24" t="str">
        <f t="shared" si="33"/>
        <v/>
      </c>
      <c r="Z260">
        <f t="shared" si="34"/>
        <v>0</v>
      </c>
      <c r="AA260">
        <f t="shared" si="35"/>
        <v>0</v>
      </c>
    </row>
    <row r="261" spans="2:27" ht="15.75" customHeight="1" x14ac:dyDescent="0.3">
      <c r="B261" s="21"/>
      <c r="C261" s="21"/>
      <c r="D261" s="21"/>
      <c r="E261" s="22" t="str">
        <f t="shared" si="27"/>
        <v/>
      </c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3" t="str">
        <f>IF($F261="","",IF(OR($B261="",$C261="",$D261=""),"⚠ Compléter Année/Niveau/Session",IF(AND($E261&lt;&gt;"",COUNTIF(D_KEY_DOUBLON,$B261&amp;"|"&amp;$D261&amp;"|"&amp;$E261)&gt;1),"⚠ Doublon",IF(AND($E261&lt;&gt;"",COUNTIF(D_KEY_STATUT,$B261&amp;"|"&amp;$E261&amp;"|P")&gt;0,COUNTIF(D_KEY_STATUT,$B261&amp;"|"&amp;$E261&amp;"|A")&gt;0),"⚠ Statut incohérent",IF(AND($D261="S1",$Y261&lt;&gt;"Parti",COUNTIF(ANNEES_VERROU,$B261)&gt;0,COUNTIF(D_KEY_NIVSES,$B261&amp;"|"&amp;$C261&amp;"|S2")&gt;0,COUNTIF(D_KEY_DOUBLON,$B261&amp;"|S2|"&amp;$E261)=0),"⚠ Départ non confirmé ?",IF(AND($C261&lt;&gt;"",ISNUMBER($I261),OR(VALUE(LEFT($B261,4))-$I261&lt;4+IFERROR(MATCH($C261,LISTE_NIVEAUX,0),99),VALUE(LEFT($B261,4))-$I261&gt;6+IFERROR(MATCH($C261,LISTE_NIVEAUX,0),99))),"⚠ Vérifier niveau",IF(AND(IFERROR(VLOOKUP($C261,TABLE_CYCLE,2,0),3)=2,COUNT($O261:$Q261)&gt;0),"⚠ Tests cycle 3",IF(COUNT($J261:$Q261)&gt;=IF(IFERROR(VLOOKUP($C261,TABLE_CYCLE,2,0),3)=2,5,8),"Complet","Incomplet"))))))))</f>
        <v/>
      </c>
      <c r="S261" s="24"/>
      <c r="T261" s="67" t="str">
        <f t="shared" si="28"/>
        <v/>
      </c>
      <c r="U261" s="67" t="str">
        <f t="shared" si="29"/>
        <v/>
      </c>
      <c r="V261" s="67" t="str">
        <f t="shared" si="30"/>
        <v/>
      </c>
      <c r="W261" s="67" t="str">
        <f t="shared" si="31"/>
        <v/>
      </c>
      <c r="X261" s="67" t="str">
        <f t="shared" si="32"/>
        <v/>
      </c>
      <c r="Y261" s="24" t="str">
        <f t="shared" si="33"/>
        <v/>
      </c>
      <c r="Z261">
        <f t="shared" si="34"/>
        <v>0</v>
      </c>
      <c r="AA261">
        <f t="shared" si="35"/>
        <v>0</v>
      </c>
    </row>
    <row r="262" spans="2:27" ht="15.75" customHeight="1" x14ac:dyDescent="0.3">
      <c r="B262" s="25"/>
      <c r="C262" s="25"/>
      <c r="D262" s="25"/>
      <c r="E262" s="26" t="str">
        <f t="shared" si="27"/>
        <v/>
      </c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3" t="str">
        <f>IF($F262="","",IF(OR($B262="",$C262="",$D262=""),"⚠ Compléter Année/Niveau/Session",IF(AND($E262&lt;&gt;"",COUNTIF(D_KEY_DOUBLON,$B262&amp;"|"&amp;$D262&amp;"|"&amp;$E262)&gt;1),"⚠ Doublon",IF(AND($E262&lt;&gt;"",COUNTIF(D_KEY_STATUT,$B262&amp;"|"&amp;$E262&amp;"|P")&gt;0,COUNTIF(D_KEY_STATUT,$B262&amp;"|"&amp;$E262&amp;"|A")&gt;0),"⚠ Statut incohérent",IF(AND($D262="S1",$Y262&lt;&gt;"Parti",COUNTIF(ANNEES_VERROU,$B262)&gt;0,COUNTIF(D_KEY_NIVSES,$B262&amp;"|"&amp;$C262&amp;"|S2")&gt;0,COUNTIF(D_KEY_DOUBLON,$B262&amp;"|S2|"&amp;$E262)=0),"⚠ Départ non confirmé ?",IF(AND($C262&lt;&gt;"",ISNUMBER($I262),OR(VALUE(LEFT($B262,4))-$I262&lt;4+IFERROR(MATCH($C262,LISTE_NIVEAUX,0),99),VALUE(LEFT($B262,4))-$I262&gt;6+IFERROR(MATCH($C262,LISTE_NIVEAUX,0),99))),"⚠ Vérifier niveau",IF(AND(IFERROR(VLOOKUP($C262,TABLE_CYCLE,2,0),3)=2,COUNT($O262:$Q262)&gt;0),"⚠ Tests cycle 3",IF(COUNT($J262:$Q262)&gt;=IF(IFERROR(VLOOKUP($C262,TABLE_CYCLE,2,0),3)=2,5,8),"Complet","Incomplet"))))))))</f>
        <v/>
      </c>
      <c r="S262" s="24"/>
      <c r="T262" s="67" t="str">
        <f t="shared" si="28"/>
        <v/>
      </c>
      <c r="U262" s="67" t="str">
        <f t="shared" si="29"/>
        <v/>
      </c>
      <c r="V262" s="67" t="str">
        <f t="shared" si="30"/>
        <v/>
      </c>
      <c r="W262" s="67" t="str">
        <f t="shared" si="31"/>
        <v/>
      </c>
      <c r="X262" s="67" t="str">
        <f t="shared" si="32"/>
        <v/>
      </c>
      <c r="Y262" s="24" t="str">
        <f t="shared" si="33"/>
        <v/>
      </c>
      <c r="Z262">
        <f t="shared" si="34"/>
        <v>0</v>
      </c>
      <c r="AA262">
        <f t="shared" si="35"/>
        <v>0</v>
      </c>
    </row>
    <row r="263" spans="2:27" ht="15.75" customHeight="1" x14ac:dyDescent="0.3">
      <c r="B263" s="21"/>
      <c r="C263" s="21"/>
      <c r="D263" s="21"/>
      <c r="E263" s="22" t="str">
        <f t="shared" ref="E263:E326" si="36">IF(OR($F263="",$G263=""),"",IF(ISNUMBER($I263),TEXT($I263-2000,"00")&amp;"_","__")&amp;UPPER(TRIM($F263))&amp;"_"&amp;UPPER(TRIM($G263)))</f>
        <v/>
      </c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3" t="str">
        <f>IF($F263="","",IF(OR($B263="",$C263="",$D263=""),"⚠ Compléter Année/Niveau/Session",IF(AND($E263&lt;&gt;"",COUNTIF(D_KEY_DOUBLON,$B263&amp;"|"&amp;$D263&amp;"|"&amp;$E263)&gt;1),"⚠ Doublon",IF(AND($E263&lt;&gt;"",COUNTIF(D_KEY_STATUT,$B263&amp;"|"&amp;$E263&amp;"|P")&gt;0,COUNTIF(D_KEY_STATUT,$B263&amp;"|"&amp;$E263&amp;"|A")&gt;0),"⚠ Statut incohérent",IF(AND($D263="S1",$Y263&lt;&gt;"Parti",COUNTIF(ANNEES_VERROU,$B263)&gt;0,COUNTIF(D_KEY_NIVSES,$B263&amp;"|"&amp;$C263&amp;"|S2")&gt;0,COUNTIF(D_KEY_DOUBLON,$B263&amp;"|S2|"&amp;$E263)=0),"⚠ Départ non confirmé ?",IF(AND($C263&lt;&gt;"",ISNUMBER($I263),OR(VALUE(LEFT($B263,4))-$I263&lt;4+IFERROR(MATCH($C263,LISTE_NIVEAUX,0),99),VALUE(LEFT($B263,4))-$I263&gt;6+IFERROR(MATCH($C263,LISTE_NIVEAUX,0),99))),"⚠ Vérifier niveau",IF(AND(IFERROR(VLOOKUP($C263,TABLE_CYCLE,2,0),3)=2,COUNT($O263:$Q263)&gt;0),"⚠ Tests cycle 3",IF(COUNT($J263:$Q263)&gt;=IF(IFERROR(VLOOKUP($C263,TABLE_CYCLE,2,0),3)=2,5,8),"Complet","Incomplet"))))))))</f>
        <v/>
      </c>
      <c r="S263" s="24"/>
      <c r="T263" s="67" t="str">
        <f t="shared" ref="T263:T326" si="37">IFERROR(INDEX(D_NOM,MATCH(ROW()-6,D_RANG_RECUP,0)),"")</f>
        <v/>
      </c>
      <c r="U263" s="67" t="str">
        <f t="shared" ref="U263:U326" si="38">IFERROR(INDEX(D_PRENOM,MATCH(ROW()-6,D_RANG_RECUP,0)),"")</f>
        <v/>
      </c>
      <c r="V263" s="67" t="str">
        <f t="shared" ref="V263:V326" si="39">IFERROR(INDEX(D_SEXE,MATCH(ROW()-6,D_RANG_RECUP,0)),"")</f>
        <v/>
      </c>
      <c r="W263" s="67" t="str">
        <f t="shared" ref="W263:W326" si="40">IFERROR(INDEX(D_NAISS,MATCH(ROW()-6,D_RANG_RECUP,0)),"")</f>
        <v/>
      </c>
      <c r="X263" s="67" t="str">
        <f t="shared" ref="X263:X326" si="41">IF($T263="","",IF($X$4="→ Session 2 (même année)",$W$4,IFERROR(INDEX(LISTE_NIVEAUX,MATCH($W$4,LISTE_NIVEAUX,0)+1),"CM2 terminé")))</f>
        <v/>
      </c>
      <c r="Y263" s="24" t="str">
        <f t="shared" ref="Y263:Y326" si="42">IF($S263="","",$S263)</f>
        <v/>
      </c>
      <c r="Z263">
        <f t="shared" ref="Z263:Z326" si="43">SUBTOTAL(103,$F263)*($R263="Complet")</f>
        <v>0</v>
      </c>
      <c r="AA263">
        <f t="shared" ref="AA263:AA326" si="44">IF(OR($F263="",$C263=""),0,IF(COUNTIFS($B$7:$B$1206,$B263,$F$7:$F$1206,$F263,$G$7:$G$1206,$G263,$I$7:$I$1206,$I263,$C$7:$C$1206,"&lt;&gt;"&amp;$C263)&gt;0,1,0))</f>
        <v>0</v>
      </c>
    </row>
    <row r="264" spans="2:27" ht="15.75" customHeight="1" x14ac:dyDescent="0.3">
      <c r="B264" s="25"/>
      <c r="C264" s="25"/>
      <c r="D264" s="25"/>
      <c r="E264" s="26" t="str">
        <f t="shared" si="36"/>
        <v/>
      </c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3" t="str">
        <f>IF($F264="","",IF(OR($B264="",$C264="",$D264=""),"⚠ Compléter Année/Niveau/Session",IF(AND($E264&lt;&gt;"",COUNTIF(D_KEY_DOUBLON,$B264&amp;"|"&amp;$D264&amp;"|"&amp;$E264)&gt;1),"⚠ Doublon",IF(AND($E264&lt;&gt;"",COUNTIF(D_KEY_STATUT,$B264&amp;"|"&amp;$E264&amp;"|P")&gt;0,COUNTIF(D_KEY_STATUT,$B264&amp;"|"&amp;$E264&amp;"|A")&gt;0),"⚠ Statut incohérent",IF(AND($D264="S1",$Y264&lt;&gt;"Parti",COUNTIF(ANNEES_VERROU,$B264)&gt;0,COUNTIF(D_KEY_NIVSES,$B264&amp;"|"&amp;$C264&amp;"|S2")&gt;0,COUNTIF(D_KEY_DOUBLON,$B264&amp;"|S2|"&amp;$E264)=0),"⚠ Départ non confirmé ?",IF(AND($C264&lt;&gt;"",ISNUMBER($I264),OR(VALUE(LEFT($B264,4))-$I264&lt;4+IFERROR(MATCH($C264,LISTE_NIVEAUX,0),99),VALUE(LEFT($B264,4))-$I264&gt;6+IFERROR(MATCH($C264,LISTE_NIVEAUX,0),99))),"⚠ Vérifier niveau",IF(AND(IFERROR(VLOOKUP($C264,TABLE_CYCLE,2,0),3)=2,COUNT($O264:$Q264)&gt;0),"⚠ Tests cycle 3",IF(COUNT($J264:$Q264)&gt;=IF(IFERROR(VLOOKUP($C264,TABLE_CYCLE,2,0),3)=2,5,8),"Complet","Incomplet"))))))))</f>
        <v/>
      </c>
      <c r="S264" s="24"/>
      <c r="T264" s="67" t="str">
        <f t="shared" si="37"/>
        <v/>
      </c>
      <c r="U264" s="67" t="str">
        <f t="shared" si="38"/>
        <v/>
      </c>
      <c r="V264" s="67" t="str">
        <f t="shared" si="39"/>
        <v/>
      </c>
      <c r="W264" s="67" t="str">
        <f t="shared" si="40"/>
        <v/>
      </c>
      <c r="X264" s="67" t="str">
        <f t="shared" si="41"/>
        <v/>
      </c>
      <c r="Y264" s="24" t="str">
        <f t="shared" si="42"/>
        <v/>
      </c>
      <c r="Z264">
        <f t="shared" si="43"/>
        <v>0</v>
      </c>
      <c r="AA264">
        <f t="shared" si="44"/>
        <v>0</v>
      </c>
    </row>
    <row r="265" spans="2:27" ht="15.75" customHeight="1" x14ac:dyDescent="0.3">
      <c r="B265" s="21"/>
      <c r="C265" s="21"/>
      <c r="D265" s="21"/>
      <c r="E265" s="22" t="str">
        <f t="shared" si="36"/>
        <v/>
      </c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3" t="str">
        <f>IF($F265="","",IF(OR($B265="",$C265="",$D265=""),"⚠ Compléter Année/Niveau/Session",IF(AND($E265&lt;&gt;"",COUNTIF(D_KEY_DOUBLON,$B265&amp;"|"&amp;$D265&amp;"|"&amp;$E265)&gt;1),"⚠ Doublon",IF(AND($E265&lt;&gt;"",COUNTIF(D_KEY_STATUT,$B265&amp;"|"&amp;$E265&amp;"|P")&gt;0,COUNTIF(D_KEY_STATUT,$B265&amp;"|"&amp;$E265&amp;"|A")&gt;0),"⚠ Statut incohérent",IF(AND($D265="S1",$Y265&lt;&gt;"Parti",COUNTIF(ANNEES_VERROU,$B265)&gt;0,COUNTIF(D_KEY_NIVSES,$B265&amp;"|"&amp;$C265&amp;"|S2")&gt;0,COUNTIF(D_KEY_DOUBLON,$B265&amp;"|S2|"&amp;$E265)=0),"⚠ Départ non confirmé ?",IF(AND($C265&lt;&gt;"",ISNUMBER($I265),OR(VALUE(LEFT($B265,4))-$I265&lt;4+IFERROR(MATCH($C265,LISTE_NIVEAUX,0),99),VALUE(LEFT($B265,4))-$I265&gt;6+IFERROR(MATCH($C265,LISTE_NIVEAUX,0),99))),"⚠ Vérifier niveau",IF(AND(IFERROR(VLOOKUP($C265,TABLE_CYCLE,2,0),3)=2,COUNT($O265:$Q265)&gt;0),"⚠ Tests cycle 3",IF(COUNT($J265:$Q265)&gt;=IF(IFERROR(VLOOKUP($C265,TABLE_CYCLE,2,0),3)=2,5,8),"Complet","Incomplet"))))))))</f>
        <v/>
      </c>
      <c r="S265" s="24"/>
      <c r="T265" s="67" t="str">
        <f t="shared" si="37"/>
        <v/>
      </c>
      <c r="U265" s="67" t="str">
        <f t="shared" si="38"/>
        <v/>
      </c>
      <c r="V265" s="67" t="str">
        <f t="shared" si="39"/>
        <v/>
      </c>
      <c r="W265" s="67" t="str">
        <f t="shared" si="40"/>
        <v/>
      </c>
      <c r="X265" s="67" t="str">
        <f t="shared" si="41"/>
        <v/>
      </c>
      <c r="Y265" s="24" t="str">
        <f t="shared" si="42"/>
        <v/>
      </c>
      <c r="Z265">
        <f t="shared" si="43"/>
        <v>0</v>
      </c>
      <c r="AA265">
        <f t="shared" si="44"/>
        <v>0</v>
      </c>
    </row>
    <row r="266" spans="2:27" ht="15.75" customHeight="1" x14ac:dyDescent="0.3">
      <c r="B266" s="25"/>
      <c r="C266" s="25"/>
      <c r="D266" s="25"/>
      <c r="E266" s="26" t="str">
        <f t="shared" si="36"/>
        <v/>
      </c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3" t="str">
        <f>IF($F266="","",IF(OR($B266="",$C266="",$D266=""),"⚠ Compléter Année/Niveau/Session",IF(AND($E266&lt;&gt;"",COUNTIF(D_KEY_DOUBLON,$B266&amp;"|"&amp;$D266&amp;"|"&amp;$E266)&gt;1),"⚠ Doublon",IF(AND($E266&lt;&gt;"",COUNTIF(D_KEY_STATUT,$B266&amp;"|"&amp;$E266&amp;"|P")&gt;0,COUNTIF(D_KEY_STATUT,$B266&amp;"|"&amp;$E266&amp;"|A")&gt;0),"⚠ Statut incohérent",IF(AND($D266="S1",$Y266&lt;&gt;"Parti",COUNTIF(ANNEES_VERROU,$B266)&gt;0,COUNTIF(D_KEY_NIVSES,$B266&amp;"|"&amp;$C266&amp;"|S2")&gt;0,COUNTIF(D_KEY_DOUBLON,$B266&amp;"|S2|"&amp;$E266)=0),"⚠ Départ non confirmé ?",IF(AND($C266&lt;&gt;"",ISNUMBER($I266),OR(VALUE(LEFT($B266,4))-$I266&lt;4+IFERROR(MATCH($C266,LISTE_NIVEAUX,0),99),VALUE(LEFT($B266,4))-$I266&gt;6+IFERROR(MATCH($C266,LISTE_NIVEAUX,0),99))),"⚠ Vérifier niveau",IF(AND(IFERROR(VLOOKUP($C266,TABLE_CYCLE,2,0),3)=2,COUNT($O266:$Q266)&gt;0),"⚠ Tests cycle 3",IF(COUNT($J266:$Q266)&gt;=IF(IFERROR(VLOOKUP($C266,TABLE_CYCLE,2,0),3)=2,5,8),"Complet","Incomplet"))))))))</f>
        <v/>
      </c>
      <c r="S266" s="24"/>
      <c r="T266" s="67" t="str">
        <f t="shared" si="37"/>
        <v/>
      </c>
      <c r="U266" s="67" t="str">
        <f t="shared" si="38"/>
        <v/>
      </c>
      <c r="V266" s="67" t="str">
        <f t="shared" si="39"/>
        <v/>
      </c>
      <c r="W266" s="67" t="str">
        <f t="shared" si="40"/>
        <v/>
      </c>
      <c r="X266" s="67" t="str">
        <f t="shared" si="41"/>
        <v/>
      </c>
      <c r="Y266" s="24" t="str">
        <f t="shared" si="42"/>
        <v/>
      </c>
      <c r="Z266">
        <f t="shared" si="43"/>
        <v>0</v>
      </c>
      <c r="AA266">
        <f t="shared" si="44"/>
        <v>0</v>
      </c>
    </row>
    <row r="267" spans="2:27" ht="15.75" customHeight="1" x14ac:dyDescent="0.3">
      <c r="B267" s="21"/>
      <c r="C267" s="21"/>
      <c r="D267" s="21"/>
      <c r="E267" s="22" t="str">
        <f t="shared" si="36"/>
        <v/>
      </c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3" t="str">
        <f>IF($F267="","",IF(OR($B267="",$C267="",$D267=""),"⚠ Compléter Année/Niveau/Session",IF(AND($E267&lt;&gt;"",COUNTIF(D_KEY_DOUBLON,$B267&amp;"|"&amp;$D267&amp;"|"&amp;$E267)&gt;1),"⚠ Doublon",IF(AND($E267&lt;&gt;"",COUNTIF(D_KEY_STATUT,$B267&amp;"|"&amp;$E267&amp;"|P")&gt;0,COUNTIF(D_KEY_STATUT,$B267&amp;"|"&amp;$E267&amp;"|A")&gt;0),"⚠ Statut incohérent",IF(AND($D267="S1",$Y267&lt;&gt;"Parti",COUNTIF(ANNEES_VERROU,$B267)&gt;0,COUNTIF(D_KEY_NIVSES,$B267&amp;"|"&amp;$C267&amp;"|S2")&gt;0,COUNTIF(D_KEY_DOUBLON,$B267&amp;"|S2|"&amp;$E267)=0),"⚠ Départ non confirmé ?",IF(AND($C267&lt;&gt;"",ISNUMBER($I267),OR(VALUE(LEFT($B267,4))-$I267&lt;4+IFERROR(MATCH($C267,LISTE_NIVEAUX,0),99),VALUE(LEFT($B267,4))-$I267&gt;6+IFERROR(MATCH($C267,LISTE_NIVEAUX,0),99))),"⚠ Vérifier niveau",IF(AND(IFERROR(VLOOKUP($C267,TABLE_CYCLE,2,0),3)=2,COUNT($O267:$Q267)&gt;0),"⚠ Tests cycle 3",IF(COUNT($J267:$Q267)&gt;=IF(IFERROR(VLOOKUP($C267,TABLE_CYCLE,2,0),3)=2,5,8),"Complet","Incomplet"))))))))</f>
        <v/>
      </c>
      <c r="S267" s="24"/>
      <c r="T267" s="67" t="str">
        <f t="shared" si="37"/>
        <v/>
      </c>
      <c r="U267" s="67" t="str">
        <f t="shared" si="38"/>
        <v/>
      </c>
      <c r="V267" s="67" t="str">
        <f t="shared" si="39"/>
        <v/>
      </c>
      <c r="W267" s="67" t="str">
        <f t="shared" si="40"/>
        <v/>
      </c>
      <c r="X267" s="67" t="str">
        <f t="shared" si="41"/>
        <v/>
      </c>
      <c r="Y267" s="24" t="str">
        <f t="shared" si="42"/>
        <v/>
      </c>
      <c r="Z267">
        <f t="shared" si="43"/>
        <v>0</v>
      </c>
      <c r="AA267">
        <f t="shared" si="44"/>
        <v>0</v>
      </c>
    </row>
    <row r="268" spans="2:27" ht="15.75" customHeight="1" x14ac:dyDescent="0.3">
      <c r="B268" s="25"/>
      <c r="C268" s="25"/>
      <c r="D268" s="25"/>
      <c r="E268" s="26" t="str">
        <f t="shared" si="36"/>
        <v/>
      </c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3" t="str">
        <f>IF($F268="","",IF(OR($B268="",$C268="",$D268=""),"⚠ Compléter Année/Niveau/Session",IF(AND($E268&lt;&gt;"",COUNTIF(D_KEY_DOUBLON,$B268&amp;"|"&amp;$D268&amp;"|"&amp;$E268)&gt;1),"⚠ Doublon",IF(AND($E268&lt;&gt;"",COUNTIF(D_KEY_STATUT,$B268&amp;"|"&amp;$E268&amp;"|P")&gt;0,COUNTIF(D_KEY_STATUT,$B268&amp;"|"&amp;$E268&amp;"|A")&gt;0),"⚠ Statut incohérent",IF(AND($D268="S1",$Y268&lt;&gt;"Parti",COUNTIF(ANNEES_VERROU,$B268)&gt;0,COUNTIF(D_KEY_NIVSES,$B268&amp;"|"&amp;$C268&amp;"|S2")&gt;0,COUNTIF(D_KEY_DOUBLON,$B268&amp;"|S2|"&amp;$E268)=0),"⚠ Départ non confirmé ?",IF(AND($C268&lt;&gt;"",ISNUMBER($I268),OR(VALUE(LEFT($B268,4))-$I268&lt;4+IFERROR(MATCH($C268,LISTE_NIVEAUX,0),99),VALUE(LEFT($B268,4))-$I268&gt;6+IFERROR(MATCH($C268,LISTE_NIVEAUX,0),99))),"⚠ Vérifier niveau",IF(AND(IFERROR(VLOOKUP($C268,TABLE_CYCLE,2,0),3)=2,COUNT($O268:$Q268)&gt;0),"⚠ Tests cycle 3",IF(COUNT($J268:$Q268)&gt;=IF(IFERROR(VLOOKUP($C268,TABLE_CYCLE,2,0),3)=2,5,8),"Complet","Incomplet"))))))))</f>
        <v/>
      </c>
      <c r="S268" s="24"/>
      <c r="T268" s="67" t="str">
        <f t="shared" si="37"/>
        <v/>
      </c>
      <c r="U268" s="67" t="str">
        <f t="shared" si="38"/>
        <v/>
      </c>
      <c r="V268" s="67" t="str">
        <f t="shared" si="39"/>
        <v/>
      </c>
      <c r="W268" s="67" t="str">
        <f t="shared" si="40"/>
        <v/>
      </c>
      <c r="X268" s="67" t="str">
        <f t="shared" si="41"/>
        <v/>
      </c>
      <c r="Y268" s="24" t="str">
        <f t="shared" si="42"/>
        <v/>
      </c>
      <c r="Z268">
        <f t="shared" si="43"/>
        <v>0</v>
      </c>
      <c r="AA268">
        <f t="shared" si="44"/>
        <v>0</v>
      </c>
    </row>
    <row r="269" spans="2:27" ht="15.75" customHeight="1" x14ac:dyDescent="0.3">
      <c r="B269" s="21"/>
      <c r="C269" s="21"/>
      <c r="D269" s="21"/>
      <c r="E269" s="22" t="str">
        <f t="shared" si="36"/>
        <v/>
      </c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3" t="str">
        <f>IF($F269="","",IF(OR($B269="",$C269="",$D269=""),"⚠ Compléter Année/Niveau/Session",IF(AND($E269&lt;&gt;"",COUNTIF(D_KEY_DOUBLON,$B269&amp;"|"&amp;$D269&amp;"|"&amp;$E269)&gt;1),"⚠ Doublon",IF(AND($E269&lt;&gt;"",COUNTIF(D_KEY_STATUT,$B269&amp;"|"&amp;$E269&amp;"|P")&gt;0,COUNTIF(D_KEY_STATUT,$B269&amp;"|"&amp;$E269&amp;"|A")&gt;0),"⚠ Statut incohérent",IF(AND($D269="S1",$Y269&lt;&gt;"Parti",COUNTIF(ANNEES_VERROU,$B269)&gt;0,COUNTIF(D_KEY_NIVSES,$B269&amp;"|"&amp;$C269&amp;"|S2")&gt;0,COUNTIF(D_KEY_DOUBLON,$B269&amp;"|S2|"&amp;$E269)=0),"⚠ Départ non confirmé ?",IF(AND($C269&lt;&gt;"",ISNUMBER($I269),OR(VALUE(LEFT($B269,4))-$I269&lt;4+IFERROR(MATCH($C269,LISTE_NIVEAUX,0),99),VALUE(LEFT($B269,4))-$I269&gt;6+IFERROR(MATCH($C269,LISTE_NIVEAUX,0),99))),"⚠ Vérifier niveau",IF(AND(IFERROR(VLOOKUP($C269,TABLE_CYCLE,2,0),3)=2,COUNT($O269:$Q269)&gt;0),"⚠ Tests cycle 3",IF(COUNT($J269:$Q269)&gt;=IF(IFERROR(VLOOKUP($C269,TABLE_CYCLE,2,0),3)=2,5,8),"Complet","Incomplet"))))))))</f>
        <v/>
      </c>
      <c r="S269" s="24"/>
      <c r="T269" s="67" t="str">
        <f t="shared" si="37"/>
        <v/>
      </c>
      <c r="U269" s="67" t="str">
        <f t="shared" si="38"/>
        <v/>
      </c>
      <c r="V269" s="67" t="str">
        <f t="shared" si="39"/>
        <v/>
      </c>
      <c r="W269" s="67" t="str">
        <f t="shared" si="40"/>
        <v/>
      </c>
      <c r="X269" s="67" t="str">
        <f t="shared" si="41"/>
        <v/>
      </c>
      <c r="Y269" s="24" t="str">
        <f t="shared" si="42"/>
        <v/>
      </c>
      <c r="Z269">
        <f t="shared" si="43"/>
        <v>0</v>
      </c>
      <c r="AA269">
        <f t="shared" si="44"/>
        <v>0</v>
      </c>
    </row>
    <row r="270" spans="2:27" ht="15.75" customHeight="1" x14ac:dyDescent="0.3">
      <c r="B270" s="25"/>
      <c r="C270" s="25"/>
      <c r="D270" s="25"/>
      <c r="E270" s="26" t="str">
        <f t="shared" si="36"/>
        <v/>
      </c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3" t="str">
        <f>IF($F270="","",IF(OR($B270="",$C270="",$D270=""),"⚠ Compléter Année/Niveau/Session",IF(AND($E270&lt;&gt;"",COUNTIF(D_KEY_DOUBLON,$B270&amp;"|"&amp;$D270&amp;"|"&amp;$E270)&gt;1),"⚠ Doublon",IF(AND($E270&lt;&gt;"",COUNTIF(D_KEY_STATUT,$B270&amp;"|"&amp;$E270&amp;"|P")&gt;0,COUNTIF(D_KEY_STATUT,$B270&amp;"|"&amp;$E270&amp;"|A")&gt;0),"⚠ Statut incohérent",IF(AND($D270="S1",$Y270&lt;&gt;"Parti",COUNTIF(ANNEES_VERROU,$B270)&gt;0,COUNTIF(D_KEY_NIVSES,$B270&amp;"|"&amp;$C270&amp;"|S2")&gt;0,COUNTIF(D_KEY_DOUBLON,$B270&amp;"|S2|"&amp;$E270)=0),"⚠ Départ non confirmé ?",IF(AND($C270&lt;&gt;"",ISNUMBER($I270),OR(VALUE(LEFT($B270,4))-$I270&lt;4+IFERROR(MATCH($C270,LISTE_NIVEAUX,0),99),VALUE(LEFT($B270,4))-$I270&gt;6+IFERROR(MATCH($C270,LISTE_NIVEAUX,0),99))),"⚠ Vérifier niveau",IF(AND(IFERROR(VLOOKUP($C270,TABLE_CYCLE,2,0),3)=2,COUNT($O270:$Q270)&gt;0),"⚠ Tests cycle 3",IF(COUNT($J270:$Q270)&gt;=IF(IFERROR(VLOOKUP($C270,TABLE_CYCLE,2,0),3)=2,5,8),"Complet","Incomplet"))))))))</f>
        <v/>
      </c>
      <c r="S270" s="24"/>
      <c r="T270" s="67" t="str">
        <f t="shared" si="37"/>
        <v/>
      </c>
      <c r="U270" s="67" t="str">
        <f t="shared" si="38"/>
        <v/>
      </c>
      <c r="V270" s="67" t="str">
        <f t="shared" si="39"/>
        <v/>
      </c>
      <c r="W270" s="67" t="str">
        <f t="shared" si="40"/>
        <v/>
      </c>
      <c r="X270" s="67" t="str">
        <f t="shared" si="41"/>
        <v/>
      </c>
      <c r="Y270" s="24" t="str">
        <f t="shared" si="42"/>
        <v/>
      </c>
      <c r="Z270">
        <f t="shared" si="43"/>
        <v>0</v>
      </c>
      <c r="AA270">
        <f t="shared" si="44"/>
        <v>0</v>
      </c>
    </row>
    <row r="271" spans="2:27" ht="15.75" customHeight="1" x14ac:dyDescent="0.3">
      <c r="B271" s="21"/>
      <c r="C271" s="21"/>
      <c r="D271" s="21"/>
      <c r="E271" s="22" t="str">
        <f t="shared" si="36"/>
        <v/>
      </c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3" t="str">
        <f>IF($F271="","",IF(OR($B271="",$C271="",$D271=""),"⚠ Compléter Année/Niveau/Session",IF(AND($E271&lt;&gt;"",COUNTIF(D_KEY_DOUBLON,$B271&amp;"|"&amp;$D271&amp;"|"&amp;$E271)&gt;1),"⚠ Doublon",IF(AND($E271&lt;&gt;"",COUNTIF(D_KEY_STATUT,$B271&amp;"|"&amp;$E271&amp;"|P")&gt;0,COUNTIF(D_KEY_STATUT,$B271&amp;"|"&amp;$E271&amp;"|A")&gt;0),"⚠ Statut incohérent",IF(AND($D271="S1",$Y271&lt;&gt;"Parti",COUNTIF(ANNEES_VERROU,$B271)&gt;0,COUNTIF(D_KEY_NIVSES,$B271&amp;"|"&amp;$C271&amp;"|S2")&gt;0,COUNTIF(D_KEY_DOUBLON,$B271&amp;"|S2|"&amp;$E271)=0),"⚠ Départ non confirmé ?",IF(AND($C271&lt;&gt;"",ISNUMBER($I271),OR(VALUE(LEFT($B271,4))-$I271&lt;4+IFERROR(MATCH($C271,LISTE_NIVEAUX,0),99),VALUE(LEFT($B271,4))-$I271&gt;6+IFERROR(MATCH($C271,LISTE_NIVEAUX,0),99))),"⚠ Vérifier niveau",IF(AND(IFERROR(VLOOKUP($C271,TABLE_CYCLE,2,0),3)=2,COUNT($O271:$Q271)&gt;0),"⚠ Tests cycle 3",IF(COUNT($J271:$Q271)&gt;=IF(IFERROR(VLOOKUP($C271,TABLE_CYCLE,2,0),3)=2,5,8),"Complet","Incomplet"))))))))</f>
        <v/>
      </c>
      <c r="S271" s="24"/>
      <c r="T271" s="67" t="str">
        <f t="shared" si="37"/>
        <v/>
      </c>
      <c r="U271" s="67" t="str">
        <f t="shared" si="38"/>
        <v/>
      </c>
      <c r="V271" s="67" t="str">
        <f t="shared" si="39"/>
        <v/>
      </c>
      <c r="W271" s="67" t="str">
        <f t="shared" si="40"/>
        <v/>
      </c>
      <c r="X271" s="67" t="str">
        <f t="shared" si="41"/>
        <v/>
      </c>
      <c r="Y271" s="24" t="str">
        <f t="shared" si="42"/>
        <v/>
      </c>
      <c r="Z271">
        <f t="shared" si="43"/>
        <v>0</v>
      </c>
      <c r="AA271">
        <f t="shared" si="44"/>
        <v>0</v>
      </c>
    </row>
    <row r="272" spans="2:27" ht="15.75" customHeight="1" x14ac:dyDescent="0.3">
      <c r="B272" s="25"/>
      <c r="C272" s="25"/>
      <c r="D272" s="25"/>
      <c r="E272" s="26" t="str">
        <f t="shared" si="36"/>
        <v/>
      </c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3" t="str">
        <f>IF($F272="","",IF(OR($B272="",$C272="",$D272=""),"⚠ Compléter Année/Niveau/Session",IF(AND($E272&lt;&gt;"",COUNTIF(D_KEY_DOUBLON,$B272&amp;"|"&amp;$D272&amp;"|"&amp;$E272)&gt;1),"⚠ Doublon",IF(AND($E272&lt;&gt;"",COUNTIF(D_KEY_STATUT,$B272&amp;"|"&amp;$E272&amp;"|P")&gt;0,COUNTIF(D_KEY_STATUT,$B272&amp;"|"&amp;$E272&amp;"|A")&gt;0),"⚠ Statut incohérent",IF(AND($D272="S1",$Y272&lt;&gt;"Parti",COUNTIF(ANNEES_VERROU,$B272)&gt;0,COUNTIF(D_KEY_NIVSES,$B272&amp;"|"&amp;$C272&amp;"|S2")&gt;0,COUNTIF(D_KEY_DOUBLON,$B272&amp;"|S2|"&amp;$E272)=0),"⚠ Départ non confirmé ?",IF(AND($C272&lt;&gt;"",ISNUMBER($I272),OR(VALUE(LEFT($B272,4))-$I272&lt;4+IFERROR(MATCH($C272,LISTE_NIVEAUX,0),99),VALUE(LEFT($B272,4))-$I272&gt;6+IFERROR(MATCH($C272,LISTE_NIVEAUX,0),99))),"⚠ Vérifier niveau",IF(AND(IFERROR(VLOOKUP($C272,TABLE_CYCLE,2,0),3)=2,COUNT($O272:$Q272)&gt;0),"⚠ Tests cycle 3",IF(COUNT($J272:$Q272)&gt;=IF(IFERROR(VLOOKUP($C272,TABLE_CYCLE,2,0),3)=2,5,8),"Complet","Incomplet"))))))))</f>
        <v/>
      </c>
      <c r="S272" s="24"/>
      <c r="T272" s="67" t="str">
        <f t="shared" si="37"/>
        <v/>
      </c>
      <c r="U272" s="67" t="str">
        <f t="shared" si="38"/>
        <v/>
      </c>
      <c r="V272" s="67" t="str">
        <f t="shared" si="39"/>
        <v/>
      </c>
      <c r="W272" s="67" t="str">
        <f t="shared" si="40"/>
        <v/>
      </c>
      <c r="X272" s="67" t="str">
        <f t="shared" si="41"/>
        <v/>
      </c>
      <c r="Y272" s="24" t="str">
        <f t="shared" si="42"/>
        <v/>
      </c>
      <c r="Z272">
        <f t="shared" si="43"/>
        <v>0</v>
      </c>
      <c r="AA272">
        <f t="shared" si="44"/>
        <v>0</v>
      </c>
    </row>
    <row r="273" spans="2:27" ht="15.75" customHeight="1" x14ac:dyDescent="0.3">
      <c r="B273" s="21"/>
      <c r="C273" s="21"/>
      <c r="D273" s="21"/>
      <c r="E273" s="22" t="str">
        <f t="shared" si="36"/>
        <v/>
      </c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3" t="str">
        <f>IF($F273="","",IF(OR($B273="",$C273="",$D273=""),"⚠ Compléter Année/Niveau/Session",IF(AND($E273&lt;&gt;"",COUNTIF(D_KEY_DOUBLON,$B273&amp;"|"&amp;$D273&amp;"|"&amp;$E273)&gt;1),"⚠ Doublon",IF(AND($E273&lt;&gt;"",COUNTIF(D_KEY_STATUT,$B273&amp;"|"&amp;$E273&amp;"|P")&gt;0,COUNTIF(D_KEY_STATUT,$B273&amp;"|"&amp;$E273&amp;"|A")&gt;0),"⚠ Statut incohérent",IF(AND($D273="S1",$Y273&lt;&gt;"Parti",COUNTIF(ANNEES_VERROU,$B273)&gt;0,COUNTIF(D_KEY_NIVSES,$B273&amp;"|"&amp;$C273&amp;"|S2")&gt;0,COUNTIF(D_KEY_DOUBLON,$B273&amp;"|S2|"&amp;$E273)=0),"⚠ Départ non confirmé ?",IF(AND($C273&lt;&gt;"",ISNUMBER($I273),OR(VALUE(LEFT($B273,4))-$I273&lt;4+IFERROR(MATCH($C273,LISTE_NIVEAUX,0),99),VALUE(LEFT($B273,4))-$I273&gt;6+IFERROR(MATCH($C273,LISTE_NIVEAUX,0),99))),"⚠ Vérifier niveau",IF(AND(IFERROR(VLOOKUP($C273,TABLE_CYCLE,2,0),3)=2,COUNT($O273:$Q273)&gt;0),"⚠ Tests cycle 3",IF(COUNT($J273:$Q273)&gt;=IF(IFERROR(VLOOKUP($C273,TABLE_CYCLE,2,0),3)=2,5,8),"Complet","Incomplet"))))))))</f>
        <v/>
      </c>
      <c r="S273" s="24"/>
      <c r="T273" s="67" t="str">
        <f t="shared" si="37"/>
        <v/>
      </c>
      <c r="U273" s="67" t="str">
        <f t="shared" si="38"/>
        <v/>
      </c>
      <c r="V273" s="67" t="str">
        <f t="shared" si="39"/>
        <v/>
      </c>
      <c r="W273" s="67" t="str">
        <f t="shared" si="40"/>
        <v/>
      </c>
      <c r="X273" s="67" t="str">
        <f t="shared" si="41"/>
        <v/>
      </c>
      <c r="Y273" s="24" t="str">
        <f t="shared" si="42"/>
        <v/>
      </c>
      <c r="Z273">
        <f t="shared" si="43"/>
        <v>0</v>
      </c>
      <c r="AA273">
        <f t="shared" si="44"/>
        <v>0</v>
      </c>
    </row>
    <row r="274" spans="2:27" ht="15.75" customHeight="1" x14ac:dyDescent="0.3">
      <c r="B274" s="25"/>
      <c r="C274" s="25"/>
      <c r="D274" s="25"/>
      <c r="E274" s="26" t="str">
        <f t="shared" si="36"/>
        <v/>
      </c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3" t="str">
        <f>IF($F274="","",IF(OR($B274="",$C274="",$D274=""),"⚠ Compléter Année/Niveau/Session",IF(AND($E274&lt;&gt;"",COUNTIF(D_KEY_DOUBLON,$B274&amp;"|"&amp;$D274&amp;"|"&amp;$E274)&gt;1),"⚠ Doublon",IF(AND($E274&lt;&gt;"",COUNTIF(D_KEY_STATUT,$B274&amp;"|"&amp;$E274&amp;"|P")&gt;0,COUNTIF(D_KEY_STATUT,$B274&amp;"|"&amp;$E274&amp;"|A")&gt;0),"⚠ Statut incohérent",IF(AND($D274="S1",$Y274&lt;&gt;"Parti",COUNTIF(ANNEES_VERROU,$B274)&gt;0,COUNTIF(D_KEY_NIVSES,$B274&amp;"|"&amp;$C274&amp;"|S2")&gt;0,COUNTIF(D_KEY_DOUBLON,$B274&amp;"|S2|"&amp;$E274)=0),"⚠ Départ non confirmé ?",IF(AND($C274&lt;&gt;"",ISNUMBER($I274),OR(VALUE(LEFT($B274,4))-$I274&lt;4+IFERROR(MATCH($C274,LISTE_NIVEAUX,0),99),VALUE(LEFT($B274,4))-$I274&gt;6+IFERROR(MATCH($C274,LISTE_NIVEAUX,0),99))),"⚠ Vérifier niveau",IF(AND(IFERROR(VLOOKUP($C274,TABLE_CYCLE,2,0),3)=2,COUNT($O274:$Q274)&gt;0),"⚠ Tests cycle 3",IF(COUNT($J274:$Q274)&gt;=IF(IFERROR(VLOOKUP($C274,TABLE_CYCLE,2,0),3)=2,5,8),"Complet","Incomplet"))))))))</f>
        <v/>
      </c>
      <c r="S274" s="24"/>
      <c r="T274" s="67" t="str">
        <f t="shared" si="37"/>
        <v/>
      </c>
      <c r="U274" s="67" t="str">
        <f t="shared" si="38"/>
        <v/>
      </c>
      <c r="V274" s="67" t="str">
        <f t="shared" si="39"/>
        <v/>
      </c>
      <c r="W274" s="67" t="str">
        <f t="shared" si="40"/>
        <v/>
      </c>
      <c r="X274" s="67" t="str">
        <f t="shared" si="41"/>
        <v/>
      </c>
      <c r="Y274" s="24" t="str">
        <f t="shared" si="42"/>
        <v/>
      </c>
      <c r="Z274">
        <f t="shared" si="43"/>
        <v>0</v>
      </c>
      <c r="AA274">
        <f t="shared" si="44"/>
        <v>0</v>
      </c>
    </row>
    <row r="275" spans="2:27" ht="15.75" customHeight="1" x14ac:dyDescent="0.3">
      <c r="B275" s="21"/>
      <c r="C275" s="21"/>
      <c r="D275" s="21"/>
      <c r="E275" s="22" t="str">
        <f t="shared" si="36"/>
        <v/>
      </c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3" t="str">
        <f>IF($F275="","",IF(OR($B275="",$C275="",$D275=""),"⚠ Compléter Année/Niveau/Session",IF(AND($E275&lt;&gt;"",COUNTIF(D_KEY_DOUBLON,$B275&amp;"|"&amp;$D275&amp;"|"&amp;$E275)&gt;1),"⚠ Doublon",IF(AND($E275&lt;&gt;"",COUNTIF(D_KEY_STATUT,$B275&amp;"|"&amp;$E275&amp;"|P")&gt;0,COUNTIF(D_KEY_STATUT,$B275&amp;"|"&amp;$E275&amp;"|A")&gt;0),"⚠ Statut incohérent",IF(AND($D275="S1",$Y275&lt;&gt;"Parti",COUNTIF(ANNEES_VERROU,$B275)&gt;0,COUNTIF(D_KEY_NIVSES,$B275&amp;"|"&amp;$C275&amp;"|S2")&gt;0,COUNTIF(D_KEY_DOUBLON,$B275&amp;"|S2|"&amp;$E275)=0),"⚠ Départ non confirmé ?",IF(AND($C275&lt;&gt;"",ISNUMBER($I275),OR(VALUE(LEFT($B275,4))-$I275&lt;4+IFERROR(MATCH($C275,LISTE_NIVEAUX,0),99),VALUE(LEFT($B275,4))-$I275&gt;6+IFERROR(MATCH($C275,LISTE_NIVEAUX,0),99))),"⚠ Vérifier niveau",IF(AND(IFERROR(VLOOKUP($C275,TABLE_CYCLE,2,0),3)=2,COUNT($O275:$Q275)&gt;0),"⚠ Tests cycle 3",IF(COUNT($J275:$Q275)&gt;=IF(IFERROR(VLOOKUP($C275,TABLE_CYCLE,2,0),3)=2,5,8),"Complet","Incomplet"))))))))</f>
        <v/>
      </c>
      <c r="S275" s="24"/>
      <c r="T275" s="67" t="str">
        <f t="shared" si="37"/>
        <v/>
      </c>
      <c r="U275" s="67" t="str">
        <f t="shared" si="38"/>
        <v/>
      </c>
      <c r="V275" s="67" t="str">
        <f t="shared" si="39"/>
        <v/>
      </c>
      <c r="W275" s="67" t="str">
        <f t="shared" si="40"/>
        <v/>
      </c>
      <c r="X275" s="67" t="str">
        <f t="shared" si="41"/>
        <v/>
      </c>
      <c r="Y275" s="24" t="str">
        <f t="shared" si="42"/>
        <v/>
      </c>
      <c r="Z275">
        <f t="shared" si="43"/>
        <v>0</v>
      </c>
      <c r="AA275">
        <f t="shared" si="44"/>
        <v>0</v>
      </c>
    </row>
    <row r="276" spans="2:27" ht="15.75" customHeight="1" x14ac:dyDescent="0.3">
      <c r="B276" s="25"/>
      <c r="C276" s="25"/>
      <c r="D276" s="25"/>
      <c r="E276" s="26" t="str">
        <f t="shared" si="36"/>
        <v/>
      </c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3" t="str">
        <f>IF($F276="","",IF(OR($B276="",$C276="",$D276=""),"⚠ Compléter Année/Niveau/Session",IF(AND($E276&lt;&gt;"",COUNTIF(D_KEY_DOUBLON,$B276&amp;"|"&amp;$D276&amp;"|"&amp;$E276)&gt;1),"⚠ Doublon",IF(AND($E276&lt;&gt;"",COUNTIF(D_KEY_STATUT,$B276&amp;"|"&amp;$E276&amp;"|P")&gt;0,COUNTIF(D_KEY_STATUT,$B276&amp;"|"&amp;$E276&amp;"|A")&gt;0),"⚠ Statut incohérent",IF(AND($D276="S1",$Y276&lt;&gt;"Parti",COUNTIF(ANNEES_VERROU,$B276)&gt;0,COUNTIF(D_KEY_NIVSES,$B276&amp;"|"&amp;$C276&amp;"|S2")&gt;0,COUNTIF(D_KEY_DOUBLON,$B276&amp;"|S2|"&amp;$E276)=0),"⚠ Départ non confirmé ?",IF(AND($C276&lt;&gt;"",ISNUMBER($I276),OR(VALUE(LEFT($B276,4))-$I276&lt;4+IFERROR(MATCH($C276,LISTE_NIVEAUX,0),99),VALUE(LEFT($B276,4))-$I276&gt;6+IFERROR(MATCH($C276,LISTE_NIVEAUX,0),99))),"⚠ Vérifier niveau",IF(AND(IFERROR(VLOOKUP($C276,TABLE_CYCLE,2,0),3)=2,COUNT($O276:$Q276)&gt;0),"⚠ Tests cycle 3",IF(COUNT($J276:$Q276)&gt;=IF(IFERROR(VLOOKUP($C276,TABLE_CYCLE,2,0),3)=2,5,8),"Complet","Incomplet"))))))))</f>
        <v/>
      </c>
      <c r="S276" s="24"/>
      <c r="T276" s="67" t="str">
        <f t="shared" si="37"/>
        <v/>
      </c>
      <c r="U276" s="67" t="str">
        <f t="shared" si="38"/>
        <v/>
      </c>
      <c r="V276" s="67" t="str">
        <f t="shared" si="39"/>
        <v/>
      </c>
      <c r="W276" s="67" t="str">
        <f t="shared" si="40"/>
        <v/>
      </c>
      <c r="X276" s="67" t="str">
        <f t="shared" si="41"/>
        <v/>
      </c>
      <c r="Y276" s="24" t="str">
        <f t="shared" si="42"/>
        <v/>
      </c>
      <c r="Z276">
        <f t="shared" si="43"/>
        <v>0</v>
      </c>
      <c r="AA276">
        <f t="shared" si="44"/>
        <v>0</v>
      </c>
    </row>
    <row r="277" spans="2:27" ht="15.75" customHeight="1" x14ac:dyDescent="0.3">
      <c r="B277" s="21"/>
      <c r="C277" s="21"/>
      <c r="D277" s="21"/>
      <c r="E277" s="22" t="str">
        <f t="shared" si="36"/>
        <v/>
      </c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3" t="str">
        <f>IF($F277="","",IF(OR($B277="",$C277="",$D277=""),"⚠ Compléter Année/Niveau/Session",IF(AND($E277&lt;&gt;"",COUNTIF(D_KEY_DOUBLON,$B277&amp;"|"&amp;$D277&amp;"|"&amp;$E277)&gt;1),"⚠ Doublon",IF(AND($E277&lt;&gt;"",COUNTIF(D_KEY_STATUT,$B277&amp;"|"&amp;$E277&amp;"|P")&gt;0,COUNTIF(D_KEY_STATUT,$B277&amp;"|"&amp;$E277&amp;"|A")&gt;0),"⚠ Statut incohérent",IF(AND($D277="S1",$Y277&lt;&gt;"Parti",COUNTIF(ANNEES_VERROU,$B277)&gt;0,COUNTIF(D_KEY_NIVSES,$B277&amp;"|"&amp;$C277&amp;"|S2")&gt;0,COUNTIF(D_KEY_DOUBLON,$B277&amp;"|S2|"&amp;$E277)=0),"⚠ Départ non confirmé ?",IF(AND($C277&lt;&gt;"",ISNUMBER($I277),OR(VALUE(LEFT($B277,4))-$I277&lt;4+IFERROR(MATCH($C277,LISTE_NIVEAUX,0),99),VALUE(LEFT($B277,4))-$I277&gt;6+IFERROR(MATCH($C277,LISTE_NIVEAUX,0),99))),"⚠ Vérifier niveau",IF(AND(IFERROR(VLOOKUP($C277,TABLE_CYCLE,2,0),3)=2,COUNT($O277:$Q277)&gt;0),"⚠ Tests cycle 3",IF(COUNT($J277:$Q277)&gt;=IF(IFERROR(VLOOKUP($C277,TABLE_CYCLE,2,0),3)=2,5,8),"Complet","Incomplet"))))))))</f>
        <v/>
      </c>
      <c r="S277" s="24"/>
      <c r="T277" s="67" t="str">
        <f t="shared" si="37"/>
        <v/>
      </c>
      <c r="U277" s="67" t="str">
        <f t="shared" si="38"/>
        <v/>
      </c>
      <c r="V277" s="67" t="str">
        <f t="shared" si="39"/>
        <v/>
      </c>
      <c r="W277" s="67" t="str">
        <f t="shared" si="40"/>
        <v/>
      </c>
      <c r="X277" s="67" t="str">
        <f t="shared" si="41"/>
        <v/>
      </c>
      <c r="Y277" s="24" t="str">
        <f t="shared" si="42"/>
        <v/>
      </c>
      <c r="Z277">
        <f t="shared" si="43"/>
        <v>0</v>
      </c>
      <c r="AA277">
        <f t="shared" si="44"/>
        <v>0</v>
      </c>
    </row>
    <row r="278" spans="2:27" ht="15.75" customHeight="1" x14ac:dyDescent="0.3">
      <c r="B278" s="25"/>
      <c r="C278" s="25"/>
      <c r="D278" s="25"/>
      <c r="E278" s="26" t="str">
        <f t="shared" si="36"/>
        <v/>
      </c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3" t="str">
        <f>IF($F278="","",IF(OR($B278="",$C278="",$D278=""),"⚠ Compléter Année/Niveau/Session",IF(AND($E278&lt;&gt;"",COUNTIF(D_KEY_DOUBLON,$B278&amp;"|"&amp;$D278&amp;"|"&amp;$E278)&gt;1),"⚠ Doublon",IF(AND($E278&lt;&gt;"",COUNTIF(D_KEY_STATUT,$B278&amp;"|"&amp;$E278&amp;"|P")&gt;0,COUNTIF(D_KEY_STATUT,$B278&amp;"|"&amp;$E278&amp;"|A")&gt;0),"⚠ Statut incohérent",IF(AND($D278="S1",$Y278&lt;&gt;"Parti",COUNTIF(ANNEES_VERROU,$B278)&gt;0,COUNTIF(D_KEY_NIVSES,$B278&amp;"|"&amp;$C278&amp;"|S2")&gt;0,COUNTIF(D_KEY_DOUBLON,$B278&amp;"|S2|"&amp;$E278)=0),"⚠ Départ non confirmé ?",IF(AND($C278&lt;&gt;"",ISNUMBER($I278),OR(VALUE(LEFT($B278,4))-$I278&lt;4+IFERROR(MATCH($C278,LISTE_NIVEAUX,0),99),VALUE(LEFT($B278,4))-$I278&gt;6+IFERROR(MATCH($C278,LISTE_NIVEAUX,0),99))),"⚠ Vérifier niveau",IF(AND(IFERROR(VLOOKUP($C278,TABLE_CYCLE,2,0),3)=2,COUNT($O278:$Q278)&gt;0),"⚠ Tests cycle 3",IF(COUNT($J278:$Q278)&gt;=IF(IFERROR(VLOOKUP($C278,TABLE_CYCLE,2,0),3)=2,5,8),"Complet","Incomplet"))))))))</f>
        <v/>
      </c>
      <c r="S278" s="24"/>
      <c r="T278" s="67" t="str">
        <f t="shared" si="37"/>
        <v/>
      </c>
      <c r="U278" s="67" t="str">
        <f t="shared" si="38"/>
        <v/>
      </c>
      <c r="V278" s="67" t="str">
        <f t="shared" si="39"/>
        <v/>
      </c>
      <c r="W278" s="67" t="str">
        <f t="shared" si="40"/>
        <v/>
      </c>
      <c r="X278" s="67" t="str">
        <f t="shared" si="41"/>
        <v/>
      </c>
      <c r="Y278" s="24" t="str">
        <f t="shared" si="42"/>
        <v/>
      </c>
      <c r="Z278">
        <f t="shared" si="43"/>
        <v>0</v>
      </c>
      <c r="AA278">
        <f t="shared" si="44"/>
        <v>0</v>
      </c>
    </row>
    <row r="279" spans="2:27" ht="15.75" customHeight="1" x14ac:dyDescent="0.3">
      <c r="B279" s="21"/>
      <c r="C279" s="21"/>
      <c r="D279" s="21"/>
      <c r="E279" s="22" t="str">
        <f t="shared" si="36"/>
        <v/>
      </c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3" t="str">
        <f>IF($F279="","",IF(OR($B279="",$C279="",$D279=""),"⚠ Compléter Année/Niveau/Session",IF(AND($E279&lt;&gt;"",COUNTIF(D_KEY_DOUBLON,$B279&amp;"|"&amp;$D279&amp;"|"&amp;$E279)&gt;1),"⚠ Doublon",IF(AND($E279&lt;&gt;"",COUNTIF(D_KEY_STATUT,$B279&amp;"|"&amp;$E279&amp;"|P")&gt;0,COUNTIF(D_KEY_STATUT,$B279&amp;"|"&amp;$E279&amp;"|A")&gt;0),"⚠ Statut incohérent",IF(AND($D279="S1",$Y279&lt;&gt;"Parti",COUNTIF(ANNEES_VERROU,$B279)&gt;0,COUNTIF(D_KEY_NIVSES,$B279&amp;"|"&amp;$C279&amp;"|S2")&gt;0,COUNTIF(D_KEY_DOUBLON,$B279&amp;"|S2|"&amp;$E279)=0),"⚠ Départ non confirmé ?",IF(AND($C279&lt;&gt;"",ISNUMBER($I279),OR(VALUE(LEFT($B279,4))-$I279&lt;4+IFERROR(MATCH($C279,LISTE_NIVEAUX,0),99),VALUE(LEFT($B279,4))-$I279&gt;6+IFERROR(MATCH($C279,LISTE_NIVEAUX,0),99))),"⚠ Vérifier niveau",IF(AND(IFERROR(VLOOKUP($C279,TABLE_CYCLE,2,0),3)=2,COUNT($O279:$Q279)&gt;0),"⚠ Tests cycle 3",IF(COUNT($J279:$Q279)&gt;=IF(IFERROR(VLOOKUP($C279,TABLE_CYCLE,2,0),3)=2,5,8),"Complet","Incomplet"))))))))</f>
        <v/>
      </c>
      <c r="S279" s="24"/>
      <c r="T279" s="67" t="str">
        <f t="shared" si="37"/>
        <v/>
      </c>
      <c r="U279" s="67" t="str">
        <f t="shared" si="38"/>
        <v/>
      </c>
      <c r="V279" s="67" t="str">
        <f t="shared" si="39"/>
        <v/>
      </c>
      <c r="W279" s="67" t="str">
        <f t="shared" si="40"/>
        <v/>
      </c>
      <c r="X279" s="67" t="str">
        <f t="shared" si="41"/>
        <v/>
      </c>
      <c r="Y279" s="24" t="str">
        <f t="shared" si="42"/>
        <v/>
      </c>
      <c r="Z279">
        <f t="shared" si="43"/>
        <v>0</v>
      </c>
      <c r="AA279">
        <f t="shared" si="44"/>
        <v>0</v>
      </c>
    </row>
    <row r="280" spans="2:27" ht="15.75" customHeight="1" x14ac:dyDescent="0.3">
      <c r="B280" s="25"/>
      <c r="C280" s="25"/>
      <c r="D280" s="25"/>
      <c r="E280" s="26" t="str">
        <f t="shared" si="36"/>
        <v/>
      </c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3" t="str">
        <f>IF($F280="","",IF(OR($B280="",$C280="",$D280=""),"⚠ Compléter Année/Niveau/Session",IF(AND($E280&lt;&gt;"",COUNTIF(D_KEY_DOUBLON,$B280&amp;"|"&amp;$D280&amp;"|"&amp;$E280)&gt;1),"⚠ Doublon",IF(AND($E280&lt;&gt;"",COUNTIF(D_KEY_STATUT,$B280&amp;"|"&amp;$E280&amp;"|P")&gt;0,COUNTIF(D_KEY_STATUT,$B280&amp;"|"&amp;$E280&amp;"|A")&gt;0),"⚠ Statut incohérent",IF(AND($D280="S1",$Y280&lt;&gt;"Parti",COUNTIF(ANNEES_VERROU,$B280)&gt;0,COUNTIF(D_KEY_NIVSES,$B280&amp;"|"&amp;$C280&amp;"|S2")&gt;0,COUNTIF(D_KEY_DOUBLON,$B280&amp;"|S2|"&amp;$E280)=0),"⚠ Départ non confirmé ?",IF(AND($C280&lt;&gt;"",ISNUMBER($I280),OR(VALUE(LEFT($B280,4))-$I280&lt;4+IFERROR(MATCH($C280,LISTE_NIVEAUX,0),99),VALUE(LEFT($B280,4))-$I280&gt;6+IFERROR(MATCH($C280,LISTE_NIVEAUX,0),99))),"⚠ Vérifier niveau",IF(AND(IFERROR(VLOOKUP($C280,TABLE_CYCLE,2,0),3)=2,COUNT($O280:$Q280)&gt;0),"⚠ Tests cycle 3",IF(COUNT($J280:$Q280)&gt;=IF(IFERROR(VLOOKUP($C280,TABLE_CYCLE,2,0),3)=2,5,8),"Complet","Incomplet"))))))))</f>
        <v/>
      </c>
      <c r="S280" s="24"/>
      <c r="T280" s="67" t="str">
        <f t="shared" si="37"/>
        <v/>
      </c>
      <c r="U280" s="67" t="str">
        <f t="shared" si="38"/>
        <v/>
      </c>
      <c r="V280" s="67" t="str">
        <f t="shared" si="39"/>
        <v/>
      </c>
      <c r="W280" s="67" t="str">
        <f t="shared" si="40"/>
        <v/>
      </c>
      <c r="X280" s="67" t="str">
        <f t="shared" si="41"/>
        <v/>
      </c>
      <c r="Y280" s="24" t="str">
        <f t="shared" si="42"/>
        <v/>
      </c>
      <c r="Z280">
        <f t="shared" si="43"/>
        <v>0</v>
      </c>
      <c r="AA280">
        <f t="shared" si="44"/>
        <v>0</v>
      </c>
    </row>
    <row r="281" spans="2:27" ht="15.75" customHeight="1" x14ac:dyDescent="0.3">
      <c r="B281" s="21"/>
      <c r="C281" s="21"/>
      <c r="D281" s="21"/>
      <c r="E281" s="22" t="str">
        <f t="shared" si="36"/>
        <v/>
      </c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3" t="str">
        <f>IF($F281="","",IF(OR($B281="",$C281="",$D281=""),"⚠ Compléter Année/Niveau/Session",IF(AND($E281&lt;&gt;"",COUNTIF(D_KEY_DOUBLON,$B281&amp;"|"&amp;$D281&amp;"|"&amp;$E281)&gt;1),"⚠ Doublon",IF(AND($E281&lt;&gt;"",COUNTIF(D_KEY_STATUT,$B281&amp;"|"&amp;$E281&amp;"|P")&gt;0,COUNTIF(D_KEY_STATUT,$B281&amp;"|"&amp;$E281&amp;"|A")&gt;0),"⚠ Statut incohérent",IF(AND($D281="S1",$Y281&lt;&gt;"Parti",COUNTIF(ANNEES_VERROU,$B281)&gt;0,COUNTIF(D_KEY_NIVSES,$B281&amp;"|"&amp;$C281&amp;"|S2")&gt;0,COUNTIF(D_KEY_DOUBLON,$B281&amp;"|S2|"&amp;$E281)=0),"⚠ Départ non confirmé ?",IF(AND($C281&lt;&gt;"",ISNUMBER($I281),OR(VALUE(LEFT($B281,4))-$I281&lt;4+IFERROR(MATCH($C281,LISTE_NIVEAUX,0),99),VALUE(LEFT($B281,4))-$I281&gt;6+IFERROR(MATCH($C281,LISTE_NIVEAUX,0),99))),"⚠ Vérifier niveau",IF(AND(IFERROR(VLOOKUP($C281,TABLE_CYCLE,2,0),3)=2,COUNT($O281:$Q281)&gt;0),"⚠ Tests cycle 3",IF(COUNT($J281:$Q281)&gt;=IF(IFERROR(VLOOKUP($C281,TABLE_CYCLE,2,0),3)=2,5,8),"Complet","Incomplet"))))))))</f>
        <v/>
      </c>
      <c r="S281" s="24"/>
      <c r="T281" s="67" t="str">
        <f t="shared" si="37"/>
        <v/>
      </c>
      <c r="U281" s="67" t="str">
        <f t="shared" si="38"/>
        <v/>
      </c>
      <c r="V281" s="67" t="str">
        <f t="shared" si="39"/>
        <v/>
      </c>
      <c r="W281" s="67" t="str">
        <f t="shared" si="40"/>
        <v/>
      </c>
      <c r="X281" s="67" t="str">
        <f t="shared" si="41"/>
        <v/>
      </c>
      <c r="Y281" s="24" t="str">
        <f t="shared" si="42"/>
        <v/>
      </c>
      <c r="Z281">
        <f t="shared" si="43"/>
        <v>0</v>
      </c>
      <c r="AA281">
        <f t="shared" si="44"/>
        <v>0</v>
      </c>
    </row>
    <row r="282" spans="2:27" ht="15.75" customHeight="1" x14ac:dyDescent="0.3">
      <c r="B282" s="25"/>
      <c r="C282" s="25"/>
      <c r="D282" s="25"/>
      <c r="E282" s="26" t="str">
        <f t="shared" si="36"/>
        <v/>
      </c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3" t="str">
        <f>IF($F282="","",IF(OR($B282="",$C282="",$D282=""),"⚠ Compléter Année/Niveau/Session",IF(AND($E282&lt;&gt;"",COUNTIF(D_KEY_DOUBLON,$B282&amp;"|"&amp;$D282&amp;"|"&amp;$E282)&gt;1),"⚠ Doublon",IF(AND($E282&lt;&gt;"",COUNTIF(D_KEY_STATUT,$B282&amp;"|"&amp;$E282&amp;"|P")&gt;0,COUNTIF(D_KEY_STATUT,$B282&amp;"|"&amp;$E282&amp;"|A")&gt;0),"⚠ Statut incohérent",IF(AND($D282="S1",$Y282&lt;&gt;"Parti",COUNTIF(ANNEES_VERROU,$B282)&gt;0,COUNTIF(D_KEY_NIVSES,$B282&amp;"|"&amp;$C282&amp;"|S2")&gt;0,COUNTIF(D_KEY_DOUBLON,$B282&amp;"|S2|"&amp;$E282)=0),"⚠ Départ non confirmé ?",IF(AND($C282&lt;&gt;"",ISNUMBER($I282),OR(VALUE(LEFT($B282,4))-$I282&lt;4+IFERROR(MATCH($C282,LISTE_NIVEAUX,0),99),VALUE(LEFT($B282,4))-$I282&gt;6+IFERROR(MATCH($C282,LISTE_NIVEAUX,0),99))),"⚠ Vérifier niveau",IF(AND(IFERROR(VLOOKUP($C282,TABLE_CYCLE,2,0),3)=2,COUNT($O282:$Q282)&gt;0),"⚠ Tests cycle 3",IF(COUNT($J282:$Q282)&gt;=IF(IFERROR(VLOOKUP($C282,TABLE_CYCLE,2,0),3)=2,5,8),"Complet","Incomplet"))))))))</f>
        <v/>
      </c>
      <c r="S282" s="24"/>
      <c r="T282" s="67" t="str">
        <f t="shared" si="37"/>
        <v/>
      </c>
      <c r="U282" s="67" t="str">
        <f t="shared" si="38"/>
        <v/>
      </c>
      <c r="V282" s="67" t="str">
        <f t="shared" si="39"/>
        <v/>
      </c>
      <c r="W282" s="67" t="str">
        <f t="shared" si="40"/>
        <v/>
      </c>
      <c r="X282" s="67" t="str">
        <f t="shared" si="41"/>
        <v/>
      </c>
      <c r="Y282" s="24" t="str">
        <f t="shared" si="42"/>
        <v/>
      </c>
      <c r="Z282">
        <f t="shared" si="43"/>
        <v>0</v>
      </c>
      <c r="AA282">
        <f t="shared" si="44"/>
        <v>0</v>
      </c>
    </row>
    <row r="283" spans="2:27" ht="15.75" customHeight="1" x14ac:dyDescent="0.3">
      <c r="B283" s="21"/>
      <c r="C283" s="21"/>
      <c r="D283" s="21"/>
      <c r="E283" s="22" t="str">
        <f t="shared" si="36"/>
        <v/>
      </c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3" t="str">
        <f>IF($F283="","",IF(OR($B283="",$C283="",$D283=""),"⚠ Compléter Année/Niveau/Session",IF(AND($E283&lt;&gt;"",COUNTIF(D_KEY_DOUBLON,$B283&amp;"|"&amp;$D283&amp;"|"&amp;$E283)&gt;1),"⚠ Doublon",IF(AND($E283&lt;&gt;"",COUNTIF(D_KEY_STATUT,$B283&amp;"|"&amp;$E283&amp;"|P")&gt;0,COUNTIF(D_KEY_STATUT,$B283&amp;"|"&amp;$E283&amp;"|A")&gt;0),"⚠ Statut incohérent",IF(AND($D283="S1",$Y283&lt;&gt;"Parti",COUNTIF(ANNEES_VERROU,$B283)&gt;0,COUNTIF(D_KEY_NIVSES,$B283&amp;"|"&amp;$C283&amp;"|S2")&gt;0,COUNTIF(D_KEY_DOUBLON,$B283&amp;"|S2|"&amp;$E283)=0),"⚠ Départ non confirmé ?",IF(AND($C283&lt;&gt;"",ISNUMBER($I283),OR(VALUE(LEFT($B283,4))-$I283&lt;4+IFERROR(MATCH($C283,LISTE_NIVEAUX,0),99),VALUE(LEFT($B283,4))-$I283&gt;6+IFERROR(MATCH($C283,LISTE_NIVEAUX,0),99))),"⚠ Vérifier niveau",IF(AND(IFERROR(VLOOKUP($C283,TABLE_CYCLE,2,0),3)=2,COUNT($O283:$Q283)&gt;0),"⚠ Tests cycle 3",IF(COUNT($J283:$Q283)&gt;=IF(IFERROR(VLOOKUP($C283,TABLE_CYCLE,2,0),3)=2,5,8),"Complet","Incomplet"))))))))</f>
        <v/>
      </c>
      <c r="S283" s="24"/>
      <c r="T283" s="67" t="str">
        <f t="shared" si="37"/>
        <v/>
      </c>
      <c r="U283" s="67" t="str">
        <f t="shared" si="38"/>
        <v/>
      </c>
      <c r="V283" s="67" t="str">
        <f t="shared" si="39"/>
        <v/>
      </c>
      <c r="W283" s="67" t="str">
        <f t="shared" si="40"/>
        <v/>
      </c>
      <c r="X283" s="67" t="str">
        <f t="shared" si="41"/>
        <v/>
      </c>
      <c r="Y283" s="24" t="str">
        <f t="shared" si="42"/>
        <v/>
      </c>
      <c r="Z283">
        <f t="shared" si="43"/>
        <v>0</v>
      </c>
      <c r="AA283">
        <f t="shared" si="44"/>
        <v>0</v>
      </c>
    </row>
    <row r="284" spans="2:27" ht="15.75" customHeight="1" x14ac:dyDescent="0.3">
      <c r="B284" s="25"/>
      <c r="C284" s="25"/>
      <c r="D284" s="25"/>
      <c r="E284" s="26" t="str">
        <f t="shared" si="36"/>
        <v/>
      </c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3" t="str">
        <f>IF($F284="","",IF(OR($B284="",$C284="",$D284=""),"⚠ Compléter Année/Niveau/Session",IF(AND($E284&lt;&gt;"",COUNTIF(D_KEY_DOUBLON,$B284&amp;"|"&amp;$D284&amp;"|"&amp;$E284)&gt;1),"⚠ Doublon",IF(AND($E284&lt;&gt;"",COUNTIF(D_KEY_STATUT,$B284&amp;"|"&amp;$E284&amp;"|P")&gt;0,COUNTIF(D_KEY_STATUT,$B284&amp;"|"&amp;$E284&amp;"|A")&gt;0),"⚠ Statut incohérent",IF(AND($D284="S1",$Y284&lt;&gt;"Parti",COUNTIF(ANNEES_VERROU,$B284)&gt;0,COUNTIF(D_KEY_NIVSES,$B284&amp;"|"&amp;$C284&amp;"|S2")&gt;0,COUNTIF(D_KEY_DOUBLON,$B284&amp;"|S2|"&amp;$E284)=0),"⚠ Départ non confirmé ?",IF(AND($C284&lt;&gt;"",ISNUMBER($I284),OR(VALUE(LEFT($B284,4))-$I284&lt;4+IFERROR(MATCH($C284,LISTE_NIVEAUX,0),99),VALUE(LEFT($B284,4))-$I284&gt;6+IFERROR(MATCH($C284,LISTE_NIVEAUX,0),99))),"⚠ Vérifier niveau",IF(AND(IFERROR(VLOOKUP($C284,TABLE_CYCLE,2,0),3)=2,COUNT($O284:$Q284)&gt;0),"⚠ Tests cycle 3",IF(COUNT($J284:$Q284)&gt;=IF(IFERROR(VLOOKUP($C284,TABLE_CYCLE,2,0),3)=2,5,8),"Complet","Incomplet"))))))))</f>
        <v/>
      </c>
      <c r="S284" s="24"/>
      <c r="T284" s="67" t="str">
        <f t="shared" si="37"/>
        <v/>
      </c>
      <c r="U284" s="67" t="str">
        <f t="shared" si="38"/>
        <v/>
      </c>
      <c r="V284" s="67" t="str">
        <f t="shared" si="39"/>
        <v/>
      </c>
      <c r="W284" s="67" t="str">
        <f t="shared" si="40"/>
        <v/>
      </c>
      <c r="X284" s="67" t="str">
        <f t="shared" si="41"/>
        <v/>
      </c>
      <c r="Y284" s="24" t="str">
        <f t="shared" si="42"/>
        <v/>
      </c>
      <c r="Z284">
        <f t="shared" si="43"/>
        <v>0</v>
      </c>
      <c r="AA284">
        <f t="shared" si="44"/>
        <v>0</v>
      </c>
    </row>
    <row r="285" spans="2:27" ht="15.75" customHeight="1" x14ac:dyDescent="0.3">
      <c r="B285" s="21"/>
      <c r="C285" s="21"/>
      <c r="D285" s="21"/>
      <c r="E285" s="22" t="str">
        <f t="shared" si="36"/>
        <v/>
      </c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3" t="str">
        <f>IF($F285="","",IF(OR($B285="",$C285="",$D285=""),"⚠ Compléter Année/Niveau/Session",IF(AND($E285&lt;&gt;"",COUNTIF(D_KEY_DOUBLON,$B285&amp;"|"&amp;$D285&amp;"|"&amp;$E285)&gt;1),"⚠ Doublon",IF(AND($E285&lt;&gt;"",COUNTIF(D_KEY_STATUT,$B285&amp;"|"&amp;$E285&amp;"|P")&gt;0,COUNTIF(D_KEY_STATUT,$B285&amp;"|"&amp;$E285&amp;"|A")&gt;0),"⚠ Statut incohérent",IF(AND($D285="S1",$Y285&lt;&gt;"Parti",COUNTIF(ANNEES_VERROU,$B285)&gt;0,COUNTIF(D_KEY_NIVSES,$B285&amp;"|"&amp;$C285&amp;"|S2")&gt;0,COUNTIF(D_KEY_DOUBLON,$B285&amp;"|S2|"&amp;$E285)=0),"⚠ Départ non confirmé ?",IF(AND($C285&lt;&gt;"",ISNUMBER($I285),OR(VALUE(LEFT($B285,4))-$I285&lt;4+IFERROR(MATCH($C285,LISTE_NIVEAUX,0),99),VALUE(LEFT($B285,4))-$I285&gt;6+IFERROR(MATCH($C285,LISTE_NIVEAUX,0),99))),"⚠ Vérifier niveau",IF(AND(IFERROR(VLOOKUP($C285,TABLE_CYCLE,2,0),3)=2,COUNT($O285:$Q285)&gt;0),"⚠ Tests cycle 3",IF(COUNT($J285:$Q285)&gt;=IF(IFERROR(VLOOKUP($C285,TABLE_CYCLE,2,0),3)=2,5,8),"Complet","Incomplet"))))))))</f>
        <v/>
      </c>
      <c r="S285" s="24"/>
      <c r="T285" s="67" t="str">
        <f t="shared" si="37"/>
        <v/>
      </c>
      <c r="U285" s="67" t="str">
        <f t="shared" si="38"/>
        <v/>
      </c>
      <c r="V285" s="67" t="str">
        <f t="shared" si="39"/>
        <v/>
      </c>
      <c r="W285" s="67" t="str">
        <f t="shared" si="40"/>
        <v/>
      </c>
      <c r="X285" s="67" t="str">
        <f t="shared" si="41"/>
        <v/>
      </c>
      <c r="Y285" s="24" t="str">
        <f t="shared" si="42"/>
        <v/>
      </c>
      <c r="Z285">
        <f t="shared" si="43"/>
        <v>0</v>
      </c>
      <c r="AA285">
        <f t="shared" si="44"/>
        <v>0</v>
      </c>
    </row>
    <row r="286" spans="2:27" ht="15.75" customHeight="1" x14ac:dyDescent="0.3">
      <c r="B286" s="25"/>
      <c r="C286" s="25"/>
      <c r="D286" s="25"/>
      <c r="E286" s="26" t="str">
        <f t="shared" si="36"/>
        <v/>
      </c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3" t="str">
        <f>IF($F286="","",IF(OR($B286="",$C286="",$D286=""),"⚠ Compléter Année/Niveau/Session",IF(AND($E286&lt;&gt;"",COUNTIF(D_KEY_DOUBLON,$B286&amp;"|"&amp;$D286&amp;"|"&amp;$E286)&gt;1),"⚠ Doublon",IF(AND($E286&lt;&gt;"",COUNTIF(D_KEY_STATUT,$B286&amp;"|"&amp;$E286&amp;"|P")&gt;0,COUNTIF(D_KEY_STATUT,$B286&amp;"|"&amp;$E286&amp;"|A")&gt;0),"⚠ Statut incohérent",IF(AND($D286="S1",$Y286&lt;&gt;"Parti",COUNTIF(ANNEES_VERROU,$B286)&gt;0,COUNTIF(D_KEY_NIVSES,$B286&amp;"|"&amp;$C286&amp;"|S2")&gt;0,COUNTIF(D_KEY_DOUBLON,$B286&amp;"|S2|"&amp;$E286)=0),"⚠ Départ non confirmé ?",IF(AND($C286&lt;&gt;"",ISNUMBER($I286),OR(VALUE(LEFT($B286,4))-$I286&lt;4+IFERROR(MATCH($C286,LISTE_NIVEAUX,0),99),VALUE(LEFT($B286,4))-$I286&gt;6+IFERROR(MATCH($C286,LISTE_NIVEAUX,0),99))),"⚠ Vérifier niveau",IF(AND(IFERROR(VLOOKUP($C286,TABLE_CYCLE,2,0),3)=2,COUNT($O286:$Q286)&gt;0),"⚠ Tests cycle 3",IF(COUNT($J286:$Q286)&gt;=IF(IFERROR(VLOOKUP($C286,TABLE_CYCLE,2,0),3)=2,5,8),"Complet","Incomplet"))))))))</f>
        <v/>
      </c>
      <c r="S286" s="24"/>
      <c r="T286" s="67" t="str">
        <f t="shared" si="37"/>
        <v/>
      </c>
      <c r="U286" s="67" t="str">
        <f t="shared" si="38"/>
        <v/>
      </c>
      <c r="V286" s="67" t="str">
        <f t="shared" si="39"/>
        <v/>
      </c>
      <c r="W286" s="67" t="str">
        <f t="shared" si="40"/>
        <v/>
      </c>
      <c r="X286" s="67" t="str">
        <f t="shared" si="41"/>
        <v/>
      </c>
      <c r="Y286" s="24" t="str">
        <f t="shared" si="42"/>
        <v/>
      </c>
      <c r="Z286">
        <f t="shared" si="43"/>
        <v>0</v>
      </c>
      <c r="AA286">
        <f t="shared" si="44"/>
        <v>0</v>
      </c>
    </row>
    <row r="287" spans="2:27" ht="15.75" customHeight="1" x14ac:dyDescent="0.3">
      <c r="B287" s="21"/>
      <c r="C287" s="21"/>
      <c r="D287" s="21"/>
      <c r="E287" s="22" t="str">
        <f t="shared" si="36"/>
        <v/>
      </c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3" t="str">
        <f>IF($F287="","",IF(OR($B287="",$C287="",$D287=""),"⚠ Compléter Année/Niveau/Session",IF(AND($E287&lt;&gt;"",COUNTIF(D_KEY_DOUBLON,$B287&amp;"|"&amp;$D287&amp;"|"&amp;$E287)&gt;1),"⚠ Doublon",IF(AND($E287&lt;&gt;"",COUNTIF(D_KEY_STATUT,$B287&amp;"|"&amp;$E287&amp;"|P")&gt;0,COUNTIF(D_KEY_STATUT,$B287&amp;"|"&amp;$E287&amp;"|A")&gt;0),"⚠ Statut incohérent",IF(AND($D287="S1",$Y287&lt;&gt;"Parti",COUNTIF(ANNEES_VERROU,$B287)&gt;0,COUNTIF(D_KEY_NIVSES,$B287&amp;"|"&amp;$C287&amp;"|S2")&gt;0,COUNTIF(D_KEY_DOUBLON,$B287&amp;"|S2|"&amp;$E287)=0),"⚠ Départ non confirmé ?",IF(AND($C287&lt;&gt;"",ISNUMBER($I287),OR(VALUE(LEFT($B287,4))-$I287&lt;4+IFERROR(MATCH($C287,LISTE_NIVEAUX,0),99),VALUE(LEFT($B287,4))-$I287&gt;6+IFERROR(MATCH($C287,LISTE_NIVEAUX,0),99))),"⚠ Vérifier niveau",IF(AND(IFERROR(VLOOKUP($C287,TABLE_CYCLE,2,0),3)=2,COUNT($O287:$Q287)&gt;0),"⚠ Tests cycle 3",IF(COUNT($J287:$Q287)&gt;=IF(IFERROR(VLOOKUP($C287,TABLE_CYCLE,2,0),3)=2,5,8),"Complet","Incomplet"))))))))</f>
        <v/>
      </c>
      <c r="S287" s="24"/>
      <c r="T287" s="67" t="str">
        <f t="shared" si="37"/>
        <v/>
      </c>
      <c r="U287" s="67" t="str">
        <f t="shared" si="38"/>
        <v/>
      </c>
      <c r="V287" s="67" t="str">
        <f t="shared" si="39"/>
        <v/>
      </c>
      <c r="W287" s="67" t="str">
        <f t="shared" si="40"/>
        <v/>
      </c>
      <c r="X287" s="67" t="str">
        <f t="shared" si="41"/>
        <v/>
      </c>
      <c r="Y287" s="24" t="str">
        <f t="shared" si="42"/>
        <v/>
      </c>
      <c r="Z287">
        <f t="shared" si="43"/>
        <v>0</v>
      </c>
      <c r="AA287">
        <f t="shared" si="44"/>
        <v>0</v>
      </c>
    </row>
    <row r="288" spans="2:27" ht="15.75" customHeight="1" x14ac:dyDescent="0.3">
      <c r="B288" s="25"/>
      <c r="C288" s="25"/>
      <c r="D288" s="25"/>
      <c r="E288" s="26" t="str">
        <f t="shared" si="36"/>
        <v/>
      </c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3" t="str">
        <f>IF($F288="","",IF(OR($B288="",$C288="",$D288=""),"⚠ Compléter Année/Niveau/Session",IF(AND($E288&lt;&gt;"",COUNTIF(D_KEY_DOUBLON,$B288&amp;"|"&amp;$D288&amp;"|"&amp;$E288)&gt;1),"⚠ Doublon",IF(AND($E288&lt;&gt;"",COUNTIF(D_KEY_STATUT,$B288&amp;"|"&amp;$E288&amp;"|P")&gt;0,COUNTIF(D_KEY_STATUT,$B288&amp;"|"&amp;$E288&amp;"|A")&gt;0),"⚠ Statut incohérent",IF(AND($D288="S1",$Y288&lt;&gt;"Parti",COUNTIF(ANNEES_VERROU,$B288)&gt;0,COUNTIF(D_KEY_NIVSES,$B288&amp;"|"&amp;$C288&amp;"|S2")&gt;0,COUNTIF(D_KEY_DOUBLON,$B288&amp;"|S2|"&amp;$E288)=0),"⚠ Départ non confirmé ?",IF(AND($C288&lt;&gt;"",ISNUMBER($I288),OR(VALUE(LEFT($B288,4))-$I288&lt;4+IFERROR(MATCH($C288,LISTE_NIVEAUX,0),99),VALUE(LEFT($B288,4))-$I288&gt;6+IFERROR(MATCH($C288,LISTE_NIVEAUX,0),99))),"⚠ Vérifier niveau",IF(AND(IFERROR(VLOOKUP($C288,TABLE_CYCLE,2,0),3)=2,COUNT($O288:$Q288)&gt;0),"⚠ Tests cycle 3",IF(COUNT($J288:$Q288)&gt;=IF(IFERROR(VLOOKUP($C288,TABLE_CYCLE,2,0),3)=2,5,8),"Complet","Incomplet"))))))))</f>
        <v/>
      </c>
      <c r="S288" s="24"/>
      <c r="T288" s="67" t="str">
        <f t="shared" si="37"/>
        <v/>
      </c>
      <c r="U288" s="67" t="str">
        <f t="shared" si="38"/>
        <v/>
      </c>
      <c r="V288" s="67" t="str">
        <f t="shared" si="39"/>
        <v/>
      </c>
      <c r="W288" s="67" t="str">
        <f t="shared" si="40"/>
        <v/>
      </c>
      <c r="X288" s="67" t="str">
        <f t="shared" si="41"/>
        <v/>
      </c>
      <c r="Y288" s="24" t="str">
        <f t="shared" si="42"/>
        <v/>
      </c>
      <c r="Z288">
        <f t="shared" si="43"/>
        <v>0</v>
      </c>
      <c r="AA288">
        <f t="shared" si="44"/>
        <v>0</v>
      </c>
    </row>
    <row r="289" spans="2:27" ht="15.75" customHeight="1" x14ac:dyDescent="0.3">
      <c r="B289" s="21"/>
      <c r="C289" s="21"/>
      <c r="D289" s="21"/>
      <c r="E289" s="22" t="str">
        <f t="shared" si="36"/>
        <v/>
      </c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3" t="str">
        <f>IF($F289="","",IF(OR($B289="",$C289="",$D289=""),"⚠ Compléter Année/Niveau/Session",IF(AND($E289&lt;&gt;"",COUNTIF(D_KEY_DOUBLON,$B289&amp;"|"&amp;$D289&amp;"|"&amp;$E289)&gt;1),"⚠ Doublon",IF(AND($E289&lt;&gt;"",COUNTIF(D_KEY_STATUT,$B289&amp;"|"&amp;$E289&amp;"|P")&gt;0,COUNTIF(D_KEY_STATUT,$B289&amp;"|"&amp;$E289&amp;"|A")&gt;0),"⚠ Statut incohérent",IF(AND($D289="S1",$Y289&lt;&gt;"Parti",COUNTIF(ANNEES_VERROU,$B289)&gt;0,COUNTIF(D_KEY_NIVSES,$B289&amp;"|"&amp;$C289&amp;"|S2")&gt;0,COUNTIF(D_KEY_DOUBLON,$B289&amp;"|S2|"&amp;$E289)=0),"⚠ Départ non confirmé ?",IF(AND($C289&lt;&gt;"",ISNUMBER($I289),OR(VALUE(LEFT($B289,4))-$I289&lt;4+IFERROR(MATCH($C289,LISTE_NIVEAUX,0),99),VALUE(LEFT($B289,4))-$I289&gt;6+IFERROR(MATCH($C289,LISTE_NIVEAUX,0),99))),"⚠ Vérifier niveau",IF(AND(IFERROR(VLOOKUP($C289,TABLE_CYCLE,2,0),3)=2,COUNT($O289:$Q289)&gt;0),"⚠ Tests cycle 3",IF(COUNT($J289:$Q289)&gt;=IF(IFERROR(VLOOKUP($C289,TABLE_CYCLE,2,0),3)=2,5,8),"Complet","Incomplet"))))))))</f>
        <v/>
      </c>
      <c r="S289" s="24"/>
      <c r="T289" s="67" t="str">
        <f t="shared" si="37"/>
        <v/>
      </c>
      <c r="U289" s="67" t="str">
        <f t="shared" si="38"/>
        <v/>
      </c>
      <c r="V289" s="67" t="str">
        <f t="shared" si="39"/>
        <v/>
      </c>
      <c r="W289" s="67" t="str">
        <f t="shared" si="40"/>
        <v/>
      </c>
      <c r="X289" s="67" t="str">
        <f t="shared" si="41"/>
        <v/>
      </c>
      <c r="Y289" s="24" t="str">
        <f t="shared" si="42"/>
        <v/>
      </c>
      <c r="Z289">
        <f t="shared" si="43"/>
        <v>0</v>
      </c>
      <c r="AA289">
        <f t="shared" si="44"/>
        <v>0</v>
      </c>
    </row>
    <row r="290" spans="2:27" ht="15.75" customHeight="1" x14ac:dyDescent="0.3">
      <c r="B290" s="25"/>
      <c r="C290" s="25"/>
      <c r="D290" s="25"/>
      <c r="E290" s="26" t="str">
        <f t="shared" si="36"/>
        <v/>
      </c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3" t="str">
        <f>IF($F290="","",IF(OR($B290="",$C290="",$D290=""),"⚠ Compléter Année/Niveau/Session",IF(AND($E290&lt;&gt;"",COUNTIF(D_KEY_DOUBLON,$B290&amp;"|"&amp;$D290&amp;"|"&amp;$E290)&gt;1),"⚠ Doublon",IF(AND($E290&lt;&gt;"",COUNTIF(D_KEY_STATUT,$B290&amp;"|"&amp;$E290&amp;"|P")&gt;0,COUNTIF(D_KEY_STATUT,$B290&amp;"|"&amp;$E290&amp;"|A")&gt;0),"⚠ Statut incohérent",IF(AND($D290="S1",$Y290&lt;&gt;"Parti",COUNTIF(ANNEES_VERROU,$B290)&gt;0,COUNTIF(D_KEY_NIVSES,$B290&amp;"|"&amp;$C290&amp;"|S2")&gt;0,COUNTIF(D_KEY_DOUBLON,$B290&amp;"|S2|"&amp;$E290)=0),"⚠ Départ non confirmé ?",IF(AND($C290&lt;&gt;"",ISNUMBER($I290),OR(VALUE(LEFT($B290,4))-$I290&lt;4+IFERROR(MATCH($C290,LISTE_NIVEAUX,0),99),VALUE(LEFT($B290,4))-$I290&gt;6+IFERROR(MATCH($C290,LISTE_NIVEAUX,0),99))),"⚠ Vérifier niveau",IF(AND(IFERROR(VLOOKUP($C290,TABLE_CYCLE,2,0),3)=2,COUNT($O290:$Q290)&gt;0),"⚠ Tests cycle 3",IF(COUNT($J290:$Q290)&gt;=IF(IFERROR(VLOOKUP($C290,TABLE_CYCLE,2,0),3)=2,5,8),"Complet","Incomplet"))))))))</f>
        <v/>
      </c>
      <c r="S290" s="24"/>
      <c r="T290" s="67" t="str">
        <f t="shared" si="37"/>
        <v/>
      </c>
      <c r="U290" s="67" t="str">
        <f t="shared" si="38"/>
        <v/>
      </c>
      <c r="V290" s="67" t="str">
        <f t="shared" si="39"/>
        <v/>
      </c>
      <c r="W290" s="67" t="str">
        <f t="shared" si="40"/>
        <v/>
      </c>
      <c r="X290" s="67" t="str">
        <f t="shared" si="41"/>
        <v/>
      </c>
      <c r="Y290" s="24" t="str">
        <f t="shared" si="42"/>
        <v/>
      </c>
      <c r="Z290">
        <f t="shared" si="43"/>
        <v>0</v>
      </c>
      <c r="AA290">
        <f t="shared" si="44"/>
        <v>0</v>
      </c>
    </row>
    <row r="291" spans="2:27" ht="15.75" customHeight="1" x14ac:dyDescent="0.3">
      <c r="B291" s="21"/>
      <c r="C291" s="21"/>
      <c r="D291" s="21"/>
      <c r="E291" s="22" t="str">
        <f t="shared" si="36"/>
        <v/>
      </c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3" t="str">
        <f>IF($F291="","",IF(OR($B291="",$C291="",$D291=""),"⚠ Compléter Année/Niveau/Session",IF(AND($E291&lt;&gt;"",COUNTIF(D_KEY_DOUBLON,$B291&amp;"|"&amp;$D291&amp;"|"&amp;$E291)&gt;1),"⚠ Doublon",IF(AND($E291&lt;&gt;"",COUNTIF(D_KEY_STATUT,$B291&amp;"|"&amp;$E291&amp;"|P")&gt;0,COUNTIF(D_KEY_STATUT,$B291&amp;"|"&amp;$E291&amp;"|A")&gt;0),"⚠ Statut incohérent",IF(AND($D291="S1",$Y291&lt;&gt;"Parti",COUNTIF(ANNEES_VERROU,$B291)&gt;0,COUNTIF(D_KEY_NIVSES,$B291&amp;"|"&amp;$C291&amp;"|S2")&gt;0,COUNTIF(D_KEY_DOUBLON,$B291&amp;"|S2|"&amp;$E291)=0),"⚠ Départ non confirmé ?",IF(AND($C291&lt;&gt;"",ISNUMBER($I291),OR(VALUE(LEFT($B291,4))-$I291&lt;4+IFERROR(MATCH($C291,LISTE_NIVEAUX,0),99),VALUE(LEFT($B291,4))-$I291&gt;6+IFERROR(MATCH($C291,LISTE_NIVEAUX,0),99))),"⚠ Vérifier niveau",IF(AND(IFERROR(VLOOKUP($C291,TABLE_CYCLE,2,0),3)=2,COUNT($O291:$Q291)&gt;0),"⚠ Tests cycle 3",IF(COUNT($J291:$Q291)&gt;=IF(IFERROR(VLOOKUP($C291,TABLE_CYCLE,2,0),3)=2,5,8),"Complet","Incomplet"))))))))</f>
        <v/>
      </c>
      <c r="S291" s="24"/>
      <c r="T291" s="67" t="str">
        <f t="shared" si="37"/>
        <v/>
      </c>
      <c r="U291" s="67" t="str">
        <f t="shared" si="38"/>
        <v/>
      </c>
      <c r="V291" s="67" t="str">
        <f t="shared" si="39"/>
        <v/>
      </c>
      <c r="W291" s="67" t="str">
        <f t="shared" si="40"/>
        <v/>
      </c>
      <c r="X291" s="67" t="str">
        <f t="shared" si="41"/>
        <v/>
      </c>
      <c r="Y291" s="24" t="str">
        <f t="shared" si="42"/>
        <v/>
      </c>
      <c r="Z291">
        <f t="shared" si="43"/>
        <v>0</v>
      </c>
      <c r="AA291">
        <f t="shared" si="44"/>
        <v>0</v>
      </c>
    </row>
    <row r="292" spans="2:27" ht="15.75" customHeight="1" x14ac:dyDescent="0.3">
      <c r="B292" s="25"/>
      <c r="C292" s="25"/>
      <c r="D292" s="25"/>
      <c r="E292" s="26" t="str">
        <f t="shared" si="36"/>
        <v/>
      </c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3" t="str">
        <f>IF($F292="","",IF(OR($B292="",$C292="",$D292=""),"⚠ Compléter Année/Niveau/Session",IF(AND($E292&lt;&gt;"",COUNTIF(D_KEY_DOUBLON,$B292&amp;"|"&amp;$D292&amp;"|"&amp;$E292)&gt;1),"⚠ Doublon",IF(AND($E292&lt;&gt;"",COUNTIF(D_KEY_STATUT,$B292&amp;"|"&amp;$E292&amp;"|P")&gt;0,COUNTIF(D_KEY_STATUT,$B292&amp;"|"&amp;$E292&amp;"|A")&gt;0),"⚠ Statut incohérent",IF(AND($D292="S1",$Y292&lt;&gt;"Parti",COUNTIF(ANNEES_VERROU,$B292)&gt;0,COUNTIF(D_KEY_NIVSES,$B292&amp;"|"&amp;$C292&amp;"|S2")&gt;0,COUNTIF(D_KEY_DOUBLON,$B292&amp;"|S2|"&amp;$E292)=0),"⚠ Départ non confirmé ?",IF(AND($C292&lt;&gt;"",ISNUMBER($I292),OR(VALUE(LEFT($B292,4))-$I292&lt;4+IFERROR(MATCH($C292,LISTE_NIVEAUX,0),99),VALUE(LEFT($B292,4))-$I292&gt;6+IFERROR(MATCH($C292,LISTE_NIVEAUX,0),99))),"⚠ Vérifier niveau",IF(AND(IFERROR(VLOOKUP($C292,TABLE_CYCLE,2,0),3)=2,COUNT($O292:$Q292)&gt;0),"⚠ Tests cycle 3",IF(COUNT($J292:$Q292)&gt;=IF(IFERROR(VLOOKUP($C292,TABLE_CYCLE,2,0),3)=2,5,8),"Complet","Incomplet"))))))))</f>
        <v/>
      </c>
      <c r="S292" s="24"/>
      <c r="T292" s="67" t="str">
        <f t="shared" si="37"/>
        <v/>
      </c>
      <c r="U292" s="67" t="str">
        <f t="shared" si="38"/>
        <v/>
      </c>
      <c r="V292" s="67" t="str">
        <f t="shared" si="39"/>
        <v/>
      </c>
      <c r="W292" s="67" t="str">
        <f t="shared" si="40"/>
        <v/>
      </c>
      <c r="X292" s="67" t="str">
        <f t="shared" si="41"/>
        <v/>
      </c>
      <c r="Y292" s="24" t="str">
        <f t="shared" si="42"/>
        <v/>
      </c>
      <c r="Z292">
        <f t="shared" si="43"/>
        <v>0</v>
      </c>
      <c r="AA292">
        <f t="shared" si="44"/>
        <v>0</v>
      </c>
    </row>
    <row r="293" spans="2:27" ht="15.75" customHeight="1" x14ac:dyDescent="0.3">
      <c r="B293" s="21"/>
      <c r="C293" s="21"/>
      <c r="D293" s="21"/>
      <c r="E293" s="22" t="str">
        <f t="shared" si="36"/>
        <v/>
      </c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3" t="str">
        <f>IF($F293="","",IF(OR($B293="",$C293="",$D293=""),"⚠ Compléter Année/Niveau/Session",IF(AND($E293&lt;&gt;"",COUNTIF(D_KEY_DOUBLON,$B293&amp;"|"&amp;$D293&amp;"|"&amp;$E293)&gt;1),"⚠ Doublon",IF(AND($E293&lt;&gt;"",COUNTIF(D_KEY_STATUT,$B293&amp;"|"&amp;$E293&amp;"|P")&gt;0,COUNTIF(D_KEY_STATUT,$B293&amp;"|"&amp;$E293&amp;"|A")&gt;0),"⚠ Statut incohérent",IF(AND($D293="S1",$Y293&lt;&gt;"Parti",COUNTIF(ANNEES_VERROU,$B293)&gt;0,COUNTIF(D_KEY_NIVSES,$B293&amp;"|"&amp;$C293&amp;"|S2")&gt;0,COUNTIF(D_KEY_DOUBLON,$B293&amp;"|S2|"&amp;$E293)=0),"⚠ Départ non confirmé ?",IF(AND($C293&lt;&gt;"",ISNUMBER($I293),OR(VALUE(LEFT($B293,4))-$I293&lt;4+IFERROR(MATCH($C293,LISTE_NIVEAUX,0),99),VALUE(LEFT($B293,4))-$I293&gt;6+IFERROR(MATCH($C293,LISTE_NIVEAUX,0),99))),"⚠ Vérifier niveau",IF(AND(IFERROR(VLOOKUP($C293,TABLE_CYCLE,2,0),3)=2,COUNT($O293:$Q293)&gt;0),"⚠ Tests cycle 3",IF(COUNT($J293:$Q293)&gt;=IF(IFERROR(VLOOKUP($C293,TABLE_CYCLE,2,0),3)=2,5,8),"Complet","Incomplet"))))))))</f>
        <v/>
      </c>
      <c r="S293" s="24"/>
      <c r="T293" s="67" t="str">
        <f t="shared" si="37"/>
        <v/>
      </c>
      <c r="U293" s="67" t="str">
        <f t="shared" si="38"/>
        <v/>
      </c>
      <c r="V293" s="67" t="str">
        <f t="shared" si="39"/>
        <v/>
      </c>
      <c r="W293" s="67" t="str">
        <f t="shared" si="40"/>
        <v/>
      </c>
      <c r="X293" s="67" t="str">
        <f t="shared" si="41"/>
        <v/>
      </c>
      <c r="Y293" s="24" t="str">
        <f t="shared" si="42"/>
        <v/>
      </c>
      <c r="Z293">
        <f t="shared" si="43"/>
        <v>0</v>
      </c>
      <c r="AA293">
        <f t="shared" si="44"/>
        <v>0</v>
      </c>
    </row>
    <row r="294" spans="2:27" ht="15.75" customHeight="1" x14ac:dyDescent="0.3">
      <c r="B294" s="25"/>
      <c r="C294" s="25"/>
      <c r="D294" s="25"/>
      <c r="E294" s="26" t="str">
        <f t="shared" si="36"/>
        <v/>
      </c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3" t="str">
        <f>IF($F294="","",IF(OR($B294="",$C294="",$D294=""),"⚠ Compléter Année/Niveau/Session",IF(AND($E294&lt;&gt;"",COUNTIF(D_KEY_DOUBLON,$B294&amp;"|"&amp;$D294&amp;"|"&amp;$E294)&gt;1),"⚠ Doublon",IF(AND($E294&lt;&gt;"",COUNTIF(D_KEY_STATUT,$B294&amp;"|"&amp;$E294&amp;"|P")&gt;0,COUNTIF(D_KEY_STATUT,$B294&amp;"|"&amp;$E294&amp;"|A")&gt;0),"⚠ Statut incohérent",IF(AND($D294="S1",$Y294&lt;&gt;"Parti",COUNTIF(ANNEES_VERROU,$B294)&gt;0,COUNTIF(D_KEY_NIVSES,$B294&amp;"|"&amp;$C294&amp;"|S2")&gt;0,COUNTIF(D_KEY_DOUBLON,$B294&amp;"|S2|"&amp;$E294)=0),"⚠ Départ non confirmé ?",IF(AND($C294&lt;&gt;"",ISNUMBER($I294),OR(VALUE(LEFT($B294,4))-$I294&lt;4+IFERROR(MATCH($C294,LISTE_NIVEAUX,0),99),VALUE(LEFT($B294,4))-$I294&gt;6+IFERROR(MATCH($C294,LISTE_NIVEAUX,0),99))),"⚠ Vérifier niveau",IF(AND(IFERROR(VLOOKUP($C294,TABLE_CYCLE,2,0),3)=2,COUNT($O294:$Q294)&gt;0),"⚠ Tests cycle 3",IF(COUNT($J294:$Q294)&gt;=IF(IFERROR(VLOOKUP($C294,TABLE_CYCLE,2,0),3)=2,5,8),"Complet","Incomplet"))))))))</f>
        <v/>
      </c>
      <c r="S294" s="24"/>
      <c r="T294" s="67" t="str">
        <f t="shared" si="37"/>
        <v/>
      </c>
      <c r="U294" s="67" t="str">
        <f t="shared" si="38"/>
        <v/>
      </c>
      <c r="V294" s="67" t="str">
        <f t="shared" si="39"/>
        <v/>
      </c>
      <c r="W294" s="67" t="str">
        <f t="shared" si="40"/>
        <v/>
      </c>
      <c r="X294" s="67" t="str">
        <f t="shared" si="41"/>
        <v/>
      </c>
      <c r="Y294" s="24" t="str">
        <f t="shared" si="42"/>
        <v/>
      </c>
      <c r="Z294">
        <f t="shared" si="43"/>
        <v>0</v>
      </c>
      <c r="AA294">
        <f t="shared" si="44"/>
        <v>0</v>
      </c>
    </row>
    <row r="295" spans="2:27" ht="15.75" customHeight="1" x14ac:dyDescent="0.3">
      <c r="B295" s="21"/>
      <c r="C295" s="21"/>
      <c r="D295" s="21"/>
      <c r="E295" s="22" t="str">
        <f t="shared" si="36"/>
        <v/>
      </c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3" t="str">
        <f>IF($F295="","",IF(OR($B295="",$C295="",$D295=""),"⚠ Compléter Année/Niveau/Session",IF(AND($E295&lt;&gt;"",COUNTIF(D_KEY_DOUBLON,$B295&amp;"|"&amp;$D295&amp;"|"&amp;$E295)&gt;1),"⚠ Doublon",IF(AND($E295&lt;&gt;"",COUNTIF(D_KEY_STATUT,$B295&amp;"|"&amp;$E295&amp;"|P")&gt;0,COUNTIF(D_KEY_STATUT,$B295&amp;"|"&amp;$E295&amp;"|A")&gt;0),"⚠ Statut incohérent",IF(AND($D295="S1",$Y295&lt;&gt;"Parti",COUNTIF(ANNEES_VERROU,$B295)&gt;0,COUNTIF(D_KEY_NIVSES,$B295&amp;"|"&amp;$C295&amp;"|S2")&gt;0,COUNTIF(D_KEY_DOUBLON,$B295&amp;"|S2|"&amp;$E295)=0),"⚠ Départ non confirmé ?",IF(AND($C295&lt;&gt;"",ISNUMBER($I295),OR(VALUE(LEFT($B295,4))-$I295&lt;4+IFERROR(MATCH($C295,LISTE_NIVEAUX,0),99),VALUE(LEFT($B295,4))-$I295&gt;6+IFERROR(MATCH($C295,LISTE_NIVEAUX,0),99))),"⚠ Vérifier niveau",IF(AND(IFERROR(VLOOKUP($C295,TABLE_CYCLE,2,0),3)=2,COUNT($O295:$Q295)&gt;0),"⚠ Tests cycle 3",IF(COUNT($J295:$Q295)&gt;=IF(IFERROR(VLOOKUP($C295,TABLE_CYCLE,2,0),3)=2,5,8),"Complet","Incomplet"))))))))</f>
        <v/>
      </c>
      <c r="S295" s="24"/>
      <c r="T295" s="67" t="str">
        <f t="shared" si="37"/>
        <v/>
      </c>
      <c r="U295" s="67" t="str">
        <f t="shared" si="38"/>
        <v/>
      </c>
      <c r="V295" s="67" t="str">
        <f t="shared" si="39"/>
        <v/>
      </c>
      <c r="W295" s="67" t="str">
        <f t="shared" si="40"/>
        <v/>
      </c>
      <c r="X295" s="67" t="str">
        <f t="shared" si="41"/>
        <v/>
      </c>
      <c r="Y295" s="24" t="str">
        <f t="shared" si="42"/>
        <v/>
      </c>
      <c r="Z295">
        <f t="shared" si="43"/>
        <v>0</v>
      </c>
      <c r="AA295">
        <f t="shared" si="44"/>
        <v>0</v>
      </c>
    </row>
    <row r="296" spans="2:27" ht="15.75" customHeight="1" x14ac:dyDescent="0.3">
      <c r="B296" s="25"/>
      <c r="C296" s="25"/>
      <c r="D296" s="25"/>
      <c r="E296" s="26" t="str">
        <f t="shared" si="36"/>
        <v/>
      </c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3" t="str">
        <f>IF($F296="","",IF(OR($B296="",$C296="",$D296=""),"⚠ Compléter Année/Niveau/Session",IF(AND($E296&lt;&gt;"",COUNTIF(D_KEY_DOUBLON,$B296&amp;"|"&amp;$D296&amp;"|"&amp;$E296)&gt;1),"⚠ Doublon",IF(AND($E296&lt;&gt;"",COUNTIF(D_KEY_STATUT,$B296&amp;"|"&amp;$E296&amp;"|P")&gt;0,COUNTIF(D_KEY_STATUT,$B296&amp;"|"&amp;$E296&amp;"|A")&gt;0),"⚠ Statut incohérent",IF(AND($D296="S1",$Y296&lt;&gt;"Parti",COUNTIF(ANNEES_VERROU,$B296)&gt;0,COUNTIF(D_KEY_NIVSES,$B296&amp;"|"&amp;$C296&amp;"|S2")&gt;0,COUNTIF(D_KEY_DOUBLON,$B296&amp;"|S2|"&amp;$E296)=0),"⚠ Départ non confirmé ?",IF(AND($C296&lt;&gt;"",ISNUMBER($I296),OR(VALUE(LEFT($B296,4))-$I296&lt;4+IFERROR(MATCH($C296,LISTE_NIVEAUX,0),99),VALUE(LEFT($B296,4))-$I296&gt;6+IFERROR(MATCH($C296,LISTE_NIVEAUX,0),99))),"⚠ Vérifier niveau",IF(AND(IFERROR(VLOOKUP($C296,TABLE_CYCLE,2,0),3)=2,COUNT($O296:$Q296)&gt;0),"⚠ Tests cycle 3",IF(COUNT($J296:$Q296)&gt;=IF(IFERROR(VLOOKUP($C296,TABLE_CYCLE,2,0),3)=2,5,8),"Complet","Incomplet"))))))))</f>
        <v/>
      </c>
      <c r="S296" s="24"/>
      <c r="T296" s="67" t="str">
        <f t="shared" si="37"/>
        <v/>
      </c>
      <c r="U296" s="67" t="str">
        <f t="shared" si="38"/>
        <v/>
      </c>
      <c r="V296" s="67" t="str">
        <f t="shared" si="39"/>
        <v/>
      </c>
      <c r="W296" s="67" t="str">
        <f t="shared" si="40"/>
        <v/>
      </c>
      <c r="X296" s="67" t="str">
        <f t="shared" si="41"/>
        <v/>
      </c>
      <c r="Y296" s="24" t="str">
        <f t="shared" si="42"/>
        <v/>
      </c>
      <c r="Z296">
        <f t="shared" si="43"/>
        <v>0</v>
      </c>
      <c r="AA296">
        <f t="shared" si="44"/>
        <v>0</v>
      </c>
    </row>
    <row r="297" spans="2:27" ht="15.75" customHeight="1" x14ac:dyDescent="0.3">
      <c r="B297" s="21"/>
      <c r="C297" s="21"/>
      <c r="D297" s="21"/>
      <c r="E297" s="22" t="str">
        <f t="shared" si="36"/>
        <v/>
      </c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3" t="str">
        <f>IF($F297="","",IF(OR($B297="",$C297="",$D297=""),"⚠ Compléter Année/Niveau/Session",IF(AND($E297&lt;&gt;"",COUNTIF(D_KEY_DOUBLON,$B297&amp;"|"&amp;$D297&amp;"|"&amp;$E297)&gt;1),"⚠ Doublon",IF(AND($E297&lt;&gt;"",COUNTIF(D_KEY_STATUT,$B297&amp;"|"&amp;$E297&amp;"|P")&gt;0,COUNTIF(D_KEY_STATUT,$B297&amp;"|"&amp;$E297&amp;"|A")&gt;0),"⚠ Statut incohérent",IF(AND($D297="S1",$Y297&lt;&gt;"Parti",COUNTIF(ANNEES_VERROU,$B297)&gt;0,COUNTIF(D_KEY_NIVSES,$B297&amp;"|"&amp;$C297&amp;"|S2")&gt;0,COUNTIF(D_KEY_DOUBLON,$B297&amp;"|S2|"&amp;$E297)=0),"⚠ Départ non confirmé ?",IF(AND($C297&lt;&gt;"",ISNUMBER($I297),OR(VALUE(LEFT($B297,4))-$I297&lt;4+IFERROR(MATCH($C297,LISTE_NIVEAUX,0),99),VALUE(LEFT($B297,4))-$I297&gt;6+IFERROR(MATCH($C297,LISTE_NIVEAUX,0),99))),"⚠ Vérifier niveau",IF(AND(IFERROR(VLOOKUP($C297,TABLE_CYCLE,2,0),3)=2,COUNT($O297:$Q297)&gt;0),"⚠ Tests cycle 3",IF(COUNT($J297:$Q297)&gt;=IF(IFERROR(VLOOKUP($C297,TABLE_CYCLE,2,0),3)=2,5,8),"Complet","Incomplet"))))))))</f>
        <v/>
      </c>
      <c r="S297" s="24"/>
      <c r="T297" s="67" t="str">
        <f t="shared" si="37"/>
        <v/>
      </c>
      <c r="U297" s="67" t="str">
        <f t="shared" si="38"/>
        <v/>
      </c>
      <c r="V297" s="67" t="str">
        <f t="shared" si="39"/>
        <v/>
      </c>
      <c r="W297" s="67" t="str">
        <f t="shared" si="40"/>
        <v/>
      </c>
      <c r="X297" s="67" t="str">
        <f t="shared" si="41"/>
        <v/>
      </c>
      <c r="Y297" s="24" t="str">
        <f t="shared" si="42"/>
        <v/>
      </c>
      <c r="Z297">
        <f t="shared" si="43"/>
        <v>0</v>
      </c>
      <c r="AA297">
        <f t="shared" si="44"/>
        <v>0</v>
      </c>
    </row>
    <row r="298" spans="2:27" ht="15.75" customHeight="1" x14ac:dyDescent="0.3">
      <c r="B298" s="25"/>
      <c r="C298" s="25"/>
      <c r="D298" s="25"/>
      <c r="E298" s="26" t="str">
        <f t="shared" si="36"/>
        <v/>
      </c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3" t="str">
        <f>IF($F298="","",IF(OR($B298="",$C298="",$D298=""),"⚠ Compléter Année/Niveau/Session",IF(AND($E298&lt;&gt;"",COUNTIF(D_KEY_DOUBLON,$B298&amp;"|"&amp;$D298&amp;"|"&amp;$E298)&gt;1),"⚠ Doublon",IF(AND($E298&lt;&gt;"",COUNTIF(D_KEY_STATUT,$B298&amp;"|"&amp;$E298&amp;"|P")&gt;0,COUNTIF(D_KEY_STATUT,$B298&amp;"|"&amp;$E298&amp;"|A")&gt;0),"⚠ Statut incohérent",IF(AND($D298="S1",$Y298&lt;&gt;"Parti",COUNTIF(ANNEES_VERROU,$B298)&gt;0,COUNTIF(D_KEY_NIVSES,$B298&amp;"|"&amp;$C298&amp;"|S2")&gt;0,COUNTIF(D_KEY_DOUBLON,$B298&amp;"|S2|"&amp;$E298)=0),"⚠ Départ non confirmé ?",IF(AND($C298&lt;&gt;"",ISNUMBER($I298),OR(VALUE(LEFT($B298,4))-$I298&lt;4+IFERROR(MATCH($C298,LISTE_NIVEAUX,0),99),VALUE(LEFT($B298,4))-$I298&gt;6+IFERROR(MATCH($C298,LISTE_NIVEAUX,0),99))),"⚠ Vérifier niveau",IF(AND(IFERROR(VLOOKUP($C298,TABLE_CYCLE,2,0),3)=2,COUNT($O298:$Q298)&gt;0),"⚠ Tests cycle 3",IF(COUNT($J298:$Q298)&gt;=IF(IFERROR(VLOOKUP($C298,TABLE_CYCLE,2,0),3)=2,5,8),"Complet","Incomplet"))))))))</f>
        <v/>
      </c>
      <c r="S298" s="24"/>
      <c r="T298" s="67" t="str">
        <f t="shared" si="37"/>
        <v/>
      </c>
      <c r="U298" s="67" t="str">
        <f t="shared" si="38"/>
        <v/>
      </c>
      <c r="V298" s="67" t="str">
        <f t="shared" si="39"/>
        <v/>
      </c>
      <c r="W298" s="67" t="str">
        <f t="shared" si="40"/>
        <v/>
      </c>
      <c r="X298" s="67" t="str">
        <f t="shared" si="41"/>
        <v/>
      </c>
      <c r="Y298" s="24" t="str">
        <f t="shared" si="42"/>
        <v/>
      </c>
      <c r="Z298">
        <f t="shared" si="43"/>
        <v>0</v>
      </c>
      <c r="AA298">
        <f t="shared" si="44"/>
        <v>0</v>
      </c>
    </row>
    <row r="299" spans="2:27" ht="15.75" customHeight="1" x14ac:dyDescent="0.3">
      <c r="B299" s="21"/>
      <c r="C299" s="21"/>
      <c r="D299" s="21"/>
      <c r="E299" s="22" t="str">
        <f t="shared" si="36"/>
        <v/>
      </c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3" t="str">
        <f>IF($F299="","",IF(OR($B299="",$C299="",$D299=""),"⚠ Compléter Année/Niveau/Session",IF(AND($E299&lt;&gt;"",COUNTIF(D_KEY_DOUBLON,$B299&amp;"|"&amp;$D299&amp;"|"&amp;$E299)&gt;1),"⚠ Doublon",IF(AND($E299&lt;&gt;"",COUNTIF(D_KEY_STATUT,$B299&amp;"|"&amp;$E299&amp;"|P")&gt;0,COUNTIF(D_KEY_STATUT,$B299&amp;"|"&amp;$E299&amp;"|A")&gt;0),"⚠ Statut incohérent",IF(AND($D299="S1",$Y299&lt;&gt;"Parti",COUNTIF(ANNEES_VERROU,$B299)&gt;0,COUNTIF(D_KEY_NIVSES,$B299&amp;"|"&amp;$C299&amp;"|S2")&gt;0,COUNTIF(D_KEY_DOUBLON,$B299&amp;"|S2|"&amp;$E299)=0),"⚠ Départ non confirmé ?",IF(AND($C299&lt;&gt;"",ISNUMBER($I299),OR(VALUE(LEFT($B299,4))-$I299&lt;4+IFERROR(MATCH($C299,LISTE_NIVEAUX,0),99),VALUE(LEFT($B299,4))-$I299&gt;6+IFERROR(MATCH($C299,LISTE_NIVEAUX,0),99))),"⚠ Vérifier niveau",IF(AND(IFERROR(VLOOKUP($C299,TABLE_CYCLE,2,0),3)=2,COUNT($O299:$Q299)&gt;0),"⚠ Tests cycle 3",IF(COUNT($J299:$Q299)&gt;=IF(IFERROR(VLOOKUP($C299,TABLE_CYCLE,2,0),3)=2,5,8),"Complet","Incomplet"))))))))</f>
        <v/>
      </c>
      <c r="S299" s="24"/>
      <c r="T299" s="67" t="str">
        <f t="shared" si="37"/>
        <v/>
      </c>
      <c r="U299" s="67" t="str">
        <f t="shared" si="38"/>
        <v/>
      </c>
      <c r="V299" s="67" t="str">
        <f t="shared" si="39"/>
        <v/>
      </c>
      <c r="W299" s="67" t="str">
        <f t="shared" si="40"/>
        <v/>
      </c>
      <c r="X299" s="67" t="str">
        <f t="shared" si="41"/>
        <v/>
      </c>
      <c r="Y299" s="24" t="str">
        <f t="shared" si="42"/>
        <v/>
      </c>
      <c r="Z299">
        <f t="shared" si="43"/>
        <v>0</v>
      </c>
      <c r="AA299">
        <f t="shared" si="44"/>
        <v>0</v>
      </c>
    </row>
    <row r="300" spans="2:27" ht="15.75" customHeight="1" x14ac:dyDescent="0.3">
      <c r="B300" s="25"/>
      <c r="C300" s="25"/>
      <c r="D300" s="25"/>
      <c r="E300" s="26" t="str">
        <f t="shared" si="36"/>
        <v/>
      </c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3" t="str">
        <f>IF($F300="","",IF(OR($B300="",$C300="",$D300=""),"⚠ Compléter Année/Niveau/Session",IF(AND($E300&lt;&gt;"",COUNTIF(D_KEY_DOUBLON,$B300&amp;"|"&amp;$D300&amp;"|"&amp;$E300)&gt;1),"⚠ Doublon",IF(AND($E300&lt;&gt;"",COUNTIF(D_KEY_STATUT,$B300&amp;"|"&amp;$E300&amp;"|P")&gt;0,COUNTIF(D_KEY_STATUT,$B300&amp;"|"&amp;$E300&amp;"|A")&gt;0),"⚠ Statut incohérent",IF(AND($D300="S1",$Y300&lt;&gt;"Parti",COUNTIF(ANNEES_VERROU,$B300)&gt;0,COUNTIF(D_KEY_NIVSES,$B300&amp;"|"&amp;$C300&amp;"|S2")&gt;0,COUNTIF(D_KEY_DOUBLON,$B300&amp;"|S2|"&amp;$E300)=0),"⚠ Départ non confirmé ?",IF(AND($C300&lt;&gt;"",ISNUMBER($I300),OR(VALUE(LEFT($B300,4))-$I300&lt;4+IFERROR(MATCH($C300,LISTE_NIVEAUX,0),99),VALUE(LEFT($B300,4))-$I300&gt;6+IFERROR(MATCH($C300,LISTE_NIVEAUX,0),99))),"⚠ Vérifier niveau",IF(AND(IFERROR(VLOOKUP($C300,TABLE_CYCLE,2,0),3)=2,COUNT($O300:$Q300)&gt;0),"⚠ Tests cycle 3",IF(COUNT($J300:$Q300)&gt;=IF(IFERROR(VLOOKUP($C300,TABLE_CYCLE,2,0),3)=2,5,8),"Complet","Incomplet"))))))))</f>
        <v/>
      </c>
      <c r="S300" s="24"/>
      <c r="T300" s="67" t="str">
        <f t="shared" si="37"/>
        <v/>
      </c>
      <c r="U300" s="67" t="str">
        <f t="shared" si="38"/>
        <v/>
      </c>
      <c r="V300" s="67" t="str">
        <f t="shared" si="39"/>
        <v/>
      </c>
      <c r="W300" s="67" t="str">
        <f t="shared" si="40"/>
        <v/>
      </c>
      <c r="X300" s="67" t="str">
        <f t="shared" si="41"/>
        <v/>
      </c>
      <c r="Y300" s="24" t="str">
        <f t="shared" si="42"/>
        <v/>
      </c>
      <c r="Z300">
        <f t="shared" si="43"/>
        <v>0</v>
      </c>
      <c r="AA300">
        <f t="shared" si="44"/>
        <v>0</v>
      </c>
    </row>
    <row r="301" spans="2:27" ht="15.75" customHeight="1" x14ac:dyDescent="0.3">
      <c r="B301" s="21"/>
      <c r="C301" s="21"/>
      <c r="D301" s="21"/>
      <c r="E301" s="22" t="str">
        <f t="shared" si="36"/>
        <v/>
      </c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3" t="str">
        <f>IF($F301="","",IF(OR($B301="",$C301="",$D301=""),"⚠ Compléter Année/Niveau/Session",IF(AND($E301&lt;&gt;"",COUNTIF(D_KEY_DOUBLON,$B301&amp;"|"&amp;$D301&amp;"|"&amp;$E301)&gt;1),"⚠ Doublon",IF(AND($E301&lt;&gt;"",COUNTIF(D_KEY_STATUT,$B301&amp;"|"&amp;$E301&amp;"|P")&gt;0,COUNTIF(D_KEY_STATUT,$B301&amp;"|"&amp;$E301&amp;"|A")&gt;0),"⚠ Statut incohérent",IF(AND($D301="S1",$Y301&lt;&gt;"Parti",COUNTIF(ANNEES_VERROU,$B301)&gt;0,COUNTIF(D_KEY_NIVSES,$B301&amp;"|"&amp;$C301&amp;"|S2")&gt;0,COUNTIF(D_KEY_DOUBLON,$B301&amp;"|S2|"&amp;$E301)=0),"⚠ Départ non confirmé ?",IF(AND($C301&lt;&gt;"",ISNUMBER($I301),OR(VALUE(LEFT($B301,4))-$I301&lt;4+IFERROR(MATCH($C301,LISTE_NIVEAUX,0),99),VALUE(LEFT($B301,4))-$I301&gt;6+IFERROR(MATCH($C301,LISTE_NIVEAUX,0),99))),"⚠ Vérifier niveau",IF(AND(IFERROR(VLOOKUP($C301,TABLE_CYCLE,2,0),3)=2,COUNT($O301:$Q301)&gt;0),"⚠ Tests cycle 3",IF(COUNT($J301:$Q301)&gt;=IF(IFERROR(VLOOKUP($C301,TABLE_CYCLE,2,0),3)=2,5,8),"Complet","Incomplet"))))))))</f>
        <v/>
      </c>
      <c r="S301" s="24"/>
      <c r="T301" s="67" t="str">
        <f t="shared" si="37"/>
        <v/>
      </c>
      <c r="U301" s="67" t="str">
        <f t="shared" si="38"/>
        <v/>
      </c>
      <c r="V301" s="67" t="str">
        <f t="shared" si="39"/>
        <v/>
      </c>
      <c r="W301" s="67" t="str">
        <f t="shared" si="40"/>
        <v/>
      </c>
      <c r="X301" s="67" t="str">
        <f t="shared" si="41"/>
        <v/>
      </c>
      <c r="Y301" s="24" t="str">
        <f t="shared" si="42"/>
        <v/>
      </c>
      <c r="Z301">
        <f t="shared" si="43"/>
        <v>0</v>
      </c>
      <c r="AA301">
        <f t="shared" si="44"/>
        <v>0</v>
      </c>
    </row>
    <row r="302" spans="2:27" ht="15.75" customHeight="1" x14ac:dyDescent="0.3">
      <c r="B302" s="25"/>
      <c r="C302" s="25"/>
      <c r="D302" s="25"/>
      <c r="E302" s="26" t="str">
        <f t="shared" si="36"/>
        <v/>
      </c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3" t="str">
        <f>IF($F302="","",IF(OR($B302="",$C302="",$D302=""),"⚠ Compléter Année/Niveau/Session",IF(AND($E302&lt;&gt;"",COUNTIF(D_KEY_DOUBLON,$B302&amp;"|"&amp;$D302&amp;"|"&amp;$E302)&gt;1),"⚠ Doublon",IF(AND($E302&lt;&gt;"",COUNTIF(D_KEY_STATUT,$B302&amp;"|"&amp;$E302&amp;"|P")&gt;0,COUNTIF(D_KEY_STATUT,$B302&amp;"|"&amp;$E302&amp;"|A")&gt;0),"⚠ Statut incohérent",IF(AND($D302="S1",$Y302&lt;&gt;"Parti",COUNTIF(ANNEES_VERROU,$B302)&gt;0,COUNTIF(D_KEY_NIVSES,$B302&amp;"|"&amp;$C302&amp;"|S2")&gt;0,COUNTIF(D_KEY_DOUBLON,$B302&amp;"|S2|"&amp;$E302)=0),"⚠ Départ non confirmé ?",IF(AND($C302&lt;&gt;"",ISNUMBER($I302),OR(VALUE(LEFT($B302,4))-$I302&lt;4+IFERROR(MATCH($C302,LISTE_NIVEAUX,0),99),VALUE(LEFT($B302,4))-$I302&gt;6+IFERROR(MATCH($C302,LISTE_NIVEAUX,0),99))),"⚠ Vérifier niveau",IF(AND(IFERROR(VLOOKUP($C302,TABLE_CYCLE,2,0),3)=2,COUNT($O302:$Q302)&gt;0),"⚠ Tests cycle 3",IF(COUNT($J302:$Q302)&gt;=IF(IFERROR(VLOOKUP($C302,TABLE_CYCLE,2,0),3)=2,5,8),"Complet","Incomplet"))))))))</f>
        <v/>
      </c>
      <c r="S302" s="24"/>
      <c r="T302" s="67" t="str">
        <f t="shared" si="37"/>
        <v/>
      </c>
      <c r="U302" s="67" t="str">
        <f t="shared" si="38"/>
        <v/>
      </c>
      <c r="V302" s="67" t="str">
        <f t="shared" si="39"/>
        <v/>
      </c>
      <c r="W302" s="67" t="str">
        <f t="shared" si="40"/>
        <v/>
      </c>
      <c r="X302" s="67" t="str">
        <f t="shared" si="41"/>
        <v/>
      </c>
      <c r="Y302" s="24" t="str">
        <f t="shared" si="42"/>
        <v/>
      </c>
      <c r="Z302">
        <f t="shared" si="43"/>
        <v>0</v>
      </c>
      <c r="AA302">
        <f t="shared" si="44"/>
        <v>0</v>
      </c>
    </row>
    <row r="303" spans="2:27" ht="15.75" customHeight="1" x14ac:dyDescent="0.3">
      <c r="B303" s="21"/>
      <c r="C303" s="21"/>
      <c r="D303" s="21"/>
      <c r="E303" s="22" t="str">
        <f t="shared" si="36"/>
        <v/>
      </c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3" t="str">
        <f>IF($F303="","",IF(OR($B303="",$C303="",$D303=""),"⚠ Compléter Année/Niveau/Session",IF(AND($E303&lt;&gt;"",COUNTIF(D_KEY_DOUBLON,$B303&amp;"|"&amp;$D303&amp;"|"&amp;$E303)&gt;1),"⚠ Doublon",IF(AND($E303&lt;&gt;"",COUNTIF(D_KEY_STATUT,$B303&amp;"|"&amp;$E303&amp;"|P")&gt;0,COUNTIF(D_KEY_STATUT,$B303&amp;"|"&amp;$E303&amp;"|A")&gt;0),"⚠ Statut incohérent",IF(AND($D303="S1",$Y303&lt;&gt;"Parti",COUNTIF(ANNEES_VERROU,$B303)&gt;0,COUNTIF(D_KEY_NIVSES,$B303&amp;"|"&amp;$C303&amp;"|S2")&gt;0,COUNTIF(D_KEY_DOUBLON,$B303&amp;"|S2|"&amp;$E303)=0),"⚠ Départ non confirmé ?",IF(AND($C303&lt;&gt;"",ISNUMBER($I303),OR(VALUE(LEFT($B303,4))-$I303&lt;4+IFERROR(MATCH($C303,LISTE_NIVEAUX,0),99),VALUE(LEFT($B303,4))-$I303&gt;6+IFERROR(MATCH($C303,LISTE_NIVEAUX,0),99))),"⚠ Vérifier niveau",IF(AND(IFERROR(VLOOKUP($C303,TABLE_CYCLE,2,0),3)=2,COUNT($O303:$Q303)&gt;0),"⚠ Tests cycle 3",IF(COUNT($J303:$Q303)&gt;=IF(IFERROR(VLOOKUP($C303,TABLE_CYCLE,2,0),3)=2,5,8),"Complet","Incomplet"))))))))</f>
        <v/>
      </c>
      <c r="S303" s="24"/>
      <c r="T303" s="67" t="str">
        <f t="shared" si="37"/>
        <v/>
      </c>
      <c r="U303" s="67" t="str">
        <f t="shared" si="38"/>
        <v/>
      </c>
      <c r="V303" s="67" t="str">
        <f t="shared" si="39"/>
        <v/>
      </c>
      <c r="W303" s="67" t="str">
        <f t="shared" si="40"/>
        <v/>
      </c>
      <c r="X303" s="67" t="str">
        <f t="shared" si="41"/>
        <v/>
      </c>
      <c r="Y303" s="24" t="str">
        <f t="shared" si="42"/>
        <v/>
      </c>
      <c r="Z303">
        <f t="shared" si="43"/>
        <v>0</v>
      </c>
      <c r="AA303">
        <f t="shared" si="44"/>
        <v>0</v>
      </c>
    </row>
    <row r="304" spans="2:27" ht="15.75" customHeight="1" x14ac:dyDescent="0.3">
      <c r="B304" s="25"/>
      <c r="C304" s="25"/>
      <c r="D304" s="25"/>
      <c r="E304" s="26" t="str">
        <f t="shared" si="36"/>
        <v/>
      </c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3" t="str">
        <f>IF($F304="","",IF(OR($B304="",$C304="",$D304=""),"⚠ Compléter Année/Niveau/Session",IF(AND($E304&lt;&gt;"",COUNTIF(D_KEY_DOUBLON,$B304&amp;"|"&amp;$D304&amp;"|"&amp;$E304)&gt;1),"⚠ Doublon",IF(AND($E304&lt;&gt;"",COUNTIF(D_KEY_STATUT,$B304&amp;"|"&amp;$E304&amp;"|P")&gt;0,COUNTIF(D_KEY_STATUT,$B304&amp;"|"&amp;$E304&amp;"|A")&gt;0),"⚠ Statut incohérent",IF(AND($D304="S1",$Y304&lt;&gt;"Parti",COUNTIF(ANNEES_VERROU,$B304)&gt;0,COUNTIF(D_KEY_NIVSES,$B304&amp;"|"&amp;$C304&amp;"|S2")&gt;0,COUNTIF(D_KEY_DOUBLON,$B304&amp;"|S2|"&amp;$E304)=0),"⚠ Départ non confirmé ?",IF(AND($C304&lt;&gt;"",ISNUMBER($I304),OR(VALUE(LEFT($B304,4))-$I304&lt;4+IFERROR(MATCH($C304,LISTE_NIVEAUX,0),99),VALUE(LEFT($B304,4))-$I304&gt;6+IFERROR(MATCH($C304,LISTE_NIVEAUX,0),99))),"⚠ Vérifier niveau",IF(AND(IFERROR(VLOOKUP($C304,TABLE_CYCLE,2,0),3)=2,COUNT($O304:$Q304)&gt;0),"⚠ Tests cycle 3",IF(COUNT($J304:$Q304)&gt;=IF(IFERROR(VLOOKUP($C304,TABLE_CYCLE,2,0),3)=2,5,8),"Complet","Incomplet"))))))))</f>
        <v/>
      </c>
      <c r="S304" s="24"/>
      <c r="T304" s="67" t="str">
        <f t="shared" si="37"/>
        <v/>
      </c>
      <c r="U304" s="67" t="str">
        <f t="shared" si="38"/>
        <v/>
      </c>
      <c r="V304" s="67" t="str">
        <f t="shared" si="39"/>
        <v/>
      </c>
      <c r="W304" s="67" t="str">
        <f t="shared" si="40"/>
        <v/>
      </c>
      <c r="X304" s="67" t="str">
        <f t="shared" si="41"/>
        <v/>
      </c>
      <c r="Y304" s="24" t="str">
        <f t="shared" si="42"/>
        <v/>
      </c>
      <c r="Z304">
        <f t="shared" si="43"/>
        <v>0</v>
      </c>
      <c r="AA304">
        <f t="shared" si="44"/>
        <v>0</v>
      </c>
    </row>
    <row r="305" spans="2:27" ht="15.75" customHeight="1" x14ac:dyDescent="0.3">
      <c r="B305" s="21"/>
      <c r="C305" s="21"/>
      <c r="D305" s="21"/>
      <c r="E305" s="22" t="str">
        <f t="shared" si="36"/>
        <v/>
      </c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3" t="str">
        <f>IF($F305="","",IF(OR($B305="",$C305="",$D305=""),"⚠ Compléter Année/Niveau/Session",IF(AND($E305&lt;&gt;"",COUNTIF(D_KEY_DOUBLON,$B305&amp;"|"&amp;$D305&amp;"|"&amp;$E305)&gt;1),"⚠ Doublon",IF(AND($E305&lt;&gt;"",COUNTIF(D_KEY_STATUT,$B305&amp;"|"&amp;$E305&amp;"|P")&gt;0,COUNTIF(D_KEY_STATUT,$B305&amp;"|"&amp;$E305&amp;"|A")&gt;0),"⚠ Statut incohérent",IF(AND($D305="S1",$Y305&lt;&gt;"Parti",COUNTIF(ANNEES_VERROU,$B305)&gt;0,COUNTIF(D_KEY_NIVSES,$B305&amp;"|"&amp;$C305&amp;"|S2")&gt;0,COUNTIF(D_KEY_DOUBLON,$B305&amp;"|S2|"&amp;$E305)=0),"⚠ Départ non confirmé ?",IF(AND($C305&lt;&gt;"",ISNUMBER($I305),OR(VALUE(LEFT($B305,4))-$I305&lt;4+IFERROR(MATCH($C305,LISTE_NIVEAUX,0),99),VALUE(LEFT($B305,4))-$I305&gt;6+IFERROR(MATCH($C305,LISTE_NIVEAUX,0),99))),"⚠ Vérifier niveau",IF(AND(IFERROR(VLOOKUP($C305,TABLE_CYCLE,2,0),3)=2,COUNT($O305:$Q305)&gt;0),"⚠ Tests cycle 3",IF(COUNT($J305:$Q305)&gt;=IF(IFERROR(VLOOKUP($C305,TABLE_CYCLE,2,0),3)=2,5,8),"Complet","Incomplet"))))))))</f>
        <v/>
      </c>
      <c r="S305" s="24"/>
      <c r="T305" s="67" t="str">
        <f t="shared" si="37"/>
        <v/>
      </c>
      <c r="U305" s="67" t="str">
        <f t="shared" si="38"/>
        <v/>
      </c>
      <c r="V305" s="67" t="str">
        <f t="shared" si="39"/>
        <v/>
      </c>
      <c r="W305" s="67" t="str">
        <f t="shared" si="40"/>
        <v/>
      </c>
      <c r="X305" s="67" t="str">
        <f t="shared" si="41"/>
        <v/>
      </c>
      <c r="Y305" s="24" t="str">
        <f t="shared" si="42"/>
        <v/>
      </c>
      <c r="Z305">
        <f t="shared" si="43"/>
        <v>0</v>
      </c>
      <c r="AA305">
        <f t="shared" si="44"/>
        <v>0</v>
      </c>
    </row>
    <row r="306" spans="2:27" ht="15.75" customHeight="1" x14ac:dyDescent="0.3">
      <c r="B306" s="25"/>
      <c r="C306" s="25"/>
      <c r="D306" s="25"/>
      <c r="E306" s="26" t="str">
        <f t="shared" si="36"/>
        <v/>
      </c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3" t="str">
        <f>IF($F306="","",IF(OR($B306="",$C306="",$D306=""),"⚠ Compléter Année/Niveau/Session",IF(AND($E306&lt;&gt;"",COUNTIF(D_KEY_DOUBLON,$B306&amp;"|"&amp;$D306&amp;"|"&amp;$E306)&gt;1),"⚠ Doublon",IF(AND($E306&lt;&gt;"",COUNTIF(D_KEY_STATUT,$B306&amp;"|"&amp;$E306&amp;"|P")&gt;0,COUNTIF(D_KEY_STATUT,$B306&amp;"|"&amp;$E306&amp;"|A")&gt;0),"⚠ Statut incohérent",IF(AND($D306="S1",$Y306&lt;&gt;"Parti",COUNTIF(ANNEES_VERROU,$B306)&gt;0,COUNTIF(D_KEY_NIVSES,$B306&amp;"|"&amp;$C306&amp;"|S2")&gt;0,COUNTIF(D_KEY_DOUBLON,$B306&amp;"|S2|"&amp;$E306)=0),"⚠ Départ non confirmé ?",IF(AND($C306&lt;&gt;"",ISNUMBER($I306),OR(VALUE(LEFT($B306,4))-$I306&lt;4+IFERROR(MATCH($C306,LISTE_NIVEAUX,0),99),VALUE(LEFT($B306,4))-$I306&gt;6+IFERROR(MATCH($C306,LISTE_NIVEAUX,0),99))),"⚠ Vérifier niveau",IF(AND(IFERROR(VLOOKUP($C306,TABLE_CYCLE,2,0),3)=2,COUNT($O306:$Q306)&gt;0),"⚠ Tests cycle 3",IF(COUNT($J306:$Q306)&gt;=IF(IFERROR(VLOOKUP($C306,TABLE_CYCLE,2,0),3)=2,5,8),"Complet","Incomplet"))))))))</f>
        <v/>
      </c>
      <c r="S306" s="24"/>
      <c r="T306" s="67" t="str">
        <f t="shared" si="37"/>
        <v/>
      </c>
      <c r="U306" s="67" t="str">
        <f t="shared" si="38"/>
        <v/>
      </c>
      <c r="V306" s="67" t="str">
        <f t="shared" si="39"/>
        <v/>
      </c>
      <c r="W306" s="67" t="str">
        <f t="shared" si="40"/>
        <v/>
      </c>
      <c r="X306" s="67" t="str">
        <f t="shared" si="41"/>
        <v/>
      </c>
      <c r="Y306" s="24" t="str">
        <f t="shared" si="42"/>
        <v/>
      </c>
      <c r="Z306">
        <f t="shared" si="43"/>
        <v>0</v>
      </c>
      <c r="AA306">
        <f t="shared" si="44"/>
        <v>0</v>
      </c>
    </row>
    <row r="307" spans="2:27" ht="15.75" customHeight="1" x14ac:dyDescent="0.3">
      <c r="B307" s="21"/>
      <c r="C307" s="21"/>
      <c r="D307" s="21"/>
      <c r="E307" s="22" t="str">
        <f t="shared" si="36"/>
        <v/>
      </c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3" t="str">
        <f>IF($F307="","",IF(OR($B307="",$C307="",$D307=""),"⚠ Compléter Année/Niveau/Session",IF(AND($E307&lt;&gt;"",COUNTIF(D_KEY_DOUBLON,$B307&amp;"|"&amp;$D307&amp;"|"&amp;$E307)&gt;1),"⚠ Doublon",IF(AND($E307&lt;&gt;"",COUNTIF(D_KEY_STATUT,$B307&amp;"|"&amp;$E307&amp;"|P")&gt;0,COUNTIF(D_KEY_STATUT,$B307&amp;"|"&amp;$E307&amp;"|A")&gt;0),"⚠ Statut incohérent",IF(AND($D307="S1",$Y307&lt;&gt;"Parti",COUNTIF(ANNEES_VERROU,$B307)&gt;0,COUNTIF(D_KEY_NIVSES,$B307&amp;"|"&amp;$C307&amp;"|S2")&gt;0,COUNTIF(D_KEY_DOUBLON,$B307&amp;"|S2|"&amp;$E307)=0),"⚠ Départ non confirmé ?",IF(AND($C307&lt;&gt;"",ISNUMBER($I307),OR(VALUE(LEFT($B307,4))-$I307&lt;4+IFERROR(MATCH($C307,LISTE_NIVEAUX,0),99),VALUE(LEFT($B307,4))-$I307&gt;6+IFERROR(MATCH($C307,LISTE_NIVEAUX,0),99))),"⚠ Vérifier niveau",IF(AND(IFERROR(VLOOKUP($C307,TABLE_CYCLE,2,0),3)=2,COUNT($O307:$Q307)&gt;0),"⚠ Tests cycle 3",IF(COUNT($J307:$Q307)&gt;=IF(IFERROR(VLOOKUP($C307,TABLE_CYCLE,2,0),3)=2,5,8),"Complet","Incomplet"))))))))</f>
        <v/>
      </c>
      <c r="S307" s="24"/>
      <c r="T307" s="67" t="str">
        <f t="shared" si="37"/>
        <v/>
      </c>
      <c r="U307" s="67" t="str">
        <f t="shared" si="38"/>
        <v/>
      </c>
      <c r="V307" s="67" t="str">
        <f t="shared" si="39"/>
        <v/>
      </c>
      <c r="W307" s="67" t="str">
        <f t="shared" si="40"/>
        <v/>
      </c>
      <c r="X307" s="67" t="str">
        <f t="shared" si="41"/>
        <v/>
      </c>
      <c r="Y307" s="24" t="str">
        <f t="shared" si="42"/>
        <v/>
      </c>
      <c r="Z307">
        <f t="shared" si="43"/>
        <v>0</v>
      </c>
      <c r="AA307">
        <f t="shared" si="44"/>
        <v>0</v>
      </c>
    </row>
    <row r="308" spans="2:27" ht="15.75" customHeight="1" x14ac:dyDescent="0.3">
      <c r="B308" s="25"/>
      <c r="C308" s="25"/>
      <c r="D308" s="25"/>
      <c r="E308" s="26" t="str">
        <f t="shared" si="36"/>
        <v/>
      </c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3" t="str">
        <f>IF($F308="","",IF(OR($B308="",$C308="",$D308=""),"⚠ Compléter Année/Niveau/Session",IF(AND($E308&lt;&gt;"",COUNTIF(D_KEY_DOUBLON,$B308&amp;"|"&amp;$D308&amp;"|"&amp;$E308)&gt;1),"⚠ Doublon",IF(AND($E308&lt;&gt;"",COUNTIF(D_KEY_STATUT,$B308&amp;"|"&amp;$E308&amp;"|P")&gt;0,COUNTIF(D_KEY_STATUT,$B308&amp;"|"&amp;$E308&amp;"|A")&gt;0),"⚠ Statut incohérent",IF(AND($D308="S1",$Y308&lt;&gt;"Parti",COUNTIF(ANNEES_VERROU,$B308)&gt;0,COUNTIF(D_KEY_NIVSES,$B308&amp;"|"&amp;$C308&amp;"|S2")&gt;0,COUNTIF(D_KEY_DOUBLON,$B308&amp;"|S2|"&amp;$E308)=0),"⚠ Départ non confirmé ?",IF(AND($C308&lt;&gt;"",ISNUMBER($I308),OR(VALUE(LEFT($B308,4))-$I308&lt;4+IFERROR(MATCH($C308,LISTE_NIVEAUX,0),99),VALUE(LEFT($B308,4))-$I308&gt;6+IFERROR(MATCH($C308,LISTE_NIVEAUX,0),99))),"⚠ Vérifier niveau",IF(AND(IFERROR(VLOOKUP($C308,TABLE_CYCLE,2,0),3)=2,COUNT($O308:$Q308)&gt;0),"⚠ Tests cycle 3",IF(COUNT($J308:$Q308)&gt;=IF(IFERROR(VLOOKUP($C308,TABLE_CYCLE,2,0),3)=2,5,8),"Complet","Incomplet"))))))))</f>
        <v/>
      </c>
      <c r="S308" s="24"/>
      <c r="T308" s="67" t="str">
        <f t="shared" si="37"/>
        <v/>
      </c>
      <c r="U308" s="67" t="str">
        <f t="shared" si="38"/>
        <v/>
      </c>
      <c r="V308" s="67" t="str">
        <f t="shared" si="39"/>
        <v/>
      </c>
      <c r="W308" s="67" t="str">
        <f t="shared" si="40"/>
        <v/>
      </c>
      <c r="X308" s="67" t="str">
        <f t="shared" si="41"/>
        <v/>
      </c>
      <c r="Y308" s="24" t="str">
        <f t="shared" si="42"/>
        <v/>
      </c>
      <c r="Z308">
        <f t="shared" si="43"/>
        <v>0</v>
      </c>
      <c r="AA308">
        <f t="shared" si="44"/>
        <v>0</v>
      </c>
    </row>
    <row r="309" spans="2:27" ht="15.75" customHeight="1" x14ac:dyDescent="0.3">
      <c r="B309" s="21"/>
      <c r="C309" s="21"/>
      <c r="D309" s="21"/>
      <c r="E309" s="22" t="str">
        <f t="shared" si="36"/>
        <v/>
      </c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3" t="str">
        <f>IF($F309="","",IF(OR($B309="",$C309="",$D309=""),"⚠ Compléter Année/Niveau/Session",IF(AND($E309&lt;&gt;"",COUNTIF(D_KEY_DOUBLON,$B309&amp;"|"&amp;$D309&amp;"|"&amp;$E309)&gt;1),"⚠ Doublon",IF(AND($E309&lt;&gt;"",COUNTIF(D_KEY_STATUT,$B309&amp;"|"&amp;$E309&amp;"|P")&gt;0,COUNTIF(D_KEY_STATUT,$B309&amp;"|"&amp;$E309&amp;"|A")&gt;0),"⚠ Statut incohérent",IF(AND($D309="S1",$Y309&lt;&gt;"Parti",COUNTIF(ANNEES_VERROU,$B309)&gt;0,COUNTIF(D_KEY_NIVSES,$B309&amp;"|"&amp;$C309&amp;"|S2")&gt;0,COUNTIF(D_KEY_DOUBLON,$B309&amp;"|S2|"&amp;$E309)=0),"⚠ Départ non confirmé ?",IF(AND($C309&lt;&gt;"",ISNUMBER($I309),OR(VALUE(LEFT($B309,4))-$I309&lt;4+IFERROR(MATCH($C309,LISTE_NIVEAUX,0),99),VALUE(LEFT($B309,4))-$I309&gt;6+IFERROR(MATCH($C309,LISTE_NIVEAUX,0),99))),"⚠ Vérifier niveau",IF(AND(IFERROR(VLOOKUP($C309,TABLE_CYCLE,2,0),3)=2,COUNT($O309:$Q309)&gt;0),"⚠ Tests cycle 3",IF(COUNT($J309:$Q309)&gt;=IF(IFERROR(VLOOKUP($C309,TABLE_CYCLE,2,0),3)=2,5,8),"Complet","Incomplet"))))))))</f>
        <v/>
      </c>
      <c r="S309" s="24"/>
      <c r="T309" s="67" t="str">
        <f t="shared" si="37"/>
        <v/>
      </c>
      <c r="U309" s="67" t="str">
        <f t="shared" si="38"/>
        <v/>
      </c>
      <c r="V309" s="67" t="str">
        <f t="shared" si="39"/>
        <v/>
      </c>
      <c r="W309" s="67" t="str">
        <f t="shared" si="40"/>
        <v/>
      </c>
      <c r="X309" s="67" t="str">
        <f t="shared" si="41"/>
        <v/>
      </c>
      <c r="Y309" s="24" t="str">
        <f t="shared" si="42"/>
        <v/>
      </c>
      <c r="Z309">
        <f t="shared" si="43"/>
        <v>0</v>
      </c>
      <c r="AA309">
        <f t="shared" si="44"/>
        <v>0</v>
      </c>
    </row>
    <row r="310" spans="2:27" ht="15.75" customHeight="1" x14ac:dyDescent="0.3">
      <c r="B310" s="25"/>
      <c r="C310" s="25"/>
      <c r="D310" s="25"/>
      <c r="E310" s="26" t="str">
        <f t="shared" si="36"/>
        <v/>
      </c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3" t="str">
        <f>IF($F310="","",IF(OR($B310="",$C310="",$D310=""),"⚠ Compléter Année/Niveau/Session",IF(AND($E310&lt;&gt;"",COUNTIF(D_KEY_DOUBLON,$B310&amp;"|"&amp;$D310&amp;"|"&amp;$E310)&gt;1),"⚠ Doublon",IF(AND($E310&lt;&gt;"",COUNTIF(D_KEY_STATUT,$B310&amp;"|"&amp;$E310&amp;"|P")&gt;0,COUNTIF(D_KEY_STATUT,$B310&amp;"|"&amp;$E310&amp;"|A")&gt;0),"⚠ Statut incohérent",IF(AND($D310="S1",$Y310&lt;&gt;"Parti",COUNTIF(ANNEES_VERROU,$B310)&gt;0,COUNTIF(D_KEY_NIVSES,$B310&amp;"|"&amp;$C310&amp;"|S2")&gt;0,COUNTIF(D_KEY_DOUBLON,$B310&amp;"|S2|"&amp;$E310)=0),"⚠ Départ non confirmé ?",IF(AND($C310&lt;&gt;"",ISNUMBER($I310),OR(VALUE(LEFT($B310,4))-$I310&lt;4+IFERROR(MATCH($C310,LISTE_NIVEAUX,0),99),VALUE(LEFT($B310,4))-$I310&gt;6+IFERROR(MATCH($C310,LISTE_NIVEAUX,0),99))),"⚠ Vérifier niveau",IF(AND(IFERROR(VLOOKUP($C310,TABLE_CYCLE,2,0),3)=2,COUNT($O310:$Q310)&gt;0),"⚠ Tests cycle 3",IF(COUNT($J310:$Q310)&gt;=IF(IFERROR(VLOOKUP($C310,TABLE_CYCLE,2,0),3)=2,5,8),"Complet","Incomplet"))))))))</f>
        <v/>
      </c>
      <c r="S310" s="24"/>
      <c r="T310" s="67" t="str">
        <f t="shared" si="37"/>
        <v/>
      </c>
      <c r="U310" s="67" t="str">
        <f t="shared" si="38"/>
        <v/>
      </c>
      <c r="V310" s="67" t="str">
        <f t="shared" si="39"/>
        <v/>
      </c>
      <c r="W310" s="67" t="str">
        <f t="shared" si="40"/>
        <v/>
      </c>
      <c r="X310" s="67" t="str">
        <f t="shared" si="41"/>
        <v/>
      </c>
      <c r="Y310" s="24" t="str">
        <f t="shared" si="42"/>
        <v/>
      </c>
      <c r="Z310">
        <f t="shared" si="43"/>
        <v>0</v>
      </c>
      <c r="AA310">
        <f t="shared" si="44"/>
        <v>0</v>
      </c>
    </row>
    <row r="311" spans="2:27" ht="15.75" customHeight="1" x14ac:dyDescent="0.3">
      <c r="B311" s="21"/>
      <c r="C311" s="21"/>
      <c r="D311" s="21"/>
      <c r="E311" s="22" t="str">
        <f t="shared" si="36"/>
        <v/>
      </c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3" t="str">
        <f>IF($F311="","",IF(OR($B311="",$C311="",$D311=""),"⚠ Compléter Année/Niveau/Session",IF(AND($E311&lt;&gt;"",COUNTIF(D_KEY_DOUBLON,$B311&amp;"|"&amp;$D311&amp;"|"&amp;$E311)&gt;1),"⚠ Doublon",IF(AND($E311&lt;&gt;"",COUNTIF(D_KEY_STATUT,$B311&amp;"|"&amp;$E311&amp;"|P")&gt;0,COUNTIF(D_KEY_STATUT,$B311&amp;"|"&amp;$E311&amp;"|A")&gt;0),"⚠ Statut incohérent",IF(AND($D311="S1",$Y311&lt;&gt;"Parti",COUNTIF(ANNEES_VERROU,$B311)&gt;0,COUNTIF(D_KEY_NIVSES,$B311&amp;"|"&amp;$C311&amp;"|S2")&gt;0,COUNTIF(D_KEY_DOUBLON,$B311&amp;"|S2|"&amp;$E311)=0),"⚠ Départ non confirmé ?",IF(AND($C311&lt;&gt;"",ISNUMBER($I311),OR(VALUE(LEFT($B311,4))-$I311&lt;4+IFERROR(MATCH($C311,LISTE_NIVEAUX,0),99),VALUE(LEFT($B311,4))-$I311&gt;6+IFERROR(MATCH($C311,LISTE_NIVEAUX,0),99))),"⚠ Vérifier niveau",IF(AND(IFERROR(VLOOKUP($C311,TABLE_CYCLE,2,0),3)=2,COUNT($O311:$Q311)&gt;0),"⚠ Tests cycle 3",IF(COUNT($J311:$Q311)&gt;=IF(IFERROR(VLOOKUP($C311,TABLE_CYCLE,2,0),3)=2,5,8),"Complet","Incomplet"))))))))</f>
        <v/>
      </c>
      <c r="S311" s="24"/>
      <c r="T311" s="67" t="str">
        <f t="shared" si="37"/>
        <v/>
      </c>
      <c r="U311" s="67" t="str">
        <f t="shared" si="38"/>
        <v/>
      </c>
      <c r="V311" s="67" t="str">
        <f t="shared" si="39"/>
        <v/>
      </c>
      <c r="W311" s="67" t="str">
        <f t="shared" si="40"/>
        <v/>
      </c>
      <c r="X311" s="67" t="str">
        <f t="shared" si="41"/>
        <v/>
      </c>
      <c r="Y311" s="24" t="str">
        <f t="shared" si="42"/>
        <v/>
      </c>
      <c r="Z311">
        <f t="shared" si="43"/>
        <v>0</v>
      </c>
      <c r="AA311">
        <f t="shared" si="44"/>
        <v>0</v>
      </c>
    </row>
    <row r="312" spans="2:27" ht="15.75" customHeight="1" x14ac:dyDescent="0.3">
      <c r="B312" s="25"/>
      <c r="C312" s="25"/>
      <c r="D312" s="25"/>
      <c r="E312" s="26" t="str">
        <f t="shared" si="36"/>
        <v/>
      </c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3" t="str">
        <f>IF($F312="","",IF(OR($B312="",$C312="",$D312=""),"⚠ Compléter Année/Niveau/Session",IF(AND($E312&lt;&gt;"",COUNTIF(D_KEY_DOUBLON,$B312&amp;"|"&amp;$D312&amp;"|"&amp;$E312)&gt;1),"⚠ Doublon",IF(AND($E312&lt;&gt;"",COUNTIF(D_KEY_STATUT,$B312&amp;"|"&amp;$E312&amp;"|P")&gt;0,COUNTIF(D_KEY_STATUT,$B312&amp;"|"&amp;$E312&amp;"|A")&gt;0),"⚠ Statut incohérent",IF(AND($D312="S1",$Y312&lt;&gt;"Parti",COUNTIF(ANNEES_VERROU,$B312)&gt;0,COUNTIF(D_KEY_NIVSES,$B312&amp;"|"&amp;$C312&amp;"|S2")&gt;0,COUNTIF(D_KEY_DOUBLON,$B312&amp;"|S2|"&amp;$E312)=0),"⚠ Départ non confirmé ?",IF(AND($C312&lt;&gt;"",ISNUMBER($I312),OR(VALUE(LEFT($B312,4))-$I312&lt;4+IFERROR(MATCH($C312,LISTE_NIVEAUX,0),99),VALUE(LEFT($B312,4))-$I312&gt;6+IFERROR(MATCH($C312,LISTE_NIVEAUX,0),99))),"⚠ Vérifier niveau",IF(AND(IFERROR(VLOOKUP($C312,TABLE_CYCLE,2,0),3)=2,COUNT($O312:$Q312)&gt;0),"⚠ Tests cycle 3",IF(COUNT($J312:$Q312)&gt;=IF(IFERROR(VLOOKUP($C312,TABLE_CYCLE,2,0),3)=2,5,8),"Complet","Incomplet"))))))))</f>
        <v/>
      </c>
      <c r="S312" s="24"/>
      <c r="T312" s="67" t="str">
        <f t="shared" si="37"/>
        <v/>
      </c>
      <c r="U312" s="67" t="str">
        <f t="shared" si="38"/>
        <v/>
      </c>
      <c r="V312" s="67" t="str">
        <f t="shared" si="39"/>
        <v/>
      </c>
      <c r="W312" s="67" t="str">
        <f t="shared" si="40"/>
        <v/>
      </c>
      <c r="X312" s="67" t="str">
        <f t="shared" si="41"/>
        <v/>
      </c>
      <c r="Y312" s="24" t="str">
        <f t="shared" si="42"/>
        <v/>
      </c>
      <c r="Z312">
        <f t="shared" si="43"/>
        <v>0</v>
      </c>
      <c r="AA312">
        <f t="shared" si="44"/>
        <v>0</v>
      </c>
    </row>
    <row r="313" spans="2:27" ht="15.75" customHeight="1" x14ac:dyDescent="0.3">
      <c r="B313" s="21"/>
      <c r="C313" s="21"/>
      <c r="D313" s="21"/>
      <c r="E313" s="22" t="str">
        <f t="shared" si="36"/>
        <v/>
      </c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3" t="str">
        <f>IF($F313="","",IF(OR($B313="",$C313="",$D313=""),"⚠ Compléter Année/Niveau/Session",IF(AND($E313&lt;&gt;"",COUNTIF(D_KEY_DOUBLON,$B313&amp;"|"&amp;$D313&amp;"|"&amp;$E313)&gt;1),"⚠ Doublon",IF(AND($E313&lt;&gt;"",COUNTIF(D_KEY_STATUT,$B313&amp;"|"&amp;$E313&amp;"|P")&gt;0,COUNTIF(D_KEY_STATUT,$B313&amp;"|"&amp;$E313&amp;"|A")&gt;0),"⚠ Statut incohérent",IF(AND($D313="S1",$Y313&lt;&gt;"Parti",COUNTIF(ANNEES_VERROU,$B313)&gt;0,COUNTIF(D_KEY_NIVSES,$B313&amp;"|"&amp;$C313&amp;"|S2")&gt;0,COUNTIF(D_KEY_DOUBLON,$B313&amp;"|S2|"&amp;$E313)=0),"⚠ Départ non confirmé ?",IF(AND($C313&lt;&gt;"",ISNUMBER($I313),OR(VALUE(LEFT($B313,4))-$I313&lt;4+IFERROR(MATCH($C313,LISTE_NIVEAUX,0),99),VALUE(LEFT($B313,4))-$I313&gt;6+IFERROR(MATCH($C313,LISTE_NIVEAUX,0),99))),"⚠ Vérifier niveau",IF(AND(IFERROR(VLOOKUP($C313,TABLE_CYCLE,2,0),3)=2,COUNT($O313:$Q313)&gt;0),"⚠ Tests cycle 3",IF(COUNT($J313:$Q313)&gt;=IF(IFERROR(VLOOKUP($C313,TABLE_CYCLE,2,0),3)=2,5,8),"Complet","Incomplet"))))))))</f>
        <v/>
      </c>
      <c r="S313" s="24"/>
      <c r="T313" s="67" t="str">
        <f t="shared" si="37"/>
        <v/>
      </c>
      <c r="U313" s="67" t="str">
        <f t="shared" si="38"/>
        <v/>
      </c>
      <c r="V313" s="67" t="str">
        <f t="shared" si="39"/>
        <v/>
      </c>
      <c r="W313" s="67" t="str">
        <f t="shared" si="40"/>
        <v/>
      </c>
      <c r="X313" s="67" t="str">
        <f t="shared" si="41"/>
        <v/>
      </c>
      <c r="Y313" s="24" t="str">
        <f t="shared" si="42"/>
        <v/>
      </c>
      <c r="Z313">
        <f t="shared" si="43"/>
        <v>0</v>
      </c>
      <c r="AA313">
        <f t="shared" si="44"/>
        <v>0</v>
      </c>
    </row>
    <row r="314" spans="2:27" ht="15.75" customHeight="1" x14ac:dyDescent="0.3">
      <c r="B314" s="25"/>
      <c r="C314" s="25"/>
      <c r="D314" s="25"/>
      <c r="E314" s="26" t="str">
        <f t="shared" si="36"/>
        <v/>
      </c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3" t="str">
        <f>IF($F314="","",IF(OR($B314="",$C314="",$D314=""),"⚠ Compléter Année/Niveau/Session",IF(AND($E314&lt;&gt;"",COUNTIF(D_KEY_DOUBLON,$B314&amp;"|"&amp;$D314&amp;"|"&amp;$E314)&gt;1),"⚠ Doublon",IF(AND($E314&lt;&gt;"",COUNTIF(D_KEY_STATUT,$B314&amp;"|"&amp;$E314&amp;"|P")&gt;0,COUNTIF(D_KEY_STATUT,$B314&amp;"|"&amp;$E314&amp;"|A")&gt;0),"⚠ Statut incohérent",IF(AND($D314="S1",$Y314&lt;&gt;"Parti",COUNTIF(ANNEES_VERROU,$B314)&gt;0,COUNTIF(D_KEY_NIVSES,$B314&amp;"|"&amp;$C314&amp;"|S2")&gt;0,COUNTIF(D_KEY_DOUBLON,$B314&amp;"|S2|"&amp;$E314)=0),"⚠ Départ non confirmé ?",IF(AND($C314&lt;&gt;"",ISNUMBER($I314),OR(VALUE(LEFT($B314,4))-$I314&lt;4+IFERROR(MATCH($C314,LISTE_NIVEAUX,0),99),VALUE(LEFT($B314,4))-$I314&gt;6+IFERROR(MATCH($C314,LISTE_NIVEAUX,0),99))),"⚠ Vérifier niveau",IF(AND(IFERROR(VLOOKUP($C314,TABLE_CYCLE,2,0),3)=2,COUNT($O314:$Q314)&gt;0),"⚠ Tests cycle 3",IF(COUNT($J314:$Q314)&gt;=IF(IFERROR(VLOOKUP($C314,TABLE_CYCLE,2,0),3)=2,5,8),"Complet","Incomplet"))))))))</f>
        <v/>
      </c>
      <c r="S314" s="24"/>
      <c r="T314" s="67" t="str">
        <f t="shared" si="37"/>
        <v/>
      </c>
      <c r="U314" s="67" t="str">
        <f t="shared" si="38"/>
        <v/>
      </c>
      <c r="V314" s="67" t="str">
        <f t="shared" si="39"/>
        <v/>
      </c>
      <c r="W314" s="67" t="str">
        <f t="shared" si="40"/>
        <v/>
      </c>
      <c r="X314" s="67" t="str">
        <f t="shared" si="41"/>
        <v/>
      </c>
      <c r="Y314" s="24" t="str">
        <f t="shared" si="42"/>
        <v/>
      </c>
      <c r="Z314">
        <f t="shared" si="43"/>
        <v>0</v>
      </c>
      <c r="AA314">
        <f t="shared" si="44"/>
        <v>0</v>
      </c>
    </row>
    <row r="315" spans="2:27" ht="15.75" customHeight="1" x14ac:dyDescent="0.3">
      <c r="B315" s="21"/>
      <c r="C315" s="21"/>
      <c r="D315" s="21"/>
      <c r="E315" s="22" t="str">
        <f t="shared" si="36"/>
        <v/>
      </c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3" t="str">
        <f>IF($F315="","",IF(OR($B315="",$C315="",$D315=""),"⚠ Compléter Année/Niveau/Session",IF(AND($E315&lt;&gt;"",COUNTIF(D_KEY_DOUBLON,$B315&amp;"|"&amp;$D315&amp;"|"&amp;$E315)&gt;1),"⚠ Doublon",IF(AND($E315&lt;&gt;"",COUNTIF(D_KEY_STATUT,$B315&amp;"|"&amp;$E315&amp;"|P")&gt;0,COUNTIF(D_KEY_STATUT,$B315&amp;"|"&amp;$E315&amp;"|A")&gt;0),"⚠ Statut incohérent",IF(AND($D315="S1",$Y315&lt;&gt;"Parti",COUNTIF(ANNEES_VERROU,$B315)&gt;0,COUNTIF(D_KEY_NIVSES,$B315&amp;"|"&amp;$C315&amp;"|S2")&gt;0,COUNTIF(D_KEY_DOUBLON,$B315&amp;"|S2|"&amp;$E315)=0),"⚠ Départ non confirmé ?",IF(AND($C315&lt;&gt;"",ISNUMBER($I315),OR(VALUE(LEFT($B315,4))-$I315&lt;4+IFERROR(MATCH($C315,LISTE_NIVEAUX,0),99),VALUE(LEFT($B315,4))-$I315&gt;6+IFERROR(MATCH($C315,LISTE_NIVEAUX,0),99))),"⚠ Vérifier niveau",IF(AND(IFERROR(VLOOKUP($C315,TABLE_CYCLE,2,0),3)=2,COUNT($O315:$Q315)&gt;0),"⚠ Tests cycle 3",IF(COUNT($J315:$Q315)&gt;=IF(IFERROR(VLOOKUP($C315,TABLE_CYCLE,2,0),3)=2,5,8),"Complet","Incomplet"))))))))</f>
        <v/>
      </c>
      <c r="S315" s="24"/>
      <c r="T315" s="67" t="str">
        <f t="shared" si="37"/>
        <v/>
      </c>
      <c r="U315" s="67" t="str">
        <f t="shared" si="38"/>
        <v/>
      </c>
      <c r="V315" s="67" t="str">
        <f t="shared" si="39"/>
        <v/>
      </c>
      <c r="W315" s="67" t="str">
        <f t="shared" si="40"/>
        <v/>
      </c>
      <c r="X315" s="67" t="str">
        <f t="shared" si="41"/>
        <v/>
      </c>
      <c r="Y315" s="24" t="str">
        <f t="shared" si="42"/>
        <v/>
      </c>
      <c r="Z315">
        <f t="shared" si="43"/>
        <v>0</v>
      </c>
      <c r="AA315">
        <f t="shared" si="44"/>
        <v>0</v>
      </c>
    </row>
    <row r="316" spans="2:27" ht="15.75" customHeight="1" x14ac:dyDescent="0.3">
      <c r="B316" s="25"/>
      <c r="C316" s="25"/>
      <c r="D316" s="25"/>
      <c r="E316" s="26" t="str">
        <f t="shared" si="36"/>
        <v/>
      </c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3" t="str">
        <f>IF($F316="","",IF(OR($B316="",$C316="",$D316=""),"⚠ Compléter Année/Niveau/Session",IF(AND($E316&lt;&gt;"",COUNTIF(D_KEY_DOUBLON,$B316&amp;"|"&amp;$D316&amp;"|"&amp;$E316)&gt;1),"⚠ Doublon",IF(AND($E316&lt;&gt;"",COUNTIF(D_KEY_STATUT,$B316&amp;"|"&amp;$E316&amp;"|P")&gt;0,COUNTIF(D_KEY_STATUT,$B316&amp;"|"&amp;$E316&amp;"|A")&gt;0),"⚠ Statut incohérent",IF(AND($D316="S1",$Y316&lt;&gt;"Parti",COUNTIF(ANNEES_VERROU,$B316)&gt;0,COUNTIF(D_KEY_NIVSES,$B316&amp;"|"&amp;$C316&amp;"|S2")&gt;0,COUNTIF(D_KEY_DOUBLON,$B316&amp;"|S2|"&amp;$E316)=0),"⚠ Départ non confirmé ?",IF(AND($C316&lt;&gt;"",ISNUMBER($I316),OR(VALUE(LEFT($B316,4))-$I316&lt;4+IFERROR(MATCH($C316,LISTE_NIVEAUX,0),99),VALUE(LEFT($B316,4))-$I316&gt;6+IFERROR(MATCH($C316,LISTE_NIVEAUX,0),99))),"⚠ Vérifier niveau",IF(AND(IFERROR(VLOOKUP($C316,TABLE_CYCLE,2,0),3)=2,COUNT($O316:$Q316)&gt;0),"⚠ Tests cycle 3",IF(COUNT($J316:$Q316)&gt;=IF(IFERROR(VLOOKUP($C316,TABLE_CYCLE,2,0),3)=2,5,8),"Complet","Incomplet"))))))))</f>
        <v/>
      </c>
      <c r="S316" s="24"/>
      <c r="T316" s="67" t="str">
        <f t="shared" si="37"/>
        <v/>
      </c>
      <c r="U316" s="67" t="str">
        <f t="shared" si="38"/>
        <v/>
      </c>
      <c r="V316" s="67" t="str">
        <f t="shared" si="39"/>
        <v/>
      </c>
      <c r="W316" s="67" t="str">
        <f t="shared" si="40"/>
        <v/>
      </c>
      <c r="X316" s="67" t="str">
        <f t="shared" si="41"/>
        <v/>
      </c>
      <c r="Y316" s="24" t="str">
        <f t="shared" si="42"/>
        <v/>
      </c>
      <c r="Z316">
        <f t="shared" si="43"/>
        <v>0</v>
      </c>
      <c r="AA316">
        <f t="shared" si="44"/>
        <v>0</v>
      </c>
    </row>
    <row r="317" spans="2:27" ht="15.75" customHeight="1" x14ac:dyDescent="0.3">
      <c r="B317" s="21"/>
      <c r="C317" s="21"/>
      <c r="D317" s="21"/>
      <c r="E317" s="22" t="str">
        <f t="shared" si="36"/>
        <v/>
      </c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3" t="str">
        <f>IF($F317="","",IF(OR($B317="",$C317="",$D317=""),"⚠ Compléter Année/Niveau/Session",IF(AND($E317&lt;&gt;"",COUNTIF(D_KEY_DOUBLON,$B317&amp;"|"&amp;$D317&amp;"|"&amp;$E317)&gt;1),"⚠ Doublon",IF(AND($E317&lt;&gt;"",COUNTIF(D_KEY_STATUT,$B317&amp;"|"&amp;$E317&amp;"|P")&gt;0,COUNTIF(D_KEY_STATUT,$B317&amp;"|"&amp;$E317&amp;"|A")&gt;0),"⚠ Statut incohérent",IF(AND($D317="S1",$Y317&lt;&gt;"Parti",COUNTIF(ANNEES_VERROU,$B317)&gt;0,COUNTIF(D_KEY_NIVSES,$B317&amp;"|"&amp;$C317&amp;"|S2")&gt;0,COUNTIF(D_KEY_DOUBLON,$B317&amp;"|S2|"&amp;$E317)=0),"⚠ Départ non confirmé ?",IF(AND($C317&lt;&gt;"",ISNUMBER($I317),OR(VALUE(LEFT($B317,4))-$I317&lt;4+IFERROR(MATCH($C317,LISTE_NIVEAUX,0),99),VALUE(LEFT($B317,4))-$I317&gt;6+IFERROR(MATCH($C317,LISTE_NIVEAUX,0),99))),"⚠ Vérifier niveau",IF(AND(IFERROR(VLOOKUP($C317,TABLE_CYCLE,2,0),3)=2,COUNT($O317:$Q317)&gt;0),"⚠ Tests cycle 3",IF(COUNT($J317:$Q317)&gt;=IF(IFERROR(VLOOKUP($C317,TABLE_CYCLE,2,0),3)=2,5,8),"Complet","Incomplet"))))))))</f>
        <v/>
      </c>
      <c r="S317" s="24"/>
      <c r="T317" s="67" t="str">
        <f t="shared" si="37"/>
        <v/>
      </c>
      <c r="U317" s="67" t="str">
        <f t="shared" si="38"/>
        <v/>
      </c>
      <c r="V317" s="67" t="str">
        <f t="shared" si="39"/>
        <v/>
      </c>
      <c r="W317" s="67" t="str">
        <f t="shared" si="40"/>
        <v/>
      </c>
      <c r="X317" s="67" t="str">
        <f t="shared" si="41"/>
        <v/>
      </c>
      <c r="Y317" s="24" t="str">
        <f t="shared" si="42"/>
        <v/>
      </c>
      <c r="Z317">
        <f t="shared" si="43"/>
        <v>0</v>
      </c>
      <c r="AA317">
        <f t="shared" si="44"/>
        <v>0</v>
      </c>
    </row>
    <row r="318" spans="2:27" ht="15.75" customHeight="1" x14ac:dyDescent="0.3">
      <c r="B318" s="25"/>
      <c r="C318" s="25"/>
      <c r="D318" s="25"/>
      <c r="E318" s="26" t="str">
        <f t="shared" si="36"/>
        <v/>
      </c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3" t="str">
        <f>IF($F318="","",IF(OR($B318="",$C318="",$D318=""),"⚠ Compléter Année/Niveau/Session",IF(AND($E318&lt;&gt;"",COUNTIF(D_KEY_DOUBLON,$B318&amp;"|"&amp;$D318&amp;"|"&amp;$E318)&gt;1),"⚠ Doublon",IF(AND($E318&lt;&gt;"",COUNTIF(D_KEY_STATUT,$B318&amp;"|"&amp;$E318&amp;"|P")&gt;0,COUNTIF(D_KEY_STATUT,$B318&amp;"|"&amp;$E318&amp;"|A")&gt;0),"⚠ Statut incohérent",IF(AND($D318="S1",$Y318&lt;&gt;"Parti",COUNTIF(ANNEES_VERROU,$B318)&gt;0,COUNTIF(D_KEY_NIVSES,$B318&amp;"|"&amp;$C318&amp;"|S2")&gt;0,COUNTIF(D_KEY_DOUBLON,$B318&amp;"|S2|"&amp;$E318)=0),"⚠ Départ non confirmé ?",IF(AND($C318&lt;&gt;"",ISNUMBER($I318),OR(VALUE(LEFT($B318,4))-$I318&lt;4+IFERROR(MATCH($C318,LISTE_NIVEAUX,0),99),VALUE(LEFT($B318,4))-$I318&gt;6+IFERROR(MATCH($C318,LISTE_NIVEAUX,0),99))),"⚠ Vérifier niveau",IF(AND(IFERROR(VLOOKUP($C318,TABLE_CYCLE,2,0),3)=2,COUNT($O318:$Q318)&gt;0),"⚠ Tests cycle 3",IF(COUNT($J318:$Q318)&gt;=IF(IFERROR(VLOOKUP($C318,TABLE_CYCLE,2,0),3)=2,5,8),"Complet","Incomplet"))))))))</f>
        <v/>
      </c>
      <c r="S318" s="24"/>
      <c r="T318" s="67" t="str">
        <f t="shared" si="37"/>
        <v/>
      </c>
      <c r="U318" s="67" t="str">
        <f t="shared" si="38"/>
        <v/>
      </c>
      <c r="V318" s="67" t="str">
        <f t="shared" si="39"/>
        <v/>
      </c>
      <c r="W318" s="67" t="str">
        <f t="shared" si="40"/>
        <v/>
      </c>
      <c r="X318" s="67" t="str">
        <f t="shared" si="41"/>
        <v/>
      </c>
      <c r="Y318" s="24" t="str">
        <f t="shared" si="42"/>
        <v/>
      </c>
      <c r="Z318">
        <f t="shared" si="43"/>
        <v>0</v>
      </c>
      <c r="AA318">
        <f t="shared" si="44"/>
        <v>0</v>
      </c>
    </row>
    <row r="319" spans="2:27" ht="15.75" customHeight="1" x14ac:dyDescent="0.3">
      <c r="B319" s="21"/>
      <c r="C319" s="21"/>
      <c r="D319" s="21"/>
      <c r="E319" s="22" t="str">
        <f t="shared" si="36"/>
        <v/>
      </c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3" t="str">
        <f>IF($F319="","",IF(OR($B319="",$C319="",$D319=""),"⚠ Compléter Année/Niveau/Session",IF(AND($E319&lt;&gt;"",COUNTIF(D_KEY_DOUBLON,$B319&amp;"|"&amp;$D319&amp;"|"&amp;$E319)&gt;1),"⚠ Doublon",IF(AND($E319&lt;&gt;"",COUNTIF(D_KEY_STATUT,$B319&amp;"|"&amp;$E319&amp;"|P")&gt;0,COUNTIF(D_KEY_STATUT,$B319&amp;"|"&amp;$E319&amp;"|A")&gt;0),"⚠ Statut incohérent",IF(AND($D319="S1",$Y319&lt;&gt;"Parti",COUNTIF(ANNEES_VERROU,$B319)&gt;0,COUNTIF(D_KEY_NIVSES,$B319&amp;"|"&amp;$C319&amp;"|S2")&gt;0,COUNTIF(D_KEY_DOUBLON,$B319&amp;"|S2|"&amp;$E319)=0),"⚠ Départ non confirmé ?",IF(AND($C319&lt;&gt;"",ISNUMBER($I319),OR(VALUE(LEFT($B319,4))-$I319&lt;4+IFERROR(MATCH($C319,LISTE_NIVEAUX,0),99),VALUE(LEFT($B319,4))-$I319&gt;6+IFERROR(MATCH($C319,LISTE_NIVEAUX,0),99))),"⚠ Vérifier niveau",IF(AND(IFERROR(VLOOKUP($C319,TABLE_CYCLE,2,0),3)=2,COUNT($O319:$Q319)&gt;0),"⚠ Tests cycle 3",IF(COUNT($J319:$Q319)&gt;=IF(IFERROR(VLOOKUP($C319,TABLE_CYCLE,2,0),3)=2,5,8),"Complet","Incomplet"))))))))</f>
        <v/>
      </c>
      <c r="S319" s="24"/>
      <c r="T319" s="67" t="str">
        <f t="shared" si="37"/>
        <v/>
      </c>
      <c r="U319" s="67" t="str">
        <f t="shared" si="38"/>
        <v/>
      </c>
      <c r="V319" s="67" t="str">
        <f t="shared" si="39"/>
        <v/>
      </c>
      <c r="W319" s="67" t="str">
        <f t="shared" si="40"/>
        <v/>
      </c>
      <c r="X319" s="67" t="str">
        <f t="shared" si="41"/>
        <v/>
      </c>
      <c r="Y319" s="24" t="str">
        <f t="shared" si="42"/>
        <v/>
      </c>
      <c r="Z319">
        <f t="shared" si="43"/>
        <v>0</v>
      </c>
      <c r="AA319">
        <f t="shared" si="44"/>
        <v>0</v>
      </c>
    </row>
    <row r="320" spans="2:27" ht="15.75" customHeight="1" x14ac:dyDescent="0.3">
      <c r="B320" s="25"/>
      <c r="C320" s="25"/>
      <c r="D320" s="25"/>
      <c r="E320" s="26" t="str">
        <f t="shared" si="36"/>
        <v/>
      </c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3" t="str">
        <f>IF($F320="","",IF(OR($B320="",$C320="",$D320=""),"⚠ Compléter Année/Niveau/Session",IF(AND($E320&lt;&gt;"",COUNTIF(D_KEY_DOUBLON,$B320&amp;"|"&amp;$D320&amp;"|"&amp;$E320)&gt;1),"⚠ Doublon",IF(AND($E320&lt;&gt;"",COUNTIF(D_KEY_STATUT,$B320&amp;"|"&amp;$E320&amp;"|P")&gt;0,COUNTIF(D_KEY_STATUT,$B320&amp;"|"&amp;$E320&amp;"|A")&gt;0),"⚠ Statut incohérent",IF(AND($D320="S1",$Y320&lt;&gt;"Parti",COUNTIF(ANNEES_VERROU,$B320)&gt;0,COUNTIF(D_KEY_NIVSES,$B320&amp;"|"&amp;$C320&amp;"|S2")&gt;0,COUNTIF(D_KEY_DOUBLON,$B320&amp;"|S2|"&amp;$E320)=0),"⚠ Départ non confirmé ?",IF(AND($C320&lt;&gt;"",ISNUMBER($I320),OR(VALUE(LEFT($B320,4))-$I320&lt;4+IFERROR(MATCH($C320,LISTE_NIVEAUX,0),99),VALUE(LEFT($B320,4))-$I320&gt;6+IFERROR(MATCH($C320,LISTE_NIVEAUX,0),99))),"⚠ Vérifier niveau",IF(AND(IFERROR(VLOOKUP($C320,TABLE_CYCLE,2,0),3)=2,COUNT($O320:$Q320)&gt;0),"⚠ Tests cycle 3",IF(COUNT($J320:$Q320)&gt;=IF(IFERROR(VLOOKUP($C320,TABLE_CYCLE,2,0),3)=2,5,8),"Complet","Incomplet"))))))))</f>
        <v/>
      </c>
      <c r="S320" s="24"/>
      <c r="T320" s="67" t="str">
        <f t="shared" si="37"/>
        <v/>
      </c>
      <c r="U320" s="67" t="str">
        <f t="shared" si="38"/>
        <v/>
      </c>
      <c r="V320" s="67" t="str">
        <f t="shared" si="39"/>
        <v/>
      </c>
      <c r="W320" s="67" t="str">
        <f t="shared" si="40"/>
        <v/>
      </c>
      <c r="X320" s="67" t="str">
        <f t="shared" si="41"/>
        <v/>
      </c>
      <c r="Y320" s="24" t="str">
        <f t="shared" si="42"/>
        <v/>
      </c>
      <c r="Z320">
        <f t="shared" si="43"/>
        <v>0</v>
      </c>
      <c r="AA320">
        <f t="shared" si="44"/>
        <v>0</v>
      </c>
    </row>
    <row r="321" spans="2:27" ht="15.75" customHeight="1" x14ac:dyDescent="0.3">
      <c r="B321" s="21"/>
      <c r="C321" s="21"/>
      <c r="D321" s="21"/>
      <c r="E321" s="22" t="str">
        <f t="shared" si="36"/>
        <v/>
      </c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3" t="str">
        <f>IF($F321="","",IF(OR($B321="",$C321="",$D321=""),"⚠ Compléter Année/Niveau/Session",IF(AND($E321&lt;&gt;"",COUNTIF(D_KEY_DOUBLON,$B321&amp;"|"&amp;$D321&amp;"|"&amp;$E321)&gt;1),"⚠ Doublon",IF(AND($E321&lt;&gt;"",COUNTIF(D_KEY_STATUT,$B321&amp;"|"&amp;$E321&amp;"|P")&gt;0,COUNTIF(D_KEY_STATUT,$B321&amp;"|"&amp;$E321&amp;"|A")&gt;0),"⚠ Statut incohérent",IF(AND($D321="S1",$Y321&lt;&gt;"Parti",COUNTIF(ANNEES_VERROU,$B321)&gt;0,COUNTIF(D_KEY_NIVSES,$B321&amp;"|"&amp;$C321&amp;"|S2")&gt;0,COUNTIF(D_KEY_DOUBLON,$B321&amp;"|S2|"&amp;$E321)=0),"⚠ Départ non confirmé ?",IF(AND($C321&lt;&gt;"",ISNUMBER($I321),OR(VALUE(LEFT($B321,4))-$I321&lt;4+IFERROR(MATCH($C321,LISTE_NIVEAUX,0),99),VALUE(LEFT($B321,4))-$I321&gt;6+IFERROR(MATCH($C321,LISTE_NIVEAUX,0),99))),"⚠ Vérifier niveau",IF(AND(IFERROR(VLOOKUP($C321,TABLE_CYCLE,2,0),3)=2,COUNT($O321:$Q321)&gt;0),"⚠ Tests cycle 3",IF(COUNT($J321:$Q321)&gt;=IF(IFERROR(VLOOKUP($C321,TABLE_CYCLE,2,0),3)=2,5,8),"Complet","Incomplet"))))))))</f>
        <v/>
      </c>
      <c r="S321" s="24"/>
      <c r="T321" s="67" t="str">
        <f t="shared" si="37"/>
        <v/>
      </c>
      <c r="U321" s="67" t="str">
        <f t="shared" si="38"/>
        <v/>
      </c>
      <c r="V321" s="67" t="str">
        <f t="shared" si="39"/>
        <v/>
      </c>
      <c r="W321" s="67" t="str">
        <f t="shared" si="40"/>
        <v/>
      </c>
      <c r="X321" s="67" t="str">
        <f t="shared" si="41"/>
        <v/>
      </c>
      <c r="Y321" s="24" t="str">
        <f t="shared" si="42"/>
        <v/>
      </c>
      <c r="Z321">
        <f t="shared" si="43"/>
        <v>0</v>
      </c>
      <c r="AA321">
        <f t="shared" si="44"/>
        <v>0</v>
      </c>
    </row>
    <row r="322" spans="2:27" ht="15.75" customHeight="1" x14ac:dyDescent="0.3">
      <c r="B322" s="25"/>
      <c r="C322" s="25"/>
      <c r="D322" s="25"/>
      <c r="E322" s="26" t="str">
        <f t="shared" si="36"/>
        <v/>
      </c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3" t="str">
        <f>IF($F322="","",IF(OR($B322="",$C322="",$D322=""),"⚠ Compléter Année/Niveau/Session",IF(AND($E322&lt;&gt;"",COUNTIF(D_KEY_DOUBLON,$B322&amp;"|"&amp;$D322&amp;"|"&amp;$E322)&gt;1),"⚠ Doublon",IF(AND($E322&lt;&gt;"",COUNTIF(D_KEY_STATUT,$B322&amp;"|"&amp;$E322&amp;"|P")&gt;0,COUNTIF(D_KEY_STATUT,$B322&amp;"|"&amp;$E322&amp;"|A")&gt;0),"⚠ Statut incohérent",IF(AND($D322="S1",$Y322&lt;&gt;"Parti",COUNTIF(ANNEES_VERROU,$B322)&gt;0,COUNTIF(D_KEY_NIVSES,$B322&amp;"|"&amp;$C322&amp;"|S2")&gt;0,COUNTIF(D_KEY_DOUBLON,$B322&amp;"|S2|"&amp;$E322)=0),"⚠ Départ non confirmé ?",IF(AND($C322&lt;&gt;"",ISNUMBER($I322),OR(VALUE(LEFT($B322,4))-$I322&lt;4+IFERROR(MATCH($C322,LISTE_NIVEAUX,0),99),VALUE(LEFT($B322,4))-$I322&gt;6+IFERROR(MATCH($C322,LISTE_NIVEAUX,0),99))),"⚠ Vérifier niveau",IF(AND(IFERROR(VLOOKUP($C322,TABLE_CYCLE,2,0),3)=2,COUNT($O322:$Q322)&gt;0),"⚠ Tests cycle 3",IF(COUNT($J322:$Q322)&gt;=IF(IFERROR(VLOOKUP($C322,TABLE_CYCLE,2,0),3)=2,5,8),"Complet","Incomplet"))))))))</f>
        <v/>
      </c>
      <c r="S322" s="24"/>
      <c r="T322" s="67" t="str">
        <f t="shared" si="37"/>
        <v/>
      </c>
      <c r="U322" s="67" t="str">
        <f t="shared" si="38"/>
        <v/>
      </c>
      <c r="V322" s="67" t="str">
        <f t="shared" si="39"/>
        <v/>
      </c>
      <c r="W322" s="67" t="str">
        <f t="shared" si="40"/>
        <v/>
      </c>
      <c r="X322" s="67" t="str">
        <f t="shared" si="41"/>
        <v/>
      </c>
      <c r="Y322" s="24" t="str">
        <f t="shared" si="42"/>
        <v/>
      </c>
      <c r="Z322">
        <f t="shared" si="43"/>
        <v>0</v>
      </c>
      <c r="AA322">
        <f t="shared" si="44"/>
        <v>0</v>
      </c>
    </row>
    <row r="323" spans="2:27" ht="15.75" customHeight="1" x14ac:dyDescent="0.3">
      <c r="B323" s="21"/>
      <c r="C323" s="21"/>
      <c r="D323" s="21"/>
      <c r="E323" s="22" t="str">
        <f t="shared" si="36"/>
        <v/>
      </c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3" t="str">
        <f>IF($F323="","",IF(OR($B323="",$C323="",$D323=""),"⚠ Compléter Année/Niveau/Session",IF(AND($E323&lt;&gt;"",COUNTIF(D_KEY_DOUBLON,$B323&amp;"|"&amp;$D323&amp;"|"&amp;$E323)&gt;1),"⚠ Doublon",IF(AND($E323&lt;&gt;"",COUNTIF(D_KEY_STATUT,$B323&amp;"|"&amp;$E323&amp;"|P")&gt;0,COUNTIF(D_KEY_STATUT,$B323&amp;"|"&amp;$E323&amp;"|A")&gt;0),"⚠ Statut incohérent",IF(AND($D323="S1",$Y323&lt;&gt;"Parti",COUNTIF(ANNEES_VERROU,$B323)&gt;0,COUNTIF(D_KEY_NIVSES,$B323&amp;"|"&amp;$C323&amp;"|S2")&gt;0,COUNTIF(D_KEY_DOUBLON,$B323&amp;"|S2|"&amp;$E323)=0),"⚠ Départ non confirmé ?",IF(AND($C323&lt;&gt;"",ISNUMBER($I323),OR(VALUE(LEFT($B323,4))-$I323&lt;4+IFERROR(MATCH($C323,LISTE_NIVEAUX,0),99),VALUE(LEFT($B323,4))-$I323&gt;6+IFERROR(MATCH($C323,LISTE_NIVEAUX,0),99))),"⚠ Vérifier niveau",IF(AND(IFERROR(VLOOKUP($C323,TABLE_CYCLE,2,0),3)=2,COUNT($O323:$Q323)&gt;0),"⚠ Tests cycle 3",IF(COUNT($J323:$Q323)&gt;=IF(IFERROR(VLOOKUP($C323,TABLE_CYCLE,2,0),3)=2,5,8),"Complet","Incomplet"))))))))</f>
        <v/>
      </c>
      <c r="S323" s="24"/>
      <c r="T323" s="67" t="str">
        <f t="shared" si="37"/>
        <v/>
      </c>
      <c r="U323" s="67" t="str">
        <f t="shared" si="38"/>
        <v/>
      </c>
      <c r="V323" s="67" t="str">
        <f t="shared" si="39"/>
        <v/>
      </c>
      <c r="W323" s="67" t="str">
        <f t="shared" si="40"/>
        <v/>
      </c>
      <c r="X323" s="67" t="str">
        <f t="shared" si="41"/>
        <v/>
      </c>
      <c r="Y323" s="24" t="str">
        <f t="shared" si="42"/>
        <v/>
      </c>
      <c r="Z323">
        <f t="shared" si="43"/>
        <v>0</v>
      </c>
      <c r="AA323">
        <f t="shared" si="44"/>
        <v>0</v>
      </c>
    </row>
    <row r="324" spans="2:27" ht="15.75" customHeight="1" x14ac:dyDescent="0.3">
      <c r="B324" s="25"/>
      <c r="C324" s="25"/>
      <c r="D324" s="25"/>
      <c r="E324" s="26" t="str">
        <f t="shared" si="36"/>
        <v/>
      </c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3" t="str">
        <f>IF($F324="","",IF(OR($B324="",$C324="",$D324=""),"⚠ Compléter Année/Niveau/Session",IF(AND($E324&lt;&gt;"",COUNTIF(D_KEY_DOUBLON,$B324&amp;"|"&amp;$D324&amp;"|"&amp;$E324)&gt;1),"⚠ Doublon",IF(AND($E324&lt;&gt;"",COUNTIF(D_KEY_STATUT,$B324&amp;"|"&amp;$E324&amp;"|P")&gt;0,COUNTIF(D_KEY_STATUT,$B324&amp;"|"&amp;$E324&amp;"|A")&gt;0),"⚠ Statut incohérent",IF(AND($D324="S1",$Y324&lt;&gt;"Parti",COUNTIF(ANNEES_VERROU,$B324)&gt;0,COUNTIF(D_KEY_NIVSES,$B324&amp;"|"&amp;$C324&amp;"|S2")&gt;0,COUNTIF(D_KEY_DOUBLON,$B324&amp;"|S2|"&amp;$E324)=0),"⚠ Départ non confirmé ?",IF(AND($C324&lt;&gt;"",ISNUMBER($I324),OR(VALUE(LEFT($B324,4))-$I324&lt;4+IFERROR(MATCH($C324,LISTE_NIVEAUX,0),99),VALUE(LEFT($B324,4))-$I324&gt;6+IFERROR(MATCH($C324,LISTE_NIVEAUX,0),99))),"⚠ Vérifier niveau",IF(AND(IFERROR(VLOOKUP($C324,TABLE_CYCLE,2,0),3)=2,COUNT($O324:$Q324)&gt;0),"⚠ Tests cycle 3",IF(COUNT($J324:$Q324)&gt;=IF(IFERROR(VLOOKUP($C324,TABLE_CYCLE,2,0),3)=2,5,8),"Complet","Incomplet"))))))))</f>
        <v/>
      </c>
      <c r="S324" s="24"/>
      <c r="T324" s="67" t="str">
        <f t="shared" si="37"/>
        <v/>
      </c>
      <c r="U324" s="67" t="str">
        <f t="shared" si="38"/>
        <v/>
      </c>
      <c r="V324" s="67" t="str">
        <f t="shared" si="39"/>
        <v/>
      </c>
      <c r="W324" s="67" t="str">
        <f t="shared" si="40"/>
        <v/>
      </c>
      <c r="X324" s="67" t="str">
        <f t="shared" si="41"/>
        <v/>
      </c>
      <c r="Y324" s="24" t="str">
        <f t="shared" si="42"/>
        <v/>
      </c>
      <c r="Z324">
        <f t="shared" si="43"/>
        <v>0</v>
      </c>
      <c r="AA324">
        <f t="shared" si="44"/>
        <v>0</v>
      </c>
    </row>
    <row r="325" spans="2:27" ht="15.75" customHeight="1" x14ac:dyDescent="0.3">
      <c r="B325" s="21"/>
      <c r="C325" s="21"/>
      <c r="D325" s="21"/>
      <c r="E325" s="22" t="str">
        <f t="shared" si="36"/>
        <v/>
      </c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3" t="str">
        <f>IF($F325="","",IF(OR($B325="",$C325="",$D325=""),"⚠ Compléter Année/Niveau/Session",IF(AND($E325&lt;&gt;"",COUNTIF(D_KEY_DOUBLON,$B325&amp;"|"&amp;$D325&amp;"|"&amp;$E325)&gt;1),"⚠ Doublon",IF(AND($E325&lt;&gt;"",COUNTIF(D_KEY_STATUT,$B325&amp;"|"&amp;$E325&amp;"|P")&gt;0,COUNTIF(D_KEY_STATUT,$B325&amp;"|"&amp;$E325&amp;"|A")&gt;0),"⚠ Statut incohérent",IF(AND($D325="S1",$Y325&lt;&gt;"Parti",COUNTIF(ANNEES_VERROU,$B325)&gt;0,COUNTIF(D_KEY_NIVSES,$B325&amp;"|"&amp;$C325&amp;"|S2")&gt;0,COUNTIF(D_KEY_DOUBLON,$B325&amp;"|S2|"&amp;$E325)=0),"⚠ Départ non confirmé ?",IF(AND($C325&lt;&gt;"",ISNUMBER($I325),OR(VALUE(LEFT($B325,4))-$I325&lt;4+IFERROR(MATCH($C325,LISTE_NIVEAUX,0),99),VALUE(LEFT($B325,4))-$I325&gt;6+IFERROR(MATCH($C325,LISTE_NIVEAUX,0),99))),"⚠ Vérifier niveau",IF(AND(IFERROR(VLOOKUP($C325,TABLE_CYCLE,2,0),3)=2,COUNT($O325:$Q325)&gt;0),"⚠ Tests cycle 3",IF(COUNT($J325:$Q325)&gt;=IF(IFERROR(VLOOKUP($C325,TABLE_CYCLE,2,0),3)=2,5,8),"Complet","Incomplet"))))))))</f>
        <v/>
      </c>
      <c r="S325" s="24"/>
      <c r="T325" s="67" t="str">
        <f t="shared" si="37"/>
        <v/>
      </c>
      <c r="U325" s="67" t="str">
        <f t="shared" si="38"/>
        <v/>
      </c>
      <c r="V325" s="67" t="str">
        <f t="shared" si="39"/>
        <v/>
      </c>
      <c r="W325" s="67" t="str">
        <f t="shared" si="40"/>
        <v/>
      </c>
      <c r="X325" s="67" t="str">
        <f t="shared" si="41"/>
        <v/>
      </c>
      <c r="Y325" s="24" t="str">
        <f t="shared" si="42"/>
        <v/>
      </c>
      <c r="Z325">
        <f t="shared" si="43"/>
        <v>0</v>
      </c>
      <c r="AA325">
        <f t="shared" si="44"/>
        <v>0</v>
      </c>
    </row>
    <row r="326" spans="2:27" ht="15.75" customHeight="1" x14ac:dyDescent="0.3">
      <c r="B326" s="25"/>
      <c r="C326" s="25"/>
      <c r="D326" s="25"/>
      <c r="E326" s="26" t="str">
        <f t="shared" si="36"/>
        <v/>
      </c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3" t="str">
        <f>IF($F326="","",IF(OR($B326="",$C326="",$D326=""),"⚠ Compléter Année/Niveau/Session",IF(AND($E326&lt;&gt;"",COUNTIF(D_KEY_DOUBLON,$B326&amp;"|"&amp;$D326&amp;"|"&amp;$E326)&gt;1),"⚠ Doublon",IF(AND($E326&lt;&gt;"",COUNTIF(D_KEY_STATUT,$B326&amp;"|"&amp;$E326&amp;"|P")&gt;0,COUNTIF(D_KEY_STATUT,$B326&amp;"|"&amp;$E326&amp;"|A")&gt;0),"⚠ Statut incohérent",IF(AND($D326="S1",$Y326&lt;&gt;"Parti",COUNTIF(ANNEES_VERROU,$B326)&gt;0,COUNTIF(D_KEY_NIVSES,$B326&amp;"|"&amp;$C326&amp;"|S2")&gt;0,COUNTIF(D_KEY_DOUBLON,$B326&amp;"|S2|"&amp;$E326)=0),"⚠ Départ non confirmé ?",IF(AND($C326&lt;&gt;"",ISNUMBER($I326),OR(VALUE(LEFT($B326,4))-$I326&lt;4+IFERROR(MATCH($C326,LISTE_NIVEAUX,0),99),VALUE(LEFT($B326,4))-$I326&gt;6+IFERROR(MATCH($C326,LISTE_NIVEAUX,0),99))),"⚠ Vérifier niveau",IF(AND(IFERROR(VLOOKUP($C326,TABLE_CYCLE,2,0),3)=2,COUNT($O326:$Q326)&gt;0),"⚠ Tests cycle 3",IF(COUNT($J326:$Q326)&gt;=IF(IFERROR(VLOOKUP($C326,TABLE_CYCLE,2,0),3)=2,5,8),"Complet","Incomplet"))))))))</f>
        <v/>
      </c>
      <c r="S326" s="24"/>
      <c r="T326" s="67" t="str">
        <f t="shared" si="37"/>
        <v/>
      </c>
      <c r="U326" s="67" t="str">
        <f t="shared" si="38"/>
        <v/>
      </c>
      <c r="V326" s="67" t="str">
        <f t="shared" si="39"/>
        <v/>
      </c>
      <c r="W326" s="67" t="str">
        <f t="shared" si="40"/>
        <v/>
      </c>
      <c r="X326" s="67" t="str">
        <f t="shared" si="41"/>
        <v/>
      </c>
      <c r="Y326" s="24" t="str">
        <f t="shared" si="42"/>
        <v/>
      </c>
      <c r="Z326">
        <f t="shared" si="43"/>
        <v>0</v>
      </c>
      <c r="AA326">
        <f t="shared" si="44"/>
        <v>0</v>
      </c>
    </row>
    <row r="327" spans="2:27" ht="15.75" customHeight="1" x14ac:dyDescent="0.3">
      <c r="B327" s="21"/>
      <c r="C327" s="21"/>
      <c r="D327" s="21"/>
      <c r="E327" s="22" t="str">
        <f t="shared" ref="E327:E390" si="45">IF(OR($F327="",$G327=""),"",IF(ISNUMBER($I327),TEXT($I327-2000,"00")&amp;"_","__")&amp;UPPER(TRIM($F327))&amp;"_"&amp;UPPER(TRIM($G327)))</f>
        <v/>
      </c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3" t="str">
        <f>IF($F327="","",IF(OR($B327="",$C327="",$D327=""),"⚠ Compléter Année/Niveau/Session",IF(AND($E327&lt;&gt;"",COUNTIF(D_KEY_DOUBLON,$B327&amp;"|"&amp;$D327&amp;"|"&amp;$E327)&gt;1),"⚠ Doublon",IF(AND($E327&lt;&gt;"",COUNTIF(D_KEY_STATUT,$B327&amp;"|"&amp;$E327&amp;"|P")&gt;0,COUNTIF(D_KEY_STATUT,$B327&amp;"|"&amp;$E327&amp;"|A")&gt;0),"⚠ Statut incohérent",IF(AND($D327="S1",$Y327&lt;&gt;"Parti",COUNTIF(ANNEES_VERROU,$B327)&gt;0,COUNTIF(D_KEY_NIVSES,$B327&amp;"|"&amp;$C327&amp;"|S2")&gt;0,COUNTIF(D_KEY_DOUBLON,$B327&amp;"|S2|"&amp;$E327)=0),"⚠ Départ non confirmé ?",IF(AND($C327&lt;&gt;"",ISNUMBER($I327),OR(VALUE(LEFT($B327,4))-$I327&lt;4+IFERROR(MATCH($C327,LISTE_NIVEAUX,0),99),VALUE(LEFT($B327,4))-$I327&gt;6+IFERROR(MATCH($C327,LISTE_NIVEAUX,0),99))),"⚠ Vérifier niveau",IF(AND(IFERROR(VLOOKUP($C327,TABLE_CYCLE,2,0),3)=2,COUNT($O327:$Q327)&gt;0),"⚠ Tests cycle 3",IF(COUNT($J327:$Q327)&gt;=IF(IFERROR(VLOOKUP($C327,TABLE_CYCLE,2,0),3)=2,5,8),"Complet","Incomplet"))))))))</f>
        <v/>
      </c>
      <c r="S327" s="24"/>
      <c r="T327" s="67" t="str">
        <f t="shared" ref="T327:T390" si="46">IFERROR(INDEX(D_NOM,MATCH(ROW()-6,D_RANG_RECUP,0)),"")</f>
        <v/>
      </c>
      <c r="U327" s="67" t="str">
        <f t="shared" ref="U327:U390" si="47">IFERROR(INDEX(D_PRENOM,MATCH(ROW()-6,D_RANG_RECUP,0)),"")</f>
        <v/>
      </c>
      <c r="V327" s="67" t="str">
        <f t="shared" ref="V327:V390" si="48">IFERROR(INDEX(D_SEXE,MATCH(ROW()-6,D_RANG_RECUP,0)),"")</f>
        <v/>
      </c>
      <c r="W327" s="67" t="str">
        <f t="shared" ref="W327:W390" si="49">IFERROR(INDEX(D_NAISS,MATCH(ROW()-6,D_RANG_RECUP,0)),"")</f>
        <v/>
      </c>
      <c r="X327" s="67" t="str">
        <f t="shared" ref="X327:X390" si="50">IF($T327="","",IF($X$4="→ Session 2 (même année)",$W$4,IFERROR(INDEX(LISTE_NIVEAUX,MATCH($W$4,LISTE_NIVEAUX,0)+1),"CM2 terminé")))</f>
        <v/>
      </c>
      <c r="Y327" s="24" t="str">
        <f t="shared" ref="Y327:Y390" si="51">IF($S327="","",$S327)</f>
        <v/>
      </c>
      <c r="Z327">
        <f t="shared" ref="Z327:Z390" si="52">SUBTOTAL(103,$F327)*($R327="Complet")</f>
        <v>0</v>
      </c>
      <c r="AA327">
        <f t="shared" ref="AA327:AA390" si="53">IF(OR($F327="",$C327=""),0,IF(COUNTIFS($B$7:$B$1206,$B327,$F$7:$F$1206,$F327,$G$7:$G$1206,$G327,$I$7:$I$1206,$I327,$C$7:$C$1206,"&lt;&gt;"&amp;$C327)&gt;0,1,0))</f>
        <v>0</v>
      </c>
    </row>
    <row r="328" spans="2:27" ht="15.75" customHeight="1" x14ac:dyDescent="0.3">
      <c r="B328" s="25"/>
      <c r="C328" s="25"/>
      <c r="D328" s="25"/>
      <c r="E328" s="26" t="str">
        <f t="shared" si="45"/>
        <v/>
      </c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3" t="str">
        <f>IF($F328="","",IF(OR($B328="",$C328="",$D328=""),"⚠ Compléter Année/Niveau/Session",IF(AND($E328&lt;&gt;"",COUNTIF(D_KEY_DOUBLON,$B328&amp;"|"&amp;$D328&amp;"|"&amp;$E328)&gt;1),"⚠ Doublon",IF(AND($E328&lt;&gt;"",COUNTIF(D_KEY_STATUT,$B328&amp;"|"&amp;$E328&amp;"|P")&gt;0,COUNTIF(D_KEY_STATUT,$B328&amp;"|"&amp;$E328&amp;"|A")&gt;0),"⚠ Statut incohérent",IF(AND($D328="S1",$Y328&lt;&gt;"Parti",COUNTIF(ANNEES_VERROU,$B328)&gt;0,COUNTIF(D_KEY_NIVSES,$B328&amp;"|"&amp;$C328&amp;"|S2")&gt;0,COUNTIF(D_KEY_DOUBLON,$B328&amp;"|S2|"&amp;$E328)=0),"⚠ Départ non confirmé ?",IF(AND($C328&lt;&gt;"",ISNUMBER($I328),OR(VALUE(LEFT($B328,4))-$I328&lt;4+IFERROR(MATCH($C328,LISTE_NIVEAUX,0),99),VALUE(LEFT($B328,4))-$I328&gt;6+IFERROR(MATCH($C328,LISTE_NIVEAUX,0),99))),"⚠ Vérifier niveau",IF(AND(IFERROR(VLOOKUP($C328,TABLE_CYCLE,2,0),3)=2,COUNT($O328:$Q328)&gt;0),"⚠ Tests cycle 3",IF(COUNT($J328:$Q328)&gt;=IF(IFERROR(VLOOKUP($C328,TABLE_CYCLE,2,0),3)=2,5,8),"Complet","Incomplet"))))))))</f>
        <v/>
      </c>
      <c r="S328" s="24"/>
      <c r="T328" s="67" t="str">
        <f t="shared" si="46"/>
        <v/>
      </c>
      <c r="U328" s="67" t="str">
        <f t="shared" si="47"/>
        <v/>
      </c>
      <c r="V328" s="67" t="str">
        <f t="shared" si="48"/>
        <v/>
      </c>
      <c r="W328" s="67" t="str">
        <f t="shared" si="49"/>
        <v/>
      </c>
      <c r="X328" s="67" t="str">
        <f t="shared" si="50"/>
        <v/>
      </c>
      <c r="Y328" s="24" t="str">
        <f t="shared" si="51"/>
        <v/>
      </c>
      <c r="Z328">
        <f t="shared" si="52"/>
        <v>0</v>
      </c>
      <c r="AA328">
        <f t="shared" si="53"/>
        <v>0</v>
      </c>
    </row>
    <row r="329" spans="2:27" ht="15.75" customHeight="1" x14ac:dyDescent="0.3">
      <c r="B329" s="21"/>
      <c r="C329" s="21"/>
      <c r="D329" s="21"/>
      <c r="E329" s="22" t="str">
        <f t="shared" si="45"/>
        <v/>
      </c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3" t="str">
        <f>IF($F329="","",IF(OR($B329="",$C329="",$D329=""),"⚠ Compléter Année/Niveau/Session",IF(AND($E329&lt;&gt;"",COUNTIF(D_KEY_DOUBLON,$B329&amp;"|"&amp;$D329&amp;"|"&amp;$E329)&gt;1),"⚠ Doublon",IF(AND($E329&lt;&gt;"",COUNTIF(D_KEY_STATUT,$B329&amp;"|"&amp;$E329&amp;"|P")&gt;0,COUNTIF(D_KEY_STATUT,$B329&amp;"|"&amp;$E329&amp;"|A")&gt;0),"⚠ Statut incohérent",IF(AND($D329="S1",$Y329&lt;&gt;"Parti",COUNTIF(ANNEES_VERROU,$B329)&gt;0,COUNTIF(D_KEY_NIVSES,$B329&amp;"|"&amp;$C329&amp;"|S2")&gt;0,COUNTIF(D_KEY_DOUBLON,$B329&amp;"|S2|"&amp;$E329)=0),"⚠ Départ non confirmé ?",IF(AND($C329&lt;&gt;"",ISNUMBER($I329),OR(VALUE(LEFT($B329,4))-$I329&lt;4+IFERROR(MATCH($C329,LISTE_NIVEAUX,0),99),VALUE(LEFT($B329,4))-$I329&gt;6+IFERROR(MATCH($C329,LISTE_NIVEAUX,0),99))),"⚠ Vérifier niveau",IF(AND(IFERROR(VLOOKUP($C329,TABLE_CYCLE,2,0),3)=2,COUNT($O329:$Q329)&gt;0),"⚠ Tests cycle 3",IF(COUNT($J329:$Q329)&gt;=IF(IFERROR(VLOOKUP($C329,TABLE_CYCLE,2,0),3)=2,5,8),"Complet","Incomplet"))))))))</f>
        <v/>
      </c>
      <c r="S329" s="24"/>
      <c r="T329" s="67" t="str">
        <f t="shared" si="46"/>
        <v/>
      </c>
      <c r="U329" s="67" t="str">
        <f t="shared" si="47"/>
        <v/>
      </c>
      <c r="V329" s="67" t="str">
        <f t="shared" si="48"/>
        <v/>
      </c>
      <c r="W329" s="67" t="str">
        <f t="shared" si="49"/>
        <v/>
      </c>
      <c r="X329" s="67" t="str">
        <f t="shared" si="50"/>
        <v/>
      </c>
      <c r="Y329" s="24" t="str">
        <f t="shared" si="51"/>
        <v/>
      </c>
      <c r="Z329">
        <f t="shared" si="52"/>
        <v>0</v>
      </c>
      <c r="AA329">
        <f t="shared" si="53"/>
        <v>0</v>
      </c>
    </row>
    <row r="330" spans="2:27" ht="15.75" customHeight="1" x14ac:dyDescent="0.3">
      <c r="B330" s="25"/>
      <c r="C330" s="25"/>
      <c r="D330" s="25"/>
      <c r="E330" s="26" t="str">
        <f t="shared" si="45"/>
        <v/>
      </c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3" t="str">
        <f>IF($F330="","",IF(OR($B330="",$C330="",$D330=""),"⚠ Compléter Année/Niveau/Session",IF(AND($E330&lt;&gt;"",COUNTIF(D_KEY_DOUBLON,$B330&amp;"|"&amp;$D330&amp;"|"&amp;$E330)&gt;1),"⚠ Doublon",IF(AND($E330&lt;&gt;"",COUNTIF(D_KEY_STATUT,$B330&amp;"|"&amp;$E330&amp;"|P")&gt;0,COUNTIF(D_KEY_STATUT,$B330&amp;"|"&amp;$E330&amp;"|A")&gt;0),"⚠ Statut incohérent",IF(AND($D330="S1",$Y330&lt;&gt;"Parti",COUNTIF(ANNEES_VERROU,$B330)&gt;0,COUNTIF(D_KEY_NIVSES,$B330&amp;"|"&amp;$C330&amp;"|S2")&gt;0,COUNTIF(D_KEY_DOUBLON,$B330&amp;"|S2|"&amp;$E330)=0),"⚠ Départ non confirmé ?",IF(AND($C330&lt;&gt;"",ISNUMBER($I330),OR(VALUE(LEFT($B330,4))-$I330&lt;4+IFERROR(MATCH($C330,LISTE_NIVEAUX,0),99),VALUE(LEFT($B330,4))-$I330&gt;6+IFERROR(MATCH($C330,LISTE_NIVEAUX,0),99))),"⚠ Vérifier niveau",IF(AND(IFERROR(VLOOKUP($C330,TABLE_CYCLE,2,0),3)=2,COUNT($O330:$Q330)&gt;0),"⚠ Tests cycle 3",IF(COUNT($J330:$Q330)&gt;=IF(IFERROR(VLOOKUP($C330,TABLE_CYCLE,2,0),3)=2,5,8),"Complet","Incomplet"))))))))</f>
        <v/>
      </c>
      <c r="S330" s="24"/>
      <c r="T330" s="67" t="str">
        <f t="shared" si="46"/>
        <v/>
      </c>
      <c r="U330" s="67" t="str">
        <f t="shared" si="47"/>
        <v/>
      </c>
      <c r="V330" s="67" t="str">
        <f t="shared" si="48"/>
        <v/>
      </c>
      <c r="W330" s="67" t="str">
        <f t="shared" si="49"/>
        <v/>
      </c>
      <c r="X330" s="67" t="str">
        <f t="shared" si="50"/>
        <v/>
      </c>
      <c r="Y330" s="24" t="str">
        <f t="shared" si="51"/>
        <v/>
      </c>
      <c r="Z330">
        <f t="shared" si="52"/>
        <v>0</v>
      </c>
      <c r="AA330">
        <f t="shared" si="53"/>
        <v>0</v>
      </c>
    </row>
    <row r="331" spans="2:27" ht="15.75" customHeight="1" x14ac:dyDescent="0.3">
      <c r="B331" s="21"/>
      <c r="C331" s="21"/>
      <c r="D331" s="21"/>
      <c r="E331" s="22" t="str">
        <f t="shared" si="45"/>
        <v/>
      </c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3" t="str">
        <f>IF($F331="","",IF(OR($B331="",$C331="",$D331=""),"⚠ Compléter Année/Niveau/Session",IF(AND($E331&lt;&gt;"",COUNTIF(D_KEY_DOUBLON,$B331&amp;"|"&amp;$D331&amp;"|"&amp;$E331)&gt;1),"⚠ Doublon",IF(AND($E331&lt;&gt;"",COUNTIF(D_KEY_STATUT,$B331&amp;"|"&amp;$E331&amp;"|P")&gt;0,COUNTIF(D_KEY_STATUT,$B331&amp;"|"&amp;$E331&amp;"|A")&gt;0),"⚠ Statut incohérent",IF(AND($D331="S1",$Y331&lt;&gt;"Parti",COUNTIF(ANNEES_VERROU,$B331)&gt;0,COUNTIF(D_KEY_NIVSES,$B331&amp;"|"&amp;$C331&amp;"|S2")&gt;0,COUNTIF(D_KEY_DOUBLON,$B331&amp;"|S2|"&amp;$E331)=0),"⚠ Départ non confirmé ?",IF(AND($C331&lt;&gt;"",ISNUMBER($I331),OR(VALUE(LEFT($B331,4))-$I331&lt;4+IFERROR(MATCH($C331,LISTE_NIVEAUX,0),99),VALUE(LEFT($B331,4))-$I331&gt;6+IFERROR(MATCH($C331,LISTE_NIVEAUX,0),99))),"⚠ Vérifier niveau",IF(AND(IFERROR(VLOOKUP($C331,TABLE_CYCLE,2,0),3)=2,COUNT($O331:$Q331)&gt;0),"⚠ Tests cycle 3",IF(COUNT($J331:$Q331)&gt;=IF(IFERROR(VLOOKUP($C331,TABLE_CYCLE,2,0),3)=2,5,8),"Complet","Incomplet"))))))))</f>
        <v/>
      </c>
      <c r="S331" s="24"/>
      <c r="T331" s="67" t="str">
        <f t="shared" si="46"/>
        <v/>
      </c>
      <c r="U331" s="67" t="str">
        <f t="shared" si="47"/>
        <v/>
      </c>
      <c r="V331" s="67" t="str">
        <f t="shared" si="48"/>
        <v/>
      </c>
      <c r="W331" s="67" t="str">
        <f t="shared" si="49"/>
        <v/>
      </c>
      <c r="X331" s="67" t="str">
        <f t="shared" si="50"/>
        <v/>
      </c>
      <c r="Y331" s="24" t="str">
        <f t="shared" si="51"/>
        <v/>
      </c>
      <c r="Z331">
        <f t="shared" si="52"/>
        <v>0</v>
      </c>
      <c r="AA331">
        <f t="shared" si="53"/>
        <v>0</v>
      </c>
    </row>
    <row r="332" spans="2:27" ht="15.75" customHeight="1" x14ac:dyDescent="0.3">
      <c r="B332" s="25"/>
      <c r="C332" s="25"/>
      <c r="D332" s="25"/>
      <c r="E332" s="26" t="str">
        <f t="shared" si="45"/>
        <v/>
      </c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3" t="str">
        <f>IF($F332="","",IF(OR($B332="",$C332="",$D332=""),"⚠ Compléter Année/Niveau/Session",IF(AND($E332&lt;&gt;"",COUNTIF(D_KEY_DOUBLON,$B332&amp;"|"&amp;$D332&amp;"|"&amp;$E332)&gt;1),"⚠ Doublon",IF(AND($E332&lt;&gt;"",COUNTIF(D_KEY_STATUT,$B332&amp;"|"&amp;$E332&amp;"|P")&gt;0,COUNTIF(D_KEY_STATUT,$B332&amp;"|"&amp;$E332&amp;"|A")&gt;0),"⚠ Statut incohérent",IF(AND($D332="S1",$Y332&lt;&gt;"Parti",COUNTIF(ANNEES_VERROU,$B332)&gt;0,COUNTIF(D_KEY_NIVSES,$B332&amp;"|"&amp;$C332&amp;"|S2")&gt;0,COUNTIF(D_KEY_DOUBLON,$B332&amp;"|S2|"&amp;$E332)=0),"⚠ Départ non confirmé ?",IF(AND($C332&lt;&gt;"",ISNUMBER($I332),OR(VALUE(LEFT($B332,4))-$I332&lt;4+IFERROR(MATCH($C332,LISTE_NIVEAUX,0),99),VALUE(LEFT($B332,4))-$I332&gt;6+IFERROR(MATCH($C332,LISTE_NIVEAUX,0),99))),"⚠ Vérifier niveau",IF(AND(IFERROR(VLOOKUP($C332,TABLE_CYCLE,2,0),3)=2,COUNT($O332:$Q332)&gt;0),"⚠ Tests cycle 3",IF(COUNT($J332:$Q332)&gt;=IF(IFERROR(VLOOKUP($C332,TABLE_CYCLE,2,0),3)=2,5,8),"Complet","Incomplet"))))))))</f>
        <v/>
      </c>
      <c r="S332" s="24"/>
      <c r="T332" s="67" t="str">
        <f t="shared" si="46"/>
        <v/>
      </c>
      <c r="U332" s="67" t="str">
        <f t="shared" si="47"/>
        <v/>
      </c>
      <c r="V332" s="67" t="str">
        <f t="shared" si="48"/>
        <v/>
      </c>
      <c r="W332" s="67" t="str">
        <f t="shared" si="49"/>
        <v/>
      </c>
      <c r="X332" s="67" t="str">
        <f t="shared" si="50"/>
        <v/>
      </c>
      <c r="Y332" s="24" t="str">
        <f t="shared" si="51"/>
        <v/>
      </c>
      <c r="Z332">
        <f t="shared" si="52"/>
        <v>0</v>
      </c>
      <c r="AA332">
        <f t="shared" si="53"/>
        <v>0</v>
      </c>
    </row>
    <row r="333" spans="2:27" ht="15.75" customHeight="1" x14ac:dyDescent="0.3">
      <c r="B333" s="21"/>
      <c r="C333" s="21"/>
      <c r="D333" s="21"/>
      <c r="E333" s="22" t="str">
        <f t="shared" si="45"/>
        <v/>
      </c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3" t="str">
        <f>IF($F333="","",IF(OR($B333="",$C333="",$D333=""),"⚠ Compléter Année/Niveau/Session",IF(AND($E333&lt;&gt;"",COUNTIF(D_KEY_DOUBLON,$B333&amp;"|"&amp;$D333&amp;"|"&amp;$E333)&gt;1),"⚠ Doublon",IF(AND($E333&lt;&gt;"",COUNTIF(D_KEY_STATUT,$B333&amp;"|"&amp;$E333&amp;"|P")&gt;0,COUNTIF(D_KEY_STATUT,$B333&amp;"|"&amp;$E333&amp;"|A")&gt;0),"⚠ Statut incohérent",IF(AND($D333="S1",$Y333&lt;&gt;"Parti",COUNTIF(ANNEES_VERROU,$B333)&gt;0,COUNTIF(D_KEY_NIVSES,$B333&amp;"|"&amp;$C333&amp;"|S2")&gt;0,COUNTIF(D_KEY_DOUBLON,$B333&amp;"|S2|"&amp;$E333)=0),"⚠ Départ non confirmé ?",IF(AND($C333&lt;&gt;"",ISNUMBER($I333),OR(VALUE(LEFT($B333,4))-$I333&lt;4+IFERROR(MATCH($C333,LISTE_NIVEAUX,0),99),VALUE(LEFT($B333,4))-$I333&gt;6+IFERROR(MATCH($C333,LISTE_NIVEAUX,0),99))),"⚠ Vérifier niveau",IF(AND(IFERROR(VLOOKUP($C333,TABLE_CYCLE,2,0),3)=2,COUNT($O333:$Q333)&gt;0),"⚠ Tests cycle 3",IF(COUNT($J333:$Q333)&gt;=IF(IFERROR(VLOOKUP($C333,TABLE_CYCLE,2,0),3)=2,5,8),"Complet","Incomplet"))))))))</f>
        <v/>
      </c>
      <c r="S333" s="24"/>
      <c r="T333" s="67" t="str">
        <f t="shared" si="46"/>
        <v/>
      </c>
      <c r="U333" s="67" t="str">
        <f t="shared" si="47"/>
        <v/>
      </c>
      <c r="V333" s="67" t="str">
        <f t="shared" si="48"/>
        <v/>
      </c>
      <c r="W333" s="67" t="str">
        <f t="shared" si="49"/>
        <v/>
      </c>
      <c r="X333" s="67" t="str">
        <f t="shared" si="50"/>
        <v/>
      </c>
      <c r="Y333" s="24" t="str">
        <f t="shared" si="51"/>
        <v/>
      </c>
      <c r="Z333">
        <f t="shared" si="52"/>
        <v>0</v>
      </c>
      <c r="AA333">
        <f t="shared" si="53"/>
        <v>0</v>
      </c>
    </row>
    <row r="334" spans="2:27" ht="15.75" customHeight="1" x14ac:dyDescent="0.3">
      <c r="B334" s="25"/>
      <c r="C334" s="25"/>
      <c r="D334" s="25"/>
      <c r="E334" s="26" t="str">
        <f t="shared" si="45"/>
        <v/>
      </c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3" t="str">
        <f>IF($F334="","",IF(OR($B334="",$C334="",$D334=""),"⚠ Compléter Année/Niveau/Session",IF(AND($E334&lt;&gt;"",COUNTIF(D_KEY_DOUBLON,$B334&amp;"|"&amp;$D334&amp;"|"&amp;$E334)&gt;1),"⚠ Doublon",IF(AND($E334&lt;&gt;"",COUNTIF(D_KEY_STATUT,$B334&amp;"|"&amp;$E334&amp;"|P")&gt;0,COUNTIF(D_KEY_STATUT,$B334&amp;"|"&amp;$E334&amp;"|A")&gt;0),"⚠ Statut incohérent",IF(AND($D334="S1",$Y334&lt;&gt;"Parti",COUNTIF(ANNEES_VERROU,$B334)&gt;0,COUNTIF(D_KEY_NIVSES,$B334&amp;"|"&amp;$C334&amp;"|S2")&gt;0,COUNTIF(D_KEY_DOUBLON,$B334&amp;"|S2|"&amp;$E334)=0),"⚠ Départ non confirmé ?",IF(AND($C334&lt;&gt;"",ISNUMBER($I334),OR(VALUE(LEFT($B334,4))-$I334&lt;4+IFERROR(MATCH($C334,LISTE_NIVEAUX,0),99),VALUE(LEFT($B334,4))-$I334&gt;6+IFERROR(MATCH($C334,LISTE_NIVEAUX,0),99))),"⚠ Vérifier niveau",IF(AND(IFERROR(VLOOKUP($C334,TABLE_CYCLE,2,0),3)=2,COUNT($O334:$Q334)&gt;0),"⚠ Tests cycle 3",IF(COUNT($J334:$Q334)&gt;=IF(IFERROR(VLOOKUP($C334,TABLE_CYCLE,2,0),3)=2,5,8),"Complet","Incomplet"))))))))</f>
        <v/>
      </c>
      <c r="S334" s="24"/>
      <c r="T334" s="67" t="str">
        <f t="shared" si="46"/>
        <v/>
      </c>
      <c r="U334" s="67" t="str">
        <f t="shared" si="47"/>
        <v/>
      </c>
      <c r="V334" s="67" t="str">
        <f t="shared" si="48"/>
        <v/>
      </c>
      <c r="W334" s="67" t="str">
        <f t="shared" si="49"/>
        <v/>
      </c>
      <c r="X334" s="67" t="str">
        <f t="shared" si="50"/>
        <v/>
      </c>
      <c r="Y334" s="24" t="str">
        <f t="shared" si="51"/>
        <v/>
      </c>
      <c r="Z334">
        <f t="shared" si="52"/>
        <v>0</v>
      </c>
      <c r="AA334">
        <f t="shared" si="53"/>
        <v>0</v>
      </c>
    </row>
    <row r="335" spans="2:27" ht="15.75" customHeight="1" x14ac:dyDescent="0.3">
      <c r="B335" s="21"/>
      <c r="C335" s="21"/>
      <c r="D335" s="21"/>
      <c r="E335" s="22" t="str">
        <f t="shared" si="45"/>
        <v/>
      </c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3" t="str">
        <f>IF($F335="","",IF(OR($B335="",$C335="",$D335=""),"⚠ Compléter Année/Niveau/Session",IF(AND($E335&lt;&gt;"",COUNTIF(D_KEY_DOUBLON,$B335&amp;"|"&amp;$D335&amp;"|"&amp;$E335)&gt;1),"⚠ Doublon",IF(AND($E335&lt;&gt;"",COUNTIF(D_KEY_STATUT,$B335&amp;"|"&amp;$E335&amp;"|P")&gt;0,COUNTIF(D_KEY_STATUT,$B335&amp;"|"&amp;$E335&amp;"|A")&gt;0),"⚠ Statut incohérent",IF(AND($D335="S1",$Y335&lt;&gt;"Parti",COUNTIF(ANNEES_VERROU,$B335)&gt;0,COUNTIF(D_KEY_NIVSES,$B335&amp;"|"&amp;$C335&amp;"|S2")&gt;0,COUNTIF(D_KEY_DOUBLON,$B335&amp;"|S2|"&amp;$E335)=0),"⚠ Départ non confirmé ?",IF(AND($C335&lt;&gt;"",ISNUMBER($I335),OR(VALUE(LEFT($B335,4))-$I335&lt;4+IFERROR(MATCH($C335,LISTE_NIVEAUX,0),99),VALUE(LEFT($B335,4))-$I335&gt;6+IFERROR(MATCH($C335,LISTE_NIVEAUX,0),99))),"⚠ Vérifier niveau",IF(AND(IFERROR(VLOOKUP($C335,TABLE_CYCLE,2,0),3)=2,COUNT($O335:$Q335)&gt;0),"⚠ Tests cycle 3",IF(COUNT($J335:$Q335)&gt;=IF(IFERROR(VLOOKUP($C335,TABLE_CYCLE,2,0),3)=2,5,8),"Complet","Incomplet"))))))))</f>
        <v/>
      </c>
      <c r="S335" s="24"/>
      <c r="T335" s="67" t="str">
        <f t="shared" si="46"/>
        <v/>
      </c>
      <c r="U335" s="67" t="str">
        <f t="shared" si="47"/>
        <v/>
      </c>
      <c r="V335" s="67" t="str">
        <f t="shared" si="48"/>
        <v/>
      </c>
      <c r="W335" s="67" t="str">
        <f t="shared" si="49"/>
        <v/>
      </c>
      <c r="X335" s="67" t="str">
        <f t="shared" si="50"/>
        <v/>
      </c>
      <c r="Y335" s="24" t="str">
        <f t="shared" si="51"/>
        <v/>
      </c>
      <c r="Z335">
        <f t="shared" si="52"/>
        <v>0</v>
      </c>
      <c r="AA335">
        <f t="shared" si="53"/>
        <v>0</v>
      </c>
    </row>
    <row r="336" spans="2:27" ht="15.75" customHeight="1" x14ac:dyDescent="0.3">
      <c r="B336" s="25"/>
      <c r="C336" s="25"/>
      <c r="D336" s="25"/>
      <c r="E336" s="26" t="str">
        <f t="shared" si="45"/>
        <v/>
      </c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3" t="str">
        <f>IF($F336="","",IF(OR($B336="",$C336="",$D336=""),"⚠ Compléter Année/Niveau/Session",IF(AND($E336&lt;&gt;"",COUNTIF(D_KEY_DOUBLON,$B336&amp;"|"&amp;$D336&amp;"|"&amp;$E336)&gt;1),"⚠ Doublon",IF(AND($E336&lt;&gt;"",COUNTIF(D_KEY_STATUT,$B336&amp;"|"&amp;$E336&amp;"|P")&gt;0,COUNTIF(D_KEY_STATUT,$B336&amp;"|"&amp;$E336&amp;"|A")&gt;0),"⚠ Statut incohérent",IF(AND($D336="S1",$Y336&lt;&gt;"Parti",COUNTIF(ANNEES_VERROU,$B336)&gt;0,COUNTIF(D_KEY_NIVSES,$B336&amp;"|"&amp;$C336&amp;"|S2")&gt;0,COUNTIF(D_KEY_DOUBLON,$B336&amp;"|S2|"&amp;$E336)=0),"⚠ Départ non confirmé ?",IF(AND($C336&lt;&gt;"",ISNUMBER($I336),OR(VALUE(LEFT($B336,4))-$I336&lt;4+IFERROR(MATCH($C336,LISTE_NIVEAUX,0),99),VALUE(LEFT($B336,4))-$I336&gt;6+IFERROR(MATCH($C336,LISTE_NIVEAUX,0),99))),"⚠ Vérifier niveau",IF(AND(IFERROR(VLOOKUP($C336,TABLE_CYCLE,2,0),3)=2,COUNT($O336:$Q336)&gt;0),"⚠ Tests cycle 3",IF(COUNT($J336:$Q336)&gt;=IF(IFERROR(VLOOKUP($C336,TABLE_CYCLE,2,0),3)=2,5,8),"Complet","Incomplet"))))))))</f>
        <v/>
      </c>
      <c r="S336" s="24"/>
      <c r="T336" s="67" t="str">
        <f t="shared" si="46"/>
        <v/>
      </c>
      <c r="U336" s="67" t="str">
        <f t="shared" si="47"/>
        <v/>
      </c>
      <c r="V336" s="67" t="str">
        <f t="shared" si="48"/>
        <v/>
      </c>
      <c r="W336" s="67" t="str">
        <f t="shared" si="49"/>
        <v/>
      </c>
      <c r="X336" s="67" t="str">
        <f t="shared" si="50"/>
        <v/>
      </c>
      <c r="Y336" s="24" t="str">
        <f t="shared" si="51"/>
        <v/>
      </c>
      <c r="Z336">
        <f t="shared" si="52"/>
        <v>0</v>
      </c>
      <c r="AA336">
        <f t="shared" si="53"/>
        <v>0</v>
      </c>
    </row>
    <row r="337" spans="2:27" ht="15.75" customHeight="1" x14ac:dyDescent="0.3">
      <c r="B337" s="21"/>
      <c r="C337" s="21"/>
      <c r="D337" s="21"/>
      <c r="E337" s="22" t="str">
        <f t="shared" si="45"/>
        <v/>
      </c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3" t="str">
        <f>IF($F337="","",IF(OR($B337="",$C337="",$D337=""),"⚠ Compléter Année/Niveau/Session",IF(AND($E337&lt;&gt;"",COUNTIF(D_KEY_DOUBLON,$B337&amp;"|"&amp;$D337&amp;"|"&amp;$E337)&gt;1),"⚠ Doublon",IF(AND($E337&lt;&gt;"",COUNTIF(D_KEY_STATUT,$B337&amp;"|"&amp;$E337&amp;"|P")&gt;0,COUNTIF(D_KEY_STATUT,$B337&amp;"|"&amp;$E337&amp;"|A")&gt;0),"⚠ Statut incohérent",IF(AND($D337="S1",$Y337&lt;&gt;"Parti",COUNTIF(ANNEES_VERROU,$B337)&gt;0,COUNTIF(D_KEY_NIVSES,$B337&amp;"|"&amp;$C337&amp;"|S2")&gt;0,COUNTIF(D_KEY_DOUBLON,$B337&amp;"|S2|"&amp;$E337)=0),"⚠ Départ non confirmé ?",IF(AND($C337&lt;&gt;"",ISNUMBER($I337),OR(VALUE(LEFT($B337,4))-$I337&lt;4+IFERROR(MATCH($C337,LISTE_NIVEAUX,0),99),VALUE(LEFT($B337,4))-$I337&gt;6+IFERROR(MATCH($C337,LISTE_NIVEAUX,0),99))),"⚠ Vérifier niveau",IF(AND(IFERROR(VLOOKUP($C337,TABLE_CYCLE,2,0),3)=2,COUNT($O337:$Q337)&gt;0),"⚠ Tests cycle 3",IF(COUNT($J337:$Q337)&gt;=IF(IFERROR(VLOOKUP($C337,TABLE_CYCLE,2,0),3)=2,5,8),"Complet","Incomplet"))))))))</f>
        <v/>
      </c>
      <c r="S337" s="24"/>
      <c r="T337" s="67" t="str">
        <f t="shared" si="46"/>
        <v/>
      </c>
      <c r="U337" s="67" t="str">
        <f t="shared" si="47"/>
        <v/>
      </c>
      <c r="V337" s="67" t="str">
        <f t="shared" si="48"/>
        <v/>
      </c>
      <c r="W337" s="67" t="str">
        <f t="shared" si="49"/>
        <v/>
      </c>
      <c r="X337" s="67" t="str">
        <f t="shared" si="50"/>
        <v/>
      </c>
      <c r="Y337" s="24" t="str">
        <f t="shared" si="51"/>
        <v/>
      </c>
      <c r="Z337">
        <f t="shared" si="52"/>
        <v>0</v>
      </c>
      <c r="AA337">
        <f t="shared" si="53"/>
        <v>0</v>
      </c>
    </row>
    <row r="338" spans="2:27" ht="15.75" customHeight="1" x14ac:dyDescent="0.3">
      <c r="B338" s="25"/>
      <c r="C338" s="25"/>
      <c r="D338" s="25"/>
      <c r="E338" s="26" t="str">
        <f t="shared" si="45"/>
        <v/>
      </c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3" t="str">
        <f>IF($F338="","",IF(OR($B338="",$C338="",$D338=""),"⚠ Compléter Année/Niveau/Session",IF(AND($E338&lt;&gt;"",COUNTIF(D_KEY_DOUBLON,$B338&amp;"|"&amp;$D338&amp;"|"&amp;$E338)&gt;1),"⚠ Doublon",IF(AND($E338&lt;&gt;"",COUNTIF(D_KEY_STATUT,$B338&amp;"|"&amp;$E338&amp;"|P")&gt;0,COUNTIF(D_KEY_STATUT,$B338&amp;"|"&amp;$E338&amp;"|A")&gt;0),"⚠ Statut incohérent",IF(AND($D338="S1",$Y338&lt;&gt;"Parti",COUNTIF(ANNEES_VERROU,$B338)&gt;0,COUNTIF(D_KEY_NIVSES,$B338&amp;"|"&amp;$C338&amp;"|S2")&gt;0,COUNTIF(D_KEY_DOUBLON,$B338&amp;"|S2|"&amp;$E338)=0),"⚠ Départ non confirmé ?",IF(AND($C338&lt;&gt;"",ISNUMBER($I338),OR(VALUE(LEFT($B338,4))-$I338&lt;4+IFERROR(MATCH($C338,LISTE_NIVEAUX,0),99),VALUE(LEFT($B338,4))-$I338&gt;6+IFERROR(MATCH($C338,LISTE_NIVEAUX,0),99))),"⚠ Vérifier niveau",IF(AND(IFERROR(VLOOKUP($C338,TABLE_CYCLE,2,0),3)=2,COUNT($O338:$Q338)&gt;0),"⚠ Tests cycle 3",IF(COUNT($J338:$Q338)&gt;=IF(IFERROR(VLOOKUP($C338,TABLE_CYCLE,2,0),3)=2,5,8),"Complet","Incomplet"))))))))</f>
        <v/>
      </c>
      <c r="S338" s="24"/>
      <c r="T338" s="67" t="str">
        <f t="shared" si="46"/>
        <v/>
      </c>
      <c r="U338" s="67" t="str">
        <f t="shared" si="47"/>
        <v/>
      </c>
      <c r="V338" s="67" t="str">
        <f t="shared" si="48"/>
        <v/>
      </c>
      <c r="W338" s="67" t="str">
        <f t="shared" si="49"/>
        <v/>
      </c>
      <c r="X338" s="67" t="str">
        <f t="shared" si="50"/>
        <v/>
      </c>
      <c r="Y338" s="24" t="str">
        <f t="shared" si="51"/>
        <v/>
      </c>
      <c r="Z338">
        <f t="shared" si="52"/>
        <v>0</v>
      </c>
      <c r="AA338">
        <f t="shared" si="53"/>
        <v>0</v>
      </c>
    </row>
    <row r="339" spans="2:27" ht="15.75" customHeight="1" x14ac:dyDescent="0.3">
      <c r="B339" s="21"/>
      <c r="C339" s="21"/>
      <c r="D339" s="21"/>
      <c r="E339" s="22" t="str">
        <f t="shared" si="45"/>
        <v/>
      </c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3" t="str">
        <f>IF($F339="","",IF(OR($B339="",$C339="",$D339=""),"⚠ Compléter Année/Niveau/Session",IF(AND($E339&lt;&gt;"",COUNTIF(D_KEY_DOUBLON,$B339&amp;"|"&amp;$D339&amp;"|"&amp;$E339)&gt;1),"⚠ Doublon",IF(AND($E339&lt;&gt;"",COUNTIF(D_KEY_STATUT,$B339&amp;"|"&amp;$E339&amp;"|P")&gt;0,COUNTIF(D_KEY_STATUT,$B339&amp;"|"&amp;$E339&amp;"|A")&gt;0),"⚠ Statut incohérent",IF(AND($D339="S1",$Y339&lt;&gt;"Parti",COUNTIF(ANNEES_VERROU,$B339)&gt;0,COUNTIF(D_KEY_NIVSES,$B339&amp;"|"&amp;$C339&amp;"|S2")&gt;0,COUNTIF(D_KEY_DOUBLON,$B339&amp;"|S2|"&amp;$E339)=0),"⚠ Départ non confirmé ?",IF(AND($C339&lt;&gt;"",ISNUMBER($I339),OR(VALUE(LEFT($B339,4))-$I339&lt;4+IFERROR(MATCH($C339,LISTE_NIVEAUX,0),99),VALUE(LEFT($B339,4))-$I339&gt;6+IFERROR(MATCH($C339,LISTE_NIVEAUX,0),99))),"⚠ Vérifier niveau",IF(AND(IFERROR(VLOOKUP($C339,TABLE_CYCLE,2,0),3)=2,COUNT($O339:$Q339)&gt;0),"⚠ Tests cycle 3",IF(COUNT($J339:$Q339)&gt;=IF(IFERROR(VLOOKUP($C339,TABLE_CYCLE,2,0),3)=2,5,8),"Complet","Incomplet"))))))))</f>
        <v/>
      </c>
      <c r="S339" s="24"/>
      <c r="T339" s="67" t="str">
        <f t="shared" si="46"/>
        <v/>
      </c>
      <c r="U339" s="67" t="str">
        <f t="shared" si="47"/>
        <v/>
      </c>
      <c r="V339" s="67" t="str">
        <f t="shared" si="48"/>
        <v/>
      </c>
      <c r="W339" s="67" t="str">
        <f t="shared" si="49"/>
        <v/>
      </c>
      <c r="X339" s="67" t="str">
        <f t="shared" si="50"/>
        <v/>
      </c>
      <c r="Y339" s="24" t="str">
        <f t="shared" si="51"/>
        <v/>
      </c>
      <c r="Z339">
        <f t="shared" si="52"/>
        <v>0</v>
      </c>
      <c r="AA339">
        <f t="shared" si="53"/>
        <v>0</v>
      </c>
    </row>
    <row r="340" spans="2:27" ht="15.75" customHeight="1" x14ac:dyDescent="0.3">
      <c r="B340" s="25"/>
      <c r="C340" s="25"/>
      <c r="D340" s="25"/>
      <c r="E340" s="26" t="str">
        <f t="shared" si="45"/>
        <v/>
      </c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3" t="str">
        <f>IF($F340="","",IF(OR($B340="",$C340="",$D340=""),"⚠ Compléter Année/Niveau/Session",IF(AND($E340&lt;&gt;"",COUNTIF(D_KEY_DOUBLON,$B340&amp;"|"&amp;$D340&amp;"|"&amp;$E340)&gt;1),"⚠ Doublon",IF(AND($E340&lt;&gt;"",COUNTIF(D_KEY_STATUT,$B340&amp;"|"&amp;$E340&amp;"|P")&gt;0,COUNTIF(D_KEY_STATUT,$B340&amp;"|"&amp;$E340&amp;"|A")&gt;0),"⚠ Statut incohérent",IF(AND($D340="S1",$Y340&lt;&gt;"Parti",COUNTIF(ANNEES_VERROU,$B340)&gt;0,COUNTIF(D_KEY_NIVSES,$B340&amp;"|"&amp;$C340&amp;"|S2")&gt;0,COUNTIF(D_KEY_DOUBLON,$B340&amp;"|S2|"&amp;$E340)=0),"⚠ Départ non confirmé ?",IF(AND($C340&lt;&gt;"",ISNUMBER($I340),OR(VALUE(LEFT($B340,4))-$I340&lt;4+IFERROR(MATCH($C340,LISTE_NIVEAUX,0),99),VALUE(LEFT($B340,4))-$I340&gt;6+IFERROR(MATCH($C340,LISTE_NIVEAUX,0),99))),"⚠ Vérifier niveau",IF(AND(IFERROR(VLOOKUP($C340,TABLE_CYCLE,2,0),3)=2,COUNT($O340:$Q340)&gt;0),"⚠ Tests cycle 3",IF(COUNT($J340:$Q340)&gt;=IF(IFERROR(VLOOKUP($C340,TABLE_CYCLE,2,0),3)=2,5,8),"Complet","Incomplet"))))))))</f>
        <v/>
      </c>
      <c r="S340" s="24"/>
      <c r="T340" s="67" t="str">
        <f t="shared" si="46"/>
        <v/>
      </c>
      <c r="U340" s="67" t="str">
        <f t="shared" si="47"/>
        <v/>
      </c>
      <c r="V340" s="67" t="str">
        <f t="shared" si="48"/>
        <v/>
      </c>
      <c r="W340" s="67" t="str">
        <f t="shared" si="49"/>
        <v/>
      </c>
      <c r="X340" s="67" t="str">
        <f t="shared" si="50"/>
        <v/>
      </c>
      <c r="Y340" s="24" t="str">
        <f t="shared" si="51"/>
        <v/>
      </c>
      <c r="Z340">
        <f t="shared" si="52"/>
        <v>0</v>
      </c>
      <c r="AA340">
        <f t="shared" si="53"/>
        <v>0</v>
      </c>
    </row>
    <row r="341" spans="2:27" ht="15.75" customHeight="1" x14ac:dyDescent="0.3">
      <c r="B341" s="21"/>
      <c r="C341" s="21"/>
      <c r="D341" s="21"/>
      <c r="E341" s="22" t="str">
        <f t="shared" si="45"/>
        <v/>
      </c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3" t="str">
        <f>IF($F341="","",IF(OR($B341="",$C341="",$D341=""),"⚠ Compléter Année/Niveau/Session",IF(AND($E341&lt;&gt;"",COUNTIF(D_KEY_DOUBLON,$B341&amp;"|"&amp;$D341&amp;"|"&amp;$E341)&gt;1),"⚠ Doublon",IF(AND($E341&lt;&gt;"",COUNTIF(D_KEY_STATUT,$B341&amp;"|"&amp;$E341&amp;"|P")&gt;0,COUNTIF(D_KEY_STATUT,$B341&amp;"|"&amp;$E341&amp;"|A")&gt;0),"⚠ Statut incohérent",IF(AND($D341="S1",$Y341&lt;&gt;"Parti",COUNTIF(ANNEES_VERROU,$B341)&gt;0,COUNTIF(D_KEY_NIVSES,$B341&amp;"|"&amp;$C341&amp;"|S2")&gt;0,COUNTIF(D_KEY_DOUBLON,$B341&amp;"|S2|"&amp;$E341)=0),"⚠ Départ non confirmé ?",IF(AND($C341&lt;&gt;"",ISNUMBER($I341),OR(VALUE(LEFT($B341,4))-$I341&lt;4+IFERROR(MATCH($C341,LISTE_NIVEAUX,0),99),VALUE(LEFT($B341,4))-$I341&gt;6+IFERROR(MATCH($C341,LISTE_NIVEAUX,0),99))),"⚠ Vérifier niveau",IF(AND(IFERROR(VLOOKUP($C341,TABLE_CYCLE,2,0),3)=2,COUNT($O341:$Q341)&gt;0),"⚠ Tests cycle 3",IF(COUNT($J341:$Q341)&gt;=IF(IFERROR(VLOOKUP($C341,TABLE_CYCLE,2,0),3)=2,5,8),"Complet","Incomplet"))))))))</f>
        <v/>
      </c>
      <c r="S341" s="24"/>
      <c r="T341" s="67" t="str">
        <f t="shared" si="46"/>
        <v/>
      </c>
      <c r="U341" s="67" t="str">
        <f t="shared" si="47"/>
        <v/>
      </c>
      <c r="V341" s="67" t="str">
        <f t="shared" si="48"/>
        <v/>
      </c>
      <c r="W341" s="67" t="str">
        <f t="shared" si="49"/>
        <v/>
      </c>
      <c r="X341" s="67" t="str">
        <f t="shared" si="50"/>
        <v/>
      </c>
      <c r="Y341" s="24" t="str">
        <f t="shared" si="51"/>
        <v/>
      </c>
      <c r="Z341">
        <f t="shared" si="52"/>
        <v>0</v>
      </c>
      <c r="AA341">
        <f t="shared" si="53"/>
        <v>0</v>
      </c>
    </row>
    <row r="342" spans="2:27" ht="15.75" customHeight="1" x14ac:dyDescent="0.3">
      <c r="B342" s="25"/>
      <c r="C342" s="25"/>
      <c r="D342" s="25"/>
      <c r="E342" s="26" t="str">
        <f t="shared" si="45"/>
        <v/>
      </c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3" t="str">
        <f>IF($F342="","",IF(OR($B342="",$C342="",$D342=""),"⚠ Compléter Année/Niveau/Session",IF(AND($E342&lt;&gt;"",COUNTIF(D_KEY_DOUBLON,$B342&amp;"|"&amp;$D342&amp;"|"&amp;$E342)&gt;1),"⚠ Doublon",IF(AND($E342&lt;&gt;"",COUNTIF(D_KEY_STATUT,$B342&amp;"|"&amp;$E342&amp;"|P")&gt;0,COUNTIF(D_KEY_STATUT,$B342&amp;"|"&amp;$E342&amp;"|A")&gt;0),"⚠ Statut incohérent",IF(AND($D342="S1",$Y342&lt;&gt;"Parti",COUNTIF(ANNEES_VERROU,$B342)&gt;0,COUNTIF(D_KEY_NIVSES,$B342&amp;"|"&amp;$C342&amp;"|S2")&gt;0,COUNTIF(D_KEY_DOUBLON,$B342&amp;"|S2|"&amp;$E342)=0),"⚠ Départ non confirmé ?",IF(AND($C342&lt;&gt;"",ISNUMBER($I342),OR(VALUE(LEFT($B342,4))-$I342&lt;4+IFERROR(MATCH($C342,LISTE_NIVEAUX,0),99),VALUE(LEFT($B342,4))-$I342&gt;6+IFERROR(MATCH($C342,LISTE_NIVEAUX,0),99))),"⚠ Vérifier niveau",IF(AND(IFERROR(VLOOKUP($C342,TABLE_CYCLE,2,0),3)=2,COUNT($O342:$Q342)&gt;0),"⚠ Tests cycle 3",IF(COUNT($J342:$Q342)&gt;=IF(IFERROR(VLOOKUP($C342,TABLE_CYCLE,2,0),3)=2,5,8),"Complet","Incomplet"))))))))</f>
        <v/>
      </c>
      <c r="S342" s="24"/>
      <c r="T342" s="67" t="str">
        <f t="shared" si="46"/>
        <v/>
      </c>
      <c r="U342" s="67" t="str">
        <f t="shared" si="47"/>
        <v/>
      </c>
      <c r="V342" s="67" t="str">
        <f t="shared" si="48"/>
        <v/>
      </c>
      <c r="W342" s="67" t="str">
        <f t="shared" si="49"/>
        <v/>
      </c>
      <c r="X342" s="67" t="str">
        <f t="shared" si="50"/>
        <v/>
      </c>
      <c r="Y342" s="24" t="str">
        <f t="shared" si="51"/>
        <v/>
      </c>
      <c r="Z342">
        <f t="shared" si="52"/>
        <v>0</v>
      </c>
      <c r="AA342">
        <f t="shared" si="53"/>
        <v>0</v>
      </c>
    </row>
    <row r="343" spans="2:27" ht="15.75" customHeight="1" x14ac:dyDescent="0.3">
      <c r="B343" s="21"/>
      <c r="C343" s="21"/>
      <c r="D343" s="21"/>
      <c r="E343" s="22" t="str">
        <f t="shared" si="45"/>
        <v/>
      </c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3" t="str">
        <f>IF($F343="","",IF(OR($B343="",$C343="",$D343=""),"⚠ Compléter Année/Niveau/Session",IF(AND($E343&lt;&gt;"",COUNTIF(D_KEY_DOUBLON,$B343&amp;"|"&amp;$D343&amp;"|"&amp;$E343)&gt;1),"⚠ Doublon",IF(AND($E343&lt;&gt;"",COUNTIF(D_KEY_STATUT,$B343&amp;"|"&amp;$E343&amp;"|P")&gt;0,COUNTIF(D_KEY_STATUT,$B343&amp;"|"&amp;$E343&amp;"|A")&gt;0),"⚠ Statut incohérent",IF(AND($D343="S1",$Y343&lt;&gt;"Parti",COUNTIF(ANNEES_VERROU,$B343)&gt;0,COUNTIF(D_KEY_NIVSES,$B343&amp;"|"&amp;$C343&amp;"|S2")&gt;0,COUNTIF(D_KEY_DOUBLON,$B343&amp;"|S2|"&amp;$E343)=0),"⚠ Départ non confirmé ?",IF(AND($C343&lt;&gt;"",ISNUMBER($I343),OR(VALUE(LEFT($B343,4))-$I343&lt;4+IFERROR(MATCH($C343,LISTE_NIVEAUX,0),99),VALUE(LEFT($B343,4))-$I343&gt;6+IFERROR(MATCH($C343,LISTE_NIVEAUX,0),99))),"⚠ Vérifier niveau",IF(AND(IFERROR(VLOOKUP($C343,TABLE_CYCLE,2,0),3)=2,COUNT($O343:$Q343)&gt;0),"⚠ Tests cycle 3",IF(COUNT($J343:$Q343)&gt;=IF(IFERROR(VLOOKUP($C343,TABLE_CYCLE,2,0),3)=2,5,8),"Complet","Incomplet"))))))))</f>
        <v/>
      </c>
      <c r="S343" s="24"/>
      <c r="T343" s="67" t="str">
        <f t="shared" si="46"/>
        <v/>
      </c>
      <c r="U343" s="67" t="str">
        <f t="shared" si="47"/>
        <v/>
      </c>
      <c r="V343" s="67" t="str">
        <f t="shared" si="48"/>
        <v/>
      </c>
      <c r="W343" s="67" t="str">
        <f t="shared" si="49"/>
        <v/>
      </c>
      <c r="X343" s="67" t="str">
        <f t="shared" si="50"/>
        <v/>
      </c>
      <c r="Y343" s="24" t="str">
        <f t="shared" si="51"/>
        <v/>
      </c>
      <c r="Z343">
        <f t="shared" si="52"/>
        <v>0</v>
      </c>
      <c r="AA343">
        <f t="shared" si="53"/>
        <v>0</v>
      </c>
    </row>
    <row r="344" spans="2:27" ht="15.75" customHeight="1" x14ac:dyDescent="0.3">
      <c r="B344" s="25"/>
      <c r="C344" s="25"/>
      <c r="D344" s="25"/>
      <c r="E344" s="26" t="str">
        <f t="shared" si="45"/>
        <v/>
      </c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3" t="str">
        <f>IF($F344="","",IF(OR($B344="",$C344="",$D344=""),"⚠ Compléter Année/Niveau/Session",IF(AND($E344&lt;&gt;"",COUNTIF(D_KEY_DOUBLON,$B344&amp;"|"&amp;$D344&amp;"|"&amp;$E344)&gt;1),"⚠ Doublon",IF(AND($E344&lt;&gt;"",COUNTIF(D_KEY_STATUT,$B344&amp;"|"&amp;$E344&amp;"|P")&gt;0,COUNTIF(D_KEY_STATUT,$B344&amp;"|"&amp;$E344&amp;"|A")&gt;0),"⚠ Statut incohérent",IF(AND($D344="S1",$Y344&lt;&gt;"Parti",COUNTIF(ANNEES_VERROU,$B344)&gt;0,COUNTIF(D_KEY_NIVSES,$B344&amp;"|"&amp;$C344&amp;"|S2")&gt;0,COUNTIF(D_KEY_DOUBLON,$B344&amp;"|S2|"&amp;$E344)=0),"⚠ Départ non confirmé ?",IF(AND($C344&lt;&gt;"",ISNUMBER($I344),OR(VALUE(LEFT($B344,4))-$I344&lt;4+IFERROR(MATCH($C344,LISTE_NIVEAUX,0),99),VALUE(LEFT($B344,4))-$I344&gt;6+IFERROR(MATCH($C344,LISTE_NIVEAUX,0),99))),"⚠ Vérifier niveau",IF(AND(IFERROR(VLOOKUP($C344,TABLE_CYCLE,2,0),3)=2,COUNT($O344:$Q344)&gt;0),"⚠ Tests cycle 3",IF(COUNT($J344:$Q344)&gt;=IF(IFERROR(VLOOKUP($C344,TABLE_CYCLE,2,0),3)=2,5,8),"Complet","Incomplet"))))))))</f>
        <v/>
      </c>
      <c r="S344" s="24"/>
      <c r="T344" s="67" t="str">
        <f t="shared" si="46"/>
        <v/>
      </c>
      <c r="U344" s="67" t="str">
        <f t="shared" si="47"/>
        <v/>
      </c>
      <c r="V344" s="67" t="str">
        <f t="shared" si="48"/>
        <v/>
      </c>
      <c r="W344" s="67" t="str">
        <f t="shared" si="49"/>
        <v/>
      </c>
      <c r="X344" s="67" t="str">
        <f t="shared" si="50"/>
        <v/>
      </c>
      <c r="Y344" s="24" t="str">
        <f t="shared" si="51"/>
        <v/>
      </c>
      <c r="Z344">
        <f t="shared" si="52"/>
        <v>0</v>
      </c>
      <c r="AA344">
        <f t="shared" si="53"/>
        <v>0</v>
      </c>
    </row>
    <row r="345" spans="2:27" ht="15.75" customHeight="1" x14ac:dyDescent="0.3">
      <c r="B345" s="21"/>
      <c r="C345" s="21"/>
      <c r="D345" s="21"/>
      <c r="E345" s="22" t="str">
        <f t="shared" si="45"/>
        <v/>
      </c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3" t="str">
        <f>IF($F345="","",IF(OR($B345="",$C345="",$D345=""),"⚠ Compléter Année/Niveau/Session",IF(AND($E345&lt;&gt;"",COUNTIF(D_KEY_DOUBLON,$B345&amp;"|"&amp;$D345&amp;"|"&amp;$E345)&gt;1),"⚠ Doublon",IF(AND($E345&lt;&gt;"",COUNTIF(D_KEY_STATUT,$B345&amp;"|"&amp;$E345&amp;"|P")&gt;0,COUNTIF(D_KEY_STATUT,$B345&amp;"|"&amp;$E345&amp;"|A")&gt;0),"⚠ Statut incohérent",IF(AND($D345="S1",$Y345&lt;&gt;"Parti",COUNTIF(ANNEES_VERROU,$B345)&gt;0,COUNTIF(D_KEY_NIVSES,$B345&amp;"|"&amp;$C345&amp;"|S2")&gt;0,COUNTIF(D_KEY_DOUBLON,$B345&amp;"|S2|"&amp;$E345)=0),"⚠ Départ non confirmé ?",IF(AND($C345&lt;&gt;"",ISNUMBER($I345),OR(VALUE(LEFT($B345,4))-$I345&lt;4+IFERROR(MATCH($C345,LISTE_NIVEAUX,0),99),VALUE(LEFT($B345,4))-$I345&gt;6+IFERROR(MATCH($C345,LISTE_NIVEAUX,0),99))),"⚠ Vérifier niveau",IF(AND(IFERROR(VLOOKUP($C345,TABLE_CYCLE,2,0),3)=2,COUNT($O345:$Q345)&gt;0),"⚠ Tests cycle 3",IF(COUNT($J345:$Q345)&gt;=IF(IFERROR(VLOOKUP($C345,TABLE_CYCLE,2,0),3)=2,5,8),"Complet","Incomplet"))))))))</f>
        <v/>
      </c>
      <c r="S345" s="24"/>
      <c r="T345" s="67" t="str">
        <f t="shared" si="46"/>
        <v/>
      </c>
      <c r="U345" s="67" t="str">
        <f t="shared" si="47"/>
        <v/>
      </c>
      <c r="V345" s="67" t="str">
        <f t="shared" si="48"/>
        <v/>
      </c>
      <c r="W345" s="67" t="str">
        <f t="shared" si="49"/>
        <v/>
      </c>
      <c r="X345" s="67" t="str">
        <f t="shared" si="50"/>
        <v/>
      </c>
      <c r="Y345" s="24" t="str">
        <f t="shared" si="51"/>
        <v/>
      </c>
      <c r="Z345">
        <f t="shared" si="52"/>
        <v>0</v>
      </c>
      <c r="AA345">
        <f t="shared" si="53"/>
        <v>0</v>
      </c>
    </row>
    <row r="346" spans="2:27" ht="15.75" customHeight="1" x14ac:dyDescent="0.3">
      <c r="B346" s="25"/>
      <c r="C346" s="25"/>
      <c r="D346" s="25"/>
      <c r="E346" s="26" t="str">
        <f t="shared" si="45"/>
        <v/>
      </c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3" t="str">
        <f>IF($F346="","",IF(OR($B346="",$C346="",$D346=""),"⚠ Compléter Année/Niveau/Session",IF(AND($E346&lt;&gt;"",COUNTIF(D_KEY_DOUBLON,$B346&amp;"|"&amp;$D346&amp;"|"&amp;$E346)&gt;1),"⚠ Doublon",IF(AND($E346&lt;&gt;"",COUNTIF(D_KEY_STATUT,$B346&amp;"|"&amp;$E346&amp;"|P")&gt;0,COUNTIF(D_KEY_STATUT,$B346&amp;"|"&amp;$E346&amp;"|A")&gt;0),"⚠ Statut incohérent",IF(AND($D346="S1",$Y346&lt;&gt;"Parti",COUNTIF(ANNEES_VERROU,$B346)&gt;0,COUNTIF(D_KEY_NIVSES,$B346&amp;"|"&amp;$C346&amp;"|S2")&gt;0,COUNTIF(D_KEY_DOUBLON,$B346&amp;"|S2|"&amp;$E346)=0),"⚠ Départ non confirmé ?",IF(AND($C346&lt;&gt;"",ISNUMBER($I346),OR(VALUE(LEFT($B346,4))-$I346&lt;4+IFERROR(MATCH($C346,LISTE_NIVEAUX,0),99),VALUE(LEFT($B346,4))-$I346&gt;6+IFERROR(MATCH($C346,LISTE_NIVEAUX,0),99))),"⚠ Vérifier niveau",IF(AND(IFERROR(VLOOKUP($C346,TABLE_CYCLE,2,0),3)=2,COUNT($O346:$Q346)&gt;0),"⚠ Tests cycle 3",IF(COUNT($J346:$Q346)&gt;=IF(IFERROR(VLOOKUP($C346,TABLE_CYCLE,2,0),3)=2,5,8),"Complet","Incomplet"))))))))</f>
        <v/>
      </c>
      <c r="S346" s="24"/>
      <c r="T346" s="67" t="str">
        <f t="shared" si="46"/>
        <v/>
      </c>
      <c r="U346" s="67" t="str">
        <f t="shared" si="47"/>
        <v/>
      </c>
      <c r="V346" s="67" t="str">
        <f t="shared" si="48"/>
        <v/>
      </c>
      <c r="W346" s="67" t="str">
        <f t="shared" si="49"/>
        <v/>
      </c>
      <c r="X346" s="67" t="str">
        <f t="shared" si="50"/>
        <v/>
      </c>
      <c r="Y346" s="24" t="str">
        <f t="shared" si="51"/>
        <v/>
      </c>
      <c r="Z346">
        <f t="shared" si="52"/>
        <v>0</v>
      </c>
      <c r="AA346">
        <f t="shared" si="53"/>
        <v>0</v>
      </c>
    </row>
    <row r="347" spans="2:27" ht="15.75" customHeight="1" x14ac:dyDescent="0.3">
      <c r="B347" s="21"/>
      <c r="C347" s="21"/>
      <c r="D347" s="21"/>
      <c r="E347" s="22" t="str">
        <f t="shared" si="45"/>
        <v/>
      </c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3" t="str">
        <f>IF($F347="","",IF(OR($B347="",$C347="",$D347=""),"⚠ Compléter Année/Niveau/Session",IF(AND($E347&lt;&gt;"",COUNTIF(D_KEY_DOUBLON,$B347&amp;"|"&amp;$D347&amp;"|"&amp;$E347)&gt;1),"⚠ Doublon",IF(AND($E347&lt;&gt;"",COUNTIF(D_KEY_STATUT,$B347&amp;"|"&amp;$E347&amp;"|P")&gt;0,COUNTIF(D_KEY_STATUT,$B347&amp;"|"&amp;$E347&amp;"|A")&gt;0),"⚠ Statut incohérent",IF(AND($D347="S1",$Y347&lt;&gt;"Parti",COUNTIF(ANNEES_VERROU,$B347)&gt;0,COUNTIF(D_KEY_NIVSES,$B347&amp;"|"&amp;$C347&amp;"|S2")&gt;0,COUNTIF(D_KEY_DOUBLON,$B347&amp;"|S2|"&amp;$E347)=0),"⚠ Départ non confirmé ?",IF(AND($C347&lt;&gt;"",ISNUMBER($I347),OR(VALUE(LEFT($B347,4))-$I347&lt;4+IFERROR(MATCH($C347,LISTE_NIVEAUX,0),99),VALUE(LEFT($B347,4))-$I347&gt;6+IFERROR(MATCH($C347,LISTE_NIVEAUX,0),99))),"⚠ Vérifier niveau",IF(AND(IFERROR(VLOOKUP($C347,TABLE_CYCLE,2,0),3)=2,COUNT($O347:$Q347)&gt;0),"⚠ Tests cycle 3",IF(COUNT($J347:$Q347)&gt;=IF(IFERROR(VLOOKUP($C347,TABLE_CYCLE,2,0),3)=2,5,8),"Complet","Incomplet"))))))))</f>
        <v/>
      </c>
      <c r="S347" s="24"/>
      <c r="T347" s="67" t="str">
        <f t="shared" si="46"/>
        <v/>
      </c>
      <c r="U347" s="67" t="str">
        <f t="shared" si="47"/>
        <v/>
      </c>
      <c r="V347" s="67" t="str">
        <f t="shared" si="48"/>
        <v/>
      </c>
      <c r="W347" s="67" t="str">
        <f t="shared" si="49"/>
        <v/>
      </c>
      <c r="X347" s="67" t="str">
        <f t="shared" si="50"/>
        <v/>
      </c>
      <c r="Y347" s="24" t="str">
        <f t="shared" si="51"/>
        <v/>
      </c>
      <c r="Z347">
        <f t="shared" si="52"/>
        <v>0</v>
      </c>
      <c r="AA347">
        <f t="shared" si="53"/>
        <v>0</v>
      </c>
    </row>
    <row r="348" spans="2:27" ht="15.75" customHeight="1" x14ac:dyDescent="0.3">
      <c r="B348" s="25"/>
      <c r="C348" s="25"/>
      <c r="D348" s="25"/>
      <c r="E348" s="26" t="str">
        <f t="shared" si="45"/>
        <v/>
      </c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3" t="str">
        <f>IF($F348="","",IF(OR($B348="",$C348="",$D348=""),"⚠ Compléter Année/Niveau/Session",IF(AND($E348&lt;&gt;"",COUNTIF(D_KEY_DOUBLON,$B348&amp;"|"&amp;$D348&amp;"|"&amp;$E348)&gt;1),"⚠ Doublon",IF(AND($E348&lt;&gt;"",COUNTIF(D_KEY_STATUT,$B348&amp;"|"&amp;$E348&amp;"|P")&gt;0,COUNTIF(D_KEY_STATUT,$B348&amp;"|"&amp;$E348&amp;"|A")&gt;0),"⚠ Statut incohérent",IF(AND($D348="S1",$Y348&lt;&gt;"Parti",COUNTIF(ANNEES_VERROU,$B348)&gt;0,COUNTIF(D_KEY_NIVSES,$B348&amp;"|"&amp;$C348&amp;"|S2")&gt;0,COUNTIF(D_KEY_DOUBLON,$B348&amp;"|S2|"&amp;$E348)=0),"⚠ Départ non confirmé ?",IF(AND($C348&lt;&gt;"",ISNUMBER($I348),OR(VALUE(LEFT($B348,4))-$I348&lt;4+IFERROR(MATCH($C348,LISTE_NIVEAUX,0),99),VALUE(LEFT($B348,4))-$I348&gt;6+IFERROR(MATCH($C348,LISTE_NIVEAUX,0),99))),"⚠ Vérifier niveau",IF(AND(IFERROR(VLOOKUP($C348,TABLE_CYCLE,2,0),3)=2,COUNT($O348:$Q348)&gt;0),"⚠ Tests cycle 3",IF(COUNT($J348:$Q348)&gt;=IF(IFERROR(VLOOKUP($C348,TABLE_CYCLE,2,0),3)=2,5,8),"Complet","Incomplet"))))))))</f>
        <v/>
      </c>
      <c r="S348" s="24"/>
      <c r="T348" s="67" t="str">
        <f t="shared" si="46"/>
        <v/>
      </c>
      <c r="U348" s="67" t="str">
        <f t="shared" si="47"/>
        <v/>
      </c>
      <c r="V348" s="67" t="str">
        <f t="shared" si="48"/>
        <v/>
      </c>
      <c r="W348" s="67" t="str">
        <f t="shared" si="49"/>
        <v/>
      </c>
      <c r="X348" s="67" t="str">
        <f t="shared" si="50"/>
        <v/>
      </c>
      <c r="Y348" s="24" t="str">
        <f t="shared" si="51"/>
        <v/>
      </c>
      <c r="Z348">
        <f t="shared" si="52"/>
        <v>0</v>
      </c>
      <c r="AA348">
        <f t="shared" si="53"/>
        <v>0</v>
      </c>
    </row>
    <row r="349" spans="2:27" ht="15.75" customHeight="1" x14ac:dyDescent="0.3">
      <c r="B349" s="21"/>
      <c r="C349" s="21"/>
      <c r="D349" s="21"/>
      <c r="E349" s="22" t="str">
        <f t="shared" si="45"/>
        <v/>
      </c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3" t="str">
        <f>IF($F349="","",IF(OR($B349="",$C349="",$D349=""),"⚠ Compléter Année/Niveau/Session",IF(AND($E349&lt;&gt;"",COUNTIF(D_KEY_DOUBLON,$B349&amp;"|"&amp;$D349&amp;"|"&amp;$E349)&gt;1),"⚠ Doublon",IF(AND($E349&lt;&gt;"",COUNTIF(D_KEY_STATUT,$B349&amp;"|"&amp;$E349&amp;"|P")&gt;0,COUNTIF(D_KEY_STATUT,$B349&amp;"|"&amp;$E349&amp;"|A")&gt;0),"⚠ Statut incohérent",IF(AND($D349="S1",$Y349&lt;&gt;"Parti",COUNTIF(ANNEES_VERROU,$B349)&gt;0,COUNTIF(D_KEY_NIVSES,$B349&amp;"|"&amp;$C349&amp;"|S2")&gt;0,COUNTIF(D_KEY_DOUBLON,$B349&amp;"|S2|"&amp;$E349)=0),"⚠ Départ non confirmé ?",IF(AND($C349&lt;&gt;"",ISNUMBER($I349),OR(VALUE(LEFT($B349,4))-$I349&lt;4+IFERROR(MATCH($C349,LISTE_NIVEAUX,0),99),VALUE(LEFT($B349,4))-$I349&gt;6+IFERROR(MATCH($C349,LISTE_NIVEAUX,0),99))),"⚠ Vérifier niveau",IF(AND(IFERROR(VLOOKUP($C349,TABLE_CYCLE,2,0),3)=2,COUNT($O349:$Q349)&gt;0),"⚠ Tests cycle 3",IF(COUNT($J349:$Q349)&gt;=IF(IFERROR(VLOOKUP($C349,TABLE_CYCLE,2,0),3)=2,5,8),"Complet","Incomplet"))))))))</f>
        <v/>
      </c>
      <c r="S349" s="24"/>
      <c r="T349" s="67" t="str">
        <f t="shared" si="46"/>
        <v/>
      </c>
      <c r="U349" s="67" t="str">
        <f t="shared" si="47"/>
        <v/>
      </c>
      <c r="V349" s="67" t="str">
        <f t="shared" si="48"/>
        <v/>
      </c>
      <c r="W349" s="67" t="str">
        <f t="shared" si="49"/>
        <v/>
      </c>
      <c r="X349" s="67" t="str">
        <f t="shared" si="50"/>
        <v/>
      </c>
      <c r="Y349" s="24" t="str">
        <f t="shared" si="51"/>
        <v/>
      </c>
      <c r="Z349">
        <f t="shared" si="52"/>
        <v>0</v>
      </c>
      <c r="AA349">
        <f t="shared" si="53"/>
        <v>0</v>
      </c>
    </row>
    <row r="350" spans="2:27" ht="15.75" customHeight="1" x14ac:dyDescent="0.3">
      <c r="B350" s="25"/>
      <c r="C350" s="25"/>
      <c r="D350" s="25"/>
      <c r="E350" s="26" t="str">
        <f t="shared" si="45"/>
        <v/>
      </c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3" t="str">
        <f>IF($F350="","",IF(OR($B350="",$C350="",$D350=""),"⚠ Compléter Année/Niveau/Session",IF(AND($E350&lt;&gt;"",COUNTIF(D_KEY_DOUBLON,$B350&amp;"|"&amp;$D350&amp;"|"&amp;$E350)&gt;1),"⚠ Doublon",IF(AND($E350&lt;&gt;"",COUNTIF(D_KEY_STATUT,$B350&amp;"|"&amp;$E350&amp;"|P")&gt;0,COUNTIF(D_KEY_STATUT,$B350&amp;"|"&amp;$E350&amp;"|A")&gt;0),"⚠ Statut incohérent",IF(AND($D350="S1",$Y350&lt;&gt;"Parti",COUNTIF(ANNEES_VERROU,$B350)&gt;0,COUNTIF(D_KEY_NIVSES,$B350&amp;"|"&amp;$C350&amp;"|S2")&gt;0,COUNTIF(D_KEY_DOUBLON,$B350&amp;"|S2|"&amp;$E350)=0),"⚠ Départ non confirmé ?",IF(AND($C350&lt;&gt;"",ISNUMBER($I350),OR(VALUE(LEFT($B350,4))-$I350&lt;4+IFERROR(MATCH($C350,LISTE_NIVEAUX,0),99),VALUE(LEFT($B350,4))-$I350&gt;6+IFERROR(MATCH($C350,LISTE_NIVEAUX,0),99))),"⚠ Vérifier niveau",IF(AND(IFERROR(VLOOKUP($C350,TABLE_CYCLE,2,0),3)=2,COUNT($O350:$Q350)&gt;0),"⚠ Tests cycle 3",IF(COUNT($J350:$Q350)&gt;=IF(IFERROR(VLOOKUP($C350,TABLE_CYCLE,2,0),3)=2,5,8),"Complet","Incomplet"))))))))</f>
        <v/>
      </c>
      <c r="S350" s="24"/>
      <c r="T350" s="67" t="str">
        <f t="shared" si="46"/>
        <v/>
      </c>
      <c r="U350" s="67" t="str">
        <f t="shared" si="47"/>
        <v/>
      </c>
      <c r="V350" s="67" t="str">
        <f t="shared" si="48"/>
        <v/>
      </c>
      <c r="W350" s="67" t="str">
        <f t="shared" si="49"/>
        <v/>
      </c>
      <c r="X350" s="67" t="str">
        <f t="shared" si="50"/>
        <v/>
      </c>
      <c r="Y350" s="24" t="str">
        <f t="shared" si="51"/>
        <v/>
      </c>
      <c r="Z350">
        <f t="shared" si="52"/>
        <v>0</v>
      </c>
      <c r="AA350">
        <f t="shared" si="53"/>
        <v>0</v>
      </c>
    </row>
    <row r="351" spans="2:27" ht="15.75" customHeight="1" x14ac:dyDescent="0.3">
      <c r="B351" s="21"/>
      <c r="C351" s="21"/>
      <c r="D351" s="21"/>
      <c r="E351" s="22" t="str">
        <f t="shared" si="45"/>
        <v/>
      </c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3" t="str">
        <f>IF($F351="","",IF(OR($B351="",$C351="",$D351=""),"⚠ Compléter Année/Niveau/Session",IF(AND($E351&lt;&gt;"",COUNTIF(D_KEY_DOUBLON,$B351&amp;"|"&amp;$D351&amp;"|"&amp;$E351)&gt;1),"⚠ Doublon",IF(AND($E351&lt;&gt;"",COUNTIF(D_KEY_STATUT,$B351&amp;"|"&amp;$E351&amp;"|P")&gt;0,COUNTIF(D_KEY_STATUT,$B351&amp;"|"&amp;$E351&amp;"|A")&gt;0),"⚠ Statut incohérent",IF(AND($D351="S1",$Y351&lt;&gt;"Parti",COUNTIF(ANNEES_VERROU,$B351)&gt;0,COUNTIF(D_KEY_NIVSES,$B351&amp;"|"&amp;$C351&amp;"|S2")&gt;0,COUNTIF(D_KEY_DOUBLON,$B351&amp;"|S2|"&amp;$E351)=0),"⚠ Départ non confirmé ?",IF(AND($C351&lt;&gt;"",ISNUMBER($I351),OR(VALUE(LEFT($B351,4))-$I351&lt;4+IFERROR(MATCH($C351,LISTE_NIVEAUX,0),99),VALUE(LEFT($B351,4))-$I351&gt;6+IFERROR(MATCH($C351,LISTE_NIVEAUX,0),99))),"⚠ Vérifier niveau",IF(AND(IFERROR(VLOOKUP($C351,TABLE_CYCLE,2,0),3)=2,COUNT($O351:$Q351)&gt;0),"⚠ Tests cycle 3",IF(COUNT($J351:$Q351)&gt;=IF(IFERROR(VLOOKUP($C351,TABLE_CYCLE,2,0),3)=2,5,8),"Complet","Incomplet"))))))))</f>
        <v/>
      </c>
      <c r="S351" s="24"/>
      <c r="T351" s="67" t="str">
        <f t="shared" si="46"/>
        <v/>
      </c>
      <c r="U351" s="67" t="str">
        <f t="shared" si="47"/>
        <v/>
      </c>
      <c r="V351" s="67" t="str">
        <f t="shared" si="48"/>
        <v/>
      </c>
      <c r="W351" s="67" t="str">
        <f t="shared" si="49"/>
        <v/>
      </c>
      <c r="X351" s="67" t="str">
        <f t="shared" si="50"/>
        <v/>
      </c>
      <c r="Y351" s="24" t="str">
        <f t="shared" si="51"/>
        <v/>
      </c>
      <c r="Z351">
        <f t="shared" si="52"/>
        <v>0</v>
      </c>
      <c r="AA351">
        <f t="shared" si="53"/>
        <v>0</v>
      </c>
    </row>
    <row r="352" spans="2:27" ht="15.75" customHeight="1" x14ac:dyDescent="0.3">
      <c r="B352" s="25"/>
      <c r="C352" s="25"/>
      <c r="D352" s="25"/>
      <c r="E352" s="26" t="str">
        <f t="shared" si="45"/>
        <v/>
      </c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3" t="str">
        <f>IF($F352="","",IF(OR($B352="",$C352="",$D352=""),"⚠ Compléter Année/Niveau/Session",IF(AND($E352&lt;&gt;"",COUNTIF(D_KEY_DOUBLON,$B352&amp;"|"&amp;$D352&amp;"|"&amp;$E352)&gt;1),"⚠ Doublon",IF(AND($E352&lt;&gt;"",COUNTIF(D_KEY_STATUT,$B352&amp;"|"&amp;$E352&amp;"|P")&gt;0,COUNTIF(D_KEY_STATUT,$B352&amp;"|"&amp;$E352&amp;"|A")&gt;0),"⚠ Statut incohérent",IF(AND($D352="S1",$Y352&lt;&gt;"Parti",COUNTIF(ANNEES_VERROU,$B352)&gt;0,COUNTIF(D_KEY_NIVSES,$B352&amp;"|"&amp;$C352&amp;"|S2")&gt;0,COUNTIF(D_KEY_DOUBLON,$B352&amp;"|S2|"&amp;$E352)=0),"⚠ Départ non confirmé ?",IF(AND($C352&lt;&gt;"",ISNUMBER($I352),OR(VALUE(LEFT($B352,4))-$I352&lt;4+IFERROR(MATCH($C352,LISTE_NIVEAUX,0),99),VALUE(LEFT($B352,4))-$I352&gt;6+IFERROR(MATCH($C352,LISTE_NIVEAUX,0),99))),"⚠ Vérifier niveau",IF(AND(IFERROR(VLOOKUP($C352,TABLE_CYCLE,2,0),3)=2,COUNT($O352:$Q352)&gt;0),"⚠ Tests cycle 3",IF(COUNT($J352:$Q352)&gt;=IF(IFERROR(VLOOKUP($C352,TABLE_CYCLE,2,0),3)=2,5,8),"Complet","Incomplet"))))))))</f>
        <v/>
      </c>
      <c r="S352" s="24"/>
      <c r="T352" s="67" t="str">
        <f t="shared" si="46"/>
        <v/>
      </c>
      <c r="U352" s="67" t="str">
        <f t="shared" si="47"/>
        <v/>
      </c>
      <c r="V352" s="67" t="str">
        <f t="shared" si="48"/>
        <v/>
      </c>
      <c r="W352" s="67" t="str">
        <f t="shared" si="49"/>
        <v/>
      </c>
      <c r="X352" s="67" t="str">
        <f t="shared" si="50"/>
        <v/>
      </c>
      <c r="Y352" s="24" t="str">
        <f t="shared" si="51"/>
        <v/>
      </c>
      <c r="Z352">
        <f t="shared" si="52"/>
        <v>0</v>
      </c>
      <c r="AA352">
        <f t="shared" si="53"/>
        <v>0</v>
      </c>
    </row>
    <row r="353" spans="2:27" ht="15.75" customHeight="1" x14ac:dyDescent="0.3">
      <c r="B353" s="21"/>
      <c r="C353" s="21"/>
      <c r="D353" s="21"/>
      <c r="E353" s="22" t="str">
        <f t="shared" si="45"/>
        <v/>
      </c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3" t="str">
        <f>IF($F353="","",IF(OR($B353="",$C353="",$D353=""),"⚠ Compléter Année/Niveau/Session",IF(AND($E353&lt;&gt;"",COUNTIF(D_KEY_DOUBLON,$B353&amp;"|"&amp;$D353&amp;"|"&amp;$E353)&gt;1),"⚠ Doublon",IF(AND($E353&lt;&gt;"",COUNTIF(D_KEY_STATUT,$B353&amp;"|"&amp;$E353&amp;"|P")&gt;0,COUNTIF(D_KEY_STATUT,$B353&amp;"|"&amp;$E353&amp;"|A")&gt;0),"⚠ Statut incohérent",IF(AND($D353="S1",$Y353&lt;&gt;"Parti",COUNTIF(ANNEES_VERROU,$B353)&gt;0,COUNTIF(D_KEY_NIVSES,$B353&amp;"|"&amp;$C353&amp;"|S2")&gt;0,COUNTIF(D_KEY_DOUBLON,$B353&amp;"|S2|"&amp;$E353)=0),"⚠ Départ non confirmé ?",IF(AND($C353&lt;&gt;"",ISNUMBER($I353),OR(VALUE(LEFT($B353,4))-$I353&lt;4+IFERROR(MATCH($C353,LISTE_NIVEAUX,0),99),VALUE(LEFT($B353,4))-$I353&gt;6+IFERROR(MATCH($C353,LISTE_NIVEAUX,0),99))),"⚠ Vérifier niveau",IF(AND(IFERROR(VLOOKUP($C353,TABLE_CYCLE,2,0),3)=2,COUNT($O353:$Q353)&gt;0),"⚠ Tests cycle 3",IF(COUNT($J353:$Q353)&gt;=IF(IFERROR(VLOOKUP($C353,TABLE_CYCLE,2,0),3)=2,5,8),"Complet","Incomplet"))))))))</f>
        <v/>
      </c>
      <c r="S353" s="24"/>
      <c r="T353" s="67" t="str">
        <f t="shared" si="46"/>
        <v/>
      </c>
      <c r="U353" s="67" t="str">
        <f t="shared" si="47"/>
        <v/>
      </c>
      <c r="V353" s="67" t="str">
        <f t="shared" si="48"/>
        <v/>
      </c>
      <c r="W353" s="67" t="str">
        <f t="shared" si="49"/>
        <v/>
      </c>
      <c r="X353" s="67" t="str">
        <f t="shared" si="50"/>
        <v/>
      </c>
      <c r="Y353" s="24" t="str">
        <f t="shared" si="51"/>
        <v/>
      </c>
      <c r="Z353">
        <f t="shared" si="52"/>
        <v>0</v>
      </c>
      <c r="AA353">
        <f t="shared" si="53"/>
        <v>0</v>
      </c>
    </row>
    <row r="354" spans="2:27" ht="15.75" customHeight="1" x14ac:dyDescent="0.3">
      <c r="B354" s="25"/>
      <c r="C354" s="25"/>
      <c r="D354" s="25"/>
      <c r="E354" s="26" t="str">
        <f t="shared" si="45"/>
        <v/>
      </c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3" t="str">
        <f>IF($F354="","",IF(OR($B354="",$C354="",$D354=""),"⚠ Compléter Année/Niveau/Session",IF(AND($E354&lt;&gt;"",COUNTIF(D_KEY_DOUBLON,$B354&amp;"|"&amp;$D354&amp;"|"&amp;$E354)&gt;1),"⚠ Doublon",IF(AND($E354&lt;&gt;"",COUNTIF(D_KEY_STATUT,$B354&amp;"|"&amp;$E354&amp;"|P")&gt;0,COUNTIF(D_KEY_STATUT,$B354&amp;"|"&amp;$E354&amp;"|A")&gt;0),"⚠ Statut incohérent",IF(AND($D354="S1",$Y354&lt;&gt;"Parti",COUNTIF(ANNEES_VERROU,$B354)&gt;0,COUNTIF(D_KEY_NIVSES,$B354&amp;"|"&amp;$C354&amp;"|S2")&gt;0,COUNTIF(D_KEY_DOUBLON,$B354&amp;"|S2|"&amp;$E354)=0),"⚠ Départ non confirmé ?",IF(AND($C354&lt;&gt;"",ISNUMBER($I354),OR(VALUE(LEFT($B354,4))-$I354&lt;4+IFERROR(MATCH($C354,LISTE_NIVEAUX,0),99),VALUE(LEFT($B354,4))-$I354&gt;6+IFERROR(MATCH($C354,LISTE_NIVEAUX,0),99))),"⚠ Vérifier niveau",IF(AND(IFERROR(VLOOKUP($C354,TABLE_CYCLE,2,0),3)=2,COUNT($O354:$Q354)&gt;0),"⚠ Tests cycle 3",IF(COUNT($J354:$Q354)&gt;=IF(IFERROR(VLOOKUP($C354,TABLE_CYCLE,2,0),3)=2,5,8),"Complet","Incomplet"))))))))</f>
        <v/>
      </c>
      <c r="S354" s="24"/>
      <c r="T354" s="67" t="str">
        <f t="shared" si="46"/>
        <v/>
      </c>
      <c r="U354" s="67" t="str">
        <f t="shared" si="47"/>
        <v/>
      </c>
      <c r="V354" s="67" t="str">
        <f t="shared" si="48"/>
        <v/>
      </c>
      <c r="W354" s="67" t="str">
        <f t="shared" si="49"/>
        <v/>
      </c>
      <c r="X354" s="67" t="str">
        <f t="shared" si="50"/>
        <v/>
      </c>
      <c r="Y354" s="24" t="str">
        <f t="shared" si="51"/>
        <v/>
      </c>
      <c r="Z354">
        <f t="shared" si="52"/>
        <v>0</v>
      </c>
      <c r="AA354">
        <f t="shared" si="53"/>
        <v>0</v>
      </c>
    </row>
    <row r="355" spans="2:27" ht="15.75" customHeight="1" x14ac:dyDescent="0.3">
      <c r="B355" s="21"/>
      <c r="C355" s="21"/>
      <c r="D355" s="21"/>
      <c r="E355" s="22" t="str">
        <f t="shared" si="45"/>
        <v/>
      </c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3" t="str">
        <f>IF($F355="","",IF(OR($B355="",$C355="",$D355=""),"⚠ Compléter Année/Niveau/Session",IF(AND($E355&lt;&gt;"",COUNTIF(D_KEY_DOUBLON,$B355&amp;"|"&amp;$D355&amp;"|"&amp;$E355)&gt;1),"⚠ Doublon",IF(AND($E355&lt;&gt;"",COUNTIF(D_KEY_STATUT,$B355&amp;"|"&amp;$E355&amp;"|P")&gt;0,COUNTIF(D_KEY_STATUT,$B355&amp;"|"&amp;$E355&amp;"|A")&gt;0),"⚠ Statut incohérent",IF(AND($D355="S1",$Y355&lt;&gt;"Parti",COUNTIF(ANNEES_VERROU,$B355)&gt;0,COUNTIF(D_KEY_NIVSES,$B355&amp;"|"&amp;$C355&amp;"|S2")&gt;0,COUNTIF(D_KEY_DOUBLON,$B355&amp;"|S2|"&amp;$E355)=0),"⚠ Départ non confirmé ?",IF(AND($C355&lt;&gt;"",ISNUMBER($I355),OR(VALUE(LEFT($B355,4))-$I355&lt;4+IFERROR(MATCH($C355,LISTE_NIVEAUX,0),99),VALUE(LEFT($B355,4))-$I355&gt;6+IFERROR(MATCH($C355,LISTE_NIVEAUX,0),99))),"⚠ Vérifier niveau",IF(AND(IFERROR(VLOOKUP($C355,TABLE_CYCLE,2,0),3)=2,COUNT($O355:$Q355)&gt;0),"⚠ Tests cycle 3",IF(COUNT($J355:$Q355)&gt;=IF(IFERROR(VLOOKUP($C355,TABLE_CYCLE,2,0),3)=2,5,8),"Complet","Incomplet"))))))))</f>
        <v/>
      </c>
      <c r="S355" s="24"/>
      <c r="T355" s="67" t="str">
        <f t="shared" si="46"/>
        <v/>
      </c>
      <c r="U355" s="67" t="str">
        <f t="shared" si="47"/>
        <v/>
      </c>
      <c r="V355" s="67" t="str">
        <f t="shared" si="48"/>
        <v/>
      </c>
      <c r="W355" s="67" t="str">
        <f t="shared" si="49"/>
        <v/>
      </c>
      <c r="X355" s="67" t="str">
        <f t="shared" si="50"/>
        <v/>
      </c>
      <c r="Y355" s="24" t="str">
        <f t="shared" si="51"/>
        <v/>
      </c>
      <c r="Z355">
        <f t="shared" si="52"/>
        <v>0</v>
      </c>
      <c r="AA355">
        <f t="shared" si="53"/>
        <v>0</v>
      </c>
    </row>
    <row r="356" spans="2:27" ht="15.75" customHeight="1" x14ac:dyDescent="0.3">
      <c r="B356" s="25"/>
      <c r="C356" s="25"/>
      <c r="D356" s="25"/>
      <c r="E356" s="26" t="str">
        <f t="shared" si="45"/>
        <v/>
      </c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3" t="str">
        <f>IF($F356="","",IF(OR($B356="",$C356="",$D356=""),"⚠ Compléter Année/Niveau/Session",IF(AND($E356&lt;&gt;"",COUNTIF(D_KEY_DOUBLON,$B356&amp;"|"&amp;$D356&amp;"|"&amp;$E356)&gt;1),"⚠ Doublon",IF(AND($E356&lt;&gt;"",COUNTIF(D_KEY_STATUT,$B356&amp;"|"&amp;$E356&amp;"|P")&gt;0,COUNTIF(D_KEY_STATUT,$B356&amp;"|"&amp;$E356&amp;"|A")&gt;0),"⚠ Statut incohérent",IF(AND($D356="S1",$Y356&lt;&gt;"Parti",COUNTIF(ANNEES_VERROU,$B356)&gt;0,COUNTIF(D_KEY_NIVSES,$B356&amp;"|"&amp;$C356&amp;"|S2")&gt;0,COUNTIF(D_KEY_DOUBLON,$B356&amp;"|S2|"&amp;$E356)=0),"⚠ Départ non confirmé ?",IF(AND($C356&lt;&gt;"",ISNUMBER($I356),OR(VALUE(LEFT($B356,4))-$I356&lt;4+IFERROR(MATCH($C356,LISTE_NIVEAUX,0),99),VALUE(LEFT($B356,4))-$I356&gt;6+IFERROR(MATCH($C356,LISTE_NIVEAUX,0),99))),"⚠ Vérifier niveau",IF(AND(IFERROR(VLOOKUP($C356,TABLE_CYCLE,2,0),3)=2,COUNT($O356:$Q356)&gt;0),"⚠ Tests cycle 3",IF(COUNT($J356:$Q356)&gt;=IF(IFERROR(VLOOKUP($C356,TABLE_CYCLE,2,0),3)=2,5,8),"Complet","Incomplet"))))))))</f>
        <v/>
      </c>
      <c r="S356" s="24"/>
      <c r="T356" s="67" t="str">
        <f t="shared" si="46"/>
        <v/>
      </c>
      <c r="U356" s="67" t="str">
        <f t="shared" si="47"/>
        <v/>
      </c>
      <c r="V356" s="67" t="str">
        <f t="shared" si="48"/>
        <v/>
      </c>
      <c r="W356" s="67" t="str">
        <f t="shared" si="49"/>
        <v/>
      </c>
      <c r="X356" s="67" t="str">
        <f t="shared" si="50"/>
        <v/>
      </c>
      <c r="Y356" s="24" t="str">
        <f t="shared" si="51"/>
        <v/>
      </c>
      <c r="Z356">
        <f t="shared" si="52"/>
        <v>0</v>
      </c>
      <c r="AA356">
        <f t="shared" si="53"/>
        <v>0</v>
      </c>
    </row>
    <row r="357" spans="2:27" ht="15.75" customHeight="1" x14ac:dyDescent="0.3">
      <c r="B357" s="21"/>
      <c r="C357" s="21"/>
      <c r="D357" s="21"/>
      <c r="E357" s="22" t="str">
        <f t="shared" si="45"/>
        <v/>
      </c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3" t="str">
        <f>IF($F357="","",IF(OR($B357="",$C357="",$D357=""),"⚠ Compléter Année/Niveau/Session",IF(AND($E357&lt;&gt;"",COUNTIF(D_KEY_DOUBLON,$B357&amp;"|"&amp;$D357&amp;"|"&amp;$E357)&gt;1),"⚠ Doublon",IF(AND($E357&lt;&gt;"",COUNTIF(D_KEY_STATUT,$B357&amp;"|"&amp;$E357&amp;"|P")&gt;0,COUNTIF(D_KEY_STATUT,$B357&amp;"|"&amp;$E357&amp;"|A")&gt;0),"⚠ Statut incohérent",IF(AND($D357="S1",$Y357&lt;&gt;"Parti",COUNTIF(ANNEES_VERROU,$B357)&gt;0,COUNTIF(D_KEY_NIVSES,$B357&amp;"|"&amp;$C357&amp;"|S2")&gt;0,COUNTIF(D_KEY_DOUBLON,$B357&amp;"|S2|"&amp;$E357)=0),"⚠ Départ non confirmé ?",IF(AND($C357&lt;&gt;"",ISNUMBER($I357),OR(VALUE(LEFT($B357,4))-$I357&lt;4+IFERROR(MATCH($C357,LISTE_NIVEAUX,0),99),VALUE(LEFT($B357,4))-$I357&gt;6+IFERROR(MATCH($C357,LISTE_NIVEAUX,0),99))),"⚠ Vérifier niveau",IF(AND(IFERROR(VLOOKUP($C357,TABLE_CYCLE,2,0),3)=2,COUNT($O357:$Q357)&gt;0),"⚠ Tests cycle 3",IF(COUNT($J357:$Q357)&gt;=IF(IFERROR(VLOOKUP($C357,TABLE_CYCLE,2,0),3)=2,5,8),"Complet","Incomplet"))))))))</f>
        <v/>
      </c>
      <c r="S357" s="24"/>
      <c r="T357" s="67" t="str">
        <f t="shared" si="46"/>
        <v/>
      </c>
      <c r="U357" s="67" t="str">
        <f t="shared" si="47"/>
        <v/>
      </c>
      <c r="V357" s="67" t="str">
        <f t="shared" si="48"/>
        <v/>
      </c>
      <c r="W357" s="67" t="str">
        <f t="shared" si="49"/>
        <v/>
      </c>
      <c r="X357" s="67" t="str">
        <f t="shared" si="50"/>
        <v/>
      </c>
      <c r="Y357" s="24" t="str">
        <f t="shared" si="51"/>
        <v/>
      </c>
      <c r="Z357">
        <f t="shared" si="52"/>
        <v>0</v>
      </c>
      <c r="AA357">
        <f t="shared" si="53"/>
        <v>0</v>
      </c>
    </row>
    <row r="358" spans="2:27" ht="15.75" customHeight="1" x14ac:dyDescent="0.3">
      <c r="B358" s="25"/>
      <c r="C358" s="25"/>
      <c r="D358" s="25"/>
      <c r="E358" s="26" t="str">
        <f t="shared" si="45"/>
        <v/>
      </c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3" t="str">
        <f>IF($F358="","",IF(OR($B358="",$C358="",$D358=""),"⚠ Compléter Année/Niveau/Session",IF(AND($E358&lt;&gt;"",COUNTIF(D_KEY_DOUBLON,$B358&amp;"|"&amp;$D358&amp;"|"&amp;$E358)&gt;1),"⚠ Doublon",IF(AND($E358&lt;&gt;"",COUNTIF(D_KEY_STATUT,$B358&amp;"|"&amp;$E358&amp;"|P")&gt;0,COUNTIF(D_KEY_STATUT,$B358&amp;"|"&amp;$E358&amp;"|A")&gt;0),"⚠ Statut incohérent",IF(AND($D358="S1",$Y358&lt;&gt;"Parti",COUNTIF(ANNEES_VERROU,$B358)&gt;0,COUNTIF(D_KEY_NIVSES,$B358&amp;"|"&amp;$C358&amp;"|S2")&gt;0,COUNTIF(D_KEY_DOUBLON,$B358&amp;"|S2|"&amp;$E358)=0),"⚠ Départ non confirmé ?",IF(AND($C358&lt;&gt;"",ISNUMBER($I358),OR(VALUE(LEFT($B358,4))-$I358&lt;4+IFERROR(MATCH($C358,LISTE_NIVEAUX,0),99),VALUE(LEFT($B358,4))-$I358&gt;6+IFERROR(MATCH($C358,LISTE_NIVEAUX,0),99))),"⚠ Vérifier niveau",IF(AND(IFERROR(VLOOKUP($C358,TABLE_CYCLE,2,0),3)=2,COUNT($O358:$Q358)&gt;0),"⚠ Tests cycle 3",IF(COUNT($J358:$Q358)&gt;=IF(IFERROR(VLOOKUP($C358,TABLE_CYCLE,2,0),3)=2,5,8),"Complet","Incomplet"))))))))</f>
        <v/>
      </c>
      <c r="S358" s="24"/>
      <c r="T358" s="67" t="str">
        <f t="shared" si="46"/>
        <v/>
      </c>
      <c r="U358" s="67" t="str">
        <f t="shared" si="47"/>
        <v/>
      </c>
      <c r="V358" s="67" t="str">
        <f t="shared" si="48"/>
        <v/>
      </c>
      <c r="W358" s="67" t="str">
        <f t="shared" si="49"/>
        <v/>
      </c>
      <c r="X358" s="67" t="str">
        <f t="shared" si="50"/>
        <v/>
      </c>
      <c r="Y358" s="24" t="str">
        <f t="shared" si="51"/>
        <v/>
      </c>
      <c r="Z358">
        <f t="shared" si="52"/>
        <v>0</v>
      </c>
      <c r="AA358">
        <f t="shared" si="53"/>
        <v>0</v>
      </c>
    </row>
    <row r="359" spans="2:27" ht="15.75" customHeight="1" x14ac:dyDescent="0.3">
      <c r="B359" s="21"/>
      <c r="C359" s="21"/>
      <c r="D359" s="21"/>
      <c r="E359" s="22" t="str">
        <f t="shared" si="45"/>
        <v/>
      </c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3" t="str">
        <f>IF($F359="","",IF(OR($B359="",$C359="",$D359=""),"⚠ Compléter Année/Niveau/Session",IF(AND($E359&lt;&gt;"",COUNTIF(D_KEY_DOUBLON,$B359&amp;"|"&amp;$D359&amp;"|"&amp;$E359)&gt;1),"⚠ Doublon",IF(AND($E359&lt;&gt;"",COUNTIF(D_KEY_STATUT,$B359&amp;"|"&amp;$E359&amp;"|P")&gt;0,COUNTIF(D_KEY_STATUT,$B359&amp;"|"&amp;$E359&amp;"|A")&gt;0),"⚠ Statut incohérent",IF(AND($D359="S1",$Y359&lt;&gt;"Parti",COUNTIF(ANNEES_VERROU,$B359)&gt;0,COUNTIF(D_KEY_NIVSES,$B359&amp;"|"&amp;$C359&amp;"|S2")&gt;0,COUNTIF(D_KEY_DOUBLON,$B359&amp;"|S2|"&amp;$E359)=0),"⚠ Départ non confirmé ?",IF(AND($C359&lt;&gt;"",ISNUMBER($I359),OR(VALUE(LEFT($B359,4))-$I359&lt;4+IFERROR(MATCH($C359,LISTE_NIVEAUX,0),99),VALUE(LEFT($B359,4))-$I359&gt;6+IFERROR(MATCH($C359,LISTE_NIVEAUX,0),99))),"⚠ Vérifier niveau",IF(AND(IFERROR(VLOOKUP($C359,TABLE_CYCLE,2,0),3)=2,COUNT($O359:$Q359)&gt;0),"⚠ Tests cycle 3",IF(COUNT($J359:$Q359)&gt;=IF(IFERROR(VLOOKUP($C359,TABLE_CYCLE,2,0),3)=2,5,8),"Complet","Incomplet"))))))))</f>
        <v/>
      </c>
      <c r="S359" s="24"/>
      <c r="T359" s="67" t="str">
        <f t="shared" si="46"/>
        <v/>
      </c>
      <c r="U359" s="67" t="str">
        <f t="shared" si="47"/>
        <v/>
      </c>
      <c r="V359" s="67" t="str">
        <f t="shared" si="48"/>
        <v/>
      </c>
      <c r="W359" s="67" t="str">
        <f t="shared" si="49"/>
        <v/>
      </c>
      <c r="X359" s="67" t="str">
        <f t="shared" si="50"/>
        <v/>
      </c>
      <c r="Y359" s="24" t="str">
        <f t="shared" si="51"/>
        <v/>
      </c>
      <c r="Z359">
        <f t="shared" si="52"/>
        <v>0</v>
      </c>
      <c r="AA359">
        <f t="shared" si="53"/>
        <v>0</v>
      </c>
    </row>
    <row r="360" spans="2:27" ht="15.75" customHeight="1" x14ac:dyDescent="0.3">
      <c r="B360" s="25"/>
      <c r="C360" s="25"/>
      <c r="D360" s="25"/>
      <c r="E360" s="26" t="str">
        <f t="shared" si="45"/>
        <v/>
      </c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3" t="str">
        <f>IF($F360="","",IF(OR($B360="",$C360="",$D360=""),"⚠ Compléter Année/Niveau/Session",IF(AND($E360&lt;&gt;"",COUNTIF(D_KEY_DOUBLON,$B360&amp;"|"&amp;$D360&amp;"|"&amp;$E360)&gt;1),"⚠ Doublon",IF(AND($E360&lt;&gt;"",COUNTIF(D_KEY_STATUT,$B360&amp;"|"&amp;$E360&amp;"|P")&gt;0,COUNTIF(D_KEY_STATUT,$B360&amp;"|"&amp;$E360&amp;"|A")&gt;0),"⚠ Statut incohérent",IF(AND($D360="S1",$Y360&lt;&gt;"Parti",COUNTIF(ANNEES_VERROU,$B360)&gt;0,COUNTIF(D_KEY_NIVSES,$B360&amp;"|"&amp;$C360&amp;"|S2")&gt;0,COUNTIF(D_KEY_DOUBLON,$B360&amp;"|S2|"&amp;$E360)=0),"⚠ Départ non confirmé ?",IF(AND($C360&lt;&gt;"",ISNUMBER($I360),OR(VALUE(LEFT($B360,4))-$I360&lt;4+IFERROR(MATCH($C360,LISTE_NIVEAUX,0),99),VALUE(LEFT($B360,4))-$I360&gt;6+IFERROR(MATCH($C360,LISTE_NIVEAUX,0),99))),"⚠ Vérifier niveau",IF(AND(IFERROR(VLOOKUP($C360,TABLE_CYCLE,2,0),3)=2,COUNT($O360:$Q360)&gt;0),"⚠ Tests cycle 3",IF(COUNT($J360:$Q360)&gt;=IF(IFERROR(VLOOKUP($C360,TABLE_CYCLE,2,0),3)=2,5,8),"Complet","Incomplet"))))))))</f>
        <v/>
      </c>
      <c r="S360" s="24"/>
      <c r="T360" s="67" t="str">
        <f t="shared" si="46"/>
        <v/>
      </c>
      <c r="U360" s="67" t="str">
        <f t="shared" si="47"/>
        <v/>
      </c>
      <c r="V360" s="67" t="str">
        <f t="shared" si="48"/>
        <v/>
      </c>
      <c r="W360" s="67" t="str">
        <f t="shared" si="49"/>
        <v/>
      </c>
      <c r="X360" s="67" t="str">
        <f t="shared" si="50"/>
        <v/>
      </c>
      <c r="Y360" s="24" t="str">
        <f t="shared" si="51"/>
        <v/>
      </c>
      <c r="Z360">
        <f t="shared" si="52"/>
        <v>0</v>
      </c>
      <c r="AA360">
        <f t="shared" si="53"/>
        <v>0</v>
      </c>
    </row>
    <row r="361" spans="2:27" ht="15.75" customHeight="1" x14ac:dyDescent="0.3">
      <c r="B361" s="21"/>
      <c r="C361" s="21"/>
      <c r="D361" s="21"/>
      <c r="E361" s="22" t="str">
        <f t="shared" si="45"/>
        <v/>
      </c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3" t="str">
        <f>IF($F361="","",IF(OR($B361="",$C361="",$D361=""),"⚠ Compléter Année/Niveau/Session",IF(AND($E361&lt;&gt;"",COUNTIF(D_KEY_DOUBLON,$B361&amp;"|"&amp;$D361&amp;"|"&amp;$E361)&gt;1),"⚠ Doublon",IF(AND($E361&lt;&gt;"",COUNTIF(D_KEY_STATUT,$B361&amp;"|"&amp;$E361&amp;"|P")&gt;0,COUNTIF(D_KEY_STATUT,$B361&amp;"|"&amp;$E361&amp;"|A")&gt;0),"⚠ Statut incohérent",IF(AND($D361="S1",$Y361&lt;&gt;"Parti",COUNTIF(ANNEES_VERROU,$B361)&gt;0,COUNTIF(D_KEY_NIVSES,$B361&amp;"|"&amp;$C361&amp;"|S2")&gt;0,COUNTIF(D_KEY_DOUBLON,$B361&amp;"|S2|"&amp;$E361)=0),"⚠ Départ non confirmé ?",IF(AND($C361&lt;&gt;"",ISNUMBER($I361),OR(VALUE(LEFT($B361,4))-$I361&lt;4+IFERROR(MATCH($C361,LISTE_NIVEAUX,0),99),VALUE(LEFT($B361,4))-$I361&gt;6+IFERROR(MATCH($C361,LISTE_NIVEAUX,0),99))),"⚠ Vérifier niveau",IF(AND(IFERROR(VLOOKUP($C361,TABLE_CYCLE,2,0),3)=2,COUNT($O361:$Q361)&gt;0),"⚠ Tests cycle 3",IF(COUNT($J361:$Q361)&gt;=IF(IFERROR(VLOOKUP($C361,TABLE_CYCLE,2,0),3)=2,5,8),"Complet","Incomplet"))))))))</f>
        <v/>
      </c>
      <c r="S361" s="24"/>
      <c r="T361" s="67" t="str">
        <f t="shared" si="46"/>
        <v/>
      </c>
      <c r="U361" s="67" t="str">
        <f t="shared" si="47"/>
        <v/>
      </c>
      <c r="V361" s="67" t="str">
        <f t="shared" si="48"/>
        <v/>
      </c>
      <c r="W361" s="67" t="str">
        <f t="shared" si="49"/>
        <v/>
      </c>
      <c r="X361" s="67" t="str">
        <f t="shared" si="50"/>
        <v/>
      </c>
      <c r="Y361" s="24" t="str">
        <f t="shared" si="51"/>
        <v/>
      </c>
      <c r="Z361">
        <f t="shared" si="52"/>
        <v>0</v>
      </c>
      <c r="AA361">
        <f t="shared" si="53"/>
        <v>0</v>
      </c>
    </row>
    <row r="362" spans="2:27" ht="15.75" customHeight="1" x14ac:dyDescent="0.3">
      <c r="B362" s="25"/>
      <c r="C362" s="25"/>
      <c r="D362" s="25"/>
      <c r="E362" s="26" t="str">
        <f t="shared" si="45"/>
        <v/>
      </c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3" t="str">
        <f>IF($F362="","",IF(OR($B362="",$C362="",$D362=""),"⚠ Compléter Année/Niveau/Session",IF(AND($E362&lt;&gt;"",COUNTIF(D_KEY_DOUBLON,$B362&amp;"|"&amp;$D362&amp;"|"&amp;$E362)&gt;1),"⚠ Doublon",IF(AND($E362&lt;&gt;"",COUNTIF(D_KEY_STATUT,$B362&amp;"|"&amp;$E362&amp;"|P")&gt;0,COUNTIF(D_KEY_STATUT,$B362&amp;"|"&amp;$E362&amp;"|A")&gt;0),"⚠ Statut incohérent",IF(AND($D362="S1",$Y362&lt;&gt;"Parti",COUNTIF(ANNEES_VERROU,$B362)&gt;0,COUNTIF(D_KEY_NIVSES,$B362&amp;"|"&amp;$C362&amp;"|S2")&gt;0,COUNTIF(D_KEY_DOUBLON,$B362&amp;"|S2|"&amp;$E362)=0),"⚠ Départ non confirmé ?",IF(AND($C362&lt;&gt;"",ISNUMBER($I362),OR(VALUE(LEFT($B362,4))-$I362&lt;4+IFERROR(MATCH($C362,LISTE_NIVEAUX,0),99),VALUE(LEFT($B362,4))-$I362&gt;6+IFERROR(MATCH($C362,LISTE_NIVEAUX,0),99))),"⚠ Vérifier niveau",IF(AND(IFERROR(VLOOKUP($C362,TABLE_CYCLE,2,0),3)=2,COUNT($O362:$Q362)&gt;0),"⚠ Tests cycle 3",IF(COUNT($J362:$Q362)&gt;=IF(IFERROR(VLOOKUP($C362,TABLE_CYCLE,2,0),3)=2,5,8),"Complet","Incomplet"))))))))</f>
        <v/>
      </c>
      <c r="S362" s="24"/>
      <c r="T362" s="67" t="str">
        <f t="shared" si="46"/>
        <v/>
      </c>
      <c r="U362" s="67" t="str">
        <f t="shared" si="47"/>
        <v/>
      </c>
      <c r="V362" s="67" t="str">
        <f t="shared" si="48"/>
        <v/>
      </c>
      <c r="W362" s="67" t="str">
        <f t="shared" si="49"/>
        <v/>
      </c>
      <c r="X362" s="67" t="str">
        <f t="shared" si="50"/>
        <v/>
      </c>
      <c r="Y362" s="24" t="str">
        <f t="shared" si="51"/>
        <v/>
      </c>
      <c r="Z362">
        <f t="shared" si="52"/>
        <v>0</v>
      </c>
      <c r="AA362">
        <f t="shared" si="53"/>
        <v>0</v>
      </c>
    </row>
    <row r="363" spans="2:27" ht="15.75" customHeight="1" x14ac:dyDescent="0.3">
      <c r="B363" s="21"/>
      <c r="C363" s="21"/>
      <c r="D363" s="21"/>
      <c r="E363" s="22" t="str">
        <f t="shared" si="45"/>
        <v/>
      </c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3" t="str">
        <f>IF($F363="","",IF(OR($B363="",$C363="",$D363=""),"⚠ Compléter Année/Niveau/Session",IF(AND($E363&lt;&gt;"",COUNTIF(D_KEY_DOUBLON,$B363&amp;"|"&amp;$D363&amp;"|"&amp;$E363)&gt;1),"⚠ Doublon",IF(AND($E363&lt;&gt;"",COUNTIF(D_KEY_STATUT,$B363&amp;"|"&amp;$E363&amp;"|P")&gt;0,COUNTIF(D_KEY_STATUT,$B363&amp;"|"&amp;$E363&amp;"|A")&gt;0),"⚠ Statut incohérent",IF(AND($D363="S1",$Y363&lt;&gt;"Parti",COUNTIF(ANNEES_VERROU,$B363)&gt;0,COUNTIF(D_KEY_NIVSES,$B363&amp;"|"&amp;$C363&amp;"|S2")&gt;0,COUNTIF(D_KEY_DOUBLON,$B363&amp;"|S2|"&amp;$E363)=0),"⚠ Départ non confirmé ?",IF(AND($C363&lt;&gt;"",ISNUMBER($I363),OR(VALUE(LEFT($B363,4))-$I363&lt;4+IFERROR(MATCH($C363,LISTE_NIVEAUX,0),99),VALUE(LEFT($B363,4))-$I363&gt;6+IFERROR(MATCH($C363,LISTE_NIVEAUX,0),99))),"⚠ Vérifier niveau",IF(AND(IFERROR(VLOOKUP($C363,TABLE_CYCLE,2,0),3)=2,COUNT($O363:$Q363)&gt;0),"⚠ Tests cycle 3",IF(COUNT($J363:$Q363)&gt;=IF(IFERROR(VLOOKUP($C363,TABLE_CYCLE,2,0),3)=2,5,8),"Complet","Incomplet"))))))))</f>
        <v/>
      </c>
      <c r="S363" s="24"/>
      <c r="T363" s="67" t="str">
        <f t="shared" si="46"/>
        <v/>
      </c>
      <c r="U363" s="67" t="str">
        <f t="shared" si="47"/>
        <v/>
      </c>
      <c r="V363" s="67" t="str">
        <f t="shared" si="48"/>
        <v/>
      </c>
      <c r="W363" s="67" t="str">
        <f t="shared" si="49"/>
        <v/>
      </c>
      <c r="X363" s="67" t="str">
        <f t="shared" si="50"/>
        <v/>
      </c>
      <c r="Y363" s="24" t="str">
        <f t="shared" si="51"/>
        <v/>
      </c>
      <c r="Z363">
        <f t="shared" si="52"/>
        <v>0</v>
      </c>
      <c r="AA363">
        <f t="shared" si="53"/>
        <v>0</v>
      </c>
    </row>
    <row r="364" spans="2:27" ht="15.75" customHeight="1" x14ac:dyDescent="0.3">
      <c r="B364" s="25"/>
      <c r="C364" s="25"/>
      <c r="D364" s="25"/>
      <c r="E364" s="26" t="str">
        <f t="shared" si="45"/>
        <v/>
      </c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3" t="str">
        <f>IF($F364="","",IF(OR($B364="",$C364="",$D364=""),"⚠ Compléter Année/Niveau/Session",IF(AND($E364&lt;&gt;"",COUNTIF(D_KEY_DOUBLON,$B364&amp;"|"&amp;$D364&amp;"|"&amp;$E364)&gt;1),"⚠ Doublon",IF(AND($E364&lt;&gt;"",COUNTIF(D_KEY_STATUT,$B364&amp;"|"&amp;$E364&amp;"|P")&gt;0,COUNTIF(D_KEY_STATUT,$B364&amp;"|"&amp;$E364&amp;"|A")&gt;0),"⚠ Statut incohérent",IF(AND($D364="S1",$Y364&lt;&gt;"Parti",COUNTIF(ANNEES_VERROU,$B364)&gt;0,COUNTIF(D_KEY_NIVSES,$B364&amp;"|"&amp;$C364&amp;"|S2")&gt;0,COUNTIF(D_KEY_DOUBLON,$B364&amp;"|S2|"&amp;$E364)=0),"⚠ Départ non confirmé ?",IF(AND($C364&lt;&gt;"",ISNUMBER($I364),OR(VALUE(LEFT($B364,4))-$I364&lt;4+IFERROR(MATCH($C364,LISTE_NIVEAUX,0),99),VALUE(LEFT($B364,4))-$I364&gt;6+IFERROR(MATCH($C364,LISTE_NIVEAUX,0),99))),"⚠ Vérifier niveau",IF(AND(IFERROR(VLOOKUP($C364,TABLE_CYCLE,2,0),3)=2,COUNT($O364:$Q364)&gt;0),"⚠ Tests cycle 3",IF(COUNT($J364:$Q364)&gt;=IF(IFERROR(VLOOKUP($C364,TABLE_CYCLE,2,0),3)=2,5,8),"Complet","Incomplet"))))))))</f>
        <v/>
      </c>
      <c r="S364" s="24"/>
      <c r="T364" s="67" t="str">
        <f t="shared" si="46"/>
        <v/>
      </c>
      <c r="U364" s="67" t="str">
        <f t="shared" si="47"/>
        <v/>
      </c>
      <c r="V364" s="67" t="str">
        <f t="shared" si="48"/>
        <v/>
      </c>
      <c r="W364" s="67" t="str">
        <f t="shared" si="49"/>
        <v/>
      </c>
      <c r="X364" s="67" t="str">
        <f t="shared" si="50"/>
        <v/>
      </c>
      <c r="Y364" s="24" t="str">
        <f t="shared" si="51"/>
        <v/>
      </c>
      <c r="Z364">
        <f t="shared" si="52"/>
        <v>0</v>
      </c>
      <c r="AA364">
        <f t="shared" si="53"/>
        <v>0</v>
      </c>
    </row>
    <row r="365" spans="2:27" ht="15.75" customHeight="1" x14ac:dyDescent="0.3">
      <c r="B365" s="21"/>
      <c r="C365" s="21"/>
      <c r="D365" s="21"/>
      <c r="E365" s="22" t="str">
        <f t="shared" si="45"/>
        <v/>
      </c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3" t="str">
        <f>IF($F365="","",IF(OR($B365="",$C365="",$D365=""),"⚠ Compléter Année/Niveau/Session",IF(AND($E365&lt;&gt;"",COUNTIF(D_KEY_DOUBLON,$B365&amp;"|"&amp;$D365&amp;"|"&amp;$E365)&gt;1),"⚠ Doublon",IF(AND($E365&lt;&gt;"",COUNTIF(D_KEY_STATUT,$B365&amp;"|"&amp;$E365&amp;"|P")&gt;0,COUNTIF(D_KEY_STATUT,$B365&amp;"|"&amp;$E365&amp;"|A")&gt;0),"⚠ Statut incohérent",IF(AND($D365="S1",$Y365&lt;&gt;"Parti",COUNTIF(ANNEES_VERROU,$B365)&gt;0,COUNTIF(D_KEY_NIVSES,$B365&amp;"|"&amp;$C365&amp;"|S2")&gt;0,COUNTIF(D_KEY_DOUBLON,$B365&amp;"|S2|"&amp;$E365)=0),"⚠ Départ non confirmé ?",IF(AND($C365&lt;&gt;"",ISNUMBER($I365),OR(VALUE(LEFT($B365,4))-$I365&lt;4+IFERROR(MATCH($C365,LISTE_NIVEAUX,0),99),VALUE(LEFT($B365,4))-$I365&gt;6+IFERROR(MATCH($C365,LISTE_NIVEAUX,0),99))),"⚠ Vérifier niveau",IF(AND(IFERROR(VLOOKUP($C365,TABLE_CYCLE,2,0),3)=2,COUNT($O365:$Q365)&gt;0),"⚠ Tests cycle 3",IF(COUNT($J365:$Q365)&gt;=IF(IFERROR(VLOOKUP($C365,TABLE_CYCLE,2,0),3)=2,5,8),"Complet","Incomplet"))))))))</f>
        <v/>
      </c>
      <c r="S365" s="24"/>
      <c r="T365" s="67" t="str">
        <f t="shared" si="46"/>
        <v/>
      </c>
      <c r="U365" s="67" t="str">
        <f t="shared" si="47"/>
        <v/>
      </c>
      <c r="V365" s="67" t="str">
        <f t="shared" si="48"/>
        <v/>
      </c>
      <c r="W365" s="67" t="str">
        <f t="shared" si="49"/>
        <v/>
      </c>
      <c r="X365" s="67" t="str">
        <f t="shared" si="50"/>
        <v/>
      </c>
      <c r="Y365" s="24" t="str">
        <f t="shared" si="51"/>
        <v/>
      </c>
      <c r="Z365">
        <f t="shared" si="52"/>
        <v>0</v>
      </c>
      <c r="AA365">
        <f t="shared" si="53"/>
        <v>0</v>
      </c>
    </row>
    <row r="366" spans="2:27" ht="15.75" customHeight="1" x14ac:dyDescent="0.3">
      <c r="B366" s="25"/>
      <c r="C366" s="25"/>
      <c r="D366" s="25"/>
      <c r="E366" s="26" t="str">
        <f t="shared" si="45"/>
        <v/>
      </c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3" t="str">
        <f>IF($F366="","",IF(OR($B366="",$C366="",$D366=""),"⚠ Compléter Année/Niveau/Session",IF(AND($E366&lt;&gt;"",COUNTIF(D_KEY_DOUBLON,$B366&amp;"|"&amp;$D366&amp;"|"&amp;$E366)&gt;1),"⚠ Doublon",IF(AND($E366&lt;&gt;"",COUNTIF(D_KEY_STATUT,$B366&amp;"|"&amp;$E366&amp;"|P")&gt;0,COUNTIF(D_KEY_STATUT,$B366&amp;"|"&amp;$E366&amp;"|A")&gt;0),"⚠ Statut incohérent",IF(AND($D366="S1",$Y366&lt;&gt;"Parti",COUNTIF(ANNEES_VERROU,$B366)&gt;0,COUNTIF(D_KEY_NIVSES,$B366&amp;"|"&amp;$C366&amp;"|S2")&gt;0,COUNTIF(D_KEY_DOUBLON,$B366&amp;"|S2|"&amp;$E366)=0),"⚠ Départ non confirmé ?",IF(AND($C366&lt;&gt;"",ISNUMBER($I366),OR(VALUE(LEFT($B366,4))-$I366&lt;4+IFERROR(MATCH($C366,LISTE_NIVEAUX,0),99),VALUE(LEFT($B366,4))-$I366&gt;6+IFERROR(MATCH($C366,LISTE_NIVEAUX,0),99))),"⚠ Vérifier niveau",IF(AND(IFERROR(VLOOKUP($C366,TABLE_CYCLE,2,0),3)=2,COUNT($O366:$Q366)&gt;0),"⚠ Tests cycle 3",IF(COUNT($J366:$Q366)&gt;=IF(IFERROR(VLOOKUP($C366,TABLE_CYCLE,2,0),3)=2,5,8),"Complet","Incomplet"))))))))</f>
        <v/>
      </c>
      <c r="S366" s="24"/>
      <c r="T366" s="67" t="str">
        <f t="shared" si="46"/>
        <v/>
      </c>
      <c r="U366" s="67" t="str">
        <f t="shared" si="47"/>
        <v/>
      </c>
      <c r="V366" s="67" t="str">
        <f t="shared" si="48"/>
        <v/>
      </c>
      <c r="W366" s="67" t="str">
        <f t="shared" si="49"/>
        <v/>
      </c>
      <c r="X366" s="67" t="str">
        <f t="shared" si="50"/>
        <v/>
      </c>
      <c r="Y366" s="24" t="str">
        <f t="shared" si="51"/>
        <v/>
      </c>
      <c r="Z366">
        <f t="shared" si="52"/>
        <v>0</v>
      </c>
      <c r="AA366">
        <f t="shared" si="53"/>
        <v>0</v>
      </c>
    </row>
    <row r="367" spans="2:27" ht="15.75" customHeight="1" x14ac:dyDescent="0.3">
      <c r="B367" s="21"/>
      <c r="C367" s="21"/>
      <c r="D367" s="21"/>
      <c r="E367" s="22" t="str">
        <f t="shared" si="45"/>
        <v/>
      </c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3" t="str">
        <f>IF($F367="","",IF(OR($B367="",$C367="",$D367=""),"⚠ Compléter Année/Niveau/Session",IF(AND($E367&lt;&gt;"",COUNTIF(D_KEY_DOUBLON,$B367&amp;"|"&amp;$D367&amp;"|"&amp;$E367)&gt;1),"⚠ Doublon",IF(AND($E367&lt;&gt;"",COUNTIF(D_KEY_STATUT,$B367&amp;"|"&amp;$E367&amp;"|P")&gt;0,COUNTIF(D_KEY_STATUT,$B367&amp;"|"&amp;$E367&amp;"|A")&gt;0),"⚠ Statut incohérent",IF(AND($D367="S1",$Y367&lt;&gt;"Parti",COUNTIF(ANNEES_VERROU,$B367)&gt;0,COUNTIF(D_KEY_NIVSES,$B367&amp;"|"&amp;$C367&amp;"|S2")&gt;0,COUNTIF(D_KEY_DOUBLON,$B367&amp;"|S2|"&amp;$E367)=0),"⚠ Départ non confirmé ?",IF(AND($C367&lt;&gt;"",ISNUMBER($I367),OR(VALUE(LEFT($B367,4))-$I367&lt;4+IFERROR(MATCH($C367,LISTE_NIVEAUX,0),99),VALUE(LEFT($B367,4))-$I367&gt;6+IFERROR(MATCH($C367,LISTE_NIVEAUX,0),99))),"⚠ Vérifier niveau",IF(AND(IFERROR(VLOOKUP($C367,TABLE_CYCLE,2,0),3)=2,COUNT($O367:$Q367)&gt;0),"⚠ Tests cycle 3",IF(COUNT($J367:$Q367)&gt;=IF(IFERROR(VLOOKUP($C367,TABLE_CYCLE,2,0),3)=2,5,8),"Complet","Incomplet"))))))))</f>
        <v/>
      </c>
      <c r="S367" s="24"/>
      <c r="T367" s="67" t="str">
        <f t="shared" si="46"/>
        <v/>
      </c>
      <c r="U367" s="67" t="str">
        <f t="shared" si="47"/>
        <v/>
      </c>
      <c r="V367" s="67" t="str">
        <f t="shared" si="48"/>
        <v/>
      </c>
      <c r="W367" s="67" t="str">
        <f t="shared" si="49"/>
        <v/>
      </c>
      <c r="X367" s="67" t="str">
        <f t="shared" si="50"/>
        <v/>
      </c>
      <c r="Y367" s="24" t="str">
        <f t="shared" si="51"/>
        <v/>
      </c>
      <c r="Z367">
        <f t="shared" si="52"/>
        <v>0</v>
      </c>
      <c r="AA367">
        <f t="shared" si="53"/>
        <v>0</v>
      </c>
    </row>
    <row r="368" spans="2:27" ht="15.75" customHeight="1" x14ac:dyDescent="0.3">
      <c r="B368" s="25"/>
      <c r="C368" s="25"/>
      <c r="D368" s="25"/>
      <c r="E368" s="26" t="str">
        <f t="shared" si="45"/>
        <v/>
      </c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3" t="str">
        <f>IF($F368="","",IF(OR($B368="",$C368="",$D368=""),"⚠ Compléter Année/Niveau/Session",IF(AND($E368&lt;&gt;"",COUNTIF(D_KEY_DOUBLON,$B368&amp;"|"&amp;$D368&amp;"|"&amp;$E368)&gt;1),"⚠ Doublon",IF(AND($E368&lt;&gt;"",COUNTIF(D_KEY_STATUT,$B368&amp;"|"&amp;$E368&amp;"|P")&gt;0,COUNTIF(D_KEY_STATUT,$B368&amp;"|"&amp;$E368&amp;"|A")&gt;0),"⚠ Statut incohérent",IF(AND($D368="S1",$Y368&lt;&gt;"Parti",COUNTIF(ANNEES_VERROU,$B368)&gt;0,COUNTIF(D_KEY_NIVSES,$B368&amp;"|"&amp;$C368&amp;"|S2")&gt;0,COUNTIF(D_KEY_DOUBLON,$B368&amp;"|S2|"&amp;$E368)=0),"⚠ Départ non confirmé ?",IF(AND($C368&lt;&gt;"",ISNUMBER($I368),OR(VALUE(LEFT($B368,4))-$I368&lt;4+IFERROR(MATCH($C368,LISTE_NIVEAUX,0),99),VALUE(LEFT($B368,4))-$I368&gt;6+IFERROR(MATCH($C368,LISTE_NIVEAUX,0),99))),"⚠ Vérifier niveau",IF(AND(IFERROR(VLOOKUP($C368,TABLE_CYCLE,2,0),3)=2,COUNT($O368:$Q368)&gt;0),"⚠ Tests cycle 3",IF(COUNT($J368:$Q368)&gt;=IF(IFERROR(VLOOKUP($C368,TABLE_CYCLE,2,0),3)=2,5,8),"Complet","Incomplet"))))))))</f>
        <v/>
      </c>
      <c r="S368" s="24"/>
      <c r="T368" s="67" t="str">
        <f t="shared" si="46"/>
        <v/>
      </c>
      <c r="U368" s="67" t="str">
        <f t="shared" si="47"/>
        <v/>
      </c>
      <c r="V368" s="67" t="str">
        <f t="shared" si="48"/>
        <v/>
      </c>
      <c r="W368" s="67" t="str">
        <f t="shared" si="49"/>
        <v/>
      </c>
      <c r="X368" s="67" t="str">
        <f t="shared" si="50"/>
        <v/>
      </c>
      <c r="Y368" s="24" t="str">
        <f t="shared" si="51"/>
        <v/>
      </c>
      <c r="Z368">
        <f t="shared" si="52"/>
        <v>0</v>
      </c>
      <c r="AA368">
        <f t="shared" si="53"/>
        <v>0</v>
      </c>
    </row>
    <row r="369" spans="2:27" ht="15.75" customHeight="1" x14ac:dyDescent="0.3">
      <c r="B369" s="21"/>
      <c r="C369" s="21"/>
      <c r="D369" s="21"/>
      <c r="E369" s="22" t="str">
        <f t="shared" si="45"/>
        <v/>
      </c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3" t="str">
        <f>IF($F369="","",IF(OR($B369="",$C369="",$D369=""),"⚠ Compléter Année/Niveau/Session",IF(AND($E369&lt;&gt;"",COUNTIF(D_KEY_DOUBLON,$B369&amp;"|"&amp;$D369&amp;"|"&amp;$E369)&gt;1),"⚠ Doublon",IF(AND($E369&lt;&gt;"",COUNTIF(D_KEY_STATUT,$B369&amp;"|"&amp;$E369&amp;"|P")&gt;0,COUNTIF(D_KEY_STATUT,$B369&amp;"|"&amp;$E369&amp;"|A")&gt;0),"⚠ Statut incohérent",IF(AND($D369="S1",$Y369&lt;&gt;"Parti",COUNTIF(ANNEES_VERROU,$B369)&gt;0,COUNTIF(D_KEY_NIVSES,$B369&amp;"|"&amp;$C369&amp;"|S2")&gt;0,COUNTIF(D_KEY_DOUBLON,$B369&amp;"|S2|"&amp;$E369)=0),"⚠ Départ non confirmé ?",IF(AND($C369&lt;&gt;"",ISNUMBER($I369),OR(VALUE(LEFT($B369,4))-$I369&lt;4+IFERROR(MATCH($C369,LISTE_NIVEAUX,0),99),VALUE(LEFT($B369,4))-$I369&gt;6+IFERROR(MATCH($C369,LISTE_NIVEAUX,0),99))),"⚠ Vérifier niveau",IF(AND(IFERROR(VLOOKUP($C369,TABLE_CYCLE,2,0),3)=2,COUNT($O369:$Q369)&gt;0),"⚠ Tests cycle 3",IF(COUNT($J369:$Q369)&gt;=IF(IFERROR(VLOOKUP($C369,TABLE_CYCLE,2,0),3)=2,5,8),"Complet","Incomplet"))))))))</f>
        <v/>
      </c>
      <c r="S369" s="24"/>
      <c r="T369" s="67" t="str">
        <f t="shared" si="46"/>
        <v/>
      </c>
      <c r="U369" s="67" t="str">
        <f t="shared" si="47"/>
        <v/>
      </c>
      <c r="V369" s="67" t="str">
        <f t="shared" si="48"/>
        <v/>
      </c>
      <c r="W369" s="67" t="str">
        <f t="shared" si="49"/>
        <v/>
      </c>
      <c r="X369" s="67" t="str">
        <f t="shared" si="50"/>
        <v/>
      </c>
      <c r="Y369" s="24" t="str">
        <f t="shared" si="51"/>
        <v/>
      </c>
      <c r="Z369">
        <f t="shared" si="52"/>
        <v>0</v>
      </c>
      <c r="AA369">
        <f t="shared" si="53"/>
        <v>0</v>
      </c>
    </row>
    <row r="370" spans="2:27" ht="15.75" customHeight="1" x14ac:dyDescent="0.3">
      <c r="B370" s="25"/>
      <c r="C370" s="25"/>
      <c r="D370" s="25"/>
      <c r="E370" s="26" t="str">
        <f t="shared" si="45"/>
        <v/>
      </c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3" t="str">
        <f>IF($F370="","",IF(OR($B370="",$C370="",$D370=""),"⚠ Compléter Année/Niveau/Session",IF(AND($E370&lt;&gt;"",COUNTIF(D_KEY_DOUBLON,$B370&amp;"|"&amp;$D370&amp;"|"&amp;$E370)&gt;1),"⚠ Doublon",IF(AND($E370&lt;&gt;"",COUNTIF(D_KEY_STATUT,$B370&amp;"|"&amp;$E370&amp;"|P")&gt;0,COUNTIF(D_KEY_STATUT,$B370&amp;"|"&amp;$E370&amp;"|A")&gt;0),"⚠ Statut incohérent",IF(AND($D370="S1",$Y370&lt;&gt;"Parti",COUNTIF(ANNEES_VERROU,$B370)&gt;0,COUNTIF(D_KEY_NIVSES,$B370&amp;"|"&amp;$C370&amp;"|S2")&gt;0,COUNTIF(D_KEY_DOUBLON,$B370&amp;"|S2|"&amp;$E370)=0),"⚠ Départ non confirmé ?",IF(AND($C370&lt;&gt;"",ISNUMBER($I370),OR(VALUE(LEFT($B370,4))-$I370&lt;4+IFERROR(MATCH($C370,LISTE_NIVEAUX,0),99),VALUE(LEFT($B370,4))-$I370&gt;6+IFERROR(MATCH($C370,LISTE_NIVEAUX,0),99))),"⚠ Vérifier niveau",IF(AND(IFERROR(VLOOKUP($C370,TABLE_CYCLE,2,0),3)=2,COUNT($O370:$Q370)&gt;0),"⚠ Tests cycle 3",IF(COUNT($J370:$Q370)&gt;=IF(IFERROR(VLOOKUP($C370,TABLE_CYCLE,2,0),3)=2,5,8),"Complet","Incomplet"))))))))</f>
        <v/>
      </c>
      <c r="S370" s="24"/>
      <c r="T370" s="67" t="str">
        <f t="shared" si="46"/>
        <v/>
      </c>
      <c r="U370" s="67" t="str">
        <f t="shared" si="47"/>
        <v/>
      </c>
      <c r="V370" s="67" t="str">
        <f t="shared" si="48"/>
        <v/>
      </c>
      <c r="W370" s="67" t="str">
        <f t="shared" si="49"/>
        <v/>
      </c>
      <c r="X370" s="67" t="str">
        <f t="shared" si="50"/>
        <v/>
      </c>
      <c r="Y370" s="24" t="str">
        <f t="shared" si="51"/>
        <v/>
      </c>
      <c r="Z370">
        <f t="shared" si="52"/>
        <v>0</v>
      </c>
      <c r="AA370">
        <f t="shared" si="53"/>
        <v>0</v>
      </c>
    </row>
    <row r="371" spans="2:27" ht="15.75" customHeight="1" x14ac:dyDescent="0.3">
      <c r="B371" s="21"/>
      <c r="C371" s="21"/>
      <c r="D371" s="21"/>
      <c r="E371" s="22" t="str">
        <f t="shared" si="45"/>
        <v/>
      </c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3" t="str">
        <f>IF($F371="","",IF(OR($B371="",$C371="",$D371=""),"⚠ Compléter Année/Niveau/Session",IF(AND($E371&lt;&gt;"",COUNTIF(D_KEY_DOUBLON,$B371&amp;"|"&amp;$D371&amp;"|"&amp;$E371)&gt;1),"⚠ Doublon",IF(AND($E371&lt;&gt;"",COUNTIF(D_KEY_STATUT,$B371&amp;"|"&amp;$E371&amp;"|P")&gt;0,COUNTIF(D_KEY_STATUT,$B371&amp;"|"&amp;$E371&amp;"|A")&gt;0),"⚠ Statut incohérent",IF(AND($D371="S1",$Y371&lt;&gt;"Parti",COUNTIF(ANNEES_VERROU,$B371)&gt;0,COUNTIF(D_KEY_NIVSES,$B371&amp;"|"&amp;$C371&amp;"|S2")&gt;0,COUNTIF(D_KEY_DOUBLON,$B371&amp;"|S2|"&amp;$E371)=0),"⚠ Départ non confirmé ?",IF(AND($C371&lt;&gt;"",ISNUMBER($I371),OR(VALUE(LEFT($B371,4))-$I371&lt;4+IFERROR(MATCH($C371,LISTE_NIVEAUX,0),99),VALUE(LEFT($B371,4))-$I371&gt;6+IFERROR(MATCH($C371,LISTE_NIVEAUX,0),99))),"⚠ Vérifier niveau",IF(AND(IFERROR(VLOOKUP($C371,TABLE_CYCLE,2,0),3)=2,COUNT($O371:$Q371)&gt;0),"⚠ Tests cycle 3",IF(COUNT($J371:$Q371)&gt;=IF(IFERROR(VLOOKUP($C371,TABLE_CYCLE,2,0),3)=2,5,8),"Complet","Incomplet"))))))))</f>
        <v/>
      </c>
      <c r="S371" s="24"/>
      <c r="T371" s="67" t="str">
        <f t="shared" si="46"/>
        <v/>
      </c>
      <c r="U371" s="67" t="str">
        <f t="shared" si="47"/>
        <v/>
      </c>
      <c r="V371" s="67" t="str">
        <f t="shared" si="48"/>
        <v/>
      </c>
      <c r="W371" s="67" t="str">
        <f t="shared" si="49"/>
        <v/>
      </c>
      <c r="X371" s="67" t="str">
        <f t="shared" si="50"/>
        <v/>
      </c>
      <c r="Y371" s="24" t="str">
        <f t="shared" si="51"/>
        <v/>
      </c>
      <c r="Z371">
        <f t="shared" si="52"/>
        <v>0</v>
      </c>
      <c r="AA371">
        <f t="shared" si="53"/>
        <v>0</v>
      </c>
    </row>
    <row r="372" spans="2:27" ht="15.75" customHeight="1" x14ac:dyDescent="0.3">
      <c r="B372" s="25"/>
      <c r="C372" s="25"/>
      <c r="D372" s="25"/>
      <c r="E372" s="26" t="str">
        <f t="shared" si="45"/>
        <v/>
      </c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3" t="str">
        <f>IF($F372="","",IF(OR($B372="",$C372="",$D372=""),"⚠ Compléter Année/Niveau/Session",IF(AND($E372&lt;&gt;"",COUNTIF(D_KEY_DOUBLON,$B372&amp;"|"&amp;$D372&amp;"|"&amp;$E372)&gt;1),"⚠ Doublon",IF(AND($E372&lt;&gt;"",COUNTIF(D_KEY_STATUT,$B372&amp;"|"&amp;$E372&amp;"|P")&gt;0,COUNTIF(D_KEY_STATUT,$B372&amp;"|"&amp;$E372&amp;"|A")&gt;0),"⚠ Statut incohérent",IF(AND($D372="S1",$Y372&lt;&gt;"Parti",COUNTIF(ANNEES_VERROU,$B372)&gt;0,COUNTIF(D_KEY_NIVSES,$B372&amp;"|"&amp;$C372&amp;"|S2")&gt;0,COUNTIF(D_KEY_DOUBLON,$B372&amp;"|S2|"&amp;$E372)=0),"⚠ Départ non confirmé ?",IF(AND($C372&lt;&gt;"",ISNUMBER($I372),OR(VALUE(LEFT($B372,4))-$I372&lt;4+IFERROR(MATCH($C372,LISTE_NIVEAUX,0),99),VALUE(LEFT($B372,4))-$I372&gt;6+IFERROR(MATCH($C372,LISTE_NIVEAUX,0),99))),"⚠ Vérifier niveau",IF(AND(IFERROR(VLOOKUP($C372,TABLE_CYCLE,2,0),3)=2,COUNT($O372:$Q372)&gt;0),"⚠ Tests cycle 3",IF(COUNT($J372:$Q372)&gt;=IF(IFERROR(VLOOKUP($C372,TABLE_CYCLE,2,0),3)=2,5,8),"Complet","Incomplet"))))))))</f>
        <v/>
      </c>
      <c r="S372" s="24"/>
      <c r="T372" s="67" t="str">
        <f t="shared" si="46"/>
        <v/>
      </c>
      <c r="U372" s="67" t="str">
        <f t="shared" si="47"/>
        <v/>
      </c>
      <c r="V372" s="67" t="str">
        <f t="shared" si="48"/>
        <v/>
      </c>
      <c r="W372" s="67" t="str">
        <f t="shared" si="49"/>
        <v/>
      </c>
      <c r="X372" s="67" t="str">
        <f t="shared" si="50"/>
        <v/>
      </c>
      <c r="Y372" s="24" t="str">
        <f t="shared" si="51"/>
        <v/>
      </c>
      <c r="Z372">
        <f t="shared" si="52"/>
        <v>0</v>
      </c>
      <c r="AA372">
        <f t="shared" si="53"/>
        <v>0</v>
      </c>
    </row>
    <row r="373" spans="2:27" ht="15.75" customHeight="1" x14ac:dyDescent="0.3">
      <c r="B373" s="21"/>
      <c r="C373" s="21"/>
      <c r="D373" s="21"/>
      <c r="E373" s="22" t="str">
        <f t="shared" si="45"/>
        <v/>
      </c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3" t="str">
        <f>IF($F373="","",IF(OR($B373="",$C373="",$D373=""),"⚠ Compléter Année/Niveau/Session",IF(AND($E373&lt;&gt;"",COUNTIF(D_KEY_DOUBLON,$B373&amp;"|"&amp;$D373&amp;"|"&amp;$E373)&gt;1),"⚠ Doublon",IF(AND($E373&lt;&gt;"",COUNTIF(D_KEY_STATUT,$B373&amp;"|"&amp;$E373&amp;"|P")&gt;0,COUNTIF(D_KEY_STATUT,$B373&amp;"|"&amp;$E373&amp;"|A")&gt;0),"⚠ Statut incohérent",IF(AND($D373="S1",$Y373&lt;&gt;"Parti",COUNTIF(ANNEES_VERROU,$B373)&gt;0,COUNTIF(D_KEY_NIVSES,$B373&amp;"|"&amp;$C373&amp;"|S2")&gt;0,COUNTIF(D_KEY_DOUBLON,$B373&amp;"|S2|"&amp;$E373)=0),"⚠ Départ non confirmé ?",IF(AND($C373&lt;&gt;"",ISNUMBER($I373),OR(VALUE(LEFT($B373,4))-$I373&lt;4+IFERROR(MATCH($C373,LISTE_NIVEAUX,0),99),VALUE(LEFT($B373,4))-$I373&gt;6+IFERROR(MATCH($C373,LISTE_NIVEAUX,0),99))),"⚠ Vérifier niveau",IF(AND(IFERROR(VLOOKUP($C373,TABLE_CYCLE,2,0),3)=2,COUNT($O373:$Q373)&gt;0),"⚠ Tests cycle 3",IF(COUNT($J373:$Q373)&gt;=IF(IFERROR(VLOOKUP($C373,TABLE_CYCLE,2,0),3)=2,5,8),"Complet","Incomplet"))))))))</f>
        <v/>
      </c>
      <c r="S373" s="24"/>
      <c r="T373" s="67" t="str">
        <f t="shared" si="46"/>
        <v/>
      </c>
      <c r="U373" s="67" t="str">
        <f t="shared" si="47"/>
        <v/>
      </c>
      <c r="V373" s="67" t="str">
        <f t="shared" si="48"/>
        <v/>
      </c>
      <c r="W373" s="67" t="str">
        <f t="shared" si="49"/>
        <v/>
      </c>
      <c r="X373" s="67" t="str">
        <f t="shared" si="50"/>
        <v/>
      </c>
      <c r="Y373" s="24" t="str">
        <f t="shared" si="51"/>
        <v/>
      </c>
      <c r="Z373">
        <f t="shared" si="52"/>
        <v>0</v>
      </c>
      <c r="AA373">
        <f t="shared" si="53"/>
        <v>0</v>
      </c>
    </row>
    <row r="374" spans="2:27" ht="15.75" customHeight="1" x14ac:dyDescent="0.3">
      <c r="B374" s="25"/>
      <c r="C374" s="25"/>
      <c r="D374" s="25"/>
      <c r="E374" s="26" t="str">
        <f t="shared" si="45"/>
        <v/>
      </c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3" t="str">
        <f>IF($F374="","",IF(OR($B374="",$C374="",$D374=""),"⚠ Compléter Année/Niveau/Session",IF(AND($E374&lt;&gt;"",COUNTIF(D_KEY_DOUBLON,$B374&amp;"|"&amp;$D374&amp;"|"&amp;$E374)&gt;1),"⚠ Doublon",IF(AND($E374&lt;&gt;"",COUNTIF(D_KEY_STATUT,$B374&amp;"|"&amp;$E374&amp;"|P")&gt;0,COUNTIF(D_KEY_STATUT,$B374&amp;"|"&amp;$E374&amp;"|A")&gt;0),"⚠ Statut incohérent",IF(AND($D374="S1",$Y374&lt;&gt;"Parti",COUNTIF(ANNEES_VERROU,$B374)&gt;0,COUNTIF(D_KEY_NIVSES,$B374&amp;"|"&amp;$C374&amp;"|S2")&gt;0,COUNTIF(D_KEY_DOUBLON,$B374&amp;"|S2|"&amp;$E374)=0),"⚠ Départ non confirmé ?",IF(AND($C374&lt;&gt;"",ISNUMBER($I374),OR(VALUE(LEFT($B374,4))-$I374&lt;4+IFERROR(MATCH($C374,LISTE_NIVEAUX,0),99),VALUE(LEFT($B374,4))-$I374&gt;6+IFERROR(MATCH($C374,LISTE_NIVEAUX,0),99))),"⚠ Vérifier niveau",IF(AND(IFERROR(VLOOKUP($C374,TABLE_CYCLE,2,0),3)=2,COUNT($O374:$Q374)&gt;0),"⚠ Tests cycle 3",IF(COUNT($J374:$Q374)&gt;=IF(IFERROR(VLOOKUP($C374,TABLE_CYCLE,2,0),3)=2,5,8),"Complet","Incomplet"))))))))</f>
        <v/>
      </c>
      <c r="S374" s="24"/>
      <c r="T374" s="67" t="str">
        <f t="shared" si="46"/>
        <v/>
      </c>
      <c r="U374" s="67" t="str">
        <f t="shared" si="47"/>
        <v/>
      </c>
      <c r="V374" s="67" t="str">
        <f t="shared" si="48"/>
        <v/>
      </c>
      <c r="W374" s="67" t="str">
        <f t="shared" si="49"/>
        <v/>
      </c>
      <c r="X374" s="67" t="str">
        <f t="shared" si="50"/>
        <v/>
      </c>
      <c r="Y374" s="24" t="str">
        <f t="shared" si="51"/>
        <v/>
      </c>
      <c r="Z374">
        <f t="shared" si="52"/>
        <v>0</v>
      </c>
      <c r="AA374">
        <f t="shared" si="53"/>
        <v>0</v>
      </c>
    </row>
    <row r="375" spans="2:27" ht="15.75" customHeight="1" x14ac:dyDescent="0.3">
      <c r="B375" s="21"/>
      <c r="C375" s="21"/>
      <c r="D375" s="21"/>
      <c r="E375" s="22" t="str">
        <f t="shared" si="45"/>
        <v/>
      </c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3" t="str">
        <f>IF($F375="","",IF(OR($B375="",$C375="",$D375=""),"⚠ Compléter Année/Niveau/Session",IF(AND($E375&lt;&gt;"",COUNTIF(D_KEY_DOUBLON,$B375&amp;"|"&amp;$D375&amp;"|"&amp;$E375)&gt;1),"⚠ Doublon",IF(AND($E375&lt;&gt;"",COUNTIF(D_KEY_STATUT,$B375&amp;"|"&amp;$E375&amp;"|P")&gt;0,COUNTIF(D_KEY_STATUT,$B375&amp;"|"&amp;$E375&amp;"|A")&gt;0),"⚠ Statut incohérent",IF(AND($D375="S1",$Y375&lt;&gt;"Parti",COUNTIF(ANNEES_VERROU,$B375)&gt;0,COUNTIF(D_KEY_NIVSES,$B375&amp;"|"&amp;$C375&amp;"|S2")&gt;0,COUNTIF(D_KEY_DOUBLON,$B375&amp;"|S2|"&amp;$E375)=0),"⚠ Départ non confirmé ?",IF(AND($C375&lt;&gt;"",ISNUMBER($I375),OR(VALUE(LEFT($B375,4))-$I375&lt;4+IFERROR(MATCH($C375,LISTE_NIVEAUX,0),99),VALUE(LEFT($B375,4))-$I375&gt;6+IFERROR(MATCH($C375,LISTE_NIVEAUX,0),99))),"⚠ Vérifier niveau",IF(AND(IFERROR(VLOOKUP($C375,TABLE_CYCLE,2,0),3)=2,COUNT($O375:$Q375)&gt;0),"⚠ Tests cycle 3",IF(COUNT($J375:$Q375)&gt;=IF(IFERROR(VLOOKUP($C375,TABLE_CYCLE,2,0),3)=2,5,8),"Complet","Incomplet"))))))))</f>
        <v/>
      </c>
      <c r="S375" s="24"/>
      <c r="T375" s="67" t="str">
        <f t="shared" si="46"/>
        <v/>
      </c>
      <c r="U375" s="67" t="str">
        <f t="shared" si="47"/>
        <v/>
      </c>
      <c r="V375" s="67" t="str">
        <f t="shared" si="48"/>
        <v/>
      </c>
      <c r="W375" s="67" t="str">
        <f t="shared" si="49"/>
        <v/>
      </c>
      <c r="X375" s="67" t="str">
        <f t="shared" si="50"/>
        <v/>
      </c>
      <c r="Y375" s="24" t="str">
        <f t="shared" si="51"/>
        <v/>
      </c>
      <c r="Z375">
        <f t="shared" si="52"/>
        <v>0</v>
      </c>
      <c r="AA375">
        <f t="shared" si="53"/>
        <v>0</v>
      </c>
    </row>
    <row r="376" spans="2:27" ht="15.75" customHeight="1" x14ac:dyDescent="0.3">
      <c r="B376" s="25"/>
      <c r="C376" s="25"/>
      <c r="D376" s="25"/>
      <c r="E376" s="26" t="str">
        <f t="shared" si="45"/>
        <v/>
      </c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3" t="str">
        <f>IF($F376="","",IF(OR($B376="",$C376="",$D376=""),"⚠ Compléter Année/Niveau/Session",IF(AND($E376&lt;&gt;"",COUNTIF(D_KEY_DOUBLON,$B376&amp;"|"&amp;$D376&amp;"|"&amp;$E376)&gt;1),"⚠ Doublon",IF(AND($E376&lt;&gt;"",COUNTIF(D_KEY_STATUT,$B376&amp;"|"&amp;$E376&amp;"|P")&gt;0,COUNTIF(D_KEY_STATUT,$B376&amp;"|"&amp;$E376&amp;"|A")&gt;0),"⚠ Statut incohérent",IF(AND($D376="S1",$Y376&lt;&gt;"Parti",COUNTIF(ANNEES_VERROU,$B376)&gt;0,COUNTIF(D_KEY_NIVSES,$B376&amp;"|"&amp;$C376&amp;"|S2")&gt;0,COUNTIF(D_KEY_DOUBLON,$B376&amp;"|S2|"&amp;$E376)=0),"⚠ Départ non confirmé ?",IF(AND($C376&lt;&gt;"",ISNUMBER($I376),OR(VALUE(LEFT($B376,4))-$I376&lt;4+IFERROR(MATCH($C376,LISTE_NIVEAUX,0),99),VALUE(LEFT($B376,4))-$I376&gt;6+IFERROR(MATCH($C376,LISTE_NIVEAUX,0),99))),"⚠ Vérifier niveau",IF(AND(IFERROR(VLOOKUP($C376,TABLE_CYCLE,2,0),3)=2,COUNT($O376:$Q376)&gt;0),"⚠ Tests cycle 3",IF(COUNT($J376:$Q376)&gt;=IF(IFERROR(VLOOKUP($C376,TABLE_CYCLE,2,0),3)=2,5,8),"Complet","Incomplet"))))))))</f>
        <v/>
      </c>
      <c r="S376" s="24"/>
      <c r="T376" s="67" t="str">
        <f t="shared" si="46"/>
        <v/>
      </c>
      <c r="U376" s="67" t="str">
        <f t="shared" si="47"/>
        <v/>
      </c>
      <c r="V376" s="67" t="str">
        <f t="shared" si="48"/>
        <v/>
      </c>
      <c r="W376" s="67" t="str">
        <f t="shared" si="49"/>
        <v/>
      </c>
      <c r="X376" s="67" t="str">
        <f t="shared" si="50"/>
        <v/>
      </c>
      <c r="Y376" s="24" t="str">
        <f t="shared" si="51"/>
        <v/>
      </c>
      <c r="Z376">
        <f t="shared" si="52"/>
        <v>0</v>
      </c>
      <c r="AA376">
        <f t="shared" si="53"/>
        <v>0</v>
      </c>
    </row>
    <row r="377" spans="2:27" ht="15.75" customHeight="1" x14ac:dyDescent="0.3">
      <c r="B377" s="21"/>
      <c r="C377" s="21"/>
      <c r="D377" s="21"/>
      <c r="E377" s="22" t="str">
        <f t="shared" si="45"/>
        <v/>
      </c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3" t="str">
        <f>IF($F377="","",IF(OR($B377="",$C377="",$D377=""),"⚠ Compléter Année/Niveau/Session",IF(AND($E377&lt;&gt;"",COUNTIF(D_KEY_DOUBLON,$B377&amp;"|"&amp;$D377&amp;"|"&amp;$E377)&gt;1),"⚠ Doublon",IF(AND($E377&lt;&gt;"",COUNTIF(D_KEY_STATUT,$B377&amp;"|"&amp;$E377&amp;"|P")&gt;0,COUNTIF(D_KEY_STATUT,$B377&amp;"|"&amp;$E377&amp;"|A")&gt;0),"⚠ Statut incohérent",IF(AND($D377="S1",$Y377&lt;&gt;"Parti",COUNTIF(ANNEES_VERROU,$B377)&gt;0,COUNTIF(D_KEY_NIVSES,$B377&amp;"|"&amp;$C377&amp;"|S2")&gt;0,COUNTIF(D_KEY_DOUBLON,$B377&amp;"|S2|"&amp;$E377)=0),"⚠ Départ non confirmé ?",IF(AND($C377&lt;&gt;"",ISNUMBER($I377),OR(VALUE(LEFT($B377,4))-$I377&lt;4+IFERROR(MATCH($C377,LISTE_NIVEAUX,0),99),VALUE(LEFT($B377,4))-$I377&gt;6+IFERROR(MATCH($C377,LISTE_NIVEAUX,0),99))),"⚠ Vérifier niveau",IF(AND(IFERROR(VLOOKUP($C377,TABLE_CYCLE,2,0),3)=2,COUNT($O377:$Q377)&gt;0),"⚠ Tests cycle 3",IF(COUNT($J377:$Q377)&gt;=IF(IFERROR(VLOOKUP($C377,TABLE_CYCLE,2,0),3)=2,5,8),"Complet","Incomplet"))))))))</f>
        <v/>
      </c>
      <c r="S377" s="24"/>
      <c r="T377" s="67" t="str">
        <f t="shared" si="46"/>
        <v/>
      </c>
      <c r="U377" s="67" t="str">
        <f t="shared" si="47"/>
        <v/>
      </c>
      <c r="V377" s="67" t="str">
        <f t="shared" si="48"/>
        <v/>
      </c>
      <c r="W377" s="67" t="str">
        <f t="shared" si="49"/>
        <v/>
      </c>
      <c r="X377" s="67" t="str">
        <f t="shared" si="50"/>
        <v/>
      </c>
      <c r="Y377" s="24" t="str">
        <f t="shared" si="51"/>
        <v/>
      </c>
      <c r="Z377">
        <f t="shared" si="52"/>
        <v>0</v>
      </c>
      <c r="AA377">
        <f t="shared" si="53"/>
        <v>0</v>
      </c>
    </row>
    <row r="378" spans="2:27" ht="15.75" customHeight="1" x14ac:dyDescent="0.3">
      <c r="B378" s="25"/>
      <c r="C378" s="25"/>
      <c r="D378" s="25"/>
      <c r="E378" s="26" t="str">
        <f t="shared" si="45"/>
        <v/>
      </c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3" t="str">
        <f>IF($F378="","",IF(OR($B378="",$C378="",$D378=""),"⚠ Compléter Année/Niveau/Session",IF(AND($E378&lt;&gt;"",COUNTIF(D_KEY_DOUBLON,$B378&amp;"|"&amp;$D378&amp;"|"&amp;$E378)&gt;1),"⚠ Doublon",IF(AND($E378&lt;&gt;"",COUNTIF(D_KEY_STATUT,$B378&amp;"|"&amp;$E378&amp;"|P")&gt;0,COUNTIF(D_KEY_STATUT,$B378&amp;"|"&amp;$E378&amp;"|A")&gt;0),"⚠ Statut incohérent",IF(AND($D378="S1",$Y378&lt;&gt;"Parti",COUNTIF(ANNEES_VERROU,$B378)&gt;0,COUNTIF(D_KEY_NIVSES,$B378&amp;"|"&amp;$C378&amp;"|S2")&gt;0,COUNTIF(D_KEY_DOUBLON,$B378&amp;"|S2|"&amp;$E378)=0),"⚠ Départ non confirmé ?",IF(AND($C378&lt;&gt;"",ISNUMBER($I378),OR(VALUE(LEFT($B378,4))-$I378&lt;4+IFERROR(MATCH($C378,LISTE_NIVEAUX,0),99),VALUE(LEFT($B378,4))-$I378&gt;6+IFERROR(MATCH($C378,LISTE_NIVEAUX,0),99))),"⚠ Vérifier niveau",IF(AND(IFERROR(VLOOKUP($C378,TABLE_CYCLE,2,0),3)=2,COUNT($O378:$Q378)&gt;0),"⚠ Tests cycle 3",IF(COUNT($J378:$Q378)&gt;=IF(IFERROR(VLOOKUP($C378,TABLE_CYCLE,2,0),3)=2,5,8),"Complet","Incomplet"))))))))</f>
        <v/>
      </c>
      <c r="S378" s="24"/>
      <c r="T378" s="67" t="str">
        <f t="shared" si="46"/>
        <v/>
      </c>
      <c r="U378" s="67" t="str">
        <f t="shared" si="47"/>
        <v/>
      </c>
      <c r="V378" s="67" t="str">
        <f t="shared" si="48"/>
        <v/>
      </c>
      <c r="W378" s="67" t="str">
        <f t="shared" si="49"/>
        <v/>
      </c>
      <c r="X378" s="67" t="str">
        <f t="shared" si="50"/>
        <v/>
      </c>
      <c r="Y378" s="24" t="str">
        <f t="shared" si="51"/>
        <v/>
      </c>
      <c r="Z378">
        <f t="shared" si="52"/>
        <v>0</v>
      </c>
      <c r="AA378">
        <f t="shared" si="53"/>
        <v>0</v>
      </c>
    </row>
    <row r="379" spans="2:27" ht="15.75" customHeight="1" x14ac:dyDescent="0.3">
      <c r="B379" s="21"/>
      <c r="C379" s="21"/>
      <c r="D379" s="21"/>
      <c r="E379" s="22" t="str">
        <f t="shared" si="45"/>
        <v/>
      </c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3" t="str">
        <f>IF($F379="","",IF(OR($B379="",$C379="",$D379=""),"⚠ Compléter Année/Niveau/Session",IF(AND($E379&lt;&gt;"",COUNTIF(D_KEY_DOUBLON,$B379&amp;"|"&amp;$D379&amp;"|"&amp;$E379)&gt;1),"⚠ Doublon",IF(AND($E379&lt;&gt;"",COUNTIF(D_KEY_STATUT,$B379&amp;"|"&amp;$E379&amp;"|P")&gt;0,COUNTIF(D_KEY_STATUT,$B379&amp;"|"&amp;$E379&amp;"|A")&gt;0),"⚠ Statut incohérent",IF(AND($D379="S1",$Y379&lt;&gt;"Parti",COUNTIF(ANNEES_VERROU,$B379)&gt;0,COUNTIF(D_KEY_NIVSES,$B379&amp;"|"&amp;$C379&amp;"|S2")&gt;0,COUNTIF(D_KEY_DOUBLON,$B379&amp;"|S2|"&amp;$E379)=0),"⚠ Départ non confirmé ?",IF(AND($C379&lt;&gt;"",ISNUMBER($I379),OR(VALUE(LEFT($B379,4))-$I379&lt;4+IFERROR(MATCH($C379,LISTE_NIVEAUX,0),99),VALUE(LEFT($B379,4))-$I379&gt;6+IFERROR(MATCH($C379,LISTE_NIVEAUX,0),99))),"⚠ Vérifier niveau",IF(AND(IFERROR(VLOOKUP($C379,TABLE_CYCLE,2,0),3)=2,COUNT($O379:$Q379)&gt;0),"⚠ Tests cycle 3",IF(COUNT($J379:$Q379)&gt;=IF(IFERROR(VLOOKUP($C379,TABLE_CYCLE,2,0),3)=2,5,8),"Complet","Incomplet"))))))))</f>
        <v/>
      </c>
      <c r="S379" s="24"/>
      <c r="T379" s="67" t="str">
        <f t="shared" si="46"/>
        <v/>
      </c>
      <c r="U379" s="67" t="str">
        <f t="shared" si="47"/>
        <v/>
      </c>
      <c r="V379" s="67" t="str">
        <f t="shared" si="48"/>
        <v/>
      </c>
      <c r="W379" s="67" t="str">
        <f t="shared" si="49"/>
        <v/>
      </c>
      <c r="X379" s="67" t="str">
        <f t="shared" si="50"/>
        <v/>
      </c>
      <c r="Y379" s="24" t="str">
        <f t="shared" si="51"/>
        <v/>
      </c>
      <c r="Z379">
        <f t="shared" si="52"/>
        <v>0</v>
      </c>
      <c r="AA379">
        <f t="shared" si="53"/>
        <v>0</v>
      </c>
    </row>
    <row r="380" spans="2:27" ht="15.75" customHeight="1" x14ac:dyDescent="0.3">
      <c r="B380" s="25"/>
      <c r="C380" s="25"/>
      <c r="D380" s="25"/>
      <c r="E380" s="26" t="str">
        <f t="shared" si="45"/>
        <v/>
      </c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3" t="str">
        <f>IF($F380="","",IF(OR($B380="",$C380="",$D380=""),"⚠ Compléter Année/Niveau/Session",IF(AND($E380&lt;&gt;"",COUNTIF(D_KEY_DOUBLON,$B380&amp;"|"&amp;$D380&amp;"|"&amp;$E380)&gt;1),"⚠ Doublon",IF(AND($E380&lt;&gt;"",COUNTIF(D_KEY_STATUT,$B380&amp;"|"&amp;$E380&amp;"|P")&gt;0,COUNTIF(D_KEY_STATUT,$B380&amp;"|"&amp;$E380&amp;"|A")&gt;0),"⚠ Statut incohérent",IF(AND($D380="S1",$Y380&lt;&gt;"Parti",COUNTIF(ANNEES_VERROU,$B380)&gt;0,COUNTIF(D_KEY_NIVSES,$B380&amp;"|"&amp;$C380&amp;"|S2")&gt;0,COUNTIF(D_KEY_DOUBLON,$B380&amp;"|S2|"&amp;$E380)=0),"⚠ Départ non confirmé ?",IF(AND($C380&lt;&gt;"",ISNUMBER($I380),OR(VALUE(LEFT($B380,4))-$I380&lt;4+IFERROR(MATCH($C380,LISTE_NIVEAUX,0),99),VALUE(LEFT($B380,4))-$I380&gt;6+IFERROR(MATCH($C380,LISTE_NIVEAUX,0),99))),"⚠ Vérifier niveau",IF(AND(IFERROR(VLOOKUP($C380,TABLE_CYCLE,2,0),3)=2,COUNT($O380:$Q380)&gt;0),"⚠ Tests cycle 3",IF(COUNT($J380:$Q380)&gt;=IF(IFERROR(VLOOKUP($C380,TABLE_CYCLE,2,0),3)=2,5,8),"Complet","Incomplet"))))))))</f>
        <v/>
      </c>
      <c r="S380" s="24"/>
      <c r="T380" s="67" t="str">
        <f t="shared" si="46"/>
        <v/>
      </c>
      <c r="U380" s="67" t="str">
        <f t="shared" si="47"/>
        <v/>
      </c>
      <c r="V380" s="67" t="str">
        <f t="shared" si="48"/>
        <v/>
      </c>
      <c r="W380" s="67" t="str">
        <f t="shared" si="49"/>
        <v/>
      </c>
      <c r="X380" s="67" t="str">
        <f t="shared" si="50"/>
        <v/>
      </c>
      <c r="Y380" s="24" t="str">
        <f t="shared" si="51"/>
        <v/>
      </c>
      <c r="Z380">
        <f t="shared" si="52"/>
        <v>0</v>
      </c>
      <c r="AA380">
        <f t="shared" si="53"/>
        <v>0</v>
      </c>
    </row>
    <row r="381" spans="2:27" ht="15.75" customHeight="1" x14ac:dyDescent="0.3">
      <c r="B381" s="21"/>
      <c r="C381" s="21"/>
      <c r="D381" s="21"/>
      <c r="E381" s="22" t="str">
        <f t="shared" si="45"/>
        <v/>
      </c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3" t="str">
        <f>IF($F381="","",IF(OR($B381="",$C381="",$D381=""),"⚠ Compléter Année/Niveau/Session",IF(AND($E381&lt;&gt;"",COUNTIF(D_KEY_DOUBLON,$B381&amp;"|"&amp;$D381&amp;"|"&amp;$E381)&gt;1),"⚠ Doublon",IF(AND($E381&lt;&gt;"",COUNTIF(D_KEY_STATUT,$B381&amp;"|"&amp;$E381&amp;"|P")&gt;0,COUNTIF(D_KEY_STATUT,$B381&amp;"|"&amp;$E381&amp;"|A")&gt;0),"⚠ Statut incohérent",IF(AND($D381="S1",$Y381&lt;&gt;"Parti",COUNTIF(ANNEES_VERROU,$B381)&gt;0,COUNTIF(D_KEY_NIVSES,$B381&amp;"|"&amp;$C381&amp;"|S2")&gt;0,COUNTIF(D_KEY_DOUBLON,$B381&amp;"|S2|"&amp;$E381)=0),"⚠ Départ non confirmé ?",IF(AND($C381&lt;&gt;"",ISNUMBER($I381),OR(VALUE(LEFT($B381,4))-$I381&lt;4+IFERROR(MATCH($C381,LISTE_NIVEAUX,0),99),VALUE(LEFT($B381,4))-$I381&gt;6+IFERROR(MATCH($C381,LISTE_NIVEAUX,0),99))),"⚠ Vérifier niveau",IF(AND(IFERROR(VLOOKUP($C381,TABLE_CYCLE,2,0),3)=2,COUNT($O381:$Q381)&gt;0),"⚠ Tests cycle 3",IF(COUNT($J381:$Q381)&gt;=IF(IFERROR(VLOOKUP($C381,TABLE_CYCLE,2,0),3)=2,5,8),"Complet","Incomplet"))))))))</f>
        <v/>
      </c>
      <c r="S381" s="24"/>
      <c r="T381" s="67" t="str">
        <f t="shared" si="46"/>
        <v/>
      </c>
      <c r="U381" s="67" t="str">
        <f t="shared" si="47"/>
        <v/>
      </c>
      <c r="V381" s="67" t="str">
        <f t="shared" si="48"/>
        <v/>
      </c>
      <c r="W381" s="67" t="str">
        <f t="shared" si="49"/>
        <v/>
      </c>
      <c r="X381" s="67" t="str">
        <f t="shared" si="50"/>
        <v/>
      </c>
      <c r="Y381" s="24" t="str">
        <f t="shared" si="51"/>
        <v/>
      </c>
      <c r="Z381">
        <f t="shared" si="52"/>
        <v>0</v>
      </c>
      <c r="AA381">
        <f t="shared" si="53"/>
        <v>0</v>
      </c>
    </row>
    <row r="382" spans="2:27" ht="15.75" customHeight="1" x14ac:dyDescent="0.3">
      <c r="B382" s="25"/>
      <c r="C382" s="25"/>
      <c r="D382" s="25"/>
      <c r="E382" s="26" t="str">
        <f t="shared" si="45"/>
        <v/>
      </c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3" t="str">
        <f>IF($F382="","",IF(OR($B382="",$C382="",$D382=""),"⚠ Compléter Année/Niveau/Session",IF(AND($E382&lt;&gt;"",COUNTIF(D_KEY_DOUBLON,$B382&amp;"|"&amp;$D382&amp;"|"&amp;$E382)&gt;1),"⚠ Doublon",IF(AND($E382&lt;&gt;"",COUNTIF(D_KEY_STATUT,$B382&amp;"|"&amp;$E382&amp;"|P")&gt;0,COUNTIF(D_KEY_STATUT,$B382&amp;"|"&amp;$E382&amp;"|A")&gt;0),"⚠ Statut incohérent",IF(AND($D382="S1",$Y382&lt;&gt;"Parti",COUNTIF(ANNEES_VERROU,$B382)&gt;0,COUNTIF(D_KEY_NIVSES,$B382&amp;"|"&amp;$C382&amp;"|S2")&gt;0,COUNTIF(D_KEY_DOUBLON,$B382&amp;"|S2|"&amp;$E382)=0),"⚠ Départ non confirmé ?",IF(AND($C382&lt;&gt;"",ISNUMBER($I382),OR(VALUE(LEFT($B382,4))-$I382&lt;4+IFERROR(MATCH($C382,LISTE_NIVEAUX,0),99),VALUE(LEFT($B382,4))-$I382&gt;6+IFERROR(MATCH($C382,LISTE_NIVEAUX,0),99))),"⚠ Vérifier niveau",IF(AND(IFERROR(VLOOKUP($C382,TABLE_CYCLE,2,0),3)=2,COUNT($O382:$Q382)&gt;0),"⚠ Tests cycle 3",IF(COUNT($J382:$Q382)&gt;=IF(IFERROR(VLOOKUP($C382,TABLE_CYCLE,2,0),3)=2,5,8),"Complet","Incomplet"))))))))</f>
        <v/>
      </c>
      <c r="S382" s="24"/>
      <c r="T382" s="67" t="str">
        <f t="shared" si="46"/>
        <v/>
      </c>
      <c r="U382" s="67" t="str">
        <f t="shared" si="47"/>
        <v/>
      </c>
      <c r="V382" s="67" t="str">
        <f t="shared" si="48"/>
        <v/>
      </c>
      <c r="W382" s="67" t="str">
        <f t="shared" si="49"/>
        <v/>
      </c>
      <c r="X382" s="67" t="str">
        <f t="shared" si="50"/>
        <v/>
      </c>
      <c r="Y382" s="24" t="str">
        <f t="shared" si="51"/>
        <v/>
      </c>
      <c r="Z382">
        <f t="shared" si="52"/>
        <v>0</v>
      </c>
      <c r="AA382">
        <f t="shared" si="53"/>
        <v>0</v>
      </c>
    </row>
    <row r="383" spans="2:27" ht="15.75" customHeight="1" x14ac:dyDescent="0.3">
      <c r="B383" s="21"/>
      <c r="C383" s="21"/>
      <c r="D383" s="21"/>
      <c r="E383" s="22" t="str">
        <f t="shared" si="45"/>
        <v/>
      </c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3" t="str">
        <f>IF($F383="","",IF(OR($B383="",$C383="",$D383=""),"⚠ Compléter Année/Niveau/Session",IF(AND($E383&lt;&gt;"",COUNTIF(D_KEY_DOUBLON,$B383&amp;"|"&amp;$D383&amp;"|"&amp;$E383)&gt;1),"⚠ Doublon",IF(AND($E383&lt;&gt;"",COUNTIF(D_KEY_STATUT,$B383&amp;"|"&amp;$E383&amp;"|P")&gt;0,COUNTIF(D_KEY_STATUT,$B383&amp;"|"&amp;$E383&amp;"|A")&gt;0),"⚠ Statut incohérent",IF(AND($D383="S1",$Y383&lt;&gt;"Parti",COUNTIF(ANNEES_VERROU,$B383)&gt;0,COUNTIF(D_KEY_NIVSES,$B383&amp;"|"&amp;$C383&amp;"|S2")&gt;0,COUNTIF(D_KEY_DOUBLON,$B383&amp;"|S2|"&amp;$E383)=0),"⚠ Départ non confirmé ?",IF(AND($C383&lt;&gt;"",ISNUMBER($I383),OR(VALUE(LEFT($B383,4))-$I383&lt;4+IFERROR(MATCH($C383,LISTE_NIVEAUX,0),99),VALUE(LEFT($B383,4))-$I383&gt;6+IFERROR(MATCH($C383,LISTE_NIVEAUX,0),99))),"⚠ Vérifier niveau",IF(AND(IFERROR(VLOOKUP($C383,TABLE_CYCLE,2,0),3)=2,COUNT($O383:$Q383)&gt;0),"⚠ Tests cycle 3",IF(COUNT($J383:$Q383)&gt;=IF(IFERROR(VLOOKUP($C383,TABLE_CYCLE,2,0),3)=2,5,8),"Complet","Incomplet"))))))))</f>
        <v/>
      </c>
      <c r="S383" s="24"/>
      <c r="T383" s="67" t="str">
        <f t="shared" si="46"/>
        <v/>
      </c>
      <c r="U383" s="67" t="str">
        <f t="shared" si="47"/>
        <v/>
      </c>
      <c r="V383" s="67" t="str">
        <f t="shared" si="48"/>
        <v/>
      </c>
      <c r="W383" s="67" t="str">
        <f t="shared" si="49"/>
        <v/>
      </c>
      <c r="X383" s="67" t="str">
        <f t="shared" si="50"/>
        <v/>
      </c>
      <c r="Y383" s="24" t="str">
        <f t="shared" si="51"/>
        <v/>
      </c>
      <c r="Z383">
        <f t="shared" si="52"/>
        <v>0</v>
      </c>
      <c r="AA383">
        <f t="shared" si="53"/>
        <v>0</v>
      </c>
    </row>
    <row r="384" spans="2:27" ht="15.75" customHeight="1" x14ac:dyDescent="0.3">
      <c r="B384" s="25"/>
      <c r="C384" s="25"/>
      <c r="D384" s="25"/>
      <c r="E384" s="26" t="str">
        <f t="shared" si="45"/>
        <v/>
      </c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3" t="str">
        <f>IF($F384="","",IF(OR($B384="",$C384="",$D384=""),"⚠ Compléter Année/Niveau/Session",IF(AND($E384&lt;&gt;"",COUNTIF(D_KEY_DOUBLON,$B384&amp;"|"&amp;$D384&amp;"|"&amp;$E384)&gt;1),"⚠ Doublon",IF(AND($E384&lt;&gt;"",COUNTIF(D_KEY_STATUT,$B384&amp;"|"&amp;$E384&amp;"|P")&gt;0,COUNTIF(D_KEY_STATUT,$B384&amp;"|"&amp;$E384&amp;"|A")&gt;0),"⚠ Statut incohérent",IF(AND($D384="S1",$Y384&lt;&gt;"Parti",COUNTIF(ANNEES_VERROU,$B384)&gt;0,COUNTIF(D_KEY_NIVSES,$B384&amp;"|"&amp;$C384&amp;"|S2")&gt;0,COUNTIF(D_KEY_DOUBLON,$B384&amp;"|S2|"&amp;$E384)=0),"⚠ Départ non confirmé ?",IF(AND($C384&lt;&gt;"",ISNUMBER($I384),OR(VALUE(LEFT($B384,4))-$I384&lt;4+IFERROR(MATCH($C384,LISTE_NIVEAUX,0),99),VALUE(LEFT($B384,4))-$I384&gt;6+IFERROR(MATCH($C384,LISTE_NIVEAUX,0),99))),"⚠ Vérifier niveau",IF(AND(IFERROR(VLOOKUP($C384,TABLE_CYCLE,2,0),3)=2,COUNT($O384:$Q384)&gt;0),"⚠ Tests cycle 3",IF(COUNT($J384:$Q384)&gt;=IF(IFERROR(VLOOKUP($C384,TABLE_CYCLE,2,0),3)=2,5,8),"Complet","Incomplet"))))))))</f>
        <v/>
      </c>
      <c r="S384" s="24"/>
      <c r="T384" s="67" t="str">
        <f t="shared" si="46"/>
        <v/>
      </c>
      <c r="U384" s="67" t="str">
        <f t="shared" si="47"/>
        <v/>
      </c>
      <c r="V384" s="67" t="str">
        <f t="shared" si="48"/>
        <v/>
      </c>
      <c r="W384" s="67" t="str">
        <f t="shared" si="49"/>
        <v/>
      </c>
      <c r="X384" s="67" t="str">
        <f t="shared" si="50"/>
        <v/>
      </c>
      <c r="Y384" s="24" t="str">
        <f t="shared" si="51"/>
        <v/>
      </c>
      <c r="Z384">
        <f t="shared" si="52"/>
        <v>0</v>
      </c>
      <c r="AA384">
        <f t="shared" si="53"/>
        <v>0</v>
      </c>
    </row>
    <row r="385" spans="2:27" ht="15.75" customHeight="1" x14ac:dyDescent="0.3">
      <c r="B385" s="21"/>
      <c r="C385" s="21"/>
      <c r="D385" s="21"/>
      <c r="E385" s="22" t="str">
        <f t="shared" si="45"/>
        <v/>
      </c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3" t="str">
        <f>IF($F385="","",IF(OR($B385="",$C385="",$D385=""),"⚠ Compléter Année/Niveau/Session",IF(AND($E385&lt;&gt;"",COUNTIF(D_KEY_DOUBLON,$B385&amp;"|"&amp;$D385&amp;"|"&amp;$E385)&gt;1),"⚠ Doublon",IF(AND($E385&lt;&gt;"",COUNTIF(D_KEY_STATUT,$B385&amp;"|"&amp;$E385&amp;"|P")&gt;0,COUNTIF(D_KEY_STATUT,$B385&amp;"|"&amp;$E385&amp;"|A")&gt;0),"⚠ Statut incohérent",IF(AND($D385="S1",$Y385&lt;&gt;"Parti",COUNTIF(ANNEES_VERROU,$B385)&gt;0,COUNTIF(D_KEY_NIVSES,$B385&amp;"|"&amp;$C385&amp;"|S2")&gt;0,COUNTIF(D_KEY_DOUBLON,$B385&amp;"|S2|"&amp;$E385)=0),"⚠ Départ non confirmé ?",IF(AND($C385&lt;&gt;"",ISNUMBER($I385),OR(VALUE(LEFT($B385,4))-$I385&lt;4+IFERROR(MATCH($C385,LISTE_NIVEAUX,0),99),VALUE(LEFT($B385,4))-$I385&gt;6+IFERROR(MATCH($C385,LISTE_NIVEAUX,0),99))),"⚠ Vérifier niveau",IF(AND(IFERROR(VLOOKUP($C385,TABLE_CYCLE,2,0),3)=2,COUNT($O385:$Q385)&gt;0),"⚠ Tests cycle 3",IF(COUNT($J385:$Q385)&gt;=IF(IFERROR(VLOOKUP($C385,TABLE_CYCLE,2,0),3)=2,5,8),"Complet","Incomplet"))))))))</f>
        <v/>
      </c>
      <c r="S385" s="24"/>
      <c r="T385" s="67" t="str">
        <f t="shared" si="46"/>
        <v/>
      </c>
      <c r="U385" s="67" t="str">
        <f t="shared" si="47"/>
        <v/>
      </c>
      <c r="V385" s="67" t="str">
        <f t="shared" si="48"/>
        <v/>
      </c>
      <c r="W385" s="67" t="str">
        <f t="shared" si="49"/>
        <v/>
      </c>
      <c r="X385" s="67" t="str">
        <f t="shared" si="50"/>
        <v/>
      </c>
      <c r="Y385" s="24" t="str">
        <f t="shared" si="51"/>
        <v/>
      </c>
      <c r="Z385">
        <f t="shared" si="52"/>
        <v>0</v>
      </c>
      <c r="AA385">
        <f t="shared" si="53"/>
        <v>0</v>
      </c>
    </row>
    <row r="386" spans="2:27" ht="15.75" customHeight="1" x14ac:dyDescent="0.3">
      <c r="B386" s="25"/>
      <c r="C386" s="25"/>
      <c r="D386" s="25"/>
      <c r="E386" s="26" t="str">
        <f t="shared" si="45"/>
        <v/>
      </c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3" t="str">
        <f>IF($F386="","",IF(OR($B386="",$C386="",$D386=""),"⚠ Compléter Année/Niveau/Session",IF(AND($E386&lt;&gt;"",COUNTIF(D_KEY_DOUBLON,$B386&amp;"|"&amp;$D386&amp;"|"&amp;$E386)&gt;1),"⚠ Doublon",IF(AND($E386&lt;&gt;"",COUNTIF(D_KEY_STATUT,$B386&amp;"|"&amp;$E386&amp;"|P")&gt;0,COUNTIF(D_KEY_STATUT,$B386&amp;"|"&amp;$E386&amp;"|A")&gt;0),"⚠ Statut incohérent",IF(AND($D386="S1",$Y386&lt;&gt;"Parti",COUNTIF(ANNEES_VERROU,$B386)&gt;0,COUNTIF(D_KEY_NIVSES,$B386&amp;"|"&amp;$C386&amp;"|S2")&gt;0,COUNTIF(D_KEY_DOUBLON,$B386&amp;"|S2|"&amp;$E386)=0),"⚠ Départ non confirmé ?",IF(AND($C386&lt;&gt;"",ISNUMBER($I386),OR(VALUE(LEFT($B386,4))-$I386&lt;4+IFERROR(MATCH($C386,LISTE_NIVEAUX,0),99),VALUE(LEFT($B386,4))-$I386&gt;6+IFERROR(MATCH($C386,LISTE_NIVEAUX,0),99))),"⚠ Vérifier niveau",IF(AND(IFERROR(VLOOKUP($C386,TABLE_CYCLE,2,0),3)=2,COUNT($O386:$Q386)&gt;0),"⚠ Tests cycle 3",IF(COUNT($J386:$Q386)&gt;=IF(IFERROR(VLOOKUP($C386,TABLE_CYCLE,2,0),3)=2,5,8),"Complet","Incomplet"))))))))</f>
        <v/>
      </c>
      <c r="S386" s="24"/>
      <c r="T386" s="67" t="str">
        <f t="shared" si="46"/>
        <v/>
      </c>
      <c r="U386" s="67" t="str">
        <f t="shared" si="47"/>
        <v/>
      </c>
      <c r="V386" s="67" t="str">
        <f t="shared" si="48"/>
        <v/>
      </c>
      <c r="W386" s="67" t="str">
        <f t="shared" si="49"/>
        <v/>
      </c>
      <c r="X386" s="67" t="str">
        <f t="shared" si="50"/>
        <v/>
      </c>
      <c r="Y386" s="24" t="str">
        <f t="shared" si="51"/>
        <v/>
      </c>
      <c r="Z386">
        <f t="shared" si="52"/>
        <v>0</v>
      </c>
      <c r="AA386">
        <f t="shared" si="53"/>
        <v>0</v>
      </c>
    </row>
    <row r="387" spans="2:27" ht="15.75" customHeight="1" x14ac:dyDescent="0.3">
      <c r="B387" s="21"/>
      <c r="C387" s="21"/>
      <c r="D387" s="21"/>
      <c r="E387" s="22" t="str">
        <f t="shared" si="45"/>
        <v/>
      </c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3" t="str">
        <f>IF($F387="","",IF(OR($B387="",$C387="",$D387=""),"⚠ Compléter Année/Niveau/Session",IF(AND($E387&lt;&gt;"",COUNTIF(D_KEY_DOUBLON,$B387&amp;"|"&amp;$D387&amp;"|"&amp;$E387)&gt;1),"⚠ Doublon",IF(AND($E387&lt;&gt;"",COUNTIF(D_KEY_STATUT,$B387&amp;"|"&amp;$E387&amp;"|P")&gt;0,COUNTIF(D_KEY_STATUT,$B387&amp;"|"&amp;$E387&amp;"|A")&gt;0),"⚠ Statut incohérent",IF(AND($D387="S1",$Y387&lt;&gt;"Parti",COUNTIF(ANNEES_VERROU,$B387)&gt;0,COUNTIF(D_KEY_NIVSES,$B387&amp;"|"&amp;$C387&amp;"|S2")&gt;0,COUNTIF(D_KEY_DOUBLON,$B387&amp;"|S2|"&amp;$E387)=0),"⚠ Départ non confirmé ?",IF(AND($C387&lt;&gt;"",ISNUMBER($I387),OR(VALUE(LEFT($B387,4))-$I387&lt;4+IFERROR(MATCH($C387,LISTE_NIVEAUX,0),99),VALUE(LEFT($B387,4))-$I387&gt;6+IFERROR(MATCH($C387,LISTE_NIVEAUX,0),99))),"⚠ Vérifier niveau",IF(AND(IFERROR(VLOOKUP($C387,TABLE_CYCLE,2,0),3)=2,COUNT($O387:$Q387)&gt;0),"⚠ Tests cycle 3",IF(COUNT($J387:$Q387)&gt;=IF(IFERROR(VLOOKUP($C387,TABLE_CYCLE,2,0),3)=2,5,8),"Complet","Incomplet"))))))))</f>
        <v/>
      </c>
      <c r="S387" s="24"/>
      <c r="T387" s="67" t="str">
        <f t="shared" si="46"/>
        <v/>
      </c>
      <c r="U387" s="67" t="str">
        <f t="shared" si="47"/>
        <v/>
      </c>
      <c r="V387" s="67" t="str">
        <f t="shared" si="48"/>
        <v/>
      </c>
      <c r="W387" s="67" t="str">
        <f t="shared" si="49"/>
        <v/>
      </c>
      <c r="X387" s="67" t="str">
        <f t="shared" si="50"/>
        <v/>
      </c>
      <c r="Y387" s="24" t="str">
        <f t="shared" si="51"/>
        <v/>
      </c>
      <c r="Z387">
        <f t="shared" si="52"/>
        <v>0</v>
      </c>
      <c r="AA387">
        <f t="shared" si="53"/>
        <v>0</v>
      </c>
    </row>
    <row r="388" spans="2:27" ht="15.75" customHeight="1" x14ac:dyDescent="0.3">
      <c r="B388" s="25"/>
      <c r="C388" s="25"/>
      <c r="D388" s="25"/>
      <c r="E388" s="26" t="str">
        <f t="shared" si="45"/>
        <v/>
      </c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3" t="str">
        <f>IF($F388="","",IF(OR($B388="",$C388="",$D388=""),"⚠ Compléter Année/Niveau/Session",IF(AND($E388&lt;&gt;"",COUNTIF(D_KEY_DOUBLON,$B388&amp;"|"&amp;$D388&amp;"|"&amp;$E388)&gt;1),"⚠ Doublon",IF(AND($E388&lt;&gt;"",COUNTIF(D_KEY_STATUT,$B388&amp;"|"&amp;$E388&amp;"|P")&gt;0,COUNTIF(D_KEY_STATUT,$B388&amp;"|"&amp;$E388&amp;"|A")&gt;0),"⚠ Statut incohérent",IF(AND($D388="S1",$Y388&lt;&gt;"Parti",COUNTIF(ANNEES_VERROU,$B388)&gt;0,COUNTIF(D_KEY_NIVSES,$B388&amp;"|"&amp;$C388&amp;"|S2")&gt;0,COUNTIF(D_KEY_DOUBLON,$B388&amp;"|S2|"&amp;$E388)=0),"⚠ Départ non confirmé ?",IF(AND($C388&lt;&gt;"",ISNUMBER($I388),OR(VALUE(LEFT($B388,4))-$I388&lt;4+IFERROR(MATCH($C388,LISTE_NIVEAUX,0),99),VALUE(LEFT($B388,4))-$I388&gt;6+IFERROR(MATCH($C388,LISTE_NIVEAUX,0),99))),"⚠ Vérifier niveau",IF(AND(IFERROR(VLOOKUP($C388,TABLE_CYCLE,2,0),3)=2,COUNT($O388:$Q388)&gt;0),"⚠ Tests cycle 3",IF(COUNT($J388:$Q388)&gt;=IF(IFERROR(VLOOKUP($C388,TABLE_CYCLE,2,0),3)=2,5,8),"Complet","Incomplet"))))))))</f>
        <v/>
      </c>
      <c r="S388" s="24"/>
      <c r="T388" s="67" t="str">
        <f t="shared" si="46"/>
        <v/>
      </c>
      <c r="U388" s="67" t="str">
        <f t="shared" si="47"/>
        <v/>
      </c>
      <c r="V388" s="67" t="str">
        <f t="shared" si="48"/>
        <v/>
      </c>
      <c r="W388" s="67" t="str">
        <f t="shared" si="49"/>
        <v/>
      </c>
      <c r="X388" s="67" t="str">
        <f t="shared" si="50"/>
        <v/>
      </c>
      <c r="Y388" s="24" t="str">
        <f t="shared" si="51"/>
        <v/>
      </c>
      <c r="Z388">
        <f t="shared" si="52"/>
        <v>0</v>
      </c>
      <c r="AA388">
        <f t="shared" si="53"/>
        <v>0</v>
      </c>
    </row>
    <row r="389" spans="2:27" ht="15.75" customHeight="1" x14ac:dyDescent="0.3">
      <c r="B389" s="21"/>
      <c r="C389" s="21"/>
      <c r="D389" s="21"/>
      <c r="E389" s="22" t="str">
        <f t="shared" si="45"/>
        <v/>
      </c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3" t="str">
        <f>IF($F389="","",IF(OR($B389="",$C389="",$D389=""),"⚠ Compléter Année/Niveau/Session",IF(AND($E389&lt;&gt;"",COUNTIF(D_KEY_DOUBLON,$B389&amp;"|"&amp;$D389&amp;"|"&amp;$E389)&gt;1),"⚠ Doublon",IF(AND($E389&lt;&gt;"",COUNTIF(D_KEY_STATUT,$B389&amp;"|"&amp;$E389&amp;"|P")&gt;0,COUNTIF(D_KEY_STATUT,$B389&amp;"|"&amp;$E389&amp;"|A")&gt;0),"⚠ Statut incohérent",IF(AND($D389="S1",$Y389&lt;&gt;"Parti",COUNTIF(ANNEES_VERROU,$B389)&gt;0,COUNTIF(D_KEY_NIVSES,$B389&amp;"|"&amp;$C389&amp;"|S2")&gt;0,COUNTIF(D_KEY_DOUBLON,$B389&amp;"|S2|"&amp;$E389)=0),"⚠ Départ non confirmé ?",IF(AND($C389&lt;&gt;"",ISNUMBER($I389),OR(VALUE(LEFT($B389,4))-$I389&lt;4+IFERROR(MATCH($C389,LISTE_NIVEAUX,0),99),VALUE(LEFT($B389,4))-$I389&gt;6+IFERROR(MATCH($C389,LISTE_NIVEAUX,0),99))),"⚠ Vérifier niveau",IF(AND(IFERROR(VLOOKUP($C389,TABLE_CYCLE,2,0),3)=2,COUNT($O389:$Q389)&gt;0),"⚠ Tests cycle 3",IF(COUNT($J389:$Q389)&gt;=IF(IFERROR(VLOOKUP($C389,TABLE_CYCLE,2,0),3)=2,5,8),"Complet","Incomplet"))))))))</f>
        <v/>
      </c>
      <c r="S389" s="24"/>
      <c r="T389" s="67" t="str">
        <f t="shared" si="46"/>
        <v/>
      </c>
      <c r="U389" s="67" t="str">
        <f t="shared" si="47"/>
        <v/>
      </c>
      <c r="V389" s="67" t="str">
        <f t="shared" si="48"/>
        <v/>
      </c>
      <c r="W389" s="67" t="str">
        <f t="shared" si="49"/>
        <v/>
      </c>
      <c r="X389" s="67" t="str">
        <f t="shared" si="50"/>
        <v/>
      </c>
      <c r="Y389" s="24" t="str">
        <f t="shared" si="51"/>
        <v/>
      </c>
      <c r="Z389">
        <f t="shared" si="52"/>
        <v>0</v>
      </c>
      <c r="AA389">
        <f t="shared" si="53"/>
        <v>0</v>
      </c>
    </row>
    <row r="390" spans="2:27" ht="15.75" customHeight="1" x14ac:dyDescent="0.3">
      <c r="B390" s="25"/>
      <c r="C390" s="25"/>
      <c r="D390" s="25"/>
      <c r="E390" s="26" t="str">
        <f t="shared" si="45"/>
        <v/>
      </c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3" t="str">
        <f>IF($F390="","",IF(OR($B390="",$C390="",$D390=""),"⚠ Compléter Année/Niveau/Session",IF(AND($E390&lt;&gt;"",COUNTIF(D_KEY_DOUBLON,$B390&amp;"|"&amp;$D390&amp;"|"&amp;$E390)&gt;1),"⚠ Doublon",IF(AND($E390&lt;&gt;"",COUNTIF(D_KEY_STATUT,$B390&amp;"|"&amp;$E390&amp;"|P")&gt;0,COUNTIF(D_KEY_STATUT,$B390&amp;"|"&amp;$E390&amp;"|A")&gt;0),"⚠ Statut incohérent",IF(AND($D390="S1",$Y390&lt;&gt;"Parti",COUNTIF(ANNEES_VERROU,$B390)&gt;0,COUNTIF(D_KEY_NIVSES,$B390&amp;"|"&amp;$C390&amp;"|S2")&gt;0,COUNTIF(D_KEY_DOUBLON,$B390&amp;"|S2|"&amp;$E390)=0),"⚠ Départ non confirmé ?",IF(AND($C390&lt;&gt;"",ISNUMBER($I390),OR(VALUE(LEFT($B390,4))-$I390&lt;4+IFERROR(MATCH($C390,LISTE_NIVEAUX,0),99),VALUE(LEFT($B390,4))-$I390&gt;6+IFERROR(MATCH($C390,LISTE_NIVEAUX,0),99))),"⚠ Vérifier niveau",IF(AND(IFERROR(VLOOKUP($C390,TABLE_CYCLE,2,0),3)=2,COUNT($O390:$Q390)&gt;0),"⚠ Tests cycle 3",IF(COUNT($J390:$Q390)&gt;=IF(IFERROR(VLOOKUP($C390,TABLE_CYCLE,2,0),3)=2,5,8),"Complet","Incomplet"))))))))</f>
        <v/>
      </c>
      <c r="S390" s="24"/>
      <c r="T390" s="67" t="str">
        <f t="shared" si="46"/>
        <v/>
      </c>
      <c r="U390" s="67" t="str">
        <f t="shared" si="47"/>
        <v/>
      </c>
      <c r="V390" s="67" t="str">
        <f t="shared" si="48"/>
        <v/>
      </c>
      <c r="W390" s="67" t="str">
        <f t="shared" si="49"/>
        <v/>
      </c>
      <c r="X390" s="67" t="str">
        <f t="shared" si="50"/>
        <v/>
      </c>
      <c r="Y390" s="24" t="str">
        <f t="shared" si="51"/>
        <v/>
      </c>
      <c r="Z390">
        <f t="shared" si="52"/>
        <v>0</v>
      </c>
      <c r="AA390">
        <f t="shared" si="53"/>
        <v>0</v>
      </c>
    </row>
    <row r="391" spans="2:27" ht="15.75" customHeight="1" x14ac:dyDescent="0.3">
      <c r="B391" s="21"/>
      <c r="C391" s="21"/>
      <c r="D391" s="21"/>
      <c r="E391" s="22" t="str">
        <f t="shared" ref="E391:E454" si="54">IF(OR($F391="",$G391=""),"",IF(ISNUMBER($I391),TEXT($I391-2000,"00")&amp;"_","__")&amp;UPPER(TRIM($F391))&amp;"_"&amp;UPPER(TRIM($G391)))</f>
        <v/>
      </c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3" t="str">
        <f>IF($F391="","",IF(OR($B391="",$C391="",$D391=""),"⚠ Compléter Année/Niveau/Session",IF(AND($E391&lt;&gt;"",COUNTIF(D_KEY_DOUBLON,$B391&amp;"|"&amp;$D391&amp;"|"&amp;$E391)&gt;1),"⚠ Doublon",IF(AND($E391&lt;&gt;"",COUNTIF(D_KEY_STATUT,$B391&amp;"|"&amp;$E391&amp;"|P")&gt;0,COUNTIF(D_KEY_STATUT,$B391&amp;"|"&amp;$E391&amp;"|A")&gt;0),"⚠ Statut incohérent",IF(AND($D391="S1",$Y391&lt;&gt;"Parti",COUNTIF(ANNEES_VERROU,$B391)&gt;0,COUNTIF(D_KEY_NIVSES,$B391&amp;"|"&amp;$C391&amp;"|S2")&gt;0,COUNTIF(D_KEY_DOUBLON,$B391&amp;"|S2|"&amp;$E391)=0),"⚠ Départ non confirmé ?",IF(AND($C391&lt;&gt;"",ISNUMBER($I391),OR(VALUE(LEFT($B391,4))-$I391&lt;4+IFERROR(MATCH($C391,LISTE_NIVEAUX,0),99),VALUE(LEFT($B391,4))-$I391&gt;6+IFERROR(MATCH($C391,LISTE_NIVEAUX,0),99))),"⚠ Vérifier niveau",IF(AND(IFERROR(VLOOKUP($C391,TABLE_CYCLE,2,0),3)=2,COUNT($O391:$Q391)&gt;0),"⚠ Tests cycle 3",IF(COUNT($J391:$Q391)&gt;=IF(IFERROR(VLOOKUP($C391,TABLE_CYCLE,2,0),3)=2,5,8),"Complet","Incomplet"))))))))</f>
        <v/>
      </c>
      <c r="S391" s="24"/>
      <c r="T391" s="67" t="str">
        <f t="shared" ref="T391:T454" si="55">IFERROR(INDEX(D_NOM,MATCH(ROW()-6,D_RANG_RECUP,0)),"")</f>
        <v/>
      </c>
      <c r="U391" s="67" t="str">
        <f t="shared" ref="U391:U454" si="56">IFERROR(INDEX(D_PRENOM,MATCH(ROW()-6,D_RANG_RECUP,0)),"")</f>
        <v/>
      </c>
      <c r="V391" s="67" t="str">
        <f t="shared" ref="V391:V454" si="57">IFERROR(INDEX(D_SEXE,MATCH(ROW()-6,D_RANG_RECUP,0)),"")</f>
        <v/>
      </c>
      <c r="W391" s="67" t="str">
        <f t="shared" ref="W391:W454" si="58">IFERROR(INDEX(D_NAISS,MATCH(ROW()-6,D_RANG_RECUP,0)),"")</f>
        <v/>
      </c>
      <c r="X391" s="67" t="str">
        <f t="shared" ref="X391:X454" si="59">IF($T391="","",IF($X$4="→ Session 2 (même année)",$W$4,IFERROR(INDEX(LISTE_NIVEAUX,MATCH($W$4,LISTE_NIVEAUX,0)+1),"CM2 terminé")))</f>
        <v/>
      </c>
      <c r="Y391" s="24" t="str">
        <f t="shared" ref="Y391:Y454" si="60">IF($S391="","",$S391)</f>
        <v/>
      </c>
      <c r="Z391">
        <f t="shared" ref="Z391:Z454" si="61">SUBTOTAL(103,$F391)*($R391="Complet")</f>
        <v>0</v>
      </c>
      <c r="AA391">
        <f t="shared" ref="AA391:AA454" si="62">IF(OR($F391="",$C391=""),0,IF(COUNTIFS($B$7:$B$1206,$B391,$F$7:$F$1206,$F391,$G$7:$G$1206,$G391,$I$7:$I$1206,$I391,$C$7:$C$1206,"&lt;&gt;"&amp;$C391)&gt;0,1,0))</f>
        <v>0</v>
      </c>
    </row>
    <row r="392" spans="2:27" ht="15.75" customHeight="1" x14ac:dyDescent="0.3">
      <c r="B392" s="25"/>
      <c r="C392" s="25"/>
      <c r="D392" s="25"/>
      <c r="E392" s="26" t="str">
        <f t="shared" si="54"/>
        <v/>
      </c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3" t="str">
        <f>IF($F392="","",IF(OR($B392="",$C392="",$D392=""),"⚠ Compléter Année/Niveau/Session",IF(AND($E392&lt;&gt;"",COUNTIF(D_KEY_DOUBLON,$B392&amp;"|"&amp;$D392&amp;"|"&amp;$E392)&gt;1),"⚠ Doublon",IF(AND($E392&lt;&gt;"",COUNTIF(D_KEY_STATUT,$B392&amp;"|"&amp;$E392&amp;"|P")&gt;0,COUNTIF(D_KEY_STATUT,$B392&amp;"|"&amp;$E392&amp;"|A")&gt;0),"⚠ Statut incohérent",IF(AND($D392="S1",$Y392&lt;&gt;"Parti",COUNTIF(ANNEES_VERROU,$B392)&gt;0,COUNTIF(D_KEY_NIVSES,$B392&amp;"|"&amp;$C392&amp;"|S2")&gt;0,COUNTIF(D_KEY_DOUBLON,$B392&amp;"|S2|"&amp;$E392)=0),"⚠ Départ non confirmé ?",IF(AND($C392&lt;&gt;"",ISNUMBER($I392),OR(VALUE(LEFT($B392,4))-$I392&lt;4+IFERROR(MATCH($C392,LISTE_NIVEAUX,0),99),VALUE(LEFT($B392,4))-$I392&gt;6+IFERROR(MATCH($C392,LISTE_NIVEAUX,0),99))),"⚠ Vérifier niveau",IF(AND(IFERROR(VLOOKUP($C392,TABLE_CYCLE,2,0),3)=2,COUNT($O392:$Q392)&gt;0),"⚠ Tests cycle 3",IF(COUNT($J392:$Q392)&gt;=IF(IFERROR(VLOOKUP($C392,TABLE_CYCLE,2,0),3)=2,5,8),"Complet","Incomplet"))))))))</f>
        <v/>
      </c>
      <c r="S392" s="24"/>
      <c r="T392" s="67" t="str">
        <f t="shared" si="55"/>
        <v/>
      </c>
      <c r="U392" s="67" t="str">
        <f t="shared" si="56"/>
        <v/>
      </c>
      <c r="V392" s="67" t="str">
        <f t="shared" si="57"/>
        <v/>
      </c>
      <c r="W392" s="67" t="str">
        <f t="shared" si="58"/>
        <v/>
      </c>
      <c r="X392" s="67" t="str">
        <f t="shared" si="59"/>
        <v/>
      </c>
      <c r="Y392" s="24" t="str">
        <f t="shared" si="60"/>
        <v/>
      </c>
      <c r="Z392">
        <f t="shared" si="61"/>
        <v>0</v>
      </c>
      <c r="AA392">
        <f t="shared" si="62"/>
        <v>0</v>
      </c>
    </row>
    <row r="393" spans="2:27" ht="15.75" customHeight="1" x14ac:dyDescent="0.3">
      <c r="B393" s="21"/>
      <c r="C393" s="21"/>
      <c r="D393" s="21"/>
      <c r="E393" s="22" t="str">
        <f t="shared" si="54"/>
        <v/>
      </c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3" t="str">
        <f>IF($F393="","",IF(OR($B393="",$C393="",$D393=""),"⚠ Compléter Année/Niveau/Session",IF(AND($E393&lt;&gt;"",COUNTIF(D_KEY_DOUBLON,$B393&amp;"|"&amp;$D393&amp;"|"&amp;$E393)&gt;1),"⚠ Doublon",IF(AND($E393&lt;&gt;"",COUNTIF(D_KEY_STATUT,$B393&amp;"|"&amp;$E393&amp;"|P")&gt;0,COUNTIF(D_KEY_STATUT,$B393&amp;"|"&amp;$E393&amp;"|A")&gt;0),"⚠ Statut incohérent",IF(AND($D393="S1",$Y393&lt;&gt;"Parti",COUNTIF(ANNEES_VERROU,$B393)&gt;0,COUNTIF(D_KEY_NIVSES,$B393&amp;"|"&amp;$C393&amp;"|S2")&gt;0,COUNTIF(D_KEY_DOUBLON,$B393&amp;"|S2|"&amp;$E393)=0),"⚠ Départ non confirmé ?",IF(AND($C393&lt;&gt;"",ISNUMBER($I393),OR(VALUE(LEFT($B393,4))-$I393&lt;4+IFERROR(MATCH($C393,LISTE_NIVEAUX,0),99),VALUE(LEFT($B393,4))-$I393&gt;6+IFERROR(MATCH($C393,LISTE_NIVEAUX,0),99))),"⚠ Vérifier niveau",IF(AND(IFERROR(VLOOKUP($C393,TABLE_CYCLE,2,0),3)=2,COUNT($O393:$Q393)&gt;0),"⚠ Tests cycle 3",IF(COUNT($J393:$Q393)&gt;=IF(IFERROR(VLOOKUP($C393,TABLE_CYCLE,2,0),3)=2,5,8),"Complet","Incomplet"))))))))</f>
        <v/>
      </c>
      <c r="S393" s="24"/>
      <c r="T393" s="67" t="str">
        <f t="shared" si="55"/>
        <v/>
      </c>
      <c r="U393" s="67" t="str">
        <f t="shared" si="56"/>
        <v/>
      </c>
      <c r="V393" s="67" t="str">
        <f t="shared" si="57"/>
        <v/>
      </c>
      <c r="W393" s="67" t="str">
        <f t="shared" si="58"/>
        <v/>
      </c>
      <c r="X393" s="67" t="str">
        <f t="shared" si="59"/>
        <v/>
      </c>
      <c r="Y393" s="24" t="str">
        <f t="shared" si="60"/>
        <v/>
      </c>
      <c r="Z393">
        <f t="shared" si="61"/>
        <v>0</v>
      </c>
      <c r="AA393">
        <f t="shared" si="62"/>
        <v>0</v>
      </c>
    </row>
    <row r="394" spans="2:27" ht="15.75" customHeight="1" x14ac:dyDescent="0.3">
      <c r="B394" s="25"/>
      <c r="C394" s="25"/>
      <c r="D394" s="25"/>
      <c r="E394" s="26" t="str">
        <f t="shared" si="54"/>
        <v/>
      </c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3" t="str">
        <f>IF($F394="","",IF(OR($B394="",$C394="",$D394=""),"⚠ Compléter Année/Niveau/Session",IF(AND($E394&lt;&gt;"",COUNTIF(D_KEY_DOUBLON,$B394&amp;"|"&amp;$D394&amp;"|"&amp;$E394)&gt;1),"⚠ Doublon",IF(AND($E394&lt;&gt;"",COUNTIF(D_KEY_STATUT,$B394&amp;"|"&amp;$E394&amp;"|P")&gt;0,COUNTIF(D_KEY_STATUT,$B394&amp;"|"&amp;$E394&amp;"|A")&gt;0),"⚠ Statut incohérent",IF(AND($D394="S1",$Y394&lt;&gt;"Parti",COUNTIF(ANNEES_VERROU,$B394)&gt;0,COUNTIF(D_KEY_NIVSES,$B394&amp;"|"&amp;$C394&amp;"|S2")&gt;0,COUNTIF(D_KEY_DOUBLON,$B394&amp;"|S2|"&amp;$E394)=0),"⚠ Départ non confirmé ?",IF(AND($C394&lt;&gt;"",ISNUMBER($I394),OR(VALUE(LEFT($B394,4))-$I394&lt;4+IFERROR(MATCH($C394,LISTE_NIVEAUX,0),99),VALUE(LEFT($B394,4))-$I394&gt;6+IFERROR(MATCH($C394,LISTE_NIVEAUX,0),99))),"⚠ Vérifier niveau",IF(AND(IFERROR(VLOOKUP($C394,TABLE_CYCLE,2,0),3)=2,COUNT($O394:$Q394)&gt;0),"⚠ Tests cycle 3",IF(COUNT($J394:$Q394)&gt;=IF(IFERROR(VLOOKUP($C394,TABLE_CYCLE,2,0),3)=2,5,8),"Complet","Incomplet"))))))))</f>
        <v/>
      </c>
      <c r="S394" s="24"/>
      <c r="T394" s="67" t="str">
        <f t="shared" si="55"/>
        <v/>
      </c>
      <c r="U394" s="67" t="str">
        <f t="shared" si="56"/>
        <v/>
      </c>
      <c r="V394" s="67" t="str">
        <f t="shared" si="57"/>
        <v/>
      </c>
      <c r="W394" s="67" t="str">
        <f t="shared" si="58"/>
        <v/>
      </c>
      <c r="X394" s="67" t="str">
        <f t="shared" si="59"/>
        <v/>
      </c>
      <c r="Y394" s="24" t="str">
        <f t="shared" si="60"/>
        <v/>
      </c>
      <c r="Z394">
        <f t="shared" si="61"/>
        <v>0</v>
      </c>
      <c r="AA394">
        <f t="shared" si="62"/>
        <v>0</v>
      </c>
    </row>
    <row r="395" spans="2:27" ht="15.75" customHeight="1" x14ac:dyDescent="0.3">
      <c r="B395" s="21"/>
      <c r="C395" s="21"/>
      <c r="D395" s="21"/>
      <c r="E395" s="22" t="str">
        <f t="shared" si="54"/>
        <v/>
      </c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3" t="str">
        <f>IF($F395="","",IF(OR($B395="",$C395="",$D395=""),"⚠ Compléter Année/Niveau/Session",IF(AND($E395&lt;&gt;"",COUNTIF(D_KEY_DOUBLON,$B395&amp;"|"&amp;$D395&amp;"|"&amp;$E395)&gt;1),"⚠ Doublon",IF(AND($E395&lt;&gt;"",COUNTIF(D_KEY_STATUT,$B395&amp;"|"&amp;$E395&amp;"|P")&gt;0,COUNTIF(D_KEY_STATUT,$B395&amp;"|"&amp;$E395&amp;"|A")&gt;0),"⚠ Statut incohérent",IF(AND($D395="S1",$Y395&lt;&gt;"Parti",COUNTIF(ANNEES_VERROU,$B395)&gt;0,COUNTIF(D_KEY_NIVSES,$B395&amp;"|"&amp;$C395&amp;"|S2")&gt;0,COUNTIF(D_KEY_DOUBLON,$B395&amp;"|S2|"&amp;$E395)=0),"⚠ Départ non confirmé ?",IF(AND($C395&lt;&gt;"",ISNUMBER($I395),OR(VALUE(LEFT($B395,4))-$I395&lt;4+IFERROR(MATCH($C395,LISTE_NIVEAUX,0),99),VALUE(LEFT($B395,4))-$I395&gt;6+IFERROR(MATCH($C395,LISTE_NIVEAUX,0),99))),"⚠ Vérifier niveau",IF(AND(IFERROR(VLOOKUP($C395,TABLE_CYCLE,2,0),3)=2,COUNT($O395:$Q395)&gt;0),"⚠ Tests cycle 3",IF(COUNT($J395:$Q395)&gt;=IF(IFERROR(VLOOKUP($C395,TABLE_CYCLE,2,0),3)=2,5,8),"Complet","Incomplet"))))))))</f>
        <v/>
      </c>
      <c r="S395" s="24"/>
      <c r="T395" s="67" t="str">
        <f t="shared" si="55"/>
        <v/>
      </c>
      <c r="U395" s="67" t="str">
        <f t="shared" si="56"/>
        <v/>
      </c>
      <c r="V395" s="67" t="str">
        <f t="shared" si="57"/>
        <v/>
      </c>
      <c r="W395" s="67" t="str">
        <f t="shared" si="58"/>
        <v/>
      </c>
      <c r="X395" s="67" t="str">
        <f t="shared" si="59"/>
        <v/>
      </c>
      <c r="Y395" s="24" t="str">
        <f t="shared" si="60"/>
        <v/>
      </c>
      <c r="Z395">
        <f t="shared" si="61"/>
        <v>0</v>
      </c>
      <c r="AA395">
        <f t="shared" si="62"/>
        <v>0</v>
      </c>
    </row>
    <row r="396" spans="2:27" ht="15.75" customHeight="1" x14ac:dyDescent="0.3">
      <c r="B396" s="25"/>
      <c r="C396" s="25"/>
      <c r="D396" s="25"/>
      <c r="E396" s="26" t="str">
        <f t="shared" si="54"/>
        <v/>
      </c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3" t="str">
        <f>IF($F396="","",IF(OR($B396="",$C396="",$D396=""),"⚠ Compléter Année/Niveau/Session",IF(AND($E396&lt;&gt;"",COUNTIF(D_KEY_DOUBLON,$B396&amp;"|"&amp;$D396&amp;"|"&amp;$E396)&gt;1),"⚠ Doublon",IF(AND($E396&lt;&gt;"",COUNTIF(D_KEY_STATUT,$B396&amp;"|"&amp;$E396&amp;"|P")&gt;0,COUNTIF(D_KEY_STATUT,$B396&amp;"|"&amp;$E396&amp;"|A")&gt;0),"⚠ Statut incohérent",IF(AND($D396="S1",$Y396&lt;&gt;"Parti",COUNTIF(ANNEES_VERROU,$B396)&gt;0,COUNTIF(D_KEY_NIVSES,$B396&amp;"|"&amp;$C396&amp;"|S2")&gt;0,COUNTIF(D_KEY_DOUBLON,$B396&amp;"|S2|"&amp;$E396)=0),"⚠ Départ non confirmé ?",IF(AND($C396&lt;&gt;"",ISNUMBER($I396),OR(VALUE(LEFT($B396,4))-$I396&lt;4+IFERROR(MATCH($C396,LISTE_NIVEAUX,0),99),VALUE(LEFT($B396,4))-$I396&gt;6+IFERROR(MATCH($C396,LISTE_NIVEAUX,0),99))),"⚠ Vérifier niveau",IF(AND(IFERROR(VLOOKUP($C396,TABLE_CYCLE,2,0),3)=2,COUNT($O396:$Q396)&gt;0),"⚠ Tests cycle 3",IF(COUNT($J396:$Q396)&gt;=IF(IFERROR(VLOOKUP($C396,TABLE_CYCLE,2,0),3)=2,5,8),"Complet","Incomplet"))))))))</f>
        <v/>
      </c>
      <c r="S396" s="24"/>
      <c r="T396" s="67" t="str">
        <f t="shared" si="55"/>
        <v/>
      </c>
      <c r="U396" s="67" t="str">
        <f t="shared" si="56"/>
        <v/>
      </c>
      <c r="V396" s="67" t="str">
        <f t="shared" si="57"/>
        <v/>
      </c>
      <c r="W396" s="67" t="str">
        <f t="shared" si="58"/>
        <v/>
      </c>
      <c r="X396" s="67" t="str">
        <f t="shared" si="59"/>
        <v/>
      </c>
      <c r="Y396" s="24" t="str">
        <f t="shared" si="60"/>
        <v/>
      </c>
      <c r="Z396">
        <f t="shared" si="61"/>
        <v>0</v>
      </c>
      <c r="AA396">
        <f t="shared" si="62"/>
        <v>0</v>
      </c>
    </row>
    <row r="397" spans="2:27" ht="15.75" customHeight="1" x14ac:dyDescent="0.3">
      <c r="B397" s="21"/>
      <c r="C397" s="21"/>
      <c r="D397" s="21"/>
      <c r="E397" s="22" t="str">
        <f t="shared" si="54"/>
        <v/>
      </c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3" t="str">
        <f>IF($F397="","",IF(OR($B397="",$C397="",$D397=""),"⚠ Compléter Année/Niveau/Session",IF(AND($E397&lt;&gt;"",COUNTIF(D_KEY_DOUBLON,$B397&amp;"|"&amp;$D397&amp;"|"&amp;$E397)&gt;1),"⚠ Doublon",IF(AND($E397&lt;&gt;"",COUNTIF(D_KEY_STATUT,$B397&amp;"|"&amp;$E397&amp;"|P")&gt;0,COUNTIF(D_KEY_STATUT,$B397&amp;"|"&amp;$E397&amp;"|A")&gt;0),"⚠ Statut incohérent",IF(AND($D397="S1",$Y397&lt;&gt;"Parti",COUNTIF(ANNEES_VERROU,$B397)&gt;0,COUNTIF(D_KEY_NIVSES,$B397&amp;"|"&amp;$C397&amp;"|S2")&gt;0,COUNTIF(D_KEY_DOUBLON,$B397&amp;"|S2|"&amp;$E397)=0),"⚠ Départ non confirmé ?",IF(AND($C397&lt;&gt;"",ISNUMBER($I397),OR(VALUE(LEFT($B397,4))-$I397&lt;4+IFERROR(MATCH($C397,LISTE_NIVEAUX,0),99),VALUE(LEFT($B397,4))-$I397&gt;6+IFERROR(MATCH($C397,LISTE_NIVEAUX,0),99))),"⚠ Vérifier niveau",IF(AND(IFERROR(VLOOKUP($C397,TABLE_CYCLE,2,0),3)=2,COUNT($O397:$Q397)&gt;0),"⚠ Tests cycle 3",IF(COUNT($J397:$Q397)&gt;=IF(IFERROR(VLOOKUP($C397,TABLE_CYCLE,2,0),3)=2,5,8),"Complet","Incomplet"))))))))</f>
        <v/>
      </c>
      <c r="S397" s="24"/>
      <c r="T397" s="67" t="str">
        <f t="shared" si="55"/>
        <v/>
      </c>
      <c r="U397" s="67" t="str">
        <f t="shared" si="56"/>
        <v/>
      </c>
      <c r="V397" s="67" t="str">
        <f t="shared" si="57"/>
        <v/>
      </c>
      <c r="W397" s="67" t="str">
        <f t="shared" si="58"/>
        <v/>
      </c>
      <c r="X397" s="67" t="str">
        <f t="shared" si="59"/>
        <v/>
      </c>
      <c r="Y397" s="24" t="str">
        <f t="shared" si="60"/>
        <v/>
      </c>
      <c r="Z397">
        <f t="shared" si="61"/>
        <v>0</v>
      </c>
      <c r="AA397">
        <f t="shared" si="62"/>
        <v>0</v>
      </c>
    </row>
    <row r="398" spans="2:27" ht="15.75" customHeight="1" x14ac:dyDescent="0.3">
      <c r="B398" s="25"/>
      <c r="C398" s="25"/>
      <c r="D398" s="25"/>
      <c r="E398" s="26" t="str">
        <f t="shared" si="54"/>
        <v/>
      </c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3" t="str">
        <f>IF($F398="","",IF(OR($B398="",$C398="",$D398=""),"⚠ Compléter Année/Niveau/Session",IF(AND($E398&lt;&gt;"",COUNTIF(D_KEY_DOUBLON,$B398&amp;"|"&amp;$D398&amp;"|"&amp;$E398)&gt;1),"⚠ Doublon",IF(AND($E398&lt;&gt;"",COUNTIF(D_KEY_STATUT,$B398&amp;"|"&amp;$E398&amp;"|P")&gt;0,COUNTIF(D_KEY_STATUT,$B398&amp;"|"&amp;$E398&amp;"|A")&gt;0),"⚠ Statut incohérent",IF(AND($D398="S1",$Y398&lt;&gt;"Parti",COUNTIF(ANNEES_VERROU,$B398)&gt;0,COUNTIF(D_KEY_NIVSES,$B398&amp;"|"&amp;$C398&amp;"|S2")&gt;0,COUNTIF(D_KEY_DOUBLON,$B398&amp;"|S2|"&amp;$E398)=0),"⚠ Départ non confirmé ?",IF(AND($C398&lt;&gt;"",ISNUMBER($I398),OR(VALUE(LEFT($B398,4))-$I398&lt;4+IFERROR(MATCH($C398,LISTE_NIVEAUX,0),99),VALUE(LEFT($B398,4))-$I398&gt;6+IFERROR(MATCH($C398,LISTE_NIVEAUX,0),99))),"⚠ Vérifier niveau",IF(AND(IFERROR(VLOOKUP($C398,TABLE_CYCLE,2,0),3)=2,COUNT($O398:$Q398)&gt;0),"⚠ Tests cycle 3",IF(COUNT($J398:$Q398)&gt;=IF(IFERROR(VLOOKUP($C398,TABLE_CYCLE,2,0),3)=2,5,8),"Complet","Incomplet"))))))))</f>
        <v/>
      </c>
      <c r="S398" s="24"/>
      <c r="T398" s="67" t="str">
        <f t="shared" si="55"/>
        <v/>
      </c>
      <c r="U398" s="67" t="str">
        <f t="shared" si="56"/>
        <v/>
      </c>
      <c r="V398" s="67" t="str">
        <f t="shared" si="57"/>
        <v/>
      </c>
      <c r="W398" s="67" t="str">
        <f t="shared" si="58"/>
        <v/>
      </c>
      <c r="X398" s="67" t="str">
        <f t="shared" si="59"/>
        <v/>
      </c>
      <c r="Y398" s="24" t="str">
        <f t="shared" si="60"/>
        <v/>
      </c>
      <c r="Z398">
        <f t="shared" si="61"/>
        <v>0</v>
      </c>
      <c r="AA398">
        <f t="shared" si="62"/>
        <v>0</v>
      </c>
    </row>
    <row r="399" spans="2:27" ht="15.75" customHeight="1" x14ac:dyDescent="0.3">
      <c r="B399" s="21"/>
      <c r="C399" s="21"/>
      <c r="D399" s="21"/>
      <c r="E399" s="22" t="str">
        <f t="shared" si="54"/>
        <v/>
      </c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3" t="str">
        <f>IF($F399="","",IF(OR($B399="",$C399="",$D399=""),"⚠ Compléter Année/Niveau/Session",IF(AND($E399&lt;&gt;"",COUNTIF(D_KEY_DOUBLON,$B399&amp;"|"&amp;$D399&amp;"|"&amp;$E399)&gt;1),"⚠ Doublon",IF(AND($E399&lt;&gt;"",COUNTIF(D_KEY_STATUT,$B399&amp;"|"&amp;$E399&amp;"|P")&gt;0,COUNTIF(D_KEY_STATUT,$B399&amp;"|"&amp;$E399&amp;"|A")&gt;0),"⚠ Statut incohérent",IF(AND($D399="S1",$Y399&lt;&gt;"Parti",COUNTIF(ANNEES_VERROU,$B399)&gt;0,COUNTIF(D_KEY_NIVSES,$B399&amp;"|"&amp;$C399&amp;"|S2")&gt;0,COUNTIF(D_KEY_DOUBLON,$B399&amp;"|S2|"&amp;$E399)=0),"⚠ Départ non confirmé ?",IF(AND($C399&lt;&gt;"",ISNUMBER($I399),OR(VALUE(LEFT($B399,4))-$I399&lt;4+IFERROR(MATCH($C399,LISTE_NIVEAUX,0),99),VALUE(LEFT($B399,4))-$I399&gt;6+IFERROR(MATCH($C399,LISTE_NIVEAUX,0),99))),"⚠ Vérifier niveau",IF(AND(IFERROR(VLOOKUP($C399,TABLE_CYCLE,2,0),3)=2,COUNT($O399:$Q399)&gt;0),"⚠ Tests cycle 3",IF(COUNT($J399:$Q399)&gt;=IF(IFERROR(VLOOKUP($C399,TABLE_CYCLE,2,0),3)=2,5,8),"Complet","Incomplet"))))))))</f>
        <v/>
      </c>
      <c r="S399" s="24"/>
      <c r="T399" s="67" t="str">
        <f t="shared" si="55"/>
        <v/>
      </c>
      <c r="U399" s="67" t="str">
        <f t="shared" si="56"/>
        <v/>
      </c>
      <c r="V399" s="67" t="str">
        <f t="shared" si="57"/>
        <v/>
      </c>
      <c r="W399" s="67" t="str">
        <f t="shared" si="58"/>
        <v/>
      </c>
      <c r="X399" s="67" t="str">
        <f t="shared" si="59"/>
        <v/>
      </c>
      <c r="Y399" s="24" t="str">
        <f t="shared" si="60"/>
        <v/>
      </c>
      <c r="Z399">
        <f t="shared" si="61"/>
        <v>0</v>
      </c>
      <c r="AA399">
        <f t="shared" si="62"/>
        <v>0</v>
      </c>
    </row>
    <row r="400" spans="2:27" ht="15.75" customHeight="1" x14ac:dyDescent="0.3">
      <c r="B400" s="25"/>
      <c r="C400" s="25"/>
      <c r="D400" s="25"/>
      <c r="E400" s="26" t="str">
        <f t="shared" si="54"/>
        <v/>
      </c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3" t="str">
        <f>IF($F400="","",IF(OR($B400="",$C400="",$D400=""),"⚠ Compléter Année/Niveau/Session",IF(AND($E400&lt;&gt;"",COUNTIF(D_KEY_DOUBLON,$B400&amp;"|"&amp;$D400&amp;"|"&amp;$E400)&gt;1),"⚠ Doublon",IF(AND($E400&lt;&gt;"",COUNTIF(D_KEY_STATUT,$B400&amp;"|"&amp;$E400&amp;"|P")&gt;0,COUNTIF(D_KEY_STATUT,$B400&amp;"|"&amp;$E400&amp;"|A")&gt;0),"⚠ Statut incohérent",IF(AND($D400="S1",$Y400&lt;&gt;"Parti",COUNTIF(ANNEES_VERROU,$B400)&gt;0,COUNTIF(D_KEY_NIVSES,$B400&amp;"|"&amp;$C400&amp;"|S2")&gt;0,COUNTIF(D_KEY_DOUBLON,$B400&amp;"|S2|"&amp;$E400)=0),"⚠ Départ non confirmé ?",IF(AND($C400&lt;&gt;"",ISNUMBER($I400),OR(VALUE(LEFT($B400,4))-$I400&lt;4+IFERROR(MATCH($C400,LISTE_NIVEAUX,0),99),VALUE(LEFT($B400,4))-$I400&gt;6+IFERROR(MATCH($C400,LISTE_NIVEAUX,0),99))),"⚠ Vérifier niveau",IF(AND(IFERROR(VLOOKUP($C400,TABLE_CYCLE,2,0),3)=2,COUNT($O400:$Q400)&gt;0),"⚠ Tests cycle 3",IF(COUNT($J400:$Q400)&gt;=IF(IFERROR(VLOOKUP($C400,TABLE_CYCLE,2,0),3)=2,5,8),"Complet","Incomplet"))))))))</f>
        <v/>
      </c>
      <c r="S400" s="24"/>
      <c r="T400" s="67" t="str">
        <f t="shared" si="55"/>
        <v/>
      </c>
      <c r="U400" s="67" t="str">
        <f t="shared" si="56"/>
        <v/>
      </c>
      <c r="V400" s="67" t="str">
        <f t="shared" si="57"/>
        <v/>
      </c>
      <c r="W400" s="67" t="str">
        <f t="shared" si="58"/>
        <v/>
      </c>
      <c r="X400" s="67" t="str">
        <f t="shared" si="59"/>
        <v/>
      </c>
      <c r="Y400" s="24" t="str">
        <f t="shared" si="60"/>
        <v/>
      </c>
      <c r="Z400">
        <f t="shared" si="61"/>
        <v>0</v>
      </c>
      <c r="AA400">
        <f t="shared" si="62"/>
        <v>0</v>
      </c>
    </row>
    <row r="401" spans="2:27" ht="15.75" customHeight="1" x14ac:dyDescent="0.3">
      <c r="B401" s="21"/>
      <c r="C401" s="21"/>
      <c r="D401" s="21"/>
      <c r="E401" s="22" t="str">
        <f t="shared" si="54"/>
        <v/>
      </c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3" t="str">
        <f>IF($F401="","",IF(OR($B401="",$C401="",$D401=""),"⚠ Compléter Année/Niveau/Session",IF(AND($E401&lt;&gt;"",COUNTIF(D_KEY_DOUBLON,$B401&amp;"|"&amp;$D401&amp;"|"&amp;$E401)&gt;1),"⚠ Doublon",IF(AND($E401&lt;&gt;"",COUNTIF(D_KEY_STATUT,$B401&amp;"|"&amp;$E401&amp;"|P")&gt;0,COUNTIF(D_KEY_STATUT,$B401&amp;"|"&amp;$E401&amp;"|A")&gt;0),"⚠ Statut incohérent",IF(AND($D401="S1",$Y401&lt;&gt;"Parti",COUNTIF(ANNEES_VERROU,$B401)&gt;0,COUNTIF(D_KEY_NIVSES,$B401&amp;"|"&amp;$C401&amp;"|S2")&gt;0,COUNTIF(D_KEY_DOUBLON,$B401&amp;"|S2|"&amp;$E401)=0),"⚠ Départ non confirmé ?",IF(AND($C401&lt;&gt;"",ISNUMBER($I401),OR(VALUE(LEFT($B401,4))-$I401&lt;4+IFERROR(MATCH($C401,LISTE_NIVEAUX,0),99),VALUE(LEFT($B401,4))-$I401&gt;6+IFERROR(MATCH($C401,LISTE_NIVEAUX,0),99))),"⚠ Vérifier niveau",IF(AND(IFERROR(VLOOKUP($C401,TABLE_CYCLE,2,0),3)=2,COUNT($O401:$Q401)&gt;0),"⚠ Tests cycle 3",IF(COUNT($J401:$Q401)&gt;=IF(IFERROR(VLOOKUP($C401,TABLE_CYCLE,2,0),3)=2,5,8),"Complet","Incomplet"))))))))</f>
        <v/>
      </c>
      <c r="S401" s="24"/>
      <c r="T401" s="67" t="str">
        <f t="shared" si="55"/>
        <v/>
      </c>
      <c r="U401" s="67" t="str">
        <f t="shared" si="56"/>
        <v/>
      </c>
      <c r="V401" s="67" t="str">
        <f t="shared" si="57"/>
        <v/>
      </c>
      <c r="W401" s="67" t="str">
        <f t="shared" si="58"/>
        <v/>
      </c>
      <c r="X401" s="67" t="str">
        <f t="shared" si="59"/>
        <v/>
      </c>
      <c r="Y401" s="24" t="str">
        <f t="shared" si="60"/>
        <v/>
      </c>
      <c r="Z401">
        <f t="shared" si="61"/>
        <v>0</v>
      </c>
      <c r="AA401">
        <f t="shared" si="62"/>
        <v>0</v>
      </c>
    </row>
    <row r="402" spans="2:27" ht="15.75" customHeight="1" x14ac:dyDescent="0.3">
      <c r="B402" s="25"/>
      <c r="C402" s="25"/>
      <c r="D402" s="25"/>
      <c r="E402" s="26" t="str">
        <f t="shared" si="54"/>
        <v/>
      </c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3" t="str">
        <f>IF($F402="","",IF(OR($B402="",$C402="",$D402=""),"⚠ Compléter Année/Niveau/Session",IF(AND($E402&lt;&gt;"",COUNTIF(D_KEY_DOUBLON,$B402&amp;"|"&amp;$D402&amp;"|"&amp;$E402)&gt;1),"⚠ Doublon",IF(AND($E402&lt;&gt;"",COUNTIF(D_KEY_STATUT,$B402&amp;"|"&amp;$E402&amp;"|P")&gt;0,COUNTIF(D_KEY_STATUT,$B402&amp;"|"&amp;$E402&amp;"|A")&gt;0),"⚠ Statut incohérent",IF(AND($D402="S1",$Y402&lt;&gt;"Parti",COUNTIF(ANNEES_VERROU,$B402)&gt;0,COUNTIF(D_KEY_NIVSES,$B402&amp;"|"&amp;$C402&amp;"|S2")&gt;0,COUNTIF(D_KEY_DOUBLON,$B402&amp;"|S2|"&amp;$E402)=0),"⚠ Départ non confirmé ?",IF(AND($C402&lt;&gt;"",ISNUMBER($I402),OR(VALUE(LEFT($B402,4))-$I402&lt;4+IFERROR(MATCH($C402,LISTE_NIVEAUX,0),99),VALUE(LEFT($B402,4))-$I402&gt;6+IFERROR(MATCH($C402,LISTE_NIVEAUX,0),99))),"⚠ Vérifier niveau",IF(AND(IFERROR(VLOOKUP($C402,TABLE_CYCLE,2,0),3)=2,COUNT($O402:$Q402)&gt;0),"⚠ Tests cycle 3",IF(COUNT($J402:$Q402)&gt;=IF(IFERROR(VLOOKUP($C402,TABLE_CYCLE,2,0),3)=2,5,8),"Complet","Incomplet"))))))))</f>
        <v/>
      </c>
      <c r="S402" s="24"/>
      <c r="T402" s="67" t="str">
        <f t="shared" si="55"/>
        <v/>
      </c>
      <c r="U402" s="67" t="str">
        <f t="shared" si="56"/>
        <v/>
      </c>
      <c r="V402" s="67" t="str">
        <f t="shared" si="57"/>
        <v/>
      </c>
      <c r="W402" s="67" t="str">
        <f t="shared" si="58"/>
        <v/>
      </c>
      <c r="X402" s="67" t="str">
        <f t="shared" si="59"/>
        <v/>
      </c>
      <c r="Y402" s="24" t="str">
        <f t="shared" si="60"/>
        <v/>
      </c>
      <c r="Z402">
        <f t="shared" si="61"/>
        <v>0</v>
      </c>
      <c r="AA402">
        <f t="shared" si="62"/>
        <v>0</v>
      </c>
    </row>
    <row r="403" spans="2:27" ht="15.75" customHeight="1" x14ac:dyDescent="0.3">
      <c r="B403" s="21"/>
      <c r="C403" s="21"/>
      <c r="D403" s="21"/>
      <c r="E403" s="22" t="str">
        <f t="shared" si="54"/>
        <v/>
      </c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3" t="str">
        <f>IF($F403="","",IF(OR($B403="",$C403="",$D403=""),"⚠ Compléter Année/Niveau/Session",IF(AND($E403&lt;&gt;"",COUNTIF(D_KEY_DOUBLON,$B403&amp;"|"&amp;$D403&amp;"|"&amp;$E403)&gt;1),"⚠ Doublon",IF(AND($E403&lt;&gt;"",COUNTIF(D_KEY_STATUT,$B403&amp;"|"&amp;$E403&amp;"|P")&gt;0,COUNTIF(D_KEY_STATUT,$B403&amp;"|"&amp;$E403&amp;"|A")&gt;0),"⚠ Statut incohérent",IF(AND($D403="S1",$Y403&lt;&gt;"Parti",COUNTIF(ANNEES_VERROU,$B403)&gt;0,COUNTIF(D_KEY_NIVSES,$B403&amp;"|"&amp;$C403&amp;"|S2")&gt;0,COUNTIF(D_KEY_DOUBLON,$B403&amp;"|S2|"&amp;$E403)=0),"⚠ Départ non confirmé ?",IF(AND($C403&lt;&gt;"",ISNUMBER($I403),OR(VALUE(LEFT($B403,4))-$I403&lt;4+IFERROR(MATCH($C403,LISTE_NIVEAUX,0),99),VALUE(LEFT($B403,4))-$I403&gt;6+IFERROR(MATCH($C403,LISTE_NIVEAUX,0),99))),"⚠ Vérifier niveau",IF(AND(IFERROR(VLOOKUP($C403,TABLE_CYCLE,2,0),3)=2,COUNT($O403:$Q403)&gt;0),"⚠ Tests cycle 3",IF(COUNT($J403:$Q403)&gt;=IF(IFERROR(VLOOKUP($C403,TABLE_CYCLE,2,0),3)=2,5,8),"Complet","Incomplet"))))))))</f>
        <v/>
      </c>
      <c r="S403" s="24"/>
      <c r="T403" s="67" t="str">
        <f t="shared" si="55"/>
        <v/>
      </c>
      <c r="U403" s="67" t="str">
        <f t="shared" si="56"/>
        <v/>
      </c>
      <c r="V403" s="67" t="str">
        <f t="shared" si="57"/>
        <v/>
      </c>
      <c r="W403" s="67" t="str">
        <f t="shared" si="58"/>
        <v/>
      </c>
      <c r="X403" s="67" t="str">
        <f t="shared" si="59"/>
        <v/>
      </c>
      <c r="Y403" s="24" t="str">
        <f t="shared" si="60"/>
        <v/>
      </c>
      <c r="Z403">
        <f t="shared" si="61"/>
        <v>0</v>
      </c>
      <c r="AA403">
        <f t="shared" si="62"/>
        <v>0</v>
      </c>
    </row>
    <row r="404" spans="2:27" ht="15.75" customHeight="1" x14ac:dyDescent="0.3">
      <c r="B404" s="25"/>
      <c r="C404" s="25"/>
      <c r="D404" s="25"/>
      <c r="E404" s="26" t="str">
        <f t="shared" si="54"/>
        <v/>
      </c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3" t="str">
        <f>IF($F404="","",IF(OR($B404="",$C404="",$D404=""),"⚠ Compléter Année/Niveau/Session",IF(AND($E404&lt;&gt;"",COUNTIF(D_KEY_DOUBLON,$B404&amp;"|"&amp;$D404&amp;"|"&amp;$E404)&gt;1),"⚠ Doublon",IF(AND($E404&lt;&gt;"",COUNTIF(D_KEY_STATUT,$B404&amp;"|"&amp;$E404&amp;"|P")&gt;0,COUNTIF(D_KEY_STATUT,$B404&amp;"|"&amp;$E404&amp;"|A")&gt;0),"⚠ Statut incohérent",IF(AND($D404="S1",$Y404&lt;&gt;"Parti",COUNTIF(ANNEES_VERROU,$B404)&gt;0,COUNTIF(D_KEY_NIVSES,$B404&amp;"|"&amp;$C404&amp;"|S2")&gt;0,COUNTIF(D_KEY_DOUBLON,$B404&amp;"|S2|"&amp;$E404)=0),"⚠ Départ non confirmé ?",IF(AND($C404&lt;&gt;"",ISNUMBER($I404),OR(VALUE(LEFT($B404,4))-$I404&lt;4+IFERROR(MATCH($C404,LISTE_NIVEAUX,0),99),VALUE(LEFT($B404,4))-$I404&gt;6+IFERROR(MATCH($C404,LISTE_NIVEAUX,0),99))),"⚠ Vérifier niveau",IF(AND(IFERROR(VLOOKUP($C404,TABLE_CYCLE,2,0),3)=2,COUNT($O404:$Q404)&gt;0),"⚠ Tests cycle 3",IF(COUNT($J404:$Q404)&gt;=IF(IFERROR(VLOOKUP($C404,TABLE_CYCLE,2,0),3)=2,5,8),"Complet","Incomplet"))))))))</f>
        <v/>
      </c>
      <c r="S404" s="24"/>
      <c r="T404" s="67" t="str">
        <f t="shared" si="55"/>
        <v/>
      </c>
      <c r="U404" s="67" t="str">
        <f t="shared" si="56"/>
        <v/>
      </c>
      <c r="V404" s="67" t="str">
        <f t="shared" si="57"/>
        <v/>
      </c>
      <c r="W404" s="67" t="str">
        <f t="shared" si="58"/>
        <v/>
      </c>
      <c r="X404" s="67" t="str">
        <f t="shared" si="59"/>
        <v/>
      </c>
      <c r="Y404" s="24" t="str">
        <f t="shared" si="60"/>
        <v/>
      </c>
      <c r="Z404">
        <f t="shared" si="61"/>
        <v>0</v>
      </c>
      <c r="AA404">
        <f t="shared" si="62"/>
        <v>0</v>
      </c>
    </row>
    <row r="405" spans="2:27" ht="15.75" customHeight="1" x14ac:dyDescent="0.3">
      <c r="B405" s="21"/>
      <c r="C405" s="21"/>
      <c r="D405" s="21"/>
      <c r="E405" s="22" t="str">
        <f t="shared" si="54"/>
        <v/>
      </c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3" t="str">
        <f>IF($F405="","",IF(OR($B405="",$C405="",$D405=""),"⚠ Compléter Année/Niveau/Session",IF(AND($E405&lt;&gt;"",COUNTIF(D_KEY_DOUBLON,$B405&amp;"|"&amp;$D405&amp;"|"&amp;$E405)&gt;1),"⚠ Doublon",IF(AND($E405&lt;&gt;"",COUNTIF(D_KEY_STATUT,$B405&amp;"|"&amp;$E405&amp;"|P")&gt;0,COUNTIF(D_KEY_STATUT,$B405&amp;"|"&amp;$E405&amp;"|A")&gt;0),"⚠ Statut incohérent",IF(AND($D405="S1",$Y405&lt;&gt;"Parti",COUNTIF(ANNEES_VERROU,$B405)&gt;0,COUNTIF(D_KEY_NIVSES,$B405&amp;"|"&amp;$C405&amp;"|S2")&gt;0,COUNTIF(D_KEY_DOUBLON,$B405&amp;"|S2|"&amp;$E405)=0),"⚠ Départ non confirmé ?",IF(AND($C405&lt;&gt;"",ISNUMBER($I405),OR(VALUE(LEFT($B405,4))-$I405&lt;4+IFERROR(MATCH($C405,LISTE_NIVEAUX,0),99),VALUE(LEFT($B405,4))-$I405&gt;6+IFERROR(MATCH($C405,LISTE_NIVEAUX,0),99))),"⚠ Vérifier niveau",IF(AND(IFERROR(VLOOKUP($C405,TABLE_CYCLE,2,0),3)=2,COUNT($O405:$Q405)&gt;0),"⚠ Tests cycle 3",IF(COUNT($J405:$Q405)&gt;=IF(IFERROR(VLOOKUP($C405,TABLE_CYCLE,2,0),3)=2,5,8),"Complet","Incomplet"))))))))</f>
        <v/>
      </c>
      <c r="S405" s="24"/>
      <c r="T405" s="67" t="str">
        <f t="shared" si="55"/>
        <v/>
      </c>
      <c r="U405" s="67" t="str">
        <f t="shared" si="56"/>
        <v/>
      </c>
      <c r="V405" s="67" t="str">
        <f t="shared" si="57"/>
        <v/>
      </c>
      <c r="W405" s="67" t="str">
        <f t="shared" si="58"/>
        <v/>
      </c>
      <c r="X405" s="67" t="str">
        <f t="shared" si="59"/>
        <v/>
      </c>
      <c r="Y405" s="24" t="str">
        <f t="shared" si="60"/>
        <v/>
      </c>
      <c r="Z405">
        <f t="shared" si="61"/>
        <v>0</v>
      </c>
      <c r="AA405">
        <f t="shared" si="62"/>
        <v>0</v>
      </c>
    </row>
    <row r="406" spans="2:27" ht="15.75" customHeight="1" x14ac:dyDescent="0.3">
      <c r="B406" s="25"/>
      <c r="C406" s="25"/>
      <c r="D406" s="25"/>
      <c r="E406" s="26" t="str">
        <f t="shared" si="54"/>
        <v/>
      </c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3" t="str">
        <f>IF($F406="","",IF(OR($B406="",$C406="",$D406=""),"⚠ Compléter Année/Niveau/Session",IF(AND($E406&lt;&gt;"",COUNTIF(D_KEY_DOUBLON,$B406&amp;"|"&amp;$D406&amp;"|"&amp;$E406)&gt;1),"⚠ Doublon",IF(AND($E406&lt;&gt;"",COUNTIF(D_KEY_STATUT,$B406&amp;"|"&amp;$E406&amp;"|P")&gt;0,COUNTIF(D_KEY_STATUT,$B406&amp;"|"&amp;$E406&amp;"|A")&gt;0),"⚠ Statut incohérent",IF(AND($D406="S1",$Y406&lt;&gt;"Parti",COUNTIF(ANNEES_VERROU,$B406)&gt;0,COUNTIF(D_KEY_NIVSES,$B406&amp;"|"&amp;$C406&amp;"|S2")&gt;0,COUNTIF(D_KEY_DOUBLON,$B406&amp;"|S2|"&amp;$E406)=0),"⚠ Départ non confirmé ?",IF(AND($C406&lt;&gt;"",ISNUMBER($I406),OR(VALUE(LEFT($B406,4))-$I406&lt;4+IFERROR(MATCH($C406,LISTE_NIVEAUX,0),99),VALUE(LEFT($B406,4))-$I406&gt;6+IFERROR(MATCH($C406,LISTE_NIVEAUX,0),99))),"⚠ Vérifier niveau",IF(AND(IFERROR(VLOOKUP($C406,TABLE_CYCLE,2,0),3)=2,COUNT($O406:$Q406)&gt;0),"⚠ Tests cycle 3",IF(COUNT($J406:$Q406)&gt;=IF(IFERROR(VLOOKUP($C406,TABLE_CYCLE,2,0),3)=2,5,8),"Complet","Incomplet"))))))))</f>
        <v/>
      </c>
      <c r="S406" s="24"/>
      <c r="T406" s="67" t="str">
        <f t="shared" si="55"/>
        <v/>
      </c>
      <c r="U406" s="67" t="str">
        <f t="shared" si="56"/>
        <v/>
      </c>
      <c r="V406" s="67" t="str">
        <f t="shared" si="57"/>
        <v/>
      </c>
      <c r="W406" s="67" t="str">
        <f t="shared" si="58"/>
        <v/>
      </c>
      <c r="X406" s="67" t="str">
        <f t="shared" si="59"/>
        <v/>
      </c>
      <c r="Y406" s="24" t="str">
        <f t="shared" si="60"/>
        <v/>
      </c>
      <c r="Z406">
        <f t="shared" si="61"/>
        <v>0</v>
      </c>
      <c r="AA406">
        <f t="shared" si="62"/>
        <v>0</v>
      </c>
    </row>
    <row r="407" spans="2:27" ht="15.75" customHeight="1" x14ac:dyDescent="0.3">
      <c r="B407" s="21"/>
      <c r="C407" s="21"/>
      <c r="D407" s="21"/>
      <c r="E407" s="22" t="str">
        <f t="shared" si="54"/>
        <v/>
      </c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3" t="str">
        <f>IF($F407="","",IF(OR($B407="",$C407="",$D407=""),"⚠ Compléter Année/Niveau/Session",IF(AND($E407&lt;&gt;"",COUNTIF(D_KEY_DOUBLON,$B407&amp;"|"&amp;$D407&amp;"|"&amp;$E407)&gt;1),"⚠ Doublon",IF(AND($E407&lt;&gt;"",COUNTIF(D_KEY_STATUT,$B407&amp;"|"&amp;$E407&amp;"|P")&gt;0,COUNTIF(D_KEY_STATUT,$B407&amp;"|"&amp;$E407&amp;"|A")&gt;0),"⚠ Statut incohérent",IF(AND($D407="S1",$Y407&lt;&gt;"Parti",COUNTIF(ANNEES_VERROU,$B407)&gt;0,COUNTIF(D_KEY_NIVSES,$B407&amp;"|"&amp;$C407&amp;"|S2")&gt;0,COUNTIF(D_KEY_DOUBLON,$B407&amp;"|S2|"&amp;$E407)=0),"⚠ Départ non confirmé ?",IF(AND($C407&lt;&gt;"",ISNUMBER($I407),OR(VALUE(LEFT($B407,4))-$I407&lt;4+IFERROR(MATCH($C407,LISTE_NIVEAUX,0),99),VALUE(LEFT($B407,4))-$I407&gt;6+IFERROR(MATCH($C407,LISTE_NIVEAUX,0),99))),"⚠ Vérifier niveau",IF(AND(IFERROR(VLOOKUP($C407,TABLE_CYCLE,2,0),3)=2,COUNT($O407:$Q407)&gt;0),"⚠ Tests cycle 3",IF(COUNT($J407:$Q407)&gt;=IF(IFERROR(VLOOKUP($C407,TABLE_CYCLE,2,0),3)=2,5,8),"Complet","Incomplet"))))))))</f>
        <v/>
      </c>
      <c r="S407" s="24"/>
      <c r="T407" s="67" t="str">
        <f t="shared" si="55"/>
        <v/>
      </c>
      <c r="U407" s="67" t="str">
        <f t="shared" si="56"/>
        <v/>
      </c>
      <c r="V407" s="67" t="str">
        <f t="shared" si="57"/>
        <v/>
      </c>
      <c r="W407" s="67" t="str">
        <f t="shared" si="58"/>
        <v/>
      </c>
      <c r="X407" s="67" t="str">
        <f t="shared" si="59"/>
        <v/>
      </c>
      <c r="Y407" s="24" t="str">
        <f t="shared" si="60"/>
        <v/>
      </c>
      <c r="Z407">
        <f t="shared" si="61"/>
        <v>0</v>
      </c>
      <c r="AA407">
        <f t="shared" si="62"/>
        <v>0</v>
      </c>
    </row>
    <row r="408" spans="2:27" ht="15.75" customHeight="1" x14ac:dyDescent="0.3">
      <c r="B408" s="25"/>
      <c r="C408" s="25"/>
      <c r="D408" s="25"/>
      <c r="E408" s="26" t="str">
        <f t="shared" si="54"/>
        <v/>
      </c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3" t="str">
        <f>IF($F408="","",IF(OR($B408="",$C408="",$D408=""),"⚠ Compléter Année/Niveau/Session",IF(AND($E408&lt;&gt;"",COUNTIF(D_KEY_DOUBLON,$B408&amp;"|"&amp;$D408&amp;"|"&amp;$E408)&gt;1),"⚠ Doublon",IF(AND($E408&lt;&gt;"",COUNTIF(D_KEY_STATUT,$B408&amp;"|"&amp;$E408&amp;"|P")&gt;0,COUNTIF(D_KEY_STATUT,$B408&amp;"|"&amp;$E408&amp;"|A")&gt;0),"⚠ Statut incohérent",IF(AND($D408="S1",$Y408&lt;&gt;"Parti",COUNTIF(ANNEES_VERROU,$B408)&gt;0,COUNTIF(D_KEY_NIVSES,$B408&amp;"|"&amp;$C408&amp;"|S2")&gt;0,COUNTIF(D_KEY_DOUBLON,$B408&amp;"|S2|"&amp;$E408)=0),"⚠ Départ non confirmé ?",IF(AND($C408&lt;&gt;"",ISNUMBER($I408),OR(VALUE(LEFT($B408,4))-$I408&lt;4+IFERROR(MATCH($C408,LISTE_NIVEAUX,0),99),VALUE(LEFT($B408,4))-$I408&gt;6+IFERROR(MATCH($C408,LISTE_NIVEAUX,0),99))),"⚠ Vérifier niveau",IF(AND(IFERROR(VLOOKUP($C408,TABLE_CYCLE,2,0),3)=2,COUNT($O408:$Q408)&gt;0),"⚠ Tests cycle 3",IF(COUNT($J408:$Q408)&gt;=IF(IFERROR(VLOOKUP($C408,TABLE_CYCLE,2,0),3)=2,5,8),"Complet","Incomplet"))))))))</f>
        <v/>
      </c>
      <c r="S408" s="24"/>
      <c r="T408" s="67" t="str">
        <f t="shared" si="55"/>
        <v/>
      </c>
      <c r="U408" s="67" t="str">
        <f t="shared" si="56"/>
        <v/>
      </c>
      <c r="V408" s="67" t="str">
        <f t="shared" si="57"/>
        <v/>
      </c>
      <c r="W408" s="67" t="str">
        <f t="shared" si="58"/>
        <v/>
      </c>
      <c r="X408" s="67" t="str">
        <f t="shared" si="59"/>
        <v/>
      </c>
      <c r="Y408" s="24" t="str">
        <f t="shared" si="60"/>
        <v/>
      </c>
      <c r="Z408">
        <f t="shared" si="61"/>
        <v>0</v>
      </c>
      <c r="AA408">
        <f t="shared" si="62"/>
        <v>0</v>
      </c>
    </row>
    <row r="409" spans="2:27" ht="15.75" customHeight="1" x14ac:dyDescent="0.3">
      <c r="B409" s="21"/>
      <c r="C409" s="21"/>
      <c r="D409" s="21"/>
      <c r="E409" s="22" t="str">
        <f t="shared" si="54"/>
        <v/>
      </c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3" t="str">
        <f>IF($F409="","",IF(OR($B409="",$C409="",$D409=""),"⚠ Compléter Année/Niveau/Session",IF(AND($E409&lt;&gt;"",COUNTIF(D_KEY_DOUBLON,$B409&amp;"|"&amp;$D409&amp;"|"&amp;$E409)&gt;1),"⚠ Doublon",IF(AND($E409&lt;&gt;"",COUNTIF(D_KEY_STATUT,$B409&amp;"|"&amp;$E409&amp;"|P")&gt;0,COUNTIF(D_KEY_STATUT,$B409&amp;"|"&amp;$E409&amp;"|A")&gt;0),"⚠ Statut incohérent",IF(AND($D409="S1",$Y409&lt;&gt;"Parti",COUNTIF(ANNEES_VERROU,$B409)&gt;0,COUNTIF(D_KEY_NIVSES,$B409&amp;"|"&amp;$C409&amp;"|S2")&gt;0,COUNTIF(D_KEY_DOUBLON,$B409&amp;"|S2|"&amp;$E409)=0),"⚠ Départ non confirmé ?",IF(AND($C409&lt;&gt;"",ISNUMBER($I409),OR(VALUE(LEFT($B409,4))-$I409&lt;4+IFERROR(MATCH($C409,LISTE_NIVEAUX,0),99),VALUE(LEFT($B409,4))-$I409&gt;6+IFERROR(MATCH($C409,LISTE_NIVEAUX,0),99))),"⚠ Vérifier niveau",IF(AND(IFERROR(VLOOKUP($C409,TABLE_CYCLE,2,0),3)=2,COUNT($O409:$Q409)&gt;0),"⚠ Tests cycle 3",IF(COUNT($J409:$Q409)&gt;=IF(IFERROR(VLOOKUP($C409,TABLE_CYCLE,2,0),3)=2,5,8),"Complet","Incomplet"))))))))</f>
        <v/>
      </c>
      <c r="S409" s="24"/>
      <c r="T409" s="67" t="str">
        <f t="shared" si="55"/>
        <v/>
      </c>
      <c r="U409" s="67" t="str">
        <f t="shared" si="56"/>
        <v/>
      </c>
      <c r="V409" s="67" t="str">
        <f t="shared" si="57"/>
        <v/>
      </c>
      <c r="W409" s="67" t="str">
        <f t="shared" si="58"/>
        <v/>
      </c>
      <c r="X409" s="67" t="str">
        <f t="shared" si="59"/>
        <v/>
      </c>
      <c r="Y409" s="24" t="str">
        <f t="shared" si="60"/>
        <v/>
      </c>
      <c r="Z409">
        <f t="shared" si="61"/>
        <v>0</v>
      </c>
      <c r="AA409">
        <f t="shared" si="62"/>
        <v>0</v>
      </c>
    </row>
    <row r="410" spans="2:27" ht="15.75" customHeight="1" x14ac:dyDescent="0.3">
      <c r="B410" s="25"/>
      <c r="C410" s="25"/>
      <c r="D410" s="25"/>
      <c r="E410" s="26" t="str">
        <f t="shared" si="54"/>
        <v/>
      </c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3" t="str">
        <f>IF($F410="","",IF(OR($B410="",$C410="",$D410=""),"⚠ Compléter Année/Niveau/Session",IF(AND($E410&lt;&gt;"",COUNTIF(D_KEY_DOUBLON,$B410&amp;"|"&amp;$D410&amp;"|"&amp;$E410)&gt;1),"⚠ Doublon",IF(AND($E410&lt;&gt;"",COUNTIF(D_KEY_STATUT,$B410&amp;"|"&amp;$E410&amp;"|P")&gt;0,COUNTIF(D_KEY_STATUT,$B410&amp;"|"&amp;$E410&amp;"|A")&gt;0),"⚠ Statut incohérent",IF(AND($D410="S1",$Y410&lt;&gt;"Parti",COUNTIF(ANNEES_VERROU,$B410)&gt;0,COUNTIF(D_KEY_NIVSES,$B410&amp;"|"&amp;$C410&amp;"|S2")&gt;0,COUNTIF(D_KEY_DOUBLON,$B410&amp;"|S2|"&amp;$E410)=0),"⚠ Départ non confirmé ?",IF(AND($C410&lt;&gt;"",ISNUMBER($I410),OR(VALUE(LEFT($B410,4))-$I410&lt;4+IFERROR(MATCH($C410,LISTE_NIVEAUX,0),99),VALUE(LEFT($B410,4))-$I410&gt;6+IFERROR(MATCH($C410,LISTE_NIVEAUX,0),99))),"⚠ Vérifier niveau",IF(AND(IFERROR(VLOOKUP($C410,TABLE_CYCLE,2,0),3)=2,COUNT($O410:$Q410)&gt;0),"⚠ Tests cycle 3",IF(COUNT($J410:$Q410)&gt;=IF(IFERROR(VLOOKUP($C410,TABLE_CYCLE,2,0),3)=2,5,8),"Complet","Incomplet"))))))))</f>
        <v/>
      </c>
      <c r="S410" s="24"/>
      <c r="T410" s="67" t="str">
        <f t="shared" si="55"/>
        <v/>
      </c>
      <c r="U410" s="67" t="str">
        <f t="shared" si="56"/>
        <v/>
      </c>
      <c r="V410" s="67" t="str">
        <f t="shared" si="57"/>
        <v/>
      </c>
      <c r="W410" s="67" t="str">
        <f t="shared" si="58"/>
        <v/>
      </c>
      <c r="X410" s="67" t="str">
        <f t="shared" si="59"/>
        <v/>
      </c>
      <c r="Y410" s="24" t="str">
        <f t="shared" si="60"/>
        <v/>
      </c>
      <c r="Z410">
        <f t="shared" si="61"/>
        <v>0</v>
      </c>
      <c r="AA410">
        <f t="shared" si="62"/>
        <v>0</v>
      </c>
    </row>
    <row r="411" spans="2:27" ht="15.75" customHeight="1" x14ac:dyDescent="0.3">
      <c r="B411" s="21"/>
      <c r="C411" s="21"/>
      <c r="D411" s="21"/>
      <c r="E411" s="22" t="str">
        <f t="shared" si="54"/>
        <v/>
      </c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3" t="str">
        <f>IF($F411="","",IF(OR($B411="",$C411="",$D411=""),"⚠ Compléter Année/Niveau/Session",IF(AND($E411&lt;&gt;"",COUNTIF(D_KEY_DOUBLON,$B411&amp;"|"&amp;$D411&amp;"|"&amp;$E411)&gt;1),"⚠ Doublon",IF(AND($E411&lt;&gt;"",COUNTIF(D_KEY_STATUT,$B411&amp;"|"&amp;$E411&amp;"|P")&gt;0,COUNTIF(D_KEY_STATUT,$B411&amp;"|"&amp;$E411&amp;"|A")&gt;0),"⚠ Statut incohérent",IF(AND($D411="S1",$Y411&lt;&gt;"Parti",COUNTIF(ANNEES_VERROU,$B411)&gt;0,COUNTIF(D_KEY_NIVSES,$B411&amp;"|"&amp;$C411&amp;"|S2")&gt;0,COUNTIF(D_KEY_DOUBLON,$B411&amp;"|S2|"&amp;$E411)=0),"⚠ Départ non confirmé ?",IF(AND($C411&lt;&gt;"",ISNUMBER($I411),OR(VALUE(LEFT($B411,4))-$I411&lt;4+IFERROR(MATCH($C411,LISTE_NIVEAUX,0),99),VALUE(LEFT($B411,4))-$I411&gt;6+IFERROR(MATCH($C411,LISTE_NIVEAUX,0),99))),"⚠ Vérifier niveau",IF(AND(IFERROR(VLOOKUP($C411,TABLE_CYCLE,2,0),3)=2,COUNT($O411:$Q411)&gt;0),"⚠ Tests cycle 3",IF(COUNT($J411:$Q411)&gt;=IF(IFERROR(VLOOKUP($C411,TABLE_CYCLE,2,0),3)=2,5,8),"Complet","Incomplet"))))))))</f>
        <v/>
      </c>
      <c r="S411" s="24"/>
      <c r="T411" s="67" t="str">
        <f t="shared" si="55"/>
        <v/>
      </c>
      <c r="U411" s="67" t="str">
        <f t="shared" si="56"/>
        <v/>
      </c>
      <c r="V411" s="67" t="str">
        <f t="shared" si="57"/>
        <v/>
      </c>
      <c r="W411" s="67" t="str">
        <f t="shared" si="58"/>
        <v/>
      </c>
      <c r="X411" s="67" t="str">
        <f t="shared" si="59"/>
        <v/>
      </c>
      <c r="Y411" s="24" t="str">
        <f t="shared" si="60"/>
        <v/>
      </c>
      <c r="Z411">
        <f t="shared" si="61"/>
        <v>0</v>
      </c>
      <c r="AA411">
        <f t="shared" si="62"/>
        <v>0</v>
      </c>
    </row>
    <row r="412" spans="2:27" ht="15.75" customHeight="1" x14ac:dyDescent="0.3">
      <c r="B412" s="25"/>
      <c r="C412" s="25"/>
      <c r="D412" s="25"/>
      <c r="E412" s="26" t="str">
        <f t="shared" si="54"/>
        <v/>
      </c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3" t="str">
        <f>IF($F412="","",IF(OR($B412="",$C412="",$D412=""),"⚠ Compléter Année/Niveau/Session",IF(AND($E412&lt;&gt;"",COUNTIF(D_KEY_DOUBLON,$B412&amp;"|"&amp;$D412&amp;"|"&amp;$E412)&gt;1),"⚠ Doublon",IF(AND($E412&lt;&gt;"",COUNTIF(D_KEY_STATUT,$B412&amp;"|"&amp;$E412&amp;"|P")&gt;0,COUNTIF(D_KEY_STATUT,$B412&amp;"|"&amp;$E412&amp;"|A")&gt;0),"⚠ Statut incohérent",IF(AND($D412="S1",$Y412&lt;&gt;"Parti",COUNTIF(ANNEES_VERROU,$B412)&gt;0,COUNTIF(D_KEY_NIVSES,$B412&amp;"|"&amp;$C412&amp;"|S2")&gt;0,COUNTIF(D_KEY_DOUBLON,$B412&amp;"|S2|"&amp;$E412)=0),"⚠ Départ non confirmé ?",IF(AND($C412&lt;&gt;"",ISNUMBER($I412),OR(VALUE(LEFT($B412,4))-$I412&lt;4+IFERROR(MATCH($C412,LISTE_NIVEAUX,0),99),VALUE(LEFT($B412,4))-$I412&gt;6+IFERROR(MATCH($C412,LISTE_NIVEAUX,0),99))),"⚠ Vérifier niveau",IF(AND(IFERROR(VLOOKUP($C412,TABLE_CYCLE,2,0),3)=2,COUNT($O412:$Q412)&gt;0),"⚠ Tests cycle 3",IF(COUNT($J412:$Q412)&gt;=IF(IFERROR(VLOOKUP($C412,TABLE_CYCLE,2,0),3)=2,5,8),"Complet","Incomplet"))))))))</f>
        <v/>
      </c>
      <c r="S412" s="24"/>
      <c r="T412" s="67" t="str">
        <f t="shared" si="55"/>
        <v/>
      </c>
      <c r="U412" s="67" t="str">
        <f t="shared" si="56"/>
        <v/>
      </c>
      <c r="V412" s="67" t="str">
        <f t="shared" si="57"/>
        <v/>
      </c>
      <c r="W412" s="67" t="str">
        <f t="shared" si="58"/>
        <v/>
      </c>
      <c r="X412" s="67" t="str">
        <f t="shared" si="59"/>
        <v/>
      </c>
      <c r="Y412" s="24" t="str">
        <f t="shared" si="60"/>
        <v/>
      </c>
      <c r="Z412">
        <f t="shared" si="61"/>
        <v>0</v>
      </c>
      <c r="AA412">
        <f t="shared" si="62"/>
        <v>0</v>
      </c>
    </row>
    <row r="413" spans="2:27" ht="15.75" customHeight="1" x14ac:dyDescent="0.3">
      <c r="B413" s="21"/>
      <c r="C413" s="21"/>
      <c r="D413" s="21"/>
      <c r="E413" s="22" t="str">
        <f t="shared" si="54"/>
        <v/>
      </c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3" t="str">
        <f>IF($F413="","",IF(OR($B413="",$C413="",$D413=""),"⚠ Compléter Année/Niveau/Session",IF(AND($E413&lt;&gt;"",COUNTIF(D_KEY_DOUBLON,$B413&amp;"|"&amp;$D413&amp;"|"&amp;$E413)&gt;1),"⚠ Doublon",IF(AND($E413&lt;&gt;"",COUNTIF(D_KEY_STATUT,$B413&amp;"|"&amp;$E413&amp;"|P")&gt;0,COUNTIF(D_KEY_STATUT,$B413&amp;"|"&amp;$E413&amp;"|A")&gt;0),"⚠ Statut incohérent",IF(AND($D413="S1",$Y413&lt;&gt;"Parti",COUNTIF(ANNEES_VERROU,$B413)&gt;0,COUNTIF(D_KEY_NIVSES,$B413&amp;"|"&amp;$C413&amp;"|S2")&gt;0,COUNTIF(D_KEY_DOUBLON,$B413&amp;"|S2|"&amp;$E413)=0),"⚠ Départ non confirmé ?",IF(AND($C413&lt;&gt;"",ISNUMBER($I413),OR(VALUE(LEFT($B413,4))-$I413&lt;4+IFERROR(MATCH($C413,LISTE_NIVEAUX,0),99),VALUE(LEFT($B413,4))-$I413&gt;6+IFERROR(MATCH($C413,LISTE_NIVEAUX,0),99))),"⚠ Vérifier niveau",IF(AND(IFERROR(VLOOKUP($C413,TABLE_CYCLE,2,0),3)=2,COUNT($O413:$Q413)&gt;0),"⚠ Tests cycle 3",IF(COUNT($J413:$Q413)&gt;=IF(IFERROR(VLOOKUP($C413,TABLE_CYCLE,2,0),3)=2,5,8),"Complet","Incomplet"))))))))</f>
        <v/>
      </c>
      <c r="S413" s="24"/>
      <c r="T413" s="67" t="str">
        <f t="shared" si="55"/>
        <v/>
      </c>
      <c r="U413" s="67" t="str">
        <f t="shared" si="56"/>
        <v/>
      </c>
      <c r="V413" s="67" t="str">
        <f t="shared" si="57"/>
        <v/>
      </c>
      <c r="W413" s="67" t="str">
        <f t="shared" si="58"/>
        <v/>
      </c>
      <c r="X413" s="67" t="str">
        <f t="shared" si="59"/>
        <v/>
      </c>
      <c r="Y413" s="24" t="str">
        <f t="shared" si="60"/>
        <v/>
      </c>
      <c r="Z413">
        <f t="shared" si="61"/>
        <v>0</v>
      </c>
      <c r="AA413">
        <f t="shared" si="62"/>
        <v>0</v>
      </c>
    </row>
    <row r="414" spans="2:27" ht="15.75" customHeight="1" x14ac:dyDescent="0.3">
      <c r="B414" s="25"/>
      <c r="C414" s="25"/>
      <c r="D414" s="25"/>
      <c r="E414" s="26" t="str">
        <f t="shared" si="54"/>
        <v/>
      </c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3" t="str">
        <f>IF($F414="","",IF(OR($B414="",$C414="",$D414=""),"⚠ Compléter Année/Niveau/Session",IF(AND($E414&lt;&gt;"",COUNTIF(D_KEY_DOUBLON,$B414&amp;"|"&amp;$D414&amp;"|"&amp;$E414)&gt;1),"⚠ Doublon",IF(AND($E414&lt;&gt;"",COUNTIF(D_KEY_STATUT,$B414&amp;"|"&amp;$E414&amp;"|P")&gt;0,COUNTIF(D_KEY_STATUT,$B414&amp;"|"&amp;$E414&amp;"|A")&gt;0),"⚠ Statut incohérent",IF(AND($D414="S1",$Y414&lt;&gt;"Parti",COUNTIF(ANNEES_VERROU,$B414)&gt;0,COUNTIF(D_KEY_NIVSES,$B414&amp;"|"&amp;$C414&amp;"|S2")&gt;0,COUNTIF(D_KEY_DOUBLON,$B414&amp;"|S2|"&amp;$E414)=0),"⚠ Départ non confirmé ?",IF(AND($C414&lt;&gt;"",ISNUMBER($I414),OR(VALUE(LEFT($B414,4))-$I414&lt;4+IFERROR(MATCH($C414,LISTE_NIVEAUX,0),99),VALUE(LEFT($B414,4))-$I414&gt;6+IFERROR(MATCH($C414,LISTE_NIVEAUX,0),99))),"⚠ Vérifier niveau",IF(AND(IFERROR(VLOOKUP($C414,TABLE_CYCLE,2,0),3)=2,COUNT($O414:$Q414)&gt;0),"⚠ Tests cycle 3",IF(COUNT($J414:$Q414)&gt;=IF(IFERROR(VLOOKUP($C414,TABLE_CYCLE,2,0),3)=2,5,8),"Complet","Incomplet"))))))))</f>
        <v/>
      </c>
      <c r="S414" s="24"/>
      <c r="T414" s="67" t="str">
        <f t="shared" si="55"/>
        <v/>
      </c>
      <c r="U414" s="67" t="str">
        <f t="shared" si="56"/>
        <v/>
      </c>
      <c r="V414" s="67" t="str">
        <f t="shared" si="57"/>
        <v/>
      </c>
      <c r="W414" s="67" t="str">
        <f t="shared" si="58"/>
        <v/>
      </c>
      <c r="X414" s="67" t="str">
        <f t="shared" si="59"/>
        <v/>
      </c>
      <c r="Y414" s="24" t="str">
        <f t="shared" si="60"/>
        <v/>
      </c>
      <c r="Z414">
        <f t="shared" si="61"/>
        <v>0</v>
      </c>
      <c r="AA414">
        <f t="shared" si="62"/>
        <v>0</v>
      </c>
    </row>
    <row r="415" spans="2:27" ht="15.75" customHeight="1" x14ac:dyDescent="0.3">
      <c r="B415" s="21"/>
      <c r="C415" s="21"/>
      <c r="D415" s="21"/>
      <c r="E415" s="22" t="str">
        <f t="shared" si="54"/>
        <v/>
      </c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3" t="str">
        <f>IF($F415="","",IF(OR($B415="",$C415="",$D415=""),"⚠ Compléter Année/Niveau/Session",IF(AND($E415&lt;&gt;"",COUNTIF(D_KEY_DOUBLON,$B415&amp;"|"&amp;$D415&amp;"|"&amp;$E415)&gt;1),"⚠ Doublon",IF(AND($E415&lt;&gt;"",COUNTIF(D_KEY_STATUT,$B415&amp;"|"&amp;$E415&amp;"|P")&gt;0,COUNTIF(D_KEY_STATUT,$B415&amp;"|"&amp;$E415&amp;"|A")&gt;0),"⚠ Statut incohérent",IF(AND($D415="S1",$Y415&lt;&gt;"Parti",COUNTIF(ANNEES_VERROU,$B415)&gt;0,COUNTIF(D_KEY_NIVSES,$B415&amp;"|"&amp;$C415&amp;"|S2")&gt;0,COUNTIF(D_KEY_DOUBLON,$B415&amp;"|S2|"&amp;$E415)=0),"⚠ Départ non confirmé ?",IF(AND($C415&lt;&gt;"",ISNUMBER($I415),OR(VALUE(LEFT($B415,4))-$I415&lt;4+IFERROR(MATCH($C415,LISTE_NIVEAUX,0),99),VALUE(LEFT($B415,4))-$I415&gt;6+IFERROR(MATCH($C415,LISTE_NIVEAUX,0),99))),"⚠ Vérifier niveau",IF(AND(IFERROR(VLOOKUP($C415,TABLE_CYCLE,2,0),3)=2,COUNT($O415:$Q415)&gt;0),"⚠ Tests cycle 3",IF(COUNT($J415:$Q415)&gt;=IF(IFERROR(VLOOKUP($C415,TABLE_CYCLE,2,0),3)=2,5,8),"Complet","Incomplet"))))))))</f>
        <v/>
      </c>
      <c r="S415" s="24"/>
      <c r="T415" s="67" t="str">
        <f t="shared" si="55"/>
        <v/>
      </c>
      <c r="U415" s="67" t="str">
        <f t="shared" si="56"/>
        <v/>
      </c>
      <c r="V415" s="67" t="str">
        <f t="shared" si="57"/>
        <v/>
      </c>
      <c r="W415" s="67" t="str">
        <f t="shared" si="58"/>
        <v/>
      </c>
      <c r="X415" s="67" t="str">
        <f t="shared" si="59"/>
        <v/>
      </c>
      <c r="Y415" s="24" t="str">
        <f t="shared" si="60"/>
        <v/>
      </c>
      <c r="Z415">
        <f t="shared" si="61"/>
        <v>0</v>
      </c>
      <c r="AA415">
        <f t="shared" si="62"/>
        <v>0</v>
      </c>
    </row>
    <row r="416" spans="2:27" ht="15.75" customHeight="1" x14ac:dyDescent="0.3">
      <c r="B416" s="25"/>
      <c r="C416" s="25"/>
      <c r="D416" s="25"/>
      <c r="E416" s="26" t="str">
        <f t="shared" si="54"/>
        <v/>
      </c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3" t="str">
        <f>IF($F416="","",IF(OR($B416="",$C416="",$D416=""),"⚠ Compléter Année/Niveau/Session",IF(AND($E416&lt;&gt;"",COUNTIF(D_KEY_DOUBLON,$B416&amp;"|"&amp;$D416&amp;"|"&amp;$E416)&gt;1),"⚠ Doublon",IF(AND($E416&lt;&gt;"",COUNTIF(D_KEY_STATUT,$B416&amp;"|"&amp;$E416&amp;"|P")&gt;0,COUNTIF(D_KEY_STATUT,$B416&amp;"|"&amp;$E416&amp;"|A")&gt;0),"⚠ Statut incohérent",IF(AND($D416="S1",$Y416&lt;&gt;"Parti",COUNTIF(ANNEES_VERROU,$B416)&gt;0,COUNTIF(D_KEY_NIVSES,$B416&amp;"|"&amp;$C416&amp;"|S2")&gt;0,COUNTIF(D_KEY_DOUBLON,$B416&amp;"|S2|"&amp;$E416)=0),"⚠ Départ non confirmé ?",IF(AND($C416&lt;&gt;"",ISNUMBER($I416),OR(VALUE(LEFT($B416,4))-$I416&lt;4+IFERROR(MATCH($C416,LISTE_NIVEAUX,0),99),VALUE(LEFT($B416,4))-$I416&gt;6+IFERROR(MATCH($C416,LISTE_NIVEAUX,0),99))),"⚠ Vérifier niveau",IF(AND(IFERROR(VLOOKUP($C416,TABLE_CYCLE,2,0),3)=2,COUNT($O416:$Q416)&gt;0),"⚠ Tests cycle 3",IF(COUNT($J416:$Q416)&gt;=IF(IFERROR(VLOOKUP($C416,TABLE_CYCLE,2,0),3)=2,5,8),"Complet","Incomplet"))))))))</f>
        <v/>
      </c>
      <c r="S416" s="24"/>
      <c r="T416" s="67" t="str">
        <f t="shared" si="55"/>
        <v/>
      </c>
      <c r="U416" s="67" t="str">
        <f t="shared" si="56"/>
        <v/>
      </c>
      <c r="V416" s="67" t="str">
        <f t="shared" si="57"/>
        <v/>
      </c>
      <c r="W416" s="67" t="str">
        <f t="shared" si="58"/>
        <v/>
      </c>
      <c r="X416" s="67" t="str">
        <f t="shared" si="59"/>
        <v/>
      </c>
      <c r="Y416" s="24" t="str">
        <f t="shared" si="60"/>
        <v/>
      </c>
      <c r="Z416">
        <f t="shared" si="61"/>
        <v>0</v>
      </c>
      <c r="AA416">
        <f t="shared" si="62"/>
        <v>0</v>
      </c>
    </row>
    <row r="417" spans="2:27" ht="15.75" customHeight="1" x14ac:dyDescent="0.3">
      <c r="B417" s="21"/>
      <c r="C417" s="21"/>
      <c r="D417" s="21"/>
      <c r="E417" s="22" t="str">
        <f t="shared" si="54"/>
        <v/>
      </c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3" t="str">
        <f>IF($F417="","",IF(OR($B417="",$C417="",$D417=""),"⚠ Compléter Année/Niveau/Session",IF(AND($E417&lt;&gt;"",COUNTIF(D_KEY_DOUBLON,$B417&amp;"|"&amp;$D417&amp;"|"&amp;$E417)&gt;1),"⚠ Doublon",IF(AND($E417&lt;&gt;"",COUNTIF(D_KEY_STATUT,$B417&amp;"|"&amp;$E417&amp;"|P")&gt;0,COUNTIF(D_KEY_STATUT,$B417&amp;"|"&amp;$E417&amp;"|A")&gt;0),"⚠ Statut incohérent",IF(AND($D417="S1",$Y417&lt;&gt;"Parti",COUNTIF(ANNEES_VERROU,$B417)&gt;0,COUNTIF(D_KEY_NIVSES,$B417&amp;"|"&amp;$C417&amp;"|S2")&gt;0,COUNTIF(D_KEY_DOUBLON,$B417&amp;"|S2|"&amp;$E417)=0),"⚠ Départ non confirmé ?",IF(AND($C417&lt;&gt;"",ISNUMBER($I417),OR(VALUE(LEFT($B417,4))-$I417&lt;4+IFERROR(MATCH($C417,LISTE_NIVEAUX,0),99),VALUE(LEFT($B417,4))-$I417&gt;6+IFERROR(MATCH($C417,LISTE_NIVEAUX,0),99))),"⚠ Vérifier niveau",IF(AND(IFERROR(VLOOKUP($C417,TABLE_CYCLE,2,0),3)=2,COUNT($O417:$Q417)&gt;0),"⚠ Tests cycle 3",IF(COUNT($J417:$Q417)&gt;=IF(IFERROR(VLOOKUP($C417,TABLE_CYCLE,2,0),3)=2,5,8),"Complet","Incomplet"))))))))</f>
        <v/>
      </c>
      <c r="S417" s="24"/>
      <c r="T417" s="67" t="str">
        <f t="shared" si="55"/>
        <v/>
      </c>
      <c r="U417" s="67" t="str">
        <f t="shared" si="56"/>
        <v/>
      </c>
      <c r="V417" s="67" t="str">
        <f t="shared" si="57"/>
        <v/>
      </c>
      <c r="W417" s="67" t="str">
        <f t="shared" si="58"/>
        <v/>
      </c>
      <c r="X417" s="67" t="str">
        <f t="shared" si="59"/>
        <v/>
      </c>
      <c r="Y417" s="24" t="str">
        <f t="shared" si="60"/>
        <v/>
      </c>
      <c r="Z417">
        <f t="shared" si="61"/>
        <v>0</v>
      </c>
      <c r="AA417">
        <f t="shared" si="62"/>
        <v>0</v>
      </c>
    </row>
    <row r="418" spans="2:27" ht="15.75" customHeight="1" x14ac:dyDescent="0.3">
      <c r="B418" s="25"/>
      <c r="C418" s="25"/>
      <c r="D418" s="25"/>
      <c r="E418" s="26" t="str">
        <f t="shared" si="54"/>
        <v/>
      </c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3" t="str">
        <f>IF($F418="","",IF(OR($B418="",$C418="",$D418=""),"⚠ Compléter Année/Niveau/Session",IF(AND($E418&lt;&gt;"",COUNTIF(D_KEY_DOUBLON,$B418&amp;"|"&amp;$D418&amp;"|"&amp;$E418)&gt;1),"⚠ Doublon",IF(AND($E418&lt;&gt;"",COUNTIF(D_KEY_STATUT,$B418&amp;"|"&amp;$E418&amp;"|P")&gt;0,COUNTIF(D_KEY_STATUT,$B418&amp;"|"&amp;$E418&amp;"|A")&gt;0),"⚠ Statut incohérent",IF(AND($D418="S1",$Y418&lt;&gt;"Parti",COUNTIF(ANNEES_VERROU,$B418)&gt;0,COUNTIF(D_KEY_NIVSES,$B418&amp;"|"&amp;$C418&amp;"|S2")&gt;0,COUNTIF(D_KEY_DOUBLON,$B418&amp;"|S2|"&amp;$E418)=0),"⚠ Départ non confirmé ?",IF(AND($C418&lt;&gt;"",ISNUMBER($I418),OR(VALUE(LEFT($B418,4))-$I418&lt;4+IFERROR(MATCH($C418,LISTE_NIVEAUX,0),99),VALUE(LEFT($B418,4))-$I418&gt;6+IFERROR(MATCH($C418,LISTE_NIVEAUX,0),99))),"⚠ Vérifier niveau",IF(AND(IFERROR(VLOOKUP($C418,TABLE_CYCLE,2,0),3)=2,COUNT($O418:$Q418)&gt;0),"⚠ Tests cycle 3",IF(COUNT($J418:$Q418)&gt;=IF(IFERROR(VLOOKUP($C418,TABLE_CYCLE,2,0),3)=2,5,8),"Complet","Incomplet"))))))))</f>
        <v/>
      </c>
      <c r="S418" s="24"/>
      <c r="T418" s="67" t="str">
        <f t="shared" si="55"/>
        <v/>
      </c>
      <c r="U418" s="67" t="str">
        <f t="shared" si="56"/>
        <v/>
      </c>
      <c r="V418" s="67" t="str">
        <f t="shared" si="57"/>
        <v/>
      </c>
      <c r="W418" s="67" t="str">
        <f t="shared" si="58"/>
        <v/>
      </c>
      <c r="X418" s="67" t="str">
        <f t="shared" si="59"/>
        <v/>
      </c>
      <c r="Y418" s="24" t="str">
        <f t="shared" si="60"/>
        <v/>
      </c>
      <c r="Z418">
        <f t="shared" si="61"/>
        <v>0</v>
      </c>
      <c r="AA418">
        <f t="shared" si="62"/>
        <v>0</v>
      </c>
    </row>
    <row r="419" spans="2:27" ht="15.75" customHeight="1" x14ac:dyDescent="0.3">
      <c r="B419" s="21"/>
      <c r="C419" s="21"/>
      <c r="D419" s="21"/>
      <c r="E419" s="22" t="str">
        <f t="shared" si="54"/>
        <v/>
      </c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3" t="str">
        <f>IF($F419="","",IF(OR($B419="",$C419="",$D419=""),"⚠ Compléter Année/Niveau/Session",IF(AND($E419&lt;&gt;"",COUNTIF(D_KEY_DOUBLON,$B419&amp;"|"&amp;$D419&amp;"|"&amp;$E419)&gt;1),"⚠ Doublon",IF(AND($E419&lt;&gt;"",COUNTIF(D_KEY_STATUT,$B419&amp;"|"&amp;$E419&amp;"|P")&gt;0,COUNTIF(D_KEY_STATUT,$B419&amp;"|"&amp;$E419&amp;"|A")&gt;0),"⚠ Statut incohérent",IF(AND($D419="S1",$Y419&lt;&gt;"Parti",COUNTIF(ANNEES_VERROU,$B419)&gt;0,COUNTIF(D_KEY_NIVSES,$B419&amp;"|"&amp;$C419&amp;"|S2")&gt;0,COUNTIF(D_KEY_DOUBLON,$B419&amp;"|S2|"&amp;$E419)=0),"⚠ Départ non confirmé ?",IF(AND($C419&lt;&gt;"",ISNUMBER($I419),OR(VALUE(LEFT($B419,4))-$I419&lt;4+IFERROR(MATCH($C419,LISTE_NIVEAUX,0),99),VALUE(LEFT($B419,4))-$I419&gt;6+IFERROR(MATCH($C419,LISTE_NIVEAUX,0),99))),"⚠ Vérifier niveau",IF(AND(IFERROR(VLOOKUP($C419,TABLE_CYCLE,2,0),3)=2,COUNT($O419:$Q419)&gt;0),"⚠ Tests cycle 3",IF(COUNT($J419:$Q419)&gt;=IF(IFERROR(VLOOKUP($C419,TABLE_CYCLE,2,0),3)=2,5,8),"Complet","Incomplet"))))))))</f>
        <v/>
      </c>
      <c r="S419" s="24"/>
      <c r="T419" s="67" t="str">
        <f t="shared" si="55"/>
        <v/>
      </c>
      <c r="U419" s="67" t="str">
        <f t="shared" si="56"/>
        <v/>
      </c>
      <c r="V419" s="67" t="str">
        <f t="shared" si="57"/>
        <v/>
      </c>
      <c r="W419" s="67" t="str">
        <f t="shared" si="58"/>
        <v/>
      </c>
      <c r="X419" s="67" t="str">
        <f t="shared" si="59"/>
        <v/>
      </c>
      <c r="Y419" s="24" t="str">
        <f t="shared" si="60"/>
        <v/>
      </c>
      <c r="Z419">
        <f t="shared" si="61"/>
        <v>0</v>
      </c>
      <c r="AA419">
        <f t="shared" si="62"/>
        <v>0</v>
      </c>
    </row>
    <row r="420" spans="2:27" ht="15.75" customHeight="1" x14ac:dyDescent="0.3">
      <c r="B420" s="25"/>
      <c r="C420" s="25"/>
      <c r="D420" s="25"/>
      <c r="E420" s="26" t="str">
        <f t="shared" si="54"/>
        <v/>
      </c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3" t="str">
        <f>IF($F420="","",IF(OR($B420="",$C420="",$D420=""),"⚠ Compléter Année/Niveau/Session",IF(AND($E420&lt;&gt;"",COUNTIF(D_KEY_DOUBLON,$B420&amp;"|"&amp;$D420&amp;"|"&amp;$E420)&gt;1),"⚠ Doublon",IF(AND($E420&lt;&gt;"",COUNTIF(D_KEY_STATUT,$B420&amp;"|"&amp;$E420&amp;"|P")&gt;0,COUNTIF(D_KEY_STATUT,$B420&amp;"|"&amp;$E420&amp;"|A")&gt;0),"⚠ Statut incohérent",IF(AND($D420="S1",$Y420&lt;&gt;"Parti",COUNTIF(ANNEES_VERROU,$B420)&gt;0,COUNTIF(D_KEY_NIVSES,$B420&amp;"|"&amp;$C420&amp;"|S2")&gt;0,COUNTIF(D_KEY_DOUBLON,$B420&amp;"|S2|"&amp;$E420)=0),"⚠ Départ non confirmé ?",IF(AND($C420&lt;&gt;"",ISNUMBER($I420),OR(VALUE(LEFT($B420,4))-$I420&lt;4+IFERROR(MATCH($C420,LISTE_NIVEAUX,0),99),VALUE(LEFT($B420,4))-$I420&gt;6+IFERROR(MATCH($C420,LISTE_NIVEAUX,0),99))),"⚠ Vérifier niveau",IF(AND(IFERROR(VLOOKUP($C420,TABLE_CYCLE,2,0),3)=2,COUNT($O420:$Q420)&gt;0),"⚠ Tests cycle 3",IF(COUNT($J420:$Q420)&gt;=IF(IFERROR(VLOOKUP($C420,TABLE_CYCLE,2,0),3)=2,5,8),"Complet","Incomplet"))))))))</f>
        <v/>
      </c>
      <c r="S420" s="24"/>
      <c r="T420" s="67" t="str">
        <f t="shared" si="55"/>
        <v/>
      </c>
      <c r="U420" s="67" t="str">
        <f t="shared" si="56"/>
        <v/>
      </c>
      <c r="V420" s="67" t="str">
        <f t="shared" si="57"/>
        <v/>
      </c>
      <c r="W420" s="67" t="str">
        <f t="shared" si="58"/>
        <v/>
      </c>
      <c r="X420" s="67" t="str">
        <f t="shared" si="59"/>
        <v/>
      </c>
      <c r="Y420" s="24" t="str">
        <f t="shared" si="60"/>
        <v/>
      </c>
      <c r="Z420">
        <f t="shared" si="61"/>
        <v>0</v>
      </c>
      <c r="AA420">
        <f t="shared" si="62"/>
        <v>0</v>
      </c>
    </row>
    <row r="421" spans="2:27" ht="15.75" customHeight="1" x14ac:dyDescent="0.3">
      <c r="B421" s="21"/>
      <c r="C421" s="21"/>
      <c r="D421" s="21"/>
      <c r="E421" s="22" t="str">
        <f t="shared" si="54"/>
        <v/>
      </c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3" t="str">
        <f>IF($F421="","",IF(OR($B421="",$C421="",$D421=""),"⚠ Compléter Année/Niveau/Session",IF(AND($E421&lt;&gt;"",COUNTIF(D_KEY_DOUBLON,$B421&amp;"|"&amp;$D421&amp;"|"&amp;$E421)&gt;1),"⚠ Doublon",IF(AND($E421&lt;&gt;"",COUNTIF(D_KEY_STATUT,$B421&amp;"|"&amp;$E421&amp;"|P")&gt;0,COUNTIF(D_KEY_STATUT,$B421&amp;"|"&amp;$E421&amp;"|A")&gt;0),"⚠ Statut incohérent",IF(AND($D421="S1",$Y421&lt;&gt;"Parti",COUNTIF(ANNEES_VERROU,$B421)&gt;0,COUNTIF(D_KEY_NIVSES,$B421&amp;"|"&amp;$C421&amp;"|S2")&gt;0,COUNTIF(D_KEY_DOUBLON,$B421&amp;"|S2|"&amp;$E421)=0),"⚠ Départ non confirmé ?",IF(AND($C421&lt;&gt;"",ISNUMBER($I421),OR(VALUE(LEFT($B421,4))-$I421&lt;4+IFERROR(MATCH($C421,LISTE_NIVEAUX,0),99),VALUE(LEFT($B421,4))-$I421&gt;6+IFERROR(MATCH($C421,LISTE_NIVEAUX,0),99))),"⚠ Vérifier niveau",IF(AND(IFERROR(VLOOKUP($C421,TABLE_CYCLE,2,0),3)=2,COUNT($O421:$Q421)&gt;0),"⚠ Tests cycle 3",IF(COUNT($J421:$Q421)&gt;=IF(IFERROR(VLOOKUP($C421,TABLE_CYCLE,2,0),3)=2,5,8),"Complet","Incomplet"))))))))</f>
        <v/>
      </c>
      <c r="S421" s="24"/>
      <c r="T421" s="67" t="str">
        <f t="shared" si="55"/>
        <v/>
      </c>
      <c r="U421" s="67" t="str">
        <f t="shared" si="56"/>
        <v/>
      </c>
      <c r="V421" s="67" t="str">
        <f t="shared" si="57"/>
        <v/>
      </c>
      <c r="W421" s="67" t="str">
        <f t="shared" si="58"/>
        <v/>
      </c>
      <c r="X421" s="67" t="str">
        <f t="shared" si="59"/>
        <v/>
      </c>
      <c r="Y421" s="24" t="str">
        <f t="shared" si="60"/>
        <v/>
      </c>
      <c r="Z421">
        <f t="shared" si="61"/>
        <v>0</v>
      </c>
      <c r="AA421">
        <f t="shared" si="62"/>
        <v>0</v>
      </c>
    </row>
    <row r="422" spans="2:27" ht="15.75" customHeight="1" x14ac:dyDescent="0.3">
      <c r="B422" s="25"/>
      <c r="C422" s="25"/>
      <c r="D422" s="25"/>
      <c r="E422" s="26" t="str">
        <f t="shared" si="54"/>
        <v/>
      </c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3" t="str">
        <f>IF($F422="","",IF(OR($B422="",$C422="",$D422=""),"⚠ Compléter Année/Niveau/Session",IF(AND($E422&lt;&gt;"",COUNTIF(D_KEY_DOUBLON,$B422&amp;"|"&amp;$D422&amp;"|"&amp;$E422)&gt;1),"⚠ Doublon",IF(AND($E422&lt;&gt;"",COUNTIF(D_KEY_STATUT,$B422&amp;"|"&amp;$E422&amp;"|P")&gt;0,COUNTIF(D_KEY_STATUT,$B422&amp;"|"&amp;$E422&amp;"|A")&gt;0),"⚠ Statut incohérent",IF(AND($D422="S1",$Y422&lt;&gt;"Parti",COUNTIF(ANNEES_VERROU,$B422)&gt;0,COUNTIF(D_KEY_NIVSES,$B422&amp;"|"&amp;$C422&amp;"|S2")&gt;0,COUNTIF(D_KEY_DOUBLON,$B422&amp;"|S2|"&amp;$E422)=0),"⚠ Départ non confirmé ?",IF(AND($C422&lt;&gt;"",ISNUMBER($I422),OR(VALUE(LEFT($B422,4))-$I422&lt;4+IFERROR(MATCH($C422,LISTE_NIVEAUX,0),99),VALUE(LEFT($B422,4))-$I422&gt;6+IFERROR(MATCH($C422,LISTE_NIVEAUX,0),99))),"⚠ Vérifier niveau",IF(AND(IFERROR(VLOOKUP($C422,TABLE_CYCLE,2,0),3)=2,COUNT($O422:$Q422)&gt;0),"⚠ Tests cycle 3",IF(COUNT($J422:$Q422)&gt;=IF(IFERROR(VLOOKUP($C422,TABLE_CYCLE,2,0),3)=2,5,8),"Complet","Incomplet"))))))))</f>
        <v/>
      </c>
      <c r="S422" s="24"/>
      <c r="T422" s="67" t="str">
        <f t="shared" si="55"/>
        <v/>
      </c>
      <c r="U422" s="67" t="str">
        <f t="shared" si="56"/>
        <v/>
      </c>
      <c r="V422" s="67" t="str">
        <f t="shared" si="57"/>
        <v/>
      </c>
      <c r="W422" s="67" t="str">
        <f t="shared" si="58"/>
        <v/>
      </c>
      <c r="X422" s="67" t="str">
        <f t="shared" si="59"/>
        <v/>
      </c>
      <c r="Y422" s="24" t="str">
        <f t="shared" si="60"/>
        <v/>
      </c>
      <c r="Z422">
        <f t="shared" si="61"/>
        <v>0</v>
      </c>
      <c r="AA422">
        <f t="shared" si="62"/>
        <v>0</v>
      </c>
    </row>
    <row r="423" spans="2:27" ht="15.75" customHeight="1" x14ac:dyDescent="0.3">
      <c r="B423" s="21"/>
      <c r="C423" s="21"/>
      <c r="D423" s="21"/>
      <c r="E423" s="22" t="str">
        <f t="shared" si="54"/>
        <v/>
      </c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3" t="str">
        <f>IF($F423="","",IF(OR($B423="",$C423="",$D423=""),"⚠ Compléter Année/Niveau/Session",IF(AND($E423&lt;&gt;"",COUNTIF(D_KEY_DOUBLON,$B423&amp;"|"&amp;$D423&amp;"|"&amp;$E423)&gt;1),"⚠ Doublon",IF(AND($E423&lt;&gt;"",COUNTIF(D_KEY_STATUT,$B423&amp;"|"&amp;$E423&amp;"|P")&gt;0,COUNTIF(D_KEY_STATUT,$B423&amp;"|"&amp;$E423&amp;"|A")&gt;0),"⚠ Statut incohérent",IF(AND($D423="S1",$Y423&lt;&gt;"Parti",COUNTIF(ANNEES_VERROU,$B423)&gt;0,COUNTIF(D_KEY_NIVSES,$B423&amp;"|"&amp;$C423&amp;"|S2")&gt;0,COUNTIF(D_KEY_DOUBLON,$B423&amp;"|S2|"&amp;$E423)=0),"⚠ Départ non confirmé ?",IF(AND($C423&lt;&gt;"",ISNUMBER($I423),OR(VALUE(LEFT($B423,4))-$I423&lt;4+IFERROR(MATCH($C423,LISTE_NIVEAUX,0),99),VALUE(LEFT($B423,4))-$I423&gt;6+IFERROR(MATCH($C423,LISTE_NIVEAUX,0),99))),"⚠ Vérifier niveau",IF(AND(IFERROR(VLOOKUP($C423,TABLE_CYCLE,2,0),3)=2,COUNT($O423:$Q423)&gt;0),"⚠ Tests cycle 3",IF(COUNT($J423:$Q423)&gt;=IF(IFERROR(VLOOKUP($C423,TABLE_CYCLE,2,0),3)=2,5,8),"Complet","Incomplet"))))))))</f>
        <v/>
      </c>
      <c r="S423" s="24"/>
      <c r="T423" s="67" t="str">
        <f t="shared" si="55"/>
        <v/>
      </c>
      <c r="U423" s="67" t="str">
        <f t="shared" si="56"/>
        <v/>
      </c>
      <c r="V423" s="67" t="str">
        <f t="shared" si="57"/>
        <v/>
      </c>
      <c r="W423" s="67" t="str">
        <f t="shared" si="58"/>
        <v/>
      </c>
      <c r="X423" s="67" t="str">
        <f t="shared" si="59"/>
        <v/>
      </c>
      <c r="Y423" s="24" t="str">
        <f t="shared" si="60"/>
        <v/>
      </c>
      <c r="Z423">
        <f t="shared" si="61"/>
        <v>0</v>
      </c>
      <c r="AA423">
        <f t="shared" si="62"/>
        <v>0</v>
      </c>
    </row>
    <row r="424" spans="2:27" ht="15.75" customHeight="1" x14ac:dyDescent="0.3">
      <c r="B424" s="25"/>
      <c r="C424" s="25"/>
      <c r="D424" s="25"/>
      <c r="E424" s="26" t="str">
        <f t="shared" si="54"/>
        <v/>
      </c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3" t="str">
        <f>IF($F424="","",IF(OR($B424="",$C424="",$D424=""),"⚠ Compléter Année/Niveau/Session",IF(AND($E424&lt;&gt;"",COUNTIF(D_KEY_DOUBLON,$B424&amp;"|"&amp;$D424&amp;"|"&amp;$E424)&gt;1),"⚠ Doublon",IF(AND($E424&lt;&gt;"",COUNTIF(D_KEY_STATUT,$B424&amp;"|"&amp;$E424&amp;"|P")&gt;0,COUNTIF(D_KEY_STATUT,$B424&amp;"|"&amp;$E424&amp;"|A")&gt;0),"⚠ Statut incohérent",IF(AND($D424="S1",$Y424&lt;&gt;"Parti",COUNTIF(ANNEES_VERROU,$B424)&gt;0,COUNTIF(D_KEY_NIVSES,$B424&amp;"|"&amp;$C424&amp;"|S2")&gt;0,COUNTIF(D_KEY_DOUBLON,$B424&amp;"|S2|"&amp;$E424)=0),"⚠ Départ non confirmé ?",IF(AND($C424&lt;&gt;"",ISNUMBER($I424),OR(VALUE(LEFT($B424,4))-$I424&lt;4+IFERROR(MATCH($C424,LISTE_NIVEAUX,0),99),VALUE(LEFT($B424,4))-$I424&gt;6+IFERROR(MATCH($C424,LISTE_NIVEAUX,0),99))),"⚠ Vérifier niveau",IF(AND(IFERROR(VLOOKUP($C424,TABLE_CYCLE,2,0),3)=2,COUNT($O424:$Q424)&gt;0),"⚠ Tests cycle 3",IF(COUNT($J424:$Q424)&gt;=IF(IFERROR(VLOOKUP($C424,TABLE_CYCLE,2,0),3)=2,5,8),"Complet","Incomplet"))))))))</f>
        <v/>
      </c>
      <c r="S424" s="24"/>
      <c r="T424" s="67" t="str">
        <f t="shared" si="55"/>
        <v/>
      </c>
      <c r="U424" s="67" t="str">
        <f t="shared" si="56"/>
        <v/>
      </c>
      <c r="V424" s="67" t="str">
        <f t="shared" si="57"/>
        <v/>
      </c>
      <c r="W424" s="67" t="str">
        <f t="shared" si="58"/>
        <v/>
      </c>
      <c r="X424" s="67" t="str">
        <f t="shared" si="59"/>
        <v/>
      </c>
      <c r="Y424" s="24" t="str">
        <f t="shared" si="60"/>
        <v/>
      </c>
      <c r="Z424">
        <f t="shared" si="61"/>
        <v>0</v>
      </c>
      <c r="AA424">
        <f t="shared" si="62"/>
        <v>0</v>
      </c>
    </row>
    <row r="425" spans="2:27" ht="15.75" customHeight="1" x14ac:dyDescent="0.3">
      <c r="B425" s="21"/>
      <c r="C425" s="21"/>
      <c r="D425" s="21"/>
      <c r="E425" s="22" t="str">
        <f t="shared" si="54"/>
        <v/>
      </c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3" t="str">
        <f>IF($F425="","",IF(OR($B425="",$C425="",$D425=""),"⚠ Compléter Année/Niveau/Session",IF(AND($E425&lt;&gt;"",COUNTIF(D_KEY_DOUBLON,$B425&amp;"|"&amp;$D425&amp;"|"&amp;$E425)&gt;1),"⚠ Doublon",IF(AND($E425&lt;&gt;"",COUNTIF(D_KEY_STATUT,$B425&amp;"|"&amp;$E425&amp;"|P")&gt;0,COUNTIF(D_KEY_STATUT,$B425&amp;"|"&amp;$E425&amp;"|A")&gt;0),"⚠ Statut incohérent",IF(AND($D425="S1",$Y425&lt;&gt;"Parti",COUNTIF(ANNEES_VERROU,$B425)&gt;0,COUNTIF(D_KEY_NIVSES,$B425&amp;"|"&amp;$C425&amp;"|S2")&gt;0,COUNTIF(D_KEY_DOUBLON,$B425&amp;"|S2|"&amp;$E425)=0),"⚠ Départ non confirmé ?",IF(AND($C425&lt;&gt;"",ISNUMBER($I425),OR(VALUE(LEFT($B425,4))-$I425&lt;4+IFERROR(MATCH($C425,LISTE_NIVEAUX,0),99),VALUE(LEFT($B425,4))-$I425&gt;6+IFERROR(MATCH($C425,LISTE_NIVEAUX,0),99))),"⚠ Vérifier niveau",IF(AND(IFERROR(VLOOKUP($C425,TABLE_CYCLE,2,0),3)=2,COUNT($O425:$Q425)&gt;0),"⚠ Tests cycle 3",IF(COUNT($J425:$Q425)&gt;=IF(IFERROR(VLOOKUP($C425,TABLE_CYCLE,2,0),3)=2,5,8),"Complet","Incomplet"))))))))</f>
        <v/>
      </c>
      <c r="S425" s="24"/>
      <c r="T425" s="67" t="str">
        <f t="shared" si="55"/>
        <v/>
      </c>
      <c r="U425" s="67" t="str">
        <f t="shared" si="56"/>
        <v/>
      </c>
      <c r="V425" s="67" t="str">
        <f t="shared" si="57"/>
        <v/>
      </c>
      <c r="W425" s="67" t="str">
        <f t="shared" si="58"/>
        <v/>
      </c>
      <c r="X425" s="67" t="str">
        <f t="shared" si="59"/>
        <v/>
      </c>
      <c r="Y425" s="24" t="str">
        <f t="shared" si="60"/>
        <v/>
      </c>
      <c r="Z425">
        <f t="shared" si="61"/>
        <v>0</v>
      </c>
      <c r="AA425">
        <f t="shared" si="62"/>
        <v>0</v>
      </c>
    </row>
    <row r="426" spans="2:27" ht="15.75" customHeight="1" x14ac:dyDescent="0.3">
      <c r="B426" s="25"/>
      <c r="C426" s="25"/>
      <c r="D426" s="25"/>
      <c r="E426" s="26" t="str">
        <f t="shared" si="54"/>
        <v/>
      </c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3" t="str">
        <f>IF($F426="","",IF(OR($B426="",$C426="",$D426=""),"⚠ Compléter Année/Niveau/Session",IF(AND($E426&lt;&gt;"",COUNTIF(D_KEY_DOUBLON,$B426&amp;"|"&amp;$D426&amp;"|"&amp;$E426)&gt;1),"⚠ Doublon",IF(AND($E426&lt;&gt;"",COUNTIF(D_KEY_STATUT,$B426&amp;"|"&amp;$E426&amp;"|P")&gt;0,COUNTIF(D_KEY_STATUT,$B426&amp;"|"&amp;$E426&amp;"|A")&gt;0),"⚠ Statut incohérent",IF(AND($D426="S1",$Y426&lt;&gt;"Parti",COUNTIF(ANNEES_VERROU,$B426)&gt;0,COUNTIF(D_KEY_NIVSES,$B426&amp;"|"&amp;$C426&amp;"|S2")&gt;0,COUNTIF(D_KEY_DOUBLON,$B426&amp;"|S2|"&amp;$E426)=0),"⚠ Départ non confirmé ?",IF(AND($C426&lt;&gt;"",ISNUMBER($I426),OR(VALUE(LEFT($B426,4))-$I426&lt;4+IFERROR(MATCH($C426,LISTE_NIVEAUX,0),99),VALUE(LEFT($B426,4))-$I426&gt;6+IFERROR(MATCH($C426,LISTE_NIVEAUX,0),99))),"⚠ Vérifier niveau",IF(AND(IFERROR(VLOOKUP($C426,TABLE_CYCLE,2,0),3)=2,COUNT($O426:$Q426)&gt;0),"⚠ Tests cycle 3",IF(COUNT($J426:$Q426)&gt;=IF(IFERROR(VLOOKUP($C426,TABLE_CYCLE,2,0),3)=2,5,8),"Complet","Incomplet"))))))))</f>
        <v/>
      </c>
      <c r="S426" s="24"/>
      <c r="T426" s="67" t="str">
        <f t="shared" si="55"/>
        <v/>
      </c>
      <c r="U426" s="67" t="str">
        <f t="shared" si="56"/>
        <v/>
      </c>
      <c r="V426" s="67" t="str">
        <f t="shared" si="57"/>
        <v/>
      </c>
      <c r="W426" s="67" t="str">
        <f t="shared" si="58"/>
        <v/>
      </c>
      <c r="X426" s="67" t="str">
        <f t="shared" si="59"/>
        <v/>
      </c>
      <c r="Y426" s="24" t="str">
        <f t="shared" si="60"/>
        <v/>
      </c>
      <c r="Z426">
        <f t="shared" si="61"/>
        <v>0</v>
      </c>
      <c r="AA426">
        <f t="shared" si="62"/>
        <v>0</v>
      </c>
    </row>
    <row r="427" spans="2:27" ht="15.75" customHeight="1" x14ac:dyDescent="0.3">
      <c r="B427" s="21"/>
      <c r="C427" s="21"/>
      <c r="D427" s="21"/>
      <c r="E427" s="22" t="str">
        <f t="shared" si="54"/>
        <v/>
      </c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3" t="str">
        <f>IF($F427="","",IF(OR($B427="",$C427="",$D427=""),"⚠ Compléter Année/Niveau/Session",IF(AND($E427&lt;&gt;"",COUNTIF(D_KEY_DOUBLON,$B427&amp;"|"&amp;$D427&amp;"|"&amp;$E427)&gt;1),"⚠ Doublon",IF(AND($E427&lt;&gt;"",COUNTIF(D_KEY_STATUT,$B427&amp;"|"&amp;$E427&amp;"|P")&gt;0,COUNTIF(D_KEY_STATUT,$B427&amp;"|"&amp;$E427&amp;"|A")&gt;0),"⚠ Statut incohérent",IF(AND($D427="S1",$Y427&lt;&gt;"Parti",COUNTIF(ANNEES_VERROU,$B427)&gt;0,COUNTIF(D_KEY_NIVSES,$B427&amp;"|"&amp;$C427&amp;"|S2")&gt;0,COUNTIF(D_KEY_DOUBLON,$B427&amp;"|S2|"&amp;$E427)=0),"⚠ Départ non confirmé ?",IF(AND($C427&lt;&gt;"",ISNUMBER($I427),OR(VALUE(LEFT($B427,4))-$I427&lt;4+IFERROR(MATCH($C427,LISTE_NIVEAUX,0),99),VALUE(LEFT($B427,4))-$I427&gt;6+IFERROR(MATCH($C427,LISTE_NIVEAUX,0),99))),"⚠ Vérifier niveau",IF(AND(IFERROR(VLOOKUP($C427,TABLE_CYCLE,2,0),3)=2,COUNT($O427:$Q427)&gt;0),"⚠ Tests cycle 3",IF(COUNT($J427:$Q427)&gt;=IF(IFERROR(VLOOKUP($C427,TABLE_CYCLE,2,0),3)=2,5,8),"Complet","Incomplet"))))))))</f>
        <v/>
      </c>
      <c r="S427" s="24"/>
      <c r="T427" s="67" t="str">
        <f t="shared" si="55"/>
        <v/>
      </c>
      <c r="U427" s="67" t="str">
        <f t="shared" si="56"/>
        <v/>
      </c>
      <c r="V427" s="67" t="str">
        <f t="shared" si="57"/>
        <v/>
      </c>
      <c r="W427" s="67" t="str">
        <f t="shared" si="58"/>
        <v/>
      </c>
      <c r="X427" s="67" t="str">
        <f t="shared" si="59"/>
        <v/>
      </c>
      <c r="Y427" s="24" t="str">
        <f t="shared" si="60"/>
        <v/>
      </c>
      <c r="Z427">
        <f t="shared" si="61"/>
        <v>0</v>
      </c>
      <c r="AA427">
        <f t="shared" si="62"/>
        <v>0</v>
      </c>
    </row>
    <row r="428" spans="2:27" ht="15.75" customHeight="1" x14ac:dyDescent="0.3">
      <c r="B428" s="25"/>
      <c r="C428" s="25"/>
      <c r="D428" s="25"/>
      <c r="E428" s="26" t="str">
        <f t="shared" si="54"/>
        <v/>
      </c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3" t="str">
        <f>IF($F428="","",IF(OR($B428="",$C428="",$D428=""),"⚠ Compléter Année/Niveau/Session",IF(AND($E428&lt;&gt;"",COUNTIF(D_KEY_DOUBLON,$B428&amp;"|"&amp;$D428&amp;"|"&amp;$E428)&gt;1),"⚠ Doublon",IF(AND($E428&lt;&gt;"",COUNTIF(D_KEY_STATUT,$B428&amp;"|"&amp;$E428&amp;"|P")&gt;0,COUNTIF(D_KEY_STATUT,$B428&amp;"|"&amp;$E428&amp;"|A")&gt;0),"⚠ Statut incohérent",IF(AND($D428="S1",$Y428&lt;&gt;"Parti",COUNTIF(ANNEES_VERROU,$B428)&gt;0,COUNTIF(D_KEY_NIVSES,$B428&amp;"|"&amp;$C428&amp;"|S2")&gt;0,COUNTIF(D_KEY_DOUBLON,$B428&amp;"|S2|"&amp;$E428)=0),"⚠ Départ non confirmé ?",IF(AND($C428&lt;&gt;"",ISNUMBER($I428),OR(VALUE(LEFT($B428,4))-$I428&lt;4+IFERROR(MATCH($C428,LISTE_NIVEAUX,0),99),VALUE(LEFT($B428,4))-$I428&gt;6+IFERROR(MATCH($C428,LISTE_NIVEAUX,0),99))),"⚠ Vérifier niveau",IF(AND(IFERROR(VLOOKUP($C428,TABLE_CYCLE,2,0),3)=2,COUNT($O428:$Q428)&gt;0),"⚠ Tests cycle 3",IF(COUNT($J428:$Q428)&gt;=IF(IFERROR(VLOOKUP($C428,TABLE_CYCLE,2,0),3)=2,5,8),"Complet","Incomplet"))))))))</f>
        <v/>
      </c>
      <c r="S428" s="24"/>
      <c r="T428" s="67" t="str">
        <f t="shared" si="55"/>
        <v/>
      </c>
      <c r="U428" s="67" t="str">
        <f t="shared" si="56"/>
        <v/>
      </c>
      <c r="V428" s="67" t="str">
        <f t="shared" si="57"/>
        <v/>
      </c>
      <c r="W428" s="67" t="str">
        <f t="shared" si="58"/>
        <v/>
      </c>
      <c r="X428" s="67" t="str">
        <f t="shared" si="59"/>
        <v/>
      </c>
      <c r="Y428" s="24" t="str">
        <f t="shared" si="60"/>
        <v/>
      </c>
      <c r="Z428">
        <f t="shared" si="61"/>
        <v>0</v>
      </c>
      <c r="AA428">
        <f t="shared" si="62"/>
        <v>0</v>
      </c>
    </row>
    <row r="429" spans="2:27" ht="15.75" customHeight="1" x14ac:dyDescent="0.3">
      <c r="B429" s="21"/>
      <c r="C429" s="21"/>
      <c r="D429" s="21"/>
      <c r="E429" s="22" t="str">
        <f t="shared" si="54"/>
        <v/>
      </c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3" t="str">
        <f>IF($F429="","",IF(OR($B429="",$C429="",$D429=""),"⚠ Compléter Année/Niveau/Session",IF(AND($E429&lt;&gt;"",COUNTIF(D_KEY_DOUBLON,$B429&amp;"|"&amp;$D429&amp;"|"&amp;$E429)&gt;1),"⚠ Doublon",IF(AND($E429&lt;&gt;"",COUNTIF(D_KEY_STATUT,$B429&amp;"|"&amp;$E429&amp;"|P")&gt;0,COUNTIF(D_KEY_STATUT,$B429&amp;"|"&amp;$E429&amp;"|A")&gt;0),"⚠ Statut incohérent",IF(AND($D429="S1",$Y429&lt;&gt;"Parti",COUNTIF(ANNEES_VERROU,$B429)&gt;0,COUNTIF(D_KEY_NIVSES,$B429&amp;"|"&amp;$C429&amp;"|S2")&gt;0,COUNTIF(D_KEY_DOUBLON,$B429&amp;"|S2|"&amp;$E429)=0),"⚠ Départ non confirmé ?",IF(AND($C429&lt;&gt;"",ISNUMBER($I429),OR(VALUE(LEFT($B429,4))-$I429&lt;4+IFERROR(MATCH($C429,LISTE_NIVEAUX,0),99),VALUE(LEFT($B429,4))-$I429&gt;6+IFERROR(MATCH($C429,LISTE_NIVEAUX,0),99))),"⚠ Vérifier niveau",IF(AND(IFERROR(VLOOKUP($C429,TABLE_CYCLE,2,0),3)=2,COUNT($O429:$Q429)&gt;0),"⚠ Tests cycle 3",IF(COUNT($J429:$Q429)&gt;=IF(IFERROR(VLOOKUP($C429,TABLE_CYCLE,2,0),3)=2,5,8),"Complet","Incomplet"))))))))</f>
        <v/>
      </c>
      <c r="S429" s="24"/>
      <c r="T429" s="67" t="str">
        <f t="shared" si="55"/>
        <v/>
      </c>
      <c r="U429" s="67" t="str">
        <f t="shared" si="56"/>
        <v/>
      </c>
      <c r="V429" s="67" t="str">
        <f t="shared" si="57"/>
        <v/>
      </c>
      <c r="W429" s="67" t="str">
        <f t="shared" si="58"/>
        <v/>
      </c>
      <c r="X429" s="67" t="str">
        <f t="shared" si="59"/>
        <v/>
      </c>
      <c r="Y429" s="24" t="str">
        <f t="shared" si="60"/>
        <v/>
      </c>
      <c r="Z429">
        <f t="shared" si="61"/>
        <v>0</v>
      </c>
      <c r="AA429">
        <f t="shared" si="62"/>
        <v>0</v>
      </c>
    </row>
    <row r="430" spans="2:27" ht="15.75" customHeight="1" x14ac:dyDescent="0.3">
      <c r="B430" s="25"/>
      <c r="C430" s="25"/>
      <c r="D430" s="25"/>
      <c r="E430" s="26" t="str">
        <f t="shared" si="54"/>
        <v/>
      </c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3" t="str">
        <f>IF($F430="","",IF(OR($B430="",$C430="",$D430=""),"⚠ Compléter Année/Niveau/Session",IF(AND($E430&lt;&gt;"",COUNTIF(D_KEY_DOUBLON,$B430&amp;"|"&amp;$D430&amp;"|"&amp;$E430)&gt;1),"⚠ Doublon",IF(AND($E430&lt;&gt;"",COUNTIF(D_KEY_STATUT,$B430&amp;"|"&amp;$E430&amp;"|P")&gt;0,COUNTIF(D_KEY_STATUT,$B430&amp;"|"&amp;$E430&amp;"|A")&gt;0),"⚠ Statut incohérent",IF(AND($D430="S1",$Y430&lt;&gt;"Parti",COUNTIF(ANNEES_VERROU,$B430)&gt;0,COUNTIF(D_KEY_NIVSES,$B430&amp;"|"&amp;$C430&amp;"|S2")&gt;0,COUNTIF(D_KEY_DOUBLON,$B430&amp;"|S2|"&amp;$E430)=0),"⚠ Départ non confirmé ?",IF(AND($C430&lt;&gt;"",ISNUMBER($I430),OR(VALUE(LEFT($B430,4))-$I430&lt;4+IFERROR(MATCH($C430,LISTE_NIVEAUX,0),99),VALUE(LEFT($B430,4))-$I430&gt;6+IFERROR(MATCH($C430,LISTE_NIVEAUX,0),99))),"⚠ Vérifier niveau",IF(AND(IFERROR(VLOOKUP($C430,TABLE_CYCLE,2,0),3)=2,COUNT($O430:$Q430)&gt;0),"⚠ Tests cycle 3",IF(COUNT($J430:$Q430)&gt;=IF(IFERROR(VLOOKUP($C430,TABLE_CYCLE,2,0),3)=2,5,8),"Complet","Incomplet"))))))))</f>
        <v/>
      </c>
      <c r="S430" s="24"/>
      <c r="T430" s="67" t="str">
        <f t="shared" si="55"/>
        <v/>
      </c>
      <c r="U430" s="67" t="str">
        <f t="shared" si="56"/>
        <v/>
      </c>
      <c r="V430" s="67" t="str">
        <f t="shared" si="57"/>
        <v/>
      </c>
      <c r="W430" s="67" t="str">
        <f t="shared" si="58"/>
        <v/>
      </c>
      <c r="X430" s="67" t="str">
        <f t="shared" si="59"/>
        <v/>
      </c>
      <c r="Y430" s="24" t="str">
        <f t="shared" si="60"/>
        <v/>
      </c>
      <c r="Z430">
        <f t="shared" si="61"/>
        <v>0</v>
      </c>
      <c r="AA430">
        <f t="shared" si="62"/>
        <v>0</v>
      </c>
    </row>
    <row r="431" spans="2:27" ht="15.75" customHeight="1" x14ac:dyDescent="0.3">
      <c r="B431" s="21"/>
      <c r="C431" s="21"/>
      <c r="D431" s="21"/>
      <c r="E431" s="22" t="str">
        <f t="shared" si="54"/>
        <v/>
      </c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3" t="str">
        <f>IF($F431="","",IF(OR($B431="",$C431="",$D431=""),"⚠ Compléter Année/Niveau/Session",IF(AND($E431&lt;&gt;"",COUNTIF(D_KEY_DOUBLON,$B431&amp;"|"&amp;$D431&amp;"|"&amp;$E431)&gt;1),"⚠ Doublon",IF(AND($E431&lt;&gt;"",COUNTIF(D_KEY_STATUT,$B431&amp;"|"&amp;$E431&amp;"|P")&gt;0,COUNTIF(D_KEY_STATUT,$B431&amp;"|"&amp;$E431&amp;"|A")&gt;0),"⚠ Statut incohérent",IF(AND($D431="S1",$Y431&lt;&gt;"Parti",COUNTIF(ANNEES_VERROU,$B431)&gt;0,COUNTIF(D_KEY_NIVSES,$B431&amp;"|"&amp;$C431&amp;"|S2")&gt;0,COUNTIF(D_KEY_DOUBLON,$B431&amp;"|S2|"&amp;$E431)=0),"⚠ Départ non confirmé ?",IF(AND($C431&lt;&gt;"",ISNUMBER($I431),OR(VALUE(LEFT($B431,4))-$I431&lt;4+IFERROR(MATCH($C431,LISTE_NIVEAUX,0),99),VALUE(LEFT($B431,4))-$I431&gt;6+IFERROR(MATCH($C431,LISTE_NIVEAUX,0),99))),"⚠ Vérifier niveau",IF(AND(IFERROR(VLOOKUP($C431,TABLE_CYCLE,2,0),3)=2,COUNT($O431:$Q431)&gt;0),"⚠ Tests cycle 3",IF(COUNT($J431:$Q431)&gt;=IF(IFERROR(VLOOKUP($C431,TABLE_CYCLE,2,0),3)=2,5,8),"Complet","Incomplet"))))))))</f>
        <v/>
      </c>
      <c r="S431" s="24"/>
      <c r="T431" s="67" t="str">
        <f t="shared" si="55"/>
        <v/>
      </c>
      <c r="U431" s="67" t="str">
        <f t="shared" si="56"/>
        <v/>
      </c>
      <c r="V431" s="67" t="str">
        <f t="shared" si="57"/>
        <v/>
      </c>
      <c r="W431" s="67" t="str">
        <f t="shared" si="58"/>
        <v/>
      </c>
      <c r="X431" s="67" t="str">
        <f t="shared" si="59"/>
        <v/>
      </c>
      <c r="Y431" s="24" t="str">
        <f t="shared" si="60"/>
        <v/>
      </c>
      <c r="Z431">
        <f t="shared" si="61"/>
        <v>0</v>
      </c>
      <c r="AA431">
        <f t="shared" si="62"/>
        <v>0</v>
      </c>
    </row>
    <row r="432" spans="2:27" ht="15.75" customHeight="1" x14ac:dyDescent="0.3">
      <c r="B432" s="25"/>
      <c r="C432" s="25"/>
      <c r="D432" s="25"/>
      <c r="E432" s="26" t="str">
        <f t="shared" si="54"/>
        <v/>
      </c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3" t="str">
        <f>IF($F432="","",IF(OR($B432="",$C432="",$D432=""),"⚠ Compléter Année/Niveau/Session",IF(AND($E432&lt;&gt;"",COUNTIF(D_KEY_DOUBLON,$B432&amp;"|"&amp;$D432&amp;"|"&amp;$E432)&gt;1),"⚠ Doublon",IF(AND($E432&lt;&gt;"",COUNTIF(D_KEY_STATUT,$B432&amp;"|"&amp;$E432&amp;"|P")&gt;0,COUNTIF(D_KEY_STATUT,$B432&amp;"|"&amp;$E432&amp;"|A")&gt;0),"⚠ Statut incohérent",IF(AND($D432="S1",$Y432&lt;&gt;"Parti",COUNTIF(ANNEES_VERROU,$B432)&gt;0,COUNTIF(D_KEY_NIVSES,$B432&amp;"|"&amp;$C432&amp;"|S2")&gt;0,COUNTIF(D_KEY_DOUBLON,$B432&amp;"|S2|"&amp;$E432)=0),"⚠ Départ non confirmé ?",IF(AND($C432&lt;&gt;"",ISNUMBER($I432),OR(VALUE(LEFT($B432,4))-$I432&lt;4+IFERROR(MATCH($C432,LISTE_NIVEAUX,0),99),VALUE(LEFT($B432,4))-$I432&gt;6+IFERROR(MATCH($C432,LISTE_NIVEAUX,0),99))),"⚠ Vérifier niveau",IF(AND(IFERROR(VLOOKUP($C432,TABLE_CYCLE,2,0),3)=2,COUNT($O432:$Q432)&gt;0),"⚠ Tests cycle 3",IF(COUNT($J432:$Q432)&gt;=IF(IFERROR(VLOOKUP($C432,TABLE_CYCLE,2,0),3)=2,5,8),"Complet","Incomplet"))))))))</f>
        <v/>
      </c>
      <c r="S432" s="24"/>
      <c r="T432" s="67" t="str">
        <f t="shared" si="55"/>
        <v/>
      </c>
      <c r="U432" s="67" t="str">
        <f t="shared" si="56"/>
        <v/>
      </c>
      <c r="V432" s="67" t="str">
        <f t="shared" si="57"/>
        <v/>
      </c>
      <c r="W432" s="67" t="str">
        <f t="shared" si="58"/>
        <v/>
      </c>
      <c r="X432" s="67" t="str">
        <f t="shared" si="59"/>
        <v/>
      </c>
      <c r="Y432" s="24" t="str">
        <f t="shared" si="60"/>
        <v/>
      </c>
      <c r="Z432">
        <f t="shared" si="61"/>
        <v>0</v>
      </c>
      <c r="AA432">
        <f t="shared" si="62"/>
        <v>0</v>
      </c>
    </row>
    <row r="433" spans="2:27" ht="15.75" customHeight="1" x14ac:dyDescent="0.3">
      <c r="B433" s="21"/>
      <c r="C433" s="21"/>
      <c r="D433" s="21"/>
      <c r="E433" s="22" t="str">
        <f t="shared" si="54"/>
        <v/>
      </c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3" t="str">
        <f>IF($F433="","",IF(OR($B433="",$C433="",$D433=""),"⚠ Compléter Année/Niveau/Session",IF(AND($E433&lt;&gt;"",COUNTIF(D_KEY_DOUBLON,$B433&amp;"|"&amp;$D433&amp;"|"&amp;$E433)&gt;1),"⚠ Doublon",IF(AND($E433&lt;&gt;"",COUNTIF(D_KEY_STATUT,$B433&amp;"|"&amp;$E433&amp;"|P")&gt;0,COUNTIF(D_KEY_STATUT,$B433&amp;"|"&amp;$E433&amp;"|A")&gt;0),"⚠ Statut incohérent",IF(AND($D433="S1",$Y433&lt;&gt;"Parti",COUNTIF(ANNEES_VERROU,$B433)&gt;0,COUNTIF(D_KEY_NIVSES,$B433&amp;"|"&amp;$C433&amp;"|S2")&gt;0,COUNTIF(D_KEY_DOUBLON,$B433&amp;"|S2|"&amp;$E433)=0),"⚠ Départ non confirmé ?",IF(AND($C433&lt;&gt;"",ISNUMBER($I433),OR(VALUE(LEFT($B433,4))-$I433&lt;4+IFERROR(MATCH($C433,LISTE_NIVEAUX,0),99),VALUE(LEFT($B433,4))-$I433&gt;6+IFERROR(MATCH($C433,LISTE_NIVEAUX,0),99))),"⚠ Vérifier niveau",IF(AND(IFERROR(VLOOKUP($C433,TABLE_CYCLE,2,0),3)=2,COUNT($O433:$Q433)&gt;0),"⚠ Tests cycle 3",IF(COUNT($J433:$Q433)&gt;=IF(IFERROR(VLOOKUP($C433,TABLE_CYCLE,2,0),3)=2,5,8),"Complet","Incomplet"))))))))</f>
        <v/>
      </c>
      <c r="S433" s="24"/>
      <c r="T433" s="67" t="str">
        <f t="shared" si="55"/>
        <v/>
      </c>
      <c r="U433" s="67" t="str">
        <f t="shared" si="56"/>
        <v/>
      </c>
      <c r="V433" s="67" t="str">
        <f t="shared" si="57"/>
        <v/>
      </c>
      <c r="W433" s="67" t="str">
        <f t="shared" si="58"/>
        <v/>
      </c>
      <c r="X433" s="67" t="str">
        <f t="shared" si="59"/>
        <v/>
      </c>
      <c r="Y433" s="24" t="str">
        <f t="shared" si="60"/>
        <v/>
      </c>
      <c r="Z433">
        <f t="shared" si="61"/>
        <v>0</v>
      </c>
      <c r="AA433">
        <f t="shared" si="62"/>
        <v>0</v>
      </c>
    </row>
    <row r="434" spans="2:27" ht="15.75" customHeight="1" x14ac:dyDescent="0.3">
      <c r="B434" s="25"/>
      <c r="C434" s="25"/>
      <c r="D434" s="25"/>
      <c r="E434" s="26" t="str">
        <f t="shared" si="54"/>
        <v/>
      </c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3" t="str">
        <f>IF($F434="","",IF(OR($B434="",$C434="",$D434=""),"⚠ Compléter Année/Niveau/Session",IF(AND($E434&lt;&gt;"",COUNTIF(D_KEY_DOUBLON,$B434&amp;"|"&amp;$D434&amp;"|"&amp;$E434)&gt;1),"⚠ Doublon",IF(AND($E434&lt;&gt;"",COUNTIF(D_KEY_STATUT,$B434&amp;"|"&amp;$E434&amp;"|P")&gt;0,COUNTIF(D_KEY_STATUT,$B434&amp;"|"&amp;$E434&amp;"|A")&gt;0),"⚠ Statut incohérent",IF(AND($D434="S1",$Y434&lt;&gt;"Parti",COUNTIF(ANNEES_VERROU,$B434)&gt;0,COUNTIF(D_KEY_NIVSES,$B434&amp;"|"&amp;$C434&amp;"|S2")&gt;0,COUNTIF(D_KEY_DOUBLON,$B434&amp;"|S2|"&amp;$E434)=0),"⚠ Départ non confirmé ?",IF(AND($C434&lt;&gt;"",ISNUMBER($I434),OR(VALUE(LEFT($B434,4))-$I434&lt;4+IFERROR(MATCH($C434,LISTE_NIVEAUX,0),99),VALUE(LEFT($B434,4))-$I434&gt;6+IFERROR(MATCH($C434,LISTE_NIVEAUX,0),99))),"⚠ Vérifier niveau",IF(AND(IFERROR(VLOOKUP($C434,TABLE_CYCLE,2,0),3)=2,COUNT($O434:$Q434)&gt;0),"⚠ Tests cycle 3",IF(COUNT($J434:$Q434)&gt;=IF(IFERROR(VLOOKUP($C434,TABLE_CYCLE,2,0),3)=2,5,8),"Complet","Incomplet"))))))))</f>
        <v/>
      </c>
      <c r="S434" s="24"/>
      <c r="T434" s="67" t="str">
        <f t="shared" si="55"/>
        <v/>
      </c>
      <c r="U434" s="67" t="str">
        <f t="shared" si="56"/>
        <v/>
      </c>
      <c r="V434" s="67" t="str">
        <f t="shared" si="57"/>
        <v/>
      </c>
      <c r="W434" s="67" t="str">
        <f t="shared" si="58"/>
        <v/>
      </c>
      <c r="X434" s="67" t="str">
        <f t="shared" si="59"/>
        <v/>
      </c>
      <c r="Y434" s="24" t="str">
        <f t="shared" si="60"/>
        <v/>
      </c>
      <c r="Z434">
        <f t="shared" si="61"/>
        <v>0</v>
      </c>
      <c r="AA434">
        <f t="shared" si="62"/>
        <v>0</v>
      </c>
    </row>
    <row r="435" spans="2:27" ht="15.75" customHeight="1" x14ac:dyDescent="0.3">
      <c r="B435" s="21"/>
      <c r="C435" s="21"/>
      <c r="D435" s="21"/>
      <c r="E435" s="22" t="str">
        <f t="shared" si="54"/>
        <v/>
      </c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3" t="str">
        <f>IF($F435="","",IF(OR($B435="",$C435="",$D435=""),"⚠ Compléter Année/Niveau/Session",IF(AND($E435&lt;&gt;"",COUNTIF(D_KEY_DOUBLON,$B435&amp;"|"&amp;$D435&amp;"|"&amp;$E435)&gt;1),"⚠ Doublon",IF(AND($E435&lt;&gt;"",COUNTIF(D_KEY_STATUT,$B435&amp;"|"&amp;$E435&amp;"|P")&gt;0,COUNTIF(D_KEY_STATUT,$B435&amp;"|"&amp;$E435&amp;"|A")&gt;0),"⚠ Statut incohérent",IF(AND($D435="S1",$Y435&lt;&gt;"Parti",COUNTIF(ANNEES_VERROU,$B435)&gt;0,COUNTIF(D_KEY_NIVSES,$B435&amp;"|"&amp;$C435&amp;"|S2")&gt;0,COUNTIF(D_KEY_DOUBLON,$B435&amp;"|S2|"&amp;$E435)=0),"⚠ Départ non confirmé ?",IF(AND($C435&lt;&gt;"",ISNUMBER($I435),OR(VALUE(LEFT($B435,4))-$I435&lt;4+IFERROR(MATCH($C435,LISTE_NIVEAUX,0),99),VALUE(LEFT($B435,4))-$I435&gt;6+IFERROR(MATCH($C435,LISTE_NIVEAUX,0),99))),"⚠ Vérifier niveau",IF(AND(IFERROR(VLOOKUP($C435,TABLE_CYCLE,2,0),3)=2,COUNT($O435:$Q435)&gt;0),"⚠ Tests cycle 3",IF(COUNT($J435:$Q435)&gt;=IF(IFERROR(VLOOKUP($C435,TABLE_CYCLE,2,0),3)=2,5,8),"Complet","Incomplet"))))))))</f>
        <v/>
      </c>
      <c r="S435" s="24"/>
      <c r="T435" s="67" t="str">
        <f t="shared" si="55"/>
        <v/>
      </c>
      <c r="U435" s="67" t="str">
        <f t="shared" si="56"/>
        <v/>
      </c>
      <c r="V435" s="67" t="str">
        <f t="shared" si="57"/>
        <v/>
      </c>
      <c r="W435" s="67" t="str">
        <f t="shared" si="58"/>
        <v/>
      </c>
      <c r="X435" s="67" t="str">
        <f t="shared" si="59"/>
        <v/>
      </c>
      <c r="Y435" s="24" t="str">
        <f t="shared" si="60"/>
        <v/>
      </c>
      <c r="Z435">
        <f t="shared" si="61"/>
        <v>0</v>
      </c>
      <c r="AA435">
        <f t="shared" si="62"/>
        <v>0</v>
      </c>
    </row>
    <row r="436" spans="2:27" ht="15.75" customHeight="1" x14ac:dyDescent="0.3">
      <c r="B436" s="25"/>
      <c r="C436" s="25"/>
      <c r="D436" s="25"/>
      <c r="E436" s="26" t="str">
        <f t="shared" si="54"/>
        <v/>
      </c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3" t="str">
        <f>IF($F436="","",IF(OR($B436="",$C436="",$D436=""),"⚠ Compléter Année/Niveau/Session",IF(AND($E436&lt;&gt;"",COUNTIF(D_KEY_DOUBLON,$B436&amp;"|"&amp;$D436&amp;"|"&amp;$E436)&gt;1),"⚠ Doublon",IF(AND($E436&lt;&gt;"",COUNTIF(D_KEY_STATUT,$B436&amp;"|"&amp;$E436&amp;"|P")&gt;0,COUNTIF(D_KEY_STATUT,$B436&amp;"|"&amp;$E436&amp;"|A")&gt;0),"⚠ Statut incohérent",IF(AND($D436="S1",$Y436&lt;&gt;"Parti",COUNTIF(ANNEES_VERROU,$B436)&gt;0,COUNTIF(D_KEY_NIVSES,$B436&amp;"|"&amp;$C436&amp;"|S2")&gt;0,COUNTIF(D_KEY_DOUBLON,$B436&amp;"|S2|"&amp;$E436)=0),"⚠ Départ non confirmé ?",IF(AND($C436&lt;&gt;"",ISNUMBER($I436),OR(VALUE(LEFT($B436,4))-$I436&lt;4+IFERROR(MATCH($C436,LISTE_NIVEAUX,0),99),VALUE(LEFT($B436,4))-$I436&gt;6+IFERROR(MATCH($C436,LISTE_NIVEAUX,0),99))),"⚠ Vérifier niveau",IF(AND(IFERROR(VLOOKUP($C436,TABLE_CYCLE,2,0),3)=2,COUNT($O436:$Q436)&gt;0),"⚠ Tests cycle 3",IF(COUNT($J436:$Q436)&gt;=IF(IFERROR(VLOOKUP($C436,TABLE_CYCLE,2,0),3)=2,5,8),"Complet","Incomplet"))))))))</f>
        <v/>
      </c>
      <c r="S436" s="24"/>
      <c r="T436" s="67" t="str">
        <f t="shared" si="55"/>
        <v/>
      </c>
      <c r="U436" s="67" t="str">
        <f t="shared" si="56"/>
        <v/>
      </c>
      <c r="V436" s="67" t="str">
        <f t="shared" si="57"/>
        <v/>
      </c>
      <c r="W436" s="67" t="str">
        <f t="shared" si="58"/>
        <v/>
      </c>
      <c r="X436" s="67" t="str">
        <f t="shared" si="59"/>
        <v/>
      </c>
      <c r="Y436" s="24" t="str">
        <f t="shared" si="60"/>
        <v/>
      </c>
      <c r="Z436">
        <f t="shared" si="61"/>
        <v>0</v>
      </c>
      <c r="AA436">
        <f t="shared" si="62"/>
        <v>0</v>
      </c>
    </row>
    <row r="437" spans="2:27" ht="15.75" customHeight="1" x14ac:dyDescent="0.3">
      <c r="B437" s="21"/>
      <c r="C437" s="21"/>
      <c r="D437" s="21"/>
      <c r="E437" s="22" t="str">
        <f t="shared" si="54"/>
        <v/>
      </c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3" t="str">
        <f>IF($F437="","",IF(OR($B437="",$C437="",$D437=""),"⚠ Compléter Année/Niveau/Session",IF(AND($E437&lt;&gt;"",COUNTIF(D_KEY_DOUBLON,$B437&amp;"|"&amp;$D437&amp;"|"&amp;$E437)&gt;1),"⚠ Doublon",IF(AND($E437&lt;&gt;"",COUNTIF(D_KEY_STATUT,$B437&amp;"|"&amp;$E437&amp;"|P")&gt;0,COUNTIF(D_KEY_STATUT,$B437&amp;"|"&amp;$E437&amp;"|A")&gt;0),"⚠ Statut incohérent",IF(AND($D437="S1",$Y437&lt;&gt;"Parti",COUNTIF(ANNEES_VERROU,$B437)&gt;0,COUNTIF(D_KEY_NIVSES,$B437&amp;"|"&amp;$C437&amp;"|S2")&gt;0,COUNTIF(D_KEY_DOUBLON,$B437&amp;"|S2|"&amp;$E437)=0),"⚠ Départ non confirmé ?",IF(AND($C437&lt;&gt;"",ISNUMBER($I437),OR(VALUE(LEFT($B437,4))-$I437&lt;4+IFERROR(MATCH($C437,LISTE_NIVEAUX,0),99),VALUE(LEFT($B437,4))-$I437&gt;6+IFERROR(MATCH($C437,LISTE_NIVEAUX,0),99))),"⚠ Vérifier niveau",IF(AND(IFERROR(VLOOKUP($C437,TABLE_CYCLE,2,0),3)=2,COUNT($O437:$Q437)&gt;0),"⚠ Tests cycle 3",IF(COUNT($J437:$Q437)&gt;=IF(IFERROR(VLOOKUP($C437,TABLE_CYCLE,2,0),3)=2,5,8),"Complet","Incomplet"))))))))</f>
        <v/>
      </c>
      <c r="S437" s="24"/>
      <c r="T437" s="67" t="str">
        <f t="shared" si="55"/>
        <v/>
      </c>
      <c r="U437" s="67" t="str">
        <f t="shared" si="56"/>
        <v/>
      </c>
      <c r="V437" s="67" t="str">
        <f t="shared" si="57"/>
        <v/>
      </c>
      <c r="W437" s="67" t="str">
        <f t="shared" si="58"/>
        <v/>
      </c>
      <c r="X437" s="67" t="str">
        <f t="shared" si="59"/>
        <v/>
      </c>
      <c r="Y437" s="24" t="str">
        <f t="shared" si="60"/>
        <v/>
      </c>
      <c r="Z437">
        <f t="shared" si="61"/>
        <v>0</v>
      </c>
      <c r="AA437">
        <f t="shared" si="62"/>
        <v>0</v>
      </c>
    </row>
    <row r="438" spans="2:27" ht="15.75" customHeight="1" x14ac:dyDescent="0.3">
      <c r="B438" s="25"/>
      <c r="C438" s="25"/>
      <c r="D438" s="25"/>
      <c r="E438" s="26" t="str">
        <f t="shared" si="54"/>
        <v/>
      </c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3" t="str">
        <f>IF($F438="","",IF(OR($B438="",$C438="",$D438=""),"⚠ Compléter Année/Niveau/Session",IF(AND($E438&lt;&gt;"",COUNTIF(D_KEY_DOUBLON,$B438&amp;"|"&amp;$D438&amp;"|"&amp;$E438)&gt;1),"⚠ Doublon",IF(AND($E438&lt;&gt;"",COUNTIF(D_KEY_STATUT,$B438&amp;"|"&amp;$E438&amp;"|P")&gt;0,COUNTIF(D_KEY_STATUT,$B438&amp;"|"&amp;$E438&amp;"|A")&gt;0),"⚠ Statut incohérent",IF(AND($D438="S1",$Y438&lt;&gt;"Parti",COUNTIF(ANNEES_VERROU,$B438)&gt;0,COUNTIF(D_KEY_NIVSES,$B438&amp;"|"&amp;$C438&amp;"|S2")&gt;0,COUNTIF(D_KEY_DOUBLON,$B438&amp;"|S2|"&amp;$E438)=0),"⚠ Départ non confirmé ?",IF(AND($C438&lt;&gt;"",ISNUMBER($I438),OR(VALUE(LEFT($B438,4))-$I438&lt;4+IFERROR(MATCH($C438,LISTE_NIVEAUX,0),99),VALUE(LEFT($B438,4))-$I438&gt;6+IFERROR(MATCH($C438,LISTE_NIVEAUX,0),99))),"⚠ Vérifier niveau",IF(AND(IFERROR(VLOOKUP($C438,TABLE_CYCLE,2,0),3)=2,COUNT($O438:$Q438)&gt;0),"⚠ Tests cycle 3",IF(COUNT($J438:$Q438)&gt;=IF(IFERROR(VLOOKUP($C438,TABLE_CYCLE,2,0),3)=2,5,8),"Complet","Incomplet"))))))))</f>
        <v/>
      </c>
      <c r="S438" s="24"/>
      <c r="T438" s="67" t="str">
        <f t="shared" si="55"/>
        <v/>
      </c>
      <c r="U438" s="67" t="str">
        <f t="shared" si="56"/>
        <v/>
      </c>
      <c r="V438" s="67" t="str">
        <f t="shared" si="57"/>
        <v/>
      </c>
      <c r="W438" s="67" t="str">
        <f t="shared" si="58"/>
        <v/>
      </c>
      <c r="X438" s="67" t="str">
        <f t="shared" si="59"/>
        <v/>
      </c>
      <c r="Y438" s="24" t="str">
        <f t="shared" si="60"/>
        <v/>
      </c>
      <c r="Z438">
        <f t="shared" si="61"/>
        <v>0</v>
      </c>
      <c r="AA438">
        <f t="shared" si="62"/>
        <v>0</v>
      </c>
    </row>
    <row r="439" spans="2:27" ht="15.75" customHeight="1" x14ac:dyDescent="0.3">
      <c r="B439" s="21"/>
      <c r="C439" s="21"/>
      <c r="D439" s="21"/>
      <c r="E439" s="22" t="str">
        <f t="shared" si="54"/>
        <v/>
      </c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3" t="str">
        <f>IF($F439="","",IF(OR($B439="",$C439="",$D439=""),"⚠ Compléter Année/Niveau/Session",IF(AND($E439&lt;&gt;"",COUNTIF(D_KEY_DOUBLON,$B439&amp;"|"&amp;$D439&amp;"|"&amp;$E439)&gt;1),"⚠ Doublon",IF(AND($E439&lt;&gt;"",COUNTIF(D_KEY_STATUT,$B439&amp;"|"&amp;$E439&amp;"|P")&gt;0,COUNTIF(D_KEY_STATUT,$B439&amp;"|"&amp;$E439&amp;"|A")&gt;0),"⚠ Statut incohérent",IF(AND($D439="S1",$Y439&lt;&gt;"Parti",COUNTIF(ANNEES_VERROU,$B439)&gt;0,COUNTIF(D_KEY_NIVSES,$B439&amp;"|"&amp;$C439&amp;"|S2")&gt;0,COUNTIF(D_KEY_DOUBLON,$B439&amp;"|S2|"&amp;$E439)=0),"⚠ Départ non confirmé ?",IF(AND($C439&lt;&gt;"",ISNUMBER($I439),OR(VALUE(LEFT($B439,4))-$I439&lt;4+IFERROR(MATCH($C439,LISTE_NIVEAUX,0),99),VALUE(LEFT($B439,4))-$I439&gt;6+IFERROR(MATCH($C439,LISTE_NIVEAUX,0),99))),"⚠ Vérifier niveau",IF(AND(IFERROR(VLOOKUP($C439,TABLE_CYCLE,2,0),3)=2,COUNT($O439:$Q439)&gt;0),"⚠ Tests cycle 3",IF(COUNT($J439:$Q439)&gt;=IF(IFERROR(VLOOKUP($C439,TABLE_CYCLE,2,0),3)=2,5,8),"Complet","Incomplet"))))))))</f>
        <v/>
      </c>
      <c r="S439" s="24"/>
      <c r="T439" s="67" t="str">
        <f t="shared" si="55"/>
        <v/>
      </c>
      <c r="U439" s="67" t="str">
        <f t="shared" si="56"/>
        <v/>
      </c>
      <c r="V439" s="67" t="str">
        <f t="shared" si="57"/>
        <v/>
      </c>
      <c r="W439" s="67" t="str">
        <f t="shared" si="58"/>
        <v/>
      </c>
      <c r="X439" s="67" t="str">
        <f t="shared" si="59"/>
        <v/>
      </c>
      <c r="Y439" s="24" t="str">
        <f t="shared" si="60"/>
        <v/>
      </c>
      <c r="Z439">
        <f t="shared" si="61"/>
        <v>0</v>
      </c>
      <c r="AA439">
        <f t="shared" si="62"/>
        <v>0</v>
      </c>
    </row>
    <row r="440" spans="2:27" ht="15.75" customHeight="1" x14ac:dyDescent="0.3">
      <c r="B440" s="25"/>
      <c r="C440" s="25"/>
      <c r="D440" s="25"/>
      <c r="E440" s="26" t="str">
        <f t="shared" si="54"/>
        <v/>
      </c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3" t="str">
        <f>IF($F440="","",IF(OR($B440="",$C440="",$D440=""),"⚠ Compléter Année/Niveau/Session",IF(AND($E440&lt;&gt;"",COUNTIF(D_KEY_DOUBLON,$B440&amp;"|"&amp;$D440&amp;"|"&amp;$E440)&gt;1),"⚠ Doublon",IF(AND($E440&lt;&gt;"",COUNTIF(D_KEY_STATUT,$B440&amp;"|"&amp;$E440&amp;"|P")&gt;0,COUNTIF(D_KEY_STATUT,$B440&amp;"|"&amp;$E440&amp;"|A")&gt;0),"⚠ Statut incohérent",IF(AND($D440="S1",$Y440&lt;&gt;"Parti",COUNTIF(ANNEES_VERROU,$B440)&gt;0,COUNTIF(D_KEY_NIVSES,$B440&amp;"|"&amp;$C440&amp;"|S2")&gt;0,COUNTIF(D_KEY_DOUBLON,$B440&amp;"|S2|"&amp;$E440)=0),"⚠ Départ non confirmé ?",IF(AND($C440&lt;&gt;"",ISNUMBER($I440),OR(VALUE(LEFT($B440,4))-$I440&lt;4+IFERROR(MATCH($C440,LISTE_NIVEAUX,0),99),VALUE(LEFT($B440,4))-$I440&gt;6+IFERROR(MATCH($C440,LISTE_NIVEAUX,0),99))),"⚠ Vérifier niveau",IF(AND(IFERROR(VLOOKUP($C440,TABLE_CYCLE,2,0),3)=2,COUNT($O440:$Q440)&gt;0),"⚠ Tests cycle 3",IF(COUNT($J440:$Q440)&gt;=IF(IFERROR(VLOOKUP($C440,TABLE_CYCLE,2,0),3)=2,5,8),"Complet","Incomplet"))))))))</f>
        <v/>
      </c>
      <c r="S440" s="24"/>
      <c r="T440" s="67" t="str">
        <f t="shared" si="55"/>
        <v/>
      </c>
      <c r="U440" s="67" t="str">
        <f t="shared" si="56"/>
        <v/>
      </c>
      <c r="V440" s="67" t="str">
        <f t="shared" si="57"/>
        <v/>
      </c>
      <c r="W440" s="67" t="str">
        <f t="shared" si="58"/>
        <v/>
      </c>
      <c r="X440" s="67" t="str">
        <f t="shared" si="59"/>
        <v/>
      </c>
      <c r="Y440" s="24" t="str">
        <f t="shared" si="60"/>
        <v/>
      </c>
      <c r="Z440">
        <f t="shared" si="61"/>
        <v>0</v>
      </c>
      <c r="AA440">
        <f t="shared" si="62"/>
        <v>0</v>
      </c>
    </row>
    <row r="441" spans="2:27" ht="15.75" customHeight="1" x14ac:dyDescent="0.3">
      <c r="B441" s="21"/>
      <c r="C441" s="21"/>
      <c r="D441" s="21"/>
      <c r="E441" s="22" t="str">
        <f t="shared" si="54"/>
        <v/>
      </c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3" t="str">
        <f>IF($F441="","",IF(OR($B441="",$C441="",$D441=""),"⚠ Compléter Année/Niveau/Session",IF(AND($E441&lt;&gt;"",COUNTIF(D_KEY_DOUBLON,$B441&amp;"|"&amp;$D441&amp;"|"&amp;$E441)&gt;1),"⚠ Doublon",IF(AND($E441&lt;&gt;"",COUNTIF(D_KEY_STATUT,$B441&amp;"|"&amp;$E441&amp;"|P")&gt;0,COUNTIF(D_KEY_STATUT,$B441&amp;"|"&amp;$E441&amp;"|A")&gt;0),"⚠ Statut incohérent",IF(AND($D441="S1",$Y441&lt;&gt;"Parti",COUNTIF(ANNEES_VERROU,$B441)&gt;0,COUNTIF(D_KEY_NIVSES,$B441&amp;"|"&amp;$C441&amp;"|S2")&gt;0,COUNTIF(D_KEY_DOUBLON,$B441&amp;"|S2|"&amp;$E441)=0),"⚠ Départ non confirmé ?",IF(AND($C441&lt;&gt;"",ISNUMBER($I441),OR(VALUE(LEFT($B441,4))-$I441&lt;4+IFERROR(MATCH($C441,LISTE_NIVEAUX,0),99),VALUE(LEFT($B441,4))-$I441&gt;6+IFERROR(MATCH($C441,LISTE_NIVEAUX,0),99))),"⚠ Vérifier niveau",IF(AND(IFERROR(VLOOKUP($C441,TABLE_CYCLE,2,0),3)=2,COUNT($O441:$Q441)&gt;0),"⚠ Tests cycle 3",IF(COUNT($J441:$Q441)&gt;=IF(IFERROR(VLOOKUP($C441,TABLE_CYCLE,2,0),3)=2,5,8),"Complet","Incomplet"))))))))</f>
        <v/>
      </c>
      <c r="S441" s="24"/>
      <c r="T441" s="67" t="str">
        <f t="shared" si="55"/>
        <v/>
      </c>
      <c r="U441" s="67" t="str">
        <f t="shared" si="56"/>
        <v/>
      </c>
      <c r="V441" s="67" t="str">
        <f t="shared" si="57"/>
        <v/>
      </c>
      <c r="W441" s="67" t="str">
        <f t="shared" si="58"/>
        <v/>
      </c>
      <c r="X441" s="67" t="str">
        <f t="shared" si="59"/>
        <v/>
      </c>
      <c r="Y441" s="24" t="str">
        <f t="shared" si="60"/>
        <v/>
      </c>
      <c r="Z441">
        <f t="shared" si="61"/>
        <v>0</v>
      </c>
      <c r="AA441">
        <f t="shared" si="62"/>
        <v>0</v>
      </c>
    </row>
    <row r="442" spans="2:27" ht="15.75" customHeight="1" x14ac:dyDescent="0.3">
      <c r="B442" s="25"/>
      <c r="C442" s="25"/>
      <c r="D442" s="25"/>
      <c r="E442" s="26" t="str">
        <f t="shared" si="54"/>
        <v/>
      </c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3" t="str">
        <f>IF($F442="","",IF(OR($B442="",$C442="",$D442=""),"⚠ Compléter Année/Niveau/Session",IF(AND($E442&lt;&gt;"",COUNTIF(D_KEY_DOUBLON,$B442&amp;"|"&amp;$D442&amp;"|"&amp;$E442)&gt;1),"⚠ Doublon",IF(AND($E442&lt;&gt;"",COUNTIF(D_KEY_STATUT,$B442&amp;"|"&amp;$E442&amp;"|P")&gt;0,COUNTIF(D_KEY_STATUT,$B442&amp;"|"&amp;$E442&amp;"|A")&gt;0),"⚠ Statut incohérent",IF(AND($D442="S1",$Y442&lt;&gt;"Parti",COUNTIF(ANNEES_VERROU,$B442)&gt;0,COUNTIF(D_KEY_NIVSES,$B442&amp;"|"&amp;$C442&amp;"|S2")&gt;0,COUNTIF(D_KEY_DOUBLON,$B442&amp;"|S2|"&amp;$E442)=0),"⚠ Départ non confirmé ?",IF(AND($C442&lt;&gt;"",ISNUMBER($I442),OR(VALUE(LEFT($B442,4))-$I442&lt;4+IFERROR(MATCH($C442,LISTE_NIVEAUX,0),99),VALUE(LEFT($B442,4))-$I442&gt;6+IFERROR(MATCH($C442,LISTE_NIVEAUX,0),99))),"⚠ Vérifier niveau",IF(AND(IFERROR(VLOOKUP($C442,TABLE_CYCLE,2,0),3)=2,COUNT($O442:$Q442)&gt;0),"⚠ Tests cycle 3",IF(COUNT($J442:$Q442)&gt;=IF(IFERROR(VLOOKUP($C442,TABLE_CYCLE,2,0),3)=2,5,8),"Complet","Incomplet"))))))))</f>
        <v/>
      </c>
      <c r="S442" s="24"/>
      <c r="T442" s="67" t="str">
        <f t="shared" si="55"/>
        <v/>
      </c>
      <c r="U442" s="67" t="str">
        <f t="shared" si="56"/>
        <v/>
      </c>
      <c r="V442" s="67" t="str">
        <f t="shared" si="57"/>
        <v/>
      </c>
      <c r="W442" s="67" t="str">
        <f t="shared" si="58"/>
        <v/>
      </c>
      <c r="X442" s="67" t="str">
        <f t="shared" si="59"/>
        <v/>
      </c>
      <c r="Y442" s="24" t="str">
        <f t="shared" si="60"/>
        <v/>
      </c>
      <c r="Z442">
        <f t="shared" si="61"/>
        <v>0</v>
      </c>
      <c r="AA442">
        <f t="shared" si="62"/>
        <v>0</v>
      </c>
    </row>
    <row r="443" spans="2:27" ht="15.75" customHeight="1" x14ac:dyDescent="0.3">
      <c r="B443" s="21"/>
      <c r="C443" s="21"/>
      <c r="D443" s="21"/>
      <c r="E443" s="22" t="str">
        <f t="shared" si="54"/>
        <v/>
      </c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3" t="str">
        <f>IF($F443="","",IF(OR($B443="",$C443="",$D443=""),"⚠ Compléter Année/Niveau/Session",IF(AND($E443&lt;&gt;"",COUNTIF(D_KEY_DOUBLON,$B443&amp;"|"&amp;$D443&amp;"|"&amp;$E443)&gt;1),"⚠ Doublon",IF(AND($E443&lt;&gt;"",COUNTIF(D_KEY_STATUT,$B443&amp;"|"&amp;$E443&amp;"|P")&gt;0,COUNTIF(D_KEY_STATUT,$B443&amp;"|"&amp;$E443&amp;"|A")&gt;0),"⚠ Statut incohérent",IF(AND($D443="S1",$Y443&lt;&gt;"Parti",COUNTIF(ANNEES_VERROU,$B443)&gt;0,COUNTIF(D_KEY_NIVSES,$B443&amp;"|"&amp;$C443&amp;"|S2")&gt;0,COUNTIF(D_KEY_DOUBLON,$B443&amp;"|S2|"&amp;$E443)=0),"⚠ Départ non confirmé ?",IF(AND($C443&lt;&gt;"",ISNUMBER($I443),OR(VALUE(LEFT($B443,4))-$I443&lt;4+IFERROR(MATCH($C443,LISTE_NIVEAUX,0),99),VALUE(LEFT($B443,4))-$I443&gt;6+IFERROR(MATCH($C443,LISTE_NIVEAUX,0),99))),"⚠ Vérifier niveau",IF(AND(IFERROR(VLOOKUP($C443,TABLE_CYCLE,2,0),3)=2,COUNT($O443:$Q443)&gt;0),"⚠ Tests cycle 3",IF(COUNT($J443:$Q443)&gt;=IF(IFERROR(VLOOKUP($C443,TABLE_CYCLE,2,0),3)=2,5,8),"Complet","Incomplet"))))))))</f>
        <v/>
      </c>
      <c r="S443" s="24"/>
      <c r="T443" s="67" t="str">
        <f t="shared" si="55"/>
        <v/>
      </c>
      <c r="U443" s="67" t="str">
        <f t="shared" si="56"/>
        <v/>
      </c>
      <c r="V443" s="67" t="str">
        <f t="shared" si="57"/>
        <v/>
      </c>
      <c r="W443" s="67" t="str">
        <f t="shared" si="58"/>
        <v/>
      </c>
      <c r="X443" s="67" t="str">
        <f t="shared" si="59"/>
        <v/>
      </c>
      <c r="Y443" s="24" t="str">
        <f t="shared" si="60"/>
        <v/>
      </c>
      <c r="Z443">
        <f t="shared" si="61"/>
        <v>0</v>
      </c>
      <c r="AA443">
        <f t="shared" si="62"/>
        <v>0</v>
      </c>
    </row>
    <row r="444" spans="2:27" ht="15.75" customHeight="1" x14ac:dyDescent="0.3">
      <c r="B444" s="25"/>
      <c r="C444" s="25"/>
      <c r="D444" s="25"/>
      <c r="E444" s="26" t="str">
        <f t="shared" si="54"/>
        <v/>
      </c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3" t="str">
        <f>IF($F444="","",IF(OR($B444="",$C444="",$D444=""),"⚠ Compléter Année/Niveau/Session",IF(AND($E444&lt;&gt;"",COUNTIF(D_KEY_DOUBLON,$B444&amp;"|"&amp;$D444&amp;"|"&amp;$E444)&gt;1),"⚠ Doublon",IF(AND($E444&lt;&gt;"",COUNTIF(D_KEY_STATUT,$B444&amp;"|"&amp;$E444&amp;"|P")&gt;0,COUNTIF(D_KEY_STATUT,$B444&amp;"|"&amp;$E444&amp;"|A")&gt;0),"⚠ Statut incohérent",IF(AND($D444="S1",$Y444&lt;&gt;"Parti",COUNTIF(ANNEES_VERROU,$B444)&gt;0,COUNTIF(D_KEY_NIVSES,$B444&amp;"|"&amp;$C444&amp;"|S2")&gt;0,COUNTIF(D_KEY_DOUBLON,$B444&amp;"|S2|"&amp;$E444)=0),"⚠ Départ non confirmé ?",IF(AND($C444&lt;&gt;"",ISNUMBER($I444),OR(VALUE(LEFT($B444,4))-$I444&lt;4+IFERROR(MATCH($C444,LISTE_NIVEAUX,0),99),VALUE(LEFT($B444,4))-$I444&gt;6+IFERROR(MATCH($C444,LISTE_NIVEAUX,0),99))),"⚠ Vérifier niveau",IF(AND(IFERROR(VLOOKUP($C444,TABLE_CYCLE,2,0),3)=2,COUNT($O444:$Q444)&gt;0),"⚠ Tests cycle 3",IF(COUNT($J444:$Q444)&gt;=IF(IFERROR(VLOOKUP($C444,TABLE_CYCLE,2,0),3)=2,5,8),"Complet","Incomplet"))))))))</f>
        <v/>
      </c>
      <c r="S444" s="24"/>
      <c r="T444" s="67" t="str">
        <f t="shared" si="55"/>
        <v/>
      </c>
      <c r="U444" s="67" t="str">
        <f t="shared" si="56"/>
        <v/>
      </c>
      <c r="V444" s="67" t="str">
        <f t="shared" si="57"/>
        <v/>
      </c>
      <c r="W444" s="67" t="str">
        <f t="shared" si="58"/>
        <v/>
      </c>
      <c r="X444" s="67" t="str">
        <f t="shared" si="59"/>
        <v/>
      </c>
      <c r="Y444" s="24" t="str">
        <f t="shared" si="60"/>
        <v/>
      </c>
      <c r="Z444">
        <f t="shared" si="61"/>
        <v>0</v>
      </c>
      <c r="AA444">
        <f t="shared" si="62"/>
        <v>0</v>
      </c>
    </row>
    <row r="445" spans="2:27" ht="15.75" customHeight="1" x14ac:dyDescent="0.3">
      <c r="B445" s="21"/>
      <c r="C445" s="21"/>
      <c r="D445" s="21"/>
      <c r="E445" s="22" t="str">
        <f t="shared" si="54"/>
        <v/>
      </c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3" t="str">
        <f>IF($F445="","",IF(OR($B445="",$C445="",$D445=""),"⚠ Compléter Année/Niveau/Session",IF(AND($E445&lt;&gt;"",COUNTIF(D_KEY_DOUBLON,$B445&amp;"|"&amp;$D445&amp;"|"&amp;$E445)&gt;1),"⚠ Doublon",IF(AND($E445&lt;&gt;"",COUNTIF(D_KEY_STATUT,$B445&amp;"|"&amp;$E445&amp;"|P")&gt;0,COUNTIF(D_KEY_STATUT,$B445&amp;"|"&amp;$E445&amp;"|A")&gt;0),"⚠ Statut incohérent",IF(AND($D445="S1",$Y445&lt;&gt;"Parti",COUNTIF(ANNEES_VERROU,$B445)&gt;0,COUNTIF(D_KEY_NIVSES,$B445&amp;"|"&amp;$C445&amp;"|S2")&gt;0,COUNTIF(D_KEY_DOUBLON,$B445&amp;"|S2|"&amp;$E445)=0),"⚠ Départ non confirmé ?",IF(AND($C445&lt;&gt;"",ISNUMBER($I445),OR(VALUE(LEFT($B445,4))-$I445&lt;4+IFERROR(MATCH($C445,LISTE_NIVEAUX,0),99),VALUE(LEFT($B445,4))-$I445&gt;6+IFERROR(MATCH($C445,LISTE_NIVEAUX,0),99))),"⚠ Vérifier niveau",IF(AND(IFERROR(VLOOKUP($C445,TABLE_CYCLE,2,0),3)=2,COUNT($O445:$Q445)&gt;0),"⚠ Tests cycle 3",IF(COUNT($J445:$Q445)&gt;=IF(IFERROR(VLOOKUP($C445,TABLE_CYCLE,2,0),3)=2,5,8),"Complet","Incomplet"))))))))</f>
        <v/>
      </c>
      <c r="S445" s="24"/>
      <c r="T445" s="67" t="str">
        <f t="shared" si="55"/>
        <v/>
      </c>
      <c r="U445" s="67" t="str">
        <f t="shared" si="56"/>
        <v/>
      </c>
      <c r="V445" s="67" t="str">
        <f t="shared" si="57"/>
        <v/>
      </c>
      <c r="W445" s="67" t="str">
        <f t="shared" si="58"/>
        <v/>
      </c>
      <c r="X445" s="67" t="str">
        <f t="shared" si="59"/>
        <v/>
      </c>
      <c r="Y445" s="24" t="str">
        <f t="shared" si="60"/>
        <v/>
      </c>
      <c r="Z445">
        <f t="shared" si="61"/>
        <v>0</v>
      </c>
      <c r="AA445">
        <f t="shared" si="62"/>
        <v>0</v>
      </c>
    </row>
    <row r="446" spans="2:27" ht="15.75" customHeight="1" x14ac:dyDescent="0.3">
      <c r="B446" s="25"/>
      <c r="C446" s="25"/>
      <c r="D446" s="25"/>
      <c r="E446" s="26" t="str">
        <f t="shared" si="54"/>
        <v/>
      </c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3" t="str">
        <f>IF($F446="","",IF(OR($B446="",$C446="",$D446=""),"⚠ Compléter Année/Niveau/Session",IF(AND($E446&lt;&gt;"",COUNTIF(D_KEY_DOUBLON,$B446&amp;"|"&amp;$D446&amp;"|"&amp;$E446)&gt;1),"⚠ Doublon",IF(AND($E446&lt;&gt;"",COUNTIF(D_KEY_STATUT,$B446&amp;"|"&amp;$E446&amp;"|P")&gt;0,COUNTIF(D_KEY_STATUT,$B446&amp;"|"&amp;$E446&amp;"|A")&gt;0),"⚠ Statut incohérent",IF(AND($D446="S1",$Y446&lt;&gt;"Parti",COUNTIF(ANNEES_VERROU,$B446)&gt;0,COUNTIF(D_KEY_NIVSES,$B446&amp;"|"&amp;$C446&amp;"|S2")&gt;0,COUNTIF(D_KEY_DOUBLON,$B446&amp;"|S2|"&amp;$E446)=0),"⚠ Départ non confirmé ?",IF(AND($C446&lt;&gt;"",ISNUMBER($I446),OR(VALUE(LEFT($B446,4))-$I446&lt;4+IFERROR(MATCH($C446,LISTE_NIVEAUX,0),99),VALUE(LEFT($B446,4))-$I446&gt;6+IFERROR(MATCH($C446,LISTE_NIVEAUX,0),99))),"⚠ Vérifier niveau",IF(AND(IFERROR(VLOOKUP($C446,TABLE_CYCLE,2,0),3)=2,COUNT($O446:$Q446)&gt;0),"⚠ Tests cycle 3",IF(COUNT($J446:$Q446)&gt;=IF(IFERROR(VLOOKUP($C446,TABLE_CYCLE,2,0),3)=2,5,8),"Complet","Incomplet"))))))))</f>
        <v/>
      </c>
      <c r="S446" s="24"/>
      <c r="T446" s="67" t="str">
        <f t="shared" si="55"/>
        <v/>
      </c>
      <c r="U446" s="67" t="str">
        <f t="shared" si="56"/>
        <v/>
      </c>
      <c r="V446" s="67" t="str">
        <f t="shared" si="57"/>
        <v/>
      </c>
      <c r="W446" s="67" t="str">
        <f t="shared" si="58"/>
        <v/>
      </c>
      <c r="X446" s="67" t="str">
        <f t="shared" si="59"/>
        <v/>
      </c>
      <c r="Y446" s="24" t="str">
        <f t="shared" si="60"/>
        <v/>
      </c>
      <c r="Z446">
        <f t="shared" si="61"/>
        <v>0</v>
      </c>
      <c r="AA446">
        <f t="shared" si="62"/>
        <v>0</v>
      </c>
    </row>
    <row r="447" spans="2:27" ht="15.75" customHeight="1" x14ac:dyDescent="0.3">
      <c r="B447" s="21"/>
      <c r="C447" s="21"/>
      <c r="D447" s="21"/>
      <c r="E447" s="22" t="str">
        <f t="shared" si="54"/>
        <v/>
      </c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3" t="str">
        <f>IF($F447="","",IF(OR($B447="",$C447="",$D447=""),"⚠ Compléter Année/Niveau/Session",IF(AND($E447&lt;&gt;"",COUNTIF(D_KEY_DOUBLON,$B447&amp;"|"&amp;$D447&amp;"|"&amp;$E447)&gt;1),"⚠ Doublon",IF(AND($E447&lt;&gt;"",COUNTIF(D_KEY_STATUT,$B447&amp;"|"&amp;$E447&amp;"|P")&gt;0,COUNTIF(D_KEY_STATUT,$B447&amp;"|"&amp;$E447&amp;"|A")&gt;0),"⚠ Statut incohérent",IF(AND($D447="S1",$Y447&lt;&gt;"Parti",COUNTIF(ANNEES_VERROU,$B447)&gt;0,COUNTIF(D_KEY_NIVSES,$B447&amp;"|"&amp;$C447&amp;"|S2")&gt;0,COUNTIF(D_KEY_DOUBLON,$B447&amp;"|S2|"&amp;$E447)=0),"⚠ Départ non confirmé ?",IF(AND($C447&lt;&gt;"",ISNUMBER($I447),OR(VALUE(LEFT($B447,4))-$I447&lt;4+IFERROR(MATCH($C447,LISTE_NIVEAUX,0),99),VALUE(LEFT($B447,4))-$I447&gt;6+IFERROR(MATCH($C447,LISTE_NIVEAUX,0),99))),"⚠ Vérifier niveau",IF(AND(IFERROR(VLOOKUP($C447,TABLE_CYCLE,2,0),3)=2,COUNT($O447:$Q447)&gt;0),"⚠ Tests cycle 3",IF(COUNT($J447:$Q447)&gt;=IF(IFERROR(VLOOKUP($C447,TABLE_CYCLE,2,0),3)=2,5,8),"Complet","Incomplet"))))))))</f>
        <v/>
      </c>
      <c r="S447" s="24"/>
      <c r="T447" s="67" t="str">
        <f t="shared" si="55"/>
        <v/>
      </c>
      <c r="U447" s="67" t="str">
        <f t="shared" si="56"/>
        <v/>
      </c>
      <c r="V447" s="67" t="str">
        <f t="shared" si="57"/>
        <v/>
      </c>
      <c r="W447" s="67" t="str">
        <f t="shared" si="58"/>
        <v/>
      </c>
      <c r="X447" s="67" t="str">
        <f t="shared" si="59"/>
        <v/>
      </c>
      <c r="Y447" s="24" t="str">
        <f t="shared" si="60"/>
        <v/>
      </c>
      <c r="Z447">
        <f t="shared" si="61"/>
        <v>0</v>
      </c>
      <c r="AA447">
        <f t="shared" si="62"/>
        <v>0</v>
      </c>
    </row>
    <row r="448" spans="2:27" ht="15.75" customHeight="1" x14ac:dyDescent="0.3">
      <c r="B448" s="25"/>
      <c r="C448" s="25"/>
      <c r="D448" s="25"/>
      <c r="E448" s="26" t="str">
        <f t="shared" si="54"/>
        <v/>
      </c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3" t="str">
        <f>IF($F448="","",IF(OR($B448="",$C448="",$D448=""),"⚠ Compléter Année/Niveau/Session",IF(AND($E448&lt;&gt;"",COUNTIF(D_KEY_DOUBLON,$B448&amp;"|"&amp;$D448&amp;"|"&amp;$E448)&gt;1),"⚠ Doublon",IF(AND($E448&lt;&gt;"",COUNTIF(D_KEY_STATUT,$B448&amp;"|"&amp;$E448&amp;"|P")&gt;0,COUNTIF(D_KEY_STATUT,$B448&amp;"|"&amp;$E448&amp;"|A")&gt;0),"⚠ Statut incohérent",IF(AND($D448="S1",$Y448&lt;&gt;"Parti",COUNTIF(ANNEES_VERROU,$B448)&gt;0,COUNTIF(D_KEY_NIVSES,$B448&amp;"|"&amp;$C448&amp;"|S2")&gt;0,COUNTIF(D_KEY_DOUBLON,$B448&amp;"|S2|"&amp;$E448)=0),"⚠ Départ non confirmé ?",IF(AND($C448&lt;&gt;"",ISNUMBER($I448),OR(VALUE(LEFT($B448,4))-$I448&lt;4+IFERROR(MATCH($C448,LISTE_NIVEAUX,0),99),VALUE(LEFT($B448,4))-$I448&gt;6+IFERROR(MATCH($C448,LISTE_NIVEAUX,0),99))),"⚠ Vérifier niveau",IF(AND(IFERROR(VLOOKUP($C448,TABLE_CYCLE,2,0),3)=2,COUNT($O448:$Q448)&gt;0),"⚠ Tests cycle 3",IF(COUNT($J448:$Q448)&gt;=IF(IFERROR(VLOOKUP($C448,TABLE_CYCLE,2,0),3)=2,5,8),"Complet","Incomplet"))))))))</f>
        <v/>
      </c>
      <c r="S448" s="24"/>
      <c r="T448" s="67" t="str">
        <f t="shared" si="55"/>
        <v/>
      </c>
      <c r="U448" s="67" t="str">
        <f t="shared" si="56"/>
        <v/>
      </c>
      <c r="V448" s="67" t="str">
        <f t="shared" si="57"/>
        <v/>
      </c>
      <c r="W448" s="67" t="str">
        <f t="shared" si="58"/>
        <v/>
      </c>
      <c r="X448" s="67" t="str">
        <f t="shared" si="59"/>
        <v/>
      </c>
      <c r="Y448" s="24" t="str">
        <f t="shared" si="60"/>
        <v/>
      </c>
      <c r="Z448">
        <f t="shared" si="61"/>
        <v>0</v>
      </c>
      <c r="AA448">
        <f t="shared" si="62"/>
        <v>0</v>
      </c>
    </row>
    <row r="449" spans="2:27" ht="15.75" customHeight="1" x14ac:dyDescent="0.3">
      <c r="B449" s="21"/>
      <c r="C449" s="21"/>
      <c r="D449" s="21"/>
      <c r="E449" s="22" t="str">
        <f t="shared" si="54"/>
        <v/>
      </c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3" t="str">
        <f>IF($F449="","",IF(OR($B449="",$C449="",$D449=""),"⚠ Compléter Année/Niveau/Session",IF(AND($E449&lt;&gt;"",COUNTIF(D_KEY_DOUBLON,$B449&amp;"|"&amp;$D449&amp;"|"&amp;$E449)&gt;1),"⚠ Doublon",IF(AND($E449&lt;&gt;"",COUNTIF(D_KEY_STATUT,$B449&amp;"|"&amp;$E449&amp;"|P")&gt;0,COUNTIF(D_KEY_STATUT,$B449&amp;"|"&amp;$E449&amp;"|A")&gt;0),"⚠ Statut incohérent",IF(AND($D449="S1",$Y449&lt;&gt;"Parti",COUNTIF(ANNEES_VERROU,$B449)&gt;0,COUNTIF(D_KEY_NIVSES,$B449&amp;"|"&amp;$C449&amp;"|S2")&gt;0,COUNTIF(D_KEY_DOUBLON,$B449&amp;"|S2|"&amp;$E449)=0),"⚠ Départ non confirmé ?",IF(AND($C449&lt;&gt;"",ISNUMBER($I449),OR(VALUE(LEFT($B449,4))-$I449&lt;4+IFERROR(MATCH($C449,LISTE_NIVEAUX,0),99),VALUE(LEFT($B449,4))-$I449&gt;6+IFERROR(MATCH($C449,LISTE_NIVEAUX,0),99))),"⚠ Vérifier niveau",IF(AND(IFERROR(VLOOKUP($C449,TABLE_CYCLE,2,0),3)=2,COUNT($O449:$Q449)&gt;0),"⚠ Tests cycle 3",IF(COUNT($J449:$Q449)&gt;=IF(IFERROR(VLOOKUP($C449,TABLE_CYCLE,2,0),3)=2,5,8),"Complet","Incomplet"))))))))</f>
        <v/>
      </c>
      <c r="S449" s="24"/>
      <c r="T449" s="67" t="str">
        <f t="shared" si="55"/>
        <v/>
      </c>
      <c r="U449" s="67" t="str">
        <f t="shared" si="56"/>
        <v/>
      </c>
      <c r="V449" s="67" t="str">
        <f t="shared" si="57"/>
        <v/>
      </c>
      <c r="W449" s="67" t="str">
        <f t="shared" si="58"/>
        <v/>
      </c>
      <c r="X449" s="67" t="str">
        <f t="shared" si="59"/>
        <v/>
      </c>
      <c r="Y449" s="24" t="str">
        <f t="shared" si="60"/>
        <v/>
      </c>
      <c r="Z449">
        <f t="shared" si="61"/>
        <v>0</v>
      </c>
      <c r="AA449">
        <f t="shared" si="62"/>
        <v>0</v>
      </c>
    </row>
    <row r="450" spans="2:27" ht="15.75" customHeight="1" x14ac:dyDescent="0.3">
      <c r="B450" s="25"/>
      <c r="C450" s="25"/>
      <c r="D450" s="25"/>
      <c r="E450" s="26" t="str">
        <f t="shared" si="54"/>
        <v/>
      </c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3" t="str">
        <f>IF($F450="","",IF(OR($B450="",$C450="",$D450=""),"⚠ Compléter Année/Niveau/Session",IF(AND($E450&lt;&gt;"",COUNTIF(D_KEY_DOUBLON,$B450&amp;"|"&amp;$D450&amp;"|"&amp;$E450)&gt;1),"⚠ Doublon",IF(AND($E450&lt;&gt;"",COUNTIF(D_KEY_STATUT,$B450&amp;"|"&amp;$E450&amp;"|P")&gt;0,COUNTIF(D_KEY_STATUT,$B450&amp;"|"&amp;$E450&amp;"|A")&gt;0),"⚠ Statut incohérent",IF(AND($D450="S1",$Y450&lt;&gt;"Parti",COUNTIF(ANNEES_VERROU,$B450)&gt;0,COUNTIF(D_KEY_NIVSES,$B450&amp;"|"&amp;$C450&amp;"|S2")&gt;0,COUNTIF(D_KEY_DOUBLON,$B450&amp;"|S2|"&amp;$E450)=0),"⚠ Départ non confirmé ?",IF(AND($C450&lt;&gt;"",ISNUMBER($I450),OR(VALUE(LEFT($B450,4))-$I450&lt;4+IFERROR(MATCH($C450,LISTE_NIVEAUX,0),99),VALUE(LEFT($B450,4))-$I450&gt;6+IFERROR(MATCH($C450,LISTE_NIVEAUX,0),99))),"⚠ Vérifier niveau",IF(AND(IFERROR(VLOOKUP($C450,TABLE_CYCLE,2,0),3)=2,COUNT($O450:$Q450)&gt;0),"⚠ Tests cycle 3",IF(COUNT($J450:$Q450)&gt;=IF(IFERROR(VLOOKUP($C450,TABLE_CYCLE,2,0),3)=2,5,8),"Complet","Incomplet"))))))))</f>
        <v/>
      </c>
      <c r="S450" s="24"/>
      <c r="T450" s="67" t="str">
        <f t="shared" si="55"/>
        <v/>
      </c>
      <c r="U450" s="67" t="str">
        <f t="shared" si="56"/>
        <v/>
      </c>
      <c r="V450" s="67" t="str">
        <f t="shared" si="57"/>
        <v/>
      </c>
      <c r="W450" s="67" t="str">
        <f t="shared" si="58"/>
        <v/>
      </c>
      <c r="X450" s="67" t="str">
        <f t="shared" si="59"/>
        <v/>
      </c>
      <c r="Y450" s="24" t="str">
        <f t="shared" si="60"/>
        <v/>
      </c>
      <c r="Z450">
        <f t="shared" si="61"/>
        <v>0</v>
      </c>
      <c r="AA450">
        <f t="shared" si="62"/>
        <v>0</v>
      </c>
    </row>
    <row r="451" spans="2:27" ht="15.75" customHeight="1" x14ac:dyDescent="0.3">
      <c r="B451" s="21"/>
      <c r="C451" s="21"/>
      <c r="D451" s="21"/>
      <c r="E451" s="22" t="str">
        <f t="shared" si="54"/>
        <v/>
      </c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3" t="str">
        <f>IF($F451="","",IF(OR($B451="",$C451="",$D451=""),"⚠ Compléter Année/Niveau/Session",IF(AND($E451&lt;&gt;"",COUNTIF(D_KEY_DOUBLON,$B451&amp;"|"&amp;$D451&amp;"|"&amp;$E451)&gt;1),"⚠ Doublon",IF(AND($E451&lt;&gt;"",COUNTIF(D_KEY_STATUT,$B451&amp;"|"&amp;$E451&amp;"|P")&gt;0,COUNTIF(D_KEY_STATUT,$B451&amp;"|"&amp;$E451&amp;"|A")&gt;0),"⚠ Statut incohérent",IF(AND($D451="S1",$Y451&lt;&gt;"Parti",COUNTIF(ANNEES_VERROU,$B451)&gt;0,COUNTIF(D_KEY_NIVSES,$B451&amp;"|"&amp;$C451&amp;"|S2")&gt;0,COUNTIF(D_KEY_DOUBLON,$B451&amp;"|S2|"&amp;$E451)=0),"⚠ Départ non confirmé ?",IF(AND($C451&lt;&gt;"",ISNUMBER($I451),OR(VALUE(LEFT($B451,4))-$I451&lt;4+IFERROR(MATCH($C451,LISTE_NIVEAUX,0),99),VALUE(LEFT($B451,4))-$I451&gt;6+IFERROR(MATCH($C451,LISTE_NIVEAUX,0),99))),"⚠ Vérifier niveau",IF(AND(IFERROR(VLOOKUP($C451,TABLE_CYCLE,2,0),3)=2,COUNT($O451:$Q451)&gt;0),"⚠ Tests cycle 3",IF(COUNT($J451:$Q451)&gt;=IF(IFERROR(VLOOKUP($C451,TABLE_CYCLE,2,0),3)=2,5,8),"Complet","Incomplet"))))))))</f>
        <v/>
      </c>
      <c r="S451" s="24"/>
      <c r="T451" s="67" t="str">
        <f t="shared" si="55"/>
        <v/>
      </c>
      <c r="U451" s="67" t="str">
        <f t="shared" si="56"/>
        <v/>
      </c>
      <c r="V451" s="67" t="str">
        <f t="shared" si="57"/>
        <v/>
      </c>
      <c r="W451" s="67" t="str">
        <f t="shared" si="58"/>
        <v/>
      </c>
      <c r="X451" s="67" t="str">
        <f t="shared" si="59"/>
        <v/>
      </c>
      <c r="Y451" s="24" t="str">
        <f t="shared" si="60"/>
        <v/>
      </c>
      <c r="Z451">
        <f t="shared" si="61"/>
        <v>0</v>
      </c>
      <c r="AA451">
        <f t="shared" si="62"/>
        <v>0</v>
      </c>
    </row>
    <row r="452" spans="2:27" ht="15.75" customHeight="1" x14ac:dyDescent="0.3">
      <c r="B452" s="25"/>
      <c r="C452" s="25"/>
      <c r="D452" s="25"/>
      <c r="E452" s="26" t="str">
        <f t="shared" si="54"/>
        <v/>
      </c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3" t="str">
        <f>IF($F452="","",IF(OR($B452="",$C452="",$D452=""),"⚠ Compléter Année/Niveau/Session",IF(AND($E452&lt;&gt;"",COUNTIF(D_KEY_DOUBLON,$B452&amp;"|"&amp;$D452&amp;"|"&amp;$E452)&gt;1),"⚠ Doublon",IF(AND($E452&lt;&gt;"",COUNTIF(D_KEY_STATUT,$B452&amp;"|"&amp;$E452&amp;"|P")&gt;0,COUNTIF(D_KEY_STATUT,$B452&amp;"|"&amp;$E452&amp;"|A")&gt;0),"⚠ Statut incohérent",IF(AND($D452="S1",$Y452&lt;&gt;"Parti",COUNTIF(ANNEES_VERROU,$B452)&gt;0,COUNTIF(D_KEY_NIVSES,$B452&amp;"|"&amp;$C452&amp;"|S2")&gt;0,COUNTIF(D_KEY_DOUBLON,$B452&amp;"|S2|"&amp;$E452)=0),"⚠ Départ non confirmé ?",IF(AND($C452&lt;&gt;"",ISNUMBER($I452),OR(VALUE(LEFT($B452,4))-$I452&lt;4+IFERROR(MATCH($C452,LISTE_NIVEAUX,0),99),VALUE(LEFT($B452,4))-$I452&gt;6+IFERROR(MATCH($C452,LISTE_NIVEAUX,0),99))),"⚠ Vérifier niveau",IF(AND(IFERROR(VLOOKUP($C452,TABLE_CYCLE,2,0),3)=2,COUNT($O452:$Q452)&gt;0),"⚠ Tests cycle 3",IF(COUNT($J452:$Q452)&gt;=IF(IFERROR(VLOOKUP($C452,TABLE_CYCLE,2,0),3)=2,5,8),"Complet","Incomplet"))))))))</f>
        <v/>
      </c>
      <c r="S452" s="24"/>
      <c r="T452" s="67" t="str">
        <f t="shared" si="55"/>
        <v/>
      </c>
      <c r="U452" s="67" t="str">
        <f t="shared" si="56"/>
        <v/>
      </c>
      <c r="V452" s="67" t="str">
        <f t="shared" si="57"/>
        <v/>
      </c>
      <c r="W452" s="67" t="str">
        <f t="shared" si="58"/>
        <v/>
      </c>
      <c r="X452" s="67" t="str">
        <f t="shared" si="59"/>
        <v/>
      </c>
      <c r="Y452" s="24" t="str">
        <f t="shared" si="60"/>
        <v/>
      </c>
      <c r="Z452">
        <f t="shared" si="61"/>
        <v>0</v>
      </c>
      <c r="AA452">
        <f t="shared" si="62"/>
        <v>0</v>
      </c>
    </row>
    <row r="453" spans="2:27" ht="15.75" customHeight="1" x14ac:dyDescent="0.3">
      <c r="B453" s="21"/>
      <c r="C453" s="21"/>
      <c r="D453" s="21"/>
      <c r="E453" s="22" t="str">
        <f t="shared" si="54"/>
        <v/>
      </c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3" t="str">
        <f>IF($F453="","",IF(OR($B453="",$C453="",$D453=""),"⚠ Compléter Année/Niveau/Session",IF(AND($E453&lt;&gt;"",COUNTIF(D_KEY_DOUBLON,$B453&amp;"|"&amp;$D453&amp;"|"&amp;$E453)&gt;1),"⚠ Doublon",IF(AND($E453&lt;&gt;"",COUNTIF(D_KEY_STATUT,$B453&amp;"|"&amp;$E453&amp;"|P")&gt;0,COUNTIF(D_KEY_STATUT,$B453&amp;"|"&amp;$E453&amp;"|A")&gt;0),"⚠ Statut incohérent",IF(AND($D453="S1",$Y453&lt;&gt;"Parti",COUNTIF(ANNEES_VERROU,$B453)&gt;0,COUNTIF(D_KEY_NIVSES,$B453&amp;"|"&amp;$C453&amp;"|S2")&gt;0,COUNTIF(D_KEY_DOUBLON,$B453&amp;"|S2|"&amp;$E453)=0),"⚠ Départ non confirmé ?",IF(AND($C453&lt;&gt;"",ISNUMBER($I453),OR(VALUE(LEFT($B453,4))-$I453&lt;4+IFERROR(MATCH($C453,LISTE_NIVEAUX,0),99),VALUE(LEFT($B453,4))-$I453&gt;6+IFERROR(MATCH($C453,LISTE_NIVEAUX,0),99))),"⚠ Vérifier niveau",IF(AND(IFERROR(VLOOKUP($C453,TABLE_CYCLE,2,0),3)=2,COUNT($O453:$Q453)&gt;0),"⚠ Tests cycle 3",IF(COUNT($J453:$Q453)&gt;=IF(IFERROR(VLOOKUP($C453,TABLE_CYCLE,2,0),3)=2,5,8),"Complet","Incomplet"))))))))</f>
        <v/>
      </c>
      <c r="S453" s="24"/>
      <c r="T453" s="67" t="str">
        <f t="shared" si="55"/>
        <v/>
      </c>
      <c r="U453" s="67" t="str">
        <f t="shared" si="56"/>
        <v/>
      </c>
      <c r="V453" s="67" t="str">
        <f t="shared" si="57"/>
        <v/>
      </c>
      <c r="W453" s="67" t="str">
        <f t="shared" si="58"/>
        <v/>
      </c>
      <c r="X453" s="67" t="str">
        <f t="shared" si="59"/>
        <v/>
      </c>
      <c r="Y453" s="24" t="str">
        <f t="shared" si="60"/>
        <v/>
      </c>
      <c r="Z453">
        <f t="shared" si="61"/>
        <v>0</v>
      </c>
      <c r="AA453">
        <f t="shared" si="62"/>
        <v>0</v>
      </c>
    </row>
    <row r="454" spans="2:27" ht="15.75" customHeight="1" x14ac:dyDescent="0.3">
      <c r="B454" s="25"/>
      <c r="C454" s="25"/>
      <c r="D454" s="25"/>
      <c r="E454" s="26" t="str">
        <f t="shared" si="54"/>
        <v/>
      </c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3" t="str">
        <f>IF($F454="","",IF(OR($B454="",$C454="",$D454=""),"⚠ Compléter Année/Niveau/Session",IF(AND($E454&lt;&gt;"",COUNTIF(D_KEY_DOUBLON,$B454&amp;"|"&amp;$D454&amp;"|"&amp;$E454)&gt;1),"⚠ Doublon",IF(AND($E454&lt;&gt;"",COUNTIF(D_KEY_STATUT,$B454&amp;"|"&amp;$E454&amp;"|P")&gt;0,COUNTIF(D_KEY_STATUT,$B454&amp;"|"&amp;$E454&amp;"|A")&gt;0),"⚠ Statut incohérent",IF(AND($D454="S1",$Y454&lt;&gt;"Parti",COUNTIF(ANNEES_VERROU,$B454)&gt;0,COUNTIF(D_KEY_NIVSES,$B454&amp;"|"&amp;$C454&amp;"|S2")&gt;0,COUNTIF(D_KEY_DOUBLON,$B454&amp;"|S2|"&amp;$E454)=0),"⚠ Départ non confirmé ?",IF(AND($C454&lt;&gt;"",ISNUMBER($I454),OR(VALUE(LEFT($B454,4))-$I454&lt;4+IFERROR(MATCH($C454,LISTE_NIVEAUX,0),99),VALUE(LEFT($B454,4))-$I454&gt;6+IFERROR(MATCH($C454,LISTE_NIVEAUX,0),99))),"⚠ Vérifier niveau",IF(AND(IFERROR(VLOOKUP($C454,TABLE_CYCLE,2,0),3)=2,COUNT($O454:$Q454)&gt;0),"⚠ Tests cycle 3",IF(COUNT($J454:$Q454)&gt;=IF(IFERROR(VLOOKUP($C454,TABLE_CYCLE,2,0),3)=2,5,8),"Complet","Incomplet"))))))))</f>
        <v/>
      </c>
      <c r="S454" s="24"/>
      <c r="T454" s="67" t="str">
        <f t="shared" si="55"/>
        <v/>
      </c>
      <c r="U454" s="67" t="str">
        <f t="shared" si="56"/>
        <v/>
      </c>
      <c r="V454" s="67" t="str">
        <f t="shared" si="57"/>
        <v/>
      </c>
      <c r="W454" s="67" t="str">
        <f t="shared" si="58"/>
        <v/>
      </c>
      <c r="X454" s="67" t="str">
        <f t="shared" si="59"/>
        <v/>
      </c>
      <c r="Y454" s="24" t="str">
        <f t="shared" si="60"/>
        <v/>
      </c>
      <c r="Z454">
        <f t="shared" si="61"/>
        <v>0</v>
      </c>
      <c r="AA454">
        <f t="shared" si="62"/>
        <v>0</v>
      </c>
    </row>
    <row r="455" spans="2:27" ht="15.75" customHeight="1" x14ac:dyDescent="0.3">
      <c r="B455" s="21"/>
      <c r="C455" s="21"/>
      <c r="D455" s="21"/>
      <c r="E455" s="22" t="str">
        <f t="shared" ref="E455:E518" si="63">IF(OR($F455="",$G455=""),"",IF(ISNUMBER($I455),TEXT($I455-2000,"00")&amp;"_","__")&amp;UPPER(TRIM($F455))&amp;"_"&amp;UPPER(TRIM($G455)))</f>
        <v/>
      </c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3" t="str">
        <f>IF($F455="","",IF(OR($B455="",$C455="",$D455=""),"⚠ Compléter Année/Niveau/Session",IF(AND($E455&lt;&gt;"",COUNTIF(D_KEY_DOUBLON,$B455&amp;"|"&amp;$D455&amp;"|"&amp;$E455)&gt;1),"⚠ Doublon",IF(AND($E455&lt;&gt;"",COUNTIF(D_KEY_STATUT,$B455&amp;"|"&amp;$E455&amp;"|P")&gt;0,COUNTIF(D_KEY_STATUT,$B455&amp;"|"&amp;$E455&amp;"|A")&gt;0),"⚠ Statut incohérent",IF(AND($D455="S1",$Y455&lt;&gt;"Parti",COUNTIF(ANNEES_VERROU,$B455)&gt;0,COUNTIF(D_KEY_NIVSES,$B455&amp;"|"&amp;$C455&amp;"|S2")&gt;0,COUNTIF(D_KEY_DOUBLON,$B455&amp;"|S2|"&amp;$E455)=0),"⚠ Départ non confirmé ?",IF(AND($C455&lt;&gt;"",ISNUMBER($I455),OR(VALUE(LEFT($B455,4))-$I455&lt;4+IFERROR(MATCH($C455,LISTE_NIVEAUX,0),99),VALUE(LEFT($B455,4))-$I455&gt;6+IFERROR(MATCH($C455,LISTE_NIVEAUX,0),99))),"⚠ Vérifier niveau",IF(AND(IFERROR(VLOOKUP($C455,TABLE_CYCLE,2,0),3)=2,COUNT($O455:$Q455)&gt;0),"⚠ Tests cycle 3",IF(COUNT($J455:$Q455)&gt;=IF(IFERROR(VLOOKUP($C455,TABLE_CYCLE,2,0),3)=2,5,8),"Complet","Incomplet"))))))))</f>
        <v/>
      </c>
      <c r="S455" s="24"/>
      <c r="T455" s="67" t="str">
        <f t="shared" ref="T455:T518" si="64">IFERROR(INDEX(D_NOM,MATCH(ROW()-6,D_RANG_RECUP,0)),"")</f>
        <v/>
      </c>
      <c r="U455" s="67" t="str">
        <f t="shared" ref="U455:U518" si="65">IFERROR(INDEX(D_PRENOM,MATCH(ROW()-6,D_RANG_RECUP,0)),"")</f>
        <v/>
      </c>
      <c r="V455" s="67" t="str">
        <f t="shared" ref="V455:V518" si="66">IFERROR(INDEX(D_SEXE,MATCH(ROW()-6,D_RANG_RECUP,0)),"")</f>
        <v/>
      </c>
      <c r="W455" s="67" t="str">
        <f t="shared" ref="W455:W518" si="67">IFERROR(INDEX(D_NAISS,MATCH(ROW()-6,D_RANG_RECUP,0)),"")</f>
        <v/>
      </c>
      <c r="X455" s="67" t="str">
        <f t="shared" ref="X455:X518" si="68">IF($T455="","",IF($X$4="→ Session 2 (même année)",$W$4,IFERROR(INDEX(LISTE_NIVEAUX,MATCH($W$4,LISTE_NIVEAUX,0)+1),"CM2 terminé")))</f>
        <v/>
      </c>
      <c r="Y455" s="24" t="str">
        <f t="shared" ref="Y455:Y518" si="69">IF($S455="","",$S455)</f>
        <v/>
      </c>
      <c r="Z455">
        <f t="shared" ref="Z455:Z518" si="70">SUBTOTAL(103,$F455)*($R455="Complet")</f>
        <v>0</v>
      </c>
      <c r="AA455">
        <f t="shared" ref="AA455:AA518" si="71">IF(OR($F455="",$C455=""),0,IF(COUNTIFS($B$7:$B$1206,$B455,$F$7:$F$1206,$F455,$G$7:$G$1206,$G455,$I$7:$I$1206,$I455,$C$7:$C$1206,"&lt;&gt;"&amp;$C455)&gt;0,1,0))</f>
        <v>0</v>
      </c>
    </row>
    <row r="456" spans="2:27" ht="15.75" customHeight="1" x14ac:dyDescent="0.3">
      <c r="B456" s="25"/>
      <c r="C456" s="25"/>
      <c r="D456" s="25"/>
      <c r="E456" s="26" t="str">
        <f t="shared" si="63"/>
        <v/>
      </c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3" t="str">
        <f>IF($F456="","",IF(OR($B456="",$C456="",$D456=""),"⚠ Compléter Année/Niveau/Session",IF(AND($E456&lt;&gt;"",COUNTIF(D_KEY_DOUBLON,$B456&amp;"|"&amp;$D456&amp;"|"&amp;$E456)&gt;1),"⚠ Doublon",IF(AND($E456&lt;&gt;"",COUNTIF(D_KEY_STATUT,$B456&amp;"|"&amp;$E456&amp;"|P")&gt;0,COUNTIF(D_KEY_STATUT,$B456&amp;"|"&amp;$E456&amp;"|A")&gt;0),"⚠ Statut incohérent",IF(AND($D456="S1",$Y456&lt;&gt;"Parti",COUNTIF(ANNEES_VERROU,$B456)&gt;0,COUNTIF(D_KEY_NIVSES,$B456&amp;"|"&amp;$C456&amp;"|S2")&gt;0,COUNTIF(D_KEY_DOUBLON,$B456&amp;"|S2|"&amp;$E456)=0),"⚠ Départ non confirmé ?",IF(AND($C456&lt;&gt;"",ISNUMBER($I456),OR(VALUE(LEFT($B456,4))-$I456&lt;4+IFERROR(MATCH($C456,LISTE_NIVEAUX,0),99),VALUE(LEFT($B456,4))-$I456&gt;6+IFERROR(MATCH($C456,LISTE_NIVEAUX,0),99))),"⚠ Vérifier niveau",IF(AND(IFERROR(VLOOKUP($C456,TABLE_CYCLE,2,0),3)=2,COUNT($O456:$Q456)&gt;0),"⚠ Tests cycle 3",IF(COUNT($J456:$Q456)&gt;=IF(IFERROR(VLOOKUP($C456,TABLE_CYCLE,2,0),3)=2,5,8),"Complet","Incomplet"))))))))</f>
        <v/>
      </c>
      <c r="S456" s="24"/>
      <c r="T456" s="67" t="str">
        <f t="shared" si="64"/>
        <v/>
      </c>
      <c r="U456" s="67" t="str">
        <f t="shared" si="65"/>
        <v/>
      </c>
      <c r="V456" s="67" t="str">
        <f t="shared" si="66"/>
        <v/>
      </c>
      <c r="W456" s="67" t="str">
        <f t="shared" si="67"/>
        <v/>
      </c>
      <c r="X456" s="67" t="str">
        <f t="shared" si="68"/>
        <v/>
      </c>
      <c r="Y456" s="24" t="str">
        <f t="shared" si="69"/>
        <v/>
      </c>
      <c r="Z456">
        <f t="shared" si="70"/>
        <v>0</v>
      </c>
      <c r="AA456">
        <f t="shared" si="71"/>
        <v>0</v>
      </c>
    </row>
    <row r="457" spans="2:27" ht="15.75" customHeight="1" x14ac:dyDescent="0.3">
      <c r="B457" s="21"/>
      <c r="C457" s="21"/>
      <c r="D457" s="21"/>
      <c r="E457" s="22" t="str">
        <f t="shared" si="63"/>
        <v/>
      </c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3" t="str">
        <f>IF($F457="","",IF(OR($B457="",$C457="",$D457=""),"⚠ Compléter Année/Niveau/Session",IF(AND($E457&lt;&gt;"",COUNTIF(D_KEY_DOUBLON,$B457&amp;"|"&amp;$D457&amp;"|"&amp;$E457)&gt;1),"⚠ Doublon",IF(AND($E457&lt;&gt;"",COUNTIF(D_KEY_STATUT,$B457&amp;"|"&amp;$E457&amp;"|P")&gt;0,COUNTIF(D_KEY_STATUT,$B457&amp;"|"&amp;$E457&amp;"|A")&gt;0),"⚠ Statut incohérent",IF(AND($D457="S1",$Y457&lt;&gt;"Parti",COUNTIF(ANNEES_VERROU,$B457)&gt;0,COUNTIF(D_KEY_NIVSES,$B457&amp;"|"&amp;$C457&amp;"|S2")&gt;0,COUNTIF(D_KEY_DOUBLON,$B457&amp;"|S2|"&amp;$E457)=0),"⚠ Départ non confirmé ?",IF(AND($C457&lt;&gt;"",ISNUMBER($I457),OR(VALUE(LEFT($B457,4))-$I457&lt;4+IFERROR(MATCH($C457,LISTE_NIVEAUX,0),99),VALUE(LEFT($B457,4))-$I457&gt;6+IFERROR(MATCH($C457,LISTE_NIVEAUX,0),99))),"⚠ Vérifier niveau",IF(AND(IFERROR(VLOOKUP($C457,TABLE_CYCLE,2,0),3)=2,COUNT($O457:$Q457)&gt;0),"⚠ Tests cycle 3",IF(COUNT($J457:$Q457)&gt;=IF(IFERROR(VLOOKUP($C457,TABLE_CYCLE,2,0),3)=2,5,8),"Complet","Incomplet"))))))))</f>
        <v/>
      </c>
      <c r="S457" s="24"/>
      <c r="T457" s="67" t="str">
        <f t="shared" si="64"/>
        <v/>
      </c>
      <c r="U457" s="67" t="str">
        <f t="shared" si="65"/>
        <v/>
      </c>
      <c r="V457" s="67" t="str">
        <f t="shared" si="66"/>
        <v/>
      </c>
      <c r="W457" s="67" t="str">
        <f t="shared" si="67"/>
        <v/>
      </c>
      <c r="X457" s="67" t="str">
        <f t="shared" si="68"/>
        <v/>
      </c>
      <c r="Y457" s="24" t="str">
        <f t="shared" si="69"/>
        <v/>
      </c>
      <c r="Z457">
        <f t="shared" si="70"/>
        <v>0</v>
      </c>
      <c r="AA457">
        <f t="shared" si="71"/>
        <v>0</v>
      </c>
    </row>
    <row r="458" spans="2:27" ht="15.75" customHeight="1" x14ac:dyDescent="0.3">
      <c r="B458" s="25"/>
      <c r="C458" s="25"/>
      <c r="D458" s="25"/>
      <c r="E458" s="26" t="str">
        <f t="shared" si="63"/>
        <v/>
      </c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3" t="str">
        <f>IF($F458="","",IF(OR($B458="",$C458="",$D458=""),"⚠ Compléter Année/Niveau/Session",IF(AND($E458&lt;&gt;"",COUNTIF(D_KEY_DOUBLON,$B458&amp;"|"&amp;$D458&amp;"|"&amp;$E458)&gt;1),"⚠ Doublon",IF(AND($E458&lt;&gt;"",COUNTIF(D_KEY_STATUT,$B458&amp;"|"&amp;$E458&amp;"|P")&gt;0,COUNTIF(D_KEY_STATUT,$B458&amp;"|"&amp;$E458&amp;"|A")&gt;0),"⚠ Statut incohérent",IF(AND($D458="S1",$Y458&lt;&gt;"Parti",COUNTIF(ANNEES_VERROU,$B458)&gt;0,COUNTIF(D_KEY_NIVSES,$B458&amp;"|"&amp;$C458&amp;"|S2")&gt;0,COUNTIF(D_KEY_DOUBLON,$B458&amp;"|S2|"&amp;$E458)=0),"⚠ Départ non confirmé ?",IF(AND($C458&lt;&gt;"",ISNUMBER($I458),OR(VALUE(LEFT($B458,4))-$I458&lt;4+IFERROR(MATCH($C458,LISTE_NIVEAUX,0),99),VALUE(LEFT($B458,4))-$I458&gt;6+IFERROR(MATCH($C458,LISTE_NIVEAUX,0),99))),"⚠ Vérifier niveau",IF(AND(IFERROR(VLOOKUP($C458,TABLE_CYCLE,2,0),3)=2,COUNT($O458:$Q458)&gt;0),"⚠ Tests cycle 3",IF(COUNT($J458:$Q458)&gt;=IF(IFERROR(VLOOKUP($C458,TABLE_CYCLE,2,0),3)=2,5,8),"Complet","Incomplet"))))))))</f>
        <v/>
      </c>
      <c r="S458" s="24"/>
      <c r="T458" s="67" t="str">
        <f t="shared" si="64"/>
        <v/>
      </c>
      <c r="U458" s="67" t="str">
        <f t="shared" si="65"/>
        <v/>
      </c>
      <c r="V458" s="67" t="str">
        <f t="shared" si="66"/>
        <v/>
      </c>
      <c r="W458" s="67" t="str">
        <f t="shared" si="67"/>
        <v/>
      </c>
      <c r="X458" s="67" t="str">
        <f t="shared" si="68"/>
        <v/>
      </c>
      <c r="Y458" s="24" t="str">
        <f t="shared" si="69"/>
        <v/>
      </c>
      <c r="Z458">
        <f t="shared" si="70"/>
        <v>0</v>
      </c>
      <c r="AA458">
        <f t="shared" si="71"/>
        <v>0</v>
      </c>
    </row>
    <row r="459" spans="2:27" ht="15.75" customHeight="1" x14ac:dyDescent="0.3">
      <c r="B459" s="21"/>
      <c r="C459" s="21"/>
      <c r="D459" s="21"/>
      <c r="E459" s="22" t="str">
        <f t="shared" si="63"/>
        <v/>
      </c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3" t="str">
        <f>IF($F459="","",IF(OR($B459="",$C459="",$D459=""),"⚠ Compléter Année/Niveau/Session",IF(AND($E459&lt;&gt;"",COUNTIF(D_KEY_DOUBLON,$B459&amp;"|"&amp;$D459&amp;"|"&amp;$E459)&gt;1),"⚠ Doublon",IF(AND($E459&lt;&gt;"",COUNTIF(D_KEY_STATUT,$B459&amp;"|"&amp;$E459&amp;"|P")&gt;0,COUNTIF(D_KEY_STATUT,$B459&amp;"|"&amp;$E459&amp;"|A")&gt;0),"⚠ Statut incohérent",IF(AND($D459="S1",$Y459&lt;&gt;"Parti",COUNTIF(ANNEES_VERROU,$B459)&gt;0,COUNTIF(D_KEY_NIVSES,$B459&amp;"|"&amp;$C459&amp;"|S2")&gt;0,COUNTIF(D_KEY_DOUBLON,$B459&amp;"|S2|"&amp;$E459)=0),"⚠ Départ non confirmé ?",IF(AND($C459&lt;&gt;"",ISNUMBER($I459),OR(VALUE(LEFT($B459,4))-$I459&lt;4+IFERROR(MATCH($C459,LISTE_NIVEAUX,0),99),VALUE(LEFT($B459,4))-$I459&gt;6+IFERROR(MATCH($C459,LISTE_NIVEAUX,0),99))),"⚠ Vérifier niveau",IF(AND(IFERROR(VLOOKUP($C459,TABLE_CYCLE,2,0),3)=2,COUNT($O459:$Q459)&gt;0),"⚠ Tests cycle 3",IF(COUNT($J459:$Q459)&gt;=IF(IFERROR(VLOOKUP($C459,TABLE_CYCLE,2,0),3)=2,5,8),"Complet","Incomplet"))))))))</f>
        <v/>
      </c>
      <c r="S459" s="24"/>
      <c r="T459" s="67" t="str">
        <f t="shared" si="64"/>
        <v/>
      </c>
      <c r="U459" s="67" t="str">
        <f t="shared" si="65"/>
        <v/>
      </c>
      <c r="V459" s="67" t="str">
        <f t="shared" si="66"/>
        <v/>
      </c>
      <c r="W459" s="67" t="str">
        <f t="shared" si="67"/>
        <v/>
      </c>
      <c r="X459" s="67" t="str">
        <f t="shared" si="68"/>
        <v/>
      </c>
      <c r="Y459" s="24" t="str">
        <f t="shared" si="69"/>
        <v/>
      </c>
      <c r="Z459">
        <f t="shared" si="70"/>
        <v>0</v>
      </c>
      <c r="AA459">
        <f t="shared" si="71"/>
        <v>0</v>
      </c>
    </row>
    <row r="460" spans="2:27" ht="15.75" customHeight="1" x14ac:dyDescent="0.3">
      <c r="B460" s="25"/>
      <c r="C460" s="25"/>
      <c r="D460" s="25"/>
      <c r="E460" s="26" t="str">
        <f t="shared" si="63"/>
        <v/>
      </c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3" t="str">
        <f>IF($F460="","",IF(OR($B460="",$C460="",$D460=""),"⚠ Compléter Année/Niveau/Session",IF(AND($E460&lt;&gt;"",COUNTIF(D_KEY_DOUBLON,$B460&amp;"|"&amp;$D460&amp;"|"&amp;$E460)&gt;1),"⚠ Doublon",IF(AND($E460&lt;&gt;"",COUNTIF(D_KEY_STATUT,$B460&amp;"|"&amp;$E460&amp;"|P")&gt;0,COUNTIF(D_KEY_STATUT,$B460&amp;"|"&amp;$E460&amp;"|A")&gt;0),"⚠ Statut incohérent",IF(AND($D460="S1",$Y460&lt;&gt;"Parti",COUNTIF(ANNEES_VERROU,$B460)&gt;0,COUNTIF(D_KEY_NIVSES,$B460&amp;"|"&amp;$C460&amp;"|S2")&gt;0,COUNTIF(D_KEY_DOUBLON,$B460&amp;"|S2|"&amp;$E460)=0),"⚠ Départ non confirmé ?",IF(AND($C460&lt;&gt;"",ISNUMBER($I460),OR(VALUE(LEFT($B460,4))-$I460&lt;4+IFERROR(MATCH($C460,LISTE_NIVEAUX,0),99),VALUE(LEFT($B460,4))-$I460&gt;6+IFERROR(MATCH($C460,LISTE_NIVEAUX,0),99))),"⚠ Vérifier niveau",IF(AND(IFERROR(VLOOKUP($C460,TABLE_CYCLE,2,0),3)=2,COUNT($O460:$Q460)&gt;0),"⚠ Tests cycle 3",IF(COUNT($J460:$Q460)&gt;=IF(IFERROR(VLOOKUP($C460,TABLE_CYCLE,2,0),3)=2,5,8),"Complet","Incomplet"))))))))</f>
        <v/>
      </c>
      <c r="S460" s="24"/>
      <c r="T460" s="67" t="str">
        <f t="shared" si="64"/>
        <v/>
      </c>
      <c r="U460" s="67" t="str">
        <f t="shared" si="65"/>
        <v/>
      </c>
      <c r="V460" s="67" t="str">
        <f t="shared" si="66"/>
        <v/>
      </c>
      <c r="W460" s="67" t="str">
        <f t="shared" si="67"/>
        <v/>
      </c>
      <c r="X460" s="67" t="str">
        <f t="shared" si="68"/>
        <v/>
      </c>
      <c r="Y460" s="24" t="str">
        <f t="shared" si="69"/>
        <v/>
      </c>
      <c r="Z460">
        <f t="shared" si="70"/>
        <v>0</v>
      </c>
      <c r="AA460">
        <f t="shared" si="71"/>
        <v>0</v>
      </c>
    </row>
    <row r="461" spans="2:27" ht="15.75" customHeight="1" x14ac:dyDescent="0.3">
      <c r="B461" s="21"/>
      <c r="C461" s="21"/>
      <c r="D461" s="21"/>
      <c r="E461" s="22" t="str">
        <f t="shared" si="63"/>
        <v/>
      </c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3" t="str">
        <f>IF($F461="","",IF(OR($B461="",$C461="",$D461=""),"⚠ Compléter Année/Niveau/Session",IF(AND($E461&lt;&gt;"",COUNTIF(D_KEY_DOUBLON,$B461&amp;"|"&amp;$D461&amp;"|"&amp;$E461)&gt;1),"⚠ Doublon",IF(AND($E461&lt;&gt;"",COUNTIF(D_KEY_STATUT,$B461&amp;"|"&amp;$E461&amp;"|P")&gt;0,COUNTIF(D_KEY_STATUT,$B461&amp;"|"&amp;$E461&amp;"|A")&gt;0),"⚠ Statut incohérent",IF(AND($D461="S1",$Y461&lt;&gt;"Parti",COUNTIF(ANNEES_VERROU,$B461)&gt;0,COUNTIF(D_KEY_NIVSES,$B461&amp;"|"&amp;$C461&amp;"|S2")&gt;0,COUNTIF(D_KEY_DOUBLON,$B461&amp;"|S2|"&amp;$E461)=0),"⚠ Départ non confirmé ?",IF(AND($C461&lt;&gt;"",ISNUMBER($I461),OR(VALUE(LEFT($B461,4))-$I461&lt;4+IFERROR(MATCH($C461,LISTE_NIVEAUX,0),99),VALUE(LEFT($B461,4))-$I461&gt;6+IFERROR(MATCH($C461,LISTE_NIVEAUX,0),99))),"⚠ Vérifier niveau",IF(AND(IFERROR(VLOOKUP($C461,TABLE_CYCLE,2,0),3)=2,COUNT($O461:$Q461)&gt;0),"⚠ Tests cycle 3",IF(COUNT($J461:$Q461)&gt;=IF(IFERROR(VLOOKUP($C461,TABLE_CYCLE,2,0),3)=2,5,8),"Complet","Incomplet"))))))))</f>
        <v/>
      </c>
      <c r="S461" s="24"/>
      <c r="T461" s="67" t="str">
        <f t="shared" si="64"/>
        <v/>
      </c>
      <c r="U461" s="67" t="str">
        <f t="shared" si="65"/>
        <v/>
      </c>
      <c r="V461" s="67" t="str">
        <f t="shared" si="66"/>
        <v/>
      </c>
      <c r="W461" s="67" t="str">
        <f t="shared" si="67"/>
        <v/>
      </c>
      <c r="X461" s="67" t="str">
        <f t="shared" si="68"/>
        <v/>
      </c>
      <c r="Y461" s="24" t="str">
        <f t="shared" si="69"/>
        <v/>
      </c>
      <c r="Z461">
        <f t="shared" si="70"/>
        <v>0</v>
      </c>
      <c r="AA461">
        <f t="shared" si="71"/>
        <v>0</v>
      </c>
    </row>
    <row r="462" spans="2:27" ht="15.75" customHeight="1" x14ac:dyDescent="0.3">
      <c r="B462" s="25"/>
      <c r="C462" s="25"/>
      <c r="D462" s="25"/>
      <c r="E462" s="26" t="str">
        <f t="shared" si="63"/>
        <v/>
      </c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3" t="str">
        <f>IF($F462="","",IF(OR($B462="",$C462="",$D462=""),"⚠ Compléter Année/Niveau/Session",IF(AND($E462&lt;&gt;"",COUNTIF(D_KEY_DOUBLON,$B462&amp;"|"&amp;$D462&amp;"|"&amp;$E462)&gt;1),"⚠ Doublon",IF(AND($E462&lt;&gt;"",COUNTIF(D_KEY_STATUT,$B462&amp;"|"&amp;$E462&amp;"|P")&gt;0,COUNTIF(D_KEY_STATUT,$B462&amp;"|"&amp;$E462&amp;"|A")&gt;0),"⚠ Statut incohérent",IF(AND($D462="S1",$Y462&lt;&gt;"Parti",COUNTIF(ANNEES_VERROU,$B462)&gt;0,COUNTIF(D_KEY_NIVSES,$B462&amp;"|"&amp;$C462&amp;"|S2")&gt;0,COUNTIF(D_KEY_DOUBLON,$B462&amp;"|S2|"&amp;$E462)=0),"⚠ Départ non confirmé ?",IF(AND($C462&lt;&gt;"",ISNUMBER($I462),OR(VALUE(LEFT($B462,4))-$I462&lt;4+IFERROR(MATCH($C462,LISTE_NIVEAUX,0),99),VALUE(LEFT($B462,4))-$I462&gt;6+IFERROR(MATCH($C462,LISTE_NIVEAUX,0),99))),"⚠ Vérifier niveau",IF(AND(IFERROR(VLOOKUP($C462,TABLE_CYCLE,2,0),3)=2,COUNT($O462:$Q462)&gt;0),"⚠ Tests cycle 3",IF(COUNT($J462:$Q462)&gt;=IF(IFERROR(VLOOKUP($C462,TABLE_CYCLE,2,0),3)=2,5,8),"Complet","Incomplet"))))))))</f>
        <v/>
      </c>
      <c r="S462" s="24"/>
      <c r="T462" s="67" t="str">
        <f t="shared" si="64"/>
        <v/>
      </c>
      <c r="U462" s="67" t="str">
        <f t="shared" si="65"/>
        <v/>
      </c>
      <c r="V462" s="67" t="str">
        <f t="shared" si="66"/>
        <v/>
      </c>
      <c r="W462" s="67" t="str">
        <f t="shared" si="67"/>
        <v/>
      </c>
      <c r="X462" s="67" t="str">
        <f t="shared" si="68"/>
        <v/>
      </c>
      <c r="Y462" s="24" t="str">
        <f t="shared" si="69"/>
        <v/>
      </c>
      <c r="Z462">
        <f t="shared" si="70"/>
        <v>0</v>
      </c>
      <c r="AA462">
        <f t="shared" si="71"/>
        <v>0</v>
      </c>
    </row>
    <row r="463" spans="2:27" ht="15.75" customHeight="1" x14ac:dyDescent="0.3">
      <c r="B463" s="21"/>
      <c r="C463" s="21"/>
      <c r="D463" s="21"/>
      <c r="E463" s="22" t="str">
        <f t="shared" si="63"/>
        <v/>
      </c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3" t="str">
        <f>IF($F463="","",IF(OR($B463="",$C463="",$D463=""),"⚠ Compléter Année/Niveau/Session",IF(AND($E463&lt;&gt;"",COUNTIF(D_KEY_DOUBLON,$B463&amp;"|"&amp;$D463&amp;"|"&amp;$E463)&gt;1),"⚠ Doublon",IF(AND($E463&lt;&gt;"",COUNTIF(D_KEY_STATUT,$B463&amp;"|"&amp;$E463&amp;"|P")&gt;0,COUNTIF(D_KEY_STATUT,$B463&amp;"|"&amp;$E463&amp;"|A")&gt;0),"⚠ Statut incohérent",IF(AND($D463="S1",$Y463&lt;&gt;"Parti",COUNTIF(ANNEES_VERROU,$B463)&gt;0,COUNTIF(D_KEY_NIVSES,$B463&amp;"|"&amp;$C463&amp;"|S2")&gt;0,COUNTIF(D_KEY_DOUBLON,$B463&amp;"|S2|"&amp;$E463)=0),"⚠ Départ non confirmé ?",IF(AND($C463&lt;&gt;"",ISNUMBER($I463),OR(VALUE(LEFT($B463,4))-$I463&lt;4+IFERROR(MATCH($C463,LISTE_NIVEAUX,0),99),VALUE(LEFT($B463,4))-$I463&gt;6+IFERROR(MATCH($C463,LISTE_NIVEAUX,0),99))),"⚠ Vérifier niveau",IF(AND(IFERROR(VLOOKUP($C463,TABLE_CYCLE,2,0),3)=2,COUNT($O463:$Q463)&gt;0),"⚠ Tests cycle 3",IF(COUNT($J463:$Q463)&gt;=IF(IFERROR(VLOOKUP($C463,TABLE_CYCLE,2,0),3)=2,5,8),"Complet","Incomplet"))))))))</f>
        <v/>
      </c>
      <c r="S463" s="24"/>
      <c r="T463" s="67" t="str">
        <f t="shared" si="64"/>
        <v/>
      </c>
      <c r="U463" s="67" t="str">
        <f t="shared" si="65"/>
        <v/>
      </c>
      <c r="V463" s="67" t="str">
        <f t="shared" si="66"/>
        <v/>
      </c>
      <c r="W463" s="67" t="str">
        <f t="shared" si="67"/>
        <v/>
      </c>
      <c r="X463" s="67" t="str">
        <f t="shared" si="68"/>
        <v/>
      </c>
      <c r="Y463" s="24" t="str">
        <f t="shared" si="69"/>
        <v/>
      </c>
      <c r="Z463">
        <f t="shared" si="70"/>
        <v>0</v>
      </c>
      <c r="AA463">
        <f t="shared" si="71"/>
        <v>0</v>
      </c>
    </row>
    <row r="464" spans="2:27" ht="15.75" customHeight="1" x14ac:dyDescent="0.3">
      <c r="B464" s="25"/>
      <c r="C464" s="25"/>
      <c r="D464" s="25"/>
      <c r="E464" s="26" t="str">
        <f t="shared" si="63"/>
        <v/>
      </c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3" t="str">
        <f>IF($F464="","",IF(OR($B464="",$C464="",$D464=""),"⚠ Compléter Année/Niveau/Session",IF(AND($E464&lt;&gt;"",COUNTIF(D_KEY_DOUBLON,$B464&amp;"|"&amp;$D464&amp;"|"&amp;$E464)&gt;1),"⚠ Doublon",IF(AND($E464&lt;&gt;"",COUNTIF(D_KEY_STATUT,$B464&amp;"|"&amp;$E464&amp;"|P")&gt;0,COUNTIF(D_KEY_STATUT,$B464&amp;"|"&amp;$E464&amp;"|A")&gt;0),"⚠ Statut incohérent",IF(AND($D464="S1",$Y464&lt;&gt;"Parti",COUNTIF(ANNEES_VERROU,$B464)&gt;0,COUNTIF(D_KEY_NIVSES,$B464&amp;"|"&amp;$C464&amp;"|S2")&gt;0,COUNTIF(D_KEY_DOUBLON,$B464&amp;"|S2|"&amp;$E464)=0),"⚠ Départ non confirmé ?",IF(AND($C464&lt;&gt;"",ISNUMBER($I464),OR(VALUE(LEFT($B464,4))-$I464&lt;4+IFERROR(MATCH($C464,LISTE_NIVEAUX,0),99),VALUE(LEFT($B464,4))-$I464&gt;6+IFERROR(MATCH($C464,LISTE_NIVEAUX,0),99))),"⚠ Vérifier niveau",IF(AND(IFERROR(VLOOKUP($C464,TABLE_CYCLE,2,0),3)=2,COUNT($O464:$Q464)&gt;0),"⚠ Tests cycle 3",IF(COUNT($J464:$Q464)&gt;=IF(IFERROR(VLOOKUP($C464,TABLE_CYCLE,2,0),3)=2,5,8),"Complet","Incomplet"))))))))</f>
        <v/>
      </c>
      <c r="S464" s="24"/>
      <c r="T464" s="67" t="str">
        <f t="shared" si="64"/>
        <v/>
      </c>
      <c r="U464" s="67" t="str">
        <f t="shared" si="65"/>
        <v/>
      </c>
      <c r="V464" s="67" t="str">
        <f t="shared" si="66"/>
        <v/>
      </c>
      <c r="W464" s="67" t="str">
        <f t="shared" si="67"/>
        <v/>
      </c>
      <c r="X464" s="67" t="str">
        <f t="shared" si="68"/>
        <v/>
      </c>
      <c r="Y464" s="24" t="str">
        <f t="shared" si="69"/>
        <v/>
      </c>
      <c r="Z464">
        <f t="shared" si="70"/>
        <v>0</v>
      </c>
      <c r="AA464">
        <f t="shared" si="71"/>
        <v>0</v>
      </c>
    </row>
    <row r="465" spans="2:27" ht="15.75" customHeight="1" x14ac:dyDescent="0.3">
      <c r="B465" s="21"/>
      <c r="C465" s="21"/>
      <c r="D465" s="21"/>
      <c r="E465" s="22" t="str">
        <f t="shared" si="63"/>
        <v/>
      </c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3" t="str">
        <f>IF($F465="","",IF(OR($B465="",$C465="",$D465=""),"⚠ Compléter Année/Niveau/Session",IF(AND($E465&lt;&gt;"",COUNTIF(D_KEY_DOUBLON,$B465&amp;"|"&amp;$D465&amp;"|"&amp;$E465)&gt;1),"⚠ Doublon",IF(AND($E465&lt;&gt;"",COUNTIF(D_KEY_STATUT,$B465&amp;"|"&amp;$E465&amp;"|P")&gt;0,COUNTIF(D_KEY_STATUT,$B465&amp;"|"&amp;$E465&amp;"|A")&gt;0),"⚠ Statut incohérent",IF(AND($D465="S1",$Y465&lt;&gt;"Parti",COUNTIF(ANNEES_VERROU,$B465)&gt;0,COUNTIF(D_KEY_NIVSES,$B465&amp;"|"&amp;$C465&amp;"|S2")&gt;0,COUNTIF(D_KEY_DOUBLON,$B465&amp;"|S2|"&amp;$E465)=0),"⚠ Départ non confirmé ?",IF(AND($C465&lt;&gt;"",ISNUMBER($I465),OR(VALUE(LEFT($B465,4))-$I465&lt;4+IFERROR(MATCH($C465,LISTE_NIVEAUX,0),99),VALUE(LEFT($B465,4))-$I465&gt;6+IFERROR(MATCH($C465,LISTE_NIVEAUX,0),99))),"⚠ Vérifier niveau",IF(AND(IFERROR(VLOOKUP($C465,TABLE_CYCLE,2,0),3)=2,COUNT($O465:$Q465)&gt;0),"⚠ Tests cycle 3",IF(COUNT($J465:$Q465)&gt;=IF(IFERROR(VLOOKUP($C465,TABLE_CYCLE,2,0),3)=2,5,8),"Complet","Incomplet"))))))))</f>
        <v/>
      </c>
      <c r="S465" s="24"/>
      <c r="T465" s="67" t="str">
        <f t="shared" si="64"/>
        <v/>
      </c>
      <c r="U465" s="67" t="str">
        <f t="shared" si="65"/>
        <v/>
      </c>
      <c r="V465" s="67" t="str">
        <f t="shared" si="66"/>
        <v/>
      </c>
      <c r="W465" s="67" t="str">
        <f t="shared" si="67"/>
        <v/>
      </c>
      <c r="X465" s="67" t="str">
        <f t="shared" si="68"/>
        <v/>
      </c>
      <c r="Y465" s="24" t="str">
        <f t="shared" si="69"/>
        <v/>
      </c>
      <c r="Z465">
        <f t="shared" si="70"/>
        <v>0</v>
      </c>
      <c r="AA465">
        <f t="shared" si="71"/>
        <v>0</v>
      </c>
    </row>
    <row r="466" spans="2:27" ht="15.75" customHeight="1" x14ac:dyDescent="0.3">
      <c r="B466" s="25"/>
      <c r="C466" s="25"/>
      <c r="D466" s="25"/>
      <c r="E466" s="26" t="str">
        <f t="shared" si="63"/>
        <v/>
      </c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3" t="str">
        <f>IF($F466="","",IF(OR($B466="",$C466="",$D466=""),"⚠ Compléter Année/Niveau/Session",IF(AND($E466&lt;&gt;"",COUNTIF(D_KEY_DOUBLON,$B466&amp;"|"&amp;$D466&amp;"|"&amp;$E466)&gt;1),"⚠ Doublon",IF(AND($E466&lt;&gt;"",COUNTIF(D_KEY_STATUT,$B466&amp;"|"&amp;$E466&amp;"|P")&gt;0,COUNTIF(D_KEY_STATUT,$B466&amp;"|"&amp;$E466&amp;"|A")&gt;0),"⚠ Statut incohérent",IF(AND($D466="S1",$Y466&lt;&gt;"Parti",COUNTIF(ANNEES_VERROU,$B466)&gt;0,COUNTIF(D_KEY_NIVSES,$B466&amp;"|"&amp;$C466&amp;"|S2")&gt;0,COUNTIF(D_KEY_DOUBLON,$B466&amp;"|S2|"&amp;$E466)=0),"⚠ Départ non confirmé ?",IF(AND($C466&lt;&gt;"",ISNUMBER($I466),OR(VALUE(LEFT($B466,4))-$I466&lt;4+IFERROR(MATCH($C466,LISTE_NIVEAUX,0),99),VALUE(LEFT($B466,4))-$I466&gt;6+IFERROR(MATCH($C466,LISTE_NIVEAUX,0),99))),"⚠ Vérifier niveau",IF(AND(IFERROR(VLOOKUP($C466,TABLE_CYCLE,2,0),3)=2,COUNT($O466:$Q466)&gt;0),"⚠ Tests cycle 3",IF(COUNT($J466:$Q466)&gt;=IF(IFERROR(VLOOKUP($C466,TABLE_CYCLE,2,0),3)=2,5,8),"Complet","Incomplet"))))))))</f>
        <v/>
      </c>
      <c r="S466" s="24"/>
      <c r="T466" s="67" t="str">
        <f t="shared" si="64"/>
        <v/>
      </c>
      <c r="U466" s="67" t="str">
        <f t="shared" si="65"/>
        <v/>
      </c>
      <c r="V466" s="67" t="str">
        <f t="shared" si="66"/>
        <v/>
      </c>
      <c r="W466" s="67" t="str">
        <f t="shared" si="67"/>
        <v/>
      </c>
      <c r="X466" s="67" t="str">
        <f t="shared" si="68"/>
        <v/>
      </c>
      <c r="Y466" s="24" t="str">
        <f t="shared" si="69"/>
        <v/>
      </c>
      <c r="Z466">
        <f t="shared" si="70"/>
        <v>0</v>
      </c>
      <c r="AA466">
        <f t="shared" si="71"/>
        <v>0</v>
      </c>
    </row>
    <row r="467" spans="2:27" ht="15.75" customHeight="1" x14ac:dyDescent="0.3">
      <c r="B467" s="21"/>
      <c r="C467" s="21"/>
      <c r="D467" s="21"/>
      <c r="E467" s="22" t="str">
        <f t="shared" si="63"/>
        <v/>
      </c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3" t="str">
        <f>IF($F467="","",IF(OR($B467="",$C467="",$D467=""),"⚠ Compléter Année/Niveau/Session",IF(AND($E467&lt;&gt;"",COUNTIF(D_KEY_DOUBLON,$B467&amp;"|"&amp;$D467&amp;"|"&amp;$E467)&gt;1),"⚠ Doublon",IF(AND($E467&lt;&gt;"",COUNTIF(D_KEY_STATUT,$B467&amp;"|"&amp;$E467&amp;"|P")&gt;0,COUNTIF(D_KEY_STATUT,$B467&amp;"|"&amp;$E467&amp;"|A")&gt;0),"⚠ Statut incohérent",IF(AND($D467="S1",$Y467&lt;&gt;"Parti",COUNTIF(ANNEES_VERROU,$B467)&gt;0,COUNTIF(D_KEY_NIVSES,$B467&amp;"|"&amp;$C467&amp;"|S2")&gt;0,COUNTIF(D_KEY_DOUBLON,$B467&amp;"|S2|"&amp;$E467)=0),"⚠ Départ non confirmé ?",IF(AND($C467&lt;&gt;"",ISNUMBER($I467),OR(VALUE(LEFT($B467,4))-$I467&lt;4+IFERROR(MATCH($C467,LISTE_NIVEAUX,0),99),VALUE(LEFT($B467,4))-$I467&gt;6+IFERROR(MATCH($C467,LISTE_NIVEAUX,0),99))),"⚠ Vérifier niveau",IF(AND(IFERROR(VLOOKUP($C467,TABLE_CYCLE,2,0),3)=2,COUNT($O467:$Q467)&gt;0),"⚠ Tests cycle 3",IF(COUNT($J467:$Q467)&gt;=IF(IFERROR(VLOOKUP($C467,TABLE_CYCLE,2,0),3)=2,5,8),"Complet","Incomplet"))))))))</f>
        <v/>
      </c>
      <c r="S467" s="24"/>
      <c r="T467" s="67" t="str">
        <f t="shared" si="64"/>
        <v/>
      </c>
      <c r="U467" s="67" t="str">
        <f t="shared" si="65"/>
        <v/>
      </c>
      <c r="V467" s="67" t="str">
        <f t="shared" si="66"/>
        <v/>
      </c>
      <c r="W467" s="67" t="str">
        <f t="shared" si="67"/>
        <v/>
      </c>
      <c r="X467" s="67" t="str">
        <f t="shared" si="68"/>
        <v/>
      </c>
      <c r="Y467" s="24" t="str">
        <f t="shared" si="69"/>
        <v/>
      </c>
      <c r="Z467">
        <f t="shared" si="70"/>
        <v>0</v>
      </c>
      <c r="AA467">
        <f t="shared" si="71"/>
        <v>0</v>
      </c>
    </row>
    <row r="468" spans="2:27" ht="15.75" customHeight="1" x14ac:dyDescent="0.3">
      <c r="B468" s="25"/>
      <c r="C468" s="25"/>
      <c r="D468" s="25"/>
      <c r="E468" s="26" t="str">
        <f t="shared" si="63"/>
        <v/>
      </c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3" t="str">
        <f>IF($F468="","",IF(OR($B468="",$C468="",$D468=""),"⚠ Compléter Année/Niveau/Session",IF(AND($E468&lt;&gt;"",COUNTIF(D_KEY_DOUBLON,$B468&amp;"|"&amp;$D468&amp;"|"&amp;$E468)&gt;1),"⚠ Doublon",IF(AND($E468&lt;&gt;"",COUNTIF(D_KEY_STATUT,$B468&amp;"|"&amp;$E468&amp;"|P")&gt;0,COUNTIF(D_KEY_STATUT,$B468&amp;"|"&amp;$E468&amp;"|A")&gt;0),"⚠ Statut incohérent",IF(AND($D468="S1",$Y468&lt;&gt;"Parti",COUNTIF(ANNEES_VERROU,$B468)&gt;0,COUNTIF(D_KEY_NIVSES,$B468&amp;"|"&amp;$C468&amp;"|S2")&gt;0,COUNTIF(D_KEY_DOUBLON,$B468&amp;"|S2|"&amp;$E468)=0),"⚠ Départ non confirmé ?",IF(AND($C468&lt;&gt;"",ISNUMBER($I468),OR(VALUE(LEFT($B468,4))-$I468&lt;4+IFERROR(MATCH($C468,LISTE_NIVEAUX,0),99),VALUE(LEFT($B468,4))-$I468&gt;6+IFERROR(MATCH($C468,LISTE_NIVEAUX,0),99))),"⚠ Vérifier niveau",IF(AND(IFERROR(VLOOKUP($C468,TABLE_CYCLE,2,0),3)=2,COUNT($O468:$Q468)&gt;0),"⚠ Tests cycle 3",IF(COUNT($J468:$Q468)&gt;=IF(IFERROR(VLOOKUP($C468,TABLE_CYCLE,2,0),3)=2,5,8),"Complet","Incomplet"))))))))</f>
        <v/>
      </c>
      <c r="S468" s="24"/>
      <c r="T468" s="67" t="str">
        <f t="shared" si="64"/>
        <v/>
      </c>
      <c r="U468" s="67" t="str">
        <f t="shared" si="65"/>
        <v/>
      </c>
      <c r="V468" s="67" t="str">
        <f t="shared" si="66"/>
        <v/>
      </c>
      <c r="W468" s="67" t="str">
        <f t="shared" si="67"/>
        <v/>
      </c>
      <c r="X468" s="67" t="str">
        <f t="shared" si="68"/>
        <v/>
      </c>
      <c r="Y468" s="24" t="str">
        <f t="shared" si="69"/>
        <v/>
      </c>
      <c r="Z468">
        <f t="shared" si="70"/>
        <v>0</v>
      </c>
      <c r="AA468">
        <f t="shared" si="71"/>
        <v>0</v>
      </c>
    </row>
    <row r="469" spans="2:27" ht="15.75" customHeight="1" x14ac:dyDescent="0.3">
      <c r="B469" s="21"/>
      <c r="C469" s="21"/>
      <c r="D469" s="21"/>
      <c r="E469" s="22" t="str">
        <f t="shared" si="63"/>
        <v/>
      </c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3" t="str">
        <f>IF($F469="","",IF(OR($B469="",$C469="",$D469=""),"⚠ Compléter Année/Niveau/Session",IF(AND($E469&lt;&gt;"",COUNTIF(D_KEY_DOUBLON,$B469&amp;"|"&amp;$D469&amp;"|"&amp;$E469)&gt;1),"⚠ Doublon",IF(AND($E469&lt;&gt;"",COUNTIF(D_KEY_STATUT,$B469&amp;"|"&amp;$E469&amp;"|P")&gt;0,COUNTIF(D_KEY_STATUT,$B469&amp;"|"&amp;$E469&amp;"|A")&gt;0),"⚠ Statut incohérent",IF(AND($D469="S1",$Y469&lt;&gt;"Parti",COUNTIF(ANNEES_VERROU,$B469)&gt;0,COUNTIF(D_KEY_NIVSES,$B469&amp;"|"&amp;$C469&amp;"|S2")&gt;0,COUNTIF(D_KEY_DOUBLON,$B469&amp;"|S2|"&amp;$E469)=0),"⚠ Départ non confirmé ?",IF(AND($C469&lt;&gt;"",ISNUMBER($I469),OR(VALUE(LEFT($B469,4))-$I469&lt;4+IFERROR(MATCH($C469,LISTE_NIVEAUX,0),99),VALUE(LEFT($B469,4))-$I469&gt;6+IFERROR(MATCH($C469,LISTE_NIVEAUX,0),99))),"⚠ Vérifier niveau",IF(AND(IFERROR(VLOOKUP($C469,TABLE_CYCLE,2,0),3)=2,COUNT($O469:$Q469)&gt;0),"⚠ Tests cycle 3",IF(COUNT($J469:$Q469)&gt;=IF(IFERROR(VLOOKUP($C469,TABLE_CYCLE,2,0),3)=2,5,8),"Complet","Incomplet"))))))))</f>
        <v/>
      </c>
      <c r="S469" s="24"/>
      <c r="T469" s="67" t="str">
        <f t="shared" si="64"/>
        <v/>
      </c>
      <c r="U469" s="67" t="str">
        <f t="shared" si="65"/>
        <v/>
      </c>
      <c r="V469" s="67" t="str">
        <f t="shared" si="66"/>
        <v/>
      </c>
      <c r="W469" s="67" t="str">
        <f t="shared" si="67"/>
        <v/>
      </c>
      <c r="X469" s="67" t="str">
        <f t="shared" si="68"/>
        <v/>
      </c>
      <c r="Y469" s="24" t="str">
        <f t="shared" si="69"/>
        <v/>
      </c>
      <c r="Z469">
        <f t="shared" si="70"/>
        <v>0</v>
      </c>
      <c r="AA469">
        <f t="shared" si="71"/>
        <v>0</v>
      </c>
    </row>
    <row r="470" spans="2:27" ht="15.75" customHeight="1" x14ac:dyDescent="0.3">
      <c r="B470" s="25"/>
      <c r="C470" s="25"/>
      <c r="D470" s="25"/>
      <c r="E470" s="26" t="str">
        <f t="shared" si="63"/>
        <v/>
      </c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3" t="str">
        <f>IF($F470="","",IF(OR($B470="",$C470="",$D470=""),"⚠ Compléter Année/Niveau/Session",IF(AND($E470&lt;&gt;"",COUNTIF(D_KEY_DOUBLON,$B470&amp;"|"&amp;$D470&amp;"|"&amp;$E470)&gt;1),"⚠ Doublon",IF(AND($E470&lt;&gt;"",COUNTIF(D_KEY_STATUT,$B470&amp;"|"&amp;$E470&amp;"|P")&gt;0,COUNTIF(D_KEY_STATUT,$B470&amp;"|"&amp;$E470&amp;"|A")&gt;0),"⚠ Statut incohérent",IF(AND($D470="S1",$Y470&lt;&gt;"Parti",COUNTIF(ANNEES_VERROU,$B470)&gt;0,COUNTIF(D_KEY_NIVSES,$B470&amp;"|"&amp;$C470&amp;"|S2")&gt;0,COUNTIF(D_KEY_DOUBLON,$B470&amp;"|S2|"&amp;$E470)=0),"⚠ Départ non confirmé ?",IF(AND($C470&lt;&gt;"",ISNUMBER($I470),OR(VALUE(LEFT($B470,4))-$I470&lt;4+IFERROR(MATCH($C470,LISTE_NIVEAUX,0),99),VALUE(LEFT($B470,4))-$I470&gt;6+IFERROR(MATCH($C470,LISTE_NIVEAUX,0),99))),"⚠ Vérifier niveau",IF(AND(IFERROR(VLOOKUP($C470,TABLE_CYCLE,2,0),3)=2,COUNT($O470:$Q470)&gt;0),"⚠ Tests cycle 3",IF(COUNT($J470:$Q470)&gt;=IF(IFERROR(VLOOKUP($C470,TABLE_CYCLE,2,0),3)=2,5,8),"Complet","Incomplet"))))))))</f>
        <v/>
      </c>
      <c r="S470" s="24"/>
      <c r="T470" s="67" t="str">
        <f t="shared" si="64"/>
        <v/>
      </c>
      <c r="U470" s="67" t="str">
        <f t="shared" si="65"/>
        <v/>
      </c>
      <c r="V470" s="67" t="str">
        <f t="shared" si="66"/>
        <v/>
      </c>
      <c r="W470" s="67" t="str">
        <f t="shared" si="67"/>
        <v/>
      </c>
      <c r="X470" s="67" t="str">
        <f t="shared" si="68"/>
        <v/>
      </c>
      <c r="Y470" s="24" t="str">
        <f t="shared" si="69"/>
        <v/>
      </c>
      <c r="Z470">
        <f t="shared" si="70"/>
        <v>0</v>
      </c>
      <c r="AA470">
        <f t="shared" si="71"/>
        <v>0</v>
      </c>
    </row>
    <row r="471" spans="2:27" ht="15.75" customHeight="1" x14ac:dyDescent="0.3">
      <c r="B471" s="21"/>
      <c r="C471" s="21"/>
      <c r="D471" s="21"/>
      <c r="E471" s="22" t="str">
        <f t="shared" si="63"/>
        <v/>
      </c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3" t="str">
        <f>IF($F471="","",IF(OR($B471="",$C471="",$D471=""),"⚠ Compléter Année/Niveau/Session",IF(AND($E471&lt;&gt;"",COUNTIF(D_KEY_DOUBLON,$B471&amp;"|"&amp;$D471&amp;"|"&amp;$E471)&gt;1),"⚠ Doublon",IF(AND($E471&lt;&gt;"",COUNTIF(D_KEY_STATUT,$B471&amp;"|"&amp;$E471&amp;"|P")&gt;0,COUNTIF(D_KEY_STATUT,$B471&amp;"|"&amp;$E471&amp;"|A")&gt;0),"⚠ Statut incohérent",IF(AND($D471="S1",$Y471&lt;&gt;"Parti",COUNTIF(ANNEES_VERROU,$B471)&gt;0,COUNTIF(D_KEY_NIVSES,$B471&amp;"|"&amp;$C471&amp;"|S2")&gt;0,COUNTIF(D_KEY_DOUBLON,$B471&amp;"|S2|"&amp;$E471)=0),"⚠ Départ non confirmé ?",IF(AND($C471&lt;&gt;"",ISNUMBER($I471),OR(VALUE(LEFT($B471,4))-$I471&lt;4+IFERROR(MATCH($C471,LISTE_NIVEAUX,0),99),VALUE(LEFT($B471,4))-$I471&gt;6+IFERROR(MATCH($C471,LISTE_NIVEAUX,0),99))),"⚠ Vérifier niveau",IF(AND(IFERROR(VLOOKUP($C471,TABLE_CYCLE,2,0),3)=2,COUNT($O471:$Q471)&gt;0),"⚠ Tests cycle 3",IF(COUNT($J471:$Q471)&gt;=IF(IFERROR(VLOOKUP($C471,TABLE_CYCLE,2,0),3)=2,5,8),"Complet","Incomplet"))))))))</f>
        <v/>
      </c>
      <c r="S471" s="24"/>
      <c r="T471" s="67" t="str">
        <f t="shared" si="64"/>
        <v/>
      </c>
      <c r="U471" s="67" t="str">
        <f t="shared" si="65"/>
        <v/>
      </c>
      <c r="V471" s="67" t="str">
        <f t="shared" si="66"/>
        <v/>
      </c>
      <c r="W471" s="67" t="str">
        <f t="shared" si="67"/>
        <v/>
      </c>
      <c r="X471" s="67" t="str">
        <f t="shared" si="68"/>
        <v/>
      </c>
      <c r="Y471" s="24" t="str">
        <f t="shared" si="69"/>
        <v/>
      </c>
      <c r="Z471">
        <f t="shared" si="70"/>
        <v>0</v>
      </c>
      <c r="AA471">
        <f t="shared" si="71"/>
        <v>0</v>
      </c>
    </row>
    <row r="472" spans="2:27" ht="15.75" customHeight="1" x14ac:dyDescent="0.3">
      <c r="B472" s="25"/>
      <c r="C472" s="25"/>
      <c r="D472" s="25"/>
      <c r="E472" s="26" t="str">
        <f t="shared" si="63"/>
        <v/>
      </c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3" t="str">
        <f>IF($F472="","",IF(OR($B472="",$C472="",$D472=""),"⚠ Compléter Année/Niveau/Session",IF(AND($E472&lt;&gt;"",COUNTIF(D_KEY_DOUBLON,$B472&amp;"|"&amp;$D472&amp;"|"&amp;$E472)&gt;1),"⚠ Doublon",IF(AND($E472&lt;&gt;"",COUNTIF(D_KEY_STATUT,$B472&amp;"|"&amp;$E472&amp;"|P")&gt;0,COUNTIF(D_KEY_STATUT,$B472&amp;"|"&amp;$E472&amp;"|A")&gt;0),"⚠ Statut incohérent",IF(AND($D472="S1",$Y472&lt;&gt;"Parti",COUNTIF(ANNEES_VERROU,$B472)&gt;0,COUNTIF(D_KEY_NIVSES,$B472&amp;"|"&amp;$C472&amp;"|S2")&gt;0,COUNTIF(D_KEY_DOUBLON,$B472&amp;"|S2|"&amp;$E472)=0),"⚠ Départ non confirmé ?",IF(AND($C472&lt;&gt;"",ISNUMBER($I472),OR(VALUE(LEFT($B472,4))-$I472&lt;4+IFERROR(MATCH($C472,LISTE_NIVEAUX,0),99),VALUE(LEFT($B472,4))-$I472&gt;6+IFERROR(MATCH($C472,LISTE_NIVEAUX,0),99))),"⚠ Vérifier niveau",IF(AND(IFERROR(VLOOKUP($C472,TABLE_CYCLE,2,0),3)=2,COUNT($O472:$Q472)&gt;0),"⚠ Tests cycle 3",IF(COUNT($J472:$Q472)&gt;=IF(IFERROR(VLOOKUP($C472,TABLE_CYCLE,2,0),3)=2,5,8),"Complet","Incomplet"))))))))</f>
        <v/>
      </c>
      <c r="S472" s="24"/>
      <c r="T472" s="67" t="str">
        <f t="shared" si="64"/>
        <v/>
      </c>
      <c r="U472" s="67" t="str">
        <f t="shared" si="65"/>
        <v/>
      </c>
      <c r="V472" s="67" t="str">
        <f t="shared" si="66"/>
        <v/>
      </c>
      <c r="W472" s="67" t="str">
        <f t="shared" si="67"/>
        <v/>
      </c>
      <c r="X472" s="67" t="str">
        <f t="shared" si="68"/>
        <v/>
      </c>
      <c r="Y472" s="24" t="str">
        <f t="shared" si="69"/>
        <v/>
      </c>
      <c r="Z472">
        <f t="shared" si="70"/>
        <v>0</v>
      </c>
      <c r="AA472">
        <f t="shared" si="71"/>
        <v>0</v>
      </c>
    </row>
    <row r="473" spans="2:27" ht="15.75" customHeight="1" x14ac:dyDescent="0.3">
      <c r="B473" s="21"/>
      <c r="C473" s="21"/>
      <c r="D473" s="21"/>
      <c r="E473" s="22" t="str">
        <f t="shared" si="63"/>
        <v/>
      </c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3" t="str">
        <f>IF($F473="","",IF(OR($B473="",$C473="",$D473=""),"⚠ Compléter Année/Niveau/Session",IF(AND($E473&lt;&gt;"",COUNTIF(D_KEY_DOUBLON,$B473&amp;"|"&amp;$D473&amp;"|"&amp;$E473)&gt;1),"⚠ Doublon",IF(AND($E473&lt;&gt;"",COUNTIF(D_KEY_STATUT,$B473&amp;"|"&amp;$E473&amp;"|P")&gt;0,COUNTIF(D_KEY_STATUT,$B473&amp;"|"&amp;$E473&amp;"|A")&gt;0),"⚠ Statut incohérent",IF(AND($D473="S1",$Y473&lt;&gt;"Parti",COUNTIF(ANNEES_VERROU,$B473)&gt;0,COUNTIF(D_KEY_NIVSES,$B473&amp;"|"&amp;$C473&amp;"|S2")&gt;0,COUNTIF(D_KEY_DOUBLON,$B473&amp;"|S2|"&amp;$E473)=0),"⚠ Départ non confirmé ?",IF(AND($C473&lt;&gt;"",ISNUMBER($I473),OR(VALUE(LEFT($B473,4))-$I473&lt;4+IFERROR(MATCH($C473,LISTE_NIVEAUX,0),99),VALUE(LEFT($B473,4))-$I473&gt;6+IFERROR(MATCH($C473,LISTE_NIVEAUX,0),99))),"⚠ Vérifier niveau",IF(AND(IFERROR(VLOOKUP($C473,TABLE_CYCLE,2,0),3)=2,COUNT($O473:$Q473)&gt;0),"⚠ Tests cycle 3",IF(COUNT($J473:$Q473)&gt;=IF(IFERROR(VLOOKUP($C473,TABLE_CYCLE,2,0),3)=2,5,8),"Complet","Incomplet"))))))))</f>
        <v/>
      </c>
      <c r="S473" s="24"/>
      <c r="T473" s="67" t="str">
        <f t="shared" si="64"/>
        <v/>
      </c>
      <c r="U473" s="67" t="str">
        <f t="shared" si="65"/>
        <v/>
      </c>
      <c r="V473" s="67" t="str">
        <f t="shared" si="66"/>
        <v/>
      </c>
      <c r="W473" s="67" t="str">
        <f t="shared" si="67"/>
        <v/>
      </c>
      <c r="X473" s="67" t="str">
        <f t="shared" si="68"/>
        <v/>
      </c>
      <c r="Y473" s="24" t="str">
        <f t="shared" si="69"/>
        <v/>
      </c>
      <c r="Z473">
        <f t="shared" si="70"/>
        <v>0</v>
      </c>
      <c r="AA473">
        <f t="shared" si="71"/>
        <v>0</v>
      </c>
    </row>
    <row r="474" spans="2:27" ht="15.75" customHeight="1" x14ac:dyDescent="0.3">
      <c r="B474" s="25"/>
      <c r="C474" s="25"/>
      <c r="D474" s="25"/>
      <c r="E474" s="26" t="str">
        <f t="shared" si="63"/>
        <v/>
      </c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3" t="str">
        <f>IF($F474="","",IF(OR($B474="",$C474="",$D474=""),"⚠ Compléter Année/Niveau/Session",IF(AND($E474&lt;&gt;"",COUNTIF(D_KEY_DOUBLON,$B474&amp;"|"&amp;$D474&amp;"|"&amp;$E474)&gt;1),"⚠ Doublon",IF(AND($E474&lt;&gt;"",COUNTIF(D_KEY_STATUT,$B474&amp;"|"&amp;$E474&amp;"|P")&gt;0,COUNTIF(D_KEY_STATUT,$B474&amp;"|"&amp;$E474&amp;"|A")&gt;0),"⚠ Statut incohérent",IF(AND($D474="S1",$Y474&lt;&gt;"Parti",COUNTIF(ANNEES_VERROU,$B474)&gt;0,COUNTIF(D_KEY_NIVSES,$B474&amp;"|"&amp;$C474&amp;"|S2")&gt;0,COUNTIF(D_KEY_DOUBLON,$B474&amp;"|S2|"&amp;$E474)=0),"⚠ Départ non confirmé ?",IF(AND($C474&lt;&gt;"",ISNUMBER($I474),OR(VALUE(LEFT($B474,4))-$I474&lt;4+IFERROR(MATCH($C474,LISTE_NIVEAUX,0),99),VALUE(LEFT($B474,4))-$I474&gt;6+IFERROR(MATCH($C474,LISTE_NIVEAUX,0),99))),"⚠ Vérifier niveau",IF(AND(IFERROR(VLOOKUP($C474,TABLE_CYCLE,2,0),3)=2,COUNT($O474:$Q474)&gt;0),"⚠ Tests cycle 3",IF(COUNT($J474:$Q474)&gt;=IF(IFERROR(VLOOKUP($C474,TABLE_CYCLE,2,0),3)=2,5,8),"Complet","Incomplet"))))))))</f>
        <v/>
      </c>
      <c r="S474" s="24"/>
      <c r="T474" s="67" t="str">
        <f t="shared" si="64"/>
        <v/>
      </c>
      <c r="U474" s="67" t="str">
        <f t="shared" si="65"/>
        <v/>
      </c>
      <c r="V474" s="67" t="str">
        <f t="shared" si="66"/>
        <v/>
      </c>
      <c r="W474" s="67" t="str">
        <f t="shared" si="67"/>
        <v/>
      </c>
      <c r="X474" s="67" t="str">
        <f t="shared" si="68"/>
        <v/>
      </c>
      <c r="Y474" s="24" t="str">
        <f t="shared" si="69"/>
        <v/>
      </c>
      <c r="Z474">
        <f t="shared" si="70"/>
        <v>0</v>
      </c>
      <c r="AA474">
        <f t="shared" si="71"/>
        <v>0</v>
      </c>
    </row>
    <row r="475" spans="2:27" ht="15.75" customHeight="1" x14ac:dyDescent="0.3">
      <c r="B475" s="21"/>
      <c r="C475" s="21"/>
      <c r="D475" s="21"/>
      <c r="E475" s="22" t="str">
        <f t="shared" si="63"/>
        <v/>
      </c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3" t="str">
        <f>IF($F475="","",IF(OR($B475="",$C475="",$D475=""),"⚠ Compléter Année/Niveau/Session",IF(AND($E475&lt;&gt;"",COUNTIF(D_KEY_DOUBLON,$B475&amp;"|"&amp;$D475&amp;"|"&amp;$E475)&gt;1),"⚠ Doublon",IF(AND($E475&lt;&gt;"",COUNTIF(D_KEY_STATUT,$B475&amp;"|"&amp;$E475&amp;"|P")&gt;0,COUNTIF(D_KEY_STATUT,$B475&amp;"|"&amp;$E475&amp;"|A")&gt;0),"⚠ Statut incohérent",IF(AND($D475="S1",$Y475&lt;&gt;"Parti",COUNTIF(ANNEES_VERROU,$B475)&gt;0,COUNTIF(D_KEY_NIVSES,$B475&amp;"|"&amp;$C475&amp;"|S2")&gt;0,COUNTIF(D_KEY_DOUBLON,$B475&amp;"|S2|"&amp;$E475)=0),"⚠ Départ non confirmé ?",IF(AND($C475&lt;&gt;"",ISNUMBER($I475),OR(VALUE(LEFT($B475,4))-$I475&lt;4+IFERROR(MATCH($C475,LISTE_NIVEAUX,0),99),VALUE(LEFT($B475,4))-$I475&gt;6+IFERROR(MATCH($C475,LISTE_NIVEAUX,0),99))),"⚠ Vérifier niveau",IF(AND(IFERROR(VLOOKUP($C475,TABLE_CYCLE,2,0),3)=2,COUNT($O475:$Q475)&gt;0),"⚠ Tests cycle 3",IF(COUNT($J475:$Q475)&gt;=IF(IFERROR(VLOOKUP($C475,TABLE_CYCLE,2,0),3)=2,5,8),"Complet","Incomplet"))))))))</f>
        <v/>
      </c>
      <c r="S475" s="24"/>
      <c r="T475" s="67" t="str">
        <f t="shared" si="64"/>
        <v/>
      </c>
      <c r="U475" s="67" t="str">
        <f t="shared" si="65"/>
        <v/>
      </c>
      <c r="V475" s="67" t="str">
        <f t="shared" si="66"/>
        <v/>
      </c>
      <c r="W475" s="67" t="str">
        <f t="shared" si="67"/>
        <v/>
      </c>
      <c r="X475" s="67" t="str">
        <f t="shared" si="68"/>
        <v/>
      </c>
      <c r="Y475" s="24" t="str">
        <f t="shared" si="69"/>
        <v/>
      </c>
      <c r="Z475">
        <f t="shared" si="70"/>
        <v>0</v>
      </c>
      <c r="AA475">
        <f t="shared" si="71"/>
        <v>0</v>
      </c>
    </row>
    <row r="476" spans="2:27" ht="15.75" customHeight="1" x14ac:dyDescent="0.3">
      <c r="B476" s="25"/>
      <c r="C476" s="25"/>
      <c r="D476" s="25"/>
      <c r="E476" s="26" t="str">
        <f t="shared" si="63"/>
        <v/>
      </c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3" t="str">
        <f>IF($F476="","",IF(OR($B476="",$C476="",$D476=""),"⚠ Compléter Année/Niveau/Session",IF(AND($E476&lt;&gt;"",COUNTIF(D_KEY_DOUBLON,$B476&amp;"|"&amp;$D476&amp;"|"&amp;$E476)&gt;1),"⚠ Doublon",IF(AND($E476&lt;&gt;"",COUNTIF(D_KEY_STATUT,$B476&amp;"|"&amp;$E476&amp;"|P")&gt;0,COUNTIF(D_KEY_STATUT,$B476&amp;"|"&amp;$E476&amp;"|A")&gt;0),"⚠ Statut incohérent",IF(AND($D476="S1",$Y476&lt;&gt;"Parti",COUNTIF(ANNEES_VERROU,$B476)&gt;0,COUNTIF(D_KEY_NIVSES,$B476&amp;"|"&amp;$C476&amp;"|S2")&gt;0,COUNTIF(D_KEY_DOUBLON,$B476&amp;"|S2|"&amp;$E476)=0),"⚠ Départ non confirmé ?",IF(AND($C476&lt;&gt;"",ISNUMBER($I476),OR(VALUE(LEFT($B476,4))-$I476&lt;4+IFERROR(MATCH($C476,LISTE_NIVEAUX,0),99),VALUE(LEFT($B476,4))-$I476&gt;6+IFERROR(MATCH($C476,LISTE_NIVEAUX,0),99))),"⚠ Vérifier niveau",IF(AND(IFERROR(VLOOKUP($C476,TABLE_CYCLE,2,0),3)=2,COUNT($O476:$Q476)&gt;0),"⚠ Tests cycle 3",IF(COUNT($J476:$Q476)&gt;=IF(IFERROR(VLOOKUP($C476,TABLE_CYCLE,2,0),3)=2,5,8),"Complet","Incomplet"))))))))</f>
        <v/>
      </c>
      <c r="S476" s="24"/>
      <c r="T476" s="67" t="str">
        <f t="shared" si="64"/>
        <v/>
      </c>
      <c r="U476" s="67" t="str">
        <f t="shared" si="65"/>
        <v/>
      </c>
      <c r="V476" s="67" t="str">
        <f t="shared" si="66"/>
        <v/>
      </c>
      <c r="W476" s="67" t="str">
        <f t="shared" si="67"/>
        <v/>
      </c>
      <c r="X476" s="67" t="str">
        <f t="shared" si="68"/>
        <v/>
      </c>
      <c r="Y476" s="24" t="str">
        <f t="shared" si="69"/>
        <v/>
      </c>
      <c r="Z476">
        <f t="shared" si="70"/>
        <v>0</v>
      </c>
      <c r="AA476">
        <f t="shared" si="71"/>
        <v>0</v>
      </c>
    </row>
    <row r="477" spans="2:27" ht="15.75" customHeight="1" x14ac:dyDescent="0.3">
      <c r="B477" s="21"/>
      <c r="C477" s="21"/>
      <c r="D477" s="21"/>
      <c r="E477" s="22" t="str">
        <f t="shared" si="63"/>
        <v/>
      </c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3" t="str">
        <f>IF($F477="","",IF(OR($B477="",$C477="",$D477=""),"⚠ Compléter Année/Niveau/Session",IF(AND($E477&lt;&gt;"",COUNTIF(D_KEY_DOUBLON,$B477&amp;"|"&amp;$D477&amp;"|"&amp;$E477)&gt;1),"⚠ Doublon",IF(AND($E477&lt;&gt;"",COUNTIF(D_KEY_STATUT,$B477&amp;"|"&amp;$E477&amp;"|P")&gt;0,COUNTIF(D_KEY_STATUT,$B477&amp;"|"&amp;$E477&amp;"|A")&gt;0),"⚠ Statut incohérent",IF(AND($D477="S1",$Y477&lt;&gt;"Parti",COUNTIF(ANNEES_VERROU,$B477)&gt;0,COUNTIF(D_KEY_NIVSES,$B477&amp;"|"&amp;$C477&amp;"|S2")&gt;0,COUNTIF(D_KEY_DOUBLON,$B477&amp;"|S2|"&amp;$E477)=0),"⚠ Départ non confirmé ?",IF(AND($C477&lt;&gt;"",ISNUMBER($I477),OR(VALUE(LEFT($B477,4))-$I477&lt;4+IFERROR(MATCH($C477,LISTE_NIVEAUX,0),99),VALUE(LEFT($B477,4))-$I477&gt;6+IFERROR(MATCH($C477,LISTE_NIVEAUX,0),99))),"⚠ Vérifier niveau",IF(AND(IFERROR(VLOOKUP($C477,TABLE_CYCLE,2,0),3)=2,COUNT($O477:$Q477)&gt;0),"⚠ Tests cycle 3",IF(COUNT($J477:$Q477)&gt;=IF(IFERROR(VLOOKUP($C477,TABLE_CYCLE,2,0),3)=2,5,8),"Complet","Incomplet"))))))))</f>
        <v/>
      </c>
      <c r="S477" s="24"/>
      <c r="T477" s="67" t="str">
        <f t="shared" si="64"/>
        <v/>
      </c>
      <c r="U477" s="67" t="str">
        <f t="shared" si="65"/>
        <v/>
      </c>
      <c r="V477" s="67" t="str">
        <f t="shared" si="66"/>
        <v/>
      </c>
      <c r="W477" s="67" t="str">
        <f t="shared" si="67"/>
        <v/>
      </c>
      <c r="X477" s="67" t="str">
        <f t="shared" si="68"/>
        <v/>
      </c>
      <c r="Y477" s="24" t="str">
        <f t="shared" si="69"/>
        <v/>
      </c>
      <c r="Z477">
        <f t="shared" si="70"/>
        <v>0</v>
      </c>
      <c r="AA477">
        <f t="shared" si="71"/>
        <v>0</v>
      </c>
    </row>
    <row r="478" spans="2:27" ht="15.75" customHeight="1" x14ac:dyDescent="0.3">
      <c r="B478" s="25"/>
      <c r="C478" s="25"/>
      <c r="D478" s="25"/>
      <c r="E478" s="26" t="str">
        <f t="shared" si="63"/>
        <v/>
      </c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3" t="str">
        <f>IF($F478="","",IF(OR($B478="",$C478="",$D478=""),"⚠ Compléter Année/Niveau/Session",IF(AND($E478&lt;&gt;"",COUNTIF(D_KEY_DOUBLON,$B478&amp;"|"&amp;$D478&amp;"|"&amp;$E478)&gt;1),"⚠ Doublon",IF(AND($E478&lt;&gt;"",COUNTIF(D_KEY_STATUT,$B478&amp;"|"&amp;$E478&amp;"|P")&gt;0,COUNTIF(D_KEY_STATUT,$B478&amp;"|"&amp;$E478&amp;"|A")&gt;0),"⚠ Statut incohérent",IF(AND($D478="S1",$Y478&lt;&gt;"Parti",COUNTIF(ANNEES_VERROU,$B478)&gt;0,COUNTIF(D_KEY_NIVSES,$B478&amp;"|"&amp;$C478&amp;"|S2")&gt;0,COUNTIF(D_KEY_DOUBLON,$B478&amp;"|S2|"&amp;$E478)=0),"⚠ Départ non confirmé ?",IF(AND($C478&lt;&gt;"",ISNUMBER($I478),OR(VALUE(LEFT($B478,4))-$I478&lt;4+IFERROR(MATCH($C478,LISTE_NIVEAUX,0),99),VALUE(LEFT($B478,4))-$I478&gt;6+IFERROR(MATCH($C478,LISTE_NIVEAUX,0),99))),"⚠ Vérifier niveau",IF(AND(IFERROR(VLOOKUP($C478,TABLE_CYCLE,2,0),3)=2,COUNT($O478:$Q478)&gt;0),"⚠ Tests cycle 3",IF(COUNT($J478:$Q478)&gt;=IF(IFERROR(VLOOKUP($C478,TABLE_CYCLE,2,0),3)=2,5,8),"Complet","Incomplet"))))))))</f>
        <v/>
      </c>
      <c r="S478" s="24"/>
      <c r="T478" s="67" t="str">
        <f t="shared" si="64"/>
        <v/>
      </c>
      <c r="U478" s="67" t="str">
        <f t="shared" si="65"/>
        <v/>
      </c>
      <c r="V478" s="67" t="str">
        <f t="shared" si="66"/>
        <v/>
      </c>
      <c r="W478" s="67" t="str">
        <f t="shared" si="67"/>
        <v/>
      </c>
      <c r="X478" s="67" t="str">
        <f t="shared" si="68"/>
        <v/>
      </c>
      <c r="Y478" s="24" t="str">
        <f t="shared" si="69"/>
        <v/>
      </c>
      <c r="Z478">
        <f t="shared" si="70"/>
        <v>0</v>
      </c>
      <c r="AA478">
        <f t="shared" si="71"/>
        <v>0</v>
      </c>
    </row>
    <row r="479" spans="2:27" ht="15.75" customHeight="1" x14ac:dyDescent="0.3">
      <c r="B479" s="21"/>
      <c r="C479" s="21"/>
      <c r="D479" s="21"/>
      <c r="E479" s="22" t="str">
        <f t="shared" si="63"/>
        <v/>
      </c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3" t="str">
        <f>IF($F479="","",IF(OR($B479="",$C479="",$D479=""),"⚠ Compléter Année/Niveau/Session",IF(AND($E479&lt;&gt;"",COUNTIF(D_KEY_DOUBLON,$B479&amp;"|"&amp;$D479&amp;"|"&amp;$E479)&gt;1),"⚠ Doublon",IF(AND($E479&lt;&gt;"",COUNTIF(D_KEY_STATUT,$B479&amp;"|"&amp;$E479&amp;"|P")&gt;0,COUNTIF(D_KEY_STATUT,$B479&amp;"|"&amp;$E479&amp;"|A")&gt;0),"⚠ Statut incohérent",IF(AND($D479="S1",$Y479&lt;&gt;"Parti",COUNTIF(ANNEES_VERROU,$B479)&gt;0,COUNTIF(D_KEY_NIVSES,$B479&amp;"|"&amp;$C479&amp;"|S2")&gt;0,COUNTIF(D_KEY_DOUBLON,$B479&amp;"|S2|"&amp;$E479)=0),"⚠ Départ non confirmé ?",IF(AND($C479&lt;&gt;"",ISNUMBER($I479),OR(VALUE(LEFT($B479,4))-$I479&lt;4+IFERROR(MATCH($C479,LISTE_NIVEAUX,0),99),VALUE(LEFT($B479,4))-$I479&gt;6+IFERROR(MATCH($C479,LISTE_NIVEAUX,0),99))),"⚠ Vérifier niveau",IF(AND(IFERROR(VLOOKUP($C479,TABLE_CYCLE,2,0),3)=2,COUNT($O479:$Q479)&gt;0),"⚠ Tests cycle 3",IF(COUNT($J479:$Q479)&gt;=IF(IFERROR(VLOOKUP($C479,TABLE_CYCLE,2,0),3)=2,5,8),"Complet","Incomplet"))))))))</f>
        <v/>
      </c>
      <c r="S479" s="24"/>
      <c r="T479" s="67" t="str">
        <f t="shared" si="64"/>
        <v/>
      </c>
      <c r="U479" s="67" t="str">
        <f t="shared" si="65"/>
        <v/>
      </c>
      <c r="V479" s="67" t="str">
        <f t="shared" si="66"/>
        <v/>
      </c>
      <c r="W479" s="67" t="str">
        <f t="shared" si="67"/>
        <v/>
      </c>
      <c r="X479" s="67" t="str">
        <f t="shared" si="68"/>
        <v/>
      </c>
      <c r="Y479" s="24" t="str">
        <f t="shared" si="69"/>
        <v/>
      </c>
      <c r="Z479">
        <f t="shared" si="70"/>
        <v>0</v>
      </c>
      <c r="AA479">
        <f t="shared" si="71"/>
        <v>0</v>
      </c>
    </row>
    <row r="480" spans="2:27" ht="15.75" customHeight="1" x14ac:dyDescent="0.3">
      <c r="B480" s="25"/>
      <c r="C480" s="25"/>
      <c r="D480" s="25"/>
      <c r="E480" s="26" t="str">
        <f t="shared" si="63"/>
        <v/>
      </c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3" t="str">
        <f>IF($F480="","",IF(OR($B480="",$C480="",$D480=""),"⚠ Compléter Année/Niveau/Session",IF(AND($E480&lt;&gt;"",COUNTIF(D_KEY_DOUBLON,$B480&amp;"|"&amp;$D480&amp;"|"&amp;$E480)&gt;1),"⚠ Doublon",IF(AND($E480&lt;&gt;"",COUNTIF(D_KEY_STATUT,$B480&amp;"|"&amp;$E480&amp;"|P")&gt;0,COUNTIF(D_KEY_STATUT,$B480&amp;"|"&amp;$E480&amp;"|A")&gt;0),"⚠ Statut incohérent",IF(AND($D480="S1",$Y480&lt;&gt;"Parti",COUNTIF(ANNEES_VERROU,$B480)&gt;0,COUNTIF(D_KEY_NIVSES,$B480&amp;"|"&amp;$C480&amp;"|S2")&gt;0,COUNTIF(D_KEY_DOUBLON,$B480&amp;"|S2|"&amp;$E480)=0),"⚠ Départ non confirmé ?",IF(AND($C480&lt;&gt;"",ISNUMBER($I480),OR(VALUE(LEFT($B480,4))-$I480&lt;4+IFERROR(MATCH($C480,LISTE_NIVEAUX,0),99),VALUE(LEFT($B480,4))-$I480&gt;6+IFERROR(MATCH($C480,LISTE_NIVEAUX,0),99))),"⚠ Vérifier niveau",IF(AND(IFERROR(VLOOKUP($C480,TABLE_CYCLE,2,0),3)=2,COUNT($O480:$Q480)&gt;0),"⚠ Tests cycle 3",IF(COUNT($J480:$Q480)&gt;=IF(IFERROR(VLOOKUP($C480,TABLE_CYCLE,2,0),3)=2,5,8),"Complet","Incomplet"))))))))</f>
        <v/>
      </c>
      <c r="S480" s="24"/>
      <c r="T480" s="67" t="str">
        <f t="shared" si="64"/>
        <v/>
      </c>
      <c r="U480" s="67" t="str">
        <f t="shared" si="65"/>
        <v/>
      </c>
      <c r="V480" s="67" t="str">
        <f t="shared" si="66"/>
        <v/>
      </c>
      <c r="W480" s="67" t="str">
        <f t="shared" si="67"/>
        <v/>
      </c>
      <c r="X480" s="67" t="str">
        <f t="shared" si="68"/>
        <v/>
      </c>
      <c r="Y480" s="24" t="str">
        <f t="shared" si="69"/>
        <v/>
      </c>
      <c r="Z480">
        <f t="shared" si="70"/>
        <v>0</v>
      </c>
      <c r="AA480">
        <f t="shared" si="71"/>
        <v>0</v>
      </c>
    </row>
    <row r="481" spans="2:27" ht="15.75" customHeight="1" x14ac:dyDescent="0.3">
      <c r="B481" s="21"/>
      <c r="C481" s="21"/>
      <c r="D481" s="21"/>
      <c r="E481" s="22" t="str">
        <f t="shared" si="63"/>
        <v/>
      </c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3" t="str">
        <f>IF($F481="","",IF(OR($B481="",$C481="",$D481=""),"⚠ Compléter Année/Niveau/Session",IF(AND($E481&lt;&gt;"",COUNTIF(D_KEY_DOUBLON,$B481&amp;"|"&amp;$D481&amp;"|"&amp;$E481)&gt;1),"⚠ Doublon",IF(AND($E481&lt;&gt;"",COUNTIF(D_KEY_STATUT,$B481&amp;"|"&amp;$E481&amp;"|P")&gt;0,COUNTIF(D_KEY_STATUT,$B481&amp;"|"&amp;$E481&amp;"|A")&gt;0),"⚠ Statut incohérent",IF(AND($D481="S1",$Y481&lt;&gt;"Parti",COUNTIF(ANNEES_VERROU,$B481)&gt;0,COUNTIF(D_KEY_NIVSES,$B481&amp;"|"&amp;$C481&amp;"|S2")&gt;0,COUNTIF(D_KEY_DOUBLON,$B481&amp;"|S2|"&amp;$E481)=0),"⚠ Départ non confirmé ?",IF(AND($C481&lt;&gt;"",ISNUMBER($I481),OR(VALUE(LEFT($B481,4))-$I481&lt;4+IFERROR(MATCH($C481,LISTE_NIVEAUX,0),99),VALUE(LEFT($B481,4))-$I481&gt;6+IFERROR(MATCH($C481,LISTE_NIVEAUX,0),99))),"⚠ Vérifier niveau",IF(AND(IFERROR(VLOOKUP($C481,TABLE_CYCLE,2,0),3)=2,COUNT($O481:$Q481)&gt;0),"⚠ Tests cycle 3",IF(COUNT($J481:$Q481)&gt;=IF(IFERROR(VLOOKUP($C481,TABLE_CYCLE,2,0),3)=2,5,8),"Complet","Incomplet"))))))))</f>
        <v/>
      </c>
      <c r="S481" s="24"/>
      <c r="T481" s="67" t="str">
        <f t="shared" si="64"/>
        <v/>
      </c>
      <c r="U481" s="67" t="str">
        <f t="shared" si="65"/>
        <v/>
      </c>
      <c r="V481" s="67" t="str">
        <f t="shared" si="66"/>
        <v/>
      </c>
      <c r="W481" s="67" t="str">
        <f t="shared" si="67"/>
        <v/>
      </c>
      <c r="X481" s="67" t="str">
        <f t="shared" si="68"/>
        <v/>
      </c>
      <c r="Y481" s="24" t="str">
        <f t="shared" si="69"/>
        <v/>
      </c>
      <c r="Z481">
        <f t="shared" si="70"/>
        <v>0</v>
      </c>
      <c r="AA481">
        <f t="shared" si="71"/>
        <v>0</v>
      </c>
    </row>
    <row r="482" spans="2:27" ht="15.75" customHeight="1" x14ac:dyDescent="0.3">
      <c r="B482" s="25"/>
      <c r="C482" s="25"/>
      <c r="D482" s="25"/>
      <c r="E482" s="26" t="str">
        <f t="shared" si="63"/>
        <v/>
      </c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3" t="str">
        <f>IF($F482="","",IF(OR($B482="",$C482="",$D482=""),"⚠ Compléter Année/Niveau/Session",IF(AND($E482&lt;&gt;"",COUNTIF(D_KEY_DOUBLON,$B482&amp;"|"&amp;$D482&amp;"|"&amp;$E482)&gt;1),"⚠ Doublon",IF(AND($E482&lt;&gt;"",COUNTIF(D_KEY_STATUT,$B482&amp;"|"&amp;$E482&amp;"|P")&gt;0,COUNTIF(D_KEY_STATUT,$B482&amp;"|"&amp;$E482&amp;"|A")&gt;0),"⚠ Statut incohérent",IF(AND($D482="S1",$Y482&lt;&gt;"Parti",COUNTIF(ANNEES_VERROU,$B482)&gt;0,COUNTIF(D_KEY_NIVSES,$B482&amp;"|"&amp;$C482&amp;"|S2")&gt;0,COUNTIF(D_KEY_DOUBLON,$B482&amp;"|S2|"&amp;$E482)=0),"⚠ Départ non confirmé ?",IF(AND($C482&lt;&gt;"",ISNUMBER($I482),OR(VALUE(LEFT($B482,4))-$I482&lt;4+IFERROR(MATCH($C482,LISTE_NIVEAUX,0),99),VALUE(LEFT($B482,4))-$I482&gt;6+IFERROR(MATCH($C482,LISTE_NIVEAUX,0),99))),"⚠ Vérifier niveau",IF(AND(IFERROR(VLOOKUP($C482,TABLE_CYCLE,2,0),3)=2,COUNT($O482:$Q482)&gt;0),"⚠ Tests cycle 3",IF(COUNT($J482:$Q482)&gt;=IF(IFERROR(VLOOKUP($C482,TABLE_CYCLE,2,0),3)=2,5,8),"Complet","Incomplet"))))))))</f>
        <v/>
      </c>
      <c r="S482" s="24"/>
      <c r="T482" s="67" t="str">
        <f t="shared" si="64"/>
        <v/>
      </c>
      <c r="U482" s="67" t="str">
        <f t="shared" si="65"/>
        <v/>
      </c>
      <c r="V482" s="67" t="str">
        <f t="shared" si="66"/>
        <v/>
      </c>
      <c r="W482" s="67" t="str">
        <f t="shared" si="67"/>
        <v/>
      </c>
      <c r="X482" s="67" t="str">
        <f t="shared" si="68"/>
        <v/>
      </c>
      <c r="Y482" s="24" t="str">
        <f t="shared" si="69"/>
        <v/>
      </c>
      <c r="Z482">
        <f t="shared" si="70"/>
        <v>0</v>
      </c>
      <c r="AA482">
        <f t="shared" si="71"/>
        <v>0</v>
      </c>
    </row>
    <row r="483" spans="2:27" ht="15.75" customHeight="1" x14ac:dyDescent="0.3">
      <c r="B483" s="21"/>
      <c r="C483" s="21"/>
      <c r="D483" s="21"/>
      <c r="E483" s="22" t="str">
        <f t="shared" si="63"/>
        <v/>
      </c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3" t="str">
        <f>IF($F483="","",IF(OR($B483="",$C483="",$D483=""),"⚠ Compléter Année/Niveau/Session",IF(AND($E483&lt;&gt;"",COUNTIF(D_KEY_DOUBLON,$B483&amp;"|"&amp;$D483&amp;"|"&amp;$E483)&gt;1),"⚠ Doublon",IF(AND($E483&lt;&gt;"",COUNTIF(D_KEY_STATUT,$B483&amp;"|"&amp;$E483&amp;"|P")&gt;0,COUNTIF(D_KEY_STATUT,$B483&amp;"|"&amp;$E483&amp;"|A")&gt;0),"⚠ Statut incohérent",IF(AND($D483="S1",$Y483&lt;&gt;"Parti",COUNTIF(ANNEES_VERROU,$B483)&gt;0,COUNTIF(D_KEY_NIVSES,$B483&amp;"|"&amp;$C483&amp;"|S2")&gt;0,COUNTIF(D_KEY_DOUBLON,$B483&amp;"|S2|"&amp;$E483)=0),"⚠ Départ non confirmé ?",IF(AND($C483&lt;&gt;"",ISNUMBER($I483),OR(VALUE(LEFT($B483,4))-$I483&lt;4+IFERROR(MATCH($C483,LISTE_NIVEAUX,0),99),VALUE(LEFT($B483,4))-$I483&gt;6+IFERROR(MATCH($C483,LISTE_NIVEAUX,0),99))),"⚠ Vérifier niveau",IF(AND(IFERROR(VLOOKUP($C483,TABLE_CYCLE,2,0),3)=2,COUNT($O483:$Q483)&gt;0),"⚠ Tests cycle 3",IF(COUNT($J483:$Q483)&gt;=IF(IFERROR(VLOOKUP($C483,TABLE_CYCLE,2,0),3)=2,5,8),"Complet","Incomplet"))))))))</f>
        <v/>
      </c>
      <c r="S483" s="24"/>
      <c r="T483" s="67" t="str">
        <f t="shared" si="64"/>
        <v/>
      </c>
      <c r="U483" s="67" t="str">
        <f t="shared" si="65"/>
        <v/>
      </c>
      <c r="V483" s="67" t="str">
        <f t="shared" si="66"/>
        <v/>
      </c>
      <c r="W483" s="67" t="str">
        <f t="shared" si="67"/>
        <v/>
      </c>
      <c r="X483" s="67" t="str">
        <f t="shared" si="68"/>
        <v/>
      </c>
      <c r="Y483" s="24" t="str">
        <f t="shared" si="69"/>
        <v/>
      </c>
      <c r="Z483">
        <f t="shared" si="70"/>
        <v>0</v>
      </c>
      <c r="AA483">
        <f t="shared" si="71"/>
        <v>0</v>
      </c>
    </row>
    <row r="484" spans="2:27" ht="15.75" customHeight="1" x14ac:dyDescent="0.3">
      <c r="B484" s="25"/>
      <c r="C484" s="25"/>
      <c r="D484" s="25"/>
      <c r="E484" s="26" t="str">
        <f t="shared" si="63"/>
        <v/>
      </c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3" t="str">
        <f>IF($F484="","",IF(OR($B484="",$C484="",$D484=""),"⚠ Compléter Année/Niveau/Session",IF(AND($E484&lt;&gt;"",COUNTIF(D_KEY_DOUBLON,$B484&amp;"|"&amp;$D484&amp;"|"&amp;$E484)&gt;1),"⚠ Doublon",IF(AND($E484&lt;&gt;"",COUNTIF(D_KEY_STATUT,$B484&amp;"|"&amp;$E484&amp;"|P")&gt;0,COUNTIF(D_KEY_STATUT,$B484&amp;"|"&amp;$E484&amp;"|A")&gt;0),"⚠ Statut incohérent",IF(AND($D484="S1",$Y484&lt;&gt;"Parti",COUNTIF(ANNEES_VERROU,$B484)&gt;0,COUNTIF(D_KEY_NIVSES,$B484&amp;"|"&amp;$C484&amp;"|S2")&gt;0,COUNTIF(D_KEY_DOUBLON,$B484&amp;"|S2|"&amp;$E484)=0),"⚠ Départ non confirmé ?",IF(AND($C484&lt;&gt;"",ISNUMBER($I484),OR(VALUE(LEFT($B484,4))-$I484&lt;4+IFERROR(MATCH($C484,LISTE_NIVEAUX,0),99),VALUE(LEFT($B484,4))-$I484&gt;6+IFERROR(MATCH($C484,LISTE_NIVEAUX,0),99))),"⚠ Vérifier niveau",IF(AND(IFERROR(VLOOKUP($C484,TABLE_CYCLE,2,0),3)=2,COUNT($O484:$Q484)&gt;0),"⚠ Tests cycle 3",IF(COUNT($J484:$Q484)&gt;=IF(IFERROR(VLOOKUP($C484,TABLE_CYCLE,2,0),3)=2,5,8),"Complet","Incomplet"))))))))</f>
        <v/>
      </c>
      <c r="S484" s="24"/>
      <c r="T484" s="67" t="str">
        <f t="shared" si="64"/>
        <v/>
      </c>
      <c r="U484" s="67" t="str">
        <f t="shared" si="65"/>
        <v/>
      </c>
      <c r="V484" s="67" t="str">
        <f t="shared" si="66"/>
        <v/>
      </c>
      <c r="W484" s="67" t="str">
        <f t="shared" si="67"/>
        <v/>
      </c>
      <c r="X484" s="67" t="str">
        <f t="shared" si="68"/>
        <v/>
      </c>
      <c r="Y484" s="24" t="str">
        <f t="shared" si="69"/>
        <v/>
      </c>
      <c r="Z484">
        <f t="shared" si="70"/>
        <v>0</v>
      </c>
      <c r="AA484">
        <f t="shared" si="71"/>
        <v>0</v>
      </c>
    </row>
    <row r="485" spans="2:27" ht="15.75" customHeight="1" x14ac:dyDescent="0.3">
      <c r="B485" s="21"/>
      <c r="C485" s="21"/>
      <c r="D485" s="21"/>
      <c r="E485" s="22" t="str">
        <f t="shared" si="63"/>
        <v/>
      </c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3" t="str">
        <f>IF($F485="","",IF(OR($B485="",$C485="",$D485=""),"⚠ Compléter Année/Niveau/Session",IF(AND($E485&lt;&gt;"",COUNTIF(D_KEY_DOUBLON,$B485&amp;"|"&amp;$D485&amp;"|"&amp;$E485)&gt;1),"⚠ Doublon",IF(AND($E485&lt;&gt;"",COUNTIF(D_KEY_STATUT,$B485&amp;"|"&amp;$E485&amp;"|P")&gt;0,COUNTIF(D_KEY_STATUT,$B485&amp;"|"&amp;$E485&amp;"|A")&gt;0),"⚠ Statut incohérent",IF(AND($D485="S1",$Y485&lt;&gt;"Parti",COUNTIF(ANNEES_VERROU,$B485)&gt;0,COUNTIF(D_KEY_NIVSES,$B485&amp;"|"&amp;$C485&amp;"|S2")&gt;0,COUNTIF(D_KEY_DOUBLON,$B485&amp;"|S2|"&amp;$E485)=0),"⚠ Départ non confirmé ?",IF(AND($C485&lt;&gt;"",ISNUMBER($I485),OR(VALUE(LEFT($B485,4))-$I485&lt;4+IFERROR(MATCH($C485,LISTE_NIVEAUX,0),99),VALUE(LEFT($B485,4))-$I485&gt;6+IFERROR(MATCH($C485,LISTE_NIVEAUX,0),99))),"⚠ Vérifier niveau",IF(AND(IFERROR(VLOOKUP($C485,TABLE_CYCLE,2,0),3)=2,COUNT($O485:$Q485)&gt;0),"⚠ Tests cycle 3",IF(COUNT($J485:$Q485)&gt;=IF(IFERROR(VLOOKUP($C485,TABLE_CYCLE,2,0),3)=2,5,8),"Complet","Incomplet"))))))))</f>
        <v/>
      </c>
      <c r="S485" s="24"/>
      <c r="T485" s="67" t="str">
        <f t="shared" si="64"/>
        <v/>
      </c>
      <c r="U485" s="67" t="str">
        <f t="shared" si="65"/>
        <v/>
      </c>
      <c r="V485" s="67" t="str">
        <f t="shared" si="66"/>
        <v/>
      </c>
      <c r="W485" s="67" t="str">
        <f t="shared" si="67"/>
        <v/>
      </c>
      <c r="X485" s="67" t="str">
        <f t="shared" si="68"/>
        <v/>
      </c>
      <c r="Y485" s="24" t="str">
        <f t="shared" si="69"/>
        <v/>
      </c>
      <c r="Z485">
        <f t="shared" si="70"/>
        <v>0</v>
      </c>
      <c r="AA485">
        <f t="shared" si="71"/>
        <v>0</v>
      </c>
    </row>
    <row r="486" spans="2:27" ht="15.75" customHeight="1" x14ac:dyDescent="0.3">
      <c r="B486" s="25"/>
      <c r="C486" s="25"/>
      <c r="D486" s="25"/>
      <c r="E486" s="26" t="str">
        <f t="shared" si="63"/>
        <v/>
      </c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3" t="str">
        <f>IF($F486="","",IF(OR($B486="",$C486="",$D486=""),"⚠ Compléter Année/Niveau/Session",IF(AND($E486&lt;&gt;"",COUNTIF(D_KEY_DOUBLON,$B486&amp;"|"&amp;$D486&amp;"|"&amp;$E486)&gt;1),"⚠ Doublon",IF(AND($E486&lt;&gt;"",COUNTIF(D_KEY_STATUT,$B486&amp;"|"&amp;$E486&amp;"|P")&gt;0,COUNTIF(D_KEY_STATUT,$B486&amp;"|"&amp;$E486&amp;"|A")&gt;0),"⚠ Statut incohérent",IF(AND($D486="S1",$Y486&lt;&gt;"Parti",COUNTIF(ANNEES_VERROU,$B486)&gt;0,COUNTIF(D_KEY_NIVSES,$B486&amp;"|"&amp;$C486&amp;"|S2")&gt;0,COUNTIF(D_KEY_DOUBLON,$B486&amp;"|S2|"&amp;$E486)=0),"⚠ Départ non confirmé ?",IF(AND($C486&lt;&gt;"",ISNUMBER($I486),OR(VALUE(LEFT($B486,4))-$I486&lt;4+IFERROR(MATCH($C486,LISTE_NIVEAUX,0),99),VALUE(LEFT($B486,4))-$I486&gt;6+IFERROR(MATCH($C486,LISTE_NIVEAUX,0),99))),"⚠ Vérifier niveau",IF(AND(IFERROR(VLOOKUP($C486,TABLE_CYCLE,2,0),3)=2,COUNT($O486:$Q486)&gt;0),"⚠ Tests cycle 3",IF(COUNT($J486:$Q486)&gt;=IF(IFERROR(VLOOKUP($C486,TABLE_CYCLE,2,0),3)=2,5,8),"Complet","Incomplet"))))))))</f>
        <v/>
      </c>
      <c r="S486" s="24"/>
      <c r="T486" s="67" t="str">
        <f t="shared" si="64"/>
        <v/>
      </c>
      <c r="U486" s="67" t="str">
        <f t="shared" si="65"/>
        <v/>
      </c>
      <c r="V486" s="67" t="str">
        <f t="shared" si="66"/>
        <v/>
      </c>
      <c r="W486" s="67" t="str">
        <f t="shared" si="67"/>
        <v/>
      </c>
      <c r="X486" s="67" t="str">
        <f t="shared" si="68"/>
        <v/>
      </c>
      <c r="Y486" s="24" t="str">
        <f t="shared" si="69"/>
        <v/>
      </c>
      <c r="Z486">
        <f t="shared" si="70"/>
        <v>0</v>
      </c>
      <c r="AA486">
        <f t="shared" si="71"/>
        <v>0</v>
      </c>
    </row>
    <row r="487" spans="2:27" ht="15.75" customHeight="1" x14ac:dyDescent="0.3">
      <c r="B487" s="21"/>
      <c r="C487" s="21"/>
      <c r="D487" s="21"/>
      <c r="E487" s="22" t="str">
        <f t="shared" si="63"/>
        <v/>
      </c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3" t="str">
        <f>IF($F487="","",IF(OR($B487="",$C487="",$D487=""),"⚠ Compléter Année/Niveau/Session",IF(AND($E487&lt;&gt;"",COUNTIF(D_KEY_DOUBLON,$B487&amp;"|"&amp;$D487&amp;"|"&amp;$E487)&gt;1),"⚠ Doublon",IF(AND($E487&lt;&gt;"",COUNTIF(D_KEY_STATUT,$B487&amp;"|"&amp;$E487&amp;"|P")&gt;0,COUNTIF(D_KEY_STATUT,$B487&amp;"|"&amp;$E487&amp;"|A")&gt;0),"⚠ Statut incohérent",IF(AND($D487="S1",$Y487&lt;&gt;"Parti",COUNTIF(ANNEES_VERROU,$B487)&gt;0,COUNTIF(D_KEY_NIVSES,$B487&amp;"|"&amp;$C487&amp;"|S2")&gt;0,COUNTIF(D_KEY_DOUBLON,$B487&amp;"|S2|"&amp;$E487)=0),"⚠ Départ non confirmé ?",IF(AND($C487&lt;&gt;"",ISNUMBER($I487),OR(VALUE(LEFT($B487,4))-$I487&lt;4+IFERROR(MATCH($C487,LISTE_NIVEAUX,0),99),VALUE(LEFT($B487,4))-$I487&gt;6+IFERROR(MATCH($C487,LISTE_NIVEAUX,0),99))),"⚠ Vérifier niveau",IF(AND(IFERROR(VLOOKUP($C487,TABLE_CYCLE,2,0),3)=2,COUNT($O487:$Q487)&gt;0),"⚠ Tests cycle 3",IF(COUNT($J487:$Q487)&gt;=IF(IFERROR(VLOOKUP($C487,TABLE_CYCLE,2,0),3)=2,5,8),"Complet","Incomplet"))))))))</f>
        <v/>
      </c>
      <c r="S487" s="24"/>
      <c r="T487" s="67" t="str">
        <f t="shared" si="64"/>
        <v/>
      </c>
      <c r="U487" s="67" t="str">
        <f t="shared" si="65"/>
        <v/>
      </c>
      <c r="V487" s="67" t="str">
        <f t="shared" si="66"/>
        <v/>
      </c>
      <c r="W487" s="67" t="str">
        <f t="shared" si="67"/>
        <v/>
      </c>
      <c r="X487" s="67" t="str">
        <f t="shared" si="68"/>
        <v/>
      </c>
      <c r="Y487" s="24" t="str">
        <f t="shared" si="69"/>
        <v/>
      </c>
      <c r="Z487">
        <f t="shared" si="70"/>
        <v>0</v>
      </c>
      <c r="AA487">
        <f t="shared" si="71"/>
        <v>0</v>
      </c>
    </row>
    <row r="488" spans="2:27" ht="15.75" customHeight="1" x14ac:dyDescent="0.3">
      <c r="B488" s="25"/>
      <c r="C488" s="25"/>
      <c r="D488" s="25"/>
      <c r="E488" s="26" t="str">
        <f t="shared" si="63"/>
        <v/>
      </c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3" t="str">
        <f>IF($F488="","",IF(OR($B488="",$C488="",$D488=""),"⚠ Compléter Année/Niveau/Session",IF(AND($E488&lt;&gt;"",COUNTIF(D_KEY_DOUBLON,$B488&amp;"|"&amp;$D488&amp;"|"&amp;$E488)&gt;1),"⚠ Doublon",IF(AND($E488&lt;&gt;"",COUNTIF(D_KEY_STATUT,$B488&amp;"|"&amp;$E488&amp;"|P")&gt;0,COUNTIF(D_KEY_STATUT,$B488&amp;"|"&amp;$E488&amp;"|A")&gt;0),"⚠ Statut incohérent",IF(AND($D488="S1",$Y488&lt;&gt;"Parti",COUNTIF(ANNEES_VERROU,$B488)&gt;0,COUNTIF(D_KEY_NIVSES,$B488&amp;"|"&amp;$C488&amp;"|S2")&gt;0,COUNTIF(D_KEY_DOUBLON,$B488&amp;"|S2|"&amp;$E488)=0),"⚠ Départ non confirmé ?",IF(AND($C488&lt;&gt;"",ISNUMBER($I488),OR(VALUE(LEFT($B488,4))-$I488&lt;4+IFERROR(MATCH($C488,LISTE_NIVEAUX,0),99),VALUE(LEFT($B488,4))-$I488&gt;6+IFERROR(MATCH($C488,LISTE_NIVEAUX,0),99))),"⚠ Vérifier niveau",IF(AND(IFERROR(VLOOKUP($C488,TABLE_CYCLE,2,0),3)=2,COUNT($O488:$Q488)&gt;0),"⚠ Tests cycle 3",IF(COUNT($J488:$Q488)&gt;=IF(IFERROR(VLOOKUP($C488,TABLE_CYCLE,2,0),3)=2,5,8),"Complet","Incomplet"))))))))</f>
        <v/>
      </c>
      <c r="S488" s="24"/>
      <c r="T488" s="67" t="str">
        <f t="shared" si="64"/>
        <v/>
      </c>
      <c r="U488" s="67" t="str">
        <f t="shared" si="65"/>
        <v/>
      </c>
      <c r="V488" s="67" t="str">
        <f t="shared" si="66"/>
        <v/>
      </c>
      <c r="W488" s="67" t="str">
        <f t="shared" si="67"/>
        <v/>
      </c>
      <c r="X488" s="67" t="str">
        <f t="shared" si="68"/>
        <v/>
      </c>
      <c r="Y488" s="24" t="str">
        <f t="shared" si="69"/>
        <v/>
      </c>
      <c r="Z488">
        <f t="shared" si="70"/>
        <v>0</v>
      </c>
      <c r="AA488">
        <f t="shared" si="71"/>
        <v>0</v>
      </c>
    </row>
    <row r="489" spans="2:27" ht="15.75" customHeight="1" x14ac:dyDescent="0.3">
      <c r="B489" s="21"/>
      <c r="C489" s="21"/>
      <c r="D489" s="21"/>
      <c r="E489" s="22" t="str">
        <f t="shared" si="63"/>
        <v/>
      </c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3" t="str">
        <f>IF($F489="","",IF(OR($B489="",$C489="",$D489=""),"⚠ Compléter Année/Niveau/Session",IF(AND($E489&lt;&gt;"",COUNTIF(D_KEY_DOUBLON,$B489&amp;"|"&amp;$D489&amp;"|"&amp;$E489)&gt;1),"⚠ Doublon",IF(AND($E489&lt;&gt;"",COUNTIF(D_KEY_STATUT,$B489&amp;"|"&amp;$E489&amp;"|P")&gt;0,COUNTIF(D_KEY_STATUT,$B489&amp;"|"&amp;$E489&amp;"|A")&gt;0),"⚠ Statut incohérent",IF(AND($D489="S1",$Y489&lt;&gt;"Parti",COUNTIF(ANNEES_VERROU,$B489)&gt;0,COUNTIF(D_KEY_NIVSES,$B489&amp;"|"&amp;$C489&amp;"|S2")&gt;0,COUNTIF(D_KEY_DOUBLON,$B489&amp;"|S2|"&amp;$E489)=0),"⚠ Départ non confirmé ?",IF(AND($C489&lt;&gt;"",ISNUMBER($I489),OR(VALUE(LEFT($B489,4))-$I489&lt;4+IFERROR(MATCH($C489,LISTE_NIVEAUX,0),99),VALUE(LEFT($B489,4))-$I489&gt;6+IFERROR(MATCH($C489,LISTE_NIVEAUX,0),99))),"⚠ Vérifier niveau",IF(AND(IFERROR(VLOOKUP($C489,TABLE_CYCLE,2,0),3)=2,COUNT($O489:$Q489)&gt;0),"⚠ Tests cycle 3",IF(COUNT($J489:$Q489)&gt;=IF(IFERROR(VLOOKUP($C489,TABLE_CYCLE,2,0),3)=2,5,8),"Complet","Incomplet"))))))))</f>
        <v/>
      </c>
      <c r="S489" s="24"/>
      <c r="T489" s="67" t="str">
        <f t="shared" si="64"/>
        <v/>
      </c>
      <c r="U489" s="67" t="str">
        <f t="shared" si="65"/>
        <v/>
      </c>
      <c r="V489" s="67" t="str">
        <f t="shared" si="66"/>
        <v/>
      </c>
      <c r="W489" s="67" t="str">
        <f t="shared" si="67"/>
        <v/>
      </c>
      <c r="X489" s="67" t="str">
        <f t="shared" si="68"/>
        <v/>
      </c>
      <c r="Y489" s="24" t="str">
        <f t="shared" si="69"/>
        <v/>
      </c>
      <c r="Z489">
        <f t="shared" si="70"/>
        <v>0</v>
      </c>
      <c r="AA489">
        <f t="shared" si="71"/>
        <v>0</v>
      </c>
    </row>
    <row r="490" spans="2:27" ht="15.75" customHeight="1" x14ac:dyDescent="0.3">
      <c r="B490" s="25"/>
      <c r="C490" s="25"/>
      <c r="D490" s="25"/>
      <c r="E490" s="26" t="str">
        <f t="shared" si="63"/>
        <v/>
      </c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3" t="str">
        <f>IF($F490="","",IF(OR($B490="",$C490="",$D490=""),"⚠ Compléter Année/Niveau/Session",IF(AND($E490&lt;&gt;"",COUNTIF(D_KEY_DOUBLON,$B490&amp;"|"&amp;$D490&amp;"|"&amp;$E490)&gt;1),"⚠ Doublon",IF(AND($E490&lt;&gt;"",COUNTIF(D_KEY_STATUT,$B490&amp;"|"&amp;$E490&amp;"|P")&gt;0,COUNTIF(D_KEY_STATUT,$B490&amp;"|"&amp;$E490&amp;"|A")&gt;0),"⚠ Statut incohérent",IF(AND($D490="S1",$Y490&lt;&gt;"Parti",COUNTIF(ANNEES_VERROU,$B490)&gt;0,COUNTIF(D_KEY_NIVSES,$B490&amp;"|"&amp;$C490&amp;"|S2")&gt;0,COUNTIF(D_KEY_DOUBLON,$B490&amp;"|S2|"&amp;$E490)=0),"⚠ Départ non confirmé ?",IF(AND($C490&lt;&gt;"",ISNUMBER($I490),OR(VALUE(LEFT($B490,4))-$I490&lt;4+IFERROR(MATCH($C490,LISTE_NIVEAUX,0),99),VALUE(LEFT($B490,4))-$I490&gt;6+IFERROR(MATCH($C490,LISTE_NIVEAUX,0),99))),"⚠ Vérifier niveau",IF(AND(IFERROR(VLOOKUP($C490,TABLE_CYCLE,2,0),3)=2,COUNT($O490:$Q490)&gt;0),"⚠ Tests cycle 3",IF(COUNT($J490:$Q490)&gt;=IF(IFERROR(VLOOKUP($C490,TABLE_CYCLE,2,0),3)=2,5,8),"Complet","Incomplet"))))))))</f>
        <v/>
      </c>
      <c r="S490" s="24"/>
      <c r="T490" s="67" t="str">
        <f t="shared" si="64"/>
        <v/>
      </c>
      <c r="U490" s="67" t="str">
        <f t="shared" si="65"/>
        <v/>
      </c>
      <c r="V490" s="67" t="str">
        <f t="shared" si="66"/>
        <v/>
      </c>
      <c r="W490" s="67" t="str">
        <f t="shared" si="67"/>
        <v/>
      </c>
      <c r="X490" s="67" t="str">
        <f t="shared" si="68"/>
        <v/>
      </c>
      <c r="Y490" s="24" t="str">
        <f t="shared" si="69"/>
        <v/>
      </c>
      <c r="Z490">
        <f t="shared" si="70"/>
        <v>0</v>
      </c>
      <c r="AA490">
        <f t="shared" si="71"/>
        <v>0</v>
      </c>
    </row>
    <row r="491" spans="2:27" ht="15.75" customHeight="1" x14ac:dyDescent="0.3">
      <c r="B491" s="21"/>
      <c r="C491" s="21"/>
      <c r="D491" s="21"/>
      <c r="E491" s="22" t="str">
        <f t="shared" si="63"/>
        <v/>
      </c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3" t="str">
        <f>IF($F491="","",IF(OR($B491="",$C491="",$D491=""),"⚠ Compléter Année/Niveau/Session",IF(AND($E491&lt;&gt;"",COUNTIF(D_KEY_DOUBLON,$B491&amp;"|"&amp;$D491&amp;"|"&amp;$E491)&gt;1),"⚠ Doublon",IF(AND($E491&lt;&gt;"",COUNTIF(D_KEY_STATUT,$B491&amp;"|"&amp;$E491&amp;"|P")&gt;0,COUNTIF(D_KEY_STATUT,$B491&amp;"|"&amp;$E491&amp;"|A")&gt;0),"⚠ Statut incohérent",IF(AND($D491="S1",$Y491&lt;&gt;"Parti",COUNTIF(ANNEES_VERROU,$B491)&gt;0,COUNTIF(D_KEY_NIVSES,$B491&amp;"|"&amp;$C491&amp;"|S2")&gt;0,COUNTIF(D_KEY_DOUBLON,$B491&amp;"|S2|"&amp;$E491)=0),"⚠ Départ non confirmé ?",IF(AND($C491&lt;&gt;"",ISNUMBER($I491),OR(VALUE(LEFT($B491,4))-$I491&lt;4+IFERROR(MATCH($C491,LISTE_NIVEAUX,0),99),VALUE(LEFT($B491,4))-$I491&gt;6+IFERROR(MATCH($C491,LISTE_NIVEAUX,0),99))),"⚠ Vérifier niveau",IF(AND(IFERROR(VLOOKUP($C491,TABLE_CYCLE,2,0),3)=2,COUNT($O491:$Q491)&gt;0),"⚠ Tests cycle 3",IF(COUNT($J491:$Q491)&gt;=IF(IFERROR(VLOOKUP($C491,TABLE_CYCLE,2,0),3)=2,5,8),"Complet","Incomplet"))))))))</f>
        <v/>
      </c>
      <c r="S491" s="24"/>
      <c r="T491" s="67" t="str">
        <f t="shared" si="64"/>
        <v/>
      </c>
      <c r="U491" s="67" t="str">
        <f t="shared" si="65"/>
        <v/>
      </c>
      <c r="V491" s="67" t="str">
        <f t="shared" si="66"/>
        <v/>
      </c>
      <c r="W491" s="67" t="str">
        <f t="shared" si="67"/>
        <v/>
      </c>
      <c r="X491" s="67" t="str">
        <f t="shared" si="68"/>
        <v/>
      </c>
      <c r="Y491" s="24" t="str">
        <f t="shared" si="69"/>
        <v/>
      </c>
      <c r="Z491">
        <f t="shared" si="70"/>
        <v>0</v>
      </c>
      <c r="AA491">
        <f t="shared" si="71"/>
        <v>0</v>
      </c>
    </row>
    <row r="492" spans="2:27" ht="15.75" customHeight="1" x14ac:dyDescent="0.3">
      <c r="B492" s="25"/>
      <c r="C492" s="25"/>
      <c r="D492" s="25"/>
      <c r="E492" s="26" t="str">
        <f t="shared" si="63"/>
        <v/>
      </c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3" t="str">
        <f>IF($F492="","",IF(OR($B492="",$C492="",$D492=""),"⚠ Compléter Année/Niveau/Session",IF(AND($E492&lt;&gt;"",COUNTIF(D_KEY_DOUBLON,$B492&amp;"|"&amp;$D492&amp;"|"&amp;$E492)&gt;1),"⚠ Doublon",IF(AND($E492&lt;&gt;"",COUNTIF(D_KEY_STATUT,$B492&amp;"|"&amp;$E492&amp;"|P")&gt;0,COUNTIF(D_KEY_STATUT,$B492&amp;"|"&amp;$E492&amp;"|A")&gt;0),"⚠ Statut incohérent",IF(AND($D492="S1",$Y492&lt;&gt;"Parti",COUNTIF(ANNEES_VERROU,$B492)&gt;0,COUNTIF(D_KEY_NIVSES,$B492&amp;"|"&amp;$C492&amp;"|S2")&gt;0,COUNTIF(D_KEY_DOUBLON,$B492&amp;"|S2|"&amp;$E492)=0),"⚠ Départ non confirmé ?",IF(AND($C492&lt;&gt;"",ISNUMBER($I492),OR(VALUE(LEFT($B492,4))-$I492&lt;4+IFERROR(MATCH($C492,LISTE_NIVEAUX,0),99),VALUE(LEFT($B492,4))-$I492&gt;6+IFERROR(MATCH($C492,LISTE_NIVEAUX,0),99))),"⚠ Vérifier niveau",IF(AND(IFERROR(VLOOKUP($C492,TABLE_CYCLE,2,0),3)=2,COUNT($O492:$Q492)&gt;0),"⚠ Tests cycle 3",IF(COUNT($J492:$Q492)&gt;=IF(IFERROR(VLOOKUP($C492,TABLE_CYCLE,2,0),3)=2,5,8),"Complet","Incomplet"))))))))</f>
        <v/>
      </c>
      <c r="S492" s="24"/>
      <c r="T492" s="67" t="str">
        <f t="shared" si="64"/>
        <v/>
      </c>
      <c r="U492" s="67" t="str">
        <f t="shared" si="65"/>
        <v/>
      </c>
      <c r="V492" s="67" t="str">
        <f t="shared" si="66"/>
        <v/>
      </c>
      <c r="W492" s="67" t="str">
        <f t="shared" si="67"/>
        <v/>
      </c>
      <c r="X492" s="67" t="str">
        <f t="shared" si="68"/>
        <v/>
      </c>
      <c r="Y492" s="24" t="str">
        <f t="shared" si="69"/>
        <v/>
      </c>
      <c r="Z492">
        <f t="shared" si="70"/>
        <v>0</v>
      </c>
      <c r="AA492">
        <f t="shared" si="71"/>
        <v>0</v>
      </c>
    </row>
    <row r="493" spans="2:27" ht="15.75" customHeight="1" x14ac:dyDescent="0.3">
      <c r="B493" s="21"/>
      <c r="C493" s="21"/>
      <c r="D493" s="21"/>
      <c r="E493" s="22" t="str">
        <f t="shared" si="63"/>
        <v/>
      </c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3" t="str">
        <f>IF($F493="","",IF(OR($B493="",$C493="",$D493=""),"⚠ Compléter Année/Niveau/Session",IF(AND($E493&lt;&gt;"",COUNTIF(D_KEY_DOUBLON,$B493&amp;"|"&amp;$D493&amp;"|"&amp;$E493)&gt;1),"⚠ Doublon",IF(AND($E493&lt;&gt;"",COUNTIF(D_KEY_STATUT,$B493&amp;"|"&amp;$E493&amp;"|P")&gt;0,COUNTIF(D_KEY_STATUT,$B493&amp;"|"&amp;$E493&amp;"|A")&gt;0),"⚠ Statut incohérent",IF(AND($D493="S1",$Y493&lt;&gt;"Parti",COUNTIF(ANNEES_VERROU,$B493)&gt;0,COUNTIF(D_KEY_NIVSES,$B493&amp;"|"&amp;$C493&amp;"|S2")&gt;0,COUNTIF(D_KEY_DOUBLON,$B493&amp;"|S2|"&amp;$E493)=0),"⚠ Départ non confirmé ?",IF(AND($C493&lt;&gt;"",ISNUMBER($I493),OR(VALUE(LEFT($B493,4))-$I493&lt;4+IFERROR(MATCH($C493,LISTE_NIVEAUX,0),99),VALUE(LEFT($B493,4))-$I493&gt;6+IFERROR(MATCH($C493,LISTE_NIVEAUX,0),99))),"⚠ Vérifier niveau",IF(AND(IFERROR(VLOOKUP($C493,TABLE_CYCLE,2,0),3)=2,COUNT($O493:$Q493)&gt;0),"⚠ Tests cycle 3",IF(COUNT($J493:$Q493)&gt;=IF(IFERROR(VLOOKUP($C493,TABLE_CYCLE,2,0),3)=2,5,8),"Complet","Incomplet"))))))))</f>
        <v/>
      </c>
      <c r="S493" s="24"/>
      <c r="T493" s="67" t="str">
        <f t="shared" si="64"/>
        <v/>
      </c>
      <c r="U493" s="67" t="str">
        <f t="shared" si="65"/>
        <v/>
      </c>
      <c r="V493" s="67" t="str">
        <f t="shared" si="66"/>
        <v/>
      </c>
      <c r="W493" s="67" t="str">
        <f t="shared" si="67"/>
        <v/>
      </c>
      <c r="X493" s="67" t="str">
        <f t="shared" si="68"/>
        <v/>
      </c>
      <c r="Y493" s="24" t="str">
        <f t="shared" si="69"/>
        <v/>
      </c>
      <c r="Z493">
        <f t="shared" si="70"/>
        <v>0</v>
      </c>
      <c r="AA493">
        <f t="shared" si="71"/>
        <v>0</v>
      </c>
    </row>
    <row r="494" spans="2:27" ht="15.75" customHeight="1" x14ac:dyDescent="0.3">
      <c r="B494" s="25"/>
      <c r="C494" s="25"/>
      <c r="D494" s="25"/>
      <c r="E494" s="26" t="str">
        <f t="shared" si="63"/>
        <v/>
      </c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3" t="str">
        <f>IF($F494="","",IF(OR($B494="",$C494="",$D494=""),"⚠ Compléter Année/Niveau/Session",IF(AND($E494&lt;&gt;"",COUNTIF(D_KEY_DOUBLON,$B494&amp;"|"&amp;$D494&amp;"|"&amp;$E494)&gt;1),"⚠ Doublon",IF(AND($E494&lt;&gt;"",COUNTIF(D_KEY_STATUT,$B494&amp;"|"&amp;$E494&amp;"|P")&gt;0,COUNTIF(D_KEY_STATUT,$B494&amp;"|"&amp;$E494&amp;"|A")&gt;0),"⚠ Statut incohérent",IF(AND($D494="S1",$Y494&lt;&gt;"Parti",COUNTIF(ANNEES_VERROU,$B494)&gt;0,COUNTIF(D_KEY_NIVSES,$B494&amp;"|"&amp;$C494&amp;"|S2")&gt;0,COUNTIF(D_KEY_DOUBLON,$B494&amp;"|S2|"&amp;$E494)=0),"⚠ Départ non confirmé ?",IF(AND($C494&lt;&gt;"",ISNUMBER($I494),OR(VALUE(LEFT($B494,4))-$I494&lt;4+IFERROR(MATCH($C494,LISTE_NIVEAUX,0),99),VALUE(LEFT($B494,4))-$I494&gt;6+IFERROR(MATCH($C494,LISTE_NIVEAUX,0),99))),"⚠ Vérifier niveau",IF(AND(IFERROR(VLOOKUP($C494,TABLE_CYCLE,2,0),3)=2,COUNT($O494:$Q494)&gt;0),"⚠ Tests cycle 3",IF(COUNT($J494:$Q494)&gt;=IF(IFERROR(VLOOKUP($C494,TABLE_CYCLE,2,0),3)=2,5,8),"Complet","Incomplet"))))))))</f>
        <v/>
      </c>
      <c r="S494" s="24"/>
      <c r="T494" s="67" t="str">
        <f t="shared" si="64"/>
        <v/>
      </c>
      <c r="U494" s="67" t="str">
        <f t="shared" si="65"/>
        <v/>
      </c>
      <c r="V494" s="67" t="str">
        <f t="shared" si="66"/>
        <v/>
      </c>
      <c r="W494" s="67" t="str">
        <f t="shared" si="67"/>
        <v/>
      </c>
      <c r="X494" s="67" t="str">
        <f t="shared" si="68"/>
        <v/>
      </c>
      <c r="Y494" s="24" t="str">
        <f t="shared" si="69"/>
        <v/>
      </c>
      <c r="Z494">
        <f t="shared" si="70"/>
        <v>0</v>
      </c>
      <c r="AA494">
        <f t="shared" si="71"/>
        <v>0</v>
      </c>
    </row>
    <row r="495" spans="2:27" ht="15.75" customHeight="1" x14ac:dyDescent="0.3">
      <c r="B495" s="21"/>
      <c r="C495" s="21"/>
      <c r="D495" s="21"/>
      <c r="E495" s="22" t="str">
        <f t="shared" si="63"/>
        <v/>
      </c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3" t="str">
        <f>IF($F495="","",IF(OR($B495="",$C495="",$D495=""),"⚠ Compléter Année/Niveau/Session",IF(AND($E495&lt;&gt;"",COUNTIF(D_KEY_DOUBLON,$B495&amp;"|"&amp;$D495&amp;"|"&amp;$E495)&gt;1),"⚠ Doublon",IF(AND($E495&lt;&gt;"",COUNTIF(D_KEY_STATUT,$B495&amp;"|"&amp;$E495&amp;"|P")&gt;0,COUNTIF(D_KEY_STATUT,$B495&amp;"|"&amp;$E495&amp;"|A")&gt;0),"⚠ Statut incohérent",IF(AND($D495="S1",$Y495&lt;&gt;"Parti",COUNTIF(ANNEES_VERROU,$B495)&gt;0,COUNTIF(D_KEY_NIVSES,$B495&amp;"|"&amp;$C495&amp;"|S2")&gt;0,COUNTIF(D_KEY_DOUBLON,$B495&amp;"|S2|"&amp;$E495)=0),"⚠ Départ non confirmé ?",IF(AND($C495&lt;&gt;"",ISNUMBER($I495),OR(VALUE(LEFT($B495,4))-$I495&lt;4+IFERROR(MATCH($C495,LISTE_NIVEAUX,0),99),VALUE(LEFT($B495,4))-$I495&gt;6+IFERROR(MATCH($C495,LISTE_NIVEAUX,0),99))),"⚠ Vérifier niveau",IF(AND(IFERROR(VLOOKUP($C495,TABLE_CYCLE,2,0),3)=2,COUNT($O495:$Q495)&gt;0),"⚠ Tests cycle 3",IF(COUNT($J495:$Q495)&gt;=IF(IFERROR(VLOOKUP($C495,TABLE_CYCLE,2,0),3)=2,5,8),"Complet","Incomplet"))))))))</f>
        <v/>
      </c>
      <c r="S495" s="24"/>
      <c r="T495" s="67" t="str">
        <f t="shared" si="64"/>
        <v/>
      </c>
      <c r="U495" s="67" t="str">
        <f t="shared" si="65"/>
        <v/>
      </c>
      <c r="V495" s="67" t="str">
        <f t="shared" si="66"/>
        <v/>
      </c>
      <c r="W495" s="67" t="str">
        <f t="shared" si="67"/>
        <v/>
      </c>
      <c r="X495" s="67" t="str">
        <f t="shared" si="68"/>
        <v/>
      </c>
      <c r="Y495" s="24" t="str">
        <f t="shared" si="69"/>
        <v/>
      </c>
      <c r="Z495">
        <f t="shared" si="70"/>
        <v>0</v>
      </c>
      <c r="AA495">
        <f t="shared" si="71"/>
        <v>0</v>
      </c>
    </row>
    <row r="496" spans="2:27" ht="15.75" customHeight="1" x14ac:dyDescent="0.3">
      <c r="B496" s="25"/>
      <c r="C496" s="25"/>
      <c r="D496" s="25"/>
      <c r="E496" s="26" t="str">
        <f t="shared" si="63"/>
        <v/>
      </c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3" t="str">
        <f>IF($F496="","",IF(OR($B496="",$C496="",$D496=""),"⚠ Compléter Année/Niveau/Session",IF(AND($E496&lt;&gt;"",COUNTIF(D_KEY_DOUBLON,$B496&amp;"|"&amp;$D496&amp;"|"&amp;$E496)&gt;1),"⚠ Doublon",IF(AND($E496&lt;&gt;"",COUNTIF(D_KEY_STATUT,$B496&amp;"|"&amp;$E496&amp;"|P")&gt;0,COUNTIF(D_KEY_STATUT,$B496&amp;"|"&amp;$E496&amp;"|A")&gt;0),"⚠ Statut incohérent",IF(AND($D496="S1",$Y496&lt;&gt;"Parti",COUNTIF(ANNEES_VERROU,$B496)&gt;0,COUNTIF(D_KEY_NIVSES,$B496&amp;"|"&amp;$C496&amp;"|S2")&gt;0,COUNTIF(D_KEY_DOUBLON,$B496&amp;"|S2|"&amp;$E496)=0),"⚠ Départ non confirmé ?",IF(AND($C496&lt;&gt;"",ISNUMBER($I496),OR(VALUE(LEFT($B496,4))-$I496&lt;4+IFERROR(MATCH($C496,LISTE_NIVEAUX,0),99),VALUE(LEFT($B496,4))-$I496&gt;6+IFERROR(MATCH($C496,LISTE_NIVEAUX,0),99))),"⚠ Vérifier niveau",IF(AND(IFERROR(VLOOKUP($C496,TABLE_CYCLE,2,0),3)=2,COUNT($O496:$Q496)&gt;0),"⚠ Tests cycle 3",IF(COUNT($J496:$Q496)&gt;=IF(IFERROR(VLOOKUP($C496,TABLE_CYCLE,2,0),3)=2,5,8),"Complet","Incomplet"))))))))</f>
        <v/>
      </c>
      <c r="S496" s="24"/>
      <c r="T496" s="67" t="str">
        <f t="shared" si="64"/>
        <v/>
      </c>
      <c r="U496" s="67" t="str">
        <f t="shared" si="65"/>
        <v/>
      </c>
      <c r="V496" s="67" t="str">
        <f t="shared" si="66"/>
        <v/>
      </c>
      <c r="W496" s="67" t="str">
        <f t="shared" si="67"/>
        <v/>
      </c>
      <c r="X496" s="67" t="str">
        <f t="shared" si="68"/>
        <v/>
      </c>
      <c r="Y496" s="24" t="str">
        <f t="shared" si="69"/>
        <v/>
      </c>
      <c r="Z496">
        <f t="shared" si="70"/>
        <v>0</v>
      </c>
      <c r="AA496">
        <f t="shared" si="71"/>
        <v>0</v>
      </c>
    </row>
    <row r="497" spans="2:27" ht="15.75" customHeight="1" x14ac:dyDescent="0.3">
      <c r="B497" s="21"/>
      <c r="C497" s="21"/>
      <c r="D497" s="21"/>
      <c r="E497" s="22" t="str">
        <f t="shared" si="63"/>
        <v/>
      </c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3" t="str">
        <f>IF($F497="","",IF(OR($B497="",$C497="",$D497=""),"⚠ Compléter Année/Niveau/Session",IF(AND($E497&lt;&gt;"",COUNTIF(D_KEY_DOUBLON,$B497&amp;"|"&amp;$D497&amp;"|"&amp;$E497)&gt;1),"⚠ Doublon",IF(AND($E497&lt;&gt;"",COUNTIF(D_KEY_STATUT,$B497&amp;"|"&amp;$E497&amp;"|P")&gt;0,COUNTIF(D_KEY_STATUT,$B497&amp;"|"&amp;$E497&amp;"|A")&gt;0),"⚠ Statut incohérent",IF(AND($D497="S1",$Y497&lt;&gt;"Parti",COUNTIF(ANNEES_VERROU,$B497)&gt;0,COUNTIF(D_KEY_NIVSES,$B497&amp;"|"&amp;$C497&amp;"|S2")&gt;0,COUNTIF(D_KEY_DOUBLON,$B497&amp;"|S2|"&amp;$E497)=0),"⚠ Départ non confirmé ?",IF(AND($C497&lt;&gt;"",ISNUMBER($I497),OR(VALUE(LEFT($B497,4))-$I497&lt;4+IFERROR(MATCH($C497,LISTE_NIVEAUX,0),99),VALUE(LEFT($B497,4))-$I497&gt;6+IFERROR(MATCH($C497,LISTE_NIVEAUX,0),99))),"⚠ Vérifier niveau",IF(AND(IFERROR(VLOOKUP($C497,TABLE_CYCLE,2,0),3)=2,COUNT($O497:$Q497)&gt;0),"⚠ Tests cycle 3",IF(COUNT($J497:$Q497)&gt;=IF(IFERROR(VLOOKUP($C497,TABLE_CYCLE,2,0),3)=2,5,8),"Complet","Incomplet"))))))))</f>
        <v/>
      </c>
      <c r="S497" s="24"/>
      <c r="T497" s="67" t="str">
        <f t="shared" si="64"/>
        <v/>
      </c>
      <c r="U497" s="67" t="str">
        <f t="shared" si="65"/>
        <v/>
      </c>
      <c r="V497" s="67" t="str">
        <f t="shared" si="66"/>
        <v/>
      </c>
      <c r="W497" s="67" t="str">
        <f t="shared" si="67"/>
        <v/>
      </c>
      <c r="X497" s="67" t="str">
        <f t="shared" si="68"/>
        <v/>
      </c>
      <c r="Y497" s="24" t="str">
        <f t="shared" si="69"/>
        <v/>
      </c>
      <c r="Z497">
        <f t="shared" si="70"/>
        <v>0</v>
      </c>
      <c r="AA497">
        <f t="shared" si="71"/>
        <v>0</v>
      </c>
    </row>
    <row r="498" spans="2:27" ht="15.75" customHeight="1" x14ac:dyDescent="0.3">
      <c r="B498" s="25"/>
      <c r="C498" s="25"/>
      <c r="D498" s="25"/>
      <c r="E498" s="26" t="str">
        <f t="shared" si="63"/>
        <v/>
      </c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3" t="str">
        <f>IF($F498="","",IF(OR($B498="",$C498="",$D498=""),"⚠ Compléter Année/Niveau/Session",IF(AND($E498&lt;&gt;"",COUNTIF(D_KEY_DOUBLON,$B498&amp;"|"&amp;$D498&amp;"|"&amp;$E498)&gt;1),"⚠ Doublon",IF(AND($E498&lt;&gt;"",COUNTIF(D_KEY_STATUT,$B498&amp;"|"&amp;$E498&amp;"|P")&gt;0,COUNTIF(D_KEY_STATUT,$B498&amp;"|"&amp;$E498&amp;"|A")&gt;0),"⚠ Statut incohérent",IF(AND($D498="S1",$Y498&lt;&gt;"Parti",COUNTIF(ANNEES_VERROU,$B498)&gt;0,COUNTIF(D_KEY_NIVSES,$B498&amp;"|"&amp;$C498&amp;"|S2")&gt;0,COUNTIF(D_KEY_DOUBLON,$B498&amp;"|S2|"&amp;$E498)=0),"⚠ Départ non confirmé ?",IF(AND($C498&lt;&gt;"",ISNUMBER($I498),OR(VALUE(LEFT($B498,4))-$I498&lt;4+IFERROR(MATCH($C498,LISTE_NIVEAUX,0),99),VALUE(LEFT($B498,4))-$I498&gt;6+IFERROR(MATCH($C498,LISTE_NIVEAUX,0),99))),"⚠ Vérifier niveau",IF(AND(IFERROR(VLOOKUP($C498,TABLE_CYCLE,2,0),3)=2,COUNT($O498:$Q498)&gt;0),"⚠ Tests cycle 3",IF(COUNT($J498:$Q498)&gt;=IF(IFERROR(VLOOKUP($C498,TABLE_CYCLE,2,0),3)=2,5,8),"Complet","Incomplet"))))))))</f>
        <v/>
      </c>
      <c r="S498" s="24"/>
      <c r="T498" s="67" t="str">
        <f t="shared" si="64"/>
        <v/>
      </c>
      <c r="U498" s="67" t="str">
        <f t="shared" si="65"/>
        <v/>
      </c>
      <c r="V498" s="67" t="str">
        <f t="shared" si="66"/>
        <v/>
      </c>
      <c r="W498" s="67" t="str">
        <f t="shared" si="67"/>
        <v/>
      </c>
      <c r="X498" s="67" t="str">
        <f t="shared" si="68"/>
        <v/>
      </c>
      <c r="Y498" s="24" t="str">
        <f t="shared" si="69"/>
        <v/>
      </c>
      <c r="Z498">
        <f t="shared" si="70"/>
        <v>0</v>
      </c>
      <c r="AA498">
        <f t="shared" si="71"/>
        <v>0</v>
      </c>
    </row>
    <row r="499" spans="2:27" ht="15.75" customHeight="1" x14ac:dyDescent="0.3">
      <c r="B499" s="21"/>
      <c r="C499" s="21"/>
      <c r="D499" s="21"/>
      <c r="E499" s="22" t="str">
        <f t="shared" si="63"/>
        <v/>
      </c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3" t="str">
        <f>IF($F499="","",IF(OR($B499="",$C499="",$D499=""),"⚠ Compléter Année/Niveau/Session",IF(AND($E499&lt;&gt;"",COUNTIF(D_KEY_DOUBLON,$B499&amp;"|"&amp;$D499&amp;"|"&amp;$E499)&gt;1),"⚠ Doublon",IF(AND($E499&lt;&gt;"",COUNTIF(D_KEY_STATUT,$B499&amp;"|"&amp;$E499&amp;"|P")&gt;0,COUNTIF(D_KEY_STATUT,$B499&amp;"|"&amp;$E499&amp;"|A")&gt;0),"⚠ Statut incohérent",IF(AND($D499="S1",$Y499&lt;&gt;"Parti",COUNTIF(ANNEES_VERROU,$B499)&gt;0,COUNTIF(D_KEY_NIVSES,$B499&amp;"|"&amp;$C499&amp;"|S2")&gt;0,COUNTIF(D_KEY_DOUBLON,$B499&amp;"|S2|"&amp;$E499)=0),"⚠ Départ non confirmé ?",IF(AND($C499&lt;&gt;"",ISNUMBER($I499),OR(VALUE(LEFT($B499,4))-$I499&lt;4+IFERROR(MATCH($C499,LISTE_NIVEAUX,0),99),VALUE(LEFT($B499,4))-$I499&gt;6+IFERROR(MATCH($C499,LISTE_NIVEAUX,0),99))),"⚠ Vérifier niveau",IF(AND(IFERROR(VLOOKUP($C499,TABLE_CYCLE,2,0),3)=2,COUNT($O499:$Q499)&gt;0),"⚠ Tests cycle 3",IF(COUNT($J499:$Q499)&gt;=IF(IFERROR(VLOOKUP($C499,TABLE_CYCLE,2,0),3)=2,5,8),"Complet","Incomplet"))))))))</f>
        <v/>
      </c>
      <c r="S499" s="24"/>
      <c r="T499" s="67" t="str">
        <f t="shared" si="64"/>
        <v/>
      </c>
      <c r="U499" s="67" t="str">
        <f t="shared" si="65"/>
        <v/>
      </c>
      <c r="V499" s="67" t="str">
        <f t="shared" si="66"/>
        <v/>
      </c>
      <c r="W499" s="67" t="str">
        <f t="shared" si="67"/>
        <v/>
      </c>
      <c r="X499" s="67" t="str">
        <f t="shared" si="68"/>
        <v/>
      </c>
      <c r="Y499" s="24" t="str">
        <f t="shared" si="69"/>
        <v/>
      </c>
      <c r="Z499">
        <f t="shared" si="70"/>
        <v>0</v>
      </c>
      <c r="AA499">
        <f t="shared" si="71"/>
        <v>0</v>
      </c>
    </row>
    <row r="500" spans="2:27" ht="15.75" customHeight="1" x14ac:dyDescent="0.3">
      <c r="B500" s="25"/>
      <c r="C500" s="25"/>
      <c r="D500" s="25"/>
      <c r="E500" s="26" t="str">
        <f t="shared" si="63"/>
        <v/>
      </c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3" t="str">
        <f>IF($F500="","",IF(OR($B500="",$C500="",$D500=""),"⚠ Compléter Année/Niveau/Session",IF(AND($E500&lt;&gt;"",COUNTIF(D_KEY_DOUBLON,$B500&amp;"|"&amp;$D500&amp;"|"&amp;$E500)&gt;1),"⚠ Doublon",IF(AND($E500&lt;&gt;"",COUNTIF(D_KEY_STATUT,$B500&amp;"|"&amp;$E500&amp;"|P")&gt;0,COUNTIF(D_KEY_STATUT,$B500&amp;"|"&amp;$E500&amp;"|A")&gt;0),"⚠ Statut incohérent",IF(AND($D500="S1",$Y500&lt;&gt;"Parti",COUNTIF(ANNEES_VERROU,$B500)&gt;0,COUNTIF(D_KEY_NIVSES,$B500&amp;"|"&amp;$C500&amp;"|S2")&gt;0,COUNTIF(D_KEY_DOUBLON,$B500&amp;"|S2|"&amp;$E500)=0),"⚠ Départ non confirmé ?",IF(AND($C500&lt;&gt;"",ISNUMBER($I500),OR(VALUE(LEFT($B500,4))-$I500&lt;4+IFERROR(MATCH($C500,LISTE_NIVEAUX,0),99),VALUE(LEFT($B500,4))-$I500&gt;6+IFERROR(MATCH($C500,LISTE_NIVEAUX,0),99))),"⚠ Vérifier niveau",IF(AND(IFERROR(VLOOKUP($C500,TABLE_CYCLE,2,0),3)=2,COUNT($O500:$Q500)&gt;0),"⚠ Tests cycle 3",IF(COUNT($J500:$Q500)&gt;=IF(IFERROR(VLOOKUP($C500,TABLE_CYCLE,2,0),3)=2,5,8),"Complet","Incomplet"))))))))</f>
        <v/>
      </c>
      <c r="S500" s="24"/>
      <c r="T500" s="67" t="str">
        <f t="shared" si="64"/>
        <v/>
      </c>
      <c r="U500" s="67" t="str">
        <f t="shared" si="65"/>
        <v/>
      </c>
      <c r="V500" s="67" t="str">
        <f t="shared" si="66"/>
        <v/>
      </c>
      <c r="W500" s="67" t="str">
        <f t="shared" si="67"/>
        <v/>
      </c>
      <c r="X500" s="67" t="str">
        <f t="shared" si="68"/>
        <v/>
      </c>
      <c r="Y500" s="24" t="str">
        <f t="shared" si="69"/>
        <v/>
      </c>
      <c r="Z500">
        <f t="shared" si="70"/>
        <v>0</v>
      </c>
      <c r="AA500">
        <f t="shared" si="71"/>
        <v>0</v>
      </c>
    </row>
    <row r="501" spans="2:27" ht="15.75" customHeight="1" x14ac:dyDescent="0.3">
      <c r="B501" s="21"/>
      <c r="C501" s="21"/>
      <c r="D501" s="21"/>
      <c r="E501" s="22" t="str">
        <f t="shared" si="63"/>
        <v/>
      </c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3" t="str">
        <f>IF($F501="","",IF(OR($B501="",$C501="",$D501=""),"⚠ Compléter Année/Niveau/Session",IF(AND($E501&lt;&gt;"",COUNTIF(D_KEY_DOUBLON,$B501&amp;"|"&amp;$D501&amp;"|"&amp;$E501)&gt;1),"⚠ Doublon",IF(AND($E501&lt;&gt;"",COUNTIF(D_KEY_STATUT,$B501&amp;"|"&amp;$E501&amp;"|P")&gt;0,COUNTIF(D_KEY_STATUT,$B501&amp;"|"&amp;$E501&amp;"|A")&gt;0),"⚠ Statut incohérent",IF(AND($D501="S1",$Y501&lt;&gt;"Parti",COUNTIF(ANNEES_VERROU,$B501)&gt;0,COUNTIF(D_KEY_NIVSES,$B501&amp;"|"&amp;$C501&amp;"|S2")&gt;0,COUNTIF(D_KEY_DOUBLON,$B501&amp;"|S2|"&amp;$E501)=0),"⚠ Départ non confirmé ?",IF(AND($C501&lt;&gt;"",ISNUMBER($I501),OR(VALUE(LEFT($B501,4))-$I501&lt;4+IFERROR(MATCH($C501,LISTE_NIVEAUX,0),99),VALUE(LEFT($B501,4))-$I501&gt;6+IFERROR(MATCH($C501,LISTE_NIVEAUX,0),99))),"⚠ Vérifier niveau",IF(AND(IFERROR(VLOOKUP($C501,TABLE_CYCLE,2,0),3)=2,COUNT($O501:$Q501)&gt;0),"⚠ Tests cycle 3",IF(COUNT($J501:$Q501)&gt;=IF(IFERROR(VLOOKUP($C501,TABLE_CYCLE,2,0),3)=2,5,8),"Complet","Incomplet"))))))))</f>
        <v/>
      </c>
      <c r="S501" s="24"/>
      <c r="T501" s="67" t="str">
        <f t="shared" si="64"/>
        <v/>
      </c>
      <c r="U501" s="67" t="str">
        <f t="shared" si="65"/>
        <v/>
      </c>
      <c r="V501" s="67" t="str">
        <f t="shared" si="66"/>
        <v/>
      </c>
      <c r="W501" s="67" t="str">
        <f t="shared" si="67"/>
        <v/>
      </c>
      <c r="X501" s="67" t="str">
        <f t="shared" si="68"/>
        <v/>
      </c>
      <c r="Y501" s="24" t="str">
        <f t="shared" si="69"/>
        <v/>
      </c>
      <c r="Z501">
        <f t="shared" si="70"/>
        <v>0</v>
      </c>
      <c r="AA501">
        <f t="shared" si="71"/>
        <v>0</v>
      </c>
    </row>
    <row r="502" spans="2:27" ht="15.75" customHeight="1" x14ac:dyDescent="0.3">
      <c r="B502" s="25"/>
      <c r="C502" s="25"/>
      <c r="D502" s="25"/>
      <c r="E502" s="26" t="str">
        <f t="shared" si="63"/>
        <v/>
      </c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3" t="str">
        <f>IF($F502="","",IF(OR($B502="",$C502="",$D502=""),"⚠ Compléter Année/Niveau/Session",IF(AND($E502&lt;&gt;"",COUNTIF(D_KEY_DOUBLON,$B502&amp;"|"&amp;$D502&amp;"|"&amp;$E502)&gt;1),"⚠ Doublon",IF(AND($E502&lt;&gt;"",COUNTIF(D_KEY_STATUT,$B502&amp;"|"&amp;$E502&amp;"|P")&gt;0,COUNTIF(D_KEY_STATUT,$B502&amp;"|"&amp;$E502&amp;"|A")&gt;0),"⚠ Statut incohérent",IF(AND($D502="S1",$Y502&lt;&gt;"Parti",COUNTIF(ANNEES_VERROU,$B502)&gt;0,COUNTIF(D_KEY_NIVSES,$B502&amp;"|"&amp;$C502&amp;"|S2")&gt;0,COUNTIF(D_KEY_DOUBLON,$B502&amp;"|S2|"&amp;$E502)=0),"⚠ Départ non confirmé ?",IF(AND($C502&lt;&gt;"",ISNUMBER($I502),OR(VALUE(LEFT($B502,4))-$I502&lt;4+IFERROR(MATCH($C502,LISTE_NIVEAUX,0),99),VALUE(LEFT($B502,4))-$I502&gt;6+IFERROR(MATCH($C502,LISTE_NIVEAUX,0),99))),"⚠ Vérifier niveau",IF(AND(IFERROR(VLOOKUP($C502,TABLE_CYCLE,2,0),3)=2,COUNT($O502:$Q502)&gt;0),"⚠ Tests cycle 3",IF(COUNT($J502:$Q502)&gt;=IF(IFERROR(VLOOKUP($C502,TABLE_CYCLE,2,0),3)=2,5,8),"Complet","Incomplet"))))))))</f>
        <v/>
      </c>
      <c r="S502" s="24"/>
      <c r="T502" s="67" t="str">
        <f t="shared" si="64"/>
        <v/>
      </c>
      <c r="U502" s="67" t="str">
        <f t="shared" si="65"/>
        <v/>
      </c>
      <c r="V502" s="67" t="str">
        <f t="shared" si="66"/>
        <v/>
      </c>
      <c r="W502" s="67" t="str">
        <f t="shared" si="67"/>
        <v/>
      </c>
      <c r="X502" s="67" t="str">
        <f t="shared" si="68"/>
        <v/>
      </c>
      <c r="Y502" s="24" t="str">
        <f t="shared" si="69"/>
        <v/>
      </c>
      <c r="Z502">
        <f t="shared" si="70"/>
        <v>0</v>
      </c>
      <c r="AA502">
        <f t="shared" si="71"/>
        <v>0</v>
      </c>
    </row>
    <row r="503" spans="2:27" ht="15.75" customHeight="1" x14ac:dyDescent="0.3">
      <c r="B503" s="21"/>
      <c r="C503" s="21"/>
      <c r="D503" s="21"/>
      <c r="E503" s="22" t="str">
        <f t="shared" si="63"/>
        <v/>
      </c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3" t="str">
        <f>IF($F503="","",IF(OR($B503="",$C503="",$D503=""),"⚠ Compléter Année/Niveau/Session",IF(AND($E503&lt;&gt;"",COUNTIF(D_KEY_DOUBLON,$B503&amp;"|"&amp;$D503&amp;"|"&amp;$E503)&gt;1),"⚠ Doublon",IF(AND($E503&lt;&gt;"",COUNTIF(D_KEY_STATUT,$B503&amp;"|"&amp;$E503&amp;"|P")&gt;0,COUNTIF(D_KEY_STATUT,$B503&amp;"|"&amp;$E503&amp;"|A")&gt;0),"⚠ Statut incohérent",IF(AND($D503="S1",$Y503&lt;&gt;"Parti",COUNTIF(ANNEES_VERROU,$B503)&gt;0,COUNTIF(D_KEY_NIVSES,$B503&amp;"|"&amp;$C503&amp;"|S2")&gt;0,COUNTIF(D_KEY_DOUBLON,$B503&amp;"|S2|"&amp;$E503)=0),"⚠ Départ non confirmé ?",IF(AND($C503&lt;&gt;"",ISNUMBER($I503),OR(VALUE(LEFT($B503,4))-$I503&lt;4+IFERROR(MATCH($C503,LISTE_NIVEAUX,0),99),VALUE(LEFT($B503,4))-$I503&gt;6+IFERROR(MATCH($C503,LISTE_NIVEAUX,0),99))),"⚠ Vérifier niveau",IF(AND(IFERROR(VLOOKUP($C503,TABLE_CYCLE,2,0),3)=2,COUNT($O503:$Q503)&gt;0),"⚠ Tests cycle 3",IF(COUNT($J503:$Q503)&gt;=IF(IFERROR(VLOOKUP($C503,TABLE_CYCLE,2,0),3)=2,5,8),"Complet","Incomplet"))))))))</f>
        <v/>
      </c>
      <c r="S503" s="24"/>
      <c r="T503" s="67" t="str">
        <f t="shared" si="64"/>
        <v/>
      </c>
      <c r="U503" s="67" t="str">
        <f t="shared" si="65"/>
        <v/>
      </c>
      <c r="V503" s="67" t="str">
        <f t="shared" si="66"/>
        <v/>
      </c>
      <c r="W503" s="67" t="str">
        <f t="shared" si="67"/>
        <v/>
      </c>
      <c r="X503" s="67" t="str">
        <f t="shared" si="68"/>
        <v/>
      </c>
      <c r="Y503" s="24" t="str">
        <f t="shared" si="69"/>
        <v/>
      </c>
      <c r="Z503">
        <f t="shared" si="70"/>
        <v>0</v>
      </c>
      <c r="AA503">
        <f t="shared" si="71"/>
        <v>0</v>
      </c>
    </row>
    <row r="504" spans="2:27" ht="15.75" customHeight="1" x14ac:dyDescent="0.3">
      <c r="B504" s="25"/>
      <c r="C504" s="25"/>
      <c r="D504" s="25"/>
      <c r="E504" s="26" t="str">
        <f t="shared" si="63"/>
        <v/>
      </c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3" t="str">
        <f>IF($F504="","",IF(OR($B504="",$C504="",$D504=""),"⚠ Compléter Année/Niveau/Session",IF(AND($E504&lt;&gt;"",COUNTIF(D_KEY_DOUBLON,$B504&amp;"|"&amp;$D504&amp;"|"&amp;$E504)&gt;1),"⚠ Doublon",IF(AND($E504&lt;&gt;"",COUNTIF(D_KEY_STATUT,$B504&amp;"|"&amp;$E504&amp;"|P")&gt;0,COUNTIF(D_KEY_STATUT,$B504&amp;"|"&amp;$E504&amp;"|A")&gt;0),"⚠ Statut incohérent",IF(AND($D504="S1",$Y504&lt;&gt;"Parti",COUNTIF(ANNEES_VERROU,$B504)&gt;0,COUNTIF(D_KEY_NIVSES,$B504&amp;"|"&amp;$C504&amp;"|S2")&gt;0,COUNTIF(D_KEY_DOUBLON,$B504&amp;"|S2|"&amp;$E504)=0),"⚠ Départ non confirmé ?",IF(AND($C504&lt;&gt;"",ISNUMBER($I504),OR(VALUE(LEFT($B504,4))-$I504&lt;4+IFERROR(MATCH($C504,LISTE_NIVEAUX,0),99),VALUE(LEFT($B504,4))-$I504&gt;6+IFERROR(MATCH($C504,LISTE_NIVEAUX,0),99))),"⚠ Vérifier niveau",IF(AND(IFERROR(VLOOKUP($C504,TABLE_CYCLE,2,0),3)=2,COUNT($O504:$Q504)&gt;0),"⚠ Tests cycle 3",IF(COUNT($J504:$Q504)&gt;=IF(IFERROR(VLOOKUP($C504,TABLE_CYCLE,2,0),3)=2,5,8),"Complet","Incomplet"))))))))</f>
        <v/>
      </c>
      <c r="S504" s="24"/>
      <c r="T504" s="67" t="str">
        <f t="shared" si="64"/>
        <v/>
      </c>
      <c r="U504" s="67" t="str">
        <f t="shared" si="65"/>
        <v/>
      </c>
      <c r="V504" s="67" t="str">
        <f t="shared" si="66"/>
        <v/>
      </c>
      <c r="W504" s="67" t="str">
        <f t="shared" si="67"/>
        <v/>
      </c>
      <c r="X504" s="67" t="str">
        <f t="shared" si="68"/>
        <v/>
      </c>
      <c r="Y504" s="24" t="str">
        <f t="shared" si="69"/>
        <v/>
      </c>
      <c r="Z504">
        <f t="shared" si="70"/>
        <v>0</v>
      </c>
      <c r="AA504">
        <f t="shared" si="71"/>
        <v>0</v>
      </c>
    </row>
    <row r="505" spans="2:27" ht="15.75" customHeight="1" x14ac:dyDescent="0.3">
      <c r="B505" s="21"/>
      <c r="C505" s="21"/>
      <c r="D505" s="21"/>
      <c r="E505" s="22" t="str">
        <f t="shared" si="63"/>
        <v/>
      </c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3" t="str">
        <f>IF($F505="","",IF(OR($B505="",$C505="",$D505=""),"⚠ Compléter Année/Niveau/Session",IF(AND($E505&lt;&gt;"",COUNTIF(D_KEY_DOUBLON,$B505&amp;"|"&amp;$D505&amp;"|"&amp;$E505)&gt;1),"⚠ Doublon",IF(AND($E505&lt;&gt;"",COUNTIF(D_KEY_STATUT,$B505&amp;"|"&amp;$E505&amp;"|P")&gt;0,COUNTIF(D_KEY_STATUT,$B505&amp;"|"&amp;$E505&amp;"|A")&gt;0),"⚠ Statut incohérent",IF(AND($D505="S1",$Y505&lt;&gt;"Parti",COUNTIF(ANNEES_VERROU,$B505)&gt;0,COUNTIF(D_KEY_NIVSES,$B505&amp;"|"&amp;$C505&amp;"|S2")&gt;0,COUNTIF(D_KEY_DOUBLON,$B505&amp;"|S2|"&amp;$E505)=0),"⚠ Départ non confirmé ?",IF(AND($C505&lt;&gt;"",ISNUMBER($I505),OR(VALUE(LEFT($B505,4))-$I505&lt;4+IFERROR(MATCH($C505,LISTE_NIVEAUX,0),99),VALUE(LEFT($B505,4))-$I505&gt;6+IFERROR(MATCH($C505,LISTE_NIVEAUX,0),99))),"⚠ Vérifier niveau",IF(AND(IFERROR(VLOOKUP($C505,TABLE_CYCLE,2,0),3)=2,COUNT($O505:$Q505)&gt;0),"⚠ Tests cycle 3",IF(COUNT($J505:$Q505)&gt;=IF(IFERROR(VLOOKUP($C505,TABLE_CYCLE,2,0),3)=2,5,8),"Complet","Incomplet"))))))))</f>
        <v/>
      </c>
      <c r="S505" s="24"/>
      <c r="T505" s="67" t="str">
        <f t="shared" si="64"/>
        <v/>
      </c>
      <c r="U505" s="67" t="str">
        <f t="shared" si="65"/>
        <v/>
      </c>
      <c r="V505" s="67" t="str">
        <f t="shared" si="66"/>
        <v/>
      </c>
      <c r="W505" s="67" t="str">
        <f t="shared" si="67"/>
        <v/>
      </c>
      <c r="X505" s="67" t="str">
        <f t="shared" si="68"/>
        <v/>
      </c>
      <c r="Y505" s="24" t="str">
        <f t="shared" si="69"/>
        <v/>
      </c>
      <c r="Z505">
        <f t="shared" si="70"/>
        <v>0</v>
      </c>
      <c r="AA505">
        <f t="shared" si="71"/>
        <v>0</v>
      </c>
    </row>
    <row r="506" spans="2:27" ht="15.75" customHeight="1" x14ac:dyDescent="0.3">
      <c r="B506" s="25"/>
      <c r="C506" s="25"/>
      <c r="D506" s="25"/>
      <c r="E506" s="26" t="str">
        <f t="shared" si="63"/>
        <v/>
      </c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3" t="str">
        <f>IF($F506="","",IF(OR($B506="",$C506="",$D506=""),"⚠ Compléter Année/Niveau/Session",IF(AND($E506&lt;&gt;"",COUNTIF(D_KEY_DOUBLON,$B506&amp;"|"&amp;$D506&amp;"|"&amp;$E506)&gt;1),"⚠ Doublon",IF(AND($E506&lt;&gt;"",COUNTIF(D_KEY_STATUT,$B506&amp;"|"&amp;$E506&amp;"|P")&gt;0,COUNTIF(D_KEY_STATUT,$B506&amp;"|"&amp;$E506&amp;"|A")&gt;0),"⚠ Statut incohérent",IF(AND($D506="S1",$Y506&lt;&gt;"Parti",COUNTIF(ANNEES_VERROU,$B506)&gt;0,COUNTIF(D_KEY_NIVSES,$B506&amp;"|"&amp;$C506&amp;"|S2")&gt;0,COUNTIF(D_KEY_DOUBLON,$B506&amp;"|S2|"&amp;$E506)=0),"⚠ Départ non confirmé ?",IF(AND($C506&lt;&gt;"",ISNUMBER($I506),OR(VALUE(LEFT($B506,4))-$I506&lt;4+IFERROR(MATCH($C506,LISTE_NIVEAUX,0),99),VALUE(LEFT($B506,4))-$I506&gt;6+IFERROR(MATCH($C506,LISTE_NIVEAUX,0),99))),"⚠ Vérifier niveau",IF(AND(IFERROR(VLOOKUP($C506,TABLE_CYCLE,2,0),3)=2,COUNT($O506:$Q506)&gt;0),"⚠ Tests cycle 3",IF(COUNT($J506:$Q506)&gt;=IF(IFERROR(VLOOKUP($C506,TABLE_CYCLE,2,0),3)=2,5,8),"Complet","Incomplet"))))))))</f>
        <v/>
      </c>
      <c r="S506" s="24"/>
      <c r="T506" s="67" t="str">
        <f t="shared" si="64"/>
        <v/>
      </c>
      <c r="U506" s="67" t="str">
        <f t="shared" si="65"/>
        <v/>
      </c>
      <c r="V506" s="67" t="str">
        <f t="shared" si="66"/>
        <v/>
      </c>
      <c r="W506" s="67" t="str">
        <f t="shared" si="67"/>
        <v/>
      </c>
      <c r="X506" s="67" t="str">
        <f t="shared" si="68"/>
        <v/>
      </c>
      <c r="Y506" s="24" t="str">
        <f t="shared" si="69"/>
        <v/>
      </c>
      <c r="Z506">
        <f t="shared" si="70"/>
        <v>0</v>
      </c>
      <c r="AA506">
        <f t="shared" si="71"/>
        <v>0</v>
      </c>
    </row>
    <row r="507" spans="2:27" ht="15.75" customHeight="1" x14ac:dyDescent="0.3">
      <c r="B507" s="21"/>
      <c r="C507" s="21"/>
      <c r="D507" s="21"/>
      <c r="E507" s="22" t="str">
        <f t="shared" si="63"/>
        <v/>
      </c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3" t="str">
        <f>IF($F507="","",IF(OR($B507="",$C507="",$D507=""),"⚠ Compléter Année/Niveau/Session",IF(AND($E507&lt;&gt;"",COUNTIF(D_KEY_DOUBLON,$B507&amp;"|"&amp;$D507&amp;"|"&amp;$E507)&gt;1),"⚠ Doublon",IF(AND($E507&lt;&gt;"",COUNTIF(D_KEY_STATUT,$B507&amp;"|"&amp;$E507&amp;"|P")&gt;0,COUNTIF(D_KEY_STATUT,$B507&amp;"|"&amp;$E507&amp;"|A")&gt;0),"⚠ Statut incohérent",IF(AND($D507="S1",$Y507&lt;&gt;"Parti",COUNTIF(ANNEES_VERROU,$B507)&gt;0,COUNTIF(D_KEY_NIVSES,$B507&amp;"|"&amp;$C507&amp;"|S2")&gt;0,COUNTIF(D_KEY_DOUBLON,$B507&amp;"|S2|"&amp;$E507)=0),"⚠ Départ non confirmé ?",IF(AND($C507&lt;&gt;"",ISNUMBER($I507),OR(VALUE(LEFT($B507,4))-$I507&lt;4+IFERROR(MATCH($C507,LISTE_NIVEAUX,0),99),VALUE(LEFT($B507,4))-$I507&gt;6+IFERROR(MATCH($C507,LISTE_NIVEAUX,0),99))),"⚠ Vérifier niveau",IF(AND(IFERROR(VLOOKUP($C507,TABLE_CYCLE,2,0),3)=2,COUNT($O507:$Q507)&gt;0),"⚠ Tests cycle 3",IF(COUNT($J507:$Q507)&gt;=IF(IFERROR(VLOOKUP($C507,TABLE_CYCLE,2,0),3)=2,5,8),"Complet","Incomplet"))))))))</f>
        <v/>
      </c>
      <c r="S507" s="24"/>
      <c r="T507" s="67" t="str">
        <f t="shared" si="64"/>
        <v/>
      </c>
      <c r="U507" s="67" t="str">
        <f t="shared" si="65"/>
        <v/>
      </c>
      <c r="V507" s="67" t="str">
        <f t="shared" si="66"/>
        <v/>
      </c>
      <c r="W507" s="67" t="str">
        <f t="shared" si="67"/>
        <v/>
      </c>
      <c r="X507" s="67" t="str">
        <f t="shared" si="68"/>
        <v/>
      </c>
      <c r="Y507" s="24" t="str">
        <f t="shared" si="69"/>
        <v/>
      </c>
      <c r="Z507">
        <f t="shared" si="70"/>
        <v>0</v>
      </c>
      <c r="AA507">
        <f t="shared" si="71"/>
        <v>0</v>
      </c>
    </row>
    <row r="508" spans="2:27" ht="15.75" customHeight="1" x14ac:dyDescent="0.3">
      <c r="B508" s="25"/>
      <c r="C508" s="25"/>
      <c r="D508" s="25"/>
      <c r="E508" s="26" t="str">
        <f t="shared" si="63"/>
        <v/>
      </c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3" t="str">
        <f>IF($F508="","",IF(OR($B508="",$C508="",$D508=""),"⚠ Compléter Année/Niveau/Session",IF(AND($E508&lt;&gt;"",COUNTIF(D_KEY_DOUBLON,$B508&amp;"|"&amp;$D508&amp;"|"&amp;$E508)&gt;1),"⚠ Doublon",IF(AND($E508&lt;&gt;"",COUNTIF(D_KEY_STATUT,$B508&amp;"|"&amp;$E508&amp;"|P")&gt;0,COUNTIF(D_KEY_STATUT,$B508&amp;"|"&amp;$E508&amp;"|A")&gt;0),"⚠ Statut incohérent",IF(AND($D508="S1",$Y508&lt;&gt;"Parti",COUNTIF(ANNEES_VERROU,$B508)&gt;0,COUNTIF(D_KEY_NIVSES,$B508&amp;"|"&amp;$C508&amp;"|S2")&gt;0,COUNTIF(D_KEY_DOUBLON,$B508&amp;"|S2|"&amp;$E508)=0),"⚠ Départ non confirmé ?",IF(AND($C508&lt;&gt;"",ISNUMBER($I508),OR(VALUE(LEFT($B508,4))-$I508&lt;4+IFERROR(MATCH($C508,LISTE_NIVEAUX,0),99),VALUE(LEFT($B508,4))-$I508&gt;6+IFERROR(MATCH($C508,LISTE_NIVEAUX,0),99))),"⚠ Vérifier niveau",IF(AND(IFERROR(VLOOKUP($C508,TABLE_CYCLE,2,0),3)=2,COUNT($O508:$Q508)&gt;0),"⚠ Tests cycle 3",IF(COUNT($J508:$Q508)&gt;=IF(IFERROR(VLOOKUP($C508,TABLE_CYCLE,2,0),3)=2,5,8),"Complet","Incomplet"))))))))</f>
        <v/>
      </c>
      <c r="S508" s="24"/>
      <c r="T508" s="67" t="str">
        <f t="shared" si="64"/>
        <v/>
      </c>
      <c r="U508" s="67" t="str">
        <f t="shared" si="65"/>
        <v/>
      </c>
      <c r="V508" s="67" t="str">
        <f t="shared" si="66"/>
        <v/>
      </c>
      <c r="W508" s="67" t="str">
        <f t="shared" si="67"/>
        <v/>
      </c>
      <c r="X508" s="67" t="str">
        <f t="shared" si="68"/>
        <v/>
      </c>
      <c r="Y508" s="24" t="str">
        <f t="shared" si="69"/>
        <v/>
      </c>
      <c r="Z508">
        <f t="shared" si="70"/>
        <v>0</v>
      </c>
      <c r="AA508">
        <f t="shared" si="71"/>
        <v>0</v>
      </c>
    </row>
    <row r="509" spans="2:27" ht="15.75" customHeight="1" x14ac:dyDescent="0.3">
      <c r="B509" s="21"/>
      <c r="C509" s="21"/>
      <c r="D509" s="21"/>
      <c r="E509" s="22" t="str">
        <f t="shared" si="63"/>
        <v/>
      </c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3" t="str">
        <f>IF($F509="","",IF(OR($B509="",$C509="",$D509=""),"⚠ Compléter Année/Niveau/Session",IF(AND($E509&lt;&gt;"",COUNTIF(D_KEY_DOUBLON,$B509&amp;"|"&amp;$D509&amp;"|"&amp;$E509)&gt;1),"⚠ Doublon",IF(AND($E509&lt;&gt;"",COUNTIF(D_KEY_STATUT,$B509&amp;"|"&amp;$E509&amp;"|P")&gt;0,COUNTIF(D_KEY_STATUT,$B509&amp;"|"&amp;$E509&amp;"|A")&gt;0),"⚠ Statut incohérent",IF(AND($D509="S1",$Y509&lt;&gt;"Parti",COUNTIF(ANNEES_VERROU,$B509)&gt;0,COUNTIF(D_KEY_NIVSES,$B509&amp;"|"&amp;$C509&amp;"|S2")&gt;0,COUNTIF(D_KEY_DOUBLON,$B509&amp;"|S2|"&amp;$E509)=0),"⚠ Départ non confirmé ?",IF(AND($C509&lt;&gt;"",ISNUMBER($I509),OR(VALUE(LEFT($B509,4))-$I509&lt;4+IFERROR(MATCH($C509,LISTE_NIVEAUX,0),99),VALUE(LEFT($B509,4))-$I509&gt;6+IFERROR(MATCH($C509,LISTE_NIVEAUX,0),99))),"⚠ Vérifier niveau",IF(AND(IFERROR(VLOOKUP($C509,TABLE_CYCLE,2,0),3)=2,COUNT($O509:$Q509)&gt;0),"⚠ Tests cycle 3",IF(COUNT($J509:$Q509)&gt;=IF(IFERROR(VLOOKUP($C509,TABLE_CYCLE,2,0),3)=2,5,8),"Complet","Incomplet"))))))))</f>
        <v/>
      </c>
      <c r="S509" s="24"/>
      <c r="T509" s="67" t="str">
        <f t="shared" si="64"/>
        <v/>
      </c>
      <c r="U509" s="67" t="str">
        <f t="shared" si="65"/>
        <v/>
      </c>
      <c r="V509" s="67" t="str">
        <f t="shared" si="66"/>
        <v/>
      </c>
      <c r="W509" s="67" t="str">
        <f t="shared" si="67"/>
        <v/>
      </c>
      <c r="X509" s="67" t="str">
        <f t="shared" si="68"/>
        <v/>
      </c>
      <c r="Y509" s="24" t="str">
        <f t="shared" si="69"/>
        <v/>
      </c>
      <c r="Z509">
        <f t="shared" si="70"/>
        <v>0</v>
      </c>
      <c r="AA509">
        <f t="shared" si="71"/>
        <v>0</v>
      </c>
    </row>
    <row r="510" spans="2:27" ht="15.75" customHeight="1" x14ac:dyDescent="0.3">
      <c r="B510" s="25"/>
      <c r="C510" s="25"/>
      <c r="D510" s="25"/>
      <c r="E510" s="26" t="str">
        <f t="shared" si="63"/>
        <v/>
      </c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3" t="str">
        <f>IF($F510="","",IF(OR($B510="",$C510="",$D510=""),"⚠ Compléter Année/Niveau/Session",IF(AND($E510&lt;&gt;"",COUNTIF(D_KEY_DOUBLON,$B510&amp;"|"&amp;$D510&amp;"|"&amp;$E510)&gt;1),"⚠ Doublon",IF(AND($E510&lt;&gt;"",COUNTIF(D_KEY_STATUT,$B510&amp;"|"&amp;$E510&amp;"|P")&gt;0,COUNTIF(D_KEY_STATUT,$B510&amp;"|"&amp;$E510&amp;"|A")&gt;0),"⚠ Statut incohérent",IF(AND($D510="S1",$Y510&lt;&gt;"Parti",COUNTIF(ANNEES_VERROU,$B510)&gt;0,COUNTIF(D_KEY_NIVSES,$B510&amp;"|"&amp;$C510&amp;"|S2")&gt;0,COUNTIF(D_KEY_DOUBLON,$B510&amp;"|S2|"&amp;$E510)=0),"⚠ Départ non confirmé ?",IF(AND($C510&lt;&gt;"",ISNUMBER($I510),OR(VALUE(LEFT($B510,4))-$I510&lt;4+IFERROR(MATCH($C510,LISTE_NIVEAUX,0),99),VALUE(LEFT($B510,4))-$I510&gt;6+IFERROR(MATCH($C510,LISTE_NIVEAUX,0),99))),"⚠ Vérifier niveau",IF(AND(IFERROR(VLOOKUP($C510,TABLE_CYCLE,2,0),3)=2,COUNT($O510:$Q510)&gt;0),"⚠ Tests cycle 3",IF(COUNT($J510:$Q510)&gt;=IF(IFERROR(VLOOKUP($C510,TABLE_CYCLE,2,0),3)=2,5,8),"Complet","Incomplet"))))))))</f>
        <v/>
      </c>
      <c r="S510" s="24"/>
      <c r="T510" s="67" t="str">
        <f t="shared" si="64"/>
        <v/>
      </c>
      <c r="U510" s="67" t="str">
        <f t="shared" si="65"/>
        <v/>
      </c>
      <c r="V510" s="67" t="str">
        <f t="shared" si="66"/>
        <v/>
      </c>
      <c r="W510" s="67" t="str">
        <f t="shared" si="67"/>
        <v/>
      </c>
      <c r="X510" s="67" t="str">
        <f t="shared" si="68"/>
        <v/>
      </c>
      <c r="Y510" s="24" t="str">
        <f t="shared" si="69"/>
        <v/>
      </c>
      <c r="Z510">
        <f t="shared" si="70"/>
        <v>0</v>
      </c>
      <c r="AA510">
        <f t="shared" si="71"/>
        <v>0</v>
      </c>
    </row>
    <row r="511" spans="2:27" ht="15.75" customHeight="1" x14ac:dyDescent="0.3">
      <c r="B511" s="21"/>
      <c r="C511" s="21"/>
      <c r="D511" s="21"/>
      <c r="E511" s="22" t="str">
        <f t="shared" si="63"/>
        <v/>
      </c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3" t="str">
        <f>IF($F511="","",IF(OR($B511="",$C511="",$D511=""),"⚠ Compléter Année/Niveau/Session",IF(AND($E511&lt;&gt;"",COUNTIF(D_KEY_DOUBLON,$B511&amp;"|"&amp;$D511&amp;"|"&amp;$E511)&gt;1),"⚠ Doublon",IF(AND($E511&lt;&gt;"",COUNTIF(D_KEY_STATUT,$B511&amp;"|"&amp;$E511&amp;"|P")&gt;0,COUNTIF(D_KEY_STATUT,$B511&amp;"|"&amp;$E511&amp;"|A")&gt;0),"⚠ Statut incohérent",IF(AND($D511="S1",$Y511&lt;&gt;"Parti",COUNTIF(ANNEES_VERROU,$B511)&gt;0,COUNTIF(D_KEY_NIVSES,$B511&amp;"|"&amp;$C511&amp;"|S2")&gt;0,COUNTIF(D_KEY_DOUBLON,$B511&amp;"|S2|"&amp;$E511)=0),"⚠ Départ non confirmé ?",IF(AND($C511&lt;&gt;"",ISNUMBER($I511),OR(VALUE(LEFT($B511,4))-$I511&lt;4+IFERROR(MATCH($C511,LISTE_NIVEAUX,0),99),VALUE(LEFT($B511,4))-$I511&gt;6+IFERROR(MATCH($C511,LISTE_NIVEAUX,0),99))),"⚠ Vérifier niveau",IF(AND(IFERROR(VLOOKUP($C511,TABLE_CYCLE,2,0),3)=2,COUNT($O511:$Q511)&gt;0),"⚠ Tests cycle 3",IF(COUNT($J511:$Q511)&gt;=IF(IFERROR(VLOOKUP($C511,TABLE_CYCLE,2,0),3)=2,5,8),"Complet","Incomplet"))))))))</f>
        <v/>
      </c>
      <c r="S511" s="24"/>
      <c r="T511" s="67" t="str">
        <f t="shared" si="64"/>
        <v/>
      </c>
      <c r="U511" s="67" t="str">
        <f t="shared" si="65"/>
        <v/>
      </c>
      <c r="V511" s="67" t="str">
        <f t="shared" si="66"/>
        <v/>
      </c>
      <c r="W511" s="67" t="str">
        <f t="shared" si="67"/>
        <v/>
      </c>
      <c r="X511" s="67" t="str">
        <f t="shared" si="68"/>
        <v/>
      </c>
      <c r="Y511" s="24" t="str">
        <f t="shared" si="69"/>
        <v/>
      </c>
      <c r="Z511">
        <f t="shared" si="70"/>
        <v>0</v>
      </c>
      <c r="AA511">
        <f t="shared" si="71"/>
        <v>0</v>
      </c>
    </row>
    <row r="512" spans="2:27" ht="15.75" customHeight="1" x14ac:dyDescent="0.3">
      <c r="B512" s="25"/>
      <c r="C512" s="25"/>
      <c r="D512" s="25"/>
      <c r="E512" s="26" t="str">
        <f t="shared" si="63"/>
        <v/>
      </c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3" t="str">
        <f>IF($F512="","",IF(OR($B512="",$C512="",$D512=""),"⚠ Compléter Année/Niveau/Session",IF(AND($E512&lt;&gt;"",COUNTIF(D_KEY_DOUBLON,$B512&amp;"|"&amp;$D512&amp;"|"&amp;$E512)&gt;1),"⚠ Doublon",IF(AND($E512&lt;&gt;"",COUNTIF(D_KEY_STATUT,$B512&amp;"|"&amp;$E512&amp;"|P")&gt;0,COUNTIF(D_KEY_STATUT,$B512&amp;"|"&amp;$E512&amp;"|A")&gt;0),"⚠ Statut incohérent",IF(AND($D512="S1",$Y512&lt;&gt;"Parti",COUNTIF(ANNEES_VERROU,$B512)&gt;0,COUNTIF(D_KEY_NIVSES,$B512&amp;"|"&amp;$C512&amp;"|S2")&gt;0,COUNTIF(D_KEY_DOUBLON,$B512&amp;"|S2|"&amp;$E512)=0),"⚠ Départ non confirmé ?",IF(AND($C512&lt;&gt;"",ISNUMBER($I512),OR(VALUE(LEFT($B512,4))-$I512&lt;4+IFERROR(MATCH($C512,LISTE_NIVEAUX,0),99),VALUE(LEFT($B512,4))-$I512&gt;6+IFERROR(MATCH($C512,LISTE_NIVEAUX,0),99))),"⚠ Vérifier niveau",IF(AND(IFERROR(VLOOKUP($C512,TABLE_CYCLE,2,0),3)=2,COUNT($O512:$Q512)&gt;0),"⚠ Tests cycle 3",IF(COUNT($J512:$Q512)&gt;=IF(IFERROR(VLOOKUP($C512,TABLE_CYCLE,2,0),3)=2,5,8),"Complet","Incomplet"))))))))</f>
        <v/>
      </c>
      <c r="S512" s="24"/>
      <c r="T512" s="67" t="str">
        <f t="shared" si="64"/>
        <v/>
      </c>
      <c r="U512" s="67" t="str">
        <f t="shared" si="65"/>
        <v/>
      </c>
      <c r="V512" s="67" t="str">
        <f t="shared" si="66"/>
        <v/>
      </c>
      <c r="W512" s="67" t="str">
        <f t="shared" si="67"/>
        <v/>
      </c>
      <c r="X512" s="67" t="str">
        <f t="shared" si="68"/>
        <v/>
      </c>
      <c r="Y512" s="24" t="str">
        <f t="shared" si="69"/>
        <v/>
      </c>
      <c r="Z512">
        <f t="shared" si="70"/>
        <v>0</v>
      </c>
      <c r="AA512">
        <f t="shared" si="71"/>
        <v>0</v>
      </c>
    </row>
    <row r="513" spans="2:27" ht="15.75" customHeight="1" x14ac:dyDescent="0.3">
      <c r="B513" s="21"/>
      <c r="C513" s="21"/>
      <c r="D513" s="21"/>
      <c r="E513" s="22" t="str">
        <f t="shared" si="63"/>
        <v/>
      </c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3" t="str">
        <f>IF($F513="","",IF(OR($B513="",$C513="",$D513=""),"⚠ Compléter Année/Niveau/Session",IF(AND($E513&lt;&gt;"",COUNTIF(D_KEY_DOUBLON,$B513&amp;"|"&amp;$D513&amp;"|"&amp;$E513)&gt;1),"⚠ Doublon",IF(AND($E513&lt;&gt;"",COUNTIF(D_KEY_STATUT,$B513&amp;"|"&amp;$E513&amp;"|P")&gt;0,COUNTIF(D_KEY_STATUT,$B513&amp;"|"&amp;$E513&amp;"|A")&gt;0),"⚠ Statut incohérent",IF(AND($D513="S1",$Y513&lt;&gt;"Parti",COUNTIF(ANNEES_VERROU,$B513)&gt;0,COUNTIF(D_KEY_NIVSES,$B513&amp;"|"&amp;$C513&amp;"|S2")&gt;0,COUNTIF(D_KEY_DOUBLON,$B513&amp;"|S2|"&amp;$E513)=0),"⚠ Départ non confirmé ?",IF(AND($C513&lt;&gt;"",ISNUMBER($I513),OR(VALUE(LEFT($B513,4))-$I513&lt;4+IFERROR(MATCH($C513,LISTE_NIVEAUX,0),99),VALUE(LEFT($B513,4))-$I513&gt;6+IFERROR(MATCH($C513,LISTE_NIVEAUX,0),99))),"⚠ Vérifier niveau",IF(AND(IFERROR(VLOOKUP($C513,TABLE_CYCLE,2,0),3)=2,COUNT($O513:$Q513)&gt;0),"⚠ Tests cycle 3",IF(COUNT($J513:$Q513)&gt;=IF(IFERROR(VLOOKUP($C513,TABLE_CYCLE,2,0),3)=2,5,8),"Complet","Incomplet"))))))))</f>
        <v/>
      </c>
      <c r="S513" s="24"/>
      <c r="T513" s="67" t="str">
        <f t="shared" si="64"/>
        <v/>
      </c>
      <c r="U513" s="67" t="str">
        <f t="shared" si="65"/>
        <v/>
      </c>
      <c r="V513" s="67" t="str">
        <f t="shared" si="66"/>
        <v/>
      </c>
      <c r="W513" s="67" t="str">
        <f t="shared" si="67"/>
        <v/>
      </c>
      <c r="X513" s="67" t="str">
        <f t="shared" si="68"/>
        <v/>
      </c>
      <c r="Y513" s="24" t="str">
        <f t="shared" si="69"/>
        <v/>
      </c>
      <c r="Z513">
        <f t="shared" si="70"/>
        <v>0</v>
      </c>
      <c r="AA513">
        <f t="shared" si="71"/>
        <v>0</v>
      </c>
    </row>
    <row r="514" spans="2:27" ht="15.75" customHeight="1" x14ac:dyDescent="0.3">
      <c r="B514" s="25"/>
      <c r="C514" s="25"/>
      <c r="D514" s="25"/>
      <c r="E514" s="26" t="str">
        <f t="shared" si="63"/>
        <v/>
      </c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3" t="str">
        <f>IF($F514="","",IF(OR($B514="",$C514="",$D514=""),"⚠ Compléter Année/Niveau/Session",IF(AND($E514&lt;&gt;"",COUNTIF(D_KEY_DOUBLON,$B514&amp;"|"&amp;$D514&amp;"|"&amp;$E514)&gt;1),"⚠ Doublon",IF(AND($E514&lt;&gt;"",COUNTIF(D_KEY_STATUT,$B514&amp;"|"&amp;$E514&amp;"|P")&gt;0,COUNTIF(D_KEY_STATUT,$B514&amp;"|"&amp;$E514&amp;"|A")&gt;0),"⚠ Statut incohérent",IF(AND($D514="S1",$Y514&lt;&gt;"Parti",COUNTIF(ANNEES_VERROU,$B514)&gt;0,COUNTIF(D_KEY_NIVSES,$B514&amp;"|"&amp;$C514&amp;"|S2")&gt;0,COUNTIF(D_KEY_DOUBLON,$B514&amp;"|S2|"&amp;$E514)=0),"⚠ Départ non confirmé ?",IF(AND($C514&lt;&gt;"",ISNUMBER($I514),OR(VALUE(LEFT($B514,4))-$I514&lt;4+IFERROR(MATCH($C514,LISTE_NIVEAUX,0),99),VALUE(LEFT($B514,4))-$I514&gt;6+IFERROR(MATCH($C514,LISTE_NIVEAUX,0),99))),"⚠ Vérifier niveau",IF(AND(IFERROR(VLOOKUP($C514,TABLE_CYCLE,2,0),3)=2,COUNT($O514:$Q514)&gt;0),"⚠ Tests cycle 3",IF(COUNT($J514:$Q514)&gt;=IF(IFERROR(VLOOKUP($C514,TABLE_CYCLE,2,0),3)=2,5,8),"Complet","Incomplet"))))))))</f>
        <v/>
      </c>
      <c r="S514" s="24"/>
      <c r="T514" s="67" t="str">
        <f t="shared" si="64"/>
        <v/>
      </c>
      <c r="U514" s="67" t="str">
        <f t="shared" si="65"/>
        <v/>
      </c>
      <c r="V514" s="67" t="str">
        <f t="shared" si="66"/>
        <v/>
      </c>
      <c r="W514" s="67" t="str">
        <f t="shared" si="67"/>
        <v/>
      </c>
      <c r="X514" s="67" t="str">
        <f t="shared" si="68"/>
        <v/>
      </c>
      <c r="Y514" s="24" t="str">
        <f t="shared" si="69"/>
        <v/>
      </c>
      <c r="Z514">
        <f t="shared" si="70"/>
        <v>0</v>
      </c>
      <c r="AA514">
        <f t="shared" si="71"/>
        <v>0</v>
      </c>
    </row>
    <row r="515" spans="2:27" ht="15.75" customHeight="1" x14ac:dyDescent="0.3">
      <c r="B515" s="21"/>
      <c r="C515" s="21"/>
      <c r="D515" s="21"/>
      <c r="E515" s="22" t="str">
        <f t="shared" si="63"/>
        <v/>
      </c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3" t="str">
        <f>IF($F515="","",IF(OR($B515="",$C515="",$D515=""),"⚠ Compléter Année/Niveau/Session",IF(AND($E515&lt;&gt;"",COUNTIF(D_KEY_DOUBLON,$B515&amp;"|"&amp;$D515&amp;"|"&amp;$E515)&gt;1),"⚠ Doublon",IF(AND($E515&lt;&gt;"",COUNTIF(D_KEY_STATUT,$B515&amp;"|"&amp;$E515&amp;"|P")&gt;0,COUNTIF(D_KEY_STATUT,$B515&amp;"|"&amp;$E515&amp;"|A")&gt;0),"⚠ Statut incohérent",IF(AND($D515="S1",$Y515&lt;&gt;"Parti",COUNTIF(ANNEES_VERROU,$B515)&gt;0,COUNTIF(D_KEY_NIVSES,$B515&amp;"|"&amp;$C515&amp;"|S2")&gt;0,COUNTIF(D_KEY_DOUBLON,$B515&amp;"|S2|"&amp;$E515)=0),"⚠ Départ non confirmé ?",IF(AND($C515&lt;&gt;"",ISNUMBER($I515),OR(VALUE(LEFT($B515,4))-$I515&lt;4+IFERROR(MATCH($C515,LISTE_NIVEAUX,0),99),VALUE(LEFT($B515,4))-$I515&gt;6+IFERROR(MATCH($C515,LISTE_NIVEAUX,0),99))),"⚠ Vérifier niveau",IF(AND(IFERROR(VLOOKUP($C515,TABLE_CYCLE,2,0),3)=2,COUNT($O515:$Q515)&gt;0),"⚠ Tests cycle 3",IF(COUNT($J515:$Q515)&gt;=IF(IFERROR(VLOOKUP($C515,TABLE_CYCLE,2,0),3)=2,5,8),"Complet","Incomplet"))))))))</f>
        <v/>
      </c>
      <c r="S515" s="24"/>
      <c r="T515" s="67" t="str">
        <f t="shared" si="64"/>
        <v/>
      </c>
      <c r="U515" s="67" t="str">
        <f t="shared" si="65"/>
        <v/>
      </c>
      <c r="V515" s="67" t="str">
        <f t="shared" si="66"/>
        <v/>
      </c>
      <c r="W515" s="67" t="str">
        <f t="shared" si="67"/>
        <v/>
      </c>
      <c r="X515" s="67" t="str">
        <f t="shared" si="68"/>
        <v/>
      </c>
      <c r="Y515" s="24" t="str">
        <f t="shared" si="69"/>
        <v/>
      </c>
      <c r="Z515">
        <f t="shared" si="70"/>
        <v>0</v>
      </c>
      <c r="AA515">
        <f t="shared" si="71"/>
        <v>0</v>
      </c>
    </row>
    <row r="516" spans="2:27" ht="15.75" customHeight="1" x14ac:dyDescent="0.3">
      <c r="B516" s="25"/>
      <c r="C516" s="25"/>
      <c r="D516" s="25"/>
      <c r="E516" s="26" t="str">
        <f t="shared" si="63"/>
        <v/>
      </c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3" t="str">
        <f>IF($F516="","",IF(OR($B516="",$C516="",$D516=""),"⚠ Compléter Année/Niveau/Session",IF(AND($E516&lt;&gt;"",COUNTIF(D_KEY_DOUBLON,$B516&amp;"|"&amp;$D516&amp;"|"&amp;$E516)&gt;1),"⚠ Doublon",IF(AND($E516&lt;&gt;"",COUNTIF(D_KEY_STATUT,$B516&amp;"|"&amp;$E516&amp;"|P")&gt;0,COUNTIF(D_KEY_STATUT,$B516&amp;"|"&amp;$E516&amp;"|A")&gt;0),"⚠ Statut incohérent",IF(AND($D516="S1",$Y516&lt;&gt;"Parti",COUNTIF(ANNEES_VERROU,$B516)&gt;0,COUNTIF(D_KEY_NIVSES,$B516&amp;"|"&amp;$C516&amp;"|S2")&gt;0,COUNTIF(D_KEY_DOUBLON,$B516&amp;"|S2|"&amp;$E516)=0),"⚠ Départ non confirmé ?",IF(AND($C516&lt;&gt;"",ISNUMBER($I516),OR(VALUE(LEFT($B516,4))-$I516&lt;4+IFERROR(MATCH($C516,LISTE_NIVEAUX,0),99),VALUE(LEFT($B516,4))-$I516&gt;6+IFERROR(MATCH($C516,LISTE_NIVEAUX,0),99))),"⚠ Vérifier niveau",IF(AND(IFERROR(VLOOKUP($C516,TABLE_CYCLE,2,0),3)=2,COUNT($O516:$Q516)&gt;0),"⚠ Tests cycle 3",IF(COUNT($J516:$Q516)&gt;=IF(IFERROR(VLOOKUP($C516,TABLE_CYCLE,2,0),3)=2,5,8),"Complet","Incomplet"))))))))</f>
        <v/>
      </c>
      <c r="S516" s="24"/>
      <c r="T516" s="67" t="str">
        <f t="shared" si="64"/>
        <v/>
      </c>
      <c r="U516" s="67" t="str">
        <f t="shared" si="65"/>
        <v/>
      </c>
      <c r="V516" s="67" t="str">
        <f t="shared" si="66"/>
        <v/>
      </c>
      <c r="W516" s="67" t="str">
        <f t="shared" si="67"/>
        <v/>
      </c>
      <c r="X516" s="67" t="str">
        <f t="shared" si="68"/>
        <v/>
      </c>
      <c r="Y516" s="24" t="str">
        <f t="shared" si="69"/>
        <v/>
      </c>
      <c r="Z516">
        <f t="shared" si="70"/>
        <v>0</v>
      </c>
      <c r="AA516">
        <f t="shared" si="71"/>
        <v>0</v>
      </c>
    </row>
    <row r="517" spans="2:27" ht="15.75" customHeight="1" x14ac:dyDescent="0.3">
      <c r="B517" s="21"/>
      <c r="C517" s="21"/>
      <c r="D517" s="21"/>
      <c r="E517" s="22" t="str">
        <f t="shared" si="63"/>
        <v/>
      </c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3" t="str">
        <f>IF($F517="","",IF(OR($B517="",$C517="",$D517=""),"⚠ Compléter Année/Niveau/Session",IF(AND($E517&lt;&gt;"",COUNTIF(D_KEY_DOUBLON,$B517&amp;"|"&amp;$D517&amp;"|"&amp;$E517)&gt;1),"⚠ Doublon",IF(AND($E517&lt;&gt;"",COUNTIF(D_KEY_STATUT,$B517&amp;"|"&amp;$E517&amp;"|P")&gt;0,COUNTIF(D_KEY_STATUT,$B517&amp;"|"&amp;$E517&amp;"|A")&gt;0),"⚠ Statut incohérent",IF(AND($D517="S1",$Y517&lt;&gt;"Parti",COUNTIF(ANNEES_VERROU,$B517)&gt;0,COUNTIF(D_KEY_NIVSES,$B517&amp;"|"&amp;$C517&amp;"|S2")&gt;0,COUNTIF(D_KEY_DOUBLON,$B517&amp;"|S2|"&amp;$E517)=0),"⚠ Départ non confirmé ?",IF(AND($C517&lt;&gt;"",ISNUMBER($I517),OR(VALUE(LEFT($B517,4))-$I517&lt;4+IFERROR(MATCH($C517,LISTE_NIVEAUX,0),99),VALUE(LEFT($B517,4))-$I517&gt;6+IFERROR(MATCH($C517,LISTE_NIVEAUX,0),99))),"⚠ Vérifier niveau",IF(AND(IFERROR(VLOOKUP($C517,TABLE_CYCLE,2,0),3)=2,COUNT($O517:$Q517)&gt;0),"⚠ Tests cycle 3",IF(COUNT($J517:$Q517)&gt;=IF(IFERROR(VLOOKUP($C517,TABLE_CYCLE,2,0),3)=2,5,8),"Complet","Incomplet"))))))))</f>
        <v/>
      </c>
      <c r="S517" s="24"/>
      <c r="T517" s="67" t="str">
        <f t="shared" si="64"/>
        <v/>
      </c>
      <c r="U517" s="67" t="str">
        <f t="shared" si="65"/>
        <v/>
      </c>
      <c r="V517" s="67" t="str">
        <f t="shared" si="66"/>
        <v/>
      </c>
      <c r="W517" s="67" t="str">
        <f t="shared" si="67"/>
        <v/>
      </c>
      <c r="X517" s="67" t="str">
        <f t="shared" si="68"/>
        <v/>
      </c>
      <c r="Y517" s="24" t="str">
        <f t="shared" si="69"/>
        <v/>
      </c>
      <c r="Z517">
        <f t="shared" si="70"/>
        <v>0</v>
      </c>
      <c r="AA517">
        <f t="shared" si="71"/>
        <v>0</v>
      </c>
    </row>
    <row r="518" spans="2:27" ht="15.75" customHeight="1" x14ac:dyDescent="0.3">
      <c r="B518" s="25"/>
      <c r="C518" s="25"/>
      <c r="D518" s="25"/>
      <c r="E518" s="26" t="str">
        <f t="shared" si="63"/>
        <v/>
      </c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3" t="str">
        <f>IF($F518="","",IF(OR($B518="",$C518="",$D518=""),"⚠ Compléter Année/Niveau/Session",IF(AND($E518&lt;&gt;"",COUNTIF(D_KEY_DOUBLON,$B518&amp;"|"&amp;$D518&amp;"|"&amp;$E518)&gt;1),"⚠ Doublon",IF(AND($E518&lt;&gt;"",COUNTIF(D_KEY_STATUT,$B518&amp;"|"&amp;$E518&amp;"|P")&gt;0,COUNTIF(D_KEY_STATUT,$B518&amp;"|"&amp;$E518&amp;"|A")&gt;0),"⚠ Statut incohérent",IF(AND($D518="S1",$Y518&lt;&gt;"Parti",COUNTIF(ANNEES_VERROU,$B518)&gt;0,COUNTIF(D_KEY_NIVSES,$B518&amp;"|"&amp;$C518&amp;"|S2")&gt;0,COUNTIF(D_KEY_DOUBLON,$B518&amp;"|S2|"&amp;$E518)=0),"⚠ Départ non confirmé ?",IF(AND($C518&lt;&gt;"",ISNUMBER($I518),OR(VALUE(LEFT($B518,4))-$I518&lt;4+IFERROR(MATCH($C518,LISTE_NIVEAUX,0),99),VALUE(LEFT($B518,4))-$I518&gt;6+IFERROR(MATCH($C518,LISTE_NIVEAUX,0),99))),"⚠ Vérifier niveau",IF(AND(IFERROR(VLOOKUP($C518,TABLE_CYCLE,2,0),3)=2,COUNT($O518:$Q518)&gt;0),"⚠ Tests cycle 3",IF(COUNT($J518:$Q518)&gt;=IF(IFERROR(VLOOKUP($C518,TABLE_CYCLE,2,0),3)=2,5,8),"Complet","Incomplet"))))))))</f>
        <v/>
      </c>
      <c r="S518" s="24"/>
      <c r="T518" s="67" t="str">
        <f t="shared" si="64"/>
        <v/>
      </c>
      <c r="U518" s="67" t="str">
        <f t="shared" si="65"/>
        <v/>
      </c>
      <c r="V518" s="67" t="str">
        <f t="shared" si="66"/>
        <v/>
      </c>
      <c r="W518" s="67" t="str">
        <f t="shared" si="67"/>
        <v/>
      </c>
      <c r="X518" s="67" t="str">
        <f t="shared" si="68"/>
        <v/>
      </c>
      <c r="Y518" s="24" t="str">
        <f t="shared" si="69"/>
        <v/>
      </c>
      <c r="Z518">
        <f t="shared" si="70"/>
        <v>0</v>
      </c>
      <c r="AA518">
        <f t="shared" si="71"/>
        <v>0</v>
      </c>
    </row>
    <row r="519" spans="2:27" ht="15.75" customHeight="1" x14ac:dyDescent="0.3">
      <c r="B519" s="21"/>
      <c r="C519" s="21"/>
      <c r="D519" s="21"/>
      <c r="E519" s="22" t="str">
        <f t="shared" ref="E519:E582" si="72">IF(OR($F519="",$G519=""),"",IF(ISNUMBER($I519),TEXT($I519-2000,"00")&amp;"_","__")&amp;UPPER(TRIM($F519))&amp;"_"&amp;UPPER(TRIM($G519)))</f>
        <v/>
      </c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3" t="str">
        <f>IF($F519="","",IF(OR($B519="",$C519="",$D519=""),"⚠ Compléter Année/Niveau/Session",IF(AND($E519&lt;&gt;"",COUNTIF(D_KEY_DOUBLON,$B519&amp;"|"&amp;$D519&amp;"|"&amp;$E519)&gt;1),"⚠ Doublon",IF(AND($E519&lt;&gt;"",COUNTIF(D_KEY_STATUT,$B519&amp;"|"&amp;$E519&amp;"|P")&gt;0,COUNTIF(D_KEY_STATUT,$B519&amp;"|"&amp;$E519&amp;"|A")&gt;0),"⚠ Statut incohérent",IF(AND($D519="S1",$Y519&lt;&gt;"Parti",COUNTIF(ANNEES_VERROU,$B519)&gt;0,COUNTIF(D_KEY_NIVSES,$B519&amp;"|"&amp;$C519&amp;"|S2")&gt;0,COUNTIF(D_KEY_DOUBLON,$B519&amp;"|S2|"&amp;$E519)=0),"⚠ Départ non confirmé ?",IF(AND($C519&lt;&gt;"",ISNUMBER($I519),OR(VALUE(LEFT($B519,4))-$I519&lt;4+IFERROR(MATCH($C519,LISTE_NIVEAUX,0),99),VALUE(LEFT($B519,4))-$I519&gt;6+IFERROR(MATCH($C519,LISTE_NIVEAUX,0),99))),"⚠ Vérifier niveau",IF(AND(IFERROR(VLOOKUP($C519,TABLE_CYCLE,2,0),3)=2,COUNT($O519:$Q519)&gt;0),"⚠ Tests cycle 3",IF(COUNT($J519:$Q519)&gt;=IF(IFERROR(VLOOKUP($C519,TABLE_CYCLE,2,0),3)=2,5,8),"Complet","Incomplet"))))))))</f>
        <v/>
      </c>
      <c r="S519" s="24"/>
      <c r="T519" s="67" t="str">
        <f t="shared" ref="T519:T582" si="73">IFERROR(INDEX(D_NOM,MATCH(ROW()-6,D_RANG_RECUP,0)),"")</f>
        <v/>
      </c>
      <c r="U519" s="67" t="str">
        <f t="shared" ref="U519:U582" si="74">IFERROR(INDEX(D_PRENOM,MATCH(ROW()-6,D_RANG_RECUP,0)),"")</f>
        <v/>
      </c>
      <c r="V519" s="67" t="str">
        <f t="shared" ref="V519:V582" si="75">IFERROR(INDEX(D_SEXE,MATCH(ROW()-6,D_RANG_RECUP,0)),"")</f>
        <v/>
      </c>
      <c r="W519" s="67" t="str">
        <f t="shared" ref="W519:W582" si="76">IFERROR(INDEX(D_NAISS,MATCH(ROW()-6,D_RANG_RECUP,0)),"")</f>
        <v/>
      </c>
      <c r="X519" s="67" t="str">
        <f t="shared" ref="X519:X582" si="77">IF($T519="","",IF($X$4="→ Session 2 (même année)",$W$4,IFERROR(INDEX(LISTE_NIVEAUX,MATCH($W$4,LISTE_NIVEAUX,0)+1),"CM2 terminé")))</f>
        <v/>
      </c>
      <c r="Y519" s="24" t="str">
        <f t="shared" ref="Y519:Y582" si="78">IF($S519="","",$S519)</f>
        <v/>
      </c>
      <c r="Z519">
        <f t="shared" ref="Z519:Z582" si="79">SUBTOTAL(103,$F519)*($R519="Complet")</f>
        <v>0</v>
      </c>
      <c r="AA519">
        <f t="shared" ref="AA519:AA582" si="80">IF(OR($F519="",$C519=""),0,IF(COUNTIFS($B$7:$B$1206,$B519,$F$7:$F$1206,$F519,$G$7:$G$1206,$G519,$I$7:$I$1206,$I519,$C$7:$C$1206,"&lt;&gt;"&amp;$C519)&gt;0,1,0))</f>
        <v>0</v>
      </c>
    </row>
    <row r="520" spans="2:27" ht="15.75" customHeight="1" x14ac:dyDescent="0.3">
      <c r="B520" s="25"/>
      <c r="C520" s="25"/>
      <c r="D520" s="25"/>
      <c r="E520" s="26" t="str">
        <f t="shared" si="72"/>
        <v/>
      </c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3" t="str">
        <f>IF($F520="","",IF(OR($B520="",$C520="",$D520=""),"⚠ Compléter Année/Niveau/Session",IF(AND($E520&lt;&gt;"",COUNTIF(D_KEY_DOUBLON,$B520&amp;"|"&amp;$D520&amp;"|"&amp;$E520)&gt;1),"⚠ Doublon",IF(AND($E520&lt;&gt;"",COUNTIF(D_KEY_STATUT,$B520&amp;"|"&amp;$E520&amp;"|P")&gt;0,COUNTIF(D_KEY_STATUT,$B520&amp;"|"&amp;$E520&amp;"|A")&gt;0),"⚠ Statut incohérent",IF(AND($D520="S1",$Y520&lt;&gt;"Parti",COUNTIF(ANNEES_VERROU,$B520)&gt;0,COUNTIF(D_KEY_NIVSES,$B520&amp;"|"&amp;$C520&amp;"|S2")&gt;0,COUNTIF(D_KEY_DOUBLON,$B520&amp;"|S2|"&amp;$E520)=0),"⚠ Départ non confirmé ?",IF(AND($C520&lt;&gt;"",ISNUMBER($I520),OR(VALUE(LEFT($B520,4))-$I520&lt;4+IFERROR(MATCH($C520,LISTE_NIVEAUX,0),99),VALUE(LEFT($B520,4))-$I520&gt;6+IFERROR(MATCH($C520,LISTE_NIVEAUX,0),99))),"⚠ Vérifier niveau",IF(AND(IFERROR(VLOOKUP($C520,TABLE_CYCLE,2,0),3)=2,COUNT($O520:$Q520)&gt;0),"⚠ Tests cycle 3",IF(COUNT($J520:$Q520)&gt;=IF(IFERROR(VLOOKUP($C520,TABLE_CYCLE,2,0),3)=2,5,8),"Complet","Incomplet"))))))))</f>
        <v/>
      </c>
      <c r="S520" s="24"/>
      <c r="T520" s="67" t="str">
        <f t="shared" si="73"/>
        <v/>
      </c>
      <c r="U520" s="67" t="str">
        <f t="shared" si="74"/>
        <v/>
      </c>
      <c r="V520" s="67" t="str">
        <f t="shared" si="75"/>
        <v/>
      </c>
      <c r="W520" s="67" t="str">
        <f t="shared" si="76"/>
        <v/>
      </c>
      <c r="X520" s="67" t="str">
        <f t="shared" si="77"/>
        <v/>
      </c>
      <c r="Y520" s="24" t="str">
        <f t="shared" si="78"/>
        <v/>
      </c>
      <c r="Z520">
        <f t="shared" si="79"/>
        <v>0</v>
      </c>
      <c r="AA520">
        <f t="shared" si="80"/>
        <v>0</v>
      </c>
    </row>
    <row r="521" spans="2:27" ht="15.75" customHeight="1" x14ac:dyDescent="0.3">
      <c r="B521" s="21"/>
      <c r="C521" s="21"/>
      <c r="D521" s="21"/>
      <c r="E521" s="22" t="str">
        <f t="shared" si="72"/>
        <v/>
      </c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3" t="str">
        <f>IF($F521="","",IF(OR($B521="",$C521="",$D521=""),"⚠ Compléter Année/Niveau/Session",IF(AND($E521&lt;&gt;"",COUNTIF(D_KEY_DOUBLON,$B521&amp;"|"&amp;$D521&amp;"|"&amp;$E521)&gt;1),"⚠ Doublon",IF(AND($E521&lt;&gt;"",COUNTIF(D_KEY_STATUT,$B521&amp;"|"&amp;$E521&amp;"|P")&gt;0,COUNTIF(D_KEY_STATUT,$B521&amp;"|"&amp;$E521&amp;"|A")&gt;0),"⚠ Statut incohérent",IF(AND($D521="S1",$Y521&lt;&gt;"Parti",COUNTIF(ANNEES_VERROU,$B521)&gt;0,COUNTIF(D_KEY_NIVSES,$B521&amp;"|"&amp;$C521&amp;"|S2")&gt;0,COUNTIF(D_KEY_DOUBLON,$B521&amp;"|S2|"&amp;$E521)=0),"⚠ Départ non confirmé ?",IF(AND($C521&lt;&gt;"",ISNUMBER($I521),OR(VALUE(LEFT($B521,4))-$I521&lt;4+IFERROR(MATCH($C521,LISTE_NIVEAUX,0),99),VALUE(LEFT($B521,4))-$I521&gt;6+IFERROR(MATCH($C521,LISTE_NIVEAUX,0),99))),"⚠ Vérifier niveau",IF(AND(IFERROR(VLOOKUP($C521,TABLE_CYCLE,2,0),3)=2,COUNT($O521:$Q521)&gt;0),"⚠ Tests cycle 3",IF(COUNT($J521:$Q521)&gt;=IF(IFERROR(VLOOKUP($C521,TABLE_CYCLE,2,0),3)=2,5,8),"Complet","Incomplet"))))))))</f>
        <v/>
      </c>
      <c r="S521" s="24"/>
      <c r="T521" s="67" t="str">
        <f t="shared" si="73"/>
        <v/>
      </c>
      <c r="U521" s="67" t="str">
        <f t="shared" si="74"/>
        <v/>
      </c>
      <c r="V521" s="67" t="str">
        <f t="shared" si="75"/>
        <v/>
      </c>
      <c r="W521" s="67" t="str">
        <f t="shared" si="76"/>
        <v/>
      </c>
      <c r="X521" s="67" t="str">
        <f t="shared" si="77"/>
        <v/>
      </c>
      <c r="Y521" s="24" t="str">
        <f t="shared" si="78"/>
        <v/>
      </c>
      <c r="Z521">
        <f t="shared" si="79"/>
        <v>0</v>
      </c>
      <c r="AA521">
        <f t="shared" si="80"/>
        <v>0</v>
      </c>
    </row>
    <row r="522" spans="2:27" ht="15.75" customHeight="1" x14ac:dyDescent="0.3">
      <c r="B522" s="25"/>
      <c r="C522" s="25"/>
      <c r="D522" s="25"/>
      <c r="E522" s="26" t="str">
        <f t="shared" si="72"/>
        <v/>
      </c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3" t="str">
        <f>IF($F522="","",IF(OR($B522="",$C522="",$D522=""),"⚠ Compléter Année/Niveau/Session",IF(AND($E522&lt;&gt;"",COUNTIF(D_KEY_DOUBLON,$B522&amp;"|"&amp;$D522&amp;"|"&amp;$E522)&gt;1),"⚠ Doublon",IF(AND($E522&lt;&gt;"",COUNTIF(D_KEY_STATUT,$B522&amp;"|"&amp;$E522&amp;"|P")&gt;0,COUNTIF(D_KEY_STATUT,$B522&amp;"|"&amp;$E522&amp;"|A")&gt;0),"⚠ Statut incohérent",IF(AND($D522="S1",$Y522&lt;&gt;"Parti",COUNTIF(ANNEES_VERROU,$B522)&gt;0,COUNTIF(D_KEY_NIVSES,$B522&amp;"|"&amp;$C522&amp;"|S2")&gt;0,COUNTIF(D_KEY_DOUBLON,$B522&amp;"|S2|"&amp;$E522)=0),"⚠ Départ non confirmé ?",IF(AND($C522&lt;&gt;"",ISNUMBER($I522),OR(VALUE(LEFT($B522,4))-$I522&lt;4+IFERROR(MATCH($C522,LISTE_NIVEAUX,0),99),VALUE(LEFT($B522,4))-$I522&gt;6+IFERROR(MATCH($C522,LISTE_NIVEAUX,0),99))),"⚠ Vérifier niveau",IF(AND(IFERROR(VLOOKUP($C522,TABLE_CYCLE,2,0),3)=2,COUNT($O522:$Q522)&gt;0),"⚠ Tests cycle 3",IF(COUNT($J522:$Q522)&gt;=IF(IFERROR(VLOOKUP($C522,TABLE_CYCLE,2,0),3)=2,5,8),"Complet","Incomplet"))))))))</f>
        <v/>
      </c>
      <c r="S522" s="24"/>
      <c r="T522" s="67" t="str">
        <f t="shared" si="73"/>
        <v/>
      </c>
      <c r="U522" s="67" t="str">
        <f t="shared" si="74"/>
        <v/>
      </c>
      <c r="V522" s="67" t="str">
        <f t="shared" si="75"/>
        <v/>
      </c>
      <c r="W522" s="67" t="str">
        <f t="shared" si="76"/>
        <v/>
      </c>
      <c r="X522" s="67" t="str">
        <f t="shared" si="77"/>
        <v/>
      </c>
      <c r="Y522" s="24" t="str">
        <f t="shared" si="78"/>
        <v/>
      </c>
      <c r="Z522">
        <f t="shared" si="79"/>
        <v>0</v>
      </c>
      <c r="AA522">
        <f t="shared" si="80"/>
        <v>0</v>
      </c>
    </row>
    <row r="523" spans="2:27" ht="15.75" customHeight="1" x14ac:dyDescent="0.3">
      <c r="B523" s="21"/>
      <c r="C523" s="21"/>
      <c r="D523" s="21"/>
      <c r="E523" s="22" t="str">
        <f t="shared" si="72"/>
        <v/>
      </c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3" t="str">
        <f>IF($F523="","",IF(OR($B523="",$C523="",$D523=""),"⚠ Compléter Année/Niveau/Session",IF(AND($E523&lt;&gt;"",COUNTIF(D_KEY_DOUBLON,$B523&amp;"|"&amp;$D523&amp;"|"&amp;$E523)&gt;1),"⚠ Doublon",IF(AND($E523&lt;&gt;"",COUNTIF(D_KEY_STATUT,$B523&amp;"|"&amp;$E523&amp;"|P")&gt;0,COUNTIF(D_KEY_STATUT,$B523&amp;"|"&amp;$E523&amp;"|A")&gt;0),"⚠ Statut incohérent",IF(AND($D523="S1",$Y523&lt;&gt;"Parti",COUNTIF(ANNEES_VERROU,$B523)&gt;0,COUNTIF(D_KEY_NIVSES,$B523&amp;"|"&amp;$C523&amp;"|S2")&gt;0,COUNTIF(D_KEY_DOUBLON,$B523&amp;"|S2|"&amp;$E523)=0),"⚠ Départ non confirmé ?",IF(AND($C523&lt;&gt;"",ISNUMBER($I523),OR(VALUE(LEFT($B523,4))-$I523&lt;4+IFERROR(MATCH($C523,LISTE_NIVEAUX,0),99),VALUE(LEFT($B523,4))-$I523&gt;6+IFERROR(MATCH($C523,LISTE_NIVEAUX,0),99))),"⚠ Vérifier niveau",IF(AND(IFERROR(VLOOKUP($C523,TABLE_CYCLE,2,0),3)=2,COUNT($O523:$Q523)&gt;0),"⚠ Tests cycle 3",IF(COUNT($J523:$Q523)&gt;=IF(IFERROR(VLOOKUP($C523,TABLE_CYCLE,2,0),3)=2,5,8),"Complet","Incomplet"))))))))</f>
        <v/>
      </c>
      <c r="S523" s="24"/>
      <c r="T523" s="67" t="str">
        <f t="shared" si="73"/>
        <v/>
      </c>
      <c r="U523" s="67" t="str">
        <f t="shared" si="74"/>
        <v/>
      </c>
      <c r="V523" s="67" t="str">
        <f t="shared" si="75"/>
        <v/>
      </c>
      <c r="W523" s="67" t="str">
        <f t="shared" si="76"/>
        <v/>
      </c>
      <c r="X523" s="67" t="str">
        <f t="shared" si="77"/>
        <v/>
      </c>
      <c r="Y523" s="24" t="str">
        <f t="shared" si="78"/>
        <v/>
      </c>
      <c r="Z523">
        <f t="shared" si="79"/>
        <v>0</v>
      </c>
      <c r="AA523">
        <f t="shared" si="80"/>
        <v>0</v>
      </c>
    </row>
    <row r="524" spans="2:27" ht="15.75" customHeight="1" x14ac:dyDescent="0.3">
      <c r="B524" s="25"/>
      <c r="C524" s="25"/>
      <c r="D524" s="25"/>
      <c r="E524" s="26" t="str">
        <f t="shared" si="72"/>
        <v/>
      </c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3" t="str">
        <f>IF($F524="","",IF(OR($B524="",$C524="",$D524=""),"⚠ Compléter Année/Niveau/Session",IF(AND($E524&lt;&gt;"",COUNTIF(D_KEY_DOUBLON,$B524&amp;"|"&amp;$D524&amp;"|"&amp;$E524)&gt;1),"⚠ Doublon",IF(AND($E524&lt;&gt;"",COUNTIF(D_KEY_STATUT,$B524&amp;"|"&amp;$E524&amp;"|P")&gt;0,COUNTIF(D_KEY_STATUT,$B524&amp;"|"&amp;$E524&amp;"|A")&gt;0),"⚠ Statut incohérent",IF(AND($D524="S1",$Y524&lt;&gt;"Parti",COUNTIF(ANNEES_VERROU,$B524)&gt;0,COUNTIF(D_KEY_NIVSES,$B524&amp;"|"&amp;$C524&amp;"|S2")&gt;0,COUNTIF(D_KEY_DOUBLON,$B524&amp;"|S2|"&amp;$E524)=0),"⚠ Départ non confirmé ?",IF(AND($C524&lt;&gt;"",ISNUMBER($I524),OR(VALUE(LEFT($B524,4))-$I524&lt;4+IFERROR(MATCH($C524,LISTE_NIVEAUX,0),99),VALUE(LEFT($B524,4))-$I524&gt;6+IFERROR(MATCH($C524,LISTE_NIVEAUX,0),99))),"⚠ Vérifier niveau",IF(AND(IFERROR(VLOOKUP($C524,TABLE_CYCLE,2,0),3)=2,COUNT($O524:$Q524)&gt;0),"⚠ Tests cycle 3",IF(COUNT($J524:$Q524)&gt;=IF(IFERROR(VLOOKUP($C524,TABLE_CYCLE,2,0),3)=2,5,8),"Complet","Incomplet"))))))))</f>
        <v/>
      </c>
      <c r="S524" s="24"/>
      <c r="T524" s="67" t="str">
        <f t="shared" si="73"/>
        <v/>
      </c>
      <c r="U524" s="67" t="str">
        <f t="shared" si="74"/>
        <v/>
      </c>
      <c r="V524" s="67" t="str">
        <f t="shared" si="75"/>
        <v/>
      </c>
      <c r="W524" s="67" t="str">
        <f t="shared" si="76"/>
        <v/>
      </c>
      <c r="X524" s="67" t="str">
        <f t="shared" si="77"/>
        <v/>
      </c>
      <c r="Y524" s="24" t="str">
        <f t="shared" si="78"/>
        <v/>
      </c>
      <c r="Z524">
        <f t="shared" si="79"/>
        <v>0</v>
      </c>
      <c r="AA524">
        <f t="shared" si="80"/>
        <v>0</v>
      </c>
    </row>
    <row r="525" spans="2:27" ht="15.75" customHeight="1" x14ac:dyDescent="0.3">
      <c r="B525" s="21"/>
      <c r="C525" s="21"/>
      <c r="D525" s="21"/>
      <c r="E525" s="22" t="str">
        <f t="shared" si="72"/>
        <v/>
      </c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3" t="str">
        <f>IF($F525="","",IF(OR($B525="",$C525="",$D525=""),"⚠ Compléter Année/Niveau/Session",IF(AND($E525&lt;&gt;"",COUNTIF(D_KEY_DOUBLON,$B525&amp;"|"&amp;$D525&amp;"|"&amp;$E525)&gt;1),"⚠ Doublon",IF(AND($E525&lt;&gt;"",COUNTIF(D_KEY_STATUT,$B525&amp;"|"&amp;$E525&amp;"|P")&gt;0,COUNTIF(D_KEY_STATUT,$B525&amp;"|"&amp;$E525&amp;"|A")&gt;0),"⚠ Statut incohérent",IF(AND($D525="S1",$Y525&lt;&gt;"Parti",COUNTIF(ANNEES_VERROU,$B525)&gt;0,COUNTIF(D_KEY_NIVSES,$B525&amp;"|"&amp;$C525&amp;"|S2")&gt;0,COUNTIF(D_KEY_DOUBLON,$B525&amp;"|S2|"&amp;$E525)=0),"⚠ Départ non confirmé ?",IF(AND($C525&lt;&gt;"",ISNUMBER($I525),OR(VALUE(LEFT($B525,4))-$I525&lt;4+IFERROR(MATCH($C525,LISTE_NIVEAUX,0),99),VALUE(LEFT($B525,4))-$I525&gt;6+IFERROR(MATCH($C525,LISTE_NIVEAUX,0),99))),"⚠ Vérifier niveau",IF(AND(IFERROR(VLOOKUP($C525,TABLE_CYCLE,2,0),3)=2,COUNT($O525:$Q525)&gt;0),"⚠ Tests cycle 3",IF(COUNT($J525:$Q525)&gt;=IF(IFERROR(VLOOKUP($C525,TABLE_CYCLE,2,0),3)=2,5,8),"Complet","Incomplet"))))))))</f>
        <v/>
      </c>
      <c r="S525" s="24"/>
      <c r="T525" s="67" t="str">
        <f t="shared" si="73"/>
        <v/>
      </c>
      <c r="U525" s="67" t="str">
        <f t="shared" si="74"/>
        <v/>
      </c>
      <c r="V525" s="67" t="str">
        <f t="shared" si="75"/>
        <v/>
      </c>
      <c r="W525" s="67" t="str">
        <f t="shared" si="76"/>
        <v/>
      </c>
      <c r="X525" s="67" t="str">
        <f t="shared" si="77"/>
        <v/>
      </c>
      <c r="Y525" s="24" t="str">
        <f t="shared" si="78"/>
        <v/>
      </c>
      <c r="Z525">
        <f t="shared" si="79"/>
        <v>0</v>
      </c>
      <c r="AA525">
        <f t="shared" si="80"/>
        <v>0</v>
      </c>
    </row>
    <row r="526" spans="2:27" ht="15.75" customHeight="1" x14ac:dyDescent="0.3">
      <c r="B526" s="25"/>
      <c r="C526" s="25"/>
      <c r="D526" s="25"/>
      <c r="E526" s="26" t="str">
        <f t="shared" si="72"/>
        <v/>
      </c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3" t="str">
        <f>IF($F526="","",IF(OR($B526="",$C526="",$D526=""),"⚠ Compléter Année/Niveau/Session",IF(AND($E526&lt;&gt;"",COUNTIF(D_KEY_DOUBLON,$B526&amp;"|"&amp;$D526&amp;"|"&amp;$E526)&gt;1),"⚠ Doublon",IF(AND($E526&lt;&gt;"",COUNTIF(D_KEY_STATUT,$B526&amp;"|"&amp;$E526&amp;"|P")&gt;0,COUNTIF(D_KEY_STATUT,$B526&amp;"|"&amp;$E526&amp;"|A")&gt;0),"⚠ Statut incohérent",IF(AND($D526="S1",$Y526&lt;&gt;"Parti",COUNTIF(ANNEES_VERROU,$B526)&gt;0,COUNTIF(D_KEY_NIVSES,$B526&amp;"|"&amp;$C526&amp;"|S2")&gt;0,COUNTIF(D_KEY_DOUBLON,$B526&amp;"|S2|"&amp;$E526)=0),"⚠ Départ non confirmé ?",IF(AND($C526&lt;&gt;"",ISNUMBER($I526),OR(VALUE(LEFT($B526,4))-$I526&lt;4+IFERROR(MATCH($C526,LISTE_NIVEAUX,0),99),VALUE(LEFT($B526,4))-$I526&gt;6+IFERROR(MATCH($C526,LISTE_NIVEAUX,0),99))),"⚠ Vérifier niveau",IF(AND(IFERROR(VLOOKUP($C526,TABLE_CYCLE,2,0),3)=2,COUNT($O526:$Q526)&gt;0),"⚠ Tests cycle 3",IF(COUNT($J526:$Q526)&gt;=IF(IFERROR(VLOOKUP($C526,TABLE_CYCLE,2,0),3)=2,5,8),"Complet","Incomplet"))))))))</f>
        <v/>
      </c>
      <c r="S526" s="24"/>
      <c r="T526" s="67" t="str">
        <f t="shared" si="73"/>
        <v/>
      </c>
      <c r="U526" s="67" t="str">
        <f t="shared" si="74"/>
        <v/>
      </c>
      <c r="V526" s="67" t="str">
        <f t="shared" si="75"/>
        <v/>
      </c>
      <c r="W526" s="67" t="str">
        <f t="shared" si="76"/>
        <v/>
      </c>
      <c r="X526" s="67" t="str">
        <f t="shared" si="77"/>
        <v/>
      </c>
      <c r="Y526" s="24" t="str">
        <f t="shared" si="78"/>
        <v/>
      </c>
      <c r="Z526">
        <f t="shared" si="79"/>
        <v>0</v>
      </c>
      <c r="AA526">
        <f t="shared" si="80"/>
        <v>0</v>
      </c>
    </row>
    <row r="527" spans="2:27" ht="15.75" customHeight="1" x14ac:dyDescent="0.3">
      <c r="B527" s="21"/>
      <c r="C527" s="21"/>
      <c r="D527" s="21"/>
      <c r="E527" s="22" t="str">
        <f t="shared" si="72"/>
        <v/>
      </c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3" t="str">
        <f>IF($F527="","",IF(OR($B527="",$C527="",$D527=""),"⚠ Compléter Année/Niveau/Session",IF(AND($E527&lt;&gt;"",COUNTIF(D_KEY_DOUBLON,$B527&amp;"|"&amp;$D527&amp;"|"&amp;$E527)&gt;1),"⚠ Doublon",IF(AND($E527&lt;&gt;"",COUNTIF(D_KEY_STATUT,$B527&amp;"|"&amp;$E527&amp;"|P")&gt;0,COUNTIF(D_KEY_STATUT,$B527&amp;"|"&amp;$E527&amp;"|A")&gt;0),"⚠ Statut incohérent",IF(AND($D527="S1",$Y527&lt;&gt;"Parti",COUNTIF(ANNEES_VERROU,$B527)&gt;0,COUNTIF(D_KEY_NIVSES,$B527&amp;"|"&amp;$C527&amp;"|S2")&gt;0,COUNTIF(D_KEY_DOUBLON,$B527&amp;"|S2|"&amp;$E527)=0),"⚠ Départ non confirmé ?",IF(AND($C527&lt;&gt;"",ISNUMBER($I527),OR(VALUE(LEFT($B527,4))-$I527&lt;4+IFERROR(MATCH($C527,LISTE_NIVEAUX,0),99),VALUE(LEFT($B527,4))-$I527&gt;6+IFERROR(MATCH($C527,LISTE_NIVEAUX,0),99))),"⚠ Vérifier niveau",IF(AND(IFERROR(VLOOKUP($C527,TABLE_CYCLE,2,0),3)=2,COUNT($O527:$Q527)&gt;0),"⚠ Tests cycle 3",IF(COUNT($J527:$Q527)&gt;=IF(IFERROR(VLOOKUP($C527,TABLE_CYCLE,2,0),3)=2,5,8),"Complet","Incomplet"))))))))</f>
        <v/>
      </c>
      <c r="S527" s="24"/>
      <c r="T527" s="67" t="str">
        <f t="shared" si="73"/>
        <v/>
      </c>
      <c r="U527" s="67" t="str">
        <f t="shared" si="74"/>
        <v/>
      </c>
      <c r="V527" s="67" t="str">
        <f t="shared" si="75"/>
        <v/>
      </c>
      <c r="W527" s="67" t="str">
        <f t="shared" si="76"/>
        <v/>
      </c>
      <c r="X527" s="67" t="str">
        <f t="shared" si="77"/>
        <v/>
      </c>
      <c r="Y527" s="24" t="str">
        <f t="shared" si="78"/>
        <v/>
      </c>
      <c r="Z527">
        <f t="shared" si="79"/>
        <v>0</v>
      </c>
      <c r="AA527">
        <f t="shared" si="80"/>
        <v>0</v>
      </c>
    </row>
    <row r="528" spans="2:27" ht="15.75" customHeight="1" x14ac:dyDescent="0.3">
      <c r="B528" s="25"/>
      <c r="C528" s="25"/>
      <c r="D528" s="25"/>
      <c r="E528" s="26" t="str">
        <f t="shared" si="72"/>
        <v/>
      </c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3" t="str">
        <f>IF($F528="","",IF(OR($B528="",$C528="",$D528=""),"⚠ Compléter Année/Niveau/Session",IF(AND($E528&lt;&gt;"",COUNTIF(D_KEY_DOUBLON,$B528&amp;"|"&amp;$D528&amp;"|"&amp;$E528)&gt;1),"⚠ Doublon",IF(AND($E528&lt;&gt;"",COUNTIF(D_KEY_STATUT,$B528&amp;"|"&amp;$E528&amp;"|P")&gt;0,COUNTIF(D_KEY_STATUT,$B528&amp;"|"&amp;$E528&amp;"|A")&gt;0),"⚠ Statut incohérent",IF(AND($D528="S1",$Y528&lt;&gt;"Parti",COUNTIF(ANNEES_VERROU,$B528)&gt;0,COUNTIF(D_KEY_NIVSES,$B528&amp;"|"&amp;$C528&amp;"|S2")&gt;0,COUNTIF(D_KEY_DOUBLON,$B528&amp;"|S2|"&amp;$E528)=0),"⚠ Départ non confirmé ?",IF(AND($C528&lt;&gt;"",ISNUMBER($I528),OR(VALUE(LEFT($B528,4))-$I528&lt;4+IFERROR(MATCH($C528,LISTE_NIVEAUX,0),99),VALUE(LEFT($B528,4))-$I528&gt;6+IFERROR(MATCH($C528,LISTE_NIVEAUX,0),99))),"⚠ Vérifier niveau",IF(AND(IFERROR(VLOOKUP($C528,TABLE_CYCLE,2,0),3)=2,COUNT($O528:$Q528)&gt;0),"⚠ Tests cycle 3",IF(COUNT($J528:$Q528)&gt;=IF(IFERROR(VLOOKUP($C528,TABLE_CYCLE,2,0),3)=2,5,8),"Complet","Incomplet"))))))))</f>
        <v/>
      </c>
      <c r="S528" s="24"/>
      <c r="T528" s="67" t="str">
        <f t="shared" si="73"/>
        <v/>
      </c>
      <c r="U528" s="67" t="str">
        <f t="shared" si="74"/>
        <v/>
      </c>
      <c r="V528" s="67" t="str">
        <f t="shared" si="75"/>
        <v/>
      </c>
      <c r="W528" s="67" t="str">
        <f t="shared" si="76"/>
        <v/>
      </c>
      <c r="X528" s="67" t="str">
        <f t="shared" si="77"/>
        <v/>
      </c>
      <c r="Y528" s="24" t="str">
        <f t="shared" si="78"/>
        <v/>
      </c>
      <c r="Z528">
        <f t="shared" si="79"/>
        <v>0</v>
      </c>
      <c r="AA528">
        <f t="shared" si="80"/>
        <v>0</v>
      </c>
    </row>
    <row r="529" spans="2:27" ht="15.75" customHeight="1" x14ac:dyDescent="0.3">
      <c r="B529" s="21"/>
      <c r="C529" s="21"/>
      <c r="D529" s="21"/>
      <c r="E529" s="22" t="str">
        <f t="shared" si="72"/>
        <v/>
      </c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3" t="str">
        <f>IF($F529="","",IF(OR($B529="",$C529="",$D529=""),"⚠ Compléter Année/Niveau/Session",IF(AND($E529&lt;&gt;"",COUNTIF(D_KEY_DOUBLON,$B529&amp;"|"&amp;$D529&amp;"|"&amp;$E529)&gt;1),"⚠ Doublon",IF(AND($E529&lt;&gt;"",COUNTIF(D_KEY_STATUT,$B529&amp;"|"&amp;$E529&amp;"|P")&gt;0,COUNTIF(D_KEY_STATUT,$B529&amp;"|"&amp;$E529&amp;"|A")&gt;0),"⚠ Statut incohérent",IF(AND($D529="S1",$Y529&lt;&gt;"Parti",COUNTIF(ANNEES_VERROU,$B529)&gt;0,COUNTIF(D_KEY_NIVSES,$B529&amp;"|"&amp;$C529&amp;"|S2")&gt;0,COUNTIF(D_KEY_DOUBLON,$B529&amp;"|S2|"&amp;$E529)=0),"⚠ Départ non confirmé ?",IF(AND($C529&lt;&gt;"",ISNUMBER($I529),OR(VALUE(LEFT($B529,4))-$I529&lt;4+IFERROR(MATCH($C529,LISTE_NIVEAUX,0),99),VALUE(LEFT($B529,4))-$I529&gt;6+IFERROR(MATCH($C529,LISTE_NIVEAUX,0),99))),"⚠ Vérifier niveau",IF(AND(IFERROR(VLOOKUP($C529,TABLE_CYCLE,2,0),3)=2,COUNT($O529:$Q529)&gt;0),"⚠ Tests cycle 3",IF(COUNT($J529:$Q529)&gt;=IF(IFERROR(VLOOKUP($C529,TABLE_CYCLE,2,0),3)=2,5,8),"Complet","Incomplet"))))))))</f>
        <v/>
      </c>
      <c r="S529" s="24"/>
      <c r="T529" s="67" t="str">
        <f t="shared" si="73"/>
        <v/>
      </c>
      <c r="U529" s="67" t="str">
        <f t="shared" si="74"/>
        <v/>
      </c>
      <c r="V529" s="67" t="str">
        <f t="shared" si="75"/>
        <v/>
      </c>
      <c r="W529" s="67" t="str">
        <f t="shared" si="76"/>
        <v/>
      </c>
      <c r="X529" s="67" t="str">
        <f t="shared" si="77"/>
        <v/>
      </c>
      <c r="Y529" s="24" t="str">
        <f t="shared" si="78"/>
        <v/>
      </c>
      <c r="Z529">
        <f t="shared" si="79"/>
        <v>0</v>
      </c>
      <c r="AA529">
        <f t="shared" si="80"/>
        <v>0</v>
      </c>
    </row>
    <row r="530" spans="2:27" ht="15.75" customHeight="1" x14ac:dyDescent="0.3">
      <c r="B530" s="25"/>
      <c r="C530" s="25"/>
      <c r="D530" s="25"/>
      <c r="E530" s="26" t="str">
        <f t="shared" si="72"/>
        <v/>
      </c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3" t="str">
        <f>IF($F530="","",IF(OR($B530="",$C530="",$D530=""),"⚠ Compléter Année/Niveau/Session",IF(AND($E530&lt;&gt;"",COUNTIF(D_KEY_DOUBLON,$B530&amp;"|"&amp;$D530&amp;"|"&amp;$E530)&gt;1),"⚠ Doublon",IF(AND($E530&lt;&gt;"",COUNTIF(D_KEY_STATUT,$B530&amp;"|"&amp;$E530&amp;"|P")&gt;0,COUNTIF(D_KEY_STATUT,$B530&amp;"|"&amp;$E530&amp;"|A")&gt;0),"⚠ Statut incohérent",IF(AND($D530="S1",$Y530&lt;&gt;"Parti",COUNTIF(ANNEES_VERROU,$B530)&gt;0,COUNTIF(D_KEY_NIVSES,$B530&amp;"|"&amp;$C530&amp;"|S2")&gt;0,COUNTIF(D_KEY_DOUBLON,$B530&amp;"|S2|"&amp;$E530)=0),"⚠ Départ non confirmé ?",IF(AND($C530&lt;&gt;"",ISNUMBER($I530),OR(VALUE(LEFT($B530,4))-$I530&lt;4+IFERROR(MATCH($C530,LISTE_NIVEAUX,0),99),VALUE(LEFT($B530,4))-$I530&gt;6+IFERROR(MATCH($C530,LISTE_NIVEAUX,0),99))),"⚠ Vérifier niveau",IF(AND(IFERROR(VLOOKUP($C530,TABLE_CYCLE,2,0),3)=2,COUNT($O530:$Q530)&gt;0),"⚠ Tests cycle 3",IF(COUNT($J530:$Q530)&gt;=IF(IFERROR(VLOOKUP($C530,TABLE_CYCLE,2,0),3)=2,5,8),"Complet","Incomplet"))))))))</f>
        <v/>
      </c>
      <c r="S530" s="24"/>
      <c r="T530" s="67" t="str">
        <f t="shared" si="73"/>
        <v/>
      </c>
      <c r="U530" s="67" t="str">
        <f t="shared" si="74"/>
        <v/>
      </c>
      <c r="V530" s="67" t="str">
        <f t="shared" si="75"/>
        <v/>
      </c>
      <c r="W530" s="67" t="str">
        <f t="shared" si="76"/>
        <v/>
      </c>
      <c r="X530" s="67" t="str">
        <f t="shared" si="77"/>
        <v/>
      </c>
      <c r="Y530" s="24" t="str">
        <f t="shared" si="78"/>
        <v/>
      </c>
      <c r="Z530">
        <f t="shared" si="79"/>
        <v>0</v>
      </c>
      <c r="AA530">
        <f t="shared" si="80"/>
        <v>0</v>
      </c>
    </row>
    <row r="531" spans="2:27" ht="15.75" customHeight="1" x14ac:dyDescent="0.3">
      <c r="B531" s="21"/>
      <c r="C531" s="21"/>
      <c r="D531" s="21"/>
      <c r="E531" s="22" t="str">
        <f t="shared" si="72"/>
        <v/>
      </c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3" t="str">
        <f>IF($F531="","",IF(OR($B531="",$C531="",$D531=""),"⚠ Compléter Année/Niveau/Session",IF(AND($E531&lt;&gt;"",COUNTIF(D_KEY_DOUBLON,$B531&amp;"|"&amp;$D531&amp;"|"&amp;$E531)&gt;1),"⚠ Doublon",IF(AND($E531&lt;&gt;"",COUNTIF(D_KEY_STATUT,$B531&amp;"|"&amp;$E531&amp;"|P")&gt;0,COUNTIF(D_KEY_STATUT,$B531&amp;"|"&amp;$E531&amp;"|A")&gt;0),"⚠ Statut incohérent",IF(AND($D531="S1",$Y531&lt;&gt;"Parti",COUNTIF(ANNEES_VERROU,$B531)&gt;0,COUNTIF(D_KEY_NIVSES,$B531&amp;"|"&amp;$C531&amp;"|S2")&gt;0,COUNTIF(D_KEY_DOUBLON,$B531&amp;"|S2|"&amp;$E531)=0),"⚠ Départ non confirmé ?",IF(AND($C531&lt;&gt;"",ISNUMBER($I531),OR(VALUE(LEFT($B531,4))-$I531&lt;4+IFERROR(MATCH($C531,LISTE_NIVEAUX,0),99),VALUE(LEFT($B531,4))-$I531&gt;6+IFERROR(MATCH($C531,LISTE_NIVEAUX,0),99))),"⚠ Vérifier niveau",IF(AND(IFERROR(VLOOKUP($C531,TABLE_CYCLE,2,0),3)=2,COUNT($O531:$Q531)&gt;0),"⚠ Tests cycle 3",IF(COUNT($J531:$Q531)&gt;=IF(IFERROR(VLOOKUP($C531,TABLE_CYCLE,2,0),3)=2,5,8),"Complet","Incomplet"))))))))</f>
        <v/>
      </c>
      <c r="S531" s="24"/>
      <c r="T531" s="67" t="str">
        <f t="shared" si="73"/>
        <v/>
      </c>
      <c r="U531" s="67" t="str">
        <f t="shared" si="74"/>
        <v/>
      </c>
      <c r="V531" s="67" t="str">
        <f t="shared" si="75"/>
        <v/>
      </c>
      <c r="W531" s="67" t="str">
        <f t="shared" si="76"/>
        <v/>
      </c>
      <c r="X531" s="67" t="str">
        <f t="shared" si="77"/>
        <v/>
      </c>
      <c r="Y531" s="24" t="str">
        <f t="shared" si="78"/>
        <v/>
      </c>
      <c r="Z531">
        <f t="shared" si="79"/>
        <v>0</v>
      </c>
      <c r="AA531">
        <f t="shared" si="80"/>
        <v>0</v>
      </c>
    </row>
    <row r="532" spans="2:27" ht="15.75" customHeight="1" x14ac:dyDescent="0.3">
      <c r="B532" s="25"/>
      <c r="C532" s="25"/>
      <c r="D532" s="25"/>
      <c r="E532" s="26" t="str">
        <f t="shared" si="72"/>
        <v/>
      </c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3" t="str">
        <f>IF($F532="","",IF(OR($B532="",$C532="",$D532=""),"⚠ Compléter Année/Niveau/Session",IF(AND($E532&lt;&gt;"",COUNTIF(D_KEY_DOUBLON,$B532&amp;"|"&amp;$D532&amp;"|"&amp;$E532)&gt;1),"⚠ Doublon",IF(AND($E532&lt;&gt;"",COUNTIF(D_KEY_STATUT,$B532&amp;"|"&amp;$E532&amp;"|P")&gt;0,COUNTIF(D_KEY_STATUT,$B532&amp;"|"&amp;$E532&amp;"|A")&gt;0),"⚠ Statut incohérent",IF(AND($D532="S1",$Y532&lt;&gt;"Parti",COUNTIF(ANNEES_VERROU,$B532)&gt;0,COUNTIF(D_KEY_NIVSES,$B532&amp;"|"&amp;$C532&amp;"|S2")&gt;0,COUNTIF(D_KEY_DOUBLON,$B532&amp;"|S2|"&amp;$E532)=0),"⚠ Départ non confirmé ?",IF(AND($C532&lt;&gt;"",ISNUMBER($I532),OR(VALUE(LEFT($B532,4))-$I532&lt;4+IFERROR(MATCH($C532,LISTE_NIVEAUX,0),99),VALUE(LEFT($B532,4))-$I532&gt;6+IFERROR(MATCH($C532,LISTE_NIVEAUX,0),99))),"⚠ Vérifier niveau",IF(AND(IFERROR(VLOOKUP($C532,TABLE_CYCLE,2,0),3)=2,COUNT($O532:$Q532)&gt;0),"⚠ Tests cycle 3",IF(COUNT($J532:$Q532)&gt;=IF(IFERROR(VLOOKUP($C532,TABLE_CYCLE,2,0),3)=2,5,8),"Complet","Incomplet"))))))))</f>
        <v/>
      </c>
      <c r="S532" s="24"/>
      <c r="T532" s="67" t="str">
        <f t="shared" si="73"/>
        <v/>
      </c>
      <c r="U532" s="67" t="str">
        <f t="shared" si="74"/>
        <v/>
      </c>
      <c r="V532" s="67" t="str">
        <f t="shared" si="75"/>
        <v/>
      </c>
      <c r="W532" s="67" t="str">
        <f t="shared" si="76"/>
        <v/>
      </c>
      <c r="X532" s="67" t="str">
        <f t="shared" si="77"/>
        <v/>
      </c>
      <c r="Y532" s="24" t="str">
        <f t="shared" si="78"/>
        <v/>
      </c>
      <c r="Z532">
        <f t="shared" si="79"/>
        <v>0</v>
      </c>
      <c r="AA532">
        <f t="shared" si="80"/>
        <v>0</v>
      </c>
    </row>
    <row r="533" spans="2:27" ht="15.75" customHeight="1" x14ac:dyDescent="0.3">
      <c r="B533" s="21"/>
      <c r="C533" s="21"/>
      <c r="D533" s="21"/>
      <c r="E533" s="22" t="str">
        <f t="shared" si="72"/>
        <v/>
      </c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3" t="str">
        <f>IF($F533="","",IF(OR($B533="",$C533="",$D533=""),"⚠ Compléter Année/Niveau/Session",IF(AND($E533&lt;&gt;"",COUNTIF(D_KEY_DOUBLON,$B533&amp;"|"&amp;$D533&amp;"|"&amp;$E533)&gt;1),"⚠ Doublon",IF(AND($E533&lt;&gt;"",COUNTIF(D_KEY_STATUT,$B533&amp;"|"&amp;$E533&amp;"|P")&gt;0,COUNTIF(D_KEY_STATUT,$B533&amp;"|"&amp;$E533&amp;"|A")&gt;0),"⚠ Statut incohérent",IF(AND($D533="S1",$Y533&lt;&gt;"Parti",COUNTIF(ANNEES_VERROU,$B533)&gt;0,COUNTIF(D_KEY_NIVSES,$B533&amp;"|"&amp;$C533&amp;"|S2")&gt;0,COUNTIF(D_KEY_DOUBLON,$B533&amp;"|S2|"&amp;$E533)=0),"⚠ Départ non confirmé ?",IF(AND($C533&lt;&gt;"",ISNUMBER($I533),OR(VALUE(LEFT($B533,4))-$I533&lt;4+IFERROR(MATCH($C533,LISTE_NIVEAUX,0),99),VALUE(LEFT($B533,4))-$I533&gt;6+IFERROR(MATCH($C533,LISTE_NIVEAUX,0),99))),"⚠ Vérifier niveau",IF(AND(IFERROR(VLOOKUP($C533,TABLE_CYCLE,2,0),3)=2,COUNT($O533:$Q533)&gt;0),"⚠ Tests cycle 3",IF(COUNT($J533:$Q533)&gt;=IF(IFERROR(VLOOKUP($C533,TABLE_CYCLE,2,0),3)=2,5,8),"Complet","Incomplet"))))))))</f>
        <v/>
      </c>
      <c r="S533" s="24"/>
      <c r="T533" s="67" t="str">
        <f t="shared" si="73"/>
        <v/>
      </c>
      <c r="U533" s="67" t="str">
        <f t="shared" si="74"/>
        <v/>
      </c>
      <c r="V533" s="67" t="str">
        <f t="shared" si="75"/>
        <v/>
      </c>
      <c r="W533" s="67" t="str">
        <f t="shared" si="76"/>
        <v/>
      </c>
      <c r="X533" s="67" t="str">
        <f t="shared" si="77"/>
        <v/>
      </c>
      <c r="Y533" s="24" t="str">
        <f t="shared" si="78"/>
        <v/>
      </c>
      <c r="Z533">
        <f t="shared" si="79"/>
        <v>0</v>
      </c>
      <c r="AA533">
        <f t="shared" si="80"/>
        <v>0</v>
      </c>
    </row>
    <row r="534" spans="2:27" ht="15.75" customHeight="1" x14ac:dyDescent="0.3">
      <c r="B534" s="25"/>
      <c r="C534" s="25"/>
      <c r="D534" s="25"/>
      <c r="E534" s="26" t="str">
        <f t="shared" si="72"/>
        <v/>
      </c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3" t="str">
        <f>IF($F534="","",IF(OR($B534="",$C534="",$D534=""),"⚠ Compléter Année/Niveau/Session",IF(AND($E534&lt;&gt;"",COUNTIF(D_KEY_DOUBLON,$B534&amp;"|"&amp;$D534&amp;"|"&amp;$E534)&gt;1),"⚠ Doublon",IF(AND($E534&lt;&gt;"",COUNTIF(D_KEY_STATUT,$B534&amp;"|"&amp;$E534&amp;"|P")&gt;0,COUNTIF(D_KEY_STATUT,$B534&amp;"|"&amp;$E534&amp;"|A")&gt;0),"⚠ Statut incohérent",IF(AND($D534="S1",$Y534&lt;&gt;"Parti",COUNTIF(ANNEES_VERROU,$B534)&gt;0,COUNTIF(D_KEY_NIVSES,$B534&amp;"|"&amp;$C534&amp;"|S2")&gt;0,COUNTIF(D_KEY_DOUBLON,$B534&amp;"|S2|"&amp;$E534)=0),"⚠ Départ non confirmé ?",IF(AND($C534&lt;&gt;"",ISNUMBER($I534),OR(VALUE(LEFT($B534,4))-$I534&lt;4+IFERROR(MATCH($C534,LISTE_NIVEAUX,0),99),VALUE(LEFT($B534,4))-$I534&gt;6+IFERROR(MATCH($C534,LISTE_NIVEAUX,0),99))),"⚠ Vérifier niveau",IF(AND(IFERROR(VLOOKUP($C534,TABLE_CYCLE,2,0),3)=2,COUNT($O534:$Q534)&gt;0),"⚠ Tests cycle 3",IF(COUNT($J534:$Q534)&gt;=IF(IFERROR(VLOOKUP($C534,TABLE_CYCLE,2,0),3)=2,5,8),"Complet","Incomplet"))))))))</f>
        <v/>
      </c>
      <c r="S534" s="24"/>
      <c r="T534" s="67" t="str">
        <f t="shared" si="73"/>
        <v/>
      </c>
      <c r="U534" s="67" t="str">
        <f t="shared" si="74"/>
        <v/>
      </c>
      <c r="V534" s="67" t="str">
        <f t="shared" si="75"/>
        <v/>
      </c>
      <c r="W534" s="67" t="str">
        <f t="shared" si="76"/>
        <v/>
      </c>
      <c r="X534" s="67" t="str">
        <f t="shared" si="77"/>
        <v/>
      </c>
      <c r="Y534" s="24" t="str">
        <f t="shared" si="78"/>
        <v/>
      </c>
      <c r="Z534">
        <f t="shared" si="79"/>
        <v>0</v>
      </c>
      <c r="AA534">
        <f t="shared" si="80"/>
        <v>0</v>
      </c>
    </row>
    <row r="535" spans="2:27" ht="15.75" customHeight="1" x14ac:dyDescent="0.3">
      <c r="B535" s="21"/>
      <c r="C535" s="21"/>
      <c r="D535" s="21"/>
      <c r="E535" s="22" t="str">
        <f t="shared" si="72"/>
        <v/>
      </c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3" t="str">
        <f>IF($F535="","",IF(OR($B535="",$C535="",$D535=""),"⚠ Compléter Année/Niveau/Session",IF(AND($E535&lt;&gt;"",COUNTIF(D_KEY_DOUBLON,$B535&amp;"|"&amp;$D535&amp;"|"&amp;$E535)&gt;1),"⚠ Doublon",IF(AND($E535&lt;&gt;"",COUNTIF(D_KEY_STATUT,$B535&amp;"|"&amp;$E535&amp;"|P")&gt;0,COUNTIF(D_KEY_STATUT,$B535&amp;"|"&amp;$E535&amp;"|A")&gt;0),"⚠ Statut incohérent",IF(AND($D535="S1",$Y535&lt;&gt;"Parti",COUNTIF(ANNEES_VERROU,$B535)&gt;0,COUNTIF(D_KEY_NIVSES,$B535&amp;"|"&amp;$C535&amp;"|S2")&gt;0,COUNTIF(D_KEY_DOUBLON,$B535&amp;"|S2|"&amp;$E535)=0),"⚠ Départ non confirmé ?",IF(AND($C535&lt;&gt;"",ISNUMBER($I535),OR(VALUE(LEFT($B535,4))-$I535&lt;4+IFERROR(MATCH($C535,LISTE_NIVEAUX,0),99),VALUE(LEFT($B535,4))-$I535&gt;6+IFERROR(MATCH($C535,LISTE_NIVEAUX,0),99))),"⚠ Vérifier niveau",IF(AND(IFERROR(VLOOKUP($C535,TABLE_CYCLE,2,0),3)=2,COUNT($O535:$Q535)&gt;0),"⚠ Tests cycle 3",IF(COUNT($J535:$Q535)&gt;=IF(IFERROR(VLOOKUP($C535,TABLE_CYCLE,2,0),3)=2,5,8),"Complet","Incomplet"))))))))</f>
        <v/>
      </c>
      <c r="S535" s="24"/>
      <c r="T535" s="67" t="str">
        <f t="shared" si="73"/>
        <v/>
      </c>
      <c r="U535" s="67" t="str">
        <f t="shared" si="74"/>
        <v/>
      </c>
      <c r="V535" s="67" t="str">
        <f t="shared" si="75"/>
        <v/>
      </c>
      <c r="W535" s="67" t="str">
        <f t="shared" si="76"/>
        <v/>
      </c>
      <c r="X535" s="67" t="str">
        <f t="shared" si="77"/>
        <v/>
      </c>
      <c r="Y535" s="24" t="str">
        <f t="shared" si="78"/>
        <v/>
      </c>
      <c r="Z535">
        <f t="shared" si="79"/>
        <v>0</v>
      </c>
      <c r="AA535">
        <f t="shared" si="80"/>
        <v>0</v>
      </c>
    </row>
    <row r="536" spans="2:27" ht="15.75" customHeight="1" x14ac:dyDescent="0.3">
      <c r="B536" s="25"/>
      <c r="C536" s="25"/>
      <c r="D536" s="25"/>
      <c r="E536" s="26" t="str">
        <f t="shared" si="72"/>
        <v/>
      </c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3" t="str">
        <f>IF($F536="","",IF(OR($B536="",$C536="",$D536=""),"⚠ Compléter Année/Niveau/Session",IF(AND($E536&lt;&gt;"",COUNTIF(D_KEY_DOUBLON,$B536&amp;"|"&amp;$D536&amp;"|"&amp;$E536)&gt;1),"⚠ Doublon",IF(AND($E536&lt;&gt;"",COUNTIF(D_KEY_STATUT,$B536&amp;"|"&amp;$E536&amp;"|P")&gt;0,COUNTIF(D_KEY_STATUT,$B536&amp;"|"&amp;$E536&amp;"|A")&gt;0),"⚠ Statut incohérent",IF(AND($D536="S1",$Y536&lt;&gt;"Parti",COUNTIF(ANNEES_VERROU,$B536)&gt;0,COUNTIF(D_KEY_NIVSES,$B536&amp;"|"&amp;$C536&amp;"|S2")&gt;0,COUNTIF(D_KEY_DOUBLON,$B536&amp;"|S2|"&amp;$E536)=0),"⚠ Départ non confirmé ?",IF(AND($C536&lt;&gt;"",ISNUMBER($I536),OR(VALUE(LEFT($B536,4))-$I536&lt;4+IFERROR(MATCH($C536,LISTE_NIVEAUX,0),99),VALUE(LEFT($B536,4))-$I536&gt;6+IFERROR(MATCH($C536,LISTE_NIVEAUX,0),99))),"⚠ Vérifier niveau",IF(AND(IFERROR(VLOOKUP($C536,TABLE_CYCLE,2,0),3)=2,COUNT($O536:$Q536)&gt;0),"⚠ Tests cycle 3",IF(COUNT($J536:$Q536)&gt;=IF(IFERROR(VLOOKUP($C536,TABLE_CYCLE,2,0),3)=2,5,8),"Complet","Incomplet"))))))))</f>
        <v/>
      </c>
      <c r="S536" s="24"/>
      <c r="T536" s="67" t="str">
        <f t="shared" si="73"/>
        <v/>
      </c>
      <c r="U536" s="67" t="str">
        <f t="shared" si="74"/>
        <v/>
      </c>
      <c r="V536" s="67" t="str">
        <f t="shared" si="75"/>
        <v/>
      </c>
      <c r="W536" s="67" t="str">
        <f t="shared" si="76"/>
        <v/>
      </c>
      <c r="X536" s="67" t="str">
        <f t="shared" si="77"/>
        <v/>
      </c>
      <c r="Y536" s="24" t="str">
        <f t="shared" si="78"/>
        <v/>
      </c>
      <c r="Z536">
        <f t="shared" si="79"/>
        <v>0</v>
      </c>
      <c r="AA536">
        <f t="shared" si="80"/>
        <v>0</v>
      </c>
    </row>
    <row r="537" spans="2:27" ht="15.75" customHeight="1" x14ac:dyDescent="0.3">
      <c r="B537" s="21"/>
      <c r="C537" s="21"/>
      <c r="D537" s="21"/>
      <c r="E537" s="22" t="str">
        <f t="shared" si="72"/>
        <v/>
      </c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3" t="str">
        <f>IF($F537="","",IF(OR($B537="",$C537="",$D537=""),"⚠ Compléter Année/Niveau/Session",IF(AND($E537&lt;&gt;"",COUNTIF(D_KEY_DOUBLON,$B537&amp;"|"&amp;$D537&amp;"|"&amp;$E537)&gt;1),"⚠ Doublon",IF(AND($E537&lt;&gt;"",COUNTIF(D_KEY_STATUT,$B537&amp;"|"&amp;$E537&amp;"|P")&gt;0,COUNTIF(D_KEY_STATUT,$B537&amp;"|"&amp;$E537&amp;"|A")&gt;0),"⚠ Statut incohérent",IF(AND($D537="S1",$Y537&lt;&gt;"Parti",COUNTIF(ANNEES_VERROU,$B537)&gt;0,COUNTIF(D_KEY_NIVSES,$B537&amp;"|"&amp;$C537&amp;"|S2")&gt;0,COUNTIF(D_KEY_DOUBLON,$B537&amp;"|S2|"&amp;$E537)=0),"⚠ Départ non confirmé ?",IF(AND($C537&lt;&gt;"",ISNUMBER($I537),OR(VALUE(LEFT($B537,4))-$I537&lt;4+IFERROR(MATCH($C537,LISTE_NIVEAUX,0),99),VALUE(LEFT($B537,4))-$I537&gt;6+IFERROR(MATCH($C537,LISTE_NIVEAUX,0),99))),"⚠ Vérifier niveau",IF(AND(IFERROR(VLOOKUP($C537,TABLE_CYCLE,2,0),3)=2,COUNT($O537:$Q537)&gt;0),"⚠ Tests cycle 3",IF(COUNT($J537:$Q537)&gt;=IF(IFERROR(VLOOKUP($C537,TABLE_CYCLE,2,0),3)=2,5,8),"Complet","Incomplet"))))))))</f>
        <v/>
      </c>
      <c r="S537" s="24"/>
      <c r="T537" s="67" t="str">
        <f t="shared" si="73"/>
        <v/>
      </c>
      <c r="U537" s="67" t="str">
        <f t="shared" si="74"/>
        <v/>
      </c>
      <c r="V537" s="67" t="str">
        <f t="shared" si="75"/>
        <v/>
      </c>
      <c r="W537" s="67" t="str">
        <f t="shared" si="76"/>
        <v/>
      </c>
      <c r="X537" s="67" t="str">
        <f t="shared" si="77"/>
        <v/>
      </c>
      <c r="Y537" s="24" t="str">
        <f t="shared" si="78"/>
        <v/>
      </c>
      <c r="Z537">
        <f t="shared" si="79"/>
        <v>0</v>
      </c>
      <c r="AA537">
        <f t="shared" si="80"/>
        <v>0</v>
      </c>
    </row>
    <row r="538" spans="2:27" ht="15.75" customHeight="1" x14ac:dyDescent="0.3">
      <c r="B538" s="25"/>
      <c r="C538" s="25"/>
      <c r="D538" s="25"/>
      <c r="E538" s="26" t="str">
        <f t="shared" si="72"/>
        <v/>
      </c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3" t="str">
        <f>IF($F538="","",IF(OR($B538="",$C538="",$D538=""),"⚠ Compléter Année/Niveau/Session",IF(AND($E538&lt;&gt;"",COUNTIF(D_KEY_DOUBLON,$B538&amp;"|"&amp;$D538&amp;"|"&amp;$E538)&gt;1),"⚠ Doublon",IF(AND($E538&lt;&gt;"",COUNTIF(D_KEY_STATUT,$B538&amp;"|"&amp;$E538&amp;"|P")&gt;0,COUNTIF(D_KEY_STATUT,$B538&amp;"|"&amp;$E538&amp;"|A")&gt;0),"⚠ Statut incohérent",IF(AND($D538="S1",$Y538&lt;&gt;"Parti",COUNTIF(ANNEES_VERROU,$B538)&gt;0,COUNTIF(D_KEY_NIVSES,$B538&amp;"|"&amp;$C538&amp;"|S2")&gt;0,COUNTIF(D_KEY_DOUBLON,$B538&amp;"|S2|"&amp;$E538)=0),"⚠ Départ non confirmé ?",IF(AND($C538&lt;&gt;"",ISNUMBER($I538),OR(VALUE(LEFT($B538,4))-$I538&lt;4+IFERROR(MATCH($C538,LISTE_NIVEAUX,0),99),VALUE(LEFT($B538,4))-$I538&gt;6+IFERROR(MATCH($C538,LISTE_NIVEAUX,0),99))),"⚠ Vérifier niveau",IF(AND(IFERROR(VLOOKUP($C538,TABLE_CYCLE,2,0),3)=2,COUNT($O538:$Q538)&gt;0),"⚠ Tests cycle 3",IF(COUNT($J538:$Q538)&gt;=IF(IFERROR(VLOOKUP($C538,TABLE_CYCLE,2,0),3)=2,5,8),"Complet","Incomplet"))))))))</f>
        <v/>
      </c>
      <c r="S538" s="24"/>
      <c r="T538" s="67" t="str">
        <f t="shared" si="73"/>
        <v/>
      </c>
      <c r="U538" s="67" t="str">
        <f t="shared" si="74"/>
        <v/>
      </c>
      <c r="V538" s="67" t="str">
        <f t="shared" si="75"/>
        <v/>
      </c>
      <c r="W538" s="67" t="str">
        <f t="shared" si="76"/>
        <v/>
      </c>
      <c r="X538" s="67" t="str">
        <f t="shared" si="77"/>
        <v/>
      </c>
      <c r="Y538" s="24" t="str">
        <f t="shared" si="78"/>
        <v/>
      </c>
      <c r="Z538">
        <f t="shared" si="79"/>
        <v>0</v>
      </c>
      <c r="AA538">
        <f t="shared" si="80"/>
        <v>0</v>
      </c>
    </row>
    <row r="539" spans="2:27" ht="15.75" customHeight="1" x14ac:dyDescent="0.3">
      <c r="B539" s="21"/>
      <c r="C539" s="21"/>
      <c r="D539" s="21"/>
      <c r="E539" s="22" t="str">
        <f t="shared" si="72"/>
        <v/>
      </c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3" t="str">
        <f>IF($F539="","",IF(OR($B539="",$C539="",$D539=""),"⚠ Compléter Année/Niveau/Session",IF(AND($E539&lt;&gt;"",COUNTIF(D_KEY_DOUBLON,$B539&amp;"|"&amp;$D539&amp;"|"&amp;$E539)&gt;1),"⚠ Doublon",IF(AND($E539&lt;&gt;"",COUNTIF(D_KEY_STATUT,$B539&amp;"|"&amp;$E539&amp;"|P")&gt;0,COUNTIF(D_KEY_STATUT,$B539&amp;"|"&amp;$E539&amp;"|A")&gt;0),"⚠ Statut incohérent",IF(AND($D539="S1",$Y539&lt;&gt;"Parti",COUNTIF(ANNEES_VERROU,$B539)&gt;0,COUNTIF(D_KEY_NIVSES,$B539&amp;"|"&amp;$C539&amp;"|S2")&gt;0,COUNTIF(D_KEY_DOUBLON,$B539&amp;"|S2|"&amp;$E539)=0),"⚠ Départ non confirmé ?",IF(AND($C539&lt;&gt;"",ISNUMBER($I539),OR(VALUE(LEFT($B539,4))-$I539&lt;4+IFERROR(MATCH($C539,LISTE_NIVEAUX,0),99),VALUE(LEFT($B539,4))-$I539&gt;6+IFERROR(MATCH($C539,LISTE_NIVEAUX,0),99))),"⚠ Vérifier niveau",IF(AND(IFERROR(VLOOKUP($C539,TABLE_CYCLE,2,0),3)=2,COUNT($O539:$Q539)&gt;0),"⚠ Tests cycle 3",IF(COUNT($J539:$Q539)&gt;=IF(IFERROR(VLOOKUP($C539,TABLE_CYCLE,2,0),3)=2,5,8),"Complet","Incomplet"))))))))</f>
        <v/>
      </c>
      <c r="S539" s="24"/>
      <c r="T539" s="67" t="str">
        <f t="shared" si="73"/>
        <v/>
      </c>
      <c r="U539" s="67" t="str">
        <f t="shared" si="74"/>
        <v/>
      </c>
      <c r="V539" s="67" t="str">
        <f t="shared" si="75"/>
        <v/>
      </c>
      <c r="W539" s="67" t="str">
        <f t="shared" si="76"/>
        <v/>
      </c>
      <c r="X539" s="67" t="str">
        <f t="shared" si="77"/>
        <v/>
      </c>
      <c r="Y539" s="24" t="str">
        <f t="shared" si="78"/>
        <v/>
      </c>
      <c r="Z539">
        <f t="shared" si="79"/>
        <v>0</v>
      </c>
      <c r="AA539">
        <f t="shared" si="80"/>
        <v>0</v>
      </c>
    </row>
    <row r="540" spans="2:27" ht="15.75" customHeight="1" x14ac:dyDescent="0.3">
      <c r="B540" s="25"/>
      <c r="C540" s="25"/>
      <c r="D540" s="25"/>
      <c r="E540" s="26" t="str">
        <f t="shared" si="72"/>
        <v/>
      </c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3" t="str">
        <f>IF($F540="","",IF(OR($B540="",$C540="",$D540=""),"⚠ Compléter Année/Niveau/Session",IF(AND($E540&lt;&gt;"",COUNTIF(D_KEY_DOUBLON,$B540&amp;"|"&amp;$D540&amp;"|"&amp;$E540)&gt;1),"⚠ Doublon",IF(AND($E540&lt;&gt;"",COUNTIF(D_KEY_STATUT,$B540&amp;"|"&amp;$E540&amp;"|P")&gt;0,COUNTIF(D_KEY_STATUT,$B540&amp;"|"&amp;$E540&amp;"|A")&gt;0),"⚠ Statut incohérent",IF(AND($D540="S1",$Y540&lt;&gt;"Parti",COUNTIF(ANNEES_VERROU,$B540)&gt;0,COUNTIF(D_KEY_NIVSES,$B540&amp;"|"&amp;$C540&amp;"|S2")&gt;0,COUNTIF(D_KEY_DOUBLON,$B540&amp;"|S2|"&amp;$E540)=0),"⚠ Départ non confirmé ?",IF(AND($C540&lt;&gt;"",ISNUMBER($I540),OR(VALUE(LEFT($B540,4))-$I540&lt;4+IFERROR(MATCH($C540,LISTE_NIVEAUX,0),99),VALUE(LEFT($B540,4))-$I540&gt;6+IFERROR(MATCH($C540,LISTE_NIVEAUX,0),99))),"⚠ Vérifier niveau",IF(AND(IFERROR(VLOOKUP($C540,TABLE_CYCLE,2,0),3)=2,COUNT($O540:$Q540)&gt;0),"⚠ Tests cycle 3",IF(COUNT($J540:$Q540)&gt;=IF(IFERROR(VLOOKUP($C540,TABLE_CYCLE,2,0),3)=2,5,8),"Complet","Incomplet"))))))))</f>
        <v/>
      </c>
      <c r="S540" s="24"/>
      <c r="T540" s="67" t="str">
        <f t="shared" si="73"/>
        <v/>
      </c>
      <c r="U540" s="67" t="str">
        <f t="shared" si="74"/>
        <v/>
      </c>
      <c r="V540" s="67" t="str">
        <f t="shared" si="75"/>
        <v/>
      </c>
      <c r="W540" s="67" t="str">
        <f t="shared" si="76"/>
        <v/>
      </c>
      <c r="X540" s="67" t="str">
        <f t="shared" si="77"/>
        <v/>
      </c>
      <c r="Y540" s="24" t="str">
        <f t="shared" si="78"/>
        <v/>
      </c>
      <c r="Z540">
        <f t="shared" si="79"/>
        <v>0</v>
      </c>
      <c r="AA540">
        <f t="shared" si="80"/>
        <v>0</v>
      </c>
    </row>
    <row r="541" spans="2:27" ht="15.75" customHeight="1" x14ac:dyDescent="0.3">
      <c r="B541" s="21"/>
      <c r="C541" s="21"/>
      <c r="D541" s="21"/>
      <c r="E541" s="22" t="str">
        <f t="shared" si="72"/>
        <v/>
      </c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3" t="str">
        <f>IF($F541="","",IF(OR($B541="",$C541="",$D541=""),"⚠ Compléter Année/Niveau/Session",IF(AND($E541&lt;&gt;"",COUNTIF(D_KEY_DOUBLON,$B541&amp;"|"&amp;$D541&amp;"|"&amp;$E541)&gt;1),"⚠ Doublon",IF(AND($E541&lt;&gt;"",COUNTIF(D_KEY_STATUT,$B541&amp;"|"&amp;$E541&amp;"|P")&gt;0,COUNTIF(D_KEY_STATUT,$B541&amp;"|"&amp;$E541&amp;"|A")&gt;0),"⚠ Statut incohérent",IF(AND($D541="S1",$Y541&lt;&gt;"Parti",COUNTIF(ANNEES_VERROU,$B541)&gt;0,COUNTIF(D_KEY_NIVSES,$B541&amp;"|"&amp;$C541&amp;"|S2")&gt;0,COUNTIF(D_KEY_DOUBLON,$B541&amp;"|S2|"&amp;$E541)=0),"⚠ Départ non confirmé ?",IF(AND($C541&lt;&gt;"",ISNUMBER($I541),OR(VALUE(LEFT($B541,4))-$I541&lt;4+IFERROR(MATCH($C541,LISTE_NIVEAUX,0),99),VALUE(LEFT($B541,4))-$I541&gt;6+IFERROR(MATCH($C541,LISTE_NIVEAUX,0),99))),"⚠ Vérifier niveau",IF(AND(IFERROR(VLOOKUP($C541,TABLE_CYCLE,2,0),3)=2,COUNT($O541:$Q541)&gt;0),"⚠ Tests cycle 3",IF(COUNT($J541:$Q541)&gt;=IF(IFERROR(VLOOKUP($C541,TABLE_CYCLE,2,0),3)=2,5,8),"Complet","Incomplet"))))))))</f>
        <v/>
      </c>
      <c r="S541" s="24"/>
      <c r="T541" s="67" t="str">
        <f t="shared" si="73"/>
        <v/>
      </c>
      <c r="U541" s="67" t="str">
        <f t="shared" si="74"/>
        <v/>
      </c>
      <c r="V541" s="67" t="str">
        <f t="shared" si="75"/>
        <v/>
      </c>
      <c r="W541" s="67" t="str">
        <f t="shared" si="76"/>
        <v/>
      </c>
      <c r="X541" s="67" t="str">
        <f t="shared" si="77"/>
        <v/>
      </c>
      <c r="Y541" s="24" t="str">
        <f t="shared" si="78"/>
        <v/>
      </c>
      <c r="Z541">
        <f t="shared" si="79"/>
        <v>0</v>
      </c>
      <c r="AA541">
        <f t="shared" si="80"/>
        <v>0</v>
      </c>
    </row>
    <row r="542" spans="2:27" ht="15.75" customHeight="1" x14ac:dyDescent="0.3">
      <c r="B542" s="25"/>
      <c r="C542" s="25"/>
      <c r="D542" s="25"/>
      <c r="E542" s="26" t="str">
        <f t="shared" si="72"/>
        <v/>
      </c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3" t="str">
        <f>IF($F542="","",IF(OR($B542="",$C542="",$D542=""),"⚠ Compléter Année/Niveau/Session",IF(AND($E542&lt;&gt;"",COUNTIF(D_KEY_DOUBLON,$B542&amp;"|"&amp;$D542&amp;"|"&amp;$E542)&gt;1),"⚠ Doublon",IF(AND($E542&lt;&gt;"",COUNTIF(D_KEY_STATUT,$B542&amp;"|"&amp;$E542&amp;"|P")&gt;0,COUNTIF(D_KEY_STATUT,$B542&amp;"|"&amp;$E542&amp;"|A")&gt;0),"⚠ Statut incohérent",IF(AND($D542="S1",$Y542&lt;&gt;"Parti",COUNTIF(ANNEES_VERROU,$B542)&gt;0,COUNTIF(D_KEY_NIVSES,$B542&amp;"|"&amp;$C542&amp;"|S2")&gt;0,COUNTIF(D_KEY_DOUBLON,$B542&amp;"|S2|"&amp;$E542)=0),"⚠ Départ non confirmé ?",IF(AND($C542&lt;&gt;"",ISNUMBER($I542),OR(VALUE(LEFT($B542,4))-$I542&lt;4+IFERROR(MATCH($C542,LISTE_NIVEAUX,0),99),VALUE(LEFT($B542,4))-$I542&gt;6+IFERROR(MATCH($C542,LISTE_NIVEAUX,0),99))),"⚠ Vérifier niveau",IF(AND(IFERROR(VLOOKUP($C542,TABLE_CYCLE,2,0),3)=2,COUNT($O542:$Q542)&gt;0),"⚠ Tests cycle 3",IF(COUNT($J542:$Q542)&gt;=IF(IFERROR(VLOOKUP($C542,TABLE_CYCLE,2,0),3)=2,5,8),"Complet","Incomplet"))))))))</f>
        <v/>
      </c>
      <c r="S542" s="24"/>
      <c r="T542" s="67" t="str">
        <f t="shared" si="73"/>
        <v/>
      </c>
      <c r="U542" s="67" t="str">
        <f t="shared" si="74"/>
        <v/>
      </c>
      <c r="V542" s="67" t="str">
        <f t="shared" si="75"/>
        <v/>
      </c>
      <c r="W542" s="67" t="str">
        <f t="shared" si="76"/>
        <v/>
      </c>
      <c r="X542" s="67" t="str">
        <f t="shared" si="77"/>
        <v/>
      </c>
      <c r="Y542" s="24" t="str">
        <f t="shared" si="78"/>
        <v/>
      </c>
      <c r="Z542">
        <f t="shared" si="79"/>
        <v>0</v>
      </c>
      <c r="AA542">
        <f t="shared" si="80"/>
        <v>0</v>
      </c>
    </row>
    <row r="543" spans="2:27" ht="15.75" customHeight="1" x14ac:dyDescent="0.3">
      <c r="B543" s="21"/>
      <c r="C543" s="21"/>
      <c r="D543" s="21"/>
      <c r="E543" s="22" t="str">
        <f t="shared" si="72"/>
        <v/>
      </c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3" t="str">
        <f>IF($F543="","",IF(OR($B543="",$C543="",$D543=""),"⚠ Compléter Année/Niveau/Session",IF(AND($E543&lt;&gt;"",COUNTIF(D_KEY_DOUBLON,$B543&amp;"|"&amp;$D543&amp;"|"&amp;$E543)&gt;1),"⚠ Doublon",IF(AND($E543&lt;&gt;"",COUNTIF(D_KEY_STATUT,$B543&amp;"|"&amp;$E543&amp;"|P")&gt;0,COUNTIF(D_KEY_STATUT,$B543&amp;"|"&amp;$E543&amp;"|A")&gt;0),"⚠ Statut incohérent",IF(AND($D543="S1",$Y543&lt;&gt;"Parti",COUNTIF(ANNEES_VERROU,$B543)&gt;0,COUNTIF(D_KEY_NIVSES,$B543&amp;"|"&amp;$C543&amp;"|S2")&gt;0,COUNTIF(D_KEY_DOUBLON,$B543&amp;"|S2|"&amp;$E543)=0),"⚠ Départ non confirmé ?",IF(AND($C543&lt;&gt;"",ISNUMBER($I543),OR(VALUE(LEFT($B543,4))-$I543&lt;4+IFERROR(MATCH($C543,LISTE_NIVEAUX,0),99),VALUE(LEFT($B543,4))-$I543&gt;6+IFERROR(MATCH($C543,LISTE_NIVEAUX,0),99))),"⚠ Vérifier niveau",IF(AND(IFERROR(VLOOKUP($C543,TABLE_CYCLE,2,0),3)=2,COUNT($O543:$Q543)&gt;0),"⚠ Tests cycle 3",IF(COUNT($J543:$Q543)&gt;=IF(IFERROR(VLOOKUP($C543,TABLE_CYCLE,2,0),3)=2,5,8),"Complet","Incomplet"))))))))</f>
        <v/>
      </c>
      <c r="S543" s="24"/>
      <c r="T543" s="67" t="str">
        <f t="shared" si="73"/>
        <v/>
      </c>
      <c r="U543" s="67" t="str">
        <f t="shared" si="74"/>
        <v/>
      </c>
      <c r="V543" s="67" t="str">
        <f t="shared" si="75"/>
        <v/>
      </c>
      <c r="W543" s="67" t="str">
        <f t="shared" si="76"/>
        <v/>
      </c>
      <c r="X543" s="67" t="str">
        <f t="shared" si="77"/>
        <v/>
      </c>
      <c r="Y543" s="24" t="str">
        <f t="shared" si="78"/>
        <v/>
      </c>
      <c r="Z543">
        <f t="shared" si="79"/>
        <v>0</v>
      </c>
      <c r="AA543">
        <f t="shared" si="80"/>
        <v>0</v>
      </c>
    </row>
    <row r="544" spans="2:27" ht="15.75" customHeight="1" x14ac:dyDescent="0.3">
      <c r="B544" s="25"/>
      <c r="C544" s="25"/>
      <c r="D544" s="25"/>
      <c r="E544" s="26" t="str">
        <f t="shared" si="72"/>
        <v/>
      </c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3" t="str">
        <f>IF($F544="","",IF(OR($B544="",$C544="",$D544=""),"⚠ Compléter Année/Niveau/Session",IF(AND($E544&lt;&gt;"",COUNTIF(D_KEY_DOUBLON,$B544&amp;"|"&amp;$D544&amp;"|"&amp;$E544)&gt;1),"⚠ Doublon",IF(AND($E544&lt;&gt;"",COUNTIF(D_KEY_STATUT,$B544&amp;"|"&amp;$E544&amp;"|P")&gt;0,COUNTIF(D_KEY_STATUT,$B544&amp;"|"&amp;$E544&amp;"|A")&gt;0),"⚠ Statut incohérent",IF(AND($D544="S1",$Y544&lt;&gt;"Parti",COUNTIF(ANNEES_VERROU,$B544)&gt;0,COUNTIF(D_KEY_NIVSES,$B544&amp;"|"&amp;$C544&amp;"|S2")&gt;0,COUNTIF(D_KEY_DOUBLON,$B544&amp;"|S2|"&amp;$E544)=0),"⚠ Départ non confirmé ?",IF(AND($C544&lt;&gt;"",ISNUMBER($I544),OR(VALUE(LEFT($B544,4))-$I544&lt;4+IFERROR(MATCH($C544,LISTE_NIVEAUX,0),99),VALUE(LEFT($B544,4))-$I544&gt;6+IFERROR(MATCH($C544,LISTE_NIVEAUX,0),99))),"⚠ Vérifier niveau",IF(AND(IFERROR(VLOOKUP($C544,TABLE_CYCLE,2,0),3)=2,COUNT($O544:$Q544)&gt;0),"⚠ Tests cycle 3",IF(COUNT($J544:$Q544)&gt;=IF(IFERROR(VLOOKUP($C544,TABLE_CYCLE,2,0),3)=2,5,8),"Complet","Incomplet"))))))))</f>
        <v/>
      </c>
      <c r="S544" s="24"/>
      <c r="T544" s="67" t="str">
        <f t="shared" si="73"/>
        <v/>
      </c>
      <c r="U544" s="67" t="str">
        <f t="shared" si="74"/>
        <v/>
      </c>
      <c r="V544" s="67" t="str">
        <f t="shared" si="75"/>
        <v/>
      </c>
      <c r="W544" s="67" t="str">
        <f t="shared" si="76"/>
        <v/>
      </c>
      <c r="X544" s="67" t="str">
        <f t="shared" si="77"/>
        <v/>
      </c>
      <c r="Y544" s="24" t="str">
        <f t="shared" si="78"/>
        <v/>
      </c>
      <c r="Z544">
        <f t="shared" si="79"/>
        <v>0</v>
      </c>
      <c r="AA544">
        <f t="shared" si="80"/>
        <v>0</v>
      </c>
    </row>
    <row r="545" spans="2:27" ht="15.75" customHeight="1" x14ac:dyDescent="0.3">
      <c r="B545" s="21"/>
      <c r="C545" s="21"/>
      <c r="D545" s="21"/>
      <c r="E545" s="22" t="str">
        <f t="shared" si="72"/>
        <v/>
      </c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3" t="str">
        <f>IF($F545="","",IF(OR($B545="",$C545="",$D545=""),"⚠ Compléter Année/Niveau/Session",IF(AND($E545&lt;&gt;"",COUNTIF(D_KEY_DOUBLON,$B545&amp;"|"&amp;$D545&amp;"|"&amp;$E545)&gt;1),"⚠ Doublon",IF(AND($E545&lt;&gt;"",COUNTIF(D_KEY_STATUT,$B545&amp;"|"&amp;$E545&amp;"|P")&gt;0,COUNTIF(D_KEY_STATUT,$B545&amp;"|"&amp;$E545&amp;"|A")&gt;0),"⚠ Statut incohérent",IF(AND($D545="S1",$Y545&lt;&gt;"Parti",COUNTIF(ANNEES_VERROU,$B545)&gt;0,COUNTIF(D_KEY_NIVSES,$B545&amp;"|"&amp;$C545&amp;"|S2")&gt;0,COUNTIF(D_KEY_DOUBLON,$B545&amp;"|S2|"&amp;$E545)=0),"⚠ Départ non confirmé ?",IF(AND($C545&lt;&gt;"",ISNUMBER($I545),OR(VALUE(LEFT($B545,4))-$I545&lt;4+IFERROR(MATCH($C545,LISTE_NIVEAUX,0),99),VALUE(LEFT($B545,4))-$I545&gt;6+IFERROR(MATCH($C545,LISTE_NIVEAUX,0),99))),"⚠ Vérifier niveau",IF(AND(IFERROR(VLOOKUP($C545,TABLE_CYCLE,2,0),3)=2,COUNT($O545:$Q545)&gt;0),"⚠ Tests cycle 3",IF(COUNT($J545:$Q545)&gt;=IF(IFERROR(VLOOKUP($C545,TABLE_CYCLE,2,0),3)=2,5,8),"Complet","Incomplet"))))))))</f>
        <v/>
      </c>
      <c r="S545" s="24"/>
      <c r="T545" s="67" t="str">
        <f t="shared" si="73"/>
        <v/>
      </c>
      <c r="U545" s="67" t="str">
        <f t="shared" si="74"/>
        <v/>
      </c>
      <c r="V545" s="67" t="str">
        <f t="shared" si="75"/>
        <v/>
      </c>
      <c r="W545" s="67" t="str">
        <f t="shared" si="76"/>
        <v/>
      </c>
      <c r="X545" s="67" t="str">
        <f t="shared" si="77"/>
        <v/>
      </c>
      <c r="Y545" s="24" t="str">
        <f t="shared" si="78"/>
        <v/>
      </c>
      <c r="Z545">
        <f t="shared" si="79"/>
        <v>0</v>
      </c>
      <c r="AA545">
        <f t="shared" si="80"/>
        <v>0</v>
      </c>
    </row>
    <row r="546" spans="2:27" ht="15.75" customHeight="1" x14ac:dyDescent="0.3">
      <c r="B546" s="25"/>
      <c r="C546" s="25"/>
      <c r="D546" s="25"/>
      <c r="E546" s="26" t="str">
        <f t="shared" si="72"/>
        <v/>
      </c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3" t="str">
        <f>IF($F546="","",IF(OR($B546="",$C546="",$D546=""),"⚠ Compléter Année/Niveau/Session",IF(AND($E546&lt;&gt;"",COUNTIF(D_KEY_DOUBLON,$B546&amp;"|"&amp;$D546&amp;"|"&amp;$E546)&gt;1),"⚠ Doublon",IF(AND($E546&lt;&gt;"",COUNTIF(D_KEY_STATUT,$B546&amp;"|"&amp;$E546&amp;"|P")&gt;0,COUNTIF(D_KEY_STATUT,$B546&amp;"|"&amp;$E546&amp;"|A")&gt;0),"⚠ Statut incohérent",IF(AND($D546="S1",$Y546&lt;&gt;"Parti",COUNTIF(ANNEES_VERROU,$B546)&gt;0,COUNTIF(D_KEY_NIVSES,$B546&amp;"|"&amp;$C546&amp;"|S2")&gt;0,COUNTIF(D_KEY_DOUBLON,$B546&amp;"|S2|"&amp;$E546)=0),"⚠ Départ non confirmé ?",IF(AND($C546&lt;&gt;"",ISNUMBER($I546),OR(VALUE(LEFT($B546,4))-$I546&lt;4+IFERROR(MATCH($C546,LISTE_NIVEAUX,0),99),VALUE(LEFT($B546,4))-$I546&gt;6+IFERROR(MATCH($C546,LISTE_NIVEAUX,0),99))),"⚠ Vérifier niveau",IF(AND(IFERROR(VLOOKUP($C546,TABLE_CYCLE,2,0),3)=2,COUNT($O546:$Q546)&gt;0),"⚠ Tests cycle 3",IF(COUNT($J546:$Q546)&gt;=IF(IFERROR(VLOOKUP($C546,TABLE_CYCLE,2,0),3)=2,5,8),"Complet","Incomplet"))))))))</f>
        <v/>
      </c>
      <c r="S546" s="24"/>
      <c r="T546" s="67" t="str">
        <f t="shared" si="73"/>
        <v/>
      </c>
      <c r="U546" s="67" t="str">
        <f t="shared" si="74"/>
        <v/>
      </c>
      <c r="V546" s="67" t="str">
        <f t="shared" si="75"/>
        <v/>
      </c>
      <c r="W546" s="67" t="str">
        <f t="shared" si="76"/>
        <v/>
      </c>
      <c r="X546" s="67" t="str">
        <f t="shared" si="77"/>
        <v/>
      </c>
      <c r="Y546" s="24" t="str">
        <f t="shared" si="78"/>
        <v/>
      </c>
      <c r="Z546">
        <f t="shared" si="79"/>
        <v>0</v>
      </c>
      <c r="AA546">
        <f t="shared" si="80"/>
        <v>0</v>
      </c>
    </row>
    <row r="547" spans="2:27" ht="15.75" customHeight="1" x14ac:dyDescent="0.3">
      <c r="B547" s="21"/>
      <c r="C547" s="21"/>
      <c r="D547" s="21"/>
      <c r="E547" s="22" t="str">
        <f t="shared" si="72"/>
        <v/>
      </c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3" t="str">
        <f>IF($F547="","",IF(OR($B547="",$C547="",$D547=""),"⚠ Compléter Année/Niveau/Session",IF(AND($E547&lt;&gt;"",COUNTIF(D_KEY_DOUBLON,$B547&amp;"|"&amp;$D547&amp;"|"&amp;$E547)&gt;1),"⚠ Doublon",IF(AND($E547&lt;&gt;"",COUNTIF(D_KEY_STATUT,$B547&amp;"|"&amp;$E547&amp;"|P")&gt;0,COUNTIF(D_KEY_STATUT,$B547&amp;"|"&amp;$E547&amp;"|A")&gt;0),"⚠ Statut incohérent",IF(AND($D547="S1",$Y547&lt;&gt;"Parti",COUNTIF(ANNEES_VERROU,$B547)&gt;0,COUNTIF(D_KEY_NIVSES,$B547&amp;"|"&amp;$C547&amp;"|S2")&gt;0,COUNTIF(D_KEY_DOUBLON,$B547&amp;"|S2|"&amp;$E547)=0),"⚠ Départ non confirmé ?",IF(AND($C547&lt;&gt;"",ISNUMBER($I547),OR(VALUE(LEFT($B547,4))-$I547&lt;4+IFERROR(MATCH($C547,LISTE_NIVEAUX,0),99),VALUE(LEFT($B547,4))-$I547&gt;6+IFERROR(MATCH($C547,LISTE_NIVEAUX,0),99))),"⚠ Vérifier niveau",IF(AND(IFERROR(VLOOKUP($C547,TABLE_CYCLE,2,0),3)=2,COUNT($O547:$Q547)&gt;0),"⚠ Tests cycle 3",IF(COUNT($J547:$Q547)&gt;=IF(IFERROR(VLOOKUP($C547,TABLE_CYCLE,2,0),3)=2,5,8),"Complet","Incomplet"))))))))</f>
        <v/>
      </c>
      <c r="S547" s="24"/>
      <c r="T547" s="67" t="str">
        <f t="shared" si="73"/>
        <v/>
      </c>
      <c r="U547" s="67" t="str">
        <f t="shared" si="74"/>
        <v/>
      </c>
      <c r="V547" s="67" t="str">
        <f t="shared" si="75"/>
        <v/>
      </c>
      <c r="W547" s="67" t="str">
        <f t="shared" si="76"/>
        <v/>
      </c>
      <c r="X547" s="67" t="str">
        <f t="shared" si="77"/>
        <v/>
      </c>
      <c r="Y547" s="24" t="str">
        <f t="shared" si="78"/>
        <v/>
      </c>
      <c r="Z547">
        <f t="shared" si="79"/>
        <v>0</v>
      </c>
      <c r="AA547">
        <f t="shared" si="80"/>
        <v>0</v>
      </c>
    </row>
    <row r="548" spans="2:27" ht="15.75" customHeight="1" x14ac:dyDescent="0.3">
      <c r="B548" s="25"/>
      <c r="C548" s="25"/>
      <c r="D548" s="25"/>
      <c r="E548" s="26" t="str">
        <f t="shared" si="72"/>
        <v/>
      </c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3" t="str">
        <f>IF($F548="","",IF(OR($B548="",$C548="",$D548=""),"⚠ Compléter Année/Niveau/Session",IF(AND($E548&lt;&gt;"",COUNTIF(D_KEY_DOUBLON,$B548&amp;"|"&amp;$D548&amp;"|"&amp;$E548)&gt;1),"⚠ Doublon",IF(AND($E548&lt;&gt;"",COUNTIF(D_KEY_STATUT,$B548&amp;"|"&amp;$E548&amp;"|P")&gt;0,COUNTIF(D_KEY_STATUT,$B548&amp;"|"&amp;$E548&amp;"|A")&gt;0),"⚠ Statut incohérent",IF(AND($D548="S1",$Y548&lt;&gt;"Parti",COUNTIF(ANNEES_VERROU,$B548)&gt;0,COUNTIF(D_KEY_NIVSES,$B548&amp;"|"&amp;$C548&amp;"|S2")&gt;0,COUNTIF(D_KEY_DOUBLON,$B548&amp;"|S2|"&amp;$E548)=0),"⚠ Départ non confirmé ?",IF(AND($C548&lt;&gt;"",ISNUMBER($I548),OR(VALUE(LEFT($B548,4))-$I548&lt;4+IFERROR(MATCH($C548,LISTE_NIVEAUX,0),99),VALUE(LEFT($B548,4))-$I548&gt;6+IFERROR(MATCH($C548,LISTE_NIVEAUX,0),99))),"⚠ Vérifier niveau",IF(AND(IFERROR(VLOOKUP($C548,TABLE_CYCLE,2,0),3)=2,COUNT($O548:$Q548)&gt;0),"⚠ Tests cycle 3",IF(COUNT($J548:$Q548)&gt;=IF(IFERROR(VLOOKUP($C548,TABLE_CYCLE,2,0),3)=2,5,8),"Complet","Incomplet"))))))))</f>
        <v/>
      </c>
      <c r="S548" s="24"/>
      <c r="T548" s="67" t="str">
        <f t="shared" si="73"/>
        <v/>
      </c>
      <c r="U548" s="67" t="str">
        <f t="shared" si="74"/>
        <v/>
      </c>
      <c r="V548" s="67" t="str">
        <f t="shared" si="75"/>
        <v/>
      </c>
      <c r="W548" s="67" t="str">
        <f t="shared" si="76"/>
        <v/>
      </c>
      <c r="X548" s="67" t="str">
        <f t="shared" si="77"/>
        <v/>
      </c>
      <c r="Y548" s="24" t="str">
        <f t="shared" si="78"/>
        <v/>
      </c>
      <c r="Z548">
        <f t="shared" si="79"/>
        <v>0</v>
      </c>
      <c r="AA548">
        <f t="shared" si="80"/>
        <v>0</v>
      </c>
    </row>
    <row r="549" spans="2:27" ht="15.75" customHeight="1" x14ac:dyDescent="0.3">
      <c r="B549" s="21"/>
      <c r="C549" s="21"/>
      <c r="D549" s="21"/>
      <c r="E549" s="22" t="str">
        <f t="shared" si="72"/>
        <v/>
      </c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3" t="str">
        <f>IF($F549="","",IF(OR($B549="",$C549="",$D549=""),"⚠ Compléter Année/Niveau/Session",IF(AND($E549&lt;&gt;"",COUNTIF(D_KEY_DOUBLON,$B549&amp;"|"&amp;$D549&amp;"|"&amp;$E549)&gt;1),"⚠ Doublon",IF(AND($E549&lt;&gt;"",COUNTIF(D_KEY_STATUT,$B549&amp;"|"&amp;$E549&amp;"|P")&gt;0,COUNTIF(D_KEY_STATUT,$B549&amp;"|"&amp;$E549&amp;"|A")&gt;0),"⚠ Statut incohérent",IF(AND($D549="S1",$Y549&lt;&gt;"Parti",COUNTIF(ANNEES_VERROU,$B549)&gt;0,COUNTIF(D_KEY_NIVSES,$B549&amp;"|"&amp;$C549&amp;"|S2")&gt;0,COUNTIF(D_KEY_DOUBLON,$B549&amp;"|S2|"&amp;$E549)=0),"⚠ Départ non confirmé ?",IF(AND($C549&lt;&gt;"",ISNUMBER($I549),OR(VALUE(LEFT($B549,4))-$I549&lt;4+IFERROR(MATCH($C549,LISTE_NIVEAUX,0),99),VALUE(LEFT($B549,4))-$I549&gt;6+IFERROR(MATCH($C549,LISTE_NIVEAUX,0),99))),"⚠ Vérifier niveau",IF(AND(IFERROR(VLOOKUP($C549,TABLE_CYCLE,2,0),3)=2,COUNT($O549:$Q549)&gt;0),"⚠ Tests cycle 3",IF(COUNT($J549:$Q549)&gt;=IF(IFERROR(VLOOKUP($C549,TABLE_CYCLE,2,0),3)=2,5,8),"Complet","Incomplet"))))))))</f>
        <v/>
      </c>
      <c r="S549" s="24"/>
      <c r="T549" s="67" t="str">
        <f t="shared" si="73"/>
        <v/>
      </c>
      <c r="U549" s="67" t="str">
        <f t="shared" si="74"/>
        <v/>
      </c>
      <c r="V549" s="67" t="str">
        <f t="shared" si="75"/>
        <v/>
      </c>
      <c r="W549" s="67" t="str">
        <f t="shared" si="76"/>
        <v/>
      </c>
      <c r="X549" s="67" t="str">
        <f t="shared" si="77"/>
        <v/>
      </c>
      <c r="Y549" s="24" t="str">
        <f t="shared" si="78"/>
        <v/>
      </c>
      <c r="Z549">
        <f t="shared" si="79"/>
        <v>0</v>
      </c>
      <c r="AA549">
        <f t="shared" si="80"/>
        <v>0</v>
      </c>
    </row>
    <row r="550" spans="2:27" ht="15.75" customHeight="1" x14ac:dyDescent="0.3">
      <c r="B550" s="25"/>
      <c r="C550" s="25"/>
      <c r="D550" s="25"/>
      <c r="E550" s="26" t="str">
        <f t="shared" si="72"/>
        <v/>
      </c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3" t="str">
        <f>IF($F550="","",IF(OR($B550="",$C550="",$D550=""),"⚠ Compléter Année/Niveau/Session",IF(AND($E550&lt;&gt;"",COUNTIF(D_KEY_DOUBLON,$B550&amp;"|"&amp;$D550&amp;"|"&amp;$E550)&gt;1),"⚠ Doublon",IF(AND($E550&lt;&gt;"",COUNTIF(D_KEY_STATUT,$B550&amp;"|"&amp;$E550&amp;"|P")&gt;0,COUNTIF(D_KEY_STATUT,$B550&amp;"|"&amp;$E550&amp;"|A")&gt;0),"⚠ Statut incohérent",IF(AND($D550="S1",$Y550&lt;&gt;"Parti",COUNTIF(ANNEES_VERROU,$B550)&gt;0,COUNTIF(D_KEY_NIVSES,$B550&amp;"|"&amp;$C550&amp;"|S2")&gt;0,COUNTIF(D_KEY_DOUBLON,$B550&amp;"|S2|"&amp;$E550)=0),"⚠ Départ non confirmé ?",IF(AND($C550&lt;&gt;"",ISNUMBER($I550),OR(VALUE(LEFT($B550,4))-$I550&lt;4+IFERROR(MATCH($C550,LISTE_NIVEAUX,0),99),VALUE(LEFT($B550,4))-$I550&gt;6+IFERROR(MATCH($C550,LISTE_NIVEAUX,0),99))),"⚠ Vérifier niveau",IF(AND(IFERROR(VLOOKUP($C550,TABLE_CYCLE,2,0),3)=2,COUNT($O550:$Q550)&gt;0),"⚠ Tests cycle 3",IF(COUNT($J550:$Q550)&gt;=IF(IFERROR(VLOOKUP($C550,TABLE_CYCLE,2,0),3)=2,5,8),"Complet","Incomplet"))))))))</f>
        <v/>
      </c>
      <c r="S550" s="24"/>
      <c r="T550" s="67" t="str">
        <f t="shared" si="73"/>
        <v/>
      </c>
      <c r="U550" s="67" t="str">
        <f t="shared" si="74"/>
        <v/>
      </c>
      <c r="V550" s="67" t="str">
        <f t="shared" si="75"/>
        <v/>
      </c>
      <c r="W550" s="67" t="str">
        <f t="shared" si="76"/>
        <v/>
      </c>
      <c r="X550" s="67" t="str">
        <f t="shared" si="77"/>
        <v/>
      </c>
      <c r="Y550" s="24" t="str">
        <f t="shared" si="78"/>
        <v/>
      </c>
      <c r="Z550">
        <f t="shared" si="79"/>
        <v>0</v>
      </c>
      <c r="AA550">
        <f t="shared" si="80"/>
        <v>0</v>
      </c>
    </row>
    <row r="551" spans="2:27" ht="15.75" customHeight="1" x14ac:dyDescent="0.3">
      <c r="B551" s="21"/>
      <c r="C551" s="21"/>
      <c r="D551" s="21"/>
      <c r="E551" s="22" t="str">
        <f t="shared" si="72"/>
        <v/>
      </c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3" t="str">
        <f>IF($F551="","",IF(OR($B551="",$C551="",$D551=""),"⚠ Compléter Année/Niveau/Session",IF(AND($E551&lt;&gt;"",COUNTIF(D_KEY_DOUBLON,$B551&amp;"|"&amp;$D551&amp;"|"&amp;$E551)&gt;1),"⚠ Doublon",IF(AND($E551&lt;&gt;"",COUNTIF(D_KEY_STATUT,$B551&amp;"|"&amp;$E551&amp;"|P")&gt;0,COUNTIF(D_KEY_STATUT,$B551&amp;"|"&amp;$E551&amp;"|A")&gt;0),"⚠ Statut incohérent",IF(AND($D551="S1",$Y551&lt;&gt;"Parti",COUNTIF(ANNEES_VERROU,$B551)&gt;0,COUNTIF(D_KEY_NIVSES,$B551&amp;"|"&amp;$C551&amp;"|S2")&gt;0,COUNTIF(D_KEY_DOUBLON,$B551&amp;"|S2|"&amp;$E551)=0),"⚠ Départ non confirmé ?",IF(AND($C551&lt;&gt;"",ISNUMBER($I551),OR(VALUE(LEFT($B551,4))-$I551&lt;4+IFERROR(MATCH($C551,LISTE_NIVEAUX,0),99),VALUE(LEFT($B551,4))-$I551&gt;6+IFERROR(MATCH($C551,LISTE_NIVEAUX,0),99))),"⚠ Vérifier niveau",IF(AND(IFERROR(VLOOKUP($C551,TABLE_CYCLE,2,0),3)=2,COUNT($O551:$Q551)&gt;0),"⚠ Tests cycle 3",IF(COUNT($J551:$Q551)&gt;=IF(IFERROR(VLOOKUP($C551,TABLE_CYCLE,2,0),3)=2,5,8),"Complet","Incomplet"))))))))</f>
        <v/>
      </c>
      <c r="S551" s="24"/>
      <c r="T551" s="67" t="str">
        <f t="shared" si="73"/>
        <v/>
      </c>
      <c r="U551" s="67" t="str">
        <f t="shared" si="74"/>
        <v/>
      </c>
      <c r="V551" s="67" t="str">
        <f t="shared" si="75"/>
        <v/>
      </c>
      <c r="W551" s="67" t="str">
        <f t="shared" si="76"/>
        <v/>
      </c>
      <c r="X551" s="67" t="str">
        <f t="shared" si="77"/>
        <v/>
      </c>
      <c r="Y551" s="24" t="str">
        <f t="shared" si="78"/>
        <v/>
      </c>
      <c r="Z551">
        <f t="shared" si="79"/>
        <v>0</v>
      </c>
      <c r="AA551">
        <f t="shared" si="80"/>
        <v>0</v>
      </c>
    </row>
    <row r="552" spans="2:27" ht="15.75" customHeight="1" x14ac:dyDescent="0.3">
      <c r="B552" s="25"/>
      <c r="C552" s="25"/>
      <c r="D552" s="25"/>
      <c r="E552" s="26" t="str">
        <f t="shared" si="72"/>
        <v/>
      </c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3" t="str">
        <f>IF($F552="","",IF(OR($B552="",$C552="",$D552=""),"⚠ Compléter Année/Niveau/Session",IF(AND($E552&lt;&gt;"",COUNTIF(D_KEY_DOUBLON,$B552&amp;"|"&amp;$D552&amp;"|"&amp;$E552)&gt;1),"⚠ Doublon",IF(AND($E552&lt;&gt;"",COUNTIF(D_KEY_STATUT,$B552&amp;"|"&amp;$E552&amp;"|P")&gt;0,COUNTIF(D_KEY_STATUT,$B552&amp;"|"&amp;$E552&amp;"|A")&gt;0),"⚠ Statut incohérent",IF(AND($D552="S1",$Y552&lt;&gt;"Parti",COUNTIF(ANNEES_VERROU,$B552)&gt;0,COUNTIF(D_KEY_NIVSES,$B552&amp;"|"&amp;$C552&amp;"|S2")&gt;0,COUNTIF(D_KEY_DOUBLON,$B552&amp;"|S2|"&amp;$E552)=0),"⚠ Départ non confirmé ?",IF(AND($C552&lt;&gt;"",ISNUMBER($I552),OR(VALUE(LEFT($B552,4))-$I552&lt;4+IFERROR(MATCH($C552,LISTE_NIVEAUX,0),99),VALUE(LEFT($B552,4))-$I552&gt;6+IFERROR(MATCH($C552,LISTE_NIVEAUX,0),99))),"⚠ Vérifier niveau",IF(AND(IFERROR(VLOOKUP($C552,TABLE_CYCLE,2,0),3)=2,COUNT($O552:$Q552)&gt;0),"⚠ Tests cycle 3",IF(COUNT($J552:$Q552)&gt;=IF(IFERROR(VLOOKUP($C552,TABLE_CYCLE,2,0),3)=2,5,8),"Complet","Incomplet"))))))))</f>
        <v/>
      </c>
      <c r="S552" s="24"/>
      <c r="T552" s="67" t="str">
        <f t="shared" si="73"/>
        <v/>
      </c>
      <c r="U552" s="67" t="str">
        <f t="shared" si="74"/>
        <v/>
      </c>
      <c r="V552" s="67" t="str">
        <f t="shared" si="75"/>
        <v/>
      </c>
      <c r="W552" s="67" t="str">
        <f t="shared" si="76"/>
        <v/>
      </c>
      <c r="X552" s="67" t="str">
        <f t="shared" si="77"/>
        <v/>
      </c>
      <c r="Y552" s="24" t="str">
        <f t="shared" si="78"/>
        <v/>
      </c>
      <c r="Z552">
        <f t="shared" si="79"/>
        <v>0</v>
      </c>
      <c r="AA552">
        <f t="shared" si="80"/>
        <v>0</v>
      </c>
    </row>
    <row r="553" spans="2:27" ht="15.75" customHeight="1" x14ac:dyDescent="0.3">
      <c r="B553" s="21"/>
      <c r="C553" s="21"/>
      <c r="D553" s="21"/>
      <c r="E553" s="22" t="str">
        <f t="shared" si="72"/>
        <v/>
      </c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3" t="str">
        <f>IF($F553="","",IF(OR($B553="",$C553="",$D553=""),"⚠ Compléter Année/Niveau/Session",IF(AND($E553&lt;&gt;"",COUNTIF(D_KEY_DOUBLON,$B553&amp;"|"&amp;$D553&amp;"|"&amp;$E553)&gt;1),"⚠ Doublon",IF(AND($E553&lt;&gt;"",COUNTIF(D_KEY_STATUT,$B553&amp;"|"&amp;$E553&amp;"|P")&gt;0,COUNTIF(D_KEY_STATUT,$B553&amp;"|"&amp;$E553&amp;"|A")&gt;0),"⚠ Statut incohérent",IF(AND($D553="S1",$Y553&lt;&gt;"Parti",COUNTIF(ANNEES_VERROU,$B553)&gt;0,COUNTIF(D_KEY_NIVSES,$B553&amp;"|"&amp;$C553&amp;"|S2")&gt;0,COUNTIF(D_KEY_DOUBLON,$B553&amp;"|S2|"&amp;$E553)=0),"⚠ Départ non confirmé ?",IF(AND($C553&lt;&gt;"",ISNUMBER($I553),OR(VALUE(LEFT($B553,4))-$I553&lt;4+IFERROR(MATCH($C553,LISTE_NIVEAUX,0),99),VALUE(LEFT($B553,4))-$I553&gt;6+IFERROR(MATCH($C553,LISTE_NIVEAUX,0),99))),"⚠ Vérifier niveau",IF(AND(IFERROR(VLOOKUP($C553,TABLE_CYCLE,2,0),3)=2,COUNT($O553:$Q553)&gt;0),"⚠ Tests cycle 3",IF(COUNT($J553:$Q553)&gt;=IF(IFERROR(VLOOKUP($C553,TABLE_CYCLE,2,0),3)=2,5,8),"Complet","Incomplet"))))))))</f>
        <v/>
      </c>
      <c r="S553" s="24"/>
      <c r="T553" s="67" t="str">
        <f t="shared" si="73"/>
        <v/>
      </c>
      <c r="U553" s="67" t="str">
        <f t="shared" si="74"/>
        <v/>
      </c>
      <c r="V553" s="67" t="str">
        <f t="shared" si="75"/>
        <v/>
      </c>
      <c r="W553" s="67" t="str">
        <f t="shared" si="76"/>
        <v/>
      </c>
      <c r="X553" s="67" t="str">
        <f t="shared" si="77"/>
        <v/>
      </c>
      <c r="Y553" s="24" t="str">
        <f t="shared" si="78"/>
        <v/>
      </c>
      <c r="Z553">
        <f t="shared" si="79"/>
        <v>0</v>
      </c>
      <c r="AA553">
        <f t="shared" si="80"/>
        <v>0</v>
      </c>
    </row>
    <row r="554" spans="2:27" ht="15.75" customHeight="1" x14ac:dyDescent="0.3">
      <c r="B554" s="25"/>
      <c r="C554" s="25"/>
      <c r="D554" s="25"/>
      <c r="E554" s="26" t="str">
        <f t="shared" si="72"/>
        <v/>
      </c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3" t="str">
        <f>IF($F554="","",IF(OR($B554="",$C554="",$D554=""),"⚠ Compléter Année/Niveau/Session",IF(AND($E554&lt;&gt;"",COUNTIF(D_KEY_DOUBLON,$B554&amp;"|"&amp;$D554&amp;"|"&amp;$E554)&gt;1),"⚠ Doublon",IF(AND($E554&lt;&gt;"",COUNTIF(D_KEY_STATUT,$B554&amp;"|"&amp;$E554&amp;"|P")&gt;0,COUNTIF(D_KEY_STATUT,$B554&amp;"|"&amp;$E554&amp;"|A")&gt;0),"⚠ Statut incohérent",IF(AND($D554="S1",$Y554&lt;&gt;"Parti",COUNTIF(ANNEES_VERROU,$B554)&gt;0,COUNTIF(D_KEY_NIVSES,$B554&amp;"|"&amp;$C554&amp;"|S2")&gt;0,COUNTIF(D_KEY_DOUBLON,$B554&amp;"|S2|"&amp;$E554)=0),"⚠ Départ non confirmé ?",IF(AND($C554&lt;&gt;"",ISNUMBER($I554),OR(VALUE(LEFT($B554,4))-$I554&lt;4+IFERROR(MATCH($C554,LISTE_NIVEAUX,0),99),VALUE(LEFT($B554,4))-$I554&gt;6+IFERROR(MATCH($C554,LISTE_NIVEAUX,0),99))),"⚠ Vérifier niveau",IF(AND(IFERROR(VLOOKUP($C554,TABLE_CYCLE,2,0),3)=2,COUNT($O554:$Q554)&gt;0),"⚠ Tests cycle 3",IF(COUNT($J554:$Q554)&gt;=IF(IFERROR(VLOOKUP($C554,TABLE_CYCLE,2,0),3)=2,5,8),"Complet","Incomplet"))))))))</f>
        <v/>
      </c>
      <c r="S554" s="24"/>
      <c r="T554" s="67" t="str">
        <f t="shared" si="73"/>
        <v/>
      </c>
      <c r="U554" s="67" t="str">
        <f t="shared" si="74"/>
        <v/>
      </c>
      <c r="V554" s="67" t="str">
        <f t="shared" si="75"/>
        <v/>
      </c>
      <c r="W554" s="67" t="str">
        <f t="shared" si="76"/>
        <v/>
      </c>
      <c r="X554" s="67" t="str">
        <f t="shared" si="77"/>
        <v/>
      </c>
      <c r="Y554" s="24" t="str">
        <f t="shared" si="78"/>
        <v/>
      </c>
      <c r="Z554">
        <f t="shared" si="79"/>
        <v>0</v>
      </c>
      <c r="AA554">
        <f t="shared" si="80"/>
        <v>0</v>
      </c>
    </row>
    <row r="555" spans="2:27" ht="15.75" customHeight="1" x14ac:dyDescent="0.3">
      <c r="B555" s="21"/>
      <c r="C555" s="21"/>
      <c r="D555" s="21"/>
      <c r="E555" s="22" t="str">
        <f t="shared" si="72"/>
        <v/>
      </c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3" t="str">
        <f>IF($F555="","",IF(OR($B555="",$C555="",$D555=""),"⚠ Compléter Année/Niveau/Session",IF(AND($E555&lt;&gt;"",COUNTIF(D_KEY_DOUBLON,$B555&amp;"|"&amp;$D555&amp;"|"&amp;$E555)&gt;1),"⚠ Doublon",IF(AND($E555&lt;&gt;"",COUNTIF(D_KEY_STATUT,$B555&amp;"|"&amp;$E555&amp;"|P")&gt;0,COUNTIF(D_KEY_STATUT,$B555&amp;"|"&amp;$E555&amp;"|A")&gt;0),"⚠ Statut incohérent",IF(AND($D555="S1",$Y555&lt;&gt;"Parti",COUNTIF(ANNEES_VERROU,$B555)&gt;0,COUNTIF(D_KEY_NIVSES,$B555&amp;"|"&amp;$C555&amp;"|S2")&gt;0,COUNTIF(D_KEY_DOUBLON,$B555&amp;"|S2|"&amp;$E555)=0),"⚠ Départ non confirmé ?",IF(AND($C555&lt;&gt;"",ISNUMBER($I555),OR(VALUE(LEFT($B555,4))-$I555&lt;4+IFERROR(MATCH($C555,LISTE_NIVEAUX,0),99),VALUE(LEFT($B555,4))-$I555&gt;6+IFERROR(MATCH($C555,LISTE_NIVEAUX,0),99))),"⚠ Vérifier niveau",IF(AND(IFERROR(VLOOKUP($C555,TABLE_CYCLE,2,0),3)=2,COUNT($O555:$Q555)&gt;0),"⚠ Tests cycle 3",IF(COUNT($J555:$Q555)&gt;=IF(IFERROR(VLOOKUP($C555,TABLE_CYCLE,2,0),3)=2,5,8),"Complet","Incomplet"))))))))</f>
        <v/>
      </c>
      <c r="S555" s="24"/>
      <c r="T555" s="67" t="str">
        <f t="shared" si="73"/>
        <v/>
      </c>
      <c r="U555" s="67" t="str">
        <f t="shared" si="74"/>
        <v/>
      </c>
      <c r="V555" s="67" t="str">
        <f t="shared" si="75"/>
        <v/>
      </c>
      <c r="W555" s="67" t="str">
        <f t="shared" si="76"/>
        <v/>
      </c>
      <c r="X555" s="67" t="str">
        <f t="shared" si="77"/>
        <v/>
      </c>
      <c r="Y555" s="24" t="str">
        <f t="shared" si="78"/>
        <v/>
      </c>
      <c r="Z555">
        <f t="shared" si="79"/>
        <v>0</v>
      </c>
      <c r="AA555">
        <f t="shared" si="80"/>
        <v>0</v>
      </c>
    </row>
    <row r="556" spans="2:27" ht="15.75" customHeight="1" x14ac:dyDescent="0.3">
      <c r="B556" s="25"/>
      <c r="C556" s="25"/>
      <c r="D556" s="25"/>
      <c r="E556" s="26" t="str">
        <f t="shared" si="72"/>
        <v/>
      </c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3" t="str">
        <f>IF($F556="","",IF(OR($B556="",$C556="",$D556=""),"⚠ Compléter Année/Niveau/Session",IF(AND($E556&lt;&gt;"",COUNTIF(D_KEY_DOUBLON,$B556&amp;"|"&amp;$D556&amp;"|"&amp;$E556)&gt;1),"⚠ Doublon",IF(AND($E556&lt;&gt;"",COUNTIF(D_KEY_STATUT,$B556&amp;"|"&amp;$E556&amp;"|P")&gt;0,COUNTIF(D_KEY_STATUT,$B556&amp;"|"&amp;$E556&amp;"|A")&gt;0),"⚠ Statut incohérent",IF(AND($D556="S1",$Y556&lt;&gt;"Parti",COUNTIF(ANNEES_VERROU,$B556)&gt;0,COUNTIF(D_KEY_NIVSES,$B556&amp;"|"&amp;$C556&amp;"|S2")&gt;0,COUNTIF(D_KEY_DOUBLON,$B556&amp;"|S2|"&amp;$E556)=0),"⚠ Départ non confirmé ?",IF(AND($C556&lt;&gt;"",ISNUMBER($I556),OR(VALUE(LEFT($B556,4))-$I556&lt;4+IFERROR(MATCH($C556,LISTE_NIVEAUX,0),99),VALUE(LEFT($B556,4))-$I556&gt;6+IFERROR(MATCH($C556,LISTE_NIVEAUX,0),99))),"⚠ Vérifier niveau",IF(AND(IFERROR(VLOOKUP($C556,TABLE_CYCLE,2,0),3)=2,COUNT($O556:$Q556)&gt;0),"⚠ Tests cycle 3",IF(COUNT($J556:$Q556)&gt;=IF(IFERROR(VLOOKUP($C556,TABLE_CYCLE,2,0),3)=2,5,8),"Complet","Incomplet"))))))))</f>
        <v/>
      </c>
      <c r="S556" s="24"/>
      <c r="T556" s="67" t="str">
        <f t="shared" si="73"/>
        <v/>
      </c>
      <c r="U556" s="67" t="str">
        <f t="shared" si="74"/>
        <v/>
      </c>
      <c r="V556" s="67" t="str">
        <f t="shared" si="75"/>
        <v/>
      </c>
      <c r="W556" s="67" t="str">
        <f t="shared" si="76"/>
        <v/>
      </c>
      <c r="X556" s="67" t="str">
        <f t="shared" si="77"/>
        <v/>
      </c>
      <c r="Y556" s="24" t="str">
        <f t="shared" si="78"/>
        <v/>
      </c>
      <c r="Z556">
        <f t="shared" si="79"/>
        <v>0</v>
      </c>
      <c r="AA556">
        <f t="shared" si="80"/>
        <v>0</v>
      </c>
    </row>
    <row r="557" spans="2:27" ht="15.75" customHeight="1" x14ac:dyDescent="0.3">
      <c r="B557" s="21"/>
      <c r="C557" s="21"/>
      <c r="D557" s="21"/>
      <c r="E557" s="22" t="str">
        <f t="shared" si="72"/>
        <v/>
      </c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3" t="str">
        <f>IF($F557="","",IF(OR($B557="",$C557="",$D557=""),"⚠ Compléter Année/Niveau/Session",IF(AND($E557&lt;&gt;"",COUNTIF(D_KEY_DOUBLON,$B557&amp;"|"&amp;$D557&amp;"|"&amp;$E557)&gt;1),"⚠ Doublon",IF(AND($E557&lt;&gt;"",COUNTIF(D_KEY_STATUT,$B557&amp;"|"&amp;$E557&amp;"|P")&gt;0,COUNTIF(D_KEY_STATUT,$B557&amp;"|"&amp;$E557&amp;"|A")&gt;0),"⚠ Statut incohérent",IF(AND($D557="S1",$Y557&lt;&gt;"Parti",COUNTIF(ANNEES_VERROU,$B557)&gt;0,COUNTIF(D_KEY_NIVSES,$B557&amp;"|"&amp;$C557&amp;"|S2")&gt;0,COUNTIF(D_KEY_DOUBLON,$B557&amp;"|S2|"&amp;$E557)=0),"⚠ Départ non confirmé ?",IF(AND($C557&lt;&gt;"",ISNUMBER($I557),OR(VALUE(LEFT($B557,4))-$I557&lt;4+IFERROR(MATCH($C557,LISTE_NIVEAUX,0),99),VALUE(LEFT($B557,4))-$I557&gt;6+IFERROR(MATCH($C557,LISTE_NIVEAUX,0),99))),"⚠ Vérifier niveau",IF(AND(IFERROR(VLOOKUP($C557,TABLE_CYCLE,2,0),3)=2,COUNT($O557:$Q557)&gt;0),"⚠ Tests cycle 3",IF(COUNT($J557:$Q557)&gt;=IF(IFERROR(VLOOKUP($C557,TABLE_CYCLE,2,0),3)=2,5,8),"Complet","Incomplet"))))))))</f>
        <v/>
      </c>
      <c r="S557" s="24"/>
      <c r="T557" s="67" t="str">
        <f t="shared" si="73"/>
        <v/>
      </c>
      <c r="U557" s="67" t="str">
        <f t="shared" si="74"/>
        <v/>
      </c>
      <c r="V557" s="67" t="str">
        <f t="shared" si="75"/>
        <v/>
      </c>
      <c r="W557" s="67" t="str">
        <f t="shared" si="76"/>
        <v/>
      </c>
      <c r="X557" s="67" t="str">
        <f t="shared" si="77"/>
        <v/>
      </c>
      <c r="Y557" s="24" t="str">
        <f t="shared" si="78"/>
        <v/>
      </c>
      <c r="Z557">
        <f t="shared" si="79"/>
        <v>0</v>
      </c>
      <c r="AA557">
        <f t="shared" si="80"/>
        <v>0</v>
      </c>
    </row>
    <row r="558" spans="2:27" ht="15.75" customHeight="1" x14ac:dyDescent="0.3">
      <c r="B558" s="25"/>
      <c r="C558" s="25"/>
      <c r="D558" s="25"/>
      <c r="E558" s="26" t="str">
        <f t="shared" si="72"/>
        <v/>
      </c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3" t="str">
        <f>IF($F558="","",IF(OR($B558="",$C558="",$D558=""),"⚠ Compléter Année/Niveau/Session",IF(AND($E558&lt;&gt;"",COUNTIF(D_KEY_DOUBLON,$B558&amp;"|"&amp;$D558&amp;"|"&amp;$E558)&gt;1),"⚠ Doublon",IF(AND($E558&lt;&gt;"",COUNTIF(D_KEY_STATUT,$B558&amp;"|"&amp;$E558&amp;"|P")&gt;0,COUNTIF(D_KEY_STATUT,$B558&amp;"|"&amp;$E558&amp;"|A")&gt;0),"⚠ Statut incohérent",IF(AND($D558="S1",$Y558&lt;&gt;"Parti",COUNTIF(ANNEES_VERROU,$B558)&gt;0,COUNTIF(D_KEY_NIVSES,$B558&amp;"|"&amp;$C558&amp;"|S2")&gt;0,COUNTIF(D_KEY_DOUBLON,$B558&amp;"|S2|"&amp;$E558)=0),"⚠ Départ non confirmé ?",IF(AND($C558&lt;&gt;"",ISNUMBER($I558),OR(VALUE(LEFT($B558,4))-$I558&lt;4+IFERROR(MATCH($C558,LISTE_NIVEAUX,0),99),VALUE(LEFT($B558,4))-$I558&gt;6+IFERROR(MATCH($C558,LISTE_NIVEAUX,0),99))),"⚠ Vérifier niveau",IF(AND(IFERROR(VLOOKUP($C558,TABLE_CYCLE,2,0),3)=2,COUNT($O558:$Q558)&gt;0),"⚠ Tests cycle 3",IF(COUNT($J558:$Q558)&gt;=IF(IFERROR(VLOOKUP($C558,TABLE_CYCLE,2,0),3)=2,5,8),"Complet","Incomplet"))))))))</f>
        <v/>
      </c>
      <c r="S558" s="24"/>
      <c r="T558" s="67" t="str">
        <f t="shared" si="73"/>
        <v/>
      </c>
      <c r="U558" s="67" t="str">
        <f t="shared" si="74"/>
        <v/>
      </c>
      <c r="V558" s="67" t="str">
        <f t="shared" si="75"/>
        <v/>
      </c>
      <c r="W558" s="67" t="str">
        <f t="shared" si="76"/>
        <v/>
      </c>
      <c r="X558" s="67" t="str">
        <f t="shared" si="77"/>
        <v/>
      </c>
      <c r="Y558" s="24" t="str">
        <f t="shared" si="78"/>
        <v/>
      </c>
      <c r="Z558">
        <f t="shared" si="79"/>
        <v>0</v>
      </c>
      <c r="AA558">
        <f t="shared" si="80"/>
        <v>0</v>
      </c>
    </row>
    <row r="559" spans="2:27" ht="15.75" customHeight="1" x14ac:dyDescent="0.3">
      <c r="B559" s="21"/>
      <c r="C559" s="21"/>
      <c r="D559" s="21"/>
      <c r="E559" s="22" t="str">
        <f t="shared" si="72"/>
        <v/>
      </c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3" t="str">
        <f>IF($F559="","",IF(OR($B559="",$C559="",$D559=""),"⚠ Compléter Année/Niveau/Session",IF(AND($E559&lt;&gt;"",COUNTIF(D_KEY_DOUBLON,$B559&amp;"|"&amp;$D559&amp;"|"&amp;$E559)&gt;1),"⚠ Doublon",IF(AND($E559&lt;&gt;"",COUNTIF(D_KEY_STATUT,$B559&amp;"|"&amp;$E559&amp;"|P")&gt;0,COUNTIF(D_KEY_STATUT,$B559&amp;"|"&amp;$E559&amp;"|A")&gt;0),"⚠ Statut incohérent",IF(AND($D559="S1",$Y559&lt;&gt;"Parti",COUNTIF(ANNEES_VERROU,$B559)&gt;0,COUNTIF(D_KEY_NIVSES,$B559&amp;"|"&amp;$C559&amp;"|S2")&gt;0,COUNTIF(D_KEY_DOUBLON,$B559&amp;"|S2|"&amp;$E559)=0),"⚠ Départ non confirmé ?",IF(AND($C559&lt;&gt;"",ISNUMBER($I559),OR(VALUE(LEFT($B559,4))-$I559&lt;4+IFERROR(MATCH($C559,LISTE_NIVEAUX,0),99),VALUE(LEFT($B559,4))-$I559&gt;6+IFERROR(MATCH($C559,LISTE_NIVEAUX,0),99))),"⚠ Vérifier niveau",IF(AND(IFERROR(VLOOKUP($C559,TABLE_CYCLE,2,0),3)=2,COUNT($O559:$Q559)&gt;0),"⚠ Tests cycle 3",IF(COUNT($J559:$Q559)&gt;=IF(IFERROR(VLOOKUP($C559,TABLE_CYCLE,2,0),3)=2,5,8),"Complet","Incomplet"))))))))</f>
        <v/>
      </c>
      <c r="S559" s="24"/>
      <c r="T559" s="67" t="str">
        <f t="shared" si="73"/>
        <v/>
      </c>
      <c r="U559" s="67" t="str">
        <f t="shared" si="74"/>
        <v/>
      </c>
      <c r="V559" s="67" t="str">
        <f t="shared" si="75"/>
        <v/>
      </c>
      <c r="W559" s="67" t="str">
        <f t="shared" si="76"/>
        <v/>
      </c>
      <c r="X559" s="67" t="str">
        <f t="shared" si="77"/>
        <v/>
      </c>
      <c r="Y559" s="24" t="str">
        <f t="shared" si="78"/>
        <v/>
      </c>
      <c r="Z559">
        <f t="shared" si="79"/>
        <v>0</v>
      </c>
      <c r="AA559">
        <f t="shared" si="80"/>
        <v>0</v>
      </c>
    </row>
    <row r="560" spans="2:27" ht="15.75" customHeight="1" x14ac:dyDescent="0.3">
      <c r="B560" s="25"/>
      <c r="C560" s="25"/>
      <c r="D560" s="25"/>
      <c r="E560" s="26" t="str">
        <f t="shared" si="72"/>
        <v/>
      </c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3" t="str">
        <f>IF($F560="","",IF(OR($B560="",$C560="",$D560=""),"⚠ Compléter Année/Niveau/Session",IF(AND($E560&lt;&gt;"",COUNTIF(D_KEY_DOUBLON,$B560&amp;"|"&amp;$D560&amp;"|"&amp;$E560)&gt;1),"⚠ Doublon",IF(AND($E560&lt;&gt;"",COUNTIF(D_KEY_STATUT,$B560&amp;"|"&amp;$E560&amp;"|P")&gt;0,COUNTIF(D_KEY_STATUT,$B560&amp;"|"&amp;$E560&amp;"|A")&gt;0),"⚠ Statut incohérent",IF(AND($D560="S1",$Y560&lt;&gt;"Parti",COUNTIF(ANNEES_VERROU,$B560)&gt;0,COUNTIF(D_KEY_NIVSES,$B560&amp;"|"&amp;$C560&amp;"|S2")&gt;0,COUNTIF(D_KEY_DOUBLON,$B560&amp;"|S2|"&amp;$E560)=0),"⚠ Départ non confirmé ?",IF(AND($C560&lt;&gt;"",ISNUMBER($I560),OR(VALUE(LEFT($B560,4))-$I560&lt;4+IFERROR(MATCH($C560,LISTE_NIVEAUX,0),99),VALUE(LEFT($B560,4))-$I560&gt;6+IFERROR(MATCH($C560,LISTE_NIVEAUX,0),99))),"⚠ Vérifier niveau",IF(AND(IFERROR(VLOOKUP($C560,TABLE_CYCLE,2,0),3)=2,COUNT($O560:$Q560)&gt;0),"⚠ Tests cycle 3",IF(COUNT($J560:$Q560)&gt;=IF(IFERROR(VLOOKUP($C560,TABLE_CYCLE,2,0),3)=2,5,8),"Complet","Incomplet"))))))))</f>
        <v/>
      </c>
      <c r="S560" s="24"/>
      <c r="T560" s="67" t="str">
        <f t="shared" si="73"/>
        <v/>
      </c>
      <c r="U560" s="67" t="str">
        <f t="shared" si="74"/>
        <v/>
      </c>
      <c r="V560" s="67" t="str">
        <f t="shared" si="75"/>
        <v/>
      </c>
      <c r="W560" s="67" t="str">
        <f t="shared" si="76"/>
        <v/>
      </c>
      <c r="X560" s="67" t="str">
        <f t="shared" si="77"/>
        <v/>
      </c>
      <c r="Y560" s="24" t="str">
        <f t="shared" si="78"/>
        <v/>
      </c>
      <c r="Z560">
        <f t="shared" si="79"/>
        <v>0</v>
      </c>
      <c r="AA560">
        <f t="shared" si="80"/>
        <v>0</v>
      </c>
    </row>
    <row r="561" spans="2:27" ht="15.75" customHeight="1" x14ac:dyDescent="0.3">
      <c r="B561" s="21"/>
      <c r="C561" s="21"/>
      <c r="D561" s="21"/>
      <c r="E561" s="22" t="str">
        <f t="shared" si="72"/>
        <v/>
      </c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3" t="str">
        <f>IF($F561="","",IF(OR($B561="",$C561="",$D561=""),"⚠ Compléter Année/Niveau/Session",IF(AND($E561&lt;&gt;"",COUNTIF(D_KEY_DOUBLON,$B561&amp;"|"&amp;$D561&amp;"|"&amp;$E561)&gt;1),"⚠ Doublon",IF(AND($E561&lt;&gt;"",COUNTIF(D_KEY_STATUT,$B561&amp;"|"&amp;$E561&amp;"|P")&gt;0,COUNTIF(D_KEY_STATUT,$B561&amp;"|"&amp;$E561&amp;"|A")&gt;0),"⚠ Statut incohérent",IF(AND($D561="S1",$Y561&lt;&gt;"Parti",COUNTIF(ANNEES_VERROU,$B561)&gt;0,COUNTIF(D_KEY_NIVSES,$B561&amp;"|"&amp;$C561&amp;"|S2")&gt;0,COUNTIF(D_KEY_DOUBLON,$B561&amp;"|S2|"&amp;$E561)=0),"⚠ Départ non confirmé ?",IF(AND($C561&lt;&gt;"",ISNUMBER($I561),OR(VALUE(LEFT($B561,4))-$I561&lt;4+IFERROR(MATCH($C561,LISTE_NIVEAUX,0),99),VALUE(LEFT($B561,4))-$I561&gt;6+IFERROR(MATCH($C561,LISTE_NIVEAUX,0),99))),"⚠ Vérifier niveau",IF(AND(IFERROR(VLOOKUP($C561,TABLE_CYCLE,2,0),3)=2,COUNT($O561:$Q561)&gt;0),"⚠ Tests cycle 3",IF(COUNT($J561:$Q561)&gt;=IF(IFERROR(VLOOKUP($C561,TABLE_CYCLE,2,0),3)=2,5,8),"Complet","Incomplet"))))))))</f>
        <v/>
      </c>
      <c r="S561" s="24"/>
      <c r="T561" s="67" t="str">
        <f t="shared" si="73"/>
        <v/>
      </c>
      <c r="U561" s="67" t="str">
        <f t="shared" si="74"/>
        <v/>
      </c>
      <c r="V561" s="67" t="str">
        <f t="shared" si="75"/>
        <v/>
      </c>
      <c r="W561" s="67" t="str">
        <f t="shared" si="76"/>
        <v/>
      </c>
      <c r="X561" s="67" t="str">
        <f t="shared" si="77"/>
        <v/>
      </c>
      <c r="Y561" s="24" t="str">
        <f t="shared" si="78"/>
        <v/>
      </c>
      <c r="Z561">
        <f t="shared" si="79"/>
        <v>0</v>
      </c>
      <c r="AA561">
        <f t="shared" si="80"/>
        <v>0</v>
      </c>
    </row>
    <row r="562" spans="2:27" ht="15.75" customHeight="1" x14ac:dyDescent="0.3">
      <c r="B562" s="25"/>
      <c r="C562" s="25"/>
      <c r="D562" s="25"/>
      <c r="E562" s="26" t="str">
        <f t="shared" si="72"/>
        <v/>
      </c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3" t="str">
        <f>IF($F562="","",IF(OR($B562="",$C562="",$D562=""),"⚠ Compléter Année/Niveau/Session",IF(AND($E562&lt;&gt;"",COUNTIF(D_KEY_DOUBLON,$B562&amp;"|"&amp;$D562&amp;"|"&amp;$E562)&gt;1),"⚠ Doublon",IF(AND($E562&lt;&gt;"",COUNTIF(D_KEY_STATUT,$B562&amp;"|"&amp;$E562&amp;"|P")&gt;0,COUNTIF(D_KEY_STATUT,$B562&amp;"|"&amp;$E562&amp;"|A")&gt;0),"⚠ Statut incohérent",IF(AND($D562="S1",$Y562&lt;&gt;"Parti",COUNTIF(ANNEES_VERROU,$B562)&gt;0,COUNTIF(D_KEY_NIVSES,$B562&amp;"|"&amp;$C562&amp;"|S2")&gt;0,COUNTIF(D_KEY_DOUBLON,$B562&amp;"|S2|"&amp;$E562)=0),"⚠ Départ non confirmé ?",IF(AND($C562&lt;&gt;"",ISNUMBER($I562),OR(VALUE(LEFT($B562,4))-$I562&lt;4+IFERROR(MATCH($C562,LISTE_NIVEAUX,0),99),VALUE(LEFT($B562,4))-$I562&gt;6+IFERROR(MATCH($C562,LISTE_NIVEAUX,0),99))),"⚠ Vérifier niveau",IF(AND(IFERROR(VLOOKUP($C562,TABLE_CYCLE,2,0),3)=2,COUNT($O562:$Q562)&gt;0),"⚠ Tests cycle 3",IF(COUNT($J562:$Q562)&gt;=IF(IFERROR(VLOOKUP($C562,TABLE_CYCLE,2,0),3)=2,5,8),"Complet","Incomplet"))))))))</f>
        <v/>
      </c>
      <c r="S562" s="24"/>
      <c r="T562" s="67" t="str">
        <f t="shared" si="73"/>
        <v/>
      </c>
      <c r="U562" s="67" t="str">
        <f t="shared" si="74"/>
        <v/>
      </c>
      <c r="V562" s="67" t="str">
        <f t="shared" si="75"/>
        <v/>
      </c>
      <c r="W562" s="67" t="str">
        <f t="shared" si="76"/>
        <v/>
      </c>
      <c r="X562" s="67" t="str">
        <f t="shared" si="77"/>
        <v/>
      </c>
      <c r="Y562" s="24" t="str">
        <f t="shared" si="78"/>
        <v/>
      </c>
      <c r="Z562">
        <f t="shared" si="79"/>
        <v>0</v>
      </c>
      <c r="AA562">
        <f t="shared" si="80"/>
        <v>0</v>
      </c>
    </row>
    <row r="563" spans="2:27" ht="15.75" customHeight="1" x14ac:dyDescent="0.3">
      <c r="B563" s="21"/>
      <c r="C563" s="21"/>
      <c r="D563" s="21"/>
      <c r="E563" s="22" t="str">
        <f t="shared" si="72"/>
        <v/>
      </c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3" t="str">
        <f>IF($F563="","",IF(OR($B563="",$C563="",$D563=""),"⚠ Compléter Année/Niveau/Session",IF(AND($E563&lt;&gt;"",COUNTIF(D_KEY_DOUBLON,$B563&amp;"|"&amp;$D563&amp;"|"&amp;$E563)&gt;1),"⚠ Doublon",IF(AND($E563&lt;&gt;"",COUNTIF(D_KEY_STATUT,$B563&amp;"|"&amp;$E563&amp;"|P")&gt;0,COUNTIF(D_KEY_STATUT,$B563&amp;"|"&amp;$E563&amp;"|A")&gt;0),"⚠ Statut incohérent",IF(AND($D563="S1",$Y563&lt;&gt;"Parti",COUNTIF(ANNEES_VERROU,$B563)&gt;0,COUNTIF(D_KEY_NIVSES,$B563&amp;"|"&amp;$C563&amp;"|S2")&gt;0,COUNTIF(D_KEY_DOUBLON,$B563&amp;"|S2|"&amp;$E563)=0),"⚠ Départ non confirmé ?",IF(AND($C563&lt;&gt;"",ISNUMBER($I563),OR(VALUE(LEFT($B563,4))-$I563&lt;4+IFERROR(MATCH($C563,LISTE_NIVEAUX,0),99),VALUE(LEFT($B563,4))-$I563&gt;6+IFERROR(MATCH($C563,LISTE_NIVEAUX,0),99))),"⚠ Vérifier niveau",IF(AND(IFERROR(VLOOKUP($C563,TABLE_CYCLE,2,0),3)=2,COUNT($O563:$Q563)&gt;0),"⚠ Tests cycle 3",IF(COUNT($J563:$Q563)&gt;=IF(IFERROR(VLOOKUP($C563,TABLE_CYCLE,2,0),3)=2,5,8),"Complet","Incomplet"))))))))</f>
        <v/>
      </c>
      <c r="S563" s="24"/>
      <c r="T563" s="67" t="str">
        <f t="shared" si="73"/>
        <v/>
      </c>
      <c r="U563" s="67" t="str">
        <f t="shared" si="74"/>
        <v/>
      </c>
      <c r="V563" s="67" t="str">
        <f t="shared" si="75"/>
        <v/>
      </c>
      <c r="W563" s="67" t="str">
        <f t="shared" si="76"/>
        <v/>
      </c>
      <c r="X563" s="67" t="str">
        <f t="shared" si="77"/>
        <v/>
      </c>
      <c r="Y563" s="24" t="str">
        <f t="shared" si="78"/>
        <v/>
      </c>
      <c r="Z563">
        <f t="shared" si="79"/>
        <v>0</v>
      </c>
      <c r="AA563">
        <f t="shared" si="80"/>
        <v>0</v>
      </c>
    </row>
    <row r="564" spans="2:27" ht="15.75" customHeight="1" x14ac:dyDescent="0.3">
      <c r="B564" s="25"/>
      <c r="C564" s="25"/>
      <c r="D564" s="25"/>
      <c r="E564" s="26" t="str">
        <f t="shared" si="72"/>
        <v/>
      </c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3" t="str">
        <f>IF($F564="","",IF(OR($B564="",$C564="",$D564=""),"⚠ Compléter Année/Niveau/Session",IF(AND($E564&lt;&gt;"",COUNTIF(D_KEY_DOUBLON,$B564&amp;"|"&amp;$D564&amp;"|"&amp;$E564)&gt;1),"⚠ Doublon",IF(AND($E564&lt;&gt;"",COUNTIF(D_KEY_STATUT,$B564&amp;"|"&amp;$E564&amp;"|P")&gt;0,COUNTIF(D_KEY_STATUT,$B564&amp;"|"&amp;$E564&amp;"|A")&gt;0),"⚠ Statut incohérent",IF(AND($D564="S1",$Y564&lt;&gt;"Parti",COUNTIF(ANNEES_VERROU,$B564)&gt;0,COUNTIF(D_KEY_NIVSES,$B564&amp;"|"&amp;$C564&amp;"|S2")&gt;0,COUNTIF(D_KEY_DOUBLON,$B564&amp;"|S2|"&amp;$E564)=0),"⚠ Départ non confirmé ?",IF(AND($C564&lt;&gt;"",ISNUMBER($I564),OR(VALUE(LEFT($B564,4))-$I564&lt;4+IFERROR(MATCH($C564,LISTE_NIVEAUX,0),99),VALUE(LEFT($B564,4))-$I564&gt;6+IFERROR(MATCH($C564,LISTE_NIVEAUX,0),99))),"⚠ Vérifier niveau",IF(AND(IFERROR(VLOOKUP($C564,TABLE_CYCLE,2,0),3)=2,COUNT($O564:$Q564)&gt;0),"⚠ Tests cycle 3",IF(COUNT($J564:$Q564)&gt;=IF(IFERROR(VLOOKUP($C564,TABLE_CYCLE,2,0),3)=2,5,8),"Complet","Incomplet"))))))))</f>
        <v/>
      </c>
      <c r="S564" s="24"/>
      <c r="T564" s="67" t="str">
        <f t="shared" si="73"/>
        <v/>
      </c>
      <c r="U564" s="67" t="str">
        <f t="shared" si="74"/>
        <v/>
      </c>
      <c r="V564" s="67" t="str">
        <f t="shared" si="75"/>
        <v/>
      </c>
      <c r="W564" s="67" t="str">
        <f t="shared" si="76"/>
        <v/>
      </c>
      <c r="X564" s="67" t="str">
        <f t="shared" si="77"/>
        <v/>
      </c>
      <c r="Y564" s="24" t="str">
        <f t="shared" si="78"/>
        <v/>
      </c>
      <c r="Z564">
        <f t="shared" si="79"/>
        <v>0</v>
      </c>
      <c r="AA564">
        <f t="shared" si="80"/>
        <v>0</v>
      </c>
    </row>
    <row r="565" spans="2:27" ht="15.75" customHeight="1" x14ac:dyDescent="0.3">
      <c r="B565" s="21"/>
      <c r="C565" s="21"/>
      <c r="D565" s="21"/>
      <c r="E565" s="22" t="str">
        <f t="shared" si="72"/>
        <v/>
      </c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3" t="str">
        <f>IF($F565="","",IF(OR($B565="",$C565="",$D565=""),"⚠ Compléter Année/Niveau/Session",IF(AND($E565&lt;&gt;"",COUNTIF(D_KEY_DOUBLON,$B565&amp;"|"&amp;$D565&amp;"|"&amp;$E565)&gt;1),"⚠ Doublon",IF(AND($E565&lt;&gt;"",COUNTIF(D_KEY_STATUT,$B565&amp;"|"&amp;$E565&amp;"|P")&gt;0,COUNTIF(D_KEY_STATUT,$B565&amp;"|"&amp;$E565&amp;"|A")&gt;0),"⚠ Statut incohérent",IF(AND($D565="S1",$Y565&lt;&gt;"Parti",COUNTIF(ANNEES_VERROU,$B565)&gt;0,COUNTIF(D_KEY_NIVSES,$B565&amp;"|"&amp;$C565&amp;"|S2")&gt;0,COUNTIF(D_KEY_DOUBLON,$B565&amp;"|S2|"&amp;$E565)=0),"⚠ Départ non confirmé ?",IF(AND($C565&lt;&gt;"",ISNUMBER($I565),OR(VALUE(LEFT($B565,4))-$I565&lt;4+IFERROR(MATCH($C565,LISTE_NIVEAUX,0),99),VALUE(LEFT($B565,4))-$I565&gt;6+IFERROR(MATCH($C565,LISTE_NIVEAUX,0),99))),"⚠ Vérifier niveau",IF(AND(IFERROR(VLOOKUP($C565,TABLE_CYCLE,2,0),3)=2,COUNT($O565:$Q565)&gt;0),"⚠ Tests cycle 3",IF(COUNT($J565:$Q565)&gt;=IF(IFERROR(VLOOKUP($C565,TABLE_CYCLE,2,0),3)=2,5,8),"Complet","Incomplet"))))))))</f>
        <v/>
      </c>
      <c r="S565" s="24"/>
      <c r="T565" s="67" t="str">
        <f t="shared" si="73"/>
        <v/>
      </c>
      <c r="U565" s="67" t="str">
        <f t="shared" si="74"/>
        <v/>
      </c>
      <c r="V565" s="67" t="str">
        <f t="shared" si="75"/>
        <v/>
      </c>
      <c r="W565" s="67" t="str">
        <f t="shared" si="76"/>
        <v/>
      </c>
      <c r="X565" s="67" t="str">
        <f t="shared" si="77"/>
        <v/>
      </c>
      <c r="Y565" s="24" t="str">
        <f t="shared" si="78"/>
        <v/>
      </c>
      <c r="Z565">
        <f t="shared" si="79"/>
        <v>0</v>
      </c>
      <c r="AA565">
        <f t="shared" si="80"/>
        <v>0</v>
      </c>
    </row>
    <row r="566" spans="2:27" ht="15.75" customHeight="1" x14ac:dyDescent="0.3">
      <c r="B566" s="25"/>
      <c r="C566" s="25"/>
      <c r="D566" s="25"/>
      <c r="E566" s="26" t="str">
        <f t="shared" si="72"/>
        <v/>
      </c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3" t="str">
        <f>IF($F566="","",IF(OR($B566="",$C566="",$D566=""),"⚠ Compléter Année/Niveau/Session",IF(AND($E566&lt;&gt;"",COUNTIF(D_KEY_DOUBLON,$B566&amp;"|"&amp;$D566&amp;"|"&amp;$E566)&gt;1),"⚠ Doublon",IF(AND($E566&lt;&gt;"",COUNTIF(D_KEY_STATUT,$B566&amp;"|"&amp;$E566&amp;"|P")&gt;0,COUNTIF(D_KEY_STATUT,$B566&amp;"|"&amp;$E566&amp;"|A")&gt;0),"⚠ Statut incohérent",IF(AND($D566="S1",$Y566&lt;&gt;"Parti",COUNTIF(ANNEES_VERROU,$B566)&gt;0,COUNTIF(D_KEY_NIVSES,$B566&amp;"|"&amp;$C566&amp;"|S2")&gt;0,COUNTIF(D_KEY_DOUBLON,$B566&amp;"|S2|"&amp;$E566)=0),"⚠ Départ non confirmé ?",IF(AND($C566&lt;&gt;"",ISNUMBER($I566),OR(VALUE(LEFT($B566,4))-$I566&lt;4+IFERROR(MATCH($C566,LISTE_NIVEAUX,0),99),VALUE(LEFT($B566,4))-$I566&gt;6+IFERROR(MATCH($C566,LISTE_NIVEAUX,0),99))),"⚠ Vérifier niveau",IF(AND(IFERROR(VLOOKUP($C566,TABLE_CYCLE,2,0),3)=2,COUNT($O566:$Q566)&gt;0),"⚠ Tests cycle 3",IF(COUNT($J566:$Q566)&gt;=IF(IFERROR(VLOOKUP($C566,TABLE_CYCLE,2,0),3)=2,5,8),"Complet","Incomplet"))))))))</f>
        <v/>
      </c>
      <c r="S566" s="24"/>
      <c r="T566" s="67" t="str">
        <f t="shared" si="73"/>
        <v/>
      </c>
      <c r="U566" s="67" t="str">
        <f t="shared" si="74"/>
        <v/>
      </c>
      <c r="V566" s="67" t="str">
        <f t="shared" si="75"/>
        <v/>
      </c>
      <c r="W566" s="67" t="str">
        <f t="shared" si="76"/>
        <v/>
      </c>
      <c r="X566" s="67" t="str">
        <f t="shared" si="77"/>
        <v/>
      </c>
      <c r="Y566" s="24" t="str">
        <f t="shared" si="78"/>
        <v/>
      </c>
      <c r="Z566">
        <f t="shared" si="79"/>
        <v>0</v>
      </c>
      <c r="AA566">
        <f t="shared" si="80"/>
        <v>0</v>
      </c>
    </row>
    <row r="567" spans="2:27" ht="15.75" customHeight="1" x14ac:dyDescent="0.3">
      <c r="B567" s="21"/>
      <c r="C567" s="21"/>
      <c r="D567" s="21"/>
      <c r="E567" s="22" t="str">
        <f t="shared" si="72"/>
        <v/>
      </c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3" t="str">
        <f>IF($F567="","",IF(OR($B567="",$C567="",$D567=""),"⚠ Compléter Année/Niveau/Session",IF(AND($E567&lt;&gt;"",COUNTIF(D_KEY_DOUBLON,$B567&amp;"|"&amp;$D567&amp;"|"&amp;$E567)&gt;1),"⚠ Doublon",IF(AND($E567&lt;&gt;"",COUNTIF(D_KEY_STATUT,$B567&amp;"|"&amp;$E567&amp;"|P")&gt;0,COUNTIF(D_KEY_STATUT,$B567&amp;"|"&amp;$E567&amp;"|A")&gt;0),"⚠ Statut incohérent",IF(AND($D567="S1",$Y567&lt;&gt;"Parti",COUNTIF(ANNEES_VERROU,$B567)&gt;0,COUNTIF(D_KEY_NIVSES,$B567&amp;"|"&amp;$C567&amp;"|S2")&gt;0,COUNTIF(D_KEY_DOUBLON,$B567&amp;"|S2|"&amp;$E567)=0),"⚠ Départ non confirmé ?",IF(AND($C567&lt;&gt;"",ISNUMBER($I567),OR(VALUE(LEFT($B567,4))-$I567&lt;4+IFERROR(MATCH($C567,LISTE_NIVEAUX,0),99),VALUE(LEFT($B567,4))-$I567&gt;6+IFERROR(MATCH($C567,LISTE_NIVEAUX,0),99))),"⚠ Vérifier niveau",IF(AND(IFERROR(VLOOKUP($C567,TABLE_CYCLE,2,0),3)=2,COUNT($O567:$Q567)&gt;0),"⚠ Tests cycle 3",IF(COUNT($J567:$Q567)&gt;=IF(IFERROR(VLOOKUP($C567,TABLE_CYCLE,2,0),3)=2,5,8),"Complet","Incomplet"))))))))</f>
        <v/>
      </c>
      <c r="S567" s="24"/>
      <c r="T567" s="67" t="str">
        <f t="shared" si="73"/>
        <v/>
      </c>
      <c r="U567" s="67" t="str">
        <f t="shared" si="74"/>
        <v/>
      </c>
      <c r="V567" s="67" t="str">
        <f t="shared" si="75"/>
        <v/>
      </c>
      <c r="W567" s="67" t="str">
        <f t="shared" si="76"/>
        <v/>
      </c>
      <c r="X567" s="67" t="str">
        <f t="shared" si="77"/>
        <v/>
      </c>
      <c r="Y567" s="24" t="str">
        <f t="shared" si="78"/>
        <v/>
      </c>
      <c r="Z567">
        <f t="shared" si="79"/>
        <v>0</v>
      </c>
      <c r="AA567">
        <f t="shared" si="80"/>
        <v>0</v>
      </c>
    </row>
    <row r="568" spans="2:27" ht="15.75" customHeight="1" x14ac:dyDescent="0.3">
      <c r="B568" s="25"/>
      <c r="C568" s="25"/>
      <c r="D568" s="25"/>
      <c r="E568" s="26" t="str">
        <f t="shared" si="72"/>
        <v/>
      </c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3" t="str">
        <f>IF($F568="","",IF(OR($B568="",$C568="",$D568=""),"⚠ Compléter Année/Niveau/Session",IF(AND($E568&lt;&gt;"",COUNTIF(D_KEY_DOUBLON,$B568&amp;"|"&amp;$D568&amp;"|"&amp;$E568)&gt;1),"⚠ Doublon",IF(AND($E568&lt;&gt;"",COUNTIF(D_KEY_STATUT,$B568&amp;"|"&amp;$E568&amp;"|P")&gt;0,COUNTIF(D_KEY_STATUT,$B568&amp;"|"&amp;$E568&amp;"|A")&gt;0),"⚠ Statut incohérent",IF(AND($D568="S1",$Y568&lt;&gt;"Parti",COUNTIF(ANNEES_VERROU,$B568)&gt;0,COUNTIF(D_KEY_NIVSES,$B568&amp;"|"&amp;$C568&amp;"|S2")&gt;0,COUNTIF(D_KEY_DOUBLON,$B568&amp;"|S2|"&amp;$E568)=0),"⚠ Départ non confirmé ?",IF(AND($C568&lt;&gt;"",ISNUMBER($I568),OR(VALUE(LEFT($B568,4))-$I568&lt;4+IFERROR(MATCH($C568,LISTE_NIVEAUX,0),99),VALUE(LEFT($B568,4))-$I568&gt;6+IFERROR(MATCH($C568,LISTE_NIVEAUX,0),99))),"⚠ Vérifier niveau",IF(AND(IFERROR(VLOOKUP($C568,TABLE_CYCLE,2,0),3)=2,COUNT($O568:$Q568)&gt;0),"⚠ Tests cycle 3",IF(COUNT($J568:$Q568)&gt;=IF(IFERROR(VLOOKUP($C568,TABLE_CYCLE,2,0),3)=2,5,8),"Complet","Incomplet"))))))))</f>
        <v/>
      </c>
      <c r="S568" s="24"/>
      <c r="T568" s="67" t="str">
        <f t="shared" si="73"/>
        <v/>
      </c>
      <c r="U568" s="67" t="str">
        <f t="shared" si="74"/>
        <v/>
      </c>
      <c r="V568" s="67" t="str">
        <f t="shared" si="75"/>
        <v/>
      </c>
      <c r="W568" s="67" t="str">
        <f t="shared" si="76"/>
        <v/>
      </c>
      <c r="X568" s="67" t="str">
        <f t="shared" si="77"/>
        <v/>
      </c>
      <c r="Y568" s="24" t="str">
        <f t="shared" si="78"/>
        <v/>
      </c>
      <c r="Z568">
        <f t="shared" si="79"/>
        <v>0</v>
      </c>
      <c r="AA568">
        <f t="shared" si="80"/>
        <v>0</v>
      </c>
    </row>
    <row r="569" spans="2:27" ht="15.75" customHeight="1" x14ac:dyDescent="0.3">
      <c r="B569" s="21"/>
      <c r="C569" s="21"/>
      <c r="D569" s="21"/>
      <c r="E569" s="22" t="str">
        <f t="shared" si="72"/>
        <v/>
      </c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3" t="str">
        <f>IF($F569="","",IF(OR($B569="",$C569="",$D569=""),"⚠ Compléter Année/Niveau/Session",IF(AND($E569&lt;&gt;"",COUNTIF(D_KEY_DOUBLON,$B569&amp;"|"&amp;$D569&amp;"|"&amp;$E569)&gt;1),"⚠ Doublon",IF(AND($E569&lt;&gt;"",COUNTIF(D_KEY_STATUT,$B569&amp;"|"&amp;$E569&amp;"|P")&gt;0,COUNTIF(D_KEY_STATUT,$B569&amp;"|"&amp;$E569&amp;"|A")&gt;0),"⚠ Statut incohérent",IF(AND($D569="S1",$Y569&lt;&gt;"Parti",COUNTIF(ANNEES_VERROU,$B569)&gt;0,COUNTIF(D_KEY_NIVSES,$B569&amp;"|"&amp;$C569&amp;"|S2")&gt;0,COUNTIF(D_KEY_DOUBLON,$B569&amp;"|S2|"&amp;$E569)=0),"⚠ Départ non confirmé ?",IF(AND($C569&lt;&gt;"",ISNUMBER($I569),OR(VALUE(LEFT($B569,4))-$I569&lt;4+IFERROR(MATCH($C569,LISTE_NIVEAUX,0),99),VALUE(LEFT($B569,4))-$I569&gt;6+IFERROR(MATCH($C569,LISTE_NIVEAUX,0),99))),"⚠ Vérifier niveau",IF(AND(IFERROR(VLOOKUP($C569,TABLE_CYCLE,2,0),3)=2,COUNT($O569:$Q569)&gt;0),"⚠ Tests cycle 3",IF(COUNT($J569:$Q569)&gt;=IF(IFERROR(VLOOKUP($C569,TABLE_CYCLE,2,0),3)=2,5,8),"Complet","Incomplet"))))))))</f>
        <v/>
      </c>
      <c r="S569" s="24"/>
      <c r="T569" s="67" t="str">
        <f t="shared" si="73"/>
        <v/>
      </c>
      <c r="U569" s="67" t="str">
        <f t="shared" si="74"/>
        <v/>
      </c>
      <c r="V569" s="67" t="str">
        <f t="shared" si="75"/>
        <v/>
      </c>
      <c r="W569" s="67" t="str">
        <f t="shared" si="76"/>
        <v/>
      </c>
      <c r="X569" s="67" t="str">
        <f t="shared" si="77"/>
        <v/>
      </c>
      <c r="Y569" s="24" t="str">
        <f t="shared" si="78"/>
        <v/>
      </c>
      <c r="Z569">
        <f t="shared" si="79"/>
        <v>0</v>
      </c>
      <c r="AA569">
        <f t="shared" si="80"/>
        <v>0</v>
      </c>
    </row>
    <row r="570" spans="2:27" ht="15.75" customHeight="1" x14ac:dyDescent="0.3">
      <c r="B570" s="25"/>
      <c r="C570" s="25"/>
      <c r="D570" s="25"/>
      <c r="E570" s="26" t="str">
        <f t="shared" si="72"/>
        <v/>
      </c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3" t="str">
        <f>IF($F570="","",IF(OR($B570="",$C570="",$D570=""),"⚠ Compléter Année/Niveau/Session",IF(AND($E570&lt;&gt;"",COUNTIF(D_KEY_DOUBLON,$B570&amp;"|"&amp;$D570&amp;"|"&amp;$E570)&gt;1),"⚠ Doublon",IF(AND($E570&lt;&gt;"",COUNTIF(D_KEY_STATUT,$B570&amp;"|"&amp;$E570&amp;"|P")&gt;0,COUNTIF(D_KEY_STATUT,$B570&amp;"|"&amp;$E570&amp;"|A")&gt;0),"⚠ Statut incohérent",IF(AND($D570="S1",$Y570&lt;&gt;"Parti",COUNTIF(ANNEES_VERROU,$B570)&gt;0,COUNTIF(D_KEY_NIVSES,$B570&amp;"|"&amp;$C570&amp;"|S2")&gt;0,COUNTIF(D_KEY_DOUBLON,$B570&amp;"|S2|"&amp;$E570)=0),"⚠ Départ non confirmé ?",IF(AND($C570&lt;&gt;"",ISNUMBER($I570),OR(VALUE(LEFT($B570,4))-$I570&lt;4+IFERROR(MATCH($C570,LISTE_NIVEAUX,0),99),VALUE(LEFT($B570,4))-$I570&gt;6+IFERROR(MATCH($C570,LISTE_NIVEAUX,0),99))),"⚠ Vérifier niveau",IF(AND(IFERROR(VLOOKUP($C570,TABLE_CYCLE,2,0),3)=2,COUNT($O570:$Q570)&gt;0),"⚠ Tests cycle 3",IF(COUNT($J570:$Q570)&gt;=IF(IFERROR(VLOOKUP($C570,TABLE_CYCLE,2,0),3)=2,5,8),"Complet","Incomplet"))))))))</f>
        <v/>
      </c>
      <c r="S570" s="24"/>
      <c r="T570" s="67" t="str">
        <f t="shared" si="73"/>
        <v/>
      </c>
      <c r="U570" s="67" t="str">
        <f t="shared" si="74"/>
        <v/>
      </c>
      <c r="V570" s="67" t="str">
        <f t="shared" si="75"/>
        <v/>
      </c>
      <c r="W570" s="67" t="str">
        <f t="shared" si="76"/>
        <v/>
      </c>
      <c r="X570" s="67" t="str">
        <f t="shared" si="77"/>
        <v/>
      </c>
      <c r="Y570" s="24" t="str">
        <f t="shared" si="78"/>
        <v/>
      </c>
      <c r="Z570">
        <f t="shared" si="79"/>
        <v>0</v>
      </c>
      <c r="AA570">
        <f t="shared" si="80"/>
        <v>0</v>
      </c>
    </row>
    <row r="571" spans="2:27" ht="15.75" customHeight="1" x14ac:dyDescent="0.3">
      <c r="B571" s="21"/>
      <c r="C571" s="21"/>
      <c r="D571" s="21"/>
      <c r="E571" s="22" t="str">
        <f t="shared" si="72"/>
        <v/>
      </c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3" t="str">
        <f>IF($F571="","",IF(OR($B571="",$C571="",$D571=""),"⚠ Compléter Année/Niveau/Session",IF(AND($E571&lt;&gt;"",COUNTIF(D_KEY_DOUBLON,$B571&amp;"|"&amp;$D571&amp;"|"&amp;$E571)&gt;1),"⚠ Doublon",IF(AND($E571&lt;&gt;"",COUNTIF(D_KEY_STATUT,$B571&amp;"|"&amp;$E571&amp;"|P")&gt;0,COUNTIF(D_KEY_STATUT,$B571&amp;"|"&amp;$E571&amp;"|A")&gt;0),"⚠ Statut incohérent",IF(AND($D571="S1",$Y571&lt;&gt;"Parti",COUNTIF(ANNEES_VERROU,$B571)&gt;0,COUNTIF(D_KEY_NIVSES,$B571&amp;"|"&amp;$C571&amp;"|S2")&gt;0,COUNTIF(D_KEY_DOUBLON,$B571&amp;"|S2|"&amp;$E571)=0),"⚠ Départ non confirmé ?",IF(AND($C571&lt;&gt;"",ISNUMBER($I571),OR(VALUE(LEFT($B571,4))-$I571&lt;4+IFERROR(MATCH($C571,LISTE_NIVEAUX,0),99),VALUE(LEFT($B571,4))-$I571&gt;6+IFERROR(MATCH($C571,LISTE_NIVEAUX,0),99))),"⚠ Vérifier niveau",IF(AND(IFERROR(VLOOKUP($C571,TABLE_CYCLE,2,0),3)=2,COUNT($O571:$Q571)&gt;0),"⚠ Tests cycle 3",IF(COUNT($J571:$Q571)&gt;=IF(IFERROR(VLOOKUP($C571,TABLE_CYCLE,2,0),3)=2,5,8),"Complet","Incomplet"))))))))</f>
        <v/>
      </c>
      <c r="S571" s="24"/>
      <c r="T571" s="67" t="str">
        <f t="shared" si="73"/>
        <v/>
      </c>
      <c r="U571" s="67" t="str">
        <f t="shared" si="74"/>
        <v/>
      </c>
      <c r="V571" s="67" t="str">
        <f t="shared" si="75"/>
        <v/>
      </c>
      <c r="W571" s="67" t="str">
        <f t="shared" si="76"/>
        <v/>
      </c>
      <c r="X571" s="67" t="str">
        <f t="shared" si="77"/>
        <v/>
      </c>
      <c r="Y571" s="24" t="str">
        <f t="shared" si="78"/>
        <v/>
      </c>
      <c r="Z571">
        <f t="shared" si="79"/>
        <v>0</v>
      </c>
      <c r="AA571">
        <f t="shared" si="80"/>
        <v>0</v>
      </c>
    </row>
    <row r="572" spans="2:27" ht="15.75" customHeight="1" x14ac:dyDescent="0.3">
      <c r="B572" s="25"/>
      <c r="C572" s="25"/>
      <c r="D572" s="25"/>
      <c r="E572" s="26" t="str">
        <f t="shared" si="72"/>
        <v/>
      </c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3" t="str">
        <f>IF($F572="","",IF(OR($B572="",$C572="",$D572=""),"⚠ Compléter Année/Niveau/Session",IF(AND($E572&lt;&gt;"",COUNTIF(D_KEY_DOUBLON,$B572&amp;"|"&amp;$D572&amp;"|"&amp;$E572)&gt;1),"⚠ Doublon",IF(AND($E572&lt;&gt;"",COUNTIF(D_KEY_STATUT,$B572&amp;"|"&amp;$E572&amp;"|P")&gt;0,COUNTIF(D_KEY_STATUT,$B572&amp;"|"&amp;$E572&amp;"|A")&gt;0),"⚠ Statut incohérent",IF(AND($D572="S1",$Y572&lt;&gt;"Parti",COUNTIF(ANNEES_VERROU,$B572)&gt;0,COUNTIF(D_KEY_NIVSES,$B572&amp;"|"&amp;$C572&amp;"|S2")&gt;0,COUNTIF(D_KEY_DOUBLON,$B572&amp;"|S2|"&amp;$E572)=0),"⚠ Départ non confirmé ?",IF(AND($C572&lt;&gt;"",ISNUMBER($I572),OR(VALUE(LEFT($B572,4))-$I572&lt;4+IFERROR(MATCH($C572,LISTE_NIVEAUX,0),99),VALUE(LEFT($B572,4))-$I572&gt;6+IFERROR(MATCH($C572,LISTE_NIVEAUX,0),99))),"⚠ Vérifier niveau",IF(AND(IFERROR(VLOOKUP($C572,TABLE_CYCLE,2,0),3)=2,COUNT($O572:$Q572)&gt;0),"⚠ Tests cycle 3",IF(COUNT($J572:$Q572)&gt;=IF(IFERROR(VLOOKUP($C572,TABLE_CYCLE,2,0),3)=2,5,8),"Complet","Incomplet"))))))))</f>
        <v/>
      </c>
      <c r="S572" s="24"/>
      <c r="T572" s="67" t="str">
        <f t="shared" si="73"/>
        <v/>
      </c>
      <c r="U572" s="67" t="str">
        <f t="shared" si="74"/>
        <v/>
      </c>
      <c r="V572" s="67" t="str">
        <f t="shared" si="75"/>
        <v/>
      </c>
      <c r="W572" s="67" t="str">
        <f t="shared" si="76"/>
        <v/>
      </c>
      <c r="X572" s="67" t="str">
        <f t="shared" si="77"/>
        <v/>
      </c>
      <c r="Y572" s="24" t="str">
        <f t="shared" si="78"/>
        <v/>
      </c>
      <c r="Z572">
        <f t="shared" si="79"/>
        <v>0</v>
      </c>
      <c r="AA572">
        <f t="shared" si="80"/>
        <v>0</v>
      </c>
    </row>
    <row r="573" spans="2:27" ht="15.75" customHeight="1" x14ac:dyDescent="0.3">
      <c r="B573" s="21"/>
      <c r="C573" s="21"/>
      <c r="D573" s="21"/>
      <c r="E573" s="22" t="str">
        <f t="shared" si="72"/>
        <v/>
      </c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3" t="str">
        <f>IF($F573="","",IF(OR($B573="",$C573="",$D573=""),"⚠ Compléter Année/Niveau/Session",IF(AND($E573&lt;&gt;"",COUNTIF(D_KEY_DOUBLON,$B573&amp;"|"&amp;$D573&amp;"|"&amp;$E573)&gt;1),"⚠ Doublon",IF(AND($E573&lt;&gt;"",COUNTIF(D_KEY_STATUT,$B573&amp;"|"&amp;$E573&amp;"|P")&gt;0,COUNTIF(D_KEY_STATUT,$B573&amp;"|"&amp;$E573&amp;"|A")&gt;0),"⚠ Statut incohérent",IF(AND($D573="S1",$Y573&lt;&gt;"Parti",COUNTIF(ANNEES_VERROU,$B573)&gt;0,COUNTIF(D_KEY_NIVSES,$B573&amp;"|"&amp;$C573&amp;"|S2")&gt;0,COUNTIF(D_KEY_DOUBLON,$B573&amp;"|S2|"&amp;$E573)=0),"⚠ Départ non confirmé ?",IF(AND($C573&lt;&gt;"",ISNUMBER($I573),OR(VALUE(LEFT($B573,4))-$I573&lt;4+IFERROR(MATCH($C573,LISTE_NIVEAUX,0),99),VALUE(LEFT($B573,4))-$I573&gt;6+IFERROR(MATCH($C573,LISTE_NIVEAUX,0),99))),"⚠ Vérifier niveau",IF(AND(IFERROR(VLOOKUP($C573,TABLE_CYCLE,2,0),3)=2,COUNT($O573:$Q573)&gt;0),"⚠ Tests cycle 3",IF(COUNT($J573:$Q573)&gt;=IF(IFERROR(VLOOKUP($C573,TABLE_CYCLE,2,0),3)=2,5,8),"Complet","Incomplet"))))))))</f>
        <v/>
      </c>
      <c r="S573" s="24"/>
      <c r="T573" s="67" t="str">
        <f t="shared" si="73"/>
        <v/>
      </c>
      <c r="U573" s="67" t="str">
        <f t="shared" si="74"/>
        <v/>
      </c>
      <c r="V573" s="67" t="str">
        <f t="shared" si="75"/>
        <v/>
      </c>
      <c r="W573" s="67" t="str">
        <f t="shared" si="76"/>
        <v/>
      </c>
      <c r="X573" s="67" t="str">
        <f t="shared" si="77"/>
        <v/>
      </c>
      <c r="Y573" s="24" t="str">
        <f t="shared" si="78"/>
        <v/>
      </c>
      <c r="Z573">
        <f t="shared" si="79"/>
        <v>0</v>
      </c>
      <c r="AA573">
        <f t="shared" si="80"/>
        <v>0</v>
      </c>
    </row>
    <row r="574" spans="2:27" ht="15.75" customHeight="1" x14ac:dyDescent="0.3">
      <c r="B574" s="25"/>
      <c r="C574" s="25"/>
      <c r="D574" s="25"/>
      <c r="E574" s="26" t="str">
        <f t="shared" si="72"/>
        <v/>
      </c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3" t="str">
        <f>IF($F574="","",IF(OR($B574="",$C574="",$D574=""),"⚠ Compléter Année/Niveau/Session",IF(AND($E574&lt;&gt;"",COUNTIF(D_KEY_DOUBLON,$B574&amp;"|"&amp;$D574&amp;"|"&amp;$E574)&gt;1),"⚠ Doublon",IF(AND($E574&lt;&gt;"",COUNTIF(D_KEY_STATUT,$B574&amp;"|"&amp;$E574&amp;"|P")&gt;0,COUNTIF(D_KEY_STATUT,$B574&amp;"|"&amp;$E574&amp;"|A")&gt;0),"⚠ Statut incohérent",IF(AND($D574="S1",$Y574&lt;&gt;"Parti",COUNTIF(ANNEES_VERROU,$B574)&gt;0,COUNTIF(D_KEY_NIVSES,$B574&amp;"|"&amp;$C574&amp;"|S2")&gt;0,COUNTIF(D_KEY_DOUBLON,$B574&amp;"|S2|"&amp;$E574)=0),"⚠ Départ non confirmé ?",IF(AND($C574&lt;&gt;"",ISNUMBER($I574),OR(VALUE(LEFT($B574,4))-$I574&lt;4+IFERROR(MATCH($C574,LISTE_NIVEAUX,0),99),VALUE(LEFT($B574,4))-$I574&gt;6+IFERROR(MATCH($C574,LISTE_NIVEAUX,0),99))),"⚠ Vérifier niveau",IF(AND(IFERROR(VLOOKUP($C574,TABLE_CYCLE,2,0),3)=2,COUNT($O574:$Q574)&gt;0),"⚠ Tests cycle 3",IF(COUNT($J574:$Q574)&gt;=IF(IFERROR(VLOOKUP($C574,TABLE_CYCLE,2,0),3)=2,5,8),"Complet","Incomplet"))))))))</f>
        <v/>
      </c>
      <c r="S574" s="24"/>
      <c r="T574" s="67" t="str">
        <f t="shared" si="73"/>
        <v/>
      </c>
      <c r="U574" s="67" t="str">
        <f t="shared" si="74"/>
        <v/>
      </c>
      <c r="V574" s="67" t="str">
        <f t="shared" si="75"/>
        <v/>
      </c>
      <c r="W574" s="67" t="str">
        <f t="shared" si="76"/>
        <v/>
      </c>
      <c r="X574" s="67" t="str">
        <f t="shared" si="77"/>
        <v/>
      </c>
      <c r="Y574" s="24" t="str">
        <f t="shared" si="78"/>
        <v/>
      </c>
      <c r="Z574">
        <f t="shared" si="79"/>
        <v>0</v>
      </c>
      <c r="AA574">
        <f t="shared" si="80"/>
        <v>0</v>
      </c>
    </row>
    <row r="575" spans="2:27" ht="15.75" customHeight="1" x14ac:dyDescent="0.3">
      <c r="B575" s="21"/>
      <c r="C575" s="21"/>
      <c r="D575" s="21"/>
      <c r="E575" s="22" t="str">
        <f t="shared" si="72"/>
        <v/>
      </c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3" t="str">
        <f>IF($F575="","",IF(OR($B575="",$C575="",$D575=""),"⚠ Compléter Année/Niveau/Session",IF(AND($E575&lt;&gt;"",COUNTIF(D_KEY_DOUBLON,$B575&amp;"|"&amp;$D575&amp;"|"&amp;$E575)&gt;1),"⚠ Doublon",IF(AND($E575&lt;&gt;"",COUNTIF(D_KEY_STATUT,$B575&amp;"|"&amp;$E575&amp;"|P")&gt;0,COUNTIF(D_KEY_STATUT,$B575&amp;"|"&amp;$E575&amp;"|A")&gt;0),"⚠ Statut incohérent",IF(AND($D575="S1",$Y575&lt;&gt;"Parti",COUNTIF(ANNEES_VERROU,$B575)&gt;0,COUNTIF(D_KEY_NIVSES,$B575&amp;"|"&amp;$C575&amp;"|S2")&gt;0,COUNTIF(D_KEY_DOUBLON,$B575&amp;"|S2|"&amp;$E575)=0),"⚠ Départ non confirmé ?",IF(AND($C575&lt;&gt;"",ISNUMBER($I575),OR(VALUE(LEFT($B575,4))-$I575&lt;4+IFERROR(MATCH($C575,LISTE_NIVEAUX,0),99),VALUE(LEFT($B575,4))-$I575&gt;6+IFERROR(MATCH($C575,LISTE_NIVEAUX,0),99))),"⚠ Vérifier niveau",IF(AND(IFERROR(VLOOKUP($C575,TABLE_CYCLE,2,0),3)=2,COUNT($O575:$Q575)&gt;0),"⚠ Tests cycle 3",IF(COUNT($J575:$Q575)&gt;=IF(IFERROR(VLOOKUP($C575,TABLE_CYCLE,2,0),3)=2,5,8),"Complet","Incomplet"))))))))</f>
        <v/>
      </c>
      <c r="S575" s="24"/>
      <c r="T575" s="67" t="str">
        <f t="shared" si="73"/>
        <v/>
      </c>
      <c r="U575" s="67" t="str">
        <f t="shared" si="74"/>
        <v/>
      </c>
      <c r="V575" s="67" t="str">
        <f t="shared" si="75"/>
        <v/>
      </c>
      <c r="W575" s="67" t="str">
        <f t="shared" si="76"/>
        <v/>
      </c>
      <c r="X575" s="67" t="str">
        <f t="shared" si="77"/>
        <v/>
      </c>
      <c r="Y575" s="24" t="str">
        <f t="shared" si="78"/>
        <v/>
      </c>
      <c r="Z575">
        <f t="shared" si="79"/>
        <v>0</v>
      </c>
      <c r="AA575">
        <f t="shared" si="80"/>
        <v>0</v>
      </c>
    </row>
    <row r="576" spans="2:27" ht="15.75" customHeight="1" x14ac:dyDescent="0.3">
      <c r="B576" s="25"/>
      <c r="C576" s="25"/>
      <c r="D576" s="25"/>
      <c r="E576" s="26" t="str">
        <f t="shared" si="72"/>
        <v/>
      </c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3" t="str">
        <f>IF($F576="","",IF(OR($B576="",$C576="",$D576=""),"⚠ Compléter Année/Niveau/Session",IF(AND($E576&lt;&gt;"",COUNTIF(D_KEY_DOUBLON,$B576&amp;"|"&amp;$D576&amp;"|"&amp;$E576)&gt;1),"⚠ Doublon",IF(AND($E576&lt;&gt;"",COUNTIF(D_KEY_STATUT,$B576&amp;"|"&amp;$E576&amp;"|P")&gt;0,COUNTIF(D_KEY_STATUT,$B576&amp;"|"&amp;$E576&amp;"|A")&gt;0),"⚠ Statut incohérent",IF(AND($D576="S1",$Y576&lt;&gt;"Parti",COUNTIF(ANNEES_VERROU,$B576)&gt;0,COUNTIF(D_KEY_NIVSES,$B576&amp;"|"&amp;$C576&amp;"|S2")&gt;0,COUNTIF(D_KEY_DOUBLON,$B576&amp;"|S2|"&amp;$E576)=0),"⚠ Départ non confirmé ?",IF(AND($C576&lt;&gt;"",ISNUMBER($I576),OR(VALUE(LEFT($B576,4))-$I576&lt;4+IFERROR(MATCH($C576,LISTE_NIVEAUX,0),99),VALUE(LEFT($B576,4))-$I576&gt;6+IFERROR(MATCH($C576,LISTE_NIVEAUX,0),99))),"⚠ Vérifier niveau",IF(AND(IFERROR(VLOOKUP($C576,TABLE_CYCLE,2,0),3)=2,COUNT($O576:$Q576)&gt;0),"⚠ Tests cycle 3",IF(COUNT($J576:$Q576)&gt;=IF(IFERROR(VLOOKUP($C576,TABLE_CYCLE,2,0),3)=2,5,8),"Complet","Incomplet"))))))))</f>
        <v/>
      </c>
      <c r="S576" s="24"/>
      <c r="T576" s="67" t="str">
        <f t="shared" si="73"/>
        <v/>
      </c>
      <c r="U576" s="67" t="str">
        <f t="shared" si="74"/>
        <v/>
      </c>
      <c r="V576" s="67" t="str">
        <f t="shared" si="75"/>
        <v/>
      </c>
      <c r="W576" s="67" t="str">
        <f t="shared" si="76"/>
        <v/>
      </c>
      <c r="X576" s="67" t="str">
        <f t="shared" si="77"/>
        <v/>
      </c>
      <c r="Y576" s="24" t="str">
        <f t="shared" si="78"/>
        <v/>
      </c>
      <c r="Z576">
        <f t="shared" si="79"/>
        <v>0</v>
      </c>
      <c r="AA576">
        <f t="shared" si="80"/>
        <v>0</v>
      </c>
    </row>
    <row r="577" spans="2:27" ht="15.75" customHeight="1" x14ac:dyDescent="0.3">
      <c r="B577" s="21"/>
      <c r="C577" s="21"/>
      <c r="D577" s="21"/>
      <c r="E577" s="22" t="str">
        <f t="shared" si="72"/>
        <v/>
      </c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3" t="str">
        <f>IF($F577="","",IF(OR($B577="",$C577="",$D577=""),"⚠ Compléter Année/Niveau/Session",IF(AND($E577&lt;&gt;"",COUNTIF(D_KEY_DOUBLON,$B577&amp;"|"&amp;$D577&amp;"|"&amp;$E577)&gt;1),"⚠ Doublon",IF(AND($E577&lt;&gt;"",COUNTIF(D_KEY_STATUT,$B577&amp;"|"&amp;$E577&amp;"|P")&gt;0,COUNTIF(D_KEY_STATUT,$B577&amp;"|"&amp;$E577&amp;"|A")&gt;0),"⚠ Statut incohérent",IF(AND($D577="S1",$Y577&lt;&gt;"Parti",COUNTIF(ANNEES_VERROU,$B577)&gt;0,COUNTIF(D_KEY_NIVSES,$B577&amp;"|"&amp;$C577&amp;"|S2")&gt;0,COUNTIF(D_KEY_DOUBLON,$B577&amp;"|S2|"&amp;$E577)=0),"⚠ Départ non confirmé ?",IF(AND($C577&lt;&gt;"",ISNUMBER($I577),OR(VALUE(LEFT($B577,4))-$I577&lt;4+IFERROR(MATCH($C577,LISTE_NIVEAUX,0),99),VALUE(LEFT($B577,4))-$I577&gt;6+IFERROR(MATCH($C577,LISTE_NIVEAUX,0),99))),"⚠ Vérifier niveau",IF(AND(IFERROR(VLOOKUP($C577,TABLE_CYCLE,2,0),3)=2,COUNT($O577:$Q577)&gt;0),"⚠ Tests cycle 3",IF(COUNT($J577:$Q577)&gt;=IF(IFERROR(VLOOKUP($C577,TABLE_CYCLE,2,0),3)=2,5,8),"Complet","Incomplet"))))))))</f>
        <v/>
      </c>
      <c r="S577" s="24"/>
      <c r="T577" s="67" t="str">
        <f t="shared" si="73"/>
        <v/>
      </c>
      <c r="U577" s="67" t="str">
        <f t="shared" si="74"/>
        <v/>
      </c>
      <c r="V577" s="67" t="str">
        <f t="shared" si="75"/>
        <v/>
      </c>
      <c r="W577" s="67" t="str">
        <f t="shared" si="76"/>
        <v/>
      </c>
      <c r="X577" s="67" t="str">
        <f t="shared" si="77"/>
        <v/>
      </c>
      <c r="Y577" s="24" t="str">
        <f t="shared" si="78"/>
        <v/>
      </c>
      <c r="Z577">
        <f t="shared" si="79"/>
        <v>0</v>
      </c>
      <c r="AA577">
        <f t="shared" si="80"/>
        <v>0</v>
      </c>
    </row>
    <row r="578" spans="2:27" ht="15.75" customHeight="1" x14ac:dyDescent="0.3">
      <c r="B578" s="25"/>
      <c r="C578" s="25"/>
      <c r="D578" s="25"/>
      <c r="E578" s="26" t="str">
        <f t="shared" si="72"/>
        <v/>
      </c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3" t="str">
        <f>IF($F578="","",IF(OR($B578="",$C578="",$D578=""),"⚠ Compléter Année/Niveau/Session",IF(AND($E578&lt;&gt;"",COUNTIF(D_KEY_DOUBLON,$B578&amp;"|"&amp;$D578&amp;"|"&amp;$E578)&gt;1),"⚠ Doublon",IF(AND($E578&lt;&gt;"",COUNTIF(D_KEY_STATUT,$B578&amp;"|"&amp;$E578&amp;"|P")&gt;0,COUNTIF(D_KEY_STATUT,$B578&amp;"|"&amp;$E578&amp;"|A")&gt;0),"⚠ Statut incohérent",IF(AND($D578="S1",$Y578&lt;&gt;"Parti",COUNTIF(ANNEES_VERROU,$B578)&gt;0,COUNTIF(D_KEY_NIVSES,$B578&amp;"|"&amp;$C578&amp;"|S2")&gt;0,COUNTIF(D_KEY_DOUBLON,$B578&amp;"|S2|"&amp;$E578)=0),"⚠ Départ non confirmé ?",IF(AND($C578&lt;&gt;"",ISNUMBER($I578),OR(VALUE(LEFT($B578,4))-$I578&lt;4+IFERROR(MATCH($C578,LISTE_NIVEAUX,0),99),VALUE(LEFT($B578,4))-$I578&gt;6+IFERROR(MATCH($C578,LISTE_NIVEAUX,0),99))),"⚠ Vérifier niveau",IF(AND(IFERROR(VLOOKUP($C578,TABLE_CYCLE,2,0),3)=2,COUNT($O578:$Q578)&gt;0),"⚠ Tests cycle 3",IF(COUNT($J578:$Q578)&gt;=IF(IFERROR(VLOOKUP($C578,TABLE_CYCLE,2,0),3)=2,5,8),"Complet","Incomplet"))))))))</f>
        <v/>
      </c>
      <c r="S578" s="24"/>
      <c r="T578" s="67" t="str">
        <f t="shared" si="73"/>
        <v/>
      </c>
      <c r="U578" s="67" t="str">
        <f t="shared" si="74"/>
        <v/>
      </c>
      <c r="V578" s="67" t="str">
        <f t="shared" si="75"/>
        <v/>
      </c>
      <c r="W578" s="67" t="str">
        <f t="shared" si="76"/>
        <v/>
      </c>
      <c r="X578" s="67" t="str">
        <f t="shared" si="77"/>
        <v/>
      </c>
      <c r="Y578" s="24" t="str">
        <f t="shared" si="78"/>
        <v/>
      </c>
      <c r="Z578">
        <f t="shared" si="79"/>
        <v>0</v>
      </c>
      <c r="AA578">
        <f t="shared" si="80"/>
        <v>0</v>
      </c>
    </row>
    <row r="579" spans="2:27" ht="15.75" customHeight="1" x14ac:dyDescent="0.3">
      <c r="B579" s="21"/>
      <c r="C579" s="21"/>
      <c r="D579" s="21"/>
      <c r="E579" s="22" t="str">
        <f t="shared" si="72"/>
        <v/>
      </c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3" t="str">
        <f>IF($F579="","",IF(OR($B579="",$C579="",$D579=""),"⚠ Compléter Année/Niveau/Session",IF(AND($E579&lt;&gt;"",COUNTIF(D_KEY_DOUBLON,$B579&amp;"|"&amp;$D579&amp;"|"&amp;$E579)&gt;1),"⚠ Doublon",IF(AND($E579&lt;&gt;"",COUNTIF(D_KEY_STATUT,$B579&amp;"|"&amp;$E579&amp;"|P")&gt;0,COUNTIF(D_KEY_STATUT,$B579&amp;"|"&amp;$E579&amp;"|A")&gt;0),"⚠ Statut incohérent",IF(AND($D579="S1",$Y579&lt;&gt;"Parti",COUNTIF(ANNEES_VERROU,$B579)&gt;0,COUNTIF(D_KEY_NIVSES,$B579&amp;"|"&amp;$C579&amp;"|S2")&gt;0,COUNTIF(D_KEY_DOUBLON,$B579&amp;"|S2|"&amp;$E579)=0),"⚠ Départ non confirmé ?",IF(AND($C579&lt;&gt;"",ISNUMBER($I579),OR(VALUE(LEFT($B579,4))-$I579&lt;4+IFERROR(MATCH($C579,LISTE_NIVEAUX,0),99),VALUE(LEFT($B579,4))-$I579&gt;6+IFERROR(MATCH($C579,LISTE_NIVEAUX,0),99))),"⚠ Vérifier niveau",IF(AND(IFERROR(VLOOKUP($C579,TABLE_CYCLE,2,0),3)=2,COUNT($O579:$Q579)&gt;0),"⚠ Tests cycle 3",IF(COUNT($J579:$Q579)&gt;=IF(IFERROR(VLOOKUP($C579,TABLE_CYCLE,2,0),3)=2,5,8),"Complet","Incomplet"))))))))</f>
        <v/>
      </c>
      <c r="S579" s="24"/>
      <c r="T579" s="67" t="str">
        <f t="shared" si="73"/>
        <v/>
      </c>
      <c r="U579" s="67" t="str">
        <f t="shared" si="74"/>
        <v/>
      </c>
      <c r="V579" s="67" t="str">
        <f t="shared" si="75"/>
        <v/>
      </c>
      <c r="W579" s="67" t="str">
        <f t="shared" si="76"/>
        <v/>
      </c>
      <c r="X579" s="67" t="str">
        <f t="shared" si="77"/>
        <v/>
      </c>
      <c r="Y579" s="24" t="str">
        <f t="shared" si="78"/>
        <v/>
      </c>
      <c r="Z579">
        <f t="shared" si="79"/>
        <v>0</v>
      </c>
      <c r="AA579">
        <f t="shared" si="80"/>
        <v>0</v>
      </c>
    </row>
    <row r="580" spans="2:27" ht="15.75" customHeight="1" x14ac:dyDescent="0.3">
      <c r="B580" s="25"/>
      <c r="C580" s="25"/>
      <c r="D580" s="25"/>
      <c r="E580" s="26" t="str">
        <f t="shared" si="72"/>
        <v/>
      </c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3" t="str">
        <f>IF($F580="","",IF(OR($B580="",$C580="",$D580=""),"⚠ Compléter Année/Niveau/Session",IF(AND($E580&lt;&gt;"",COUNTIF(D_KEY_DOUBLON,$B580&amp;"|"&amp;$D580&amp;"|"&amp;$E580)&gt;1),"⚠ Doublon",IF(AND($E580&lt;&gt;"",COUNTIF(D_KEY_STATUT,$B580&amp;"|"&amp;$E580&amp;"|P")&gt;0,COUNTIF(D_KEY_STATUT,$B580&amp;"|"&amp;$E580&amp;"|A")&gt;0),"⚠ Statut incohérent",IF(AND($D580="S1",$Y580&lt;&gt;"Parti",COUNTIF(ANNEES_VERROU,$B580)&gt;0,COUNTIF(D_KEY_NIVSES,$B580&amp;"|"&amp;$C580&amp;"|S2")&gt;0,COUNTIF(D_KEY_DOUBLON,$B580&amp;"|S2|"&amp;$E580)=0),"⚠ Départ non confirmé ?",IF(AND($C580&lt;&gt;"",ISNUMBER($I580),OR(VALUE(LEFT($B580,4))-$I580&lt;4+IFERROR(MATCH($C580,LISTE_NIVEAUX,0),99),VALUE(LEFT($B580,4))-$I580&gt;6+IFERROR(MATCH($C580,LISTE_NIVEAUX,0),99))),"⚠ Vérifier niveau",IF(AND(IFERROR(VLOOKUP($C580,TABLE_CYCLE,2,0),3)=2,COUNT($O580:$Q580)&gt;0),"⚠ Tests cycle 3",IF(COUNT($J580:$Q580)&gt;=IF(IFERROR(VLOOKUP($C580,TABLE_CYCLE,2,0),3)=2,5,8),"Complet","Incomplet"))))))))</f>
        <v/>
      </c>
      <c r="S580" s="24"/>
      <c r="T580" s="67" t="str">
        <f t="shared" si="73"/>
        <v/>
      </c>
      <c r="U580" s="67" t="str">
        <f t="shared" si="74"/>
        <v/>
      </c>
      <c r="V580" s="67" t="str">
        <f t="shared" si="75"/>
        <v/>
      </c>
      <c r="W580" s="67" t="str">
        <f t="shared" si="76"/>
        <v/>
      </c>
      <c r="X580" s="67" t="str">
        <f t="shared" si="77"/>
        <v/>
      </c>
      <c r="Y580" s="24" t="str">
        <f t="shared" si="78"/>
        <v/>
      </c>
      <c r="Z580">
        <f t="shared" si="79"/>
        <v>0</v>
      </c>
      <c r="AA580">
        <f t="shared" si="80"/>
        <v>0</v>
      </c>
    </row>
    <row r="581" spans="2:27" ht="15.75" customHeight="1" x14ac:dyDescent="0.3">
      <c r="B581" s="21"/>
      <c r="C581" s="21"/>
      <c r="D581" s="21"/>
      <c r="E581" s="22" t="str">
        <f t="shared" si="72"/>
        <v/>
      </c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3" t="str">
        <f>IF($F581="","",IF(OR($B581="",$C581="",$D581=""),"⚠ Compléter Année/Niveau/Session",IF(AND($E581&lt;&gt;"",COUNTIF(D_KEY_DOUBLON,$B581&amp;"|"&amp;$D581&amp;"|"&amp;$E581)&gt;1),"⚠ Doublon",IF(AND($E581&lt;&gt;"",COUNTIF(D_KEY_STATUT,$B581&amp;"|"&amp;$E581&amp;"|P")&gt;0,COUNTIF(D_KEY_STATUT,$B581&amp;"|"&amp;$E581&amp;"|A")&gt;0),"⚠ Statut incohérent",IF(AND($D581="S1",$Y581&lt;&gt;"Parti",COUNTIF(ANNEES_VERROU,$B581)&gt;0,COUNTIF(D_KEY_NIVSES,$B581&amp;"|"&amp;$C581&amp;"|S2")&gt;0,COUNTIF(D_KEY_DOUBLON,$B581&amp;"|S2|"&amp;$E581)=0),"⚠ Départ non confirmé ?",IF(AND($C581&lt;&gt;"",ISNUMBER($I581),OR(VALUE(LEFT($B581,4))-$I581&lt;4+IFERROR(MATCH($C581,LISTE_NIVEAUX,0),99),VALUE(LEFT($B581,4))-$I581&gt;6+IFERROR(MATCH($C581,LISTE_NIVEAUX,0),99))),"⚠ Vérifier niveau",IF(AND(IFERROR(VLOOKUP($C581,TABLE_CYCLE,2,0),3)=2,COUNT($O581:$Q581)&gt;0),"⚠ Tests cycle 3",IF(COUNT($J581:$Q581)&gt;=IF(IFERROR(VLOOKUP($C581,TABLE_CYCLE,2,0),3)=2,5,8),"Complet","Incomplet"))))))))</f>
        <v/>
      </c>
      <c r="S581" s="24"/>
      <c r="T581" s="67" t="str">
        <f t="shared" si="73"/>
        <v/>
      </c>
      <c r="U581" s="67" t="str">
        <f t="shared" si="74"/>
        <v/>
      </c>
      <c r="V581" s="67" t="str">
        <f t="shared" si="75"/>
        <v/>
      </c>
      <c r="W581" s="67" t="str">
        <f t="shared" si="76"/>
        <v/>
      </c>
      <c r="X581" s="67" t="str">
        <f t="shared" si="77"/>
        <v/>
      </c>
      <c r="Y581" s="24" t="str">
        <f t="shared" si="78"/>
        <v/>
      </c>
      <c r="Z581">
        <f t="shared" si="79"/>
        <v>0</v>
      </c>
      <c r="AA581">
        <f t="shared" si="80"/>
        <v>0</v>
      </c>
    </row>
    <row r="582" spans="2:27" ht="15.75" customHeight="1" x14ac:dyDescent="0.3">
      <c r="B582" s="25"/>
      <c r="C582" s="25"/>
      <c r="D582" s="25"/>
      <c r="E582" s="26" t="str">
        <f t="shared" si="72"/>
        <v/>
      </c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3" t="str">
        <f>IF($F582="","",IF(OR($B582="",$C582="",$D582=""),"⚠ Compléter Année/Niveau/Session",IF(AND($E582&lt;&gt;"",COUNTIF(D_KEY_DOUBLON,$B582&amp;"|"&amp;$D582&amp;"|"&amp;$E582)&gt;1),"⚠ Doublon",IF(AND($E582&lt;&gt;"",COUNTIF(D_KEY_STATUT,$B582&amp;"|"&amp;$E582&amp;"|P")&gt;0,COUNTIF(D_KEY_STATUT,$B582&amp;"|"&amp;$E582&amp;"|A")&gt;0),"⚠ Statut incohérent",IF(AND($D582="S1",$Y582&lt;&gt;"Parti",COUNTIF(ANNEES_VERROU,$B582)&gt;0,COUNTIF(D_KEY_NIVSES,$B582&amp;"|"&amp;$C582&amp;"|S2")&gt;0,COUNTIF(D_KEY_DOUBLON,$B582&amp;"|S2|"&amp;$E582)=0),"⚠ Départ non confirmé ?",IF(AND($C582&lt;&gt;"",ISNUMBER($I582),OR(VALUE(LEFT($B582,4))-$I582&lt;4+IFERROR(MATCH($C582,LISTE_NIVEAUX,0),99),VALUE(LEFT($B582,4))-$I582&gt;6+IFERROR(MATCH($C582,LISTE_NIVEAUX,0),99))),"⚠ Vérifier niveau",IF(AND(IFERROR(VLOOKUP($C582,TABLE_CYCLE,2,0),3)=2,COUNT($O582:$Q582)&gt;0),"⚠ Tests cycle 3",IF(COUNT($J582:$Q582)&gt;=IF(IFERROR(VLOOKUP($C582,TABLE_CYCLE,2,0),3)=2,5,8),"Complet","Incomplet"))))))))</f>
        <v/>
      </c>
      <c r="S582" s="24"/>
      <c r="T582" s="67" t="str">
        <f t="shared" si="73"/>
        <v/>
      </c>
      <c r="U582" s="67" t="str">
        <f t="shared" si="74"/>
        <v/>
      </c>
      <c r="V582" s="67" t="str">
        <f t="shared" si="75"/>
        <v/>
      </c>
      <c r="W582" s="67" t="str">
        <f t="shared" si="76"/>
        <v/>
      </c>
      <c r="X582" s="67" t="str">
        <f t="shared" si="77"/>
        <v/>
      </c>
      <c r="Y582" s="24" t="str">
        <f t="shared" si="78"/>
        <v/>
      </c>
      <c r="Z582">
        <f t="shared" si="79"/>
        <v>0</v>
      </c>
      <c r="AA582">
        <f t="shared" si="80"/>
        <v>0</v>
      </c>
    </row>
    <row r="583" spans="2:27" ht="15.75" customHeight="1" x14ac:dyDescent="0.3">
      <c r="B583" s="21"/>
      <c r="C583" s="21"/>
      <c r="D583" s="21"/>
      <c r="E583" s="22" t="str">
        <f t="shared" ref="E583:E646" si="81">IF(OR($F583="",$G583=""),"",IF(ISNUMBER($I583),TEXT($I583-2000,"00")&amp;"_","__")&amp;UPPER(TRIM($F583))&amp;"_"&amp;UPPER(TRIM($G583)))</f>
        <v/>
      </c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3" t="str">
        <f>IF($F583="","",IF(OR($B583="",$C583="",$D583=""),"⚠ Compléter Année/Niveau/Session",IF(AND($E583&lt;&gt;"",COUNTIF(D_KEY_DOUBLON,$B583&amp;"|"&amp;$D583&amp;"|"&amp;$E583)&gt;1),"⚠ Doublon",IF(AND($E583&lt;&gt;"",COUNTIF(D_KEY_STATUT,$B583&amp;"|"&amp;$E583&amp;"|P")&gt;0,COUNTIF(D_KEY_STATUT,$B583&amp;"|"&amp;$E583&amp;"|A")&gt;0),"⚠ Statut incohérent",IF(AND($D583="S1",$Y583&lt;&gt;"Parti",COUNTIF(ANNEES_VERROU,$B583)&gt;0,COUNTIF(D_KEY_NIVSES,$B583&amp;"|"&amp;$C583&amp;"|S2")&gt;0,COUNTIF(D_KEY_DOUBLON,$B583&amp;"|S2|"&amp;$E583)=0),"⚠ Départ non confirmé ?",IF(AND($C583&lt;&gt;"",ISNUMBER($I583),OR(VALUE(LEFT($B583,4))-$I583&lt;4+IFERROR(MATCH($C583,LISTE_NIVEAUX,0),99),VALUE(LEFT($B583,4))-$I583&gt;6+IFERROR(MATCH($C583,LISTE_NIVEAUX,0),99))),"⚠ Vérifier niveau",IF(AND(IFERROR(VLOOKUP($C583,TABLE_CYCLE,2,0),3)=2,COUNT($O583:$Q583)&gt;0),"⚠ Tests cycle 3",IF(COUNT($J583:$Q583)&gt;=IF(IFERROR(VLOOKUP($C583,TABLE_CYCLE,2,0),3)=2,5,8),"Complet","Incomplet"))))))))</f>
        <v/>
      </c>
      <c r="S583" s="24"/>
      <c r="T583" s="67" t="str">
        <f t="shared" ref="T583:T646" si="82">IFERROR(INDEX(D_NOM,MATCH(ROW()-6,D_RANG_RECUP,0)),"")</f>
        <v/>
      </c>
      <c r="U583" s="67" t="str">
        <f t="shared" ref="U583:U646" si="83">IFERROR(INDEX(D_PRENOM,MATCH(ROW()-6,D_RANG_RECUP,0)),"")</f>
        <v/>
      </c>
      <c r="V583" s="67" t="str">
        <f t="shared" ref="V583:V646" si="84">IFERROR(INDEX(D_SEXE,MATCH(ROW()-6,D_RANG_RECUP,0)),"")</f>
        <v/>
      </c>
      <c r="W583" s="67" t="str">
        <f t="shared" ref="W583:W646" si="85">IFERROR(INDEX(D_NAISS,MATCH(ROW()-6,D_RANG_RECUP,0)),"")</f>
        <v/>
      </c>
      <c r="X583" s="67" t="str">
        <f t="shared" ref="X583:X646" si="86">IF($T583="","",IF($X$4="→ Session 2 (même année)",$W$4,IFERROR(INDEX(LISTE_NIVEAUX,MATCH($W$4,LISTE_NIVEAUX,0)+1),"CM2 terminé")))</f>
        <v/>
      </c>
      <c r="Y583" s="24" t="str">
        <f t="shared" ref="Y583:Y646" si="87">IF($S583="","",$S583)</f>
        <v/>
      </c>
      <c r="Z583">
        <f t="shared" ref="Z583:Z646" si="88">SUBTOTAL(103,$F583)*($R583="Complet")</f>
        <v>0</v>
      </c>
      <c r="AA583">
        <f t="shared" ref="AA583:AA646" si="89">IF(OR($F583="",$C583=""),0,IF(COUNTIFS($B$7:$B$1206,$B583,$F$7:$F$1206,$F583,$G$7:$G$1206,$G583,$I$7:$I$1206,$I583,$C$7:$C$1206,"&lt;&gt;"&amp;$C583)&gt;0,1,0))</f>
        <v>0</v>
      </c>
    </row>
    <row r="584" spans="2:27" ht="15.75" customHeight="1" x14ac:dyDescent="0.3">
      <c r="B584" s="25"/>
      <c r="C584" s="25"/>
      <c r="D584" s="25"/>
      <c r="E584" s="26" t="str">
        <f t="shared" si="81"/>
        <v/>
      </c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3" t="str">
        <f>IF($F584="","",IF(OR($B584="",$C584="",$D584=""),"⚠ Compléter Année/Niveau/Session",IF(AND($E584&lt;&gt;"",COUNTIF(D_KEY_DOUBLON,$B584&amp;"|"&amp;$D584&amp;"|"&amp;$E584)&gt;1),"⚠ Doublon",IF(AND($E584&lt;&gt;"",COUNTIF(D_KEY_STATUT,$B584&amp;"|"&amp;$E584&amp;"|P")&gt;0,COUNTIF(D_KEY_STATUT,$B584&amp;"|"&amp;$E584&amp;"|A")&gt;0),"⚠ Statut incohérent",IF(AND($D584="S1",$Y584&lt;&gt;"Parti",COUNTIF(ANNEES_VERROU,$B584)&gt;0,COUNTIF(D_KEY_NIVSES,$B584&amp;"|"&amp;$C584&amp;"|S2")&gt;0,COUNTIF(D_KEY_DOUBLON,$B584&amp;"|S2|"&amp;$E584)=0),"⚠ Départ non confirmé ?",IF(AND($C584&lt;&gt;"",ISNUMBER($I584),OR(VALUE(LEFT($B584,4))-$I584&lt;4+IFERROR(MATCH($C584,LISTE_NIVEAUX,0),99),VALUE(LEFT($B584,4))-$I584&gt;6+IFERROR(MATCH($C584,LISTE_NIVEAUX,0),99))),"⚠ Vérifier niveau",IF(AND(IFERROR(VLOOKUP($C584,TABLE_CYCLE,2,0),3)=2,COUNT($O584:$Q584)&gt;0),"⚠ Tests cycle 3",IF(COUNT($J584:$Q584)&gt;=IF(IFERROR(VLOOKUP($C584,TABLE_CYCLE,2,0),3)=2,5,8),"Complet","Incomplet"))))))))</f>
        <v/>
      </c>
      <c r="S584" s="24"/>
      <c r="T584" s="67" t="str">
        <f t="shared" si="82"/>
        <v/>
      </c>
      <c r="U584" s="67" t="str">
        <f t="shared" si="83"/>
        <v/>
      </c>
      <c r="V584" s="67" t="str">
        <f t="shared" si="84"/>
        <v/>
      </c>
      <c r="W584" s="67" t="str">
        <f t="shared" si="85"/>
        <v/>
      </c>
      <c r="X584" s="67" t="str">
        <f t="shared" si="86"/>
        <v/>
      </c>
      <c r="Y584" s="24" t="str">
        <f t="shared" si="87"/>
        <v/>
      </c>
      <c r="Z584">
        <f t="shared" si="88"/>
        <v>0</v>
      </c>
      <c r="AA584">
        <f t="shared" si="89"/>
        <v>0</v>
      </c>
    </row>
    <row r="585" spans="2:27" ht="15.75" customHeight="1" x14ac:dyDescent="0.3">
      <c r="B585" s="21"/>
      <c r="C585" s="21"/>
      <c r="D585" s="21"/>
      <c r="E585" s="22" t="str">
        <f t="shared" si="81"/>
        <v/>
      </c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3" t="str">
        <f>IF($F585="","",IF(OR($B585="",$C585="",$D585=""),"⚠ Compléter Année/Niveau/Session",IF(AND($E585&lt;&gt;"",COUNTIF(D_KEY_DOUBLON,$B585&amp;"|"&amp;$D585&amp;"|"&amp;$E585)&gt;1),"⚠ Doublon",IF(AND($E585&lt;&gt;"",COUNTIF(D_KEY_STATUT,$B585&amp;"|"&amp;$E585&amp;"|P")&gt;0,COUNTIF(D_KEY_STATUT,$B585&amp;"|"&amp;$E585&amp;"|A")&gt;0),"⚠ Statut incohérent",IF(AND($D585="S1",$Y585&lt;&gt;"Parti",COUNTIF(ANNEES_VERROU,$B585)&gt;0,COUNTIF(D_KEY_NIVSES,$B585&amp;"|"&amp;$C585&amp;"|S2")&gt;0,COUNTIF(D_KEY_DOUBLON,$B585&amp;"|S2|"&amp;$E585)=0),"⚠ Départ non confirmé ?",IF(AND($C585&lt;&gt;"",ISNUMBER($I585),OR(VALUE(LEFT($B585,4))-$I585&lt;4+IFERROR(MATCH($C585,LISTE_NIVEAUX,0),99),VALUE(LEFT($B585,4))-$I585&gt;6+IFERROR(MATCH($C585,LISTE_NIVEAUX,0),99))),"⚠ Vérifier niveau",IF(AND(IFERROR(VLOOKUP($C585,TABLE_CYCLE,2,0),3)=2,COUNT($O585:$Q585)&gt;0),"⚠ Tests cycle 3",IF(COUNT($J585:$Q585)&gt;=IF(IFERROR(VLOOKUP($C585,TABLE_CYCLE,2,0),3)=2,5,8),"Complet","Incomplet"))))))))</f>
        <v/>
      </c>
      <c r="S585" s="24"/>
      <c r="T585" s="67" t="str">
        <f t="shared" si="82"/>
        <v/>
      </c>
      <c r="U585" s="67" t="str">
        <f t="shared" si="83"/>
        <v/>
      </c>
      <c r="V585" s="67" t="str">
        <f t="shared" si="84"/>
        <v/>
      </c>
      <c r="W585" s="67" t="str">
        <f t="shared" si="85"/>
        <v/>
      </c>
      <c r="X585" s="67" t="str">
        <f t="shared" si="86"/>
        <v/>
      </c>
      <c r="Y585" s="24" t="str">
        <f t="shared" si="87"/>
        <v/>
      </c>
      <c r="Z585">
        <f t="shared" si="88"/>
        <v>0</v>
      </c>
      <c r="AA585">
        <f t="shared" si="89"/>
        <v>0</v>
      </c>
    </row>
    <row r="586" spans="2:27" ht="15.75" customHeight="1" x14ac:dyDescent="0.3">
      <c r="B586" s="25"/>
      <c r="C586" s="25"/>
      <c r="D586" s="25"/>
      <c r="E586" s="26" t="str">
        <f t="shared" si="81"/>
        <v/>
      </c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3" t="str">
        <f>IF($F586="","",IF(OR($B586="",$C586="",$D586=""),"⚠ Compléter Année/Niveau/Session",IF(AND($E586&lt;&gt;"",COUNTIF(D_KEY_DOUBLON,$B586&amp;"|"&amp;$D586&amp;"|"&amp;$E586)&gt;1),"⚠ Doublon",IF(AND($E586&lt;&gt;"",COUNTIF(D_KEY_STATUT,$B586&amp;"|"&amp;$E586&amp;"|P")&gt;0,COUNTIF(D_KEY_STATUT,$B586&amp;"|"&amp;$E586&amp;"|A")&gt;0),"⚠ Statut incohérent",IF(AND($D586="S1",$Y586&lt;&gt;"Parti",COUNTIF(ANNEES_VERROU,$B586)&gt;0,COUNTIF(D_KEY_NIVSES,$B586&amp;"|"&amp;$C586&amp;"|S2")&gt;0,COUNTIF(D_KEY_DOUBLON,$B586&amp;"|S2|"&amp;$E586)=0),"⚠ Départ non confirmé ?",IF(AND($C586&lt;&gt;"",ISNUMBER($I586),OR(VALUE(LEFT($B586,4))-$I586&lt;4+IFERROR(MATCH($C586,LISTE_NIVEAUX,0),99),VALUE(LEFT($B586,4))-$I586&gt;6+IFERROR(MATCH($C586,LISTE_NIVEAUX,0),99))),"⚠ Vérifier niveau",IF(AND(IFERROR(VLOOKUP($C586,TABLE_CYCLE,2,0),3)=2,COUNT($O586:$Q586)&gt;0),"⚠ Tests cycle 3",IF(COUNT($J586:$Q586)&gt;=IF(IFERROR(VLOOKUP($C586,TABLE_CYCLE,2,0),3)=2,5,8),"Complet","Incomplet"))))))))</f>
        <v/>
      </c>
      <c r="S586" s="24"/>
      <c r="T586" s="67" t="str">
        <f t="shared" si="82"/>
        <v/>
      </c>
      <c r="U586" s="67" t="str">
        <f t="shared" si="83"/>
        <v/>
      </c>
      <c r="V586" s="67" t="str">
        <f t="shared" si="84"/>
        <v/>
      </c>
      <c r="W586" s="67" t="str">
        <f t="shared" si="85"/>
        <v/>
      </c>
      <c r="X586" s="67" t="str">
        <f t="shared" si="86"/>
        <v/>
      </c>
      <c r="Y586" s="24" t="str">
        <f t="shared" si="87"/>
        <v/>
      </c>
      <c r="Z586">
        <f t="shared" si="88"/>
        <v>0</v>
      </c>
      <c r="AA586">
        <f t="shared" si="89"/>
        <v>0</v>
      </c>
    </row>
    <row r="587" spans="2:27" ht="15.75" customHeight="1" x14ac:dyDescent="0.3">
      <c r="B587" s="21"/>
      <c r="C587" s="21"/>
      <c r="D587" s="21"/>
      <c r="E587" s="22" t="str">
        <f t="shared" si="81"/>
        <v/>
      </c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3" t="str">
        <f>IF($F587="","",IF(OR($B587="",$C587="",$D587=""),"⚠ Compléter Année/Niveau/Session",IF(AND($E587&lt;&gt;"",COUNTIF(D_KEY_DOUBLON,$B587&amp;"|"&amp;$D587&amp;"|"&amp;$E587)&gt;1),"⚠ Doublon",IF(AND($E587&lt;&gt;"",COUNTIF(D_KEY_STATUT,$B587&amp;"|"&amp;$E587&amp;"|P")&gt;0,COUNTIF(D_KEY_STATUT,$B587&amp;"|"&amp;$E587&amp;"|A")&gt;0),"⚠ Statut incohérent",IF(AND($D587="S1",$Y587&lt;&gt;"Parti",COUNTIF(ANNEES_VERROU,$B587)&gt;0,COUNTIF(D_KEY_NIVSES,$B587&amp;"|"&amp;$C587&amp;"|S2")&gt;0,COUNTIF(D_KEY_DOUBLON,$B587&amp;"|S2|"&amp;$E587)=0),"⚠ Départ non confirmé ?",IF(AND($C587&lt;&gt;"",ISNUMBER($I587),OR(VALUE(LEFT($B587,4))-$I587&lt;4+IFERROR(MATCH($C587,LISTE_NIVEAUX,0),99),VALUE(LEFT($B587,4))-$I587&gt;6+IFERROR(MATCH($C587,LISTE_NIVEAUX,0),99))),"⚠ Vérifier niveau",IF(AND(IFERROR(VLOOKUP($C587,TABLE_CYCLE,2,0),3)=2,COUNT($O587:$Q587)&gt;0),"⚠ Tests cycle 3",IF(COUNT($J587:$Q587)&gt;=IF(IFERROR(VLOOKUP($C587,TABLE_CYCLE,2,0),3)=2,5,8),"Complet","Incomplet"))))))))</f>
        <v/>
      </c>
      <c r="S587" s="24"/>
      <c r="T587" s="67" t="str">
        <f t="shared" si="82"/>
        <v/>
      </c>
      <c r="U587" s="67" t="str">
        <f t="shared" si="83"/>
        <v/>
      </c>
      <c r="V587" s="67" t="str">
        <f t="shared" si="84"/>
        <v/>
      </c>
      <c r="W587" s="67" t="str">
        <f t="shared" si="85"/>
        <v/>
      </c>
      <c r="X587" s="67" t="str">
        <f t="shared" si="86"/>
        <v/>
      </c>
      <c r="Y587" s="24" t="str">
        <f t="shared" si="87"/>
        <v/>
      </c>
      <c r="Z587">
        <f t="shared" si="88"/>
        <v>0</v>
      </c>
      <c r="AA587">
        <f t="shared" si="89"/>
        <v>0</v>
      </c>
    </row>
    <row r="588" spans="2:27" ht="15.75" customHeight="1" x14ac:dyDescent="0.3">
      <c r="B588" s="25"/>
      <c r="C588" s="25"/>
      <c r="D588" s="25"/>
      <c r="E588" s="26" t="str">
        <f t="shared" si="81"/>
        <v/>
      </c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3" t="str">
        <f>IF($F588="","",IF(OR($B588="",$C588="",$D588=""),"⚠ Compléter Année/Niveau/Session",IF(AND($E588&lt;&gt;"",COUNTIF(D_KEY_DOUBLON,$B588&amp;"|"&amp;$D588&amp;"|"&amp;$E588)&gt;1),"⚠ Doublon",IF(AND($E588&lt;&gt;"",COUNTIF(D_KEY_STATUT,$B588&amp;"|"&amp;$E588&amp;"|P")&gt;0,COUNTIF(D_KEY_STATUT,$B588&amp;"|"&amp;$E588&amp;"|A")&gt;0),"⚠ Statut incohérent",IF(AND($D588="S1",$Y588&lt;&gt;"Parti",COUNTIF(ANNEES_VERROU,$B588)&gt;0,COUNTIF(D_KEY_NIVSES,$B588&amp;"|"&amp;$C588&amp;"|S2")&gt;0,COUNTIF(D_KEY_DOUBLON,$B588&amp;"|S2|"&amp;$E588)=0),"⚠ Départ non confirmé ?",IF(AND($C588&lt;&gt;"",ISNUMBER($I588),OR(VALUE(LEFT($B588,4))-$I588&lt;4+IFERROR(MATCH($C588,LISTE_NIVEAUX,0),99),VALUE(LEFT($B588,4))-$I588&gt;6+IFERROR(MATCH($C588,LISTE_NIVEAUX,0),99))),"⚠ Vérifier niveau",IF(AND(IFERROR(VLOOKUP($C588,TABLE_CYCLE,2,0),3)=2,COUNT($O588:$Q588)&gt;0),"⚠ Tests cycle 3",IF(COUNT($J588:$Q588)&gt;=IF(IFERROR(VLOOKUP($C588,TABLE_CYCLE,2,0),3)=2,5,8),"Complet","Incomplet"))))))))</f>
        <v/>
      </c>
      <c r="S588" s="24"/>
      <c r="T588" s="67" t="str">
        <f t="shared" si="82"/>
        <v/>
      </c>
      <c r="U588" s="67" t="str">
        <f t="shared" si="83"/>
        <v/>
      </c>
      <c r="V588" s="67" t="str">
        <f t="shared" si="84"/>
        <v/>
      </c>
      <c r="W588" s="67" t="str">
        <f t="shared" si="85"/>
        <v/>
      </c>
      <c r="X588" s="67" t="str">
        <f t="shared" si="86"/>
        <v/>
      </c>
      <c r="Y588" s="24" t="str">
        <f t="shared" si="87"/>
        <v/>
      </c>
      <c r="Z588">
        <f t="shared" si="88"/>
        <v>0</v>
      </c>
      <c r="AA588">
        <f t="shared" si="89"/>
        <v>0</v>
      </c>
    </row>
    <row r="589" spans="2:27" ht="15.75" customHeight="1" x14ac:dyDescent="0.3">
      <c r="B589" s="21"/>
      <c r="C589" s="21"/>
      <c r="D589" s="21"/>
      <c r="E589" s="22" t="str">
        <f t="shared" si="81"/>
        <v/>
      </c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3" t="str">
        <f>IF($F589="","",IF(OR($B589="",$C589="",$D589=""),"⚠ Compléter Année/Niveau/Session",IF(AND($E589&lt;&gt;"",COUNTIF(D_KEY_DOUBLON,$B589&amp;"|"&amp;$D589&amp;"|"&amp;$E589)&gt;1),"⚠ Doublon",IF(AND($E589&lt;&gt;"",COUNTIF(D_KEY_STATUT,$B589&amp;"|"&amp;$E589&amp;"|P")&gt;0,COUNTIF(D_KEY_STATUT,$B589&amp;"|"&amp;$E589&amp;"|A")&gt;0),"⚠ Statut incohérent",IF(AND($D589="S1",$Y589&lt;&gt;"Parti",COUNTIF(ANNEES_VERROU,$B589)&gt;0,COUNTIF(D_KEY_NIVSES,$B589&amp;"|"&amp;$C589&amp;"|S2")&gt;0,COUNTIF(D_KEY_DOUBLON,$B589&amp;"|S2|"&amp;$E589)=0),"⚠ Départ non confirmé ?",IF(AND($C589&lt;&gt;"",ISNUMBER($I589),OR(VALUE(LEFT($B589,4))-$I589&lt;4+IFERROR(MATCH($C589,LISTE_NIVEAUX,0),99),VALUE(LEFT($B589,4))-$I589&gt;6+IFERROR(MATCH($C589,LISTE_NIVEAUX,0),99))),"⚠ Vérifier niveau",IF(AND(IFERROR(VLOOKUP($C589,TABLE_CYCLE,2,0),3)=2,COUNT($O589:$Q589)&gt;0),"⚠ Tests cycle 3",IF(COUNT($J589:$Q589)&gt;=IF(IFERROR(VLOOKUP($C589,TABLE_CYCLE,2,0),3)=2,5,8),"Complet","Incomplet"))))))))</f>
        <v/>
      </c>
      <c r="S589" s="24"/>
      <c r="T589" s="67" t="str">
        <f t="shared" si="82"/>
        <v/>
      </c>
      <c r="U589" s="67" t="str">
        <f t="shared" si="83"/>
        <v/>
      </c>
      <c r="V589" s="67" t="str">
        <f t="shared" si="84"/>
        <v/>
      </c>
      <c r="W589" s="67" t="str">
        <f t="shared" si="85"/>
        <v/>
      </c>
      <c r="X589" s="67" t="str">
        <f t="shared" si="86"/>
        <v/>
      </c>
      <c r="Y589" s="24" t="str">
        <f t="shared" si="87"/>
        <v/>
      </c>
      <c r="Z589">
        <f t="shared" si="88"/>
        <v>0</v>
      </c>
      <c r="AA589">
        <f t="shared" si="89"/>
        <v>0</v>
      </c>
    </row>
    <row r="590" spans="2:27" ht="15.75" customHeight="1" x14ac:dyDescent="0.3">
      <c r="B590" s="25"/>
      <c r="C590" s="25"/>
      <c r="D590" s="25"/>
      <c r="E590" s="26" t="str">
        <f t="shared" si="81"/>
        <v/>
      </c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3" t="str">
        <f>IF($F590="","",IF(OR($B590="",$C590="",$D590=""),"⚠ Compléter Année/Niveau/Session",IF(AND($E590&lt;&gt;"",COUNTIF(D_KEY_DOUBLON,$B590&amp;"|"&amp;$D590&amp;"|"&amp;$E590)&gt;1),"⚠ Doublon",IF(AND($E590&lt;&gt;"",COUNTIF(D_KEY_STATUT,$B590&amp;"|"&amp;$E590&amp;"|P")&gt;0,COUNTIF(D_KEY_STATUT,$B590&amp;"|"&amp;$E590&amp;"|A")&gt;0),"⚠ Statut incohérent",IF(AND($D590="S1",$Y590&lt;&gt;"Parti",COUNTIF(ANNEES_VERROU,$B590)&gt;0,COUNTIF(D_KEY_NIVSES,$B590&amp;"|"&amp;$C590&amp;"|S2")&gt;0,COUNTIF(D_KEY_DOUBLON,$B590&amp;"|S2|"&amp;$E590)=0),"⚠ Départ non confirmé ?",IF(AND($C590&lt;&gt;"",ISNUMBER($I590),OR(VALUE(LEFT($B590,4))-$I590&lt;4+IFERROR(MATCH($C590,LISTE_NIVEAUX,0),99),VALUE(LEFT($B590,4))-$I590&gt;6+IFERROR(MATCH($C590,LISTE_NIVEAUX,0),99))),"⚠ Vérifier niveau",IF(AND(IFERROR(VLOOKUP($C590,TABLE_CYCLE,2,0),3)=2,COUNT($O590:$Q590)&gt;0),"⚠ Tests cycle 3",IF(COUNT($J590:$Q590)&gt;=IF(IFERROR(VLOOKUP($C590,TABLE_CYCLE,2,0),3)=2,5,8),"Complet","Incomplet"))))))))</f>
        <v/>
      </c>
      <c r="S590" s="24"/>
      <c r="T590" s="67" t="str">
        <f t="shared" si="82"/>
        <v/>
      </c>
      <c r="U590" s="67" t="str">
        <f t="shared" si="83"/>
        <v/>
      </c>
      <c r="V590" s="67" t="str">
        <f t="shared" si="84"/>
        <v/>
      </c>
      <c r="W590" s="67" t="str">
        <f t="shared" si="85"/>
        <v/>
      </c>
      <c r="X590" s="67" t="str">
        <f t="shared" si="86"/>
        <v/>
      </c>
      <c r="Y590" s="24" t="str">
        <f t="shared" si="87"/>
        <v/>
      </c>
      <c r="Z590">
        <f t="shared" si="88"/>
        <v>0</v>
      </c>
      <c r="AA590">
        <f t="shared" si="89"/>
        <v>0</v>
      </c>
    </row>
    <row r="591" spans="2:27" ht="15.75" customHeight="1" x14ac:dyDescent="0.3">
      <c r="B591" s="21"/>
      <c r="C591" s="21"/>
      <c r="D591" s="21"/>
      <c r="E591" s="22" t="str">
        <f t="shared" si="81"/>
        <v/>
      </c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3" t="str">
        <f>IF($F591="","",IF(OR($B591="",$C591="",$D591=""),"⚠ Compléter Année/Niveau/Session",IF(AND($E591&lt;&gt;"",COUNTIF(D_KEY_DOUBLON,$B591&amp;"|"&amp;$D591&amp;"|"&amp;$E591)&gt;1),"⚠ Doublon",IF(AND($E591&lt;&gt;"",COUNTIF(D_KEY_STATUT,$B591&amp;"|"&amp;$E591&amp;"|P")&gt;0,COUNTIF(D_KEY_STATUT,$B591&amp;"|"&amp;$E591&amp;"|A")&gt;0),"⚠ Statut incohérent",IF(AND($D591="S1",$Y591&lt;&gt;"Parti",COUNTIF(ANNEES_VERROU,$B591)&gt;0,COUNTIF(D_KEY_NIVSES,$B591&amp;"|"&amp;$C591&amp;"|S2")&gt;0,COUNTIF(D_KEY_DOUBLON,$B591&amp;"|S2|"&amp;$E591)=0),"⚠ Départ non confirmé ?",IF(AND($C591&lt;&gt;"",ISNUMBER($I591),OR(VALUE(LEFT($B591,4))-$I591&lt;4+IFERROR(MATCH($C591,LISTE_NIVEAUX,0),99),VALUE(LEFT($B591,4))-$I591&gt;6+IFERROR(MATCH($C591,LISTE_NIVEAUX,0),99))),"⚠ Vérifier niveau",IF(AND(IFERROR(VLOOKUP($C591,TABLE_CYCLE,2,0),3)=2,COUNT($O591:$Q591)&gt;0),"⚠ Tests cycle 3",IF(COUNT($J591:$Q591)&gt;=IF(IFERROR(VLOOKUP($C591,TABLE_CYCLE,2,0),3)=2,5,8),"Complet","Incomplet"))))))))</f>
        <v/>
      </c>
      <c r="S591" s="24"/>
      <c r="T591" s="67" t="str">
        <f t="shared" si="82"/>
        <v/>
      </c>
      <c r="U591" s="67" t="str">
        <f t="shared" si="83"/>
        <v/>
      </c>
      <c r="V591" s="67" t="str">
        <f t="shared" si="84"/>
        <v/>
      </c>
      <c r="W591" s="67" t="str">
        <f t="shared" si="85"/>
        <v/>
      </c>
      <c r="X591" s="67" t="str">
        <f t="shared" si="86"/>
        <v/>
      </c>
      <c r="Y591" s="24" t="str">
        <f t="shared" si="87"/>
        <v/>
      </c>
      <c r="Z591">
        <f t="shared" si="88"/>
        <v>0</v>
      </c>
      <c r="AA591">
        <f t="shared" si="89"/>
        <v>0</v>
      </c>
    </row>
    <row r="592" spans="2:27" ht="15.75" customHeight="1" x14ac:dyDescent="0.3">
      <c r="B592" s="25"/>
      <c r="C592" s="25"/>
      <c r="D592" s="25"/>
      <c r="E592" s="26" t="str">
        <f t="shared" si="81"/>
        <v/>
      </c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3" t="str">
        <f>IF($F592="","",IF(OR($B592="",$C592="",$D592=""),"⚠ Compléter Année/Niveau/Session",IF(AND($E592&lt;&gt;"",COUNTIF(D_KEY_DOUBLON,$B592&amp;"|"&amp;$D592&amp;"|"&amp;$E592)&gt;1),"⚠ Doublon",IF(AND($E592&lt;&gt;"",COUNTIF(D_KEY_STATUT,$B592&amp;"|"&amp;$E592&amp;"|P")&gt;0,COUNTIF(D_KEY_STATUT,$B592&amp;"|"&amp;$E592&amp;"|A")&gt;0),"⚠ Statut incohérent",IF(AND($D592="S1",$Y592&lt;&gt;"Parti",COUNTIF(ANNEES_VERROU,$B592)&gt;0,COUNTIF(D_KEY_NIVSES,$B592&amp;"|"&amp;$C592&amp;"|S2")&gt;0,COUNTIF(D_KEY_DOUBLON,$B592&amp;"|S2|"&amp;$E592)=0),"⚠ Départ non confirmé ?",IF(AND($C592&lt;&gt;"",ISNUMBER($I592),OR(VALUE(LEFT($B592,4))-$I592&lt;4+IFERROR(MATCH($C592,LISTE_NIVEAUX,0),99),VALUE(LEFT($B592,4))-$I592&gt;6+IFERROR(MATCH($C592,LISTE_NIVEAUX,0),99))),"⚠ Vérifier niveau",IF(AND(IFERROR(VLOOKUP($C592,TABLE_CYCLE,2,0),3)=2,COUNT($O592:$Q592)&gt;0),"⚠ Tests cycle 3",IF(COUNT($J592:$Q592)&gt;=IF(IFERROR(VLOOKUP($C592,TABLE_CYCLE,2,0),3)=2,5,8),"Complet","Incomplet"))))))))</f>
        <v/>
      </c>
      <c r="S592" s="24"/>
      <c r="T592" s="67" t="str">
        <f t="shared" si="82"/>
        <v/>
      </c>
      <c r="U592" s="67" t="str">
        <f t="shared" si="83"/>
        <v/>
      </c>
      <c r="V592" s="67" t="str">
        <f t="shared" si="84"/>
        <v/>
      </c>
      <c r="W592" s="67" t="str">
        <f t="shared" si="85"/>
        <v/>
      </c>
      <c r="X592" s="67" t="str">
        <f t="shared" si="86"/>
        <v/>
      </c>
      <c r="Y592" s="24" t="str">
        <f t="shared" si="87"/>
        <v/>
      </c>
      <c r="Z592">
        <f t="shared" si="88"/>
        <v>0</v>
      </c>
      <c r="AA592">
        <f t="shared" si="89"/>
        <v>0</v>
      </c>
    </row>
    <row r="593" spans="2:27" ht="15.75" customHeight="1" x14ac:dyDescent="0.3">
      <c r="B593" s="21"/>
      <c r="C593" s="21"/>
      <c r="D593" s="21"/>
      <c r="E593" s="22" t="str">
        <f t="shared" si="81"/>
        <v/>
      </c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3" t="str">
        <f>IF($F593="","",IF(OR($B593="",$C593="",$D593=""),"⚠ Compléter Année/Niveau/Session",IF(AND($E593&lt;&gt;"",COUNTIF(D_KEY_DOUBLON,$B593&amp;"|"&amp;$D593&amp;"|"&amp;$E593)&gt;1),"⚠ Doublon",IF(AND($E593&lt;&gt;"",COUNTIF(D_KEY_STATUT,$B593&amp;"|"&amp;$E593&amp;"|P")&gt;0,COUNTIF(D_KEY_STATUT,$B593&amp;"|"&amp;$E593&amp;"|A")&gt;0),"⚠ Statut incohérent",IF(AND($D593="S1",$Y593&lt;&gt;"Parti",COUNTIF(ANNEES_VERROU,$B593)&gt;0,COUNTIF(D_KEY_NIVSES,$B593&amp;"|"&amp;$C593&amp;"|S2")&gt;0,COUNTIF(D_KEY_DOUBLON,$B593&amp;"|S2|"&amp;$E593)=0),"⚠ Départ non confirmé ?",IF(AND($C593&lt;&gt;"",ISNUMBER($I593),OR(VALUE(LEFT($B593,4))-$I593&lt;4+IFERROR(MATCH($C593,LISTE_NIVEAUX,0),99),VALUE(LEFT($B593,4))-$I593&gt;6+IFERROR(MATCH($C593,LISTE_NIVEAUX,0),99))),"⚠ Vérifier niveau",IF(AND(IFERROR(VLOOKUP($C593,TABLE_CYCLE,2,0),3)=2,COUNT($O593:$Q593)&gt;0),"⚠ Tests cycle 3",IF(COUNT($J593:$Q593)&gt;=IF(IFERROR(VLOOKUP($C593,TABLE_CYCLE,2,0),3)=2,5,8),"Complet","Incomplet"))))))))</f>
        <v/>
      </c>
      <c r="S593" s="24"/>
      <c r="T593" s="67" t="str">
        <f t="shared" si="82"/>
        <v/>
      </c>
      <c r="U593" s="67" t="str">
        <f t="shared" si="83"/>
        <v/>
      </c>
      <c r="V593" s="67" t="str">
        <f t="shared" si="84"/>
        <v/>
      </c>
      <c r="W593" s="67" t="str">
        <f t="shared" si="85"/>
        <v/>
      </c>
      <c r="X593" s="67" t="str">
        <f t="shared" si="86"/>
        <v/>
      </c>
      <c r="Y593" s="24" t="str">
        <f t="shared" si="87"/>
        <v/>
      </c>
      <c r="Z593">
        <f t="shared" si="88"/>
        <v>0</v>
      </c>
      <c r="AA593">
        <f t="shared" si="89"/>
        <v>0</v>
      </c>
    </row>
    <row r="594" spans="2:27" ht="15.75" customHeight="1" x14ac:dyDescent="0.3">
      <c r="B594" s="25"/>
      <c r="C594" s="25"/>
      <c r="D594" s="25"/>
      <c r="E594" s="26" t="str">
        <f t="shared" si="81"/>
        <v/>
      </c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3" t="str">
        <f>IF($F594="","",IF(OR($B594="",$C594="",$D594=""),"⚠ Compléter Année/Niveau/Session",IF(AND($E594&lt;&gt;"",COUNTIF(D_KEY_DOUBLON,$B594&amp;"|"&amp;$D594&amp;"|"&amp;$E594)&gt;1),"⚠ Doublon",IF(AND($E594&lt;&gt;"",COUNTIF(D_KEY_STATUT,$B594&amp;"|"&amp;$E594&amp;"|P")&gt;0,COUNTIF(D_KEY_STATUT,$B594&amp;"|"&amp;$E594&amp;"|A")&gt;0),"⚠ Statut incohérent",IF(AND($D594="S1",$Y594&lt;&gt;"Parti",COUNTIF(ANNEES_VERROU,$B594)&gt;0,COUNTIF(D_KEY_NIVSES,$B594&amp;"|"&amp;$C594&amp;"|S2")&gt;0,COUNTIF(D_KEY_DOUBLON,$B594&amp;"|S2|"&amp;$E594)=0),"⚠ Départ non confirmé ?",IF(AND($C594&lt;&gt;"",ISNUMBER($I594),OR(VALUE(LEFT($B594,4))-$I594&lt;4+IFERROR(MATCH($C594,LISTE_NIVEAUX,0),99),VALUE(LEFT($B594,4))-$I594&gt;6+IFERROR(MATCH($C594,LISTE_NIVEAUX,0),99))),"⚠ Vérifier niveau",IF(AND(IFERROR(VLOOKUP($C594,TABLE_CYCLE,2,0),3)=2,COUNT($O594:$Q594)&gt;0),"⚠ Tests cycle 3",IF(COUNT($J594:$Q594)&gt;=IF(IFERROR(VLOOKUP($C594,TABLE_CYCLE,2,0),3)=2,5,8),"Complet","Incomplet"))))))))</f>
        <v/>
      </c>
      <c r="S594" s="24"/>
      <c r="T594" s="67" t="str">
        <f t="shared" si="82"/>
        <v/>
      </c>
      <c r="U594" s="67" t="str">
        <f t="shared" si="83"/>
        <v/>
      </c>
      <c r="V594" s="67" t="str">
        <f t="shared" si="84"/>
        <v/>
      </c>
      <c r="W594" s="67" t="str">
        <f t="shared" si="85"/>
        <v/>
      </c>
      <c r="X594" s="67" t="str">
        <f t="shared" si="86"/>
        <v/>
      </c>
      <c r="Y594" s="24" t="str">
        <f t="shared" si="87"/>
        <v/>
      </c>
      <c r="Z594">
        <f t="shared" si="88"/>
        <v>0</v>
      </c>
      <c r="AA594">
        <f t="shared" si="89"/>
        <v>0</v>
      </c>
    </row>
    <row r="595" spans="2:27" ht="15.75" customHeight="1" x14ac:dyDescent="0.3">
      <c r="B595" s="21"/>
      <c r="C595" s="21"/>
      <c r="D595" s="21"/>
      <c r="E595" s="22" t="str">
        <f t="shared" si="81"/>
        <v/>
      </c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3" t="str">
        <f>IF($F595="","",IF(OR($B595="",$C595="",$D595=""),"⚠ Compléter Année/Niveau/Session",IF(AND($E595&lt;&gt;"",COUNTIF(D_KEY_DOUBLON,$B595&amp;"|"&amp;$D595&amp;"|"&amp;$E595)&gt;1),"⚠ Doublon",IF(AND($E595&lt;&gt;"",COUNTIF(D_KEY_STATUT,$B595&amp;"|"&amp;$E595&amp;"|P")&gt;0,COUNTIF(D_KEY_STATUT,$B595&amp;"|"&amp;$E595&amp;"|A")&gt;0),"⚠ Statut incohérent",IF(AND($D595="S1",$Y595&lt;&gt;"Parti",COUNTIF(ANNEES_VERROU,$B595)&gt;0,COUNTIF(D_KEY_NIVSES,$B595&amp;"|"&amp;$C595&amp;"|S2")&gt;0,COUNTIF(D_KEY_DOUBLON,$B595&amp;"|S2|"&amp;$E595)=0),"⚠ Départ non confirmé ?",IF(AND($C595&lt;&gt;"",ISNUMBER($I595),OR(VALUE(LEFT($B595,4))-$I595&lt;4+IFERROR(MATCH($C595,LISTE_NIVEAUX,0),99),VALUE(LEFT($B595,4))-$I595&gt;6+IFERROR(MATCH($C595,LISTE_NIVEAUX,0),99))),"⚠ Vérifier niveau",IF(AND(IFERROR(VLOOKUP($C595,TABLE_CYCLE,2,0),3)=2,COUNT($O595:$Q595)&gt;0),"⚠ Tests cycle 3",IF(COUNT($J595:$Q595)&gt;=IF(IFERROR(VLOOKUP($C595,TABLE_CYCLE,2,0),3)=2,5,8),"Complet","Incomplet"))))))))</f>
        <v/>
      </c>
      <c r="S595" s="24"/>
      <c r="T595" s="67" t="str">
        <f t="shared" si="82"/>
        <v/>
      </c>
      <c r="U595" s="67" t="str">
        <f t="shared" si="83"/>
        <v/>
      </c>
      <c r="V595" s="67" t="str">
        <f t="shared" si="84"/>
        <v/>
      </c>
      <c r="W595" s="67" t="str">
        <f t="shared" si="85"/>
        <v/>
      </c>
      <c r="X595" s="67" t="str">
        <f t="shared" si="86"/>
        <v/>
      </c>
      <c r="Y595" s="24" t="str">
        <f t="shared" si="87"/>
        <v/>
      </c>
      <c r="Z595">
        <f t="shared" si="88"/>
        <v>0</v>
      </c>
      <c r="AA595">
        <f t="shared" si="89"/>
        <v>0</v>
      </c>
    </row>
    <row r="596" spans="2:27" ht="15.75" customHeight="1" x14ac:dyDescent="0.3">
      <c r="B596" s="25"/>
      <c r="C596" s="25"/>
      <c r="D596" s="25"/>
      <c r="E596" s="26" t="str">
        <f t="shared" si="81"/>
        <v/>
      </c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3" t="str">
        <f>IF($F596="","",IF(OR($B596="",$C596="",$D596=""),"⚠ Compléter Année/Niveau/Session",IF(AND($E596&lt;&gt;"",COUNTIF(D_KEY_DOUBLON,$B596&amp;"|"&amp;$D596&amp;"|"&amp;$E596)&gt;1),"⚠ Doublon",IF(AND($E596&lt;&gt;"",COUNTIF(D_KEY_STATUT,$B596&amp;"|"&amp;$E596&amp;"|P")&gt;0,COUNTIF(D_KEY_STATUT,$B596&amp;"|"&amp;$E596&amp;"|A")&gt;0),"⚠ Statut incohérent",IF(AND($D596="S1",$Y596&lt;&gt;"Parti",COUNTIF(ANNEES_VERROU,$B596)&gt;0,COUNTIF(D_KEY_NIVSES,$B596&amp;"|"&amp;$C596&amp;"|S2")&gt;0,COUNTIF(D_KEY_DOUBLON,$B596&amp;"|S2|"&amp;$E596)=0),"⚠ Départ non confirmé ?",IF(AND($C596&lt;&gt;"",ISNUMBER($I596),OR(VALUE(LEFT($B596,4))-$I596&lt;4+IFERROR(MATCH($C596,LISTE_NIVEAUX,0),99),VALUE(LEFT($B596,4))-$I596&gt;6+IFERROR(MATCH($C596,LISTE_NIVEAUX,0),99))),"⚠ Vérifier niveau",IF(AND(IFERROR(VLOOKUP($C596,TABLE_CYCLE,2,0),3)=2,COUNT($O596:$Q596)&gt;0),"⚠ Tests cycle 3",IF(COUNT($J596:$Q596)&gt;=IF(IFERROR(VLOOKUP($C596,TABLE_CYCLE,2,0),3)=2,5,8),"Complet","Incomplet"))))))))</f>
        <v/>
      </c>
      <c r="S596" s="24"/>
      <c r="T596" s="67" t="str">
        <f t="shared" si="82"/>
        <v/>
      </c>
      <c r="U596" s="67" t="str">
        <f t="shared" si="83"/>
        <v/>
      </c>
      <c r="V596" s="67" t="str">
        <f t="shared" si="84"/>
        <v/>
      </c>
      <c r="W596" s="67" t="str">
        <f t="shared" si="85"/>
        <v/>
      </c>
      <c r="X596" s="67" t="str">
        <f t="shared" si="86"/>
        <v/>
      </c>
      <c r="Y596" s="24" t="str">
        <f t="shared" si="87"/>
        <v/>
      </c>
      <c r="Z596">
        <f t="shared" si="88"/>
        <v>0</v>
      </c>
      <c r="AA596">
        <f t="shared" si="89"/>
        <v>0</v>
      </c>
    </row>
    <row r="597" spans="2:27" ht="15.75" customHeight="1" x14ac:dyDescent="0.3">
      <c r="B597" s="21"/>
      <c r="C597" s="21"/>
      <c r="D597" s="21"/>
      <c r="E597" s="22" t="str">
        <f t="shared" si="81"/>
        <v/>
      </c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3" t="str">
        <f>IF($F597="","",IF(OR($B597="",$C597="",$D597=""),"⚠ Compléter Année/Niveau/Session",IF(AND($E597&lt;&gt;"",COUNTIF(D_KEY_DOUBLON,$B597&amp;"|"&amp;$D597&amp;"|"&amp;$E597)&gt;1),"⚠ Doublon",IF(AND($E597&lt;&gt;"",COUNTIF(D_KEY_STATUT,$B597&amp;"|"&amp;$E597&amp;"|P")&gt;0,COUNTIF(D_KEY_STATUT,$B597&amp;"|"&amp;$E597&amp;"|A")&gt;0),"⚠ Statut incohérent",IF(AND($D597="S1",$Y597&lt;&gt;"Parti",COUNTIF(ANNEES_VERROU,$B597)&gt;0,COUNTIF(D_KEY_NIVSES,$B597&amp;"|"&amp;$C597&amp;"|S2")&gt;0,COUNTIF(D_KEY_DOUBLON,$B597&amp;"|S2|"&amp;$E597)=0),"⚠ Départ non confirmé ?",IF(AND($C597&lt;&gt;"",ISNUMBER($I597),OR(VALUE(LEFT($B597,4))-$I597&lt;4+IFERROR(MATCH($C597,LISTE_NIVEAUX,0),99),VALUE(LEFT($B597,4))-$I597&gt;6+IFERROR(MATCH($C597,LISTE_NIVEAUX,0),99))),"⚠ Vérifier niveau",IF(AND(IFERROR(VLOOKUP($C597,TABLE_CYCLE,2,0),3)=2,COUNT($O597:$Q597)&gt;0),"⚠ Tests cycle 3",IF(COUNT($J597:$Q597)&gt;=IF(IFERROR(VLOOKUP($C597,TABLE_CYCLE,2,0),3)=2,5,8),"Complet","Incomplet"))))))))</f>
        <v/>
      </c>
      <c r="S597" s="24"/>
      <c r="T597" s="67" t="str">
        <f t="shared" si="82"/>
        <v/>
      </c>
      <c r="U597" s="67" t="str">
        <f t="shared" si="83"/>
        <v/>
      </c>
      <c r="V597" s="67" t="str">
        <f t="shared" si="84"/>
        <v/>
      </c>
      <c r="W597" s="67" t="str">
        <f t="shared" si="85"/>
        <v/>
      </c>
      <c r="X597" s="67" t="str">
        <f t="shared" si="86"/>
        <v/>
      </c>
      <c r="Y597" s="24" t="str">
        <f t="shared" si="87"/>
        <v/>
      </c>
      <c r="Z597">
        <f t="shared" si="88"/>
        <v>0</v>
      </c>
      <c r="AA597">
        <f t="shared" si="89"/>
        <v>0</v>
      </c>
    </row>
    <row r="598" spans="2:27" ht="15.75" customHeight="1" x14ac:dyDescent="0.3">
      <c r="B598" s="25"/>
      <c r="C598" s="25"/>
      <c r="D598" s="25"/>
      <c r="E598" s="26" t="str">
        <f t="shared" si="81"/>
        <v/>
      </c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3" t="str">
        <f>IF($F598="","",IF(OR($B598="",$C598="",$D598=""),"⚠ Compléter Année/Niveau/Session",IF(AND($E598&lt;&gt;"",COUNTIF(D_KEY_DOUBLON,$B598&amp;"|"&amp;$D598&amp;"|"&amp;$E598)&gt;1),"⚠ Doublon",IF(AND($E598&lt;&gt;"",COUNTIF(D_KEY_STATUT,$B598&amp;"|"&amp;$E598&amp;"|P")&gt;0,COUNTIF(D_KEY_STATUT,$B598&amp;"|"&amp;$E598&amp;"|A")&gt;0),"⚠ Statut incohérent",IF(AND($D598="S1",$Y598&lt;&gt;"Parti",COUNTIF(ANNEES_VERROU,$B598)&gt;0,COUNTIF(D_KEY_NIVSES,$B598&amp;"|"&amp;$C598&amp;"|S2")&gt;0,COUNTIF(D_KEY_DOUBLON,$B598&amp;"|S2|"&amp;$E598)=0),"⚠ Départ non confirmé ?",IF(AND($C598&lt;&gt;"",ISNUMBER($I598),OR(VALUE(LEFT($B598,4))-$I598&lt;4+IFERROR(MATCH($C598,LISTE_NIVEAUX,0),99),VALUE(LEFT($B598,4))-$I598&gt;6+IFERROR(MATCH($C598,LISTE_NIVEAUX,0),99))),"⚠ Vérifier niveau",IF(AND(IFERROR(VLOOKUP($C598,TABLE_CYCLE,2,0),3)=2,COUNT($O598:$Q598)&gt;0),"⚠ Tests cycle 3",IF(COUNT($J598:$Q598)&gt;=IF(IFERROR(VLOOKUP($C598,TABLE_CYCLE,2,0),3)=2,5,8),"Complet","Incomplet"))))))))</f>
        <v/>
      </c>
      <c r="S598" s="24"/>
      <c r="T598" s="67" t="str">
        <f t="shared" si="82"/>
        <v/>
      </c>
      <c r="U598" s="67" t="str">
        <f t="shared" si="83"/>
        <v/>
      </c>
      <c r="V598" s="67" t="str">
        <f t="shared" si="84"/>
        <v/>
      </c>
      <c r="W598" s="67" t="str">
        <f t="shared" si="85"/>
        <v/>
      </c>
      <c r="X598" s="67" t="str">
        <f t="shared" si="86"/>
        <v/>
      </c>
      <c r="Y598" s="24" t="str">
        <f t="shared" si="87"/>
        <v/>
      </c>
      <c r="Z598">
        <f t="shared" si="88"/>
        <v>0</v>
      </c>
      <c r="AA598">
        <f t="shared" si="89"/>
        <v>0</v>
      </c>
    </row>
    <row r="599" spans="2:27" ht="15.75" customHeight="1" x14ac:dyDescent="0.3">
      <c r="B599" s="21"/>
      <c r="C599" s="21"/>
      <c r="D599" s="21"/>
      <c r="E599" s="22" t="str">
        <f t="shared" si="81"/>
        <v/>
      </c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3" t="str">
        <f>IF($F599="","",IF(OR($B599="",$C599="",$D599=""),"⚠ Compléter Année/Niveau/Session",IF(AND($E599&lt;&gt;"",COUNTIF(D_KEY_DOUBLON,$B599&amp;"|"&amp;$D599&amp;"|"&amp;$E599)&gt;1),"⚠ Doublon",IF(AND($E599&lt;&gt;"",COUNTIF(D_KEY_STATUT,$B599&amp;"|"&amp;$E599&amp;"|P")&gt;0,COUNTIF(D_KEY_STATUT,$B599&amp;"|"&amp;$E599&amp;"|A")&gt;0),"⚠ Statut incohérent",IF(AND($D599="S1",$Y599&lt;&gt;"Parti",COUNTIF(ANNEES_VERROU,$B599)&gt;0,COUNTIF(D_KEY_NIVSES,$B599&amp;"|"&amp;$C599&amp;"|S2")&gt;0,COUNTIF(D_KEY_DOUBLON,$B599&amp;"|S2|"&amp;$E599)=0),"⚠ Départ non confirmé ?",IF(AND($C599&lt;&gt;"",ISNUMBER($I599),OR(VALUE(LEFT($B599,4))-$I599&lt;4+IFERROR(MATCH($C599,LISTE_NIVEAUX,0),99),VALUE(LEFT($B599,4))-$I599&gt;6+IFERROR(MATCH($C599,LISTE_NIVEAUX,0),99))),"⚠ Vérifier niveau",IF(AND(IFERROR(VLOOKUP($C599,TABLE_CYCLE,2,0),3)=2,COUNT($O599:$Q599)&gt;0),"⚠ Tests cycle 3",IF(COUNT($J599:$Q599)&gt;=IF(IFERROR(VLOOKUP($C599,TABLE_CYCLE,2,0),3)=2,5,8),"Complet","Incomplet"))))))))</f>
        <v/>
      </c>
      <c r="S599" s="24"/>
      <c r="T599" s="67" t="str">
        <f t="shared" si="82"/>
        <v/>
      </c>
      <c r="U599" s="67" t="str">
        <f t="shared" si="83"/>
        <v/>
      </c>
      <c r="V599" s="67" t="str">
        <f t="shared" si="84"/>
        <v/>
      </c>
      <c r="W599" s="67" t="str">
        <f t="shared" si="85"/>
        <v/>
      </c>
      <c r="X599" s="67" t="str">
        <f t="shared" si="86"/>
        <v/>
      </c>
      <c r="Y599" s="24" t="str">
        <f t="shared" si="87"/>
        <v/>
      </c>
      <c r="Z599">
        <f t="shared" si="88"/>
        <v>0</v>
      </c>
      <c r="AA599">
        <f t="shared" si="89"/>
        <v>0</v>
      </c>
    </row>
    <row r="600" spans="2:27" ht="15.75" customHeight="1" x14ac:dyDescent="0.3">
      <c r="B600" s="25"/>
      <c r="C600" s="25"/>
      <c r="D600" s="25"/>
      <c r="E600" s="26" t="str">
        <f t="shared" si="81"/>
        <v/>
      </c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3" t="str">
        <f>IF($F600="","",IF(OR($B600="",$C600="",$D600=""),"⚠ Compléter Année/Niveau/Session",IF(AND($E600&lt;&gt;"",COUNTIF(D_KEY_DOUBLON,$B600&amp;"|"&amp;$D600&amp;"|"&amp;$E600)&gt;1),"⚠ Doublon",IF(AND($E600&lt;&gt;"",COUNTIF(D_KEY_STATUT,$B600&amp;"|"&amp;$E600&amp;"|P")&gt;0,COUNTIF(D_KEY_STATUT,$B600&amp;"|"&amp;$E600&amp;"|A")&gt;0),"⚠ Statut incohérent",IF(AND($D600="S1",$Y600&lt;&gt;"Parti",COUNTIF(ANNEES_VERROU,$B600)&gt;0,COUNTIF(D_KEY_NIVSES,$B600&amp;"|"&amp;$C600&amp;"|S2")&gt;0,COUNTIF(D_KEY_DOUBLON,$B600&amp;"|S2|"&amp;$E600)=0),"⚠ Départ non confirmé ?",IF(AND($C600&lt;&gt;"",ISNUMBER($I600),OR(VALUE(LEFT($B600,4))-$I600&lt;4+IFERROR(MATCH($C600,LISTE_NIVEAUX,0),99),VALUE(LEFT($B600,4))-$I600&gt;6+IFERROR(MATCH($C600,LISTE_NIVEAUX,0),99))),"⚠ Vérifier niveau",IF(AND(IFERROR(VLOOKUP($C600,TABLE_CYCLE,2,0),3)=2,COUNT($O600:$Q600)&gt;0),"⚠ Tests cycle 3",IF(COUNT($J600:$Q600)&gt;=IF(IFERROR(VLOOKUP($C600,TABLE_CYCLE,2,0),3)=2,5,8),"Complet","Incomplet"))))))))</f>
        <v/>
      </c>
      <c r="S600" s="24"/>
      <c r="T600" s="67" t="str">
        <f t="shared" si="82"/>
        <v/>
      </c>
      <c r="U600" s="67" t="str">
        <f t="shared" si="83"/>
        <v/>
      </c>
      <c r="V600" s="67" t="str">
        <f t="shared" si="84"/>
        <v/>
      </c>
      <c r="W600" s="67" t="str">
        <f t="shared" si="85"/>
        <v/>
      </c>
      <c r="X600" s="67" t="str">
        <f t="shared" si="86"/>
        <v/>
      </c>
      <c r="Y600" s="24" t="str">
        <f t="shared" si="87"/>
        <v/>
      </c>
      <c r="Z600">
        <f t="shared" si="88"/>
        <v>0</v>
      </c>
      <c r="AA600">
        <f t="shared" si="89"/>
        <v>0</v>
      </c>
    </row>
    <row r="601" spans="2:27" ht="15.75" customHeight="1" x14ac:dyDescent="0.3">
      <c r="B601" s="21"/>
      <c r="C601" s="21"/>
      <c r="D601" s="21"/>
      <c r="E601" s="22" t="str">
        <f t="shared" si="81"/>
        <v/>
      </c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3" t="str">
        <f>IF($F601="","",IF(OR($B601="",$C601="",$D601=""),"⚠ Compléter Année/Niveau/Session",IF(AND($E601&lt;&gt;"",COUNTIF(D_KEY_DOUBLON,$B601&amp;"|"&amp;$D601&amp;"|"&amp;$E601)&gt;1),"⚠ Doublon",IF(AND($E601&lt;&gt;"",COUNTIF(D_KEY_STATUT,$B601&amp;"|"&amp;$E601&amp;"|P")&gt;0,COUNTIF(D_KEY_STATUT,$B601&amp;"|"&amp;$E601&amp;"|A")&gt;0),"⚠ Statut incohérent",IF(AND($D601="S1",$Y601&lt;&gt;"Parti",COUNTIF(ANNEES_VERROU,$B601)&gt;0,COUNTIF(D_KEY_NIVSES,$B601&amp;"|"&amp;$C601&amp;"|S2")&gt;0,COUNTIF(D_KEY_DOUBLON,$B601&amp;"|S2|"&amp;$E601)=0),"⚠ Départ non confirmé ?",IF(AND($C601&lt;&gt;"",ISNUMBER($I601),OR(VALUE(LEFT($B601,4))-$I601&lt;4+IFERROR(MATCH($C601,LISTE_NIVEAUX,0),99),VALUE(LEFT($B601,4))-$I601&gt;6+IFERROR(MATCH($C601,LISTE_NIVEAUX,0),99))),"⚠ Vérifier niveau",IF(AND(IFERROR(VLOOKUP($C601,TABLE_CYCLE,2,0),3)=2,COUNT($O601:$Q601)&gt;0),"⚠ Tests cycle 3",IF(COUNT($J601:$Q601)&gt;=IF(IFERROR(VLOOKUP($C601,TABLE_CYCLE,2,0),3)=2,5,8),"Complet","Incomplet"))))))))</f>
        <v/>
      </c>
      <c r="S601" s="24"/>
      <c r="T601" s="67" t="str">
        <f t="shared" si="82"/>
        <v/>
      </c>
      <c r="U601" s="67" t="str">
        <f t="shared" si="83"/>
        <v/>
      </c>
      <c r="V601" s="67" t="str">
        <f t="shared" si="84"/>
        <v/>
      </c>
      <c r="W601" s="67" t="str">
        <f t="shared" si="85"/>
        <v/>
      </c>
      <c r="X601" s="67" t="str">
        <f t="shared" si="86"/>
        <v/>
      </c>
      <c r="Y601" s="24" t="str">
        <f t="shared" si="87"/>
        <v/>
      </c>
      <c r="Z601">
        <f t="shared" si="88"/>
        <v>0</v>
      </c>
      <c r="AA601">
        <f t="shared" si="89"/>
        <v>0</v>
      </c>
    </row>
    <row r="602" spans="2:27" ht="15.75" customHeight="1" x14ac:dyDescent="0.3">
      <c r="B602" s="25"/>
      <c r="C602" s="25"/>
      <c r="D602" s="25"/>
      <c r="E602" s="26" t="str">
        <f t="shared" si="81"/>
        <v/>
      </c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3" t="str">
        <f>IF($F602="","",IF(OR($B602="",$C602="",$D602=""),"⚠ Compléter Année/Niveau/Session",IF(AND($E602&lt;&gt;"",COUNTIF(D_KEY_DOUBLON,$B602&amp;"|"&amp;$D602&amp;"|"&amp;$E602)&gt;1),"⚠ Doublon",IF(AND($E602&lt;&gt;"",COUNTIF(D_KEY_STATUT,$B602&amp;"|"&amp;$E602&amp;"|P")&gt;0,COUNTIF(D_KEY_STATUT,$B602&amp;"|"&amp;$E602&amp;"|A")&gt;0),"⚠ Statut incohérent",IF(AND($D602="S1",$Y602&lt;&gt;"Parti",COUNTIF(ANNEES_VERROU,$B602)&gt;0,COUNTIF(D_KEY_NIVSES,$B602&amp;"|"&amp;$C602&amp;"|S2")&gt;0,COUNTIF(D_KEY_DOUBLON,$B602&amp;"|S2|"&amp;$E602)=0),"⚠ Départ non confirmé ?",IF(AND($C602&lt;&gt;"",ISNUMBER($I602),OR(VALUE(LEFT($B602,4))-$I602&lt;4+IFERROR(MATCH($C602,LISTE_NIVEAUX,0),99),VALUE(LEFT($B602,4))-$I602&gt;6+IFERROR(MATCH($C602,LISTE_NIVEAUX,0),99))),"⚠ Vérifier niveau",IF(AND(IFERROR(VLOOKUP($C602,TABLE_CYCLE,2,0),3)=2,COUNT($O602:$Q602)&gt;0),"⚠ Tests cycle 3",IF(COUNT($J602:$Q602)&gt;=IF(IFERROR(VLOOKUP($C602,TABLE_CYCLE,2,0),3)=2,5,8),"Complet","Incomplet"))))))))</f>
        <v/>
      </c>
      <c r="S602" s="24"/>
      <c r="T602" s="67" t="str">
        <f t="shared" si="82"/>
        <v/>
      </c>
      <c r="U602" s="67" t="str">
        <f t="shared" si="83"/>
        <v/>
      </c>
      <c r="V602" s="67" t="str">
        <f t="shared" si="84"/>
        <v/>
      </c>
      <c r="W602" s="67" t="str">
        <f t="shared" si="85"/>
        <v/>
      </c>
      <c r="X602" s="67" t="str">
        <f t="shared" si="86"/>
        <v/>
      </c>
      <c r="Y602" s="24" t="str">
        <f t="shared" si="87"/>
        <v/>
      </c>
      <c r="Z602">
        <f t="shared" si="88"/>
        <v>0</v>
      </c>
      <c r="AA602">
        <f t="shared" si="89"/>
        <v>0</v>
      </c>
    </row>
    <row r="603" spans="2:27" ht="15.75" customHeight="1" x14ac:dyDescent="0.3">
      <c r="B603" s="21"/>
      <c r="C603" s="21"/>
      <c r="D603" s="21"/>
      <c r="E603" s="22" t="str">
        <f t="shared" si="81"/>
        <v/>
      </c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3" t="str">
        <f>IF($F603="","",IF(OR($B603="",$C603="",$D603=""),"⚠ Compléter Année/Niveau/Session",IF(AND($E603&lt;&gt;"",COUNTIF(D_KEY_DOUBLON,$B603&amp;"|"&amp;$D603&amp;"|"&amp;$E603)&gt;1),"⚠ Doublon",IF(AND($E603&lt;&gt;"",COUNTIF(D_KEY_STATUT,$B603&amp;"|"&amp;$E603&amp;"|P")&gt;0,COUNTIF(D_KEY_STATUT,$B603&amp;"|"&amp;$E603&amp;"|A")&gt;0),"⚠ Statut incohérent",IF(AND($D603="S1",$Y603&lt;&gt;"Parti",COUNTIF(ANNEES_VERROU,$B603)&gt;0,COUNTIF(D_KEY_NIVSES,$B603&amp;"|"&amp;$C603&amp;"|S2")&gt;0,COUNTIF(D_KEY_DOUBLON,$B603&amp;"|S2|"&amp;$E603)=0),"⚠ Départ non confirmé ?",IF(AND($C603&lt;&gt;"",ISNUMBER($I603),OR(VALUE(LEFT($B603,4))-$I603&lt;4+IFERROR(MATCH($C603,LISTE_NIVEAUX,0),99),VALUE(LEFT($B603,4))-$I603&gt;6+IFERROR(MATCH($C603,LISTE_NIVEAUX,0),99))),"⚠ Vérifier niveau",IF(AND(IFERROR(VLOOKUP($C603,TABLE_CYCLE,2,0),3)=2,COUNT($O603:$Q603)&gt;0),"⚠ Tests cycle 3",IF(COUNT($J603:$Q603)&gt;=IF(IFERROR(VLOOKUP($C603,TABLE_CYCLE,2,0),3)=2,5,8),"Complet","Incomplet"))))))))</f>
        <v/>
      </c>
      <c r="S603" s="24"/>
      <c r="T603" s="67" t="str">
        <f t="shared" si="82"/>
        <v/>
      </c>
      <c r="U603" s="67" t="str">
        <f t="shared" si="83"/>
        <v/>
      </c>
      <c r="V603" s="67" t="str">
        <f t="shared" si="84"/>
        <v/>
      </c>
      <c r="W603" s="67" t="str">
        <f t="shared" si="85"/>
        <v/>
      </c>
      <c r="X603" s="67" t="str">
        <f t="shared" si="86"/>
        <v/>
      </c>
      <c r="Y603" s="24" t="str">
        <f t="shared" si="87"/>
        <v/>
      </c>
      <c r="Z603">
        <f t="shared" si="88"/>
        <v>0</v>
      </c>
      <c r="AA603">
        <f t="shared" si="89"/>
        <v>0</v>
      </c>
    </row>
    <row r="604" spans="2:27" ht="15.75" customHeight="1" x14ac:dyDescent="0.3">
      <c r="B604" s="25"/>
      <c r="C604" s="25"/>
      <c r="D604" s="25"/>
      <c r="E604" s="26" t="str">
        <f t="shared" si="81"/>
        <v/>
      </c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3" t="str">
        <f>IF($F604="","",IF(OR($B604="",$C604="",$D604=""),"⚠ Compléter Année/Niveau/Session",IF(AND($E604&lt;&gt;"",COUNTIF(D_KEY_DOUBLON,$B604&amp;"|"&amp;$D604&amp;"|"&amp;$E604)&gt;1),"⚠ Doublon",IF(AND($E604&lt;&gt;"",COUNTIF(D_KEY_STATUT,$B604&amp;"|"&amp;$E604&amp;"|P")&gt;0,COUNTIF(D_KEY_STATUT,$B604&amp;"|"&amp;$E604&amp;"|A")&gt;0),"⚠ Statut incohérent",IF(AND($D604="S1",$Y604&lt;&gt;"Parti",COUNTIF(ANNEES_VERROU,$B604)&gt;0,COUNTIF(D_KEY_NIVSES,$B604&amp;"|"&amp;$C604&amp;"|S2")&gt;0,COUNTIF(D_KEY_DOUBLON,$B604&amp;"|S2|"&amp;$E604)=0),"⚠ Départ non confirmé ?",IF(AND($C604&lt;&gt;"",ISNUMBER($I604),OR(VALUE(LEFT($B604,4))-$I604&lt;4+IFERROR(MATCH($C604,LISTE_NIVEAUX,0),99),VALUE(LEFT($B604,4))-$I604&gt;6+IFERROR(MATCH($C604,LISTE_NIVEAUX,0),99))),"⚠ Vérifier niveau",IF(AND(IFERROR(VLOOKUP($C604,TABLE_CYCLE,2,0),3)=2,COUNT($O604:$Q604)&gt;0),"⚠ Tests cycle 3",IF(COUNT($J604:$Q604)&gt;=IF(IFERROR(VLOOKUP($C604,TABLE_CYCLE,2,0),3)=2,5,8),"Complet","Incomplet"))))))))</f>
        <v/>
      </c>
      <c r="S604" s="24"/>
      <c r="T604" s="67" t="str">
        <f t="shared" si="82"/>
        <v/>
      </c>
      <c r="U604" s="67" t="str">
        <f t="shared" si="83"/>
        <v/>
      </c>
      <c r="V604" s="67" t="str">
        <f t="shared" si="84"/>
        <v/>
      </c>
      <c r="W604" s="67" t="str">
        <f t="shared" si="85"/>
        <v/>
      </c>
      <c r="X604" s="67" t="str">
        <f t="shared" si="86"/>
        <v/>
      </c>
      <c r="Y604" s="24" t="str">
        <f t="shared" si="87"/>
        <v/>
      </c>
      <c r="Z604">
        <f t="shared" si="88"/>
        <v>0</v>
      </c>
      <c r="AA604">
        <f t="shared" si="89"/>
        <v>0</v>
      </c>
    </row>
    <row r="605" spans="2:27" ht="15.75" customHeight="1" x14ac:dyDescent="0.3">
      <c r="B605" s="21"/>
      <c r="C605" s="21"/>
      <c r="D605" s="21"/>
      <c r="E605" s="22" t="str">
        <f t="shared" si="81"/>
        <v/>
      </c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3" t="str">
        <f>IF($F605="","",IF(OR($B605="",$C605="",$D605=""),"⚠ Compléter Année/Niveau/Session",IF(AND($E605&lt;&gt;"",COUNTIF(D_KEY_DOUBLON,$B605&amp;"|"&amp;$D605&amp;"|"&amp;$E605)&gt;1),"⚠ Doublon",IF(AND($E605&lt;&gt;"",COUNTIF(D_KEY_STATUT,$B605&amp;"|"&amp;$E605&amp;"|P")&gt;0,COUNTIF(D_KEY_STATUT,$B605&amp;"|"&amp;$E605&amp;"|A")&gt;0),"⚠ Statut incohérent",IF(AND($D605="S1",$Y605&lt;&gt;"Parti",COUNTIF(ANNEES_VERROU,$B605)&gt;0,COUNTIF(D_KEY_NIVSES,$B605&amp;"|"&amp;$C605&amp;"|S2")&gt;0,COUNTIF(D_KEY_DOUBLON,$B605&amp;"|S2|"&amp;$E605)=0),"⚠ Départ non confirmé ?",IF(AND($C605&lt;&gt;"",ISNUMBER($I605),OR(VALUE(LEFT($B605,4))-$I605&lt;4+IFERROR(MATCH($C605,LISTE_NIVEAUX,0),99),VALUE(LEFT($B605,4))-$I605&gt;6+IFERROR(MATCH($C605,LISTE_NIVEAUX,0),99))),"⚠ Vérifier niveau",IF(AND(IFERROR(VLOOKUP($C605,TABLE_CYCLE,2,0),3)=2,COUNT($O605:$Q605)&gt;0),"⚠ Tests cycle 3",IF(COUNT($J605:$Q605)&gt;=IF(IFERROR(VLOOKUP($C605,TABLE_CYCLE,2,0),3)=2,5,8),"Complet","Incomplet"))))))))</f>
        <v/>
      </c>
      <c r="S605" s="24"/>
      <c r="T605" s="67" t="str">
        <f t="shared" si="82"/>
        <v/>
      </c>
      <c r="U605" s="67" t="str">
        <f t="shared" si="83"/>
        <v/>
      </c>
      <c r="V605" s="67" t="str">
        <f t="shared" si="84"/>
        <v/>
      </c>
      <c r="W605" s="67" t="str">
        <f t="shared" si="85"/>
        <v/>
      </c>
      <c r="X605" s="67" t="str">
        <f t="shared" si="86"/>
        <v/>
      </c>
      <c r="Y605" s="24" t="str">
        <f t="shared" si="87"/>
        <v/>
      </c>
      <c r="Z605">
        <f t="shared" si="88"/>
        <v>0</v>
      </c>
      <c r="AA605">
        <f t="shared" si="89"/>
        <v>0</v>
      </c>
    </row>
    <row r="606" spans="2:27" ht="15.75" customHeight="1" x14ac:dyDescent="0.3">
      <c r="B606" s="25"/>
      <c r="C606" s="25"/>
      <c r="D606" s="25"/>
      <c r="E606" s="26" t="str">
        <f t="shared" si="81"/>
        <v/>
      </c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3" t="str">
        <f>IF($F606="","",IF(OR($B606="",$C606="",$D606=""),"⚠ Compléter Année/Niveau/Session",IF(AND($E606&lt;&gt;"",COUNTIF(D_KEY_DOUBLON,$B606&amp;"|"&amp;$D606&amp;"|"&amp;$E606)&gt;1),"⚠ Doublon",IF(AND($E606&lt;&gt;"",COUNTIF(D_KEY_STATUT,$B606&amp;"|"&amp;$E606&amp;"|P")&gt;0,COUNTIF(D_KEY_STATUT,$B606&amp;"|"&amp;$E606&amp;"|A")&gt;0),"⚠ Statut incohérent",IF(AND($D606="S1",$Y606&lt;&gt;"Parti",COUNTIF(ANNEES_VERROU,$B606)&gt;0,COUNTIF(D_KEY_NIVSES,$B606&amp;"|"&amp;$C606&amp;"|S2")&gt;0,COUNTIF(D_KEY_DOUBLON,$B606&amp;"|S2|"&amp;$E606)=0),"⚠ Départ non confirmé ?",IF(AND($C606&lt;&gt;"",ISNUMBER($I606),OR(VALUE(LEFT($B606,4))-$I606&lt;4+IFERROR(MATCH($C606,LISTE_NIVEAUX,0),99),VALUE(LEFT($B606,4))-$I606&gt;6+IFERROR(MATCH($C606,LISTE_NIVEAUX,0),99))),"⚠ Vérifier niveau",IF(AND(IFERROR(VLOOKUP($C606,TABLE_CYCLE,2,0),3)=2,COUNT($O606:$Q606)&gt;0),"⚠ Tests cycle 3",IF(COUNT($J606:$Q606)&gt;=IF(IFERROR(VLOOKUP($C606,TABLE_CYCLE,2,0),3)=2,5,8),"Complet","Incomplet"))))))))</f>
        <v/>
      </c>
      <c r="S606" s="24"/>
      <c r="T606" s="67" t="str">
        <f t="shared" si="82"/>
        <v/>
      </c>
      <c r="U606" s="67" t="str">
        <f t="shared" si="83"/>
        <v/>
      </c>
      <c r="V606" s="67" t="str">
        <f t="shared" si="84"/>
        <v/>
      </c>
      <c r="W606" s="67" t="str">
        <f t="shared" si="85"/>
        <v/>
      </c>
      <c r="X606" s="67" t="str">
        <f t="shared" si="86"/>
        <v/>
      </c>
      <c r="Y606" s="24" t="str">
        <f t="shared" si="87"/>
        <v/>
      </c>
      <c r="Z606">
        <f t="shared" si="88"/>
        <v>0</v>
      </c>
      <c r="AA606">
        <f t="shared" si="89"/>
        <v>0</v>
      </c>
    </row>
    <row r="607" spans="2:27" ht="15.75" customHeight="1" x14ac:dyDescent="0.3">
      <c r="B607" s="21"/>
      <c r="C607" s="21"/>
      <c r="D607" s="21"/>
      <c r="E607" s="22" t="str">
        <f t="shared" si="81"/>
        <v/>
      </c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3" t="str">
        <f>IF($F607="","",IF(OR($B607="",$C607="",$D607=""),"⚠ Compléter Année/Niveau/Session",IF(AND($E607&lt;&gt;"",COUNTIF(D_KEY_DOUBLON,$B607&amp;"|"&amp;$D607&amp;"|"&amp;$E607)&gt;1),"⚠ Doublon",IF(AND($E607&lt;&gt;"",COUNTIF(D_KEY_STATUT,$B607&amp;"|"&amp;$E607&amp;"|P")&gt;0,COUNTIF(D_KEY_STATUT,$B607&amp;"|"&amp;$E607&amp;"|A")&gt;0),"⚠ Statut incohérent",IF(AND($D607="S1",$Y607&lt;&gt;"Parti",COUNTIF(ANNEES_VERROU,$B607)&gt;0,COUNTIF(D_KEY_NIVSES,$B607&amp;"|"&amp;$C607&amp;"|S2")&gt;0,COUNTIF(D_KEY_DOUBLON,$B607&amp;"|S2|"&amp;$E607)=0),"⚠ Départ non confirmé ?",IF(AND($C607&lt;&gt;"",ISNUMBER($I607),OR(VALUE(LEFT($B607,4))-$I607&lt;4+IFERROR(MATCH($C607,LISTE_NIVEAUX,0),99),VALUE(LEFT($B607,4))-$I607&gt;6+IFERROR(MATCH($C607,LISTE_NIVEAUX,0),99))),"⚠ Vérifier niveau",IF(AND(IFERROR(VLOOKUP($C607,TABLE_CYCLE,2,0),3)=2,COUNT($O607:$Q607)&gt;0),"⚠ Tests cycle 3",IF(COUNT($J607:$Q607)&gt;=IF(IFERROR(VLOOKUP($C607,TABLE_CYCLE,2,0),3)=2,5,8),"Complet","Incomplet"))))))))</f>
        <v/>
      </c>
      <c r="S607" s="24"/>
      <c r="T607" s="67" t="str">
        <f t="shared" si="82"/>
        <v/>
      </c>
      <c r="U607" s="67" t="str">
        <f t="shared" si="83"/>
        <v/>
      </c>
      <c r="V607" s="67" t="str">
        <f t="shared" si="84"/>
        <v/>
      </c>
      <c r="W607" s="67" t="str">
        <f t="shared" si="85"/>
        <v/>
      </c>
      <c r="X607" s="67" t="str">
        <f t="shared" si="86"/>
        <v/>
      </c>
      <c r="Y607" s="24" t="str">
        <f t="shared" si="87"/>
        <v/>
      </c>
      <c r="Z607">
        <f t="shared" si="88"/>
        <v>0</v>
      </c>
      <c r="AA607">
        <f t="shared" si="89"/>
        <v>0</v>
      </c>
    </row>
    <row r="608" spans="2:27" ht="15.75" customHeight="1" x14ac:dyDescent="0.3">
      <c r="B608" s="25"/>
      <c r="C608" s="25"/>
      <c r="D608" s="25"/>
      <c r="E608" s="26" t="str">
        <f t="shared" si="81"/>
        <v/>
      </c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3" t="str">
        <f>IF($F608="","",IF(OR($B608="",$C608="",$D608=""),"⚠ Compléter Année/Niveau/Session",IF(AND($E608&lt;&gt;"",COUNTIF(D_KEY_DOUBLON,$B608&amp;"|"&amp;$D608&amp;"|"&amp;$E608)&gt;1),"⚠ Doublon",IF(AND($E608&lt;&gt;"",COUNTIF(D_KEY_STATUT,$B608&amp;"|"&amp;$E608&amp;"|P")&gt;0,COUNTIF(D_KEY_STATUT,$B608&amp;"|"&amp;$E608&amp;"|A")&gt;0),"⚠ Statut incohérent",IF(AND($D608="S1",$Y608&lt;&gt;"Parti",COUNTIF(ANNEES_VERROU,$B608)&gt;0,COUNTIF(D_KEY_NIVSES,$B608&amp;"|"&amp;$C608&amp;"|S2")&gt;0,COUNTIF(D_KEY_DOUBLON,$B608&amp;"|S2|"&amp;$E608)=0),"⚠ Départ non confirmé ?",IF(AND($C608&lt;&gt;"",ISNUMBER($I608),OR(VALUE(LEFT($B608,4))-$I608&lt;4+IFERROR(MATCH($C608,LISTE_NIVEAUX,0),99),VALUE(LEFT($B608,4))-$I608&gt;6+IFERROR(MATCH($C608,LISTE_NIVEAUX,0),99))),"⚠ Vérifier niveau",IF(AND(IFERROR(VLOOKUP($C608,TABLE_CYCLE,2,0),3)=2,COUNT($O608:$Q608)&gt;0),"⚠ Tests cycle 3",IF(COUNT($J608:$Q608)&gt;=IF(IFERROR(VLOOKUP($C608,TABLE_CYCLE,2,0),3)=2,5,8),"Complet","Incomplet"))))))))</f>
        <v/>
      </c>
      <c r="S608" s="24"/>
      <c r="T608" s="67" t="str">
        <f t="shared" si="82"/>
        <v/>
      </c>
      <c r="U608" s="67" t="str">
        <f t="shared" si="83"/>
        <v/>
      </c>
      <c r="V608" s="67" t="str">
        <f t="shared" si="84"/>
        <v/>
      </c>
      <c r="W608" s="67" t="str">
        <f t="shared" si="85"/>
        <v/>
      </c>
      <c r="X608" s="67" t="str">
        <f t="shared" si="86"/>
        <v/>
      </c>
      <c r="Y608" s="24" t="str">
        <f t="shared" si="87"/>
        <v/>
      </c>
      <c r="Z608">
        <f t="shared" si="88"/>
        <v>0</v>
      </c>
      <c r="AA608">
        <f t="shared" si="89"/>
        <v>0</v>
      </c>
    </row>
    <row r="609" spans="2:27" ht="15.75" customHeight="1" x14ac:dyDescent="0.3">
      <c r="B609" s="21"/>
      <c r="C609" s="21"/>
      <c r="D609" s="21"/>
      <c r="E609" s="22" t="str">
        <f t="shared" si="81"/>
        <v/>
      </c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3" t="str">
        <f>IF($F609="","",IF(OR($B609="",$C609="",$D609=""),"⚠ Compléter Année/Niveau/Session",IF(AND($E609&lt;&gt;"",COUNTIF(D_KEY_DOUBLON,$B609&amp;"|"&amp;$D609&amp;"|"&amp;$E609)&gt;1),"⚠ Doublon",IF(AND($E609&lt;&gt;"",COUNTIF(D_KEY_STATUT,$B609&amp;"|"&amp;$E609&amp;"|P")&gt;0,COUNTIF(D_KEY_STATUT,$B609&amp;"|"&amp;$E609&amp;"|A")&gt;0),"⚠ Statut incohérent",IF(AND($D609="S1",$Y609&lt;&gt;"Parti",COUNTIF(ANNEES_VERROU,$B609)&gt;0,COUNTIF(D_KEY_NIVSES,$B609&amp;"|"&amp;$C609&amp;"|S2")&gt;0,COUNTIF(D_KEY_DOUBLON,$B609&amp;"|S2|"&amp;$E609)=0),"⚠ Départ non confirmé ?",IF(AND($C609&lt;&gt;"",ISNUMBER($I609),OR(VALUE(LEFT($B609,4))-$I609&lt;4+IFERROR(MATCH($C609,LISTE_NIVEAUX,0),99),VALUE(LEFT($B609,4))-$I609&gt;6+IFERROR(MATCH($C609,LISTE_NIVEAUX,0),99))),"⚠ Vérifier niveau",IF(AND(IFERROR(VLOOKUP($C609,TABLE_CYCLE,2,0),3)=2,COUNT($O609:$Q609)&gt;0),"⚠ Tests cycle 3",IF(COUNT($J609:$Q609)&gt;=IF(IFERROR(VLOOKUP($C609,TABLE_CYCLE,2,0),3)=2,5,8),"Complet","Incomplet"))))))))</f>
        <v/>
      </c>
      <c r="S609" s="24"/>
      <c r="T609" s="67" t="str">
        <f t="shared" si="82"/>
        <v/>
      </c>
      <c r="U609" s="67" t="str">
        <f t="shared" si="83"/>
        <v/>
      </c>
      <c r="V609" s="67" t="str">
        <f t="shared" si="84"/>
        <v/>
      </c>
      <c r="W609" s="67" t="str">
        <f t="shared" si="85"/>
        <v/>
      </c>
      <c r="X609" s="67" t="str">
        <f t="shared" si="86"/>
        <v/>
      </c>
      <c r="Y609" s="24" t="str">
        <f t="shared" si="87"/>
        <v/>
      </c>
      <c r="Z609">
        <f t="shared" si="88"/>
        <v>0</v>
      </c>
      <c r="AA609">
        <f t="shared" si="89"/>
        <v>0</v>
      </c>
    </row>
    <row r="610" spans="2:27" ht="15.75" customHeight="1" x14ac:dyDescent="0.3">
      <c r="B610" s="25"/>
      <c r="C610" s="25"/>
      <c r="D610" s="25"/>
      <c r="E610" s="26" t="str">
        <f t="shared" si="81"/>
        <v/>
      </c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3" t="str">
        <f>IF($F610="","",IF(OR($B610="",$C610="",$D610=""),"⚠ Compléter Année/Niveau/Session",IF(AND($E610&lt;&gt;"",COUNTIF(D_KEY_DOUBLON,$B610&amp;"|"&amp;$D610&amp;"|"&amp;$E610)&gt;1),"⚠ Doublon",IF(AND($E610&lt;&gt;"",COUNTIF(D_KEY_STATUT,$B610&amp;"|"&amp;$E610&amp;"|P")&gt;0,COUNTIF(D_KEY_STATUT,$B610&amp;"|"&amp;$E610&amp;"|A")&gt;0),"⚠ Statut incohérent",IF(AND($D610="S1",$Y610&lt;&gt;"Parti",COUNTIF(ANNEES_VERROU,$B610)&gt;0,COUNTIF(D_KEY_NIVSES,$B610&amp;"|"&amp;$C610&amp;"|S2")&gt;0,COUNTIF(D_KEY_DOUBLON,$B610&amp;"|S2|"&amp;$E610)=0),"⚠ Départ non confirmé ?",IF(AND($C610&lt;&gt;"",ISNUMBER($I610),OR(VALUE(LEFT($B610,4))-$I610&lt;4+IFERROR(MATCH($C610,LISTE_NIVEAUX,0),99),VALUE(LEFT($B610,4))-$I610&gt;6+IFERROR(MATCH($C610,LISTE_NIVEAUX,0),99))),"⚠ Vérifier niveau",IF(AND(IFERROR(VLOOKUP($C610,TABLE_CYCLE,2,0),3)=2,COUNT($O610:$Q610)&gt;0),"⚠ Tests cycle 3",IF(COUNT($J610:$Q610)&gt;=IF(IFERROR(VLOOKUP($C610,TABLE_CYCLE,2,0),3)=2,5,8),"Complet","Incomplet"))))))))</f>
        <v/>
      </c>
      <c r="S610" s="24"/>
      <c r="T610" s="67" t="str">
        <f t="shared" si="82"/>
        <v/>
      </c>
      <c r="U610" s="67" t="str">
        <f t="shared" si="83"/>
        <v/>
      </c>
      <c r="V610" s="67" t="str">
        <f t="shared" si="84"/>
        <v/>
      </c>
      <c r="W610" s="67" t="str">
        <f t="shared" si="85"/>
        <v/>
      </c>
      <c r="X610" s="67" t="str">
        <f t="shared" si="86"/>
        <v/>
      </c>
      <c r="Y610" s="24" t="str">
        <f t="shared" si="87"/>
        <v/>
      </c>
      <c r="Z610">
        <f t="shared" si="88"/>
        <v>0</v>
      </c>
      <c r="AA610">
        <f t="shared" si="89"/>
        <v>0</v>
      </c>
    </row>
    <row r="611" spans="2:27" ht="15.75" customHeight="1" x14ac:dyDescent="0.3">
      <c r="B611" s="21"/>
      <c r="C611" s="21"/>
      <c r="D611" s="21"/>
      <c r="E611" s="22" t="str">
        <f t="shared" si="81"/>
        <v/>
      </c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3" t="str">
        <f>IF($F611="","",IF(OR($B611="",$C611="",$D611=""),"⚠ Compléter Année/Niveau/Session",IF(AND($E611&lt;&gt;"",COUNTIF(D_KEY_DOUBLON,$B611&amp;"|"&amp;$D611&amp;"|"&amp;$E611)&gt;1),"⚠ Doublon",IF(AND($E611&lt;&gt;"",COUNTIF(D_KEY_STATUT,$B611&amp;"|"&amp;$E611&amp;"|P")&gt;0,COUNTIF(D_KEY_STATUT,$B611&amp;"|"&amp;$E611&amp;"|A")&gt;0),"⚠ Statut incohérent",IF(AND($D611="S1",$Y611&lt;&gt;"Parti",COUNTIF(ANNEES_VERROU,$B611)&gt;0,COUNTIF(D_KEY_NIVSES,$B611&amp;"|"&amp;$C611&amp;"|S2")&gt;0,COUNTIF(D_KEY_DOUBLON,$B611&amp;"|S2|"&amp;$E611)=0),"⚠ Départ non confirmé ?",IF(AND($C611&lt;&gt;"",ISNUMBER($I611),OR(VALUE(LEFT($B611,4))-$I611&lt;4+IFERROR(MATCH($C611,LISTE_NIVEAUX,0),99),VALUE(LEFT($B611,4))-$I611&gt;6+IFERROR(MATCH($C611,LISTE_NIVEAUX,0),99))),"⚠ Vérifier niveau",IF(AND(IFERROR(VLOOKUP($C611,TABLE_CYCLE,2,0),3)=2,COUNT($O611:$Q611)&gt;0),"⚠ Tests cycle 3",IF(COUNT($J611:$Q611)&gt;=IF(IFERROR(VLOOKUP($C611,TABLE_CYCLE,2,0),3)=2,5,8),"Complet","Incomplet"))))))))</f>
        <v/>
      </c>
      <c r="S611" s="24"/>
      <c r="T611" s="67" t="str">
        <f t="shared" si="82"/>
        <v/>
      </c>
      <c r="U611" s="67" t="str">
        <f t="shared" si="83"/>
        <v/>
      </c>
      <c r="V611" s="67" t="str">
        <f t="shared" si="84"/>
        <v/>
      </c>
      <c r="W611" s="67" t="str">
        <f t="shared" si="85"/>
        <v/>
      </c>
      <c r="X611" s="67" t="str">
        <f t="shared" si="86"/>
        <v/>
      </c>
      <c r="Y611" s="24" t="str">
        <f t="shared" si="87"/>
        <v/>
      </c>
      <c r="Z611">
        <f t="shared" si="88"/>
        <v>0</v>
      </c>
      <c r="AA611">
        <f t="shared" si="89"/>
        <v>0</v>
      </c>
    </row>
    <row r="612" spans="2:27" ht="15.75" customHeight="1" x14ac:dyDescent="0.3">
      <c r="B612" s="25"/>
      <c r="C612" s="25"/>
      <c r="D612" s="25"/>
      <c r="E612" s="26" t="str">
        <f t="shared" si="81"/>
        <v/>
      </c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3" t="str">
        <f>IF($F612="","",IF(OR($B612="",$C612="",$D612=""),"⚠ Compléter Année/Niveau/Session",IF(AND($E612&lt;&gt;"",COUNTIF(D_KEY_DOUBLON,$B612&amp;"|"&amp;$D612&amp;"|"&amp;$E612)&gt;1),"⚠ Doublon",IF(AND($E612&lt;&gt;"",COUNTIF(D_KEY_STATUT,$B612&amp;"|"&amp;$E612&amp;"|P")&gt;0,COUNTIF(D_KEY_STATUT,$B612&amp;"|"&amp;$E612&amp;"|A")&gt;0),"⚠ Statut incohérent",IF(AND($D612="S1",$Y612&lt;&gt;"Parti",COUNTIF(ANNEES_VERROU,$B612)&gt;0,COUNTIF(D_KEY_NIVSES,$B612&amp;"|"&amp;$C612&amp;"|S2")&gt;0,COUNTIF(D_KEY_DOUBLON,$B612&amp;"|S2|"&amp;$E612)=0),"⚠ Départ non confirmé ?",IF(AND($C612&lt;&gt;"",ISNUMBER($I612),OR(VALUE(LEFT($B612,4))-$I612&lt;4+IFERROR(MATCH($C612,LISTE_NIVEAUX,0),99),VALUE(LEFT($B612,4))-$I612&gt;6+IFERROR(MATCH($C612,LISTE_NIVEAUX,0),99))),"⚠ Vérifier niveau",IF(AND(IFERROR(VLOOKUP($C612,TABLE_CYCLE,2,0),3)=2,COUNT($O612:$Q612)&gt;0),"⚠ Tests cycle 3",IF(COUNT($J612:$Q612)&gt;=IF(IFERROR(VLOOKUP($C612,TABLE_CYCLE,2,0),3)=2,5,8),"Complet","Incomplet"))))))))</f>
        <v/>
      </c>
      <c r="S612" s="24"/>
      <c r="T612" s="67" t="str">
        <f t="shared" si="82"/>
        <v/>
      </c>
      <c r="U612" s="67" t="str">
        <f t="shared" si="83"/>
        <v/>
      </c>
      <c r="V612" s="67" t="str">
        <f t="shared" si="84"/>
        <v/>
      </c>
      <c r="W612" s="67" t="str">
        <f t="shared" si="85"/>
        <v/>
      </c>
      <c r="X612" s="67" t="str">
        <f t="shared" si="86"/>
        <v/>
      </c>
      <c r="Y612" s="24" t="str">
        <f t="shared" si="87"/>
        <v/>
      </c>
      <c r="Z612">
        <f t="shared" si="88"/>
        <v>0</v>
      </c>
      <c r="AA612">
        <f t="shared" si="89"/>
        <v>0</v>
      </c>
    </row>
    <row r="613" spans="2:27" ht="15.75" customHeight="1" x14ac:dyDescent="0.3">
      <c r="B613" s="21"/>
      <c r="C613" s="21"/>
      <c r="D613" s="21"/>
      <c r="E613" s="22" t="str">
        <f t="shared" si="81"/>
        <v/>
      </c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3" t="str">
        <f>IF($F613="","",IF(OR($B613="",$C613="",$D613=""),"⚠ Compléter Année/Niveau/Session",IF(AND($E613&lt;&gt;"",COUNTIF(D_KEY_DOUBLON,$B613&amp;"|"&amp;$D613&amp;"|"&amp;$E613)&gt;1),"⚠ Doublon",IF(AND($E613&lt;&gt;"",COUNTIF(D_KEY_STATUT,$B613&amp;"|"&amp;$E613&amp;"|P")&gt;0,COUNTIF(D_KEY_STATUT,$B613&amp;"|"&amp;$E613&amp;"|A")&gt;0),"⚠ Statut incohérent",IF(AND($D613="S1",$Y613&lt;&gt;"Parti",COUNTIF(ANNEES_VERROU,$B613)&gt;0,COUNTIF(D_KEY_NIVSES,$B613&amp;"|"&amp;$C613&amp;"|S2")&gt;0,COUNTIF(D_KEY_DOUBLON,$B613&amp;"|S2|"&amp;$E613)=0),"⚠ Départ non confirmé ?",IF(AND($C613&lt;&gt;"",ISNUMBER($I613),OR(VALUE(LEFT($B613,4))-$I613&lt;4+IFERROR(MATCH($C613,LISTE_NIVEAUX,0),99),VALUE(LEFT($B613,4))-$I613&gt;6+IFERROR(MATCH($C613,LISTE_NIVEAUX,0),99))),"⚠ Vérifier niveau",IF(AND(IFERROR(VLOOKUP($C613,TABLE_CYCLE,2,0),3)=2,COUNT($O613:$Q613)&gt;0),"⚠ Tests cycle 3",IF(COUNT($J613:$Q613)&gt;=IF(IFERROR(VLOOKUP($C613,TABLE_CYCLE,2,0),3)=2,5,8),"Complet","Incomplet"))))))))</f>
        <v/>
      </c>
      <c r="S613" s="24"/>
      <c r="T613" s="67" t="str">
        <f t="shared" si="82"/>
        <v/>
      </c>
      <c r="U613" s="67" t="str">
        <f t="shared" si="83"/>
        <v/>
      </c>
      <c r="V613" s="67" t="str">
        <f t="shared" si="84"/>
        <v/>
      </c>
      <c r="W613" s="67" t="str">
        <f t="shared" si="85"/>
        <v/>
      </c>
      <c r="X613" s="67" t="str">
        <f t="shared" si="86"/>
        <v/>
      </c>
      <c r="Y613" s="24" t="str">
        <f t="shared" si="87"/>
        <v/>
      </c>
      <c r="Z613">
        <f t="shared" si="88"/>
        <v>0</v>
      </c>
      <c r="AA613">
        <f t="shared" si="89"/>
        <v>0</v>
      </c>
    </row>
    <row r="614" spans="2:27" ht="15.75" customHeight="1" x14ac:dyDescent="0.3">
      <c r="B614" s="25"/>
      <c r="C614" s="25"/>
      <c r="D614" s="25"/>
      <c r="E614" s="26" t="str">
        <f t="shared" si="81"/>
        <v/>
      </c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3" t="str">
        <f>IF($F614="","",IF(OR($B614="",$C614="",$D614=""),"⚠ Compléter Année/Niveau/Session",IF(AND($E614&lt;&gt;"",COUNTIF(D_KEY_DOUBLON,$B614&amp;"|"&amp;$D614&amp;"|"&amp;$E614)&gt;1),"⚠ Doublon",IF(AND($E614&lt;&gt;"",COUNTIF(D_KEY_STATUT,$B614&amp;"|"&amp;$E614&amp;"|P")&gt;0,COUNTIF(D_KEY_STATUT,$B614&amp;"|"&amp;$E614&amp;"|A")&gt;0),"⚠ Statut incohérent",IF(AND($D614="S1",$Y614&lt;&gt;"Parti",COUNTIF(ANNEES_VERROU,$B614)&gt;0,COUNTIF(D_KEY_NIVSES,$B614&amp;"|"&amp;$C614&amp;"|S2")&gt;0,COUNTIF(D_KEY_DOUBLON,$B614&amp;"|S2|"&amp;$E614)=0),"⚠ Départ non confirmé ?",IF(AND($C614&lt;&gt;"",ISNUMBER($I614),OR(VALUE(LEFT($B614,4))-$I614&lt;4+IFERROR(MATCH($C614,LISTE_NIVEAUX,0),99),VALUE(LEFT($B614,4))-$I614&gt;6+IFERROR(MATCH($C614,LISTE_NIVEAUX,0),99))),"⚠ Vérifier niveau",IF(AND(IFERROR(VLOOKUP($C614,TABLE_CYCLE,2,0),3)=2,COUNT($O614:$Q614)&gt;0),"⚠ Tests cycle 3",IF(COUNT($J614:$Q614)&gt;=IF(IFERROR(VLOOKUP($C614,TABLE_CYCLE,2,0),3)=2,5,8),"Complet","Incomplet"))))))))</f>
        <v/>
      </c>
      <c r="S614" s="24"/>
      <c r="T614" s="67" t="str">
        <f t="shared" si="82"/>
        <v/>
      </c>
      <c r="U614" s="67" t="str">
        <f t="shared" si="83"/>
        <v/>
      </c>
      <c r="V614" s="67" t="str">
        <f t="shared" si="84"/>
        <v/>
      </c>
      <c r="W614" s="67" t="str">
        <f t="shared" si="85"/>
        <v/>
      </c>
      <c r="X614" s="67" t="str">
        <f t="shared" si="86"/>
        <v/>
      </c>
      <c r="Y614" s="24" t="str">
        <f t="shared" si="87"/>
        <v/>
      </c>
      <c r="Z614">
        <f t="shared" si="88"/>
        <v>0</v>
      </c>
      <c r="AA614">
        <f t="shared" si="89"/>
        <v>0</v>
      </c>
    </row>
    <row r="615" spans="2:27" ht="15.75" customHeight="1" x14ac:dyDescent="0.3">
      <c r="B615" s="21"/>
      <c r="C615" s="21"/>
      <c r="D615" s="21"/>
      <c r="E615" s="22" t="str">
        <f t="shared" si="81"/>
        <v/>
      </c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3" t="str">
        <f>IF($F615="","",IF(OR($B615="",$C615="",$D615=""),"⚠ Compléter Année/Niveau/Session",IF(AND($E615&lt;&gt;"",COUNTIF(D_KEY_DOUBLON,$B615&amp;"|"&amp;$D615&amp;"|"&amp;$E615)&gt;1),"⚠ Doublon",IF(AND($E615&lt;&gt;"",COUNTIF(D_KEY_STATUT,$B615&amp;"|"&amp;$E615&amp;"|P")&gt;0,COUNTIF(D_KEY_STATUT,$B615&amp;"|"&amp;$E615&amp;"|A")&gt;0),"⚠ Statut incohérent",IF(AND($D615="S1",$Y615&lt;&gt;"Parti",COUNTIF(ANNEES_VERROU,$B615)&gt;0,COUNTIF(D_KEY_NIVSES,$B615&amp;"|"&amp;$C615&amp;"|S2")&gt;0,COUNTIF(D_KEY_DOUBLON,$B615&amp;"|S2|"&amp;$E615)=0),"⚠ Départ non confirmé ?",IF(AND($C615&lt;&gt;"",ISNUMBER($I615),OR(VALUE(LEFT($B615,4))-$I615&lt;4+IFERROR(MATCH($C615,LISTE_NIVEAUX,0),99),VALUE(LEFT($B615,4))-$I615&gt;6+IFERROR(MATCH($C615,LISTE_NIVEAUX,0),99))),"⚠ Vérifier niveau",IF(AND(IFERROR(VLOOKUP($C615,TABLE_CYCLE,2,0),3)=2,COUNT($O615:$Q615)&gt;0),"⚠ Tests cycle 3",IF(COUNT($J615:$Q615)&gt;=IF(IFERROR(VLOOKUP($C615,TABLE_CYCLE,2,0),3)=2,5,8),"Complet","Incomplet"))))))))</f>
        <v/>
      </c>
      <c r="S615" s="24"/>
      <c r="T615" s="67" t="str">
        <f t="shared" si="82"/>
        <v/>
      </c>
      <c r="U615" s="67" t="str">
        <f t="shared" si="83"/>
        <v/>
      </c>
      <c r="V615" s="67" t="str">
        <f t="shared" si="84"/>
        <v/>
      </c>
      <c r="W615" s="67" t="str">
        <f t="shared" si="85"/>
        <v/>
      </c>
      <c r="X615" s="67" t="str">
        <f t="shared" si="86"/>
        <v/>
      </c>
      <c r="Y615" s="24" t="str">
        <f t="shared" si="87"/>
        <v/>
      </c>
      <c r="Z615">
        <f t="shared" si="88"/>
        <v>0</v>
      </c>
      <c r="AA615">
        <f t="shared" si="89"/>
        <v>0</v>
      </c>
    </row>
    <row r="616" spans="2:27" ht="15.75" customHeight="1" x14ac:dyDescent="0.3">
      <c r="B616" s="25"/>
      <c r="C616" s="25"/>
      <c r="D616" s="25"/>
      <c r="E616" s="26" t="str">
        <f t="shared" si="81"/>
        <v/>
      </c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3" t="str">
        <f>IF($F616="","",IF(OR($B616="",$C616="",$D616=""),"⚠ Compléter Année/Niveau/Session",IF(AND($E616&lt;&gt;"",COUNTIF(D_KEY_DOUBLON,$B616&amp;"|"&amp;$D616&amp;"|"&amp;$E616)&gt;1),"⚠ Doublon",IF(AND($E616&lt;&gt;"",COUNTIF(D_KEY_STATUT,$B616&amp;"|"&amp;$E616&amp;"|P")&gt;0,COUNTIF(D_KEY_STATUT,$B616&amp;"|"&amp;$E616&amp;"|A")&gt;0),"⚠ Statut incohérent",IF(AND($D616="S1",$Y616&lt;&gt;"Parti",COUNTIF(ANNEES_VERROU,$B616)&gt;0,COUNTIF(D_KEY_NIVSES,$B616&amp;"|"&amp;$C616&amp;"|S2")&gt;0,COUNTIF(D_KEY_DOUBLON,$B616&amp;"|S2|"&amp;$E616)=0),"⚠ Départ non confirmé ?",IF(AND($C616&lt;&gt;"",ISNUMBER($I616),OR(VALUE(LEFT($B616,4))-$I616&lt;4+IFERROR(MATCH($C616,LISTE_NIVEAUX,0),99),VALUE(LEFT($B616,4))-$I616&gt;6+IFERROR(MATCH($C616,LISTE_NIVEAUX,0),99))),"⚠ Vérifier niveau",IF(AND(IFERROR(VLOOKUP($C616,TABLE_CYCLE,2,0),3)=2,COUNT($O616:$Q616)&gt;0),"⚠ Tests cycle 3",IF(COUNT($J616:$Q616)&gt;=IF(IFERROR(VLOOKUP($C616,TABLE_CYCLE,2,0),3)=2,5,8),"Complet","Incomplet"))))))))</f>
        <v/>
      </c>
      <c r="S616" s="24"/>
      <c r="T616" s="67" t="str">
        <f t="shared" si="82"/>
        <v/>
      </c>
      <c r="U616" s="67" t="str">
        <f t="shared" si="83"/>
        <v/>
      </c>
      <c r="V616" s="67" t="str">
        <f t="shared" si="84"/>
        <v/>
      </c>
      <c r="W616" s="67" t="str">
        <f t="shared" si="85"/>
        <v/>
      </c>
      <c r="X616" s="67" t="str">
        <f t="shared" si="86"/>
        <v/>
      </c>
      <c r="Y616" s="24" t="str">
        <f t="shared" si="87"/>
        <v/>
      </c>
      <c r="Z616">
        <f t="shared" si="88"/>
        <v>0</v>
      </c>
      <c r="AA616">
        <f t="shared" si="89"/>
        <v>0</v>
      </c>
    </row>
    <row r="617" spans="2:27" ht="15.75" customHeight="1" x14ac:dyDescent="0.3">
      <c r="B617" s="21"/>
      <c r="C617" s="21"/>
      <c r="D617" s="21"/>
      <c r="E617" s="22" t="str">
        <f t="shared" si="81"/>
        <v/>
      </c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3" t="str">
        <f>IF($F617="","",IF(OR($B617="",$C617="",$D617=""),"⚠ Compléter Année/Niveau/Session",IF(AND($E617&lt;&gt;"",COUNTIF(D_KEY_DOUBLON,$B617&amp;"|"&amp;$D617&amp;"|"&amp;$E617)&gt;1),"⚠ Doublon",IF(AND($E617&lt;&gt;"",COUNTIF(D_KEY_STATUT,$B617&amp;"|"&amp;$E617&amp;"|P")&gt;0,COUNTIF(D_KEY_STATUT,$B617&amp;"|"&amp;$E617&amp;"|A")&gt;0),"⚠ Statut incohérent",IF(AND($D617="S1",$Y617&lt;&gt;"Parti",COUNTIF(ANNEES_VERROU,$B617)&gt;0,COUNTIF(D_KEY_NIVSES,$B617&amp;"|"&amp;$C617&amp;"|S2")&gt;0,COUNTIF(D_KEY_DOUBLON,$B617&amp;"|S2|"&amp;$E617)=0),"⚠ Départ non confirmé ?",IF(AND($C617&lt;&gt;"",ISNUMBER($I617),OR(VALUE(LEFT($B617,4))-$I617&lt;4+IFERROR(MATCH($C617,LISTE_NIVEAUX,0),99),VALUE(LEFT($B617,4))-$I617&gt;6+IFERROR(MATCH($C617,LISTE_NIVEAUX,0),99))),"⚠ Vérifier niveau",IF(AND(IFERROR(VLOOKUP($C617,TABLE_CYCLE,2,0),3)=2,COUNT($O617:$Q617)&gt;0),"⚠ Tests cycle 3",IF(COUNT($J617:$Q617)&gt;=IF(IFERROR(VLOOKUP($C617,TABLE_CYCLE,2,0),3)=2,5,8),"Complet","Incomplet"))))))))</f>
        <v/>
      </c>
      <c r="S617" s="24"/>
      <c r="T617" s="67" t="str">
        <f t="shared" si="82"/>
        <v/>
      </c>
      <c r="U617" s="67" t="str">
        <f t="shared" si="83"/>
        <v/>
      </c>
      <c r="V617" s="67" t="str">
        <f t="shared" si="84"/>
        <v/>
      </c>
      <c r="W617" s="67" t="str">
        <f t="shared" si="85"/>
        <v/>
      </c>
      <c r="X617" s="67" t="str">
        <f t="shared" si="86"/>
        <v/>
      </c>
      <c r="Y617" s="24" t="str">
        <f t="shared" si="87"/>
        <v/>
      </c>
      <c r="Z617">
        <f t="shared" si="88"/>
        <v>0</v>
      </c>
      <c r="AA617">
        <f t="shared" si="89"/>
        <v>0</v>
      </c>
    </row>
    <row r="618" spans="2:27" ht="15.75" customHeight="1" x14ac:dyDescent="0.3">
      <c r="B618" s="25"/>
      <c r="C618" s="25"/>
      <c r="D618" s="25"/>
      <c r="E618" s="26" t="str">
        <f t="shared" si="81"/>
        <v/>
      </c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3" t="str">
        <f>IF($F618="","",IF(OR($B618="",$C618="",$D618=""),"⚠ Compléter Année/Niveau/Session",IF(AND($E618&lt;&gt;"",COUNTIF(D_KEY_DOUBLON,$B618&amp;"|"&amp;$D618&amp;"|"&amp;$E618)&gt;1),"⚠ Doublon",IF(AND($E618&lt;&gt;"",COUNTIF(D_KEY_STATUT,$B618&amp;"|"&amp;$E618&amp;"|P")&gt;0,COUNTIF(D_KEY_STATUT,$B618&amp;"|"&amp;$E618&amp;"|A")&gt;0),"⚠ Statut incohérent",IF(AND($D618="S1",$Y618&lt;&gt;"Parti",COUNTIF(ANNEES_VERROU,$B618)&gt;0,COUNTIF(D_KEY_NIVSES,$B618&amp;"|"&amp;$C618&amp;"|S2")&gt;0,COUNTIF(D_KEY_DOUBLON,$B618&amp;"|S2|"&amp;$E618)=0),"⚠ Départ non confirmé ?",IF(AND($C618&lt;&gt;"",ISNUMBER($I618),OR(VALUE(LEFT($B618,4))-$I618&lt;4+IFERROR(MATCH($C618,LISTE_NIVEAUX,0),99),VALUE(LEFT($B618,4))-$I618&gt;6+IFERROR(MATCH($C618,LISTE_NIVEAUX,0),99))),"⚠ Vérifier niveau",IF(AND(IFERROR(VLOOKUP($C618,TABLE_CYCLE,2,0),3)=2,COUNT($O618:$Q618)&gt;0),"⚠ Tests cycle 3",IF(COUNT($J618:$Q618)&gt;=IF(IFERROR(VLOOKUP($C618,TABLE_CYCLE,2,0),3)=2,5,8),"Complet","Incomplet"))))))))</f>
        <v/>
      </c>
      <c r="S618" s="24"/>
      <c r="T618" s="67" t="str">
        <f t="shared" si="82"/>
        <v/>
      </c>
      <c r="U618" s="67" t="str">
        <f t="shared" si="83"/>
        <v/>
      </c>
      <c r="V618" s="67" t="str">
        <f t="shared" si="84"/>
        <v/>
      </c>
      <c r="W618" s="67" t="str">
        <f t="shared" si="85"/>
        <v/>
      </c>
      <c r="X618" s="67" t="str">
        <f t="shared" si="86"/>
        <v/>
      </c>
      <c r="Y618" s="24" t="str">
        <f t="shared" si="87"/>
        <v/>
      </c>
      <c r="Z618">
        <f t="shared" si="88"/>
        <v>0</v>
      </c>
      <c r="AA618">
        <f t="shared" si="89"/>
        <v>0</v>
      </c>
    </row>
    <row r="619" spans="2:27" ht="15.75" customHeight="1" x14ac:dyDescent="0.3">
      <c r="B619" s="21"/>
      <c r="C619" s="21"/>
      <c r="D619" s="21"/>
      <c r="E619" s="22" t="str">
        <f t="shared" si="81"/>
        <v/>
      </c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3" t="str">
        <f>IF($F619="","",IF(OR($B619="",$C619="",$D619=""),"⚠ Compléter Année/Niveau/Session",IF(AND($E619&lt;&gt;"",COUNTIF(D_KEY_DOUBLON,$B619&amp;"|"&amp;$D619&amp;"|"&amp;$E619)&gt;1),"⚠ Doublon",IF(AND($E619&lt;&gt;"",COUNTIF(D_KEY_STATUT,$B619&amp;"|"&amp;$E619&amp;"|P")&gt;0,COUNTIF(D_KEY_STATUT,$B619&amp;"|"&amp;$E619&amp;"|A")&gt;0),"⚠ Statut incohérent",IF(AND($D619="S1",$Y619&lt;&gt;"Parti",COUNTIF(ANNEES_VERROU,$B619)&gt;0,COUNTIF(D_KEY_NIVSES,$B619&amp;"|"&amp;$C619&amp;"|S2")&gt;0,COUNTIF(D_KEY_DOUBLON,$B619&amp;"|S2|"&amp;$E619)=0),"⚠ Départ non confirmé ?",IF(AND($C619&lt;&gt;"",ISNUMBER($I619),OR(VALUE(LEFT($B619,4))-$I619&lt;4+IFERROR(MATCH($C619,LISTE_NIVEAUX,0),99),VALUE(LEFT($B619,4))-$I619&gt;6+IFERROR(MATCH($C619,LISTE_NIVEAUX,0),99))),"⚠ Vérifier niveau",IF(AND(IFERROR(VLOOKUP($C619,TABLE_CYCLE,2,0),3)=2,COUNT($O619:$Q619)&gt;0),"⚠ Tests cycle 3",IF(COUNT($J619:$Q619)&gt;=IF(IFERROR(VLOOKUP($C619,TABLE_CYCLE,2,0),3)=2,5,8),"Complet","Incomplet"))))))))</f>
        <v/>
      </c>
      <c r="S619" s="24"/>
      <c r="T619" s="67" t="str">
        <f t="shared" si="82"/>
        <v/>
      </c>
      <c r="U619" s="67" t="str">
        <f t="shared" si="83"/>
        <v/>
      </c>
      <c r="V619" s="67" t="str">
        <f t="shared" si="84"/>
        <v/>
      </c>
      <c r="W619" s="67" t="str">
        <f t="shared" si="85"/>
        <v/>
      </c>
      <c r="X619" s="67" t="str">
        <f t="shared" si="86"/>
        <v/>
      </c>
      <c r="Y619" s="24" t="str">
        <f t="shared" si="87"/>
        <v/>
      </c>
      <c r="Z619">
        <f t="shared" si="88"/>
        <v>0</v>
      </c>
      <c r="AA619">
        <f t="shared" si="89"/>
        <v>0</v>
      </c>
    </row>
    <row r="620" spans="2:27" ht="15.75" customHeight="1" x14ac:dyDescent="0.3">
      <c r="B620" s="25"/>
      <c r="C620" s="25"/>
      <c r="D620" s="25"/>
      <c r="E620" s="26" t="str">
        <f t="shared" si="81"/>
        <v/>
      </c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3" t="str">
        <f>IF($F620="","",IF(OR($B620="",$C620="",$D620=""),"⚠ Compléter Année/Niveau/Session",IF(AND($E620&lt;&gt;"",COUNTIF(D_KEY_DOUBLON,$B620&amp;"|"&amp;$D620&amp;"|"&amp;$E620)&gt;1),"⚠ Doublon",IF(AND($E620&lt;&gt;"",COUNTIF(D_KEY_STATUT,$B620&amp;"|"&amp;$E620&amp;"|P")&gt;0,COUNTIF(D_KEY_STATUT,$B620&amp;"|"&amp;$E620&amp;"|A")&gt;0),"⚠ Statut incohérent",IF(AND($D620="S1",$Y620&lt;&gt;"Parti",COUNTIF(ANNEES_VERROU,$B620)&gt;0,COUNTIF(D_KEY_NIVSES,$B620&amp;"|"&amp;$C620&amp;"|S2")&gt;0,COUNTIF(D_KEY_DOUBLON,$B620&amp;"|S2|"&amp;$E620)=0),"⚠ Départ non confirmé ?",IF(AND($C620&lt;&gt;"",ISNUMBER($I620),OR(VALUE(LEFT($B620,4))-$I620&lt;4+IFERROR(MATCH($C620,LISTE_NIVEAUX,0),99),VALUE(LEFT($B620,4))-$I620&gt;6+IFERROR(MATCH($C620,LISTE_NIVEAUX,0),99))),"⚠ Vérifier niveau",IF(AND(IFERROR(VLOOKUP($C620,TABLE_CYCLE,2,0),3)=2,COUNT($O620:$Q620)&gt;0),"⚠ Tests cycle 3",IF(COUNT($J620:$Q620)&gt;=IF(IFERROR(VLOOKUP($C620,TABLE_CYCLE,2,0),3)=2,5,8),"Complet","Incomplet"))))))))</f>
        <v/>
      </c>
      <c r="S620" s="24"/>
      <c r="T620" s="67" t="str">
        <f t="shared" si="82"/>
        <v/>
      </c>
      <c r="U620" s="67" t="str">
        <f t="shared" si="83"/>
        <v/>
      </c>
      <c r="V620" s="67" t="str">
        <f t="shared" si="84"/>
        <v/>
      </c>
      <c r="W620" s="67" t="str">
        <f t="shared" si="85"/>
        <v/>
      </c>
      <c r="X620" s="67" t="str">
        <f t="shared" si="86"/>
        <v/>
      </c>
      <c r="Y620" s="24" t="str">
        <f t="shared" si="87"/>
        <v/>
      </c>
      <c r="Z620">
        <f t="shared" si="88"/>
        <v>0</v>
      </c>
      <c r="AA620">
        <f t="shared" si="89"/>
        <v>0</v>
      </c>
    </row>
    <row r="621" spans="2:27" ht="15.75" customHeight="1" x14ac:dyDescent="0.3">
      <c r="B621" s="21"/>
      <c r="C621" s="21"/>
      <c r="D621" s="21"/>
      <c r="E621" s="22" t="str">
        <f t="shared" si="81"/>
        <v/>
      </c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3" t="str">
        <f>IF($F621="","",IF(OR($B621="",$C621="",$D621=""),"⚠ Compléter Année/Niveau/Session",IF(AND($E621&lt;&gt;"",COUNTIF(D_KEY_DOUBLON,$B621&amp;"|"&amp;$D621&amp;"|"&amp;$E621)&gt;1),"⚠ Doublon",IF(AND($E621&lt;&gt;"",COUNTIF(D_KEY_STATUT,$B621&amp;"|"&amp;$E621&amp;"|P")&gt;0,COUNTIF(D_KEY_STATUT,$B621&amp;"|"&amp;$E621&amp;"|A")&gt;0),"⚠ Statut incohérent",IF(AND($D621="S1",$Y621&lt;&gt;"Parti",COUNTIF(ANNEES_VERROU,$B621)&gt;0,COUNTIF(D_KEY_NIVSES,$B621&amp;"|"&amp;$C621&amp;"|S2")&gt;0,COUNTIF(D_KEY_DOUBLON,$B621&amp;"|S2|"&amp;$E621)=0),"⚠ Départ non confirmé ?",IF(AND($C621&lt;&gt;"",ISNUMBER($I621),OR(VALUE(LEFT($B621,4))-$I621&lt;4+IFERROR(MATCH($C621,LISTE_NIVEAUX,0),99),VALUE(LEFT($B621,4))-$I621&gt;6+IFERROR(MATCH($C621,LISTE_NIVEAUX,0),99))),"⚠ Vérifier niveau",IF(AND(IFERROR(VLOOKUP($C621,TABLE_CYCLE,2,0),3)=2,COUNT($O621:$Q621)&gt;0),"⚠ Tests cycle 3",IF(COUNT($J621:$Q621)&gt;=IF(IFERROR(VLOOKUP($C621,TABLE_CYCLE,2,0),3)=2,5,8),"Complet","Incomplet"))))))))</f>
        <v/>
      </c>
      <c r="S621" s="24"/>
      <c r="T621" s="67" t="str">
        <f t="shared" si="82"/>
        <v/>
      </c>
      <c r="U621" s="67" t="str">
        <f t="shared" si="83"/>
        <v/>
      </c>
      <c r="V621" s="67" t="str">
        <f t="shared" si="84"/>
        <v/>
      </c>
      <c r="W621" s="67" t="str">
        <f t="shared" si="85"/>
        <v/>
      </c>
      <c r="X621" s="67" t="str">
        <f t="shared" si="86"/>
        <v/>
      </c>
      <c r="Y621" s="24" t="str">
        <f t="shared" si="87"/>
        <v/>
      </c>
      <c r="Z621">
        <f t="shared" si="88"/>
        <v>0</v>
      </c>
      <c r="AA621">
        <f t="shared" si="89"/>
        <v>0</v>
      </c>
    </row>
    <row r="622" spans="2:27" ht="15.75" customHeight="1" x14ac:dyDescent="0.3">
      <c r="B622" s="25"/>
      <c r="C622" s="25"/>
      <c r="D622" s="25"/>
      <c r="E622" s="26" t="str">
        <f t="shared" si="81"/>
        <v/>
      </c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3" t="str">
        <f>IF($F622="","",IF(OR($B622="",$C622="",$D622=""),"⚠ Compléter Année/Niveau/Session",IF(AND($E622&lt;&gt;"",COUNTIF(D_KEY_DOUBLON,$B622&amp;"|"&amp;$D622&amp;"|"&amp;$E622)&gt;1),"⚠ Doublon",IF(AND($E622&lt;&gt;"",COUNTIF(D_KEY_STATUT,$B622&amp;"|"&amp;$E622&amp;"|P")&gt;0,COUNTIF(D_KEY_STATUT,$B622&amp;"|"&amp;$E622&amp;"|A")&gt;0),"⚠ Statut incohérent",IF(AND($D622="S1",$Y622&lt;&gt;"Parti",COUNTIF(ANNEES_VERROU,$B622)&gt;0,COUNTIF(D_KEY_NIVSES,$B622&amp;"|"&amp;$C622&amp;"|S2")&gt;0,COUNTIF(D_KEY_DOUBLON,$B622&amp;"|S2|"&amp;$E622)=0),"⚠ Départ non confirmé ?",IF(AND($C622&lt;&gt;"",ISNUMBER($I622),OR(VALUE(LEFT($B622,4))-$I622&lt;4+IFERROR(MATCH($C622,LISTE_NIVEAUX,0),99),VALUE(LEFT($B622,4))-$I622&gt;6+IFERROR(MATCH($C622,LISTE_NIVEAUX,0),99))),"⚠ Vérifier niveau",IF(AND(IFERROR(VLOOKUP($C622,TABLE_CYCLE,2,0),3)=2,COUNT($O622:$Q622)&gt;0),"⚠ Tests cycle 3",IF(COUNT($J622:$Q622)&gt;=IF(IFERROR(VLOOKUP($C622,TABLE_CYCLE,2,0),3)=2,5,8),"Complet","Incomplet"))))))))</f>
        <v/>
      </c>
      <c r="S622" s="24"/>
      <c r="T622" s="67" t="str">
        <f t="shared" si="82"/>
        <v/>
      </c>
      <c r="U622" s="67" t="str">
        <f t="shared" si="83"/>
        <v/>
      </c>
      <c r="V622" s="67" t="str">
        <f t="shared" si="84"/>
        <v/>
      </c>
      <c r="W622" s="67" t="str">
        <f t="shared" si="85"/>
        <v/>
      </c>
      <c r="X622" s="67" t="str">
        <f t="shared" si="86"/>
        <v/>
      </c>
      <c r="Y622" s="24" t="str">
        <f t="shared" si="87"/>
        <v/>
      </c>
      <c r="Z622">
        <f t="shared" si="88"/>
        <v>0</v>
      </c>
      <c r="AA622">
        <f t="shared" si="89"/>
        <v>0</v>
      </c>
    </row>
    <row r="623" spans="2:27" ht="15.75" customHeight="1" x14ac:dyDescent="0.3">
      <c r="B623" s="21"/>
      <c r="C623" s="21"/>
      <c r="D623" s="21"/>
      <c r="E623" s="22" t="str">
        <f t="shared" si="81"/>
        <v/>
      </c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3" t="str">
        <f>IF($F623="","",IF(OR($B623="",$C623="",$D623=""),"⚠ Compléter Année/Niveau/Session",IF(AND($E623&lt;&gt;"",COUNTIF(D_KEY_DOUBLON,$B623&amp;"|"&amp;$D623&amp;"|"&amp;$E623)&gt;1),"⚠ Doublon",IF(AND($E623&lt;&gt;"",COUNTIF(D_KEY_STATUT,$B623&amp;"|"&amp;$E623&amp;"|P")&gt;0,COUNTIF(D_KEY_STATUT,$B623&amp;"|"&amp;$E623&amp;"|A")&gt;0),"⚠ Statut incohérent",IF(AND($D623="S1",$Y623&lt;&gt;"Parti",COUNTIF(ANNEES_VERROU,$B623)&gt;0,COUNTIF(D_KEY_NIVSES,$B623&amp;"|"&amp;$C623&amp;"|S2")&gt;0,COUNTIF(D_KEY_DOUBLON,$B623&amp;"|S2|"&amp;$E623)=0),"⚠ Départ non confirmé ?",IF(AND($C623&lt;&gt;"",ISNUMBER($I623),OR(VALUE(LEFT($B623,4))-$I623&lt;4+IFERROR(MATCH($C623,LISTE_NIVEAUX,0),99),VALUE(LEFT($B623,4))-$I623&gt;6+IFERROR(MATCH($C623,LISTE_NIVEAUX,0),99))),"⚠ Vérifier niveau",IF(AND(IFERROR(VLOOKUP($C623,TABLE_CYCLE,2,0),3)=2,COUNT($O623:$Q623)&gt;0),"⚠ Tests cycle 3",IF(COUNT($J623:$Q623)&gt;=IF(IFERROR(VLOOKUP($C623,TABLE_CYCLE,2,0),3)=2,5,8),"Complet","Incomplet"))))))))</f>
        <v/>
      </c>
      <c r="S623" s="24"/>
      <c r="T623" s="67" t="str">
        <f t="shared" si="82"/>
        <v/>
      </c>
      <c r="U623" s="67" t="str">
        <f t="shared" si="83"/>
        <v/>
      </c>
      <c r="V623" s="67" t="str">
        <f t="shared" si="84"/>
        <v/>
      </c>
      <c r="W623" s="67" t="str">
        <f t="shared" si="85"/>
        <v/>
      </c>
      <c r="X623" s="67" t="str">
        <f t="shared" si="86"/>
        <v/>
      </c>
      <c r="Y623" s="24" t="str">
        <f t="shared" si="87"/>
        <v/>
      </c>
      <c r="Z623">
        <f t="shared" si="88"/>
        <v>0</v>
      </c>
      <c r="AA623">
        <f t="shared" si="89"/>
        <v>0</v>
      </c>
    </row>
    <row r="624" spans="2:27" ht="15.75" customHeight="1" x14ac:dyDescent="0.3">
      <c r="B624" s="25"/>
      <c r="C624" s="25"/>
      <c r="D624" s="25"/>
      <c r="E624" s="26" t="str">
        <f t="shared" si="81"/>
        <v/>
      </c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3" t="str">
        <f>IF($F624="","",IF(OR($B624="",$C624="",$D624=""),"⚠ Compléter Année/Niveau/Session",IF(AND($E624&lt;&gt;"",COUNTIF(D_KEY_DOUBLON,$B624&amp;"|"&amp;$D624&amp;"|"&amp;$E624)&gt;1),"⚠ Doublon",IF(AND($E624&lt;&gt;"",COUNTIF(D_KEY_STATUT,$B624&amp;"|"&amp;$E624&amp;"|P")&gt;0,COUNTIF(D_KEY_STATUT,$B624&amp;"|"&amp;$E624&amp;"|A")&gt;0),"⚠ Statut incohérent",IF(AND($D624="S1",$Y624&lt;&gt;"Parti",COUNTIF(ANNEES_VERROU,$B624)&gt;0,COUNTIF(D_KEY_NIVSES,$B624&amp;"|"&amp;$C624&amp;"|S2")&gt;0,COUNTIF(D_KEY_DOUBLON,$B624&amp;"|S2|"&amp;$E624)=0),"⚠ Départ non confirmé ?",IF(AND($C624&lt;&gt;"",ISNUMBER($I624),OR(VALUE(LEFT($B624,4))-$I624&lt;4+IFERROR(MATCH($C624,LISTE_NIVEAUX,0),99),VALUE(LEFT($B624,4))-$I624&gt;6+IFERROR(MATCH($C624,LISTE_NIVEAUX,0),99))),"⚠ Vérifier niveau",IF(AND(IFERROR(VLOOKUP($C624,TABLE_CYCLE,2,0),3)=2,COUNT($O624:$Q624)&gt;0),"⚠ Tests cycle 3",IF(COUNT($J624:$Q624)&gt;=IF(IFERROR(VLOOKUP($C624,TABLE_CYCLE,2,0),3)=2,5,8),"Complet","Incomplet"))))))))</f>
        <v/>
      </c>
      <c r="S624" s="24"/>
      <c r="T624" s="67" t="str">
        <f t="shared" si="82"/>
        <v/>
      </c>
      <c r="U624" s="67" t="str">
        <f t="shared" si="83"/>
        <v/>
      </c>
      <c r="V624" s="67" t="str">
        <f t="shared" si="84"/>
        <v/>
      </c>
      <c r="W624" s="67" t="str">
        <f t="shared" si="85"/>
        <v/>
      </c>
      <c r="X624" s="67" t="str">
        <f t="shared" si="86"/>
        <v/>
      </c>
      <c r="Y624" s="24" t="str">
        <f t="shared" si="87"/>
        <v/>
      </c>
      <c r="Z624">
        <f t="shared" si="88"/>
        <v>0</v>
      </c>
      <c r="AA624">
        <f t="shared" si="89"/>
        <v>0</v>
      </c>
    </row>
    <row r="625" spans="2:27" ht="15.75" customHeight="1" x14ac:dyDescent="0.3">
      <c r="B625" s="21"/>
      <c r="C625" s="21"/>
      <c r="D625" s="21"/>
      <c r="E625" s="22" t="str">
        <f t="shared" si="81"/>
        <v/>
      </c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3" t="str">
        <f>IF($F625="","",IF(OR($B625="",$C625="",$D625=""),"⚠ Compléter Année/Niveau/Session",IF(AND($E625&lt;&gt;"",COUNTIF(D_KEY_DOUBLON,$B625&amp;"|"&amp;$D625&amp;"|"&amp;$E625)&gt;1),"⚠ Doublon",IF(AND($E625&lt;&gt;"",COUNTIF(D_KEY_STATUT,$B625&amp;"|"&amp;$E625&amp;"|P")&gt;0,COUNTIF(D_KEY_STATUT,$B625&amp;"|"&amp;$E625&amp;"|A")&gt;0),"⚠ Statut incohérent",IF(AND($D625="S1",$Y625&lt;&gt;"Parti",COUNTIF(ANNEES_VERROU,$B625)&gt;0,COUNTIF(D_KEY_NIVSES,$B625&amp;"|"&amp;$C625&amp;"|S2")&gt;0,COUNTIF(D_KEY_DOUBLON,$B625&amp;"|S2|"&amp;$E625)=0),"⚠ Départ non confirmé ?",IF(AND($C625&lt;&gt;"",ISNUMBER($I625),OR(VALUE(LEFT($B625,4))-$I625&lt;4+IFERROR(MATCH($C625,LISTE_NIVEAUX,0),99),VALUE(LEFT($B625,4))-$I625&gt;6+IFERROR(MATCH($C625,LISTE_NIVEAUX,0),99))),"⚠ Vérifier niveau",IF(AND(IFERROR(VLOOKUP($C625,TABLE_CYCLE,2,0),3)=2,COUNT($O625:$Q625)&gt;0),"⚠ Tests cycle 3",IF(COUNT($J625:$Q625)&gt;=IF(IFERROR(VLOOKUP($C625,TABLE_CYCLE,2,0),3)=2,5,8),"Complet","Incomplet"))))))))</f>
        <v/>
      </c>
      <c r="S625" s="24"/>
      <c r="T625" s="67" t="str">
        <f t="shared" si="82"/>
        <v/>
      </c>
      <c r="U625" s="67" t="str">
        <f t="shared" si="83"/>
        <v/>
      </c>
      <c r="V625" s="67" t="str">
        <f t="shared" si="84"/>
        <v/>
      </c>
      <c r="W625" s="67" t="str">
        <f t="shared" si="85"/>
        <v/>
      </c>
      <c r="X625" s="67" t="str">
        <f t="shared" si="86"/>
        <v/>
      </c>
      <c r="Y625" s="24" t="str">
        <f t="shared" si="87"/>
        <v/>
      </c>
      <c r="Z625">
        <f t="shared" si="88"/>
        <v>0</v>
      </c>
      <c r="AA625">
        <f t="shared" si="89"/>
        <v>0</v>
      </c>
    </row>
    <row r="626" spans="2:27" ht="15.75" customHeight="1" x14ac:dyDescent="0.3">
      <c r="B626" s="25"/>
      <c r="C626" s="25"/>
      <c r="D626" s="25"/>
      <c r="E626" s="26" t="str">
        <f t="shared" si="81"/>
        <v/>
      </c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3" t="str">
        <f>IF($F626="","",IF(OR($B626="",$C626="",$D626=""),"⚠ Compléter Année/Niveau/Session",IF(AND($E626&lt;&gt;"",COUNTIF(D_KEY_DOUBLON,$B626&amp;"|"&amp;$D626&amp;"|"&amp;$E626)&gt;1),"⚠ Doublon",IF(AND($E626&lt;&gt;"",COUNTIF(D_KEY_STATUT,$B626&amp;"|"&amp;$E626&amp;"|P")&gt;0,COUNTIF(D_KEY_STATUT,$B626&amp;"|"&amp;$E626&amp;"|A")&gt;0),"⚠ Statut incohérent",IF(AND($D626="S1",$Y626&lt;&gt;"Parti",COUNTIF(ANNEES_VERROU,$B626)&gt;0,COUNTIF(D_KEY_NIVSES,$B626&amp;"|"&amp;$C626&amp;"|S2")&gt;0,COUNTIF(D_KEY_DOUBLON,$B626&amp;"|S2|"&amp;$E626)=0),"⚠ Départ non confirmé ?",IF(AND($C626&lt;&gt;"",ISNUMBER($I626),OR(VALUE(LEFT($B626,4))-$I626&lt;4+IFERROR(MATCH($C626,LISTE_NIVEAUX,0),99),VALUE(LEFT($B626,4))-$I626&gt;6+IFERROR(MATCH($C626,LISTE_NIVEAUX,0),99))),"⚠ Vérifier niveau",IF(AND(IFERROR(VLOOKUP($C626,TABLE_CYCLE,2,0),3)=2,COUNT($O626:$Q626)&gt;0),"⚠ Tests cycle 3",IF(COUNT($J626:$Q626)&gt;=IF(IFERROR(VLOOKUP($C626,TABLE_CYCLE,2,0),3)=2,5,8),"Complet","Incomplet"))))))))</f>
        <v/>
      </c>
      <c r="S626" s="24"/>
      <c r="T626" s="67" t="str">
        <f t="shared" si="82"/>
        <v/>
      </c>
      <c r="U626" s="67" t="str">
        <f t="shared" si="83"/>
        <v/>
      </c>
      <c r="V626" s="67" t="str">
        <f t="shared" si="84"/>
        <v/>
      </c>
      <c r="W626" s="67" t="str">
        <f t="shared" si="85"/>
        <v/>
      </c>
      <c r="X626" s="67" t="str">
        <f t="shared" si="86"/>
        <v/>
      </c>
      <c r="Y626" s="24" t="str">
        <f t="shared" si="87"/>
        <v/>
      </c>
      <c r="Z626">
        <f t="shared" si="88"/>
        <v>0</v>
      </c>
      <c r="AA626">
        <f t="shared" si="89"/>
        <v>0</v>
      </c>
    </row>
    <row r="627" spans="2:27" ht="15.75" customHeight="1" x14ac:dyDescent="0.3">
      <c r="B627" s="21"/>
      <c r="C627" s="21"/>
      <c r="D627" s="21"/>
      <c r="E627" s="22" t="str">
        <f t="shared" si="81"/>
        <v/>
      </c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3" t="str">
        <f>IF($F627="","",IF(OR($B627="",$C627="",$D627=""),"⚠ Compléter Année/Niveau/Session",IF(AND($E627&lt;&gt;"",COUNTIF(D_KEY_DOUBLON,$B627&amp;"|"&amp;$D627&amp;"|"&amp;$E627)&gt;1),"⚠ Doublon",IF(AND($E627&lt;&gt;"",COUNTIF(D_KEY_STATUT,$B627&amp;"|"&amp;$E627&amp;"|P")&gt;0,COUNTIF(D_KEY_STATUT,$B627&amp;"|"&amp;$E627&amp;"|A")&gt;0),"⚠ Statut incohérent",IF(AND($D627="S1",$Y627&lt;&gt;"Parti",COUNTIF(ANNEES_VERROU,$B627)&gt;0,COUNTIF(D_KEY_NIVSES,$B627&amp;"|"&amp;$C627&amp;"|S2")&gt;0,COUNTIF(D_KEY_DOUBLON,$B627&amp;"|S2|"&amp;$E627)=0),"⚠ Départ non confirmé ?",IF(AND($C627&lt;&gt;"",ISNUMBER($I627),OR(VALUE(LEFT($B627,4))-$I627&lt;4+IFERROR(MATCH($C627,LISTE_NIVEAUX,0),99),VALUE(LEFT($B627,4))-$I627&gt;6+IFERROR(MATCH($C627,LISTE_NIVEAUX,0),99))),"⚠ Vérifier niveau",IF(AND(IFERROR(VLOOKUP($C627,TABLE_CYCLE,2,0),3)=2,COUNT($O627:$Q627)&gt;0),"⚠ Tests cycle 3",IF(COUNT($J627:$Q627)&gt;=IF(IFERROR(VLOOKUP($C627,TABLE_CYCLE,2,0),3)=2,5,8),"Complet","Incomplet"))))))))</f>
        <v/>
      </c>
      <c r="S627" s="24"/>
      <c r="T627" s="67" t="str">
        <f t="shared" si="82"/>
        <v/>
      </c>
      <c r="U627" s="67" t="str">
        <f t="shared" si="83"/>
        <v/>
      </c>
      <c r="V627" s="67" t="str">
        <f t="shared" si="84"/>
        <v/>
      </c>
      <c r="W627" s="67" t="str">
        <f t="shared" si="85"/>
        <v/>
      </c>
      <c r="X627" s="67" t="str">
        <f t="shared" si="86"/>
        <v/>
      </c>
      <c r="Y627" s="24" t="str">
        <f t="shared" si="87"/>
        <v/>
      </c>
      <c r="Z627">
        <f t="shared" si="88"/>
        <v>0</v>
      </c>
      <c r="AA627">
        <f t="shared" si="89"/>
        <v>0</v>
      </c>
    </row>
    <row r="628" spans="2:27" ht="15.75" customHeight="1" x14ac:dyDescent="0.3">
      <c r="B628" s="25"/>
      <c r="C628" s="25"/>
      <c r="D628" s="25"/>
      <c r="E628" s="26" t="str">
        <f t="shared" si="81"/>
        <v/>
      </c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3" t="str">
        <f>IF($F628="","",IF(OR($B628="",$C628="",$D628=""),"⚠ Compléter Année/Niveau/Session",IF(AND($E628&lt;&gt;"",COUNTIF(D_KEY_DOUBLON,$B628&amp;"|"&amp;$D628&amp;"|"&amp;$E628)&gt;1),"⚠ Doublon",IF(AND($E628&lt;&gt;"",COUNTIF(D_KEY_STATUT,$B628&amp;"|"&amp;$E628&amp;"|P")&gt;0,COUNTIF(D_KEY_STATUT,$B628&amp;"|"&amp;$E628&amp;"|A")&gt;0),"⚠ Statut incohérent",IF(AND($D628="S1",$Y628&lt;&gt;"Parti",COUNTIF(ANNEES_VERROU,$B628)&gt;0,COUNTIF(D_KEY_NIVSES,$B628&amp;"|"&amp;$C628&amp;"|S2")&gt;0,COUNTIF(D_KEY_DOUBLON,$B628&amp;"|S2|"&amp;$E628)=0),"⚠ Départ non confirmé ?",IF(AND($C628&lt;&gt;"",ISNUMBER($I628),OR(VALUE(LEFT($B628,4))-$I628&lt;4+IFERROR(MATCH($C628,LISTE_NIVEAUX,0),99),VALUE(LEFT($B628,4))-$I628&gt;6+IFERROR(MATCH($C628,LISTE_NIVEAUX,0),99))),"⚠ Vérifier niveau",IF(AND(IFERROR(VLOOKUP($C628,TABLE_CYCLE,2,0),3)=2,COUNT($O628:$Q628)&gt;0),"⚠ Tests cycle 3",IF(COUNT($J628:$Q628)&gt;=IF(IFERROR(VLOOKUP($C628,TABLE_CYCLE,2,0),3)=2,5,8),"Complet","Incomplet"))))))))</f>
        <v/>
      </c>
      <c r="S628" s="24"/>
      <c r="T628" s="67" t="str">
        <f t="shared" si="82"/>
        <v/>
      </c>
      <c r="U628" s="67" t="str">
        <f t="shared" si="83"/>
        <v/>
      </c>
      <c r="V628" s="67" t="str">
        <f t="shared" si="84"/>
        <v/>
      </c>
      <c r="W628" s="67" t="str">
        <f t="shared" si="85"/>
        <v/>
      </c>
      <c r="X628" s="67" t="str">
        <f t="shared" si="86"/>
        <v/>
      </c>
      <c r="Y628" s="24" t="str">
        <f t="shared" si="87"/>
        <v/>
      </c>
      <c r="Z628">
        <f t="shared" si="88"/>
        <v>0</v>
      </c>
      <c r="AA628">
        <f t="shared" si="89"/>
        <v>0</v>
      </c>
    </row>
    <row r="629" spans="2:27" ht="15.75" customHeight="1" x14ac:dyDescent="0.3">
      <c r="B629" s="21"/>
      <c r="C629" s="21"/>
      <c r="D629" s="21"/>
      <c r="E629" s="22" t="str">
        <f t="shared" si="81"/>
        <v/>
      </c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3" t="str">
        <f>IF($F629="","",IF(OR($B629="",$C629="",$D629=""),"⚠ Compléter Année/Niveau/Session",IF(AND($E629&lt;&gt;"",COUNTIF(D_KEY_DOUBLON,$B629&amp;"|"&amp;$D629&amp;"|"&amp;$E629)&gt;1),"⚠ Doublon",IF(AND($E629&lt;&gt;"",COUNTIF(D_KEY_STATUT,$B629&amp;"|"&amp;$E629&amp;"|P")&gt;0,COUNTIF(D_KEY_STATUT,$B629&amp;"|"&amp;$E629&amp;"|A")&gt;0),"⚠ Statut incohérent",IF(AND($D629="S1",$Y629&lt;&gt;"Parti",COUNTIF(ANNEES_VERROU,$B629)&gt;0,COUNTIF(D_KEY_NIVSES,$B629&amp;"|"&amp;$C629&amp;"|S2")&gt;0,COUNTIF(D_KEY_DOUBLON,$B629&amp;"|S2|"&amp;$E629)=0),"⚠ Départ non confirmé ?",IF(AND($C629&lt;&gt;"",ISNUMBER($I629),OR(VALUE(LEFT($B629,4))-$I629&lt;4+IFERROR(MATCH($C629,LISTE_NIVEAUX,0),99),VALUE(LEFT($B629,4))-$I629&gt;6+IFERROR(MATCH($C629,LISTE_NIVEAUX,0),99))),"⚠ Vérifier niveau",IF(AND(IFERROR(VLOOKUP($C629,TABLE_CYCLE,2,0),3)=2,COUNT($O629:$Q629)&gt;0),"⚠ Tests cycle 3",IF(COUNT($J629:$Q629)&gt;=IF(IFERROR(VLOOKUP($C629,TABLE_CYCLE,2,0),3)=2,5,8),"Complet","Incomplet"))))))))</f>
        <v/>
      </c>
      <c r="S629" s="24"/>
      <c r="T629" s="67" t="str">
        <f t="shared" si="82"/>
        <v/>
      </c>
      <c r="U629" s="67" t="str">
        <f t="shared" si="83"/>
        <v/>
      </c>
      <c r="V629" s="67" t="str">
        <f t="shared" si="84"/>
        <v/>
      </c>
      <c r="W629" s="67" t="str">
        <f t="shared" si="85"/>
        <v/>
      </c>
      <c r="X629" s="67" t="str">
        <f t="shared" si="86"/>
        <v/>
      </c>
      <c r="Y629" s="24" t="str">
        <f t="shared" si="87"/>
        <v/>
      </c>
      <c r="Z629">
        <f t="shared" si="88"/>
        <v>0</v>
      </c>
      <c r="AA629">
        <f t="shared" si="89"/>
        <v>0</v>
      </c>
    </row>
    <row r="630" spans="2:27" ht="15.75" customHeight="1" x14ac:dyDescent="0.3">
      <c r="B630" s="25"/>
      <c r="C630" s="25"/>
      <c r="D630" s="25"/>
      <c r="E630" s="26" t="str">
        <f t="shared" si="81"/>
        <v/>
      </c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3" t="str">
        <f>IF($F630="","",IF(OR($B630="",$C630="",$D630=""),"⚠ Compléter Année/Niveau/Session",IF(AND($E630&lt;&gt;"",COUNTIF(D_KEY_DOUBLON,$B630&amp;"|"&amp;$D630&amp;"|"&amp;$E630)&gt;1),"⚠ Doublon",IF(AND($E630&lt;&gt;"",COUNTIF(D_KEY_STATUT,$B630&amp;"|"&amp;$E630&amp;"|P")&gt;0,COUNTIF(D_KEY_STATUT,$B630&amp;"|"&amp;$E630&amp;"|A")&gt;0),"⚠ Statut incohérent",IF(AND($D630="S1",$Y630&lt;&gt;"Parti",COUNTIF(ANNEES_VERROU,$B630)&gt;0,COUNTIF(D_KEY_NIVSES,$B630&amp;"|"&amp;$C630&amp;"|S2")&gt;0,COUNTIF(D_KEY_DOUBLON,$B630&amp;"|S2|"&amp;$E630)=0),"⚠ Départ non confirmé ?",IF(AND($C630&lt;&gt;"",ISNUMBER($I630),OR(VALUE(LEFT($B630,4))-$I630&lt;4+IFERROR(MATCH($C630,LISTE_NIVEAUX,0),99),VALUE(LEFT($B630,4))-$I630&gt;6+IFERROR(MATCH($C630,LISTE_NIVEAUX,0),99))),"⚠ Vérifier niveau",IF(AND(IFERROR(VLOOKUP($C630,TABLE_CYCLE,2,0),3)=2,COUNT($O630:$Q630)&gt;0),"⚠ Tests cycle 3",IF(COUNT($J630:$Q630)&gt;=IF(IFERROR(VLOOKUP($C630,TABLE_CYCLE,2,0),3)=2,5,8),"Complet","Incomplet"))))))))</f>
        <v/>
      </c>
      <c r="S630" s="24"/>
      <c r="T630" s="67" t="str">
        <f t="shared" si="82"/>
        <v/>
      </c>
      <c r="U630" s="67" t="str">
        <f t="shared" si="83"/>
        <v/>
      </c>
      <c r="V630" s="67" t="str">
        <f t="shared" si="84"/>
        <v/>
      </c>
      <c r="W630" s="67" t="str">
        <f t="shared" si="85"/>
        <v/>
      </c>
      <c r="X630" s="67" t="str">
        <f t="shared" si="86"/>
        <v/>
      </c>
      <c r="Y630" s="24" t="str">
        <f t="shared" si="87"/>
        <v/>
      </c>
      <c r="Z630">
        <f t="shared" si="88"/>
        <v>0</v>
      </c>
      <c r="AA630">
        <f t="shared" si="89"/>
        <v>0</v>
      </c>
    </row>
    <row r="631" spans="2:27" ht="15.75" customHeight="1" x14ac:dyDescent="0.3">
      <c r="B631" s="21"/>
      <c r="C631" s="21"/>
      <c r="D631" s="21"/>
      <c r="E631" s="22" t="str">
        <f t="shared" si="81"/>
        <v/>
      </c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3" t="str">
        <f>IF($F631="","",IF(OR($B631="",$C631="",$D631=""),"⚠ Compléter Année/Niveau/Session",IF(AND($E631&lt;&gt;"",COUNTIF(D_KEY_DOUBLON,$B631&amp;"|"&amp;$D631&amp;"|"&amp;$E631)&gt;1),"⚠ Doublon",IF(AND($E631&lt;&gt;"",COUNTIF(D_KEY_STATUT,$B631&amp;"|"&amp;$E631&amp;"|P")&gt;0,COUNTIF(D_KEY_STATUT,$B631&amp;"|"&amp;$E631&amp;"|A")&gt;0),"⚠ Statut incohérent",IF(AND($D631="S1",$Y631&lt;&gt;"Parti",COUNTIF(ANNEES_VERROU,$B631)&gt;0,COUNTIF(D_KEY_NIVSES,$B631&amp;"|"&amp;$C631&amp;"|S2")&gt;0,COUNTIF(D_KEY_DOUBLON,$B631&amp;"|S2|"&amp;$E631)=0),"⚠ Départ non confirmé ?",IF(AND($C631&lt;&gt;"",ISNUMBER($I631),OR(VALUE(LEFT($B631,4))-$I631&lt;4+IFERROR(MATCH($C631,LISTE_NIVEAUX,0),99),VALUE(LEFT($B631,4))-$I631&gt;6+IFERROR(MATCH($C631,LISTE_NIVEAUX,0),99))),"⚠ Vérifier niveau",IF(AND(IFERROR(VLOOKUP($C631,TABLE_CYCLE,2,0),3)=2,COUNT($O631:$Q631)&gt;0),"⚠ Tests cycle 3",IF(COUNT($J631:$Q631)&gt;=IF(IFERROR(VLOOKUP($C631,TABLE_CYCLE,2,0),3)=2,5,8),"Complet","Incomplet"))))))))</f>
        <v/>
      </c>
      <c r="S631" s="24"/>
      <c r="T631" s="67" t="str">
        <f t="shared" si="82"/>
        <v/>
      </c>
      <c r="U631" s="67" t="str">
        <f t="shared" si="83"/>
        <v/>
      </c>
      <c r="V631" s="67" t="str">
        <f t="shared" si="84"/>
        <v/>
      </c>
      <c r="W631" s="67" t="str">
        <f t="shared" si="85"/>
        <v/>
      </c>
      <c r="X631" s="67" t="str">
        <f t="shared" si="86"/>
        <v/>
      </c>
      <c r="Y631" s="24" t="str">
        <f t="shared" si="87"/>
        <v/>
      </c>
      <c r="Z631">
        <f t="shared" si="88"/>
        <v>0</v>
      </c>
      <c r="AA631">
        <f t="shared" si="89"/>
        <v>0</v>
      </c>
    </row>
    <row r="632" spans="2:27" ht="15.75" customHeight="1" x14ac:dyDescent="0.3">
      <c r="B632" s="25"/>
      <c r="C632" s="25"/>
      <c r="D632" s="25"/>
      <c r="E632" s="26" t="str">
        <f t="shared" si="81"/>
        <v/>
      </c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3" t="str">
        <f>IF($F632="","",IF(OR($B632="",$C632="",$D632=""),"⚠ Compléter Année/Niveau/Session",IF(AND($E632&lt;&gt;"",COUNTIF(D_KEY_DOUBLON,$B632&amp;"|"&amp;$D632&amp;"|"&amp;$E632)&gt;1),"⚠ Doublon",IF(AND($E632&lt;&gt;"",COUNTIF(D_KEY_STATUT,$B632&amp;"|"&amp;$E632&amp;"|P")&gt;0,COUNTIF(D_KEY_STATUT,$B632&amp;"|"&amp;$E632&amp;"|A")&gt;0),"⚠ Statut incohérent",IF(AND($D632="S1",$Y632&lt;&gt;"Parti",COUNTIF(ANNEES_VERROU,$B632)&gt;0,COUNTIF(D_KEY_NIVSES,$B632&amp;"|"&amp;$C632&amp;"|S2")&gt;0,COUNTIF(D_KEY_DOUBLON,$B632&amp;"|S2|"&amp;$E632)=0),"⚠ Départ non confirmé ?",IF(AND($C632&lt;&gt;"",ISNUMBER($I632),OR(VALUE(LEFT($B632,4))-$I632&lt;4+IFERROR(MATCH($C632,LISTE_NIVEAUX,0),99),VALUE(LEFT($B632,4))-$I632&gt;6+IFERROR(MATCH($C632,LISTE_NIVEAUX,0),99))),"⚠ Vérifier niveau",IF(AND(IFERROR(VLOOKUP($C632,TABLE_CYCLE,2,0),3)=2,COUNT($O632:$Q632)&gt;0),"⚠ Tests cycle 3",IF(COUNT($J632:$Q632)&gt;=IF(IFERROR(VLOOKUP($C632,TABLE_CYCLE,2,0),3)=2,5,8),"Complet","Incomplet"))))))))</f>
        <v/>
      </c>
      <c r="S632" s="24"/>
      <c r="T632" s="67" t="str">
        <f t="shared" si="82"/>
        <v/>
      </c>
      <c r="U632" s="67" t="str">
        <f t="shared" si="83"/>
        <v/>
      </c>
      <c r="V632" s="67" t="str">
        <f t="shared" si="84"/>
        <v/>
      </c>
      <c r="W632" s="67" t="str">
        <f t="shared" si="85"/>
        <v/>
      </c>
      <c r="X632" s="67" t="str">
        <f t="shared" si="86"/>
        <v/>
      </c>
      <c r="Y632" s="24" t="str">
        <f t="shared" si="87"/>
        <v/>
      </c>
      <c r="Z632">
        <f t="shared" si="88"/>
        <v>0</v>
      </c>
      <c r="AA632">
        <f t="shared" si="89"/>
        <v>0</v>
      </c>
    </row>
    <row r="633" spans="2:27" ht="15.75" customHeight="1" x14ac:dyDescent="0.3">
      <c r="B633" s="21"/>
      <c r="C633" s="21"/>
      <c r="D633" s="21"/>
      <c r="E633" s="22" t="str">
        <f t="shared" si="81"/>
        <v/>
      </c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3" t="str">
        <f>IF($F633="","",IF(OR($B633="",$C633="",$D633=""),"⚠ Compléter Année/Niveau/Session",IF(AND($E633&lt;&gt;"",COUNTIF(D_KEY_DOUBLON,$B633&amp;"|"&amp;$D633&amp;"|"&amp;$E633)&gt;1),"⚠ Doublon",IF(AND($E633&lt;&gt;"",COUNTIF(D_KEY_STATUT,$B633&amp;"|"&amp;$E633&amp;"|P")&gt;0,COUNTIF(D_KEY_STATUT,$B633&amp;"|"&amp;$E633&amp;"|A")&gt;0),"⚠ Statut incohérent",IF(AND($D633="S1",$Y633&lt;&gt;"Parti",COUNTIF(ANNEES_VERROU,$B633)&gt;0,COUNTIF(D_KEY_NIVSES,$B633&amp;"|"&amp;$C633&amp;"|S2")&gt;0,COUNTIF(D_KEY_DOUBLON,$B633&amp;"|S2|"&amp;$E633)=0),"⚠ Départ non confirmé ?",IF(AND($C633&lt;&gt;"",ISNUMBER($I633),OR(VALUE(LEFT($B633,4))-$I633&lt;4+IFERROR(MATCH($C633,LISTE_NIVEAUX,0),99),VALUE(LEFT($B633,4))-$I633&gt;6+IFERROR(MATCH($C633,LISTE_NIVEAUX,0),99))),"⚠ Vérifier niveau",IF(AND(IFERROR(VLOOKUP($C633,TABLE_CYCLE,2,0),3)=2,COUNT($O633:$Q633)&gt;0),"⚠ Tests cycle 3",IF(COUNT($J633:$Q633)&gt;=IF(IFERROR(VLOOKUP($C633,TABLE_CYCLE,2,0),3)=2,5,8),"Complet","Incomplet"))))))))</f>
        <v/>
      </c>
      <c r="S633" s="24"/>
      <c r="T633" s="67" t="str">
        <f t="shared" si="82"/>
        <v/>
      </c>
      <c r="U633" s="67" t="str">
        <f t="shared" si="83"/>
        <v/>
      </c>
      <c r="V633" s="67" t="str">
        <f t="shared" si="84"/>
        <v/>
      </c>
      <c r="W633" s="67" t="str">
        <f t="shared" si="85"/>
        <v/>
      </c>
      <c r="X633" s="67" t="str">
        <f t="shared" si="86"/>
        <v/>
      </c>
      <c r="Y633" s="24" t="str">
        <f t="shared" si="87"/>
        <v/>
      </c>
      <c r="Z633">
        <f t="shared" si="88"/>
        <v>0</v>
      </c>
      <c r="AA633">
        <f t="shared" si="89"/>
        <v>0</v>
      </c>
    </row>
    <row r="634" spans="2:27" ht="15.75" customHeight="1" x14ac:dyDescent="0.3">
      <c r="B634" s="25"/>
      <c r="C634" s="25"/>
      <c r="D634" s="25"/>
      <c r="E634" s="26" t="str">
        <f t="shared" si="81"/>
        <v/>
      </c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3" t="str">
        <f>IF($F634="","",IF(OR($B634="",$C634="",$D634=""),"⚠ Compléter Année/Niveau/Session",IF(AND($E634&lt;&gt;"",COUNTIF(D_KEY_DOUBLON,$B634&amp;"|"&amp;$D634&amp;"|"&amp;$E634)&gt;1),"⚠ Doublon",IF(AND($E634&lt;&gt;"",COUNTIF(D_KEY_STATUT,$B634&amp;"|"&amp;$E634&amp;"|P")&gt;0,COUNTIF(D_KEY_STATUT,$B634&amp;"|"&amp;$E634&amp;"|A")&gt;0),"⚠ Statut incohérent",IF(AND($D634="S1",$Y634&lt;&gt;"Parti",COUNTIF(ANNEES_VERROU,$B634)&gt;0,COUNTIF(D_KEY_NIVSES,$B634&amp;"|"&amp;$C634&amp;"|S2")&gt;0,COUNTIF(D_KEY_DOUBLON,$B634&amp;"|S2|"&amp;$E634)=0),"⚠ Départ non confirmé ?",IF(AND($C634&lt;&gt;"",ISNUMBER($I634),OR(VALUE(LEFT($B634,4))-$I634&lt;4+IFERROR(MATCH($C634,LISTE_NIVEAUX,0),99),VALUE(LEFT($B634,4))-$I634&gt;6+IFERROR(MATCH($C634,LISTE_NIVEAUX,0),99))),"⚠ Vérifier niveau",IF(AND(IFERROR(VLOOKUP($C634,TABLE_CYCLE,2,0),3)=2,COUNT($O634:$Q634)&gt;0),"⚠ Tests cycle 3",IF(COUNT($J634:$Q634)&gt;=IF(IFERROR(VLOOKUP($C634,TABLE_CYCLE,2,0),3)=2,5,8),"Complet","Incomplet"))))))))</f>
        <v/>
      </c>
      <c r="S634" s="24"/>
      <c r="T634" s="67" t="str">
        <f t="shared" si="82"/>
        <v/>
      </c>
      <c r="U634" s="67" t="str">
        <f t="shared" si="83"/>
        <v/>
      </c>
      <c r="V634" s="67" t="str">
        <f t="shared" si="84"/>
        <v/>
      </c>
      <c r="W634" s="67" t="str">
        <f t="shared" si="85"/>
        <v/>
      </c>
      <c r="X634" s="67" t="str">
        <f t="shared" si="86"/>
        <v/>
      </c>
      <c r="Y634" s="24" t="str">
        <f t="shared" si="87"/>
        <v/>
      </c>
      <c r="Z634">
        <f t="shared" si="88"/>
        <v>0</v>
      </c>
      <c r="AA634">
        <f t="shared" si="89"/>
        <v>0</v>
      </c>
    </row>
    <row r="635" spans="2:27" ht="15.75" customHeight="1" x14ac:dyDescent="0.3">
      <c r="B635" s="21"/>
      <c r="C635" s="21"/>
      <c r="D635" s="21"/>
      <c r="E635" s="22" t="str">
        <f t="shared" si="81"/>
        <v/>
      </c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3" t="str">
        <f>IF($F635="","",IF(OR($B635="",$C635="",$D635=""),"⚠ Compléter Année/Niveau/Session",IF(AND($E635&lt;&gt;"",COUNTIF(D_KEY_DOUBLON,$B635&amp;"|"&amp;$D635&amp;"|"&amp;$E635)&gt;1),"⚠ Doublon",IF(AND($E635&lt;&gt;"",COUNTIF(D_KEY_STATUT,$B635&amp;"|"&amp;$E635&amp;"|P")&gt;0,COUNTIF(D_KEY_STATUT,$B635&amp;"|"&amp;$E635&amp;"|A")&gt;0),"⚠ Statut incohérent",IF(AND($D635="S1",$Y635&lt;&gt;"Parti",COUNTIF(ANNEES_VERROU,$B635)&gt;0,COUNTIF(D_KEY_NIVSES,$B635&amp;"|"&amp;$C635&amp;"|S2")&gt;0,COUNTIF(D_KEY_DOUBLON,$B635&amp;"|S2|"&amp;$E635)=0),"⚠ Départ non confirmé ?",IF(AND($C635&lt;&gt;"",ISNUMBER($I635),OR(VALUE(LEFT($B635,4))-$I635&lt;4+IFERROR(MATCH($C635,LISTE_NIVEAUX,0),99),VALUE(LEFT($B635,4))-$I635&gt;6+IFERROR(MATCH($C635,LISTE_NIVEAUX,0),99))),"⚠ Vérifier niveau",IF(AND(IFERROR(VLOOKUP($C635,TABLE_CYCLE,2,0),3)=2,COUNT($O635:$Q635)&gt;0),"⚠ Tests cycle 3",IF(COUNT($J635:$Q635)&gt;=IF(IFERROR(VLOOKUP($C635,TABLE_CYCLE,2,0),3)=2,5,8),"Complet","Incomplet"))))))))</f>
        <v/>
      </c>
      <c r="S635" s="24"/>
      <c r="T635" s="67" t="str">
        <f t="shared" si="82"/>
        <v/>
      </c>
      <c r="U635" s="67" t="str">
        <f t="shared" si="83"/>
        <v/>
      </c>
      <c r="V635" s="67" t="str">
        <f t="shared" si="84"/>
        <v/>
      </c>
      <c r="W635" s="67" t="str">
        <f t="shared" si="85"/>
        <v/>
      </c>
      <c r="X635" s="67" t="str">
        <f t="shared" si="86"/>
        <v/>
      </c>
      <c r="Y635" s="24" t="str">
        <f t="shared" si="87"/>
        <v/>
      </c>
      <c r="Z635">
        <f t="shared" si="88"/>
        <v>0</v>
      </c>
      <c r="AA635">
        <f t="shared" si="89"/>
        <v>0</v>
      </c>
    </row>
    <row r="636" spans="2:27" ht="15.75" customHeight="1" x14ac:dyDescent="0.3">
      <c r="B636" s="25"/>
      <c r="C636" s="25"/>
      <c r="D636" s="25"/>
      <c r="E636" s="26" t="str">
        <f t="shared" si="81"/>
        <v/>
      </c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3" t="str">
        <f>IF($F636="","",IF(OR($B636="",$C636="",$D636=""),"⚠ Compléter Année/Niveau/Session",IF(AND($E636&lt;&gt;"",COUNTIF(D_KEY_DOUBLON,$B636&amp;"|"&amp;$D636&amp;"|"&amp;$E636)&gt;1),"⚠ Doublon",IF(AND($E636&lt;&gt;"",COUNTIF(D_KEY_STATUT,$B636&amp;"|"&amp;$E636&amp;"|P")&gt;0,COUNTIF(D_KEY_STATUT,$B636&amp;"|"&amp;$E636&amp;"|A")&gt;0),"⚠ Statut incohérent",IF(AND($D636="S1",$Y636&lt;&gt;"Parti",COUNTIF(ANNEES_VERROU,$B636)&gt;0,COUNTIF(D_KEY_NIVSES,$B636&amp;"|"&amp;$C636&amp;"|S2")&gt;0,COUNTIF(D_KEY_DOUBLON,$B636&amp;"|S2|"&amp;$E636)=0),"⚠ Départ non confirmé ?",IF(AND($C636&lt;&gt;"",ISNUMBER($I636),OR(VALUE(LEFT($B636,4))-$I636&lt;4+IFERROR(MATCH($C636,LISTE_NIVEAUX,0),99),VALUE(LEFT($B636,4))-$I636&gt;6+IFERROR(MATCH($C636,LISTE_NIVEAUX,0),99))),"⚠ Vérifier niveau",IF(AND(IFERROR(VLOOKUP($C636,TABLE_CYCLE,2,0),3)=2,COUNT($O636:$Q636)&gt;0),"⚠ Tests cycle 3",IF(COUNT($J636:$Q636)&gt;=IF(IFERROR(VLOOKUP($C636,TABLE_CYCLE,2,0),3)=2,5,8),"Complet","Incomplet"))))))))</f>
        <v/>
      </c>
      <c r="S636" s="24"/>
      <c r="T636" s="67" t="str">
        <f t="shared" si="82"/>
        <v/>
      </c>
      <c r="U636" s="67" t="str">
        <f t="shared" si="83"/>
        <v/>
      </c>
      <c r="V636" s="67" t="str">
        <f t="shared" si="84"/>
        <v/>
      </c>
      <c r="W636" s="67" t="str">
        <f t="shared" si="85"/>
        <v/>
      </c>
      <c r="X636" s="67" t="str">
        <f t="shared" si="86"/>
        <v/>
      </c>
      <c r="Y636" s="24" t="str">
        <f t="shared" si="87"/>
        <v/>
      </c>
      <c r="Z636">
        <f t="shared" si="88"/>
        <v>0</v>
      </c>
      <c r="AA636">
        <f t="shared" si="89"/>
        <v>0</v>
      </c>
    </row>
    <row r="637" spans="2:27" ht="15.75" customHeight="1" x14ac:dyDescent="0.3">
      <c r="B637" s="21"/>
      <c r="C637" s="21"/>
      <c r="D637" s="21"/>
      <c r="E637" s="22" t="str">
        <f t="shared" si="81"/>
        <v/>
      </c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3" t="str">
        <f>IF($F637="","",IF(OR($B637="",$C637="",$D637=""),"⚠ Compléter Année/Niveau/Session",IF(AND($E637&lt;&gt;"",COUNTIF(D_KEY_DOUBLON,$B637&amp;"|"&amp;$D637&amp;"|"&amp;$E637)&gt;1),"⚠ Doublon",IF(AND($E637&lt;&gt;"",COUNTIF(D_KEY_STATUT,$B637&amp;"|"&amp;$E637&amp;"|P")&gt;0,COUNTIF(D_KEY_STATUT,$B637&amp;"|"&amp;$E637&amp;"|A")&gt;0),"⚠ Statut incohérent",IF(AND($D637="S1",$Y637&lt;&gt;"Parti",COUNTIF(ANNEES_VERROU,$B637)&gt;0,COUNTIF(D_KEY_NIVSES,$B637&amp;"|"&amp;$C637&amp;"|S2")&gt;0,COUNTIF(D_KEY_DOUBLON,$B637&amp;"|S2|"&amp;$E637)=0),"⚠ Départ non confirmé ?",IF(AND($C637&lt;&gt;"",ISNUMBER($I637),OR(VALUE(LEFT($B637,4))-$I637&lt;4+IFERROR(MATCH($C637,LISTE_NIVEAUX,0),99),VALUE(LEFT($B637,4))-$I637&gt;6+IFERROR(MATCH($C637,LISTE_NIVEAUX,0),99))),"⚠ Vérifier niveau",IF(AND(IFERROR(VLOOKUP($C637,TABLE_CYCLE,2,0),3)=2,COUNT($O637:$Q637)&gt;0),"⚠ Tests cycle 3",IF(COUNT($J637:$Q637)&gt;=IF(IFERROR(VLOOKUP($C637,TABLE_CYCLE,2,0),3)=2,5,8),"Complet","Incomplet"))))))))</f>
        <v/>
      </c>
      <c r="S637" s="24"/>
      <c r="T637" s="67" t="str">
        <f t="shared" si="82"/>
        <v/>
      </c>
      <c r="U637" s="67" t="str">
        <f t="shared" si="83"/>
        <v/>
      </c>
      <c r="V637" s="67" t="str">
        <f t="shared" si="84"/>
        <v/>
      </c>
      <c r="W637" s="67" t="str">
        <f t="shared" si="85"/>
        <v/>
      </c>
      <c r="X637" s="67" t="str">
        <f t="shared" si="86"/>
        <v/>
      </c>
      <c r="Y637" s="24" t="str">
        <f t="shared" si="87"/>
        <v/>
      </c>
      <c r="Z637">
        <f t="shared" si="88"/>
        <v>0</v>
      </c>
      <c r="AA637">
        <f t="shared" si="89"/>
        <v>0</v>
      </c>
    </row>
    <row r="638" spans="2:27" ht="15.75" customHeight="1" x14ac:dyDescent="0.3">
      <c r="B638" s="25"/>
      <c r="C638" s="25"/>
      <c r="D638" s="25"/>
      <c r="E638" s="26" t="str">
        <f t="shared" si="81"/>
        <v/>
      </c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3" t="str">
        <f>IF($F638="","",IF(OR($B638="",$C638="",$D638=""),"⚠ Compléter Année/Niveau/Session",IF(AND($E638&lt;&gt;"",COUNTIF(D_KEY_DOUBLON,$B638&amp;"|"&amp;$D638&amp;"|"&amp;$E638)&gt;1),"⚠ Doublon",IF(AND($E638&lt;&gt;"",COUNTIF(D_KEY_STATUT,$B638&amp;"|"&amp;$E638&amp;"|P")&gt;0,COUNTIF(D_KEY_STATUT,$B638&amp;"|"&amp;$E638&amp;"|A")&gt;0),"⚠ Statut incohérent",IF(AND($D638="S1",$Y638&lt;&gt;"Parti",COUNTIF(ANNEES_VERROU,$B638)&gt;0,COUNTIF(D_KEY_NIVSES,$B638&amp;"|"&amp;$C638&amp;"|S2")&gt;0,COUNTIF(D_KEY_DOUBLON,$B638&amp;"|S2|"&amp;$E638)=0),"⚠ Départ non confirmé ?",IF(AND($C638&lt;&gt;"",ISNUMBER($I638),OR(VALUE(LEFT($B638,4))-$I638&lt;4+IFERROR(MATCH($C638,LISTE_NIVEAUX,0),99),VALUE(LEFT($B638,4))-$I638&gt;6+IFERROR(MATCH($C638,LISTE_NIVEAUX,0),99))),"⚠ Vérifier niveau",IF(AND(IFERROR(VLOOKUP($C638,TABLE_CYCLE,2,0),3)=2,COUNT($O638:$Q638)&gt;0),"⚠ Tests cycle 3",IF(COUNT($J638:$Q638)&gt;=IF(IFERROR(VLOOKUP($C638,TABLE_CYCLE,2,0),3)=2,5,8),"Complet","Incomplet"))))))))</f>
        <v/>
      </c>
      <c r="S638" s="24"/>
      <c r="T638" s="67" t="str">
        <f t="shared" si="82"/>
        <v/>
      </c>
      <c r="U638" s="67" t="str">
        <f t="shared" si="83"/>
        <v/>
      </c>
      <c r="V638" s="67" t="str">
        <f t="shared" si="84"/>
        <v/>
      </c>
      <c r="W638" s="67" t="str">
        <f t="shared" si="85"/>
        <v/>
      </c>
      <c r="X638" s="67" t="str">
        <f t="shared" si="86"/>
        <v/>
      </c>
      <c r="Y638" s="24" t="str">
        <f t="shared" si="87"/>
        <v/>
      </c>
      <c r="Z638">
        <f t="shared" si="88"/>
        <v>0</v>
      </c>
      <c r="AA638">
        <f t="shared" si="89"/>
        <v>0</v>
      </c>
    </row>
    <row r="639" spans="2:27" ht="15.75" customHeight="1" x14ac:dyDescent="0.3">
      <c r="B639" s="21"/>
      <c r="C639" s="21"/>
      <c r="D639" s="21"/>
      <c r="E639" s="22" t="str">
        <f t="shared" si="81"/>
        <v/>
      </c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3" t="str">
        <f>IF($F639="","",IF(OR($B639="",$C639="",$D639=""),"⚠ Compléter Année/Niveau/Session",IF(AND($E639&lt;&gt;"",COUNTIF(D_KEY_DOUBLON,$B639&amp;"|"&amp;$D639&amp;"|"&amp;$E639)&gt;1),"⚠ Doublon",IF(AND($E639&lt;&gt;"",COUNTIF(D_KEY_STATUT,$B639&amp;"|"&amp;$E639&amp;"|P")&gt;0,COUNTIF(D_KEY_STATUT,$B639&amp;"|"&amp;$E639&amp;"|A")&gt;0),"⚠ Statut incohérent",IF(AND($D639="S1",$Y639&lt;&gt;"Parti",COUNTIF(ANNEES_VERROU,$B639)&gt;0,COUNTIF(D_KEY_NIVSES,$B639&amp;"|"&amp;$C639&amp;"|S2")&gt;0,COUNTIF(D_KEY_DOUBLON,$B639&amp;"|S2|"&amp;$E639)=0),"⚠ Départ non confirmé ?",IF(AND($C639&lt;&gt;"",ISNUMBER($I639),OR(VALUE(LEFT($B639,4))-$I639&lt;4+IFERROR(MATCH($C639,LISTE_NIVEAUX,0),99),VALUE(LEFT($B639,4))-$I639&gt;6+IFERROR(MATCH($C639,LISTE_NIVEAUX,0),99))),"⚠ Vérifier niveau",IF(AND(IFERROR(VLOOKUP($C639,TABLE_CYCLE,2,0),3)=2,COUNT($O639:$Q639)&gt;0),"⚠ Tests cycle 3",IF(COUNT($J639:$Q639)&gt;=IF(IFERROR(VLOOKUP($C639,TABLE_CYCLE,2,0),3)=2,5,8),"Complet","Incomplet"))))))))</f>
        <v/>
      </c>
      <c r="S639" s="24"/>
      <c r="T639" s="67" t="str">
        <f t="shared" si="82"/>
        <v/>
      </c>
      <c r="U639" s="67" t="str">
        <f t="shared" si="83"/>
        <v/>
      </c>
      <c r="V639" s="67" t="str">
        <f t="shared" si="84"/>
        <v/>
      </c>
      <c r="W639" s="67" t="str">
        <f t="shared" si="85"/>
        <v/>
      </c>
      <c r="X639" s="67" t="str">
        <f t="shared" si="86"/>
        <v/>
      </c>
      <c r="Y639" s="24" t="str">
        <f t="shared" si="87"/>
        <v/>
      </c>
      <c r="Z639">
        <f t="shared" si="88"/>
        <v>0</v>
      </c>
      <c r="AA639">
        <f t="shared" si="89"/>
        <v>0</v>
      </c>
    </row>
    <row r="640" spans="2:27" ht="15.75" customHeight="1" x14ac:dyDescent="0.3">
      <c r="B640" s="25"/>
      <c r="C640" s="25"/>
      <c r="D640" s="25"/>
      <c r="E640" s="26" t="str">
        <f t="shared" si="81"/>
        <v/>
      </c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3" t="str">
        <f>IF($F640="","",IF(OR($B640="",$C640="",$D640=""),"⚠ Compléter Année/Niveau/Session",IF(AND($E640&lt;&gt;"",COUNTIF(D_KEY_DOUBLON,$B640&amp;"|"&amp;$D640&amp;"|"&amp;$E640)&gt;1),"⚠ Doublon",IF(AND($E640&lt;&gt;"",COUNTIF(D_KEY_STATUT,$B640&amp;"|"&amp;$E640&amp;"|P")&gt;0,COUNTIF(D_KEY_STATUT,$B640&amp;"|"&amp;$E640&amp;"|A")&gt;0),"⚠ Statut incohérent",IF(AND($D640="S1",$Y640&lt;&gt;"Parti",COUNTIF(ANNEES_VERROU,$B640)&gt;0,COUNTIF(D_KEY_NIVSES,$B640&amp;"|"&amp;$C640&amp;"|S2")&gt;0,COUNTIF(D_KEY_DOUBLON,$B640&amp;"|S2|"&amp;$E640)=0),"⚠ Départ non confirmé ?",IF(AND($C640&lt;&gt;"",ISNUMBER($I640),OR(VALUE(LEFT($B640,4))-$I640&lt;4+IFERROR(MATCH($C640,LISTE_NIVEAUX,0),99),VALUE(LEFT($B640,4))-$I640&gt;6+IFERROR(MATCH($C640,LISTE_NIVEAUX,0),99))),"⚠ Vérifier niveau",IF(AND(IFERROR(VLOOKUP($C640,TABLE_CYCLE,2,0),3)=2,COUNT($O640:$Q640)&gt;0),"⚠ Tests cycle 3",IF(COUNT($J640:$Q640)&gt;=IF(IFERROR(VLOOKUP($C640,TABLE_CYCLE,2,0),3)=2,5,8),"Complet","Incomplet"))))))))</f>
        <v/>
      </c>
      <c r="S640" s="24"/>
      <c r="T640" s="67" t="str">
        <f t="shared" si="82"/>
        <v/>
      </c>
      <c r="U640" s="67" t="str">
        <f t="shared" si="83"/>
        <v/>
      </c>
      <c r="V640" s="67" t="str">
        <f t="shared" si="84"/>
        <v/>
      </c>
      <c r="W640" s="67" t="str">
        <f t="shared" si="85"/>
        <v/>
      </c>
      <c r="X640" s="67" t="str">
        <f t="shared" si="86"/>
        <v/>
      </c>
      <c r="Y640" s="24" t="str">
        <f t="shared" si="87"/>
        <v/>
      </c>
      <c r="Z640">
        <f t="shared" si="88"/>
        <v>0</v>
      </c>
      <c r="AA640">
        <f t="shared" si="89"/>
        <v>0</v>
      </c>
    </row>
    <row r="641" spans="2:27" ht="15.75" customHeight="1" x14ac:dyDescent="0.3">
      <c r="B641" s="21"/>
      <c r="C641" s="21"/>
      <c r="D641" s="21"/>
      <c r="E641" s="22" t="str">
        <f t="shared" si="81"/>
        <v/>
      </c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3" t="str">
        <f>IF($F641="","",IF(OR($B641="",$C641="",$D641=""),"⚠ Compléter Année/Niveau/Session",IF(AND($E641&lt;&gt;"",COUNTIF(D_KEY_DOUBLON,$B641&amp;"|"&amp;$D641&amp;"|"&amp;$E641)&gt;1),"⚠ Doublon",IF(AND($E641&lt;&gt;"",COUNTIF(D_KEY_STATUT,$B641&amp;"|"&amp;$E641&amp;"|P")&gt;0,COUNTIF(D_KEY_STATUT,$B641&amp;"|"&amp;$E641&amp;"|A")&gt;0),"⚠ Statut incohérent",IF(AND($D641="S1",$Y641&lt;&gt;"Parti",COUNTIF(ANNEES_VERROU,$B641)&gt;0,COUNTIF(D_KEY_NIVSES,$B641&amp;"|"&amp;$C641&amp;"|S2")&gt;0,COUNTIF(D_KEY_DOUBLON,$B641&amp;"|S2|"&amp;$E641)=0),"⚠ Départ non confirmé ?",IF(AND($C641&lt;&gt;"",ISNUMBER($I641),OR(VALUE(LEFT($B641,4))-$I641&lt;4+IFERROR(MATCH($C641,LISTE_NIVEAUX,0),99),VALUE(LEFT($B641,4))-$I641&gt;6+IFERROR(MATCH($C641,LISTE_NIVEAUX,0),99))),"⚠ Vérifier niveau",IF(AND(IFERROR(VLOOKUP($C641,TABLE_CYCLE,2,0),3)=2,COUNT($O641:$Q641)&gt;0),"⚠ Tests cycle 3",IF(COUNT($J641:$Q641)&gt;=IF(IFERROR(VLOOKUP($C641,TABLE_CYCLE,2,0),3)=2,5,8),"Complet","Incomplet"))))))))</f>
        <v/>
      </c>
      <c r="S641" s="24"/>
      <c r="T641" s="67" t="str">
        <f t="shared" si="82"/>
        <v/>
      </c>
      <c r="U641" s="67" t="str">
        <f t="shared" si="83"/>
        <v/>
      </c>
      <c r="V641" s="67" t="str">
        <f t="shared" si="84"/>
        <v/>
      </c>
      <c r="W641" s="67" t="str">
        <f t="shared" si="85"/>
        <v/>
      </c>
      <c r="X641" s="67" t="str">
        <f t="shared" si="86"/>
        <v/>
      </c>
      <c r="Y641" s="24" t="str">
        <f t="shared" si="87"/>
        <v/>
      </c>
      <c r="Z641">
        <f t="shared" si="88"/>
        <v>0</v>
      </c>
      <c r="AA641">
        <f t="shared" si="89"/>
        <v>0</v>
      </c>
    </row>
    <row r="642" spans="2:27" ht="15.75" customHeight="1" x14ac:dyDescent="0.3">
      <c r="B642" s="25"/>
      <c r="C642" s="25"/>
      <c r="D642" s="25"/>
      <c r="E642" s="26" t="str">
        <f t="shared" si="81"/>
        <v/>
      </c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3" t="str">
        <f>IF($F642="","",IF(OR($B642="",$C642="",$D642=""),"⚠ Compléter Année/Niveau/Session",IF(AND($E642&lt;&gt;"",COUNTIF(D_KEY_DOUBLON,$B642&amp;"|"&amp;$D642&amp;"|"&amp;$E642)&gt;1),"⚠ Doublon",IF(AND($E642&lt;&gt;"",COUNTIF(D_KEY_STATUT,$B642&amp;"|"&amp;$E642&amp;"|P")&gt;0,COUNTIF(D_KEY_STATUT,$B642&amp;"|"&amp;$E642&amp;"|A")&gt;0),"⚠ Statut incohérent",IF(AND($D642="S1",$Y642&lt;&gt;"Parti",COUNTIF(ANNEES_VERROU,$B642)&gt;0,COUNTIF(D_KEY_NIVSES,$B642&amp;"|"&amp;$C642&amp;"|S2")&gt;0,COUNTIF(D_KEY_DOUBLON,$B642&amp;"|S2|"&amp;$E642)=0),"⚠ Départ non confirmé ?",IF(AND($C642&lt;&gt;"",ISNUMBER($I642),OR(VALUE(LEFT($B642,4))-$I642&lt;4+IFERROR(MATCH($C642,LISTE_NIVEAUX,0),99),VALUE(LEFT($B642,4))-$I642&gt;6+IFERROR(MATCH($C642,LISTE_NIVEAUX,0),99))),"⚠ Vérifier niveau",IF(AND(IFERROR(VLOOKUP($C642,TABLE_CYCLE,2,0),3)=2,COUNT($O642:$Q642)&gt;0),"⚠ Tests cycle 3",IF(COUNT($J642:$Q642)&gt;=IF(IFERROR(VLOOKUP($C642,TABLE_CYCLE,2,0),3)=2,5,8),"Complet","Incomplet"))))))))</f>
        <v/>
      </c>
      <c r="S642" s="24"/>
      <c r="T642" s="67" t="str">
        <f t="shared" si="82"/>
        <v/>
      </c>
      <c r="U642" s="67" t="str">
        <f t="shared" si="83"/>
        <v/>
      </c>
      <c r="V642" s="67" t="str">
        <f t="shared" si="84"/>
        <v/>
      </c>
      <c r="W642" s="67" t="str">
        <f t="shared" si="85"/>
        <v/>
      </c>
      <c r="X642" s="67" t="str">
        <f t="shared" si="86"/>
        <v/>
      </c>
      <c r="Y642" s="24" t="str">
        <f t="shared" si="87"/>
        <v/>
      </c>
      <c r="Z642">
        <f t="shared" si="88"/>
        <v>0</v>
      </c>
      <c r="AA642">
        <f t="shared" si="89"/>
        <v>0</v>
      </c>
    </row>
    <row r="643" spans="2:27" ht="15.75" customHeight="1" x14ac:dyDescent="0.3">
      <c r="B643" s="21"/>
      <c r="C643" s="21"/>
      <c r="D643" s="21"/>
      <c r="E643" s="22" t="str">
        <f t="shared" si="81"/>
        <v/>
      </c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3" t="str">
        <f>IF($F643="","",IF(OR($B643="",$C643="",$D643=""),"⚠ Compléter Année/Niveau/Session",IF(AND($E643&lt;&gt;"",COUNTIF(D_KEY_DOUBLON,$B643&amp;"|"&amp;$D643&amp;"|"&amp;$E643)&gt;1),"⚠ Doublon",IF(AND($E643&lt;&gt;"",COUNTIF(D_KEY_STATUT,$B643&amp;"|"&amp;$E643&amp;"|P")&gt;0,COUNTIF(D_KEY_STATUT,$B643&amp;"|"&amp;$E643&amp;"|A")&gt;0),"⚠ Statut incohérent",IF(AND($D643="S1",$Y643&lt;&gt;"Parti",COUNTIF(ANNEES_VERROU,$B643)&gt;0,COUNTIF(D_KEY_NIVSES,$B643&amp;"|"&amp;$C643&amp;"|S2")&gt;0,COUNTIF(D_KEY_DOUBLON,$B643&amp;"|S2|"&amp;$E643)=0),"⚠ Départ non confirmé ?",IF(AND($C643&lt;&gt;"",ISNUMBER($I643),OR(VALUE(LEFT($B643,4))-$I643&lt;4+IFERROR(MATCH($C643,LISTE_NIVEAUX,0),99),VALUE(LEFT($B643,4))-$I643&gt;6+IFERROR(MATCH($C643,LISTE_NIVEAUX,0),99))),"⚠ Vérifier niveau",IF(AND(IFERROR(VLOOKUP($C643,TABLE_CYCLE,2,0),3)=2,COUNT($O643:$Q643)&gt;0),"⚠ Tests cycle 3",IF(COUNT($J643:$Q643)&gt;=IF(IFERROR(VLOOKUP($C643,TABLE_CYCLE,2,0),3)=2,5,8),"Complet","Incomplet"))))))))</f>
        <v/>
      </c>
      <c r="S643" s="24"/>
      <c r="T643" s="67" t="str">
        <f t="shared" si="82"/>
        <v/>
      </c>
      <c r="U643" s="67" t="str">
        <f t="shared" si="83"/>
        <v/>
      </c>
      <c r="V643" s="67" t="str">
        <f t="shared" si="84"/>
        <v/>
      </c>
      <c r="W643" s="67" t="str">
        <f t="shared" si="85"/>
        <v/>
      </c>
      <c r="X643" s="67" t="str">
        <f t="shared" si="86"/>
        <v/>
      </c>
      <c r="Y643" s="24" t="str">
        <f t="shared" si="87"/>
        <v/>
      </c>
      <c r="Z643">
        <f t="shared" si="88"/>
        <v>0</v>
      </c>
      <c r="AA643">
        <f t="shared" si="89"/>
        <v>0</v>
      </c>
    </row>
    <row r="644" spans="2:27" ht="15.75" customHeight="1" x14ac:dyDescent="0.3">
      <c r="B644" s="25"/>
      <c r="C644" s="25"/>
      <c r="D644" s="25"/>
      <c r="E644" s="26" t="str">
        <f t="shared" si="81"/>
        <v/>
      </c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3" t="str">
        <f>IF($F644="","",IF(OR($B644="",$C644="",$D644=""),"⚠ Compléter Année/Niveau/Session",IF(AND($E644&lt;&gt;"",COUNTIF(D_KEY_DOUBLON,$B644&amp;"|"&amp;$D644&amp;"|"&amp;$E644)&gt;1),"⚠ Doublon",IF(AND($E644&lt;&gt;"",COUNTIF(D_KEY_STATUT,$B644&amp;"|"&amp;$E644&amp;"|P")&gt;0,COUNTIF(D_KEY_STATUT,$B644&amp;"|"&amp;$E644&amp;"|A")&gt;0),"⚠ Statut incohérent",IF(AND($D644="S1",$Y644&lt;&gt;"Parti",COUNTIF(ANNEES_VERROU,$B644)&gt;0,COUNTIF(D_KEY_NIVSES,$B644&amp;"|"&amp;$C644&amp;"|S2")&gt;0,COUNTIF(D_KEY_DOUBLON,$B644&amp;"|S2|"&amp;$E644)=0),"⚠ Départ non confirmé ?",IF(AND($C644&lt;&gt;"",ISNUMBER($I644),OR(VALUE(LEFT($B644,4))-$I644&lt;4+IFERROR(MATCH($C644,LISTE_NIVEAUX,0),99),VALUE(LEFT($B644,4))-$I644&gt;6+IFERROR(MATCH($C644,LISTE_NIVEAUX,0),99))),"⚠ Vérifier niveau",IF(AND(IFERROR(VLOOKUP($C644,TABLE_CYCLE,2,0),3)=2,COUNT($O644:$Q644)&gt;0),"⚠ Tests cycle 3",IF(COUNT($J644:$Q644)&gt;=IF(IFERROR(VLOOKUP($C644,TABLE_CYCLE,2,0),3)=2,5,8),"Complet","Incomplet"))))))))</f>
        <v/>
      </c>
      <c r="S644" s="24"/>
      <c r="T644" s="67" t="str">
        <f t="shared" si="82"/>
        <v/>
      </c>
      <c r="U644" s="67" t="str">
        <f t="shared" si="83"/>
        <v/>
      </c>
      <c r="V644" s="67" t="str">
        <f t="shared" si="84"/>
        <v/>
      </c>
      <c r="W644" s="67" t="str">
        <f t="shared" si="85"/>
        <v/>
      </c>
      <c r="X644" s="67" t="str">
        <f t="shared" si="86"/>
        <v/>
      </c>
      <c r="Y644" s="24" t="str">
        <f t="shared" si="87"/>
        <v/>
      </c>
      <c r="Z644">
        <f t="shared" si="88"/>
        <v>0</v>
      </c>
      <c r="AA644">
        <f t="shared" si="89"/>
        <v>0</v>
      </c>
    </row>
    <row r="645" spans="2:27" ht="15.75" customHeight="1" x14ac:dyDescent="0.3">
      <c r="B645" s="21"/>
      <c r="C645" s="21"/>
      <c r="D645" s="21"/>
      <c r="E645" s="22" t="str">
        <f t="shared" si="81"/>
        <v/>
      </c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3" t="str">
        <f>IF($F645="","",IF(OR($B645="",$C645="",$D645=""),"⚠ Compléter Année/Niveau/Session",IF(AND($E645&lt;&gt;"",COUNTIF(D_KEY_DOUBLON,$B645&amp;"|"&amp;$D645&amp;"|"&amp;$E645)&gt;1),"⚠ Doublon",IF(AND($E645&lt;&gt;"",COUNTIF(D_KEY_STATUT,$B645&amp;"|"&amp;$E645&amp;"|P")&gt;0,COUNTIF(D_KEY_STATUT,$B645&amp;"|"&amp;$E645&amp;"|A")&gt;0),"⚠ Statut incohérent",IF(AND($D645="S1",$Y645&lt;&gt;"Parti",COUNTIF(ANNEES_VERROU,$B645)&gt;0,COUNTIF(D_KEY_NIVSES,$B645&amp;"|"&amp;$C645&amp;"|S2")&gt;0,COUNTIF(D_KEY_DOUBLON,$B645&amp;"|S2|"&amp;$E645)=0),"⚠ Départ non confirmé ?",IF(AND($C645&lt;&gt;"",ISNUMBER($I645),OR(VALUE(LEFT($B645,4))-$I645&lt;4+IFERROR(MATCH($C645,LISTE_NIVEAUX,0),99),VALUE(LEFT($B645,4))-$I645&gt;6+IFERROR(MATCH($C645,LISTE_NIVEAUX,0),99))),"⚠ Vérifier niveau",IF(AND(IFERROR(VLOOKUP($C645,TABLE_CYCLE,2,0),3)=2,COUNT($O645:$Q645)&gt;0),"⚠ Tests cycle 3",IF(COUNT($J645:$Q645)&gt;=IF(IFERROR(VLOOKUP($C645,TABLE_CYCLE,2,0),3)=2,5,8),"Complet","Incomplet"))))))))</f>
        <v/>
      </c>
      <c r="S645" s="24"/>
      <c r="T645" s="67" t="str">
        <f t="shared" si="82"/>
        <v/>
      </c>
      <c r="U645" s="67" t="str">
        <f t="shared" si="83"/>
        <v/>
      </c>
      <c r="V645" s="67" t="str">
        <f t="shared" si="84"/>
        <v/>
      </c>
      <c r="W645" s="67" t="str">
        <f t="shared" si="85"/>
        <v/>
      </c>
      <c r="X645" s="67" t="str">
        <f t="shared" si="86"/>
        <v/>
      </c>
      <c r="Y645" s="24" t="str">
        <f t="shared" si="87"/>
        <v/>
      </c>
      <c r="Z645">
        <f t="shared" si="88"/>
        <v>0</v>
      </c>
      <c r="AA645">
        <f t="shared" si="89"/>
        <v>0</v>
      </c>
    </row>
    <row r="646" spans="2:27" ht="15.75" customHeight="1" x14ac:dyDescent="0.3">
      <c r="B646" s="25"/>
      <c r="C646" s="25"/>
      <c r="D646" s="25"/>
      <c r="E646" s="26" t="str">
        <f t="shared" si="81"/>
        <v/>
      </c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3" t="str">
        <f>IF($F646="","",IF(OR($B646="",$C646="",$D646=""),"⚠ Compléter Année/Niveau/Session",IF(AND($E646&lt;&gt;"",COUNTIF(D_KEY_DOUBLON,$B646&amp;"|"&amp;$D646&amp;"|"&amp;$E646)&gt;1),"⚠ Doublon",IF(AND($E646&lt;&gt;"",COUNTIF(D_KEY_STATUT,$B646&amp;"|"&amp;$E646&amp;"|P")&gt;0,COUNTIF(D_KEY_STATUT,$B646&amp;"|"&amp;$E646&amp;"|A")&gt;0),"⚠ Statut incohérent",IF(AND($D646="S1",$Y646&lt;&gt;"Parti",COUNTIF(ANNEES_VERROU,$B646)&gt;0,COUNTIF(D_KEY_NIVSES,$B646&amp;"|"&amp;$C646&amp;"|S2")&gt;0,COUNTIF(D_KEY_DOUBLON,$B646&amp;"|S2|"&amp;$E646)=0),"⚠ Départ non confirmé ?",IF(AND($C646&lt;&gt;"",ISNUMBER($I646),OR(VALUE(LEFT($B646,4))-$I646&lt;4+IFERROR(MATCH($C646,LISTE_NIVEAUX,0),99),VALUE(LEFT($B646,4))-$I646&gt;6+IFERROR(MATCH($C646,LISTE_NIVEAUX,0),99))),"⚠ Vérifier niveau",IF(AND(IFERROR(VLOOKUP($C646,TABLE_CYCLE,2,0),3)=2,COUNT($O646:$Q646)&gt;0),"⚠ Tests cycle 3",IF(COUNT($J646:$Q646)&gt;=IF(IFERROR(VLOOKUP($C646,TABLE_CYCLE,2,0),3)=2,5,8),"Complet","Incomplet"))))))))</f>
        <v/>
      </c>
      <c r="S646" s="24"/>
      <c r="T646" s="67" t="str">
        <f t="shared" si="82"/>
        <v/>
      </c>
      <c r="U646" s="67" t="str">
        <f t="shared" si="83"/>
        <v/>
      </c>
      <c r="V646" s="67" t="str">
        <f t="shared" si="84"/>
        <v/>
      </c>
      <c r="W646" s="67" t="str">
        <f t="shared" si="85"/>
        <v/>
      </c>
      <c r="X646" s="67" t="str">
        <f t="shared" si="86"/>
        <v/>
      </c>
      <c r="Y646" s="24" t="str">
        <f t="shared" si="87"/>
        <v/>
      </c>
      <c r="Z646">
        <f t="shared" si="88"/>
        <v>0</v>
      </c>
      <c r="AA646">
        <f t="shared" si="89"/>
        <v>0</v>
      </c>
    </row>
    <row r="647" spans="2:27" ht="15.75" customHeight="1" x14ac:dyDescent="0.3">
      <c r="B647" s="21"/>
      <c r="C647" s="21"/>
      <c r="D647" s="21"/>
      <c r="E647" s="22" t="str">
        <f t="shared" ref="E647:E710" si="90">IF(OR($F647="",$G647=""),"",IF(ISNUMBER($I647),TEXT($I647-2000,"00")&amp;"_","__")&amp;UPPER(TRIM($F647))&amp;"_"&amp;UPPER(TRIM($G647)))</f>
        <v/>
      </c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3" t="str">
        <f>IF($F647="","",IF(OR($B647="",$C647="",$D647=""),"⚠ Compléter Année/Niveau/Session",IF(AND($E647&lt;&gt;"",COUNTIF(D_KEY_DOUBLON,$B647&amp;"|"&amp;$D647&amp;"|"&amp;$E647)&gt;1),"⚠ Doublon",IF(AND($E647&lt;&gt;"",COUNTIF(D_KEY_STATUT,$B647&amp;"|"&amp;$E647&amp;"|P")&gt;0,COUNTIF(D_KEY_STATUT,$B647&amp;"|"&amp;$E647&amp;"|A")&gt;0),"⚠ Statut incohérent",IF(AND($D647="S1",$Y647&lt;&gt;"Parti",COUNTIF(ANNEES_VERROU,$B647)&gt;0,COUNTIF(D_KEY_NIVSES,$B647&amp;"|"&amp;$C647&amp;"|S2")&gt;0,COUNTIF(D_KEY_DOUBLON,$B647&amp;"|S2|"&amp;$E647)=0),"⚠ Départ non confirmé ?",IF(AND($C647&lt;&gt;"",ISNUMBER($I647),OR(VALUE(LEFT($B647,4))-$I647&lt;4+IFERROR(MATCH($C647,LISTE_NIVEAUX,0),99),VALUE(LEFT($B647,4))-$I647&gt;6+IFERROR(MATCH($C647,LISTE_NIVEAUX,0),99))),"⚠ Vérifier niveau",IF(AND(IFERROR(VLOOKUP($C647,TABLE_CYCLE,2,0),3)=2,COUNT($O647:$Q647)&gt;0),"⚠ Tests cycle 3",IF(COUNT($J647:$Q647)&gt;=IF(IFERROR(VLOOKUP($C647,TABLE_CYCLE,2,0),3)=2,5,8),"Complet","Incomplet"))))))))</f>
        <v/>
      </c>
      <c r="S647" s="24"/>
      <c r="T647" s="67" t="str">
        <f t="shared" ref="T647:T710" si="91">IFERROR(INDEX(D_NOM,MATCH(ROW()-6,D_RANG_RECUP,0)),"")</f>
        <v/>
      </c>
      <c r="U647" s="67" t="str">
        <f t="shared" ref="U647:U710" si="92">IFERROR(INDEX(D_PRENOM,MATCH(ROW()-6,D_RANG_RECUP,0)),"")</f>
        <v/>
      </c>
      <c r="V647" s="67" t="str">
        <f t="shared" ref="V647:V710" si="93">IFERROR(INDEX(D_SEXE,MATCH(ROW()-6,D_RANG_RECUP,0)),"")</f>
        <v/>
      </c>
      <c r="W647" s="67" t="str">
        <f t="shared" ref="W647:W710" si="94">IFERROR(INDEX(D_NAISS,MATCH(ROW()-6,D_RANG_RECUP,0)),"")</f>
        <v/>
      </c>
      <c r="X647" s="67" t="str">
        <f t="shared" ref="X647:X710" si="95">IF($T647="","",IF($X$4="→ Session 2 (même année)",$W$4,IFERROR(INDEX(LISTE_NIVEAUX,MATCH($W$4,LISTE_NIVEAUX,0)+1),"CM2 terminé")))</f>
        <v/>
      </c>
      <c r="Y647" s="24" t="str">
        <f t="shared" ref="Y647:Y710" si="96">IF($S647="","",$S647)</f>
        <v/>
      </c>
      <c r="Z647">
        <f t="shared" ref="Z647:Z710" si="97">SUBTOTAL(103,$F647)*($R647="Complet")</f>
        <v>0</v>
      </c>
      <c r="AA647">
        <f t="shared" ref="AA647:AA710" si="98">IF(OR($F647="",$C647=""),0,IF(COUNTIFS($B$7:$B$1206,$B647,$F$7:$F$1206,$F647,$G$7:$G$1206,$G647,$I$7:$I$1206,$I647,$C$7:$C$1206,"&lt;&gt;"&amp;$C647)&gt;0,1,0))</f>
        <v>0</v>
      </c>
    </row>
    <row r="648" spans="2:27" ht="15.75" customHeight="1" x14ac:dyDescent="0.3">
      <c r="B648" s="25"/>
      <c r="C648" s="25"/>
      <c r="D648" s="25"/>
      <c r="E648" s="26" t="str">
        <f t="shared" si="90"/>
        <v/>
      </c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3" t="str">
        <f>IF($F648="","",IF(OR($B648="",$C648="",$D648=""),"⚠ Compléter Année/Niveau/Session",IF(AND($E648&lt;&gt;"",COUNTIF(D_KEY_DOUBLON,$B648&amp;"|"&amp;$D648&amp;"|"&amp;$E648)&gt;1),"⚠ Doublon",IF(AND($E648&lt;&gt;"",COUNTIF(D_KEY_STATUT,$B648&amp;"|"&amp;$E648&amp;"|P")&gt;0,COUNTIF(D_KEY_STATUT,$B648&amp;"|"&amp;$E648&amp;"|A")&gt;0),"⚠ Statut incohérent",IF(AND($D648="S1",$Y648&lt;&gt;"Parti",COUNTIF(ANNEES_VERROU,$B648)&gt;0,COUNTIF(D_KEY_NIVSES,$B648&amp;"|"&amp;$C648&amp;"|S2")&gt;0,COUNTIF(D_KEY_DOUBLON,$B648&amp;"|S2|"&amp;$E648)=0),"⚠ Départ non confirmé ?",IF(AND($C648&lt;&gt;"",ISNUMBER($I648),OR(VALUE(LEFT($B648,4))-$I648&lt;4+IFERROR(MATCH($C648,LISTE_NIVEAUX,0),99),VALUE(LEFT($B648,4))-$I648&gt;6+IFERROR(MATCH($C648,LISTE_NIVEAUX,0),99))),"⚠ Vérifier niveau",IF(AND(IFERROR(VLOOKUP($C648,TABLE_CYCLE,2,0),3)=2,COUNT($O648:$Q648)&gt;0),"⚠ Tests cycle 3",IF(COUNT($J648:$Q648)&gt;=IF(IFERROR(VLOOKUP($C648,TABLE_CYCLE,2,0),3)=2,5,8),"Complet","Incomplet"))))))))</f>
        <v/>
      </c>
      <c r="S648" s="24"/>
      <c r="T648" s="67" t="str">
        <f t="shared" si="91"/>
        <v/>
      </c>
      <c r="U648" s="67" t="str">
        <f t="shared" si="92"/>
        <v/>
      </c>
      <c r="V648" s="67" t="str">
        <f t="shared" si="93"/>
        <v/>
      </c>
      <c r="W648" s="67" t="str">
        <f t="shared" si="94"/>
        <v/>
      </c>
      <c r="X648" s="67" t="str">
        <f t="shared" si="95"/>
        <v/>
      </c>
      <c r="Y648" s="24" t="str">
        <f t="shared" si="96"/>
        <v/>
      </c>
      <c r="Z648">
        <f t="shared" si="97"/>
        <v>0</v>
      </c>
      <c r="AA648">
        <f t="shared" si="98"/>
        <v>0</v>
      </c>
    </row>
    <row r="649" spans="2:27" ht="15.75" customHeight="1" x14ac:dyDescent="0.3">
      <c r="B649" s="21"/>
      <c r="C649" s="21"/>
      <c r="D649" s="21"/>
      <c r="E649" s="22" t="str">
        <f t="shared" si="90"/>
        <v/>
      </c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3" t="str">
        <f>IF($F649="","",IF(OR($B649="",$C649="",$D649=""),"⚠ Compléter Année/Niveau/Session",IF(AND($E649&lt;&gt;"",COUNTIF(D_KEY_DOUBLON,$B649&amp;"|"&amp;$D649&amp;"|"&amp;$E649)&gt;1),"⚠ Doublon",IF(AND($E649&lt;&gt;"",COUNTIF(D_KEY_STATUT,$B649&amp;"|"&amp;$E649&amp;"|P")&gt;0,COUNTIF(D_KEY_STATUT,$B649&amp;"|"&amp;$E649&amp;"|A")&gt;0),"⚠ Statut incohérent",IF(AND($D649="S1",$Y649&lt;&gt;"Parti",COUNTIF(ANNEES_VERROU,$B649)&gt;0,COUNTIF(D_KEY_NIVSES,$B649&amp;"|"&amp;$C649&amp;"|S2")&gt;0,COUNTIF(D_KEY_DOUBLON,$B649&amp;"|S2|"&amp;$E649)=0),"⚠ Départ non confirmé ?",IF(AND($C649&lt;&gt;"",ISNUMBER($I649),OR(VALUE(LEFT($B649,4))-$I649&lt;4+IFERROR(MATCH($C649,LISTE_NIVEAUX,0),99),VALUE(LEFT($B649,4))-$I649&gt;6+IFERROR(MATCH($C649,LISTE_NIVEAUX,0),99))),"⚠ Vérifier niveau",IF(AND(IFERROR(VLOOKUP($C649,TABLE_CYCLE,2,0),3)=2,COUNT($O649:$Q649)&gt;0),"⚠ Tests cycle 3",IF(COUNT($J649:$Q649)&gt;=IF(IFERROR(VLOOKUP($C649,TABLE_CYCLE,2,0),3)=2,5,8),"Complet","Incomplet"))))))))</f>
        <v/>
      </c>
      <c r="S649" s="24"/>
      <c r="T649" s="67" t="str">
        <f t="shared" si="91"/>
        <v/>
      </c>
      <c r="U649" s="67" t="str">
        <f t="shared" si="92"/>
        <v/>
      </c>
      <c r="V649" s="67" t="str">
        <f t="shared" si="93"/>
        <v/>
      </c>
      <c r="W649" s="67" t="str">
        <f t="shared" si="94"/>
        <v/>
      </c>
      <c r="X649" s="67" t="str">
        <f t="shared" si="95"/>
        <v/>
      </c>
      <c r="Y649" s="24" t="str">
        <f t="shared" si="96"/>
        <v/>
      </c>
      <c r="Z649">
        <f t="shared" si="97"/>
        <v>0</v>
      </c>
      <c r="AA649">
        <f t="shared" si="98"/>
        <v>0</v>
      </c>
    </row>
    <row r="650" spans="2:27" ht="15.75" customHeight="1" x14ac:dyDescent="0.3">
      <c r="B650" s="25"/>
      <c r="C650" s="25"/>
      <c r="D650" s="25"/>
      <c r="E650" s="26" t="str">
        <f t="shared" si="90"/>
        <v/>
      </c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3" t="str">
        <f>IF($F650="","",IF(OR($B650="",$C650="",$D650=""),"⚠ Compléter Année/Niveau/Session",IF(AND($E650&lt;&gt;"",COUNTIF(D_KEY_DOUBLON,$B650&amp;"|"&amp;$D650&amp;"|"&amp;$E650)&gt;1),"⚠ Doublon",IF(AND($E650&lt;&gt;"",COUNTIF(D_KEY_STATUT,$B650&amp;"|"&amp;$E650&amp;"|P")&gt;0,COUNTIF(D_KEY_STATUT,$B650&amp;"|"&amp;$E650&amp;"|A")&gt;0),"⚠ Statut incohérent",IF(AND($D650="S1",$Y650&lt;&gt;"Parti",COUNTIF(ANNEES_VERROU,$B650)&gt;0,COUNTIF(D_KEY_NIVSES,$B650&amp;"|"&amp;$C650&amp;"|S2")&gt;0,COUNTIF(D_KEY_DOUBLON,$B650&amp;"|S2|"&amp;$E650)=0),"⚠ Départ non confirmé ?",IF(AND($C650&lt;&gt;"",ISNUMBER($I650),OR(VALUE(LEFT($B650,4))-$I650&lt;4+IFERROR(MATCH($C650,LISTE_NIVEAUX,0),99),VALUE(LEFT($B650,4))-$I650&gt;6+IFERROR(MATCH($C650,LISTE_NIVEAUX,0),99))),"⚠ Vérifier niveau",IF(AND(IFERROR(VLOOKUP($C650,TABLE_CYCLE,2,0),3)=2,COUNT($O650:$Q650)&gt;0),"⚠ Tests cycle 3",IF(COUNT($J650:$Q650)&gt;=IF(IFERROR(VLOOKUP($C650,TABLE_CYCLE,2,0),3)=2,5,8),"Complet","Incomplet"))))))))</f>
        <v/>
      </c>
      <c r="S650" s="24"/>
      <c r="T650" s="67" t="str">
        <f t="shared" si="91"/>
        <v/>
      </c>
      <c r="U650" s="67" t="str">
        <f t="shared" si="92"/>
        <v/>
      </c>
      <c r="V650" s="67" t="str">
        <f t="shared" si="93"/>
        <v/>
      </c>
      <c r="W650" s="67" t="str">
        <f t="shared" si="94"/>
        <v/>
      </c>
      <c r="X650" s="67" t="str">
        <f t="shared" si="95"/>
        <v/>
      </c>
      <c r="Y650" s="24" t="str">
        <f t="shared" si="96"/>
        <v/>
      </c>
      <c r="Z650">
        <f t="shared" si="97"/>
        <v>0</v>
      </c>
      <c r="AA650">
        <f t="shared" si="98"/>
        <v>0</v>
      </c>
    </row>
    <row r="651" spans="2:27" ht="15.75" customHeight="1" x14ac:dyDescent="0.3">
      <c r="B651" s="21"/>
      <c r="C651" s="21"/>
      <c r="D651" s="21"/>
      <c r="E651" s="22" t="str">
        <f t="shared" si="90"/>
        <v/>
      </c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3" t="str">
        <f>IF($F651="","",IF(OR($B651="",$C651="",$D651=""),"⚠ Compléter Année/Niveau/Session",IF(AND($E651&lt;&gt;"",COUNTIF(D_KEY_DOUBLON,$B651&amp;"|"&amp;$D651&amp;"|"&amp;$E651)&gt;1),"⚠ Doublon",IF(AND($E651&lt;&gt;"",COUNTIF(D_KEY_STATUT,$B651&amp;"|"&amp;$E651&amp;"|P")&gt;0,COUNTIF(D_KEY_STATUT,$B651&amp;"|"&amp;$E651&amp;"|A")&gt;0),"⚠ Statut incohérent",IF(AND($D651="S1",$Y651&lt;&gt;"Parti",COUNTIF(ANNEES_VERROU,$B651)&gt;0,COUNTIF(D_KEY_NIVSES,$B651&amp;"|"&amp;$C651&amp;"|S2")&gt;0,COUNTIF(D_KEY_DOUBLON,$B651&amp;"|S2|"&amp;$E651)=0),"⚠ Départ non confirmé ?",IF(AND($C651&lt;&gt;"",ISNUMBER($I651),OR(VALUE(LEFT($B651,4))-$I651&lt;4+IFERROR(MATCH($C651,LISTE_NIVEAUX,0),99),VALUE(LEFT($B651,4))-$I651&gt;6+IFERROR(MATCH($C651,LISTE_NIVEAUX,0),99))),"⚠ Vérifier niveau",IF(AND(IFERROR(VLOOKUP($C651,TABLE_CYCLE,2,0),3)=2,COUNT($O651:$Q651)&gt;0),"⚠ Tests cycle 3",IF(COUNT($J651:$Q651)&gt;=IF(IFERROR(VLOOKUP($C651,TABLE_CYCLE,2,0),3)=2,5,8),"Complet","Incomplet"))))))))</f>
        <v/>
      </c>
      <c r="S651" s="24"/>
      <c r="T651" s="67" t="str">
        <f t="shared" si="91"/>
        <v/>
      </c>
      <c r="U651" s="67" t="str">
        <f t="shared" si="92"/>
        <v/>
      </c>
      <c r="V651" s="67" t="str">
        <f t="shared" si="93"/>
        <v/>
      </c>
      <c r="W651" s="67" t="str">
        <f t="shared" si="94"/>
        <v/>
      </c>
      <c r="X651" s="67" t="str">
        <f t="shared" si="95"/>
        <v/>
      </c>
      <c r="Y651" s="24" t="str">
        <f t="shared" si="96"/>
        <v/>
      </c>
      <c r="Z651">
        <f t="shared" si="97"/>
        <v>0</v>
      </c>
      <c r="AA651">
        <f t="shared" si="98"/>
        <v>0</v>
      </c>
    </row>
    <row r="652" spans="2:27" ht="15.75" customHeight="1" x14ac:dyDescent="0.3">
      <c r="B652" s="25"/>
      <c r="C652" s="25"/>
      <c r="D652" s="25"/>
      <c r="E652" s="26" t="str">
        <f t="shared" si="90"/>
        <v/>
      </c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3" t="str">
        <f>IF($F652="","",IF(OR($B652="",$C652="",$D652=""),"⚠ Compléter Année/Niveau/Session",IF(AND($E652&lt;&gt;"",COUNTIF(D_KEY_DOUBLON,$B652&amp;"|"&amp;$D652&amp;"|"&amp;$E652)&gt;1),"⚠ Doublon",IF(AND($E652&lt;&gt;"",COUNTIF(D_KEY_STATUT,$B652&amp;"|"&amp;$E652&amp;"|P")&gt;0,COUNTIF(D_KEY_STATUT,$B652&amp;"|"&amp;$E652&amp;"|A")&gt;0),"⚠ Statut incohérent",IF(AND($D652="S1",$Y652&lt;&gt;"Parti",COUNTIF(ANNEES_VERROU,$B652)&gt;0,COUNTIF(D_KEY_NIVSES,$B652&amp;"|"&amp;$C652&amp;"|S2")&gt;0,COUNTIF(D_KEY_DOUBLON,$B652&amp;"|S2|"&amp;$E652)=0),"⚠ Départ non confirmé ?",IF(AND($C652&lt;&gt;"",ISNUMBER($I652),OR(VALUE(LEFT($B652,4))-$I652&lt;4+IFERROR(MATCH($C652,LISTE_NIVEAUX,0),99),VALUE(LEFT($B652,4))-$I652&gt;6+IFERROR(MATCH($C652,LISTE_NIVEAUX,0),99))),"⚠ Vérifier niveau",IF(AND(IFERROR(VLOOKUP($C652,TABLE_CYCLE,2,0),3)=2,COUNT($O652:$Q652)&gt;0),"⚠ Tests cycle 3",IF(COUNT($J652:$Q652)&gt;=IF(IFERROR(VLOOKUP($C652,TABLE_CYCLE,2,0),3)=2,5,8),"Complet","Incomplet"))))))))</f>
        <v/>
      </c>
      <c r="S652" s="24"/>
      <c r="T652" s="67" t="str">
        <f t="shared" si="91"/>
        <v/>
      </c>
      <c r="U652" s="67" t="str">
        <f t="shared" si="92"/>
        <v/>
      </c>
      <c r="V652" s="67" t="str">
        <f t="shared" si="93"/>
        <v/>
      </c>
      <c r="W652" s="67" t="str">
        <f t="shared" si="94"/>
        <v/>
      </c>
      <c r="X652" s="67" t="str">
        <f t="shared" si="95"/>
        <v/>
      </c>
      <c r="Y652" s="24" t="str">
        <f t="shared" si="96"/>
        <v/>
      </c>
      <c r="Z652">
        <f t="shared" si="97"/>
        <v>0</v>
      </c>
      <c r="AA652">
        <f t="shared" si="98"/>
        <v>0</v>
      </c>
    </row>
    <row r="653" spans="2:27" ht="15.75" customHeight="1" x14ac:dyDescent="0.3">
      <c r="B653" s="21"/>
      <c r="C653" s="21"/>
      <c r="D653" s="21"/>
      <c r="E653" s="22" t="str">
        <f t="shared" si="90"/>
        <v/>
      </c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3" t="str">
        <f>IF($F653="","",IF(OR($B653="",$C653="",$D653=""),"⚠ Compléter Année/Niveau/Session",IF(AND($E653&lt;&gt;"",COUNTIF(D_KEY_DOUBLON,$B653&amp;"|"&amp;$D653&amp;"|"&amp;$E653)&gt;1),"⚠ Doublon",IF(AND($E653&lt;&gt;"",COUNTIF(D_KEY_STATUT,$B653&amp;"|"&amp;$E653&amp;"|P")&gt;0,COUNTIF(D_KEY_STATUT,$B653&amp;"|"&amp;$E653&amp;"|A")&gt;0),"⚠ Statut incohérent",IF(AND($D653="S1",$Y653&lt;&gt;"Parti",COUNTIF(ANNEES_VERROU,$B653)&gt;0,COUNTIF(D_KEY_NIVSES,$B653&amp;"|"&amp;$C653&amp;"|S2")&gt;0,COUNTIF(D_KEY_DOUBLON,$B653&amp;"|S2|"&amp;$E653)=0),"⚠ Départ non confirmé ?",IF(AND($C653&lt;&gt;"",ISNUMBER($I653),OR(VALUE(LEFT($B653,4))-$I653&lt;4+IFERROR(MATCH($C653,LISTE_NIVEAUX,0),99),VALUE(LEFT($B653,4))-$I653&gt;6+IFERROR(MATCH($C653,LISTE_NIVEAUX,0),99))),"⚠ Vérifier niveau",IF(AND(IFERROR(VLOOKUP($C653,TABLE_CYCLE,2,0),3)=2,COUNT($O653:$Q653)&gt;0),"⚠ Tests cycle 3",IF(COUNT($J653:$Q653)&gt;=IF(IFERROR(VLOOKUP($C653,TABLE_CYCLE,2,0),3)=2,5,8),"Complet","Incomplet"))))))))</f>
        <v/>
      </c>
      <c r="S653" s="24"/>
      <c r="T653" s="67" t="str">
        <f t="shared" si="91"/>
        <v/>
      </c>
      <c r="U653" s="67" t="str">
        <f t="shared" si="92"/>
        <v/>
      </c>
      <c r="V653" s="67" t="str">
        <f t="shared" si="93"/>
        <v/>
      </c>
      <c r="W653" s="67" t="str">
        <f t="shared" si="94"/>
        <v/>
      </c>
      <c r="X653" s="67" t="str">
        <f t="shared" si="95"/>
        <v/>
      </c>
      <c r="Y653" s="24" t="str">
        <f t="shared" si="96"/>
        <v/>
      </c>
      <c r="Z653">
        <f t="shared" si="97"/>
        <v>0</v>
      </c>
      <c r="AA653">
        <f t="shared" si="98"/>
        <v>0</v>
      </c>
    </row>
    <row r="654" spans="2:27" ht="15.75" customHeight="1" x14ac:dyDescent="0.3">
      <c r="B654" s="25"/>
      <c r="C654" s="25"/>
      <c r="D654" s="25"/>
      <c r="E654" s="26" t="str">
        <f t="shared" si="90"/>
        <v/>
      </c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3" t="str">
        <f>IF($F654="","",IF(OR($B654="",$C654="",$D654=""),"⚠ Compléter Année/Niveau/Session",IF(AND($E654&lt;&gt;"",COUNTIF(D_KEY_DOUBLON,$B654&amp;"|"&amp;$D654&amp;"|"&amp;$E654)&gt;1),"⚠ Doublon",IF(AND($E654&lt;&gt;"",COUNTIF(D_KEY_STATUT,$B654&amp;"|"&amp;$E654&amp;"|P")&gt;0,COUNTIF(D_KEY_STATUT,$B654&amp;"|"&amp;$E654&amp;"|A")&gt;0),"⚠ Statut incohérent",IF(AND($D654="S1",$Y654&lt;&gt;"Parti",COUNTIF(ANNEES_VERROU,$B654)&gt;0,COUNTIF(D_KEY_NIVSES,$B654&amp;"|"&amp;$C654&amp;"|S2")&gt;0,COUNTIF(D_KEY_DOUBLON,$B654&amp;"|S2|"&amp;$E654)=0),"⚠ Départ non confirmé ?",IF(AND($C654&lt;&gt;"",ISNUMBER($I654),OR(VALUE(LEFT($B654,4))-$I654&lt;4+IFERROR(MATCH($C654,LISTE_NIVEAUX,0),99),VALUE(LEFT($B654,4))-$I654&gt;6+IFERROR(MATCH($C654,LISTE_NIVEAUX,0),99))),"⚠ Vérifier niveau",IF(AND(IFERROR(VLOOKUP($C654,TABLE_CYCLE,2,0),3)=2,COUNT($O654:$Q654)&gt;0),"⚠ Tests cycle 3",IF(COUNT($J654:$Q654)&gt;=IF(IFERROR(VLOOKUP($C654,TABLE_CYCLE,2,0),3)=2,5,8),"Complet","Incomplet"))))))))</f>
        <v/>
      </c>
      <c r="S654" s="24"/>
      <c r="T654" s="67" t="str">
        <f t="shared" si="91"/>
        <v/>
      </c>
      <c r="U654" s="67" t="str">
        <f t="shared" si="92"/>
        <v/>
      </c>
      <c r="V654" s="67" t="str">
        <f t="shared" si="93"/>
        <v/>
      </c>
      <c r="W654" s="67" t="str">
        <f t="shared" si="94"/>
        <v/>
      </c>
      <c r="X654" s="67" t="str">
        <f t="shared" si="95"/>
        <v/>
      </c>
      <c r="Y654" s="24" t="str">
        <f t="shared" si="96"/>
        <v/>
      </c>
      <c r="Z654">
        <f t="shared" si="97"/>
        <v>0</v>
      </c>
      <c r="AA654">
        <f t="shared" si="98"/>
        <v>0</v>
      </c>
    </row>
    <row r="655" spans="2:27" ht="15.75" customHeight="1" x14ac:dyDescent="0.3">
      <c r="B655" s="21"/>
      <c r="C655" s="21"/>
      <c r="D655" s="21"/>
      <c r="E655" s="22" t="str">
        <f t="shared" si="90"/>
        <v/>
      </c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3" t="str">
        <f>IF($F655="","",IF(OR($B655="",$C655="",$D655=""),"⚠ Compléter Année/Niveau/Session",IF(AND($E655&lt;&gt;"",COUNTIF(D_KEY_DOUBLON,$B655&amp;"|"&amp;$D655&amp;"|"&amp;$E655)&gt;1),"⚠ Doublon",IF(AND($E655&lt;&gt;"",COUNTIF(D_KEY_STATUT,$B655&amp;"|"&amp;$E655&amp;"|P")&gt;0,COUNTIF(D_KEY_STATUT,$B655&amp;"|"&amp;$E655&amp;"|A")&gt;0),"⚠ Statut incohérent",IF(AND($D655="S1",$Y655&lt;&gt;"Parti",COUNTIF(ANNEES_VERROU,$B655)&gt;0,COUNTIF(D_KEY_NIVSES,$B655&amp;"|"&amp;$C655&amp;"|S2")&gt;0,COUNTIF(D_KEY_DOUBLON,$B655&amp;"|S2|"&amp;$E655)=0),"⚠ Départ non confirmé ?",IF(AND($C655&lt;&gt;"",ISNUMBER($I655),OR(VALUE(LEFT($B655,4))-$I655&lt;4+IFERROR(MATCH($C655,LISTE_NIVEAUX,0),99),VALUE(LEFT($B655,4))-$I655&gt;6+IFERROR(MATCH($C655,LISTE_NIVEAUX,0),99))),"⚠ Vérifier niveau",IF(AND(IFERROR(VLOOKUP($C655,TABLE_CYCLE,2,0),3)=2,COUNT($O655:$Q655)&gt;0),"⚠ Tests cycle 3",IF(COUNT($J655:$Q655)&gt;=IF(IFERROR(VLOOKUP($C655,TABLE_CYCLE,2,0),3)=2,5,8),"Complet","Incomplet"))))))))</f>
        <v/>
      </c>
      <c r="S655" s="24"/>
      <c r="T655" s="67" t="str">
        <f t="shared" si="91"/>
        <v/>
      </c>
      <c r="U655" s="67" t="str">
        <f t="shared" si="92"/>
        <v/>
      </c>
      <c r="V655" s="67" t="str">
        <f t="shared" si="93"/>
        <v/>
      </c>
      <c r="W655" s="67" t="str">
        <f t="shared" si="94"/>
        <v/>
      </c>
      <c r="X655" s="67" t="str">
        <f t="shared" si="95"/>
        <v/>
      </c>
      <c r="Y655" s="24" t="str">
        <f t="shared" si="96"/>
        <v/>
      </c>
      <c r="Z655">
        <f t="shared" si="97"/>
        <v>0</v>
      </c>
      <c r="AA655">
        <f t="shared" si="98"/>
        <v>0</v>
      </c>
    </row>
    <row r="656" spans="2:27" ht="15.75" customHeight="1" x14ac:dyDescent="0.3">
      <c r="B656" s="25"/>
      <c r="C656" s="25"/>
      <c r="D656" s="25"/>
      <c r="E656" s="26" t="str">
        <f t="shared" si="90"/>
        <v/>
      </c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3" t="str">
        <f>IF($F656="","",IF(OR($B656="",$C656="",$D656=""),"⚠ Compléter Année/Niveau/Session",IF(AND($E656&lt;&gt;"",COUNTIF(D_KEY_DOUBLON,$B656&amp;"|"&amp;$D656&amp;"|"&amp;$E656)&gt;1),"⚠ Doublon",IF(AND($E656&lt;&gt;"",COUNTIF(D_KEY_STATUT,$B656&amp;"|"&amp;$E656&amp;"|P")&gt;0,COUNTIF(D_KEY_STATUT,$B656&amp;"|"&amp;$E656&amp;"|A")&gt;0),"⚠ Statut incohérent",IF(AND($D656="S1",$Y656&lt;&gt;"Parti",COUNTIF(ANNEES_VERROU,$B656)&gt;0,COUNTIF(D_KEY_NIVSES,$B656&amp;"|"&amp;$C656&amp;"|S2")&gt;0,COUNTIF(D_KEY_DOUBLON,$B656&amp;"|S2|"&amp;$E656)=0),"⚠ Départ non confirmé ?",IF(AND($C656&lt;&gt;"",ISNUMBER($I656),OR(VALUE(LEFT($B656,4))-$I656&lt;4+IFERROR(MATCH($C656,LISTE_NIVEAUX,0),99),VALUE(LEFT($B656,4))-$I656&gt;6+IFERROR(MATCH($C656,LISTE_NIVEAUX,0),99))),"⚠ Vérifier niveau",IF(AND(IFERROR(VLOOKUP($C656,TABLE_CYCLE,2,0),3)=2,COUNT($O656:$Q656)&gt;0),"⚠ Tests cycle 3",IF(COUNT($J656:$Q656)&gt;=IF(IFERROR(VLOOKUP($C656,TABLE_CYCLE,2,0),3)=2,5,8),"Complet","Incomplet"))))))))</f>
        <v/>
      </c>
      <c r="S656" s="24"/>
      <c r="T656" s="67" t="str">
        <f t="shared" si="91"/>
        <v/>
      </c>
      <c r="U656" s="67" t="str">
        <f t="shared" si="92"/>
        <v/>
      </c>
      <c r="V656" s="67" t="str">
        <f t="shared" si="93"/>
        <v/>
      </c>
      <c r="W656" s="67" t="str">
        <f t="shared" si="94"/>
        <v/>
      </c>
      <c r="X656" s="67" t="str">
        <f t="shared" si="95"/>
        <v/>
      </c>
      <c r="Y656" s="24" t="str">
        <f t="shared" si="96"/>
        <v/>
      </c>
      <c r="Z656">
        <f t="shared" si="97"/>
        <v>0</v>
      </c>
      <c r="AA656">
        <f t="shared" si="98"/>
        <v>0</v>
      </c>
    </row>
    <row r="657" spans="2:27" ht="15.75" customHeight="1" x14ac:dyDescent="0.3">
      <c r="B657" s="21"/>
      <c r="C657" s="21"/>
      <c r="D657" s="21"/>
      <c r="E657" s="22" t="str">
        <f t="shared" si="90"/>
        <v/>
      </c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3" t="str">
        <f>IF($F657="","",IF(OR($B657="",$C657="",$D657=""),"⚠ Compléter Année/Niveau/Session",IF(AND($E657&lt;&gt;"",COUNTIF(D_KEY_DOUBLON,$B657&amp;"|"&amp;$D657&amp;"|"&amp;$E657)&gt;1),"⚠ Doublon",IF(AND($E657&lt;&gt;"",COUNTIF(D_KEY_STATUT,$B657&amp;"|"&amp;$E657&amp;"|P")&gt;0,COUNTIF(D_KEY_STATUT,$B657&amp;"|"&amp;$E657&amp;"|A")&gt;0),"⚠ Statut incohérent",IF(AND($D657="S1",$Y657&lt;&gt;"Parti",COUNTIF(ANNEES_VERROU,$B657)&gt;0,COUNTIF(D_KEY_NIVSES,$B657&amp;"|"&amp;$C657&amp;"|S2")&gt;0,COUNTIF(D_KEY_DOUBLON,$B657&amp;"|S2|"&amp;$E657)=0),"⚠ Départ non confirmé ?",IF(AND($C657&lt;&gt;"",ISNUMBER($I657),OR(VALUE(LEFT($B657,4))-$I657&lt;4+IFERROR(MATCH($C657,LISTE_NIVEAUX,0),99),VALUE(LEFT($B657,4))-$I657&gt;6+IFERROR(MATCH($C657,LISTE_NIVEAUX,0),99))),"⚠ Vérifier niveau",IF(AND(IFERROR(VLOOKUP($C657,TABLE_CYCLE,2,0),3)=2,COUNT($O657:$Q657)&gt;0),"⚠ Tests cycle 3",IF(COUNT($J657:$Q657)&gt;=IF(IFERROR(VLOOKUP($C657,TABLE_CYCLE,2,0),3)=2,5,8),"Complet","Incomplet"))))))))</f>
        <v/>
      </c>
      <c r="S657" s="24"/>
      <c r="T657" s="67" t="str">
        <f t="shared" si="91"/>
        <v/>
      </c>
      <c r="U657" s="67" t="str">
        <f t="shared" si="92"/>
        <v/>
      </c>
      <c r="V657" s="67" t="str">
        <f t="shared" si="93"/>
        <v/>
      </c>
      <c r="W657" s="67" t="str">
        <f t="shared" si="94"/>
        <v/>
      </c>
      <c r="X657" s="67" t="str">
        <f t="shared" si="95"/>
        <v/>
      </c>
      <c r="Y657" s="24" t="str">
        <f t="shared" si="96"/>
        <v/>
      </c>
      <c r="Z657">
        <f t="shared" si="97"/>
        <v>0</v>
      </c>
      <c r="AA657">
        <f t="shared" si="98"/>
        <v>0</v>
      </c>
    </row>
    <row r="658" spans="2:27" ht="15.75" customHeight="1" x14ac:dyDescent="0.3">
      <c r="B658" s="25"/>
      <c r="C658" s="25"/>
      <c r="D658" s="25"/>
      <c r="E658" s="26" t="str">
        <f t="shared" si="90"/>
        <v/>
      </c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3" t="str">
        <f>IF($F658="","",IF(OR($B658="",$C658="",$D658=""),"⚠ Compléter Année/Niveau/Session",IF(AND($E658&lt;&gt;"",COUNTIF(D_KEY_DOUBLON,$B658&amp;"|"&amp;$D658&amp;"|"&amp;$E658)&gt;1),"⚠ Doublon",IF(AND($E658&lt;&gt;"",COUNTIF(D_KEY_STATUT,$B658&amp;"|"&amp;$E658&amp;"|P")&gt;0,COUNTIF(D_KEY_STATUT,$B658&amp;"|"&amp;$E658&amp;"|A")&gt;0),"⚠ Statut incohérent",IF(AND($D658="S1",$Y658&lt;&gt;"Parti",COUNTIF(ANNEES_VERROU,$B658)&gt;0,COUNTIF(D_KEY_NIVSES,$B658&amp;"|"&amp;$C658&amp;"|S2")&gt;0,COUNTIF(D_KEY_DOUBLON,$B658&amp;"|S2|"&amp;$E658)=0),"⚠ Départ non confirmé ?",IF(AND($C658&lt;&gt;"",ISNUMBER($I658),OR(VALUE(LEFT($B658,4))-$I658&lt;4+IFERROR(MATCH($C658,LISTE_NIVEAUX,0),99),VALUE(LEFT($B658,4))-$I658&gt;6+IFERROR(MATCH($C658,LISTE_NIVEAUX,0),99))),"⚠ Vérifier niveau",IF(AND(IFERROR(VLOOKUP($C658,TABLE_CYCLE,2,0),3)=2,COUNT($O658:$Q658)&gt;0),"⚠ Tests cycle 3",IF(COUNT($J658:$Q658)&gt;=IF(IFERROR(VLOOKUP($C658,TABLE_CYCLE,2,0),3)=2,5,8),"Complet","Incomplet"))))))))</f>
        <v/>
      </c>
      <c r="S658" s="24"/>
      <c r="T658" s="67" t="str">
        <f t="shared" si="91"/>
        <v/>
      </c>
      <c r="U658" s="67" t="str">
        <f t="shared" si="92"/>
        <v/>
      </c>
      <c r="V658" s="67" t="str">
        <f t="shared" si="93"/>
        <v/>
      </c>
      <c r="W658" s="67" t="str">
        <f t="shared" si="94"/>
        <v/>
      </c>
      <c r="X658" s="67" t="str">
        <f t="shared" si="95"/>
        <v/>
      </c>
      <c r="Y658" s="24" t="str">
        <f t="shared" si="96"/>
        <v/>
      </c>
      <c r="Z658">
        <f t="shared" si="97"/>
        <v>0</v>
      </c>
      <c r="AA658">
        <f t="shared" si="98"/>
        <v>0</v>
      </c>
    </row>
    <row r="659" spans="2:27" ht="15.75" customHeight="1" x14ac:dyDescent="0.3">
      <c r="B659" s="21"/>
      <c r="C659" s="21"/>
      <c r="D659" s="21"/>
      <c r="E659" s="22" t="str">
        <f t="shared" si="90"/>
        <v/>
      </c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3" t="str">
        <f>IF($F659="","",IF(OR($B659="",$C659="",$D659=""),"⚠ Compléter Année/Niveau/Session",IF(AND($E659&lt;&gt;"",COUNTIF(D_KEY_DOUBLON,$B659&amp;"|"&amp;$D659&amp;"|"&amp;$E659)&gt;1),"⚠ Doublon",IF(AND($E659&lt;&gt;"",COUNTIF(D_KEY_STATUT,$B659&amp;"|"&amp;$E659&amp;"|P")&gt;0,COUNTIF(D_KEY_STATUT,$B659&amp;"|"&amp;$E659&amp;"|A")&gt;0),"⚠ Statut incohérent",IF(AND($D659="S1",$Y659&lt;&gt;"Parti",COUNTIF(ANNEES_VERROU,$B659)&gt;0,COUNTIF(D_KEY_NIVSES,$B659&amp;"|"&amp;$C659&amp;"|S2")&gt;0,COUNTIF(D_KEY_DOUBLON,$B659&amp;"|S2|"&amp;$E659)=0),"⚠ Départ non confirmé ?",IF(AND($C659&lt;&gt;"",ISNUMBER($I659),OR(VALUE(LEFT($B659,4))-$I659&lt;4+IFERROR(MATCH($C659,LISTE_NIVEAUX,0),99),VALUE(LEFT($B659,4))-$I659&gt;6+IFERROR(MATCH($C659,LISTE_NIVEAUX,0),99))),"⚠ Vérifier niveau",IF(AND(IFERROR(VLOOKUP($C659,TABLE_CYCLE,2,0),3)=2,COUNT($O659:$Q659)&gt;0),"⚠ Tests cycle 3",IF(COUNT($J659:$Q659)&gt;=IF(IFERROR(VLOOKUP($C659,TABLE_CYCLE,2,0),3)=2,5,8),"Complet","Incomplet"))))))))</f>
        <v/>
      </c>
      <c r="S659" s="24"/>
      <c r="T659" s="67" t="str">
        <f t="shared" si="91"/>
        <v/>
      </c>
      <c r="U659" s="67" t="str">
        <f t="shared" si="92"/>
        <v/>
      </c>
      <c r="V659" s="67" t="str">
        <f t="shared" si="93"/>
        <v/>
      </c>
      <c r="W659" s="67" t="str">
        <f t="shared" si="94"/>
        <v/>
      </c>
      <c r="X659" s="67" t="str">
        <f t="shared" si="95"/>
        <v/>
      </c>
      <c r="Y659" s="24" t="str">
        <f t="shared" si="96"/>
        <v/>
      </c>
      <c r="Z659">
        <f t="shared" si="97"/>
        <v>0</v>
      </c>
      <c r="AA659">
        <f t="shared" si="98"/>
        <v>0</v>
      </c>
    </row>
    <row r="660" spans="2:27" ht="15.75" customHeight="1" x14ac:dyDescent="0.3">
      <c r="B660" s="25"/>
      <c r="C660" s="25"/>
      <c r="D660" s="25"/>
      <c r="E660" s="26" t="str">
        <f t="shared" si="90"/>
        <v/>
      </c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3" t="str">
        <f>IF($F660="","",IF(OR($B660="",$C660="",$D660=""),"⚠ Compléter Année/Niveau/Session",IF(AND($E660&lt;&gt;"",COUNTIF(D_KEY_DOUBLON,$B660&amp;"|"&amp;$D660&amp;"|"&amp;$E660)&gt;1),"⚠ Doublon",IF(AND($E660&lt;&gt;"",COUNTIF(D_KEY_STATUT,$B660&amp;"|"&amp;$E660&amp;"|P")&gt;0,COUNTIF(D_KEY_STATUT,$B660&amp;"|"&amp;$E660&amp;"|A")&gt;0),"⚠ Statut incohérent",IF(AND($D660="S1",$Y660&lt;&gt;"Parti",COUNTIF(ANNEES_VERROU,$B660)&gt;0,COUNTIF(D_KEY_NIVSES,$B660&amp;"|"&amp;$C660&amp;"|S2")&gt;0,COUNTIF(D_KEY_DOUBLON,$B660&amp;"|S2|"&amp;$E660)=0),"⚠ Départ non confirmé ?",IF(AND($C660&lt;&gt;"",ISNUMBER($I660),OR(VALUE(LEFT($B660,4))-$I660&lt;4+IFERROR(MATCH($C660,LISTE_NIVEAUX,0),99),VALUE(LEFT($B660,4))-$I660&gt;6+IFERROR(MATCH($C660,LISTE_NIVEAUX,0),99))),"⚠ Vérifier niveau",IF(AND(IFERROR(VLOOKUP($C660,TABLE_CYCLE,2,0),3)=2,COUNT($O660:$Q660)&gt;0),"⚠ Tests cycle 3",IF(COUNT($J660:$Q660)&gt;=IF(IFERROR(VLOOKUP($C660,TABLE_CYCLE,2,0),3)=2,5,8),"Complet","Incomplet"))))))))</f>
        <v/>
      </c>
      <c r="S660" s="24"/>
      <c r="T660" s="67" t="str">
        <f t="shared" si="91"/>
        <v/>
      </c>
      <c r="U660" s="67" t="str">
        <f t="shared" si="92"/>
        <v/>
      </c>
      <c r="V660" s="67" t="str">
        <f t="shared" si="93"/>
        <v/>
      </c>
      <c r="W660" s="67" t="str">
        <f t="shared" si="94"/>
        <v/>
      </c>
      <c r="X660" s="67" t="str">
        <f t="shared" si="95"/>
        <v/>
      </c>
      <c r="Y660" s="24" t="str">
        <f t="shared" si="96"/>
        <v/>
      </c>
      <c r="Z660">
        <f t="shared" si="97"/>
        <v>0</v>
      </c>
      <c r="AA660">
        <f t="shared" si="98"/>
        <v>0</v>
      </c>
    </row>
    <row r="661" spans="2:27" ht="15.75" customHeight="1" x14ac:dyDescent="0.3">
      <c r="B661" s="21"/>
      <c r="C661" s="21"/>
      <c r="D661" s="21"/>
      <c r="E661" s="22" t="str">
        <f t="shared" si="90"/>
        <v/>
      </c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3" t="str">
        <f>IF($F661="","",IF(OR($B661="",$C661="",$D661=""),"⚠ Compléter Année/Niveau/Session",IF(AND($E661&lt;&gt;"",COUNTIF(D_KEY_DOUBLON,$B661&amp;"|"&amp;$D661&amp;"|"&amp;$E661)&gt;1),"⚠ Doublon",IF(AND($E661&lt;&gt;"",COUNTIF(D_KEY_STATUT,$B661&amp;"|"&amp;$E661&amp;"|P")&gt;0,COUNTIF(D_KEY_STATUT,$B661&amp;"|"&amp;$E661&amp;"|A")&gt;0),"⚠ Statut incohérent",IF(AND($D661="S1",$Y661&lt;&gt;"Parti",COUNTIF(ANNEES_VERROU,$B661)&gt;0,COUNTIF(D_KEY_NIVSES,$B661&amp;"|"&amp;$C661&amp;"|S2")&gt;0,COUNTIF(D_KEY_DOUBLON,$B661&amp;"|S2|"&amp;$E661)=0),"⚠ Départ non confirmé ?",IF(AND($C661&lt;&gt;"",ISNUMBER($I661),OR(VALUE(LEFT($B661,4))-$I661&lt;4+IFERROR(MATCH($C661,LISTE_NIVEAUX,0),99),VALUE(LEFT($B661,4))-$I661&gt;6+IFERROR(MATCH($C661,LISTE_NIVEAUX,0),99))),"⚠ Vérifier niveau",IF(AND(IFERROR(VLOOKUP($C661,TABLE_CYCLE,2,0),3)=2,COUNT($O661:$Q661)&gt;0),"⚠ Tests cycle 3",IF(COUNT($J661:$Q661)&gt;=IF(IFERROR(VLOOKUP($C661,TABLE_CYCLE,2,0),3)=2,5,8),"Complet","Incomplet"))))))))</f>
        <v/>
      </c>
      <c r="S661" s="24"/>
      <c r="T661" s="67" t="str">
        <f t="shared" si="91"/>
        <v/>
      </c>
      <c r="U661" s="67" t="str">
        <f t="shared" si="92"/>
        <v/>
      </c>
      <c r="V661" s="67" t="str">
        <f t="shared" si="93"/>
        <v/>
      </c>
      <c r="W661" s="67" t="str">
        <f t="shared" si="94"/>
        <v/>
      </c>
      <c r="X661" s="67" t="str">
        <f t="shared" si="95"/>
        <v/>
      </c>
      <c r="Y661" s="24" t="str">
        <f t="shared" si="96"/>
        <v/>
      </c>
      <c r="Z661">
        <f t="shared" si="97"/>
        <v>0</v>
      </c>
      <c r="AA661">
        <f t="shared" si="98"/>
        <v>0</v>
      </c>
    </row>
    <row r="662" spans="2:27" ht="15.75" customHeight="1" x14ac:dyDescent="0.3">
      <c r="B662" s="25"/>
      <c r="C662" s="25"/>
      <c r="D662" s="25"/>
      <c r="E662" s="26" t="str">
        <f t="shared" si="90"/>
        <v/>
      </c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3" t="str">
        <f>IF($F662="","",IF(OR($B662="",$C662="",$D662=""),"⚠ Compléter Année/Niveau/Session",IF(AND($E662&lt;&gt;"",COUNTIF(D_KEY_DOUBLON,$B662&amp;"|"&amp;$D662&amp;"|"&amp;$E662)&gt;1),"⚠ Doublon",IF(AND($E662&lt;&gt;"",COUNTIF(D_KEY_STATUT,$B662&amp;"|"&amp;$E662&amp;"|P")&gt;0,COUNTIF(D_KEY_STATUT,$B662&amp;"|"&amp;$E662&amp;"|A")&gt;0),"⚠ Statut incohérent",IF(AND($D662="S1",$Y662&lt;&gt;"Parti",COUNTIF(ANNEES_VERROU,$B662)&gt;0,COUNTIF(D_KEY_NIVSES,$B662&amp;"|"&amp;$C662&amp;"|S2")&gt;0,COUNTIF(D_KEY_DOUBLON,$B662&amp;"|S2|"&amp;$E662)=0),"⚠ Départ non confirmé ?",IF(AND($C662&lt;&gt;"",ISNUMBER($I662),OR(VALUE(LEFT($B662,4))-$I662&lt;4+IFERROR(MATCH($C662,LISTE_NIVEAUX,0),99),VALUE(LEFT($B662,4))-$I662&gt;6+IFERROR(MATCH($C662,LISTE_NIVEAUX,0),99))),"⚠ Vérifier niveau",IF(AND(IFERROR(VLOOKUP($C662,TABLE_CYCLE,2,0),3)=2,COUNT($O662:$Q662)&gt;0),"⚠ Tests cycle 3",IF(COUNT($J662:$Q662)&gt;=IF(IFERROR(VLOOKUP($C662,TABLE_CYCLE,2,0),3)=2,5,8),"Complet","Incomplet"))))))))</f>
        <v/>
      </c>
      <c r="S662" s="24"/>
      <c r="T662" s="67" t="str">
        <f t="shared" si="91"/>
        <v/>
      </c>
      <c r="U662" s="67" t="str">
        <f t="shared" si="92"/>
        <v/>
      </c>
      <c r="V662" s="67" t="str">
        <f t="shared" si="93"/>
        <v/>
      </c>
      <c r="W662" s="67" t="str">
        <f t="shared" si="94"/>
        <v/>
      </c>
      <c r="X662" s="67" t="str">
        <f t="shared" si="95"/>
        <v/>
      </c>
      <c r="Y662" s="24" t="str">
        <f t="shared" si="96"/>
        <v/>
      </c>
      <c r="Z662">
        <f t="shared" si="97"/>
        <v>0</v>
      </c>
      <c r="AA662">
        <f t="shared" si="98"/>
        <v>0</v>
      </c>
    </row>
    <row r="663" spans="2:27" ht="15.75" customHeight="1" x14ac:dyDescent="0.3">
      <c r="B663" s="21"/>
      <c r="C663" s="21"/>
      <c r="D663" s="21"/>
      <c r="E663" s="22" t="str">
        <f t="shared" si="90"/>
        <v/>
      </c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3" t="str">
        <f>IF($F663="","",IF(OR($B663="",$C663="",$D663=""),"⚠ Compléter Année/Niveau/Session",IF(AND($E663&lt;&gt;"",COUNTIF(D_KEY_DOUBLON,$B663&amp;"|"&amp;$D663&amp;"|"&amp;$E663)&gt;1),"⚠ Doublon",IF(AND($E663&lt;&gt;"",COUNTIF(D_KEY_STATUT,$B663&amp;"|"&amp;$E663&amp;"|P")&gt;0,COUNTIF(D_KEY_STATUT,$B663&amp;"|"&amp;$E663&amp;"|A")&gt;0),"⚠ Statut incohérent",IF(AND($D663="S1",$Y663&lt;&gt;"Parti",COUNTIF(ANNEES_VERROU,$B663)&gt;0,COUNTIF(D_KEY_NIVSES,$B663&amp;"|"&amp;$C663&amp;"|S2")&gt;0,COUNTIF(D_KEY_DOUBLON,$B663&amp;"|S2|"&amp;$E663)=0),"⚠ Départ non confirmé ?",IF(AND($C663&lt;&gt;"",ISNUMBER($I663),OR(VALUE(LEFT($B663,4))-$I663&lt;4+IFERROR(MATCH($C663,LISTE_NIVEAUX,0),99),VALUE(LEFT($B663,4))-$I663&gt;6+IFERROR(MATCH($C663,LISTE_NIVEAUX,0),99))),"⚠ Vérifier niveau",IF(AND(IFERROR(VLOOKUP($C663,TABLE_CYCLE,2,0),3)=2,COUNT($O663:$Q663)&gt;0),"⚠ Tests cycle 3",IF(COUNT($J663:$Q663)&gt;=IF(IFERROR(VLOOKUP($C663,TABLE_CYCLE,2,0),3)=2,5,8),"Complet","Incomplet"))))))))</f>
        <v/>
      </c>
      <c r="S663" s="24"/>
      <c r="T663" s="67" t="str">
        <f t="shared" si="91"/>
        <v/>
      </c>
      <c r="U663" s="67" t="str">
        <f t="shared" si="92"/>
        <v/>
      </c>
      <c r="V663" s="67" t="str">
        <f t="shared" si="93"/>
        <v/>
      </c>
      <c r="W663" s="67" t="str">
        <f t="shared" si="94"/>
        <v/>
      </c>
      <c r="X663" s="67" t="str">
        <f t="shared" si="95"/>
        <v/>
      </c>
      <c r="Y663" s="24" t="str">
        <f t="shared" si="96"/>
        <v/>
      </c>
      <c r="Z663">
        <f t="shared" si="97"/>
        <v>0</v>
      </c>
      <c r="AA663">
        <f t="shared" si="98"/>
        <v>0</v>
      </c>
    </row>
    <row r="664" spans="2:27" ht="15.75" customHeight="1" x14ac:dyDescent="0.3">
      <c r="B664" s="25"/>
      <c r="C664" s="25"/>
      <c r="D664" s="25"/>
      <c r="E664" s="26" t="str">
        <f t="shared" si="90"/>
        <v/>
      </c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3" t="str">
        <f>IF($F664="","",IF(OR($B664="",$C664="",$D664=""),"⚠ Compléter Année/Niveau/Session",IF(AND($E664&lt;&gt;"",COUNTIF(D_KEY_DOUBLON,$B664&amp;"|"&amp;$D664&amp;"|"&amp;$E664)&gt;1),"⚠ Doublon",IF(AND($E664&lt;&gt;"",COUNTIF(D_KEY_STATUT,$B664&amp;"|"&amp;$E664&amp;"|P")&gt;0,COUNTIF(D_KEY_STATUT,$B664&amp;"|"&amp;$E664&amp;"|A")&gt;0),"⚠ Statut incohérent",IF(AND($D664="S1",$Y664&lt;&gt;"Parti",COUNTIF(ANNEES_VERROU,$B664)&gt;0,COUNTIF(D_KEY_NIVSES,$B664&amp;"|"&amp;$C664&amp;"|S2")&gt;0,COUNTIF(D_KEY_DOUBLON,$B664&amp;"|S2|"&amp;$E664)=0),"⚠ Départ non confirmé ?",IF(AND($C664&lt;&gt;"",ISNUMBER($I664),OR(VALUE(LEFT($B664,4))-$I664&lt;4+IFERROR(MATCH($C664,LISTE_NIVEAUX,0),99),VALUE(LEFT($B664,4))-$I664&gt;6+IFERROR(MATCH($C664,LISTE_NIVEAUX,0),99))),"⚠ Vérifier niveau",IF(AND(IFERROR(VLOOKUP($C664,TABLE_CYCLE,2,0),3)=2,COUNT($O664:$Q664)&gt;0),"⚠ Tests cycle 3",IF(COUNT($J664:$Q664)&gt;=IF(IFERROR(VLOOKUP($C664,TABLE_CYCLE,2,0),3)=2,5,8),"Complet","Incomplet"))))))))</f>
        <v/>
      </c>
      <c r="S664" s="24"/>
      <c r="T664" s="67" t="str">
        <f t="shared" si="91"/>
        <v/>
      </c>
      <c r="U664" s="67" t="str">
        <f t="shared" si="92"/>
        <v/>
      </c>
      <c r="V664" s="67" t="str">
        <f t="shared" si="93"/>
        <v/>
      </c>
      <c r="W664" s="67" t="str">
        <f t="shared" si="94"/>
        <v/>
      </c>
      <c r="X664" s="67" t="str">
        <f t="shared" si="95"/>
        <v/>
      </c>
      <c r="Y664" s="24" t="str">
        <f t="shared" si="96"/>
        <v/>
      </c>
      <c r="Z664">
        <f t="shared" si="97"/>
        <v>0</v>
      </c>
      <c r="AA664">
        <f t="shared" si="98"/>
        <v>0</v>
      </c>
    </row>
    <row r="665" spans="2:27" ht="15.75" customHeight="1" x14ac:dyDescent="0.3">
      <c r="B665" s="21"/>
      <c r="C665" s="21"/>
      <c r="D665" s="21"/>
      <c r="E665" s="22" t="str">
        <f t="shared" si="90"/>
        <v/>
      </c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3" t="str">
        <f>IF($F665="","",IF(OR($B665="",$C665="",$D665=""),"⚠ Compléter Année/Niveau/Session",IF(AND($E665&lt;&gt;"",COUNTIF(D_KEY_DOUBLON,$B665&amp;"|"&amp;$D665&amp;"|"&amp;$E665)&gt;1),"⚠ Doublon",IF(AND($E665&lt;&gt;"",COUNTIF(D_KEY_STATUT,$B665&amp;"|"&amp;$E665&amp;"|P")&gt;0,COUNTIF(D_KEY_STATUT,$B665&amp;"|"&amp;$E665&amp;"|A")&gt;0),"⚠ Statut incohérent",IF(AND($D665="S1",$Y665&lt;&gt;"Parti",COUNTIF(ANNEES_VERROU,$B665)&gt;0,COUNTIF(D_KEY_NIVSES,$B665&amp;"|"&amp;$C665&amp;"|S2")&gt;0,COUNTIF(D_KEY_DOUBLON,$B665&amp;"|S2|"&amp;$E665)=0),"⚠ Départ non confirmé ?",IF(AND($C665&lt;&gt;"",ISNUMBER($I665),OR(VALUE(LEFT($B665,4))-$I665&lt;4+IFERROR(MATCH($C665,LISTE_NIVEAUX,0),99),VALUE(LEFT($B665,4))-$I665&gt;6+IFERROR(MATCH($C665,LISTE_NIVEAUX,0),99))),"⚠ Vérifier niveau",IF(AND(IFERROR(VLOOKUP($C665,TABLE_CYCLE,2,0),3)=2,COUNT($O665:$Q665)&gt;0),"⚠ Tests cycle 3",IF(COUNT($J665:$Q665)&gt;=IF(IFERROR(VLOOKUP($C665,TABLE_CYCLE,2,0),3)=2,5,8),"Complet","Incomplet"))))))))</f>
        <v/>
      </c>
      <c r="S665" s="24"/>
      <c r="T665" s="67" t="str">
        <f t="shared" si="91"/>
        <v/>
      </c>
      <c r="U665" s="67" t="str">
        <f t="shared" si="92"/>
        <v/>
      </c>
      <c r="V665" s="67" t="str">
        <f t="shared" si="93"/>
        <v/>
      </c>
      <c r="W665" s="67" t="str">
        <f t="shared" si="94"/>
        <v/>
      </c>
      <c r="X665" s="67" t="str">
        <f t="shared" si="95"/>
        <v/>
      </c>
      <c r="Y665" s="24" t="str">
        <f t="shared" si="96"/>
        <v/>
      </c>
      <c r="Z665">
        <f t="shared" si="97"/>
        <v>0</v>
      </c>
      <c r="AA665">
        <f t="shared" si="98"/>
        <v>0</v>
      </c>
    </row>
    <row r="666" spans="2:27" ht="15.75" customHeight="1" x14ac:dyDescent="0.3">
      <c r="B666" s="25"/>
      <c r="C666" s="25"/>
      <c r="D666" s="25"/>
      <c r="E666" s="26" t="str">
        <f t="shared" si="90"/>
        <v/>
      </c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3" t="str">
        <f>IF($F666="","",IF(OR($B666="",$C666="",$D666=""),"⚠ Compléter Année/Niveau/Session",IF(AND($E666&lt;&gt;"",COUNTIF(D_KEY_DOUBLON,$B666&amp;"|"&amp;$D666&amp;"|"&amp;$E666)&gt;1),"⚠ Doublon",IF(AND($E666&lt;&gt;"",COUNTIF(D_KEY_STATUT,$B666&amp;"|"&amp;$E666&amp;"|P")&gt;0,COUNTIF(D_KEY_STATUT,$B666&amp;"|"&amp;$E666&amp;"|A")&gt;0),"⚠ Statut incohérent",IF(AND($D666="S1",$Y666&lt;&gt;"Parti",COUNTIF(ANNEES_VERROU,$B666)&gt;0,COUNTIF(D_KEY_NIVSES,$B666&amp;"|"&amp;$C666&amp;"|S2")&gt;0,COUNTIF(D_KEY_DOUBLON,$B666&amp;"|S2|"&amp;$E666)=0),"⚠ Départ non confirmé ?",IF(AND($C666&lt;&gt;"",ISNUMBER($I666),OR(VALUE(LEFT($B666,4))-$I666&lt;4+IFERROR(MATCH($C666,LISTE_NIVEAUX,0),99),VALUE(LEFT($B666,4))-$I666&gt;6+IFERROR(MATCH($C666,LISTE_NIVEAUX,0),99))),"⚠ Vérifier niveau",IF(AND(IFERROR(VLOOKUP($C666,TABLE_CYCLE,2,0),3)=2,COUNT($O666:$Q666)&gt;0),"⚠ Tests cycle 3",IF(COUNT($J666:$Q666)&gt;=IF(IFERROR(VLOOKUP($C666,TABLE_CYCLE,2,0),3)=2,5,8),"Complet","Incomplet"))))))))</f>
        <v/>
      </c>
      <c r="S666" s="24"/>
      <c r="T666" s="67" t="str">
        <f t="shared" si="91"/>
        <v/>
      </c>
      <c r="U666" s="67" t="str">
        <f t="shared" si="92"/>
        <v/>
      </c>
      <c r="V666" s="67" t="str">
        <f t="shared" si="93"/>
        <v/>
      </c>
      <c r="W666" s="67" t="str">
        <f t="shared" si="94"/>
        <v/>
      </c>
      <c r="X666" s="67" t="str">
        <f t="shared" si="95"/>
        <v/>
      </c>
      <c r="Y666" s="24" t="str">
        <f t="shared" si="96"/>
        <v/>
      </c>
      <c r="Z666">
        <f t="shared" si="97"/>
        <v>0</v>
      </c>
      <c r="AA666">
        <f t="shared" si="98"/>
        <v>0</v>
      </c>
    </row>
    <row r="667" spans="2:27" ht="15.75" customHeight="1" x14ac:dyDescent="0.3">
      <c r="B667" s="21"/>
      <c r="C667" s="21"/>
      <c r="D667" s="21"/>
      <c r="E667" s="22" t="str">
        <f t="shared" si="90"/>
        <v/>
      </c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3" t="str">
        <f>IF($F667="","",IF(OR($B667="",$C667="",$D667=""),"⚠ Compléter Année/Niveau/Session",IF(AND($E667&lt;&gt;"",COUNTIF(D_KEY_DOUBLON,$B667&amp;"|"&amp;$D667&amp;"|"&amp;$E667)&gt;1),"⚠ Doublon",IF(AND($E667&lt;&gt;"",COUNTIF(D_KEY_STATUT,$B667&amp;"|"&amp;$E667&amp;"|P")&gt;0,COUNTIF(D_KEY_STATUT,$B667&amp;"|"&amp;$E667&amp;"|A")&gt;0),"⚠ Statut incohérent",IF(AND($D667="S1",$Y667&lt;&gt;"Parti",COUNTIF(ANNEES_VERROU,$B667)&gt;0,COUNTIF(D_KEY_NIVSES,$B667&amp;"|"&amp;$C667&amp;"|S2")&gt;0,COUNTIF(D_KEY_DOUBLON,$B667&amp;"|S2|"&amp;$E667)=0),"⚠ Départ non confirmé ?",IF(AND($C667&lt;&gt;"",ISNUMBER($I667),OR(VALUE(LEFT($B667,4))-$I667&lt;4+IFERROR(MATCH($C667,LISTE_NIVEAUX,0),99),VALUE(LEFT($B667,4))-$I667&gt;6+IFERROR(MATCH($C667,LISTE_NIVEAUX,0),99))),"⚠ Vérifier niveau",IF(AND(IFERROR(VLOOKUP($C667,TABLE_CYCLE,2,0),3)=2,COUNT($O667:$Q667)&gt;0),"⚠ Tests cycle 3",IF(COUNT($J667:$Q667)&gt;=IF(IFERROR(VLOOKUP($C667,TABLE_CYCLE,2,0),3)=2,5,8),"Complet","Incomplet"))))))))</f>
        <v/>
      </c>
      <c r="S667" s="24"/>
      <c r="T667" s="67" t="str">
        <f t="shared" si="91"/>
        <v/>
      </c>
      <c r="U667" s="67" t="str">
        <f t="shared" si="92"/>
        <v/>
      </c>
      <c r="V667" s="67" t="str">
        <f t="shared" si="93"/>
        <v/>
      </c>
      <c r="W667" s="67" t="str">
        <f t="shared" si="94"/>
        <v/>
      </c>
      <c r="X667" s="67" t="str">
        <f t="shared" si="95"/>
        <v/>
      </c>
      <c r="Y667" s="24" t="str">
        <f t="shared" si="96"/>
        <v/>
      </c>
      <c r="Z667">
        <f t="shared" si="97"/>
        <v>0</v>
      </c>
      <c r="AA667">
        <f t="shared" si="98"/>
        <v>0</v>
      </c>
    </row>
    <row r="668" spans="2:27" ht="15.75" customHeight="1" x14ac:dyDescent="0.3">
      <c r="B668" s="25"/>
      <c r="C668" s="25"/>
      <c r="D668" s="25"/>
      <c r="E668" s="26" t="str">
        <f t="shared" si="90"/>
        <v/>
      </c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3" t="str">
        <f>IF($F668="","",IF(OR($B668="",$C668="",$D668=""),"⚠ Compléter Année/Niveau/Session",IF(AND($E668&lt;&gt;"",COUNTIF(D_KEY_DOUBLON,$B668&amp;"|"&amp;$D668&amp;"|"&amp;$E668)&gt;1),"⚠ Doublon",IF(AND($E668&lt;&gt;"",COUNTIF(D_KEY_STATUT,$B668&amp;"|"&amp;$E668&amp;"|P")&gt;0,COUNTIF(D_KEY_STATUT,$B668&amp;"|"&amp;$E668&amp;"|A")&gt;0),"⚠ Statut incohérent",IF(AND($D668="S1",$Y668&lt;&gt;"Parti",COUNTIF(ANNEES_VERROU,$B668)&gt;0,COUNTIF(D_KEY_NIVSES,$B668&amp;"|"&amp;$C668&amp;"|S2")&gt;0,COUNTIF(D_KEY_DOUBLON,$B668&amp;"|S2|"&amp;$E668)=0),"⚠ Départ non confirmé ?",IF(AND($C668&lt;&gt;"",ISNUMBER($I668),OR(VALUE(LEFT($B668,4))-$I668&lt;4+IFERROR(MATCH($C668,LISTE_NIVEAUX,0),99),VALUE(LEFT($B668,4))-$I668&gt;6+IFERROR(MATCH($C668,LISTE_NIVEAUX,0),99))),"⚠ Vérifier niveau",IF(AND(IFERROR(VLOOKUP($C668,TABLE_CYCLE,2,0),3)=2,COUNT($O668:$Q668)&gt;0),"⚠ Tests cycle 3",IF(COUNT($J668:$Q668)&gt;=IF(IFERROR(VLOOKUP($C668,TABLE_CYCLE,2,0),3)=2,5,8),"Complet","Incomplet"))))))))</f>
        <v/>
      </c>
      <c r="S668" s="24"/>
      <c r="T668" s="67" t="str">
        <f t="shared" si="91"/>
        <v/>
      </c>
      <c r="U668" s="67" t="str">
        <f t="shared" si="92"/>
        <v/>
      </c>
      <c r="V668" s="67" t="str">
        <f t="shared" si="93"/>
        <v/>
      </c>
      <c r="W668" s="67" t="str">
        <f t="shared" si="94"/>
        <v/>
      </c>
      <c r="X668" s="67" t="str">
        <f t="shared" si="95"/>
        <v/>
      </c>
      <c r="Y668" s="24" t="str">
        <f t="shared" si="96"/>
        <v/>
      </c>
      <c r="Z668">
        <f t="shared" si="97"/>
        <v>0</v>
      </c>
      <c r="AA668">
        <f t="shared" si="98"/>
        <v>0</v>
      </c>
    </row>
    <row r="669" spans="2:27" ht="15.75" customHeight="1" x14ac:dyDescent="0.3">
      <c r="B669" s="21"/>
      <c r="C669" s="21"/>
      <c r="D669" s="21"/>
      <c r="E669" s="22" t="str">
        <f t="shared" si="90"/>
        <v/>
      </c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3" t="str">
        <f>IF($F669="","",IF(OR($B669="",$C669="",$D669=""),"⚠ Compléter Année/Niveau/Session",IF(AND($E669&lt;&gt;"",COUNTIF(D_KEY_DOUBLON,$B669&amp;"|"&amp;$D669&amp;"|"&amp;$E669)&gt;1),"⚠ Doublon",IF(AND($E669&lt;&gt;"",COUNTIF(D_KEY_STATUT,$B669&amp;"|"&amp;$E669&amp;"|P")&gt;0,COUNTIF(D_KEY_STATUT,$B669&amp;"|"&amp;$E669&amp;"|A")&gt;0),"⚠ Statut incohérent",IF(AND($D669="S1",$Y669&lt;&gt;"Parti",COUNTIF(ANNEES_VERROU,$B669)&gt;0,COUNTIF(D_KEY_NIVSES,$B669&amp;"|"&amp;$C669&amp;"|S2")&gt;0,COUNTIF(D_KEY_DOUBLON,$B669&amp;"|S2|"&amp;$E669)=0),"⚠ Départ non confirmé ?",IF(AND($C669&lt;&gt;"",ISNUMBER($I669),OR(VALUE(LEFT($B669,4))-$I669&lt;4+IFERROR(MATCH($C669,LISTE_NIVEAUX,0),99),VALUE(LEFT($B669,4))-$I669&gt;6+IFERROR(MATCH($C669,LISTE_NIVEAUX,0),99))),"⚠ Vérifier niveau",IF(AND(IFERROR(VLOOKUP($C669,TABLE_CYCLE,2,0),3)=2,COUNT($O669:$Q669)&gt;0),"⚠ Tests cycle 3",IF(COUNT($J669:$Q669)&gt;=IF(IFERROR(VLOOKUP($C669,TABLE_CYCLE,2,0),3)=2,5,8),"Complet","Incomplet"))))))))</f>
        <v/>
      </c>
      <c r="S669" s="24"/>
      <c r="T669" s="67" t="str">
        <f t="shared" si="91"/>
        <v/>
      </c>
      <c r="U669" s="67" t="str">
        <f t="shared" si="92"/>
        <v/>
      </c>
      <c r="V669" s="67" t="str">
        <f t="shared" si="93"/>
        <v/>
      </c>
      <c r="W669" s="67" t="str">
        <f t="shared" si="94"/>
        <v/>
      </c>
      <c r="X669" s="67" t="str">
        <f t="shared" si="95"/>
        <v/>
      </c>
      <c r="Y669" s="24" t="str">
        <f t="shared" si="96"/>
        <v/>
      </c>
      <c r="Z669">
        <f t="shared" si="97"/>
        <v>0</v>
      </c>
      <c r="AA669">
        <f t="shared" si="98"/>
        <v>0</v>
      </c>
    </row>
    <row r="670" spans="2:27" ht="15.75" customHeight="1" x14ac:dyDescent="0.3">
      <c r="B670" s="25"/>
      <c r="C670" s="25"/>
      <c r="D670" s="25"/>
      <c r="E670" s="26" t="str">
        <f t="shared" si="90"/>
        <v/>
      </c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3" t="str">
        <f>IF($F670="","",IF(OR($B670="",$C670="",$D670=""),"⚠ Compléter Année/Niveau/Session",IF(AND($E670&lt;&gt;"",COUNTIF(D_KEY_DOUBLON,$B670&amp;"|"&amp;$D670&amp;"|"&amp;$E670)&gt;1),"⚠ Doublon",IF(AND($E670&lt;&gt;"",COUNTIF(D_KEY_STATUT,$B670&amp;"|"&amp;$E670&amp;"|P")&gt;0,COUNTIF(D_KEY_STATUT,$B670&amp;"|"&amp;$E670&amp;"|A")&gt;0),"⚠ Statut incohérent",IF(AND($D670="S1",$Y670&lt;&gt;"Parti",COUNTIF(ANNEES_VERROU,$B670)&gt;0,COUNTIF(D_KEY_NIVSES,$B670&amp;"|"&amp;$C670&amp;"|S2")&gt;0,COUNTIF(D_KEY_DOUBLON,$B670&amp;"|S2|"&amp;$E670)=0),"⚠ Départ non confirmé ?",IF(AND($C670&lt;&gt;"",ISNUMBER($I670),OR(VALUE(LEFT($B670,4))-$I670&lt;4+IFERROR(MATCH($C670,LISTE_NIVEAUX,0),99),VALUE(LEFT($B670,4))-$I670&gt;6+IFERROR(MATCH($C670,LISTE_NIVEAUX,0),99))),"⚠ Vérifier niveau",IF(AND(IFERROR(VLOOKUP($C670,TABLE_CYCLE,2,0),3)=2,COUNT($O670:$Q670)&gt;0),"⚠ Tests cycle 3",IF(COUNT($J670:$Q670)&gt;=IF(IFERROR(VLOOKUP($C670,TABLE_CYCLE,2,0),3)=2,5,8),"Complet","Incomplet"))))))))</f>
        <v/>
      </c>
      <c r="S670" s="24"/>
      <c r="T670" s="67" t="str">
        <f t="shared" si="91"/>
        <v/>
      </c>
      <c r="U670" s="67" t="str">
        <f t="shared" si="92"/>
        <v/>
      </c>
      <c r="V670" s="67" t="str">
        <f t="shared" si="93"/>
        <v/>
      </c>
      <c r="W670" s="67" t="str">
        <f t="shared" si="94"/>
        <v/>
      </c>
      <c r="X670" s="67" t="str">
        <f t="shared" si="95"/>
        <v/>
      </c>
      <c r="Y670" s="24" t="str">
        <f t="shared" si="96"/>
        <v/>
      </c>
      <c r="Z670">
        <f t="shared" si="97"/>
        <v>0</v>
      </c>
      <c r="AA670">
        <f t="shared" si="98"/>
        <v>0</v>
      </c>
    </row>
    <row r="671" spans="2:27" ht="15.75" customHeight="1" x14ac:dyDescent="0.3">
      <c r="B671" s="21"/>
      <c r="C671" s="21"/>
      <c r="D671" s="21"/>
      <c r="E671" s="22" t="str">
        <f t="shared" si="90"/>
        <v/>
      </c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3" t="str">
        <f>IF($F671="","",IF(OR($B671="",$C671="",$D671=""),"⚠ Compléter Année/Niveau/Session",IF(AND($E671&lt;&gt;"",COUNTIF(D_KEY_DOUBLON,$B671&amp;"|"&amp;$D671&amp;"|"&amp;$E671)&gt;1),"⚠ Doublon",IF(AND($E671&lt;&gt;"",COUNTIF(D_KEY_STATUT,$B671&amp;"|"&amp;$E671&amp;"|P")&gt;0,COUNTIF(D_KEY_STATUT,$B671&amp;"|"&amp;$E671&amp;"|A")&gt;0),"⚠ Statut incohérent",IF(AND($D671="S1",$Y671&lt;&gt;"Parti",COUNTIF(ANNEES_VERROU,$B671)&gt;0,COUNTIF(D_KEY_NIVSES,$B671&amp;"|"&amp;$C671&amp;"|S2")&gt;0,COUNTIF(D_KEY_DOUBLON,$B671&amp;"|S2|"&amp;$E671)=0),"⚠ Départ non confirmé ?",IF(AND($C671&lt;&gt;"",ISNUMBER($I671),OR(VALUE(LEFT($B671,4))-$I671&lt;4+IFERROR(MATCH($C671,LISTE_NIVEAUX,0),99),VALUE(LEFT($B671,4))-$I671&gt;6+IFERROR(MATCH($C671,LISTE_NIVEAUX,0),99))),"⚠ Vérifier niveau",IF(AND(IFERROR(VLOOKUP($C671,TABLE_CYCLE,2,0),3)=2,COUNT($O671:$Q671)&gt;0),"⚠ Tests cycle 3",IF(COUNT($J671:$Q671)&gt;=IF(IFERROR(VLOOKUP($C671,TABLE_CYCLE,2,0),3)=2,5,8),"Complet","Incomplet"))))))))</f>
        <v/>
      </c>
      <c r="S671" s="24"/>
      <c r="T671" s="67" t="str">
        <f t="shared" si="91"/>
        <v/>
      </c>
      <c r="U671" s="67" t="str">
        <f t="shared" si="92"/>
        <v/>
      </c>
      <c r="V671" s="67" t="str">
        <f t="shared" si="93"/>
        <v/>
      </c>
      <c r="W671" s="67" t="str">
        <f t="shared" si="94"/>
        <v/>
      </c>
      <c r="X671" s="67" t="str">
        <f t="shared" si="95"/>
        <v/>
      </c>
      <c r="Y671" s="24" t="str">
        <f t="shared" si="96"/>
        <v/>
      </c>
      <c r="Z671">
        <f t="shared" si="97"/>
        <v>0</v>
      </c>
      <c r="AA671">
        <f t="shared" si="98"/>
        <v>0</v>
      </c>
    </row>
    <row r="672" spans="2:27" ht="15.75" customHeight="1" x14ac:dyDescent="0.3">
      <c r="B672" s="25"/>
      <c r="C672" s="25"/>
      <c r="D672" s="25"/>
      <c r="E672" s="26" t="str">
        <f t="shared" si="90"/>
        <v/>
      </c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3" t="str">
        <f>IF($F672="","",IF(OR($B672="",$C672="",$D672=""),"⚠ Compléter Année/Niveau/Session",IF(AND($E672&lt;&gt;"",COUNTIF(D_KEY_DOUBLON,$B672&amp;"|"&amp;$D672&amp;"|"&amp;$E672)&gt;1),"⚠ Doublon",IF(AND($E672&lt;&gt;"",COUNTIF(D_KEY_STATUT,$B672&amp;"|"&amp;$E672&amp;"|P")&gt;0,COUNTIF(D_KEY_STATUT,$B672&amp;"|"&amp;$E672&amp;"|A")&gt;0),"⚠ Statut incohérent",IF(AND($D672="S1",$Y672&lt;&gt;"Parti",COUNTIF(ANNEES_VERROU,$B672)&gt;0,COUNTIF(D_KEY_NIVSES,$B672&amp;"|"&amp;$C672&amp;"|S2")&gt;0,COUNTIF(D_KEY_DOUBLON,$B672&amp;"|S2|"&amp;$E672)=0),"⚠ Départ non confirmé ?",IF(AND($C672&lt;&gt;"",ISNUMBER($I672),OR(VALUE(LEFT($B672,4))-$I672&lt;4+IFERROR(MATCH($C672,LISTE_NIVEAUX,0),99),VALUE(LEFT($B672,4))-$I672&gt;6+IFERROR(MATCH($C672,LISTE_NIVEAUX,0),99))),"⚠ Vérifier niveau",IF(AND(IFERROR(VLOOKUP($C672,TABLE_CYCLE,2,0),3)=2,COUNT($O672:$Q672)&gt;0),"⚠ Tests cycle 3",IF(COUNT($J672:$Q672)&gt;=IF(IFERROR(VLOOKUP($C672,TABLE_CYCLE,2,0),3)=2,5,8),"Complet","Incomplet"))))))))</f>
        <v/>
      </c>
      <c r="S672" s="24"/>
      <c r="T672" s="67" t="str">
        <f t="shared" si="91"/>
        <v/>
      </c>
      <c r="U672" s="67" t="str">
        <f t="shared" si="92"/>
        <v/>
      </c>
      <c r="V672" s="67" t="str">
        <f t="shared" si="93"/>
        <v/>
      </c>
      <c r="W672" s="67" t="str">
        <f t="shared" si="94"/>
        <v/>
      </c>
      <c r="X672" s="67" t="str">
        <f t="shared" si="95"/>
        <v/>
      </c>
      <c r="Y672" s="24" t="str">
        <f t="shared" si="96"/>
        <v/>
      </c>
      <c r="Z672">
        <f t="shared" si="97"/>
        <v>0</v>
      </c>
      <c r="AA672">
        <f t="shared" si="98"/>
        <v>0</v>
      </c>
    </row>
    <row r="673" spans="2:27" ht="15.75" customHeight="1" x14ac:dyDescent="0.3">
      <c r="B673" s="21"/>
      <c r="C673" s="21"/>
      <c r="D673" s="21"/>
      <c r="E673" s="22" t="str">
        <f t="shared" si="90"/>
        <v/>
      </c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3" t="str">
        <f>IF($F673="","",IF(OR($B673="",$C673="",$D673=""),"⚠ Compléter Année/Niveau/Session",IF(AND($E673&lt;&gt;"",COUNTIF(D_KEY_DOUBLON,$B673&amp;"|"&amp;$D673&amp;"|"&amp;$E673)&gt;1),"⚠ Doublon",IF(AND($E673&lt;&gt;"",COUNTIF(D_KEY_STATUT,$B673&amp;"|"&amp;$E673&amp;"|P")&gt;0,COUNTIF(D_KEY_STATUT,$B673&amp;"|"&amp;$E673&amp;"|A")&gt;0),"⚠ Statut incohérent",IF(AND($D673="S1",$Y673&lt;&gt;"Parti",COUNTIF(ANNEES_VERROU,$B673)&gt;0,COUNTIF(D_KEY_NIVSES,$B673&amp;"|"&amp;$C673&amp;"|S2")&gt;0,COUNTIF(D_KEY_DOUBLON,$B673&amp;"|S2|"&amp;$E673)=0),"⚠ Départ non confirmé ?",IF(AND($C673&lt;&gt;"",ISNUMBER($I673),OR(VALUE(LEFT($B673,4))-$I673&lt;4+IFERROR(MATCH($C673,LISTE_NIVEAUX,0),99),VALUE(LEFT($B673,4))-$I673&gt;6+IFERROR(MATCH($C673,LISTE_NIVEAUX,0),99))),"⚠ Vérifier niveau",IF(AND(IFERROR(VLOOKUP($C673,TABLE_CYCLE,2,0),3)=2,COUNT($O673:$Q673)&gt;0),"⚠ Tests cycle 3",IF(COUNT($J673:$Q673)&gt;=IF(IFERROR(VLOOKUP($C673,TABLE_CYCLE,2,0),3)=2,5,8),"Complet","Incomplet"))))))))</f>
        <v/>
      </c>
      <c r="S673" s="24"/>
      <c r="T673" s="67" t="str">
        <f t="shared" si="91"/>
        <v/>
      </c>
      <c r="U673" s="67" t="str">
        <f t="shared" si="92"/>
        <v/>
      </c>
      <c r="V673" s="67" t="str">
        <f t="shared" si="93"/>
        <v/>
      </c>
      <c r="W673" s="67" t="str">
        <f t="shared" si="94"/>
        <v/>
      </c>
      <c r="X673" s="67" t="str">
        <f t="shared" si="95"/>
        <v/>
      </c>
      <c r="Y673" s="24" t="str">
        <f t="shared" si="96"/>
        <v/>
      </c>
      <c r="Z673">
        <f t="shared" si="97"/>
        <v>0</v>
      </c>
      <c r="AA673">
        <f t="shared" si="98"/>
        <v>0</v>
      </c>
    </row>
    <row r="674" spans="2:27" ht="15.75" customHeight="1" x14ac:dyDescent="0.3">
      <c r="B674" s="25"/>
      <c r="C674" s="25"/>
      <c r="D674" s="25"/>
      <c r="E674" s="26" t="str">
        <f t="shared" si="90"/>
        <v/>
      </c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3" t="str">
        <f>IF($F674="","",IF(OR($B674="",$C674="",$D674=""),"⚠ Compléter Année/Niveau/Session",IF(AND($E674&lt;&gt;"",COUNTIF(D_KEY_DOUBLON,$B674&amp;"|"&amp;$D674&amp;"|"&amp;$E674)&gt;1),"⚠ Doublon",IF(AND($E674&lt;&gt;"",COUNTIF(D_KEY_STATUT,$B674&amp;"|"&amp;$E674&amp;"|P")&gt;0,COUNTIF(D_KEY_STATUT,$B674&amp;"|"&amp;$E674&amp;"|A")&gt;0),"⚠ Statut incohérent",IF(AND($D674="S1",$Y674&lt;&gt;"Parti",COUNTIF(ANNEES_VERROU,$B674)&gt;0,COUNTIF(D_KEY_NIVSES,$B674&amp;"|"&amp;$C674&amp;"|S2")&gt;0,COUNTIF(D_KEY_DOUBLON,$B674&amp;"|S2|"&amp;$E674)=0),"⚠ Départ non confirmé ?",IF(AND($C674&lt;&gt;"",ISNUMBER($I674),OR(VALUE(LEFT($B674,4))-$I674&lt;4+IFERROR(MATCH($C674,LISTE_NIVEAUX,0),99),VALUE(LEFT($B674,4))-$I674&gt;6+IFERROR(MATCH($C674,LISTE_NIVEAUX,0),99))),"⚠ Vérifier niveau",IF(AND(IFERROR(VLOOKUP($C674,TABLE_CYCLE,2,0),3)=2,COUNT($O674:$Q674)&gt;0),"⚠ Tests cycle 3",IF(COUNT($J674:$Q674)&gt;=IF(IFERROR(VLOOKUP($C674,TABLE_CYCLE,2,0),3)=2,5,8),"Complet","Incomplet"))))))))</f>
        <v/>
      </c>
      <c r="S674" s="24"/>
      <c r="T674" s="67" t="str">
        <f t="shared" si="91"/>
        <v/>
      </c>
      <c r="U674" s="67" t="str">
        <f t="shared" si="92"/>
        <v/>
      </c>
      <c r="V674" s="67" t="str">
        <f t="shared" si="93"/>
        <v/>
      </c>
      <c r="W674" s="67" t="str">
        <f t="shared" si="94"/>
        <v/>
      </c>
      <c r="X674" s="67" t="str">
        <f t="shared" si="95"/>
        <v/>
      </c>
      <c r="Y674" s="24" t="str">
        <f t="shared" si="96"/>
        <v/>
      </c>
      <c r="Z674">
        <f t="shared" si="97"/>
        <v>0</v>
      </c>
      <c r="AA674">
        <f t="shared" si="98"/>
        <v>0</v>
      </c>
    </row>
    <row r="675" spans="2:27" ht="15.75" customHeight="1" x14ac:dyDescent="0.3">
      <c r="B675" s="21"/>
      <c r="C675" s="21"/>
      <c r="D675" s="21"/>
      <c r="E675" s="22" t="str">
        <f t="shared" si="90"/>
        <v/>
      </c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3" t="str">
        <f>IF($F675="","",IF(OR($B675="",$C675="",$D675=""),"⚠ Compléter Année/Niveau/Session",IF(AND($E675&lt;&gt;"",COUNTIF(D_KEY_DOUBLON,$B675&amp;"|"&amp;$D675&amp;"|"&amp;$E675)&gt;1),"⚠ Doublon",IF(AND($E675&lt;&gt;"",COUNTIF(D_KEY_STATUT,$B675&amp;"|"&amp;$E675&amp;"|P")&gt;0,COUNTIF(D_KEY_STATUT,$B675&amp;"|"&amp;$E675&amp;"|A")&gt;0),"⚠ Statut incohérent",IF(AND($D675="S1",$Y675&lt;&gt;"Parti",COUNTIF(ANNEES_VERROU,$B675)&gt;0,COUNTIF(D_KEY_NIVSES,$B675&amp;"|"&amp;$C675&amp;"|S2")&gt;0,COUNTIF(D_KEY_DOUBLON,$B675&amp;"|S2|"&amp;$E675)=0),"⚠ Départ non confirmé ?",IF(AND($C675&lt;&gt;"",ISNUMBER($I675),OR(VALUE(LEFT($B675,4))-$I675&lt;4+IFERROR(MATCH($C675,LISTE_NIVEAUX,0),99),VALUE(LEFT($B675,4))-$I675&gt;6+IFERROR(MATCH($C675,LISTE_NIVEAUX,0),99))),"⚠ Vérifier niveau",IF(AND(IFERROR(VLOOKUP($C675,TABLE_CYCLE,2,0),3)=2,COUNT($O675:$Q675)&gt;0),"⚠ Tests cycle 3",IF(COUNT($J675:$Q675)&gt;=IF(IFERROR(VLOOKUP($C675,TABLE_CYCLE,2,0),3)=2,5,8),"Complet","Incomplet"))))))))</f>
        <v/>
      </c>
      <c r="S675" s="24"/>
      <c r="T675" s="67" t="str">
        <f t="shared" si="91"/>
        <v/>
      </c>
      <c r="U675" s="67" t="str">
        <f t="shared" si="92"/>
        <v/>
      </c>
      <c r="V675" s="67" t="str">
        <f t="shared" si="93"/>
        <v/>
      </c>
      <c r="W675" s="67" t="str">
        <f t="shared" si="94"/>
        <v/>
      </c>
      <c r="X675" s="67" t="str">
        <f t="shared" si="95"/>
        <v/>
      </c>
      <c r="Y675" s="24" t="str">
        <f t="shared" si="96"/>
        <v/>
      </c>
      <c r="Z675">
        <f t="shared" si="97"/>
        <v>0</v>
      </c>
      <c r="AA675">
        <f t="shared" si="98"/>
        <v>0</v>
      </c>
    </row>
    <row r="676" spans="2:27" ht="15.75" customHeight="1" x14ac:dyDescent="0.3">
      <c r="B676" s="25"/>
      <c r="C676" s="25"/>
      <c r="D676" s="25"/>
      <c r="E676" s="26" t="str">
        <f t="shared" si="90"/>
        <v/>
      </c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3" t="str">
        <f>IF($F676="","",IF(OR($B676="",$C676="",$D676=""),"⚠ Compléter Année/Niveau/Session",IF(AND($E676&lt;&gt;"",COUNTIF(D_KEY_DOUBLON,$B676&amp;"|"&amp;$D676&amp;"|"&amp;$E676)&gt;1),"⚠ Doublon",IF(AND($E676&lt;&gt;"",COUNTIF(D_KEY_STATUT,$B676&amp;"|"&amp;$E676&amp;"|P")&gt;0,COUNTIF(D_KEY_STATUT,$B676&amp;"|"&amp;$E676&amp;"|A")&gt;0),"⚠ Statut incohérent",IF(AND($D676="S1",$Y676&lt;&gt;"Parti",COUNTIF(ANNEES_VERROU,$B676)&gt;0,COUNTIF(D_KEY_NIVSES,$B676&amp;"|"&amp;$C676&amp;"|S2")&gt;0,COUNTIF(D_KEY_DOUBLON,$B676&amp;"|S2|"&amp;$E676)=0),"⚠ Départ non confirmé ?",IF(AND($C676&lt;&gt;"",ISNUMBER($I676),OR(VALUE(LEFT($B676,4))-$I676&lt;4+IFERROR(MATCH($C676,LISTE_NIVEAUX,0),99),VALUE(LEFT($B676,4))-$I676&gt;6+IFERROR(MATCH($C676,LISTE_NIVEAUX,0),99))),"⚠ Vérifier niveau",IF(AND(IFERROR(VLOOKUP($C676,TABLE_CYCLE,2,0),3)=2,COUNT($O676:$Q676)&gt;0),"⚠ Tests cycle 3",IF(COUNT($J676:$Q676)&gt;=IF(IFERROR(VLOOKUP($C676,TABLE_CYCLE,2,0),3)=2,5,8),"Complet","Incomplet"))))))))</f>
        <v/>
      </c>
      <c r="S676" s="24"/>
      <c r="T676" s="67" t="str">
        <f t="shared" si="91"/>
        <v/>
      </c>
      <c r="U676" s="67" t="str">
        <f t="shared" si="92"/>
        <v/>
      </c>
      <c r="V676" s="67" t="str">
        <f t="shared" si="93"/>
        <v/>
      </c>
      <c r="W676" s="67" t="str">
        <f t="shared" si="94"/>
        <v/>
      </c>
      <c r="X676" s="67" t="str">
        <f t="shared" si="95"/>
        <v/>
      </c>
      <c r="Y676" s="24" t="str">
        <f t="shared" si="96"/>
        <v/>
      </c>
      <c r="Z676">
        <f t="shared" si="97"/>
        <v>0</v>
      </c>
      <c r="AA676">
        <f t="shared" si="98"/>
        <v>0</v>
      </c>
    </row>
    <row r="677" spans="2:27" ht="15.75" customHeight="1" x14ac:dyDescent="0.3">
      <c r="B677" s="21"/>
      <c r="C677" s="21"/>
      <c r="D677" s="21"/>
      <c r="E677" s="22" t="str">
        <f t="shared" si="90"/>
        <v/>
      </c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3" t="str">
        <f>IF($F677="","",IF(OR($B677="",$C677="",$D677=""),"⚠ Compléter Année/Niveau/Session",IF(AND($E677&lt;&gt;"",COUNTIF(D_KEY_DOUBLON,$B677&amp;"|"&amp;$D677&amp;"|"&amp;$E677)&gt;1),"⚠ Doublon",IF(AND($E677&lt;&gt;"",COUNTIF(D_KEY_STATUT,$B677&amp;"|"&amp;$E677&amp;"|P")&gt;0,COUNTIF(D_KEY_STATUT,$B677&amp;"|"&amp;$E677&amp;"|A")&gt;0),"⚠ Statut incohérent",IF(AND($D677="S1",$Y677&lt;&gt;"Parti",COUNTIF(ANNEES_VERROU,$B677)&gt;0,COUNTIF(D_KEY_NIVSES,$B677&amp;"|"&amp;$C677&amp;"|S2")&gt;0,COUNTIF(D_KEY_DOUBLON,$B677&amp;"|S2|"&amp;$E677)=0),"⚠ Départ non confirmé ?",IF(AND($C677&lt;&gt;"",ISNUMBER($I677),OR(VALUE(LEFT($B677,4))-$I677&lt;4+IFERROR(MATCH($C677,LISTE_NIVEAUX,0),99),VALUE(LEFT($B677,4))-$I677&gt;6+IFERROR(MATCH($C677,LISTE_NIVEAUX,0),99))),"⚠ Vérifier niveau",IF(AND(IFERROR(VLOOKUP($C677,TABLE_CYCLE,2,0),3)=2,COUNT($O677:$Q677)&gt;0),"⚠ Tests cycle 3",IF(COUNT($J677:$Q677)&gt;=IF(IFERROR(VLOOKUP($C677,TABLE_CYCLE,2,0),3)=2,5,8),"Complet","Incomplet"))))))))</f>
        <v/>
      </c>
      <c r="S677" s="24"/>
      <c r="T677" s="67" t="str">
        <f t="shared" si="91"/>
        <v/>
      </c>
      <c r="U677" s="67" t="str">
        <f t="shared" si="92"/>
        <v/>
      </c>
      <c r="V677" s="67" t="str">
        <f t="shared" si="93"/>
        <v/>
      </c>
      <c r="W677" s="67" t="str">
        <f t="shared" si="94"/>
        <v/>
      </c>
      <c r="X677" s="67" t="str">
        <f t="shared" si="95"/>
        <v/>
      </c>
      <c r="Y677" s="24" t="str">
        <f t="shared" si="96"/>
        <v/>
      </c>
      <c r="Z677">
        <f t="shared" si="97"/>
        <v>0</v>
      </c>
      <c r="AA677">
        <f t="shared" si="98"/>
        <v>0</v>
      </c>
    </row>
    <row r="678" spans="2:27" ht="15.75" customHeight="1" x14ac:dyDescent="0.3">
      <c r="B678" s="25"/>
      <c r="C678" s="25"/>
      <c r="D678" s="25"/>
      <c r="E678" s="26" t="str">
        <f t="shared" si="90"/>
        <v/>
      </c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3" t="str">
        <f>IF($F678="","",IF(OR($B678="",$C678="",$D678=""),"⚠ Compléter Année/Niveau/Session",IF(AND($E678&lt;&gt;"",COUNTIF(D_KEY_DOUBLON,$B678&amp;"|"&amp;$D678&amp;"|"&amp;$E678)&gt;1),"⚠ Doublon",IF(AND($E678&lt;&gt;"",COUNTIF(D_KEY_STATUT,$B678&amp;"|"&amp;$E678&amp;"|P")&gt;0,COUNTIF(D_KEY_STATUT,$B678&amp;"|"&amp;$E678&amp;"|A")&gt;0),"⚠ Statut incohérent",IF(AND($D678="S1",$Y678&lt;&gt;"Parti",COUNTIF(ANNEES_VERROU,$B678)&gt;0,COUNTIF(D_KEY_NIVSES,$B678&amp;"|"&amp;$C678&amp;"|S2")&gt;0,COUNTIF(D_KEY_DOUBLON,$B678&amp;"|S2|"&amp;$E678)=0),"⚠ Départ non confirmé ?",IF(AND($C678&lt;&gt;"",ISNUMBER($I678),OR(VALUE(LEFT($B678,4))-$I678&lt;4+IFERROR(MATCH($C678,LISTE_NIVEAUX,0),99),VALUE(LEFT($B678,4))-$I678&gt;6+IFERROR(MATCH($C678,LISTE_NIVEAUX,0),99))),"⚠ Vérifier niveau",IF(AND(IFERROR(VLOOKUP($C678,TABLE_CYCLE,2,0),3)=2,COUNT($O678:$Q678)&gt;0),"⚠ Tests cycle 3",IF(COUNT($J678:$Q678)&gt;=IF(IFERROR(VLOOKUP($C678,TABLE_CYCLE,2,0),3)=2,5,8),"Complet","Incomplet"))))))))</f>
        <v/>
      </c>
      <c r="S678" s="24"/>
      <c r="T678" s="67" t="str">
        <f t="shared" si="91"/>
        <v/>
      </c>
      <c r="U678" s="67" t="str">
        <f t="shared" si="92"/>
        <v/>
      </c>
      <c r="V678" s="67" t="str">
        <f t="shared" si="93"/>
        <v/>
      </c>
      <c r="W678" s="67" t="str">
        <f t="shared" si="94"/>
        <v/>
      </c>
      <c r="X678" s="67" t="str">
        <f t="shared" si="95"/>
        <v/>
      </c>
      <c r="Y678" s="24" t="str">
        <f t="shared" si="96"/>
        <v/>
      </c>
      <c r="Z678">
        <f t="shared" si="97"/>
        <v>0</v>
      </c>
      <c r="AA678">
        <f t="shared" si="98"/>
        <v>0</v>
      </c>
    </row>
    <row r="679" spans="2:27" ht="15.75" customHeight="1" x14ac:dyDescent="0.3">
      <c r="B679" s="21"/>
      <c r="C679" s="21"/>
      <c r="D679" s="21"/>
      <c r="E679" s="22" t="str">
        <f t="shared" si="90"/>
        <v/>
      </c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3" t="str">
        <f>IF($F679="","",IF(OR($B679="",$C679="",$D679=""),"⚠ Compléter Année/Niveau/Session",IF(AND($E679&lt;&gt;"",COUNTIF(D_KEY_DOUBLON,$B679&amp;"|"&amp;$D679&amp;"|"&amp;$E679)&gt;1),"⚠ Doublon",IF(AND($E679&lt;&gt;"",COUNTIF(D_KEY_STATUT,$B679&amp;"|"&amp;$E679&amp;"|P")&gt;0,COUNTIF(D_KEY_STATUT,$B679&amp;"|"&amp;$E679&amp;"|A")&gt;0),"⚠ Statut incohérent",IF(AND($D679="S1",$Y679&lt;&gt;"Parti",COUNTIF(ANNEES_VERROU,$B679)&gt;0,COUNTIF(D_KEY_NIVSES,$B679&amp;"|"&amp;$C679&amp;"|S2")&gt;0,COUNTIF(D_KEY_DOUBLON,$B679&amp;"|S2|"&amp;$E679)=0),"⚠ Départ non confirmé ?",IF(AND($C679&lt;&gt;"",ISNUMBER($I679),OR(VALUE(LEFT($B679,4))-$I679&lt;4+IFERROR(MATCH($C679,LISTE_NIVEAUX,0),99),VALUE(LEFT($B679,4))-$I679&gt;6+IFERROR(MATCH($C679,LISTE_NIVEAUX,0),99))),"⚠ Vérifier niveau",IF(AND(IFERROR(VLOOKUP($C679,TABLE_CYCLE,2,0),3)=2,COUNT($O679:$Q679)&gt;0),"⚠ Tests cycle 3",IF(COUNT($J679:$Q679)&gt;=IF(IFERROR(VLOOKUP($C679,TABLE_CYCLE,2,0),3)=2,5,8),"Complet","Incomplet"))))))))</f>
        <v/>
      </c>
      <c r="S679" s="24"/>
      <c r="T679" s="67" t="str">
        <f t="shared" si="91"/>
        <v/>
      </c>
      <c r="U679" s="67" t="str">
        <f t="shared" si="92"/>
        <v/>
      </c>
      <c r="V679" s="67" t="str">
        <f t="shared" si="93"/>
        <v/>
      </c>
      <c r="W679" s="67" t="str">
        <f t="shared" si="94"/>
        <v/>
      </c>
      <c r="X679" s="67" t="str">
        <f t="shared" si="95"/>
        <v/>
      </c>
      <c r="Y679" s="24" t="str">
        <f t="shared" si="96"/>
        <v/>
      </c>
      <c r="Z679">
        <f t="shared" si="97"/>
        <v>0</v>
      </c>
      <c r="AA679">
        <f t="shared" si="98"/>
        <v>0</v>
      </c>
    </row>
    <row r="680" spans="2:27" ht="15.75" customHeight="1" x14ac:dyDescent="0.3">
      <c r="B680" s="25"/>
      <c r="C680" s="25"/>
      <c r="D680" s="25"/>
      <c r="E680" s="26" t="str">
        <f t="shared" si="90"/>
        <v/>
      </c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3" t="str">
        <f>IF($F680="","",IF(OR($B680="",$C680="",$D680=""),"⚠ Compléter Année/Niveau/Session",IF(AND($E680&lt;&gt;"",COUNTIF(D_KEY_DOUBLON,$B680&amp;"|"&amp;$D680&amp;"|"&amp;$E680)&gt;1),"⚠ Doublon",IF(AND($E680&lt;&gt;"",COUNTIF(D_KEY_STATUT,$B680&amp;"|"&amp;$E680&amp;"|P")&gt;0,COUNTIF(D_KEY_STATUT,$B680&amp;"|"&amp;$E680&amp;"|A")&gt;0),"⚠ Statut incohérent",IF(AND($D680="S1",$Y680&lt;&gt;"Parti",COUNTIF(ANNEES_VERROU,$B680)&gt;0,COUNTIF(D_KEY_NIVSES,$B680&amp;"|"&amp;$C680&amp;"|S2")&gt;0,COUNTIF(D_KEY_DOUBLON,$B680&amp;"|S2|"&amp;$E680)=0),"⚠ Départ non confirmé ?",IF(AND($C680&lt;&gt;"",ISNUMBER($I680),OR(VALUE(LEFT($B680,4))-$I680&lt;4+IFERROR(MATCH($C680,LISTE_NIVEAUX,0),99),VALUE(LEFT($B680,4))-$I680&gt;6+IFERROR(MATCH($C680,LISTE_NIVEAUX,0),99))),"⚠ Vérifier niveau",IF(AND(IFERROR(VLOOKUP($C680,TABLE_CYCLE,2,0),3)=2,COUNT($O680:$Q680)&gt;0),"⚠ Tests cycle 3",IF(COUNT($J680:$Q680)&gt;=IF(IFERROR(VLOOKUP($C680,TABLE_CYCLE,2,0),3)=2,5,8),"Complet","Incomplet"))))))))</f>
        <v/>
      </c>
      <c r="S680" s="24"/>
      <c r="T680" s="67" t="str">
        <f t="shared" si="91"/>
        <v/>
      </c>
      <c r="U680" s="67" t="str">
        <f t="shared" si="92"/>
        <v/>
      </c>
      <c r="V680" s="67" t="str">
        <f t="shared" si="93"/>
        <v/>
      </c>
      <c r="W680" s="67" t="str">
        <f t="shared" si="94"/>
        <v/>
      </c>
      <c r="X680" s="67" t="str">
        <f t="shared" si="95"/>
        <v/>
      </c>
      <c r="Y680" s="24" t="str">
        <f t="shared" si="96"/>
        <v/>
      </c>
      <c r="Z680">
        <f t="shared" si="97"/>
        <v>0</v>
      </c>
      <c r="AA680">
        <f t="shared" si="98"/>
        <v>0</v>
      </c>
    </row>
    <row r="681" spans="2:27" ht="15.75" customHeight="1" x14ac:dyDescent="0.3">
      <c r="B681" s="21"/>
      <c r="C681" s="21"/>
      <c r="D681" s="21"/>
      <c r="E681" s="22" t="str">
        <f t="shared" si="90"/>
        <v/>
      </c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3" t="str">
        <f>IF($F681="","",IF(OR($B681="",$C681="",$D681=""),"⚠ Compléter Année/Niveau/Session",IF(AND($E681&lt;&gt;"",COUNTIF(D_KEY_DOUBLON,$B681&amp;"|"&amp;$D681&amp;"|"&amp;$E681)&gt;1),"⚠ Doublon",IF(AND($E681&lt;&gt;"",COUNTIF(D_KEY_STATUT,$B681&amp;"|"&amp;$E681&amp;"|P")&gt;0,COUNTIF(D_KEY_STATUT,$B681&amp;"|"&amp;$E681&amp;"|A")&gt;0),"⚠ Statut incohérent",IF(AND($D681="S1",$Y681&lt;&gt;"Parti",COUNTIF(ANNEES_VERROU,$B681)&gt;0,COUNTIF(D_KEY_NIVSES,$B681&amp;"|"&amp;$C681&amp;"|S2")&gt;0,COUNTIF(D_KEY_DOUBLON,$B681&amp;"|S2|"&amp;$E681)=0),"⚠ Départ non confirmé ?",IF(AND($C681&lt;&gt;"",ISNUMBER($I681),OR(VALUE(LEFT($B681,4))-$I681&lt;4+IFERROR(MATCH($C681,LISTE_NIVEAUX,0),99),VALUE(LEFT($B681,4))-$I681&gt;6+IFERROR(MATCH($C681,LISTE_NIVEAUX,0),99))),"⚠ Vérifier niveau",IF(AND(IFERROR(VLOOKUP($C681,TABLE_CYCLE,2,0),3)=2,COUNT($O681:$Q681)&gt;0),"⚠ Tests cycle 3",IF(COUNT($J681:$Q681)&gt;=IF(IFERROR(VLOOKUP($C681,TABLE_CYCLE,2,0),3)=2,5,8),"Complet","Incomplet"))))))))</f>
        <v/>
      </c>
      <c r="S681" s="24"/>
      <c r="T681" s="67" t="str">
        <f t="shared" si="91"/>
        <v/>
      </c>
      <c r="U681" s="67" t="str">
        <f t="shared" si="92"/>
        <v/>
      </c>
      <c r="V681" s="67" t="str">
        <f t="shared" si="93"/>
        <v/>
      </c>
      <c r="W681" s="67" t="str">
        <f t="shared" si="94"/>
        <v/>
      </c>
      <c r="X681" s="67" t="str">
        <f t="shared" si="95"/>
        <v/>
      </c>
      <c r="Y681" s="24" t="str">
        <f t="shared" si="96"/>
        <v/>
      </c>
      <c r="Z681">
        <f t="shared" si="97"/>
        <v>0</v>
      </c>
      <c r="AA681">
        <f t="shared" si="98"/>
        <v>0</v>
      </c>
    </row>
    <row r="682" spans="2:27" ht="15.75" customHeight="1" x14ac:dyDescent="0.3">
      <c r="B682" s="25"/>
      <c r="C682" s="25"/>
      <c r="D682" s="25"/>
      <c r="E682" s="26" t="str">
        <f t="shared" si="90"/>
        <v/>
      </c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3" t="str">
        <f>IF($F682="","",IF(OR($B682="",$C682="",$D682=""),"⚠ Compléter Année/Niveau/Session",IF(AND($E682&lt;&gt;"",COUNTIF(D_KEY_DOUBLON,$B682&amp;"|"&amp;$D682&amp;"|"&amp;$E682)&gt;1),"⚠ Doublon",IF(AND($E682&lt;&gt;"",COUNTIF(D_KEY_STATUT,$B682&amp;"|"&amp;$E682&amp;"|P")&gt;0,COUNTIF(D_KEY_STATUT,$B682&amp;"|"&amp;$E682&amp;"|A")&gt;0),"⚠ Statut incohérent",IF(AND($D682="S1",$Y682&lt;&gt;"Parti",COUNTIF(ANNEES_VERROU,$B682)&gt;0,COUNTIF(D_KEY_NIVSES,$B682&amp;"|"&amp;$C682&amp;"|S2")&gt;0,COUNTIF(D_KEY_DOUBLON,$B682&amp;"|S2|"&amp;$E682)=0),"⚠ Départ non confirmé ?",IF(AND($C682&lt;&gt;"",ISNUMBER($I682),OR(VALUE(LEFT($B682,4))-$I682&lt;4+IFERROR(MATCH($C682,LISTE_NIVEAUX,0),99),VALUE(LEFT($B682,4))-$I682&gt;6+IFERROR(MATCH($C682,LISTE_NIVEAUX,0),99))),"⚠ Vérifier niveau",IF(AND(IFERROR(VLOOKUP($C682,TABLE_CYCLE,2,0),3)=2,COUNT($O682:$Q682)&gt;0),"⚠ Tests cycle 3",IF(COUNT($J682:$Q682)&gt;=IF(IFERROR(VLOOKUP($C682,TABLE_CYCLE,2,0),3)=2,5,8),"Complet","Incomplet"))))))))</f>
        <v/>
      </c>
      <c r="S682" s="24"/>
      <c r="T682" s="67" t="str">
        <f t="shared" si="91"/>
        <v/>
      </c>
      <c r="U682" s="67" t="str">
        <f t="shared" si="92"/>
        <v/>
      </c>
      <c r="V682" s="67" t="str">
        <f t="shared" si="93"/>
        <v/>
      </c>
      <c r="W682" s="67" t="str">
        <f t="shared" si="94"/>
        <v/>
      </c>
      <c r="X682" s="67" t="str">
        <f t="shared" si="95"/>
        <v/>
      </c>
      <c r="Y682" s="24" t="str">
        <f t="shared" si="96"/>
        <v/>
      </c>
      <c r="Z682">
        <f t="shared" si="97"/>
        <v>0</v>
      </c>
      <c r="AA682">
        <f t="shared" si="98"/>
        <v>0</v>
      </c>
    </row>
    <row r="683" spans="2:27" ht="15.75" customHeight="1" x14ac:dyDescent="0.3">
      <c r="B683" s="21"/>
      <c r="C683" s="21"/>
      <c r="D683" s="21"/>
      <c r="E683" s="22" t="str">
        <f t="shared" si="90"/>
        <v/>
      </c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3" t="str">
        <f>IF($F683="","",IF(OR($B683="",$C683="",$D683=""),"⚠ Compléter Année/Niveau/Session",IF(AND($E683&lt;&gt;"",COUNTIF(D_KEY_DOUBLON,$B683&amp;"|"&amp;$D683&amp;"|"&amp;$E683)&gt;1),"⚠ Doublon",IF(AND($E683&lt;&gt;"",COUNTIF(D_KEY_STATUT,$B683&amp;"|"&amp;$E683&amp;"|P")&gt;0,COUNTIF(D_KEY_STATUT,$B683&amp;"|"&amp;$E683&amp;"|A")&gt;0),"⚠ Statut incohérent",IF(AND($D683="S1",$Y683&lt;&gt;"Parti",COUNTIF(ANNEES_VERROU,$B683)&gt;0,COUNTIF(D_KEY_NIVSES,$B683&amp;"|"&amp;$C683&amp;"|S2")&gt;0,COUNTIF(D_KEY_DOUBLON,$B683&amp;"|S2|"&amp;$E683)=0),"⚠ Départ non confirmé ?",IF(AND($C683&lt;&gt;"",ISNUMBER($I683),OR(VALUE(LEFT($B683,4))-$I683&lt;4+IFERROR(MATCH($C683,LISTE_NIVEAUX,0),99),VALUE(LEFT($B683,4))-$I683&gt;6+IFERROR(MATCH($C683,LISTE_NIVEAUX,0),99))),"⚠ Vérifier niveau",IF(AND(IFERROR(VLOOKUP($C683,TABLE_CYCLE,2,0),3)=2,COUNT($O683:$Q683)&gt;0),"⚠ Tests cycle 3",IF(COUNT($J683:$Q683)&gt;=IF(IFERROR(VLOOKUP($C683,TABLE_CYCLE,2,0),3)=2,5,8),"Complet","Incomplet"))))))))</f>
        <v/>
      </c>
      <c r="S683" s="24"/>
      <c r="T683" s="67" t="str">
        <f t="shared" si="91"/>
        <v/>
      </c>
      <c r="U683" s="67" t="str">
        <f t="shared" si="92"/>
        <v/>
      </c>
      <c r="V683" s="67" t="str">
        <f t="shared" si="93"/>
        <v/>
      </c>
      <c r="W683" s="67" t="str">
        <f t="shared" si="94"/>
        <v/>
      </c>
      <c r="X683" s="67" t="str">
        <f t="shared" si="95"/>
        <v/>
      </c>
      <c r="Y683" s="24" t="str">
        <f t="shared" si="96"/>
        <v/>
      </c>
      <c r="Z683">
        <f t="shared" si="97"/>
        <v>0</v>
      </c>
      <c r="AA683">
        <f t="shared" si="98"/>
        <v>0</v>
      </c>
    </row>
    <row r="684" spans="2:27" ht="15.75" customHeight="1" x14ac:dyDescent="0.3">
      <c r="B684" s="25"/>
      <c r="C684" s="25"/>
      <c r="D684" s="25"/>
      <c r="E684" s="26" t="str">
        <f t="shared" si="90"/>
        <v/>
      </c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3" t="str">
        <f>IF($F684="","",IF(OR($B684="",$C684="",$D684=""),"⚠ Compléter Année/Niveau/Session",IF(AND($E684&lt;&gt;"",COUNTIF(D_KEY_DOUBLON,$B684&amp;"|"&amp;$D684&amp;"|"&amp;$E684)&gt;1),"⚠ Doublon",IF(AND($E684&lt;&gt;"",COUNTIF(D_KEY_STATUT,$B684&amp;"|"&amp;$E684&amp;"|P")&gt;0,COUNTIF(D_KEY_STATUT,$B684&amp;"|"&amp;$E684&amp;"|A")&gt;0),"⚠ Statut incohérent",IF(AND($D684="S1",$Y684&lt;&gt;"Parti",COUNTIF(ANNEES_VERROU,$B684)&gt;0,COUNTIF(D_KEY_NIVSES,$B684&amp;"|"&amp;$C684&amp;"|S2")&gt;0,COUNTIF(D_KEY_DOUBLON,$B684&amp;"|S2|"&amp;$E684)=0),"⚠ Départ non confirmé ?",IF(AND($C684&lt;&gt;"",ISNUMBER($I684),OR(VALUE(LEFT($B684,4))-$I684&lt;4+IFERROR(MATCH($C684,LISTE_NIVEAUX,0),99),VALUE(LEFT($B684,4))-$I684&gt;6+IFERROR(MATCH($C684,LISTE_NIVEAUX,0),99))),"⚠ Vérifier niveau",IF(AND(IFERROR(VLOOKUP($C684,TABLE_CYCLE,2,0),3)=2,COUNT($O684:$Q684)&gt;0),"⚠ Tests cycle 3",IF(COUNT($J684:$Q684)&gt;=IF(IFERROR(VLOOKUP($C684,TABLE_CYCLE,2,0),3)=2,5,8),"Complet","Incomplet"))))))))</f>
        <v/>
      </c>
      <c r="S684" s="24"/>
      <c r="T684" s="67" t="str">
        <f t="shared" si="91"/>
        <v/>
      </c>
      <c r="U684" s="67" t="str">
        <f t="shared" si="92"/>
        <v/>
      </c>
      <c r="V684" s="67" t="str">
        <f t="shared" si="93"/>
        <v/>
      </c>
      <c r="W684" s="67" t="str">
        <f t="shared" si="94"/>
        <v/>
      </c>
      <c r="X684" s="67" t="str">
        <f t="shared" si="95"/>
        <v/>
      </c>
      <c r="Y684" s="24" t="str">
        <f t="shared" si="96"/>
        <v/>
      </c>
      <c r="Z684">
        <f t="shared" si="97"/>
        <v>0</v>
      </c>
      <c r="AA684">
        <f t="shared" si="98"/>
        <v>0</v>
      </c>
    </row>
    <row r="685" spans="2:27" ht="15.75" customHeight="1" x14ac:dyDescent="0.3">
      <c r="B685" s="21"/>
      <c r="C685" s="21"/>
      <c r="D685" s="21"/>
      <c r="E685" s="22" t="str">
        <f t="shared" si="90"/>
        <v/>
      </c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3" t="str">
        <f>IF($F685="","",IF(OR($B685="",$C685="",$D685=""),"⚠ Compléter Année/Niveau/Session",IF(AND($E685&lt;&gt;"",COUNTIF(D_KEY_DOUBLON,$B685&amp;"|"&amp;$D685&amp;"|"&amp;$E685)&gt;1),"⚠ Doublon",IF(AND($E685&lt;&gt;"",COUNTIF(D_KEY_STATUT,$B685&amp;"|"&amp;$E685&amp;"|P")&gt;0,COUNTIF(D_KEY_STATUT,$B685&amp;"|"&amp;$E685&amp;"|A")&gt;0),"⚠ Statut incohérent",IF(AND($D685="S1",$Y685&lt;&gt;"Parti",COUNTIF(ANNEES_VERROU,$B685)&gt;0,COUNTIF(D_KEY_NIVSES,$B685&amp;"|"&amp;$C685&amp;"|S2")&gt;0,COUNTIF(D_KEY_DOUBLON,$B685&amp;"|S2|"&amp;$E685)=0),"⚠ Départ non confirmé ?",IF(AND($C685&lt;&gt;"",ISNUMBER($I685),OR(VALUE(LEFT($B685,4))-$I685&lt;4+IFERROR(MATCH($C685,LISTE_NIVEAUX,0),99),VALUE(LEFT($B685,4))-$I685&gt;6+IFERROR(MATCH($C685,LISTE_NIVEAUX,0),99))),"⚠ Vérifier niveau",IF(AND(IFERROR(VLOOKUP($C685,TABLE_CYCLE,2,0),3)=2,COUNT($O685:$Q685)&gt;0),"⚠ Tests cycle 3",IF(COUNT($J685:$Q685)&gt;=IF(IFERROR(VLOOKUP($C685,TABLE_CYCLE,2,0),3)=2,5,8),"Complet","Incomplet"))))))))</f>
        <v/>
      </c>
      <c r="S685" s="24"/>
      <c r="T685" s="67" t="str">
        <f t="shared" si="91"/>
        <v/>
      </c>
      <c r="U685" s="67" t="str">
        <f t="shared" si="92"/>
        <v/>
      </c>
      <c r="V685" s="67" t="str">
        <f t="shared" si="93"/>
        <v/>
      </c>
      <c r="W685" s="67" t="str">
        <f t="shared" si="94"/>
        <v/>
      </c>
      <c r="X685" s="67" t="str">
        <f t="shared" si="95"/>
        <v/>
      </c>
      <c r="Y685" s="24" t="str">
        <f t="shared" si="96"/>
        <v/>
      </c>
      <c r="Z685">
        <f t="shared" si="97"/>
        <v>0</v>
      </c>
      <c r="AA685">
        <f t="shared" si="98"/>
        <v>0</v>
      </c>
    </row>
    <row r="686" spans="2:27" ht="15.75" customHeight="1" x14ac:dyDescent="0.3">
      <c r="B686" s="25"/>
      <c r="C686" s="25"/>
      <c r="D686" s="25"/>
      <c r="E686" s="26" t="str">
        <f t="shared" si="90"/>
        <v/>
      </c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3" t="str">
        <f>IF($F686="","",IF(OR($B686="",$C686="",$D686=""),"⚠ Compléter Année/Niveau/Session",IF(AND($E686&lt;&gt;"",COUNTIF(D_KEY_DOUBLON,$B686&amp;"|"&amp;$D686&amp;"|"&amp;$E686)&gt;1),"⚠ Doublon",IF(AND($E686&lt;&gt;"",COUNTIF(D_KEY_STATUT,$B686&amp;"|"&amp;$E686&amp;"|P")&gt;0,COUNTIF(D_KEY_STATUT,$B686&amp;"|"&amp;$E686&amp;"|A")&gt;0),"⚠ Statut incohérent",IF(AND($D686="S1",$Y686&lt;&gt;"Parti",COUNTIF(ANNEES_VERROU,$B686)&gt;0,COUNTIF(D_KEY_NIVSES,$B686&amp;"|"&amp;$C686&amp;"|S2")&gt;0,COUNTIF(D_KEY_DOUBLON,$B686&amp;"|S2|"&amp;$E686)=0),"⚠ Départ non confirmé ?",IF(AND($C686&lt;&gt;"",ISNUMBER($I686),OR(VALUE(LEFT($B686,4))-$I686&lt;4+IFERROR(MATCH($C686,LISTE_NIVEAUX,0),99),VALUE(LEFT($B686,4))-$I686&gt;6+IFERROR(MATCH($C686,LISTE_NIVEAUX,0),99))),"⚠ Vérifier niveau",IF(AND(IFERROR(VLOOKUP($C686,TABLE_CYCLE,2,0),3)=2,COUNT($O686:$Q686)&gt;0),"⚠ Tests cycle 3",IF(COUNT($J686:$Q686)&gt;=IF(IFERROR(VLOOKUP($C686,TABLE_CYCLE,2,0),3)=2,5,8),"Complet","Incomplet"))))))))</f>
        <v/>
      </c>
      <c r="S686" s="24"/>
      <c r="T686" s="67" t="str">
        <f t="shared" si="91"/>
        <v/>
      </c>
      <c r="U686" s="67" t="str">
        <f t="shared" si="92"/>
        <v/>
      </c>
      <c r="V686" s="67" t="str">
        <f t="shared" si="93"/>
        <v/>
      </c>
      <c r="W686" s="67" t="str">
        <f t="shared" si="94"/>
        <v/>
      </c>
      <c r="X686" s="67" t="str">
        <f t="shared" si="95"/>
        <v/>
      </c>
      <c r="Y686" s="24" t="str">
        <f t="shared" si="96"/>
        <v/>
      </c>
      <c r="Z686">
        <f t="shared" si="97"/>
        <v>0</v>
      </c>
      <c r="AA686">
        <f t="shared" si="98"/>
        <v>0</v>
      </c>
    </row>
    <row r="687" spans="2:27" ht="15.75" customHeight="1" x14ac:dyDescent="0.3">
      <c r="B687" s="21"/>
      <c r="C687" s="21"/>
      <c r="D687" s="21"/>
      <c r="E687" s="22" t="str">
        <f t="shared" si="90"/>
        <v/>
      </c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3" t="str">
        <f>IF($F687="","",IF(OR($B687="",$C687="",$D687=""),"⚠ Compléter Année/Niveau/Session",IF(AND($E687&lt;&gt;"",COUNTIF(D_KEY_DOUBLON,$B687&amp;"|"&amp;$D687&amp;"|"&amp;$E687)&gt;1),"⚠ Doublon",IF(AND($E687&lt;&gt;"",COUNTIF(D_KEY_STATUT,$B687&amp;"|"&amp;$E687&amp;"|P")&gt;0,COUNTIF(D_KEY_STATUT,$B687&amp;"|"&amp;$E687&amp;"|A")&gt;0),"⚠ Statut incohérent",IF(AND($D687="S1",$Y687&lt;&gt;"Parti",COUNTIF(ANNEES_VERROU,$B687)&gt;0,COUNTIF(D_KEY_NIVSES,$B687&amp;"|"&amp;$C687&amp;"|S2")&gt;0,COUNTIF(D_KEY_DOUBLON,$B687&amp;"|S2|"&amp;$E687)=0),"⚠ Départ non confirmé ?",IF(AND($C687&lt;&gt;"",ISNUMBER($I687),OR(VALUE(LEFT($B687,4))-$I687&lt;4+IFERROR(MATCH($C687,LISTE_NIVEAUX,0),99),VALUE(LEFT($B687,4))-$I687&gt;6+IFERROR(MATCH($C687,LISTE_NIVEAUX,0),99))),"⚠ Vérifier niveau",IF(AND(IFERROR(VLOOKUP($C687,TABLE_CYCLE,2,0),3)=2,COUNT($O687:$Q687)&gt;0),"⚠ Tests cycle 3",IF(COUNT($J687:$Q687)&gt;=IF(IFERROR(VLOOKUP($C687,TABLE_CYCLE,2,0),3)=2,5,8),"Complet","Incomplet"))))))))</f>
        <v/>
      </c>
      <c r="S687" s="24"/>
      <c r="T687" s="67" t="str">
        <f t="shared" si="91"/>
        <v/>
      </c>
      <c r="U687" s="67" t="str">
        <f t="shared" si="92"/>
        <v/>
      </c>
      <c r="V687" s="67" t="str">
        <f t="shared" si="93"/>
        <v/>
      </c>
      <c r="W687" s="67" t="str">
        <f t="shared" si="94"/>
        <v/>
      </c>
      <c r="X687" s="67" t="str">
        <f t="shared" si="95"/>
        <v/>
      </c>
      <c r="Y687" s="24" t="str">
        <f t="shared" si="96"/>
        <v/>
      </c>
      <c r="Z687">
        <f t="shared" si="97"/>
        <v>0</v>
      </c>
      <c r="AA687">
        <f t="shared" si="98"/>
        <v>0</v>
      </c>
    </row>
    <row r="688" spans="2:27" ht="15.75" customHeight="1" x14ac:dyDescent="0.3">
      <c r="B688" s="25"/>
      <c r="C688" s="25"/>
      <c r="D688" s="25"/>
      <c r="E688" s="26" t="str">
        <f t="shared" si="90"/>
        <v/>
      </c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3" t="str">
        <f>IF($F688="","",IF(OR($B688="",$C688="",$D688=""),"⚠ Compléter Année/Niveau/Session",IF(AND($E688&lt;&gt;"",COUNTIF(D_KEY_DOUBLON,$B688&amp;"|"&amp;$D688&amp;"|"&amp;$E688)&gt;1),"⚠ Doublon",IF(AND($E688&lt;&gt;"",COUNTIF(D_KEY_STATUT,$B688&amp;"|"&amp;$E688&amp;"|P")&gt;0,COUNTIF(D_KEY_STATUT,$B688&amp;"|"&amp;$E688&amp;"|A")&gt;0),"⚠ Statut incohérent",IF(AND($D688="S1",$Y688&lt;&gt;"Parti",COUNTIF(ANNEES_VERROU,$B688)&gt;0,COUNTIF(D_KEY_NIVSES,$B688&amp;"|"&amp;$C688&amp;"|S2")&gt;0,COUNTIF(D_KEY_DOUBLON,$B688&amp;"|S2|"&amp;$E688)=0),"⚠ Départ non confirmé ?",IF(AND($C688&lt;&gt;"",ISNUMBER($I688),OR(VALUE(LEFT($B688,4))-$I688&lt;4+IFERROR(MATCH($C688,LISTE_NIVEAUX,0),99),VALUE(LEFT($B688,4))-$I688&gt;6+IFERROR(MATCH($C688,LISTE_NIVEAUX,0),99))),"⚠ Vérifier niveau",IF(AND(IFERROR(VLOOKUP($C688,TABLE_CYCLE,2,0),3)=2,COUNT($O688:$Q688)&gt;0),"⚠ Tests cycle 3",IF(COUNT($J688:$Q688)&gt;=IF(IFERROR(VLOOKUP($C688,TABLE_CYCLE,2,0),3)=2,5,8),"Complet","Incomplet"))))))))</f>
        <v/>
      </c>
      <c r="S688" s="24"/>
      <c r="T688" s="67" t="str">
        <f t="shared" si="91"/>
        <v/>
      </c>
      <c r="U688" s="67" t="str">
        <f t="shared" si="92"/>
        <v/>
      </c>
      <c r="V688" s="67" t="str">
        <f t="shared" si="93"/>
        <v/>
      </c>
      <c r="W688" s="67" t="str">
        <f t="shared" si="94"/>
        <v/>
      </c>
      <c r="X688" s="67" t="str">
        <f t="shared" si="95"/>
        <v/>
      </c>
      <c r="Y688" s="24" t="str">
        <f t="shared" si="96"/>
        <v/>
      </c>
      <c r="Z688">
        <f t="shared" si="97"/>
        <v>0</v>
      </c>
      <c r="AA688">
        <f t="shared" si="98"/>
        <v>0</v>
      </c>
    </row>
    <row r="689" spans="2:27" ht="15.75" customHeight="1" x14ac:dyDescent="0.3">
      <c r="B689" s="21"/>
      <c r="C689" s="21"/>
      <c r="D689" s="21"/>
      <c r="E689" s="22" t="str">
        <f t="shared" si="90"/>
        <v/>
      </c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3" t="str">
        <f>IF($F689="","",IF(OR($B689="",$C689="",$D689=""),"⚠ Compléter Année/Niveau/Session",IF(AND($E689&lt;&gt;"",COUNTIF(D_KEY_DOUBLON,$B689&amp;"|"&amp;$D689&amp;"|"&amp;$E689)&gt;1),"⚠ Doublon",IF(AND($E689&lt;&gt;"",COUNTIF(D_KEY_STATUT,$B689&amp;"|"&amp;$E689&amp;"|P")&gt;0,COUNTIF(D_KEY_STATUT,$B689&amp;"|"&amp;$E689&amp;"|A")&gt;0),"⚠ Statut incohérent",IF(AND($D689="S1",$Y689&lt;&gt;"Parti",COUNTIF(ANNEES_VERROU,$B689)&gt;0,COUNTIF(D_KEY_NIVSES,$B689&amp;"|"&amp;$C689&amp;"|S2")&gt;0,COUNTIF(D_KEY_DOUBLON,$B689&amp;"|S2|"&amp;$E689)=0),"⚠ Départ non confirmé ?",IF(AND($C689&lt;&gt;"",ISNUMBER($I689),OR(VALUE(LEFT($B689,4))-$I689&lt;4+IFERROR(MATCH($C689,LISTE_NIVEAUX,0),99),VALUE(LEFT($B689,4))-$I689&gt;6+IFERROR(MATCH($C689,LISTE_NIVEAUX,0),99))),"⚠ Vérifier niveau",IF(AND(IFERROR(VLOOKUP($C689,TABLE_CYCLE,2,0),3)=2,COUNT($O689:$Q689)&gt;0),"⚠ Tests cycle 3",IF(COUNT($J689:$Q689)&gt;=IF(IFERROR(VLOOKUP($C689,TABLE_CYCLE,2,0),3)=2,5,8),"Complet","Incomplet"))))))))</f>
        <v/>
      </c>
      <c r="S689" s="24"/>
      <c r="T689" s="67" t="str">
        <f t="shared" si="91"/>
        <v/>
      </c>
      <c r="U689" s="67" t="str">
        <f t="shared" si="92"/>
        <v/>
      </c>
      <c r="V689" s="67" t="str">
        <f t="shared" si="93"/>
        <v/>
      </c>
      <c r="W689" s="67" t="str">
        <f t="shared" si="94"/>
        <v/>
      </c>
      <c r="X689" s="67" t="str">
        <f t="shared" si="95"/>
        <v/>
      </c>
      <c r="Y689" s="24" t="str">
        <f t="shared" si="96"/>
        <v/>
      </c>
      <c r="Z689">
        <f t="shared" si="97"/>
        <v>0</v>
      </c>
      <c r="AA689">
        <f t="shared" si="98"/>
        <v>0</v>
      </c>
    </row>
    <row r="690" spans="2:27" ht="15.75" customHeight="1" x14ac:dyDescent="0.3">
      <c r="B690" s="25"/>
      <c r="C690" s="25"/>
      <c r="D690" s="25"/>
      <c r="E690" s="26" t="str">
        <f t="shared" si="90"/>
        <v/>
      </c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3" t="str">
        <f>IF($F690="","",IF(OR($B690="",$C690="",$D690=""),"⚠ Compléter Année/Niveau/Session",IF(AND($E690&lt;&gt;"",COUNTIF(D_KEY_DOUBLON,$B690&amp;"|"&amp;$D690&amp;"|"&amp;$E690)&gt;1),"⚠ Doublon",IF(AND($E690&lt;&gt;"",COUNTIF(D_KEY_STATUT,$B690&amp;"|"&amp;$E690&amp;"|P")&gt;0,COUNTIF(D_KEY_STATUT,$B690&amp;"|"&amp;$E690&amp;"|A")&gt;0),"⚠ Statut incohérent",IF(AND($D690="S1",$Y690&lt;&gt;"Parti",COUNTIF(ANNEES_VERROU,$B690)&gt;0,COUNTIF(D_KEY_NIVSES,$B690&amp;"|"&amp;$C690&amp;"|S2")&gt;0,COUNTIF(D_KEY_DOUBLON,$B690&amp;"|S2|"&amp;$E690)=0),"⚠ Départ non confirmé ?",IF(AND($C690&lt;&gt;"",ISNUMBER($I690),OR(VALUE(LEFT($B690,4))-$I690&lt;4+IFERROR(MATCH($C690,LISTE_NIVEAUX,0),99),VALUE(LEFT($B690,4))-$I690&gt;6+IFERROR(MATCH($C690,LISTE_NIVEAUX,0),99))),"⚠ Vérifier niveau",IF(AND(IFERROR(VLOOKUP($C690,TABLE_CYCLE,2,0),3)=2,COUNT($O690:$Q690)&gt;0),"⚠ Tests cycle 3",IF(COUNT($J690:$Q690)&gt;=IF(IFERROR(VLOOKUP($C690,TABLE_CYCLE,2,0),3)=2,5,8),"Complet","Incomplet"))))))))</f>
        <v/>
      </c>
      <c r="S690" s="24"/>
      <c r="T690" s="67" t="str">
        <f t="shared" si="91"/>
        <v/>
      </c>
      <c r="U690" s="67" t="str">
        <f t="shared" si="92"/>
        <v/>
      </c>
      <c r="V690" s="67" t="str">
        <f t="shared" si="93"/>
        <v/>
      </c>
      <c r="W690" s="67" t="str">
        <f t="shared" si="94"/>
        <v/>
      </c>
      <c r="X690" s="67" t="str">
        <f t="shared" si="95"/>
        <v/>
      </c>
      <c r="Y690" s="24" t="str">
        <f t="shared" si="96"/>
        <v/>
      </c>
      <c r="Z690">
        <f t="shared" si="97"/>
        <v>0</v>
      </c>
      <c r="AA690">
        <f t="shared" si="98"/>
        <v>0</v>
      </c>
    </row>
    <row r="691" spans="2:27" ht="15.75" customHeight="1" x14ac:dyDescent="0.3">
      <c r="B691" s="21"/>
      <c r="C691" s="21"/>
      <c r="D691" s="21"/>
      <c r="E691" s="22" t="str">
        <f t="shared" si="90"/>
        <v/>
      </c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3" t="str">
        <f>IF($F691="","",IF(OR($B691="",$C691="",$D691=""),"⚠ Compléter Année/Niveau/Session",IF(AND($E691&lt;&gt;"",COUNTIF(D_KEY_DOUBLON,$B691&amp;"|"&amp;$D691&amp;"|"&amp;$E691)&gt;1),"⚠ Doublon",IF(AND($E691&lt;&gt;"",COUNTIF(D_KEY_STATUT,$B691&amp;"|"&amp;$E691&amp;"|P")&gt;0,COUNTIF(D_KEY_STATUT,$B691&amp;"|"&amp;$E691&amp;"|A")&gt;0),"⚠ Statut incohérent",IF(AND($D691="S1",$Y691&lt;&gt;"Parti",COUNTIF(ANNEES_VERROU,$B691)&gt;0,COUNTIF(D_KEY_NIVSES,$B691&amp;"|"&amp;$C691&amp;"|S2")&gt;0,COUNTIF(D_KEY_DOUBLON,$B691&amp;"|S2|"&amp;$E691)=0),"⚠ Départ non confirmé ?",IF(AND($C691&lt;&gt;"",ISNUMBER($I691),OR(VALUE(LEFT($B691,4))-$I691&lt;4+IFERROR(MATCH($C691,LISTE_NIVEAUX,0),99),VALUE(LEFT($B691,4))-$I691&gt;6+IFERROR(MATCH($C691,LISTE_NIVEAUX,0),99))),"⚠ Vérifier niveau",IF(AND(IFERROR(VLOOKUP($C691,TABLE_CYCLE,2,0),3)=2,COUNT($O691:$Q691)&gt;0),"⚠ Tests cycle 3",IF(COUNT($J691:$Q691)&gt;=IF(IFERROR(VLOOKUP($C691,TABLE_CYCLE,2,0),3)=2,5,8),"Complet","Incomplet"))))))))</f>
        <v/>
      </c>
      <c r="S691" s="24"/>
      <c r="T691" s="67" t="str">
        <f t="shared" si="91"/>
        <v/>
      </c>
      <c r="U691" s="67" t="str">
        <f t="shared" si="92"/>
        <v/>
      </c>
      <c r="V691" s="67" t="str">
        <f t="shared" si="93"/>
        <v/>
      </c>
      <c r="W691" s="67" t="str">
        <f t="shared" si="94"/>
        <v/>
      </c>
      <c r="X691" s="67" t="str">
        <f t="shared" si="95"/>
        <v/>
      </c>
      <c r="Y691" s="24" t="str">
        <f t="shared" si="96"/>
        <v/>
      </c>
      <c r="Z691">
        <f t="shared" si="97"/>
        <v>0</v>
      </c>
      <c r="AA691">
        <f t="shared" si="98"/>
        <v>0</v>
      </c>
    </row>
    <row r="692" spans="2:27" ht="15.75" customHeight="1" x14ac:dyDescent="0.3">
      <c r="B692" s="25"/>
      <c r="C692" s="25"/>
      <c r="D692" s="25"/>
      <c r="E692" s="26" t="str">
        <f t="shared" si="90"/>
        <v/>
      </c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3" t="str">
        <f>IF($F692="","",IF(OR($B692="",$C692="",$D692=""),"⚠ Compléter Année/Niveau/Session",IF(AND($E692&lt;&gt;"",COUNTIF(D_KEY_DOUBLON,$B692&amp;"|"&amp;$D692&amp;"|"&amp;$E692)&gt;1),"⚠ Doublon",IF(AND($E692&lt;&gt;"",COUNTIF(D_KEY_STATUT,$B692&amp;"|"&amp;$E692&amp;"|P")&gt;0,COUNTIF(D_KEY_STATUT,$B692&amp;"|"&amp;$E692&amp;"|A")&gt;0),"⚠ Statut incohérent",IF(AND($D692="S1",$Y692&lt;&gt;"Parti",COUNTIF(ANNEES_VERROU,$B692)&gt;0,COUNTIF(D_KEY_NIVSES,$B692&amp;"|"&amp;$C692&amp;"|S2")&gt;0,COUNTIF(D_KEY_DOUBLON,$B692&amp;"|S2|"&amp;$E692)=0),"⚠ Départ non confirmé ?",IF(AND($C692&lt;&gt;"",ISNUMBER($I692),OR(VALUE(LEFT($B692,4))-$I692&lt;4+IFERROR(MATCH($C692,LISTE_NIVEAUX,0),99),VALUE(LEFT($B692,4))-$I692&gt;6+IFERROR(MATCH($C692,LISTE_NIVEAUX,0),99))),"⚠ Vérifier niveau",IF(AND(IFERROR(VLOOKUP($C692,TABLE_CYCLE,2,0),3)=2,COUNT($O692:$Q692)&gt;0),"⚠ Tests cycle 3",IF(COUNT($J692:$Q692)&gt;=IF(IFERROR(VLOOKUP($C692,TABLE_CYCLE,2,0),3)=2,5,8),"Complet","Incomplet"))))))))</f>
        <v/>
      </c>
      <c r="S692" s="24"/>
      <c r="T692" s="67" t="str">
        <f t="shared" si="91"/>
        <v/>
      </c>
      <c r="U692" s="67" t="str">
        <f t="shared" si="92"/>
        <v/>
      </c>
      <c r="V692" s="67" t="str">
        <f t="shared" si="93"/>
        <v/>
      </c>
      <c r="W692" s="67" t="str">
        <f t="shared" si="94"/>
        <v/>
      </c>
      <c r="X692" s="67" t="str">
        <f t="shared" si="95"/>
        <v/>
      </c>
      <c r="Y692" s="24" t="str">
        <f t="shared" si="96"/>
        <v/>
      </c>
      <c r="Z692">
        <f t="shared" si="97"/>
        <v>0</v>
      </c>
      <c r="AA692">
        <f t="shared" si="98"/>
        <v>0</v>
      </c>
    </row>
    <row r="693" spans="2:27" ht="15.75" customHeight="1" x14ac:dyDescent="0.3">
      <c r="B693" s="21"/>
      <c r="C693" s="21"/>
      <c r="D693" s="21"/>
      <c r="E693" s="22" t="str">
        <f t="shared" si="90"/>
        <v/>
      </c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3" t="str">
        <f>IF($F693="","",IF(OR($B693="",$C693="",$D693=""),"⚠ Compléter Année/Niveau/Session",IF(AND($E693&lt;&gt;"",COUNTIF(D_KEY_DOUBLON,$B693&amp;"|"&amp;$D693&amp;"|"&amp;$E693)&gt;1),"⚠ Doublon",IF(AND($E693&lt;&gt;"",COUNTIF(D_KEY_STATUT,$B693&amp;"|"&amp;$E693&amp;"|P")&gt;0,COUNTIF(D_KEY_STATUT,$B693&amp;"|"&amp;$E693&amp;"|A")&gt;0),"⚠ Statut incohérent",IF(AND($D693="S1",$Y693&lt;&gt;"Parti",COUNTIF(ANNEES_VERROU,$B693)&gt;0,COUNTIF(D_KEY_NIVSES,$B693&amp;"|"&amp;$C693&amp;"|S2")&gt;0,COUNTIF(D_KEY_DOUBLON,$B693&amp;"|S2|"&amp;$E693)=0),"⚠ Départ non confirmé ?",IF(AND($C693&lt;&gt;"",ISNUMBER($I693),OR(VALUE(LEFT($B693,4))-$I693&lt;4+IFERROR(MATCH($C693,LISTE_NIVEAUX,0),99),VALUE(LEFT($B693,4))-$I693&gt;6+IFERROR(MATCH($C693,LISTE_NIVEAUX,0),99))),"⚠ Vérifier niveau",IF(AND(IFERROR(VLOOKUP($C693,TABLE_CYCLE,2,0),3)=2,COUNT($O693:$Q693)&gt;0),"⚠ Tests cycle 3",IF(COUNT($J693:$Q693)&gt;=IF(IFERROR(VLOOKUP($C693,TABLE_CYCLE,2,0),3)=2,5,8),"Complet","Incomplet"))))))))</f>
        <v/>
      </c>
      <c r="S693" s="24"/>
      <c r="T693" s="67" t="str">
        <f t="shared" si="91"/>
        <v/>
      </c>
      <c r="U693" s="67" t="str">
        <f t="shared" si="92"/>
        <v/>
      </c>
      <c r="V693" s="67" t="str">
        <f t="shared" si="93"/>
        <v/>
      </c>
      <c r="W693" s="67" t="str">
        <f t="shared" si="94"/>
        <v/>
      </c>
      <c r="X693" s="67" t="str">
        <f t="shared" si="95"/>
        <v/>
      </c>
      <c r="Y693" s="24" t="str">
        <f t="shared" si="96"/>
        <v/>
      </c>
      <c r="Z693">
        <f t="shared" si="97"/>
        <v>0</v>
      </c>
      <c r="AA693">
        <f t="shared" si="98"/>
        <v>0</v>
      </c>
    </row>
    <row r="694" spans="2:27" ht="15.75" customHeight="1" x14ac:dyDescent="0.3">
      <c r="B694" s="25"/>
      <c r="C694" s="25"/>
      <c r="D694" s="25"/>
      <c r="E694" s="26" t="str">
        <f t="shared" si="90"/>
        <v/>
      </c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3" t="str">
        <f>IF($F694="","",IF(OR($B694="",$C694="",$D694=""),"⚠ Compléter Année/Niveau/Session",IF(AND($E694&lt;&gt;"",COUNTIF(D_KEY_DOUBLON,$B694&amp;"|"&amp;$D694&amp;"|"&amp;$E694)&gt;1),"⚠ Doublon",IF(AND($E694&lt;&gt;"",COUNTIF(D_KEY_STATUT,$B694&amp;"|"&amp;$E694&amp;"|P")&gt;0,COUNTIF(D_KEY_STATUT,$B694&amp;"|"&amp;$E694&amp;"|A")&gt;0),"⚠ Statut incohérent",IF(AND($D694="S1",$Y694&lt;&gt;"Parti",COUNTIF(ANNEES_VERROU,$B694)&gt;0,COUNTIF(D_KEY_NIVSES,$B694&amp;"|"&amp;$C694&amp;"|S2")&gt;0,COUNTIF(D_KEY_DOUBLON,$B694&amp;"|S2|"&amp;$E694)=0),"⚠ Départ non confirmé ?",IF(AND($C694&lt;&gt;"",ISNUMBER($I694),OR(VALUE(LEFT($B694,4))-$I694&lt;4+IFERROR(MATCH($C694,LISTE_NIVEAUX,0),99),VALUE(LEFT($B694,4))-$I694&gt;6+IFERROR(MATCH($C694,LISTE_NIVEAUX,0),99))),"⚠ Vérifier niveau",IF(AND(IFERROR(VLOOKUP($C694,TABLE_CYCLE,2,0),3)=2,COUNT($O694:$Q694)&gt;0),"⚠ Tests cycle 3",IF(COUNT($J694:$Q694)&gt;=IF(IFERROR(VLOOKUP($C694,TABLE_CYCLE,2,0),3)=2,5,8),"Complet","Incomplet"))))))))</f>
        <v/>
      </c>
      <c r="S694" s="24"/>
      <c r="T694" s="67" t="str">
        <f t="shared" si="91"/>
        <v/>
      </c>
      <c r="U694" s="67" t="str">
        <f t="shared" si="92"/>
        <v/>
      </c>
      <c r="V694" s="67" t="str">
        <f t="shared" si="93"/>
        <v/>
      </c>
      <c r="W694" s="67" t="str">
        <f t="shared" si="94"/>
        <v/>
      </c>
      <c r="X694" s="67" t="str">
        <f t="shared" si="95"/>
        <v/>
      </c>
      <c r="Y694" s="24" t="str">
        <f t="shared" si="96"/>
        <v/>
      </c>
      <c r="Z694">
        <f t="shared" si="97"/>
        <v>0</v>
      </c>
      <c r="AA694">
        <f t="shared" si="98"/>
        <v>0</v>
      </c>
    </row>
    <row r="695" spans="2:27" ht="15.75" customHeight="1" x14ac:dyDescent="0.3">
      <c r="B695" s="21"/>
      <c r="C695" s="21"/>
      <c r="D695" s="21"/>
      <c r="E695" s="22" t="str">
        <f t="shared" si="90"/>
        <v/>
      </c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3" t="str">
        <f>IF($F695="","",IF(OR($B695="",$C695="",$D695=""),"⚠ Compléter Année/Niveau/Session",IF(AND($E695&lt;&gt;"",COUNTIF(D_KEY_DOUBLON,$B695&amp;"|"&amp;$D695&amp;"|"&amp;$E695)&gt;1),"⚠ Doublon",IF(AND($E695&lt;&gt;"",COUNTIF(D_KEY_STATUT,$B695&amp;"|"&amp;$E695&amp;"|P")&gt;0,COUNTIF(D_KEY_STATUT,$B695&amp;"|"&amp;$E695&amp;"|A")&gt;0),"⚠ Statut incohérent",IF(AND($D695="S1",$Y695&lt;&gt;"Parti",COUNTIF(ANNEES_VERROU,$B695)&gt;0,COUNTIF(D_KEY_NIVSES,$B695&amp;"|"&amp;$C695&amp;"|S2")&gt;0,COUNTIF(D_KEY_DOUBLON,$B695&amp;"|S2|"&amp;$E695)=0),"⚠ Départ non confirmé ?",IF(AND($C695&lt;&gt;"",ISNUMBER($I695),OR(VALUE(LEFT($B695,4))-$I695&lt;4+IFERROR(MATCH($C695,LISTE_NIVEAUX,0),99),VALUE(LEFT($B695,4))-$I695&gt;6+IFERROR(MATCH($C695,LISTE_NIVEAUX,0),99))),"⚠ Vérifier niveau",IF(AND(IFERROR(VLOOKUP($C695,TABLE_CYCLE,2,0),3)=2,COUNT($O695:$Q695)&gt;0),"⚠ Tests cycle 3",IF(COUNT($J695:$Q695)&gt;=IF(IFERROR(VLOOKUP($C695,TABLE_CYCLE,2,0),3)=2,5,8),"Complet","Incomplet"))))))))</f>
        <v/>
      </c>
      <c r="S695" s="24"/>
      <c r="T695" s="67" t="str">
        <f t="shared" si="91"/>
        <v/>
      </c>
      <c r="U695" s="67" t="str">
        <f t="shared" si="92"/>
        <v/>
      </c>
      <c r="V695" s="67" t="str">
        <f t="shared" si="93"/>
        <v/>
      </c>
      <c r="W695" s="67" t="str">
        <f t="shared" si="94"/>
        <v/>
      </c>
      <c r="X695" s="67" t="str">
        <f t="shared" si="95"/>
        <v/>
      </c>
      <c r="Y695" s="24" t="str">
        <f t="shared" si="96"/>
        <v/>
      </c>
      <c r="Z695">
        <f t="shared" si="97"/>
        <v>0</v>
      </c>
      <c r="AA695">
        <f t="shared" si="98"/>
        <v>0</v>
      </c>
    </row>
    <row r="696" spans="2:27" ht="15.75" customHeight="1" x14ac:dyDescent="0.3">
      <c r="B696" s="25"/>
      <c r="C696" s="25"/>
      <c r="D696" s="25"/>
      <c r="E696" s="26" t="str">
        <f t="shared" si="90"/>
        <v/>
      </c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3" t="str">
        <f>IF($F696="","",IF(OR($B696="",$C696="",$D696=""),"⚠ Compléter Année/Niveau/Session",IF(AND($E696&lt;&gt;"",COUNTIF(D_KEY_DOUBLON,$B696&amp;"|"&amp;$D696&amp;"|"&amp;$E696)&gt;1),"⚠ Doublon",IF(AND($E696&lt;&gt;"",COUNTIF(D_KEY_STATUT,$B696&amp;"|"&amp;$E696&amp;"|P")&gt;0,COUNTIF(D_KEY_STATUT,$B696&amp;"|"&amp;$E696&amp;"|A")&gt;0),"⚠ Statut incohérent",IF(AND($D696="S1",$Y696&lt;&gt;"Parti",COUNTIF(ANNEES_VERROU,$B696)&gt;0,COUNTIF(D_KEY_NIVSES,$B696&amp;"|"&amp;$C696&amp;"|S2")&gt;0,COUNTIF(D_KEY_DOUBLON,$B696&amp;"|S2|"&amp;$E696)=0),"⚠ Départ non confirmé ?",IF(AND($C696&lt;&gt;"",ISNUMBER($I696),OR(VALUE(LEFT($B696,4))-$I696&lt;4+IFERROR(MATCH($C696,LISTE_NIVEAUX,0),99),VALUE(LEFT($B696,4))-$I696&gt;6+IFERROR(MATCH($C696,LISTE_NIVEAUX,0),99))),"⚠ Vérifier niveau",IF(AND(IFERROR(VLOOKUP($C696,TABLE_CYCLE,2,0),3)=2,COUNT($O696:$Q696)&gt;0),"⚠ Tests cycle 3",IF(COUNT($J696:$Q696)&gt;=IF(IFERROR(VLOOKUP($C696,TABLE_CYCLE,2,0),3)=2,5,8),"Complet","Incomplet"))))))))</f>
        <v/>
      </c>
      <c r="S696" s="24"/>
      <c r="T696" s="67" t="str">
        <f t="shared" si="91"/>
        <v/>
      </c>
      <c r="U696" s="67" t="str">
        <f t="shared" si="92"/>
        <v/>
      </c>
      <c r="V696" s="67" t="str">
        <f t="shared" si="93"/>
        <v/>
      </c>
      <c r="W696" s="67" t="str">
        <f t="shared" si="94"/>
        <v/>
      </c>
      <c r="X696" s="67" t="str">
        <f t="shared" si="95"/>
        <v/>
      </c>
      <c r="Y696" s="24" t="str">
        <f t="shared" si="96"/>
        <v/>
      </c>
      <c r="Z696">
        <f t="shared" si="97"/>
        <v>0</v>
      </c>
      <c r="AA696">
        <f t="shared" si="98"/>
        <v>0</v>
      </c>
    </row>
    <row r="697" spans="2:27" ht="15.75" customHeight="1" x14ac:dyDescent="0.3">
      <c r="B697" s="21"/>
      <c r="C697" s="21"/>
      <c r="D697" s="21"/>
      <c r="E697" s="22" t="str">
        <f t="shared" si="90"/>
        <v/>
      </c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3" t="str">
        <f>IF($F697="","",IF(OR($B697="",$C697="",$D697=""),"⚠ Compléter Année/Niveau/Session",IF(AND($E697&lt;&gt;"",COUNTIF(D_KEY_DOUBLON,$B697&amp;"|"&amp;$D697&amp;"|"&amp;$E697)&gt;1),"⚠ Doublon",IF(AND($E697&lt;&gt;"",COUNTIF(D_KEY_STATUT,$B697&amp;"|"&amp;$E697&amp;"|P")&gt;0,COUNTIF(D_KEY_STATUT,$B697&amp;"|"&amp;$E697&amp;"|A")&gt;0),"⚠ Statut incohérent",IF(AND($D697="S1",$Y697&lt;&gt;"Parti",COUNTIF(ANNEES_VERROU,$B697)&gt;0,COUNTIF(D_KEY_NIVSES,$B697&amp;"|"&amp;$C697&amp;"|S2")&gt;0,COUNTIF(D_KEY_DOUBLON,$B697&amp;"|S2|"&amp;$E697)=0),"⚠ Départ non confirmé ?",IF(AND($C697&lt;&gt;"",ISNUMBER($I697),OR(VALUE(LEFT($B697,4))-$I697&lt;4+IFERROR(MATCH($C697,LISTE_NIVEAUX,0),99),VALUE(LEFT($B697,4))-$I697&gt;6+IFERROR(MATCH($C697,LISTE_NIVEAUX,0),99))),"⚠ Vérifier niveau",IF(AND(IFERROR(VLOOKUP($C697,TABLE_CYCLE,2,0),3)=2,COUNT($O697:$Q697)&gt;0),"⚠ Tests cycle 3",IF(COUNT($J697:$Q697)&gt;=IF(IFERROR(VLOOKUP($C697,TABLE_CYCLE,2,0),3)=2,5,8),"Complet","Incomplet"))))))))</f>
        <v/>
      </c>
      <c r="S697" s="24"/>
      <c r="T697" s="67" t="str">
        <f t="shared" si="91"/>
        <v/>
      </c>
      <c r="U697" s="67" t="str">
        <f t="shared" si="92"/>
        <v/>
      </c>
      <c r="V697" s="67" t="str">
        <f t="shared" si="93"/>
        <v/>
      </c>
      <c r="W697" s="67" t="str">
        <f t="shared" si="94"/>
        <v/>
      </c>
      <c r="X697" s="67" t="str">
        <f t="shared" si="95"/>
        <v/>
      </c>
      <c r="Y697" s="24" t="str">
        <f t="shared" si="96"/>
        <v/>
      </c>
      <c r="Z697">
        <f t="shared" si="97"/>
        <v>0</v>
      </c>
      <c r="AA697">
        <f t="shared" si="98"/>
        <v>0</v>
      </c>
    </row>
    <row r="698" spans="2:27" ht="15.75" customHeight="1" x14ac:dyDescent="0.3">
      <c r="B698" s="25"/>
      <c r="C698" s="25"/>
      <c r="D698" s="25"/>
      <c r="E698" s="26" t="str">
        <f t="shared" si="90"/>
        <v/>
      </c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3" t="str">
        <f>IF($F698="","",IF(OR($B698="",$C698="",$D698=""),"⚠ Compléter Année/Niveau/Session",IF(AND($E698&lt;&gt;"",COUNTIF(D_KEY_DOUBLON,$B698&amp;"|"&amp;$D698&amp;"|"&amp;$E698)&gt;1),"⚠ Doublon",IF(AND($E698&lt;&gt;"",COUNTIF(D_KEY_STATUT,$B698&amp;"|"&amp;$E698&amp;"|P")&gt;0,COUNTIF(D_KEY_STATUT,$B698&amp;"|"&amp;$E698&amp;"|A")&gt;0),"⚠ Statut incohérent",IF(AND($D698="S1",$Y698&lt;&gt;"Parti",COUNTIF(ANNEES_VERROU,$B698)&gt;0,COUNTIF(D_KEY_NIVSES,$B698&amp;"|"&amp;$C698&amp;"|S2")&gt;0,COUNTIF(D_KEY_DOUBLON,$B698&amp;"|S2|"&amp;$E698)=0),"⚠ Départ non confirmé ?",IF(AND($C698&lt;&gt;"",ISNUMBER($I698),OR(VALUE(LEFT($B698,4))-$I698&lt;4+IFERROR(MATCH($C698,LISTE_NIVEAUX,0),99),VALUE(LEFT($B698,4))-$I698&gt;6+IFERROR(MATCH($C698,LISTE_NIVEAUX,0),99))),"⚠ Vérifier niveau",IF(AND(IFERROR(VLOOKUP($C698,TABLE_CYCLE,2,0),3)=2,COUNT($O698:$Q698)&gt;0),"⚠ Tests cycle 3",IF(COUNT($J698:$Q698)&gt;=IF(IFERROR(VLOOKUP($C698,TABLE_CYCLE,2,0),3)=2,5,8),"Complet","Incomplet"))))))))</f>
        <v/>
      </c>
      <c r="S698" s="24"/>
      <c r="T698" s="67" t="str">
        <f t="shared" si="91"/>
        <v/>
      </c>
      <c r="U698" s="67" t="str">
        <f t="shared" si="92"/>
        <v/>
      </c>
      <c r="V698" s="67" t="str">
        <f t="shared" si="93"/>
        <v/>
      </c>
      <c r="W698" s="67" t="str">
        <f t="shared" si="94"/>
        <v/>
      </c>
      <c r="X698" s="67" t="str">
        <f t="shared" si="95"/>
        <v/>
      </c>
      <c r="Y698" s="24" t="str">
        <f t="shared" si="96"/>
        <v/>
      </c>
      <c r="Z698">
        <f t="shared" si="97"/>
        <v>0</v>
      </c>
      <c r="AA698">
        <f t="shared" si="98"/>
        <v>0</v>
      </c>
    </row>
    <row r="699" spans="2:27" ht="15.75" customHeight="1" x14ac:dyDescent="0.3">
      <c r="B699" s="21"/>
      <c r="C699" s="21"/>
      <c r="D699" s="21"/>
      <c r="E699" s="22" t="str">
        <f t="shared" si="90"/>
        <v/>
      </c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3" t="str">
        <f>IF($F699="","",IF(OR($B699="",$C699="",$D699=""),"⚠ Compléter Année/Niveau/Session",IF(AND($E699&lt;&gt;"",COUNTIF(D_KEY_DOUBLON,$B699&amp;"|"&amp;$D699&amp;"|"&amp;$E699)&gt;1),"⚠ Doublon",IF(AND($E699&lt;&gt;"",COUNTIF(D_KEY_STATUT,$B699&amp;"|"&amp;$E699&amp;"|P")&gt;0,COUNTIF(D_KEY_STATUT,$B699&amp;"|"&amp;$E699&amp;"|A")&gt;0),"⚠ Statut incohérent",IF(AND($D699="S1",$Y699&lt;&gt;"Parti",COUNTIF(ANNEES_VERROU,$B699)&gt;0,COUNTIF(D_KEY_NIVSES,$B699&amp;"|"&amp;$C699&amp;"|S2")&gt;0,COUNTIF(D_KEY_DOUBLON,$B699&amp;"|S2|"&amp;$E699)=0),"⚠ Départ non confirmé ?",IF(AND($C699&lt;&gt;"",ISNUMBER($I699),OR(VALUE(LEFT($B699,4))-$I699&lt;4+IFERROR(MATCH($C699,LISTE_NIVEAUX,0),99),VALUE(LEFT($B699,4))-$I699&gt;6+IFERROR(MATCH($C699,LISTE_NIVEAUX,0),99))),"⚠ Vérifier niveau",IF(AND(IFERROR(VLOOKUP($C699,TABLE_CYCLE,2,0),3)=2,COUNT($O699:$Q699)&gt;0),"⚠ Tests cycle 3",IF(COUNT($J699:$Q699)&gt;=IF(IFERROR(VLOOKUP($C699,TABLE_CYCLE,2,0),3)=2,5,8),"Complet","Incomplet"))))))))</f>
        <v/>
      </c>
      <c r="S699" s="24"/>
      <c r="T699" s="67" t="str">
        <f t="shared" si="91"/>
        <v/>
      </c>
      <c r="U699" s="67" t="str">
        <f t="shared" si="92"/>
        <v/>
      </c>
      <c r="V699" s="67" t="str">
        <f t="shared" si="93"/>
        <v/>
      </c>
      <c r="W699" s="67" t="str">
        <f t="shared" si="94"/>
        <v/>
      </c>
      <c r="X699" s="67" t="str">
        <f t="shared" si="95"/>
        <v/>
      </c>
      <c r="Y699" s="24" t="str">
        <f t="shared" si="96"/>
        <v/>
      </c>
      <c r="Z699">
        <f t="shared" si="97"/>
        <v>0</v>
      </c>
      <c r="AA699">
        <f t="shared" si="98"/>
        <v>0</v>
      </c>
    </row>
    <row r="700" spans="2:27" ht="15.75" customHeight="1" x14ac:dyDescent="0.3">
      <c r="B700" s="25"/>
      <c r="C700" s="25"/>
      <c r="D700" s="25"/>
      <c r="E700" s="26" t="str">
        <f t="shared" si="90"/>
        <v/>
      </c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3" t="str">
        <f>IF($F700="","",IF(OR($B700="",$C700="",$D700=""),"⚠ Compléter Année/Niveau/Session",IF(AND($E700&lt;&gt;"",COUNTIF(D_KEY_DOUBLON,$B700&amp;"|"&amp;$D700&amp;"|"&amp;$E700)&gt;1),"⚠ Doublon",IF(AND($E700&lt;&gt;"",COUNTIF(D_KEY_STATUT,$B700&amp;"|"&amp;$E700&amp;"|P")&gt;0,COUNTIF(D_KEY_STATUT,$B700&amp;"|"&amp;$E700&amp;"|A")&gt;0),"⚠ Statut incohérent",IF(AND($D700="S1",$Y700&lt;&gt;"Parti",COUNTIF(ANNEES_VERROU,$B700)&gt;0,COUNTIF(D_KEY_NIVSES,$B700&amp;"|"&amp;$C700&amp;"|S2")&gt;0,COUNTIF(D_KEY_DOUBLON,$B700&amp;"|S2|"&amp;$E700)=0),"⚠ Départ non confirmé ?",IF(AND($C700&lt;&gt;"",ISNUMBER($I700),OR(VALUE(LEFT($B700,4))-$I700&lt;4+IFERROR(MATCH($C700,LISTE_NIVEAUX,0),99),VALUE(LEFT($B700,4))-$I700&gt;6+IFERROR(MATCH($C700,LISTE_NIVEAUX,0),99))),"⚠ Vérifier niveau",IF(AND(IFERROR(VLOOKUP($C700,TABLE_CYCLE,2,0),3)=2,COUNT($O700:$Q700)&gt;0),"⚠ Tests cycle 3",IF(COUNT($J700:$Q700)&gt;=IF(IFERROR(VLOOKUP($C700,TABLE_CYCLE,2,0),3)=2,5,8),"Complet","Incomplet"))))))))</f>
        <v/>
      </c>
      <c r="S700" s="24"/>
      <c r="T700" s="67" t="str">
        <f t="shared" si="91"/>
        <v/>
      </c>
      <c r="U700" s="67" t="str">
        <f t="shared" si="92"/>
        <v/>
      </c>
      <c r="V700" s="67" t="str">
        <f t="shared" si="93"/>
        <v/>
      </c>
      <c r="W700" s="67" t="str">
        <f t="shared" si="94"/>
        <v/>
      </c>
      <c r="X700" s="67" t="str">
        <f t="shared" si="95"/>
        <v/>
      </c>
      <c r="Y700" s="24" t="str">
        <f t="shared" si="96"/>
        <v/>
      </c>
      <c r="Z700">
        <f t="shared" si="97"/>
        <v>0</v>
      </c>
      <c r="AA700">
        <f t="shared" si="98"/>
        <v>0</v>
      </c>
    </row>
    <row r="701" spans="2:27" ht="15.75" customHeight="1" x14ac:dyDescent="0.3">
      <c r="B701" s="21"/>
      <c r="C701" s="21"/>
      <c r="D701" s="21"/>
      <c r="E701" s="22" t="str">
        <f t="shared" si="90"/>
        <v/>
      </c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3" t="str">
        <f>IF($F701="","",IF(OR($B701="",$C701="",$D701=""),"⚠ Compléter Année/Niveau/Session",IF(AND($E701&lt;&gt;"",COUNTIF(D_KEY_DOUBLON,$B701&amp;"|"&amp;$D701&amp;"|"&amp;$E701)&gt;1),"⚠ Doublon",IF(AND($E701&lt;&gt;"",COUNTIF(D_KEY_STATUT,$B701&amp;"|"&amp;$E701&amp;"|P")&gt;0,COUNTIF(D_KEY_STATUT,$B701&amp;"|"&amp;$E701&amp;"|A")&gt;0),"⚠ Statut incohérent",IF(AND($D701="S1",$Y701&lt;&gt;"Parti",COUNTIF(ANNEES_VERROU,$B701)&gt;0,COUNTIF(D_KEY_NIVSES,$B701&amp;"|"&amp;$C701&amp;"|S2")&gt;0,COUNTIF(D_KEY_DOUBLON,$B701&amp;"|S2|"&amp;$E701)=0),"⚠ Départ non confirmé ?",IF(AND($C701&lt;&gt;"",ISNUMBER($I701),OR(VALUE(LEFT($B701,4))-$I701&lt;4+IFERROR(MATCH($C701,LISTE_NIVEAUX,0),99),VALUE(LEFT($B701,4))-$I701&gt;6+IFERROR(MATCH($C701,LISTE_NIVEAUX,0),99))),"⚠ Vérifier niveau",IF(AND(IFERROR(VLOOKUP($C701,TABLE_CYCLE,2,0),3)=2,COUNT($O701:$Q701)&gt;0),"⚠ Tests cycle 3",IF(COUNT($J701:$Q701)&gt;=IF(IFERROR(VLOOKUP($C701,TABLE_CYCLE,2,0),3)=2,5,8),"Complet","Incomplet"))))))))</f>
        <v/>
      </c>
      <c r="S701" s="24"/>
      <c r="T701" s="67" t="str">
        <f t="shared" si="91"/>
        <v/>
      </c>
      <c r="U701" s="67" t="str">
        <f t="shared" si="92"/>
        <v/>
      </c>
      <c r="V701" s="67" t="str">
        <f t="shared" si="93"/>
        <v/>
      </c>
      <c r="W701" s="67" t="str">
        <f t="shared" si="94"/>
        <v/>
      </c>
      <c r="X701" s="67" t="str">
        <f t="shared" si="95"/>
        <v/>
      </c>
      <c r="Y701" s="24" t="str">
        <f t="shared" si="96"/>
        <v/>
      </c>
      <c r="Z701">
        <f t="shared" si="97"/>
        <v>0</v>
      </c>
      <c r="AA701">
        <f t="shared" si="98"/>
        <v>0</v>
      </c>
    </row>
    <row r="702" spans="2:27" ht="15.75" customHeight="1" x14ac:dyDescent="0.3">
      <c r="B702" s="25"/>
      <c r="C702" s="25"/>
      <c r="D702" s="25"/>
      <c r="E702" s="26" t="str">
        <f t="shared" si="90"/>
        <v/>
      </c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3" t="str">
        <f>IF($F702="","",IF(OR($B702="",$C702="",$D702=""),"⚠ Compléter Année/Niveau/Session",IF(AND($E702&lt;&gt;"",COUNTIF(D_KEY_DOUBLON,$B702&amp;"|"&amp;$D702&amp;"|"&amp;$E702)&gt;1),"⚠ Doublon",IF(AND($E702&lt;&gt;"",COUNTIF(D_KEY_STATUT,$B702&amp;"|"&amp;$E702&amp;"|P")&gt;0,COUNTIF(D_KEY_STATUT,$B702&amp;"|"&amp;$E702&amp;"|A")&gt;0),"⚠ Statut incohérent",IF(AND($D702="S1",$Y702&lt;&gt;"Parti",COUNTIF(ANNEES_VERROU,$B702)&gt;0,COUNTIF(D_KEY_NIVSES,$B702&amp;"|"&amp;$C702&amp;"|S2")&gt;0,COUNTIF(D_KEY_DOUBLON,$B702&amp;"|S2|"&amp;$E702)=0),"⚠ Départ non confirmé ?",IF(AND($C702&lt;&gt;"",ISNUMBER($I702),OR(VALUE(LEFT($B702,4))-$I702&lt;4+IFERROR(MATCH($C702,LISTE_NIVEAUX,0),99),VALUE(LEFT($B702,4))-$I702&gt;6+IFERROR(MATCH($C702,LISTE_NIVEAUX,0),99))),"⚠ Vérifier niveau",IF(AND(IFERROR(VLOOKUP($C702,TABLE_CYCLE,2,0),3)=2,COUNT($O702:$Q702)&gt;0),"⚠ Tests cycle 3",IF(COUNT($J702:$Q702)&gt;=IF(IFERROR(VLOOKUP($C702,TABLE_CYCLE,2,0),3)=2,5,8),"Complet","Incomplet"))))))))</f>
        <v/>
      </c>
      <c r="S702" s="24"/>
      <c r="T702" s="67" t="str">
        <f t="shared" si="91"/>
        <v/>
      </c>
      <c r="U702" s="67" t="str">
        <f t="shared" si="92"/>
        <v/>
      </c>
      <c r="V702" s="67" t="str">
        <f t="shared" si="93"/>
        <v/>
      </c>
      <c r="W702" s="67" t="str">
        <f t="shared" si="94"/>
        <v/>
      </c>
      <c r="X702" s="67" t="str">
        <f t="shared" si="95"/>
        <v/>
      </c>
      <c r="Y702" s="24" t="str">
        <f t="shared" si="96"/>
        <v/>
      </c>
      <c r="Z702">
        <f t="shared" si="97"/>
        <v>0</v>
      </c>
      <c r="AA702">
        <f t="shared" si="98"/>
        <v>0</v>
      </c>
    </row>
    <row r="703" spans="2:27" ht="15.75" customHeight="1" x14ac:dyDescent="0.3">
      <c r="B703" s="21"/>
      <c r="C703" s="21"/>
      <c r="D703" s="21"/>
      <c r="E703" s="22" t="str">
        <f t="shared" si="90"/>
        <v/>
      </c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3" t="str">
        <f>IF($F703="","",IF(OR($B703="",$C703="",$D703=""),"⚠ Compléter Année/Niveau/Session",IF(AND($E703&lt;&gt;"",COUNTIF(D_KEY_DOUBLON,$B703&amp;"|"&amp;$D703&amp;"|"&amp;$E703)&gt;1),"⚠ Doublon",IF(AND($E703&lt;&gt;"",COUNTIF(D_KEY_STATUT,$B703&amp;"|"&amp;$E703&amp;"|P")&gt;0,COUNTIF(D_KEY_STATUT,$B703&amp;"|"&amp;$E703&amp;"|A")&gt;0),"⚠ Statut incohérent",IF(AND($D703="S1",$Y703&lt;&gt;"Parti",COUNTIF(ANNEES_VERROU,$B703)&gt;0,COUNTIF(D_KEY_NIVSES,$B703&amp;"|"&amp;$C703&amp;"|S2")&gt;0,COUNTIF(D_KEY_DOUBLON,$B703&amp;"|S2|"&amp;$E703)=0),"⚠ Départ non confirmé ?",IF(AND($C703&lt;&gt;"",ISNUMBER($I703),OR(VALUE(LEFT($B703,4))-$I703&lt;4+IFERROR(MATCH($C703,LISTE_NIVEAUX,0),99),VALUE(LEFT($B703,4))-$I703&gt;6+IFERROR(MATCH($C703,LISTE_NIVEAUX,0),99))),"⚠ Vérifier niveau",IF(AND(IFERROR(VLOOKUP($C703,TABLE_CYCLE,2,0),3)=2,COUNT($O703:$Q703)&gt;0),"⚠ Tests cycle 3",IF(COUNT($J703:$Q703)&gt;=IF(IFERROR(VLOOKUP($C703,TABLE_CYCLE,2,0),3)=2,5,8),"Complet","Incomplet"))))))))</f>
        <v/>
      </c>
      <c r="S703" s="24"/>
      <c r="T703" s="67" t="str">
        <f t="shared" si="91"/>
        <v/>
      </c>
      <c r="U703" s="67" t="str">
        <f t="shared" si="92"/>
        <v/>
      </c>
      <c r="V703" s="67" t="str">
        <f t="shared" si="93"/>
        <v/>
      </c>
      <c r="W703" s="67" t="str">
        <f t="shared" si="94"/>
        <v/>
      </c>
      <c r="X703" s="67" t="str">
        <f t="shared" si="95"/>
        <v/>
      </c>
      <c r="Y703" s="24" t="str">
        <f t="shared" si="96"/>
        <v/>
      </c>
      <c r="Z703">
        <f t="shared" si="97"/>
        <v>0</v>
      </c>
      <c r="AA703">
        <f t="shared" si="98"/>
        <v>0</v>
      </c>
    </row>
    <row r="704" spans="2:27" ht="15.75" customHeight="1" x14ac:dyDescent="0.3">
      <c r="B704" s="25"/>
      <c r="C704" s="25"/>
      <c r="D704" s="25"/>
      <c r="E704" s="26" t="str">
        <f t="shared" si="90"/>
        <v/>
      </c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3" t="str">
        <f>IF($F704="","",IF(OR($B704="",$C704="",$D704=""),"⚠ Compléter Année/Niveau/Session",IF(AND($E704&lt;&gt;"",COUNTIF(D_KEY_DOUBLON,$B704&amp;"|"&amp;$D704&amp;"|"&amp;$E704)&gt;1),"⚠ Doublon",IF(AND($E704&lt;&gt;"",COUNTIF(D_KEY_STATUT,$B704&amp;"|"&amp;$E704&amp;"|P")&gt;0,COUNTIF(D_KEY_STATUT,$B704&amp;"|"&amp;$E704&amp;"|A")&gt;0),"⚠ Statut incohérent",IF(AND($D704="S1",$Y704&lt;&gt;"Parti",COUNTIF(ANNEES_VERROU,$B704)&gt;0,COUNTIF(D_KEY_NIVSES,$B704&amp;"|"&amp;$C704&amp;"|S2")&gt;0,COUNTIF(D_KEY_DOUBLON,$B704&amp;"|S2|"&amp;$E704)=0),"⚠ Départ non confirmé ?",IF(AND($C704&lt;&gt;"",ISNUMBER($I704),OR(VALUE(LEFT($B704,4))-$I704&lt;4+IFERROR(MATCH($C704,LISTE_NIVEAUX,0),99),VALUE(LEFT($B704,4))-$I704&gt;6+IFERROR(MATCH($C704,LISTE_NIVEAUX,0),99))),"⚠ Vérifier niveau",IF(AND(IFERROR(VLOOKUP($C704,TABLE_CYCLE,2,0),3)=2,COUNT($O704:$Q704)&gt;0),"⚠ Tests cycle 3",IF(COUNT($J704:$Q704)&gt;=IF(IFERROR(VLOOKUP($C704,TABLE_CYCLE,2,0),3)=2,5,8),"Complet","Incomplet"))))))))</f>
        <v/>
      </c>
      <c r="S704" s="24"/>
      <c r="T704" s="67" t="str">
        <f t="shared" si="91"/>
        <v/>
      </c>
      <c r="U704" s="67" t="str">
        <f t="shared" si="92"/>
        <v/>
      </c>
      <c r="V704" s="67" t="str">
        <f t="shared" si="93"/>
        <v/>
      </c>
      <c r="W704" s="67" t="str">
        <f t="shared" si="94"/>
        <v/>
      </c>
      <c r="X704" s="67" t="str">
        <f t="shared" si="95"/>
        <v/>
      </c>
      <c r="Y704" s="24" t="str">
        <f t="shared" si="96"/>
        <v/>
      </c>
      <c r="Z704">
        <f t="shared" si="97"/>
        <v>0</v>
      </c>
      <c r="AA704">
        <f t="shared" si="98"/>
        <v>0</v>
      </c>
    </row>
    <row r="705" spans="2:27" ht="15.75" customHeight="1" x14ac:dyDescent="0.3">
      <c r="B705" s="21"/>
      <c r="C705" s="21"/>
      <c r="D705" s="21"/>
      <c r="E705" s="22" t="str">
        <f t="shared" si="90"/>
        <v/>
      </c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3" t="str">
        <f>IF($F705="","",IF(OR($B705="",$C705="",$D705=""),"⚠ Compléter Année/Niveau/Session",IF(AND($E705&lt;&gt;"",COUNTIF(D_KEY_DOUBLON,$B705&amp;"|"&amp;$D705&amp;"|"&amp;$E705)&gt;1),"⚠ Doublon",IF(AND($E705&lt;&gt;"",COUNTIF(D_KEY_STATUT,$B705&amp;"|"&amp;$E705&amp;"|P")&gt;0,COUNTIF(D_KEY_STATUT,$B705&amp;"|"&amp;$E705&amp;"|A")&gt;0),"⚠ Statut incohérent",IF(AND($D705="S1",$Y705&lt;&gt;"Parti",COUNTIF(ANNEES_VERROU,$B705)&gt;0,COUNTIF(D_KEY_NIVSES,$B705&amp;"|"&amp;$C705&amp;"|S2")&gt;0,COUNTIF(D_KEY_DOUBLON,$B705&amp;"|S2|"&amp;$E705)=0),"⚠ Départ non confirmé ?",IF(AND($C705&lt;&gt;"",ISNUMBER($I705),OR(VALUE(LEFT($B705,4))-$I705&lt;4+IFERROR(MATCH($C705,LISTE_NIVEAUX,0),99),VALUE(LEFT($B705,4))-$I705&gt;6+IFERROR(MATCH($C705,LISTE_NIVEAUX,0),99))),"⚠ Vérifier niveau",IF(AND(IFERROR(VLOOKUP($C705,TABLE_CYCLE,2,0),3)=2,COUNT($O705:$Q705)&gt;0),"⚠ Tests cycle 3",IF(COUNT($J705:$Q705)&gt;=IF(IFERROR(VLOOKUP($C705,TABLE_CYCLE,2,0),3)=2,5,8),"Complet","Incomplet"))))))))</f>
        <v/>
      </c>
      <c r="S705" s="24"/>
      <c r="T705" s="67" t="str">
        <f t="shared" si="91"/>
        <v/>
      </c>
      <c r="U705" s="67" t="str">
        <f t="shared" si="92"/>
        <v/>
      </c>
      <c r="V705" s="67" t="str">
        <f t="shared" si="93"/>
        <v/>
      </c>
      <c r="W705" s="67" t="str">
        <f t="shared" si="94"/>
        <v/>
      </c>
      <c r="X705" s="67" t="str">
        <f t="shared" si="95"/>
        <v/>
      </c>
      <c r="Y705" s="24" t="str">
        <f t="shared" si="96"/>
        <v/>
      </c>
      <c r="Z705">
        <f t="shared" si="97"/>
        <v>0</v>
      </c>
      <c r="AA705">
        <f t="shared" si="98"/>
        <v>0</v>
      </c>
    </row>
    <row r="706" spans="2:27" ht="15.75" customHeight="1" x14ac:dyDescent="0.3">
      <c r="B706" s="25"/>
      <c r="C706" s="25"/>
      <c r="D706" s="25"/>
      <c r="E706" s="26" t="str">
        <f t="shared" si="90"/>
        <v/>
      </c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3" t="str">
        <f>IF($F706="","",IF(OR($B706="",$C706="",$D706=""),"⚠ Compléter Année/Niveau/Session",IF(AND($E706&lt;&gt;"",COUNTIF(D_KEY_DOUBLON,$B706&amp;"|"&amp;$D706&amp;"|"&amp;$E706)&gt;1),"⚠ Doublon",IF(AND($E706&lt;&gt;"",COUNTIF(D_KEY_STATUT,$B706&amp;"|"&amp;$E706&amp;"|P")&gt;0,COUNTIF(D_KEY_STATUT,$B706&amp;"|"&amp;$E706&amp;"|A")&gt;0),"⚠ Statut incohérent",IF(AND($D706="S1",$Y706&lt;&gt;"Parti",COUNTIF(ANNEES_VERROU,$B706)&gt;0,COUNTIF(D_KEY_NIVSES,$B706&amp;"|"&amp;$C706&amp;"|S2")&gt;0,COUNTIF(D_KEY_DOUBLON,$B706&amp;"|S2|"&amp;$E706)=0),"⚠ Départ non confirmé ?",IF(AND($C706&lt;&gt;"",ISNUMBER($I706),OR(VALUE(LEFT($B706,4))-$I706&lt;4+IFERROR(MATCH($C706,LISTE_NIVEAUX,0),99),VALUE(LEFT($B706,4))-$I706&gt;6+IFERROR(MATCH($C706,LISTE_NIVEAUX,0),99))),"⚠ Vérifier niveau",IF(AND(IFERROR(VLOOKUP($C706,TABLE_CYCLE,2,0),3)=2,COUNT($O706:$Q706)&gt;0),"⚠ Tests cycle 3",IF(COUNT($J706:$Q706)&gt;=IF(IFERROR(VLOOKUP($C706,TABLE_CYCLE,2,0),3)=2,5,8),"Complet","Incomplet"))))))))</f>
        <v/>
      </c>
      <c r="S706" s="24"/>
      <c r="T706" s="67" t="str">
        <f t="shared" si="91"/>
        <v/>
      </c>
      <c r="U706" s="67" t="str">
        <f t="shared" si="92"/>
        <v/>
      </c>
      <c r="V706" s="67" t="str">
        <f t="shared" si="93"/>
        <v/>
      </c>
      <c r="W706" s="67" t="str">
        <f t="shared" si="94"/>
        <v/>
      </c>
      <c r="X706" s="67" t="str">
        <f t="shared" si="95"/>
        <v/>
      </c>
      <c r="Y706" s="24" t="str">
        <f t="shared" si="96"/>
        <v/>
      </c>
      <c r="Z706">
        <f t="shared" si="97"/>
        <v>0</v>
      </c>
      <c r="AA706">
        <f t="shared" si="98"/>
        <v>0</v>
      </c>
    </row>
    <row r="707" spans="2:27" ht="15.75" customHeight="1" x14ac:dyDescent="0.3">
      <c r="B707" s="21"/>
      <c r="C707" s="21"/>
      <c r="D707" s="21"/>
      <c r="E707" s="22" t="str">
        <f t="shared" si="90"/>
        <v/>
      </c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3" t="str">
        <f>IF($F707="","",IF(OR($B707="",$C707="",$D707=""),"⚠ Compléter Année/Niveau/Session",IF(AND($E707&lt;&gt;"",COUNTIF(D_KEY_DOUBLON,$B707&amp;"|"&amp;$D707&amp;"|"&amp;$E707)&gt;1),"⚠ Doublon",IF(AND($E707&lt;&gt;"",COUNTIF(D_KEY_STATUT,$B707&amp;"|"&amp;$E707&amp;"|P")&gt;0,COUNTIF(D_KEY_STATUT,$B707&amp;"|"&amp;$E707&amp;"|A")&gt;0),"⚠ Statut incohérent",IF(AND($D707="S1",$Y707&lt;&gt;"Parti",COUNTIF(ANNEES_VERROU,$B707)&gt;0,COUNTIF(D_KEY_NIVSES,$B707&amp;"|"&amp;$C707&amp;"|S2")&gt;0,COUNTIF(D_KEY_DOUBLON,$B707&amp;"|S2|"&amp;$E707)=0),"⚠ Départ non confirmé ?",IF(AND($C707&lt;&gt;"",ISNUMBER($I707),OR(VALUE(LEFT($B707,4))-$I707&lt;4+IFERROR(MATCH($C707,LISTE_NIVEAUX,0),99),VALUE(LEFT($B707,4))-$I707&gt;6+IFERROR(MATCH($C707,LISTE_NIVEAUX,0),99))),"⚠ Vérifier niveau",IF(AND(IFERROR(VLOOKUP($C707,TABLE_CYCLE,2,0),3)=2,COUNT($O707:$Q707)&gt;0),"⚠ Tests cycle 3",IF(COUNT($J707:$Q707)&gt;=IF(IFERROR(VLOOKUP($C707,TABLE_CYCLE,2,0),3)=2,5,8),"Complet","Incomplet"))))))))</f>
        <v/>
      </c>
      <c r="S707" s="24"/>
      <c r="T707" s="67" t="str">
        <f t="shared" si="91"/>
        <v/>
      </c>
      <c r="U707" s="67" t="str">
        <f t="shared" si="92"/>
        <v/>
      </c>
      <c r="V707" s="67" t="str">
        <f t="shared" si="93"/>
        <v/>
      </c>
      <c r="W707" s="67" t="str">
        <f t="shared" si="94"/>
        <v/>
      </c>
      <c r="X707" s="67" t="str">
        <f t="shared" si="95"/>
        <v/>
      </c>
      <c r="Y707" s="24" t="str">
        <f t="shared" si="96"/>
        <v/>
      </c>
      <c r="Z707">
        <f t="shared" si="97"/>
        <v>0</v>
      </c>
      <c r="AA707">
        <f t="shared" si="98"/>
        <v>0</v>
      </c>
    </row>
    <row r="708" spans="2:27" ht="15.75" customHeight="1" x14ac:dyDescent="0.3">
      <c r="B708" s="25"/>
      <c r="C708" s="25"/>
      <c r="D708" s="25"/>
      <c r="E708" s="26" t="str">
        <f t="shared" si="90"/>
        <v/>
      </c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3" t="str">
        <f>IF($F708="","",IF(OR($B708="",$C708="",$D708=""),"⚠ Compléter Année/Niveau/Session",IF(AND($E708&lt;&gt;"",COUNTIF(D_KEY_DOUBLON,$B708&amp;"|"&amp;$D708&amp;"|"&amp;$E708)&gt;1),"⚠ Doublon",IF(AND($E708&lt;&gt;"",COUNTIF(D_KEY_STATUT,$B708&amp;"|"&amp;$E708&amp;"|P")&gt;0,COUNTIF(D_KEY_STATUT,$B708&amp;"|"&amp;$E708&amp;"|A")&gt;0),"⚠ Statut incohérent",IF(AND($D708="S1",$Y708&lt;&gt;"Parti",COUNTIF(ANNEES_VERROU,$B708)&gt;0,COUNTIF(D_KEY_NIVSES,$B708&amp;"|"&amp;$C708&amp;"|S2")&gt;0,COUNTIF(D_KEY_DOUBLON,$B708&amp;"|S2|"&amp;$E708)=0),"⚠ Départ non confirmé ?",IF(AND($C708&lt;&gt;"",ISNUMBER($I708),OR(VALUE(LEFT($B708,4))-$I708&lt;4+IFERROR(MATCH($C708,LISTE_NIVEAUX,0),99),VALUE(LEFT($B708,4))-$I708&gt;6+IFERROR(MATCH($C708,LISTE_NIVEAUX,0),99))),"⚠ Vérifier niveau",IF(AND(IFERROR(VLOOKUP($C708,TABLE_CYCLE,2,0),3)=2,COUNT($O708:$Q708)&gt;0),"⚠ Tests cycle 3",IF(COUNT($J708:$Q708)&gt;=IF(IFERROR(VLOOKUP($C708,TABLE_CYCLE,2,0),3)=2,5,8),"Complet","Incomplet"))))))))</f>
        <v/>
      </c>
      <c r="S708" s="24"/>
      <c r="T708" s="67" t="str">
        <f t="shared" si="91"/>
        <v/>
      </c>
      <c r="U708" s="67" t="str">
        <f t="shared" si="92"/>
        <v/>
      </c>
      <c r="V708" s="67" t="str">
        <f t="shared" si="93"/>
        <v/>
      </c>
      <c r="W708" s="67" t="str">
        <f t="shared" si="94"/>
        <v/>
      </c>
      <c r="X708" s="67" t="str">
        <f t="shared" si="95"/>
        <v/>
      </c>
      <c r="Y708" s="24" t="str">
        <f t="shared" si="96"/>
        <v/>
      </c>
      <c r="Z708">
        <f t="shared" si="97"/>
        <v>0</v>
      </c>
      <c r="AA708">
        <f t="shared" si="98"/>
        <v>0</v>
      </c>
    </row>
    <row r="709" spans="2:27" ht="15.75" customHeight="1" x14ac:dyDescent="0.3">
      <c r="B709" s="21"/>
      <c r="C709" s="21"/>
      <c r="D709" s="21"/>
      <c r="E709" s="22" t="str">
        <f t="shared" si="90"/>
        <v/>
      </c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3" t="str">
        <f>IF($F709="","",IF(OR($B709="",$C709="",$D709=""),"⚠ Compléter Année/Niveau/Session",IF(AND($E709&lt;&gt;"",COUNTIF(D_KEY_DOUBLON,$B709&amp;"|"&amp;$D709&amp;"|"&amp;$E709)&gt;1),"⚠ Doublon",IF(AND($E709&lt;&gt;"",COUNTIF(D_KEY_STATUT,$B709&amp;"|"&amp;$E709&amp;"|P")&gt;0,COUNTIF(D_KEY_STATUT,$B709&amp;"|"&amp;$E709&amp;"|A")&gt;0),"⚠ Statut incohérent",IF(AND($D709="S1",$Y709&lt;&gt;"Parti",COUNTIF(ANNEES_VERROU,$B709)&gt;0,COUNTIF(D_KEY_NIVSES,$B709&amp;"|"&amp;$C709&amp;"|S2")&gt;0,COUNTIF(D_KEY_DOUBLON,$B709&amp;"|S2|"&amp;$E709)=0),"⚠ Départ non confirmé ?",IF(AND($C709&lt;&gt;"",ISNUMBER($I709),OR(VALUE(LEFT($B709,4))-$I709&lt;4+IFERROR(MATCH($C709,LISTE_NIVEAUX,0),99),VALUE(LEFT($B709,4))-$I709&gt;6+IFERROR(MATCH($C709,LISTE_NIVEAUX,0),99))),"⚠ Vérifier niveau",IF(AND(IFERROR(VLOOKUP($C709,TABLE_CYCLE,2,0),3)=2,COUNT($O709:$Q709)&gt;0),"⚠ Tests cycle 3",IF(COUNT($J709:$Q709)&gt;=IF(IFERROR(VLOOKUP($C709,TABLE_CYCLE,2,0),3)=2,5,8),"Complet","Incomplet"))))))))</f>
        <v/>
      </c>
      <c r="S709" s="24"/>
      <c r="T709" s="67" t="str">
        <f t="shared" si="91"/>
        <v/>
      </c>
      <c r="U709" s="67" t="str">
        <f t="shared" si="92"/>
        <v/>
      </c>
      <c r="V709" s="67" t="str">
        <f t="shared" si="93"/>
        <v/>
      </c>
      <c r="W709" s="67" t="str">
        <f t="shared" si="94"/>
        <v/>
      </c>
      <c r="X709" s="67" t="str">
        <f t="shared" si="95"/>
        <v/>
      </c>
      <c r="Y709" s="24" t="str">
        <f t="shared" si="96"/>
        <v/>
      </c>
      <c r="Z709">
        <f t="shared" si="97"/>
        <v>0</v>
      </c>
      <c r="AA709">
        <f t="shared" si="98"/>
        <v>0</v>
      </c>
    </row>
    <row r="710" spans="2:27" ht="15.75" customHeight="1" x14ac:dyDescent="0.3">
      <c r="B710" s="25"/>
      <c r="C710" s="25"/>
      <c r="D710" s="25"/>
      <c r="E710" s="26" t="str">
        <f t="shared" si="90"/>
        <v/>
      </c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3" t="str">
        <f>IF($F710="","",IF(OR($B710="",$C710="",$D710=""),"⚠ Compléter Année/Niveau/Session",IF(AND($E710&lt;&gt;"",COUNTIF(D_KEY_DOUBLON,$B710&amp;"|"&amp;$D710&amp;"|"&amp;$E710)&gt;1),"⚠ Doublon",IF(AND($E710&lt;&gt;"",COUNTIF(D_KEY_STATUT,$B710&amp;"|"&amp;$E710&amp;"|P")&gt;0,COUNTIF(D_KEY_STATUT,$B710&amp;"|"&amp;$E710&amp;"|A")&gt;0),"⚠ Statut incohérent",IF(AND($D710="S1",$Y710&lt;&gt;"Parti",COUNTIF(ANNEES_VERROU,$B710)&gt;0,COUNTIF(D_KEY_NIVSES,$B710&amp;"|"&amp;$C710&amp;"|S2")&gt;0,COUNTIF(D_KEY_DOUBLON,$B710&amp;"|S2|"&amp;$E710)=0),"⚠ Départ non confirmé ?",IF(AND($C710&lt;&gt;"",ISNUMBER($I710),OR(VALUE(LEFT($B710,4))-$I710&lt;4+IFERROR(MATCH($C710,LISTE_NIVEAUX,0),99),VALUE(LEFT($B710,4))-$I710&gt;6+IFERROR(MATCH($C710,LISTE_NIVEAUX,0),99))),"⚠ Vérifier niveau",IF(AND(IFERROR(VLOOKUP($C710,TABLE_CYCLE,2,0),3)=2,COUNT($O710:$Q710)&gt;0),"⚠ Tests cycle 3",IF(COUNT($J710:$Q710)&gt;=IF(IFERROR(VLOOKUP($C710,TABLE_CYCLE,2,0),3)=2,5,8),"Complet","Incomplet"))))))))</f>
        <v/>
      </c>
      <c r="S710" s="24"/>
      <c r="T710" s="67" t="str">
        <f t="shared" si="91"/>
        <v/>
      </c>
      <c r="U710" s="67" t="str">
        <f t="shared" si="92"/>
        <v/>
      </c>
      <c r="V710" s="67" t="str">
        <f t="shared" si="93"/>
        <v/>
      </c>
      <c r="W710" s="67" t="str">
        <f t="shared" si="94"/>
        <v/>
      </c>
      <c r="X710" s="67" t="str">
        <f t="shared" si="95"/>
        <v/>
      </c>
      <c r="Y710" s="24" t="str">
        <f t="shared" si="96"/>
        <v/>
      </c>
      <c r="Z710">
        <f t="shared" si="97"/>
        <v>0</v>
      </c>
      <c r="AA710">
        <f t="shared" si="98"/>
        <v>0</v>
      </c>
    </row>
    <row r="711" spans="2:27" ht="15.75" customHeight="1" x14ac:dyDescent="0.3">
      <c r="B711" s="21"/>
      <c r="C711" s="21"/>
      <c r="D711" s="21"/>
      <c r="E711" s="22" t="str">
        <f t="shared" ref="E711:E774" si="99">IF(OR($F711="",$G711=""),"",IF(ISNUMBER($I711),TEXT($I711-2000,"00")&amp;"_","__")&amp;UPPER(TRIM($F711))&amp;"_"&amp;UPPER(TRIM($G711)))</f>
        <v/>
      </c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3" t="str">
        <f>IF($F711="","",IF(OR($B711="",$C711="",$D711=""),"⚠ Compléter Année/Niveau/Session",IF(AND($E711&lt;&gt;"",COUNTIF(D_KEY_DOUBLON,$B711&amp;"|"&amp;$D711&amp;"|"&amp;$E711)&gt;1),"⚠ Doublon",IF(AND($E711&lt;&gt;"",COUNTIF(D_KEY_STATUT,$B711&amp;"|"&amp;$E711&amp;"|P")&gt;0,COUNTIF(D_KEY_STATUT,$B711&amp;"|"&amp;$E711&amp;"|A")&gt;0),"⚠ Statut incohérent",IF(AND($D711="S1",$Y711&lt;&gt;"Parti",COUNTIF(ANNEES_VERROU,$B711)&gt;0,COUNTIF(D_KEY_NIVSES,$B711&amp;"|"&amp;$C711&amp;"|S2")&gt;0,COUNTIF(D_KEY_DOUBLON,$B711&amp;"|S2|"&amp;$E711)=0),"⚠ Départ non confirmé ?",IF(AND($C711&lt;&gt;"",ISNUMBER($I711),OR(VALUE(LEFT($B711,4))-$I711&lt;4+IFERROR(MATCH($C711,LISTE_NIVEAUX,0),99),VALUE(LEFT($B711,4))-$I711&gt;6+IFERROR(MATCH($C711,LISTE_NIVEAUX,0),99))),"⚠ Vérifier niveau",IF(AND(IFERROR(VLOOKUP($C711,TABLE_CYCLE,2,0),3)=2,COUNT($O711:$Q711)&gt;0),"⚠ Tests cycle 3",IF(COUNT($J711:$Q711)&gt;=IF(IFERROR(VLOOKUP($C711,TABLE_CYCLE,2,0),3)=2,5,8),"Complet","Incomplet"))))))))</f>
        <v/>
      </c>
      <c r="S711" s="24"/>
      <c r="T711" s="67" t="str">
        <f t="shared" ref="T711:T774" si="100">IFERROR(INDEX(D_NOM,MATCH(ROW()-6,D_RANG_RECUP,0)),"")</f>
        <v/>
      </c>
      <c r="U711" s="67" t="str">
        <f t="shared" ref="U711:U774" si="101">IFERROR(INDEX(D_PRENOM,MATCH(ROW()-6,D_RANG_RECUP,0)),"")</f>
        <v/>
      </c>
      <c r="V711" s="67" t="str">
        <f t="shared" ref="V711:V774" si="102">IFERROR(INDEX(D_SEXE,MATCH(ROW()-6,D_RANG_RECUP,0)),"")</f>
        <v/>
      </c>
      <c r="W711" s="67" t="str">
        <f t="shared" ref="W711:W774" si="103">IFERROR(INDEX(D_NAISS,MATCH(ROW()-6,D_RANG_RECUP,0)),"")</f>
        <v/>
      </c>
      <c r="X711" s="67" t="str">
        <f t="shared" ref="X711:X774" si="104">IF($T711="","",IF($X$4="→ Session 2 (même année)",$W$4,IFERROR(INDEX(LISTE_NIVEAUX,MATCH($W$4,LISTE_NIVEAUX,0)+1),"CM2 terminé")))</f>
        <v/>
      </c>
      <c r="Y711" s="24" t="str">
        <f t="shared" ref="Y711:Y774" si="105">IF($S711="","",$S711)</f>
        <v/>
      </c>
      <c r="Z711">
        <f t="shared" ref="Z711:Z774" si="106">SUBTOTAL(103,$F711)*($R711="Complet")</f>
        <v>0</v>
      </c>
      <c r="AA711">
        <f t="shared" ref="AA711:AA774" si="107">IF(OR($F711="",$C711=""),0,IF(COUNTIFS($B$7:$B$1206,$B711,$F$7:$F$1206,$F711,$G$7:$G$1206,$G711,$I$7:$I$1206,$I711,$C$7:$C$1206,"&lt;&gt;"&amp;$C711)&gt;0,1,0))</f>
        <v>0</v>
      </c>
    </row>
    <row r="712" spans="2:27" ht="15.75" customHeight="1" x14ac:dyDescent="0.3">
      <c r="B712" s="25"/>
      <c r="C712" s="25"/>
      <c r="D712" s="25"/>
      <c r="E712" s="26" t="str">
        <f t="shared" si="99"/>
        <v/>
      </c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3" t="str">
        <f>IF($F712="","",IF(OR($B712="",$C712="",$D712=""),"⚠ Compléter Année/Niveau/Session",IF(AND($E712&lt;&gt;"",COUNTIF(D_KEY_DOUBLON,$B712&amp;"|"&amp;$D712&amp;"|"&amp;$E712)&gt;1),"⚠ Doublon",IF(AND($E712&lt;&gt;"",COUNTIF(D_KEY_STATUT,$B712&amp;"|"&amp;$E712&amp;"|P")&gt;0,COUNTIF(D_KEY_STATUT,$B712&amp;"|"&amp;$E712&amp;"|A")&gt;0),"⚠ Statut incohérent",IF(AND($D712="S1",$Y712&lt;&gt;"Parti",COUNTIF(ANNEES_VERROU,$B712)&gt;0,COUNTIF(D_KEY_NIVSES,$B712&amp;"|"&amp;$C712&amp;"|S2")&gt;0,COUNTIF(D_KEY_DOUBLON,$B712&amp;"|S2|"&amp;$E712)=0),"⚠ Départ non confirmé ?",IF(AND($C712&lt;&gt;"",ISNUMBER($I712),OR(VALUE(LEFT($B712,4))-$I712&lt;4+IFERROR(MATCH($C712,LISTE_NIVEAUX,0),99),VALUE(LEFT($B712,4))-$I712&gt;6+IFERROR(MATCH($C712,LISTE_NIVEAUX,0),99))),"⚠ Vérifier niveau",IF(AND(IFERROR(VLOOKUP($C712,TABLE_CYCLE,2,0),3)=2,COUNT($O712:$Q712)&gt;0),"⚠ Tests cycle 3",IF(COUNT($J712:$Q712)&gt;=IF(IFERROR(VLOOKUP($C712,TABLE_CYCLE,2,0),3)=2,5,8),"Complet","Incomplet"))))))))</f>
        <v/>
      </c>
      <c r="S712" s="24"/>
      <c r="T712" s="67" t="str">
        <f t="shared" si="100"/>
        <v/>
      </c>
      <c r="U712" s="67" t="str">
        <f t="shared" si="101"/>
        <v/>
      </c>
      <c r="V712" s="67" t="str">
        <f t="shared" si="102"/>
        <v/>
      </c>
      <c r="W712" s="67" t="str">
        <f t="shared" si="103"/>
        <v/>
      </c>
      <c r="X712" s="67" t="str">
        <f t="shared" si="104"/>
        <v/>
      </c>
      <c r="Y712" s="24" t="str">
        <f t="shared" si="105"/>
        <v/>
      </c>
      <c r="Z712">
        <f t="shared" si="106"/>
        <v>0</v>
      </c>
      <c r="AA712">
        <f t="shared" si="107"/>
        <v>0</v>
      </c>
    </row>
    <row r="713" spans="2:27" ht="15.75" customHeight="1" x14ac:dyDescent="0.3">
      <c r="B713" s="21"/>
      <c r="C713" s="21"/>
      <c r="D713" s="21"/>
      <c r="E713" s="22" t="str">
        <f t="shared" si="99"/>
        <v/>
      </c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3" t="str">
        <f>IF($F713="","",IF(OR($B713="",$C713="",$D713=""),"⚠ Compléter Année/Niveau/Session",IF(AND($E713&lt;&gt;"",COUNTIF(D_KEY_DOUBLON,$B713&amp;"|"&amp;$D713&amp;"|"&amp;$E713)&gt;1),"⚠ Doublon",IF(AND($E713&lt;&gt;"",COUNTIF(D_KEY_STATUT,$B713&amp;"|"&amp;$E713&amp;"|P")&gt;0,COUNTIF(D_KEY_STATUT,$B713&amp;"|"&amp;$E713&amp;"|A")&gt;0),"⚠ Statut incohérent",IF(AND($D713="S1",$Y713&lt;&gt;"Parti",COUNTIF(ANNEES_VERROU,$B713)&gt;0,COUNTIF(D_KEY_NIVSES,$B713&amp;"|"&amp;$C713&amp;"|S2")&gt;0,COUNTIF(D_KEY_DOUBLON,$B713&amp;"|S2|"&amp;$E713)=0),"⚠ Départ non confirmé ?",IF(AND($C713&lt;&gt;"",ISNUMBER($I713),OR(VALUE(LEFT($B713,4))-$I713&lt;4+IFERROR(MATCH($C713,LISTE_NIVEAUX,0),99),VALUE(LEFT($B713,4))-$I713&gt;6+IFERROR(MATCH($C713,LISTE_NIVEAUX,0),99))),"⚠ Vérifier niveau",IF(AND(IFERROR(VLOOKUP($C713,TABLE_CYCLE,2,0),3)=2,COUNT($O713:$Q713)&gt;0),"⚠ Tests cycle 3",IF(COUNT($J713:$Q713)&gt;=IF(IFERROR(VLOOKUP($C713,TABLE_CYCLE,2,0),3)=2,5,8),"Complet","Incomplet"))))))))</f>
        <v/>
      </c>
      <c r="S713" s="24"/>
      <c r="T713" s="67" t="str">
        <f t="shared" si="100"/>
        <v/>
      </c>
      <c r="U713" s="67" t="str">
        <f t="shared" si="101"/>
        <v/>
      </c>
      <c r="V713" s="67" t="str">
        <f t="shared" si="102"/>
        <v/>
      </c>
      <c r="W713" s="67" t="str">
        <f t="shared" si="103"/>
        <v/>
      </c>
      <c r="X713" s="67" t="str">
        <f t="shared" si="104"/>
        <v/>
      </c>
      <c r="Y713" s="24" t="str">
        <f t="shared" si="105"/>
        <v/>
      </c>
      <c r="Z713">
        <f t="shared" si="106"/>
        <v>0</v>
      </c>
      <c r="AA713">
        <f t="shared" si="107"/>
        <v>0</v>
      </c>
    </row>
    <row r="714" spans="2:27" ht="15.75" customHeight="1" x14ac:dyDescent="0.3">
      <c r="B714" s="25"/>
      <c r="C714" s="25"/>
      <c r="D714" s="25"/>
      <c r="E714" s="26" t="str">
        <f t="shared" si="99"/>
        <v/>
      </c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3" t="str">
        <f>IF($F714="","",IF(OR($B714="",$C714="",$D714=""),"⚠ Compléter Année/Niveau/Session",IF(AND($E714&lt;&gt;"",COUNTIF(D_KEY_DOUBLON,$B714&amp;"|"&amp;$D714&amp;"|"&amp;$E714)&gt;1),"⚠ Doublon",IF(AND($E714&lt;&gt;"",COUNTIF(D_KEY_STATUT,$B714&amp;"|"&amp;$E714&amp;"|P")&gt;0,COUNTIF(D_KEY_STATUT,$B714&amp;"|"&amp;$E714&amp;"|A")&gt;0),"⚠ Statut incohérent",IF(AND($D714="S1",$Y714&lt;&gt;"Parti",COUNTIF(ANNEES_VERROU,$B714)&gt;0,COUNTIF(D_KEY_NIVSES,$B714&amp;"|"&amp;$C714&amp;"|S2")&gt;0,COUNTIF(D_KEY_DOUBLON,$B714&amp;"|S2|"&amp;$E714)=0),"⚠ Départ non confirmé ?",IF(AND($C714&lt;&gt;"",ISNUMBER($I714),OR(VALUE(LEFT($B714,4))-$I714&lt;4+IFERROR(MATCH($C714,LISTE_NIVEAUX,0),99),VALUE(LEFT($B714,4))-$I714&gt;6+IFERROR(MATCH($C714,LISTE_NIVEAUX,0),99))),"⚠ Vérifier niveau",IF(AND(IFERROR(VLOOKUP($C714,TABLE_CYCLE,2,0),3)=2,COUNT($O714:$Q714)&gt;0),"⚠ Tests cycle 3",IF(COUNT($J714:$Q714)&gt;=IF(IFERROR(VLOOKUP($C714,TABLE_CYCLE,2,0),3)=2,5,8),"Complet","Incomplet"))))))))</f>
        <v/>
      </c>
      <c r="S714" s="24"/>
      <c r="T714" s="67" t="str">
        <f t="shared" si="100"/>
        <v/>
      </c>
      <c r="U714" s="67" t="str">
        <f t="shared" si="101"/>
        <v/>
      </c>
      <c r="V714" s="67" t="str">
        <f t="shared" si="102"/>
        <v/>
      </c>
      <c r="W714" s="67" t="str">
        <f t="shared" si="103"/>
        <v/>
      </c>
      <c r="X714" s="67" t="str">
        <f t="shared" si="104"/>
        <v/>
      </c>
      <c r="Y714" s="24" t="str">
        <f t="shared" si="105"/>
        <v/>
      </c>
      <c r="Z714">
        <f t="shared" si="106"/>
        <v>0</v>
      </c>
      <c r="AA714">
        <f t="shared" si="107"/>
        <v>0</v>
      </c>
    </row>
    <row r="715" spans="2:27" ht="15.75" customHeight="1" x14ac:dyDescent="0.3">
      <c r="B715" s="21"/>
      <c r="C715" s="21"/>
      <c r="D715" s="21"/>
      <c r="E715" s="22" t="str">
        <f t="shared" si="99"/>
        <v/>
      </c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3" t="str">
        <f>IF($F715="","",IF(OR($B715="",$C715="",$D715=""),"⚠ Compléter Année/Niveau/Session",IF(AND($E715&lt;&gt;"",COUNTIF(D_KEY_DOUBLON,$B715&amp;"|"&amp;$D715&amp;"|"&amp;$E715)&gt;1),"⚠ Doublon",IF(AND($E715&lt;&gt;"",COUNTIF(D_KEY_STATUT,$B715&amp;"|"&amp;$E715&amp;"|P")&gt;0,COUNTIF(D_KEY_STATUT,$B715&amp;"|"&amp;$E715&amp;"|A")&gt;0),"⚠ Statut incohérent",IF(AND($D715="S1",$Y715&lt;&gt;"Parti",COUNTIF(ANNEES_VERROU,$B715)&gt;0,COUNTIF(D_KEY_NIVSES,$B715&amp;"|"&amp;$C715&amp;"|S2")&gt;0,COUNTIF(D_KEY_DOUBLON,$B715&amp;"|S2|"&amp;$E715)=0),"⚠ Départ non confirmé ?",IF(AND($C715&lt;&gt;"",ISNUMBER($I715),OR(VALUE(LEFT($B715,4))-$I715&lt;4+IFERROR(MATCH($C715,LISTE_NIVEAUX,0),99),VALUE(LEFT($B715,4))-$I715&gt;6+IFERROR(MATCH($C715,LISTE_NIVEAUX,0),99))),"⚠ Vérifier niveau",IF(AND(IFERROR(VLOOKUP($C715,TABLE_CYCLE,2,0),3)=2,COUNT($O715:$Q715)&gt;0),"⚠ Tests cycle 3",IF(COUNT($J715:$Q715)&gt;=IF(IFERROR(VLOOKUP($C715,TABLE_CYCLE,2,0),3)=2,5,8),"Complet","Incomplet"))))))))</f>
        <v/>
      </c>
      <c r="S715" s="24"/>
      <c r="T715" s="67" t="str">
        <f t="shared" si="100"/>
        <v/>
      </c>
      <c r="U715" s="67" t="str">
        <f t="shared" si="101"/>
        <v/>
      </c>
      <c r="V715" s="67" t="str">
        <f t="shared" si="102"/>
        <v/>
      </c>
      <c r="W715" s="67" t="str">
        <f t="shared" si="103"/>
        <v/>
      </c>
      <c r="X715" s="67" t="str">
        <f t="shared" si="104"/>
        <v/>
      </c>
      <c r="Y715" s="24" t="str">
        <f t="shared" si="105"/>
        <v/>
      </c>
      <c r="Z715">
        <f t="shared" si="106"/>
        <v>0</v>
      </c>
      <c r="AA715">
        <f t="shared" si="107"/>
        <v>0</v>
      </c>
    </row>
    <row r="716" spans="2:27" ht="15.75" customHeight="1" x14ac:dyDescent="0.3">
      <c r="B716" s="25"/>
      <c r="C716" s="25"/>
      <c r="D716" s="25"/>
      <c r="E716" s="26" t="str">
        <f t="shared" si="99"/>
        <v/>
      </c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3" t="str">
        <f>IF($F716="","",IF(OR($B716="",$C716="",$D716=""),"⚠ Compléter Année/Niveau/Session",IF(AND($E716&lt;&gt;"",COUNTIF(D_KEY_DOUBLON,$B716&amp;"|"&amp;$D716&amp;"|"&amp;$E716)&gt;1),"⚠ Doublon",IF(AND($E716&lt;&gt;"",COUNTIF(D_KEY_STATUT,$B716&amp;"|"&amp;$E716&amp;"|P")&gt;0,COUNTIF(D_KEY_STATUT,$B716&amp;"|"&amp;$E716&amp;"|A")&gt;0),"⚠ Statut incohérent",IF(AND($D716="S1",$Y716&lt;&gt;"Parti",COUNTIF(ANNEES_VERROU,$B716)&gt;0,COUNTIF(D_KEY_NIVSES,$B716&amp;"|"&amp;$C716&amp;"|S2")&gt;0,COUNTIF(D_KEY_DOUBLON,$B716&amp;"|S2|"&amp;$E716)=0),"⚠ Départ non confirmé ?",IF(AND($C716&lt;&gt;"",ISNUMBER($I716),OR(VALUE(LEFT($B716,4))-$I716&lt;4+IFERROR(MATCH($C716,LISTE_NIVEAUX,0),99),VALUE(LEFT($B716,4))-$I716&gt;6+IFERROR(MATCH($C716,LISTE_NIVEAUX,0),99))),"⚠ Vérifier niveau",IF(AND(IFERROR(VLOOKUP($C716,TABLE_CYCLE,2,0),3)=2,COUNT($O716:$Q716)&gt;0),"⚠ Tests cycle 3",IF(COUNT($J716:$Q716)&gt;=IF(IFERROR(VLOOKUP($C716,TABLE_CYCLE,2,0),3)=2,5,8),"Complet","Incomplet"))))))))</f>
        <v/>
      </c>
      <c r="S716" s="24"/>
      <c r="T716" s="67" t="str">
        <f t="shared" si="100"/>
        <v/>
      </c>
      <c r="U716" s="67" t="str">
        <f t="shared" si="101"/>
        <v/>
      </c>
      <c r="V716" s="67" t="str">
        <f t="shared" si="102"/>
        <v/>
      </c>
      <c r="W716" s="67" t="str">
        <f t="shared" si="103"/>
        <v/>
      </c>
      <c r="X716" s="67" t="str">
        <f t="shared" si="104"/>
        <v/>
      </c>
      <c r="Y716" s="24" t="str">
        <f t="shared" si="105"/>
        <v/>
      </c>
      <c r="Z716">
        <f t="shared" si="106"/>
        <v>0</v>
      </c>
      <c r="AA716">
        <f t="shared" si="107"/>
        <v>0</v>
      </c>
    </row>
    <row r="717" spans="2:27" ht="15.75" customHeight="1" x14ac:dyDescent="0.3">
      <c r="B717" s="21"/>
      <c r="C717" s="21"/>
      <c r="D717" s="21"/>
      <c r="E717" s="22" t="str">
        <f t="shared" si="99"/>
        <v/>
      </c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3" t="str">
        <f>IF($F717="","",IF(OR($B717="",$C717="",$D717=""),"⚠ Compléter Année/Niveau/Session",IF(AND($E717&lt;&gt;"",COUNTIF(D_KEY_DOUBLON,$B717&amp;"|"&amp;$D717&amp;"|"&amp;$E717)&gt;1),"⚠ Doublon",IF(AND($E717&lt;&gt;"",COUNTIF(D_KEY_STATUT,$B717&amp;"|"&amp;$E717&amp;"|P")&gt;0,COUNTIF(D_KEY_STATUT,$B717&amp;"|"&amp;$E717&amp;"|A")&gt;0),"⚠ Statut incohérent",IF(AND($D717="S1",$Y717&lt;&gt;"Parti",COUNTIF(ANNEES_VERROU,$B717)&gt;0,COUNTIF(D_KEY_NIVSES,$B717&amp;"|"&amp;$C717&amp;"|S2")&gt;0,COUNTIF(D_KEY_DOUBLON,$B717&amp;"|S2|"&amp;$E717)=0),"⚠ Départ non confirmé ?",IF(AND($C717&lt;&gt;"",ISNUMBER($I717),OR(VALUE(LEFT($B717,4))-$I717&lt;4+IFERROR(MATCH($C717,LISTE_NIVEAUX,0),99),VALUE(LEFT($B717,4))-$I717&gt;6+IFERROR(MATCH($C717,LISTE_NIVEAUX,0),99))),"⚠ Vérifier niveau",IF(AND(IFERROR(VLOOKUP($C717,TABLE_CYCLE,2,0),3)=2,COUNT($O717:$Q717)&gt;0),"⚠ Tests cycle 3",IF(COUNT($J717:$Q717)&gt;=IF(IFERROR(VLOOKUP($C717,TABLE_CYCLE,2,0),3)=2,5,8),"Complet","Incomplet"))))))))</f>
        <v/>
      </c>
      <c r="S717" s="24"/>
      <c r="T717" s="67" t="str">
        <f t="shared" si="100"/>
        <v/>
      </c>
      <c r="U717" s="67" t="str">
        <f t="shared" si="101"/>
        <v/>
      </c>
      <c r="V717" s="67" t="str">
        <f t="shared" si="102"/>
        <v/>
      </c>
      <c r="W717" s="67" t="str">
        <f t="shared" si="103"/>
        <v/>
      </c>
      <c r="X717" s="67" t="str">
        <f t="shared" si="104"/>
        <v/>
      </c>
      <c r="Y717" s="24" t="str">
        <f t="shared" si="105"/>
        <v/>
      </c>
      <c r="Z717">
        <f t="shared" si="106"/>
        <v>0</v>
      </c>
      <c r="AA717">
        <f t="shared" si="107"/>
        <v>0</v>
      </c>
    </row>
    <row r="718" spans="2:27" ht="15.75" customHeight="1" x14ac:dyDescent="0.3">
      <c r="B718" s="25"/>
      <c r="C718" s="25"/>
      <c r="D718" s="25"/>
      <c r="E718" s="26" t="str">
        <f t="shared" si="99"/>
        <v/>
      </c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3" t="str">
        <f>IF($F718="","",IF(OR($B718="",$C718="",$D718=""),"⚠ Compléter Année/Niveau/Session",IF(AND($E718&lt;&gt;"",COUNTIF(D_KEY_DOUBLON,$B718&amp;"|"&amp;$D718&amp;"|"&amp;$E718)&gt;1),"⚠ Doublon",IF(AND($E718&lt;&gt;"",COUNTIF(D_KEY_STATUT,$B718&amp;"|"&amp;$E718&amp;"|P")&gt;0,COUNTIF(D_KEY_STATUT,$B718&amp;"|"&amp;$E718&amp;"|A")&gt;0),"⚠ Statut incohérent",IF(AND($D718="S1",$Y718&lt;&gt;"Parti",COUNTIF(ANNEES_VERROU,$B718)&gt;0,COUNTIF(D_KEY_NIVSES,$B718&amp;"|"&amp;$C718&amp;"|S2")&gt;0,COUNTIF(D_KEY_DOUBLON,$B718&amp;"|S2|"&amp;$E718)=0),"⚠ Départ non confirmé ?",IF(AND($C718&lt;&gt;"",ISNUMBER($I718),OR(VALUE(LEFT($B718,4))-$I718&lt;4+IFERROR(MATCH($C718,LISTE_NIVEAUX,0),99),VALUE(LEFT($B718,4))-$I718&gt;6+IFERROR(MATCH($C718,LISTE_NIVEAUX,0),99))),"⚠ Vérifier niveau",IF(AND(IFERROR(VLOOKUP($C718,TABLE_CYCLE,2,0),3)=2,COUNT($O718:$Q718)&gt;0),"⚠ Tests cycle 3",IF(COUNT($J718:$Q718)&gt;=IF(IFERROR(VLOOKUP($C718,TABLE_CYCLE,2,0),3)=2,5,8),"Complet","Incomplet"))))))))</f>
        <v/>
      </c>
      <c r="S718" s="24"/>
      <c r="T718" s="67" t="str">
        <f t="shared" si="100"/>
        <v/>
      </c>
      <c r="U718" s="67" t="str">
        <f t="shared" si="101"/>
        <v/>
      </c>
      <c r="V718" s="67" t="str">
        <f t="shared" si="102"/>
        <v/>
      </c>
      <c r="W718" s="67" t="str">
        <f t="shared" si="103"/>
        <v/>
      </c>
      <c r="X718" s="67" t="str">
        <f t="shared" si="104"/>
        <v/>
      </c>
      <c r="Y718" s="24" t="str">
        <f t="shared" si="105"/>
        <v/>
      </c>
      <c r="Z718">
        <f t="shared" si="106"/>
        <v>0</v>
      </c>
      <c r="AA718">
        <f t="shared" si="107"/>
        <v>0</v>
      </c>
    </row>
    <row r="719" spans="2:27" ht="15.75" customHeight="1" x14ac:dyDescent="0.3">
      <c r="B719" s="21"/>
      <c r="C719" s="21"/>
      <c r="D719" s="21"/>
      <c r="E719" s="22" t="str">
        <f t="shared" si="99"/>
        <v/>
      </c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3" t="str">
        <f>IF($F719="","",IF(OR($B719="",$C719="",$D719=""),"⚠ Compléter Année/Niveau/Session",IF(AND($E719&lt;&gt;"",COUNTIF(D_KEY_DOUBLON,$B719&amp;"|"&amp;$D719&amp;"|"&amp;$E719)&gt;1),"⚠ Doublon",IF(AND($E719&lt;&gt;"",COUNTIF(D_KEY_STATUT,$B719&amp;"|"&amp;$E719&amp;"|P")&gt;0,COUNTIF(D_KEY_STATUT,$B719&amp;"|"&amp;$E719&amp;"|A")&gt;0),"⚠ Statut incohérent",IF(AND($D719="S1",$Y719&lt;&gt;"Parti",COUNTIF(ANNEES_VERROU,$B719)&gt;0,COUNTIF(D_KEY_NIVSES,$B719&amp;"|"&amp;$C719&amp;"|S2")&gt;0,COUNTIF(D_KEY_DOUBLON,$B719&amp;"|S2|"&amp;$E719)=0),"⚠ Départ non confirmé ?",IF(AND($C719&lt;&gt;"",ISNUMBER($I719),OR(VALUE(LEFT($B719,4))-$I719&lt;4+IFERROR(MATCH($C719,LISTE_NIVEAUX,0),99),VALUE(LEFT($B719,4))-$I719&gt;6+IFERROR(MATCH($C719,LISTE_NIVEAUX,0),99))),"⚠ Vérifier niveau",IF(AND(IFERROR(VLOOKUP($C719,TABLE_CYCLE,2,0),3)=2,COUNT($O719:$Q719)&gt;0),"⚠ Tests cycle 3",IF(COUNT($J719:$Q719)&gt;=IF(IFERROR(VLOOKUP($C719,TABLE_CYCLE,2,0),3)=2,5,8),"Complet","Incomplet"))))))))</f>
        <v/>
      </c>
      <c r="S719" s="24"/>
      <c r="T719" s="67" t="str">
        <f t="shared" si="100"/>
        <v/>
      </c>
      <c r="U719" s="67" t="str">
        <f t="shared" si="101"/>
        <v/>
      </c>
      <c r="V719" s="67" t="str">
        <f t="shared" si="102"/>
        <v/>
      </c>
      <c r="W719" s="67" t="str">
        <f t="shared" si="103"/>
        <v/>
      </c>
      <c r="X719" s="67" t="str">
        <f t="shared" si="104"/>
        <v/>
      </c>
      <c r="Y719" s="24" t="str">
        <f t="shared" si="105"/>
        <v/>
      </c>
      <c r="Z719">
        <f t="shared" si="106"/>
        <v>0</v>
      </c>
      <c r="AA719">
        <f t="shared" si="107"/>
        <v>0</v>
      </c>
    </row>
    <row r="720" spans="2:27" ht="15.75" customHeight="1" x14ac:dyDescent="0.3">
      <c r="B720" s="25"/>
      <c r="C720" s="25"/>
      <c r="D720" s="25"/>
      <c r="E720" s="26" t="str">
        <f t="shared" si="99"/>
        <v/>
      </c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3" t="str">
        <f>IF($F720="","",IF(OR($B720="",$C720="",$D720=""),"⚠ Compléter Année/Niveau/Session",IF(AND($E720&lt;&gt;"",COUNTIF(D_KEY_DOUBLON,$B720&amp;"|"&amp;$D720&amp;"|"&amp;$E720)&gt;1),"⚠ Doublon",IF(AND($E720&lt;&gt;"",COUNTIF(D_KEY_STATUT,$B720&amp;"|"&amp;$E720&amp;"|P")&gt;0,COUNTIF(D_KEY_STATUT,$B720&amp;"|"&amp;$E720&amp;"|A")&gt;0),"⚠ Statut incohérent",IF(AND($D720="S1",$Y720&lt;&gt;"Parti",COUNTIF(ANNEES_VERROU,$B720)&gt;0,COUNTIF(D_KEY_NIVSES,$B720&amp;"|"&amp;$C720&amp;"|S2")&gt;0,COUNTIF(D_KEY_DOUBLON,$B720&amp;"|S2|"&amp;$E720)=0),"⚠ Départ non confirmé ?",IF(AND($C720&lt;&gt;"",ISNUMBER($I720),OR(VALUE(LEFT($B720,4))-$I720&lt;4+IFERROR(MATCH($C720,LISTE_NIVEAUX,0),99),VALUE(LEFT($B720,4))-$I720&gt;6+IFERROR(MATCH($C720,LISTE_NIVEAUX,0),99))),"⚠ Vérifier niveau",IF(AND(IFERROR(VLOOKUP($C720,TABLE_CYCLE,2,0),3)=2,COUNT($O720:$Q720)&gt;0),"⚠ Tests cycle 3",IF(COUNT($J720:$Q720)&gt;=IF(IFERROR(VLOOKUP($C720,TABLE_CYCLE,2,0),3)=2,5,8),"Complet","Incomplet"))))))))</f>
        <v/>
      </c>
      <c r="S720" s="24"/>
      <c r="T720" s="67" t="str">
        <f t="shared" si="100"/>
        <v/>
      </c>
      <c r="U720" s="67" t="str">
        <f t="shared" si="101"/>
        <v/>
      </c>
      <c r="V720" s="67" t="str">
        <f t="shared" si="102"/>
        <v/>
      </c>
      <c r="W720" s="67" t="str">
        <f t="shared" si="103"/>
        <v/>
      </c>
      <c r="X720" s="67" t="str">
        <f t="shared" si="104"/>
        <v/>
      </c>
      <c r="Y720" s="24" t="str">
        <f t="shared" si="105"/>
        <v/>
      </c>
      <c r="Z720">
        <f t="shared" si="106"/>
        <v>0</v>
      </c>
      <c r="AA720">
        <f t="shared" si="107"/>
        <v>0</v>
      </c>
    </row>
    <row r="721" spans="2:27" ht="15.75" customHeight="1" x14ac:dyDescent="0.3">
      <c r="B721" s="21"/>
      <c r="C721" s="21"/>
      <c r="D721" s="21"/>
      <c r="E721" s="22" t="str">
        <f t="shared" si="99"/>
        <v/>
      </c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3" t="str">
        <f>IF($F721="","",IF(OR($B721="",$C721="",$D721=""),"⚠ Compléter Année/Niveau/Session",IF(AND($E721&lt;&gt;"",COUNTIF(D_KEY_DOUBLON,$B721&amp;"|"&amp;$D721&amp;"|"&amp;$E721)&gt;1),"⚠ Doublon",IF(AND($E721&lt;&gt;"",COUNTIF(D_KEY_STATUT,$B721&amp;"|"&amp;$E721&amp;"|P")&gt;0,COUNTIF(D_KEY_STATUT,$B721&amp;"|"&amp;$E721&amp;"|A")&gt;0),"⚠ Statut incohérent",IF(AND($D721="S1",$Y721&lt;&gt;"Parti",COUNTIF(ANNEES_VERROU,$B721)&gt;0,COUNTIF(D_KEY_NIVSES,$B721&amp;"|"&amp;$C721&amp;"|S2")&gt;0,COUNTIF(D_KEY_DOUBLON,$B721&amp;"|S2|"&amp;$E721)=0),"⚠ Départ non confirmé ?",IF(AND($C721&lt;&gt;"",ISNUMBER($I721),OR(VALUE(LEFT($B721,4))-$I721&lt;4+IFERROR(MATCH($C721,LISTE_NIVEAUX,0),99),VALUE(LEFT($B721,4))-$I721&gt;6+IFERROR(MATCH($C721,LISTE_NIVEAUX,0),99))),"⚠ Vérifier niveau",IF(AND(IFERROR(VLOOKUP($C721,TABLE_CYCLE,2,0),3)=2,COUNT($O721:$Q721)&gt;0),"⚠ Tests cycle 3",IF(COUNT($J721:$Q721)&gt;=IF(IFERROR(VLOOKUP($C721,TABLE_CYCLE,2,0),3)=2,5,8),"Complet","Incomplet"))))))))</f>
        <v/>
      </c>
      <c r="S721" s="24"/>
      <c r="T721" s="67" t="str">
        <f t="shared" si="100"/>
        <v/>
      </c>
      <c r="U721" s="67" t="str">
        <f t="shared" si="101"/>
        <v/>
      </c>
      <c r="V721" s="67" t="str">
        <f t="shared" si="102"/>
        <v/>
      </c>
      <c r="W721" s="67" t="str">
        <f t="shared" si="103"/>
        <v/>
      </c>
      <c r="X721" s="67" t="str">
        <f t="shared" si="104"/>
        <v/>
      </c>
      <c r="Y721" s="24" t="str">
        <f t="shared" si="105"/>
        <v/>
      </c>
      <c r="Z721">
        <f t="shared" si="106"/>
        <v>0</v>
      </c>
      <c r="AA721">
        <f t="shared" si="107"/>
        <v>0</v>
      </c>
    </row>
    <row r="722" spans="2:27" ht="15.75" customHeight="1" x14ac:dyDescent="0.3">
      <c r="B722" s="25"/>
      <c r="C722" s="25"/>
      <c r="D722" s="25"/>
      <c r="E722" s="26" t="str">
        <f t="shared" si="99"/>
        <v/>
      </c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3" t="str">
        <f>IF($F722="","",IF(OR($B722="",$C722="",$D722=""),"⚠ Compléter Année/Niveau/Session",IF(AND($E722&lt;&gt;"",COUNTIF(D_KEY_DOUBLON,$B722&amp;"|"&amp;$D722&amp;"|"&amp;$E722)&gt;1),"⚠ Doublon",IF(AND($E722&lt;&gt;"",COUNTIF(D_KEY_STATUT,$B722&amp;"|"&amp;$E722&amp;"|P")&gt;0,COUNTIF(D_KEY_STATUT,$B722&amp;"|"&amp;$E722&amp;"|A")&gt;0),"⚠ Statut incohérent",IF(AND($D722="S1",$Y722&lt;&gt;"Parti",COUNTIF(ANNEES_VERROU,$B722)&gt;0,COUNTIF(D_KEY_NIVSES,$B722&amp;"|"&amp;$C722&amp;"|S2")&gt;0,COUNTIF(D_KEY_DOUBLON,$B722&amp;"|S2|"&amp;$E722)=0),"⚠ Départ non confirmé ?",IF(AND($C722&lt;&gt;"",ISNUMBER($I722),OR(VALUE(LEFT($B722,4))-$I722&lt;4+IFERROR(MATCH($C722,LISTE_NIVEAUX,0),99),VALUE(LEFT($B722,4))-$I722&gt;6+IFERROR(MATCH($C722,LISTE_NIVEAUX,0),99))),"⚠ Vérifier niveau",IF(AND(IFERROR(VLOOKUP($C722,TABLE_CYCLE,2,0),3)=2,COUNT($O722:$Q722)&gt;0),"⚠ Tests cycle 3",IF(COUNT($J722:$Q722)&gt;=IF(IFERROR(VLOOKUP($C722,TABLE_CYCLE,2,0),3)=2,5,8),"Complet","Incomplet"))))))))</f>
        <v/>
      </c>
      <c r="S722" s="24"/>
      <c r="T722" s="67" t="str">
        <f t="shared" si="100"/>
        <v/>
      </c>
      <c r="U722" s="67" t="str">
        <f t="shared" si="101"/>
        <v/>
      </c>
      <c r="V722" s="67" t="str">
        <f t="shared" si="102"/>
        <v/>
      </c>
      <c r="W722" s="67" t="str">
        <f t="shared" si="103"/>
        <v/>
      </c>
      <c r="X722" s="67" t="str">
        <f t="shared" si="104"/>
        <v/>
      </c>
      <c r="Y722" s="24" t="str">
        <f t="shared" si="105"/>
        <v/>
      </c>
      <c r="Z722">
        <f t="shared" si="106"/>
        <v>0</v>
      </c>
      <c r="AA722">
        <f t="shared" si="107"/>
        <v>0</v>
      </c>
    </row>
    <row r="723" spans="2:27" ht="15.75" customHeight="1" x14ac:dyDescent="0.3">
      <c r="B723" s="21"/>
      <c r="C723" s="21"/>
      <c r="D723" s="21"/>
      <c r="E723" s="22" t="str">
        <f t="shared" si="99"/>
        <v/>
      </c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3" t="str">
        <f>IF($F723="","",IF(OR($B723="",$C723="",$D723=""),"⚠ Compléter Année/Niveau/Session",IF(AND($E723&lt;&gt;"",COUNTIF(D_KEY_DOUBLON,$B723&amp;"|"&amp;$D723&amp;"|"&amp;$E723)&gt;1),"⚠ Doublon",IF(AND($E723&lt;&gt;"",COUNTIF(D_KEY_STATUT,$B723&amp;"|"&amp;$E723&amp;"|P")&gt;0,COUNTIF(D_KEY_STATUT,$B723&amp;"|"&amp;$E723&amp;"|A")&gt;0),"⚠ Statut incohérent",IF(AND($D723="S1",$Y723&lt;&gt;"Parti",COUNTIF(ANNEES_VERROU,$B723)&gt;0,COUNTIF(D_KEY_NIVSES,$B723&amp;"|"&amp;$C723&amp;"|S2")&gt;0,COUNTIF(D_KEY_DOUBLON,$B723&amp;"|S2|"&amp;$E723)=0),"⚠ Départ non confirmé ?",IF(AND($C723&lt;&gt;"",ISNUMBER($I723),OR(VALUE(LEFT($B723,4))-$I723&lt;4+IFERROR(MATCH($C723,LISTE_NIVEAUX,0),99),VALUE(LEFT($B723,4))-$I723&gt;6+IFERROR(MATCH($C723,LISTE_NIVEAUX,0),99))),"⚠ Vérifier niveau",IF(AND(IFERROR(VLOOKUP($C723,TABLE_CYCLE,2,0),3)=2,COUNT($O723:$Q723)&gt;0),"⚠ Tests cycle 3",IF(COUNT($J723:$Q723)&gt;=IF(IFERROR(VLOOKUP($C723,TABLE_CYCLE,2,0),3)=2,5,8),"Complet","Incomplet"))))))))</f>
        <v/>
      </c>
      <c r="S723" s="24"/>
      <c r="T723" s="67" t="str">
        <f t="shared" si="100"/>
        <v/>
      </c>
      <c r="U723" s="67" t="str">
        <f t="shared" si="101"/>
        <v/>
      </c>
      <c r="V723" s="67" t="str">
        <f t="shared" si="102"/>
        <v/>
      </c>
      <c r="W723" s="67" t="str">
        <f t="shared" si="103"/>
        <v/>
      </c>
      <c r="X723" s="67" t="str">
        <f t="shared" si="104"/>
        <v/>
      </c>
      <c r="Y723" s="24" t="str">
        <f t="shared" si="105"/>
        <v/>
      </c>
      <c r="Z723">
        <f t="shared" si="106"/>
        <v>0</v>
      </c>
      <c r="AA723">
        <f t="shared" si="107"/>
        <v>0</v>
      </c>
    </row>
    <row r="724" spans="2:27" ht="15.75" customHeight="1" x14ac:dyDescent="0.3">
      <c r="B724" s="25"/>
      <c r="C724" s="25"/>
      <c r="D724" s="25"/>
      <c r="E724" s="26" t="str">
        <f t="shared" si="99"/>
        <v/>
      </c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3" t="str">
        <f>IF($F724="","",IF(OR($B724="",$C724="",$D724=""),"⚠ Compléter Année/Niveau/Session",IF(AND($E724&lt;&gt;"",COUNTIF(D_KEY_DOUBLON,$B724&amp;"|"&amp;$D724&amp;"|"&amp;$E724)&gt;1),"⚠ Doublon",IF(AND($E724&lt;&gt;"",COUNTIF(D_KEY_STATUT,$B724&amp;"|"&amp;$E724&amp;"|P")&gt;0,COUNTIF(D_KEY_STATUT,$B724&amp;"|"&amp;$E724&amp;"|A")&gt;0),"⚠ Statut incohérent",IF(AND($D724="S1",$Y724&lt;&gt;"Parti",COUNTIF(ANNEES_VERROU,$B724)&gt;0,COUNTIF(D_KEY_NIVSES,$B724&amp;"|"&amp;$C724&amp;"|S2")&gt;0,COUNTIF(D_KEY_DOUBLON,$B724&amp;"|S2|"&amp;$E724)=0),"⚠ Départ non confirmé ?",IF(AND($C724&lt;&gt;"",ISNUMBER($I724),OR(VALUE(LEFT($B724,4))-$I724&lt;4+IFERROR(MATCH($C724,LISTE_NIVEAUX,0),99),VALUE(LEFT($B724,4))-$I724&gt;6+IFERROR(MATCH($C724,LISTE_NIVEAUX,0),99))),"⚠ Vérifier niveau",IF(AND(IFERROR(VLOOKUP($C724,TABLE_CYCLE,2,0),3)=2,COUNT($O724:$Q724)&gt;0),"⚠ Tests cycle 3",IF(COUNT($J724:$Q724)&gt;=IF(IFERROR(VLOOKUP($C724,TABLE_CYCLE,2,0),3)=2,5,8),"Complet","Incomplet"))))))))</f>
        <v/>
      </c>
      <c r="S724" s="24"/>
      <c r="T724" s="67" t="str">
        <f t="shared" si="100"/>
        <v/>
      </c>
      <c r="U724" s="67" t="str">
        <f t="shared" si="101"/>
        <v/>
      </c>
      <c r="V724" s="67" t="str">
        <f t="shared" si="102"/>
        <v/>
      </c>
      <c r="W724" s="67" t="str">
        <f t="shared" si="103"/>
        <v/>
      </c>
      <c r="X724" s="67" t="str">
        <f t="shared" si="104"/>
        <v/>
      </c>
      <c r="Y724" s="24" t="str">
        <f t="shared" si="105"/>
        <v/>
      </c>
      <c r="Z724">
        <f t="shared" si="106"/>
        <v>0</v>
      </c>
      <c r="AA724">
        <f t="shared" si="107"/>
        <v>0</v>
      </c>
    </row>
    <row r="725" spans="2:27" ht="15.75" customHeight="1" x14ac:dyDescent="0.3">
      <c r="B725" s="21"/>
      <c r="C725" s="21"/>
      <c r="D725" s="21"/>
      <c r="E725" s="22" t="str">
        <f t="shared" si="99"/>
        <v/>
      </c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3" t="str">
        <f>IF($F725="","",IF(OR($B725="",$C725="",$D725=""),"⚠ Compléter Année/Niveau/Session",IF(AND($E725&lt;&gt;"",COUNTIF(D_KEY_DOUBLON,$B725&amp;"|"&amp;$D725&amp;"|"&amp;$E725)&gt;1),"⚠ Doublon",IF(AND($E725&lt;&gt;"",COUNTIF(D_KEY_STATUT,$B725&amp;"|"&amp;$E725&amp;"|P")&gt;0,COUNTIF(D_KEY_STATUT,$B725&amp;"|"&amp;$E725&amp;"|A")&gt;0),"⚠ Statut incohérent",IF(AND($D725="S1",$Y725&lt;&gt;"Parti",COUNTIF(ANNEES_VERROU,$B725)&gt;0,COUNTIF(D_KEY_NIVSES,$B725&amp;"|"&amp;$C725&amp;"|S2")&gt;0,COUNTIF(D_KEY_DOUBLON,$B725&amp;"|S2|"&amp;$E725)=0),"⚠ Départ non confirmé ?",IF(AND($C725&lt;&gt;"",ISNUMBER($I725),OR(VALUE(LEFT($B725,4))-$I725&lt;4+IFERROR(MATCH($C725,LISTE_NIVEAUX,0),99),VALUE(LEFT($B725,4))-$I725&gt;6+IFERROR(MATCH($C725,LISTE_NIVEAUX,0),99))),"⚠ Vérifier niveau",IF(AND(IFERROR(VLOOKUP($C725,TABLE_CYCLE,2,0),3)=2,COUNT($O725:$Q725)&gt;0),"⚠ Tests cycle 3",IF(COUNT($J725:$Q725)&gt;=IF(IFERROR(VLOOKUP($C725,TABLE_CYCLE,2,0),3)=2,5,8),"Complet","Incomplet"))))))))</f>
        <v/>
      </c>
      <c r="S725" s="24"/>
      <c r="T725" s="67" t="str">
        <f t="shared" si="100"/>
        <v/>
      </c>
      <c r="U725" s="67" t="str">
        <f t="shared" si="101"/>
        <v/>
      </c>
      <c r="V725" s="67" t="str">
        <f t="shared" si="102"/>
        <v/>
      </c>
      <c r="W725" s="67" t="str">
        <f t="shared" si="103"/>
        <v/>
      </c>
      <c r="X725" s="67" t="str">
        <f t="shared" si="104"/>
        <v/>
      </c>
      <c r="Y725" s="24" t="str">
        <f t="shared" si="105"/>
        <v/>
      </c>
      <c r="Z725">
        <f t="shared" si="106"/>
        <v>0</v>
      </c>
      <c r="AA725">
        <f t="shared" si="107"/>
        <v>0</v>
      </c>
    </row>
    <row r="726" spans="2:27" ht="15.75" customHeight="1" x14ac:dyDescent="0.3">
      <c r="B726" s="25"/>
      <c r="C726" s="25"/>
      <c r="D726" s="25"/>
      <c r="E726" s="26" t="str">
        <f t="shared" si="99"/>
        <v/>
      </c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3" t="str">
        <f>IF($F726="","",IF(OR($B726="",$C726="",$D726=""),"⚠ Compléter Année/Niveau/Session",IF(AND($E726&lt;&gt;"",COUNTIF(D_KEY_DOUBLON,$B726&amp;"|"&amp;$D726&amp;"|"&amp;$E726)&gt;1),"⚠ Doublon",IF(AND($E726&lt;&gt;"",COUNTIF(D_KEY_STATUT,$B726&amp;"|"&amp;$E726&amp;"|P")&gt;0,COUNTIF(D_KEY_STATUT,$B726&amp;"|"&amp;$E726&amp;"|A")&gt;0),"⚠ Statut incohérent",IF(AND($D726="S1",$Y726&lt;&gt;"Parti",COUNTIF(ANNEES_VERROU,$B726)&gt;0,COUNTIF(D_KEY_NIVSES,$B726&amp;"|"&amp;$C726&amp;"|S2")&gt;0,COUNTIF(D_KEY_DOUBLON,$B726&amp;"|S2|"&amp;$E726)=0),"⚠ Départ non confirmé ?",IF(AND($C726&lt;&gt;"",ISNUMBER($I726),OR(VALUE(LEFT($B726,4))-$I726&lt;4+IFERROR(MATCH($C726,LISTE_NIVEAUX,0),99),VALUE(LEFT($B726,4))-$I726&gt;6+IFERROR(MATCH($C726,LISTE_NIVEAUX,0),99))),"⚠ Vérifier niveau",IF(AND(IFERROR(VLOOKUP($C726,TABLE_CYCLE,2,0),3)=2,COUNT($O726:$Q726)&gt;0),"⚠ Tests cycle 3",IF(COUNT($J726:$Q726)&gt;=IF(IFERROR(VLOOKUP($C726,TABLE_CYCLE,2,0),3)=2,5,8),"Complet","Incomplet"))))))))</f>
        <v/>
      </c>
      <c r="S726" s="24"/>
      <c r="T726" s="67" t="str">
        <f t="shared" si="100"/>
        <v/>
      </c>
      <c r="U726" s="67" t="str">
        <f t="shared" si="101"/>
        <v/>
      </c>
      <c r="V726" s="67" t="str">
        <f t="shared" si="102"/>
        <v/>
      </c>
      <c r="W726" s="67" t="str">
        <f t="shared" si="103"/>
        <v/>
      </c>
      <c r="X726" s="67" t="str">
        <f t="shared" si="104"/>
        <v/>
      </c>
      <c r="Y726" s="24" t="str">
        <f t="shared" si="105"/>
        <v/>
      </c>
      <c r="Z726">
        <f t="shared" si="106"/>
        <v>0</v>
      </c>
      <c r="AA726">
        <f t="shared" si="107"/>
        <v>0</v>
      </c>
    </row>
    <row r="727" spans="2:27" ht="15.75" customHeight="1" x14ac:dyDescent="0.3">
      <c r="B727" s="21"/>
      <c r="C727" s="21"/>
      <c r="D727" s="21"/>
      <c r="E727" s="22" t="str">
        <f t="shared" si="99"/>
        <v/>
      </c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3" t="str">
        <f>IF($F727="","",IF(OR($B727="",$C727="",$D727=""),"⚠ Compléter Année/Niveau/Session",IF(AND($E727&lt;&gt;"",COUNTIF(D_KEY_DOUBLON,$B727&amp;"|"&amp;$D727&amp;"|"&amp;$E727)&gt;1),"⚠ Doublon",IF(AND($E727&lt;&gt;"",COUNTIF(D_KEY_STATUT,$B727&amp;"|"&amp;$E727&amp;"|P")&gt;0,COUNTIF(D_KEY_STATUT,$B727&amp;"|"&amp;$E727&amp;"|A")&gt;0),"⚠ Statut incohérent",IF(AND($D727="S1",$Y727&lt;&gt;"Parti",COUNTIF(ANNEES_VERROU,$B727)&gt;0,COUNTIF(D_KEY_NIVSES,$B727&amp;"|"&amp;$C727&amp;"|S2")&gt;0,COUNTIF(D_KEY_DOUBLON,$B727&amp;"|S2|"&amp;$E727)=0),"⚠ Départ non confirmé ?",IF(AND($C727&lt;&gt;"",ISNUMBER($I727),OR(VALUE(LEFT($B727,4))-$I727&lt;4+IFERROR(MATCH($C727,LISTE_NIVEAUX,0),99),VALUE(LEFT($B727,4))-$I727&gt;6+IFERROR(MATCH($C727,LISTE_NIVEAUX,0),99))),"⚠ Vérifier niveau",IF(AND(IFERROR(VLOOKUP($C727,TABLE_CYCLE,2,0),3)=2,COUNT($O727:$Q727)&gt;0),"⚠ Tests cycle 3",IF(COUNT($J727:$Q727)&gt;=IF(IFERROR(VLOOKUP($C727,TABLE_CYCLE,2,0),3)=2,5,8),"Complet","Incomplet"))))))))</f>
        <v/>
      </c>
      <c r="S727" s="24"/>
      <c r="T727" s="67" t="str">
        <f t="shared" si="100"/>
        <v/>
      </c>
      <c r="U727" s="67" t="str">
        <f t="shared" si="101"/>
        <v/>
      </c>
      <c r="V727" s="67" t="str">
        <f t="shared" si="102"/>
        <v/>
      </c>
      <c r="W727" s="67" t="str">
        <f t="shared" si="103"/>
        <v/>
      </c>
      <c r="X727" s="67" t="str">
        <f t="shared" si="104"/>
        <v/>
      </c>
      <c r="Y727" s="24" t="str">
        <f t="shared" si="105"/>
        <v/>
      </c>
      <c r="Z727">
        <f t="shared" si="106"/>
        <v>0</v>
      </c>
      <c r="AA727">
        <f t="shared" si="107"/>
        <v>0</v>
      </c>
    </row>
    <row r="728" spans="2:27" ht="15.75" customHeight="1" x14ac:dyDescent="0.3">
      <c r="B728" s="25"/>
      <c r="C728" s="25"/>
      <c r="D728" s="25"/>
      <c r="E728" s="26" t="str">
        <f t="shared" si="99"/>
        <v/>
      </c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3" t="str">
        <f>IF($F728="","",IF(OR($B728="",$C728="",$D728=""),"⚠ Compléter Année/Niveau/Session",IF(AND($E728&lt;&gt;"",COUNTIF(D_KEY_DOUBLON,$B728&amp;"|"&amp;$D728&amp;"|"&amp;$E728)&gt;1),"⚠ Doublon",IF(AND($E728&lt;&gt;"",COUNTIF(D_KEY_STATUT,$B728&amp;"|"&amp;$E728&amp;"|P")&gt;0,COUNTIF(D_KEY_STATUT,$B728&amp;"|"&amp;$E728&amp;"|A")&gt;0),"⚠ Statut incohérent",IF(AND($D728="S1",$Y728&lt;&gt;"Parti",COUNTIF(ANNEES_VERROU,$B728)&gt;0,COUNTIF(D_KEY_NIVSES,$B728&amp;"|"&amp;$C728&amp;"|S2")&gt;0,COUNTIF(D_KEY_DOUBLON,$B728&amp;"|S2|"&amp;$E728)=0),"⚠ Départ non confirmé ?",IF(AND($C728&lt;&gt;"",ISNUMBER($I728),OR(VALUE(LEFT($B728,4))-$I728&lt;4+IFERROR(MATCH($C728,LISTE_NIVEAUX,0),99),VALUE(LEFT($B728,4))-$I728&gt;6+IFERROR(MATCH($C728,LISTE_NIVEAUX,0),99))),"⚠ Vérifier niveau",IF(AND(IFERROR(VLOOKUP($C728,TABLE_CYCLE,2,0),3)=2,COUNT($O728:$Q728)&gt;0),"⚠ Tests cycle 3",IF(COUNT($J728:$Q728)&gt;=IF(IFERROR(VLOOKUP($C728,TABLE_CYCLE,2,0),3)=2,5,8),"Complet","Incomplet"))))))))</f>
        <v/>
      </c>
      <c r="S728" s="24"/>
      <c r="T728" s="67" t="str">
        <f t="shared" si="100"/>
        <v/>
      </c>
      <c r="U728" s="67" t="str">
        <f t="shared" si="101"/>
        <v/>
      </c>
      <c r="V728" s="67" t="str">
        <f t="shared" si="102"/>
        <v/>
      </c>
      <c r="W728" s="67" t="str">
        <f t="shared" si="103"/>
        <v/>
      </c>
      <c r="X728" s="67" t="str">
        <f t="shared" si="104"/>
        <v/>
      </c>
      <c r="Y728" s="24" t="str">
        <f t="shared" si="105"/>
        <v/>
      </c>
      <c r="Z728">
        <f t="shared" si="106"/>
        <v>0</v>
      </c>
      <c r="AA728">
        <f t="shared" si="107"/>
        <v>0</v>
      </c>
    </row>
    <row r="729" spans="2:27" ht="15.75" customHeight="1" x14ac:dyDescent="0.3">
      <c r="B729" s="21"/>
      <c r="C729" s="21"/>
      <c r="D729" s="21"/>
      <c r="E729" s="22" t="str">
        <f t="shared" si="99"/>
        <v/>
      </c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3" t="str">
        <f>IF($F729="","",IF(OR($B729="",$C729="",$D729=""),"⚠ Compléter Année/Niveau/Session",IF(AND($E729&lt;&gt;"",COUNTIF(D_KEY_DOUBLON,$B729&amp;"|"&amp;$D729&amp;"|"&amp;$E729)&gt;1),"⚠ Doublon",IF(AND($E729&lt;&gt;"",COUNTIF(D_KEY_STATUT,$B729&amp;"|"&amp;$E729&amp;"|P")&gt;0,COUNTIF(D_KEY_STATUT,$B729&amp;"|"&amp;$E729&amp;"|A")&gt;0),"⚠ Statut incohérent",IF(AND($D729="S1",$Y729&lt;&gt;"Parti",COUNTIF(ANNEES_VERROU,$B729)&gt;0,COUNTIF(D_KEY_NIVSES,$B729&amp;"|"&amp;$C729&amp;"|S2")&gt;0,COUNTIF(D_KEY_DOUBLON,$B729&amp;"|S2|"&amp;$E729)=0),"⚠ Départ non confirmé ?",IF(AND($C729&lt;&gt;"",ISNUMBER($I729),OR(VALUE(LEFT($B729,4))-$I729&lt;4+IFERROR(MATCH($C729,LISTE_NIVEAUX,0),99),VALUE(LEFT($B729,4))-$I729&gt;6+IFERROR(MATCH($C729,LISTE_NIVEAUX,0),99))),"⚠ Vérifier niveau",IF(AND(IFERROR(VLOOKUP($C729,TABLE_CYCLE,2,0),3)=2,COUNT($O729:$Q729)&gt;0),"⚠ Tests cycle 3",IF(COUNT($J729:$Q729)&gt;=IF(IFERROR(VLOOKUP($C729,TABLE_CYCLE,2,0),3)=2,5,8),"Complet","Incomplet"))))))))</f>
        <v/>
      </c>
      <c r="S729" s="24"/>
      <c r="T729" s="67" t="str">
        <f t="shared" si="100"/>
        <v/>
      </c>
      <c r="U729" s="67" t="str">
        <f t="shared" si="101"/>
        <v/>
      </c>
      <c r="V729" s="67" t="str">
        <f t="shared" si="102"/>
        <v/>
      </c>
      <c r="W729" s="67" t="str">
        <f t="shared" si="103"/>
        <v/>
      </c>
      <c r="X729" s="67" t="str">
        <f t="shared" si="104"/>
        <v/>
      </c>
      <c r="Y729" s="24" t="str">
        <f t="shared" si="105"/>
        <v/>
      </c>
      <c r="Z729">
        <f t="shared" si="106"/>
        <v>0</v>
      </c>
      <c r="AA729">
        <f t="shared" si="107"/>
        <v>0</v>
      </c>
    </row>
    <row r="730" spans="2:27" ht="15.75" customHeight="1" x14ac:dyDescent="0.3">
      <c r="B730" s="25"/>
      <c r="C730" s="25"/>
      <c r="D730" s="25"/>
      <c r="E730" s="26" t="str">
        <f t="shared" si="99"/>
        <v/>
      </c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3" t="str">
        <f>IF($F730="","",IF(OR($B730="",$C730="",$D730=""),"⚠ Compléter Année/Niveau/Session",IF(AND($E730&lt;&gt;"",COUNTIF(D_KEY_DOUBLON,$B730&amp;"|"&amp;$D730&amp;"|"&amp;$E730)&gt;1),"⚠ Doublon",IF(AND($E730&lt;&gt;"",COUNTIF(D_KEY_STATUT,$B730&amp;"|"&amp;$E730&amp;"|P")&gt;0,COUNTIF(D_KEY_STATUT,$B730&amp;"|"&amp;$E730&amp;"|A")&gt;0),"⚠ Statut incohérent",IF(AND($D730="S1",$Y730&lt;&gt;"Parti",COUNTIF(ANNEES_VERROU,$B730)&gt;0,COUNTIF(D_KEY_NIVSES,$B730&amp;"|"&amp;$C730&amp;"|S2")&gt;0,COUNTIF(D_KEY_DOUBLON,$B730&amp;"|S2|"&amp;$E730)=0),"⚠ Départ non confirmé ?",IF(AND($C730&lt;&gt;"",ISNUMBER($I730),OR(VALUE(LEFT($B730,4))-$I730&lt;4+IFERROR(MATCH($C730,LISTE_NIVEAUX,0),99),VALUE(LEFT($B730,4))-$I730&gt;6+IFERROR(MATCH($C730,LISTE_NIVEAUX,0),99))),"⚠ Vérifier niveau",IF(AND(IFERROR(VLOOKUP($C730,TABLE_CYCLE,2,0),3)=2,COUNT($O730:$Q730)&gt;0),"⚠ Tests cycle 3",IF(COUNT($J730:$Q730)&gt;=IF(IFERROR(VLOOKUP($C730,TABLE_CYCLE,2,0),3)=2,5,8),"Complet","Incomplet"))))))))</f>
        <v/>
      </c>
      <c r="S730" s="24"/>
      <c r="T730" s="67" t="str">
        <f t="shared" si="100"/>
        <v/>
      </c>
      <c r="U730" s="67" t="str">
        <f t="shared" si="101"/>
        <v/>
      </c>
      <c r="V730" s="67" t="str">
        <f t="shared" si="102"/>
        <v/>
      </c>
      <c r="W730" s="67" t="str">
        <f t="shared" si="103"/>
        <v/>
      </c>
      <c r="X730" s="67" t="str">
        <f t="shared" si="104"/>
        <v/>
      </c>
      <c r="Y730" s="24" t="str">
        <f t="shared" si="105"/>
        <v/>
      </c>
      <c r="Z730">
        <f t="shared" si="106"/>
        <v>0</v>
      </c>
      <c r="AA730">
        <f t="shared" si="107"/>
        <v>0</v>
      </c>
    </row>
    <row r="731" spans="2:27" ht="15.75" customHeight="1" x14ac:dyDescent="0.3">
      <c r="B731" s="21"/>
      <c r="C731" s="21"/>
      <c r="D731" s="21"/>
      <c r="E731" s="22" t="str">
        <f t="shared" si="99"/>
        <v/>
      </c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3" t="str">
        <f>IF($F731="","",IF(OR($B731="",$C731="",$D731=""),"⚠ Compléter Année/Niveau/Session",IF(AND($E731&lt;&gt;"",COUNTIF(D_KEY_DOUBLON,$B731&amp;"|"&amp;$D731&amp;"|"&amp;$E731)&gt;1),"⚠ Doublon",IF(AND($E731&lt;&gt;"",COUNTIF(D_KEY_STATUT,$B731&amp;"|"&amp;$E731&amp;"|P")&gt;0,COUNTIF(D_KEY_STATUT,$B731&amp;"|"&amp;$E731&amp;"|A")&gt;0),"⚠ Statut incohérent",IF(AND($D731="S1",$Y731&lt;&gt;"Parti",COUNTIF(ANNEES_VERROU,$B731)&gt;0,COUNTIF(D_KEY_NIVSES,$B731&amp;"|"&amp;$C731&amp;"|S2")&gt;0,COUNTIF(D_KEY_DOUBLON,$B731&amp;"|S2|"&amp;$E731)=0),"⚠ Départ non confirmé ?",IF(AND($C731&lt;&gt;"",ISNUMBER($I731),OR(VALUE(LEFT($B731,4))-$I731&lt;4+IFERROR(MATCH($C731,LISTE_NIVEAUX,0),99),VALUE(LEFT($B731,4))-$I731&gt;6+IFERROR(MATCH($C731,LISTE_NIVEAUX,0),99))),"⚠ Vérifier niveau",IF(AND(IFERROR(VLOOKUP($C731,TABLE_CYCLE,2,0),3)=2,COUNT($O731:$Q731)&gt;0),"⚠ Tests cycle 3",IF(COUNT($J731:$Q731)&gt;=IF(IFERROR(VLOOKUP($C731,TABLE_CYCLE,2,0),3)=2,5,8),"Complet","Incomplet"))))))))</f>
        <v/>
      </c>
      <c r="S731" s="24"/>
      <c r="T731" s="67" t="str">
        <f t="shared" si="100"/>
        <v/>
      </c>
      <c r="U731" s="67" t="str">
        <f t="shared" si="101"/>
        <v/>
      </c>
      <c r="V731" s="67" t="str">
        <f t="shared" si="102"/>
        <v/>
      </c>
      <c r="W731" s="67" t="str">
        <f t="shared" si="103"/>
        <v/>
      </c>
      <c r="X731" s="67" t="str">
        <f t="shared" si="104"/>
        <v/>
      </c>
      <c r="Y731" s="24" t="str">
        <f t="shared" si="105"/>
        <v/>
      </c>
      <c r="Z731">
        <f t="shared" si="106"/>
        <v>0</v>
      </c>
      <c r="AA731">
        <f t="shared" si="107"/>
        <v>0</v>
      </c>
    </row>
    <row r="732" spans="2:27" ht="15.75" customHeight="1" x14ac:dyDescent="0.3">
      <c r="B732" s="25"/>
      <c r="C732" s="25"/>
      <c r="D732" s="25"/>
      <c r="E732" s="26" t="str">
        <f t="shared" si="99"/>
        <v/>
      </c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3" t="str">
        <f>IF($F732="","",IF(OR($B732="",$C732="",$D732=""),"⚠ Compléter Année/Niveau/Session",IF(AND($E732&lt;&gt;"",COUNTIF(D_KEY_DOUBLON,$B732&amp;"|"&amp;$D732&amp;"|"&amp;$E732)&gt;1),"⚠ Doublon",IF(AND($E732&lt;&gt;"",COUNTIF(D_KEY_STATUT,$B732&amp;"|"&amp;$E732&amp;"|P")&gt;0,COUNTIF(D_KEY_STATUT,$B732&amp;"|"&amp;$E732&amp;"|A")&gt;0),"⚠ Statut incohérent",IF(AND($D732="S1",$Y732&lt;&gt;"Parti",COUNTIF(ANNEES_VERROU,$B732)&gt;0,COUNTIF(D_KEY_NIVSES,$B732&amp;"|"&amp;$C732&amp;"|S2")&gt;0,COUNTIF(D_KEY_DOUBLON,$B732&amp;"|S2|"&amp;$E732)=0),"⚠ Départ non confirmé ?",IF(AND($C732&lt;&gt;"",ISNUMBER($I732),OR(VALUE(LEFT($B732,4))-$I732&lt;4+IFERROR(MATCH($C732,LISTE_NIVEAUX,0),99),VALUE(LEFT($B732,4))-$I732&gt;6+IFERROR(MATCH($C732,LISTE_NIVEAUX,0),99))),"⚠ Vérifier niveau",IF(AND(IFERROR(VLOOKUP($C732,TABLE_CYCLE,2,0),3)=2,COUNT($O732:$Q732)&gt;0),"⚠ Tests cycle 3",IF(COUNT($J732:$Q732)&gt;=IF(IFERROR(VLOOKUP($C732,TABLE_CYCLE,2,0),3)=2,5,8),"Complet","Incomplet"))))))))</f>
        <v/>
      </c>
      <c r="S732" s="24"/>
      <c r="T732" s="67" t="str">
        <f t="shared" si="100"/>
        <v/>
      </c>
      <c r="U732" s="67" t="str">
        <f t="shared" si="101"/>
        <v/>
      </c>
      <c r="V732" s="67" t="str">
        <f t="shared" si="102"/>
        <v/>
      </c>
      <c r="W732" s="67" t="str">
        <f t="shared" si="103"/>
        <v/>
      </c>
      <c r="X732" s="67" t="str">
        <f t="shared" si="104"/>
        <v/>
      </c>
      <c r="Y732" s="24" t="str">
        <f t="shared" si="105"/>
        <v/>
      </c>
      <c r="Z732">
        <f t="shared" si="106"/>
        <v>0</v>
      </c>
      <c r="AA732">
        <f t="shared" si="107"/>
        <v>0</v>
      </c>
    </row>
    <row r="733" spans="2:27" ht="15.75" customHeight="1" x14ac:dyDescent="0.3">
      <c r="B733" s="21"/>
      <c r="C733" s="21"/>
      <c r="D733" s="21"/>
      <c r="E733" s="22" t="str">
        <f t="shared" si="99"/>
        <v/>
      </c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3" t="str">
        <f>IF($F733="","",IF(OR($B733="",$C733="",$D733=""),"⚠ Compléter Année/Niveau/Session",IF(AND($E733&lt;&gt;"",COUNTIF(D_KEY_DOUBLON,$B733&amp;"|"&amp;$D733&amp;"|"&amp;$E733)&gt;1),"⚠ Doublon",IF(AND($E733&lt;&gt;"",COUNTIF(D_KEY_STATUT,$B733&amp;"|"&amp;$E733&amp;"|P")&gt;0,COUNTIF(D_KEY_STATUT,$B733&amp;"|"&amp;$E733&amp;"|A")&gt;0),"⚠ Statut incohérent",IF(AND($D733="S1",$Y733&lt;&gt;"Parti",COUNTIF(ANNEES_VERROU,$B733)&gt;0,COUNTIF(D_KEY_NIVSES,$B733&amp;"|"&amp;$C733&amp;"|S2")&gt;0,COUNTIF(D_KEY_DOUBLON,$B733&amp;"|S2|"&amp;$E733)=0),"⚠ Départ non confirmé ?",IF(AND($C733&lt;&gt;"",ISNUMBER($I733),OR(VALUE(LEFT($B733,4))-$I733&lt;4+IFERROR(MATCH($C733,LISTE_NIVEAUX,0),99),VALUE(LEFT($B733,4))-$I733&gt;6+IFERROR(MATCH($C733,LISTE_NIVEAUX,0),99))),"⚠ Vérifier niveau",IF(AND(IFERROR(VLOOKUP($C733,TABLE_CYCLE,2,0),3)=2,COUNT($O733:$Q733)&gt;0),"⚠ Tests cycle 3",IF(COUNT($J733:$Q733)&gt;=IF(IFERROR(VLOOKUP($C733,TABLE_CYCLE,2,0),3)=2,5,8),"Complet","Incomplet"))))))))</f>
        <v/>
      </c>
      <c r="S733" s="24"/>
      <c r="T733" s="67" t="str">
        <f t="shared" si="100"/>
        <v/>
      </c>
      <c r="U733" s="67" t="str">
        <f t="shared" si="101"/>
        <v/>
      </c>
      <c r="V733" s="67" t="str">
        <f t="shared" si="102"/>
        <v/>
      </c>
      <c r="W733" s="67" t="str">
        <f t="shared" si="103"/>
        <v/>
      </c>
      <c r="X733" s="67" t="str">
        <f t="shared" si="104"/>
        <v/>
      </c>
      <c r="Y733" s="24" t="str">
        <f t="shared" si="105"/>
        <v/>
      </c>
      <c r="Z733">
        <f t="shared" si="106"/>
        <v>0</v>
      </c>
      <c r="AA733">
        <f t="shared" si="107"/>
        <v>0</v>
      </c>
    </row>
    <row r="734" spans="2:27" ht="15.75" customHeight="1" x14ac:dyDescent="0.3">
      <c r="B734" s="25"/>
      <c r="C734" s="25"/>
      <c r="D734" s="25"/>
      <c r="E734" s="26" t="str">
        <f t="shared" si="99"/>
        <v/>
      </c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3" t="str">
        <f>IF($F734="","",IF(OR($B734="",$C734="",$D734=""),"⚠ Compléter Année/Niveau/Session",IF(AND($E734&lt;&gt;"",COUNTIF(D_KEY_DOUBLON,$B734&amp;"|"&amp;$D734&amp;"|"&amp;$E734)&gt;1),"⚠ Doublon",IF(AND($E734&lt;&gt;"",COUNTIF(D_KEY_STATUT,$B734&amp;"|"&amp;$E734&amp;"|P")&gt;0,COUNTIF(D_KEY_STATUT,$B734&amp;"|"&amp;$E734&amp;"|A")&gt;0),"⚠ Statut incohérent",IF(AND($D734="S1",$Y734&lt;&gt;"Parti",COUNTIF(ANNEES_VERROU,$B734)&gt;0,COUNTIF(D_KEY_NIVSES,$B734&amp;"|"&amp;$C734&amp;"|S2")&gt;0,COUNTIF(D_KEY_DOUBLON,$B734&amp;"|S2|"&amp;$E734)=0),"⚠ Départ non confirmé ?",IF(AND($C734&lt;&gt;"",ISNUMBER($I734),OR(VALUE(LEFT($B734,4))-$I734&lt;4+IFERROR(MATCH($C734,LISTE_NIVEAUX,0),99),VALUE(LEFT($B734,4))-$I734&gt;6+IFERROR(MATCH($C734,LISTE_NIVEAUX,0),99))),"⚠ Vérifier niveau",IF(AND(IFERROR(VLOOKUP($C734,TABLE_CYCLE,2,0),3)=2,COUNT($O734:$Q734)&gt;0),"⚠ Tests cycle 3",IF(COUNT($J734:$Q734)&gt;=IF(IFERROR(VLOOKUP($C734,TABLE_CYCLE,2,0),3)=2,5,8),"Complet","Incomplet"))))))))</f>
        <v/>
      </c>
      <c r="S734" s="24"/>
      <c r="T734" s="67" t="str">
        <f t="shared" si="100"/>
        <v/>
      </c>
      <c r="U734" s="67" t="str">
        <f t="shared" si="101"/>
        <v/>
      </c>
      <c r="V734" s="67" t="str">
        <f t="shared" si="102"/>
        <v/>
      </c>
      <c r="W734" s="67" t="str">
        <f t="shared" si="103"/>
        <v/>
      </c>
      <c r="X734" s="67" t="str">
        <f t="shared" si="104"/>
        <v/>
      </c>
      <c r="Y734" s="24" t="str">
        <f t="shared" si="105"/>
        <v/>
      </c>
      <c r="Z734">
        <f t="shared" si="106"/>
        <v>0</v>
      </c>
      <c r="AA734">
        <f t="shared" si="107"/>
        <v>0</v>
      </c>
    </row>
    <row r="735" spans="2:27" ht="15.75" customHeight="1" x14ac:dyDescent="0.3">
      <c r="B735" s="21"/>
      <c r="C735" s="21"/>
      <c r="D735" s="21"/>
      <c r="E735" s="22" t="str">
        <f t="shared" si="99"/>
        <v/>
      </c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3" t="str">
        <f>IF($F735="","",IF(OR($B735="",$C735="",$D735=""),"⚠ Compléter Année/Niveau/Session",IF(AND($E735&lt;&gt;"",COUNTIF(D_KEY_DOUBLON,$B735&amp;"|"&amp;$D735&amp;"|"&amp;$E735)&gt;1),"⚠ Doublon",IF(AND($E735&lt;&gt;"",COUNTIF(D_KEY_STATUT,$B735&amp;"|"&amp;$E735&amp;"|P")&gt;0,COUNTIF(D_KEY_STATUT,$B735&amp;"|"&amp;$E735&amp;"|A")&gt;0),"⚠ Statut incohérent",IF(AND($D735="S1",$Y735&lt;&gt;"Parti",COUNTIF(ANNEES_VERROU,$B735)&gt;0,COUNTIF(D_KEY_NIVSES,$B735&amp;"|"&amp;$C735&amp;"|S2")&gt;0,COUNTIF(D_KEY_DOUBLON,$B735&amp;"|S2|"&amp;$E735)=0),"⚠ Départ non confirmé ?",IF(AND($C735&lt;&gt;"",ISNUMBER($I735),OR(VALUE(LEFT($B735,4))-$I735&lt;4+IFERROR(MATCH($C735,LISTE_NIVEAUX,0),99),VALUE(LEFT($B735,4))-$I735&gt;6+IFERROR(MATCH($C735,LISTE_NIVEAUX,0),99))),"⚠ Vérifier niveau",IF(AND(IFERROR(VLOOKUP($C735,TABLE_CYCLE,2,0),3)=2,COUNT($O735:$Q735)&gt;0),"⚠ Tests cycle 3",IF(COUNT($J735:$Q735)&gt;=IF(IFERROR(VLOOKUP($C735,TABLE_CYCLE,2,0),3)=2,5,8),"Complet","Incomplet"))))))))</f>
        <v/>
      </c>
      <c r="S735" s="24"/>
      <c r="T735" s="67" t="str">
        <f t="shared" si="100"/>
        <v/>
      </c>
      <c r="U735" s="67" t="str">
        <f t="shared" si="101"/>
        <v/>
      </c>
      <c r="V735" s="67" t="str">
        <f t="shared" si="102"/>
        <v/>
      </c>
      <c r="W735" s="67" t="str">
        <f t="shared" si="103"/>
        <v/>
      </c>
      <c r="X735" s="67" t="str">
        <f t="shared" si="104"/>
        <v/>
      </c>
      <c r="Y735" s="24" t="str">
        <f t="shared" si="105"/>
        <v/>
      </c>
      <c r="Z735">
        <f t="shared" si="106"/>
        <v>0</v>
      </c>
      <c r="AA735">
        <f t="shared" si="107"/>
        <v>0</v>
      </c>
    </row>
    <row r="736" spans="2:27" ht="15.75" customHeight="1" x14ac:dyDescent="0.3">
      <c r="B736" s="25"/>
      <c r="C736" s="25"/>
      <c r="D736" s="25"/>
      <c r="E736" s="26" t="str">
        <f t="shared" si="99"/>
        <v/>
      </c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3" t="str">
        <f>IF($F736="","",IF(OR($B736="",$C736="",$D736=""),"⚠ Compléter Année/Niveau/Session",IF(AND($E736&lt;&gt;"",COUNTIF(D_KEY_DOUBLON,$B736&amp;"|"&amp;$D736&amp;"|"&amp;$E736)&gt;1),"⚠ Doublon",IF(AND($E736&lt;&gt;"",COUNTIF(D_KEY_STATUT,$B736&amp;"|"&amp;$E736&amp;"|P")&gt;0,COUNTIF(D_KEY_STATUT,$B736&amp;"|"&amp;$E736&amp;"|A")&gt;0),"⚠ Statut incohérent",IF(AND($D736="S1",$Y736&lt;&gt;"Parti",COUNTIF(ANNEES_VERROU,$B736)&gt;0,COUNTIF(D_KEY_NIVSES,$B736&amp;"|"&amp;$C736&amp;"|S2")&gt;0,COUNTIF(D_KEY_DOUBLON,$B736&amp;"|S2|"&amp;$E736)=0),"⚠ Départ non confirmé ?",IF(AND($C736&lt;&gt;"",ISNUMBER($I736),OR(VALUE(LEFT($B736,4))-$I736&lt;4+IFERROR(MATCH($C736,LISTE_NIVEAUX,0),99),VALUE(LEFT($B736,4))-$I736&gt;6+IFERROR(MATCH($C736,LISTE_NIVEAUX,0),99))),"⚠ Vérifier niveau",IF(AND(IFERROR(VLOOKUP($C736,TABLE_CYCLE,2,0),3)=2,COUNT($O736:$Q736)&gt;0),"⚠ Tests cycle 3",IF(COUNT($J736:$Q736)&gt;=IF(IFERROR(VLOOKUP($C736,TABLE_CYCLE,2,0),3)=2,5,8),"Complet","Incomplet"))))))))</f>
        <v/>
      </c>
      <c r="S736" s="24"/>
      <c r="T736" s="67" t="str">
        <f t="shared" si="100"/>
        <v/>
      </c>
      <c r="U736" s="67" t="str">
        <f t="shared" si="101"/>
        <v/>
      </c>
      <c r="V736" s="67" t="str">
        <f t="shared" si="102"/>
        <v/>
      </c>
      <c r="W736" s="67" t="str">
        <f t="shared" si="103"/>
        <v/>
      </c>
      <c r="X736" s="67" t="str">
        <f t="shared" si="104"/>
        <v/>
      </c>
      <c r="Y736" s="24" t="str">
        <f t="shared" si="105"/>
        <v/>
      </c>
      <c r="Z736">
        <f t="shared" si="106"/>
        <v>0</v>
      </c>
      <c r="AA736">
        <f t="shared" si="107"/>
        <v>0</v>
      </c>
    </row>
    <row r="737" spans="2:27" ht="15.75" customHeight="1" x14ac:dyDescent="0.3">
      <c r="B737" s="21"/>
      <c r="C737" s="21"/>
      <c r="D737" s="21"/>
      <c r="E737" s="22" t="str">
        <f t="shared" si="99"/>
        <v/>
      </c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3" t="str">
        <f>IF($F737="","",IF(OR($B737="",$C737="",$D737=""),"⚠ Compléter Année/Niveau/Session",IF(AND($E737&lt;&gt;"",COUNTIF(D_KEY_DOUBLON,$B737&amp;"|"&amp;$D737&amp;"|"&amp;$E737)&gt;1),"⚠ Doublon",IF(AND($E737&lt;&gt;"",COUNTIF(D_KEY_STATUT,$B737&amp;"|"&amp;$E737&amp;"|P")&gt;0,COUNTIF(D_KEY_STATUT,$B737&amp;"|"&amp;$E737&amp;"|A")&gt;0),"⚠ Statut incohérent",IF(AND($D737="S1",$Y737&lt;&gt;"Parti",COUNTIF(ANNEES_VERROU,$B737)&gt;0,COUNTIF(D_KEY_NIVSES,$B737&amp;"|"&amp;$C737&amp;"|S2")&gt;0,COUNTIF(D_KEY_DOUBLON,$B737&amp;"|S2|"&amp;$E737)=0),"⚠ Départ non confirmé ?",IF(AND($C737&lt;&gt;"",ISNUMBER($I737),OR(VALUE(LEFT($B737,4))-$I737&lt;4+IFERROR(MATCH($C737,LISTE_NIVEAUX,0),99),VALUE(LEFT($B737,4))-$I737&gt;6+IFERROR(MATCH($C737,LISTE_NIVEAUX,0),99))),"⚠ Vérifier niveau",IF(AND(IFERROR(VLOOKUP($C737,TABLE_CYCLE,2,0),3)=2,COUNT($O737:$Q737)&gt;0),"⚠ Tests cycle 3",IF(COUNT($J737:$Q737)&gt;=IF(IFERROR(VLOOKUP($C737,TABLE_CYCLE,2,0),3)=2,5,8),"Complet","Incomplet"))))))))</f>
        <v/>
      </c>
      <c r="S737" s="24"/>
      <c r="T737" s="67" t="str">
        <f t="shared" si="100"/>
        <v/>
      </c>
      <c r="U737" s="67" t="str">
        <f t="shared" si="101"/>
        <v/>
      </c>
      <c r="V737" s="67" t="str">
        <f t="shared" si="102"/>
        <v/>
      </c>
      <c r="W737" s="67" t="str">
        <f t="shared" si="103"/>
        <v/>
      </c>
      <c r="X737" s="67" t="str">
        <f t="shared" si="104"/>
        <v/>
      </c>
      <c r="Y737" s="24" t="str">
        <f t="shared" si="105"/>
        <v/>
      </c>
      <c r="Z737">
        <f t="shared" si="106"/>
        <v>0</v>
      </c>
      <c r="AA737">
        <f t="shared" si="107"/>
        <v>0</v>
      </c>
    </row>
    <row r="738" spans="2:27" ht="15.75" customHeight="1" x14ac:dyDescent="0.3">
      <c r="B738" s="25"/>
      <c r="C738" s="25"/>
      <c r="D738" s="25"/>
      <c r="E738" s="26" t="str">
        <f t="shared" si="99"/>
        <v/>
      </c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3" t="str">
        <f>IF($F738="","",IF(OR($B738="",$C738="",$D738=""),"⚠ Compléter Année/Niveau/Session",IF(AND($E738&lt;&gt;"",COUNTIF(D_KEY_DOUBLON,$B738&amp;"|"&amp;$D738&amp;"|"&amp;$E738)&gt;1),"⚠ Doublon",IF(AND($E738&lt;&gt;"",COUNTIF(D_KEY_STATUT,$B738&amp;"|"&amp;$E738&amp;"|P")&gt;0,COUNTIF(D_KEY_STATUT,$B738&amp;"|"&amp;$E738&amp;"|A")&gt;0),"⚠ Statut incohérent",IF(AND($D738="S1",$Y738&lt;&gt;"Parti",COUNTIF(ANNEES_VERROU,$B738)&gt;0,COUNTIF(D_KEY_NIVSES,$B738&amp;"|"&amp;$C738&amp;"|S2")&gt;0,COUNTIF(D_KEY_DOUBLON,$B738&amp;"|S2|"&amp;$E738)=0),"⚠ Départ non confirmé ?",IF(AND($C738&lt;&gt;"",ISNUMBER($I738),OR(VALUE(LEFT($B738,4))-$I738&lt;4+IFERROR(MATCH($C738,LISTE_NIVEAUX,0),99),VALUE(LEFT($B738,4))-$I738&gt;6+IFERROR(MATCH($C738,LISTE_NIVEAUX,0),99))),"⚠ Vérifier niveau",IF(AND(IFERROR(VLOOKUP($C738,TABLE_CYCLE,2,0),3)=2,COUNT($O738:$Q738)&gt;0),"⚠ Tests cycle 3",IF(COUNT($J738:$Q738)&gt;=IF(IFERROR(VLOOKUP($C738,TABLE_CYCLE,2,0),3)=2,5,8),"Complet","Incomplet"))))))))</f>
        <v/>
      </c>
      <c r="S738" s="24"/>
      <c r="T738" s="67" t="str">
        <f t="shared" si="100"/>
        <v/>
      </c>
      <c r="U738" s="67" t="str">
        <f t="shared" si="101"/>
        <v/>
      </c>
      <c r="V738" s="67" t="str">
        <f t="shared" si="102"/>
        <v/>
      </c>
      <c r="W738" s="67" t="str">
        <f t="shared" si="103"/>
        <v/>
      </c>
      <c r="X738" s="67" t="str">
        <f t="shared" si="104"/>
        <v/>
      </c>
      <c r="Y738" s="24" t="str">
        <f t="shared" si="105"/>
        <v/>
      </c>
      <c r="Z738">
        <f t="shared" si="106"/>
        <v>0</v>
      </c>
      <c r="AA738">
        <f t="shared" si="107"/>
        <v>0</v>
      </c>
    </row>
    <row r="739" spans="2:27" ht="15.75" customHeight="1" x14ac:dyDescent="0.3">
      <c r="B739" s="21"/>
      <c r="C739" s="21"/>
      <c r="D739" s="21"/>
      <c r="E739" s="22" t="str">
        <f t="shared" si="99"/>
        <v/>
      </c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3" t="str">
        <f>IF($F739="","",IF(OR($B739="",$C739="",$D739=""),"⚠ Compléter Année/Niveau/Session",IF(AND($E739&lt;&gt;"",COUNTIF(D_KEY_DOUBLON,$B739&amp;"|"&amp;$D739&amp;"|"&amp;$E739)&gt;1),"⚠ Doublon",IF(AND($E739&lt;&gt;"",COUNTIF(D_KEY_STATUT,$B739&amp;"|"&amp;$E739&amp;"|P")&gt;0,COUNTIF(D_KEY_STATUT,$B739&amp;"|"&amp;$E739&amp;"|A")&gt;0),"⚠ Statut incohérent",IF(AND($D739="S1",$Y739&lt;&gt;"Parti",COUNTIF(ANNEES_VERROU,$B739)&gt;0,COUNTIF(D_KEY_NIVSES,$B739&amp;"|"&amp;$C739&amp;"|S2")&gt;0,COUNTIF(D_KEY_DOUBLON,$B739&amp;"|S2|"&amp;$E739)=0),"⚠ Départ non confirmé ?",IF(AND($C739&lt;&gt;"",ISNUMBER($I739),OR(VALUE(LEFT($B739,4))-$I739&lt;4+IFERROR(MATCH($C739,LISTE_NIVEAUX,0),99),VALUE(LEFT($B739,4))-$I739&gt;6+IFERROR(MATCH($C739,LISTE_NIVEAUX,0),99))),"⚠ Vérifier niveau",IF(AND(IFERROR(VLOOKUP($C739,TABLE_CYCLE,2,0),3)=2,COUNT($O739:$Q739)&gt;0),"⚠ Tests cycle 3",IF(COUNT($J739:$Q739)&gt;=IF(IFERROR(VLOOKUP($C739,TABLE_CYCLE,2,0),3)=2,5,8),"Complet","Incomplet"))))))))</f>
        <v/>
      </c>
      <c r="S739" s="24"/>
      <c r="T739" s="67" t="str">
        <f t="shared" si="100"/>
        <v/>
      </c>
      <c r="U739" s="67" t="str">
        <f t="shared" si="101"/>
        <v/>
      </c>
      <c r="V739" s="67" t="str">
        <f t="shared" si="102"/>
        <v/>
      </c>
      <c r="W739" s="67" t="str">
        <f t="shared" si="103"/>
        <v/>
      </c>
      <c r="X739" s="67" t="str">
        <f t="shared" si="104"/>
        <v/>
      </c>
      <c r="Y739" s="24" t="str">
        <f t="shared" si="105"/>
        <v/>
      </c>
      <c r="Z739">
        <f t="shared" si="106"/>
        <v>0</v>
      </c>
      <c r="AA739">
        <f t="shared" si="107"/>
        <v>0</v>
      </c>
    </row>
    <row r="740" spans="2:27" ht="15.75" customHeight="1" x14ac:dyDescent="0.3">
      <c r="B740" s="25"/>
      <c r="C740" s="25"/>
      <c r="D740" s="25"/>
      <c r="E740" s="26" t="str">
        <f t="shared" si="99"/>
        <v/>
      </c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3" t="str">
        <f>IF($F740="","",IF(OR($B740="",$C740="",$D740=""),"⚠ Compléter Année/Niveau/Session",IF(AND($E740&lt;&gt;"",COUNTIF(D_KEY_DOUBLON,$B740&amp;"|"&amp;$D740&amp;"|"&amp;$E740)&gt;1),"⚠ Doublon",IF(AND($E740&lt;&gt;"",COUNTIF(D_KEY_STATUT,$B740&amp;"|"&amp;$E740&amp;"|P")&gt;0,COUNTIF(D_KEY_STATUT,$B740&amp;"|"&amp;$E740&amp;"|A")&gt;0),"⚠ Statut incohérent",IF(AND($D740="S1",$Y740&lt;&gt;"Parti",COUNTIF(ANNEES_VERROU,$B740)&gt;0,COUNTIF(D_KEY_NIVSES,$B740&amp;"|"&amp;$C740&amp;"|S2")&gt;0,COUNTIF(D_KEY_DOUBLON,$B740&amp;"|S2|"&amp;$E740)=0),"⚠ Départ non confirmé ?",IF(AND($C740&lt;&gt;"",ISNUMBER($I740),OR(VALUE(LEFT($B740,4))-$I740&lt;4+IFERROR(MATCH($C740,LISTE_NIVEAUX,0),99),VALUE(LEFT($B740,4))-$I740&gt;6+IFERROR(MATCH($C740,LISTE_NIVEAUX,0),99))),"⚠ Vérifier niveau",IF(AND(IFERROR(VLOOKUP($C740,TABLE_CYCLE,2,0),3)=2,COUNT($O740:$Q740)&gt;0),"⚠ Tests cycle 3",IF(COUNT($J740:$Q740)&gt;=IF(IFERROR(VLOOKUP($C740,TABLE_CYCLE,2,0),3)=2,5,8),"Complet","Incomplet"))))))))</f>
        <v/>
      </c>
      <c r="S740" s="24"/>
      <c r="T740" s="67" t="str">
        <f t="shared" si="100"/>
        <v/>
      </c>
      <c r="U740" s="67" t="str">
        <f t="shared" si="101"/>
        <v/>
      </c>
      <c r="V740" s="67" t="str">
        <f t="shared" si="102"/>
        <v/>
      </c>
      <c r="W740" s="67" t="str">
        <f t="shared" si="103"/>
        <v/>
      </c>
      <c r="X740" s="67" t="str">
        <f t="shared" si="104"/>
        <v/>
      </c>
      <c r="Y740" s="24" t="str">
        <f t="shared" si="105"/>
        <v/>
      </c>
      <c r="Z740">
        <f t="shared" si="106"/>
        <v>0</v>
      </c>
      <c r="AA740">
        <f t="shared" si="107"/>
        <v>0</v>
      </c>
    </row>
    <row r="741" spans="2:27" ht="15.75" customHeight="1" x14ac:dyDescent="0.3">
      <c r="B741" s="21"/>
      <c r="C741" s="21"/>
      <c r="D741" s="21"/>
      <c r="E741" s="22" t="str">
        <f t="shared" si="99"/>
        <v/>
      </c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3" t="str">
        <f>IF($F741="","",IF(OR($B741="",$C741="",$D741=""),"⚠ Compléter Année/Niveau/Session",IF(AND($E741&lt;&gt;"",COUNTIF(D_KEY_DOUBLON,$B741&amp;"|"&amp;$D741&amp;"|"&amp;$E741)&gt;1),"⚠ Doublon",IF(AND($E741&lt;&gt;"",COUNTIF(D_KEY_STATUT,$B741&amp;"|"&amp;$E741&amp;"|P")&gt;0,COUNTIF(D_KEY_STATUT,$B741&amp;"|"&amp;$E741&amp;"|A")&gt;0),"⚠ Statut incohérent",IF(AND($D741="S1",$Y741&lt;&gt;"Parti",COUNTIF(ANNEES_VERROU,$B741)&gt;0,COUNTIF(D_KEY_NIVSES,$B741&amp;"|"&amp;$C741&amp;"|S2")&gt;0,COUNTIF(D_KEY_DOUBLON,$B741&amp;"|S2|"&amp;$E741)=0),"⚠ Départ non confirmé ?",IF(AND($C741&lt;&gt;"",ISNUMBER($I741),OR(VALUE(LEFT($B741,4))-$I741&lt;4+IFERROR(MATCH($C741,LISTE_NIVEAUX,0),99),VALUE(LEFT($B741,4))-$I741&gt;6+IFERROR(MATCH($C741,LISTE_NIVEAUX,0),99))),"⚠ Vérifier niveau",IF(AND(IFERROR(VLOOKUP($C741,TABLE_CYCLE,2,0),3)=2,COUNT($O741:$Q741)&gt;0),"⚠ Tests cycle 3",IF(COUNT($J741:$Q741)&gt;=IF(IFERROR(VLOOKUP($C741,TABLE_CYCLE,2,0),3)=2,5,8),"Complet","Incomplet"))))))))</f>
        <v/>
      </c>
      <c r="S741" s="24"/>
      <c r="T741" s="67" t="str">
        <f t="shared" si="100"/>
        <v/>
      </c>
      <c r="U741" s="67" t="str">
        <f t="shared" si="101"/>
        <v/>
      </c>
      <c r="V741" s="67" t="str">
        <f t="shared" si="102"/>
        <v/>
      </c>
      <c r="W741" s="67" t="str">
        <f t="shared" si="103"/>
        <v/>
      </c>
      <c r="X741" s="67" t="str">
        <f t="shared" si="104"/>
        <v/>
      </c>
      <c r="Y741" s="24" t="str">
        <f t="shared" si="105"/>
        <v/>
      </c>
      <c r="Z741">
        <f t="shared" si="106"/>
        <v>0</v>
      </c>
      <c r="AA741">
        <f t="shared" si="107"/>
        <v>0</v>
      </c>
    </row>
    <row r="742" spans="2:27" ht="15.75" customHeight="1" x14ac:dyDescent="0.3">
      <c r="B742" s="25"/>
      <c r="C742" s="25"/>
      <c r="D742" s="25"/>
      <c r="E742" s="26" t="str">
        <f t="shared" si="99"/>
        <v/>
      </c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3" t="str">
        <f>IF($F742="","",IF(OR($B742="",$C742="",$D742=""),"⚠ Compléter Année/Niveau/Session",IF(AND($E742&lt;&gt;"",COUNTIF(D_KEY_DOUBLON,$B742&amp;"|"&amp;$D742&amp;"|"&amp;$E742)&gt;1),"⚠ Doublon",IF(AND($E742&lt;&gt;"",COUNTIF(D_KEY_STATUT,$B742&amp;"|"&amp;$E742&amp;"|P")&gt;0,COUNTIF(D_KEY_STATUT,$B742&amp;"|"&amp;$E742&amp;"|A")&gt;0),"⚠ Statut incohérent",IF(AND($D742="S1",$Y742&lt;&gt;"Parti",COUNTIF(ANNEES_VERROU,$B742)&gt;0,COUNTIF(D_KEY_NIVSES,$B742&amp;"|"&amp;$C742&amp;"|S2")&gt;0,COUNTIF(D_KEY_DOUBLON,$B742&amp;"|S2|"&amp;$E742)=0),"⚠ Départ non confirmé ?",IF(AND($C742&lt;&gt;"",ISNUMBER($I742),OR(VALUE(LEFT($B742,4))-$I742&lt;4+IFERROR(MATCH($C742,LISTE_NIVEAUX,0),99),VALUE(LEFT($B742,4))-$I742&gt;6+IFERROR(MATCH($C742,LISTE_NIVEAUX,0),99))),"⚠ Vérifier niveau",IF(AND(IFERROR(VLOOKUP($C742,TABLE_CYCLE,2,0),3)=2,COUNT($O742:$Q742)&gt;0),"⚠ Tests cycle 3",IF(COUNT($J742:$Q742)&gt;=IF(IFERROR(VLOOKUP($C742,TABLE_CYCLE,2,0),3)=2,5,8),"Complet","Incomplet"))))))))</f>
        <v/>
      </c>
      <c r="S742" s="24"/>
      <c r="T742" s="67" t="str">
        <f t="shared" si="100"/>
        <v/>
      </c>
      <c r="U742" s="67" t="str">
        <f t="shared" si="101"/>
        <v/>
      </c>
      <c r="V742" s="67" t="str">
        <f t="shared" si="102"/>
        <v/>
      </c>
      <c r="W742" s="67" t="str">
        <f t="shared" si="103"/>
        <v/>
      </c>
      <c r="X742" s="67" t="str">
        <f t="shared" si="104"/>
        <v/>
      </c>
      <c r="Y742" s="24" t="str">
        <f t="shared" si="105"/>
        <v/>
      </c>
      <c r="Z742">
        <f t="shared" si="106"/>
        <v>0</v>
      </c>
      <c r="AA742">
        <f t="shared" si="107"/>
        <v>0</v>
      </c>
    </row>
    <row r="743" spans="2:27" ht="15.75" customHeight="1" x14ac:dyDescent="0.3">
      <c r="B743" s="21"/>
      <c r="C743" s="21"/>
      <c r="D743" s="21"/>
      <c r="E743" s="22" t="str">
        <f t="shared" si="99"/>
        <v/>
      </c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3" t="str">
        <f>IF($F743="","",IF(OR($B743="",$C743="",$D743=""),"⚠ Compléter Année/Niveau/Session",IF(AND($E743&lt;&gt;"",COUNTIF(D_KEY_DOUBLON,$B743&amp;"|"&amp;$D743&amp;"|"&amp;$E743)&gt;1),"⚠ Doublon",IF(AND($E743&lt;&gt;"",COUNTIF(D_KEY_STATUT,$B743&amp;"|"&amp;$E743&amp;"|P")&gt;0,COUNTIF(D_KEY_STATUT,$B743&amp;"|"&amp;$E743&amp;"|A")&gt;0),"⚠ Statut incohérent",IF(AND($D743="S1",$Y743&lt;&gt;"Parti",COUNTIF(ANNEES_VERROU,$B743)&gt;0,COUNTIF(D_KEY_NIVSES,$B743&amp;"|"&amp;$C743&amp;"|S2")&gt;0,COUNTIF(D_KEY_DOUBLON,$B743&amp;"|S2|"&amp;$E743)=0),"⚠ Départ non confirmé ?",IF(AND($C743&lt;&gt;"",ISNUMBER($I743),OR(VALUE(LEFT($B743,4))-$I743&lt;4+IFERROR(MATCH($C743,LISTE_NIVEAUX,0),99),VALUE(LEFT($B743,4))-$I743&gt;6+IFERROR(MATCH($C743,LISTE_NIVEAUX,0),99))),"⚠ Vérifier niveau",IF(AND(IFERROR(VLOOKUP($C743,TABLE_CYCLE,2,0),3)=2,COUNT($O743:$Q743)&gt;0),"⚠ Tests cycle 3",IF(COUNT($J743:$Q743)&gt;=IF(IFERROR(VLOOKUP($C743,TABLE_CYCLE,2,0),3)=2,5,8),"Complet","Incomplet"))))))))</f>
        <v/>
      </c>
      <c r="S743" s="24"/>
      <c r="T743" s="67" t="str">
        <f t="shared" si="100"/>
        <v/>
      </c>
      <c r="U743" s="67" t="str">
        <f t="shared" si="101"/>
        <v/>
      </c>
      <c r="V743" s="67" t="str">
        <f t="shared" si="102"/>
        <v/>
      </c>
      <c r="W743" s="67" t="str">
        <f t="shared" si="103"/>
        <v/>
      </c>
      <c r="X743" s="67" t="str">
        <f t="shared" si="104"/>
        <v/>
      </c>
      <c r="Y743" s="24" t="str">
        <f t="shared" si="105"/>
        <v/>
      </c>
      <c r="Z743">
        <f t="shared" si="106"/>
        <v>0</v>
      </c>
      <c r="AA743">
        <f t="shared" si="107"/>
        <v>0</v>
      </c>
    </row>
    <row r="744" spans="2:27" ht="15.75" customHeight="1" x14ac:dyDescent="0.3">
      <c r="B744" s="25"/>
      <c r="C744" s="25"/>
      <c r="D744" s="25"/>
      <c r="E744" s="26" t="str">
        <f t="shared" si="99"/>
        <v/>
      </c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3" t="str">
        <f>IF($F744="","",IF(OR($B744="",$C744="",$D744=""),"⚠ Compléter Année/Niveau/Session",IF(AND($E744&lt;&gt;"",COUNTIF(D_KEY_DOUBLON,$B744&amp;"|"&amp;$D744&amp;"|"&amp;$E744)&gt;1),"⚠ Doublon",IF(AND($E744&lt;&gt;"",COUNTIF(D_KEY_STATUT,$B744&amp;"|"&amp;$E744&amp;"|P")&gt;0,COUNTIF(D_KEY_STATUT,$B744&amp;"|"&amp;$E744&amp;"|A")&gt;0),"⚠ Statut incohérent",IF(AND($D744="S1",$Y744&lt;&gt;"Parti",COUNTIF(ANNEES_VERROU,$B744)&gt;0,COUNTIF(D_KEY_NIVSES,$B744&amp;"|"&amp;$C744&amp;"|S2")&gt;0,COUNTIF(D_KEY_DOUBLON,$B744&amp;"|S2|"&amp;$E744)=0),"⚠ Départ non confirmé ?",IF(AND($C744&lt;&gt;"",ISNUMBER($I744),OR(VALUE(LEFT($B744,4))-$I744&lt;4+IFERROR(MATCH($C744,LISTE_NIVEAUX,0),99),VALUE(LEFT($B744,4))-$I744&gt;6+IFERROR(MATCH($C744,LISTE_NIVEAUX,0),99))),"⚠ Vérifier niveau",IF(AND(IFERROR(VLOOKUP($C744,TABLE_CYCLE,2,0),3)=2,COUNT($O744:$Q744)&gt;0),"⚠ Tests cycle 3",IF(COUNT($J744:$Q744)&gt;=IF(IFERROR(VLOOKUP($C744,TABLE_CYCLE,2,0),3)=2,5,8),"Complet","Incomplet"))))))))</f>
        <v/>
      </c>
      <c r="S744" s="24"/>
      <c r="T744" s="67" t="str">
        <f t="shared" si="100"/>
        <v/>
      </c>
      <c r="U744" s="67" t="str">
        <f t="shared" si="101"/>
        <v/>
      </c>
      <c r="V744" s="67" t="str">
        <f t="shared" si="102"/>
        <v/>
      </c>
      <c r="W744" s="67" t="str">
        <f t="shared" si="103"/>
        <v/>
      </c>
      <c r="X744" s="67" t="str">
        <f t="shared" si="104"/>
        <v/>
      </c>
      <c r="Y744" s="24" t="str">
        <f t="shared" si="105"/>
        <v/>
      </c>
      <c r="Z744">
        <f t="shared" si="106"/>
        <v>0</v>
      </c>
      <c r="AA744">
        <f t="shared" si="107"/>
        <v>0</v>
      </c>
    </row>
    <row r="745" spans="2:27" ht="15.75" customHeight="1" x14ac:dyDescent="0.3">
      <c r="B745" s="21"/>
      <c r="C745" s="21"/>
      <c r="D745" s="21"/>
      <c r="E745" s="22" t="str">
        <f t="shared" si="99"/>
        <v/>
      </c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3" t="str">
        <f>IF($F745="","",IF(OR($B745="",$C745="",$D745=""),"⚠ Compléter Année/Niveau/Session",IF(AND($E745&lt;&gt;"",COUNTIF(D_KEY_DOUBLON,$B745&amp;"|"&amp;$D745&amp;"|"&amp;$E745)&gt;1),"⚠ Doublon",IF(AND($E745&lt;&gt;"",COUNTIF(D_KEY_STATUT,$B745&amp;"|"&amp;$E745&amp;"|P")&gt;0,COUNTIF(D_KEY_STATUT,$B745&amp;"|"&amp;$E745&amp;"|A")&gt;0),"⚠ Statut incohérent",IF(AND($D745="S1",$Y745&lt;&gt;"Parti",COUNTIF(ANNEES_VERROU,$B745)&gt;0,COUNTIF(D_KEY_NIVSES,$B745&amp;"|"&amp;$C745&amp;"|S2")&gt;0,COUNTIF(D_KEY_DOUBLON,$B745&amp;"|S2|"&amp;$E745)=0),"⚠ Départ non confirmé ?",IF(AND($C745&lt;&gt;"",ISNUMBER($I745),OR(VALUE(LEFT($B745,4))-$I745&lt;4+IFERROR(MATCH($C745,LISTE_NIVEAUX,0),99),VALUE(LEFT($B745,4))-$I745&gt;6+IFERROR(MATCH($C745,LISTE_NIVEAUX,0),99))),"⚠ Vérifier niveau",IF(AND(IFERROR(VLOOKUP($C745,TABLE_CYCLE,2,0),3)=2,COUNT($O745:$Q745)&gt;0),"⚠ Tests cycle 3",IF(COUNT($J745:$Q745)&gt;=IF(IFERROR(VLOOKUP($C745,TABLE_CYCLE,2,0),3)=2,5,8),"Complet","Incomplet"))))))))</f>
        <v/>
      </c>
      <c r="S745" s="24"/>
      <c r="T745" s="67" t="str">
        <f t="shared" si="100"/>
        <v/>
      </c>
      <c r="U745" s="67" t="str">
        <f t="shared" si="101"/>
        <v/>
      </c>
      <c r="V745" s="67" t="str">
        <f t="shared" si="102"/>
        <v/>
      </c>
      <c r="W745" s="67" t="str">
        <f t="shared" si="103"/>
        <v/>
      </c>
      <c r="X745" s="67" t="str">
        <f t="shared" si="104"/>
        <v/>
      </c>
      <c r="Y745" s="24" t="str">
        <f t="shared" si="105"/>
        <v/>
      </c>
      <c r="Z745">
        <f t="shared" si="106"/>
        <v>0</v>
      </c>
      <c r="AA745">
        <f t="shared" si="107"/>
        <v>0</v>
      </c>
    </row>
    <row r="746" spans="2:27" ht="15.75" customHeight="1" x14ac:dyDescent="0.3">
      <c r="B746" s="25"/>
      <c r="C746" s="25"/>
      <c r="D746" s="25"/>
      <c r="E746" s="26" t="str">
        <f t="shared" si="99"/>
        <v/>
      </c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3" t="str">
        <f>IF($F746="","",IF(OR($B746="",$C746="",$D746=""),"⚠ Compléter Année/Niveau/Session",IF(AND($E746&lt;&gt;"",COUNTIF(D_KEY_DOUBLON,$B746&amp;"|"&amp;$D746&amp;"|"&amp;$E746)&gt;1),"⚠ Doublon",IF(AND($E746&lt;&gt;"",COUNTIF(D_KEY_STATUT,$B746&amp;"|"&amp;$E746&amp;"|P")&gt;0,COUNTIF(D_KEY_STATUT,$B746&amp;"|"&amp;$E746&amp;"|A")&gt;0),"⚠ Statut incohérent",IF(AND($D746="S1",$Y746&lt;&gt;"Parti",COUNTIF(ANNEES_VERROU,$B746)&gt;0,COUNTIF(D_KEY_NIVSES,$B746&amp;"|"&amp;$C746&amp;"|S2")&gt;0,COUNTIF(D_KEY_DOUBLON,$B746&amp;"|S2|"&amp;$E746)=0),"⚠ Départ non confirmé ?",IF(AND($C746&lt;&gt;"",ISNUMBER($I746),OR(VALUE(LEFT($B746,4))-$I746&lt;4+IFERROR(MATCH($C746,LISTE_NIVEAUX,0),99),VALUE(LEFT($B746,4))-$I746&gt;6+IFERROR(MATCH($C746,LISTE_NIVEAUX,0),99))),"⚠ Vérifier niveau",IF(AND(IFERROR(VLOOKUP($C746,TABLE_CYCLE,2,0),3)=2,COUNT($O746:$Q746)&gt;0),"⚠ Tests cycle 3",IF(COUNT($J746:$Q746)&gt;=IF(IFERROR(VLOOKUP($C746,TABLE_CYCLE,2,0),3)=2,5,8),"Complet","Incomplet"))))))))</f>
        <v/>
      </c>
      <c r="S746" s="24"/>
      <c r="T746" s="67" t="str">
        <f t="shared" si="100"/>
        <v/>
      </c>
      <c r="U746" s="67" t="str">
        <f t="shared" si="101"/>
        <v/>
      </c>
      <c r="V746" s="67" t="str">
        <f t="shared" si="102"/>
        <v/>
      </c>
      <c r="W746" s="67" t="str">
        <f t="shared" si="103"/>
        <v/>
      </c>
      <c r="X746" s="67" t="str">
        <f t="shared" si="104"/>
        <v/>
      </c>
      <c r="Y746" s="24" t="str">
        <f t="shared" si="105"/>
        <v/>
      </c>
      <c r="Z746">
        <f t="shared" si="106"/>
        <v>0</v>
      </c>
      <c r="AA746">
        <f t="shared" si="107"/>
        <v>0</v>
      </c>
    </row>
    <row r="747" spans="2:27" ht="15.75" customHeight="1" x14ac:dyDescent="0.3">
      <c r="B747" s="21"/>
      <c r="C747" s="21"/>
      <c r="D747" s="21"/>
      <c r="E747" s="22" t="str">
        <f t="shared" si="99"/>
        <v/>
      </c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3" t="str">
        <f>IF($F747="","",IF(OR($B747="",$C747="",$D747=""),"⚠ Compléter Année/Niveau/Session",IF(AND($E747&lt;&gt;"",COUNTIF(D_KEY_DOUBLON,$B747&amp;"|"&amp;$D747&amp;"|"&amp;$E747)&gt;1),"⚠ Doublon",IF(AND($E747&lt;&gt;"",COUNTIF(D_KEY_STATUT,$B747&amp;"|"&amp;$E747&amp;"|P")&gt;0,COUNTIF(D_KEY_STATUT,$B747&amp;"|"&amp;$E747&amp;"|A")&gt;0),"⚠ Statut incohérent",IF(AND($D747="S1",$Y747&lt;&gt;"Parti",COUNTIF(ANNEES_VERROU,$B747)&gt;0,COUNTIF(D_KEY_NIVSES,$B747&amp;"|"&amp;$C747&amp;"|S2")&gt;0,COUNTIF(D_KEY_DOUBLON,$B747&amp;"|S2|"&amp;$E747)=0),"⚠ Départ non confirmé ?",IF(AND($C747&lt;&gt;"",ISNUMBER($I747),OR(VALUE(LEFT($B747,4))-$I747&lt;4+IFERROR(MATCH($C747,LISTE_NIVEAUX,0),99),VALUE(LEFT($B747,4))-$I747&gt;6+IFERROR(MATCH($C747,LISTE_NIVEAUX,0),99))),"⚠ Vérifier niveau",IF(AND(IFERROR(VLOOKUP($C747,TABLE_CYCLE,2,0),3)=2,COUNT($O747:$Q747)&gt;0),"⚠ Tests cycle 3",IF(COUNT($J747:$Q747)&gt;=IF(IFERROR(VLOOKUP($C747,TABLE_CYCLE,2,0),3)=2,5,8),"Complet","Incomplet"))))))))</f>
        <v/>
      </c>
      <c r="S747" s="24"/>
      <c r="T747" s="67" t="str">
        <f t="shared" si="100"/>
        <v/>
      </c>
      <c r="U747" s="67" t="str">
        <f t="shared" si="101"/>
        <v/>
      </c>
      <c r="V747" s="67" t="str">
        <f t="shared" si="102"/>
        <v/>
      </c>
      <c r="W747" s="67" t="str">
        <f t="shared" si="103"/>
        <v/>
      </c>
      <c r="X747" s="67" t="str">
        <f t="shared" si="104"/>
        <v/>
      </c>
      <c r="Y747" s="24" t="str">
        <f t="shared" si="105"/>
        <v/>
      </c>
      <c r="Z747">
        <f t="shared" si="106"/>
        <v>0</v>
      </c>
      <c r="AA747">
        <f t="shared" si="107"/>
        <v>0</v>
      </c>
    </row>
    <row r="748" spans="2:27" ht="15.75" customHeight="1" x14ac:dyDescent="0.3">
      <c r="B748" s="25"/>
      <c r="C748" s="25"/>
      <c r="D748" s="25"/>
      <c r="E748" s="26" t="str">
        <f t="shared" si="99"/>
        <v/>
      </c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3" t="str">
        <f>IF($F748="","",IF(OR($B748="",$C748="",$D748=""),"⚠ Compléter Année/Niveau/Session",IF(AND($E748&lt;&gt;"",COUNTIF(D_KEY_DOUBLON,$B748&amp;"|"&amp;$D748&amp;"|"&amp;$E748)&gt;1),"⚠ Doublon",IF(AND($E748&lt;&gt;"",COUNTIF(D_KEY_STATUT,$B748&amp;"|"&amp;$E748&amp;"|P")&gt;0,COUNTIF(D_KEY_STATUT,$B748&amp;"|"&amp;$E748&amp;"|A")&gt;0),"⚠ Statut incohérent",IF(AND($D748="S1",$Y748&lt;&gt;"Parti",COUNTIF(ANNEES_VERROU,$B748)&gt;0,COUNTIF(D_KEY_NIVSES,$B748&amp;"|"&amp;$C748&amp;"|S2")&gt;0,COUNTIF(D_KEY_DOUBLON,$B748&amp;"|S2|"&amp;$E748)=0),"⚠ Départ non confirmé ?",IF(AND($C748&lt;&gt;"",ISNUMBER($I748),OR(VALUE(LEFT($B748,4))-$I748&lt;4+IFERROR(MATCH($C748,LISTE_NIVEAUX,0),99),VALUE(LEFT($B748,4))-$I748&gt;6+IFERROR(MATCH($C748,LISTE_NIVEAUX,0),99))),"⚠ Vérifier niveau",IF(AND(IFERROR(VLOOKUP($C748,TABLE_CYCLE,2,0),3)=2,COUNT($O748:$Q748)&gt;0),"⚠ Tests cycle 3",IF(COUNT($J748:$Q748)&gt;=IF(IFERROR(VLOOKUP($C748,TABLE_CYCLE,2,0),3)=2,5,8),"Complet","Incomplet"))))))))</f>
        <v/>
      </c>
      <c r="S748" s="24"/>
      <c r="T748" s="67" t="str">
        <f t="shared" si="100"/>
        <v/>
      </c>
      <c r="U748" s="67" t="str">
        <f t="shared" si="101"/>
        <v/>
      </c>
      <c r="V748" s="67" t="str">
        <f t="shared" si="102"/>
        <v/>
      </c>
      <c r="W748" s="67" t="str">
        <f t="shared" si="103"/>
        <v/>
      </c>
      <c r="X748" s="67" t="str">
        <f t="shared" si="104"/>
        <v/>
      </c>
      <c r="Y748" s="24" t="str">
        <f t="shared" si="105"/>
        <v/>
      </c>
      <c r="Z748">
        <f t="shared" si="106"/>
        <v>0</v>
      </c>
      <c r="AA748">
        <f t="shared" si="107"/>
        <v>0</v>
      </c>
    </row>
    <row r="749" spans="2:27" ht="15.75" customHeight="1" x14ac:dyDescent="0.3">
      <c r="B749" s="21"/>
      <c r="C749" s="21"/>
      <c r="D749" s="21"/>
      <c r="E749" s="22" t="str">
        <f t="shared" si="99"/>
        <v/>
      </c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3" t="str">
        <f>IF($F749="","",IF(OR($B749="",$C749="",$D749=""),"⚠ Compléter Année/Niveau/Session",IF(AND($E749&lt;&gt;"",COUNTIF(D_KEY_DOUBLON,$B749&amp;"|"&amp;$D749&amp;"|"&amp;$E749)&gt;1),"⚠ Doublon",IF(AND($E749&lt;&gt;"",COUNTIF(D_KEY_STATUT,$B749&amp;"|"&amp;$E749&amp;"|P")&gt;0,COUNTIF(D_KEY_STATUT,$B749&amp;"|"&amp;$E749&amp;"|A")&gt;0),"⚠ Statut incohérent",IF(AND($D749="S1",$Y749&lt;&gt;"Parti",COUNTIF(ANNEES_VERROU,$B749)&gt;0,COUNTIF(D_KEY_NIVSES,$B749&amp;"|"&amp;$C749&amp;"|S2")&gt;0,COUNTIF(D_KEY_DOUBLON,$B749&amp;"|S2|"&amp;$E749)=0),"⚠ Départ non confirmé ?",IF(AND($C749&lt;&gt;"",ISNUMBER($I749),OR(VALUE(LEFT($B749,4))-$I749&lt;4+IFERROR(MATCH($C749,LISTE_NIVEAUX,0),99),VALUE(LEFT($B749,4))-$I749&gt;6+IFERROR(MATCH($C749,LISTE_NIVEAUX,0),99))),"⚠ Vérifier niveau",IF(AND(IFERROR(VLOOKUP($C749,TABLE_CYCLE,2,0),3)=2,COUNT($O749:$Q749)&gt;0),"⚠ Tests cycle 3",IF(COUNT($J749:$Q749)&gt;=IF(IFERROR(VLOOKUP($C749,TABLE_CYCLE,2,0),3)=2,5,8),"Complet","Incomplet"))))))))</f>
        <v/>
      </c>
      <c r="S749" s="24"/>
      <c r="T749" s="67" t="str">
        <f t="shared" si="100"/>
        <v/>
      </c>
      <c r="U749" s="67" t="str">
        <f t="shared" si="101"/>
        <v/>
      </c>
      <c r="V749" s="67" t="str">
        <f t="shared" si="102"/>
        <v/>
      </c>
      <c r="W749" s="67" t="str">
        <f t="shared" si="103"/>
        <v/>
      </c>
      <c r="X749" s="67" t="str">
        <f t="shared" si="104"/>
        <v/>
      </c>
      <c r="Y749" s="24" t="str">
        <f t="shared" si="105"/>
        <v/>
      </c>
      <c r="Z749">
        <f t="shared" si="106"/>
        <v>0</v>
      </c>
      <c r="AA749">
        <f t="shared" si="107"/>
        <v>0</v>
      </c>
    </row>
    <row r="750" spans="2:27" ht="15.75" customHeight="1" x14ac:dyDescent="0.3">
      <c r="B750" s="25"/>
      <c r="C750" s="25"/>
      <c r="D750" s="25"/>
      <c r="E750" s="26" t="str">
        <f t="shared" si="99"/>
        <v/>
      </c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3" t="str">
        <f>IF($F750="","",IF(OR($B750="",$C750="",$D750=""),"⚠ Compléter Année/Niveau/Session",IF(AND($E750&lt;&gt;"",COUNTIF(D_KEY_DOUBLON,$B750&amp;"|"&amp;$D750&amp;"|"&amp;$E750)&gt;1),"⚠ Doublon",IF(AND($E750&lt;&gt;"",COUNTIF(D_KEY_STATUT,$B750&amp;"|"&amp;$E750&amp;"|P")&gt;0,COUNTIF(D_KEY_STATUT,$B750&amp;"|"&amp;$E750&amp;"|A")&gt;0),"⚠ Statut incohérent",IF(AND($D750="S1",$Y750&lt;&gt;"Parti",COUNTIF(ANNEES_VERROU,$B750)&gt;0,COUNTIF(D_KEY_NIVSES,$B750&amp;"|"&amp;$C750&amp;"|S2")&gt;0,COUNTIF(D_KEY_DOUBLON,$B750&amp;"|S2|"&amp;$E750)=0),"⚠ Départ non confirmé ?",IF(AND($C750&lt;&gt;"",ISNUMBER($I750),OR(VALUE(LEFT($B750,4))-$I750&lt;4+IFERROR(MATCH($C750,LISTE_NIVEAUX,0),99),VALUE(LEFT($B750,4))-$I750&gt;6+IFERROR(MATCH($C750,LISTE_NIVEAUX,0),99))),"⚠ Vérifier niveau",IF(AND(IFERROR(VLOOKUP($C750,TABLE_CYCLE,2,0),3)=2,COUNT($O750:$Q750)&gt;0),"⚠ Tests cycle 3",IF(COUNT($J750:$Q750)&gt;=IF(IFERROR(VLOOKUP($C750,TABLE_CYCLE,2,0),3)=2,5,8),"Complet","Incomplet"))))))))</f>
        <v/>
      </c>
      <c r="S750" s="24"/>
      <c r="T750" s="67" t="str">
        <f t="shared" si="100"/>
        <v/>
      </c>
      <c r="U750" s="67" t="str">
        <f t="shared" si="101"/>
        <v/>
      </c>
      <c r="V750" s="67" t="str">
        <f t="shared" si="102"/>
        <v/>
      </c>
      <c r="W750" s="67" t="str">
        <f t="shared" si="103"/>
        <v/>
      </c>
      <c r="X750" s="67" t="str">
        <f t="shared" si="104"/>
        <v/>
      </c>
      <c r="Y750" s="24" t="str">
        <f t="shared" si="105"/>
        <v/>
      </c>
      <c r="Z750">
        <f t="shared" si="106"/>
        <v>0</v>
      </c>
      <c r="AA750">
        <f t="shared" si="107"/>
        <v>0</v>
      </c>
    </row>
    <row r="751" spans="2:27" ht="15.75" customHeight="1" x14ac:dyDescent="0.3">
      <c r="B751" s="21"/>
      <c r="C751" s="21"/>
      <c r="D751" s="21"/>
      <c r="E751" s="22" t="str">
        <f t="shared" si="99"/>
        <v/>
      </c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3" t="str">
        <f>IF($F751="","",IF(OR($B751="",$C751="",$D751=""),"⚠ Compléter Année/Niveau/Session",IF(AND($E751&lt;&gt;"",COUNTIF(D_KEY_DOUBLON,$B751&amp;"|"&amp;$D751&amp;"|"&amp;$E751)&gt;1),"⚠ Doublon",IF(AND($E751&lt;&gt;"",COUNTIF(D_KEY_STATUT,$B751&amp;"|"&amp;$E751&amp;"|P")&gt;0,COUNTIF(D_KEY_STATUT,$B751&amp;"|"&amp;$E751&amp;"|A")&gt;0),"⚠ Statut incohérent",IF(AND($D751="S1",$Y751&lt;&gt;"Parti",COUNTIF(ANNEES_VERROU,$B751)&gt;0,COUNTIF(D_KEY_NIVSES,$B751&amp;"|"&amp;$C751&amp;"|S2")&gt;0,COUNTIF(D_KEY_DOUBLON,$B751&amp;"|S2|"&amp;$E751)=0),"⚠ Départ non confirmé ?",IF(AND($C751&lt;&gt;"",ISNUMBER($I751),OR(VALUE(LEFT($B751,4))-$I751&lt;4+IFERROR(MATCH($C751,LISTE_NIVEAUX,0),99),VALUE(LEFT($B751,4))-$I751&gt;6+IFERROR(MATCH($C751,LISTE_NIVEAUX,0),99))),"⚠ Vérifier niveau",IF(AND(IFERROR(VLOOKUP($C751,TABLE_CYCLE,2,0),3)=2,COUNT($O751:$Q751)&gt;0),"⚠ Tests cycle 3",IF(COUNT($J751:$Q751)&gt;=IF(IFERROR(VLOOKUP($C751,TABLE_CYCLE,2,0),3)=2,5,8),"Complet","Incomplet"))))))))</f>
        <v/>
      </c>
      <c r="S751" s="24"/>
      <c r="T751" s="67" t="str">
        <f t="shared" si="100"/>
        <v/>
      </c>
      <c r="U751" s="67" t="str">
        <f t="shared" si="101"/>
        <v/>
      </c>
      <c r="V751" s="67" t="str">
        <f t="shared" si="102"/>
        <v/>
      </c>
      <c r="W751" s="67" t="str">
        <f t="shared" si="103"/>
        <v/>
      </c>
      <c r="X751" s="67" t="str">
        <f t="shared" si="104"/>
        <v/>
      </c>
      <c r="Y751" s="24" t="str">
        <f t="shared" si="105"/>
        <v/>
      </c>
      <c r="Z751">
        <f t="shared" si="106"/>
        <v>0</v>
      </c>
      <c r="AA751">
        <f t="shared" si="107"/>
        <v>0</v>
      </c>
    </row>
    <row r="752" spans="2:27" ht="15.75" customHeight="1" x14ac:dyDescent="0.3">
      <c r="B752" s="25"/>
      <c r="C752" s="25"/>
      <c r="D752" s="25"/>
      <c r="E752" s="26" t="str">
        <f t="shared" si="99"/>
        <v/>
      </c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3" t="str">
        <f>IF($F752="","",IF(OR($B752="",$C752="",$D752=""),"⚠ Compléter Année/Niveau/Session",IF(AND($E752&lt;&gt;"",COUNTIF(D_KEY_DOUBLON,$B752&amp;"|"&amp;$D752&amp;"|"&amp;$E752)&gt;1),"⚠ Doublon",IF(AND($E752&lt;&gt;"",COUNTIF(D_KEY_STATUT,$B752&amp;"|"&amp;$E752&amp;"|P")&gt;0,COUNTIF(D_KEY_STATUT,$B752&amp;"|"&amp;$E752&amp;"|A")&gt;0),"⚠ Statut incohérent",IF(AND($D752="S1",$Y752&lt;&gt;"Parti",COUNTIF(ANNEES_VERROU,$B752)&gt;0,COUNTIF(D_KEY_NIVSES,$B752&amp;"|"&amp;$C752&amp;"|S2")&gt;0,COUNTIF(D_KEY_DOUBLON,$B752&amp;"|S2|"&amp;$E752)=0),"⚠ Départ non confirmé ?",IF(AND($C752&lt;&gt;"",ISNUMBER($I752),OR(VALUE(LEFT($B752,4))-$I752&lt;4+IFERROR(MATCH($C752,LISTE_NIVEAUX,0),99),VALUE(LEFT($B752,4))-$I752&gt;6+IFERROR(MATCH($C752,LISTE_NIVEAUX,0),99))),"⚠ Vérifier niveau",IF(AND(IFERROR(VLOOKUP($C752,TABLE_CYCLE,2,0),3)=2,COUNT($O752:$Q752)&gt;0),"⚠ Tests cycle 3",IF(COUNT($J752:$Q752)&gt;=IF(IFERROR(VLOOKUP($C752,TABLE_CYCLE,2,0),3)=2,5,8),"Complet","Incomplet"))))))))</f>
        <v/>
      </c>
      <c r="S752" s="24"/>
      <c r="T752" s="67" t="str">
        <f t="shared" si="100"/>
        <v/>
      </c>
      <c r="U752" s="67" t="str">
        <f t="shared" si="101"/>
        <v/>
      </c>
      <c r="V752" s="67" t="str">
        <f t="shared" si="102"/>
        <v/>
      </c>
      <c r="W752" s="67" t="str">
        <f t="shared" si="103"/>
        <v/>
      </c>
      <c r="X752" s="67" t="str">
        <f t="shared" si="104"/>
        <v/>
      </c>
      <c r="Y752" s="24" t="str">
        <f t="shared" si="105"/>
        <v/>
      </c>
      <c r="Z752">
        <f t="shared" si="106"/>
        <v>0</v>
      </c>
      <c r="AA752">
        <f t="shared" si="107"/>
        <v>0</v>
      </c>
    </row>
    <row r="753" spans="2:27" ht="15.75" customHeight="1" x14ac:dyDescent="0.3">
      <c r="B753" s="21"/>
      <c r="C753" s="21"/>
      <c r="D753" s="21"/>
      <c r="E753" s="22" t="str">
        <f t="shared" si="99"/>
        <v/>
      </c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3" t="str">
        <f>IF($F753="","",IF(OR($B753="",$C753="",$D753=""),"⚠ Compléter Année/Niveau/Session",IF(AND($E753&lt;&gt;"",COUNTIF(D_KEY_DOUBLON,$B753&amp;"|"&amp;$D753&amp;"|"&amp;$E753)&gt;1),"⚠ Doublon",IF(AND($E753&lt;&gt;"",COUNTIF(D_KEY_STATUT,$B753&amp;"|"&amp;$E753&amp;"|P")&gt;0,COUNTIF(D_KEY_STATUT,$B753&amp;"|"&amp;$E753&amp;"|A")&gt;0),"⚠ Statut incohérent",IF(AND($D753="S1",$Y753&lt;&gt;"Parti",COUNTIF(ANNEES_VERROU,$B753)&gt;0,COUNTIF(D_KEY_NIVSES,$B753&amp;"|"&amp;$C753&amp;"|S2")&gt;0,COUNTIF(D_KEY_DOUBLON,$B753&amp;"|S2|"&amp;$E753)=0),"⚠ Départ non confirmé ?",IF(AND($C753&lt;&gt;"",ISNUMBER($I753),OR(VALUE(LEFT($B753,4))-$I753&lt;4+IFERROR(MATCH($C753,LISTE_NIVEAUX,0),99),VALUE(LEFT($B753,4))-$I753&gt;6+IFERROR(MATCH($C753,LISTE_NIVEAUX,0),99))),"⚠ Vérifier niveau",IF(AND(IFERROR(VLOOKUP($C753,TABLE_CYCLE,2,0),3)=2,COUNT($O753:$Q753)&gt;0),"⚠ Tests cycle 3",IF(COUNT($J753:$Q753)&gt;=IF(IFERROR(VLOOKUP($C753,TABLE_CYCLE,2,0),3)=2,5,8),"Complet","Incomplet"))))))))</f>
        <v/>
      </c>
      <c r="S753" s="24"/>
      <c r="T753" s="67" t="str">
        <f t="shared" si="100"/>
        <v/>
      </c>
      <c r="U753" s="67" t="str">
        <f t="shared" si="101"/>
        <v/>
      </c>
      <c r="V753" s="67" t="str">
        <f t="shared" si="102"/>
        <v/>
      </c>
      <c r="W753" s="67" t="str">
        <f t="shared" si="103"/>
        <v/>
      </c>
      <c r="X753" s="67" t="str">
        <f t="shared" si="104"/>
        <v/>
      </c>
      <c r="Y753" s="24" t="str">
        <f t="shared" si="105"/>
        <v/>
      </c>
      <c r="Z753">
        <f t="shared" si="106"/>
        <v>0</v>
      </c>
      <c r="AA753">
        <f t="shared" si="107"/>
        <v>0</v>
      </c>
    </row>
    <row r="754" spans="2:27" ht="15.75" customHeight="1" x14ac:dyDescent="0.3">
      <c r="B754" s="25"/>
      <c r="C754" s="25"/>
      <c r="D754" s="25"/>
      <c r="E754" s="26" t="str">
        <f t="shared" si="99"/>
        <v/>
      </c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3" t="str">
        <f>IF($F754="","",IF(OR($B754="",$C754="",$D754=""),"⚠ Compléter Année/Niveau/Session",IF(AND($E754&lt;&gt;"",COUNTIF(D_KEY_DOUBLON,$B754&amp;"|"&amp;$D754&amp;"|"&amp;$E754)&gt;1),"⚠ Doublon",IF(AND($E754&lt;&gt;"",COUNTIF(D_KEY_STATUT,$B754&amp;"|"&amp;$E754&amp;"|P")&gt;0,COUNTIF(D_KEY_STATUT,$B754&amp;"|"&amp;$E754&amp;"|A")&gt;0),"⚠ Statut incohérent",IF(AND($D754="S1",$Y754&lt;&gt;"Parti",COUNTIF(ANNEES_VERROU,$B754)&gt;0,COUNTIF(D_KEY_NIVSES,$B754&amp;"|"&amp;$C754&amp;"|S2")&gt;0,COUNTIF(D_KEY_DOUBLON,$B754&amp;"|S2|"&amp;$E754)=0),"⚠ Départ non confirmé ?",IF(AND($C754&lt;&gt;"",ISNUMBER($I754),OR(VALUE(LEFT($B754,4))-$I754&lt;4+IFERROR(MATCH($C754,LISTE_NIVEAUX,0),99),VALUE(LEFT($B754,4))-$I754&gt;6+IFERROR(MATCH($C754,LISTE_NIVEAUX,0),99))),"⚠ Vérifier niveau",IF(AND(IFERROR(VLOOKUP($C754,TABLE_CYCLE,2,0),3)=2,COUNT($O754:$Q754)&gt;0),"⚠ Tests cycle 3",IF(COUNT($J754:$Q754)&gt;=IF(IFERROR(VLOOKUP($C754,TABLE_CYCLE,2,0),3)=2,5,8),"Complet","Incomplet"))))))))</f>
        <v/>
      </c>
      <c r="S754" s="24"/>
      <c r="T754" s="67" t="str">
        <f t="shared" si="100"/>
        <v/>
      </c>
      <c r="U754" s="67" t="str">
        <f t="shared" si="101"/>
        <v/>
      </c>
      <c r="V754" s="67" t="str">
        <f t="shared" si="102"/>
        <v/>
      </c>
      <c r="W754" s="67" t="str">
        <f t="shared" si="103"/>
        <v/>
      </c>
      <c r="X754" s="67" t="str">
        <f t="shared" si="104"/>
        <v/>
      </c>
      <c r="Y754" s="24" t="str">
        <f t="shared" si="105"/>
        <v/>
      </c>
      <c r="Z754">
        <f t="shared" si="106"/>
        <v>0</v>
      </c>
      <c r="AA754">
        <f t="shared" si="107"/>
        <v>0</v>
      </c>
    </row>
    <row r="755" spans="2:27" ht="15.75" customHeight="1" x14ac:dyDescent="0.3">
      <c r="B755" s="21"/>
      <c r="C755" s="21"/>
      <c r="D755" s="21"/>
      <c r="E755" s="22" t="str">
        <f t="shared" si="99"/>
        <v/>
      </c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3" t="str">
        <f>IF($F755="","",IF(OR($B755="",$C755="",$D755=""),"⚠ Compléter Année/Niveau/Session",IF(AND($E755&lt;&gt;"",COUNTIF(D_KEY_DOUBLON,$B755&amp;"|"&amp;$D755&amp;"|"&amp;$E755)&gt;1),"⚠ Doublon",IF(AND($E755&lt;&gt;"",COUNTIF(D_KEY_STATUT,$B755&amp;"|"&amp;$E755&amp;"|P")&gt;0,COUNTIF(D_KEY_STATUT,$B755&amp;"|"&amp;$E755&amp;"|A")&gt;0),"⚠ Statut incohérent",IF(AND($D755="S1",$Y755&lt;&gt;"Parti",COUNTIF(ANNEES_VERROU,$B755)&gt;0,COUNTIF(D_KEY_NIVSES,$B755&amp;"|"&amp;$C755&amp;"|S2")&gt;0,COUNTIF(D_KEY_DOUBLON,$B755&amp;"|S2|"&amp;$E755)=0),"⚠ Départ non confirmé ?",IF(AND($C755&lt;&gt;"",ISNUMBER($I755),OR(VALUE(LEFT($B755,4))-$I755&lt;4+IFERROR(MATCH($C755,LISTE_NIVEAUX,0),99),VALUE(LEFT($B755,4))-$I755&gt;6+IFERROR(MATCH($C755,LISTE_NIVEAUX,0),99))),"⚠ Vérifier niveau",IF(AND(IFERROR(VLOOKUP($C755,TABLE_CYCLE,2,0),3)=2,COUNT($O755:$Q755)&gt;0),"⚠ Tests cycle 3",IF(COUNT($J755:$Q755)&gt;=IF(IFERROR(VLOOKUP($C755,TABLE_CYCLE,2,0),3)=2,5,8),"Complet","Incomplet"))))))))</f>
        <v/>
      </c>
      <c r="S755" s="24"/>
      <c r="T755" s="67" t="str">
        <f t="shared" si="100"/>
        <v/>
      </c>
      <c r="U755" s="67" t="str">
        <f t="shared" si="101"/>
        <v/>
      </c>
      <c r="V755" s="67" t="str">
        <f t="shared" si="102"/>
        <v/>
      </c>
      <c r="W755" s="67" t="str">
        <f t="shared" si="103"/>
        <v/>
      </c>
      <c r="X755" s="67" t="str">
        <f t="shared" si="104"/>
        <v/>
      </c>
      <c r="Y755" s="24" t="str">
        <f t="shared" si="105"/>
        <v/>
      </c>
      <c r="Z755">
        <f t="shared" si="106"/>
        <v>0</v>
      </c>
      <c r="AA755">
        <f t="shared" si="107"/>
        <v>0</v>
      </c>
    </row>
    <row r="756" spans="2:27" ht="15.75" customHeight="1" x14ac:dyDescent="0.3">
      <c r="B756" s="25"/>
      <c r="C756" s="25"/>
      <c r="D756" s="25"/>
      <c r="E756" s="26" t="str">
        <f t="shared" si="99"/>
        <v/>
      </c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3" t="str">
        <f>IF($F756="","",IF(OR($B756="",$C756="",$D756=""),"⚠ Compléter Année/Niveau/Session",IF(AND($E756&lt;&gt;"",COUNTIF(D_KEY_DOUBLON,$B756&amp;"|"&amp;$D756&amp;"|"&amp;$E756)&gt;1),"⚠ Doublon",IF(AND($E756&lt;&gt;"",COUNTIF(D_KEY_STATUT,$B756&amp;"|"&amp;$E756&amp;"|P")&gt;0,COUNTIF(D_KEY_STATUT,$B756&amp;"|"&amp;$E756&amp;"|A")&gt;0),"⚠ Statut incohérent",IF(AND($D756="S1",$Y756&lt;&gt;"Parti",COUNTIF(ANNEES_VERROU,$B756)&gt;0,COUNTIF(D_KEY_NIVSES,$B756&amp;"|"&amp;$C756&amp;"|S2")&gt;0,COUNTIF(D_KEY_DOUBLON,$B756&amp;"|S2|"&amp;$E756)=0),"⚠ Départ non confirmé ?",IF(AND($C756&lt;&gt;"",ISNUMBER($I756),OR(VALUE(LEFT($B756,4))-$I756&lt;4+IFERROR(MATCH($C756,LISTE_NIVEAUX,0),99),VALUE(LEFT($B756,4))-$I756&gt;6+IFERROR(MATCH($C756,LISTE_NIVEAUX,0),99))),"⚠ Vérifier niveau",IF(AND(IFERROR(VLOOKUP($C756,TABLE_CYCLE,2,0),3)=2,COUNT($O756:$Q756)&gt;0),"⚠ Tests cycle 3",IF(COUNT($J756:$Q756)&gt;=IF(IFERROR(VLOOKUP($C756,TABLE_CYCLE,2,0),3)=2,5,8),"Complet","Incomplet"))))))))</f>
        <v/>
      </c>
      <c r="S756" s="24"/>
      <c r="T756" s="67" t="str">
        <f t="shared" si="100"/>
        <v/>
      </c>
      <c r="U756" s="67" t="str">
        <f t="shared" si="101"/>
        <v/>
      </c>
      <c r="V756" s="67" t="str">
        <f t="shared" si="102"/>
        <v/>
      </c>
      <c r="W756" s="67" t="str">
        <f t="shared" si="103"/>
        <v/>
      </c>
      <c r="X756" s="67" t="str">
        <f t="shared" si="104"/>
        <v/>
      </c>
      <c r="Y756" s="24" t="str">
        <f t="shared" si="105"/>
        <v/>
      </c>
      <c r="Z756">
        <f t="shared" si="106"/>
        <v>0</v>
      </c>
      <c r="AA756">
        <f t="shared" si="107"/>
        <v>0</v>
      </c>
    </row>
    <row r="757" spans="2:27" ht="15.75" customHeight="1" x14ac:dyDescent="0.3">
      <c r="B757" s="21"/>
      <c r="C757" s="21"/>
      <c r="D757" s="21"/>
      <c r="E757" s="22" t="str">
        <f t="shared" si="99"/>
        <v/>
      </c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3" t="str">
        <f>IF($F757="","",IF(OR($B757="",$C757="",$D757=""),"⚠ Compléter Année/Niveau/Session",IF(AND($E757&lt;&gt;"",COUNTIF(D_KEY_DOUBLON,$B757&amp;"|"&amp;$D757&amp;"|"&amp;$E757)&gt;1),"⚠ Doublon",IF(AND($E757&lt;&gt;"",COUNTIF(D_KEY_STATUT,$B757&amp;"|"&amp;$E757&amp;"|P")&gt;0,COUNTIF(D_KEY_STATUT,$B757&amp;"|"&amp;$E757&amp;"|A")&gt;0),"⚠ Statut incohérent",IF(AND($D757="S1",$Y757&lt;&gt;"Parti",COUNTIF(ANNEES_VERROU,$B757)&gt;0,COUNTIF(D_KEY_NIVSES,$B757&amp;"|"&amp;$C757&amp;"|S2")&gt;0,COUNTIF(D_KEY_DOUBLON,$B757&amp;"|S2|"&amp;$E757)=0),"⚠ Départ non confirmé ?",IF(AND($C757&lt;&gt;"",ISNUMBER($I757),OR(VALUE(LEFT($B757,4))-$I757&lt;4+IFERROR(MATCH($C757,LISTE_NIVEAUX,0),99),VALUE(LEFT($B757,4))-$I757&gt;6+IFERROR(MATCH($C757,LISTE_NIVEAUX,0),99))),"⚠ Vérifier niveau",IF(AND(IFERROR(VLOOKUP($C757,TABLE_CYCLE,2,0),3)=2,COUNT($O757:$Q757)&gt;0),"⚠ Tests cycle 3",IF(COUNT($J757:$Q757)&gt;=IF(IFERROR(VLOOKUP($C757,TABLE_CYCLE,2,0),3)=2,5,8),"Complet","Incomplet"))))))))</f>
        <v/>
      </c>
      <c r="S757" s="24"/>
      <c r="T757" s="67" t="str">
        <f t="shared" si="100"/>
        <v/>
      </c>
      <c r="U757" s="67" t="str">
        <f t="shared" si="101"/>
        <v/>
      </c>
      <c r="V757" s="67" t="str">
        <f t="shared" si="102"/>
        <v/>
      </c>
      <c r="W757" s="67" t="str">
        <f t="shared" si="103"/>
        <v/>
      </c>
      <c r="X757" s="67" t="str">
        <f t="shared" si="104"/>
        <v/>
      </c>
      <c r="Y757" s="24" t="str">
        <f t="shared" si="105"/>
        <v/>
      </c>
      <c r="Z757">
        <f t="shared" si="106"/>
        <v>0</v>
      </c>
      <c r="AA757">
        <f t="shared" si="107"/>
        <v>0</v>
      </c>
    </row>
    <row r="758" spans="2:27" ht="15.75" customHeight="1" x14ac:dyDescent="0.3">
      <c r="B758" s="25"/>
      <c r="C758" s="25"/>
      <c r="D758" s="25"/>
      <c r="E758" s="26" t="str">
        <f t="shared" si="99"/>
        <v/>
      </c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3" t="str">
        <f>IF($F758="","",IF(OR($B758="",$C758="",$D758=""),"⚠ Compléter Année/Niveau/Session",IF(AND($E758&lt;&gt;"",COUNTIF(D_KEY_DOUBLON,$B758&amp;"|"&amp;$D758&amp;"|"&amp;$E758)&gt;1),"⚠ Doublon",IF(AND($E758&lt;&gt;"",COUNTIF(D_KEY_STATUT,$B758&amp;"|"&amp;$E758&amp;"|P")&gt;0,COUNTIF(D_KEY_STATUT,$B758&amp;"|"&amp;$E758&amp;"|A")&gt;0),"⚠ Statut incohérent",IF(AND($D758="S1",$Y758&lt;&gt;"Parti",COUNTIF(ANNEES_VERROU,$B758)&gt;0,COUNTIF(D_KEY_NIVSES,$B758&amp;"|"&amp;$C758&amp;"|S2")&gt;0,COUNTIF(D_KEY_DOUBLON,$B758&amp;"|S2|"&amp;$E758)=0),"⚠ Départ non confirmé ?",IF(AND($C758&lt;&gt;"",ISNUMBER($I758),OR(VALUE(LEFT($B758,4))-$I758&lt;4+IFERROR(MATCH($C758,LISTE_NIVEAUX,0),99),VALUE(LEFT($B758,4))-$I758&gt;6+IFERROR(MATCH($C758,LISTE_NIVEAUX,0),99))),"⚠ Vérifier niveau",IF(AND(IFERROR(VLOOKUP($C758,TABLE_CYCLE,2,0),3)=2,COUNT($O758:$Q758)&gt;0),"⚠ Tests cycle 3",IF(COUNT($J758:$Q758)&gt;=IF(IFERROR(VLOOKUP($C758,TABLE_CYCLE,2,0),3)=2,5,8),"Complet","Incomplet"))))))))</f>
        <v/>
      </c>
      <c r="S758" s="24"/>
      <c r="T758" s="67" t="str">
        <f t="shared" si="100"/>
        <v/>
      </c>
      <c r="U758" s="67" t="str">
        <f t="shared" si="101"/>
        <v/>
      </c>
      <c r="V758" s="67" t="str">
        <f t="shared" si="102"/>
        <v/>
      </c>
      <c r="W758" s="67" t="str">
        <f t="shared" si="103"/>
        <v/>
      </c>
      <c r="X758" s="67" t="str">
        <f t="shared" si="104"/>
        <v/>
      </c>
      <c r="Y758" s="24" t="str">
        <f t="shared" si="105"/>
        <v/>
      </c>
      <c r="Z758">
        <f t="shared" si="106"/>
        <v>0</v>
      </c>
      <c r="AA758">
        <f t="shared" si="107"/>
        <v>0</v>
      </c>
    </row>
    <row r="759" spans="2:27" ht="15.75" customHeight="1" x14ac:dyDescent="0.3">
      <c r="B759" s="21"/>
      <c r="C759" s="21"/>
      <c r="D759" s="21"/>
      <c r="E759" s="22" t="str">
        <f t="shared" si="99"/>
        <v/>
      </c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3" t="str">
        <f>IF($F759="","",IF(OR($B759="",$C759="",$D759=""),"⚠ Compléter Année/Niveau/Session",IF(AND($E759&lt;&gt;"",COUNTIF(D_KEY_DOUBLON,$B759&amp;"|"&amp;$D759&amp;"|"&amp;$E759)&gt;1),"⚠ Doublon",IF(AND($E759&lt;&gt;"",COUNTIF(D_KEY_STATUT,$B759&amp;"|"&amp;$E759&amp;"|P")&gt;0,COUNTIF(D_KEY_STATUT,$B759&amp;"|"&amp;$E759&amp;"|A")&gt;0),"⚠ Statut incohérent",IF(AND($D759="S1",$Y759&lt;&gt;"Parti",COUNTIF(ANNEES_VERROU,$B759)&gt;0,COUNTIF(D_KEY_NIVSES,$B759&amp;"|"&amp;$C759&amp;"|S2")&gt;0,COUNTIF(D_KEY_DOUBLON,$B759&amp;"|S2|"&amp;$E759)=0),"⚠ Départ non confirmé ?",IF(AND($C759&lt;&gt;"",ISNUMBER($I759),OR(VALUE(LEFT($B759,4))-$I759&lt;4+IFERROR(MATCH($C759,LISTE_NIVEAUX,0),99),VALUE(LEFT($B759,4))-$I759&gt;6+IFERROR(MATCH($C759,LISTE_NIVEAUX,0),99))),"⚠ Vérifier niveau",IF(AND(IFERROR(VLOOKUP($C759,TABLE_CYCLE,2,0),3)=2,COUNT($O759:$Q759)&gt;0),"⚠ Tests cycle 3",IF(COUNT($J759:$Q759)&gt;=IF(IFERROR(VLOOKUP($C759,TABLE_CYCLE,2,0),3)=2,5,8),"Complet","Incomplet"))))))))</f>
        <v/>
      </c>
      <c r="S759" s="24"/>
      <c r="T759" s="67" t="str">
        <f t="shared" si="100"/>
        <v/>
      </c>
      <c r="U759" s="67" t="str">
        <f t="shared" si="101"/>
        <v/>
      </c>
      <c r="V759" s="67" t="str">
        <f t="shared" si="102"/>
        <v/>
      </c>
      <c r="W759" s="67" t="str">
        <f t="shared" si="103"/>
        <v/>
      </c>
      <c r="X759" s="67" t="str">
        <f t="shared" si="104"/>
        <v/>
      </c>
      <c r="Y759" s="24" t="str">
        <f t="shared" si="105"/>
        <v/>
      </c>
      <c r="Z759">
        <f t="shared" si="106"/>
        <v>0</v>
      </c>
      <c r="AA759">
        <f t="shared" si="107"/>
        <v>0</v>
      </c>
    </row>
    <row r="760" spans="2:27" ht="15.75" customHeight="1" x14ac:dyDescent="0.3">
      <c r="B760" s="25"/>
      <c r="C760" s="25"/>
      <c r="D760" s="25"/>
      <c r="E760" s="26" t="str">
        <f t="shared" si="99"/>
        <v/>
      </c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3" t="str">
        <f>IF($F760="","",IF(OR($B760="",$C760="",$D760=""),"⚠ Compléter Année/Niveau/Session",IF(AND($E760&lt;&gt;"",COUNTIF(D_KEY_DOUBLON,$B760&amp;"|"&amp;$D760&amp;"|"&amp;$E760)&gt;1),"⚠ Doublon",IF(AND($E760&lt;&gt;"",COUNTIF(D_KEY_STATUT,$B760&amp;"|"&amp;$E760&amp;"|P")&gt;0,COUNTIF(D_KEY_STATUT,$B760&amp;"|"&amp;$E760&amp;"|A")&gt;0),"⚠ Statut incohérent",IF(AND($D760="S1",$Y760&lt;&gt;"Parti",COUNTIF(ANNEES_VERROU,$B760)&gt;0,COUNTIF(D_KEY_NIVSES,$B760&amp;"|"&amp;$C760&amp;"|S2")&gt;0,COUNTIF(D_KEY_DOUBLON,$B760&amp;"|S2|"&amp;$E760)=0),"⚠ Départ non confirmé ?",IF(AND($C760&lt;&gt;"",ISNUMBER($I760),OR(VALUE(LEFT($B760,4))-$I760&lt;4+IFERROR(MATCH($C760,LISTE_NIVEAUX,0),99),VALUE(LEFT($B760,4))-$I760&gt;6+IFERROR(MATCH($C760,LISTE_NIVEAUX,0),99))),"⚠ Vérifier niveau",IF(AND(IFERROR(VLOOKUP($C760,TABLE_CYCLE,2,0),3)=2,COUNT($O760:$Q760)&gt;0),"⚠ Tests cycle 3",IF(COUNT($J760:$Q760)&gt;=IF(IFERROR(VLOOKUP($C760,TABLE_CYCLE,2,0),3)=2,5,8),"Complet","Incomplet"))))))))</f>
        <v/>
      </c>
      <c r="S760" s="24"/>
      <c r="T760" s="67" t="str">
        <f t="shared" si="100"/>
        <v/>
      </c>
      <c r="U760" s="67" t="str">
        <f t="shared" si="101"/>
        <v/>
      </c>
      <c r="V760" s="67" t="str">
        <f t="shared" si="102"/>
        <v/>
      </c>
      <c r="W760" s="67" t="str">
        <f t="shared" si="103"/>
        <v/>
      </c>
      <c r="X760" s="67" t="str">
        <f t="shared" si="104"/>
        <v/>
      </c>
      <c r="Y760" s="24" t="str">
        <f t="shared" si="105"/>
        <v/>
      </c>
      <c r="Z760">
        <f t="shared" si="106"/>
        <v>0</v>
      </c>
      <c r="AA760">
        <f t="shared" si="107"/>
        <v>0</v>
      </c>
    </row>
    <row r="761" spans="2:27" ht="15.75" customHeight="1" x14ac:dyDescent="0.3">
      <c r="B761" s="21"/>
      <c r="C761" s="21"/>
      <c r="D761" s="21"/>
      <c r="E761" s="22" t="str">
        <f t="shared" si="99"/>
        <v/>
      </c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3" t="str">
        <f>IF($F761="","",IF(OR($B761="",$C761="",$D761=""),"⚠ Compléter Année/Niveau/Session",IF(AND($E761&lt;&gt;"",COUNTIF(D_KEY_DOUBLON,$B761&amp;"|"&amp;$D761&amp;"|"&amp;$E761)&gt;1),"⚠ Doublon",IF(AND($E761&lt;&gt;"",COUNTIF(D_KEY_STATUT,$B761&amp;"|"&amp;$E761&amp;"|P")&gt;0,COUNTIF(D_KEY_STATUT,$B761&amp;"|"&amp;$E761&amp;"|A")&gt;0),"⚠ Statut incohérent",IF(AND($D761="S1",$Y761&lt;&gt;"Parti",COUNTIF(ANNEES_VERROU,$B761)&gt;0,COUNTIF(D_KEY_NIVSES,$B761&amp;"|"&amp;$C761&amp;"|S2")&gt;0,COUNTIF(D_KEY_DOUBLON,$B761&amp;"|S2|"&amp;$E761)=0),"⚠ Départ non confirmé ?",IF(AND($C761&lt;&gt;"",ISNUMBER($I761),OR(VALUE(LEFT($B761,4))-$I761&lt;4+IFERROR(MATCH($C761,LISTE_NIVEAUX,0),99),VALUE(LEFT($B761,4))-$I761&gt;6+IFERROR(MATCH($C761,LISTE_NIVEAUX,0),99))),"⚠ Vérifier niveau",IF(AND(IFERROR(VLOOKUP($C761,TABLE_CYCLE,2,0),3)=2,COUNT($O761:$Q761)&gt;0),"⚠ Tests cycle 3",IF(COUNT($J761:$Q761)&gt;=IF(IFERROR(VLOOKUP($C761,TABLE_CYCLE,2,0),3)=2,5,8),"Complet","Incomplet"))))))))</f>
        <v/>
      </c>
      <c r="S761" s="24"/>
      <c r="T761" s="67" t="str">
        <f t="shared" si="100"/>
        <v/>
      </c>
      <c r="U761" s="67" t="str">
        <f t="shared" si="101"/>
        <v/>
      </c>
      <c r="V761" s="67" t="str">
        <f t="shared" si="102"/>
        <v/>
      </c>
      <c r="W761" s="67" t="str">
        <f t="shared" si="103"/>
        <v/>
      </c>
      <c r="X761" s="67" t="str">
        <f t="shared" si="104"/>
        <v/>
      </c>
      <c r="Y761" s="24" t="str">
        <f t="shared" si="105"/>
        <v/>
      </c>
      <c r="Z761">
        <f t="shared" si="106"/>
        <v>0</v>
      </c>
      <c r="AA761">
        <f t="shared" si="107"/>
        <v>0</v>
      </c>
    </row>
    <row r="762" spans="2:27" ht="15.75" customHeight="1" x14ac:dyDescent="0.3">
      <c r="B762" s="25"/>
      <c r="C762" s="25"/>
      <c r="D762" s="25"/>
      <c r="E762" s="26" t="str">
        <f t="shared" si="99"/>
        <v/>
      </c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3" t="str">
        <f>IF($F762="","",IF(OR($B762="",$C762="",$D762=""),"⚠ Compléter Année/Niveau/Session",IF(AND($E762&lt;&gt;"",COUNTIF(D_KEY_DOUBLON,$B762&amp;"|"&amp;$D762&amp;"|"&amp;$E762)&gt;1),"⚠ Doublon",IF(AND($E762&lt;&gt;"",COUNTIF(D_KEY_STATUT,$B762&amp;"|"&amp;$E762&amp;"|P")&gt;0,COUNTIF(D_KEY_STATUT,$B762&amp;"|"&amp;$E762&amp;"|A")&gt;0),"⚠ Statut incohérent",IF(AND($D762="S1",$Y762&lt;&gt;"Parti",COUNTIF(ANNEES_VERROU,$B762)&gt;0,COUNTIF(D_KEY_NIVSES,$B762&amp;"|"&amp;$C762&amp;"|S2")&gt;0,COUNTIF(D_KEY_DOUBLON,$B762&amp;"|S2|"&amp;$E762)=0),"⚠ Départ non confirmé ?",IF(AND($C762&lt;&gt;"",ISNUMBER($I762),OR(VALUE(LEFT($B762,4))-$I762&lt;4+IFERROR(MATCH($C762,LISTE_NIVEAUX,0),99),VALUE(LEFT($B762,4))-$I762&gt;6+IFERROR(MATCH($C762,LISTE_NIVEAUX,0),99))),"⚠ Vérifier niveau",IF(AND(IFERROR(VLOOKUP($C762,TABLE_CYCLE,2,0),3)=2,COUNT($O762:$Q762)&gt;0),"⚠ Tests cycle 3",IF(COUNT($J762:$Q762)&gt;=IF(IFERROR(VLOOKUP($C762,TABLE_CYCLE,2,0),3)=2,5,8),"Complet","Incomplet"))))))))</f>
        <v/>
      </c>
      <c r="S762" s="24"/>
      <c r="T762" s="67" t="str">
        <f t="shared" si="100"/>
        <v/>
      </c>
      <c r="U762" s="67" t="str">
        <f t="shared" si="101"/>
        <v/>
      </c>
      <c r="V762" s="67" t="str">
        <f t="shared" si="102"/>
        <v/>
      </c>
      <c r="W762" s="67" t="str">
        <f t="shared" si="103"/>
        <v/>
      </c>
      <c r="X762" s="67" t="str">
        <f t="shared" si="104"/>
        <v/>
      </c>
      <c r="Y762" s="24" t="str">
        <f t="shared" si="105"/>
        <v/>
      </c>
      <c r="Z762">
        <f t="shared" si="106"/>
        <v>0</v>
      </c>
      <c r="AA762">
        <f t="shared" si="107"/>
        <v>0</v>
      </c>
    </row>
    <row r="763" spans="2:27" ht="15.75" customHeight="1" x14ac:dyDescent="0.3">
      <c r="B763" s="21"/>
      <c r="C763" s="21"/>
      <c r="D763" s="21"/>
      <c r="E763" s="22" t="str">
        <f t="shared" si="99"/>
        <v/>
      </c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3" t="str">
        <f>IF($F763="","",IF(OR($B763="",$C763="",$D763=""),"⚠ Compléter Année/Niveau/Session",IF(AND($E763&lt;&gt;"",COUNTIF(D_KEY_DOUBLON,$B763&amp;"|"&amp;$D763&amp;"|"&amp;$E763)&gt;1),"⚠ Doublon",IF(AND($E763&lt;&gt;"",COUNTIF(D_KEY_STATUT,$B763&amp;"|"&amp;$E763&amp;"|P")&gt;0,COUNTIF(D_KEY_STATUT,$B763&amp;"|"&amp;$E763&amp;"|A")&gt;0),"⚠ Statut incohérent",IF(AND($D763="S1",$Y763&lt;&gt;"Parti",COUNTIF(ANNEES_VERROU,$B763)&gt;0,COUNTIF(D_KEY_NIVSES,$B763&amp;"|"&amp;$C763&amp;"|S2")&gt;0,COUNTIF(D_KEY_DOUBLON,$B763&amp;"|S2|"&amp;$E763)=0),"⚠ Départ non confirmé ?",IF(AND($C763&lt;&gt;"",ISNUMBER($I763),OR(VALUE(LEFT($B763,4))-$I763&lt;4+IFERROR(MATCH($C763,LISTE_NIVEAUX,0),99),VALUE(LEFT($B763,4))-$I763&gt;6+IFERROR(MATCH($C763,LISTE_NIVEAUX,0),99))),"⚠ Vérifier niveau",IF(AND(IFERROR(VLOOKUP($C763,TABLE_CYCLE,2,0),3)=2,COUNT($O763:$Q763)&gt;0),"⚠ Tests cycle 3",IF(COUNT($J763:$Q763)&gt;=IF(IFERROR(VLOOKUP($C763,TABLE_CYCLE,2,0),3)=2,5,8),"Complet","Incomplet"))))))))</f>
        <v/>
      </c>
      <c r="S763" s="24"/>
      <c r="T763" s="67" t="str">
        <f t="shared" si="100"/>
        <v/>
      </c>
      <c r="U763" s="67" t="str">
        <f t="shared" si="101"/>
        <v/>
      </c>
      <c r="V763" s="67" t="str">
        <f t="shared" si="102"/>
        <v/>
      </c>
      <c r="W763" s="67" t="str">
        <f t="shared" si="103"/>
        <v/>
      </c>
      <c r="X763" s="67" t="str">
        <f t="shared" si="104"/>
        <v/>
      </c>
      <c r="Y763" s="24" t="str">
        <f t="shared" si="105"/>
        <v/>
      </c>
      <c r="Z763">
        <f t="shared" si="106"/>
        <v>0</v>
      </c>
      <c r="AA763">
        <f t="shared" si="107"/>
        <v>0</v>
      </c>
    </row>
    <row r="764" spans="2:27" ht="15.75" customHeight="1" x14ac:dyDescent="0.3">
      <c r="B764" s="25"/>
      <c r="C764" s="25"/>
      <c r="D764" s="25"/>
      <c r="E764" s="26" t="str">
        <f t="shared" si="99"/>
        <v/>
      </c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3" t="str">
        <f>IF($F764="","",IF(OR($B764="",$C764="",$D764=""),"⚠ Compléter Année/Niveau/Session",IF(AND($E764&lt;&gt;"",COUNTIF(D_KEY_DOUBLON,$B764&amp;"|"&amp;$D764&amp;"|"&amp;$E764)&gt;1),"⚠ Doublon",IF(AND($E764&lt;&gt;"",COUNTIF(D_KEY_STATUT,$B764&amp;"|"&amp;$E764&amp;"|P")&gt;0,COUNTIF(D_KEY_STATUT,$B764&amp;"|"&amp;$E764&amp;"|A")&gt;0),"⚠ Statut incohérent",IF(AND($D764="S1",$Y764&lt;&gt;"Parti",COUNTIF(ANNEES_VERROU,$B764)&gt;0,COUNTIF(D_KEY_NIVSES,$B764&amp;"|"&amp;$C764&amp;"|S2")&gt;0,COUNTIF(D_KEY_DOUBLON,$B764&amp;"|S2|"&amp;$E764)=0),"⚠ Départ non confirmé ?",IF(AND($C764&lt;&gt;"",ISNUMBER($I764),OR(VALUE(LEFT($B764,4))-$I764&lt;4+IFERROR(MATCH($C764,LISTE_NIVEAUX,0),99),VALUE(LEFT($B764,4))-$I764&gt;6+IFERROR(MATCH($C764,LISTE_NIVEAUX,0),99))),"⚠ Vérifier niveau",IF(AND(IFERROR(VLOOKUP($C764,TABLE_CYCLE,2,0),3)=2,COUNT($O764:$Q764)&gt;0),"⚠ Tests cycle 3",IF(COUNT($J764:$Q764)&gt;=IF(IFERROR(VLOOKUP($C764,TABLE_CYCLE,2,0),3)=2,5,8),"Complet","Incomplet"))))))))</f>
        <v/>
      </c>
      <c r="S764" s="24"/>
      <c r="T764" s="67" t="str">
        <f t="shared" si="100"/>
        <v/>
      </c>
      <c r="U764" s="67" t="str">
        <f t="shared" si="101"/>
        <v/>
      </c>
      <c r="V764" s="67" t="str">
        <f t="shared" si="102"/>
        <v/>
      </c>
      <c r="W764" s="67" t="str">
        <f t="shared" si="103"/>
        <v/>
      </c>
      <c r="X764" s="67" t="str">
        <f t="shared" si="104"/>
        <v/>
      </c>
      <c r="Y764" s="24" t="str">
        <f t="shared" si="105"/>
        <v/>
      </c>
      <c r="Z764">
        <f t="shared" si="106"/>
        <v>0</v>
      </c>
      <c r="AA764">
        <f t="shared" si="107"/>
        <v>0</v>
      </c>
    </row>
    <row r="765" spans="2:27" ht="15.75" customHeight="1" x14ac:dyDescent="0.3">
      <c r="B765" s="21"/>
      <c r="C765" s="21"/>
      <c r="D765" s="21"/>
      <c r="E765" s="22" t="str">
        <f t="shared" si="99"/>
        <v/>
      </c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3" t="str">
        <f>IF($F765="","",IF(OR($B765="",$C765="",$D765=""),"⚠ Compléter Année/Niveau/Session",IF(AND($E765&lt;&gt;"",COUNTIF(D_KEY_DOUBLON,$B765&amp;"|"&amp;$D765&amp;"|"&amp;$E765)&gt;1),"⚠ Doublon",IF(AND($E765&lt;&gt;"",COUNTIF(D_KEY_STATUT,$B765&amp;"|"&amp;$E765&amp;"|P")&gt;0,COUNTIF(D_KEY_STATUT,$B765&amp;"|"&amp;$E765&amp;"|A")&gt;0),"⚠ Statut incohérent",IF(AND($D765="S1",$Y765&lt;&gt;"Parti",COUNTIF(ANNEES_VERROU,$B765)&gt;0,COUNTIF(D_KEY_NIVSES,$B765&amp;"|"&amp;$C765&amp;"|S2")&gt;0,COUNTIF(D_KEY_DOUBLON,$B765&amp;"|S2|"&amp;$E765)=0),"⚠ Départ non confirmé ?",IF(AND($C765&lt;&gt;"",ISNUMBER($I765),OR(VALUE(LEFT($B765,4))-$I765&lt;4+IFERROR(MATCH($C765,LISTE_NIVEAUX,0),99),VALUE(LEFT($B765,4))-$I765&gt;6+IFERROR(MATCH($C765,LISTE_NIVEAUX,0),99))),"⚠ Vérifier niveau",IF(AND(IFERROR(VLOOKUP($C765,TABLE_CYCLE,2,0),3)=2,COUNT($O765:$Q765)&gt;0),"⚠ Tests cycle 3",IF(COUNT($J765:$Q765)&gt;=IF(IFERROR(VLOOKUP($C765,TABLE_CYCLE,2,0),3)=2,5,8),"Complet","Incomplet"))))))))</f>
        <v/>
      </c>
      <c r="S765" s="24"/>
      <c r="T765" s="67" t="str">
        <f t="shared" si="100"/>
        <v/>
      </c>
      <c r="U765" s="67" t="str">
        <f t="shared" si="101"/>
        <v/>
      </c>
      <c r="V765" s="67" t="str">
        <f t="shared" si="102"/>
        <v/>
      </c>
      <c r="W765" s="67" t="str">
        <f t="shared" si="103"/>
        <v/>
      </c>
      <c r="X765" s="67" t="str">
        <f t="shared" si="104"/>
        <v/>
      </c>
      <c r="Y765" s="24" t="str">
        <f t="shared" si="105"/>
        <v/>
      </c>
      <c r="Z765">
        <f t="shared" si="106"/>
        <v>0</v>
      </c>
      <c r="AA765">
        <f t="shared" si="107"/>
        <v>0</v>
      </c>
    </row>
    <row r="766" spans="2:27" ht="15.75" customHeight="1" x14ac:dyDescent="0.3">
      <c r="B766" s="25"/>
      <c r="C766" s="25"/>
      <c r="D766" s="25"/>
      <c r="E766" s="26" t="str">
        <f t="shared" si="99"/>
        <v/>
      </c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3" t="str">
        <f>IF($F766="","",IF(OR($B766="",$C766="",$D766=""),"⚠ Compléter Année/Niveau/Session",IF(AND($E766&lt;&gt;"",COUNTIF(D_KEY_DOUBLON,$B766&amp;"|"&amp;$D766&amp;"|"&amp;$E766)&gt;1),"⚠ Doublon",IF(AND($E766&lt;&gt;"",COUNTIF(D_KEY_STATUT,$B766&amp;"|"&amp;$E766&amp;"|P")&gt;0,COUNTIF(D_KEY_STATUT,$B766&amp;"|"&amp;$E766&amp;"|A")&gt;0),"⚠ Statut incohérent",IF(AND($D766="S1",$Y766&lt;&gt;"Parti",COUNTIF(ANNEES_VERROU,$B766)&gt;0,COUNTIF(D_KEY_NIVSES,$B766&amp;"|"&amp;$C766&amp;"|S2")&gt;0,COUNTIF(D_KEY_DOUBLON,$B766&amp;"|S2|"&amp;$E766)=0),"⚠ Départ non confirmé ?",IF(AND($C766&lt;&gt;"",ISNUMBER($I766),OR(VALUE(LEFT($B766,4))-$I766&lt;4+IFERROR(MATCH($C766,LISTE_NIVEAUX,0),99),VALUE(LEFT($B766,4))-$I766&gt;6+IFERROR(MATCH($C766,LISTE_NIVEAUX,0),99))),"⚠ Vérifier niveau",IF(AND(IFERROR(VLOOKUP($C766,TABLE_CYCLE,2,0),3)=2,COUNT($O766:$Q766)&gt;0),"⚠ Tests cycle 3",IF(COUNT($J766:$Q766)&gt;=IF(IFERROR(VLOOKUP($C766,TABLE_CYCLE,2,0),3)=2,5,8),"Complet","Incomplet"))))))))</f>
        <v/>
      </c>
      <c r="S766" s="24"/>
      <c r="T766" s="67" t="str">
        <f t="shared" si="100"/>
        <v/>
      </c>
      <c r="U766" s="67" t="str">
        <f t="shared" si="101"/>
        <v/>
      </c>
      <c r="V766" s="67" t="str">
        <f t="shared" si="102"/>
        <v/>
      </c>
      <c r="W766" s="67" t="str">
        <f t="shared" si="103"/>
        <v/>
      </c>
      <c r="X766" s="67" t="str">
        <f t="shared" si="104"/>
        <v/>
      </c>
      <c r="Y766" s="24" t="str">
        <f t="shared" si="105"/>
        <v/>
      </c>
      <c r="Z766">
        <f t="shared" si="106"/>
        <v>0</v>
      </c>
      <c r="AA766">
        <f t="shared" si="107"/>
        <v>0</v>
      </c>
    </row>
    <row r="767" spans="2:27" ht="15.75" customHeight="1" x14ac:dyDescent="0.3">
      <c r="B767" s="21"/>
      <c r="C767" s="21"/>
      <c r="D767" s="21"/>
      <c r="E767" s="22" t="str">
        <f t="shared" si="99"/>
        <v/>
      </c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3" t="str">
        <f>IF($F767="","",IF(OR($B767="",$C767="",$D767=""),"⚠ Compléter Année/Niveau/Session",IF(AND($E767&lt;&gt;"",COUNTIF(D_KEY_DOUBLON,$B767&amp;"|"&amp;$D767&amp;"|"&amp;$E767)&gt;1),"⚠ Doublon",IF(AND($E767&lt;&gt;"",COUNTIF(D_KEY_STATUT,$B767&amp;"|"&amp;$E767&amp;"|P")&gt;0,COUNTIF(D_KEY_STATUT,$B767&amp;"|"&amp;$E767&amp;"|A")&gt;0),"⚠ Statut incohérent",IF(AND($D767="S1",$Y767&lt;&gt;"Parti",COUNTIF(ANNEES_VERROU,$B767)&gt;0,COUNTIF(D_KEY_NIVSES,$B767&amp;"|"&amp;$C767&amp;"|S2")&gt;0,COUNTIF(D_KEY_DOUBLON,$B767&amp;"|S2|"&amp;$E767)=0),"⚠ Départ non confirmé ?",IF(AND($C767&lt;&gt;"",ISNUMBER($I767),OR(VALUE(LEFT($B767,4))-$I767&lt;4+IFERROR(MATCH($C767,LISTE_NIVEAUX,0),99),VALUE(LEFT($B767,4))-$I767&gt;6+IFERROR(MATCH($C767,LISTE_NIVEAUX,0),99))),"⚠ Vérifier niveau",IF(AND(IFERROR(VLOOKUP($C767,TABLE_CYCLE,2,0),3)=2,COUNT($O767:$Q767)&gt;0),"⚠ Tests cycle 3",IF(COUNT($J767:$Q767)&gt;=IF(IFERROR(VLOOKUP($C767,TABLE_CYCLE,2,0),3)=2,5,8),"Complet","Incomplet"))))))))</f>
        <v/>
      </c>
      <c r="S767" s="24"/>
      <c r="T767" s="67" t="str">
        <f t="shared" si="100"/>
        <v/>
      </c>
      <c r="U767" s="67" t="str">
        <f t="shared" si="101"/>
        <v/>
      </c>
      <c r="V767" s="67" t="str">
        <f t="shared" si="102"/>
        <v/>
      </c>
      <c r="W767" s="67" t="str">
        <f t="shared" si="103"/>
        <v/>
      </c>
      <c r="X767" s="67" t="str">
        <f t="shared" si="104"/>
        <v/>
      </c>
      <c r="Y767" s="24" t="str">
        <f t="shared" si="105"/>
        <v/>
      </c>
      <c r="Z767">
        <f t="shared" si="106"/>
        <v>0</v>
      </c>
      <c r="AA767">
        <f t="shared" si="107"/>
        <v>0</v>
      </c>
    </row>
    <row r="768" spans="2:27" ht="15.75" customHeight="1" x14ac:dyDescent="0.3">
      <c r="B768" s="25"/>
      <c r="C768" s="25"/>
      <c r="D768" s="25"/>
      <c r="E768" s="26" t="str">
        <f t="shared" si="99"/>
        <v/>
      </c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3" t="str">
        <f>IF($F768="","",IF(OR($B768="",$C768="",$D768=""),"⚠ Compléter Année/Niveau/Session",IF(AND($E768&lt;&gt;"",COUNTIF(D_KEY_DOUBLON,$B768&amp;"|"&amp;$D768&amp;"|"&amp;$E768)&gt;1),"⚠ Doublon",IF(AND($E768&lt;&gt;"",COUNTIF(D_KEY_STATUT,$B768&amp;"|"&amp;$E768&amp;"|P")&gt;0,COUNTIF(D_KEY_STATUT,$B768&amp;"|"&amp;$E768&amp;"|A")&gt;0),"⚠ Statut incohérent",IF(AND($D768="S1",$Y768&lt;&gt;"Parti",COUNTIF(ANNEES_VERROU,$B768)&gt;0,COUNTIF(D_KEY_NIVSES,$B768&amp;"|"&amp;$C768&amp;"|S2")&gt;0,COUNTIF(D_KEY_DOUBLON,$B768&amp;"|S2|"&amp;$E768)=0),"⚠ Départ non confirmé ?",IF(AND($C768&lt;&gt;"",ISNUMBER($I768),OR(VALUE(LEFT($B768,4))-$I768&lt;4+IFERROR(MATCH($C768,LISTE_NIVEAUX,0),99),VALUE(LEFT($B768,4))-$I768&gt;6+IFERROR(MATCH($C768,LISTE_NIVEAUX,0),99))),"⚠ Vérifier niveau",IF(AND(IFERROR(VLOOKUP($C768,TABLE_CYCLE,2,0),3)=2,COUNT($O768:$Q768)&gt;0),"⚠ Tests cycle 3",IF(COUNT($J768:$Q768)&gt;=IF(IFERROR(VLOOKUP($C768,TABLE_CYCLE,2,0),3)=2,5,8),"Complet","Incomplet"))))))))</f>
        <v/>
      </c>
      <c r="S768" s="24"/>
      <c r="T768" s="67" t="str">
        <f t="shared" si="100"/>
        <v/>
      </c>
      <c r="U768" s="67" t="str">
        <f t="shared" si="101"/>
        <v/>
      </c>
      <c r="V768" s="67" t="str">
        <f t="shared" si="102"/>
        <v/>
      </c>
      <c r="W768" s="67" t="str">
        <f t="shared" si="103"/>
        <v/>
      </c>
      <c r="X768" s="67" t="str">
        <f t="shared" si="104"/>
        <v/>
      </c>
      <c r="Y768" s="24" t="str">
        <f t="shared" si="105"/>
        <v/>
      </c>
      <c r="Z768">
        <f t="shared" si="106"/>
        <v>0</v>
      </c>
      <c r="AA768">
        <f t="shared" si="107"/>
        <v>0</v>
      </c>
    </row>
    <row r="769" spans="2:27" ht="15.75" customHeight="1" x14ac:dyDescent="0.3">
      <c r="B769" s="21"/>
      <c r="C769" s="21"/>
      <c r="D769" s="21"/>
      <c r="E769" s="22" t="str">
        <f t="shared" si="99"/>
        <v/>
      </c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3" t="str">
        <f>IF($F769="","",IF(OR($B769="",$C769="",$D769=""),"⚠ Compléter Année/Niveau/Session",IF(AND($E769&lt;&gt;"",COUNTIF(D_KEY_DOUBLON,$B769&amp;"|"&amp;$D769&amp;"|"&amp;$E769)&gt;1),"⚠ Doublon",IF(AND($E769&lt;&gt;"",COUNTIF(D_KEY_STATUT,$B769&amp;"|"&amp;$E769&amp;"|P")&gt;0,COUNTIF(D_KEY_STATUT,$B769&amp;"|"&amp;$E769&amp;"|A")&gt;0),"⚠ Statut incohérent",IF(AND($D769="S1",$Y769&lt;&gt;"Parti",COUNTIF(ANNEES_VERROU,$B769)&gt;0,COUNTIF(D_KEY_NIVSES,$B769&amp;"|"&amp;$C769&amp;"|S2")&gt;0,COUNTIF(D_KEY_DOUBLON,$B769&amp;"|S2|"&amp;$E769)=0),"⚠ Départ non confirmé ?",IF(AND($C769&lt;&gt;"",ISNUMBER($I769),OR(VALUE(LEFT($B769,4))-$I769&lt;4+IFERROR(MATCH($C769,LISTE_NIVEAUX,0),99),VALUE(LEFT($B769,4))-$I769&gt;6+IFERROR(MATCH($C769,LISTE_NIVEAUX,0),99))),"⚠ Vérifier niveau",IF(AND(IFERROR(VLOOKUP($C769,TABLE_CYCLE,2,0),3)=2,COUNT($O769:$Q769)&gt;0),"⚠ Tests cycle 3",IF(COUNT($J769:$Q769)&gt;=IF(IFERROR(VLOOKUP($C769,TABLE_CYCLE,2,0),3)=2,5,8),"Complet","Incomplet"))))))))</f>
        <v/>
      </c>
      <c r="S769" s="24"/>
      <c r="T769" s="67" t="str">
        <f t="shared" si="100"/>
        <v/>
      </c>
      <c r="U769" s="67" t="str">
        <f t="shared" si="101"/>
        <v/>
      </c>
      <c r="V769" s="67" t="str">
        <f t="shared" si="102"/>
        <v/>
      </c>
      <c r="W769" s="67" t="str">
        <f t="shared" si="103"/>
        <v/>
      </c>
      <c r="X769" s="67" t="str">
        <f t="shared" si="104"/>
        <v/>
      </c>
      <c r="Y769" s="24" t="str">
        <f t="shared" si="105"/>
        <v/>
      </c>
      <c r="Z769">
        <f t="shared" si="106"/>
        <v>0</v>
      </c>
      <c r="AA769">
        <f t="shared" si="107"/>
        <v>0</v>
      </c>
    </row>
    <row r="770" spans="2:27" ht="15.75" customHeight="1" x14ac:dyDescent="0.3">
      <c r="B770" s="25"/>
      <c r="C770" s="25"/>
      <c r="D770" s="25"/>
      <c r="E770" s="26" t="str">
        <f t="shared" si="99"/>
        <v/>
      </c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3" t="str">
        <f>IF($F770="","",IF(OR($B770="",$C770="",$D770=""),"⚠ Compléter Année/Niveau/Session",IF(AND($E770&lt;&gt;"",COUNTIF(D_KEY_DOUBLON,$B770&amp;"|"&amp;$D770&amp;"|"&amp;$E770)&gt;1),"⚠ Doublon",IF(AND($E770&lt;&gt;"",COUNTIF(D_KEY_STATUT,$B770&amp;"|"&amp;$E770&amp;"|P")&gt;0,COUNTIF(D_KEY_STATUT,$B770&amp;"|"&amp;$E770&amp;"|A")&gt;0),"⚠ Statut incohérent",IF(AND($D770="S1",$Y770&lt;&gt;"Parti",COUNTIF(ANNEES_VERROU,$B770)&gt;0,COUNTIF(D_KEY_NIVSES,$B770&amp;"|"&amp;$C770&amp;"|S2")&gt;0,COUNTIF(D_KEY_DOUBLON,$B770&amp;"|S2|"&amp;$E770)=0),"⚠ Départ non confirmé ?",IF(AND($C770&lt;&gt;"",ISNUMBER($I770),OR(VALUE(LEFT($B770,4))-$I770&lt;4+IFERROR(MATCH($C770,LISTE_NIVEAUX,0),99),VALUE(LEFT($B770,4))-$I770&gt;6+IFERROR(MATCH($C770,LISTE_NIVEAUX,0),99))),"⚠ Vérifier niveau",IF(AND(IFERROR(VLOOKUP($C770,TABLE_CYCLE,2,0),3)=2,COUNT($O770:$Q770)&gt;0),"⚠ Tests cycle 3",IF(COUNT($J770:$Q770)&gt;=IF(IFERROR(VLOOKUP($C770,TABLE_CYCLE,2,0),3)=2,5,8),"Complet","Incomplet"))))))))</f>
        <v/>
      </c>
      <c r="S770" s="24"/>
      <c r="T770" s="67" t="str">
        <f t="shared" si="100"/>
        <v/>
      </c>
      <c r="U770" s="67" t="str">
        <f t="shared" si="101"/>
        <v/>
      </c>
      <c r="V770" s="67" t="str">
        <f t="shared" si="102"/>
        <v/>
      </c>
      <c r="W770" s="67" t="str">
        <f t="shared" si="103"/>
        <v/>
      </c>
      <c r="X770" s="67" t="str">
        <f t="shared" si="104"/>
        <v/>
      </c>
      <c r="Y770" s="24" t="str">
        <f t="shared" si="105"/>
        <v/>
      </c>
      <c r="Z770">
        <f t="shared" si="106"/>
        <v>0</v>
      </c>
      <c r="AA770">
        <f t="shared" si="107"/>
        <v>0</v>
      </c>
    </row>
    <row r="771" spans="2:27" ht="15.75" customHeight="1" x14ac:dyDescent="0.3">
      <c r="B771" s="21"/>
      <c r="C771" s="21"/>
      <c r="D771" s="21"/>
      <c r="E771" s="22" t="str">
        <f t="shared" si="99"/>
        <v/>
      </c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3" t="str">
        <f>IF($F771="","",IF(OR($B771="",$C771="",$D771=""),"⚠ Compléter Année/Niveau/Session",IF(AND($E771&lt;&gt;"",COUNTIF(D_KEY_DOUBLON,$B771&amp;"|"&amp;$D771&amp;"|"&amp;$E771)&gt;1),"⚠ Doublon",IF(AND($E771&lt;&gt;"",COUNTIF(D_KEY_STATUT,$B771&amp;"|"&amp;$E771&amp;"|P")&gt;0,COUNTIF(D_KEY_STATUT,$B771&amp;"|"&amp;$E771&amp;"|A")&gt;0),"⚠ Statut incohérent",IF(AND($D771="S1",$Y771&lt;&gt;"Parti",COUNTIF(ANNEES_VERROU,$B771)&gt;0,COUNTIF(D_KEY_NIVSES,$B771&amp;"|"&amp;$C771&amp;"|S2")&gt;0,COUNTIF(D_KEY_DOUBLON,$B771&amp;"|S2|"&amp;$E771)=0),"⚠ Départ non confirmé ?",IF(AND($C771&lt;&gt;"",ISNUMBER($I771),OR(VALUE(LEFT($B771,4))-$I771&lt;4+IFERROR(MATCH($C771,LISTE_NIVEAUX,0),99),VALUE(LEFT($B771,4))-$I771&gt;6+IFERROR(MATCH($C771,LISTE_NIVEAUX,0),99))),"⚠ Vérifier niveau",IF(AND(IFERROR(VLOOKUP($C771,TABLE_CYCLE,2,0),3)=2,COUNT($O771:$Q771)&gt;0),"⚠ Tests cycle 3",IF(COUNT($J771:$Q771)&gt;=IF(IFERROR(VLOOKUP($C771,TABLE_CYCLE,2,0),3)=2,5,8),"Complet","Incomplet"))))))))</f>
        <v/>
      </c>
      <c r="S771" s="24"/>
      <c r="T771" s="67" t="str">
        <f t="shared" si="100"/>
        <v/>
      </c>
      <c r="U771" s="67" t="str">
        <f t="shared" si="101"/>
        <v/>
      </c>
      <c r="V771" s="67" t="str">
        <f t="shared" si="102"/>
        <v/>
      </c>
      <c r="W771" s="67" t="str">
        <f t="shared" si="103"/>
        <v/>
      </c>
      <c r="X771" s="67" t="str">
        <f t="shared" si="104"/>
        <v/>
      </c>
      <c r="Y771" s="24" t="str">
        <f t="shared" si="105"/>
        <v/>
      </c>
      <c r="Z771">
        <f t="shared" si="106"/>
        <v>0</v>
      </c>
      <c r="AA771">
        <f t="shared" si="107"/>
        <v>0</v>
      </c>
    </row>
    <row r="772" spans="2:27" ht="15.75" customHeight="1" x14ac:dyDescent="0.3">
      <c r="B772" s="25"/>
      <c r="C772" s="25"/>
      <c r="D772" s="25"/>
      <c r="E772" s="26" t="str">
        <f t="shared" si="99"/>
        <v/>
      </c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3" t="str">
        <f>IF($F772="","",IF(OR($B772="",$C772="",$D772=""),"⚠ Compléter Année/Niveau/Session",IF(AND($E772&lt;&gt;"",COUNTIF(D_KEY_DOUBLON,$B772&amp;"|"&amp;$D772&amp;"|"&amp;$E772)&gt;1),"⚠ Doublon",IF(AND($E772&lt;&gt;"",COUNTIF(D_KEY_STATUT,$B772&amp;"|"&amp;$E772&amp;"|P")&gt;0,COUNTIF(D_KEY_STATUT,$B772&amp;"|"&amp;$E772&amp;"|A")&gt;0),"⚠ Statut incohérent",IF(AND($D772="S1",$Y772&lt;&gt;"Parti",COUNTIF(ANNEES_VERROU,$B772)&gt;0,COUNTIF(D_KEY_NIVSES,$B772&amp;"|"&amp;$C772&amp;"|S2")&gt;0,COUNTIF(D_KEY_DOUBLON,$B772&amp;"|S2|"&amp;$E772)=0),"⚠ Départ non confirmé ?",IF(AND($C772&lt;&gt;"",ISNUMBER($I772),OR(VALUE(LEFT($B772,4))-$I772&lt;4+IFERROR(MATCH($C772,LISTE_NIVEAUX,0),99),VALUE(LEFT($B772,4))-$I772&gt;6+IFERROR(MATCH($C772,LISTE_NIVEAUX,0),99))),"⚠ Vérifier niveau",IF(AND(IFERROR(VLOOKUP($C772,TABLE_CYCLE,2,0),3)=2,COUNT($O772:$Q772)&gt;0),"⚠ Tests cycle 3",IF(COUNT($J772:$Q772)&gt;=IF(IFERROR(VLOOKUP($C772,TABLE_CYCLE,2,0),3)=2,5,8),"Complet","Incomplet"))))))))</f>
        <v/>
      </c>
      <c r="S772" s="24"/>
      <c r="T772" s="67" t="str">
        <f t="shared" si="100"/>
        <v/>
      </c>
      <c r="U772" s="67" t="str">
        <f t="shared" si="101"/>
        <v/>
      </c>
      <c r="V772" s="67" t="str">
        <f t="shared" si="102"/>
        <v/>
      </c>
      <c r="W772" s="67" t="str">
        <f t="shared" si="103"/>
        <v/>
      </c>
      <c r="X772" s="67" t="str">
        <f t="shared" si="104"/>
        <v/>
      </c>
      <c r="Y772" s="24" t="str">
        <f t="shared" si="105"/>
        <v/>
      </c>
      <c r="Z772">
        <f t="shared" si="106"/>
        <v>0</v>
      </c>
      <c r="AA772">
        <f t="shared" si="107"/>
        <v>0</v>
      </c>
    </row>
    <row r="773" spans="2:27" ht="15.75" customHeight="1" x14ac:dyDescent="0.3">
      <c r="B773" s="21"/>
      <c r="C773" s="21"/>
      <c r="D773" s="21"/>
      <c r="E773" s="22" t="str">
        <f t="shared" si="99"/>
        <v/>
      </c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3" t="str">
        <f>IF($F773="","",IF(OR($B773="",$C773="",$D773=""),"⚠ Compléter Année/Niveau/Session",IF(AND($E773&lt;&gt;"",COUNTIF(D_KEY_DOUBLON,$B773&amp;"|"&amp;$D773&amp;"|"&amp;$E773)&gt;1),"⚠ Doublon",IF(AND($E773&lt;&gt;"",COUNTIF(D_KEY_STATUT,$B773&amp;"|"&amp;$E773&amp;"|P")&gt;0,COUNTIF(D_KEY_STATUT,$B773&amp;"|"&amp;$E773&amp;"|A")&gt;0),"⚠ Statut incohérent",IF(AND($D773="S1",$Y773&lt;&gt;"Parti",COUNTIF(ANNEES_VERROU,$B773)&gt;0,COUNTIF(D_KEY_NIVSES,$B773&amp;"|"&amp;$C773&amp;"|S2")&gt;0,COUNTIF(D_KEY_DOUBLON,$B773&amp;"|S2|"&amp;$E773)=0),"⚠ Départ non confirmé ?",IF(AND($C773&lt;&gt;"",ISNUMBER($I773),OR(VALUE(LEFT($B773,4))-$I773&lt;4+IFERROR(MATCH($C773,LISTE_NIVEAUX,0),99),VALUE(LEFT($B773,4))-$I773&gt;6+IFERROR(MATCH($C773,LISTE_NIVEAUX,0),99))),"⚠ Vérifier niveau",IF(AND(IFERROR(VLOOKUP($C773,TABLE_CYCLE,2,0),3)=2,COUNT($O773:$Q773)&gt;0),"⚠ Tests cycle 3",IF(COUNT($J773:$Q773)&gt;=IF(IFERROR(VLOOKUP($C773,TABLE_CYCLE,2,0),3)=2,5,8),"Complet","Incomplet"))))))))</f>
        <v/>
      </c>
      <c r="S773" s="24"/>
      <c r="T773" s="67" t="str">
        <f t="shared" si="100"/>
        <v/>
      </c>
      <c r="U773" s="67" t="str">
        <f t="shared" si="101"/>
        <v/>
      </c>
      <c r="V773" s="67" t="str">
        <f t="shared" si="102"/>
        <v/>
      </c>
      <c r="W773" s="67" t="str">
        <f t="shared" si="103"/>
        <v/>
      </c>
      <c r="X773" s="67" t="str">
        <f t="shared" si="104"/>
        <v/>
      </c>
      <c r="Y773" s="24" t="str">
        <f t="shared" si="105"/>
        <v/>
      </c>
      <c r="Z773">
        <f t="shared" si="106"/>
        <v>0</v>
      </c>
      <c r="AA773">
        <f t="shared" si="107"/>
        <v>0</v>
      </c>
    </row>
    <row r="774" spans="2:27" ht="15.75" customHeight="1" x14ac:dyDescent="0.3">
      <c r="B774" s="25"/>
      <c r="C774" s="25"/>
      <c r="D774" s="25"/>
      <c r="E774" s="26" t="str">
        <f t="shared" si="99"/>
        <v/>
      </c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3" t="str">
        <f>IF($F774="","",IF(OR($B774="",$C774="",$D774=""),"⚠ Compléter Année/Niveau/Session",IF(AND($E774&lt;&gt;"",COUNTIF(D_KEY_DOUBLON,$B774&amp;"|"&amp;$D774&amp;"|"&amp;$E774)&gt;1),"⚠ Doublon",IF(AND($E774&lt;&gt;"",COUNTIF(D_KEY_STATUT,$B774&amp;"|"&amp;$E774&amp;"|P")&gt;0,COUNTIF(D_KEY_STATUT,$B774&amp;"|"&amp;$E774&amp;"|A")&gt;0),"⚠ Statut incohérent",IF(AND($D774="S1",$Y774&lt;&gt;"Parti",COUNTIF(ANNEES_VERROU,$B774)&gt;0,COUNTIF(D_KEY_NIVSES,$B774&amp;"|"&amp;$C774&amp;"|S2")&gt;0,COUNTIF(D_KEY_DOUBLON,$B774&amp;"|S2|"&amp;$E774)=0),"⚠ Départ non confirmé ?",IF(AND($C774&lt;&gt;"",ISNUMBER($I774),OR(VALUE(LEFT($B774,4))-$I774&lt;4+IFERROR(MATCH($C774,LISTE_NIVEAUX,0),99),VALUE(LEFT($B774,4))-$I774&gt;6+IFERROR(MATCH($C774,LISTE_NIVEAUX,0),99))),"⚠ Vérifier niveau",IF(AND(IFERROR(VLOOKUP($C774,TABLE_CYCLE,2,0),3)=2,COUNT($O774:$Q774)&gt;0),"⚠ Tests cycle 3",IF(COUNT($J774:$Q774)&gt;=IF(IFERROR(VLOOKUP($C774,TABLE_CYCLE,2,0),3)=2,5,8),"Complet","Incomplet"))))))))</f>
        <v/>
      </c>
      <c r="S774" s="24"/>
      <c r="T774" s="67" t="str">
        <f t="shared" si="100"/>
        <v/>
      </c>
      <c r="U774" s="67" t="str">
        <f t="shared" si="101"/>
        <v/>
      </c>
      <c r="V774" s="67" t="str">
        <f t="shared" si="102"/>
        <v/>
      </c>
      <c r="W774" s="67" t="str">
        <f t="shared" si="103"/>
        <v/>
      </c>
      <c r="X774" s="67" t="str">
        <f t="shared" si="104"/>
        <v/>
      </c>
      <c r="Y774" s="24" t="str">
        <f t="shared" si="105"/>
        <v/>
      </c>
      <c r="Z774">
        <f t="shared" si="106"/>
        <v>0</v>
      </c>
      <c r="AA774">
        <f t="shared" si="107"/>
        <v>0</v>
      </c>
    </row>
    <row r="775" spans="2:27" ht="15.75" customHeight="1" x14ac:dyDescent="0.3">
      <c r="B775" s="21"/>
      <c r="C775" s="21"/>
      <c r="D775" s="21"/>
      <c r="E775" s="22" t="str">
        <f t="shared" ref="E775:E838" si="108">IF(OR($F775="",$G775=""),"",IF(ISNUMBER($I775),TEXT($I775-2000,"00")&amp;"_","__")&amp;UPPER(TRIM($F775))&amp;"_"&amp;UPPER(TRIM($G775)))</f>
        <v/>
      </c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3" t="str">
        <f>IF($F775="","",IF(OR($B775="",$C775="",$D775=""),"⚠ Compléter Année/Niveau/Session",IF(AND($E775&lt;&gt;"",COUNTIF(D_KEY_DOUBLON,$B775&amp;"|"&amp;$D775&amp;"|"&amp;$E775)&gt;1),"⚠ Doublon",IF(AND($E775&lt;&gt;"",COUNTIF(D_KEY_STATUT,$B775&amp;"|"&amp;$E775&amp;"|P")&gt;0,COUNTIF(D_KEY_STATUT,$B775&amp;"|"&amp;$E775&amp;"|A")&gt;0),"⚠ Statut incohérent",IF(AND($D775="S1",$Y775&lt;&gt;"Parti",COUNTIF(ANNEES_VERROU,$B775)&gt;0,COUNTIF(D_KEY_NIVSES,$B775&amp;"|"&amp;$C775&amp;"|S2")&gt;0,COUNTIF(D_KEY_DOUBLON,$B775&amp;"|S2|"&amp;$E775)=0),"⚠ Départ non confirmé ?",IF(AND($C775&lt;&gt;"",ISNUMBER($I775),OR(VALUE(LEFT($B775,4))-$I775&lt;4+IFERROR(MATCH($C775,LISTE_NIVEAUX,0),99),VALUE(LEFT($B775,4))-$I775&gt;6+IFERROR(MATCH($C775,LISTE_NIVEAUX,0),99))),"⚠ Vérifier niveau",IF(AND(IFERROR(VLOOKUP($C775,TABLE_CYCLE,2,0),3)=2,COUNT($O775:$Q775)&gt;0),"⚠ Tests cycle 3",IF(COUNT($J775:$Q775)&gt;=IF(IFERROR(VLOOKUP($C775,TABLE_CYCLE,2,0),3)=2,5,8),"Complet","Incomplet"))))))))</f>
        <v/>
      </c>
      <c r="S775" s="24"/>
      <c r="T775" s="67" t="str">
        <f t="shared" ref="T775:T838" si="109">IFERROR(INDEX(D_NOM,MATCH(ROW()-6,D_RANG_RECUP,0)),"")</f>
        <v/>
      </c>
      <c r="U775" s="67" t="str">
        <f t="shared" ref="U775:U838" si="110">IFERROR(INDEX(D_PRENOM,MATCH(ROW()-6,D_RANG_RECUP,0)),"")</f>
        <v/>
      </c>
      <c r="V775" s="67" t="str">
        <f t="shared" ref="V775:V838" si="111">IFERROR(INDEX(D_SEXE,MATCH(ROW()-6,D_RANG_RECUP,0)),"")</f>
        <v/>
      </c>
      <c r="W775" s="67" t="str">
        <f t="shared" ref="W775:W838" si="112">IFERROR(INDEX(D_NAISS,MATCH(ROW()-6,D_RANG_RECUP,0)),"")</f>
        <v/>
      </c>
      <c r="X775" s="67" t="str">
        <f t="shared" ref="X775:X838" si="113">IF($T775="","",IF($X$4="→ Session 2 (même année)",$W$4,IFERROR(INDEX(LISTE_NIVEAUX,MATCH($W$4,LISTE_NIVEAUX,0)+1),"CM2 terminé")))</f>
        <v/>
      </c>
      <c r="Y775" s="24" t="str">
        <f t="shared" ref="Y775:Y838" si="114">IF($S775="","",$S775)</f>
        <v/>
      </c>
      <c r="Z775">
        <f t="shared" ref="Z775:Z838" si="115">SUBTOTAL(103,$F775)*($R775="Complet")</f>
        <v>0</v>
      </c>
      <c r="AA775">
        <f t="shared" ref="AA775:AA838" si="116">IF(OR($F775="",$C775=""),0,IF(COUNTIFS($B$7:$B$1206,$B775,$F$7:$F$1206,$F775,$G$7:$G$1206,$G775,$I$7:$I$1206,$I775,$C$7:$C$1206,"&lt;&gt;"&amp;$C775)&gt;0,1,0))</f>
        <v>0</v>
      </c>
    </row>
    <row r="776" spans="2:27" ht="15.75" customHeight="1" x14ac:dyDescent="0.3">
      <c r="B776" s="25"/>
      <c r="C776" s="25"/>
      <c r="D776" s="25"/>
      <c r="E776" s="26" t="str">
        <f t="shared" si="108"/>
        <v/>
      </c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3" t="str">
        <f>IF($F776="","",IF(OR($B776="",$C776="",$D776=""),"⚠ Compléter Année/Niveau/Session",IF(AND($E776&lt;&gt;"",COUNTIF(D_KEY_DOUBLON,$B776&amp;"|"&amp;$D776&amp;"|"&amp;$E776)&gt;1),"⚠ Doublon",IF(AND($E776&lt;&gt;"",COUNTIF(D_KEY_STATUT,$B776&amp;"|"&amp;$E776&amp;"|P")&gt;0,COUNTIF(D_KEY_STATUT,$B776&amp;"|"&amp;$E776&amp;"|A")&gt;0),"⚠ Statut incohérent",IF(AND($D776="S1",$Y776&lt;&gt;"Parti",COUNTIF(ANNEES_VERROU,$B776)&gt;0,COUNTIF(D_KEY_NIVSES,$B776&amp;"|"&amp;$C776&amp;"|S2")&gt;0,COUNTIF(D_KEY_DOUBLON,$B776&amp;"|S2|"&amp;$E776)=0),"⚠ Départ non confirmé ?",IF(AND($C776&lt;&gt;"",ISNUMBER($I776),OR(VALUE(LEFT($B776,4))-$I776&lt;4+IFERROR(MATCH($C776,LISTE_NIVEAUX,0),99),VALUE(LEFT($B776,4))-$I776&gt;6+IFERROR(MATCH($C776,LISTE_NIVEAUX,0),99))),"⚠ Vérifier niveau",IF(AND(IFERROR(VLOOKUP($C776,TABLE_CYCLE,2,0),3)=2,COUNT($O776:$Q776)&gt;0),"⚠ Tests cycle 3",IF(COUNT($J776:$Q776)&gt;=IF(IFERROR(VLOOKUP($C776,TABLE_CYCLE,2,0),3)=2,5,8),"Complet","Incomplet"))))))))</f>
        <v/>
      </c>
      <c r="S776" s="24"/>
      <c r="T776" s="67" t="str">
        <f t="shared" si="109"/>
        <v/>
      </c>
      <c r="U776" s="67" t="str">
        <f t="shared" si="110"/>
        <v/>
      </c>
      <c r="V776" s="67" t="str">
        <f t="shared" si="111"/>
        <v/>
      </c>
      <c r="W776" s="67" t="str">
        <f t="shared" si="112"/>
        <v/>
      </c>
      <c r="X776" s="67" t="str">
        <f t="shared" si="113"/>
        <v/>
      </c>
      <c r="Y776" s="24" t="str">
        <f t="shared" si="114"/>
        <v/>
      </c>
      <c r="Z776">
        <f t="shared" si="115"/>
        <v>0</v>
      </c>
      <c r="AA776">
        <f t="shared" si="116"/>
        <v>0</v>
      </c>
    </row>
    <row r="777" spans="2:27" ht="15.75" customHeight="1" x14ac:dyDescent="0.3">
      <c r="B777" s="21"/>
      <c r="C777" s="21"/>
      <c r="D777" s="21"/>
      <c r="E777" s="22" t="str">
        <f t="shared" si="108"/>
        <v/>
      </c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3" t="str">
        <f>IF($F777="","",IF(OR($B777="",$C777="",$D777=""),"⚠ Compléter Année/Niveau/Session",IF(AND($E777&lt;&gt;"",COUNTIF(D_KEY_DOUBLON,$B777&amp;"|"&amp;$D777&amp;"|"&amp;$E777)&gt;1),"⚠ Doublon",IF(AND($E777&lt;&gt;"",COUNTIF(D_KEY_STATUT,$B777&amp;"|"&amp;$E777&amp;"|P")&gt;0,COUNTIF(D_KEY_STATUT,$B777&amp;"|"&amp;$E777&amp;"|A")&gt;0),"⚠ Statut incohérent",IF(AND($D777="S1",$Y777&lt;&gt;"Parti",COUNTIF(ANNEES_VERROU,$B777)&gt;0,COUNTIF(D_KEY_NIVSES,$B777&amp;"|"&amp;$C777&amp;"|S2")&gt;0,COUNTIF(D_KEY_DOUBLON,$B777&amp;"|S2|"&amp;$E777)=0),"⚠ Départ non confirmé ?",IF(AND($C777&lt;&gt;"",ISNUMBER($I777),OR(VALUE(LEFT($B777,4))-$I777&lt;4+IFERROR(MATCH($C777,LISTE_NIVEAUX,0),99),VALUE(LEFT($B777,4))-$I777&gt;6+IFERROR(MATCH($C777,LISTE_NIVEAUX,0),99))),"⚠ Vérifier niveau",IF(AND(IFERROR(VLOOKUP($C777,TABLE_CYCLE,2,0),3)=2,COUNT($O777:$Q777)&gt;0),"⚠ Tests cycle 3",IF(COUNT($J777:$Q777)&gt;=IF(IFERROR(VLOOKUP($C777,TABLE_CYCLE,2,0),3)=2,5,8),"Complet","Incomplet"))))))))</f>
        <v/>
      </c>
      <c r="S777" s="24"/>
      <c r="T777" s="67" t="str">
        <f t="shared" si="109"/>
        <v/>
      </c>
      <c r="U777" s="67" t="str">
        <f t="shared" si="110"/>
        <v/>
      </c>
      <c r="V777" s="67" t="str">
        <f t="shared" si="111"/>
        <v/>
      </c>
      <c r="W777" s="67" t="str">
        <f t="shared" si="112"/>
        <v/>
      </c>
      <c r="X777" s="67" t="str">
        <f t="shared" si="113"/>
        <v/>
      </c>
      <c r="Y777" s="24" t="str">
        <f t="shared" si="114"/>
        <v/>
      </c>
      <c r="Z777">
        <f t="shared" si="115"/>
        <v>0</v>
      </c>
      <c r="AA777">
        <f t="shared" si="116"/>
        <v>0</v>
      </c>
    </row>
    <row r="778" spans="2:27" ht="15.75" customHeight="1" x14ac:dyDescent="0.3">
      <c r="B778" s="25"/>
      <c r="C778" s="25"/>
      <c r="D778" s="25"/>
      <c r="E778" s="26" t="str">
        <f t="shared" si="108"/>
        <v/>
      </c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3" t="str">
        <f>IF($F778="","",IF(OR($B778="",$C778="",$D778=""),"⚠ Compléter Année/Niveau/Session",IF(AND($E778&lt;&gt;"",COUNTIF(D_KEY_DOUBLON,$B778&amp;"|"&amp;$D778&amp;"|"&amp;$E778)&gt;1),"⚠ Doublon",IF(AND($E778&lt;&gt;"",COUNTIF(D_KEY_STATUT,$B778&amp;"|"&amp;$E778&amp;"|P")&gt;0,COUNTIF(D_KEY_STATUT,$B778&amp;"|"&amp;$E778&amp;"|A")&gt;0),"⚠ Statut incohérent",IF(AND($D778="S1",$Y778&lt;&gt;"Parti",COUNTIF(ANNEES_VERROU,$B778)&gt;0,COUNTIF(D_KEY_NIVSES,$B778&amp;"|"&amp;$C778&amp;"|S2")&gt;0,COUNTIF(D_KEY_DOUBLON,$B778&amp;"|S2|"&amp;$E778)=0),"⚠ Départ non confirmé ?",IF(AND($C778&lt;&gt;"",ISNUMBER($I778),OR(VALUE(LEFT($B778,4))-$I778&lt;4+IFERROR(MATCH($C778,LISTE_NIVEAUX,0),99),VALUE(LEFT($B778,4))-$I778&gt;6+IFERROR(MATCH($C778,LISTE_NIVEAUX,0),99))),"⚠ Vérifier niveau",IF(AND(IFERROR(VLOOKUP($C778,TABLE_CYCLE,2,0),3)=2,COUNT($O778:$Q778)&gt;0),"⚠ Tests cycle 3",IF(COUNT($J778:$Q778)&gt;=IF(IFERROR(VLOOKUP($C778,TABLE_CYCLE,2,0),3)=2,5,8),"Complet","Incomplet"))))))))</f>
        <v/>
      </c>
      <c r="S778" s="24"/>
      <c r="T778" s="67" t="str">
        <f t="shared" si="109"/>
        <v/>
      </c>
      <c r="U778" s="67" t="str">
        <f t="shared" si="110"/>
        <v/>
      </c>
      <c r="V778" s="67" t="str">
        <f t="shared" si="111"/>
        <v/>
      </c>
      <c r="W778" s="67" t="str">
        <f t="shared" si="112"/>
        <v/>
      </c>
      <c r="X778" s="67" t="str">
        <f t="shared" si="113"/>
        <v/>
      </c>
      <c r="Y778" s="24" t="str">
        <f t="shared" si="114"/>
        <v/>
      </c>
      <c r="Z778">
        <f t="shared" si="115"/>
        <v>0</v>
      </c>
      <c r="AA778">
        <f t="shared" si="116"/>
        <v>0</v>
      </c>
    </row>
    <row r="779" spans="2:27" ht="15.75" customHeight="1" x14ac:dyDescent="0.3">
      <c r="B779" s="21"/>
      <c r="C779" s="21"/>
      <c r="D779" s="21"/>
      <c r="E779" s="22" t="str">
        <f t="shared" si="108"/>
        <v/>
      </c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3" t="str">
        <f>IF($F779="","",IF(OR($B779="",$C779="",$D779=""),"⚠ Compléter Année/Niveau/Session",IF(AND($E779&lt;&gt;"",COUNTIF(D_KEY_DOUBLON,$B779&amp;"|"&amp;$D779&amp;"|"&amp;$E779)&gt;1),"⚠ Doublon",IF(AND($E779&lt;&gt;"",COUNTIF(D_KEY_STATUT,$B779&amp;"|"&amp;$E779&amp;"|P")&gt;0,COUNTIF(D_KEY_STATUT,$B779&amp;"|"&amp;$E779&amp;"|A")&gt;0),"⚠ Statut incohérent",IF(AND($D779="S1",$Y779&lt;&gt;"Parti",COUNTIF(ANNEES_VERROU,$B779)&gt;0,COUNTIF(D_KEY_NIVSES,$B779&amp;"|"&amp;$C779&amp;"|S2")&gt;0,COUNTIF(D_KEY_DOUBLON,$B779&amp;"|S2|"&amp;$E779)=0),"⚠ Départ non confirmé ?",IF(AND($C779&lt;&gt;"",ISNUMBER($I779),OR(VALUE(LEFT($B779,4))-$I779&lt;4+IFERROR(MATCH($C779,LISTE_NIVEAUX,0),99),VALUE(LEFT($B779,4))-$I779&gt;6+IFERROR(MATCH($C779,LISTE_NIVEAUX,0),99))),"⚠ Vérifier niveau",IF(AND(IFERROR(VLOOKUP($C779,TABLE_CYCLE,2,0),3)=2,COUNT($O779:$Q779)&gt;0),"⚠ Tests cycle 3",IF(COUNT($J779:$Q779)&gt;=IF(IFERROR(VLOOKUP($C779,TABLE_CYCLE,2,0),3)=2,5,8),"Complet","Incomplet"))))))))</f>
        <v/>
      </c>
      <c r="S779" s="24"/>
      <c r="T779" s="67" t="str">
        <f t="shared" si="109"/>
        <v/>
      </c>
      <c r="U779" s="67" t="str">
        <f t="shared" si="110"/>
        <v/>
      </c>
      <c r="V779" s="67" t="str">
        <f t="shared" si="111"/>
        <v/>
      </c>
      <c r="W779" s="67" t="str">
        <f t="shared" si="112"/>
        <v/>
      </c>
      <c r="X779" s="67" t="str">
        <f t="shared" si="113"/>
        <v/>
      </c>
      <c r="Y779" s="24" t="str">
        <f t="shared" si="114"/>
        <v/>
      </c>
      <c r="Z779">
        <f t="shared" si="115"/>
        <v>0</v>
      </c>
      <c r="AA779">
        <f t="shared" si="116"/>
        <v>0</v>
      </c>
    </row>
    <row r="780" spans="2:27" ht="15.75" customHeight="1" x14ac:dyDescent="0.3">
      <c r="B780" s="25"/>
      <c r="C780" s="25"/>
      <c r="D780" s="25"/>
      <c r="E780" s="26" t="str">
        <f t="shared" si="108"/>
        <v/>
      </c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3" t="str">
        <f>IF($F780="","",IF(OR($B780="",$C780="",$D780=""),"⚠ Compléter Année/Niveau/Session",IF(AND($E780&lt;&gt;"",COUNTIF(D_KEY_DOUBLON,$B780&amp;"|"&amp;$D780&amp;"|"&amp;$E780)&gt;1),"⚠ Doublon",IF(AND($E780&lt;&gt;"",COUNTIF(D_KEY_STATUT,$B780&amp;"|"&amp;$E780&amp;"|P")&gt;0,COUNTIF(D_KEY_STATUT,$B780&amp;"|"&amp;$E780&amp;"|A")&gt;0),"⚠ Statut incohérent",IF(AND($D780="S1",$Y780&lt;&gt;"Parti",COUNTIF(ANNEES_VERROU,$B780)&gt;0,COUNTIF(D_KEY_NIVSES,$B780&amp;"|"&amp;$C780&amp;"|S2")&gt;0,COUNTIF(D_KEY_DOUBLON,$B780&amp;"|S2|"&amp;$E780)=0),"⚠ Départ non confirmé ?",IF(AND($C780&lt;&gt;"",ISNUMBER($I780),OR(VALUE(LEFT($B780,4))-$I780&lt;4+IFERROR(MATCH($C780,LISTE_NIVEAUX,0),99),VALUE(LEFT($B780,4))-$I780&gt;6+IFERROR(MATCH($C780,LISTE_NIVEAUX,0),99))),"⚠ Vérifier niveau",IF(AND(IFERROR(VLOOKUP($C780,TABLE_CYCLE,2,0),3)=2,COUNT($O780:$Q780)&gt;0),"⚠ Tests cycle 3",IF(COUNT($J780:$Q780)&gt;=IF(IFERROR(VLOOKUP($C780,TABLE_CYCLE,2,0),3)=2,5,8),"Complet","Incomplet"))))))))</f>
        <v/>
      </c>
      <c r="S780" s="24"/>
      <c r="T780" s="67" t="str">
        <f t="shared" si="109"/>
        <v/>
      </c>
      <c r="U780" s="67" t="str">
        <f t="shared" si="110"/>
        <v/>
      </c>
      <c r="V780" s="67" t="str">
        <f t="shared" si="111"/>
        <v/>
      </c>
      <c r="W780" s="67" t="str">
        <f t="shared" si="112"/>
        <v/>
      </c>
      <c r="X780" s="67" t="str">
        <f t="shared" si="113"/>
        <v/>
      </c>
      <c r="Y780" s="24" t="str">
        <f t="shared" si="114"/>
        <v/>
      </c>
      <c r="Z780">
        <f t="shared" si="115"/>
        <v>0</v>
      </c>
      <c r="AA780">
        <f t="shared" si="116"/>
        <v>0</v>
      </c>
    </row>
    <row r="781" spans="2:27" ht="15.75" customHeight="1" x14ac:dyDescent="0.3">
      <c r="B781" s="21"/>
      <c r="C781" s="21"/>
      <c r="D781" s="21"/>
      <c r="E781" s="22" t="str">
        <f t="shared" si="108"/>
        <v/>
      </c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3" t="str">
        <f>IF($F781="","",IF(OR($B781="",$C781="",$D781=""),"⚠ Compléter Année/Niveau/Session",IF(AND($E781&lt;&gt;"",COUNTIF(D_KEY_DOUBLON,$B781&amp;"|"&amp;$D781&amp;"|"&amp;$E781)&gt;1),"⚠ Doublon",IF(AND($E781&lt;&gt;"",COUNTIF(D_KEY_STATUT,$B781&amp;"|"&amp;$E781&amp;"|P")&gt;0,COUNTIF(D_KEY_STATUT,$B781&amp;"|"&amp;$E781&amp;"|A")&gt;0),"⚠ Statut incohérent",IF(AND($D781="S1",$Y781&lt;&gt;"Parti",COUNTIF(ANNEES_VERROU,$B781)&gt;0,COUNTIF(D_KEY_NIVSES,$B781&amp;"|"&amp;$C781&amp;"|S2")&gt;0,COUNTIF(D_KEY_DOUBLON,$B781&amp;"|S2|"&amp;$E781)=0),"⚠ Départ non confirmé ?",IF(AND($C781&lt;&gt;"",ISNUMBER($I781),OR(VALUE(LEFT($B781,4))-$I781&lt;4+IFERROR(MATCH($C781,LISTE_NIVEAUX,0),99),VALUE(LEFT($B781,4))-$I781&gt;6+IFERROR(MATCH($C781,LISTE_NIVEAUX,0),99))),"⚠ Vérifier niveau",IF(AND(IFERROR(VLOOKUP($C781,TABLE_CYCLE,2,0),3)=2,COUNT($O781:$Q781)&gt;0),"⚠ Tests cycle 3",IF(COUNT($J781:$Q781)&gt;=IF(IFERROR(VLOOKUP($C781,TABLE_CYCLE,2,0),3)=2,5,8),"Complet","Incomplet"))))))))</f>
        <v/>
      </c>
      <c r="S781" s="24"/>
      <c r="T781" s="67" t="str">
        <f t="shared" si="109"/>
        <v/>
      </c>
      <c r="U781" s="67" t="str">
        <f t="shared" si="110"/>
        <v/>
      </c>
      <c r="V781" s="67" t="str">
        <f t="shared" si="111"/>
        <v/>
      </c>
      <c r="W781" s="67" t="str">
        <f t="shared" si="112"/>
        <v/>
      </c>
      <c r="X781" s="67" t="str">
        <f t="shared" si="113"/>
        <v/>
      </c>
      <c r="Y781" s="24" t="str">
        <f t="shared" si="114"/>
        <v/>
      </c>
      <c r="Z781">
        <f t="shared" si="115"/>
        <v>0</v>
      </c>
      <c r="AA781">
        <f t="shared" si="116"/>
        <v>0</v>
      </c>
    </row>
    <row r="782" spans="2:27" ht="15.75" customHeight="1" x14ac:dyDescent="0.3">
      <c r="B782" s="25"/>
      <c r="C782" s="25"/>
      <c r="D782" s="25"/>
      <c r="E782" s="26" t="str">
        <f t="shared" si="108"/>
        <v/>
      </c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3" t="str">
        <f>IF($F782="","",IF(OR($B782="",$C782="",$D782=""),"⚠ Compléter Année/Niveau/Session",IF(AND($E782&lt;&gt;"",COUNTIF(D_KEY_DOUBLON,$B782&amp;"|"&amp;$D782&amp;"|"&amp;$E782)&gt;1),"⚠ Doublon",IF(AND($E782&lt;&gt;"",COUNTIF(D_KEY_STATUT,$B782&amp;"|"&amp;$E782&amp;"|P")&gt;0,COUNTIF(D_KEY_STATUT,$B782&amp;"|"&amp;$E782&amp;"|A")&gt;0),"⚠ Statut incohérent",IF(AND($D782="S1",$Y782&lt;&gt;"Parti",COUNTIF(ANNEES_VERROU,$B782)&gt;0,COUNTIF(D_KEY_NIVSES,$B782&amp;"|"&amp;$C782&amp;"|S2")&gt;0,COUNTIF(D_KEY_DOUBLON,$B782&amp;"|S2|"&amp;$E782)=0),"⚠ Départ non confirmé ?",IF(AND($C782&lt;&gt;"",ISNUMBER($I782),OR(VALUE(LEFT($B782,4))-$I782&lt;4+IFERROR(MATCH($C782,LISTE_NIVEAUX,0),99),VALUE(LEFT($B782,4))-$I782&gt;6+IFERROR(MATCH($C782,LISTE_NIVEAUX,0),99))),"⚠ Vérifier niveau",IF(AND(IFERROR(VLOOKUP($C782,TABLE_CYCLE,2,0),3)=2,COUNT($O782:$Q782)&gt;0),"⚠ Tests cycle 3",IF(COUNT($J782:$Q782)&gt;=IF(IFERROR(VLOOKUP($C782,TABLE_CYCLE,2,0),3)=2,5,8),"Complet","Incomplet"))))))))</f>
        <v/>
      </c>
      <c r="S782" s="24"/>
      <c r="T782" s="67" t="str">
        <f t="shared" si="109"/>
        <v/>
      </c>
      <c r="U782" s="67" t="str">
        <f t="shared" si="110"/>
        <v/>
      </c>
      <c r="V782" s="67" t="str">
        <f t="shared" si="111"/>
        <v/>
      </c>
      <c r="W782" s="67" t="str">
        <f t="shared" si="112"/>
        <v/>
      </c>
      <c r="X782" s="67" t="str">
        <f t="shared" si="113"/>
        <v/>
      </c>
      <c r="Y782" s="24" t="str">
        <f t="shared" si="114"/>
        <v/>
      </c>
      <c r="Z782">
        <f t="shared" si="115"/>
        <v>0</v>
      </c>
      <c r="AA782">
        <f t="shared" si="116"/>
        <v>0</v>
      </c>
    </row>
    <row r="783" spans="2:27" ht="15.75" customHeight="1" x14ac:dyDescent="0.3">
      <c r="B783" s="21"/>
      <c r="C783" s="21"/>
      <c r="D783" s="21"/>
      <c r="E783" s="22" t="str">
        <f t="shared" si="108"/>
        <v/>
      </c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3" t="str">
        <f>IF($F783="","",IF(OR($B783="",$C783="",$D783=""),"⚠ Compléter Année/Niveau/Session",IF(AND($E783&lt;&gt;"",COUNTIF(D_KEY_DOUBLON,$B783&amp;"|"&amp;$D783&amp;"|"&amp;$E783)&gt;1),"⚠ Doublon",IF(AND($E783&lt;&gt;"",COUNTIF(D_KEY_STATUT,$B783&amp;"|"&amp;$E783&amp;"|P")&gt;0,COUNTIF(D_KEY_STATUT,$B783&amp;"|"&amp;$E783&amp;"|A")&gt;0),"⚠ Statut incohérent",IF(AND($D783="S1",$Y783&lt;&gt;"Parti",COUNTIF(ANNEES_VERROU,$B783)&gt;0,COUNTIF(D_KEY_NIVSES,$B783&amp;"|"&amp;$C783&amp;"|S2")&gt;0,COUNTIF(D_KEY_DOUBLON,$B783&amp;"|S2|"&amp;$E783)=0),"⚠ Départ non confirmé ?",IF(AND($C783&lt;&gt;"",ISNUMBER($I783),OR(VALUE(LEFT($B783,4))-$I783&lt;4+IFERROR(MATCH($C783,LISTE_NIVEAUX,0),99),VALUE(LEFT($B783,4))-$I783&gt;6+IFERROR(MATCH($C783,LISTE_NIVEAUX,0),99))),"⚠ Vérifier niveau",IF(AND(IFERROR(VLOOKUP($C783,TABLE_CYCLE,2,0),3)=2,COUNT($O783:$Q783)&gt;0),"⚠ Tests cycle 3",IF(COUNT($J783:$Q783)&gt;=IF(IFERROR(VLOOKUP($C783,TABLE_CYCLE,2,0),3)=2,5,8),"Complet","Incomplet"))))))))</f>
        <v/>
      </c>
      <c r="S783" s="24"/>
      <c r="T783" s="67" t="str">
        <f t="shared" si="109"/>
        <v/>
      </c>
      <c r="U783" s="67" t="str">
        <f t="shared" si="110"/>
        <v/>
      </c>
      <c r="V783" s="67" t="str">
        <f t="shared" si="111"/>
        <v/>
      </c>
      <c r="W783" s="67" t="str">
        <f t="shared" si="112"/>
        <v/>
      </c>
      <c r="X783" s="67" t="str">
        <f t="shared" si="113"/>
        <v/>
      </c>
      <c r="Y783" s="24" t="str">
        <f t="shared" si="114"/>
        <v/>
      </c>
      <c r="Z783">
        <f t="shared" si="115"/>
        <v>0</v>
      </c>
      <c r="AA783">
        <f t="shared" si="116"/>
        <v>0</v>
      </c>
    </row>
    <row r="784" spans="2:27" ht="15.75" customHeight="1" x14ac:dyDescent="0.3">
      <c r="B784" s="25"/>
      <c r="C784" s="25"/>
      <c r="D784" s="25"/>
      <c r="E784" s="26" t="str">
        <f t="shared" si="108"/>
        <v/>
      </c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3" t="str">
        <f>IF($F784="","",IF(OR($B784="",$C784="",$D784=""),"⚠ Compléter Année/Niveau/Session",IF(AND($E784&lt;&gt;"",COUNTIF(D_KEY_DOUBLON,$B784&amp;"|"&amp;$D784&amp;"|"&amp;$E784)&gt;1),"⚠ Doublon",IF(AND($E784&lt;&gt;"",COUNTIF(D_KEY_STATUT,$B784&amp;"|"&amp;$E784&amp;"|P")&gt;0,COUNTIF(D_KEY_STATUT,$B784&amp;"|"&amp;$E784&amp;"|A")&gt;0),"⚠ Statut incohérent",IF(AND($D784="S1",$Y784&lt;&gt;"Parti",COUNTIF(ANNEES_VERROU,$B784)&gt;0,COUNTIF(D_KEY_NIVSES,$B784&amp;"|"&amp;$C784&amp;"|S2")&gt;0,COUNTIF(D_KEY_DOUBLON,$B784&amp;"|S2|"&amp;$E784)=0),"⚠ Départ non confirmé ?",IF(AND($C784&lt;&gt;"",ISNUMBER($I784),OR(VALUE(LEFT($B784,4))-$I784&lt;4+IFERROR(MATCH($C784,LISTE_NIVEAUX,0),99),VALUE(LEFT($B784,4))-$I784&gt;6+IFERROR(MATCH($C784,LISTE_NIVEAUX,0),99))),"⚠ Vérifier niveau",IF(AND(IFERROR(VLOOKUP($C784,TABLE_CYCLE,2,0),3)=2,COUNT($O784:$Q784)&gt;0),"⚠ Tests cycle 3",IF(COUNT($J784:$Q784)&gt;=IF(IFERROR(VLOOKUP($C784,TABLE_CYCLE,2,0),3)=2,5,8),"Complet","Incomplet"))))))))</f>
        <v/>
      </c>
      <c r="S784" s="24"/>
      <c r="T784" s="67" t="str">
        <f t="shared" si="109"/>
        <v/>
      </c>
      <c r="U784" s="67" t="str">
        <f t="shared" si="110"/>
        <v/>
      </c>
      <c r="V784" s="67" t="str">
        <f t="shared" si="111"/>
        <v/>
      </c>
      <c r="W784" s="67" t="str">
        <f t="shared" si="112"/>
        <v/>
      </c>
      <c r="X784" s="67" t="str">
        <f t="shared" si="113"/>
        <v/>
      </c>
      <c r="Y784" s="24" t="str">
        <f t="shared" si="114"/>
        <v/>
      </c>
      <c r="Z784">
        <f t="shared" si="115"/>
        <v>0</v>
      </c>
      <c r="AA784">
        <f t="shared" si="116"/>
        <v>0</v>
      </c>
    </row>
    <row r="785" spans="2:27" ht="15.75" customHeight="1" x14ac:dyDescent="0.3">
      <c r="B785" s="21"/>
      <c r="C785" s="21"/>
      <c r="D785" s="21"/>
      <c r="E785" s="22" t="str">
        <f t="shared" si="108"/>
        <v/>
      </c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3" t="str">
        <f>IF($F785="","",IF(OR($B785="",$C785="",$D785=""),"⚠ Compléter Année/Niveau/Session",IF(AND($E785&lt;&gt;"",COUNTIF(D_KEY_DOUBLON,$B785&amp;"|"&amp;$D785&amp;"|"&amp;$E785)&gt;1),"⚠ Doublon",IF(AND($E785&lt;&gt;"",COUNTIF(D_KEY_STATUT,$B785&amp;"|"&amp;$E785&amp;"|P")&gt;0,COUNTIF(D_KEY_STATUT,$B785&amp;"|"&amp;$E785&amp;"|A")&gt;0),"⚠ Statut incohérent",IF(AND($D785="S1",$Y785&lt;&gt;"Parti",COUNTIF(ANNEES_VERROU,$B785)&gt;0,COUNTIF(D_KEY_NIVSES,$B785&amp;"|"&amp;$C785&amp;"|S2")&gt;0,COUNTIF(D_KEY_DOUBLON,$B785&amp;"|S2|"&amp;$E785)=0),"⚠ Départ non confirmé ?",IF(AND($C785&lt;&gt;"",ISNUMBER($I785),OR(VALUE(LEFT($B785,4))-$I785&lt;4+IFERROR(MATCH($C785,LISTE_NIVEAUX,0),99),VALUE(LEFT($B785,4))-$I785&gt;6+IFERROR(MATCH($C785,LISTE_NIVEAUX,0),99))),"⚠ Vérifier niveau",IF(AND(IFERROR(VLOOKUP($C785,TABLE_CYCLE,2,0),3)=2,COUNT($O785:$Q785)&gt;0),"⚠ Tests cycle 3",IF(COUNT($J785:$Q785)&gt;=IF(IFERROR(VLOOKUP($C785,TABLE_CYCLE,2,0),3)=2,5,8),"Complet","Incomplet"))))))))</f>
        <v/>
      </c>
      <c r="S785" s="24"/>
      <c r="T785" s="67" t="str">
        <f t="shared" si="109"/>
        <v/>
      </c>
      <c r="U785" s="67" t="str">
        <f t="shared" si="110"/>
        <v/>
      </c>
      <c r="V785" s="67" t="str">
        <f t="shared" si="111"/>
        <v/>
      </c>
      <c r="W785" s="67" t="str">
        <f t="shared" si="112"/>
        <v/>
      </c>
      <c r="X785" s="67" t="str">
        <f t="shared" si="113"/>
        <v/>
      </c>
      <c r="Y785" s="24" t="str">
        <f t="shared" si="114"/>
        <v/>
      </c>
      <c r="Z785">
        <f t="shared" si="115"/>
        <v>0</v>
      </c>
      <c r="AA785">
        <f t="shared" si="116"/>
        <v>0</v>
      </c>
    </row>
    <row r="786" spans="2:27" ht="15.75" customHeight="1" x14ac:dyDescent="0.3">
      <c r="B786" s="25"/>
      <c r="C786" s="25"/>
      <c r="D786" s="25"/>
      <c r="E786" s="26" t="str">
        <f t="shared" si="108"/>
        <v/>
      </c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3" t="str">
        <f>IF($F786="","",IF(OR($B786="",$C786="",$D786=""),"⚠ Compléter Année/Niveau/Session",IF(AND($E786&lt;&gt;"",COUNTIF(D_KEY_DOUBLON,$B786&amp;"|"&amp;$D786&amp;"|"&amp;$E786)&gt;1),"⚠ Doublon",IF(AND($E786&lt;&gt;"",COUNTIF(D_KEY_STATUT,$B786&amp;"|"&amp;$E786&amp;"|P")&gt;0,COUNTIF(D_KEY_STATUT,$B786&amp;"|"&amp;$E786&amp;"|A")&gt;0),"⚠ Statut incohérent",IF(AND($D786="S1",$Y786&lt;&gt;"Parti",COUNTIF(ANNEES_VERROU,$B786)&gt;0,COUNTIF(D_KEY_NIVSES,$B786&amp;"|"&amp;$C786&amp;"|S2")&gt;0,COUNTIF(D_KEY_DOUBLON,$B786&amp;"|S2|"&amp;$E786)=0),"⚠ Départ non confirmé ?",IF(AND($C786&lt;&gt;"",ISNUMBER($I786),OR(VALUE(LEFT($B786,4))-$I786&lt;4+IFERROR(MATCH($C786,LISTE_NIVEAUX,0),99),VALUE(LEFT($B786,4))-$I786&gt;6+IFERROR(MATCH($C786,LISTE_NIVEAUX,0),99))),"⚠ Vérifier niveau",IF(AND(IFERROR(VLOOKUP($C786,TABLE_CYCLE,2,0),3)=2,COUNT($O786:$Q786)&gt;0),"⚠ Tests cycle 3",IF(COUNT($J786:$Q786)&gt;=IF(IFERROR(VLOOKUP($C786,TABLE_CYCLE,2,0),3)=2,5,8),"Complet","Incomplet"))))))))</f>
        <v/>
      </c>
      <c r="S786" s="24"/>
      <c r="T786" s="67" t="str">
        <f t="shared" si="109"/>
        <v/>
      </c>
      <c r="U786" s="67" t="str">
        <f t="shared" si="110"/>
        <v/>
      </c>
      <c r="V786" s="67" t="str">
        <f t="shared" si="111"/>
        <v/>
      </c>
      <c r="W786" s="67" t="str">
        <f t="shared" si="112"/>
        <v/>
      </c>
      <c r="X786" s="67" t="str">
        <f t="shared" si="113"/>
        <v/>
      </c>
      <c r="Y786" s="24" t="str">
        <f t="shared" si="114"/>
        <v/>
      </c>
      <c r="Z786">
        <f t="shared" si="115"/>
        <v>0</v>
      </c>
      <c r="AA786">
        <f t="shared" si="116"/>
        <v>0</v>
      </c>
    </row>
    <row r="787" spans="2:27" ht="15.75" customHeight="1" x14ac:dyDescent="0.3">
      <c r="B787" s="21"/>
      <c r="C787" s="21"/>
      <c r="D787" s="21"/>
      <c r="E787" s="22" t="str">
        <f t="shared" si="108"/>
        <v/>
      </c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3" t="str">
        <f>IF($F787="","",IF(OR($B787="",$C787="",$D787=""),"⚠ Compléter Année/Niveau/Session",IF(AND($E787&lt;&gt;"",COUNTIF(D_KEY_DOUBLON,$B787&amp;"|"&amp;$D787&amp;"|"&amp;$E787)&gt;1),"⚠ Doublon",IF(AND($E787&lt;&gt;"",COUNTIF(D_KEY_STATUT,$B787&amp;"|"&amp;$E787&amp;"|P")&gt;0,COUNTIF(D_KEY_STATUT,$B787&amp;"|"&amp;$E787&amp;"|A")&gt;0),"⚠ Statut incohérent",IF(AND($D787="S1",$Y787&lt;&gt;"Parti",COUNTIF(ANNEES_VERROU,$B787)&gt;0,COUNTIF(D_KEY_NIVSES,$B787&amp;"|"&amp;$C787&amp;"|S2")&gt;0,COUNTIF(D_KEY_DOUBLON,$B787&amp;"|S2|"&amp;$E787)=0),"⚠ Départ non confirmé ?",IF(AND($C787&lt;&gt;"",ISNUMBER($I787),OR(VALUE(LEFT($B787,4))-$I787&lt;4+IFERROR(MATCH($C787,LISTE_NIVEAUX,0),99),VALUE(LEFT($B787,4))-$I787&gt;6+IFERROR(MATCH($C787,LISTE_NIVEAUX,0),99))),"⚠ Vérifier niveau",IF(AND(IFERROR(VLOOKUP($C787,TABLE_CYCLE,2,0),3)=2,COUNT($O787:$Q787)&gt;0),"⚠ Tests cycle 3",IF(COUNT($J787:$Q787)&gt;=IF(IFERROR(VLOOKUP($C787,TABLE_CYCLE,2,0),3)=2,5,8),"Complet","Incomplet"))))))))</f>
        <v/>
      </c>
      <c r="S787" s="24"/>
      <c r="T787" s="67" t="str">
        <f t="shared" si="109"/>
        <v/>
      </c>
      <c r="U787" s="67" t="str">
        <f t="shared" si="110"/>
        <v/>
      </c>
      <c r="V787" s="67" t="str">
        <f t="shared" si="111"/>
        <v/>
      </c>
      <c r="W787" s="67" t="str">
        <f t="shared" si="112"/>
        <v/>
      </c>
      <c r="X787" s="67" t="str">
        <f t="shared" si="113"/>
        <v/>
      </c>
      <c r="Y787" s="24" t="str">
        <f t="shared" si="114"/>
        <v/>
      </c>
      <c r="Z787">
        <f t="shared" si="115"/>
        <v>0</v>
      </c>
      <c r="AA787">
        <f t="shared" si="116"/>
        <v>0</v>
      </c>
    </row>
    <row r="788" spans="2:27" ht="15.75" customHeight="1" x14ac:dyDescent="0.3">
      <c r="B788" s="25"/>
      <c r="C788" s="25"/>
      <c r="D788" s="25"/>
      <c r="E788" s="26" t="str">
        <f t="shared" si="108"/>
        <v/>
      </c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3" t="str">
        <f>IF($F788="","",IF(OR($B788="",$C788="",$D788=""),"⚠ Compléter Année/Niveau/Session",IF(AND($E788&lt;&gt;"",COUNTIF(D_KEY_DOUBLON,$B788&amp;"|"&amp;$D788&amp;"|"&amp;$E788)&gt;1),"⚠ Doublon",IF(AND($E788&lt;&gt;"",COUNTIF(D_KEY_STATUT,$B788&amp;"|"&amp;$E788&amp;"|P")&gt;0,COUNTIF(D_KEY_STATUT,$B788&amp;"|"&amp;$E788&amp;"|A")&gt;0),"⚠ Statut incohérent",IF(AND($D788="S1",$Y788&lt;&gt;"Parti",COUNTIF(ANNEES_VERROU,$B788)&gt;0,COUNTIF(D_KEY_NIVSES,$B788&amp;"|"&amp;$C788&amp;"|S2")&gt;0,COUNTIF(D_KEY_DOUBLON,$B788&amp;"|S2|"&amp;$E788)=0),"⚠ Départ non confirmé ?",IF(AND($C788&lt;&gt;"",ISNUMBER($I788),OR(VALUE(LEFT($B788,4))-$I788&lt;4+IFERROR(MATCH($C788,LISTE_NIVEAUX,0),99),VALUE(LEFT($B788,4))-$I788&gt;6+IFERROR(MATCH($C788,LISTE_NIVEAUX,0),99))),"⚠ Vérifier niveau",IF(AND(IFERROR(VLOOKUP($C788,TABLE_CYCLE,2,0),3)=2,COUNT($O788:$Q788)&gt;0),"⚠ Tests cycle 3",IF(COUNT($J788:$Q788)&gt;=IF(IFERROR(VLOOKUP($C788,TABLE_CYCLE,2,0),3)=2,5,8),"Complet","Incomplet"))))))))</f>
        <v/>
      </c>
      <c r="S788" s="24"/>
      <c r="T788" s="67" t="str">
        <f t="shared" si="109"/>
        <v/>
      </c>
      <c r="U788" s="67" t="str">
        <f t="shared" si="110"/>
        <v/>
      </c>
      <c r="V788" s="67" t="str">
        <f t="shared" si="111"/>
        <v/>
      </c>
      <c r="W788" s="67" t="str">
        <f t="shared" si="112"/>
        <v/>
      </c>
      <c r="X788" s="67" t="str">
        <f t="shared" si="113"/>
        <v/>
      </c>
      <c r="Y788" s="24" t="str">
        <f t="shared" si="114"/>
        <v/>
      </c>
      <c r="Z788">
        <f t="shared" si="115"/>
        <v>0</v>
      </c>
      <c r="AA788">
        <f t="shared" si="116"/>
        <v>0</v>
      </c>
    </row>
    <row r="789" spans="2:27" ht="15.75" customHeight="1" x14ac:dyDescent="0.3">
      <c r="B789" s="21"/>
      <c r="C789" s="21"/>
      <c r="D789" s="21"/>
      <c r="E789" s="22" t="str">
        <f t="shared" si="108"/>
        <v/>
      </c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3" t="str">
        <f>IF($F789="","",IF(OR($B789="",$C789="",$D789=""),"⚠ Compléter Année/Niveau/Session",IF(AND($E789&lt;&gt;"",COUNTIF(D_KEY_DOUBLON,$B789&amp;"|"&amp;$D789&amp;"|"&amp;$E789)&gt;1),"⚠ Doublon",IF(AND($E789&lt;&gt;"",COUNTIF(D_KEY_STATUT,$B789&amp;"|"&amp;$E789&amp;"|P")&gt;0,COUNTIF(D_KEY_STATUT,$B789&amp;"|"&amp;$E789&amp;"|A")&gt;0),"⚠ Statut incohérent",IF(AND($D789="S1",$Y789&lt;&gt;"Parti",COUNTIF(ANNEES_VERROU,$B789)&gt;0,COUNTIF(D_KEY_NIVSES,$B789&amp;"|"&amp;$C789&amp;"|S2")&gt;0,COUNTIF(D_KEY_DOUBLON,$B789&amp;"|S2|"&amp;$E789)=0),"⚠ Départ non confirmé ?",IF(AND($C789&lt;&gt;"",ISNUMBER($I789),OR(VALUE(LEFT($B789,4))-$I789&lt;4+IFERROR(MATCH($C789,LISTE_NIVEAUX,0),99),VALUE(LEFT($B789,4))-$I789&gt;6+IFERROR(MATCH($C789,LISTE_NIVEAUX,0),99))),"⚠ Vérifier niveau",IF(AND(IFERROR(VLOOKUP($C789,TABLE_CYCLE,2,0),3)=2,COUNT($O789:$Q789)&gt;0),"⚠ Tests cycle 3",IF(COUNT($J789:$Q789)&gt;=IF(IFERROR(VLOOKUP($C789,TABLE_CYCLE,2,0),3)=2,5,8),"Complet","Incomplet"))))))))</f>
        <v/>
      </c>
      <c r="S789" s="24"/>
      <c r="T789" s="67" t="str">
        <f t="shared" si="109"/>
        <v/>
      </c>
      <c r="U789" s="67" t="str">
        <f t="shared" si="110"/>
        <v/>
      </c>
      <c r="V789" s="67" t="str">
        <f t="shared" si="111"/>
        <v/>
      </c>
      <c r="W789" s="67" t="str">
        <f t="shared" si="112"/>
        <v/>
      </c>
      <c r="X789" s="67" t="str">
        <f t="shared" si="113"/>
        <v/>
      </c>
      <c r="Y789" s="24" t="str">
        <f t="shared" si="114"/>
        <v/>
      </c>
      <c r="Z789">
        <f t="shared" si="115"/>
        <v>0</v>
      </c>
      <c r="AA789">
        <f t="shared" si="116"/>
        <v>0</v>
      </c>
    </row>
    <row r="790" spans="2:27" ht="15.75" customHeight="1" x14ac:dyDescent="0.3">
      <c r="B790" s="25"/>
      <c r="C790" s="25"/>
      <c r="D790" s="25"/>
      <c r="E790" s="26" t="str">
        <f t="shared" si="108"/>
        <v/>
      </c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3" t="str">
        <f>IF($F790="","",IF(OR($B790="",$C790="",$D790=""),"⚠ Compléter Année/Niveau/Session",IF(AND($E790&lt;&gt;"",COUNTIF(D_KEY_DOUBLON,$B790&amp;"|"&amp;$D790&amp;"|"&amp;$E790)&gt;1),"⚠ Doublon",IF(AND($E790&lt;&gt;"",COUNTIF(D_KEY_STATUT,$B790&amp;"|"&amp;$E790&amp;"|P")&gt;0,COUNTIF(D_KEY_STATUT,$B790&amp;"|"&amp;$E790&amp;"|A")&gt;0),"⚠ Statut incohérent",IF(AND($D790="S1",$Y790&lt;&gt;"Parti",COUNTIF(ANNEES_VERROU,$B790)&gt;0,COUNTIF(D_KEY_NIVSES,$B790&amp;"|"&amp;$C790&amp;"|S2")&gt;0,COUNTIF(D_KEY_DOUBLON,$B790&amp;"|S2|"&amp;$E790)=0),"⚠ Départ non confirmé ?",IF(AND($C790&lt;&gt;"",ISNUMBER($I790),OR(VALUE(LEFT($B790,4))-$I790&lt;4+IFERROR(MATCH($C790,LISTE_NIVEAUX,0),99),VALUE(LEFT($B790,4))-$I790&gt;6+IFERROR(MATCH($C790,LISTE_NIVEAUX,0),99))),"⚠ Vérifier niveau",IF(AND(IFERROR(VLOOKUP($C790,TABLE_CYCLE,2,0),3)=2,COUNT($O790:$Q790)&gt;0),"⚠ Tests cycle 3",IF(COUNT($J790:$Q790)&gt;=IF(IFERROR(VLOOKUP($C790,TABLE_CYCLE,2,0),3)=2,5,8),"Complet","Incomplet"))))))))</f>
        <v/>
      </c>
      <c r="S790" s="24"/>
      <c r="T790" s="67" t="str">
        <f t="shared" si="109"/>
        <v/>
      </c>
      <c r="U790" s="67" t="str">
        <f t="shared" si="110"/>
        <v/>
      </c>
      <c r="V790" s="67" t="str">
        <f t="shared" si="111"/>
        <v/>
      </c>
      <c r="W790" s="67" t="str">
        <f t="shared" si="112"/>
        <v/>
      </c>
      <c r="X790" s="67" t="str">
        <f t="shared" si="113"/>
        <v/>
      </c>
      <c r="Y790" s="24" t="str">
        <f t="shared" si="114"/>
        <v/>
      </c>
      <c r="Z790">
        <f t="shared" si="115"/>
        <v>0</v>
      </c>
      <c r="AA790">
        <f t="shared" si="116"/>
        <v>0</v>
      </c>
    </row>
    <row r="791" spans="2:27" ht="15.75" customHeight="1" x14ac:dyDescent="0.3">
      <c r="B791" s="21"/>
      <c r="C791" s="21"/>
      <c r="D791" s="21"/>
      <c r="E791" s="22" t="str">
        <f t="shared" si="108"/>
        <v/>
      </c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3" t="str">
        <f>IF($F791="","",IF(OR($B791="",$C791="",$D791=""),"⚠ Compléter Année/Niveau/Session",IF(AND($E791&lt;&gt;"",COUNTIF(D_KEY_DOUBLON,$B791&amp;"|"&amp;$D791&amp;"|"&amp;$E791)&gt;1),"⚠ Doublon",IF(AND($E791&lt;&gt;"",COUNTIF(D_KEY_STATUT,$B791&amp;"|"&amp;$E791&amp;"|P")&gt;0,COUNTIF(D_KEY_STATUT,$B791&amp;"|"&amp;$E791&amp;"|A")&gt;0),"⚠ Statut incohérent",IF(AND($D791="S1",$Y791&lt;&gt;"Parti",COUNTIF(ANNEES_VERROU,$B791)&gt;0,COUNTIF(D_KEY_NIVSES,$B791&amp;"|"&amp;$C791&amp;"|S2")&gt;0,COUNTIF(D_KEY_DOUBLON,$B791&amp;"|S2|"&amp;$E791)=0),"⚠ Départ non confirmé ?",IF(AND($C791&lt;&gt;"",ISNUMBER($I791),OR(VALUE(LEFT($B791,4))-$I791&lt;4+IFERROR(MATCH($C791,LISTE_NIVEAUX,0),99),VALUE(LEFT($B791,4))-$I791&gt;6+IFERROR(MATCH($C791,LISTE_NIVEAUX,0),99))),"⚠ Vérifier niveau",IF(AND(IFERROR(VLOOKUP($C791,TABLE_CYCLE,2,0),3)=2,COUNT($O791:$Q791)&gt;0),"⚠ Tests cycle 3",IF(COUNT($J791:$Q791)&gt;=IF(IFERROR(VLOOKUP($C791,TABLE_CYCLE,2,0),3)=2,5,8),"Complet","Incomplet"))))))))</f>
        <v/>
      </c>
      <c r="S791" s="24"/>
      <c r="T791" s="67" t="str">
        <f t="shared" si="109"/>
        <v/>
      </c>
      <c r="U791" s="67" t="str">
        <f t="shared" si="110"/>
        <v/>
      </c>
      <c r="V791" s="67" t="str">
        <f t="shared" si="111"/>
        <v/>
      </c>
      <c r="W791" s="67" t="str">
        <f t="shared" si="112"/>
        <v/>
      </c>
      <c r="X791" s="67" t="str">
        <f t="shared" si="113"/>
        <v/>
      </c>
      <c r="Y791" s="24" t="str">
        <f t="shared" si="114"/>
        <v/>
      </c>
      <c r="Z791">
        <f t="shared" si="115"/>
        <v>0</v>
      </c>
      <c r="AA791">
        <f t="shared" si="116"/>
        <v>0</v>
      </c>
    </row>
    <row r="792" spans="2:27" ht="15.75" customHeight="1" x14ac:dyDescent="0.3">
      <c r="B792" s="25"/>
      <c r="C792" s="25"/>
      <c r="D792" s="25"/>
      <c r="E792" s="26" t="str">
        <f t="shared" si="108"/>
        <v/>
      </c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3" t="str">
        <f>IF($F792="","",IF(OR($B792="",$C792="",$D792=""),"⚠ Compléter Année/Niveau/Session",IF(AND($E792&lt;&gt;"",COUNTIF(D_KEY_DOUBLON,$B792&amp;"|"&amp;$D792&amp;"|"&amp;$E792)&gt;1),"⚠ Doublon",IF(AND($E792&lt;&gt;"",COUNTIF(D_KEY_STATUT,$B792&amp;"|"&amp;$E792&amp;"|P")&gt;0,COUNTIF(D_KEY_STATUT,$B792&amp;"|"&amp;$E792&amp;"|A")&gt;0),"⚠ Statut incohérent",IF(AND($D792="S1",$Y792&lt;&gt;"Parti",COUNTIF(ANNEES_VERROU,$B792)&gt;0,COUNTIF(D_KEY_NIVSES,$B792&amp;"|"&amp;$C792&amp;"|S2")&gt;0,COUNTIF(D_KEY_DOUBLON,$B792&amp;"|S2|"&amp;$E792)=0),"⚠ Départ non confirmé ?",IF(AND($C792&lt;&gt;"",ISNUMBER($I792),OR(VALUE(LEFT($B792,4))-$I792&lt;4+IFERROR(MATCH($C792,LISTE_NIVEAUX,0),99),VALUE(LEFT($B792,4))-$I792&gt;6+IFERROR(MATCH($C792,LISTE_NIVEAUX,0),99))),"⚠ Vérifier niveau",IF(AND(IFERROR(VLOOKUP($C792,TABLE_CYCLE,2,0),3)=2,COUNT($O792:$Q792)&gt;0),"⚠ Tests cycle 3",IF(COUNT($J792:$Q792)&gt;=IF(IFERROR(VLOOKUP($C792,TABLE_CYCLE,2,0),3)=2,5,8),"Complet","Incomplet"))))))))</f>
        <v/>
      </c>
      <c r="S792" s="24"/>
      <c r="T792" s="67" t="str">
        <f t="shared" si="109"/>
        <v/>
      </c>
      <c r="U792" s="67" t="str">
        <f t="shared" si="110"/>
        <v/>
      </c>
      <c r="V792" s="67" t="str">
        <f t="shared" si="111"/>
        <v/>
      </c>
      <c r="W792" s="67" t="str">
        <f t="shared" si="112"/>
        <v/>
      </c>
      <c r="X792" s="67" t="str">
        <f t="shared" si="113"/>
        <v/>
      </c>
      <c r="Y792" s="24" t="str">
        <f t="shared" si="114"/>
        <v/>
      </c>
      <c r="Z792">
        <f t="shared" si="115"/>
        <v>0</v>
      </c>
      <c r="AA792">
        <f t="shared" si="116"/>
        <v>0</v>
      </c>
    </row>
    <row r="793" spans="2:27" ht="15.75" customHeight="1" x14ac:dyDescent="0.3">
      <c r="B793" s="21"/>
      <c r="C793" s="21"/>
      <c r="D793" s="21"/>
      <c r="E793" s="22" t="str">
        <f t="shared" si="108"/>
        <v/>
      </c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3" t="str">
        <f>IF($F793="","",IF(OR($B793="",$C793="",$D793=""),"⚠ Compléter Année/Niveau/Session",IF(AND($E793&lt;&gt;"",COUNTIF(D_KEY_DOUBLON,$B793&amp;"|"&amp;$D793&amp;"|"&amp;$E793)&gt;1),"⚠ Doublon",IF(AND($E793&lt;&gt;"",COUNTIF(D_KEY_STATUT,$B793&amp;"|"&amp;$E793&amp;"|P")&gt;0,COUNTIF(D_KEY_STATUT,$B793&amp;"|"&amp;$E793&amp;"|A")&gt;0),"⚠ Statut incohérent",IF(AND($D793="S1",$Y793&lt;&gt;"Parti",COUNTIF(ANNEES_VERROU,$B793)&gt;0,COUNTIF(D_KEY_NIVSES,$B793&amp;"|"&amp;$C793&amp;"|S2")&gt;0,COUNTIF(D_KEY_DOUBLON,$B793&amp;"|S2|"&amp;$E793)=0),"⚠ Départ non confirmé ?",IF(AND($C793&lt;&gt;"",ISNUMBER($I793),OR(VALUE(LEFT($B793,4))-$I793&lt;4+IFERROR(MATCH($C793,LISTE_NIVEAUX,0),99),VALUE(LEFT($B793,4))-$I793&gt;6+IFERROR(MATCH($C793,LISTE_NIVEAUX,0),99))),"⚠ Vérifier niveau",IF(AND(IFERROR(VLOOKUP($C793,TABLE_CYCLE,2,0),3)=2,COUNT($O793:$Q793)&gt;0),"⚠ Tests cycle 3",IF(COUNT($J793:$Q793)&gt;=IF(IFERROR(VLOOKUP($C793,TABLE_CYCLE,2,0),3)=2,5,8),"Complet","Incomplet"))))))))</f>
        <v/>
      </c>
      <c r="S793" s="24"/>
      <c r="T793" s="67" t="str">
        <f t="shared" si="109"/>
        <v/>
      </c>
      <c r="U793" s="67" t="str">
        <f t="shared" si="110"/>
        <v/>
      </c>
      <c r="V793" s="67" t="str">
        <f t="shared" si="111"/>
        <v/>
      </c>
      <c r="W793" s="67" t="str">
        <f t="shared" si="112"/>
        <v/>
      </c>
      <c r="X793" s="67" t="str">
        <f t="shared" si="113"/>
        <v/>
      </c>
      <c r="Y793" s="24" t="str">
        <f t="shared" si="114"/>
        <v/>
      </c>
      <c r="Z793">
        <f t="shared" si="115"/>
        <v>0</v>
      </c>
      <c r="AA793">
        <f t="shared" si="116"/>
        <v>0</v>
      </c>
    </row>
    <row r="794" spans="2:27" ht="15.75" customHeight="1" x14ac:dyDescent="0.3">
      <c r="B794" s="25"/>
      <c r="C794" s="25"/>
      <c r="D794" s="25"/>
      <c r="E794" s="26" t="str">
        <f t="shared" si="108"/>
        <v/>
      </c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3" t="str">
        <f>IF($F794="","",IF(OR($B794="",$C794="",$D794=""),"⚠ Compléter Année/Niveau/Session",IF(AND($E794&lt;&gt;"",COUNTIF(D_KEY_DOUBLON,$B794&amp;"|"&amp;$D794&amp;"|"&amp;$E794)&gt;1),"⚠ Doublon",IF(AND($E794&lt;&gt;"",COUNTIF(D_KEY_STATUT,$B794&amp;"|"&amp;$E794&amp;"|P")&gt;0,COUNTIF(D_KEY_STATUT,$B794&amp;"|"&amp;$E794&amp;"|A")&gt;0),"⚠ Statut incohérent",IF(AND($D794="S1",$Y794&lt;&gt;"Parti",COUNTIF(ANNEES_VERROU,$B794)&gt;0,COUNTIF(D_KEY_NIVSES,$B794&amp;"|"&amp;$C794&amp;"|S2")&gt;0,COUNTIF(D_KEY_DOUBLON,$B794&amp;"|S2|"&amp;$E794)=0),"⚠ Départ non confirmé ?",IF(AND($C794&lt;&gt;"",ISNUMBER($I794),OR(VALUE(LEFT($B794,4))-$I794&lt;4+IFERROR(MATCH($C794,LISTE_NIVEAUX,0),99),VALUE(LEFT($B794,4))-$I794&gt;6+IFERROR(MATCH($C794,LISTE_NIVEAUX,0),99))),"⚠ Vérifier niveau",IF(AND(IFERROR(VLOOKUP($C794,TABLE_CYCLE,2,0),3)=2,COUNT($O794:$Q794)&gt;0),"⚠ Tests cycle 3",IF(COUNT($J794:$Q794)&gt;=IF(IFERROR(VLOOKUP($C794,TABLE_CYCLE,2,0),3)=2,5,8),"Complet","Incomplet"))))))))</f>
        <v/>
      </c>
      <c r="S794" s="24"/>
      <c r="T794" s="67" t="str">
        <f t="shared" si="109"/>
        <v/>
      </c>
      <c r="U794" s="67" t="str">
        <f t="shared" si="110"/>
        <v/>
      </c>
      <c r="V794" s="67" t="str">
        <f t="shared" si="111"/>
        <v/>
      </c>
      <c r="W794" s="67" t="str">
        <f t="shared" si="112"/>
        <v/>
      </c>
      <c r="X794" s="67" t="str">
        <f t="shared" si="113"/>
        <v/>
      </c>
      <c r="Y794" s="24" t="str">
        <f t="shared" si="114"/>
        <v/>
      </c>
      <c r="Z794">
        <f t="shared" si="115"/>
        <v>0</v>
      </c>
      <c r="AA794">
        <f t="shared" si="116"/>
        <v>0</v>
      </c>
    </row>
    <row r="795" spans="2:27" ht="15.75" customHeight="1" x14ac:dyDescent="0.3">
      <c r="B795" s="21"/>
      <c r="C795" s="21"/>
      <c r="D795" s="21"/>
      <c r="E795" s="22" t="str">
        <f t="shared" si="108"/>
        <v/>
      </c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3" t="str">
        <f>IF($F795="","",IF(OR($B795="",$C795="",$D795=""),"⚠ Compléter Année/Niveau/Session",IF(AND($E795&lt;&gt;"",COUNTIF(D_KEY_DOUBLON,$B795&amp;"|"&amp;$D795&amp;"|"&amp;$E795)&gt;1),"⚠ Doublon",IF(AND($E795&lt;&gt;"",COUNTIF(D_KEY_STATUT,$B795&amp;"|"&amp;$E795&amp;"|P")&gt;0,COUNTIF(D_KEY_STATUT,$B795&amp;"|"&amp;$E795&amp;"|A")&gt;0),"⚠ Statut incohérent",IF(AND($D795="S1",$Y795&lt;&gt;"Parti",COUNTIF(ANNEES_VERROU,$B795)&gt;0,COUNTIF(D_KEY_NIVSES,$B795&amp;"|"&amp;$C795&amp;"|S2")&gt;0,COUNTIF(D_KEY_DOUBLON,$B795&amp;"|S2|"&amp;$E795)=0),"⚠ Départ non confirmé ?",IF(AND($C795&lt;&gt;"",ISNUMBER($I795),OR(VALUE(LEFT($B795,4))-$I795&lt;4+IFERROR(MATCH($C795,LISTE_NIVEAUX,0),99),VALUE(LEFT($B795,4))-$I795&gt;6+IFERROR(MATCH($C795,LISTE_NIVEAUX,0),99))),"⚠ Vérifier niveau",IF(AND(IFERROR(VLOOKUP($C795,TABLE_CYCLE,2,0),3)=2,COUNT($O795:$Q795)&gt;0),"⚠ Tests cycle 3",IF(COUNT($J795:$Q795)&gt;=IF(IFERROR(VLOOKUP($C795,TABLE_CYCLE,2,0),3)=2,5,8),"Complet","Incomplet"))))))))</f>
        <v/>
      </c>
      <c r="S795" s="24"/>
      <c r="T795" s="67" t="str">
        <f t="shared" si="109"/>
        <v/>
      </c>
      <c r="U795" s="67" t="str">
        <f t="shared" si="110"/>
        <v/>
      </c>
      <c r="V795" s="67" t="str">
        <f t="shared" si="111"/>
        <v/>
      </c>
      <c r="W795" s="67" t="str">
        <f t="shared" si="112"/>
        <v/>
      </c>
      <c r="X795" s="67" t="str">
        <f t="shared" si="113"/>
        <v/>
      </c>
      <c r="Y795" s="24" t="str">
        <f t="shared" si="114"/>
        <v/>
      </c>
      <c r="Z795">
        <f t="shared" si="115"/>
        <v>0</v>
      </c>
      <c r="AA795">
        <f t="shared" si="116"/>
        <v>0</v>
      </c>
    </row>
    <row r="796" spans="2:27" ht="15.75" customHeight="1" x14ac:dyDescent="0.3">
      <c r="B796" s="25"/>
      <c r="C796" s="25"/>
      <c r="D796" s="25"/>
      <c r="E796" s="26" t="str">
        <f t="shared" si="108"/>
        <v/>
      </c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3" t="str">
        <f>IF($F796="","",IF(OR($B796="",$C796="",$D796=""),"⚠ Compléter Année/Niveau/Session",IF(AND($E796&lt;&gt;"",COUNTIF(D_KEY_DOUBLON,$B796&amp;"|"&amp;$D796&amp;"|"&amp;$E796)&gt;1),"⚠ Doublon",IF(AND($E796&lt;&gt;"",COUNTIF(D_KEY_STATUT,$B796&amp;"|"&amp;$E796&amp;"|P")&gt;0,COUNTIF(D_KEY_STATUT,$B796&amp;"|"&amp;$E796&amp;"|A")&gt;0),"⚠ Statut incohérent",IF(AND($D796="S1",$Y796&lt;&gt;"Parti",COUNTIF(ANNEES_VERROU,$B796)&gt;0,COUNTIF(D_KEY_NIVSES,$B796&amp;"|"&amp;$C796&amp;"|S2")&gt;0,COUNTIF(D_KEY_DOUBLON,$B796&amp;"|S2|"&amp;$E796)=0),"⚠ Départ non confirmé ?",IF(AND($C796&lt;&gt;"",ISNUMBER($I796),OR(VALUE(LEFT($B796,4))-$I796&lt;4+IFERROR(MATCH($C796,LISTE_NIVEAUX,0),99),VALUE(LEFT($B796,4))-$I796&gt;6+IFERROR(MATCH($C796,LISTE_NIVEAUX,0),99))),"⚠ Vérifier niveau",IF(AND(IFERROR(VLOOKUP($C796,TABLE_CYCLE,2,0),3)=2,COUNT($O796:$Q796)&gt;0),"⚠ Tests cycle 3",IF(COUNT($J796:$Q796)&gt;=IF(IFERROR(VLOOKUP($C796,TABLE_CYCLE,2,0),3)=2,5,8),"Complet","Incomplet"))))))))</f>
        <v/>
      </c>
      <c r="S796" s="24"/>
      <c r="T796" s="67" t="str">
        <f t="shared" si="109"/>
        <v/>
      </c>
      <c r="U796" s="67" t="str">
        <f t="shared" si="110"/>
        <v/>
      </c>
      <c r="V796" s="67" t="str">
        <f t="shared" si="111"/>
        <v/>
      </c>
      <c r="W796" s="67" t="str">
        <f t="shared" si="112"/>
        <v/>
      </c>
      <c r="X796" s="67" t="str">
        <f t="shared" si="113"/>
        <v/>
      </c>
      <c r="Y796" s="24" t="str">
        <f t="shared" si="114"/>
        <v/>
      </c>
      <c r="Z796">
        <f t="shared" si="115"/>
        <v>0</v>
      </c>
      <c r="AA796">
        <f t="shared" si="116"/>
        <v>0</v>
      </c>
    </row>
    <row r="797" spans="2:27" ht="15.75" customHeight="1" x14ac:dyDescent="0.3">
      <c r="B797" s="21"/>
      <c r="C797" s="21"/>
      <c r="D797" s="21"/>
      <c r="E797" s="22" t="str">
        <f t="shared" si="108"/>
        <v/>
      </c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3" t="str">
        <f>IF($F797="","",IF(OR($B797="",$C797="",$D797=""),"⚠ Compléter Année/Niveau/Session",IF(AND($E797&lt;&gt;"",COUNTIF(D_KEY_DOUBLON,$B797&amp;"|"&amp;$D797&amp;"|"&amp;$E797)&gt;1),"⚠ Doublon",IF(AND($E797&lt;&gt;"",COUNTIF(D_KEY_STATUT,$B797&amp;"|"&amp;$E797&amp;"|P")&gt;0,COUNTIF(D_KEY_STATUT,$B797&amp;"|"&amp;$E797&amp;"|A")&gt;0),"⚠ Statut incohérent",IF(AND($D797="S1",$Y797&lt;&gt;"Parti",COUNTIF(ANNEES_VERROU,$B797)&gt;0,COUNTIF(D_KEY_NIVSES,$B797&amp;"|"&amp;$C797&amp;"|S2")&gt;0,COUNTIF(D_KEY_DOUBLON,$B797&amp;"|S2|"&amp;$E797)=0),"⚠ Départ non confirmé ?",IF(AND($C797&lt;&gt;"",ISNUMBER($I797),OR(VALUE(LEFT($B797,4))-$I797&lt;4+IFERROR(MATCH($C797,LISTE_NIVEAUX,0),99),VALUE(LEFT($B797,4))-$I797&gt;6+IFERROR(MATCH($C797,LISTE_NIVEAUX,0),99))),"⚠ Vérifier niveau",IF(AND(IFERROR(VLOOKUP($C797,TABLE_CYCLE,2,0),3)=2,COUNT($O797:$Q797)&gt;0),"⚠ Tests cycle 3",IF(COUNT($J797:$Q797)&gt;=IF(IFERROR(VLOOKUP($C797,TABLE_CYCLE,2,0),3)=2,5,8),"Complet","Incomplet"))))))))</f>
        <v/>
      </c>
      <c r="S797" s="24"/>
      <c r="T797" s="67" t="str">
        <f t="shared" si="109"/>
        <v/>
      </c>
      <c r="U797" s="67" t="str">
        <f t="shared" si="110"/>
        <v/>
      </c>
      <c r="V797" s="67" t="str">
        <f t="shared" si="111"/>
        <v/>
      </c>
      <c r="W797" s="67" t="str">
        <f t="shared" si="112"/>
        <v/>
      </c>
      <c r="X797" s="67" t="str">
        <f t="shared" si="113"/>
        <v/>
      </c>
      <c r="Y797" s="24" t="str">
        <f t="shared" si="114"/>
        <v/>
      </c>
      <c r="Z797">
        <f t="shared" si="115"/>
        <v>0</v>
      </c>
      <c r="AA797">
        <f t="shared" si="116"/>
        <v>0</v>
      </c>
    </row>
    <row r="798" spans="2:27" ht="15.75" customHeight="1" x14ac:dyDescent="0.3">
      <c r="B798" s="25"/>
      <c r="C798" s="25"/>
      <c r="D798" s="25"/>
      <c r="E798" s="26" t="str">
        <f t="shared" si="108"/>
        <v/>
      </c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3" t="str">
        <f>IF($F798="","",IF(OR($B798="",$C798="",$D798=""),"⚠ Compléter Année/Niveau/Session",IF(AND($E798&lt;&gt;"",COUNTIF(D_KEY_DOUBLON,$B798&amp;"|"&amp;$D798&amp;"|"&amp;$E798)&gt;1),"⚠ Doublon",IF(AND($E798&lt;&gt;"",COUNTIF(D_KEY_STATUT,$B798&amp;"|"&amp;$E798&amp;"|P")&gt;0,COUNTIF(D_KEY_STATUT,$B798&amp;"|"&amp;$E798&amp;"|A")&gt;0),"⚠ Statut incohérent",IF(AND($D798="S1",$Y798&lt;&gt;"Parti",COUNTIF(ANNEES_VERROU,$B798)&gt;0,COUNTIF(D_KEY_NIVSES,$B798&amp;"|"&amp;$C798&amp;"|S2")&gt;0,COUNTIF(D_KEY_DOUBLON,$B798&amp;"|S2|"&amp;$E798)=0),"⚠ Départ non confirmé ?",IF(AND($C798&lt;&gt;"",ISNUMBER($I798),OR(VALUE(LEFT($B798,4))-$I798&lt;4+IFERROR(MATCH($C798,LISTE_NIVEAUX,0),99),VALUE(LEFT($B798,4))-$I798&gt;6+IFERROR(MATCH($C798,LISTE_NIVEAUX,0),99))),"⚠ Vérifier niveau",IF(AND(IFERROR(VLOOKUP($C798,TABLE_CYCLE,2,0),3)=2,COUNT($O798:$Q798)&gt;0),"⚠ Tests cycle 3",IF(COUNT($J798:$Q798)&gt;=IF(IFERROR(VLOOKUP($C798,TABLE_CYCLE,2,0),3)=2,5,8),"Complet","Incomplet"))))))))</f>
        <v/>
      </c>
      <c r="S798" s="24"/>
      <c r="T798" s="67" t="str">
        <f t="shared" si="109"/>
        <v/>
      </c>
      <c r="U798" s="67" t="str">
        <f t="shared" si="110"/>
        <v/>
      </c>
      <c r="V798" s="67" t="str">
        <f t="shared" si="111"/>
        <v/>
      </c>
      <c r="W798" s="67" t="str">
        <f t="shared" si="112"/>
        <v/>
      </c>
      <c r="X798" s="67" t="str">
        <f t="shared" si="113"/>
        <v/>
      </c>
      <c r="Y798" s="24" t="str">
        <f t="shared" si="114"/>
        <v/>
      </c>
      <c r="Z798">
        <f t="shared" si="115"/>
        <v>0</v>
      </c>
      <c r="AA798">
        <f t="shared" si="116"/>
        <v>0</v>
      </c>
    </row>
    <row r="799" spans="2:27" ht="15.75" customHeight="1" x14ac:dyDescent="0.3">
      <c r="B799" s="21"/>
      <c r="C799" s="21"/>
      <c r="D799" s="21"/>
      <c r="E799" s="22" t="str">
        <f t="shared" si="108"/>
        <v/>
      </c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3" t="str">
        <f>IF($F799="","",IF(OR($B799="",$C799="",$D799=""),"⚠ Compléter Année/Niveau/Session",IF(AND($E799&lt;&gt;"",COUNTIF(D_KEY_DOUBLON,$B799&amp;"|"&amp;$D799&amp;"|"&amp;$E799)&gt;1),"⚠ Doublon",IF(AND($E799&lt;&gt;"",COUNTIF(D_KEY_STATUT,$B799&amp;"|"&amp;$E799&amp;"|P")&gt;0,COUNTIF(D_KEY_STATUT,$B799&amp;"|"&amp;$E799&amp;"|A")&gt;0),"⚠ Statut incohérent",IF(AND($D799="S1",$Y799&lt;&gt;"Parti",COUNTIF(ANNEES_VERROU,$B799)&gt;0,COUNTIF(D_KEY_NIVSES,$B799&amp;"|"&amp;$C799&amp;"|S2")&gt;0,COUNTIF(D_KEY_DOUBLON,$B799&amp;"|S2|"&amp;$E799)=0),"⚠ Départ non confirmé ?",IF(AND($C799&lt;&gt;"",ISNUMBER($I799),OR(VALUE(LEFT($B799,4))-$I799&lt;4+IFERROR(MATCH($C799,LISTE_NIVEAUX,0),99),VALUE(LEFT($B799,4))-$I799&gt;6+IFERROR(MATCH($C799,LISTE_NIVEAUX,0),99))),"⚠ Vérifier niveau",IF(AND(IFERROR(VLOOKUP($C799,TABLE_CYCLE,2,0),3)=2,COUNT($O799:$Q799)&gt;0),"⚠ Tests cycle 3",IF(COUNT($J799:$Q799)&gt;=IF(IFERROR(VLOOKUP($C799,TABLE_CYCLE,2,0),3)=2,5,8),"Complet","Incomplet"))))))))</f>
        <v/>
      </c>
      <c r="S799" s="24"/>
      <c r="T799" s="67" t="str">
        <f t="shared" si="109"/>
        <v/>
      </c>
      <c r="U799" s="67" t="str">
        <f t="shared" si="110"/>
        <v/>
      </c>
      <c r="V799" s="67" t="str">
        <f t="shared" si="111"/>
        <v/>
      </c>
      <c r="W799" s="67" t="str">
        <f t="shared" si="112"/>
        <v/>
      </c>
      <c r="X799" s="67" t="str">
        <f t="shared" si="113"/>
        <v/>
      </c>
      <c r="Y799" s="24" t="str">
        <f t="shared" si="114"/>
        <v/>
      </c>
      <c r="Z799">
        <f t="shared" si="115"/>
        <v>0</v>
      </c>
      <c r="AA799">
        <f t="shared" si="116"/>
        <v>0</v>
      </c>
    </row>
    <row r="800" spans="2:27" ht="15.75" customHeight="1" x14ac:dyDescent="0.3">
      <c r="B800" s="25"/>
      <c r="C800" s="25"/>
      <c r="D800" s="25"/>
      <c r="E800" s="26" t="str">
        <f t="shared" si="108"/>
        <v/>
      </c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3" t="str">
        <f>IF($F800="","",IF(OR($B800="",$C800="",$D800=""),"⚠ Compléter Année/Niveau/Session",IF(AND($E800&lt;&gt;"",COUNTIF(D_KEY_DOUBLON,$B800&amp;"|"&amp;$D800&amp;"|"&amp;$E800)&gt;1),"⚠ Doublon",IF(AND($E800&lt;&gt;"",COUNTIF(D_KEY_STATUT,$B800&amp;"|"&amp;$E800&amp;"|P")&gt;0,COUNTIF(D_KEY_STATUT,$B800&amp;"|"&amp;$E800&amp;"|A")&gt;0),"⚠ Statut incohérent",IF(AND($D800="S1",$Y800&lt;&gt;"Parti",COUNTIF(ANNEES_VERROU,$B800)&gt;0,COUNTIF(D_KEY_NIVSES,$B800&amp;"|"&amp;$C800&amp;"|S2")&gt;0,COUNTIF(D_KEY_DOUBLON,$B800&amp;"|S2|"&amp;$E800)=0),"⚠ Départ non confirmé ?",IF(AND($C800&lt;&gt;"",ISNUMBER($I800),OR(VALUE(LEFT($B800,4))-$I800&lt;4+IFERROR(MATCH($C800,LISTE_NIVEAUX,0),99),VALUE(LEFT($B800,4))-$I800&gt;6+IFERROR(MATCH($C800,LISTE_NIVEAUX,0),99))),"⚠ Vérifier niveau",IF(AND(IFERROR(VLOOKUP($C800,TABLE_CYCLE,2,0),3)=2,COUNT($O800:$Q800)&gt;0),"⚠ Tests cycle 3",IF(COUNT($J800:$Q800)&gt;=IF(IFERROR(VLOOKUP($C800,TABLE_CYCLE,2,0),3)=2,5,8),"Complet","Incomplet"))))))))</f>
        <v/>
      </c>
      <c r="S800" s="24"/>
      <c r="T800" s="67" t="str">
        <f t="shared" si="109"/>
        <v/>
      </c>
      <c r="U800" s="67" t="str">
        <f t="shared" si="110"/>
        <v/>
      </c>
      <c r="V800" s="67" t="str">
        <f t="shared" si="111"/>
        <v/>
      </c>
      <c r="W800" s="67" t="str">
        <f t="shared" si="112"/>
        <v/>
      </c>
      <c r="X800" s="67" t="str">
        <f t="shared" si="113"/>
        <v/>
      </c>
      <c r="Y800" s="24" t="str">
        <f t="shared" si="114"/>
        <v/>
      </c>
      <c r="Z800">
        <f t="shared" si="115"/>
        <v>0</v>
      </c>
      <c r="AA800">
        <f t="shared" si="116"/>
        <v>0</v>
      </c>
    </row>
    <row r="801" spans="2:27" ht="15.75" customHeight="1" x14ac:dyDescent="0.3">
      <c r="B801" s="21"/>
      <c r="C801" s="21"/>
      <c r="D801" s="21"/>
      <c r="E801" s="22" t="str">
        <f t="shared" si="108"/>
        <v/>
      </c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3" t="str">
        <f>IF($F801="","",IF(OR($B801="",$C801="",$D801=""),"⚠ Compléter Année/Niveau/Session",IF(AND($E801&lt;&gt;"",COUNTIF(D_KEY_DOUBLON,$B801&amp;"|"&amp;$D801&amp;"|"&amp;$E801)&gt;1),"⚠ Doublon",IF(AND($E801&lt;&gt;"",COUNTIF(D_KEY_STATUT,$B801&amp;"|"&amp;$E801&amp;"|P")&gt;0,COUNTIF(D_KEY_STATUT,$B801&amp;"|"&amp;$E801&amp;"|A")&gt;0),"⚠ Statut incohérent",IF(AND($D801="S1",$Y801&lt;&gt;"Parti",COUNTIF(ANNEES_VERROU,$B801)&gt;0,COUNTIF(D_KEY_NIVSES,$B801&amp;"|"&amp;$C801&amp;"|S2")&gt;0,COUNTIF(D_KEY_DOUBLON,$B801&amp;"|S2|"&amp;$E801)=0),"⚠ Départ non confirmé ?",IF(AND($C801&lt;&gt;"",ISNUMBER($I801),OR(VALUE(LEFT($B801,4))-$I801&lt;4+IFERROR(MATCH($C801,LISTE_NIVEAUX,0),99),VALUE(LEFT($B801,4))-$I801&gt;6+IFERROR(MATCH($C801,LISTE_NIVEAUX,0),99))),"⚠ Vérifier niveau",IF(AND(IFERROR(VLOOKUP($C801,TABLE_CYCLE,2,0),3)=2,COUNT($O801:$Q801)&gt;0),"⚠ Tests cycle 3",IF(COUNT($J801:$Q801)&gt;=IF(IFERROR(VLOOKUP($C801,TABLE_CYCLE,2,0),3)=2,5,8),"Complet","Incomplet"))))))))</f>
        <v/>
      </c>
      <c r="S801" s="24"/>
      <c r="T801" s="67" t="str">
        <f t="shared" si="109"/>
        <v/>
      </c>
      <c r="U801" s="67" t="str">
        <f t="shared" si="110"/>
        <v/>
      </c>
      <c r="V801" s="67" t="str">
        <f t="shared" si="111"/>
        <v/>
      </c>
      <c r="W801" s="67" t="str">
        <f t="shared" si="112"/>
        <v/>
      </c>
      <c r="X801" s="67" t="str">
        <f t="shared" si="113"/>
        <v/>
      </c>
      <c r="Y801" s="24" t="str">
        <f t="shared" si="114"/>
        <v/>
      </c>
      <c r="Z801">
        <f t="shared" si="115"/>
        <v>0</v>
      </c>
      <c r="AA801">
        <f t="shared" si="116"/>
        <v>0</v>
      </c>
    </row>
    <row r="802" spans="2:27" ht="15.75" customHeight="1" x14ac:dyDescent="0.3">
      <c r="B802" s="25"/>
      <c r="C802" s="25"/>
      <c r="D802" s="25"/>
      <c r="E802" s="26" t="str">
        <f t="shared" si="108"/>
        <v/>
      </c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3" t="str">
        <f>IF($F802="","",IF(OR($B802="",$C802="",$D802=""),"⚠ Compléter Année/Niveau/Session",IF(AND($E802&lt;&gt;"",COUNTIF(D_KEY_DOUBLON,$B802&amp;"|"&amp;$D802&amp;"|"&amp;$E802)&gt;1),"⚠ Doublon",IF(AND($E802&lt;&gt;"",COUNTIF(D_KEY_STATUT,$B802&amp;"|"&amp;$E802&amp;"|P")&gt;0,COUNTIF(D_KEY_STATUT,$B802&amp;"|"&amp;$E802&amp;"|A")&gt;0),"⚠ Statut incohérent",IF(AND($D802="S1",$Y802&lt;&gt;"Parti",COUNTIF(ANNEES_VERROU,$B802)&gt;0,COUNTIF(D_KEY_NIVSES,$B802&amp;"|"&amp;$C802&amp;"|S2")&gt;0,COUNTIF(D_KEY_DOUBLON,$B802&amp;"|S2|"&amp;$E802)=0),"⚠ Départ non confirmé ?",IF(AND($C802&lt;&gt;"",ISNUMBER($I802),OR(VALUE(LEFT($B802,4))-$I802&lt;4+IFERROR(MATCH($C802,LISTE_NIVEAUX,0),99),VALUE(LEFT($B802,4))-$I802&gt;6+IFERROR(MATCH($C802,LISTE_NIVEAUX,0),99))),"⚠ Vérifier niveau",IF(AND(IFERROR(VLOOKUP($C802,TABLE_CYCLE,2,0),3)=2,COUNT($O802:$Q802)&gt;0),"⚠ Tests cycle 3",IF(COUNT($J802:$Q802)&gt;=IF(IFERROR(VLOOKUP($C802,TABLE_CYCLE,2,0),3)=2,5,8),"Complet","Incomplet"))))))))</f>
        <v/>
      </c>
      <c r="S802" s="24"/>
      <c r="T802" s="67" t="str">
        <f t="shared" si="109"/>
        <v/>
      </c>
      <c r="U802" s="67" t="str">
        <f t="shared" si="110"/>
        <v/>
      </c>
      <c r="V802" s="67" t="str">
        <f t="shared" si="111"/>
        <v/>
      </c>
      <c r="W802" s="67" t="str">
        <f t="shared" si="112"/>
        <v/>
      </c>
      <c r="X802" s="67" t="str">
        <f t="shared" si="113"/>
        <v/>
      </c>
      <c r="Y802" s="24" t="str">
        <f t="shared" si="114"/>
        <v/>
      </c>
      <c r="Z802">
        <f t="shared" si="115"/>
        <v>0</v>
      </c>
      <c r="AA802">
        <f t="shared" si="116"/>
        <v>0</v>
      </c>
    </row>
    <row r="803" spans="2:27" ht="15.75" customHeight="1" x14ac:dyDescent="0.3">
      <c r="B803" s="21"/>
      <c r="C803" s="21"/>
      <c r="D803" s="21"/>
      <c r="E803" s="22" t="str">
        <f t="shared" si="108"/>
        <v/>
      </c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3" t="str">
        <f>IF($F803="","",IF(OR($B803="",$C803="",$D803=""),"⚠ Compléter Année/Niveau/Session",IF(AND($E803&lt;&gt;"",COUNTIF(D_KEY_DOUBLON,$B803&amp;"|"&amp;$D803&amp;"|"&amp;$E803)&gt;1),"⚠ Doublon",IF(AND($E803&lt;&gt;"",COUNTIF(D_KEY_STATUT,$B803&amp;"|"&amp;$E803&amp;"|P")&gt;0,COUNTIF(D_KEY_STATUT,$B803&amp;"|"&amp;$E803&amp;"|A")&gt;0),"⚠ Statut incohérent",IF(AND($D803="S1",$Y803&lt;&gt;"Parti",COUNTIF(ANNEES_VERROU,$B803)&gt;0,COUNTIF(D_KEY_NIVSES,$B803&amp;"|"&amp;$C803&amp;"|S2")&gt;0,COUNTIF(D_KEY_DOUBLON,$B803&amp;"|S2|"&amp;$E803)=0),"⚠ Départ non confirmé ?",IF(AND($C803&lt;&gt;"",ISNUMBER($I803),OR(VALUE(LEFT($B803,4))-$I803&lt;4+IFERROR(MATCH($C803,LISTE_NIVEAUX,0),99),VALUE(LEFT($B803,4))-$I803&gt;6+IFERROR(MATCH($C803,LISTE_NIVEAUX,0),99))),"⚠ Vérifier niveau",IF(AND(IFERROR(VLOOKUP($C803,TABLE_CYCLE,2,0),3)=2,COUNT($O803:$Q803)&gt;0),"⚠ Tests cycle 3",IF(COUNT($J803:$Q803)&gt;=IF(IFERROR(VLOOKUP($C803,TABLE_CYCLE,2,0),3)=2,5,8),"Complet","Incomplet"))))))))</f>
        <v/>
      </c>
      <c r="S803" s="24"/>
      <c r="T803" s="67" t="str">
        <f t="shared" si="109"/>
        <v/>
      </c>
      <c r="U803" s="67" t="str">
        <f t="shared" si="110"/>
        <v/>
      </c>
      <c r="V803" s="67" t="str">
        <f t="shared" si="111"/>
        <v/>
      </c>
      <c r="W803" s="67" t="str">
        <f t="shared" si="112"/>
        <v/>
      </c>
      <c r="X803" s="67" t="str">
        <f t="shared" si="113"/>
        <v/>
      </c>
      <c r="Y803" s="24" t="str">
        <f t="shared" si="114"/>
        <v/>
      </c>
      <c r="Z803">
        <f t="shared" si="115"/>
        <v>0</v>
      </c>
      <c r="AA803">
        <f t="shared" si="116"/>
        <v>0</v>
      </c>
    </row>
    <row r="804" spans="2:27" ht="15.75" customHeight="1" x14ac:dyDescent="0.3">
      <c r="B804" s="25"/>
      <c r="C804" s="25"/>
      <c r="D804" s="25"/>
      <c r="E804" s="26" t="str">
        <f t="shared" si="108"/>
        <v/>
      </c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3" t="str">
        <f>IF($F804="","",IF(OR($B804="",$C804="",$D804=""),"⚠ Compléter Année/Niveau/Session",IF(AND($E804&lt;&gt;"",COUNTIF(D_KEY_DOUBLON,$B804&amp;"|"&amp;$D804&amp;"|"&amp;$E804)&gt;1),"⚠ Doublon",IF(AND($E804&lt;&gt;"",COUNTIF(D_KEY_STATUT,$B804&amp;"|"&amp;$E804&amp;"|P")&gt;0,COUNTIF(D_KEY_STATUT,$B804&amp;"|"&amp;$E804&amp;"|A")&gt;0),"⚠ Statut incohérent",IF(AND($D804="S1",$Y804&lt;&gt;"Parti",COUNTIF(ANNEES_VERROU,$B804)&gt;0,COUNTIF(D_KEY_NIVSES,$B804&amp;"|"&amp;$C804&amp;"|S2")&gt;0,COUNTIF(D_KEY_DOUBLON,$B804&amp;"|S2|"&amp;$E804)=0),"⚠ Départ non confirmé ?",IF(AND($C804&lt;&gt;"",ISNUMBER($I804),OR(VALUE(LEFT($B804,4))-$I804&lt;4+IFERROR(MATCH($C804,LISTE_NIVEAUX,0),99),VALUE(LEFT($B804,4))-$I804&gt;6+IFERROR(MATCH($C804,LISTE_NIVEAUX,0),99))),"⚠ Vérifier niveau",IF(AND(IFERROR(VLOOKUP($C804,TABLE_CYCLE,2,0),3)=2,COUNT($O804:$Q804)&gt;0),"⚠ Tests cycle 3",IF(COUNT($J804:$Q804)&gt;=IF(IFERROR(VLOOKUP($C804,TABLE_CYCLE,2,0),3)=2,5,8),"Complet","Incomplet"))))))))</f>
        <v/>
      </c>
      <c r="S804" s="24"/>
      <c r="T804" s="67" t="str">
        <f t="shared" si="109"/>
        <v/>
      </c>
      <c r="U804" s="67" t="str">
        <f t="shared" si="110"/>
        <v/>
      </c>
      <c r="V804" s="67" t="str">
        <f t="shared" si="111"/>
        <v/>
      </c>
      <c r="W804" s="67" t="str">
        <f t="shared" si="112"/>
        <v/>
      </c>
      <c r="X804" s="67" t="str">
        <f t="shared" si="113"/>
        <v/>
      </c>
      <c r="Y804" s="24" t="str">
        <f t="shared" si="114"/>
        <v/>
      </c>
      <c r="Z804">
        <f t="shared" si="115"/>
        <v>0</v>
      </c>
      <c r="AA804">
        <f t="shared" si="116"/>
        <v>0</v>
      </c>
    </row>
    <row r="805" spans="2:27" ht="15.75" customHeight="1" x14ac:dyDescent="0.3">
      <c r="B805" s="21"/>
      <c r="C805" s="21"/>
      <c r="D805" s="21"/>
      <c r="E805" s="22" t="str">
        <f t="shared" si="108"/>
        <v/>
      </c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3" t="str">
        <f>IF($F805="","",IF(OR($B805="",$C805="",$D805=""),"⚠ Compléter Année/Niveau/Session",IF(AND($E805&lt;&gt;"",COUNTIF(D_KEY_DOUBLON,$B805&amp;"|"&amp;$D805&amp;"|"&amp;$E805)&gt;1),"⚠ Doublon",IF(AND($E805&lt;&gt;"",COUNTIF(D_KEY_STATUT,$B805&amp;"|"&amp;$E805&amp;"|P")&gt;0,COUNTIF(D_KEY_STATUT,$B805&amp;"|"&amp;$E805&amp;"|A")&gt;0),"⚠ Statut incohérent",IF(AND($D805="S1",$Y805&lt;&gt;"Parti",COUNTIF(ANNEES_VERROU,$B805)&gt;0,COUNTIF(D_KEY_NIVSES,$B805&amp;"|"&amp;$C805&amp;"|S2")&gt;0,COUNTIF(D_KEY_DOUBLON,$B805&amp;"|S2|"&amp;$E805)=0),"⚠ Départ non confirmé ?",IF(AND($C805&lt;&gt;"",ISNUMBER($I805),OR(VALUE(LEFT($B805,4))-$I805&lt;4+IFERROR(MATCH($C805,LISTE_NIVEAUX,0),99),VALUE(LEFT($B805,4))-$I805&gt;6+IFERROR(MATCH($C805,LISTE_NIVEAUX,0),99))),"⚠ Vérifier niveau",IF(AND(IFERROR(VLOOKUP($C805,TABLE_CYCLE,2,0),3)=2,COUNT($O805:$Q805)&gt;0),"⚠ Tests cycle 3",IF(COUNT($J805:$Q805)&gt;=IF(IFERROR(VLOOKUP($C805,TABLE_CYCLE,2,0),3)=2,5,8),"Complet","Incomplet"))))))))</f>
        <v/>
      </c>
      <c r="S805" s="24"/>
      <c r="T805" s="67" t="str">
        <f t="shared" si="109"/>
        <v/>
      </c>
      <c r="U805" s="67" t="str">
        <f t="shared" si="110"/>
        <v/>
      </c>
      <c r="V805" s="67" t="str">
        <f t="shared" si="111"/>
        <v/>
      </c>
      <c r="W805" s="67" t="str">
        <f t="shared" si="112"/>
        <v/>
      </c>
      <c r="X805" s="67" t="str">
        <f t="shared" si="113"/>
        <v/>
      </c>
      <c r="Y805" s="24" t="str">
        <f t="shared" si="114"/>
        <v/>
      </c>
      <c r="Z805">
        <f t="shared" si="115"/>
        <v>0</v>
      </c>
      <c r="AA805">
        <f t="shared" si="116"/>
        <v>0</v>
      </c>
    </row>
    <row r="806" spans="2:27" ht="15.75" customHeight="1" x14ac:dyDescent="0.3">
      <c r="B806" s="25"/>
      <c r="C806" s="25"/>
      <c r="D806" s="25"/>
      <c r="E806" s="26" t="str">
        <f t="shared" si="108"/>
        <v/>
      </c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3" t="str">
        <f>IF($F806="","",IF(OR($B806="",$C806="",$D806=""),"⚠ Compléter Année/Niveau/Session",IF(AND($E806&lt;&gt;"",COUNTIF(D_KEY_DOUBLON,$B806&amp;"|"&amp;$D806&amp;"|"&amp;$E806)&gt;1),"⚠ Doublon",IF(AND($E806&lt;&gt;"",COUNTIF(D_KEY_STATUT,$B806&amp;"|"&amp;$E806&amp;"|P")&gt;0,COUNTIF(D_KEY_STATUT,$B806&amp;"|"&amp;$E806&amp;"|A")&gt;0),"⚠ Statut incohérent",IF(AND($D806="S1",$Y806&lt;&gt;"Parti",COUNTIF(ANNEES_VERROU,$B806)&gt;0,COUNTIF(D_KEY_NIVSES,$B806&amp;"|"&amp;$C806&amp;"|S2")&gt;0,COUNTIF(D_KEY_DOUBLON,$B806&amp;"|S2|"&amp;$E806)=0),"⚠ Départ non confirmé ?",IF(AND($C806&lt;&gt;"",ISNUMBER($I806),OR(VALUE(LEFT($B806,4))-$I806&lt;4+IFERROR(MATCH($C806,LISTE_NIVEAUX,0),99),VALUE(LEFT($B806,4))-$I806&gt;6+IFERROR(MATCH($C806,LISTE_NIVEAUX,0),99))),"⚠ Vérifier niveau",IF(AND(IFERROR(VLOOKUP($C806,TABLE_CYCLE,2,0),3)=2,COUNT($O806:$Q806)&gt;0),"⚠ Tests cycle 3",IF(COUNT($J806:$Q806)&gt;=IF(IFERROR(VLOOKUP($C806,TABLE_CYCLE,2,0),3)=2,5,8),"Complet","Incomplet"))))))))</f>
        <v/>
      </c>
      <c r="S806" s="24"/>
      <c r="T806" s="67" t="str">
        <f t="shared" si="109"/>
        <v/>
      </c>
      <c r="U806" s="67" t="str">
        <f t="shared" si="110"/>
        <v/>
      </c>
      <c r="V806" s="67" t="str">
        <f t="shared" si="111"/>
        <v/>
      </c>
      <c r="W806" s="67" t="str">
        <f t="shared" si="112"/>
        <v/>
      </c>
      <c r="X806" s="67" t="str">
        <f t="shared" si="113"/>
        <v/>
      </c>
      <c r="Y806" s="24" t="str">
        <f t="shared" si="114"/>
        <v/>
      </c>
      <c r="Z806">
        <f t="shared" si="115"/>
        <v>0</v>
      </c>
      <c r="AA806">
        <f t="shared" si="116"/>
        <v>0</v>
      </c>
    </row>
    <row r="807" spans="2:27" ht="15.75" customHeight="1" x14ac:dyDescent="0.3">
      <c r="B807" s="21"/>
      <c r="C807" s="21"/>
      <c r="D807" s="21"/>
      <c r="E807" s="22" t="str">
        <f t="shared" si="108"/>
        <v/>
      </c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3" t="str">
        <f>IF($F807="","",IF(OR($B807="",$C807="",$D807=""),"⚠ Compléter Année/Niveau/Session",IF(AND($E807&lt;&gt;"",COUNTIF(D_KEY_DOUBLON,$B807&amp;"|"&amp;$D807&amp;"|"&amp;$E807)&gt;1),"⚠ Doublon",IF(AND($E807&lt;&gt;"",COUNTIF(D_KEY_STATUT,$B807&amp;"|"&amp;$E807&amp;"|P")&gt;0,COUNTIF(D_KEY_STATUT,$B807&amp;"|"&amp;$E807&amp;"|A")&gt;0),"⚠ Statut incohérent",IF(AND($D807="S1",$Y807&lt;&gt;"Parti",COUNTIF(ANNEES_VERROU,$B807)&gt;0,COUNTIF(D_KEY_NIVSES,$B807&amp;"|"&amp;$C807&amp;"|S2")&gt;0,COUNTIF(D_KEY_DOUBLON,$B807&amp;"|S2|"&amp;$E807)=0),"⚠ Départ non confirmé ?",IF(AND($C807&lt;&gt;"",ISNUMBER($I807),OR(VALUE(LEFT($B807,4))-$I807&lt;4+IFERROR(MATCH($C807,LISTE_NIVEAUX,0),99),VALUE(LEFT($B807,4))-$I807&gt;6+IFERROR(MATCH($C807,LISTE_NIVEAUX,0),99))),"⚠ Vérifier niveau",IF(AND(IFERROR(VLOOKUP($C807,TABLE_CYCLE,2,0),3)=2,COUNT($O807:$Q807)&gt;0),"⚠ Tests cycle 3",IF(COUNT($J807:$Q807)&gt;=IF(IFERROR(VLOOKUP($C807,TABLE_CYCLE,2,0),3)=2,5,8),"Complet","Incomplet"))))))))</f>
        <v/>
      </c>
      <c r="S807" s="24"/>
      <c r="T807" s="67" t="str">
        <f t="shared" si="109"/>
        <v/>
      </c>
      <c r="U807" s="67" t="str">
        <f t="shared" si="110"/>
        <v/>
      </c>
      <c r="V807" s="67" t="str">
        <f t="shared" si="111"/>
        <v/>
      </c>
      <c r="W807" s="67" t="str">
        <f t="shared" si="112"/>
        <v/>
      </c>
      <c r="X807" s="67" t="str">
        <f t="shared" si="113"/>
        <v/>
      </c>
      <c r="Y807" s="24" t="str">
        <f t="shared" si="114"/>
        <v/>
      </c>
      <c r="Z807">
        <f t="shared" si="115"/>
        <v>0</v>
      </c>
      <c r="AA807">
        <f t="shared" si="116"/>
        <v>0</v>
      </c>
    </row>
    <row r="808" spans="2:27" ht="15.75" customHeight="1" x14ac:dyDescent="0.3">
      <c r="B808" s="25"/>
      <c r="C808" s="25"/>
      <c r="D808" s="25"/>
      <c r="E808" s="26" t="str">
        <f t="shared" si="108"/>
        <v/>
      </c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3" t="str">
        <f>IF($F808="","",IF(OR($B808="",$C808="",$D808=""),"⚠ Compléter Année/Niveau/Session",IF(AND($E808&lt;&gt;"",COUNTIF(D_KEY_DOUBLON,$B808&amp;"|"&amp;$D808&amp;"|"&amp;$E808)&gt;1),"⚠ Doublon",IF(AND($E808&lt;&gt;"",COUNTIF(D_KEY_STATUT,$B808&amp;"|"&amp;$E808&amp;"|P")&gt;0,COUNTIF(D_KEY_STATUT,$B808&amp;"|"&amp;$E808&amp;"|A")&gt;0),"⚠ Statut incohérent",IF(AND($D808="S1",$Y808&lt;&gt;"Parti",COUNTIF(ANNEES_VERROU,$B808)&gt;0,COUNTIF(D_KEY_NIVSES,$B808&amp;"|"&amp;$C808&amp;"|S2")&gt;0,COUNTIF(D_KEY_DOUBLON,$B808&amp;"|S2|"&amp;$E808)=0),"⚠ Départ non confirmé ?",IF(AND($C808&lt;&gt;"",ISNUMBER($I808),OR(VALUE(LEFT($B808,4))-$I808&lt;4+IFERROR(MATCH($C808,LISTE_NIVEAUX,0),99),VALUE(LEFT($B808,4))-$I808&gt;6+IFERROR(MATCH($C808,LISTE_NIVEAUX,0),99))),"⚠ Vérifier niveau",IF(AND(IFERROR(VLOOKUP($C808,TABLE_CYCLE,2,0),3)=2,COUNT($O808:$Q808)&gt;0),"⚠ Tests cycle 3",IF(COUNT($J808:$Q808)&gt;=IF(IFERROR(VLOOKUP($C808,TABLE_CYCLE,2,0),3)=2,5,8),"Complet","Incomplet"))))))))</f>
        <v/>
      </c>
      <c r="S808" s="24"/>
      <c r="T808" s="67" t="str">
        <f t="shared" si="109"/>
        <v/>
      </c>
      <c r="U808" s="67" t="str">
        <f t="shared" si="110"/>
        <v/>
      </c>
      <c r="V808" s="67" t="str">
        <f t="shared" si="111"/>
        <v/>
      </c>
      <c r="W808" s="67" t="str">
        <f t="shared" si="112"/>
        <v/>
      </c>
      <c r="X808" s="67" t="str">
        <f t="shared" si="113"/>
        <v/>
      </c>
      <c r="Y808" s="24" t="str">
        <f t="shared" si="114"/>
        <v/>
      </c>
      <c r="Z808">
        <f t="shared" si="115"/>
        <v>0</v>
      </c>
      <c r="AA808">
        <f t="shared" si="116"/>
        <v>0</v>
      </c>
    </row>
    <row r="809" spans="2:27" ht="15.75" customHeight="1" x14ac:dyDescent="0.3">
      <c r="B809" s="21"/>
      <c r="C809" s="21"/>
      <c r="D809" s="21"/>
      <c r="E809" s="22" t="str">
        <f t="shared" si="108"/>
        <v/>
      </c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3" t="str">
        <f>IF($F809="","",IF(OR($B809="",$C809="",$D809=""),"⚠ Compléter Année/Niveau/Session",IF(AND($E809&lt;&gt;"",COUNTIF(D_KEY_DOUBLON,$B809&amp;"|"&amp;$D809&amp;"|"&amp;$E809)&gt;1),"⚠ Doublon",IF(AND($E809&lt;&gt;"",COUNTIF(D_KEY_STATUT,$B809&amp;"|"&amp;$E809&amp;"|P")&gt;0,COUNTIF(D_KEY_STATUT,$B809&amp;"|"&amp;$E809&amp;"|A")&gt;0),"⚠ Statut incohérent",IF(AND($D809="S1",$Y809&lt;&gt;"Parti",COUNTIF(ANNEES_VERROU,$B809)&gt;0,COUNTIF(D_KEY_NIVSES,$B809&amp;"|"&amp;$C809&amp;"|S2")&gt;0,COUNTIF(D_KEY_DOUBLON,$B809&amp;"|S2|"&amp;$E809)=0),"⚠ Départ non confirmé ?",IF(AND($C809&lt;&gt;"",ISNUMBER($I809),OR(VALUE(LEFT($B809,4))-$I809&lt;4+IFERROR(MATCH($C809,LISTE_NIVEAUX,0),99),VALUE(LEFT($B809,4))-$I809&gt;6+IFERROR(MATCH($C809,LISTE_NIVEAUX,0),99))),"⚠ Vérifier niveau",IF(AND(IFERROR(VLOOKUP($C809,TABLE_CYCLE,2,0),3)=2,COUNT($O809:$Q809)&gt;0),"⚠ Tests cycle 3",IF(COUNT($J809:$Q809)&gt;=IF(IFERROR(VLOOKUP($C809,TABLE_CYCLE,2,0),3)=2,5,8),"Complet","Incomplet"))))))))</f>
        <v/>
      </c>
      <c r="S809" s="24"/>
      <c r="T809" s="67" t="str">
        <f t="shared" si="109"/>
        <v/>
      </c>
      <c r="U809" s="67" t="str">
        <f t="shared" si="110"/>
        <v/>
      </c>
      <c r="V809" s="67" t="str">
        <f t="shared" si="111"/>
        <v/>
      </c>
      <c r="W809" s="67" t="str">
        <f t="shared" si="112"/>
        <v/>
      </c>
      <c r="X809" s="67" t="str">
        <f t="shared" si="113"/>
        <v/>
      </c>
      <c r="Y809" s="24" t="str">
        <f t="shared" si="114"/>
        <v/>
      </c>
      <c r="Z809">
        <f t="shared" si="115"/>
        <v>0</v>
      </c>
      <c r="AA809">
        <f t="shared" si="116"/>
        <v>0</v>
      </c>
    </row>
    <row r="810" spans="2:27" ht="15.75" customHeight="1" x14ac:dyDescent="0.3">
      <c r="B810" s="25"/>
      <c r="C810" s="25"/>
      <c r="D810" s="25"/>
      <c r="E810" s="26" t="str">
        <f t="shared" si="108"/>
        <v/>
      </c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3" t="str">
        <f>IF($F810="","",IF(OR($B810="",$C810="",$D810=""),"⚠ Compléter Année/Niveau/Session",IF(AND($E810&lt;&gt;"",COUNTIF(D_KEY_DOUBLON,$B810&amp;"|"&amp;$D810&amp;"|"&amp;$E810)&gt;1),"⚠ Doublon",IF(AND($E810&lt;&gt;"",COUNTIF(D_KEY_STATUT,$B810&amp;"|"&amp;$E810&amp;"|P")&gt;0,COUNTIF(D_KEY_STATUT,$B810&amp;"|"&amp;$E810&amp;"|A")&gt;0),"⚠ Statut incohérent",IF(AND($D810="S1",$Y810&lt;&gt;"Parti",COUNTIF(ANNEES_VERROU,$B810)&gt;0,COUNTIF(D_KEY_NIVSES,$B810&amp;"|"&amp;$C810&amp;"|S2")&gt;0,COUNTIF(D_KEY_DOUBLON,$B810&amp;"|S2|"&amp;$E810)=0),"⚠ Départ non confirmé ?",IF(AND($C810&lt;&gt;"",ISNUMBER($I810),OR(VALUE(LEFT($B810,4))-$I810&lt;4+IFERROR(MATCH($C810,LISTE_NIVEAUX,0),99),VALUE(LEFT($B810,4))-$I810&gt;6+IFERROR(MATCH($C810,LISTE_NIVEAUX,0),99))),"⚠ Vérifier niveau",IF(AND(IFERROR(VLOOKUP($C810,TABLE_CYCLE,2,0),3)=2,COUNT($O810:$Q810)&gt;0),"⚠ Tests cycle 3",IF(COUNT($J810:$Q810)&gt;=IF(IFERROR(VLOOKUP($C810,TABLE_CYCLE,2,0),3)=2,5,8),"Complet","Incomplet"))))))))</f>
        <v/>
      </c>
      <c r="S810" s="24"/>
      <c r="T810" s="67" t="str">
        <f t="shared" si="109"/>
        <v/>
      </c>
      <c r="U810" s="67" t="str">
        <f t="shared" si="110"/>
        <v/>
      </c>
      <c r="V810" s="67" t="str">
        <f t="shared" si="111"/>
        <v/>
      </c>
      <c r="W810" s="67" t="str">
        <f t="shared" si="112"/>
        <v/>
      </c>
      <c r="X810" s="67" t="str">
        <f t="shared" si="113"/>
        <v/>
      </c>
      <c r="Y810" s="24" t="str">
        <f t="shared" si="114"/>
        <v/>
      </c>
      <c r="Z810">
        <f t="shared" si="115"/>
        <v>0</v>
      </c>
      <c r="AA810">
        <f t="shared" si="116"/>
        <v>0</v>
      </c>
    </row>
    <row r="811" spans="2:27" ht="15.75" customHeight="1" x14ac:dyDescent="0.3">
      <c r="B811" s="21"/>
      <c r="C811" s="21"/>
      <c r="D811" s="21"/>
      <c r="E811" s="22" t="str">
        <f t="shared" si="108"/>
        <v/>
      </c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3" t="str">
        <f>IF($F811="","",IF(OR($B811="",$C811="",$D811=""),"⚠ Compléter Année/Niveau/Session",IF(AND($E811&lt;&gt;"",COUNTIF(D_KEY_DOUBLON,$B811&amp;"|"&amp;$D811&amp;"|"&amp;$E811)&gt;1),"⚠ Doublon",IF(AND($E811&lt;&gt;"",COUNTIF(D_KEY_STATUT,$B811&amp;"|"&amp;$E811&amp;"|P")&gt;0,COUNTIF(D_KEY_STATUT,$B811&amp;"|"&amp;$E811&amp;"|A")&gt;0),"⚠ Statut incohérent",IF(AND($D811="S1",$Y811&lt;&gt;"Parti",COUNTIF(ANNEES_VERROU,$B811)&gt;0,COUNTIF(D_KEY_NIVSES,$B811&amp;"|"&amp;$C811&amp;"|S2")&gt;0,COUNTIF(D_KEY_DOUBLON,$B811&amp;"|S2|"&amp;$E811)=0),"⚠ Départ non confirmé ?",IF(AND($C811&lt;&gt;"",ISNUMBER($I811),OR(VALUE(LEFT($B811,4))-$I811&lt;4+IFERROR(MATCH($C811,LISTE_NIVEAUX,0),99),VALUE(LEFT($B811,4))-$I811&gt;6+IFERROR(MATCH($C811,LISTE_NIVEAUX,0),99))),"⚠ Vérifier niveau",IF(AND(IFERROR(VLOOKUP($C811,TABLE_CYCLE,2,0),3)=2,COUNT($O811:$Q811)&gt;0),"⚠ Tests cycle 3",IF(COUNT($J811:$Q811)&gt;=IF(IFERROR(VLOOKUP($C811,TABLE_CYCLE,2,0),3)=2,5,8),"Complet","Incomplet"))))))))</f>
        <v/>
      </c>
      <c r="S811" s="24"/>
      <c r="T811" s="67" t="str">
        <f t="shared" si="109"/>
        <v/>
      </c>
      <c r="U811" s="67" t="str">
        <f t="shared" si="110"/>
        <v/>
      </c>
      <c r="V811" s="67" t="str">
        <f t="shared" si="111"/>
        <v/>
      </c>
      <c r="W811" s="67" t="str">
        <f t="shared" si="112"/>
        <v/>
      </c>
      <c r="X811" s="67" t="str">
        <f t="shared" si="113"/>
        <v/>
      </c>
      <c r="Y811" s="24" t="str">
        <f t="shared" si="114"/>
        <v/>
      </c>
      <c r="Z811">
        <f t="shared" si="115"/>
        <v>0</v>
      </c>
      <c r="AA811">
        <f t="shared" si="116"/>
        <v>0</v>
      </c>
    </row>
    <row r="812" spans="2:27" ht="15.75" customHeight="1" x14ac:dyDescent="0.3">
      <c r="B812" s="25"/>
      <c r="C812" s="25"/>
      <c r="D812" s="25"/>
      <c r="E812" s="26" t="str">
        <f t="shared" si="108"/>
        <v/>
      </c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3" t="str">
        <f>IF($F812="","",IF(OR($B812="",$C812="",$D812=""),"⚠ Compléter Année/Niveau/Session",IF(AND($E812&lt;&gt;"",COUNTIF(D_KEY_DOUBLON,$B812&amp;"|"&amp;$D812&amp;"|"&amp;$E812)&gt;1),"⚠ Doublon",IF(AND($E812&lt;&gt;"",COUNTIF(D_KEY_STATUT,$B812&amp;"|"&amp;$E812&amp;"|P")&gt;0,COUNTIF(D_KEY_STATUT,$B812&amp;"|"&amp;$E812&amp;"|A")&gt;0),"⚠ Statut incohérent",IF(AND($D812="S1",$Y812&lt;&gt;"Parti",COUNTIF(ANNEES_VERROU,$B812)&gt;0,COUNTIF(D_KEY_NIVSES,$B812&amp;"|"&amp;$C812&amp;"|S2")&gt;0,COUNTIF(D_KEY_DOUBLON,$B812&amp;"|S2|"&amp;$E812)=0),"⚠ Départ non confirmé ?",IF(AND($C812&lt;&gt;"",ISNUMBER($I812),OR(VALUE(LEFT($B812,4))-$I812&lt;4+IFERROR(MATCH($C812,LISTE_NIVEAUX,0),99),VALUE(LEFT($B812,4))-$I812&gt;6+IFERROR(MATCH($C812,LISTE_NIVEAUX,0),99))),"⚠ Vérifier niveau",IF(AND(IFERROR(VLOOKUP($C812,TABLE_CYCLE,2,0),3)=2,COUNT($O812:$Q812)&gt;0),"⚠ Tests cycle 3",IF(COUNT($J812:$Q812)&gt;=IF(IFERROR(VLOOKUP($C812,TABLE_CYCLE,2,0),3)=2,5,8),"Complet","Incomplet"))))))))</f>
        <v/>
      </c>
      <c r="S812" s="24"/>
      <c r="T812" s="67" t="str">
        <f t="shared" si="109"/>
        <v/>
      </c>
      <c r="U812" s="67" t="str">
        <f t="shared" si="110"/>
        <v/>
      </c>
      <c r="V812" s="67" t="str">
        <f t="shared" si="111"/>
        <v/>
      </c>
      <c r="W812" s="67" t="str">
        <f t="shared" si="112"/>
        <v/>
      </c>
      <c r="X812" s="67" t="str">
        <f t="shared" si="113"/>
        <v/>
      </c>
      <c r="Y812" s="24" t="str">
        <f t="shared" si="114"/>
        <v/>
      </c>
      <c r="Z812">
        <f t="shared" si="115"/>
        <v>0</v>
      </c>
      <c r="AA812">
        <f t="shared" si="116"/>
        <v>0</v>
      </c>
    </row>
    <row r="813" spans="2:27" ht="15.75" customHeight="1" x14ac:dyDescent="0.3">
      <c r="B813" s="21"/>
      <c r="C813" s="21"/>
      <c r="D813" s="21"/>
      <c r="E813" s="22" t="str">
        <f t="shared" si="108"/>
        <v/>
      </c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3" t="str">
        <f>IF($F813="","",IF(OR($B813="",$C813="",$D813=""),"⚠ Compléter Année/Niveau/Session",IF(AND($E813&lt;&gt;"",COUNTIF(D_KEY_DOUBLON,$B813&amp;"|"&amp;$D813&amp;"|"&amp;$E813)&gt;1),"⚠ Doublon",IF(AND($E813&lt;&gt;"",COUNTIF(D_KEY_STATUT,$B813&amp;"|"&amp;$E813&amp;"|P")&gt;0,COUNTIF(D_KEY_STATUT,$B813&amp;"|"&amp;$E813&amp;"|A")&gt;0),"⚠ Statut incohérent",IF(AND($D813="S1",$Y813&lt;&gt;"Parti",COUNTIF(ANNEES_VERROU,$B813)&gt;0,COUNTIF(D_KEY_NIVSES,$B813&amp;"|"&amp;$C813&amp;"|S2")&gt;0,COUNTIF(D_KEY_DOUBLON,$B813&amp;"|S2|"&amp;$E813)=0),"⚠ Départ non confirmé ?",IF(AND($C813&lt;&gt;"",ISNUMBER($I813),OR(VALUE(LEFT($B813,4))-$I813&lt;4+IFERROR(MATCH($C813,LISTE_NIVEAUX,0),99),VALUE(LEFT($B813,4))-$I813&gt;6+IFERROR(MATCH($C813,LISTE_NIVEAUX,0),99))),"⚠ Vérifier niveau",IF(AND(IFERROR(VLOOKUP($C813,TABLE_CYCLE,2,0),3)=2,COUNT($O813:$Q813)&gt;0),"⚠ Tests cycle 3",IF(COUNT($J813:$Q813)&gt;=IF(IFERROR(VLOOKUP($C813,TABLE_CYCLE,2,0),3)=2,5,8),"Complet","Incomplet"))))))))</f>
        <v/>
      </c>
      <c r="S813" s="24"/>
      <c r="T813" s="67" t="str">
        <f t="shared" si="109"/>
        <v/>
      </c>
      <c r="U813" s="67" t="str">
        <f t="shared" si="110"/>
        <v/>
      </c>
      <c r="V813" s="67" t="str">
        <f t="shared" si="111"/>
        <v/>
      </c>
      <c r="W813" s="67" t="str">
        <f t="shared" si="112"/>
        <v/>
      </c>
      <c r="X813" s="67" t="str">
        <f t="shared" si="113"/>
        <v/>
      </c>
      <c r="Y813" s="24" t="str">
        <f t="shared" si="114"/>
        <v/>
      </c>
      <c r="Z813">
        <f t="shared" si="115"/>
        <v>0</v>
      </c>
      <c r="AA813">
        <f t="shared" si="116"/>
        <v>0</v>
      </c>
    </row>
    <row r="814" spans="2:27" ht="15.75" customHeight="1" x14ac:dyDescent="0.3">
      <c r="B814" s="25"/>
      <c r="C814" s="25"/>
      <c r="D814" s="25"/>
      <c r="E814" s="26" t="str">
        <f t="shared" si="108"/>
        <v/>
      </c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3" t="str">
        <f>IF($F814="","",IF(OR($B814="",$C814="",$D814=""),"⚠ Compléter Année/Niveau/Session",IF(AND($E814&lt;&gt;"",COUNTIF(D_KEY_DOUBLON,$B814&amp;"|"&amp;$D814&amp;"|"&amp;$E814)&gt;1),"⚠ Doublon",IF(AND($E814&lt;&gt;"",COUNTIF(D_KEY_STATUT,$B814&amp;"|"&amp;$E814&amp;"|P")&gt;0,COUNTIF(D_KEY_STATUT,$B814&amp;"|"&amp;$E814&amp;"|A")&gt;0),"⚠ Statut incohérent",IF(AND($D814="S1",$Y814&lt;&gt;"Parti",COUNTIF(ANNEES_VERROU,$B814)&gt;0,COUNTIF(D_KEY_NIVSES,$B814&amp;"|"&amp;$C814&amp;"|S2")&gt;0,COUNTIF(D_KEY_DOUBLON,$B814&amp;"|S2|"&amp;$E814)=0),"⚠ Départ non confirmé ?",IF(AND($C814&lt;&gt;"",ISNUMBER($I814),OR(VALUE(LEFT($B814,4))-$I814&lt;4+IFERROR(MATCH($C814,LISTE_NIVEAUX,0),99),VALUE(LEFT($B814,4))-$I814&gt;6+IFERROR(MATCH($C814,LISTE_NIVEAUX,0),99))),"⚠ Vérifier niveau",IF(AND(IFERROR(VLOOKUP($C814,TABLE_CYCLE,2,0),3)=2,COUNT($O814:$Q814)&gt;0),"⚠ Tests cycle 3",IF(COUNT($J814:$Q814)&gt;=IF(IFERROR(VLOOKUP($C814,TABLE_CYCLE,2,0),3)=2,5,8),"Complet","Incomplet"))))))))</f>
        <v/>
      </c>
      <c r="S814" s="24"/>
      <c r="T814" s="67" t="str">
        <f t="shared" si="109"/>
        <v/>
      </c>
      <c r="U814" s="67" t="str">
        <f t="shared" si="110"/>
        <v/>
      </c>
      <c r="V814" s="67" t="str">
        <f t="shared" si="111"/>
        <v/>
      </c>
      <c r="W814" s="67" t="str">
        <f t="shared" si="112"/>
        <v/>
      </c>
      <c r="X814" s="67" t="str">
        <f t="shared" si="113"/>
        <v/>
      </c>
      <c r="Y814" s="24" t="str">
        <f t="shared" si="114"/>
        <v/>
      </c>
      <c r="Z814">
        <f t="shared" si="115"/>
        <v>0</v>
      </c>
      <c r="AA814">
        <f t="shared" si="116"/>
        <v>0</v>
      </c>
    </row>
    <row r="815" spans="2:27" ht="15.75" customHeight="1" x14ac:dyDescent="0.3">
      <c r="B815" s="21"/>
      <c r="C815" s="21"/>
      <c r="D815" s="21"/>
      <c r="E815" s="22" t="str">
        <f t="shared" si="108"/>
        <v/>
      </c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3" t="str">
        <f>IF($F815="","",IF(OR($B815="",$C815="",$D815=""),"⚠ Compléter Année/Niveau/Session",IF(AND($E815&lt;&gt;"",COUNTIF(D_KEY_DOUBLON,$B815&amp;"|"&amp;$D815&amp;"|"&amp;$E815)&gt;1),"⚠ Doublon",IF(AND($E815&lt;&gt;"",COUNTIF(D_KEY_STATUT,$B815&amp;"|"&amp;$E815&amp;"|P")&gt;0,COUNTIF(D_KEY_STATUT,$B815&amp;"|"&amp;$E815&amp;"|A")&gt;0),"⚠ Statut incohérent",IF(AND($D815="S1",$Y815&lt;&gt;"Parti",COUNTIF(ANNEES_VERROU,$B815)&gt;0,COUNTIF(D_KEY_NIVSES,$B815&amp;"|"&amp;$C815&amp;"|S2")&gt;0,COUNTIF(D_KEY_DOUBLON,$B815&amp;"|S2|"&amp;$E815)=0),"⚠ Départ non confirmé ?",IF(AND($C815&lt;&gt;"",ISNUMBER($I815),OR(VALUE(LEFT($B815,4))-$I815&lt;4+IFERROR(MATCH($C815,LISTE_NIVEAUX,0),99),VALUE(LEFT($B815,4))-$I815&gt;6+IFERROR(MATCH($C815,LISTE_NIVEAUX,0),99))),"⚠ Vérifier niveau",IF(AND(IFERROR(VLOOKUP($C815,TABLE_CYCLE,2,0),3)=2,COUNT($O815:$Q815)&gt;0),"⚠ Tests cycle 3",IF(COUNT($J815:$Q815)&gt;=IF(IFERROR(VLOOKUP($C815,TABLE_CYCLE,2,0),3)=2,5,8),"Complet","Incomplet"))))))))</f>
        <v/>
      </c>
      <c r="S815" s="24"/>
      <c r="T815" s="67" t="str">
        <f t="shared" si="109"/>
        <v/>
      </c>
      <c r="U815" s="67" t="str">
        <f t="shared" si="110"/>
        <v/>
      </c>
      <c r="V815" s="67" t="str">
        <f t="shared" si="111"/>
        <v/>
      </c>
      <c r="W815" s="67" t="str">
        <f t="shared" si="112"/>
        <v/>
      </c>
      <c r="X815" s="67" t="str">
        <f t="shared" si="113"/>
        <v/>
      </c>
      <c r="Y815" s="24" t="str">
        <f t="shared" si="114"/>
        <v/>
      </c>
      <c r="Z815">
        <f t="shared" si="115"/>
        <v>0</v>
      </c>
      <c r="AA815">
        <f t="shared" si="116"/>
        <v>0</v>
      </c>
    </row>
    <row r="816" spans="2:27" ht="15.75" customHeight="1" x14ac:dyDescent="0.3">
      <c r="B816" s="25"/>
      <c r="C816" s="25"/>
      <c r="D816" s="25"/>
      <c r="E816" s="26" t="str">
        <f t="shared" si="108"/>
        <v/>
      </c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3" t="str">
        <f>IF($F816="","",IF(OR($B816="",$C816="",$D816=""),"⚠ Compléter Année/Niveau/Session",IF(AND($E816&lt;&gt;"",COUNTIF(D_KEY_DOUBLON,$B816&amp;"|"&amp;$D816&amp;"|"&amp;$E816)&gt;1),"⚠ Doublon",IF(AND($E816&lt;&gt;"",COUNTIF(D_KEY_STATUT,$B816&amp;"|"&amp;$E816&amp;"|P")&gt;0,COUNTIF(D_KEY_STATUT,$B816&amp;"|"&amp;$E816&amp;"|A")&gt;0),"⚠ Statut incohérent",IF(AND($D816="S1",$Y816&lt;&gt;"Parti",COUNTIF(ANNEES_VERROU,$B816)&gt;0,COUNTIF(D_KEY_NIVSES,$B816&amp;"|"&amp;$C816&amp;"|S2")&gt;0,COUNTIF(D_KEY_DOUBLON,$B816&amp;"|S2|"&amp;$E816)=0),"⚠ Départ non confirmé ?",IF(AND($C816&lt;&gt;"",ISNUMBER($I816),OR(VALUE(LEFT($B816,4))-$I816&lt;4+IFERROR(MATCH($C816,LISTE_NIVEAUX,0),99),VALUE(LEFT($B816,4))-$I816&gt;6+IFERROR(MATCH($C816,LISTE_NIVEAUX,0),99))),"⚠ Vérifier niveau",IF(AND(IFERROR(VLOOKUP($C816,TABLE_CYCLE,2,0),3)=2,COUNT($O816:$Q816)&gt;0),"⚠ Tests cycle 3",IF(COUNT($J816:$Q816)&gt;=IF(IFERROR(VLOOKUP($C816,TABLE_CYCLE,2,0),3)=2,5,8),"Complet","Incomplet"))))))))</f>
        <v/>
      </c>
      <c r="S816" s="24"/>
      <c r="T816" s="67" t="str">
        <f t="shared" si="109"/>
        <v/>
      </c>
      <c r="U816" s="67" t="str">
        <f t="shared" si="110"/>
        <v/>
      </c>
      <c r="V816" s="67" t="str">
        <f t="shared" si="111"/>
        <v/>
      </c>
      <c r="W816" s="67" t="str">
        <f t="shared" si="112"/>
        <v/>
      </c>
      <c r="X816" s="67" t="str">
        <f t="shared" si="113"/>
        <v/>
      </c>
      <c r="Y816" s="24" t="str">
        <f t="shared" si="114"/>
        <v/>
      </c>
      <c r="Z816">
        <f t="shared" si="115"/>
        <v>0</v>
      </c>
      <c r="AA816">
        <f t="shared" si="116"/>
        <v>0</v>
      </c>
    </row>
    <row r="817" spans="2:27" ht="15.75" customHeight="1" x14ac:dyDescent="0.3">
      <c r="B817" s="21"/>
      <c r="C817" s="21"/>
      <c r="D817" s="21"/>
      <c r="E817" s="22" t="str">
        <f t="shared" si="108"/>
        <v/>
      </c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3" t="str">
        <f>IF($F817="","",IF(OR($B817="",$C817="",$D817=""),"⚠ Compléter Année/Niveau/Session",IF(AND($E817&lt;&gt;"",COUNTIF(D_KEY_DOUBLON,$B817&amp;"|"&amp;$D817&amp;"|"&amp;$E817)&gt;1),"⚠ Doublon",IF(AND($E817&lt;&gt;"",COUNTIF(D_KEY_STATUT,$B817&amp;"|"&amp;$E817&amp;"|P")&gt;0,COUNTIF(D_KEY_STATUT,$B817&amp;"|"&amp;$E817&amp;"|A")&gt;0),"⚠ Statut incohérent",IF(AND($D817="S1",$Y817&lt;&gt;"Parti",COUNTIF(ANNEES_VERROU,$B817)&gt;0,COUNTIF(D_KEY_NIVSES,$B817&amp;"|"&amp;$C817&amp;"|S2")&gt;0,COUNTIF(D_KEY_DOUBLON,$B817&amp;"|S2|"&amp;$E817)=0),"⚠ Départ non confirmé ?",IF(AND($C817&lt;&gt;"",ISNUMBER($I817),OR(VALUE(LEFT($B817,4))-$I817&lt;4+IFERROR(MATCH($C817,LISTE_NIVEAUX,0),99),VALUE(LEFT($B817,4))-$I817&gt;6+IFERROR(MATCH($C817,LISTE_NIVEAUX,0),99))),"⚠ Vérifier niveau",IF(AND(IFERROR(VLOOKUP($C817,TABLE_CYCLE,2,0),3)=2,COUNT($O817:$Q817)&gt;0),"⚠ Tests cycle 3",IF(COUNT($J817:$Q817)&gt;=IF(IFERROR(VLOOKUP($C817,TABLE_CYCLE,2,0),3)=2,5,8),"Complet","Incomplet"))))))))</f>
        <v/>
      </c>
      <c r="S817" s="24"/>
      <c r="T817" s="67" t="str">
        <f t="shared" si="109"/>
        <v/>
      </c>
      <c r="U817" s="67" t="str">
        <f t="shared" si="110"/>
        <v/>
      </c>
      <c r="V817" s="67" t="str">
        <f t="shared" si="111"/>
        <v/>
      </c>
      <c r="W817" s="67" t="str">
        <f t="shared" si="112"/>
        <v/>
      </c>
      <c r="X817" s="67" t="str">
        <f t="shared" si="113"/>
        <v/>
      </c>
      <c r="Y817" s="24" t="str">
        <f t="shared" si="114"/>
        <v/>
      </c>
      <c r="Z817">
        <f t="shared" si="115"/>
        <v>0</v>
      </c>
      <c r="AA817">
        <f t="shared" si="116"/>
        <v>0</v>
      </c>
    </row>
    <row r="818" spans="2:27" ht="15.75" customHeight="1" x14ac:dyDescent="0.3">
      <c r="B818" s="25"/>
      <c r="C818" s="25"/>
      <c r="D818" s="25"/>
      <c r="E818" s="26" t="str">
        <f t="shared" si="108"/>
        <v/>
      </c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3" t="str">
        <f>IF($F818="","",IF(OR($B818="",$C818="",$D818=""),"⚠ Compléter Année/Niveau/Session",IF(AND($E818&lt;&gt;"",COUNTIF(D_KEY_DOUBLON,$B818&amp;"|"&amp;$D818&amp;"|"&amp;$E818)&gt;1),"⚠ Doublon",IF(AND($E818&lt;&gt;"",COUNTIF(D_KEY_STATUT,$B818&amp;"|"&amp;$E818&amp;"|P")&gt;0,COUNTIF(D_KEY_STATUT,$B818&amp;"|"&amp;$E818&amp;"|A")&gt;0),"⚠ Statut incohérent",IF(AND($D818="S1",$Y818&lt;&gt;"Parti",COUNTIF(ANNEES_VERROU,$B818)&gt;0,COUNTIF(D_KEY_NIVSES,$B818&amp;"|"&amp;$C818&amp;"|S2")&gt;0,COUNTIF(D_KEY_DOUBLON,$B818&amp;"|S2|"&amp;$E818)=0),"⚠ Départ non confirmé ?",IF(AND($C818&lt;&gt;"",ISNUMBER($I818),OR(VALUE(LEFT($B818,4))-$I818&lt;4+IFERROR(MATCH($C818,LISTE_NIVEAUX,0),99),VALUE(LEFT($B818,4))-$I818&gt;6+IFERROR(MATCH($C818,LISTE_NIVEAUX,0),99))),"⚠ Vérifier niveau",IF(AND(IFERROR(VLOOKUP($C818,TABLE_CYCLE,2,0),3)=2,COUNT($O818:$Q818)&gt;0),"⚠ Tests cycle 3",IF(COUNT($J818:$Q818)&gt;=IF(IFERROR(VLOOKUP($C818,TABLE_CYCLE,2,0),3)=2,5,8),"Complet","Incomplet"))))))))</f>
        <v/>
      </c>
      <c r="S818" s="24"/>
      <c r="T818" s="67" t="str">
        <f t="shared" si="109"/>
        <v/>
      </c>
      <c r="U818" s="67" t="str">
        <f t="shared" si="110"/>
        <v/>
      </c>
      <c r="V818" s="67" t="str">
        <f t="shared" si="111"/>
        <v/>
      </c>
      <c r="W818" s="67" t="str">
        <f t="shared" si="112"/>
        <v/>
      </c>
      <c r="X818" s="67" t="str">
        <f t="shared" si="113"/>
        <v/>
      </c>
      <c r="Y818" s="24" t="str">
        <f t="shared" si="114"/>
        <v/>
      </c>
      <c r="Z818">
        <f t="shared" si="115"/>
        <v>0</v>
      </c>
      <c r="AA818">
        <f t="shared" si="116"/>
        <v>0</v>
      </c>
    </row>
    <row r="819" spans="2:27" ht="15.75" customHeight="1" x14ac:dyDescent="0.3">
      <c r="B819" s="21"/>
      <c r="C819" s="21"/>
      <c r="D819" s="21"/>
      <c r="E819" s="22" t="str">
        <f t="shared" si="108"/>
        <v/>
      </c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3" t="str">
        <f>IF($F819="","",IF(OR($B819="",$C819="",$D819=""),"⚠ Compléter Année/Niveau/Session",IF(AND($E819&lt;&gt;"",COUNTIF(D_KEY_DOUBLON,$B819&amp;"|"&amp;$D819&amp;"|"&amp;$E819)&gt;1),"⚠ Doublon",IF(AND($E819&lt;&gt;"",COUNTIF(D_KEY_STATUT,$B819&amp;"|"&amp;$E819&amp;"|P")&gt;0,COUNTIF(D_KEY_STATUT,$B819&amp;"|"&amp;$E819&amp;"|A")&gt;0),"⚠ Statut incohérent",IF(AND($D819="S1",$Y819&lt;&gt;"Parti",COUNTIF(ANNEES_VERROU,$B819)&gt;0,COUNTIF(D_KEY_NIVSES,$B819&amp;"|"&amp;$C819&amp;"|S2")&gt;0,COUNTIF(D_KEY_DOUBLON,$B819&amp;"|S2|"&amp;$E819)=0),"⚠ Départ non confirmé ?",IF(AND($C819&lt;&gt;"",ISNUMBER($I819),OR(VALUE(LEFT($B819,4))-$I819&lt;4+IFERROR(MATCH($C819,LISTE_NIVEAUX,0),99),VALUE(LEFT($B819,4))-$I819&gt;6+IFERROR(MATCH($C819,LISTE_NIVEAUX,0),99))),"⚠ Vérifier niveau",IF(AND(IFERROR(VLOOKUP($C819,TABLE_CYCLE,2,0),3)=2,COUNT($O819:$Q819)&gt;0),"⚠ Tests cycle 3",IF(COUNT($J819:$Q819)&gt;=IF(IFERROR(VLOOKUP($C819,TABLE_CYCLE,2,0),3)=2,5,8),"Complet","Incomplet"))))))))</f>
        <v/>
      </c>
      <c r="S819" s="24"/>
      <c r="T819" s="67" t="str">
        <f t="shared" si="109"/>
        <v/>
      </c>
      <c r="U819" s="67" t="str">
        <f t="shared" si="110"/>
        <v/>
      </c>
      <c r="V819" s="67" t="str">
        <f t="shared" si="111"/>
        <v/>
      </c>
      <c r="W819" s="67" t="str">
        <f t="shared" si="112"/>
        <v/>
      </c>
      <c r="X819" s="67" t="str">
        <f t="shared" si="113"/>
        <v/>
      </c>
      <c r="Y819" s="24" t="str">
        <f t="shared" si="114"/>
        <v/>
      </c>
      <c r="Z819">
        <f t="shared" si="115"/>
        <v>0</v>
      </c>
      <c r="AA819">
        <f t="shared" si="116"/>
        <v>0</v>
      </c>
    </row>
    <row r="820" spans="2:27" ht="15.75" customHeight="1" x14ac:dyDescent="0.3">
      <c r="B820" s="25"/>
      <c r="C820" s="25"/>
      <c r="D820" s="25"/>
      <c r="E820" s="26" t="str">
        <f t="shared" si="108"/>
        <v/>
      </c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3" t="str">
        <f>IF($F820="","",IF(OR($B820="",$C820="",$D820=""),"⚠ Compléter Année/Niveau/Session",IF(AND($E820&lt;&gt;"",COUNTIF(D_KEY_DOUBLON,$B820&amp;"|"&amp;$D820&amp;"|"&amp;$E820)&gt;1),"⚠ Doublon",IF(AND($E820&lt;&gt;"",COUNTIF(D_KEY_STATUT,$B820&amp;"|"&amp;$E820&amp;"|P")&gt;0,COUNTIF(D_KEY_STATUT,$B820&amp;"|"&amp;$E820&amp;"|A")&gt;0),"⚠ Statut incohérent",IF(AND($D820="S1",$Y820&lt;&gt;"Parti",COUNTIF(ANNEES_VERROU,$B820)&gt;0,COUNTIF(D_KEY_NIVSES,$B820&amp;"|"&amp;$C820&amp;"|S2")&gt;0,COUNTIF(D_KEY_DOUBLON,$B820&amp;"|S2|"&amp;$E820)=0),"⚠ Départ non confirmé ?",IF(AND($C820&lt;&gt;"",ISNUMBER($I820),OR(VALUE(LEFT($B820,4))-$I820&lt;4+IFERROR(MATCH($C820,LISTE_NIVEAUX,0),99),VALUE(LEFT($B820,4))-$I820&gt;6+IFERROR(MATCH($C820,LISTE_NIVEAUX,0),99))),"⚠ Vérifier niveau",IF(AND(IFERROR(VLOOKUP($C820,TABLE_CYCLE,2,0),3)=2,COUNT($O820:$Q820)&gt;0),"⚠ Tests cycle 3",IF(COUNT($J820:$Q820)&gt;=IF(IFERROR(VLOOKUP($C820,TABLE_CYCLE,2,0),3)=2,5,8),"Complet","Incomplet"))))))))</f>
        <v/>
      </c>
      <c r="S820" s="24"/>
      <c r="T820" s="67" t="str">
        <f t="shared" si="109"/>
        <v/>
      </c>
      <c r="U820" s="67" t="str">
        <f t="shared" si="110"/>
        <v/>
      </c>
      <c r="V820" s="67" t="str">
        <f t="shared" si="111"/>
        <v/>
      </c>
      <c r="W820" s="67" t="str">
        <f t="shared" si="112"/>
        <v/>
      </c>
      <c r="X820" s="67" t="str">
        <f t="shared" si="113"/>
        <v/>
      </c>
      <c r="Y820" s="24" t="str">
        <f t="shared" si="114"/>
        <v/>
      </c>
      <c r="Z820">
        <f t="shared" si="115"/>
        <v>0</v>
      </c>
      <c r="AA820">
        <f t="shared" si="116"/>
        <v>0</v>
      </c>
    </row>
    <row r="821" spans="2:27" ht="15.75" customHeight="1" x14ac:dyDescent="0.3">
      <c r="B821" s="21"/>
      <c r="C821" s="21"/>
      <c r="D821" s="21"/>
      <c r="E821" s="22" t="str">
        <f t="shared" si="108"/>
        <v/>
      </c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3" t="str">
        <f>IF($F821="","",IF(OR($B821="",$C821="",$D821=""),"⚠ Compléter Année/Niveau/Session",IF(AND($E821&lt;&gt;"",COUNTIF(D_KEY_DOUBLON,$B821&amp;"|"&amp;$D821&amp;"|"&amp;$E821)&gt;1),"⚠ Doublon",IF(AND($E821&lt;&gt;"",COUNTIF(D_KEY_STATUT,$B821&amp;"|"&amp;$E821&amp;"|P")&gt;0,COUNTIF(D_KEY_STATUT,$B821&amp;"|"&amp;$E821&amp;"|A")&gt;0),"⚠ Statut incohérent",IF(AND($D821="S1",$Y821&lt;&gt;"Parti",COUNTIF(ANNEES_VERROU,$B821)&gt;0,COUNTIF(D_KEY_NIVSES,$B821&amp;"|"&amp;$C821&amp;"|S2")&gt;0,COUNTIF(D_KEY_DOUBLON,$B821&amp;"|S2|"&amp;$E821)=0),"⚠ Départ non confirmé ?",IF(AND($C821&lt;&gt;"",ISNUMBER($I821),OR(VALUE(LEFT($B821,4))-$I821&lt;4+IFERROR(MATCH($C821,LISTE_NIVEAUX,0),99),VALUE(LEFT($B821,4))-$I821&gt;6+IFERROR(MATCH($C821,LISTE_NIVEAUX,0),99))),"⚠ Vérifier niveau",IF(AND(IFERROR(VLOOKUP($C821,TABLE_CYCLE,2,0),3)=2,COUNT($O821:$Q821)&gt;0),"⚠ Tests cycle 3",IF(COUNT($J821:$Q821)&gt;=IF(IFERROR(VLOOKUP($C821,TABLE_CYCLE,2,0),3)=2,5,8),"Complet","Incomplet"))))))))</f>
        <v/>
      </c>
      <c r="S821" s="24"/>
      <c r="T821" s="67" t="str">
        <f t="shared" si="109"/>
        <v/>
      </c>
      <c r="U821" s="67" t="str">
        <f t="shared" si="110"/>
        <v/>
      </c>
      <c r="V821" s="67" t="str">
        <f t="shared" si="111"/>
        <v/>
      </c>
      <c r="W821" s="67" t="str">
        <f t="shared" si="112"/>
        <v/>
      </c>
      <c r="X821" s="67" t="str">
        <f t="shared" si="113"/>
        <v/>
      </c>
      <c r="Y821" s="24" t="str">
        <f t="shared" si="114"/>
        <v/>
      </c>
      <c r="Z821">
        <f t="shared" si="115"/>
        <v>0</v>
      </c>
      <c r="AA821">
        <f t="shared" si="116"/>
        <v>0</v>
      </c>
    </row>
    <row r="822" spans="2:27" ht="15.75" customHeight="1" x14ac:dyDescent="0.3">
      <c r="B822" s="25"/>
      <c r="C822" s="25"/>
      <c r="D822" s="25"/>
      <c r="E822" s="26" t="str">
        <f t="shared" si="108"/>
        <v/>
      </c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3" t="str">
        <f>IF($F822="","",IF(OR($B822="",$C822="",$D822=""),"⚠ Compléter Année/Niveau/Session",IF(AND($E822&lt;&gt;"",COUNTIF(D_KEY_DOUBLON,$B822&amp;"|"&amp;$D822&amp;"|"&amp;$E822)&gt;1),"⚠ Doublon",IF(AND($E822&lt;&gt;"",COUNTIF(D_KEY_STATUT,$B822&amp;"|"&amp;$E822&amp;"|P")&gt;0,COUNTIF(D_KEY_STATUT,$B822&amp;"|"&amp;$E822&amp;"|A")&gt;0),"⚠ Statut incohérent",IF(AND($D822="S1",$Y822&lt;&gt;"Parti",COUNTIF(ANNEES_VERROU,$B822)&gt;0,COUNTIF(D_KEY_NIVSES,$B822&amp;"|"&amp;$C822&amp;"|S2")&gt;0,COUNTIF(D_KEY_DOUBLON,$B822&amp;"|S2|"&amp;$E822)=0),"⚠ Départ non confirmé ?",IF(AND($C822&lt;&gt;"",ISNUMBER($I822),OR(VALUE(LEFT($B822,4))-$I822&lt;4+IFERROR(MATCH($C822,LISTE_NIVEAUX,0),99),VALUE(LEFT($B822,4))-$I822&gt;6+IFERROR(MATCH($C822,LISTE_NIVEAUX,0),99))),"⚠ Vérifier niveau",IF(AND(IFERROR(VLOOKUP($C822,TABLE_CYCLE,2,0),3)=2,COUNT($O822:$Q822)&gt;0),"⚠ Tests cycle 3",IF(COUNT($J822:$Q822)&gt;=IF(IFERROR(VLOOKUP($C822,TABLE_CYCLE,2,0),3)=2,5,8),"Complet","Incomplet"))))))))</f>
        <v/>
      </c>
      <c r="S822" s="24"/>
      <c r="T822" s="67" t="str">
        <f t="shared" si="109"/>
        <v/>
      </c>
      <c r="U822" s="67" t="str">
        <f t="shared" si="110"/>
        <v/>
      </c>
      <c r="V822" s="67" t="str">
        <f t="shared" si="111"/>
        <v/>
      </c>
      <c r="W822" s="67" t="str">
        <f t="shared" si="112"/>
        <v/>
      </c>
      <c r="X822" s="67" t="str">
        <f t="shared" si="113"/>
        <v/>
      </c>
      <c r="Y822" s="24" t="str">
        <f t="shared" si="114"/>
        <v/>
      </c>
      <c r="Z822">
        <f t="shared" si="115"/>
        <v>0</v>
      </c>
      <c r="AA822">
        <f t="shared" si="116"/>
        <v>0</v>
      </c>
    </row>
    <row r="823" spans="2:27" ht="15.75" customHeight="1" x14ac:dyDescent="0.3">
      <c r="B823" s="21"/>
      <c r="C823" s="21"/>
      <c r="D823" s="21"/>
      <c r="E823" s="22" t="str">
        <f t="shared" si="108"/>
        <v/>
      </c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3" t="str">
        <f>IF($F823="","",IF(OR($B823="",$C823="",$D823=""),"⚠ Compléter Année/Niveau/Session",IF(AND($E823&lt;&gt;"",COUNTIF(D_KEY_DOUBLON,$B823&amp;"|"&amp;$D823&amp;"|"&amp;$E823)&gt;1),"⚠ Doublon",IF(AND($E823&lt;&gt;"",COUNTIF(D_KEY_STATUT,$B823&amp;"|"&amp;$E823&amp;"|P")&gt;0,COUNTIF(D_KEY_STATUT,$B823&amp;"|"&amp;$E823&amp;"|A")&gt;0),"⚠ Statut incohérent",IF(AND($D823="S1",$Y823&lt;&gt;"Parti",COUNTIF(ANNEES_VERROU,$B823)&gt;0,COUNTIF(D_KEY_NIVSES,$B823&amp;"|"&amp;$C823&amp;"|S2")&gt;0,COUNTIF(D_KEY_DOUBLON,$B823&amp;"|S2|"&amp;$E823)=0),"⚠ Départ non confirmé ?",IF(AND($C823&lt;&gt;"",ISNUMBER($I823),OR(VALUE(LEFT($B823,4))-$I823&lt;4+IFERROR(MATCH($C823,LISTE_NIVEAUX,0),99),VALUE(LEFT($B823,4))-$I823&gt;6+IFERROR(MATCH($C823,LISTE_NIVEAUX,0),99))),"⚠ Vérifier niveau",IF(AND(IFERROR(VLOOKUP($C823,TABLE_CYCLE,2,0),3)=2,COUNT($O823:$Q823)&gt;0),"⚠ Tests cycle 3",IF(COUNT($J823:$Q823)&gt;=IF(IFERROR(VLOOKUP($C823,TABLE_CYCLE,2,0),3)=2,5,8),"Complet","Incomplet"))))))))</f>
        <v/>
      </c>
      <c r="S823" s="24"/>
      <c r="T823" s="67" t="str">
        <f t="shared" si="109"/>
        <v/>
      </c>
      <c r="U823" s="67" t="str">
        <f t="shared" si="110"/>
        <v/>
      </c>
      <c r="V823" s="67" t="str">
        <f t="shared" si="111"/>
        <v/>
      </c>
      <c r="W823" s="67" t="str">
        <f t="shared" si="112"/>
        <v/>
      </c>
      <c r="X823" s="67" t="str">
        <f t="shared" si="113"/>
        <v/>
      </c>
      <c r="Y823" s="24" t="str">
        <f t="shared" si="114"/>
        <v/>
      </c>
      <c r="Z823">
        <f t="shared" si="115"/>
        <v>0</v>
      </c>
      <c r="AA823">
        <f t="shared" si="116"/>
        <v>0</v>
      </c>
    </row>
    <row r="824" spans="2:27" ht="15.75" customHeight="1" x14ac:dyDescent="0.3">
      <c r="B824" s="25"/>
      <c r="C824" s="25"/>
      <c r="D824" s="25"/>
      <c r="E824" s="26" t="str">
        <f t="shared" si="108"/>
        <v/>
      </c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3" t="str">
        <f>IF($F824="","",IF(OR($B824="",$C824="",$D824=""),"⚠ Compléter Année/Niveau/Session",IF(AND($E824&lt;&gt;"",COUNTIF(D_KEY_DOUBLON,$B824&amp;"|"&amp;$D824&amp;"|"&amp;$E824)&gt;1),"⚠ Doublon",IF(AND($E824&lt;&gt;"",COUNTIF(D_KEY_STATUT,$B824&amp;"|"&amp;$E824&amp;"|P")&gt;0,COUNTIF(D_KEY_STATUT,$B824&amp;"|"&amp;$E824&amp;"|A")&gt;0),"⚠ Statut incohérent",IF(AND($D824="S1",$Y824&lt;&gt;"Parti",COUNTIF(ANNEES_VERROU,$B824)&gt;0,COUNTIF(D_KEY_NIVSES,$B824&amp;"|"&amp;$C824&amp;"|S2")&gt;0,COUNTIF(D_KEY_DOUBLON,$B824&amp;"|S2|"&amp;$E824)=0),"⚠ Départ non confirmé ?",IF(AND($C824&lt;&gt;"",ISNUMBER($I824),OR(VALUE(LEFT($B824,4))-$I824&lt;4+IFERROR(MATCH($C824,LISTE_NIVEAUX,0),99),VALUE(LEFT($B824,4))-$I824&gt;6+IFERROR(MATCH($C824,LISTE_NIVEAUX,0),99))),"⚠ Vérifier niveau",IF(AND(IFERROR(VLOOKUP($C824,TABLE_CYCLE,2,0),3)=2,COUNT($O824:$Q824)&gt;0),"⚠ Tests cycle 3",IF(COUNT($J824:$Q824)&gt;=IF(IFERROR(VLOOKUP($C824,TABLE_CYCLE,2,0),3)=2,5,8),"Complet","Incomplet"))))))))</f>
        <v/>
      </c>
      <c r="S824" s="24"/>
      <c r="T824" s="67" t="str">
        <f t="shared" si="109"/>
        <v/>
      </c>
      <c r="U824" s="67" t="str">
        <f t="shared" si="110"/>
        <v/>
      </c>
      <c r="V824" s="67" t="str">
        <f t="shared" si="111"/>
        <v/>
      </c>
      <c r="W824" s="67" t="str">
        <f t="shared" si="112"/>
        <v/>
      </c>
      <c r="X824" s="67" t="str">
        <f t="shared" si="113"/>
        <v/>
      </c>
      <c r="Y824" s="24" t="str">
        <f t="shared" si="114"/>
        <v/>
      </c>
      <c r="Z824">
        <f t="shared" si="115"/>
        <v>0</v>
      </c>
      <c r="AA824">
        <f t="shared" si="116"/>
        <v>0</v>
      </c>
    </row>
    <row r="825" spans="2:27" ht="15.75" customHeight="1" x14ac:dyDescent="0.3">
      <c r="B825" s="21"/>
      <c r="C825" s="21"/>
      <c r="D825" s="21"/>
      <c r="E825" s="22" t="str">
        <f t="shared" si="108"/>
        <v/>
      </c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3" t="str">
        <f>IF($F825="","",IF(OR($B825="",$C825="",$D825=""),"⚠ Compléter Année/Niveau/Session",IF(AND($E825&lt;&gt;"",COUNTIF(D_KEY_DOUBLON,$B825&amp;"|"&amp;$D825&amp;"|"&amp;$E825)&gt;1),"⚠ Doublon",IF(AND($E825&lt;&gt;"",COUNTIF(D_KEY_STATUT,$B825&amp;"|"&amp;$E825&amp;"|P")&gt;0,COUNTIF(D_KEY_STATUT,$B825&amp;"|"&amp;$E825&amp;"|A")&gt;0),"⚠ Statut incohérent",IF(AND($D825="S1",$Y825&lt;&gt;"Parti",COUNTIF(ANNEES_VERROU,$B825)&gt;0,COUNTIF(D_KEY_NIVSES,$B825&amp;"|"&amp;$C825&amp;"|S2")&gt;0,COUNTIF(D_KEY_DOUBLON,$B825&amp;"|S2|"&amp;$E825)=0),"⚠ Départ non confirmé ?",IF(AND($C825&lt;&gt;"",ISNUMBER($I825),OR(VALUE(LEFT($B825,4))-$I825&lt;4+IFERROR(MATCH($C825,LISTE_NIVEAUX,0),99),VALUE(LEFT($B825,4))-$I825&gt;6+IFERROR(MATCH($C825,LISTE_NIVEAUX,0),99))),"⚠ Vérifier niveau",IF(AND(IFERROR(VLOOKUP($C825,TABLE_CYCLE,2,0),3)=2,COUNT($O825:$Q825)&gt;0),"⚠ Tests cycle 3",IF(COUNT($J825:$Q825)&gt;=IF(IFERROR(VLOOKUP($C825,TABLE_CYCLE,2,0),3)=2,5,8),"Complet","Incomplet"))))))))</f>
        <v/>
      </c>
      <c r="S825" s="24"/>
      <c r="T825" s="67" t="str">
        <f t="shared" si="109"/>
        <v/>
      </c>
      <c r="U825" s="67" t="str">
        <f t="shared" si="110"/>
        <v/>
      </c>
      <c r="V825" s="67" t="str">
        <f t="shared" si="111"/>
        <v/>
      </c>
      <c r="W825" s="67" t="str">
        <f t="shared" si="112"/>
        <v/>
      </c>
      <c r="X825" s="67" t="str">
        <f t="shared" si="113"/>
        <v/>
      </c>
      <c r="Y825" s="24" t="str">
        <f t="shared" si="114"/>
        <v/>
      </c>
      <c r="Z825">
        <f t="shared" si="115"/>
        <v>0</v>
      </c>
      <c r="AA825">
        <f t="shared" si="116"/>
        <v>0</v>
      </c>
    </row>
    <row r="826" spans="2:27" ht="15.75" customHeight="1" x14ac:dyDescent="0.3">
      <c r="B826" s="25"/>
      <c r="C826" s="25"/>
      <c r="D826" s="25"/>
      <c r="E826" s="26" t="str">
        <f t="shared" si="108"/>
        <v/>
      </c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3" t="str">
        <f>IF($F826="","",IF(OR($B826="",$C826="",$D826=""),"⚠ Compléter Année/Niveau/Session",IF(AND($E826&lt;&gt;"",COUNTIF(D_KEY_DOUBLON,$B826&amp;"|"&amp;$D826&amp;"|"&amp;$E826)&gt;1),"⚠ Doublon",IF(AND($E826&lt;&gt;"",COUNTIF(D_KEY_STATUT,$B826&amp;"|"&amp;$E826&amp;"|P")&gt;0,COUNTIF(D_KEY_STATUT,$B826&amp;"|"&amp;$E826&amp;"|A")&gt;0),"⚠ Statut incohérent",IF(AND($D826="S1",$Y826&lt;&gt;"Parti",COUNTIF(ANNEES_VERROU,$B826)&gt;0,COUNTIF(D_KEY_NIVSES,$B826&amp;"|"&amp;$C826&amp;"|S2")&gt;0,COUNTIF(D_KEY_DOUBLON,$B826&amp;"|S2|"&amp;$E826)=0),"⚠ Départ non confirmé ?",IF(AND($C826&lt;&gt;"",ISNUMBER($I826),OR(VALUE(LEFT($B826,4))-$I826&lt;4+IFERROR(MATCH($C826,LISTE_NIVEAUX,0),99),VALUE(LEFT($B826,4))-$I826&gt;6+IFERROR(MATCH($C826,LISTE_NIVEAUX,0),99))),"⚠ Vérifier niveau",IF(AND(IFERROR(VLOOKUP($C826,TABLE_CYCLE,2,0),3)=2,COUNT($O826:$Q826)&gt;0),"⚠ Tests cycle 3",IF(COUNT($J826:$Q826)&gt;=IF(IFERROR(VLOOKUP($C826,TABLE_CYCLE,2,0),3)=2,5,8),"Complet","Incomplet"))))))))</f>
        <v/>
      </c>
      <c r="S826" s="24"/>
      <c r="T826" s="67" t="str">
        <f t="shared" si="109"/>
        <v/>
      </c>
      <c r="U826" s="67" t="str">
        <f t="shared" si="110"/>
        <v/>
      </c>
      <c r="V826" s="67" t="str">
        <f t="shared" si="111"/>
        <v/>
      </c>
      <c r="W826" s="67" t="str">
        <f t="shared" si="112"/>
        <v/>
      </c>
      <c r="X826" s="67" t="str">
        <f t="shared" si="113"/>
        <v/>
      </c>
      <c r="Y826" s="24" t="str">
        <f t="shared" si="114"/>
        <v/>
      </c>
      <c r="Z826">
        <f t="shared" si="115"/>
        <v>0</v>
      </c>
      <c r="AA826">
        <f t="shared" si="116"/>
        <v>0</v>
      </c>
    </row>
    <row r="827" spans="2:27" ht="15.75" customHeight="1" x14ac:dyDescent="0.3">
      <c r="B827" s="21"/>
      <c r="C827" s="21"/>
      <c r="D827" s="21"/>
      <c r="E827" s="22" t="str">
        <f t="shared" si="108"/>
        <v/>
      </c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3" t="str">
        <f>IF($F827="","",IF(OR($B827="",$C827="",$D827=""),"⚠ Compléter Année/Niveau/Session",IF(AND($E827&lt;&gt;"",COUNTIF(D_KEY_DOUBLON,$B827&amp;"|"&amp;$D827&amp;"|"&amp;$E827)&gt;1),"⚠ Doublon",IF(AND($E827&lt;&gt;"",COUNTIF(D_KEY_STATUT,$B827&amp;"|"&amp;$E827&amp;"|P")&gt;0,COUNTIF(D_KEY_STATUT,$B827&amp;"|"&amp;$E827&amp;"|A")&gt;0),"⚠ Statut incohérent",IF(AND($D827="S1",$Y827&lt;&gt;"Parti",COUNTIF(ANNEES_VERROU,$B827)&gt;0,COUNTIF(D_KEY_NIVSES,$B827&amp;"|"&amp;$C827&amp;"|S2")&gt;0,COUNTIF(D_KEY_DOUBLON,$B827&amp;"|S2|"&amp;$E827)=0),"⚠ Départ non confirmé ?",IF(AND($C827&lt;&gt;"",ISNUMBER($I827),OR(VALUE(LEFT($B827,4))-$I827&lt;4+IFERROR(MATCH($C827,LISTE_NIVEAUX,0),99),VALUE(LEFT($B827,4))-$I827&gt;6+IFERROR(MATCH($C827,LISTE_NIVEAUX,0),99))),"⚠ Vérifier niveau",IF(AND(IFERROR(VLOOKUP($C827,TABLE_CYCLE,2,0),3)=2,COUNT($O827:$Q827)&gt;0),"⚠ Tests cycle 3",IF(COUNT($J827:$Q827)&gt;=IF(IFERROR(VLOOKUP($C827,TABLE_CYCLE,2,0),3)=2,5,8),"Complet","Incomplet"))))))))</f>
        <v/>
      </c>
      <c r="S827" s="24"/>
      <c r="T827" s="67" t="str">
        <f t="shared" si="109"/>
        <v/>
      </c>
      <c r="U827" s="67" t="str">
        <f t="shared" si="110"/>
        <v/>
      </c>
      <c r="V827" s="67" t="str">
        <f t="shared" si="111"/>
        <v/>
      </c>
      <c r="W827" s="67" t="str">
        <f t="shared" si="112"/>
        <v/>
      </c>
      <c r="X827" s="67" t="str">
        <f t="shared" si="113"/>
        <v/>
      </c>
      <c r="Y827" s="24" t="str">
        <f t="shared" si="114"/>
        <v/>
      </c>
      <c r="Z827">
        <f t="shared" si="115"/>
        <v>0</v>
      </c>
      <c r="AA827">
        <f t="shared" si="116"/>
        <v>0</v>
      </c>
    </row>
    <row r="828" spans="2:27" ht="15.75" customHeight="1" x14ac:dyDescent="0.3">
      <c r="B828" s="25"/>
      <c r="C828" s="25"/>
      <c r="D828" s="25"/>
      <c r="E828" s="26" t="str">
        <f t="shared" si="108"/>
        <v/>
      </c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3" t="str">
        <f>IF($F828="","",IF(OR($B828="",$C828="",$D828=""),"⚠ Compléter Année/Niveau/Session",IF(AND($E828&lt;&gt;"",COUNTIF(D_KEY_DOUBLON,$B828&amp;"|"&amp;$D828&amp;"|"&amp;$E828)&gt;1),"⚠ Doublon",IF(AND($E828&lt;&gt;"",COUNTIF(D_KEY_STATUT,$B828&amp;"|"&amp;$E828&amp;"|P")&gt;0,COUNTIF(D_KEY_STATUT,$B828&amp;"|"&amp;$E828&amp;"|A")&gt;0),"⚠ Statut incohérent",IF(AND($D828="S1",$Y828&lt;&gt;"Parti",COUNTIF(ANNEES_VERROU,$B828)&gt;0,COUNTIF(D_KEY_NIVSES,$B828&amp;"|"&amp;$C828&amp;"|S2")&gt;0,COUNTIF(D_KEY_DOUBLON,$B828&amp;"|S2|"&amp;$E828)=0),"⚠ Départ non confirmé ?",IF(AND($C828&lt;&gt;"",ISNUMBER($I828),OR(VALUE(LEFT($B828,4))-$I828&lt;4+IFERROR(MATCH($C828,LISTE_NIVEAUX,0),99),VALUE(LEFT($B828,4))-$I828&gt;6+IFERROR(MATCH($C828,LISTE_NIVEAUX,0),99))),"⚠ Vérifier niveau",IF(AND(IFERROR(VLOOKUP($C828,TABLE_CYCLE,2,0),3)=2,COUNT($O828:$Q828)&gt;0),"⚠ Tests cycle 3",IF(COUNT($J828:$Q828)&gt;=IF(IFERROR(VLOOKUP($C828,TABLE_CYCLE,2,0),3)=2,5,8),"Complet","Incomplet"))))))))</f>
        <v/>
      </c>
      <c r="S828" s="24"/>
      <c r="T828" s="67" t="str">
        <f t="shared" si="109"/>
        <v/>
      </c>
      <c r="U828" s="67" t="str">
        <f t="shared" si="110"/>
        <v/>
      </c>
      <c r="V828" s="67" t="str">
        <f t="shared" si="111"/>
        <v/>
      </c>
      <c r="W828" s="67" t="str">
        <f t="shared" si="112"/>
        <v/>
      </c>
      <c r="X828" s="67" t="str">
        <f t="shared" si="113"/>
        <v/>
      </c>
      <c r="Y828" s="24" t="str">
        <f t="shared" si="114"/>
        <v/>
      </c>
      <c r="Z828">
        <f t="shared" si="115"/>
        <v>0</v>
      </c>
      <c r="AA828">
        <f t="shared" si="116"/>
        <v>0</v>
      </c>
    </row>
    <row r="829" spans="2:27" ht="15.75" customHeight="1" x14ac:dyDescent="0.3">
      <c r="B829" s="21"/>
      <c r="C829" s="21"/>
      <c r="D829" s="21"/>
      <c r="E829" s="22" t="str">
        <f t="shared" si="108"/>
        <v/>
      </c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3" t="str">
        <f>IF($F829="","",IF(OR($B829="",$C829="",$D829=""),"⚠ Compléter Année/Niveau/Session",IF(AND($E829&lt;&gt;"",COUNTIF(D_KEY_DOUBLON,$B829&amp;"|"&amp;$D829&amp;"|"&amp;$E829)&gt;1),"⚠ Doublon",IF(AND($E829&lt;&gt;"",COUNTIF(D_KEY_STATUT,$B829&amp;"|"&amp;$E829&amp;"|P")&gt;0,COUNTIF(D_KEY_STATUT,$B829&amp;"|"&amp;$E829&amp;"|A")&gt;0),"⚠ Statut incohérent",IF(AND($D829="S1",$Y829&lt;&gt;"Parti",COUNTIF(ANNEES_VERROU,$B829)&gt;0,COUNTIF(D_KEY_NIVSES,$B829&amp;"|"&amp;$C829&amp;"|S2")&gt;0,COUNTIF(D_KEY_DOUBLON,$B829&amp;"|S2|"&amp;$E829)=0),"⚠ Départ non confirmé ?",IF(AND($C829&lt;&gt;"",ISNUMBER($I829),OR(VALUE(LEFT($B829,4))-$I829&lt;4+IFERROR(MATCH($C829,LISTE_NIVEAUX,0),99),VALUE(LEFT($B829,4))-$I829&gt;6+IFERROR(MATCH($C829,LISTE_NIVEAUX,0),99))),"⚠ Vérifier niveau",IF(AND(IFERROR(VLOOKUP($C829,TABLE_CYCLE,2,0),3)=2,COUNT($O829:$Q829)&gt;0),"⚠ Tests cycle 3",IF(COUNT($J829:$Q829)&gt;=IF(IFERROR(VLOOKUP($C829,TABLE_CYCLE,2,0),3)=2,5,8),"Complet","Incomplet"))))))))</f>
        <v/>
      </c>
      <c r="S829" s="24"/>
      <c r="T829" s="67" t="str">
        <f t="shared" si="109"/>
        <v/>
      </c>
      <c r="U829" s="67" t="str">
        <f t="shared" si="110"/>
        <v/>
      </c>
      <c r="V829" s="67" t="str">
        <f t="shared" si="111"/>
        <v/>
      </c>
      <c r="W829" s="67" t="str">
        <f t="shared" si="112"/>
        <v/>
      </c>
      <c r="X829" s="67" t="str">
        <f t="shared" si="113"/>
        <v/>
      </c>
      <c r="Y829" s="24" t="str">
        <f t="shared" si="114"/>
        <v/>
      </c>
      <c r="Z829">
        <f t="shared" si="115"/>
        <v>0</v>
      </c>
      <c r="AA829">
        <f t="shared" si="116"/>
        <v>0</v>
      </c>
    </row>
    <row r="830" spans="2:27" ht="15.75" customHeight="1" x14ac:dyDescent="0.3">
      <c r="B830" s="25"/>
      <c r="C830" s="25"/>
      <c r="D830" s="25"/>
      <c r="E830" s="26" t="str">
        <f t="shared" si="108"/>
        <v/>
      </c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3" t="str">
        <f>IF($F830="","",IF(OR($B830="",$C830="",$D830=""),"⚠ Compléter Année/Niveau/Session",IF(AND($E830&lt;&gt;"",COUNTIF(D_KEY_DOUBLON,$B830&amp;"|"&amp;$D830&amp;"|"&amp;$E830)&gt;1),"⚠ Doublon",IF(AND($E830&lt;&gt;"",COUNTIF(D_KEY_STATUT,$B830&amp;"|"&amp;$E830&amp;"|P")&gt;0,COUNTIF(D_KEY_STATUT,$B830&amp;"|"&amp;$E830&amp;"|A")&gt;0),"⚠ Statut incohérent",IF(AND($D830="S1",$Y830&lt;&gt;"Parti",COUNTIF(ANNEES_VERROU,$B830)&gt;0,COUNTIF(D_KEY_NIVSES,$B830&amp;"|"&amp;$C830&amp;"|S2")&gt;0,COUNTIF(D_KEY_DOUBLON,$B830&amp;"|S2|"&amp;$E830)=0),"⚠ Départ non confirmé ?",IF(AND($C830&lt;&gt;"",ISNUMBER($I830),OR(VALUE(LEFT($B830,4))-$I830&lt;4+IFERROR(MATCH($C830,LISTE_NIVEAUX,0),99),VALUE(LEFT($B830,4))-$I830&gt;6+IFERROR(MATCH($C830,LISTE_NIVEAUX,0),99))),"⚠ Vérifier niveau",IF(AND(IFERROR(VLOOKUP($C830,TABLE_CYCLE,2,0),3)=2,COUNT($O830:$Q830)&gt;0),"⚠ Tests cycle 3",IF(COUNT($J830:$Q830)&gt;=IF(IFERROR(VLOOKUP($C830,TABLE_CYCLE,2,0),3)=2,5,8),"Complet","Incomplet"))))))))</f>
        <v/>
      </c>
      <c r="S830" s="24"/>
      <c r="T830" s="67" t="str">
        <f t="shared" si="109"/>
        <v/>
      </c>
      <c r="U830" s="67" t="str">
        <f t="shared" si="110"/>
        <v/>
      </c>
      <c r="V830" s="67" t="str">
        <f t="shared" si="111"/>
        <v/>
      </c>
      <c r="W830" s="67" t="str">
        <f t="shared" si="112"/>
        <v/>
      </c>
      <c r="X830" s="67" t="str">
        <f t="shared" si="113"/>
        <v/>
      </c>
      <c r="Y830" s="24" t="str">
        <f t="shared" si="114"/>
        <v/>
      </c>
      <c r="Z830">
        <f t="shared" si="115"/>
        <v>0</v>
      </c>
      <c r="AA830">
        <f t="shared" si="116"/>
        <v>0</v>
      </c>
    </row>
    <row r="831" spans="2:27" ht="15.75" customHeight="1" x14ac:dyDescent="0.3">
      <c r="B831" s="21"/>
      <c r="C831" s="21"/>
      <c r="D831" s="21"/>
      <c r="E831" s="22" t="str">
        <f t="shared" si="108"/>
        <v/>
      </c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3" t="str">
        <f>IF($F831="","",IF(OR($B831="",$C831="",$D831=""),"⚠ Compléter Année/Niveau/Session",IF(AND($E831&lt;&gt;"",COUNTIF(D_KEY_DOUBLON,$B831&amp;"|"&amp;$D831&amp;"|"&amp;$E831)&gt;1),"⚠ Doublon",IF(AND($E831&lt;&gt;"",COUNTIF(D_KEY_STATUT,$B831&amp;"|"&amp;$E831&amp;"|P")&gt;0,COUNTIF(D_KEY_STATUT,$B831&amp;"|"&amp;$E831&amp;"|A")&gt;0),"⚠ Statut incohérent",IF(AND($D831="S1",$Y831&lt;&gt;"Parti",COUNTIF(ANNEES_VERROU,$B831)&gt;0,COUNTIF(D_KEY_NIVSES,$B831&amp;"|"&amp;$C831&amp;"|S2")&gt;0,COUNTIF(D_KEY_DOUBLON,$B831&amp;"|S2|"&amp;$E831)=0),"⚠ Départ non confirmé ?",IF(AND($C831&lt;&gt;"",ISNUMBER($I831),OR(VALUE(LEFT($B831,4))-$I831&lt;4+IFERROR(MATCH($C831,LISTE_NIVEAUX,0),99),VALUE(LEFT($B831,4))-$I831&gt;6+IFERROR(MATCH($C831,LISTE_NIVEAUX,0),99))),"⚠ Vérifier niveau",IF(AND(IFERROR(VLOOKUP($C831,TABLE_CYCLE,2,0),3)=2,COUNT($O831:$Q831)&gt;0),"⚠ Tests cycle 3",IF(COUNT($J831:$Q831)&gt;=IF(IFERROR(VLOOKUP($C831,TABLE_CYCLE,2,0),3)=2,5,8),"Complet","Incomplet"))))))))</f>
        <v/>
      </c>
      <c r="S831" s="24"/>
      <c r="T831" s="67" t="str">
        <f t="shared" si="109"/>
        <v/>
      </c>
      <c r="U831" s="67" t="str">
        <f t="shared" si="110"/>
        <v/>
      </c>
      <c r="V831" s="67" t="str">
        <f t="shared" si="111"/>
        <v/>
      </c>
      <c r="W831" s="67" t="str">
        <f t="shared" si="112"/>
        <v/>
      </c>
      <c r="X831" s="67" t="str">
        <f t="shared" si="113"/>
        <v/>
      </c>
      <c r="Y831" s="24" t="str">
        <f t="shared" si="114"/>
        <v/>
      </c>
      <c r="Z831">
        <f t="shared" si="115"/>
        <v>0</v>
      </c>
      <c r="AA831">
        <f t="shared" si="116"/>
        <v>0</v>
      </c>
    </row>
    <row r="832" spans="2:27" ht="15.75" customHeight="1" x14ac:dyDescent="0.3">
      <c r="B832" s="25"/>
      <c r="C832" s="25"/>
      <c r="D832" s="25"/>
      <c r="E832" s="26" t="str">
        <f t="shared" si="108"/>
        <v/>
      </c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3" t="str">
        <f>IF($F832="","",IF(OR($B832="",$C832="",$D832=""),"⚠ Compléter Année/Niveau/Session",IF(AND($E832&lt;&gt;"",COUNTIF(D_KEY_DOUBLON,$B832&amp;"|"&amp;$D832&amp;"|"&amp;$E832)&gt;1),"⚠ Doublon",IF(AND($E832&lt;&gt;"",COUNTIF(D_KEY_STATUT,$B832&amp;"|"&amp;$E832&amp;"|P")&gt;0,COUNTIF(D_KEY_STATUT,$B832&amp;"|"&amp;$E832&amp;"|A")&gt;0),"⚠ Statut incohérent",IF(AND($D832="S1",$Y832&lt;&gt;"Parti",COUNTIF(ANNEES_VERROU,$B832)&gt;0,COUNTIF(D_KEY_NIVSES,$B832&amp;"|"&amp;$C832&amp;"|S2")&gt;0,COUNTIF(D_KEY_DOUBLON,$B832&amp;"|S2|"&amp;$E832)=0),"⚠ Départ non confirmé ?",IF(AND($C832&lt;&gt;"",ISNUMBER($I832),OR(VALUE(LEFT($B832,4))-$I832&lt;4+IFERROR(MATCH($C832,LISTE_NIVEAUX,0),99),VALUE(LEFT($B832,4))-$I832&gt;6+IFERROR(MATCH($C832,LISTE_NIVEAUX,0),99))),"⚠ Vérifier niveau",IF(AND(IFERROR(VLOOKUP($C832,TABLE_CYCLE,2,0),3)=2,COUNT($O832:$Q832)&gt;0),"⚠ Tests cycle 3",IF(COUNT($J832:$Q832)&gt;=IF(IFERROR(VLOOKUP($C832,TABLE_CYCLE,2,0),3)=2,5,8),"Complet","Incomplet"))))))))</f>
        <v/>
      </c>
      <c r="S832" s="24"/>
      <c r="T832" s="67" t="str">
        <f t="shared" si="109"/>
        <v/>
      </c>
      <c r="U832" s="67" t="str">
        <f t="shared" si="110"/>
        <v/>
      </c>
      <c r="V832" s="67" t="str">
        <f t="shared" si="111"/>
        <v/>
      </c>
      <c r="W832" s="67" t="str">
        <f t="shared" si="112"/>
        <v/>
      </c>
      <c r="X832" s="67" t="str">
        <f t="shared" si="113"/>
        <v/>
      </c>
      <c r="Y832" s="24" t="str">
        <f t="shared" si="114"/>
        <v/>
      </c>
      <c r="Z832">
        <f t="shared" si="115"/>
        <v>0</v>
      </c>
      <c r="AA832">
        <f t="shared" si="116"/>
        <v>0</v>
      </c>
    </row>
    <row r="833" spans="2:27" ht="15.75" customHeight="1" x14ac:dyDescent="0.3">
      <c r="B833" s="21"/>
      <c r="C833" s="21"/>
      <c r="D833" s="21"/>
      <c r="E833" s="22" t="str">
        <f t="shared" si="108"/>
        <v/>
      </c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3" t="str">
        <f>IF($F833="","",IF(OR($B833="",$C833="",$D833=""),"⚠ Compléter Année/Niveau/Session",IF(AND($E833&lt;&gt;"",COUNTIF(D_KEY_DOUBLON,$B833&amp;"|"&amp;$D833&amp;"|"&amp;$E833)&gt;1),"⚠ Doublon",IF(AND($E833&lt;&gt;"",COUNTIF(D_KEY_STATUT,$B833&amp;"|"&amp;$E833&amp;"|P")&gt;0,COUNTIF(D_KEY_STATUT,$B833&amp;"|"&amp;$E833&amp;"|A")&gt;0),"⚠ Statut incohérent",IF(AND($D833="S1",$Y833&lt;&gt;"Parti",COUNTIF(ANNEES_VERROU,$B833)&gt;0,COUNTIF(D_KEY_NIVSES,$B833&amp;"|"&amp;$C833&amp;"|S2")&gt;0,COUNTIF(D_KEY_DOUBLON,$B833&amp;"|S2|"&amp;$E833)=0),"⚠ Départ non confirmé ?",IF(AND($C833&lt;&gt;"",ISNUMBER($I833),OR(VALUE(LEFT($B833,4))-$I833&lt;4+IFERROR(MATCH($C833,LISTE_NIVEAUX,0),99),VALUE(LEFT($B833,4))-$I833&gt;6+IFERROR(MATCH($C833,LISTE_NIVEAUX,0),99))),"⚠ Vérifier niveau",IF(AND(IFERROR(VLOOKUP($C833,TABLE_CYCLE,2,0),3)=2,COUNT($O833:$Q833)&gt;0),"⚠ Tests cycle 3",IF(COUNT($J833:$Q833)&gt;=IF(IFERROR(VLOOKUP($C833,TABLE_CYCLE,2,0),3)=2,5,8),"Complet","Incomplet"))))))))</f>
        <v/>
      </c>
      <c r="S833" s="24"/>
      <c r="T833" s="67" t="str">
        <f t="shared" si="109"/>
        <v/>
      </c>
      <c r="U833" s="67" t="str">
        <f t="shared" si="110"/>
        <v/>
      </c>
      <c r="V833" s="67" t="str">
        <f t="shared" si="111"/>
        <v/>
      </c>
      <c r="W833" s="67" t="str">
        <f t="shared" si="112"/>
        <v/>
      </c>
      <c r="X833" s="67" t="str">
        <f t="shared" si="113"/>
        <v/>
      </c>
      <c r="Y833" s="24" t="str">
        <f t="shared" si="114"/>
        <v/>
      </c>
      <c r="Z833">
        <f t="shared" si="115"/>
        <v>0</v>
      </c>
      <c r="AA833">
        <f t="shared" si="116"/>
        <v>0</v>
      </c>
    </row>
    <row r="834" spans="2:27" ht="15.75" customHeight="1" x14ac:dyDescent="0.3">
      <c r="B834" s="25"/>
      <c r="C834" s="25"/>
      <c r="D834" s="25"/>
      <c r="E834" s="26" t="str">
        <f t="shared" si="108"/>
        <v/>
      </c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3" t="str">
        <f>IF($F834="","",IF(OR($B834="",$C834="",$D834=""),"⚠ Compléter Année/Niveau/Session",IF(AND($E834&lt;&gt;"",COUNTIF(D_KEY_DOUBLON,$B834&amp;"|"&amp;$D834&amp;"|"&amp;$E834)&gt;1),"⚠ Doublon",IF(AND($E834&lt;&gt;"",COUNTIF(D_KEY_STATUT,$B834&amp;"|"&amp;$E834&amp;"|P")&gt;0,COUNTIF(D_KEY_STATUT,$B834&amp;"|"&amp;$E834&amp;"|A")&gt;0),"⚠ Statut incohérent",IF(AND($D834="S1",$Y834&lt;&gt;"Parti",COUNTIF(ANNEES_VERROU,$B834)&gt;0,COUNTIF(D_KEY_NIVSES,$B834&amp;"|"&amp;$C834&amp;"|S2")&gt;0,COUNTIF(D_KEY_DOUBLON,$B834&amp;"|S2|"&amp;$E834)=0),"⚠ Départ non confirmé ?",IF(AND($C834&lt;&gt;"",ISNUMBER($I834),OR(VALUE(LEFT($B834,4))-$I834&lt;4+IFERROR(MATCH($C834,LISTE_NIVEAUX,0),99),VALUE(LEFT($B834,4))-$I834&gt;6+IFERROR(MATCH($C834,LISTE_NIVEAUX,0),99))),"⚠ Vérifier niveau",IF(AND(IFERROR(VLOOKUP($C834,TABLE_CYCLE,2,0),3)=2,COUNT($O834:$Q834)&gt;0),"⚠ Tests cycle 3",IF(COUNT($J834:$Q834)&gt;=IF(IFERROR(VLOOKUP($C834,TABLE_CYCLE,2,0),3)=2,5,8),"Complet","Incomplet"))))))))</f>
        <v/>
      </c>
      <c r="S834" s="24"/>
      <c r="T834" s="67" t="str">
        <f t="shared" si="109"/>
        <v/>
      </c>
      <c r="U834" s="67" t="str">
        <f t="shared" si="110"/>
        <v/>
      </c>
      <c r="V834" s="67" t="str">
        <f t="shared" si="111"/>
        <v/>
      </c>
      <c r="W834" s="67" t="str">
        <f t="shared" si="112"/>
        <v/>
      </c>
      <c r="X834" s="67" t="str">
        <f t="shared" si="113"/>
        <v/>
      </c>
      <c r="Y834" s="24" t="str">
        <f t="shared" si="114"/>
        <v/>
      </c>
      <c r="Z834">
        <f t="shared" si="115"/>
        <v>0</v>
      </c>
      <c r="AA834">
        <f t="shared" si="116"/>
        <v>0</v>
      </c>
    </row>
    <row r="835" spans="2:27" ht="15.75" customHeight="1" x14ac:dyDescent="0.3">
      <c r="B835" s="21"/>
      <c r="C835" s="21"/>
      <c r="D835" s="21"/>
      <c r="E835" s="22" t="str">
        <f t="shared" si="108"/>
        <v/>
      </c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3" t="str">
        <f>IF($F835="","",IF(OR($B835="",$C835="",$D835=""),"⚠ Compléter Année/Niveau/Session",IF(AND($E835&lt;&gt;"",COUNTIF(D_KEY_DOUBLON,$B835&amp;"|"&amp;$D835&amp;"|"&amp;$E835)&gt;1),"⚠ Doublon",IF(AND($E835&lt;&gt;"",COUNTIF(D_KEY_STATUT,$B835&amp;"|"&amp;$E835&amp;"|P")&gt;0,COUNTIF(D_KEY_STATUT,$B835&amp;"|"&amp;$E835&amp;"|A")&gt;0),"⚠ Statut incohérent",IF(AND($D835="S1",$Y835&lt;&gt;"Parti",COUNTIF(ANNEES_VERROU,$B835)&gt;0,COUNTIF(D_KEY_NIVSES,$B835&amp;"|"&amp;$C835&amp;"|S2")&gt;0,COUNTIF(D_KEY_DOUBLON,$B835&amp;"|S2|"&amp;$E835)=0),"⚠ Départ non confirmé ?",IF(AND($C835&lt;&gt;"",ISNUMBER($I835),OR(VALUE(LEFT($B835,4))-$I835&lt;4+IFERROR(MATCH($C835,LISTE_NIVEAUX,0),99),VALUE(LEFT($B835,4))-$I835&gt;6+IFERROR(MATCH($C835,LISTE_NIVEAUX,0),99))),"⚠ Vérifier niveau",IF(AND(IFERROR(VLOOKUP($C835,TABLE_CYCLE,2,0),3)=2,COUNT($O835:$Q835)&gt;0),"⚠ Tests cycle 3",IF(COUNT($J835:$Q835)&gt;=IF(IFERROR(VLOOKUP($C835,TABLE_CYCLE,2,0),3)=2,5,8),"Complet","Incomplet"))))))))</f>
        <v/>
      </c>
      <c r="S835" s="24"/>
      <c r="T835" s="67" t="str">
        <f t="shared" si="109"/>
        <v/>
      </c>
      <c r="U835" s="67" t="str">
        <f t="shared" si="110"/>
        <v/>
      </c>
      <c r="V835" s="67" t="str">
        <f t="shared" si="111"/>
        <v/>
      </c>
      <c r="W835" s="67" t="str">
        <f t="shared" si="112"/>
        <v/>
      </c>
      <c r="X835" s="67" t="str">
        <f t="shared" si="113"/>
        <v/>
      </c>
      <c r="Y835" s="24" t="str">
        <f t="shared" si="114"/>
        <v/>
      </c>
      <c r="Z835">
        <f t="shared" si="115"/>
        <v>0</v>
      </c>
      <c r="AA835">
        <f t="shared" si="116"/>
        <v>0</v>
      </c>
    </row>
    <row r="836" spans="2:27" ht="15.75" customHeight="1" x14ac:dyDescent="0.3">
      <c r="B836" s="25"/>
      <c r="C836" s="25"/>
      <c r="D836" s="25"/>
      <c r="E836" s="26" t="str">
        <f t="shared" si="108"/>
        <v/>
      </c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3" t="str">
        <f>IF($F836="","",IF(OR($B836="",$C836="",$D836=""),"⚠ Compléter Année/Niveau/Session",IF(AND($E836&lt;&gt;"",COUNTIF(D_KEY_DOUBLON,$B836&amp;"|"&amp;$D836&amp;"|"&amp;$E836)&gt;1),"⚠ Doublon",IF(AND($E836&lt;&gt;"",COUNTIF(D_KEY_STATUT,$B836&amp;"|"&amp;$E836&amp;"|P")&gt;0,COUNTIF(D_KEY_STATUT,$B836&amp;"|"&amp;$E836&amp;"|A")&gt;0),"⚠ Statut incohérent",IF(AND($D836="S1",$Y836&lt;&gt;"Parti",COUNTIF(ANNEES_VERROU,$B836)&gt;0,COUNTIF(D_KEY_NIVSES,$B836&amp;"|"&amp;$C836&amp;"|S2")&gt;0,COUNTIF(D_KEY_DOUBLON,$B836&amp;"|S2|"&amp;$E836)=0),"⚠ Départ non confirmé ?",IF(AND($C836&lt;&gt;"",ISNUMBER($I836),OR(VALUE(LEFT($B836,4))-$I836&lt;4+IFERROR(MATCH($C836,LISTE_NIVEAUX,0),99),VALUE(LEFT($B836,4))-$I836&gt;6+IFERROR(MATCH($C836,LISTE_NIVEAUX,0),99))),"⚠ Vérifier niveau",IF(AND(IFERROR(VLOOKUP($C836,TABLE_CYCLE,2,0),3)=2,COUNT($O836:$Q836)&gt;0),"⚠ Tests cycle 3",IF(COUNT($J836:$Q836)&gt;=IF(IFERROR(VLOOKUP($C836,TABLE_CYCLE,2,0),3)=2,5,8),"Complet","Incomplet"))))))))</f>
        <v/>
      </c>
      <c r="S836" s="24"/>
      <c r="T836" s="67" t="str">
        <f t="shared" si="109"/>
        <v/>
      </c>
      <c r="U836" s="67" t="str">
        <f t="shared" si="110"/>
        <v/>
      </c>
      <c r="V836" s="67" t="str">
        <f t="shared" si="111"/>
        <v/>
      </c>
      <c r="W836" s="67" t="str">
        <f t="shared" si="112"/>
        <v/>
      </c>
      <c r="X836" s="67" t="str">
        <f t="shared" si="113"/>
        <v/>
      </c>
      <c r="Y836" s="24" t="str">
        <f t="shared" si="114"/>
        <v/>
      </c>
      <c r="Z836">
        <f t="shared" si="115"/>
        <v>0</v>
      </c>
      <c r="AA836">
        <f t="shared" si="116"/>
        <v>0</v>
      </c>
    </row>
    <row r="837" spans="2:27" ht="15.75" customHeight="1" x14ac:dyDescent="0.3">
      <c r="B837" s="21"/>
      <c r="C837" s="21"/>
      <c r="D837" s="21"/>
      <c r="E837" s="22" t="str">
        <f t="shared" si="108"/>
        <v/>
      </c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3" t="str">
        <f>IF($F837="","",IF(OR($B837="",$C837="",$D837=""),"⚠ Compléter Année/Niveau/Session",IF(AND($E837&lt;&gt;"",COUNTIF(D_KEY_DOUBLON,$B837&amp;"|"&amp;$D837&amp;"|"&amp;$E837)&gt;1),"⚠ Doublon",IF(AND($E837&lt;&gt;"",COUNTIF(D_KEY_STATUT,$B837&amp;"|"&amp;$E837&amp;"|P")&gt;0,COUNTIF(D_KEY_STATUT,$B837&amp;"|"&amp;$E837&amp;"|A")&gt;0),"⚠ Statut incohérent",IF(AND($D837="S1",$Y837&lt;&gt;"Parti",COUNTIF(ANNEES_VERROU,$B837)&gt;0,COUNTIF(D_KEY_NIVSES,$B837&amp;"|"&amp;$C837&amp;"|S2")&gt;0,COUNTIF(D_KEY_DOUBLON,$B837&amp;"|S2|"&amp;$E837)=0),"⚠ Départ non confirmé ?",IF(AND($C837&lt;&gt;"",ISNUMBER($I837),OR(VALUE(LEFT($B837,4))-$I837&lt;4+IFERROR(MATCH($C837,LISTE_NIVEAUX,0),99),VALUE(LEFT($B837,4))-$I837&gt;6+IFERROR(MATCH($C837,LISTE_NIVEAUX,0),99))),"⚠ Vérifier niveau",IF(AND(IFERROR(VLOOKUP($C837,TABLE_CYCLE,2,0),3)=2,COUNT($O837:$Q837)&gt;0),"⚠ Tests cycle 3",IF(COUNT($J837:$Q837)&gt;=IF(IFERROR(VLOOKUP($C837,TABLE_CYCLE,2,0),3)=2,5,8),"Complet","Incomplet"))))))))</f>
        <v/>
      </c>
      <c r="S837" s="24"/>
      <c r="T837" s="67" t="str">
        <f t="shared" si="109"/>
        <v/>
      </c>
      <c r="U837" s="67" t="str">
        <f t="shared" si="110"/>
        <v/>
      </c>
      <c r="V837" s="67" t="str">
        <f t="shared" si="111"/>
        <v/>
      </c>
      <c r="W837" s="67" t="str">
        <f t="shared" si="112"/>
        <v/>
      </c>
      <c r="X837" s="67" t="str">
        <f t="shared" si="113"/>
        <v/>
      </c>
      <c r="Y837" s="24" t="str">
        <f t="shared" si="114"/>
        <v/>
      </c>
      <c r="Z837">
        <f t="shared" si="115"/>
        <v>0</v>
      </c>
      <c r="AA837">
        <f t="shared" si="116"/>
        <v>0</v>
      </c>
    </row>
    <row r="838" spans="2:27" ht="15.75" customHeight="1" x14ac:dyDescent="0.3">
      <c r="B838" s="25"/>
      <c r="C838" s="25"/>
      <c r="D838" s="25"/>
      <c r="E838" s="26" t="str">
        <f t="shared" si="108"/>
        <v/>
      </c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3" t="str">
        <f>IF($F838="","",IF(OR($B838="",$C838="",$D838=""),"⚠ Compléter Année/Niveau/Session",IF(AND($E838&lt;&gt;"",COUNTIF(D_KEY_DOUBLON,$B838&amp;"|"&amp;$D838&amp;"|"&amp;$E838)&gt;1),"⚠ Doublon",IF(AND($E838&lt;&gt;"",COUNTIF(D_KEY_STATUT,$B838&amp;"|"&amp;$E838&amp;"|P")&gt;0,COUNTIF(D_KEY_STATUT,$B838&amp;"|"&amp;$E838&amp;"|A")&gt;0),"⚠ Statut incohérent",IF(AND($D838="S1",$Y838&lt;&gt;"Parti",COUNTIF(ANNEES_VERROU,$B838)&gt;0,COUNTIF(D_KEY_NIVSES,$B838&amp;"|"&amp;$C838&amp;"|S2")&gt;0,COUNTIF(D_KEY_DOUBLON,$B838&amp;"|S2|"&amp;$E838)=0),"⚠ Départ non confirmé ?",IF(AND($C838&lt;&gt;"",ISNUMBER($I838),OR(VALUE(LEFT($B838,4))-$I838&lt;4+IFERROR(MATCH($C838,LISTE_NIVEAUX,0),99),VALUE(LEFT($B838,4))-$I838&gt;6+IFERROR(MATCH($C838,LISTE_NIVEAUX,0),99))),"⚠ Vérifier niveau",IF(AND(IFERROR(VLOOKUP($C838,TABLE_CYCLE,2,0),3)=2,COUNT($O838:$Q838)&gt;0),"⚠ Tests cycle 3",IF(COUNT($J838:$Q838)&gt;=IF(IFERROR(VLOOKUP($C838,TABLE_CYCLE,2,0),3)=2,5,8),"Complet","Incomplet"))))))))</f>
        <v/>
      </c>
      <c r="S838" s="24"/>
      <c r="T838" s="67" t="str">
        <f t="shared" si="109"/>
        <v/>
      </c>
      <c r="U838" s="67" t="str">
        <f t="shared" si="110"/>
        <v/>
      </c>
      <c r="V838" s="67" t="str">
        <f t="shared" si="111"/>
        <v/>
      </c>
      <c r="W838" s="67" t="str">
        <f t="shared" si="112"/>
        <v/>
      </c>
      <c r="X838" s="67" t="str">
        <f t="shared" si="113"/>
        <v/>
      </c>
      <c r="Y838" s="24" t="str">
        <f t="shared" si="114"/>
        <v/>
      </c>
      <c r="Z838">
        <f t="shared" si="115"/>
        <v>0</v>
      </c>
      <c r="AA838">
        <f t="shared" si="116"/>
        <v>0</v>
      </c>
    </row>
    <row r="839" spans="2:27" ht="15.75" customHeight="1" x14ac:dyDescent="0.3">
      <c r="B839" s="21"/>
      <c r="C839" s="21"/>
      <c r="D839" s="21"/>
      <c r="E839" s="22" t="str">
        <f t="shared" ref="E839:E902" si="117">IF(OR($F839="",$G839=""),"",IF(ISNUMBER($I839),TEXT($I839-2000,"00")&amp;"_","__")&amp;UPPER(TRIM($F839))&amp;"_"&amp;UPPER(TRIM($G839)))</f>
        <v/>
      </c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3" t="str">
        <f>IF($F839="","",IF(OR($B839="",$C839="",$D839=""),"⚠ Compléter Année/Niveau/Session",IF(AND($E839&lt;&gt;"",COUNTIF(D_KEY_DOUBLON,$B839&amp;"|"&amp;$D839&amp;"|"&amp;$E839)&gt;1),"⚠ Doublon",IF(AND($E839&lt;&gt;"",COUNTIF(D_KEY_STATUT,$B839&amp;"|"&amp;$E839&amp;"|P")&gt;0,COUNTIF(D_KEY_STATUT,$B839&amp;"|"&amp;$E839&amp;"|A")&gt;0),"⚠ Statut incohérent",IF(AND($D839="S1",$Y839&lt;&gt;"Parti",COUNTIF(ANNEES_VERROU,$B839)&gt;0,COUNTIF(D_KEY_NIVSES,$B839&amp;"|"&amp;$C839&amp;"|S2")&gt;0,COUNTIF(D_KEY_DOUBLON,$B839&amp;"|S2|"&amp;$E839)=0),"⚠ Départ non confirmé ?",IF(AND($C839&lt;&gt;"",ISNUMBER($I839),OR(VALUE(LEFT($B839,4))-$I839&lt;4+IFERROR(MATCH($C839,LISTE_NIVEAUX,0),99),VALUE(LEFT($B839,4))-$I839&gt;6+IFERROR(MATCH($C839,LISTE_NIVEAUX,0),99))),"⚠ Vérifier niveau",IF(AND(IFERROR(VLOOKUP($C839,TABLE_CYCLE,2,0),3)=2,COUNT($O839:$Q839)&gt;0),"⚠ Tests cycle 3",IF(COUNT($J839:$Q839)&gt;=IF(IFERROR(VLOOKUP($C839,TABLE_CYCLE,2,0),3)=2,5,8),"Complet","Incomplet"))))))))</f>
        <v/>
      </c>
      <c r="S839" s="24"/>
      <c r="T839" s="67" t="str">
        <f t="shared" ref="T839:T902" si="118">IFERROR(INDEX(D_NOM,MATCH(ROW()-6,D_RANG_RECUP,0)),"")</f>
        <v/>
      </c>
      <c r="U839" s="67" t="str">
        <f t="shared" ref="U839:U902" si="119">IFERROR(INDEX(D_PRENOM,MATCH(ROW()-6,D_RANG_RECUP,0)),"")</f>
        <v/>
      </c>
      <c r="V839" s="67" t="str">
        <f t="shared" ref="V839:V902" si="120">IFERROR(INDEX(D_SEXE,MATCH(ROW()-6,D_RANG_RECUP,0)),"")</f>
        <v/>
      </c>
      <c r="W839" s="67" t="str">
        <f t="shared" ref="W839:W902" si="121">IFERROR(INDEX(D_NAISS,MATCH(ROW()-6,D_RANG_RECUP,0)),"")</f>
        <v/>
      </c>
      <c r="X839" s="67" t="str">
        <f t="shared" ref="X839:X902" si="122">IF($T839="","",IF($X$4="→ Session 2 (même année)",$W$4,IFERROR(INDEX(LISTE_NIVEAUX,MATCH($W$4,LISTE_NIVEAUX,0)+1),"CM2 terminé")))</f>
        <v/>
      </c>
      <c r="Y839" s="24" t="str">
        <f t="shared" ref="Y839:Y902" si="123">IF($S839="","",$S839)</f>
        <v/>
      </c>
      <c r="Z839">
        <f t="shared" ref="Z839:Z902" si="124">SUBTOTAL(103,$F839)*($R839="Complet")</f>
        <v>0</v>
      </c>
      <c r="AA839">
        <f t="shared" ref="AA839:AA902" si="125">IF(OR($F839="",$C839=""),0,IF(COUNTIFS($B$7:$B$1206,$B839,$F$7:$F$1206,$F839,$G$7:$G$1206,$G839,$I$7:$I$1206,$I839,$C$7:$C$1206,"&lt;&gt;"&amp;$C839)&gt;0,1,0))</f>
        <v>0</v>
      </c>
    </row>
    <row r="840" spans="2:27" ht="15.75" customHeight="1" x14ac:dyDescent="0.3">
      <c r="B840" s="25"/>
      <c r="C840" s="25"/>
      <c r="D840" s="25"/>
      <c r="E840" s="26" t="str">
        <f t="shared" si="117"/>
        <v/>
      </c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3" t="str">
        <f>IF($F840="","",IF(OR($B840="",$C840="",$D840=""),"⚠ Compléter Année/Niveau/Session",IF(AND($E840&lt;&gt;"",COUNTIF(D_KEY_DOUBLON,$B840&amp;"|"&amp;$D840&amp;"|"&amp;$E840)&gt;1),"⚠ Doublon",IF(AND($E840&lt;&gt;"",COUNTIF(D_KEY_STATUT,$B840&amp;"|"&amp;$E840&amp;"|P")&gt;0,COUNTIF(D_KEY_STATUT,$B840&amp;"|"&amp;$E840&amp;"|A")&gt;0),"⚠ Statut incohérent",IF(AND($D840="S1",$Y840&lt;&gt;"Parti",COUNTIF(ANNEES_VERROU,$B840)&gt;0,COUNTIF(D_KEY_NIVSES,$B840&amp;"|"&amp;$C840&amp;"|S2")&gt;0,COUNTIF(D_KEY_DOUBLON,$B840&amp;"|S2|"&amp;$E840)=0),"⚠ Départ non confirmé ?",IF(AND($C840&lt;&gt;"",ISNUMBER($I840),OR(VALUE(LEFT($B840,4))-$I840&lt;4+IFERROR(MATCH($C840,LISTE_NIVEAUX,0),99),VALUE(LEFT($B840,4))-$I840&gt;6+IFERROR(MATCH($C840,LISTE_NIVEAUX,0),99))),"⚠ Vérifier niveau",IF(AND(IFERROR(VLOOKUP($C840,TABLE_CYCLE,2,0),3)=2,COUNT($O840:$Q840)&gt;0),"⚠ Tests cycle 3",IF(COUNT($J840:$Q840)&gt;=IF(IFERROR(VLOOKUP($C840,TABLE_CYCLE,2,0),3)=2,5,8),"Complet","Incomplet"))))))))</f>
        <v/>
      </c>
      <c r="S840" s="24"/>
      <c r="T840" s="67" t="str">
        <f t="shared" si="118"/>
        <v/>
      </c>
      <c r="U840" s="67" t="str">
        <f t="shared" si="119"/>
        <v/>
      </c>
      <c r="V840" s="67" t="str">
        <f t="shared" si="120"/>
        <v/>
      </c>
      <c r="W840" s="67" t="str">
        <f t="shared" si="121"/>
        <v/>
      </c>
      <c r="X840" s="67" t="str">
        <f t="shared" si="122"/>
        <v/>
      </c>
      <c r="Y840" s="24" t="str">
        <f t="shared" si="123"/>
        <v/>
      </c>
      <c r="Z840">
        <f t="shared" si="124"/>
        <v>0</v>
      </c>
      <c r="AA840">
        <f t="shared" si="125"/>
        <v>0</v>
      </c>
    </row>
    <row r="841" spans="2:27" ht="15.75" customHeight="1" x14ac:dyDescent="0.3">
      <c r="B841" s="21"/>
      <c r="C841" s="21"/>
      <c r="D841" s="21"/>
      <c r="E841" s="22" t="str">
        <f t="shared" si="117"/>
        <v/>
      </c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3" t="str">
        <f>IF($F841="","",IF(OR($B841="",$C841="",$D841=""),"⚠ Compléter Année/Niveau/Session",IF(AND($E841&lt;&gt;"",COUNTIF(D_KEY_DOUBLON,$B841&amp;"|"&amp;$D841&amp;"|"&amp;$E841)&gt;1),"⚠ Doublon",IF(AND($E841&lt;&gt;"",COUNTIF(D_KEY_STATUT,$B841&amp;"|"&amp;$E841&amp;"|P")&gt;0,COUNTIF(D_KEY_STATUT,$B841&amp;"|"&amp;$E841&amp;"|A")&gt;0),"⚠ Statut incohérent",IF(AND($D841="S1",$Y841&lt;&gt;"Parti",COUNTIF(ANNEES_VERROU,$B841)&gt;0,COUNTIF(D_KEY_NIVSES,$B841&amp;"|"&amp;$C841&amp;"|S2")&gt;0,COUNTIF(D_KEY_DOUBLON,$B841&amp;"|S2|"&amp;$E841)=0),"⚠ Départ non confirmé ?",IF(AND($C841&lt;&gt;"",ISNUMBER($I841),OR(VALUE(LEFT($B841,4))-$I841&lt;4+IFERROR(MATCH($C841,LISTE_NIVEAUX,0),99),VALUE(LEFT($B841,4))-$I841&gt;6+IFERROR(MATCH($C841,LISTE_NIVEAUX,0),99))),"⚠ Vérifier niveau",IF(AND(IFERROR(VLOOKUP($C841,TABLE_CYCLE,2,0),3)=2,COUNT($O841:$Q841)&gt;0),"⚠ Tests cycle 3",IF(COUNT($J841:$Q841)&gt;=IF(IFERROR(VLOOKUP($C841,TABLE_CYCLE,2,0),3)=2,5,8),"Complet","Incomplet"))))))))</f>
        <v/>
      </c>
      <c r="S841" s="24"/>
      <c r="T841" s="67" t="str">
        <f t="shared" si="118"/>
        <v/>
      </c>
      <c r="U841" s="67" t="str">
        <f t="shared" si="119"/>
        <v/>
      </c>
      <c r="V841" s="67" t="str">
        <f t="shared" si="120"/>
        <v/>
      </c>
      <c r="W841" s="67" t="str">
        <f t="shared" si="121"/>
        <v/>
      </c>
      <c r="X841" s="67" t="str">
        <f t="shared" si="122"/>
        <v/>
      </c>
      <c r="Y841" s="24" t="str">
        <f t="shared" si="123"/>
        <v/>
      </c>
      <c r="Z841">
        <f t="shared" si="124"/>
        <v>0</v>
      </c>
      <c r="AA841">
        <f t="shared" si="125"/>
        <v>0</v>
      </c>
    </row>
    <row r="842" spans="2:27" ht="15.75" customHeight="1" x14ac:dyDescent="0.3">
      <c r="B842" s="25"/>
      <c r="C842" s="25"/>
      <c r="D842" s="25"/>
      <c r="E842" s="26" t="str">
        <f t="shared" si="117"/>
        <v/>
      </c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3" t="str">
        <f>IF($F842="","",IF(OR($B842="",$C842="",$D842=""),"⚠ Compléter Année/Niveau/Session",IF(AND($E842&lt;&gt;"",COUNTIF(D_KEY_DOUBLON,$B842&amp;"|"&amp;$D842&amp;"|"&amp;$E842)&gt;1),"⚠ Doublon",IF(AND($E842&lt;&gt;"",COUNTIF(D_KEY_STATUT,$B842&amp;"|"&amp;$E842&amp;"|P")&gt;0,COUNTIF(D_KEY_STATUT,$B842&amp;"|"&amp;$E842&amp;"|A")&gt;0),"⚠ Statut incohérent",IF(AND($D842="S1",$Y842&lt;&gt;"Parti",COUNTIF(ANNEES_VERROU,$B842)&gt;0,COUNTIF(D_KEY_NIVSES,$B842&amp;"|"&amp;$C842&amp;"|S2")&gt;0,COUNTIF(D_KEY_DOUBLON,$B842&amp;"|S2|"&amp;$E842)=0),"⚠ Départ non confirmé ?",IF(AND($C842&lt;&gt;"",ISNUMBER($I842),OR(VALUE(LEFT($B842,4))-$I842&lt;4+IFERROR(MATCH($C842,LISTE_NIVEAUX,0),99),VALUE(LEFT($B842,4))-$I842&gt;6+IFERROR(MATCH($C842,LISTE_NIVEAUX,0),99))),"⚠ Vérifier niveau",IF(AND(IFERROR(VLOOKUP($C842,TABLE_CYCLE,2,0),3)=2,COUNT($O842:$Q842)&gt;0),"⚠ Tests cycle 3",IF(COUNT($J842:$Q842)&gt;=IF(IFERROR(VLOOKUP($C842,TABLE_CYCLE,2,0),3)=2,5,8),"Complet","Incomplet"))))))))</f>
        <v/>
      </c>
      <c r="S842" s="24"/>
      <c r="T842" s="67" t="str">
        <f t="shared" si="118"/>
        <v/>
      </c>
      <c r="U842" s="67" t="str">
        <f t="shared" si="119"/>
        <v/>
      </c>
      <c r="V842" s="67" t="str">
        <f t="shared" si="120"/>
        <v/>
      </c>
      <c r="W842" s="67" t="str">
        <f t="shared" si="121"/>
        <v/>
      </c>
      <c r="X842" s="67" t="str">
        <f t="shared" si="122"/>
        <v/>
      </c>
      <c r="Y842" s="24" t="str">
        <f t="shared" si="123"/>
        <v/>
      </c>
      <c r="Z842">
        <f t="shared" si="124"/>
        <v>0</v>
      </c>
      <c r="AA842">
        <f t="shared" si="125"/>
        <v>0</v>
      </c>
    </row>
    <row r="843" spans="2:27" ht="15.75" customHeight="1" x14ac:dyDescent="0.3">
      <c r="B843" s="21"/>
      <c r="C843" s="21"/>
      <c r="D843" s="21"/>
      <c r="E843" s="22" t="str">
        <f t="shared" si="117"/>
        <v/>
      </c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3" t="str">
        <f>IF($F843="","",IF(OR($B843="",$C843="",$D843=""),"⚠ Compléter Année/Niveau/Session",IF(AND($E843&lt;&gt;"",COUNTIF(D_KEY_DOUBLON,$B843&amp;"|"&amp;$D843&amp;"|"&amp;$E843)&gt;1),"⚠ Doublon",IF(AND($E843&lt;&gt;"",COUNTIF(D_KEY_STATUT,$B843&amp;"|"&amp;$E843&amp;"|P")&gt;0,COUNTIF(D_KEY_STATUT,$B843&amp;"|"&amp;$E843&amp;"|A")&gt;0),"⚠ Statut incohérent",IF(AND($D843="S1",$Y843&lt;&gt;"Parti",COUNTIF(ANNEES_VERROU,$B843)&gt;0,COUNTIF(D_KEY_NIVSES,$B843&amp;"|"&amp;$C843&amp;"|S2")&gt;0,COUNTIF(D_KEY_DOUBLON,$B843&amp;"|S2|"&amp;$E843)=0),"⚠ Départ non confirmé ?",IF(AND($C843&lt;&gt;"",ISNUMBER($I843),OR(VALUE(LEFT($B843,4))-$I843&lt;4+IFERROR(MATCH($C843,LISTE_NIVEAUX,0),99),VALUE(LEFT($B843,4))-$I843&gt;6+IFERROR(MATCH($C843,LISTE_NIVEAUX,0),99))),"⚠ Vérifier niveau",IF(AND(IFERROR(VLOOKUP($C843,TABLE_CYCLE,2,0),3)=2,COUNT($O843:$Q843)&gt;0),"⚠ Tests cycle 3",IF(COUNT($J843:$Q843)&gt;=IF(IFERROR(VLOOKUP($C843,TABLE_CYCLE,2,0),3)=2,5,8),"Complet","Incomplet"))))))))</f>
        <v/>
      </c>
      <c r="S843" s="24"/>
      <c r="T843" s="67" t="str">
        <f t="shared" si="118"/>
        <v/>
      </c>
      <c r="U843" s="67" t="str">
        <f t="shared" si="119"/>
        <v/>
      </c>
      <c r="V843" s="67" t="str">
        <f t="shared" si="120"/>
        <v/>
      </c>
      <c r="W843" s="67" t="str">
        <f t="shared" si="121"/>
        <v/>
      </c>
      <c r="X843" s="67" t="str">
        <f t="shared" si="122"/>
        <v/>
      </c>
      <c r="Y843" s="24" t="str">
        <f t="shared" si="123"/>
        <v/>
      </c>
      <c r="Z843">
        <f t="shared" si="124"/>
        <v>0</v>
      </c>
      <c r="AA843">
        <f t="shared" si="125"/>
        <v>0</v>
      </c>
    </row>
    <row r="844" spans="2:27" ht="15.75" customHeight="1" x14ac:dyDescent="0.3">
      <c r="B844" s="25"/>
      <c r="C844" s="25"/>
      <c r="D844" s="25"/>
      <c r="E844" s="26" t="str">
        <f t="shared" si="117"/>
        <v/>
      </c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3" t="str">
        <f>IF($F844="","",IF(OR($B844="",$C844="",$D844=""),"⚠ Compléter Année/Niveau/Session",IF(AND($E844&lt;&gt;"",COUNTIF(D_KEY_DOUBLON,$B844&amp;"|"&amp;$D844&amp;"|"&amp;$E844)&gt;1),"⚠ Doublon",IF(AND($E844&lt;&gt;"",COUNTIF(D_KEY_STATUT,$B844&amp;"|"&amp;$E844&amp;"|P")&gt;0,COUNTIF(D_KEY_STATUT,$B844&amp;"|"&amp;$E844&amp;"|A")&gt;0),"⚠ Statut incohérent",IF(AND($D844="S1",$Y844&lt;&gt;"Parti",COUNTIF(ANNEES_VERROU,$B844)&gt;0,COUNTIF(D_KEY_NIVSES,$B844&amp;"|"&amp;$C844&amp;"|S2")&gt;0,COUNTIF(D_KEY_DOUBLON,$B844&amp;"|S2|"&amp;$E844)=0),"⚠ Départ non confirmé ?",IF(AND($C844&lt;&gt;"",ISNUMBER($I844),OR(VALUE(LEFT($B844,4))-$I844&lt;4+IFERROR(MATCH($C844,LISTE_NIVEAUX,0),99),VALUE(LEFT($B844,4))-$I844&gt;6+IFERROR(MATCH($C844,LISTE_NIVEAUX,0),99))),"⚠ Vérifier niveau",IF(AND(IFERROR(VLOOKUP($C844,TABLE_CYCLE,2,0),3)=2,COUNT($O844:$Q844)&gt;0),"⚠ Tests cycle 3",IF(COUNT($J844:$Q844)&gt;=IF(IFERROR(VLOOKUP($C844,TABLE_CYCLE,2,0),3)=2,5,8),"Complet","Incomplet"))))))))</f>
        <v/>
      </c>
      <c r="S844" s="24"/>
      <c r="T844" s="67" t="str">
        <f t="shared" si="118"/>
        <v/>
      </c>
      <c r="U844" s="67" t="str">
        <f t="shared" si="119"/>
        <v/>
      </c>
      <c r="V844" s="67" t="str">
        <f t="shared" si="120"/>
        <v/>
      </c>
      <c r="W844" s="67" t="str">
        <f t="shared" si="121"/>
        <v/>
      </c>
      <c r="X844" s="67" t="str">
        <f t="shared" si="122"/>
        <v/>
      </c>
      <c r="Y844" s="24" t="str">
        <f t="shared" si="123"/>
        <v/>
      </c>
      <c r="Z844">
        <f t="shared" si="124"/>
        <v>0</v>
      </c>
      <c r="AA844">
        <f t="shared" si="125"/>
        <v>0</v>
      </c>
    </row>
    <row r="845" spans="2:27" ht="15.75" customHeight="1" x14ac:dyDescent="0.3">
      <c r="B845" s="21"/>
      <c r="C845" s="21"/>
      <c r="D845" s="21"/>
      <c r="E845" s="22" t="str">
        <f t="shared" si="117"/>
        <v/>
      </c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3" t="str">
        <f>IF($F845="","",IF(OR($B845="",$C845="",$D845=""),"⚠ Compléter Année/Niveau/Session",IF(AND($E845&lt;&gt;"",COUNTIF(D_KEY_DOUBLON,$B845&amp;"|"&amp;$D845&amp;"|"&amp;$E845)&gt;1),"⚠ Doublon",IF(AND($E845&lt;&gt;"",COUNTIF(D_KEY_STATUT,$B845&amp;"|"&amp;$E845&amp;"|P")&gt;0,COUNTIF(D_KEY_STATUT,$B845&amp;"|"&amp;$E845&amp;"|A")&gt;0),"⚠ Statut incohérent",IF(AND($D845="S1",$Y845&lt;&gt;"Parti",COUNTIF(ANNEES_VERROU,$B845)&gt;0,COUNTIF(D_KEY_NIVSES,$B845&amp;"|"&amp;$C845&amp;"|S2")&gt;0,COUNTIF(D_KEY_DOUBLON,$B845&amp;"|S2|"&amp;$E845)=0),"⚠ Départ non confirmé ?",IF(AND($C845&lt;&gt;"",ISNUMBER($I845),OR(VALUE(LEFT($B845,4))-$I845&lt;4+IFERROR(MATCH($C845,LISTE_NIVEAUX,0),99),VALUE(LEFT($B845,4))-$I845&gt;6+IFERROR(MATCH($C845,LISTE_NIVEAUX,0),99))),"⚠ Vérifier niveau",IF(AND(IFERROR(VLOOKUP($C845,TABLE_CYCLE,2,0),3)=2,COUNT($O845:$Q845)&gt;0),"⚠ Tests cycle 3",IF(COUNT($J845:$Q845)&gt;=IF(IFERROR(VLOOKUP($C845,TABLE_CYCLE,2,0),3)=2,5,8),"Complet","Incomplet"))))))))</f>
        <v/>
      </c>
      <c r="S845" s="24"/>
      <c r="T845" s="67" t="str">
        <f t="shared" si="118"/>
        <v/>
      </c>
      <c r="U845" s="67" t="str">
        <f t="shared" si="119"/>
        <v/>
      </c>
      <c r="V845" s="67" t="str">
        <f t="shared" si="120"/>
        <v/>
      </c>
      <c r="W845" s="67" t="str">
        <f t="shared" si="121"/>
        <v/>
      </c>
      <c r="X845" s="67" t="str">
        <f t="shared" si="122"/>
        <v/>
      </c>
      <c r="Y845" s="24" t="str">
        <f t="shared" si="123"/>
        <v/>
      </c>
      <c r="Z845">
        <f t="shared" si="124"/>
        <v>0</v>
      </c>
      <c r="AA845">
        <f t="shared" si="125"/>
        <v>0</v>
      </c>
    </row>
    <row r="846" spans="2:27" ht="15.75" customHeight="1" x14ac:dyDescent="0.3">
      <c r="B846" s="25"/>
      <c r="C846" s="25"/>
      <c r="D846" s="25"/>
      <c r="E846" s="26" t="str">
        <f t="shared" si="117"/>
        <v/>
      </c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3" t="str">
        <f>IF($F846="","",IF(OR($B846="",$C846="",$D846=""),"⚠ Compléter Année/Niveau/Session",IF(AND($E846&lt;&gt;"",COUNTIF(D_KEY_DOUBLON,$B846&amp;"|"&amp;$D846&amp;"|"&amp;$E846)&gt;1),"⚠ Doublon",IF(AND($E846&lt;&gt;"",COUNTIF(D_KEY_STATUT,$B846&amp;"|"&amp;$E846&amp;"|P")&gt;0,COUNTIF(D_KEY_STATUT,$B846&amp;"|"&amp;$E846&amp;"|A")&gt;0),"⚠ Statut incohérent",IF(AND($D846="S1",$Y846&lt;&gt;"Parti",COUNTIF(ANNEES_VERROU,$B846)&gt;0,COUNTIF(D_KEY_NIVSES,$B846&amp;"|"&amp;$C846&amp;"|S2")&gt;0,COUNTIF(D_KEY_DOUBLON,$B846&amp;"|S2|"&amp;$E846)=0),"⚠ Départ non confirmé ?",IF(AND($C846&lt;&gt;"",ISNUMBER($I846),OR(VALUE(LEFT($B846,4))-$I846&lt;4+IFERROR(MATCH($C846,LISTE_NIVEAUX,0),99),VALUE(LEFT($B846,4))-$I846&gt;6+IFERROR(MATCH($C846,LISTE_NIVEAUX,0),99))),"⚠ Vérifier niveau",IF(AND(IFERROR(VLOOKUP($C846,TABLE_CYCLE,2,0),3)=2,COUNT($O846:$Q846)&gt;0),"⚠ Tests cycle 3",IF(COUNT($J846:$Q846)&gt;=IF(IFERROR(VLOOKUP($C846,TABLE_CYCLE,2,0),3)=2,5,8),"Complet","Incomplet"))))))))</f>
        <v/>
      </c>
      <c r="S846" s="24"/>
      <c r="T846" s="67" t="str">
        <f t="shared" si="118"/>
        <v/>
      </c>
      <c r="U846" s="67" t="str">
        <f t="shared" si="119"/>
        <v/>
      </c>
      <c r="V846" s="67" t="str">
        <f t="shared" si="120"/>
        <v/>
      </c>
      <c r="W846" s="67" t="str">
        <f t="shared" si="121"/>
        <v/>
      </c>
      <c r="X846" s="67" t="str">
        <f t="shared" si="122"/>
        <v/>
      </c>
      <c r="Y846" s="24" t="str">
        <f t="shared" si="123"/>
        <v/>
      </c>
      <c r="Z846">
        <f t="shared" si="124"/>
        <v>0</v>
      </c>
      <c r="AA846">
        <f t="shared" si="125"/>
        <v>0</v>
      </c>
    </row>
    <row r="847" spans="2:27" ht="15.75" customHeight="1" x14ac:dyDescent="0.3">
      <c r="B847" s="21"/>
      <c r="C847" s="21"/>
      <c r="D847" s="21"/>
      <c r="E847" s="22" t="str">
        <f t="shared" si="117"/>
        <v/>
      </c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3" t="str">
        <f>IF($F847="","",IF(OR($B847="",$C847="",$D847=""),"⚠ Compléter Année/Niveau/Session",IF(AND($E847&lt;&gt;"",COUNTIF(D_KEY_DOUBLON,$B847&amp;"|"&amp;$D847&amp;"|"&amp;$E847)&gt;1),"⚠ Doublon",IF(AND($E847&lt;&gt;"",COUNTIF(D_KEY_STATUT,$B847&amp;"|"&amp;$E847&amp;"|P")&gt;0,COUNTIF(D_KEY_STATUT,$B847&amp;"|"&amp;$E847&amp;"|A")&gt;0),"⚠ Statut incohérent",IF(AND($D847="S1",$Y847&lt;&gt;"Parti",COUNTIF(ANNEES_VERROU,$B847)&gt;0,COUNTIF(D_KEY_NIVSES,$B847&amp;"|"&amp;$C847&amp;"|S2")&gt;0,COUNTIF(D_KEY_DOUBLON,$B847&amp;"|S2|"&amp;$E847)=0),"⚠ Départ non confirmé ?",IF(AND($C847&lt;&gt;"",ISNUMBER($I847),OR(VALUE(LEFT($B847,4))-$I847&lt;4+IFERROR(MATCH($C847,LISTE_NIVEAUX,0),99),VALUE(LEFT($B847,4))-$I847&gt;6+IFERROR(MATCH($C847,LISTE_NIVEAUX,0),99))),"⚠ Vérifier niveau",IF(AND(IFERROR(VLOOKUP($C847,TABLE_CYCLE,2,0),3)=2,COUNT($O847:$Q847)&gt;0),"⚠ Tests cycle 3",IF(COUNT($J847:$Q847)&gt;=IF(IFERROR(VLOOKUP($C847,TABLE_CYCLE,2,0),3)=2,5,8),"Complet","Incomplet"))))))))</f>
        <v/>
      </c>
      <c r="S847" s="24"/>
      <c r="T847" s="67" t="str">
        <f t="shared" si="118"/>
        <v/>
      </c>
      <c r="U847" s="67" t="str">
        <f t="shared" si="119"/>
        <v/>
      </c>
      <c r="V847" s="67" t="str">
        <f t="shared" si="120"/>
        <v/>
      </c>
      <c r="W847" s="67" t="str">
        <f t="shared" si="121"/>
        <v/>
      </c>
      <c r="X847" s="67" t="str">
        <f t="shared" si="122"/>
        <v/>
      </c>
      <c r="Y847" s="24" t="str">
        <f t="shared" si="123"/>
        <v/>
      </c>
      <c r="Z847">
        <f t="shared" si="124"/>
        <v>0</v>
      </c>
      <c r="AA847">
        <f t="shared" si="125"/>
        <v>0</v>
      </c>
    </row>
    <row r="848" spans="2:27" ht="15.75" customHeight="1" x14ac:dyDescent="0.3">
      <c r="B848" s="25"/>
      <c r="C848" s="25"/>
      <c r="D848" s="25"/>
      <c r="E848" s="26" t="str">
        <f t="shared" si="117"/>
        <v/>
      </c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3" t="str">
        <f>IF($F848="","",IF(OR($B848="",$C848="",$D848=""),"⚠ Compléter Année/Niveau/Session",IF(AND($E848&lt;&gt;"",COUNTIF(D_KEY_DOUBLON,$B848&amp;"|"&amp;$D848&amp;"|"&amp;$E848)&gt;1),"⚠ Doublon",IF(AND($E848&lt;&gt;"",COUNTIF(D_KEY_STATUT,$B848&amp;"|"&amp;$E848&amp;"|P")&gt;0,COUNTIF(D_KEY_STATUT,$B848&amp;"|"&amp;$E848&amp;"|A")&gt;0),"⚠ Statut incohérent",IF(AND($D848="S1",$Y848&lt;&gt;"Parti",COUNTIF(ANNEES_VERROU,$B848)&gt;0,COUNTIF(D_KEY_NIVSES,$B848&amp;"|"&amp;$C848&amp;"|S2")&gt;0,COUNTIF(D_KEY_DOUBLON,$B848&amp;"|S2|"&amp;$E848)=0),"⚠ Départ non confirmé ?",IF(AND($C848&lt;&gt;"",ISNUMBER($I848),OR(VALUE(LEFT($B848,4))-$I848&lt;4+IFERROR(MATCH($C848,LISTE_NIVEAUX,0),99),VALUE(LEFT($B848,4))-$I848&gt;6+IFERROR(MATCH($C848,LISTE_NIVEAUX,0),99))),"⚠ Vérifier niveau",IF(AND(IFERROR(VLOOKUP($C848,TABLE_CYCLE,2,0),3)=2,COUNT($O848:$Q848)&gt;0),"⚠ Tests cycle 3",IF(COUNT($J848:$Q848)&gt;=IF(IFERROR(VLOOKUP($C848,TABLE_CYCLE,2,0),3)=2,5,8),"Complet","Incomplet"))))))))</f>
        <v/>
      </c>
      <c r="S848" s="24"/>
      <c r="T848" s="67" t="str">
        <f t="shared" si="118"/>
        <v/>
      </c>
      <c r="U848" s="67" t="str">
        <f t="shared" si="119"/>
        <v/>
      </c>
      <c r="V848" s="67" t="str">
        <f t="shared" si="120"/>
        <v/>
      </c>
      <c r="W848" s="67" t="str">
        <f t="shared" si="121"/>
        <v/>
      </c>
      <c r="X848" s="67" t="str">
        <f t="shared" si="122"/>
        <v/>
      </c>
      <c r="Y848" s="24" t="str">
        <f t="shared" si="123"/>
        <v/>
      </c>
      <c r="Z848">
        <f t="shared" si="124"/>
        <v>0</v>
      </c>
      <c r="AA848">
        <f t="shared" si="125"/>
        <v>0</v>
      </c>
    </row>
    <row r="849" spans="2:27" ht="15.75" customHeight="1" x14ac:dyDescent="0.3">
      <c r="B849" s="21"/>
      <c r="C849" s="21"/>
      <c r="D849" s="21"/>
      <c r="E849" s="22" t="str">
        <f t="shared" si="117"/>
        <v/>
      </c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3" t="str">
        <f>IF($F849="","",IF(OR($B849="",$C849="",$D849=""),"⚠ Compléter Année/Niveau/Session",IF(AND($E849&lt;&gt;"",COUNTIF(D_KEY_DOUBLON,$B849&amp;"|"&amp;$D849&amp;"|"&amp;$E849)&gt;1),"⚠ Doublon",IF(AND($E849&lt;&gt;"",COUNTIF(D_KEY_STATUT,$B849&amp;"|"&amp;$E849&amp;"|P")&gt;0,COUNTIF(D_KEY_STATUT,$B849&amp;"|"&amp;$E849&amp;"|A")&gt;0),"⚠ Statut incohérent",IF(AND($D849="S1",$Y849&lt;&gt;"Parti",COUNTIF(ANNEES_VERROU,$B849)&gt;0,COUNTIF(D_KEY_NIVSES,$B849&amp;"|"&amp;$C849&amp;"|S2")&gt;0,COUNTIF(D_KEY_DOUBLON,$B849&amp;"|S2|"&amp;$E849)=0),"⚠ Départ non confirmé ?",IF(AND($C849&lt;&gt;"",ISNUMBER($I849),OR(VALUE(LEFT($B849,4))-$I849&lt;4+IFERROR(MATCH($C849,LISTE_NIVEAUX,0),99),VALUE(LEFT($B849,4))-$I849&gt;6+IFERROR(MATCH($C849,LISTE_NIVEAUX,0),99))),"⚠ Vérifier niveau",IF(AND(IFERROR(VLOOKUP($C849,TABLE_CYCLE,2,0),3)=2,COUNT($O849:$Q849)&gt;0),"⚠ Tests cycle 3",IF(COUNT($J849:$Q849)&gt;=IF(IFERROR(VLOOKUP($C849,TABLE_CYCLE,2,0),3)=2,5,8),"Complet","Incomplet"))))))))</f>
        <v/>
      </c>
      <c r="S849" s="24"/>
      <c r="T849" s="67" t="str">
        <f t="shared" si="118"/>
        <v/>
      </c>
      <c r="U849" s="67" t="str">
        <f t="shared" si="119"/>
        <v/>
      </c>
      <c r="V849" s="67" t="str">
        <f t="shared" si="120"/>
        <v/>
      </c>
      <c r="W849" s="67" t="str">
        <f t="shared" si="121"/>
        <v/>
      </c>
      <c r="X849" s="67" t="str">
        <f t="shared" si="122"/>
        <v/>
      </c>
      <c r="Y849" s="24" t="str">
        <f t="shared" si="123"/>
        <v/>
      </c>
      <c r="Z849">
        <f t="shared" si="124"/>
        <v>0</v>
      </c>
      <c r="AA849">
        <f t="shared" si="125"/>
        <v>0</v>
      </c>
    </row>
    <row r="850" spans="2:27" ht="15.75" customHeight="1" x14ac:dyDescent="0.3">
      <c r="B850" s="25"/>
      <c r="C850" s="25"/>
      <c r="D850" s="25"/>
      <c r="E850" s="26" t="str">
        <f t="shared" si="117"/>
        <v/>
      </c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3" t="str">
        <f>IF($F850="","",IF(OR($B850="",$C850="",$D850=""),"⚠ Compléter Année/Niveau/Session",IF(AND($E850&lt;&gt;"",COUNTIF(D_KEY_DOUBLON,$B850&amp;"|"&amp;$D850&amp;"|"&amp;$E850)&gt;1),"⚠ Doublon",IF(AND($E850&lt;&gt;"",COUNTIF(D_KEY_STATUT,$B850&amp;"|"&amp;$E850&amp;"|P")&gt;0,COUNTIF(D_KEY_STATUT,$B850&amp;"|"&amp;$E850&amp;"|A")&gt;0),"⚠ Statut incohérent",IF(AND($D850="S1",$Y850&lt;&gt;"Parti",COUNTIF(ANNEES_VERROU,$B850)&gt;0,COUNTIF(D_KEY_NIVSES,$B850&amp;"|"&amp;$C850&amp;"|S2")&gt;0,COUNTIF(D_KEY_DOUBLON,$B850&amp;"|S2|"&amp;$E850)=0),"⚠ Départ non confirmé ?",IF(AND($C850&lt;&gt;"",ISNUMBER($I850),OR(VALUE(LEFT($B850,4))-$I850&lt;4+IFERROR(MATCH($C850,LISTE_NIVEAUX,0),99),VALUE(LEFT($B850,4))-$I850&gt;6+IFERROR(MATCH($C850,LISTE_NIVEAUX,0),99))),"⚠ Vérifier niveau",IF(AND(IFERROR(VLOOKUP($C850,TABLE_CYCLE,2,0),3)=2,COUNT($O850:$Q850)&gt;0),"⚠ Tests cycle 3",IF(COUNT($J850:$Q850)&gt;=IF(IFERROR(VLOOKUP($C850,TABLE_CYCLE,2,0),3)=2,5,8),"Complet","Incomplet"))))))))</f>
        <v/>
      </c>
      <c r="S850" s="24"/>
      <c r="T850" s="67" t="str">
        <f t="shared" si="118"/>
        <v/>
      </c>
      <c r="U850" s="67" t="str">
        <f t="shared" si="119"/>
        <v/>
      </c>
      <c r="V850" s="67" t="str">
        <f t="shared" si="120"/>
        <v/>
      </c>
      <c r="W850" s="67" t="str">
        <f t="shared" si="121"/>
        <v/>
      </c>
      <c r="X850" s="67" t="str">
        <f t="shared" si="122"/>
        <v/>
      </c>
      <c r="Y850" s="24" t="str">
        <f t="shared" si="123"/>
        <v/>
      </c>
      <c r="Z850">
        <f t="shared" si="124"/>
        <v>0</v>
      </c>
      <c r="AA850">
        <f t="shared" si="125"/>
        <v>0</v>
      </c>
    </row>
    <row r="851" spans="2:27" ht="15.75" customHeight="1" x14ac:dyDescent="0.3">
      <c r="B851" s="21"/>
      <c r="C851" s="21"/>
      <c r="D851" s="21"/>
      <c r="E851" s="22" t="str">
        <f t="shared" si="117"/>
        <v/>
      </c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3" t="str">
        <f>IF($F851="","",IF(OR($B851="",$C851="",$D851=""),"⚠ Compléter Année/Niveau/Session",IF(AND($E851&lt;&gt;"",COUNTIF(D_KEY_DOUBLON,$B851&amp;"|"&amp;$D851&amp;"|"&amp;$E851)&gt;1),"⚠ Doublon",IF(AND($E851&lt;&gt;"",COUNTIF(D_KEY_STATUT,$B851&amp;"|"&amp;$E851&amp;"|P")&gt;0,COUNTIF(D_KEY_STATUT,$B851&amp;"|"&amp;$E851&amp;"|A")&gt;0),"⚠ Statut incohérent",IF(AND($D851="S1",$Y851&lt;&gt;"Parti",COUNTIF(ANNEES_VERROU,$B851)&gt;0,COUNTIF(D_KEY_NIVSES,$B851&amp;"|"&amp;$C851&amp;"|S2")&gt;0,COUNTIF(D_KEY_DOUBLON,$B851&amp;"|S2|"&amp;$E851)=0),"⚠ Départ non confirmé ?",IF(AND($C851&lt;&gt;"",ISNUMBER($I851),OR(VALUE(LEFT($B851,4))-$I851&lt;4+IFERROR(MATCH($C851,LISTE_NIVEAUX,0),99),VALUE(LEFT($B851,4))-$I851&gt;6+IFERROR(MATCH($C851,LISTE_NIVEAUX,0),99))),"⚠ Vérifier niveau",IF(AND(IFERROR(VLOOKUP($C851,TABLE_CYCLE,2,0),3)=2,COUNT($O851:$Q851)&gt;0),"⚠ Tests cycle 3",IF(COUNT($J851:$Q851)&gt;=IF(IFERROR(VLOOKUP($C851,TABLE_CYCLE,2,0),3)=2,5,8),"Complet","Incomplet"))))))))</f>
        <v/>
      </c>
      <c r="S851" s="24"/>
      <c r="T851" s="67" t="str">
        <f t="shared" si="118"/>
        <v/>
      </c>
      <c r="U851" s="67" t="str">
        <f t="shared" si="119"/>
        <v/>
      </c>
      <c r="V851" s="67" t="str">
        <f t="shared" si="120"/>
        <v/>
      </c>
      <c r="W851" s="67" t="str">
        <f t="shared" si="121"/>
        <v/>
      </c>
      <c r="X851" s="67" t="str">
        <f t="shared" si="122"/>
        <v/>
      </c>
      <c r="Y851" s="24" t="str">
        <f t="shared" si="123"/>
        <v/>
      </c>
      <c r="Z851">
        <f t="shared" si="124"/>
        <v>0</v>
      </c>
      <c r="AA851">
        <f t="shared" si="125"/>
        <v>0</v>
      </c>
    </row>
    <row r="852" spans="2:27" ht="15.75" customHeight="1" x14ac:dyDescent="0.3">
      <c r="B852" s="25"/>
      <c r="C852" s="25"/>
      <c r="D852" s="25"/>
      <c r="E852" s="26" t="str">
        <f t="shared" si="117"/>
        <v/>
      </c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3" t="str">
        <f>IF($F852="","",IF(OR($B852="",$C852="",$D852=""),"⚠ Compléter Année/Niveau/Session",IF(AND($E852&lt;&gt;"",COUNTIF(D_KEY_DOUBLON,$B852&amp;"|"&amp;$D852&amp;"|"&amp;$E852)&gt;1),"⚠ Doublon",IF(AND($E852&lt;&gt;"",COUNTIF(D_KEY_STATUT,$B852&amp;"|"&amp;$E852&amp;"|P")&gt;0,COUNTIF(D_KEY_STATUT,$B852&amp;"|"&amp;$E852&amp;"|A")&gt;0),"⚠ Statut incohérent",IF(AND($D852="S1",$Y852&lt;&gt;"Parti",COUNTIF(ANNEES_VERROU,$B852)&gt;0,COUNTIF(D_KEY_NIVSES,$B852&amp;"|"&amp;$C852&amp;"|S2")&gt;0,COUNTIF(D_KEY_DOUBLON,$B852&amp;"|S2|"&amp;$E852)=0),"⚠ Départ non confirmé ?",IF(AND($C852&lt;&gt;"",ISNUMBER($I852),OR(VALUE(LEFT($B852,4))-$I852&lt;4+IFERROR(MATCH($C852,LISTE_NIVEAUX,0),99),VALUE(LEFT($B852,4))-$I852&gt;6+IFERROR(MATCH($C852,LISTE_NIVEAUX,0),99))),"⚠ Vérifier niveau",IF(AND(IFERROR(VLOOKUP($C852,TABLE_CYCLE,2,0),3)=2,COUNT($O852:$Q852)&gt;0),"⚠ Tests cycle 3",IF(COUNT($J852:$Q852)&gt;=IF(IFERROR(VLOOKUP($C852,TABLE_CYCLE,2,0),3)=2,5,8),"Complet","Incomplet"))))))))</f>
        <v/>
      </c>
      <c r="S852" s="24"/>
      <c r="T852" s="67" t="str">
        <f t="shared" si="118"/>
        <v/>
      </c>
      <c r="U852" s="67" t="str">
        <f t="shared" si="119"/>
        <v/>
      </c>
      <c r="V852" s="67" t="str">
        <f t="shared" si="120"/>
        <v/>
      </c>
      <c r="W852" s="67" t="str">
        <f t="shared" si="121"/>
        <v/>
      </c>
      <c r="X852" s="67" t="str">
        <f t="shared" si="122"/>
        <v/>
      </c>
      <c r="Y852" s="24" t="str">
        <f t="shared" si="123"/>
        <v/>
      </c>
      <c r="Z852">
        <f t="shared" si="124"/>
        <v>0</v>
      </c>
      <c r="AA852">
        <f t="shared" si="125"/>
        <v>0</v>
      </c>
    </row>
    <row r="853" spans="2:27" ht="15.75" customHeight="1" x14ac:dyDescent="0.3">
      <c r="B853" s="21"/>
      <c r="C853" s="21"/>
      <c r="D853" s="21"/>
      <c r="E853" s="22" t="str">
        <f t="shared" si="117"/>
        <v/>
      </c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3" t="str">
        <f>IF($F853="","",IF(OR($B853="",$C853="",$D853=""),"⚠ Compléter Année/Niveau/Session",IF(AND($E853&lt;&gt;"",COUNTIF(D_KEY_DOUBLON,$B853&amp;"|"&amp;$D853&amp;"|"&amp;$E853)&gt;1),"⚠ Doublon",IF(AND($E853&lt;&gt;"",COUNTIF(D_KEY_STATUT,$B853&amp;"|"&amp;$E853&amp;"|P")&gt;0,COUNTIF(D_KEY_STATUT,$B853&amp;"|"&amp;$E853&amp;"|A")&gt;0),"⚠ Statut incohérent",IF(AND($D853="S1",$Y853&lt;&gt;"Parti",COUNTIF(ANNEES_VERROU,$B853)&gt;0,COUNTIF(D_KEY_NIVSES,$B853&amp;"|"&amp;$C853&amp;"|S2")&gt;0,COUNTIF(D_KEY_DOUBLON,$B853&amp;"|S2|"&amp;$E853)=0),"⚠ Départ non confirmé ?",IF(AND($C853&lt;&gt;"",ISNUMBER($I853),OR(VALUE(LEFT($B853,4))-$I853&lt;4+IFERROR(MATCH($C853,LISTE_NIVEAUX,0),99),VALUE(LEFT($B853,4))-$I853&gt;6+IFERROR(MATCH($C853,LISTE_NIVEAUX,0),99))),"⚠ Vérifier niveau",IF(AND(IFERROR(VLOOKUP($C853,TABLE_CYCLE,2,0),3)=2,COUNT($O853:$Q853)&gt;0),"⚠ Tests cycle 3",IF(COUNT($J853:$Q853)&gt;=IF(IFERROR(VLOOKUP($C853,TABLE_CYCLE,2,0),3)=2,5,8),"Complet","Incomplet"))))))))</f>
        <v/>
      </c>
      <c r="S853" s="24"/>
      <c r="T853" s="67" t="str">
        <f t="shared" si="118"/>
        <v/>
      </c>
      <c r="U853" s="67" t="str">
        <f t="shared" si="119"/>
        <v/>
      </c>
      <c r="V853" s="67" t="str">
        <f t="shared" si="120"/>
        <v/>
      </c>
      <c r="W853" s="67" t="str">
        <f t="shared" si="121"/>
        <v/>
      </c>
      <c r="X853" s="67" t="str">
        <f t="shared" si="122"/>
        <v/>
      </c>
      <c r="Y853" s="24" t="str">
        <f t="shared" si="123"/>
        <v/>
      </c>
      <c r="Z853">
        <f t="shared" si="124"/>
        <v>0</v>
      </c>
      <c r="AA853">
        <f t="shared" si="125"/>
        <v>0</v>
      </c>
    </row>
    <row r="854" spans="2:27" ht="15.75" customHeight="1" x14ac:dyDescent="0.3">
      <c r="B854" s="25"/>
      <c r="C854" s="25"/>
      <c r="D854" s="25"/>
      <c r="E854" s="26" t="str">
        <f t="shared" si="117"/>
        <v/>
      </c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3" t="str">
        <f>IF($F854="","",IF(OR($B854="",$C854="",$D854=""),"⚠ Compléter Année/Niveau/Session",IF(AND($E854&lt;&gt;"",COUNTIF(D_KEY_DOUBLON,$B854&amp;"|"&amp;$D854&amp;"|"&amp;$E854)&gt;1),"⚠ Doublon",IF(AND($E854&lt;&gt;"",COUNTIF(D_KEY_STATUT,$B854&amp;"|"&amp;$E854&amp;"|P")&gt;0,COUNTIF(D_KEY_STATUT,$B854&amp;"|"&amp;$E854&amp;"|A")&gt;0),"⚠ Statut incohérent",IF(AND($D854="S1",$Y854&lt;&gt;"Parti",COUNTIF(ANNEES_VERROU,$B854)&gt;0,COUNTIF(D_KEY_NIVSES,$B854&amp;"|"&amp;$C854&amp;"|S2")&gt;0,COUNTIF(D_KEY_DOUBLON,$B854&amp;"|S2|"&amp;$E854)=0),"⚠ Départ non confirmé ?",IF(AND($C854&lt;&gt;"",ISNUMBER($I854),OR(VALUE(LEFT($B854,4))-$I854&lt;4+IFERROR(MATCH($C854,LISTE_NIVEAUX,0),99),VALUE(LEFT($B854,4))-$I854&gt;6+IFERROR(MATCH($C854,LISTE_NIVEAUX,0),99))),"⚠ Vérifier niveau",IF(AND(IFERROR(VLOOKUP($C854,TABLE_CYCLE,2,0),3)=2,COUNT($O854:$Q854)&gt;0),"⚠ Tests cycle 3",IF(COUNT($J854:$Q854)&gt;=IF(IFERROR(VLOOKUP($C854,TABLE_CYCLE,2,0),3)=2,5,8),"Complet","Incomplet"))))))))</f>
        <v/>
      </c>
      <c r="S854" s="24"/>
      <c r="T854" s="67" t="str">
        <f t="shared" si="118"/>
        <v/>
      </c>
      <c r="U854" s="67" t="str">
        <f t="shared" si="119"/>
        <v/>
      </c>
      <c r="V854" s="67" t="str">
        <f t="shared" si="120"/>
        <v/>
      </c>
      <c r="W854" s="67" t="str">
        <f t="shared" si="121"/>
        <v/>
      </c>
      <c r="X854" s="67" t="str">
        <f t="shared" si="122"/>
        <v/>
      </c>
      <c r="Y854" s="24" t="str">
        <f t="shared" si="123"/>
        <v/>
      </c>
      <c r="Z854">
        <f t="shared" si="124"/>
        <v>0</v>
      </c>
      <c r="AA854">
        <f t="shared" si="125"/>
        <v>0</v>
      </c>
    </row>
    <row r="855" spans="2:27" ht="15.75" customHeight="1" x14ac:dyDescent="0.3">
      <c r="B855" s="21"/>
      <c r="C855" s="21"/>
      <c r="D855" s="21"/>
      <c r="E855" s="22" t="str">
        <f t="shared" si="117"/>
        <v/>
      </c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3" t="str">
        <f>IF($F855="","",IF(OR($B855="",$C855="",$D855=""),"⚠ Compléter Année/Niveau/Session",IF(AND($E855&lt;&gt;"",COUNTIF(D_KEY_DOUBLON,$B855&amp;"|"&amp;$D855&amp;"|"&amp;$E855)&gt;1),"⚠ Doublon",IF(AND($E855&lt;&gt;"",COUNTIF(D_KEY_STATUT,$B855&amp;"|"&amp;$E855&amp;"|P")&gt;0,COUNTIF(D_KEY_STATUT,$B855&amp;"|"&amp;$E855&amp;"|A")&gt;0),"⚠ Statut incohérent",IF(AND($D855="S1",$Y855&lt;&gt;"Parti",COUNTIF(ANNEES_VERROU,$B855)&gt;0,COUNTIF(D_KEY_NIVSES,$B855&amp;"|"&amp;$C855&amp;"|S2")&gt;0,COUNTIF(D_KEY_DOUBLON,$B855&amp;"|S2|"&amp;$E855)=0),"⚠ Départ non confirmé ?",IF(AND($C855&lt;&gt;"",ISNUMBER($I855),OR(VALUE(LEFT($B855,4))-$I855&lt;4+IFERROR(MATCH($C855,LISTE_NIVEAUX,0),99),VALUE(LEFT($B855,4))-$I855&gt;6+IFERROR(MATCH($C855,LISTE_NIVEAUX,0),99))),"⚠ Vérifier niveau",IF(AND(IFERROR(VLOOKUP($C855,TABLE_CYCLE,2,0),3)=2,COUNT($O855:$Q855)&gt;0),"⚠ Tests cycle 3",IF(COUNT($J855:$Q855)&gt;=IF(IFERROR(VLOOKUP($C855,TABLE_CYCLE,2,0),3)=2,5,8),"Complet","Incomplet"))))))))</f>
        <v/>
      </c>
      <c r="S855" s="24"/>
      <c r="T855" s="67" t="str">
        <f t="shared" si="118"/>
        <v/>
      </c>
      <c r="U855" s="67" t="str">
        <f t="shared" si="119"/>
        <v/>
      </c>
      <c r="V855" s="67" t="str">
        <f t="shared" si="120"/>
        <v/>
      </c>
      <c r="W855" s="67" t="str">
        <f t="shared" si="121"/>
        <v/>
      </c>
      <c r="X855" s="67" t="str">
        <f t="shared" si="122"/>
        <v/>
      </c>
      <c r="Y855" s="24" t="str">
        <f t="shared" si="123"/>
        <v/>
      </c>
      <c r="Z855">
        <f t="shared" si="124"/>
        <v>0</v>
      </c>
      <c r="AA855">
        <f t="shared" si="125"/>
        <v>0</v>
      </c>
    </row>
    <row r="856" spans="2:27" ht="15.75" customHeight="1" x14ac:dyDescent="0.3">
      <c r="B856" s="25"/>
      <c r="C856" s="25"/>
      <c r="D856" s="25"/>
      <c r="E856" s="26" t="str">
        <f t="shared" si="117"/>
        <v/>
      </c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3" t="str">
        <f>IF($F856="","",IF(OR($B856="",$C856="",$D856=""),"⚠ Compléter Année/Niveau/Session",IF(AND($E856&lt;&gt;"",COUNTIF(D_KEY_DOUBLON,$B856&amp;"|"&amp;$D856&amp;"|"&amp;$E856)&gt;1),"⚠ Doublon",IF(AND($E856&lt;&gt;"",COUNTIF(D_KEY_STATUT,$B856&amp;"|"&amp;$E856&amp;"|P")&gt;0,COUNTIF(D_KEY_STATUT,$B856&amp;"|"&amp;$E856&amp;"|A")&gt;0),"⚠ Statut incohérent",IF(AND($D856="S1",$Y856&lt;&gt;"Parti",COUNTIF(ANNEES_VERROU,$B856)&gt;0,COUNTIF(D_KEY_NIVSES,$B856&amp;"|"&amp;$C856&amp;"|S2")&gt;0,COUNTIF(D_KEY_DOUBLON,$B856&amp;"|S2|"&amp;$E856)=0),"⚠ Départ non confirmé ?",IF(AND($C856&lt;&gt;"",ISNUMBER($I856),OR(VALUE(LEFT($B856,4))-$I856&lt;4+IFERROR(MATCH($C856,LISTE_NIVEAUX,0),99),VALUE(LEFT($B856,4))-$I856&gt;6+IFERROR(MATCH($C856,LISTE_NIVEAUX,0),99))),"⚠ Vérifier niveau",IF(AND(IFERROR(VLOOKUP($C856,TABLE_CYCLE,2,0),3)=2,COUNT($O856:$Q856)&gt;0),"⚠ Tests cycle 3",IF(COUNT($J856:$Q856)&gt;=IF(IFERROR(VLOOKUP($C856,TABLE_CYCLE,2,0),3)=2,5,8),"Complet","Incomplet"))))))))</f>
        <v/>
      </c>
      <c r="S856" s="24"/>
      <c r="T856" s="67" t="str">
        <f t="shared" si="118"/>
        <v/>
      </c>
      <c r="U856" s="67" t="str">
        <f t="shared" si="119"/>
        <v/>
      </c>
      <c r="V856" s="67" t="str">
        <f t="shared" si="120"/>
        <v/>
      </c>
      <c r="W856" s="67" t="str">
        <f t="shared" si="121"/>
        <v/>
      </c>
      <c r="X856" s="67" t="str">
        <f t="shared" si="122"/>
        <v/>
      </c>
      <c r="Y856" s="24" t="str">
        <f t="shared" si="123"/>
        <v/>
      </c>
      <c r="Z856">
        <f t="shared" si="124"/>
        <v>0</v>
      </c>
      <c r="AA856">
        <f t="shared" si="125"/>
        <v>0</v>
      </c>
    </row>
    <row r="857" spans="2:27" ht="15.75" customHeight="1" x14ac:dyDescent="0.3">
      <c r="B857" s="21"/>
      <c r="C857" s="21"/>
      <c r="D857" s="21"/>
      <c r="E857" s="22" t="str">
        <f t="shared" si="117"/>
        <v/>
      </c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3" t="str">
        <f>IF($F857="","",IF(OR($B857="",$C857="",$D857=""),"⚠ Compléter Année/Niveau/Session",IF(AND($E857&lt;&gt;"",COUNTIF(D_KEY_DOUBLON,$B857&amp;"|"&amp;$D857&amp;"|"&amp;$E857)&gt;1),"⚠ Doublon",IF(AND($E857&lt;&gt;"",COUNTIF(D_KEY_STATUT,$B857&amp;"|"&amp;$E857&amp;"|P")&gt;0,COUNTIF(D_KEY_STATUT,$B857&amp;"|"&amp;$E857&amp;"|A")&gt;0),"⚠ Statut incohérent",IF(AND($D857="S1",$Y857&lt;&gt;"Parti",COUNTIF(ANNEES_VERROU,$B857)&gt;0,COUNTIF(D_KEY_NIVSES,$B857&amp;"|"&amp;$C857&amp;"|S2")&gt;0,COUNTIF(D_KEY_DOUBLON,$B857&amp;"|S2|"&amp;$E857)=0),"⚠ Départ non confirmé ?",IF(AND($C857&lt;&gt;"",ISNUMBER($I857),OR(VALUE(LEFT($B857,4))-$I857&lt;4+IFERROR(MATCH($C857,LISTE_NIVEAUX,0),99),VALUE(LEFT($B857,4))-$I857&gt;6+IFERROR(MATCH($C857,LISTE_NIVEAUX,0),99))),"⚠ Vérifier niveau",IF(AND(IFERROR(VLOOKUP($C857,TABLE_CYCLE,2,0),3)=2,COUNT($O857:$Q857)&gt;0),"⚠ Tests cycle 3",IF(COUNT($J857:$Q857)&gt;=IF(IFERROR(VLOOKUP($C857,TABLE_CYCLE,2,0),3)=2,5,8),"Complet","Incomplet"))))))))</f>
        <v/>
      </c>
      <c r="S857" s="24"/>
      <c r="T857" s="67" t="str">
        <f t="shared" si="118"/>
        <v/>
      </c>
      <c r="U857" s="67" t="str">
        <f t="shared" si="119"/>
        <v/>
      </c>
      <c r="V857" s="67" t="str">
        <f t="shared" si="120"/>
        <v/>
      </c>
      <c r="W857" s="67" t="str">
        <f t="shared" si="121"/>
        <v/>
      </c>
      <c r="X857" s="67" t="str">
        <f t="shared" si="122"/>
        <v/>
      </c>
      <c r="Y857" s="24" t="str">
        <f t="shared" si="123"/>
        <v/>
      </c>
      <c r="Z857">
        <f t="shared" si="124"/>
        <v>0</v>
      </c>
      <c r="AA857">
        <f t="shared" si="125"/>
        <v>0</v>
      </c>
    </row>
    <row r="858" spans="2:27" ht="15.75" customHeight="1" x14ac:dyDescent="0.3">
      <c r="B858" s="25"/>
      <c r="C858" s="25"/>
      <c r="D858" s="25"/>
      <c r="E858" s="26" t="str">
        <f t="shared" si="117"/>
        <v/>
      </c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3" t="str">
        <f>IF($F858="","",IF(OR($B858="",$C858="",$D858=""),"⚠ Compléter Année/Niveau/Session",IF(AND($E858&lt;&gt;"",COUNTIF(D_KEY_DOUBLON,$B858&amp;"|"&amp;$D858&amp;"|"&amp;$E858)&gt;1),"⚠ Doublon",IF(AND($E858&lt;&gt;"",COUNTIF(D_KEY_STATUT,$B858&amp;"|"&amp;$E858&amp;"|P")&gt;0,COUNTIF(D_KEY_STATUT,$B858&amp;"|"&amp;$E858&amp;"|A")&gt;0),"⚠ Statut incohérent",IF(AND($D858="S1",$Y858&lt;&gt;"Parti",COUNTIF(ANNEES_VERROU,$B858)&gt;0,COUNTIF(D_KEY_NIVSES,$B858&amp;"|"&amp;$C858&amp;"|S2")&gt;0,COUNTIF(D_KEY_DOUBLON,$B858&amp;"|S2|"&amp;$E858)=0),"⚠ Départ non confirmé ?",IF(AND($C858&lt;&gt;"",ISNUMBER($I858),OR(VALUE(LEFT($B858,4))-$I858&lt;4+IFERROR(MATCH($C858,LISTE_NIVEAUX,0),99),VALUE(LEFT($B858,4))-$I858&gt;6+IFERROR(MATCH($C858,LISTE_NIVEAUX,0),99))),"⚠ Vérifier niveau",IF(AND(IFERROR(VLOOKUP($C858,TABLE_CYCLE,2,0),3)=2,COUNT($O858:$Q858)&gt;0),"⚠ Tests cycle 3",IF(COUNT($J858:$Q858)&gt;=IF(IFERROR(VLOOKUP($C858,TABLE_CYCLE,2,0),3)=2,5,8),"Complet","Incomplet"))))))))</f>
        <v/>
      </c>
      <c r="S858" s="24"/>
      <c r="T858" s="67" t="str">
        <f t="shared" si="118"/>
        <v/>
      </c>
      <c r="U858" s="67" t="str">
        <f t="shared" si="119"/>
        <v/>
      </c>
      <c r="V858" s="67" t="str">
        <f t="shared" si="120"/>
        <v/>
      </c>
      <c r="W858" s="67" t="str">
        <f t="shared" si="121"/>
        <v/>
      </c>
      <c r="X858" s="67" t="str">
        <f t="shared" si="122"/>
        <v/>
      </c>
      <c r="Y858" s="24" t="str">
        <f t="shared" si="123"/>
        <v/>
      </c>
      <c r="Z858">
        <f t="shared" si="124"/>
        <v>0</v>
      </c>
      <c r="AA858">
        <f t="shared" si="125"/>
        <v>0</v>
      </c>
    </row>
    <row r="859" spans="2:27" ht="15.75" customHeight="1" x14ac:dyDescent="0.3">
      <c r="B859" s="21"/>
      <c r="C859" s="21"/>
      <c r="D859" s="21"/>
      <c r="E859" s="22" t="str">
        <f t="shared" si="117"/>
        <v/>
      </c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3" t="str">
        <f>IF($F859="","",IF(OR($B859="",$C859="",$D859=""),"⚠ Compléter Année/Niveau/Session",IF(AND($E859&lt;&gt;"",COUNTIF(D_KEY_DOUBLON,$B859&amp;"|"&amp;$D859&amp;"|"&amp;$E859)&gt;1),"⚠ Doublon",IF(AND($E859&lt;&gt;"",COUNTIF(D_KEY_STATUT,$B859&amp;"|"&amp;$E859&amp;"|P")&gt;0,COUNTIF(D_KEY_STATUT,$B859&amp;"|"&amp;$E859&amp;"|A")&gt;0),"⚠ Statut incohérent",IF(AND($D859="S1",$Y859&lt;&gt;"Parti",COUNTIF(ANNEES_VERROU,$B859)&gt;0,COUNTIF(D_KEY_NIVSES,$B859&amp;"|"&amp;$C859&amp;"|S2")&gt;0,COUNTIF(D_KEY_DOUBLON,$B859&amp;"|S2|"&amp;$E859)=0),"⚠ Départ non confirmé ?",IF(AND($C859&lt;&gt;"",ISNUMBER($I859),OR(VALUE(LEFT($B859,4))-$I859&lt;4+IFERROR(MATCH($C859,LISTE_NIVEAUX,0),99),VALUE(LEFT($B859,4))-$I859&gt;6+IFERROR(MATCH($C859,LISTE_NIVEAUX,0),99))),"⚠ Vérifier niveau",IF(AND(IFERROR(VLOOKUP($C859,TABLE_CYCLE,2,0),3)=2,COUNT($O859:$Q859)&gt;0),"⚠ Tests cycle 3",IF(COUNT($J859:$Q859)&gt;=IF(IFERROR(VLOOKUP($C859,TABLE_CYCLE,2,0),3)=2,5,8),"Complet","Incomplet"))))))))</f>
        <v/>
      </c>
      <c r="S859" s="24"/>
      <c r="T859" s="67" t="str">
        <f t="shared" si="118"/>
        <v/>
      </c>
      <c r="U859" s="67" t="str">
        <f t="shared" si="119"/>
        <v/>
      </c>
      <c r="V859" s="67" t="str">
        <f t="shared" si="120"/>
        <v/>
      </c>
      <c r="W859" s="67" t="str">
        <f t="shared" si="121"/>
        <v/>
      </c>
      <c r="X859" s="67" t="str">
        <f t="shared" si="122"/>
        <v/>
      </c>
      <c r="Y859" s="24" t="str">
        <f t="shared" si="123"/>
        <v/>
      </c>
      <c r="Z859">
        <f t="shared" si="124"/>
        <v>0</v>
      </c>
      <c r="AA859">
        <f t="shared" si="125"/>
        <v>0</v>
      </c>
    </row>
    <row r="860" spans="2:27" ht="15.75" customHeight="1" x14ac:dyDescent="0.3">
      <c r="B860" s="25"/>
      <c r="C860" s="25"/>
      <c r="D860" s="25"/>
      <c r="E860" s="26" t="str">
        <f t="shared" si="117"/>
        <v/>
      </c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3" t="str">
        <f>IF($F860="","",IF(OR($B860="",$C860="",$D860=""),"⚠ Compléter Année/Niveau/Session",IF(AND($E860&lt;&gt;"",COUNTIF(D_KEY_DOUBLON,$B860&amp;"|"&amp;$D860&amp;"|"&amp;$E860)&gt;1),"⚠ Doublon",IF(AND($E860&lt;&gt;"",COUNTIF(D_KEY_STATUT,$B860&amp;"|"&amp;$E860&amp;"|P")&gt;0,COUNTIF(D_KEY_STATUT,$B860&amp;"|"&amp;$E860&amp;"|A")&gt;0),"⚠ Statut incohérent",IF(AND($D860="S1",$Y860&lt;&gt;"Parti",COUNTIF(ANNEES_VERROU,$B860)&gt;0,COUNTIF(D_KEY_NIVSES,$B860&amp;"|"&amp;$C860&amp;"|S2")&gt;0,COUNTIF(D_KEY_DOUBLON,$B860&amp;"|S2|"&amp;$E860)=0),"⚠ Départ non confirmé ?",IF(AND($C860&lt;&gt;"",ISNUMBER($I860),OR(VALUE(LEFT($B860,4))-$I860&lt;4+IFERROR(MATCH($C860,LISTE_NIVEAUX,0),99),VALUE(LEFT($B860,4))-$I860&gt;6+IFERROR(MATCH($C860,LISTE_NIVEAUX,0),99))),"⚠ Vérifier niveau",IF(AND(IFERROR(VLOOKUP($C860,TABLE_CYCLE,2,0),3)=2,COUNT($O860:$Q860)&gt;0),"⚠ Tests cycle 3",IF(COUNT($J860:$Q860)&gt;=IF(IFERROR(VLOOKUP($C860,TABLE_CYCLE,2,0),3)=2,5,8),"Complet","Incomplet"))))))))</f>
        <v/>
      </c>
      <c r="S860" s="24"/>
      <c r="T860" s="67" t="str">
        <f t="shared" si="118"/>
        <v/>
      </c>
      <c r="U860" s="67" t="str">
        <f t="shared" si="119"/>
        <v/>
      </c>
      <c r="V860" s="67" t="str">
        <f t="shared" si="120"/>
        <v/>
      </c>
      <c r="W860" s="67" t="str">
        <f t="shared" si="121"/>
        <v/>
      </c>
      <c r="X860" s="67" t="str">
        <f t="shared" si="122"/>
        <v/>
      </c>
      <c r="Y860" s="24" t="str">
        <f t="shared" si="123"/>
        <v/>
      </c>
      <c r="Z860">
        <f t="shared" si="124"/>
        <v>0</v>
      </c>
      <c r="AA860">
        <f t="shared" si="125"/>
        <v>0</v>
      </c>
    </row>
    <row r="861" spans="2:27" ht="15.75" customHeight="1" x14ac:dyDescent="0.3">
      <c r="B861" s="21"/>
      <c r="C861" s="21"/>
      <c r="D861" s="21"/>
      <c r="E861" s="22" t="str">
        <f t="shared" si="117"/>
        <v/>
      </c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3" t="str">
        <f>IF($F861="","",IF(OR($B861="",$C861="",$D861=""),"⚠ Compléter Année/Niveau/Session",IF(AND($E861&lt;&gt;"",COUNTIF(D_KEY_DOUBLON,$B861&amp;"|"&amp;$D861&amp;"|"&amp;$E861)&gt;1),"⚠ Doublon",IF(AND($E861&lt;&gt;"",COUNTIF(D_KEY_STATUT,$B861&amp;"|"&amp;$E861&amp;"|P")&gt;0,COUNTIF(D_KEY_STATUT,$B861&amp;"|"&amp;$E861&amp;"|A")&gt;0),"⚠ Statut incohérent",IF(AND($D861="S1",$Y861&lt;&gt;"Parti",COUNTIF(ANNEES_VERROU,$B861)&gt;0,COUNTIF(D_KEY_NIVSES,$B861&amp;"|"&amp;$C861&amp;"|S2")&gt;0,COUNTIF(D_KEY_DOUBLON,$B861&amp;"|S2|"&amp;$E861)=0),"⚠ Départ non confirmé ?",IF(AND($C861&lt;&gt;"",ISNUMBER($I861),OR(VALUE(LEFT($B861,4))-$I861&lt;4+IFERROR(MATCH($C861,LISTE_NIVEAUX,0),99),VALUE(LEFT($B861,4))-$I861&gt;6+IFERROR(MATCH($C861,LISTE_NIVEAUX,0),99))),"⚠ Vérifier niveau",IF(AND(IFERROR(VLOOKUP($C861,TABLE_CYCLE,2,0),3)=2,COUNT($O861:$Q861)&gt;0),"⚠ Tests cycle 3",IF(COUNT($J861:$Q861)&gt;=IF(IFERROR(VLOOKUP($C861,TABLE_CYCLE,2,0),3)=2,5,8),"Complet","Incomplet"))))))))</f>
        <v/>
      </c>
      <c r="S861" s="24"/>
      <c r="T861" s="67" t="str">
        <f t="shared" si="118"/>
        <v/>
      </c>
      <c r="U861" s="67" t="str">
        <f t="shared" si="119"/>
        <v/>
      </c>
      <c r="V861" s="67" t="str">
        <f t="shared" si="120"/>
        <v/>
      </c>
      <c r="W861" s="67" t="str">
        <f t="shared" si="121"/>
        <v/>
      </c>
      <c r="X861" s="67" t="str">
        <f t="shared" si="122"/>
        <v/>
      </c>
      <c r="Y861" s="24" t="str">
        <f t="shared" si="123"/>
        <v/>
      </c>
      <c r="Z861">
        <f t="shared" si="124"/>
        <v>0</v>
      </c>
      <c r="AA861">
        <f t="shared" si="125"/>
        <v>0</v>
      </c>
    </row>
    <row r="862" spans="2:27" ht="15.75" customHeight="1" x14ac:dyDescent="0.3">
      <c r="B862" s="25"/>
      <c r="C862" s="25"/>
      <c r="D862" s="25"/>
      <c r="E862" s="26" t="str">
        <f t="shared" si="117"/>
        <v/>
      </c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3" t="str">
        <f>IF($F862="","",IF(OR($B862="",$C862="",$D862=""),"⚠ Compléter Année/Niveau/Session",IF(AND($E862&lt;&gt;"",COUNTIF(D_KEY_DOUBLON,$B862&amp;"|"&amp;$D862&amp;"|"&amp;$E862)&gt;1),"⚠ Doublon",IF(AND($E862&lt;&gt;"",COUNTIF(D_KEY_STATUT,$B862&amp;"|"&amp;$E862&amp;"|P")&gt;0,COUNTIF(D_KEY_STATUT,$B862&amp;"|"&amp;$E862&amp;"|A")&gt;0),"⚠ Statut incohérent",IF(AND($D862="S1",$Y862&lt;&gt;"Parti",COUNTIF(ANNEES_VERROU,$B862)&gt;0,COUNTIF(D_KEY_NIVSES,$B862&amp;"|"&amp;$C862&amp;"|S2")&gt;0,COUNTIF(D_KEY_DOUBLON,$B862&amp;"|S2|"&amp;$E862)=0),"⚠ Départ non confirmé ?",IF(AND($C862&lt;&gt;"",ISNUMBER($I862),OR(VALUE(LEFT($B862,4))-$I862&lt;4+IFERROR(MATCH($C862,LISTE_NIVEAUX,0),99),VALUE(LEFT($B862,4))-$I862&gt;6+IFERROR(MATCH($C862,LISTE_NIVEAUX,0),99))),"⚠ Vérifier niveau",IF(AND(IFERROR(VLOOKUP($C862,TABLE_CYCLE,2,0),3)=2,COUNT($O862:$Q862)&gt;0),"⚠ Tests cycle 3",IF(COUNT($J862:$Q862)&gt;=IF(IFERROR(VLOOKUP($C862,TABLE_CYCLE,2,0),3)=2,5,8),"Complet","Incomplet"))))))))</f>
        <v/>
      </c>
      <c r="S862" s="24"/>
      <c r="T862" s="67" t="str">
        <f t="shared" si="118"/>
        <v/>
      </c>
      <c r="U862" s="67" t="str">
        <f t="shared" si="119"/>
        <v/>
      </c>
      <c r="V862" s="67" t="str">
        <f t="shared" si="120"/>
        <v/>
      </c>
      <c r="W862" s="67" t="str">
        <f t="shared" si="121"/>
        <v/>
      </c>
      <c r="X862" s="67" t="str">
        <f t="shared" si="122"/>
        <v/>
      </c>
      <c r="Y862" s="24" t="str">
        <f t="shared" si="123"/>
        <v/>
      </c>
      <c r="Z862">
        <f t="shared" si="124"/>
        <v>0</v>
      </c>
      <c r="AA862">
        <f t="shared" si="125"/>
        <v>0</v>
      </c>
    </row>
    <row r="863" spans="2:27" ht="15.75" customHeight="1" x14ac:dyDescent="0.3">
      <c r="B863" s="21"/>
      <c r="C863" s="21"/>
      <c r="D863" s="21"/>
      <c r="E863" s="22" t="str">
        <f t="shared" si="117"/>
        <v/>
      </c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3" t="str">
        <f>IF($F863="","",IF(OR($B863="",$C863="",$D863=""),"⚠ Compléter Année/Niveau/Session",IF(AND($E863&lt;&gt;"",COUNTIF(D_KEY_DOUBLON,$B863&amp;"|"&amp;$D863&amp;"|"&amp;$E863)&gt;1),"⚠ Doublon",IF(AND($E863&lt;&gt;"",COUNTIF(D_KEY_STATUT,$B863&amp;"|"&amp;$E863&amp;"|P")&gt;0,COUNTIF(D_KEY_STATUT,$B863&amp;"|"&amp;$E863&amp;"|A")&gt;0),"⚠ Statut incohérent",IF(AND($D863="S1",$Y863&lt;&gt;"Parti",COUNTIF(ANNEES_VERROU,$B863)&gt;0,COUNTIF(D_KEY_NIVSES,$B863&amp;"|"&amp;$C863&amp;"|S2")&gt;0,COUNTIF(D_KEY_DOUBLON,$B863&amp;"|S2|"&amp;$E863)=0),"⚠ Départ non confirmé ?",IF(AND($C863&lt;&gt;"",ISNUMBER($I863),OR(VALUE(LEFT($B863,4))-$I863&lt;4+IFERROR(MATCH($C863,LISTE_NIVEAUX,0),99),VALUE(LEFT($B863,4))-$I863&gt;6+IFERROR(MATCH($C863,LISTE_NIVEAUX,0),99))),"⚠ Vérifier niveau",IF(AND(IFERROR(VLOOKUP($C863,TABLE_CYCLE,2,0),3)=2,COUNT($O863:$Q863)&gt;0),"⚠ Tests cycle 3",IF(COUNT($J863:$Q863)&gt;=IF(IFERROR(VLOOKUP($C863,TABLE_CYCLE,2,0),3)=2,5,8),"Complet","Incomplet"))))))))</f>
        <v/>
      </c>
      <c r="S863" s="24"/>
      <c r="T863" s="67" t="str">
        <f t="shared" si="118"/>
        <v/>
      </c>
      <c r="U863" s="67" t="str">
        <f t="shared" si="119"/>
        <v/>
      </c>
      <c r="V863" s="67" t="str">
        <f t="shared" si="120"/>
        <v/>
      </c>
      <c r="W863" s="67" t="str">
        <f t="shared" si="121"/>
        <v/>
      </c>
      <c r="X863" s="67" t="str">
        <f t="shared" si="122"/>
        <v/>
      </c>
      <c r="Y863" s="24" t="str">
        <f t="shared" si="123"/>
        <v/>
      </c>
      <c r="Z863">
        <f t="shared" si="124"/>
        <v>0</v>
      </c>
      <c r="AA863">
        <f t="shared" si="125"/>
        <v>0</v>
      </c>
    </row>
    <row r="864" spans="2:27" ht="15.75" customHeight="1" x14ac:dyDescent="0.3">
      <c r="B864" s="25"/>
      <c r="C864" s="25"/>
      <c r="D864" s="25"/>
      <c r="E864" s="26" t="str">
        <f t="shared" si="117"/>
        <v/>
      </c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3" t="str">
        <f>IF($F864="","",IF(OR($B864="",$C864="",$D864=""),"⚠ Compléter Année/Niveau/Session",IF(AND($E864&lt;&gt;"",COUNTIF(D_KEY_DOUBLON,$B864&amp;"|"&amp;$D864&amp;"|"&amp;$E864)&gt;1),"⚠ Doublon",IF(AND($E864&lt;&gt;"",COUNTIF(D_KEY_STATUT,$B864&amp;"|"&amp;$E864&amp;"|P")&gt;0,COUNTIF(D_KEY_STATUT,$B864&amp;"|"&amp;$E864&amp;"|A")&gt;0),"⚠ Statut incohérent",IF(AND($D864="S1",$Y864&lt;&gt;"Parti",COUNTIF(ANNEES_VERROU,$B864)&gt;0,COUNTIF(D_KEY_NIVSES,$B864&amp;"|"&amp;$C864&amp;"|S2")&gt;0,COUNTIF(D_KEY_DOUBLON,$B864&amp;"|S2|"&amp;$E864)=0),"⚠ Départ non confirmé ?",IF(AND($C864&lt;&gt;"",ISNUMBER($I864),OR(VALUE(LEFT($B864,4))-$I864&lt;4+IFERROR(MATCH($C864,LISTE_NIVEAUX,0),99),VALUE(LEFT($B864,4))-$I864&gt;6+IFERROR(MATCH($C864,LISTE_NIVEAUX,0),99))),"⚠ Vérifier niveau",IF(AND(IFERROR(VLOOKUP($C864,TABLE_CYCLE,2,0),3)=2,COUNT($O864:$Q864)&gt;0),"⚠ Tests cycle 3",IF(COUNT($J864:$Q864)&gt;=IF(IFERROR(VLOOKUP($C864,TABLE_CYCLE,2,0),3)=2,5,8),"Complet","Incomplet"))))))))</f>
        <v/>
      </c>
      <c r="S864" s="24"/>
      <c r="T864" s="67" t="str">
        <f t="shared" si="118"/>
        <v/>
      </c>
      <c r="U864" s="67" t="str">
        <f t="shared" si="119"/>
        <v/>
      </c>
      <c r="V864" s="67" t="str">
        <f t="shared" si="120"/>
        <v/>
      </c>
      <c r="W864" s="67" t="str">
        <f t="shared" si="121"/>
        <v/>
      </c>
      <c r="X864" s="67" t="str">
        <f t="shared" si="122"/>
        <v/>
      </c>
      <c r="Y864" s="24" t="str">
        <f t="shared" si="123"/>
        <v/>
      </c>
      <c r="Z864">
        <f t="shared" si="124"/>
        <v>0</v>
      </c>
      <c r="AA864">
        <f t="shared" si="125"/>
        <v>0</v>
      </c>
    </row>
    <row r="865" spans="2:27" ht="15.75" customHeight="1" x14ac:dyDescent="0.3">
      <c r="B865" s="21"/>
      <c r="C865" s="21"/>
      <c r="D865" s="21"/>
      <c r="E865" s="22" t="str">
        <f t="shared" si="117"/>
        <v/>
      </c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3" t="str">
        <f>IF($F865="","",IF(OR($B865="",$C865="",$D865=""),"⚠ Compléter Année/Niveau/Session",IF(AND($E865&lt;&gt;"",COUNTIF(D_KEY_DOUBLON,$B865&amp;"|"&amp;$D865&amp;"|"&amp;$E865)&gt;1),"⚠ Doublon",IF(AND($E865&lt;&gt;"",COUNTIF(D_KEY_STATUT,$B865&amp;"|"&amp;$E865&amp;"|P")&gt;0,COUNTIF(D_KEY_STATUT,$B865&amp;"|"&amp;$E865&amp;"|A")&gt;0),"⚠ Statut incohérent",IF(AND($D865="S1",$Y865&lt;&gt;"Parti",COUNTIF(ANNEES_VERROU,$B865)&gt;0,COUNTIF(D_KEY_NIVSES,$B865&amp;"|"&amp;$C865&amp;"|S2")&gt;0,COUNTIF(D_KEY_DOUBLON,$B865&amp;"|S2|"&amp;$E865)=0),"⚠ Départ non confirmé ?",IF(AND($C865&lt;&gt;"",ISNUMBER($I865),OR(VALUE(LEFT($B865,4))-$I865&lt;4+IFERROR(MATCH($C865,LISTE_NIVEAUX,0),99),VALUE(LEFT($B865,4))-$I865&gt;6+IFERROR(MATCH($C865,LISTE_NIVEAUX,0),99))),"⚠ Vérifier niveau",IF(AND(IFERROR(VLOOKUP($C865,TABLE_CYCLE,2,0),3)=2,COUNT($O865:$Q865)&gt;0),"⚠ Tests cycle 3",IF(COUNT($J865:$Q865)&gt;=IF(IFERROR(VLOOKUP($C865,TABLE_CYCLE,2,0),3)=2,5,8),"Complet","Incomplet"))))))))</f>
        <v/>
      </c>
      <c r="S865" s="24"/>
      <c r="T865" s="67" t="str">
        <f t="shared" si="118"/>
        <v/>
      </c>
      <c r="U865" s="67" t="str">
        <f t="shared" si="119"/>
        <v/>
      </c>
      <c r="V865" s="67" t="str">
        <f t="shared" si="120"/>
        <v/>
      </c>
      <c r="W865" s="67" t="str">
        <f t="shared" si="121"/>
        <v/>
      </c>
      <c r="X865" s="67" t="str">
        <f t="shared" si="122"/>
        <v/>
      </c>
      <c r="Y865" s="24" t="str">
        <f t="shared" si="123"/>
        <v/>
      </c>
      <c r="Z865">
        <f t="shared" si="124"/>
        <v>0</v>
      </c>
      <c r="AA865">
        <f t="shared" si="125"/>
        <v>0</v>
      </c>
    </row>
    <row r="866" spans="2:27" ht="15.75" customHeight="1" x14ac:dyDescent="0.3">
      <c r="B866" s="25"/>
      <c r="C866" s="25"/>
      <c r="D866" s="25"/>
      <c r="E866" s="26" t="str">
        <f t="shared" si="117"/>
        <v/>
      </c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3" t="str">
        <f>IF($F866="","",IF(OR($B866="",$C866="",$D866=""),"⚠ Compléter Année/Niveau/Session",IF(AND($E866&lt;&gt;"",COUNTIF(D_KEY_DOUBLON,$B866&amp;"|"&amp;$D866&amp;"|"&amp;$E866)&gt;1),"⚠ Doublon",IF(AND($E866&lt;&gt;"",COUNTIF(D_KEY_STATUT,$B866&amp;"|"&amp;$E866&amp;"|P")&gt;0,COUNTIF(D_KEY_STATUT,$B866&amp;"|"&amp;$E866&amp;"|A")&gt;0),"⚠ Statut incohérent",IF(AND($D866="S1",$Y866&lt;&gt;"Parti",COUNTIF(ANNEES_VERROU,$B866)&gt;0,COUNTIF(D_KEY_NIVSES,$B866&amp;"|"&amp;$C866&amp;"|S2")&gt;0,COUNTIF(D_KEY_DOUBLON,$B866&amp;"|S2|"&amp;$E866)=0),"⚠ Départ non confirmé ?",IF(AND($C866&lt;&gt;"",ISNUMBER($I866),OR(VALUE(LEFT($B866,4))-$I866&lt;4+IFERROR(MATCH($C866,LISTE_NIVEAUX,0),99),VALUE(LEFT($B866,4))-$I866&gt;6+IFERROR(MATCH($C866,LISTE_NIVEAUX,0),99))),"⚠ Vérifier niveau",IF(AND(IFERROR(VLOOKUP($C866,TABLE_CYCLE,2,0),3)=2,COUNT($O866:$Q866)&gt;0),"⚠ Tests cycle 3",IF(COUNT($J866:$Q866)&gt;=IF(IFERROR(VLOOKUP($C866,TABLE_CYCLE,2,0),3)=2,5,8),"Complet","Incomplet"))))))))</f>
        <v/>
      </c>
      <c r="S866" s="24"/>
      <c r="T866" s="67" t="str">
        <f t="shared" si="118"/>
        <v/>
      </c>
      <c r="U866" s="67" t="str">
        <f t="shared" si="119"/>
        <v/>
      </c>
      <c r="V866" s="67" t="str">
        <f t="shared" si="120"/>
        <v/>
      </c>
      <c r="W866" s="67" t="str">
        <f t="shared" si="121"/>
        <v/>
      </c>
      <c r="X866" s="67" t="str">
        <f t="shared" si="122"/>
        <v/>
      </c>
      <c r="Y866" s="24" t="str">
        <f t="shared" si="123"/>
        <v/>
      </c>
      <c r="Z866">
        <f t="shared" si="124"/>
        <v>0</v>
      </c>
      <c r="AA866">
        <f t="shared" si="125"/>
        <v>0</v>
      </c>
    </row>
    <row r="867" spans="2:27" ht="15.75" customHeight="1" x14ac:dyDescent="0.3">
      <c r="B867" s="21"/>
      <c r="C867" s="21"/>
      <c r="D867" s="21"/>
      <c r="E867" s="22" t="str">
        <f t="shared" si="117"/>
        <v/>
      </c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3" t="str">
        <f>IF($F867="","",IF(OR($B867="",$C867="",$D867=""),"⚠ Compléter Année/Niveau/Session",IF(AND($E867&lt;&gt;"",COUNTIF(D_KEY_DOUBLON,$B867&amp;"|"&amp;$D867&amp;"|"&amp;$E867)&gt;1),"⚠ Doublon",IF(AND($E867&lt;&gt;"",COUNTIF(D_KEY_STATUT,$B867&amp;"|"&amp;$E867&amp;"|P")&gt;0,COUNTIF(D_KEY_STATUT,$B867&amp;"|"&amp;$E867&amp;"|A")&gt;0),"⚠ Statut incohérent",IF(AND($D867="S1",$Y867&lt;&gt;"Parti",COUNTIF(ANNEES_VERROU,$B867)&gt;0,COUNTIF(D_KEY_NIVSES,$B867&amp;"|"&amp;$C867&amp;"|S2")&gt;0,COUNTIF(D_KEY_DOUBLON,$B867&amp;"|S2|"&amp;$E867)=0),"⚠ Départ non confirmé ?",IF(AND($C867&lt;&gt;"",ISNUMBER($I867),OR(VALUE(LEFT($B867,4))-$I867&lt;4+IFERROR(MATCH($C867,LISTE_NIVEAUX,0),99),VALUE(LEFT($B867,4))-$I867&gt;6+IFERROR(MATCH($C867,LISTE_NIVEAUX,0),99))),"⚠ Vérifier niveau",IF(AND(IFERROR(VLOOKUP($C867,TABLE_CYCLE,2,0),3)=2,COUNT($O867:$Q867)&gt;0),"⚠ Tests cycle 3",IF(COUNT($J867:$Q867)&gt;=IF(IFERROR(VLOOKUP($C867,TABLE_CYCLE,2,0),3)=2,5,8),"Complet","Incomplet"))))))))</f>
        <v/>
      </c>
      <c r="S867" s="24"/>
      <c r="T867" s="67" t="str">
        <f t="shared" si="118"/>
        <v/>
      </c>
      <c r="U867" s="67" t="str">
        <f t="shared" si="119"/>
        <v/>
      </c>
      <c r="V867" s="67" t="str">
        <f t="shared" si="120"/>
        <v/>
      </c>
      <c r="W867" s="67" t="str">
        <f t="shared" si="121"/>
        <v/>
      </c>
      <c r="X867" s="67" t="str">
        <f t="shared" si="122"/>
        <v/>
      </c>
      <c r="Y867" s="24" t="str">
        <f t="shared" si="123"/>
        <v/>
      </c>
      <c r="Z867">
        <f t="shared" si="124"/>
        <v>0</v>
      </c>
      <c r="AA867">
        <f t="shared" si="125"/>
        <v>0</v>
      </c>
    </row>
    <row r="868" spans="2:27" ht="15.75" customHeight="1" x14ac:dyDescent="0.3">
      <c r="B868" s="25"/>
      <c r="C868" s="25"/>
      <c r="D868" s="25"/>
      <c r="E868" s="26" t="str">
        <f t="shared" si="117"/>
        <v/>
      </c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3" t="str">
        <f>IF($F868="","",IF(OR($B868="",$C868="",$D868=""),"⚠ Compléter Année/Niveau/Session",IF(AND($E868&lt;&gt;"",COUNTIF(D_KEY_DOUBLON,$B868&amp;"|"&amp;$D868&amp;"|"&amp;$E868)&gt;1),"⚠ Doublon",IF(AND($E868&lt;&gt;"",COUNTIF(D_KEY_STATUT,$B868&amp;"|"&amp;$E868&amp;"|P")&gt;0,COUNTIF(D_KEY_STATUT,$B868&amp;"|"&amp;$E868&amp;"|A")&gt;0),"⚠ Statut incohérent",IF(AND($D868="S1",$Y868&lt;&gt;"Parti",COUNTIF(ANNEES_VERROU,$B868)&gt;0,COUNTIF(D_KEY_NIVSES,$B868&amp;"|"&amp;$C868&amp;"|S2")&gt;0,COUNTIF(D_KEY_DOUBLON,$B868&amp;"|S2|"&amp;$E868)=0),"⚠ Départ non confirmé ?",IF(AND($C868&lt;&gt;"",ISNUMBER($I868),OR(VALUE(LEFT($B868,4))-$I868&lt;4+IFERROR(MATCH($C868,LISTE_NIVEAUX,0),99),VALUE(LEFT($B868,4))-$I868&gt;6+IFERROR(MATCH($C868,LISTE_NIVEAUX,0),99))),"⚠ Vérifier niveau",IF(AND(IFERROR(VLOOKUP($C868,TABLE_CYCLE,2,0),3)=2,COUNT($O868:$Q868)&gt;0),"⚠ Tests cycle 3",IF(COUNT($J868:$Q868)&gt;=IF(IFERROR(VLOOKUP($C868,TABLE_CYCLE,2,0),3)=2,5,8),"Complet","Incomplet"))))))))</f>
        <v/>
      </c>
      <c r="S868" s="24"/>
      <c r="T868" s="67" t="str">
        <f t="shared" si="118"/>
        <v/>
      </c>
      <c r="U868" s="67" t="str">
        <f t="shared" si="119"/>
        <v/>
      </c>
      <c r="V868" s="67" t="str">
        <f t="shared" si="120"/>
        <v/>
      </c>
      <c r="W868" s="67" t="str">
        <f t="shared" si="121"/>
        <v/>
      </c>
      <c r="X868" s="67" t="str">
        <f t="shared" si="122"/>
        <v/>
      </c>
      <c r="Y868" s="24" t="str">
        <f t="shared" si="123"/>
        <v/>
      </c>
      <c r="Z868">
        <f t="shared" si="124"/>
        <v>0</v>
      </c>
      <c r="AA868">
        <f t="shared" si="125"/>
        <v>0</v>
      </c>
    </row>
    <row r="869" spans="2:27" ht="15.75" customHeight="1" x14ac:dyDescent="0.3">
      <c r="B869" s="21"/>
      <c r="C869" s="21"/>
      <c r="D869" s="21"/>
      <c r="E869" s="22" t="str">
        <f t="shared" si="117"/>
        <v/>
      </c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3" t="str">
        <f>IF($F869="","",IF(OR($B869="",$C869="",$D869=""),"⚠ Compléter Année/Niveau/Session",IF(AND($E869&lt;&gt;"",COUNTIF(D_KEY_DOUBLON,$B869&amp;"|"&amp;$D869&amp;"|"&amp;$E869)&gt;1),"⚠ Doublon",IF(AND($E869&lt;&gt;"",COUNTIF(D_KEY_STATUT,$B869&amp;"|"&amp;$E869&amp;"|P")&gt;0,COUNTIF(D_KEY_STATUT,$B869&amp;"|"&amp;$E869&amp;"|A")&gt;0),"⚠ Statut incohérent",IF(AND($D869="S1",$Y869&lt;&gt;"Parti",COUNTIF(ANNEES_VERROU,$B869)&gt;0,COUNTIF(D_KEY_NIVSES,$B869&amp;"|"&amp;$C869&amp;"|S2")&gt;0,COUNTIF(D_KEY_DOUBLON,$B869&amp;"|S2|"&amp;$E869)=0),"⚠ Départ non confirmé ?",IF(AND($C869&lt;&gt;"",ISNUMBER($I869),OR(VALUE(LEFT($B869,4))-$I869&lt;4+IFERROR(MATCH($C869,LISTE_NIVEAUX,0),99),VALUE(LEFT($B869,4))-$I869&gt;6+IFERROR(MATCH($C869,LISTE_NIVEAUX,0),99))),"⚠ Vérifier niveau",IF(AND(IFERROR(VLOOKUP($C869,TABLE_CYCLE,2,0),3)=2,COUNT($O869:$Q869)&gt;0),"⚠ Tests cycle 3",IF(COUNT($J869:$Q869)&gt;=IF(IFERROR(VLOOKUP($C869,TABLE_CYCLE,2,0),3)=2,5,8),"Complet","Incomplet"))))))))</f>
        <v/>
      </c>
      <c r="S869" s="24"/>
      <c r="T869" s="67" t="str">
        <f t="shared" si="118"/>
        <v/>
      </c>
      <c r="U869" s="67" t="str">
        <f t="shared" si="119"/>
        <v/>
      </c>
      <c r="V869" s="67" t="str">
        <f t="shared" si="120"/>
        <v/>
      </c>
      <c r="W869" s="67" t="str">
        <f t="shared" si="121"/>
        <v/>
      </c>
      <c r="X869" s="67" t="str">
        <f t="shared" si="122"/>
        <v/>
      </c>
      <c r="Y869" s="24" t="str">
        <f t="shared" si="123"/>
        <v/>
      </c>
      <c r="Z869">
        <f t="shared" si="124"/>
        <v>0</v>
      </c>
      <c r="AA869">
        <f t="shared" si="125"/>
        <v>0</v>
      </c>
    </row>
    <row r="870" spans="2:27" ht="15.75" customHeight="1" x14ac:dyDescent="0.3">
      <c r="B870" s="25"/>
      <c r="C870" s="25"/>
      <c r="D870" s="25"/>
      <c r="E870" s="26" t="str">
        <f t="shared" si="117"/>
        <v/>
      </c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3" t="str">
        <f>IF($F870="","",IF(OR($B870="",$C870="",$D870=""),"⚠ Compléter Année/Niveau/Session",IF(AND($E870&lt;&gt;"",COUNTIF(D_KEY_DOUBLON,$B870&amp;"|"&amp;$D870&amp;"|"&amp;$E870)&gt;1),"⚠ Doublon",IF(AND($E870&lt;&gt;"",COUNTIF(D_KEY_STATUT,$B870&amp;"|"&amp;$E870&amp;"|P")&gt;0,COUNTIF(D_KEY_STATUT,$B870&amp;"|"&amp;$E870&amp;"|A")&gt;0),"⚠ Statut incohérent",IF(AND($D870="S1",$Y870&lt;&gt;"Parti",COUNTIF(ANNEES_VERROU,$B870)&gt;0,COUNTIF(D_KEY_NIVSES,$B870&amp;"|"&amp;$C870&amp;"|S2")&gt;0,COUNTIF(D_KEY_DOUBLON,$B870&amp;"|S2|"&amp;$E870)=0),"⚠ Départ non confirmé ?",IF(AND($C870&lt;&gt;"",ISNUMBER($I870),OR(VALUE(LEFT($B870,4))-$I870&lt;4+IFERROR(MATCH($C870,LISTE_NIVEAUX,0),99),VALUE(LEFT($B870,4))-$I870&gt;6+IFERROR(MATCH($C870,LISTE_NIVEAUX,0),99))),"⚠ Vérifier niveau",IF(AND(IFERROR(VLOOKUP($C870,TABLE_CYCLE,2,0),3)=2,COUNT($O870:$Q870)&gt;0),"⚠ Tests cycle 3",IF(COUNT($J870:$Q870)&gt;=IF(IFERROR(VLOOKUP($C870,TABLE_CYCLE,2,0),3)=2,5,8),"Complet","Incomplet"))))))))</f>
        <v/>
      </c>
      <c r="S870" s="24"/>
      <c r="T870" s="67" t="str">
        <f t="shared" si="118"/>
        <v/>
      </c>
      <c r="U870" s="67" t="str">
        <f t="shared" si="119"/>
        <v/>
      </c>
      <c r="V870" s="67" t="str">
        <f t="shared" si="120"/>
        <v/>
      </c>
      <c r="W870" s="67" t="str">
        <f t="shared" si="121"/>
        <v/>
      </c>
      <c r="X870" s="67" t="str">
        <f t="shared" si="122"/>
        <v/>
      </c>
      <c r="Y870" s="24" t="str">
        <f t="shared" si="123"/>
        <v/>
      </c>
      <c r="Z870">
        <f t="shared" si="124"/>
        <v>0</v>
      </c>
      <c r="AA870">
        <f t="shared" si="125"/>
        <v>0</v>
      </c>
    </row>
    <row r="871" spans="2:27" ht="15.75" customHeight="1" x14ac:dyDescent="0.3">
      <c r="B871" s="21"/>
      <c r="C871" s="21"/>
      <c r="D871" s="21"/>
      <c r="E871" s="22" t="str">
        <f t="shared" si="117"/>
        <v/>
      </c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3" t="str">
        <f>IF($F871="","",IF(OR($B871="",$C871="",$D871=""),"⚠ Compléter Année/Niveau/Session",IF(AND($E871&lt;&gt;"",COUNTIF(D_KEY_DOUBLON,$B871&amp;"|"&amp;$D871&amp;"|"&amp;$E871)&gt;1),"⚠ Doublon",IF(AND($E871&lt;&gt;"",COUNTIF(D_KEY_STATUT,$B871&amp;"|"&amp;$E871&amp;"|P")&gt;0,COUNTIF(D_KEY_STATUT,$B871&amp;"|"&amp;$E871&amp;"|A")&gt;0),"⚠ Statut incohérent",IF(AND($D871="S1",$Y871&lt;&gt;"Parti",COUNTIF(ANNEES_VERROU,$B871)&gt;0,COUNTIF(D_KEY_NIVSES,$B871&amp;"|"&amp;$C871&amp;"|S2")&gt;0,COUNTIF(D_KEY_DOUBLON,$B871&amp;"|S2|"&amp;$E871)=0),"⚠ Départ non confirmé ?",IF(AND($C871&lt;&gt;"",ISNUMBER($I871),OR(VALUE(LEFT($B871,4))-$I871&lt;4+IFERROR(MATCH($C871,LISTE_NIVEAUX,0),99),VALUE(LEFT($B871,4))-$I871&gt;6+IFERROR(MATCH($C871,LISTE_NIVEAUX,0),99))),"⚠ Vérifier niveau",IF(AND(IFERROR(VLOOKUP($C871,TABLE_CYCLE,2,0),3)=2,COUNT($O871:$Q871)&gt;0),"⚠ Tests cycle 3",IF(COUNT($J871:$Q871)&gt;=IF(IFERROR(VLOOKUP($C871,TABLE_CYCLE,2,0),3)=2,5,8),"Complet","Incomplet"))))))))</f>
        <v/>
      </c>
      <c r="S871" s="24"/>
      <c r="T871" s="67" t="str">
        <f t="shared" si="118"/>
        <v/>
      </c>
      <c r="U871" s="67" t="str">
        <f t="shared" si="119"/>
        <v/>
      </c>
      <c r="V871" s="67" t="str">
        <f t="shared" si="120"/>
        <v/>
      </c>
      <c r="W871" s="67" t="str">
        <f t="shared" si="121"/>
        <v/>
      </c>
      <c r="X871" s="67" t="str">
        <f t="shared" si="122"/>
        <v/>
      </c>
      <c r="Y871" s="24" t="str">
        <f t="shared" si="123"/>
        <v/>
      </c>
      <c r="Z871">
        <f t="shared" si="124"/>
        <v>0</v>
      </c>
      <c r="AA871">
        <f t="shared" si="125"/>
        <v>0</v>
      </c>
    </row>
    <row r="872" spans="2:27" ht="15.75" customHeight="1" x14ac:dyDescent="0.3">
      <c r="B872" s="25"/>
      <c r="C872" s="25"/>
      <c r="D872" s="25"/>
      <c r="E872" s="26" t="str">
        <f t="shared" si="117"/>
        <v/>
      </c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3" t="str">
        <f>IF($F872="","",IF(OR($B872="",$C872="",$D872=""),"⚠ Compléter Année/Niveau/Session",IF(AND($E872&lt;&gt;"",COUNTIF(D_KEY_DOUBLON,$B872&amp;"|"&amp;$D872&amp;"|"&amp;$E872)&gt;1),"⚠ Doublon",IF(AND($E872&lt;&gt;"",COUNTIF(D_KEY_STATUT,$B872&amp;"|"&amp;$E872&amp;"|P")&gt;0,COUNTIF(D_KEY_STATUT,$B872&amp;"|"&amp;$E872&amp;"|A")&gt;0),"⚠ Statut incohérent",IF(AND($D872="S1",$Y872&lt;&gt;"Parti",COUNTIF(ANNEES_VERROU,$B872)&gt;0,COUNTIF(D_KEY_NIVSES,$B872&amp;"|"&amp;$C872&amp;"|S2")&gt;0,COUNTIF(D_KEY_DOUBLON,$B872&amp;"|S2|"&amp;$E872)=0),"⚠ Départ non confirmé ?",IF(AND($C872&lt;&gt;"",ISNUMBER($I872),OR(VALUE(LEFT($B872,4))-$I872&lt;4+IFERROR(MATCH($C872,LISTE_NIVEAUX,0),99),VALUE(LEFT($B872,4))-$I872&gt;6+IFERROR(MATCH($C872,LISTE_NIVEAUX,0),99))),"⚠ Vérifier niveau",IF(AND(IFERROR(VLOOKUP($C872,TABLE_CYCLE,2,0),3)=2,COUNT($O872:$Q872)&gt;0),"⚠ Tests cycle 3",IF(COUNT($J872:$Q872)&gt;=IF(IFERROR(VLOOKUP($C872,TABLE_CYCLE,2,0),3)=2,5,8),"Complet","Incomplet"))))))))</f>
        <v/>
      </c>
      <c r="S872" s="24"/>
      <c r="T872" s="67" t="str">
        <f t="shared" si="118"/>
        <v/>
      </c>
      <c r="U872" s="67" t="str">
        <f t="shared" si="119"/>
        <v/>
      </c>
      <c r="V872" s="67" t="str">
        <f t="shared" si="120"/>
        <v/>
      </c>
      <c r="W872" s="67" t="str">
        <f t="shared" si="121"/>
        <v/>
      </c>
      <c r="X872" s="67" t="str">
        <f t="shared" si="122"/>
        <v/>
      </c>
      <c r="Y872" s="24" t="str">
        <f t="shared" si="123"/>
        <v/>
      </c>
      <c r="Z872">
        <f t="shared" si="124"/>
        <v>0</v>
      </c>
      <c r="AA872">
        <f t="shared" si="125"/>
        <v>0</v>
      </c>
    </row>
    <row r="873" spans="2:27" ht="15.75" customHeight="1" x14ac:dyDescent="0.3">
      <c r="B873" s="21"/>
      <c r="C873" s="21"/>
      <c r="D873" s="21"/>
      <c r="E873" s="22" t="str">
        <f t="shared" si="117"/>
        <v/>
      </c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3" t="str">
        <f>IF($F873="","",IF(OR($B873="",$C873="",$D873=""),"⚠ Compléter Année/Niveau/Session",IF(AND($E873&lt;&gt;"",COUNTIF(D_KEY_DOUBLON,$B873&amp;"|"&amp;$D873&amp;"|"&amp;$E873)&gt;1),"⚠ Doublon",IF(AND($E873&lt;&gt;"",COUNTIF(D_KEY_STATUT,$B873&amp;"|"&amp;$E873&amp;"|P")&gt;0,COUNTIF(D_KEY_STATUT,$B873&amp;"|"&amp;$E873&amp;"|A")&gt;0),"⚠ Statut incohérent",IF(AND($D873="S1",$Y873&lt;&gt;"Parti",COUNTIF(ANNEES_VERROU,$B873)&gt;0,COUNTIF(D_KEY_NIVSES,$B873&amp;"|"&amp;$C873&amp;"|S2")&gt;0,COUNTIF(D_KEY_DOUBLON,$B873&amp;"|S2|"&amp;$E873)=0),"⚠ Départ non confirmé ?",IF(AND($C873&lt;&gt;"",ISNUMBER($I873),OR(VALUE(LEFT($B873,4))-$I873&lt;4+IFERROR(MATCH($C873,LISTE_NIVEAUX,0),99),VALUE(LEFT($B873,4))-$I873&gt;6+IFERROR(MATCH($C873,LISTE_NIVEAUX,0),99))),"⚠ Vérifier niveau",IF(AND(IFERROR(VLOOKUP($C873,TABLE_CYCLE,2,0),3)=2,COUNT($O873:$Q873)&gt;0),"⚠ Tests cycle 3",IF(COUNT($J873:$Q873)&gt;=IF(IFERROR(VLOOKUP($C873,TABLE_CYCLE,2,0),3)=2,5,8),"Complet","Incomplet"))))))))</f>
        <v/>
      </c>
      <c r="S873" s="24"/>
      <c r="T873" s="67" t="str">
        <f t="shared" si="118"/>
        <v/>
      </c>
      <c r="U873" s="67" t="str">
        <f t="shared" si="119"/>
        <v/>
      </c>
      <c r="V873" s="67" t="str">
        <f t="shared" si="120"/>
        <v/>
      </c>
      <c r="W873" s="67" t="str">
        <f t="shared" si="121"/>
        <v/>
      </c>
      <c r="X873" s="67" t="str">
        <f t="shared" si="122"/>
        <v/>
      </c>
      <c r="Y873" s="24" t="str">
        <f t="shared" si="123"/>
        <v/>
      </c>
      <c r="Z873">
        <f t="shared" si="124"/>
        <v>0</v>
      </c>
      <c r="AA873">
        <f t="shared" si="125"/>
        <v>0</v>
      </c>
    </row>
    <row r="874" spans="2:27" ht="15.75" customHeight="1" x14ac:dyDescent="0.3">
      <c r="B874" s="25"/>
      <c r="C874" s="25"/>
      <c r="D874" s="25"/>
      <c r="E874" s="26" t="str">
        <f t="shared" si="117"/>
        <v/>
      </c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3" t="str">
        <f>IF($F874="","",IF(OR($B874="",$C874="",$D874=""),"⚠ Compléter Année/Niveau/Session",IF(AND($E874&lt;&gt;"",COUNTIF(D_KEY_DOUBLON,$B874&amp;"|"&amp;$D874&amp;"|"&amp;$E874)&gt;1),"⚠ Doublon",IF(AND($E874&lt;&gt;"",COUNTIF(D_KEY_STATUT,$B874&amp;"|"&amp;$E874&amp;"|P")&gt;0,COUNTIF(D_KEY_STATUT,$B874&amp;"|"&amp;$E874&amp;"|A")&gt;0),"⚠ Statut incohérent",IF(AND($D874="S1",$Y874&lt;&gt;"Parti",COUNTIF(ANNEES_VERROU,$B874)&gt;0,COUNTIF(D_KEY_NIVSES,$B874&amp;"|"&amp;$C874&amp;"|S2")&gt;0,COUNTIF(D_KEY_DOUBLON,$B874&amp;"|S2|"&amp;$E874)=0),"⚠ Départ non confirmé ?",IF(AND($C874&lt;&gt;"",ISNUMBER($I874),OR(VALUE(LEFT($B874,4))-$I874&lt;4+IFERROR(MATCH($C874,LISTE_NIVEAUX,0),99),VALUE(LEFT($B874,4))-$I874&gt;6+IFERROR(MATCH($C874,LISTE_NIVEAUX,0),99))),"⚠ Vérifier niveau",IF(AND(IFERROR(VLOOKUP($C874,TABLE_CYCLE,2,0),3)=2,COUNT($O874:$Q874)&gt;0),"⚠ Tests cycle 3",IF(COUNT($J874:$Q874)&gt;=IF(IFERROR(VLOOKUP($C874,TABLE_CYCLE,2,0),3)=2,5,8),"Complet","Incomplet"))))))))</f>
        <v/>
      </c>
      <c r="S874" s="24"/>
      <c r="T874" s="67" t="str">
        <f t="shared" si="118"/>
        <v/>
      </c>
      <c r="U874" s="67" t="str">
        <f t="shared" si="119"/>
        <v/>
      </c>
      <c r="V874" s="67" t="str">
        <f t="shared" si="120"/>
        <v/>
      </c>
      <c r="W874" s="67" t="str">
        <f t="shared" si="121"/>
        <v/>
      </c>
      <c r="X874" s="67" t="str">
        <f t="shared" si="122"/>
        <v/>
      </c>
      <c r="Y874" s="24" t="str">
        <f t="shared" si="123"/>
        <v/>
      </c>
      <c r="Z874">
        <f t="shared" si="124"/>
        <v>0</v>
      </c>
      <c r="AA874">
        <f t="shared" si="125"/>
        <v>0</v>
      </c>
    </row>
    <row r="875" spans="2:27" ht="15.75" customHeight="1" x14ac:dyDescent="0.3">
      <c r="B875" s="21"/>
      <c r="C875" s="21"/>
      <c r="D875" s="21"/>
      <c r="E875" s="22" t="str">
        <f t="shared" si="117"/>
        <v/>
      </c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3" t="str">
        <f>IF($F875="","",IF(OR($B875="",$C875="",$D875=""),"⚠ Compléter Année/Niveau/Session",IF(AND($E875&lt;&gt;"",COUNTIF(D_KEY_DOUBLON,$B875&amp;"|"&amp;$D875&amp;"|"&amp;$E875)&gt;1),"⚠ Doublon",IF(AND($E875&lt;&gt;"",COUNTIF(D_KEY_STATUT,$B875&amp;"|"&amp;$E875&amp;"|P")&gt;0,COUNTIF(D_KEY_STATUT,$B875&amp;"|"&amp;$E875&amp;"|A")&gt;0),"⚠ Statut incohérent",IF(AND($D875="S1",$Y875&lt;&gt;"Parti",COUNTIF(ANNEES_VERROU,$B875)&gt;0,COUNTIF(D_KEY_NIVSES,$B875&amp;"|"&amp;$C875&amp;"|S2")&gt;0,COUNTIF(D_KEY_DOUBLON,$B875&amp;"|S2|"&amp;$E875)=0),"⚠ Départ non confirmé ?",IF(AND($C875&lt;&gt;"",ISNUMBER($I875),OR(VALUE(LEFT($B875,4))-$I875&lt;4+IFERROR(MATCH($C875,LISTE_NIVEAUX,0),99),VALUE(LEFT($B875,4))-$I875&gt;6+IFERROR(MATCH($C875,LISTE_NIVEAUX,0),99))),"⚠ Vérifier niveau",IF(AND(IFERROR(VLOOKUP($C875,TABLE_CYCLE,2,0),3)=2,COUNT($O875:$Q875)&gt;0),"⚠ Tests cycle 3",IF(COUNT($J875:$Q875)&gt;=IF(IFERROR(VLOOKUP($C875,TABLE_CYCLE,2,0),3)=2,5,8),"Complet","Incomplet"))))))))</f>
        <v/>
      </c>
      <c r="S875" s="24"/>
      <c r="T875" s="67" t="str">
        <f t="shared" si="118"/>
        <v/>
      </c>
      <c r="U875" s="67" t="str">
        <f t="shared" si="119"/>
        <v/>
      </c>
      <c r="V875" s="67" t="str">
        <f t="shared" si="120"/>
        <v/>
      </c>
      <c r="W875" s="67" t="str">
        <f t="shared" si="121"/>
        <v/>
      </c>
      <c r="X875" s="67" t="str">
        <f t="shared" si="122"/>
        <v/>
      </c>
      <c r="Y875" s="24" t="str">
        <f t="shared" si="123"/>
        <v/>
      </c>
      <c r="Z875">
        <f t="shared" si="124"/>
        <v>0</v>
      </c>
      <c r="AA875">
        <f t="shared" si="125"/>
        <v>0</v>
      </c>
    </row>
    <row r="876" spans="2:27" ht="15.75" customHeight="1" x14ac:dyDescent="0.3">
      <c r="B876" s="25"/>
      <c r="C876" s="25"/>
      <c r="D876" s="25"/>
      <c r="E876" s="26" t="str">
        <f t="shared" si="117"/>
        <v/>
      </c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3" t="str">
        <f>IF($F876="","",IF(OR($B876="",$C876="",$D876=""),"⚠ Compléter Année/Niveau/Session",IF(AND($E876&lt;&gt;"",COUNTIF(D_KEY_DOUBLON,$B876&amp;"|"&amp;$D876&amp;"|"&amp;$E876)&gt;1),"⚠ Doublon",IF(AND($E876&lt;&gt;"",COUNTIF(D_KEY_STATUT,$B876&amp;"|"&amp;$E876&amp;"|P")&gt;0,COUNTIF(D_KEY_STATUT,$B876&amp;"|"&amp;$E876&amp;"|A")&gt;0),"⚠ Statut incohérent",IF(AND($D876="S1",$Y876&lt;&gt;"Parti",COUNTIF(ANNEES_VERROU,$B876)&gt;0,COUNTIF(D_KEY_NIVSES,$B876&amp;"|"&amp;$C876&amp;"|S2")&gt;0,COUNTIF(D_KEY_DOUBLON,$B876&amp;"|S2|"&amp;$E876)=0),"⚠ Départ non confirmé ?",IF(AND($C876&lt;&gt;"",ISNUMBER($I876),OR(VALUE(LEFT($B876,4))-$I876&lt;4+IFERROR(MATCH($C876,LISTE_NIVEAUX,0),99),VALUE(LEFT($B876,4))-$I876&gt;6+IFERROR(MATCH($C876,LISTE_NIVEAUX,0),99))),"⚠ Vérifier niveau",IF(AND(IFERROR(VLOOKUP($C876,TABLE_CYCLE,2,0),3)=2,COUNT($O876:$Q876)&gt;0),"⚠ Tests cycle 3",IF(COUNT($J876:$Q876)&gt;=IF(IFERROR(VLOOKUP($C876,TABLE_CYCLE,2,0),3)=2,5,8),"Complet","Incomplet"))))))))</f>
        <v/>
      </c>
      <c r="S876" s="24"/>
      <c r="T876" s="67" t="str">
        <f t="shared" si="118"/>
        <v/>
      </c>
      <c r="U876" s="67" t="str">
        <f t="shared" si="119"/>
        <v/>
      </c>
      <c r="V876" s="67" t="str">
        <f t="shared" si="120"/>
        <v/>
      </c>
      <c r="W876" s="67" t="str">
        <f t="shared" si="121"/>
        <v/>
      </c>
      <c r="X876" s="67" t="str">
        <f t="shared" si="122"/>
        <v/>
      </c>
      <c r="Y876" s="24" t="str">
        <f t="shared" si="123"/>
        <v/>
      </c>
      <c r="Z876">
        <f t="shared" si="124"/>
        <v>0</v>
      </c>
      <c r="AA876">
        <f t="shared" si="125"/>
        <v>0</v>
      </c>
    </row>
    <row r="877" spans="2:27" ht="15.75" customHeight="1" x14ac:dyDescent="0.3">
      <c r="B877" s="21"/>
      <c r="C877" s="21"/>
      <c r="D877" s="21"/>
      <c r="E877" s="22" t="str">
        <f t="shared" si="117"/>
        <v/>
      </c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3" t="str">
        <f>IF($F877="","",IF(OR($B877="",$C877="",$D877=""),"⚠ Compléter Année/Niveau/Session",IF(AND($E877&lt;&gt;"",COUNTIF(D_KEY_DOUBLON,$B877&amp;"|"&amp;$D877&amp;"|"&amp;$E877)&gt;1),"⚠ Doublon",IF(AND($E877&lt;&gt;"",COUNTIF(D_KEY_STATUT,$B877&amp;"|"&amp;$E877&amp;"|P")&gt;0,COUNTIF(D_KEY_STATUT,$B877&amp;"|"&amp;$E877&amp;"|A")&gt;0),"⚠ Statut incohérent",IF(AND($D877="S1",$Y877&lt;&gt;"Parti",COUNTIF(ANNEES_VERROU,$B877)&gt;0,COUNTIF(D_KEY_NIVSES,$B877&amp;"|"&amp;$C877&amp;"|S2")&gt;0,COUNTIF(D_KEY_DOUBLON,$B877&amp;"|S2|"&amp;$E877)=0),"⚠ Départ non confirmé ?",IF(AND($C877&lt;&gt;"",ISNUMBER($I877),OR(VALUE(LEFT($B877,4))-$I877&lt;4+IFERROR(MATCH($C877,LISTE_NIVEAUX,0),99),VALUE(LEFT($B877,4))-$I877&gt;6+IFERROR(MATCH($C877,LISTE_NIVEAUX,0),99))),"⚠ Vérifier niveau",IF(AND(IFERROR(VLOOKUP($C877,TABLE_CYCLE,2,0),3)=2,COUNT($O877:$Q877)&gt;0),"⚠ Tests cycle 3",IF(COUNT($J877:$Q877)&gt;=IF(IFERROR(VLOOKUP($C877,TABLE_CYCLE,2,0),3)=2,5,8),"Complet","Incomplet"))))))))</f>
        <v/>
      </c>
      <c r="S877" s="24"/>
      <c r="T877" s="67" t="str">
        <f t="shared" si="118"/>
        <v/>
      </c>
      <c r="U877" s="67" t="str">
        <f t="shared" si="119"/>
        <v/>
      </c>
      <c r="V877" s="67" t="str">
        <f t="shared" si="120"/>
        <v/>
      </c>
      <c r="W877" s="67" t="str">
        <f t="shared" si="121"/>
        <v/>
      </c>
      <c r="X877" s="67" t="str">
        <f t="shared" si="122"/>
        <v/>
      </c>
      <c r="Y877" s="24" t="str">
        <f t="shared" si="123"/>
        <v/>
      </c>
      <c r="Z877">
        <f t="shared" si="124"/>
        <v>0</v>
      </c>
      <c r="AA877">
        <f t="shared" si="125"/>
        <v>0</v>
      </c>
    </row>
    <row r="878" spans="2:27" ht="15.75" customHeight="1" x14ac:dyDescent="0.3">
      <c r="B878" s="25"/>
      <c r="C878" s="25"/>
      <c r="D878" s="25"/>
      <c r="E878" s="26" t="str">
        <f t="shared" si="117"/>
        <v/>
      </c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3" t="str">
        <f>IF($F878="","",IF(OR($B878="",$C878="",$D878=""),"⚠ Compléter Année/Niveau/Session",IF(AND($E878&lt;&gt;"",COUNTIF(D_KEY_DOUBLON,$B878&amp;"|"&amp;$D878&amp;"|"&amp;$E878)&gt;1),"⚠ Doublon",IF(AND($E878&lt;&gt;"",COUNTIF(D_KEY_STATUT,$B878&amp;"|"&amp;$E878&amp;"|P")&gt;0,COUNTIF(D_KEY_STATUT,$B878&amp;"|"&amp;$E878&amp;"|A")&gt;0),"⚠ Statut incohérent",IF(AND($D878="S1",$Y878&lt;&gt;"Parti",COUNTIF(ANNEES_VERROU,$B878)&gt;0,COUNTIF(D_KEY_NIVSES,$B878&amp;"|"&amp;$C878&amp;"|S2")&gt;0,COUNTIF(D_KEY_DOUBLON,$B878&amp;"|S2|"&amp;$E878)=0),"⚠ Départ non confirmé ?",IF(AND($C878&lt;&gt;"",ISNUMBER($I878),OR(VALUE(LEFT($B878,4))-$I878&lt;4+IFERROR(MATCH($C878,LISTE_NIVEAUX,0),99),VALUE(LEFT($B878,4))-$I878&gt;6+IFERROR(MATCH($C878,LISTE_NIVEAUX,0),99))),"⚠ Vérifier niveau",IF(AND(IFERROR(VLOOKUP($C878,TABLE_CYCLE,2,0),3)=2,COUNT($O878:$Q878)&gt;0),"⚠ Tests cycle 3",IF(COUNT($J878:$Q878)&gt;=IF(IFERROR(VLOOKUP($C878,TABLE_CYCLE,2,0),3)=2,5,8),"Complet","Incomplet"))))))))</f>
        <v/>
      </c>
      <c r="S878" s="24"/>
      <c r="T878" s="67" t="str">
        <f t="shared" si="118"/>
        <v/>
      </c>
      <c r="U878" s="67" t="str">
        <f t="shared" si="119"/>
        <v/>
      </c>
      <c r="V878" s="67" t="str">
        <f t="shared" si="120"/>
        <v/>
      </c>
      <c r="W878" s="67" t="str">
        <f t="shared" si="121"/>
        <v/>
      </c>
      <c r="X878" s="67" t="str">
        <f t="shared" si="122"/>
        <v/>
      </c>
      <c r="Y878" s="24" t="str">
        <f t="shared" si="123"/>
        <v/>
      </c>
      <c r="Z878">
        <f t="shared" si="124"/>
        <v>0</v>
      </c>
      <c r="AA878">
        <f t="shared" si="125"/>
        <v>0</v>
      </c>
    </row>
    <row r="879" spans="2:27" ht="15.75" customHeight="1" x14ac:dyDescent="0.3">
      <c r="B879" s="21"/>
      <c r="C879" s="21"/>
      <c r="D879" s="21"/>
      <c r="E879" s="22" t="str">
        <f t="shared" si="117"/>
        <v/>
      </c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3" t="str">
        <f>IF($F879="","",IF(OR($B879="",$C879="",$D879=""),"⚠ Compléter Année/Niveau/Session",IF(AND($E879&lt;&gt;"",COUNTIF(D_KEY_DOUBLON,$B879&amp;"|"&amp;$D879&amp;"|"&amp;$E879)&gt;1),"⚠ Doublon",IF(AND($E879&lt;&gt;"",COUNTIF(D_KEY_STATUT,$B879&amp;"|"&amp;$E879&amp;"|P")&gt;0,COUNTIF(D_KEY_STATUT,$B879&amp;"|"&amp;$E879&amp;"|A")&gt;0),"⚠ Statut incohérent",IF(AND($D879="S1",$Y879&lt;&gt;"Parti",COUNTIF(ANNEES_VERROU,$B879)&gt;0,COUNTIF(D_KEY_NIVSES,$B879&amp;"|"&amp;$C879&amp;"|S2")&gt;0,COUNTIF(D_KEY_DOUBLON,$B879&amp;"|S2|"&amp;$E879)=0),"⚠ Départ non confirmé ?",IF(AND($C879&lt;&gt;"",ISNUMBER($I879),OR(VALUE(LEFT($B879,4))-$I879&lt;4+IFERROR(MATCH($C879,LISTE_NIVEAUX,0),99),VALUE(LEFT($B879,4))-$I879&gt;6+IFERROR(MATCH($C879,LISTE_NIVEAUX,0),99))),"⚠ Vérifier niveau",IF(AND(IFERROR(VLOOKUP($C879,TABLE_CYCLE,2,0),3)=2,COUNT($O879:$Q879)&gt;0),"⚠ Tests cycle 3",IF(COUNT($J879:$Q879)&gt;=IF(IFERROR(VLOOKUP($C879,TABLE_CYCLE,2,0),3)=2,5,8),"Complet","Incomplet"))))))))</f>
        <v/>
      </c>
      <c r="S879" s="24"/>
      <c r="T879" s="67" t="str">
        <f t="shared" si="118"/>
        <v/>
      </c>
      <c r="U879" s="67" t="str">
        <f t="shared" si="119"/>
        <v/>
      </c>
      <c r="V879" s="67" t="str">
        <f t="shared" si="120"/>
        <v/>
      </c>
      <c r="W879" s="67" t="str">
        <f t="shared" si="121"/>
        <v/>
      </c>
      <c r="X879" s="67" t="str">
        <f t="shared" si="122"/>
        <v/>
      </c>
      <c r="Y879" s="24" t="str">
        <f t="shared" si="123"/>
        <v/>
      </c>
      <c r="Z879">
        <f t="shared" si="124"/>
        <v>0</v>
      </c>
      <c r="AA879">
        <f t="shared" si="125"/>
        <v>0</v>
      </c>
    </row>
    <row r="880" spans="2:27" ht="15.75" customHeight="1" x14ac:dyDescent="0.3">
      <c r="B880" s="25"/>
      <c r="C880" s="25"/>
      <c r="D880" s="25"/>
      <c r="E880" s="26" t="str">
        <f t="shared" si="117"/>
        <v/>
      </c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3" t="str">
        <f>IF($F880="","",IF(OR($B880="",$C880="",$D880=""),"⚠ Compléter Année/Niveau/Session",IF(AND($E880&lt;&gt;"",COUNTIF(D_KEY_DOUBLON,$B880&amp;"|"&amp;$D880&amp;"|"&amp;$E880)&gt;1),"⚠ Doublon",IF(AND($E880&lt;&gt;"",COUNTIF(D_KEY_STATUT,$B880&amp;"|"&amp;$E880&amp;"|P")&gt;0,COUNTIF(D_KEY_STATUT,$B880&amp;"|"&amp;$E880&amp;"|A")&gt;0),"⚠ Statut incohérent",IF(AND($D880="S1",$Y880&lt;&gt;"Parti",COUNTIF(ANNEES_VERROU,$B880)&gt;0,COUNTIF(D_KEY_NIVSES,$B880&amp;"|"&amp;$C880&amp;"|S2")&gt;0,COUNTIF(D_KEY_DOUBLON,$B880&amp;"|S2|"&amp;$E880)=0),"⚠ Départ non confirmé ?",IF(AND($C880&lt;&gt;"",ISNUMBER($I880),OR(VALUE(LEFT($B880,4))-$I880&lt;4+IFERROR(MATCH($C880,LISTE_NIVEAUX,0),99),VALUE(LEFT($B880,4))-$I880&gt;6+IFERROR(MATCH($C880,LISTE_NIVEAUX,0),99))),"⚠ Vérifier niveau",IF(AND(IFERROR(VLOOKUP($C880,TABLE_CYCLE,2,0),3)=2,COUNT($O880:$Q880)&gt;0),"⚠ Tests cycle 3",IF(COUNT($J880:$Q880)&gt;=IF(IFERROR(VLOOKUP($C880,TABLE_CYCLE,2,0),3)=2,5,8),"Complet","Incomplet"))))))))</f>
        <v/>
      </c>
      <c r="S880" s="24"/>
      <c r="T880" s="67" t="str">
        <f t="shared" si="118"/>
        <v/>
      </c>
      <c r="U880" s="67" t="str">
        <f t="shared" si="119"/>
        <v/>
      </c>
      <c r="V880" s="67" t="str">
        <f t="shared" si="120"/>
        <v/>
      </c>
      <c r="W880" s="67" t="str">
        <f t="shared" si="121"/>
        <v/>
      </c>
      <c r="X880" s="67" t="str">
        <f t="shared" si="122"/>
        <v/>
      </c>
      <c r="Y880" s="24" t="str">
        <f t="shared" si="123"/>
        <v/>
      </c>
      <c r="Z880">
        <f t="shared" si="124"/>
        <v>0</v>
      </c>
      <c r="AA880">
        <f t="shared" si="125"/>
        <v>0</v>
      </c>
    </row>
    <row r="881" spans="2:27" ht="15.75" customHeight="1" x14ac:dyDescent="0.3">
      <c r="B881" s="21"/>
      <c r="C881" s="21"/>
      <c r="D881" s="21"/>
      <c r="E881" s="22" t="str">
        <f t="shared" si="117"/>
        <v/>
      </c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3" t="str">
        <f>IF($F881="","",IF(OR($B881="",$C881="",$D881=""),"⚠ Compléter Année/Niveau/Session",IF(AND($E881&lt;&gt;"",COUNTIF(D_KEY_DOUBLON,$B881&amp;"|"&amp;$D881&amp;"|"&amp;$E881)&gt;1),"⚠ Doublon",IF(AND($E881&lt;&gt;"",COUNTIF(D_KEY_STATUT,$B881&amp;"|"&amp;$E881&amp;"|P")&gt;0,COUNTIF(D_KEY_STATUT,$B881&amp;"|"&amp;$E881&amp;"|A")&gt;0),"⚠ Statut incohérent",IF(AND($D881="S1",$Y881&lt;&gt;"Parti",COUNTIF(ANNEES_VERROU,$B881)&gt;0,COUNTIF(D_KEY_NIVSES,$B881&amp;"|"&amp;$C881&amp;"|S2")&gt;0,COUNTIF(D_KEY_DOUBLON,$B881&amp;"|S2|"&amp;$E881)=0),"⚠ Départ non confirmé ?",IF(AND($C881&lt;&gt;"",ISNUMBER($I881),OR(VALUE(LEFT($B881,4))-$I881&lt;4+IFERROR(MATCH($C881,LISTE_NIVEAUX,0),99),VALUE(LEFT($B881,4))-$I881&gt;6+IFERROR(MATCH($C881,LISTE_NIVEAUX,0),99))),"⚠ Vérifier niveau",IF(AND(IFERROR(VLOOKUP($C881,TABLE_CYCLE,2,0),3)=2,COUNT($O881:$Q881)&gt;0),"⚠ Tests cycle 3",IF(COUNT($J881:$Q881)&gt;=IF(IFERROR(VLOOKUP($C881,TABLE_CYCLE,2,0),3)=2,5,8),"Complet","Incomplet"))))))))</f>
        <v/>
      </c>
      <c r="S881" s="24"/>
      <c r="T881" s="67" t="str">
        <f t="shared" si="118"/>
        <v/>
      </c>
      <c r="U881" s="67" t="str">
        <f t="shared" si="119"/>
        <v/>
      </c>
      <c r="V881" s="67" t="str">
        <f t="shared" si="120"/>
        <v/>
      </c>
      <c r="W881" s="67" t="str">
        <f t="shared" si="121"/>
        <v/>
      </c>
      <c r="X881" s="67" t="str">
        <f t="shared" si="122"/>
        <v/>
      </c>
      <c r="Y881" s="24" t="str">
        <f t="shared" si="123"/>
        <v/>
      </c>
      <c r="Z881">
        <f t="shared" si="124"/>
        <v>0</v>
      </c>
      <c r="AA881">
        <f t="shared" si="125"/>
        <v>0</v>
      </c>
    </row>
    <row r="882" spans="2:27" ht="15.75" customHeight="1" x14ac:dyDescent="0.3">
      <c r="B882" s="25"/>
      <c r="C882" s="25"/>
      <c r="D882" s="25"/>
      <c r="E882" s="26" t="str">
        <f t="shared" si="117"/>
        <v/>
      </c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3" t="str">
        <f>IF($F882="","",IF(OR($B882="",$C882="",$D882=""),"⚠ Compléter Année/Niveau/Session",IF(AND($E882&lt;&gt;"",COUNTIF(D_KEY_DOUBLON,$B882&amp;"|"&amp;$D882&amp;"|"&amp;$E882)&gt;1),"⚠ Doublon",IF(AND($E882&lt;&gt;"",COUNTIF(D_KEY_STATUT,$B882&amp;"|"&amp;$E882&amp;"|P")&gt;0,COUNTIF(D_KEY_STATUT,$B882&amp;"|"&amp;$E882&amp;"|A")&gt;0),"⚠ Statut incohérent",IF(AND($D882="S1",$Y882&lt;&gt;"Parti",COUNTIF(ANNEES_VERROU,$B882)&gt;0,COUNTIF(D_KEY_NIVSES,$B882&amp;"|"&amp;$C882&amp;"|S2")&gt;0,COUNTIF(D_KEY_DOUBLON,$B882&amp;"|S2|"&amp;$E882)=0),"⚠ Départ non confirmé ?",IF(AND($C882&lt;&gt;"",ISNUMBER($I882),OR(VALUE(LEFT($B882,4))-$I882&lt;4+IFERROR(MATCH($C882,LISTE_NIVEAUX,0),99),VALUE(LEFT($B882,4))-$I882&gt;6+IFERROR(MATCH($C882,LISTE_NIVEAUX,0),99))),"⚠ Vérifier niveau",IF(AND(IFERROR(VLOOKUP($C882,TABLE_CYCLE,2,0),3)=2,COUNT($O882:$Q882)&gt;0),"⚠ Tests cycle 3",IF(COUNT($J882:$Q882)&gt;=IF(IFERROR(VLOOKUP($C882,TABLE_CYCLE,2,0),3)=2,5,8),"Complet","Incomplet"))))))))</f>
        <v/>
      </c>
      <c r="S882" s="24"/>
      <c r="T882" s="67" t="str">
        <f t="shared" si="118"/>
        <v/>
      </c>
      <c r="U882" s="67" t="str">
        <f t="shared" si="119"/>
        <v/>
      </c>
      <c r="V882" s="67" t="str">
        <f t="shared" si="120"/>
        <v/>
      </c>
      <c r="W882" s="67" t="str">
        <f t="shared" si="121"/>
        <v/>
      </c>
      <c r="X882" s="67" t="str">
        <f t="shared" si="122"/>
        <v/>
      </c>
      <c r="Y882" s="24" t="str">
        <f t="shared" si="123"/>
        <v/>
      </c>
      <c r="Z882">
        <f t="shared" si="124"/>
        <v>0</v>
      </c>
      <c r="AA882">
        <f t="shared" si="125"/>
        <v>0</v>
      </c>
    </row>
    <row r="883" spans="2:27" ht="15.75" customHeight="1" x14ac:dyDescent="0.3">
      <c r="B883" s="21"/>
      <c r="C883" s="21"/>
      <c r="D883" s="21"/>
      <c r="E883" s="22" t="str">
        <f t="shared" si="117"/>
        <v/>
      </c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3" t="str">
        <f>IF($F883="","",IF(OR($B883="",$C883="",$D883=""),"⚠ Compléter Année/Niveau/Session",IF(AND($E883&lt;&gt;"",COUNTIF(D_KEY_DOUBLON,$B883&amp;"|"&amp;$D883&amp;"|"&amp;$E883)&gt;1),"⚠ Doublon",IF(AND($E883&lt;&gt;"",COUNTIF(D_KEY_STATUT,$B883&amp;"|"&amp;$E883&amp;"|P")&gt;0,COUNTIF(D_KEY_STATUT,$B883&amp;"|"&amp;$E883&amp;"|A")&gt;0),"⚠ Statut incohérent",IF(AND($D883="S1",$Y883&lt;&gt;"Parti",COUNTIF(ANNEES_VERROU,$B883)&gt;0,COUNTIF(D_KEY_NIVSES,$B883&amp;"|"&amp;$C883&amp;"|S2")&gt;0,COUNTIF(D_KEY_DOUBLON,$B883&amp;"|S2|"&amp;$E883)=0),"⚠ Départ non confirmé ?",IF(AND($C883&lt;&gt;"",ISNUMBER($I883),OR(VALUE(LEFT($B883,4))-$I883&lt;4+IFERROR(MATCH($C883,LISTE_NIVEAUX,0),99),VALUE(LEFT($B883,4))-$I883&gt;6+IFERROR(MATCH($C883,LISTE_NIVEAUX,0),99))),"⚠ Vérifier niveau",IF(AND(IFERROR(VLOOKUP($C883,TABLE_CYCLE,2,0),3)=2,COUNT($O883:$Q883)&gt;0),"⚠ Tests cycle 3",IF(COUNT($J883:$Q883)&gt;=IF(IFERROR(VLOOKUP($C883,TABLE_CYCLE,2,0),3)=2,5,8),"Complet","Incomplet"))))))))</f>
        <v/>
      </c>
      <c r="S883" s="24"/>
      <c r="T883" s="67" t="str">
        <f t="shared" si="118"/>
        <v/>
      </c>
      <c r="U883" s="67" t="str">
        <f t="shared" si="119"/>
        <v/>
      </c>
      <c r="V883" s="67" t="str">
        <f t="shared" si="120"/>
        <v/>
      </c>
      <c r="W883" s="67" t="str">
        <f t="shared" si="121"/>
        <v/>
      </c>
      <c r="X883" s="67" t="str">
        <f t="shared" si="122"/>
        <v/>
      </c>
      <c r="Y883" s="24" t="str">
        <f t="shared" si="123"/>
        <v/>
      </c>
      <c r="Z883">
        <f t="shared" si="124"/>
        <v>0</v>
      </c>
      <c r="AA883">
        <f t="shared" si="125"/>
        <v>0</v>
      </c>
    </row>
    <row r="884" spans="2:27" ht="15.75" customHeight="1" x14ac:dyDescent="0.3">
      <c r="B884" s="25"/>
      <c r="C884" s="25"/>
      <c r="D884" s="25"/>
      <c r="E884" s="26" t="str">
        <f t="shared" si="117"/>
        <v/>
      </c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3" t="str">
        <f>IF($F884="","",IF(OR($B884="",$C884="",$D884=""),"⚠ Compléter Année/Niveau/Session",IF(AND($E884&lt;&gt;"",COUNTIF(D_KEY_DOUBLON,$B884&amp;"|"&amp;$D884&amp;"|"&amp;$E884)&gt;1),"⚠ Doublon",IF(AND($E884&lt;&gt;"",COUNTIF(D_KEY_STATUT,$B884&amp;"|"&amp;$E884&amp;"|P")&gt;0,COUNTIF(D_KEY_STATUT,$B884&amp;"|"&amp;$E884&amp;"|A")&gt;0),"⚠ Statut incohérent",IF(AND($D884="S1",$Y884&lt;&gt;"Parti",COUNTIF(ANNEES_VERROU,$B884)&gt;0,COUNTIF(D_KEY_NIVSES,$B884&amp;"|"&amp;$C884&amp;"|S2")&gt;0,COUNTIF(D_KEY_DOUBLON,$B884&amp;"|S2|"&amp;$E884)=0),"⚠ Départ non confirmé ?",IF(AND($C884&lt;&gt;"",ISNUMBER($I884),OR(VALUE(LEFT($B884,4))-$I884&lt;4+IFERROR(MATCH($C884,LISTE_NIVEAUX,0),99),VALUE(LEFT($B884,4))-$I884&gt;6+IFERROR(MATCH($C884,LISTE_NIVEAUX,0),99))),"⚠ Vérifier niveau",IF(AND(IFERROR(VLOOKUP($C884,TABLE_CYCLE,2,0),3)=2,COUNT($O884:$Q884)&gt;0),"⚠ Tests cycle 3",IF(COUNT($J884:$Q884)&gt;=IF(IFERROR(VLOOKUP($C884,TABLE_CYCLE,2,0),3)=2,5,8),"Complet","Incomplet"))))))))</f>
        <v/>
      </c>
      <c r="S884" s="24"/>
      <c r="T884" s="67" t="str">
        <f t="shared" si="118"/>
        <v/>
      </c>
      <c r="U884" s="67" t="str">
        <f t="shared" si="119"/>
        <v/>
      </c>
      <c r="V884" s="67" t="str">
        <f t="shared" si="120"/>
        <v/>
      </c>
      <c r="W884" s="67" t="str">
        <f t="shared" si="121"/>
        <v/>
      </c>
      <c r="X884" s="67" t="str">
        <f t="shared" si="122"/>
        <v/>
      </c>
      <c r="Y884" s="24" t="str">
        <f t="shared" si="123"/>
        <v/>
      </c>
      <c r="Z884">
        <f t="shared" si="124"/>
        <v>0</v>
      </c>
      <c r="AA884">
        <f t="shared" si="125"/>
        <v>0</v>
      </c>
    </row>
    <row r="885" spans="2:27" ht="15.75" customHeight="1" x14ac:dyDescent="0.3">
      <c r="B885" s="21"/>
      <c r="C885" s="21"/>
      <c r="D885" s="21"/>
      <c r="E885" s="22" t="str">
        <f t="shared" si="117"/>
        <v/>
      </c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3" t="str">
        <f>IF($F885="","",IF(OR($B885="",$C885="",$D885=""),"⚠ Compléter Année/Niveau/Session",IF(AND($E885&lt;&gt;"",COUNTIF(D_KEY_DOUBLON,$B885&amp;"|"&amp;$D885&amp;"|"&amp;$E885)&gt;1),"⚠ Doublon",IF(AND($E885&lt;&gt;"",COUNTIF(D_KEY_STATUT,$B885&amp;"|"&amp;$E885&amp;"|P")&gt;0,COUNTIF(D_KEY_STATUT,$B885&amp;"|"&amp;$E885&amp;"|A")&gt;0),"⚠ Statut incohérent",IF(AND($D885="S1",$Y885&lt;&gt;"Parti",COUNTIF(ANNEES_VERROU,$B885)&gt;0,COUNTIF(D_KEY_NIVSES,$B885&amp;"|"&amp;$C885&amp;"|S2")&gt;0,COUNTIF(D_KEY_DOUBLON,$B885&amp;"|S2|"&amp;$E885)=0),"⚠ Départ non confirmé ?",IF(AND($C885&lt;&gt;"",ISNUMBER($I885),OR(VALUE(LEFT($B885,4))-$I885&lt;4+IFERROR(MATCH($C885,LISTE_NIVEAUX,0),99),VALUE(LEFT($B885,4))-$I885&gt;6+IFERROR(MATCH($C885,LISTE_NIVEAUX,0),99))),"⚠ Vérifier niveau",IF(AND(IFERROR(VLOOKUP($C885,TABLE_CYCLE,2,0),3)=2,COUNT($O885:$Q885)&gt;0),"⚠ Tests cycle 3",IF(COUNT($J885:$Q885)&gt;=IF(IFERROR(VLOOKUP($C885,TABLE_CYCLE,2,0),3)=2,5,8),"Complet","Incomplet"))))))))</f>
        <v/>
      </c>
      <c r="S885" s="24"/>
      <c r="T885" s="67" t="str">
        <f t="shared" si="118"/>
        <v/>
      </c>
      <c r="U885" s="67" t="str">
        <f t="shared" si="119"/>
        <v/>
      </c>
      <c r="V885" s="67" t="str">
        <f t="shared" si="120"/>
        <v/>
      </c>
      <c r="W885" s="67" t="str">
        <f t="shared" si="121"/>
        <v/>
      </c>
      <c r="X885" s="67" t="str">
        <f t="shared" si="122"/>
        <v/>
      </c>
      <c r="Y885" s="24" t="str">
        <f t="shared" si="123"/>
        <v/>
      </c>
      <c r="Z885">
        <f t="shared" si="124"/>
        <v>0</v>
      </c>
      <c r="AA885">
        <f t="shared" si="125"/>
        <v>0</v>
      </c>
    </row>
    <row r="886" spans="2:27" ht="15.75" customHeight="1" x14ac:dyDescent="0.3">
      <c r="B886" s="25"/>
      <c r="C886" s="25"/>
      <c r="D886" s="25"/>
      <c r="E886" s="26" t="str">
        <f t="shared" si="117"/>
        <v/>
      </c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3" t="str">
        <f>IF($F886="","",IF(OR($B886="",$C886="",$D886=""),"⚠ Compléter Année/Niveau/Session",IF(AND($E886&lt;&gt;"",COUNTIF(D_KEY_DOUBLON,$B886&amp;"|"&amp;$D886&amp;"|"&amp;$E886)&gt;1),"⚠ Doublon",IF(AND($E886&lt;&gt;"",COUNTIF(D_KEY_STATUT,$B886&amp;"|"&amp;$E886&amp;"|P")&gt;0,COUNTIF(D_KEY_STATUT,$B886&amp;"|"&amp;$E886&amp;"|A")&gt;0),"⚠ Statut incohérent",IF(AND($D886="S1",$Y886&lt;&gt;"Parti",COUNTIF(ANNEES_VERROU,$B886)&gt;0,COUNTIF(D_KEY_NIVSES,$B886&amp;"|"&amp;$C886&amp;"|S2")&gt;0,COUNTIF(D_KEY_DOUBLON,$B886&amp;"|S2|"&amp;$E886)=0),"⚠ Départ non confirmé ?",IF(AND($C886&lt;&gt;"",ISNUMBER($I886),OR(VALUE(LEFT($B886,4))-$I886&lt;4+IFERROR(MATCH($C886,LISTE_NIVEAUX,0),99),VALUE(LEFT($B886,4))-$I886&gt;6+IFERROR(MATCH($C886,LISTE_NIVEAUX,0),99))),"⚠ Vérifier niveau",IF(AND(IFERROR(VLOOKUP($C886,TABLE_CYCLE,2,0),3)=2,COUNT($O886:$Q886)&gt;0),"⚠ Tests cycle 3",IF(COUNT($J886:$Q886)&gt;=IF(IFERROR(VLOOKUP($C886,TABLE_CYCLE,2,0),3)=2,5,8),"Complet","Incomplet"))))))))</f>
        <v/>
      </c>
      <c r="S886" s="24"/>
      <c r="T886" s="67" t="str">
        <f t="shared" si="118"/>
        <v/>
      </c>
      <c r="U886" s="67" t="str">
        <f t="shared" si="119"/>
        <v/>
      </c>
      <c r="V886" s="67" t="str">
        <f t="shared" si="120"/>
        <v/>
      </c>
      <c r="W886" s="67" t="str">
        <f t="shared" si="121"/>
        <v/>
      </c>
      <c r="X886" s="67" t="str">
        <f t="shared" si="122"/>
        <v/>
      </c>
      <c r="Y886" s="24" t="str">
        <f t="shared" si="123"/>
        <v/>
      </c>
      <c r="Z886">
        <f t="shared" si="124"/>
        <v>0</v>
      </c>
      <c r="AA886">
        <f t="shared" si="125"/>
        <v>0</v>
      </c>
    </row>
    <row r="887" spans="2:27" ht="15.75" customHeight="1" x14ac:dyDescent="0.3">
      <c r="B887" s="21"/>
      <c r="C887" s="21"/>
      <c r="D887" s="21"/>
      <c r="E887" s="22" t="str">
        <f t="shared" si="117"/>
        <v/>
      </c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3" t="str">
        <f>IF($F887="","",IF(OR($B887="",$C887="",$D887=""),"⚠ Compléter Année/Niveau/Session",IF(AND($E887&lt;&gt;"",COUNTIF(D_KEY_DOUBLON,$B887&amp;"|"&amp;$D887&amp;"|"&amp;$E887)&gt;1),"⚠ Doublon",IF(AND($E887&lt;&gt;"",COUNTIF(D_KEY_STATUT,$B887&amp;"|"&amp;$E887&amp;"|P")&gt;0,COUNTIF(D_KEY_STATUT,$B887&amp;"|"&amp;$E887&amp;"|A")&gt;0),"⚠ Statut incohérent",IF(AND($D887="S1",$Y887&lt;&gt;"Parti",COUNTIF(ANNEES_VERROU,$B887)&gt;0,COUNTIF(D_KEY_NIVSES,$B887&amp;"|"&amp;$C887&amp;"|S2")&gt;0,COUNTIF(D_KEY_DOUBLON,$B887&amp;"|S2|"&amp;$E887)=0),"⚠ Départ non confirmé ?",IF(AND($C887&lt;&gt;"",ISNUMBER($I887),OR(VALUE(LEFT($B887,4))-$I887&lt;4+IFERROR(MATCH($C887,LISTE_NIVEAUX,0),99),VALUE(LEFT($B887,4))-$I887&gt;6+IFERROR(MATCH($C887,LISTE_NIVEAUX,0),99))),"⚠ Vérifier niveau",IF(AND(IFERROR(VLOOKUP($C887,TABLE_CYCLE,2,0),3)=2,COUNT($O887:$Q887)&gt;0),"⚠ Tests cycle 3",IF(COUNT($J887:$Q887)&gt;=IF(IFERROR(VLOOKUP($C887,TABLE_CYCLE,2,0),3)=2,5,8),"Complet","Incomplet"))))))))</f>
        <v/>
      </c>
      <c r="S887" s="24"/>
      <c r="T887" s="67" t="str">
        <f t="shared" si="118"/>
        <v/>
      </c>
      <c r="U887" s="67" t="str">
        <f t="shared" si="119"/>
        <v/>
      </c>
      <c r="V887" s="67" t="str">
        <f t="shared" si="120"/>
        <v/>
      </c>
      <c r="W887" s="67" t="str">
        <f t="shared" si="121"/>
        <v/>
      </c>
      <c r="X887" s="67" t="str">
        <f t="shared" si="122"/>
        <v/>
      </c>
      <c r="Y887" s="24" t="str">
        <f t="shared" si="123"/>
        <v/>
      </c>
      <c r="Z887">
        <f t="shared" si="124"/>
        <v>0</v>
      </c>
      <c r="AA887">
        <f t="shared" si="125"/>
        <v>0</v>
      </c>
    </row>
    <row r="888" spans="2:27" ht="15.75" customHeight="1" x14ac:dyDescent="0.3">
      <c r="B888" s="25"/>
      <c r="C888" s="25"/>
      <c r="D888" s="25"/>
      <c r="E888" s="26" t="str">
        <f t="shared" si="117"/>
        <v/>
      </c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3" t="str">
        <f>IF($F888="","",IF(OR($B888="",$C888="",$D888=""),"⚠ Compléter Année/Niveau/Session",IF(AND($E888&lt;&gt;"",COUNTIF(D_KEY_DOUBLON,$B888&amp;"|"&amp;$D888&amp;"|"&amp;$E888)&gt;1),"⚠ Doublon",IF(AND($E888&lt;&gt;"",COUNTIF(D_KEY_STATUT,$B888&amp;"|"&amp;$E888&amp;"|P")&gt;0,COUNTIF(D_KEY_STATUT,$B888&amp;"|"&amp;$E888&amp;"|A")&gt;0),"⚠ Statut incohérent",IF(AND($D888="S1",$Y888&lt;&gt;"Parti",COUNTIF(ANNEES_VERROU,$B888)&gt;0,COUNTIF(D_KEY_NIVSES,$B888&amp;"|"&amp;$C888&amp;"|S2")&gt;0,COUNTIF(D_KEY_DOUBLON,$B888&amp;"|S2|"&amp;$E888)=0),"⚠ Départ non confirmé ?",IF(AND($C888&lt;&gt;"",ISNUMBER($I888),OR(VALUE(LEFT($B888,4))-$I888&lt;4+IFERROR(MATCH($C888,LISTE_NIVEAUX,0),99),VALUE(LEFT($B888,4))-$I888&gt;6+IFERROR(MATCH($C888,LISTE_NIVEAUX,0),99))),"⚠ Vérifier niveau",IF(AND(IFERROR(VLOOKUP($C888,TABLE_CYCLE,2,0),3)=2,COUNT($O888:$Q888)&gt;0),"⚠ Tests cycle 3",IF(COUNT($J888:$Q888)&gt;=IF(IFERROR(VLOOKUP($C888,TABLE_CYCLE,2,0),3)=2,5,8),"Complet","Incomplet"))))))))</f>
        <v/>
      </c>
      <c r="S888" s="24"/>
      <c r="T888" s="67" t="str">
        <f t="shared" si="118"/>
        <v/>
      </c>
      <c r="U888" s="67" t="str">
        <f t="shared" si="119"/>
        <v/>
      </c>
      <c r="V888" s="67" t="str">
        <f t="shared" si="120"/>
        <v/>
      </c>
      <c r="W888" s="67" t="str">
        <f t="shared" si="121"/>
        <v/>
      </c>
      <c r="X888" s="67" t="str">
        <f t="shared" si="122"/>
        <v/>
      </c>
      <c r="Y888" s="24" t="str">
        <f t="shared" si="123"/>
        <v/>
      </c>
      <c r="Z888">
        <f t="shared" si="124"/>
        <v>0</v>
      </c>
      <c r="AA888">
        <f t="shared" si="125"/>
        <v>0</v>
      </c>
    </row>
    <row r="889" spans="2:27" ht="15.75" customHeight="1" x14ac:dyDescent="0.3">
      <c r="B889" s="21"/>
      <c r="C889" s="21"/>
      <c r="D889" s="21"/>
      <c r="E889" s="22" t="str">
        <f t="shared" si="117"/>
        <v/>
      </c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3" t="str">
        <f>IF($F889="","",IF(OR($B889="",$C889="",$D889=""),"⚠ Compléter Année/Niveau/Session",IF(AND($E889&lt;&gt;"",COUNTIF(D_KEY_DOUBLON,$B889&amp;"|"&amp;$D889&amp;"|"&amp;$E889)&gt;1),"⚠ Doublon",IF(AND($E889&lt;&gt;"",COUNTIF(D_KEY_STATUT,$B889&amp;"|"&amp;$E889&amp;"|P")&gt;0,COUNTIF(D_KEY_STATUT,$B889&amp;"|"&amp;$E889&amp;"|A")&gt;0),"⚠ Statut incohérent",IF(AND($D889="S1",$Y889&lt;&gt;"Parti",COUNTIF(ANNEES_VERROU,$B889)&gt;0,COUNTIF(D_KEY_NIVSES,$B889&amp;"|"&amp;$C889&amp;"|S2")&gt;0,COUNTIF(D_KEY_DOUBLON,$B889&amp;"|S2|"&amp;$E889)=0),"⚠ Départ non confirmé ?",IF(AND($C889&lt;&gt;"",ISNUMBER($I889),OR(VALUE(LEFT($B889,4))-$I889&lt;4+IFERROR(MATCH($C889,LISTE_NIVEAUX,0),99),VALUE(LEFT($B889,4))-$I889&gt;6+IFERROR(MATCH($C889,LISTE_NIVEAUX,0),99))),"⚠ Vérifier niveau",IF(AND(IFERROR(VLOOKUP($C889,TABLE_CYCLE,2,0),3)=2,COUNT($O889:$Q889)&gt;0),"⚠ Tests cycle 3",IF(COUNT($J889:$Q889)&gt;=IF(IFERROR(VLOOKUP($C889,TABLE_CYCLE,2,0),3)=2,5,8),"Complet","Incomplet"))))))))</f>
        <v/>
      </c>
      <c r="S889" s="24"/>
      <c r="T889" s="67" t="str">
        <f t="shared" si="118"/>
        <v/>
      </c>
      <c r="U889" s="67" t="str">
        <f t="shared" si="119"/>
        <v/>
      </c>
      <c r="V889" s="67" t="str">
        <f t="shared" si="120"/>
        <v/>
      </c>
      <c r="W889" s="67" t="str">
        <f t="shared" si="121"/>
        <v/>
      </c>
      <c r="X889" s="67" t="str">
        <f t="shared" si="122"/>
        <v/>
      </c>
      <c r="Y889" s="24" t="str">
        <f t="shared" si="123"/>
        <v/>
      </c>
      <c r="Z889">
        <f t="shared" si="124"/>
        <v>0</v>
      </c>
      <c r="AA889">
        <f t="shared" si="125"/>
        <v>0</v>
      </c>
    </row>
    <row r="890" spans="2:27" ht="15.75" customHeight="1" x14ac:dyDescent="0.3">
      <c r="B890" s="25"/>
      <c r="C890" s="25"/>
      <c r="D890" s="25"/>
      <c r="E890" s="26" t="str">
        <f t="shared" si="117"/>
        <v/>
      </c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3" t="str">
        <f>IF($F890="","",IF(OR($B890="",$C890="",$D890=""),"⚠ Compléter Année/Niveau/Session",IF(AND($E890&lt;&gt;"",COUNTIF(D_KEY_DOUBLON,$B890&amp;"|"&amp;$D890&amp;"|"&amp;$E890)&gt;1),"⚠ Doublon",IF(AND($E890&lt;&gt;"",COUNTIF(D_KEY_STATUT,$B890&amp;"|"&amp;$E890&amp;"|P")&gt;0,COUNTIF(D_KEY_STATUT,$B890&amp;"|"&amp;$E890&amp;"|A")&gt;0),"⚠ Statut incohérent",IF(AND($D890="S1",$Y890&lt;&gt;"Parti",COUNTIF(ANNEES_VERROU,$B890)&gt;0,COUNTIF(D_KEY_NIVSES,$B890&amp;"|"&amp;$C890&amp;"|S2")&gt;0,COUNTIF(D_KEY_DOUBLON,$B890&amp;"|S2|"&amp;$E890)=0),"⚠ Départ non confirmé ?",IF(AND($C890&lt;&gt;"",ISNUMBER($I890),OR(VALUE(LEFT($B890,4))-$I890&lt;4+IFERROR(MATCH($C890,LISTE_NIVEAUX,0),99),VALUE(LEFT($B890,4))-$I890&gt;6+IFERROR(MATCH($C890,LISTE_NIVEAUX,0),99))),"⚠ Vérifier niveau",IF(AND(IFERROR(VLOOKUP($C890,TABLE_CYCLE,2,0),3)=2,COUNT($O890:$Q890)&gt;0),"⚠ Tests cycle 3",IF(COUNT($J890:$Q890)&gt;=IF(IFERROR(VLOOKUP($C890,TABLE_CYCLE,2,0),3)=2,5,8),"Complet","Incomplet"))))))))</f>
        <v/>
      </c>
      <c r="S890" s="24"/>
      <c r="T890" s="67" t="str">
        <f t="shared" si="118"/>
        <v/>
      </c>
      <c r="U890" s="67" t="str">
        <f t="shared" si="119"/>
        <v/>
      </c>
      <c r="V890" s="67" t="str">
        <f t="shared" si="120"/>
        <v/>
      </c>
      <c r="W890" s="67" t="str">
        <f t="shared" si="121"/>
        <v/>
      </c>
      <c r="X890" s="67" t="str">
        <f t="shared" si="122"/>
        <v/>
      </c>
      <c r="Y890" s="24" t="str">
        <f t="shared" si="123"/>
        <v/>
      </c>
      <c r="Z890">
        <f t="shared" si="124"/>
        <v>0</v>
      </c>
      <c r="AA890">
        <f t="shared" si="125"/>
        <v>0</v>
      </c>
    </row>
    <row r="891" spans="2:27" ht="15.75" customHeight="1" x14ac:dyDescent="0.3">
      <c r="B891" s="21"/>
      <c r="C891" s="21"/>
      <c r="D891" s="21"/>
      <c r="E891" s="22" t="str">
        <f t="shared" si="117"/>
        <v/>
      </c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3" t="str">
        <f>IF($F891="","",IF(OR($B891="",$C891="",$D891=""),"⚠ Compléter Année/Niveau/Session",IF(AND($E891&lt;&gt;"",COUNTIF(D_KEY_DOUBLON,$B891&amp;"|"&amp;$D891&amp;"|"&amp;$E891)&gt;1),"⚠ Doublon",IF(AND($E891&lt;&gt;"",COUNTIF(D_KEY_STATUT,$B891&amp;"|"&amp;$E891&amp;"|P")&gt;0,COUNTIF(D_KEY_STATUT,$B891&amp;"|"&amp;$E891&amp;"|A")&gt;0),"⚠ Statut incohérent",IF(AND($D891="S1",$Y891&lt;&gt;"Parti",COUNTIF(ANNEES_VERROU,$B891)&gt;0,COUNTIF(D_KEY_NIVSES,$B891&amp;"|"&amp;$C891&amp;"|S2")&gt;0,COUNTIF(D_KEY_DOUBLON,$B891&amp;"|S2|"&amp;$E891)=0),"⚠ Départ non confirmé ?",IF(AND($C891&lt;&gt;"",ISNUMBER($I891),OR(VALUE(LEFT($B891,4))-$I891&lt;4+IFERROR(MATCH($C891,LISTE_NIVEAUX,0),99),VALUE(LEFT($B891,4))-$I891&gt;6+IFERROR(MATCH($C891,LISTE_NIVEAUX,0),99))),"⚠ Vérifier niveau",IF(AND(IFERROR(VLOOKUP($C891,TABLE_CYCLE,2,0),3)=2,COUNT($O891:$Q891)&gt;0),"⚠ Tests cycle 3",IF(COUNT($J891:$Q891)&gt;=IF(IFERROR(VLOOKUP($C891,TABLE_CYCLE,2,0),3)=2,5,8),"Complet","Incomplet"))))))))</f>
        <v/>
      </c>
      <c r="S891" s="24"/>
      <c r="T891" s="67" t="str">
        <f t="shared" si="118"/>
        <v/>
      </c>
      <c r="U891" s="67" t="str">
        <f t="shared" si="119"/>
        <v/>
      </c>
      <c r="V891" s="67" t="str">
        <f t="shared" si="120"/>
        <v/>
      </c>
      <c r="W891" s="67" t="str">
        <f t="shared" si="121"/>
        <v/>
      </c>
      <c r="X891" s="67" t="str">
        <f t="shared" si="122"/>
        <v/>
      </c>
      <c r="Y891" s="24" t="str">
        <f t="shared" si="123"/>
        <v/>
      </c>
      <c r="Z891">
        <f t="shared" si="124"/>
        <v>0</v>
      </c>
      <c r="AA891">
        <f t="shared" si="125"/>
        <v>0</v>
      </c>
    </row>
    <row r="892" spans="2:27" ht="15.75" customHeight="1" x14ac:dyDescent="0.3">
      <c r="B892" s="25"/>
      <c r="C892" s="25"/>
      <c r="D892" s="25"/>
      <c r="E892" s="26" t="str">
        <f t="shared" si="117"/>
        <v/>
      </c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3" t="str">
        <f>IF($F892="","",IF(OR($B892="",$C892="",$D892=""),"⚠ Compléter Année/Niveau/Session",IF(AND($E892&lt;&gt;"",COUNTIF(D_KEY_DOUBLON,$B892&amp;"|"&amp;$D892&amp;"|"&amp;$E892)&gt;1),"⚠ Doublon",IF(AND($E892&lt;&gt;"",COUNTIF(D_KEY_STATUT,$B892&amp;"|"&amp;$E892&amp;"|P")&gt;0,COUNTIF(D_KEY_STATUT,$B892&amp;"|"&amp;$E892&amp;"|A")&gt;0),"⚠ Statut incohérent",IF(AND($D892="S1",$Y892&lt;&gt;"Parti",COUNTIF(ANNEES_VERROU,$B892)&gt;0,COUNTIF(D_KEY_NIVSES,$B892&amp;"|"&amp;$C892&amp;"|S2")&gt;0,COUNTIF(D_KEY_DOUBLON,$B892&amp;"|S2|"&amp;$E892)=0),"⚠ Départ non confirmé ?",IF(AND($C892&lt;&gt;"",ISNUMBER($I892),OR(VALUE(LEFT($B892,4))-$I892&lt;4+IFERROR(MATCH($C892,LISTE_NIVEAUX,0),99),VALUE(LEFT($B892,4))-$I892&gt;6+IFERROR(MATCH($C892,LISTE_NIVEAUX,0),99))),"⚠ Vérifier niveau",IF(AND(IFERROR(VLOOKUP($C892,TABLE_CYCLE,2,0),3)=2,COUNT($O892:$Q892)&gt;0),"⚠ Tests cycle 3",IF(COUNT($J892:$Q892)&gt;=IF(IFERROR(VLOOKUP($C892,TABLE_CYCLE,2,0),3)=2,5,8),"Complet","Incomplet"))))))))</f>
        <v/>
      </c>
      <c r="S892" s="24"/>
      <c r="T892" s="67" t="str">
        <f t="shared" si="118"/>
        <v/>
      </c>
      <c r="U892" s="67" t="str">
        <f t="shared" si="119"/>
        <v/>
      </c>
      <c r="V892" s="67" t="str">
        <f t="shared" si="120"/>
        <v/>
      </c>
      <c r="W892" s="67" t="str">
        <f t="shared" si="121"/>
        <v/>
      </c>
      <c r="X892" s="67" t="str">
        <f t="shared" si="122"/>
        <v/>
      </c>
      <c r="Y892" s="24" t="str">
        <f t="shared" si="123"/>
        <v/>
      </c>
      <c r="Z892">
        <f t="shared" si="124"/>
        <v>0</v>
      </c>
      <c r="AA892">
        <f t="shared" si="125"/>
        <v>0</v>
      </c>
    </row>
    <row r="893" spans="2:27" ht="15.75" customHeight="1" x14ac:dyDescent="0.3">
      <c r="B893" s="21"/>
      <c r="C893" s="21"/>
      <c r="D893" s="21"/>
      <c r="E893" s="22" t="str">
        <f t="shared" si="117"/>
        <v/>
      </c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3" t="str">
        <f>IF($F893="","",IF(OR($B893="",$C893="",$D893=""),"⚠ Compléter Année/Niveau/Session",IF(AND($E893&lt;&gt;"",COUNTIF(D_KEY_DOUBLON,$B893&amp;"|"&amp;$D893&amp;"|"&amp;$E893)&gt;1),"⚠ Doublon",IF(AND($E893&lt;&gt;"",COUNTIF(D_KEY_STATUT,$B893&amp;"|"&amp;$E893&amp;"|P")&gt;0,COUNTIF(D_KEY_STATUT,$B893&amp;"|"&amp;$E893&amp;"|A")&gt;0),"⚠ Statut incohérent",IF(AND($D893="S1",$Y893&lt;&gt;"Parti",COUNTIF(ANNEES_VERROU,$B893)&gt;0,COUNTIF(D_KEY_NIVSES,$B893&amp;"|"&amp;$C893&amp;"|S2")&gt;0,COUNTIF(D_KEY_DOUBLON,$B893&amp;"|S2|"&amp;$E893)=0),"⚠ Départ non confirmé ?",IF(AND($C893&lt;&gt;"",ISNUMBER($I893),OR(VALUE(LEFT($B893,4))-$I893&lt;4+IFERROR(MATCH($C893,LISTE_NIVEAUX,0),99),VALUE(LEFT($B893,4))-$I893&gt;6+IFERROR(MATCH($C893,LISTE_NIVEAUX,0),99))),"⚠ Vérifier niveau",IF(AND(IFERROR(VLOOKUP($C893,TABLE_CYCLE,2,0),3)=2,COUNT($O893:$Q893)&gt;0),"⚠ Tests cycle 3",IF(COUNT($J893:$Q893)&gt;=IF(IFERROR(VLOOKUP($C893,TABLE_CYCLE,2,0),3)=2,5,8),"Complet","Incomplet"))))))))</f>
        <v/>
      </c>
      <c r="S893" s="24"/>
      <c r="T893" s="67" t="str">
        <f t="shared" si="118"/>
        <v/>
      </c>
      <c r="U893" s="67" t="str">
        <f t="shared" si="119"/>
        <v/>
      </c>
      <c r="V893" s="67" t="str">
        <f t="shared" si="120"/>
        <v/>
      </c>
      <c r="W893" s="67" t="str">
        <f t="shared" si="121"/>
        <v/>
      </c>
      <c r="X893" s="67" t="str">
        <f t="shared" si="122"/>
        <v/>
      </c>
      <c r="Y893" s="24" t="str">
        <f t="shared" si="123"/>
        <v/>
      </c>
      <c r="Z893">
        <f t="shared" si="124"/>
        <v>0</v>
      </c>
      <c r="AA893">
        <f t="shared" si="125"/>
        <v>0</v>
      </c>
    </row>
    <row r="894" spans="2:27" ht="15.75" customHeight="1" x14ac:dyDescent="0.3">
      <c r="B894" s="25"/>
      <c r="C894" s="25"/>
      <c r="D894" s="25"/>
      <c r="E894" s="26" t="str">
        <f t="shared" si="117"/>
        <v/>
      </c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3" t="str">
        <f>IF($F894="","",IF(OR($B894="",$C894="",$D894=""),"⚠ Compléter Année/Niveau/Session",IF(AND($E894&lt;&gt;"",COUNTIF(D_KEY_DOUBLON,$B894&amp;"|"&amp;$D894&amp;"|"&amp;$E894)&gt;1),"⚠ Doublon",IF(AND($E894&lt;&gt;"",COUNTIF(D_KEY_STATUT,$B894&amp;"|"&amp;$E894&amp;"|P")&gt;0,COUNTIF(D_KEY_STATUT,$B894&amp;"|"&amp;$E894&amp;"|A")&gt;0),"⚠ Statut incohérent",IF(AND($D894="S1",$Y894&lt;&gt;"Parti",COUNTIF(ANNEES_VERROU,$B894)&gt;0,COUNTIF(D_KEY_NIVSES,$B894&amp;"|"&amp;$C894&amp;"|S2")&gt;0,COUNTIF(D_KEY_DOUBLON,$B894&amp;"|S2|"&amp;$E894)=0),"⚠ Départ non confirmé ?",IF(AND($C894&lt;&gt;"",ISNUMBER($I894),OR(VALUE(LEFT($B894,4))-$I894&lt;4+IFERROR(MATCH($C894,LISTE_NIVEAUX,0),99),VALUE(LEFT($B894,4))-$I894&gt;6+IFERROR(MATCH($C894,LISTE_NIVEAUX,0),99))),"⚠ Vérifier niveau",IF(AND(IFERROR(VLOOKUP($C894,TABLE_CYCLE,2,0),3)=2,COUNT($O894:$Q894)&gt;0),"⚠ Tests cycle 3",IF(COUNT($J894:$Q894)&gt;=IF(IFERROR(VLOOKUP($C894,TABLE_CYCLE,2,0),3)=2,5,8),"Complet","Incomplet"))))))))</f>
        <v/>
      </c>
      <c r="S894" s="24"/>
      <c r="T894" s="67" t="str">
        <f t="shared" si="118"/>
        <v/>
      </c>
      <c r="U894" s="67" t="str">
        <f t="shared" si="119"/>
        <v/>
      </c>
      <c r="V894" s="67" t="str">
        <f t="shared" si="120"/>
        <v/>
      </c>
      <c r="W894" s="67" t="str">
        <f t="shared" si="121"/>
        <v/>
      </c>
      <c r="X894" s="67" t="str">
        <f t="shared" si="122"/>
        <v/>
      </c>
      <c r="Y894" s="24" t="str">
        <f t="shared" si="123"/>
        <v/>
      </c>
      <c r="Z894">
        <f t="shared" si="124"/>
        <v>0</v>
      </c>
      <c r="AA894">
        <f t="shared" si="125"/>
        <v>0</v>
      </c>
    </row>
    <row r="895" spans="2:27" ht="15.75" customHeight="1" x14ac:dyDescent="0.3">
      <c r="B895" s="21"/>
      <c r="C895" s="21"/>
      <c r="D895" s="21"/>
      <c r="E895" s="22" t="str">
        <f t="shared" si="117"/>
        <v/>
      </c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3" t="str">
        <f>IF($F895="","",IF(OR($B895="",$C895="",$D895=""),"⚠ Compléter Année/Niveau/Session",IF(AND($E895&lt;&gt;"",COUNTIF(D_KEY_DOUBLON,$B895&amp;"|"&amp;$D895&amp;"|"&amp;$E895)&gt;1),"⚠ Doublon",IF(AND($E895&lt;&gt;"",COUNTIF(D_KEY_STATUT,$B895&amp;"|"&amp;$E895&amp;"|P")&gt;0,COUNTIF(D_KEY_STATUT,$B895&amp;"|"&amp;$E895&amp;"|A")&gt;0),"⚠ Statut incohérent",IF(AND($D895="S1",$Y895&lt;&gt;"Parti",COUNTIF(ANNEES_VERROU,$B895)&gt;0,COUNTIF(D_KEY_NIVSES,$B895&amp;"|"&amp;$C895&amp;"|S2")&gt;0,COUNTIF(D_KEY_DOUBLON,$B895&amp;"|S2|"&amp;$E895)=0),"⚠ Départ non confirmé ?",IF(AND($C895&lt;&gt;"",ISNUMBER($I895),OR(VALUE(LEFT($B895,4))-$I895&lt;4+IFERROR(MATCH($C895,LISTE_NIVEAUX,0),99),VALUE(LEFT($B895,4))-$I895&gt;6+IFERROR(MATCH($C895,LISTE_NIVEAUX,0),99))),"⚠ Vérifier niveau",IF(AND(IFERROR(VLOOKUP($C895,TABLE_CYCLE,2,0),3)=2,COUNT($O895:$Q895)&gt;0),"⚠ Tests cycle 3",IF(COUNT($J895:$Q895)&gt;=IF(IFERROR(VLOOKUP($C895,TABLE_CYCLE,2,0),3)=2,5,8),"Complet","Incomplet"))))))))</f>
        <v/>
      </c>
      <c r="S895" s="24"/>
      <c r="T895" s="67" t="str">
        <f t="shared" si="118"/>
        <v/>
      </c>
      <c r="U895" s="67" t="str">
        <f t="shared" si="119"/>
        <v/>
      </c>
      <c r="V895" s="67" t="str">
        <f t="shared" si="120"/>
        <v/>
      </c>
      <c r="W895" s="67" t="str">
        <f t="shared" si="121"/>
        <v/>
      </c>
      <c r="X895" s="67" t="str">
        <f t="shared" si="122"/>
        <v/>
      </c>
      <c r="Y895" s="24" t="str">
        <f t="shared" si="123"/>
        <v/>
      </c>
      <c r="Z895">
        <f t="shared" si="124"/>
        <v>0</v>
      </c>
      <c r="AA895">
        <f t="shared" si="125"/>
        <v>0</v>
      </c>
    </row>
    <row r="896" spans="2:27" ht="15.75" customHeight="1" x14ac:dyDescent="0.3">
      <c r="B896" s="25"/>
      <c r="C896" s="25"/>
      <c r="D896" s="25"/>
      <c r="E896" s="26" t="str">
        <f t="shared" si="117"/>
        <v/>
      </c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3" t="str">
        <f>IF($F896="","",IF(OR($B896="",$C896="",$D896=""),"⚠ Compléter Année/Niveau/Session",IF(AND($E896&lt;&gt;"",COUNTIF(D_KEY_DOUBLON,$B896&amp;"|"&amp;$D896&amp;"|"&amp;$E896)&gt;1),"⚠ Doublon",IF(AND($E896&lt;&gt;"",COUNTIF(D_KEY_STATUT,$B896&amp;"|"&amp;$E896&amp;"|P")&gt;0,COUNTIF(D_KEY_STATUT,$B896&amp;"|"&amp;$E896&amp;"|A")&gt;0),"⚠ Statut incohérent",IF(AND($D896="S1",$Y896&lt;&gt;"Parti",COUNTIF(ANNEES_VERROU,$B896)&gt;0,COUNTIF(D_KEY_NIVSES,$B896&amp;"|"&amp;$C896&amp;"|S2")&gt;0,COUNTIF(D_KEY_DOUBLON,$B896&amp;"|S2|"&amp;$E896)=0),"⚠ Départ non confirmé ?",IF(AND($C896&lt;&gt;"",ISNUMBER($I896),OR(VALUE(LEFT($B896,4))-$I896&lt;4+IFERROR(MATCH($C896,LISTE_NIVEAUX,0),99),VALUE(LEFT($B896,4))-$I896&gt;6+IFERROR(MATCH($C896,LISTE_NIVEAUX,0),99))),"⚠ Vérifier niveau",IF(AND(IFERROR(VLOOKUP($C896,TABLE_CYCLE,2,0),3)=2,COUNT($O896:$Q896)&gt;0),"⚠ Tests cycle 3",IF(COUNT($J896:$Q896)&gt;=IF(IFERROR(VLOOKUP($C896,TABLE_CYCLE,2,0),3)=2,5,8),"Complet","Incomplet"))))))))</f>
        <v/>
      </c>
      <c r="S896" s="24"/>
      <c r="T896" s="67" t="str">
        <f t="shared" si="118"/>
        <v/>
      </c>
      <c r="U896" s="67" t="str">
        <f t="shared" si="119"/>
        <v/>
      </c>
      <c r="V896" s="67" t="str">
        <f t="shared" si="120"/>
        <v/>
      </c>
      <c r="W896" s="67" t="str">
        <f t="shared" si="121"/>
        <v/>
      </c>
      <c r="X896" s="67" t="str">
        <f t="shared" si="122"/>
        <v/>
      </c>
      <c r="Y896" s="24" t="str">
        <f t="shared" si="123"/>
        <v/>
      </c>
      <c r="Z896">
        <f t="shared" si="124"/>
        <v>0</v>
      </c>
      <c r="AA896">
        <f t="shared" si="125"/>
        <v>0</v>
      </c>
    </row>
    <row r="897" spans="2:27" ht="15.75" customHeight="1" x14ac:dyDescent="0.3">
      <c r="B897" s="21"/>
      <c r="C897" s="21"/>
      <c r="D897" s="21"/>
      <c r="E897" s="22" t="str">
        <f t="shared" si="117"/>
        <v/>
      </c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3" t="str">
        <f>IF($F897="","",IF(OR($B897="",$C897="",$D897=""),"⚠ Compléter Année/Niveau/Session",IF(AND($E897&lt;&gt;"",COUNTIF(D_KEY_DOUBLON,$B897&amp;"|"&amp;$D897&amp;"|"&amp;$E897)&gt;1),"⚠ Doublon",IF(AND($E897&lt;&gt;"",COUNTIF(D_KEY_STATUT,$B897&amp;"|"&amp;$E897&amp;"|P")&gt;0,COUNTIF(D_KEY_STATUT,$B897&amp;"|"&amp;$E897&amp;"|A")&gt;0),"⚠ Statut incohérent",IF(AND($D897="S1",$Y897&lt;&gt;"Parti",COUNTIF(ANNEES_VERROU,$B897)&gt;0,COUNTIF(D_KEY_NIVSES,$B897&amp;"|"&amp;$C897&amp;"|S2")&gt;0,COUNTIF(D_KEY_DOUBLON,$B897&amp;"|S2|"&amp;$E897)=0),"⚠ Départ non confirmé ?",IF(AND($C897&lt;&gt;"",ISNUMBER($I897),OR(VALUE(LEFT($B897,4))-$I897&lt;4+IFERROR(MATCH($C897,LISTE_NIVEAUX,0),99),VALUE(LEFT($B897,4))-$I897&gt;6+IFERROR(MATCH($C897,LISTE_NIVEAUX,0),99))),"⚠ Vérifier niveau",IF(AND(IFERROR(VLOOKUP($C897,TABLE_CYCLE,2,0),3)=2,COUNT($O897:$Q897)&gt;0),"⚠ Tests cycle 3",IF(COUNT($J897:$Q897)&gt;=IF(IFERROR(VLOOKUP($C897,TABLE_CYCLE,2,0),3)=2,5,8),"Complet","Incomplet"))))))))</f>
        <v/>
      </c>
      <c r="S897" s="24"/>
      <c r="T897" s="67" t="str">
        <f t="shared" si="118"/>
        <v/>
      </c>
      <c r="U897" s="67" t="str">
        <f t="shared" si="119"/>
        <v/>
      </c>
      <c r="V897" s="67" t="str">
        <f t="shared" si="120"/>
        <v/>
      </c>
      <c r="W897" s="67" t="str">
        <f t="shared" si="121"/>
        <v/>
      </c>
      <c r="X897" s="67" t="str">
        <f t="shared" si="122"/>
        <v/>
      </c>
      <c r="Y897" s="24" t="str">
        <f t="shared" si="123"/>
        <v/>
      </c>
      <c r="Z897">
        <f t="shared" si="124"/>
        <v>0</v>
      </c>
      <c r="AA897">
        <f t="shared" si="125"/>
        <v>0</v>
      </c>
    </row>
    <row r="898" spans="2:27" ht="15.75" customHeight="1" x14ac:dyDescent="0.3">
      <c r="B898" s="25"/>
      <c r="C898" s="25"/>
      <c r="D898" s="25"/>
      <c r="E898" s="26" t="str">
        <f t="shared" si="117"/>
        <v/>
      </c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3" t="str">
        <f>IF($F898="","",IF(OR($B898="",$C898="",$D898=""),"⚠ Compléter Année/Niveau/Session",IF(AND($E898&lt;&gt;"",COUNTIF(D_KEY_DOUBLON,$B898&amp;"|"&amp;$D898&amp;"|"&amp;$E898)&gt;1),"⚠ Doublon",IF(AND($E898&lt;&gt;"",COUNTIF(D_KEY_STATUT,$B898&amp;"|"&amp;$E898&amp;"|P")&gt;0,COUNTIF(D_KEY_STATUT,$B898&amp;"|"&amp;$E898&amp;"|A")&gt;0),"⚠ Statut incohérent",IF(AND($D898="S1",$Y898&lt;&gt;"Parti",COUNTIF(ANNEES_VERROU,$B898)&gt;0,COUNTIF(D_KEY_NIVSES,$B898&amp;"|"&amp;$C898&amp;"|S2")&gt;0,COUNTIF(D_KEY_DOUBLON,$B898&amp;"|S2|"&amp;$E898)=0),"⚠ Départ non confirmé ?",IF(AND($C898&lt;&gt;"",ISNUMBER($I898),OR(VALUE(LEFT($B898,4))-$I898&lt;4+IFERROR(MATCH($C898,LISTE_NIVEAUX,0),99),VALUE(LEFT($B898,4))-$I898&gt;6+IFERROR(MATCH($C898,LISTE_NIVEAUX,0),99))),"⚠ Vérifier niveau",IF(AND(IFERROR(VLOOKUP($C898,TABLE_CYCLE,2,0),3)=2,COUNT($O898:$Q898)&gt;0),"⚠ Tests cycle 3",IF(COUNT($J898:$Q898)&gt;=IF(IFERROR(VLOOKUP($C898,TABLE_CYCLE,2,0),3)=2,5,8),"Complet","Incomplet"))))))))</f>
        <v/>
      </c>
      <c r="S898" s="24"/>
      <c r="T898" s="67" t="str">
        <f t="shared" si="118"/>
        <v/>
      </c>
      <c r="U898" s="67" t="str">
        <f t="shared" si="119"/>
        <v/>
      </c>
      <c r="V898" s="67" t="str">
        <f t="shared" si="120"/>
        <v/>
      </c>
      <c r="W898" s="67" t="str">
        <f t="shared" si="121"/>
        <v/>
      </c>
      <c r="X898" s="67" t="str">
        <f t="shared" si="122"/>
        <v/>
      </c>
      <c r="Y898" s="24" t="str">
        <f t="shared" si="123"/>
        <v/>
      </c>
      <c r="Z898">
        <f t="shared" si="124"/>
        <v>0</v>
      </c>
      <c r="AA898">
        <f t="shared" si="125"/>
        <v>0</v>
      </c>
    </row>
    <row r="899" spans="2:27" ht="15.75" customHeight="1" x14ac:dyDescent="0.3">
      <c r="B899" s="21"/>
      <c r="C899" s="21"/>
      <c r="D899" s="21"/>
      <c r="E899" s="22" t="str">
        <f t="shared" si="117"/>
        <v/>
      </c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3" t="str">
        <f>IF($F899="","",IF(OR($B899="",$C899="",$D899=""),"⚠ Compléter Année/Niveau/Session",IF(AND($E899&lt;&gt;"",COUNTIF(D_KEY_DOUBLON,$B899&amp;"|"&amp;$D899&amp;"|"&amp;$E899)&gt;1),"⚠ Doublon",IF(AND($E899&lt;&gt;"",COUNTIF(D_KEY_STATUT,$B899&amp;"|"&amp;$E899&amp;"|P")&gt;0,COUNTIF(D_KEY_STATUT,$B899&amp;"|"&amp;$E899&amp;"|A")&gt;0),"⚠ Statut incohérent",IF(AND($D899="S1",$Y899&lt;&gt;"Parti",COUNTIF(ANNEES_VERROU,$B899)&gt;0,COUNTIF(D_KEY_NIVSES,$B899&amp;"|"&amp;$C899&amp;"|S2")&gt;0,COUNTIF(D_KEY_DOUBLON,$B899&amp;"|S2|"&amp;$E899)=0),"⚠ Départ non confirmé ?",IF(AND($C899&lt;&gt;"",ISNUMBER($I899),OR(VALUE(LEFT($B899,4))-$I899&lt;4+IFERROR(MATCH($C899,LISTE_NIVEAUX,0),99),VALUE(LEFT($B899,4))-$I899&gt;6+IFERROR(MATCH($C899,LISTE_NIVEAUX,0),99))),"⚠ Vérifier niveau",IF(AND(IFERROR(VLOOKUP($C899,TABLE_CYCLE,2,0),3)=2,COUNT($O899:$Q899)&gt;0),"⚠ Tests cycle 3",IF(COUNT($J899:$Q899)&gt;=IF(IFERROR(VLOOKUP($C899,TABLE_CYCLE,2,0),3)=2,5,8),"Complet","Incomplet"))))))))</f>
        <v/>
      </c>
      <c r="S899" s="24"/>
      <c r="T899" s="67" t="str">
        <f t="shared" si="118"/>
        <v/>
      </c>
      <c r="U899" s="67" t="str">
        <f t="shared" si="119"/>
        <v/>
      </c>
      <c r="V899" s="67" t="str">
        <f t="shared" si="120"/>
        <v/>
      </c>
      <c r="W899" s="67" t="str">
        <f t="shared" si="121"/>
        <v/>
      </c>
      <c r="X899" s="67" t="str">
        <f t="shared" si="122"/>
        <v/>
      </c>
      <c r="Y899" s="24" t="str">
        <f t="shared" si="123"/>
        <v/>
      </c>
      <c r="Z899">
        <f t="shared" si="124"/>
        <v>0</v>
      </c>
      <c r="AA899">
        <f t="shared" si="125"/>
        <v>0</v>
      </c>
    </row>
    <row r="900" spans="2:27" ht="15.75" customHeight="1" x14ac:dyDescent="0.3">
      <c r="B900" s="25"/>
      <c r="C900" s="25"/>
      <c r="D900" s="25"/>
      <c r="E900" s="26" t="str">
        <f t="shared" si="117"/>
        <v/>
      </c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3" t="str">
        <f>IF($F900="","",IF(OR($B900="",$C900="",$D900=""),"⚠ Compléter Année/Niveau/Session",IF(AND($E900&lt;&gt;"",COUNTIF(D_KEY_DOUBLON,$B900&amp;"|"&amp;$D900&amp;"|"&amp;$E900)&gt;1),"⚠ Doublon",IF(AND($E900&lt;&gt;"",COUNTIF(D_KEY_STATUT,$B900&amp;"|"&amp;$E900&amp;"|P")&gt;0,COUNTIF(D_KEY_STATUT,$B900&amp;"|"&amp;$E900&amp;"|A")&gt;0),"⚠ Statut incohérent",IF(AND($D900="S1",$Y900&lt;&gt;"Parti",COUNTIF(ANNEES_VERROU,$B900)&gt;0,COUNTIF(D_KEY_NIVSES,$B900&amp;"|"&amp;$C900&amp;"|S2")&gt;0,COUNTIF(D_KEY_DOUBLON,$B900&amp;"|S2|"&amp;$E900)=0),"⚠ Départ non confirmé ?",IF(AND($C900&lt;&gt;"",ISNUMBER($I900),OR(VALUE(LEFT($B900,4))-$I900&lt;4+IFERROR(MATCH($C900,LISTE_NIVEAUX,0),99),VALUE(LEFT($B900,4))-$I900&gt;6+IFERROR(MATCH($C900,LISTE_NIVEAUX,0),99))),"⚠ Vérifier niveau",IF(AND(IFERROR(VLOOKUP($C900,TABLE_CYCLE,2,0),3)=2,COUNT($O900:$Q900)&gt;0),"⚠ Tests cycle 3",IF(COUNT($J900:$Q900)&gt;=IF(IFERROR(VLOOKUP($C900,TABLE_CYCLE,2,0),3)=2,5,8),"Complet","Incomplet"))))))))</f>
        <v/>
      </c>
      <c r="S900" s="24"/>
      <c r="T900" s="67" t="str">
        <f t="shared" si="118"/>
        <v/>
      </c>
      <c r="U900" s="67" t="str">
        <f t="shared" si="119"/>
        <v/>
      </c>
      <c r="V900" s="67" t="str">
        <f t="shared" si="120"/>
        <v/>
      </c>
      <c r="W900" s="67" t="str">
        <f t="shared" si="121"/>
        <v/>
      </c>
      <c r="X900" s="67" t="str">
        <f t="shared" si="122"/>
        <v/>
      </c>
      <c r="Y900" s="24" t="str">
        <f t="shared" si="123"/>
        <v/>
      </c>
      <c r="Z900">
        <f t="shared" si="124"/>
        <v>0</v>
      </c>
      <c r="AA900">
        <f t="shared" si="125"/>
        <v>0</v>
      </c>
    </row>
    <row r="901" spans="2:27" ht="15.75" customHeight="1" x14ac:dyDescent="0.3">
      <c r="B901" s="21"/>
      <c r="C901" s="21"/>
      <c r="D901" s="21"/>
      <c r="E901" s="22" t="str">
        <f t="shared" si="117"/>
        <v/>
      </c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3" t="str">
        <f>IF($F901="","",IF(OR($B901="",$C901="",$D901=""),"⚠ Compléter Année/Niveau/Session",IF(AND($E901&lt;&gt;"",COUNTIF(D_KEY_DOUBLON,$B901&amp;"|"&amp;$D901&amp;"|"&amp;$E901)&gt;1),"⚠ Doublon",IF(AND($E901&lt;&gt;"",COUNTIF(D_KEY_STATUT,$B901&amp;"|"&amp;$E901&amp;"|P")&gt;0,COUNTIF(D_KEY_STATUT,$B901&amp;"|"&amp;$E901&amp;"|A")&gt;0),"⚠ Statut incohérent",IF(AND($D901="S1",$Y901&lt;&gt;"Parti",COUNTIF(ANNEES_VERROU,$B901)&gt;0,COUNTIF(D_KEY_NIVSES,$B901&amp;"|"&amp;$C901&amp;"|S2")&gt;0,COUNTIF(D_KEY_DOUBLON,$B901&amp;"|S2|"&amp;$E901)=0),"⚠ Départ non confirmé ?",IF(AND($C901&lt;&gt;"",ISNUMBER($I901),OR(VALUE(LEFT($B901,4))-$I901&lt;4+IFERROR(MATCH($C901,LISTE_NIVEAUX,0),99),VALUE(LEFT($B901,4))-$I901&gt;6+IFERROR(MATCH($C901,LISTE_NIVEAUX,0),99))),"⚠ Vérifier niveau",IF(AND(IFERROR(VLOOKUP($C901,TABLE_CYCLE,2,0),3)=2,COUNT($O901:$Q901)&gt;0),"⚠ Tests cycle 3",IF(COUNT($J901:$Q901)&gt;=IF(IFERROR(VLOOKUP($C901,TABLE_CYCLE,2,0),3)=2,5,8),"Complet","Incomplet"))))))))</f>
        <v/>
      </c>
      <c r="S901" s="24"/>
      <c r="T901" s="67" t="str">
        <f t="shared" si="118"/>
        <v/>
      </c>
      <c r="U901" s="67" t="str">
        <f t="shared" si="119"/>
        <v/>
      </c>
      <c r="V901" s="67" t="str">
        <f t="shared" si="120"/>
        <v/>
      </c>
      <c r="W901" s="67" t="str">
        <f t="shared" si="121"/>
        <v/>
      </c>
      <c r="X901" s="67" t="str">
        <f t="shared" si="122"/>
        <v/>
      </c>
      <c r="Y901" s="24" t="str">
        <f t="shared" si="123"/>
        <v/>
      </c>
      <c r="Z901">
        <f t="shared" si="124"/>
        <v>0</v>
      </c>
      <c r="AA901">
        <f t="shared" si="125"/>
        <v>0</v>
      </c>
    </row>
    <row r="902" spans="2:27" ht="15.75" customHeight="1" x14ac:dyDescent="0.3">
      <c r="B902" s="25"/>
      <c r="C902" s="25"/>
      <c r="D902" s="25"/>
      <c r="E902" s="26" t="str">
        <f t="shared" si="117"/>
        <v/>
      </c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3" t="str">
        <f>IF($F902="","",IF(OR($B902="",$C902="",$D902=""),"⚠ Compléter Année/Niveau/Session",IF(AND($E902&lt;&gt;"",COUNTIF(D_KEY_DOUBLON,$B902&amp;"|"&amp;$D902&amp;"|"&amp;$E902)&gt;1),"⚠ Doublon",IF(AND($E902&lt;&gt;"",COUNTIF(D_KEY_STATUT,$B902&amp;"|"&amp;$E902&amp;"|P")&gt;0,COUNTIF(D_KEY_STATUT,$B902&amp;"|"&amp;$E902&amp;"|A")&gt;0),"⚠ Statut incohérent",IF(AND($D902="S1",$Y902&lt;&gt;"Parti",COUNTIF(ANNEES_VERROU,$B902)&gt;0,COUNTIF(D_KEY_NIVSES,$B902&amp;"|"&amp;$C902&amp;"|S2")&gt;0,COUNTIF(D_KEY_DOUBLON,$B902&amp;"|S2|"&amp;$E902)=0),"⚠ Départ non confirmé ?",IF(AND($C902&lt;&gt;"",ISNUMBER($I902),OR(VALUE(LEFT($B902,4))-$I902&lt;4+IFERROR(MATCH($C902,LISTE_NIVEAUX,0),99),VALUE(LEFT($B902,4))-$I902&gt;6+IFERROR(MATCH($C902,LISTE_NIVEAUX,0),99))),"⚠ Vérifier niveau",IF(AND(IFERROR(VLOOKUP($C902,TABLE_CYCLE,2,0),3)=2,COUNT($O902:$Q902)&gt;0),"⚠ Tests cycle 3",IF(COUNT($J902:$Q902)&gt;=IF(IFERROR(VLOOKUP($C902,TABLE_CYCLE,2,0),3)=2,5,8),"Complet","Incomplet"))))))))</f>
        <v/>
      </c>
      <c r="S902" s="24"/>
      <c r="T902" s="67" t="str">
        <f t="shared" si="118"/>
        <v/>
      </c>
      <c r="U902" s="67" t="str">
        <f t="shared" si="119"/>
        <v/>
      </c>
      <c r="V902" s="67" t="str">
        <f t="shared" si="120"/>
        <v/>
      </c>
      <c r="W902" s="67" t="str">
        <f t="shared" si="121"/>
        <v/>
      </c>
      <c r="X902" s="67" t="str">
        <f t="shared" si="122"/>
        <v/>
      </c>
      <c r="Y902" s="24" t="str">
        <f t="shared" si="123"/>
        <v/>
      </c>
      <c r="Z902">
        <f t="shared" si="124"/>
        <v>0</v>
      </c>
      <c r="AA902">
        <f t="shared" si="125"/>
        <v>0</v>
      </c>
    </row>
    <row r="903" spans="2:27" ht="15.75" customHeight="1" x14ac:dyDescent="0.3">
      <c r="B903" s="21"/>
      <c r="C903" s="21"/>
      <c r="D903" s="21"/>
      <c r="E903" s="22" t="str">
        <f t="shared" ref="E903:E966" si="126">IF(OR($F903="",$G903=""),"",IF(ISNUMBER($I903),TEXT($I903-2000,"00")&amp;"_","__")&amp;UPPER(TRIM($F903))&amp;"_"&amp;UPPER(TRIM($G903)))</f>
        <v/>
      </c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3" t="str">
        <f>IF($F903="","",IF(OR($B903="",$C903="",$D903=""),"⚠ Compléter Année/Niveau/Session",IF(AND($E903&lt;&gt;"",COUNTIF(D_KEY_DOUBLON,$B903&amp;"|"&amp;$D903&amp;"|"&amp;$E903)&gt;1),"⚠ Doublon",IF(AND($E903&lt;&gt;"",COUNTIF(D_KEY_STATUT,$B903&amp;"|"&amp;$E903&amp;"|P")&gt;0,COUNTIF(D_KEY_STATUT,$B903&amp;"|"&amp;$E903&amp;"|A")&gt;0),"⚠ Statut incohérent",IF(AND($D903="S1",$Y903&lt;&gt;"Parti",COUNTIF(ANNEES_VERROU,$B903)&gt;0,COUNTIF(D_KEY_NIVSES,$B903&amp;"|"&amp;$C903&amp;"|S2")&gt;0,COUNTIF(D_KEY_DOUBLON,$B903&amp;"|S2|"&amp;$E903)=0),"⚠ Départ non confirmé ?",IF(AND($C903&lt;&gt;"",ISNUMBER($I903),OR(VALUE(LEFT($B903,4))-$I903&lt;4+IFERROR(MATCH($C903,LISTE_NIVEAUX,0),99),VALUE(LEFT($B903,4))-$I903&gt;6+IFERROR(MATCH($C903,LISTE_NIVEAUX,0),99))),"⚠ Vérifier niveau",IF(AND(IFERROR(VLOOKUP($C903,TABLE_CYCLE,2,0),3)=2,COUNT($O903:$Q903)&gt;0),"⚠ Tests cycle 3",IF(COUNT($J903:$Q903)&gt;=IF(IFERROR(VLOOKUP($C903,TABLE_CYCLE,2,0),3)=2,5,8),"Complet","Incomplet"))))))))</f>
        <v/>
      </c>
      <c r="S903" s="24"/>
      <c r="T903" s="67" t="str">
        <f t="shared" ref="T903:T966" si="127">IFERROR(INDEX(D_NOM,MATCH(ROW()-6,D_RANG_RECUP,0)),"")</f>
        <v/>
      </c>
      <c r="U903" s="67" t="str">
        <f t="shared" ref="U903:U966" si="128">IFERROR(INDEX(D_PRENOM,MATCH(ROW()-6,D_RANG_RECUP,0)),"")</f>
        <v/>
      </c>
      <c r="V903" s="67" t="str">
        <f t="shared" ref="V903:V966" si="129">IFERROR(INDEX(D_SEXE,MATCH(ROW()-6,D_RANG_RECUP,0)),"")</f>
        <v/>
      </c>
      <c r="W903" s="67" t="str">
        <f t="shared" ref="W903:W966" si="130">IFERROR(INDEX(D_NAISS,MATCH(ROW()-6,D_RANG_RECUP,0)),"")</f>
        <v/>
      </c>
      <c r="X903" s="67" t="str">
        <f t="shared" ref="X903:X966" si="131">IF($T903="","",IF($X$4="→ Session 2 (même année)",$W$4,IFERROR(INDEX(LISTE_NIVEAUX,MATCH($W$4,LISTE_NIVEAUX,0)+1),"CM2 terminé")))</f>
        <v/>
      </c>
      <c r="Y903" s="24" t="str">
        <f t="shared" ref="Y903:Y966" si="132">IF($S903="","",$S903)</f>
        <v/>
      </c>
      <c r="Z903">
        <f t="shared" ref="Z903:Z966" si="133">SUBTOTAL(103,$F903)*($R903="Complet")</f>
        <v>0</v>
      </c>
      <c r="AA903">
        <f t="shared" ref="AA903:AA966" si="134">IF(OR($F903="",$C903=""),0,IF(COUNTIFS($B$7:$B$1206,$B903,$F$7:$F$1206,$F903,$G$7:$G$1206,$G903,$I$7:$I$1206,$I903,$C$7:$C$1206,"&lt;&gt;"&amp;$C903)&gt;0,1,0))</f>
        <v>0</v>
      </c>
    </row>
    <row r="904" spans="2:27" ht="15.75" customHeight="1" x14ac:dyDescent="0.3">
      <c r="B904" s="25"/>
      <c r="C904" s="25"/>
      <c r="D904" s="25"/>
      <c r="E904" s="26" t="str">
        <f t="shared" si="126"/>
        <v/>
      </c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3" t="str">
        <f>IF($F904="","",IF(OR($B904="",$C904="",$D904=""),"⚠ Compléter Année/Niveau/Session",IF(AND($E904&lt;&gt;"",COUNTIF(D_KEY_DOUBLON,$B904&amp;"|"&amp;$D904&amp;"|"&amp;$E904)&gt;1),"⚠ Doublon",IF(AND($E904&lt;&gt;"",COUNTIF(D_KEY_STATUT,$B904&amp;"|"&amp;$E904&amp;"|P")&gt;0,COUNTIF(D_KEY_STATUT,$B904&amp;"|"&amp;$E904&amp;"|A")&gt;0),"⚠ Statut incohérent",IF(AND($D904="S1",$Y904&lt;&gt;"Parti",COUNTIF(ANNEES_VERROU,$B904)&gt;0,COUNTIF(D_KEY_NIVSES,$B904&amp;"|"&amp;$C904&amp;"|S2")&gt;0,COUNTIF(D_KEY_DOUBLON,$B904&amp;"|S2|"&amp;$E904)=0),"⚠ Départ non confirmé ?",IF(AND($C904&lt;&gt;"",ISNUMBER($I904),OR(VALUE(LEFT($B904,4))-$I904&lt;4+IFERROR(MATCH($C904,LISTE_NIVEAUX,0),99),VALUE(LEFT($B904,4))-$I904&gt;6+IFERROR(MATCH($C904,LISTE_NIVEAUX,0),99))),"⚠ Vérifier niveau",IF(AND(IFERROR(VLOOKUP($C904,TABLE_CYCLE,2,0),3)=2,COUNT($O904:$Q904)&gt;0),"⚠ Tests cycle 3",IF(COUNT($J904:$Q904)&gt;=IF(IFERROR(VLOOKUP($C904,TABLE_CYCLE,2,0),3)=2,5,8),"Complet","Incomplet"))))))))</f>
        <v/>
      </c>
      <c r="S904" s="24"/>
      <c r="T904" s="67" t="str">
        <f t="shared" si="127"/>
        <v/>
      </c>
      <c r="U904" s="67" t="str">
        <f t="shared" si="128"/>
        <v/>
      </c>
      <c r="V904" s="67" t="str">
        <f t="shared" si="129"/>
        <v/>
      </c>
      <c r="W904" s="67" t="str">
        <f t="shared" si="130"/>
        <v/>
      </c>
      <c r="X904" s="67" t="str">
        <f t="shared" si="131"/>
        <v/>
      </c>
      <c r="Y904" s="24" t="str">
        <f t="shared" si="132"/>
        <v/>
      </c>
      <c r="Z904">
        <f t="shared" si="133"/>
        <v>0</v>
      </c>
      <c r="AA904">
        <f t="shared" si="134"/>
        <v>0</v>
      </c>
    </row>
    <row r="905" spans="2:27" ht="15.75" customHeight="1" x14ac:dyDescent="0.3">
      <c r="B905" s="21"/>
      <c r="C905" s="21"/>
      <c r="D905" s="21"/>
      <c r="E905" s="22" t="str">
        <f t="shared" si="126"/>
        <v/>
      </c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3" t="str">
        <f>IF($F905="","",IF(OR($B905="",$C905="",$D905=""),"⚠ Compléter Année/Niveau/Session",IF(AND($E905&lt;&gt;"",COUNTIF(D_KEY_DOUBLON,$B905&amp;"|"&amp;$D905&amp;"|"&amp;$E905)&gt;1),"⚠ Doublon",IF(AND($E905&lt;&gt;"",COUNTIF(D_KEY_STATUT,$B905&amp;"|"&amp;$E905&amp;"|P")&gt;0,COUNTIF(D_KEY_STATUT,$B905&amp;"|"&amp;$E905&amp;"|A")&gt;0),"⚠ Statut incohérent",IF(AND($D905="S1",$Y905&lt;&gt;"Parti",COUNTIF(ANNEES_VERROU,$B905)&gt;0,COUNTIF(D_KEY_NIVSES,$B905&amp;"|"&amp;$C905&amp;"|S2")&gt;0,COUNTIF(D_KEY_DOUBLON,$B905&amp;"|S2|"&amp;$E905)=0),"⚠ Départ non confirmé ?",IF(AND($C905&lt;&gt;"",ISNUMBER($I905),OR(VALUE(LEFT($B905,4))-$I905&lt;4+IFERROR(MATCH($C905,LISTE_NIVEAUX,0),99),VALUE(LEFT($B905,4))-$I905&gt;6+IFERROR(MATCH($C905,LISTE_NIVEAUX,0),99))),"⚠ Vérifier niveau",IF(AND(IFERROR(VLOOKUP($C905,TABLE_CYCLE,2,0),3)=2,COUNT($O905:$Q905)&gt;0),"⚠ Tests cycle 3",IF(COUNT($J905:$Q905)&gt;=IF(IFERROR(VLOOKUP($C905,TABLE_CYCLE,2,0),3)=2,5,8),"Complet","Incomplet"))))))))</f>
        <v/>
      </c>
      <c r="S905" s="24"/>
      <c r="T905" s="67" t="str">
        <f t="shared" si="127"/>
        <v/>
      </c>
      <c r="U905" s="67" t="str">
        <f t="shared" si="128"/>
        <v/>
      </c>
      <c r="V905" s="67" t="str">
        <f t="shared" si="129"/>
        <v/>
      </c>
      <c r="W905" s="67" t="str">
        <f t="shared" si="130"/>
        <v/>
      </c>
      <c r="X905" s="67" t="str">
        <f t="shared" si="131"/>
        <v/>
      </c>
      <c r="Y905" s="24" t="str">
        <f t="shared" si="132"/>
        <v/>
      </c>
      <c r="Z905">
        <f t="shared" si="133"/>
        <v>0</v>
      </c>
      <c r="AA905">
        <f t="shared" si="134"/>
        <v>0</v>
      </c>
    </row>
    <row r="906" spans="2:27" ht="15.75" customHeight="1" x14ac:dyDescent="0.3">
      <c r="B906" s="25"/>
      <c r="C906" s="25"/>
      <c r="D906" s="25"/>
      <c r="E906" s="26" t="str">
        <f t="shared" si="126"/>
        <v/>
      </c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3" t="str">
        <f>IF($F906="","",IF(OR($B906="",$C906="",$D906=""),"⚠ Compléter Année/Niveau/Session",IF(AND($E906&lt;&gt;"",COUNTIF(D_KEY_DOUBLON,$B906&amp;"|"&amp;$D906&amp;"|"&amp;$E906)&gt;1),"⚠ Doublon",IF(AND($E906&lt;&gt;"",COUNTIF(D_KEY_STATUT,$B906&amp;"|"&amp;$E906&amp;"|P")&gt;0,COUNTIF(D_KEY_STATUT,$B906&amp;"|"&amp;$E906&amp;"|A")&gt;0),"⚠ Statut incohérent",IF(AND($D906="S1",$Y906&lt;&gt;"Parti",COUNTIF(ANNEES_VERROU,$B906)&gt;0,COUNTIF(D_KEY_NIVSES,$B906&amp;"|"&amp;$C906&amp;"|S2")&gt;0,COUNTIF(D_KEY_DOUBLON,$B906&amp;"|S2|"&amp;$E906)=0),"⚠ Départ non confirmé ?",IF(AND($C906&lt;&gt;"",ISNUMBER($I906),OR(VALUE(LEFT($B906,4))-$I906&lt;4+IFERROR(MATCH($C906,LISTE_NIVEAUX,0),99),VALUE(LEFT($B906,4))-$I906&gt;6+IFERROR(MATCH($C906,LISTE_NIVEAUX,0),99))),"⚠ Vérifier niveau",IF(AND(IFERROR(VLOOKUP($C906,TABLE_CYCLE,2,0),3)=2,COUNT($O906:$Q906)&gt;0),"⚠ Tests cycle 3",IF(COUNT($J906:$Q906)&gt;=IF(IFERROR(VLOOKUP($C906,TABLE_CYCLE,2,0),3)=2,5,8),"Complet","Incomplet"))))))))</f>
        <v/>
      </c>
      <c r="S906" s="24"/>
      <c r="T906" s="67" t="str">
        <f t="shared" si="127"/>
        <v/>
      </c>
      <c r="U906" s="67" t="str">
        <f t="shared" si="128"/>
        <v/>
      </c>
      <c r="V906" s="67" t="str">
        <f t="shared" si="129"/>
        <v/>
      </c>
      <c r="W906" s="67" t="str">
        <f t="shared" si="130"/>
        <v/>
      </c>
      <c r="X906" s="67" t="str">
        <f t="shared" si="131"/>
        <v/>
      </c>
      <c r="Y906" s="24" t="str">
        <f t="shared" si="132"/>
        <v/>
      </c>
      <c r="Z906">
        <f t="shared" si="133"/>
        <v>0</v>
      </c>
      <c r="AA906">
        <f t="shared" si="134"/>
        <v>0</v>
      </c>
    </row>
    <row r="907" spans="2:27" ht="15.75" customHeight="1" x14ac:dyDescent="0.3">
      <c r="B907" s="21"/>
      <c r="C907" s="21"/>
      <c r="D907" s="21"/>
      <c r="E907" s="22" t="str">
        <f t="shared" si="126"/>
        <v/>
      </c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3" t="str">
        <f>IF($F907="","",IF(OR($B907="",$C907="",$D907=""),"⚠ Compléter Année/Niveau/Session",IF(AND($E907&lt;&gt;"",COUNTIF(D_KEY_DOUBLON,$B907&amp;"|"&amp;$D907&amp;"|"&amp;$E907)&gt;1),"⚠ Doublon",IF(AND($E907&lt;&gt;"",COUNTIF(D_KEY_STATUT,$B907&amp;"|"&amp;$E907&amp;"|P")&gt;0,COUNTIF(D_KEY_STATUT,$B907&amp;"|"&amp;$E907&amp;"|A")&gt;0),"⚠ Statut incohérent",IF(AND($D907="S1",$Y907&lt;&gt;"Parti",COUNTIF(ANNEES_VERROU,$B907)&gt;0,COUNTIF(D_KEY_NIVSES,$B907&amp;"|"&amp;$C907&amp;"|S2")&gt;0,COUNTIF(D_KEY_DOUBLON,$B907&amp;"|S2|"&amp;$E907)=0),"⚠ Départ non confirmé ?",IF(AND($C907&lt;&gt;"",ISNUMBER($I907),OR(VALUE(LEFT($B907,4))-$I907&lt;4+IFERROR(MATCH($C907,LISTE_NIVEAUX,0),99),VALUE(LEFT($B907,4))-$I907&gt;6+IFERROR(MATCH($C907,LISTE_NIVEAUX,0),99))),"⚠ Vérifier niveau",IF(AND(IFERROR(VLOOKUP($C907,TABLE_CYCLE,2,0),3)=2,COUNT($O907:$Q907)&gt;0),"⚠ Tests cycle 3",IF(COUNT($J907:$Q907)&gt;=IF(IFERROR(VLOOKUP($C907,TABLE_CYCLE,2,0),3)=2,5,8),"Complet","Incomplet"))))))))</f>
        <v/>
      </c>
      <c r="S907" s="24"/>
      <c r="T907" s="67" t="str">
        <f t="shared" si="127"/>
        <v/>
      </c>
      <c r="U907" s="67" t="str">
        <f t="shared" si="128"/>
        <v/>
      </c>
      <c r="V907" s="67" t="str">
        <f t="shared" si="129"/>
        <v/>
      </c>
      <c r="W907" s="67" t="str">
        <f t="shared" si="130"/>
        <v/>
      </c>
      <c r="X907" s="67" t="str">
        <f t="shared" si="131"/>
        <v/>
      </c>
      <c r="Y907" s="24" t="str">
        <f t="shared" si="132"/>
        <v/>
      </c>
      <c r="Z907">
        <f t="shared" si="133"/>
        <v>0</v>
      </c>
      <c r="AA907">
        <f t="shared" si="134"/>
        <v>0</v>
      </c>
    </row>
    <row r="908" spans="2:27" ht="15.75" customHeight="1" x14ac:dyDescent="0.3">
      <c r="B908" s="25"/>
      <c r="C908" s="25"/>
      <c r="D908" s="25"/>
      <c r="E908" s="26" t="str">
        <f t="shared" si="126"/>
        <v/>
      </c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3" t="str">
        <f>IF($F908="","",IF(OR($B908="",$C908="",$D908=""),"⚠ Compléter Année/Niveau/Session",IF(AND($E908&lt;&gt;"",COUNTIF(D_KEY_DOUBLON,$B908&amp;"|"&amp;$D908&amp;"|"&amp;$E908)&gt;1),"⚠ Doublon",IF(AND($E908&lt;&gt;"",COUNTIF(D_KEY_STATUT,$B908&amp;"|"&amp;$E908&amp;"|P")&gt;0,COUNTIF(D_KEY_STATUT,$B908&amp;"|"&amp;$E908&amp;"|A")&gt;0),"⚠ Statut incohérent",IF(AND($D908="S1",$Y908&lt;&gt;"Parti",COUNTIF(ANNEES_VERROU,$B908)&gt;0,COUNTIF(D_KEY_NIVSES,$B908&amp;"|"&amp;$C908&amp;"|S2")&gt;0,COUNTIF(D_KEY_DOUBLON,$B908&amp;"|S2|"&amp;$E908)=0),"⚠ Départ non confirmé ?",IF(AND($C908&lt;&gt;"",ISNUMBER($I908),OR(VALUE(LEFT($B908,4))-$I908&lt;4+IFERROR(MATCH($C908,LISTE_NIVEAUX,0),99),VALUE(LEFT($B908,4))-$I908&gt;6+IFERROR(MATCH($C908,LISTE_NIVEAUX,0),99))),"⚠ Vérifier niveau",IF(AND(IFERROR(VLOOKUP($C908,TABLE_CYCLE,2,0),3)=2,COUNT($O908:$Q908)&gt;0),"⚠ Tests cycle 3",IF(COUNT($J908:$Q908)&gt;=IF(IFERROR(VLOOKUP($C908,TABLE_CYCLE,2,0),3)=2,5,8),"Complet","Incomplet"))))))))</f>
        <v/>
      </c>
      <c r="S908" s="24"/>
      <c r="T908" s="67" t="str">
        <f t="shared" si="127"/>
        <v/>
      </c>
      <c r="U908" s="67" t="str">
        <f t="shared" si="128"/>
        <v/>
      </c>
      <c r="V908" s="67" t="str">
        <f t="shared" si="129"/>
        <v/>
      </c>
      <c r="W908" s="67" t="str">
        <f t="shared" si="130"/>
        <v/>
      </c>
      <c r="X908" s="67" t="str">
        <f t="shared" si="131"/>
        <v/>
      </c>
      <c r="Y908" s="24" t="str">
        <f t="shared" si="132"/>
        <v/>
      </c>
      <c r="Z908">
        <f t="shared" si="133"/>
        <v>0</v>
      </c>
      <c r="AA908">
        <f t="shared" si="134"/>
        <v>0</v>
      </c>
    </row>
    <row r="909" spans="2:27" ht="15.75" customHeight="1" x14ac:dyDescent="0.3">
      <c r="B909" s="21"/>
      <c r="C909" s="21"/>
      <c r="D909" s="21"/>
      <c r="E909" s="22" t="str">
        <f t="shared" si="126"/>
        <v/>
      </c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3" t="str">
        <f>IF($F909="","",IF(OR($B909="",$C909="",$D909=""),"⚠ Compléter Année/Niveau/Session",IF(AND($E909&lt;&gt;"",COUNTIF(D_KEY_DOUBLON,$B909&amp;"|"&amp;$D909&amp;"|"&amp;$E909)&gt;1),"⚠ Doublon",IF(AND($E909&lt;&gt;"",COUNTIF(D_KEY_STATUT,$B909&amp;"|"&amp;$E909&amp;"|P")&gt;0,COUNTIF(D_KEY_STATUT,$B909&amp;"|"&amp;$E909&amp;"|A")&gt;0),"⚠ Statut incohérent",IF(AND($D909="S1",$Y909&lt;&gt;"Parti",COUNTIF(ANNEES_VERROU,$B909)&gt;0,COUNTIF(D_KEY_NIVSES,$B909&amp;"|"&amp;$C909&amp;"|S2")&gt;0,COUNTIF(D_KEY_DOUBLON,$B909&amp;"|S2|"&amp;$E909)=0),"⚠ Départ non confirmé ?",IF(AND($C909&lt;&gt;"",ISNUMBER($I909),OR(VALUE(LEFT($B909,4))-$I909&lt;4+IFERROR(MATCH($C909,LISTE_NIVEAUX,0),99),VALUE(LEFT($B909,4))-$I909&gt;6+IFERROR(MATCH($C909,LISTE_NIVEAUX,0),99))),"⚠ Vérifier niveau",IF(AND(IFERROR(VLOOKUP($C909,TABLE_CYCLE,2,0),3)=2,COUNT($O909:$Q909)&gt;0),"⚠ Tests cycle 3",IF(COUNT($J909:$Q909)&gt;=IF(IFERROR(VLOOKUP($C909,TABLE_CYCLE,2,0),3)=2,5,8),"Complet","Incomplet"))))))))</f>
        <v/>
      </c>
      <c r="S909" s="24"/>
      <c r="T909" s="67" t="str">
        <f t="shared" si="127"/>
        <v/>
      </c>
      <c r="U909" s="67" t="str">
        <f t="shared" si="128"/>
        <v/>
      </c>
      <c r="V909" s="67" t="str">
        <f t="shared" si="129"/>
        <v/>
      </c>
      <c r="W909" s="67" t="str">
        <f t="shared" si="130"/>
        <v/>
      </c>
      <c r="X909" s="67" t="str">
        <f t="shared" si="131"/>
        <v/>
      </c>
      <c r="Y909" s="24" t="str">
        <f t="shared" si="132"/>
        <v/>
      </c>
      <c r="Z909">
        <f t="shared" si="133"/>
        <v>0</v>
      </c>
      <c r="AA909">
        <f t="shared" si="134"/>
        <v>0</v>
      </c>
    </row>
    <row r="910" spans="2:27" ht="15.75" customHeight="1" x14ac:dyDescent="0.3">
      <c r="B910" s="25"/>
      <c r="C910" s="25"/>
      <c r="D910" s="25"/>
      <c r="E910" s="26" t="str">
        <f t="shared" si="126"/>
        <v/>
      </c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3" t="str">
        <f>IF($F910="","",IF(OR($B910="",$C910="",$D910=""),"⚠ Compléter Année/Niveau/Session",IF(AND($E910&lt;&gt;"",COUNTIF(D_KEY_DOUBLON,$B910&amp;"|"&amp;$D910&amp;"|"&amp;$E910)&gt;1),"⚠ Doublon",IF(AND($E910&lt;&gt;"",COUNTIF(D_KEY_STATUT,$B910&amp;"|"&amp;$E910&amp;"|P")&gt;0,COUNTIF(D_KEY_STATUT,$B910&amp;"|"&amp;$E910&amp;"|A")&gt;0),"⚠ Statut incohérent",IF(AND($D910="S1",$Y910&lt;&gt;"Parti",COUNTIF(ANNEES_VERROU,$B910)&gt;0,COUNTIF(D_KEY_NIVSES,$B910&amp;"|"&amp;$C910&amp;"|S2")&gt;0,COUNTIF(D_KEY_DOUBLON,$B910&amp;"|S2|"&amp;$E910)=0),"⚠ Départ non confirmé ?",IF(AND($C910&lt;&gt;"",ISNUMBER($I910),OR(VALUE(LEFT($B910,4))-$I910&lt;4+IFERROR(MATCH($C910,LISTE_NIVEAUX,0),99),VALUE(LEFT($B910,4))-$I910&gt;6+IFERROR(MATCH($C910,LISTE_NIVEAUX,0),99))),"⚠ Vérifier niveau",IF(AND(IFERROR(VLOOKUP($C910,TABLE_CYCLE,2,0),3)=2,COUNT($O910:$Q910)&gt;0),"⚠ Tests cycle 3",IF(COUNT($J910:$Q910)&gt;=IF(IFERROR(VLOOKUP($C910,TABLE_CYCLE,2,0),3)=2,5,8),"Complet","Incomplet"))))))))</f>
        <v/>
      </c>
      <c r="S910" s="24"/>
      <c r="T910" s="67" t="str">
        <f t="shared" si="127"/>
        <v/>
      </c>
      <c r="U910" s="67" t="str">
        <f t="shared" si="128"/>
        <v/>
      </c>
      <c r="V910" s="67" t="str">
        <f t="shared" si="129"/>
        <v/>
      </c>
      <c r="W910" s="67" t="str">
        <f t="shared" si="130"/>
        <v/>
      </c>
      <c r="X910" s="67" t="str">
        <f t="shared" si="131"/>
        <v/>
      </c>
      <c r="Y910" s="24" t="str">
        <f t="shared" si="132"/>
        <v/>
      </c>
      <c r="Z910">
        <f t="shared" si="133"/>
        <v>0</v>
      </c>
      <c r="AA910">
        <f t="shared" si="134"/>
        <v>0</v>
      </c>
    </row>
    <row r="911" spans="2:27" ht="15.75" customHeight="1" x14ac:dyDescent="0.3">
      <c r="B911" s="21"/>
      <c r="C911" s="21"/>
      <c r="D911" s="21"/>
      <c r="E911" s="22" t="str">
        <f t="shared" si="126"/>
        <v/>
      </c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3" t="str">
        <f>IF($F911="","",IF(OR($B911="",$C911="",$D911=""),"⚠ Compléter Année/Niveau/Session",IF(AND($E911&lt;&gt;"",COUNTIF(D_KEY_DOUBLON,$B911&amp;"|"&amp;$D911&amp;"|"&amp;$E911)&gt;1),"⚠ Doublon",IF(AND($E911&lt;&gt;"",COUNTIF(D_KEY_STATUT,$B911&amp;"|"&amp;$E911&amp;"|P")&gt;0,COUNTIF(D_KEY_STATUT,$B911&amp;"|"&amp;$E911&amp;"|A")&gt;0),"⚠ Statut incohérent",IF(AND($D911="S1",$Y911&lt;&gt;"Parti",COUNTIF(ANNEES_VERROU,$B911)&gt;0,COUNTIF(D_KEY_NIVSES,$B911&amp;"|"&amp;$C911&amp;"|S2")&gt;0,COUNTIF(D_KEY_DOUBLON,$B911&amp;"|S2|"&amp;$E911)=0),"⚠ Départ non confirmé ?",IF(AND($C911&lt;&gt;"",ISNUMBER($I911),OR(VALUE(LEFT($B911,4))-$I911&lt;4+IFERROR(MATCH($C911,LISTE_NIVEAUX,0),99),VALUE(LEFT($B911,4))-$I911&gt;6+IFERROR(MATCH($C911,LISTE_NIVEAUX,0),99))),"⚠ Vérifier niveau",IF(AND(IFERROR(VLOOKUP($C911,TABLE_CYCLE,2,0),3)=2,COUNT($O911:$Q911)&gt;0),"⚠ Tests cycle 3",IF(COUNT($J911:$Q911)&gt;=IF(IFERROR(VLOOKUP($C911,TABLE_CYCLE,2,0),3)=2,5,8),"Complet","Incomplet"))))))))</f>
        <v/>
      </c>
      <c r="S911" s="24"/>
      <c r="T911" s="67" t="str">
        <f t="shared" si="127"/>
        <v/>
      </c>
      <c r="U911" s="67" t="str">
        <f t="shared" si="128"/>
        <v/>
      </c>
      <c r="V911" s="67" t="str">
        <f t="shared" si="129"/>
        <v/>
      </c>
      <c r="W911" s="67" t="str">
        <f t="shared" si="130"/>
        <v/>
      </c>
      <c r="X911" s="67" t="str">
        <f t="shared" si="131"/>
        <v/>
      </c>
      <c r="Y911" s="24" t="str">
        <f t="shared" si="132"/>
        <v/>
      </c>
      <c r="Z911">
        <f t="shared" si="133"/>
        <v>0</v>
      </c>
      <c r="AA911">
        <f t="shared" si="134"/>
        <v>0</v>
      </c>
    </row>
    <row r="912" spans="2:27" ht="15.75" customHeight="1" x14ac:dyDescent="0.3">
      <c r="B912" s="25"/>
      <c r="C912" s="25"/>
      <c r="D912" s="25"/>
      <c r="E912" s="26" t="str">
        <f t="shared" si="126"/>
        <v/>
      </c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3" t="str">
        <f>IF($F912="","",IF(OR($B912="",$C912="",$D912=""),"⚠ Compléter Année/Niveau/Session",IF(AND($E912&lt;&gt;"",COUNTIF(D_KEY_DOUBLON,$B912&amp;"|"&amp;$D912&amp;"|"&amp;$E912)&gt;1),"⚠ Doublon",IF(AND($E912&lt;&gt;"",COUNTIF(D_KEY_STATUT,$B912&amp;"|"&amp;$E912&amp;"|P")&gt;0,COUNTIF(D_KEY_STATUT,$B912&amp;"|"&amp;$E912&amp;"|A")&gt;0),"⚠ Statut incohérent",IF(AND($D912="S1",$Y912&lt;&gt;"Parti",COUNTIF(ANNEES_VERROU,$B912)&gt;0,COUNTIF(D_KEY_NIVSES,$B912&amp;"|"&amp;$C912&amp;"|S2")&gt;0,COUNTIF(D_KEY_DOUBLON,$B912&amp;"|S2|"&amp;$E912)=0),"⚠ Départ non confirmé ?",IF(AND($C912&lt;&gt;"",ISNUMBER($I912),OR(VALUE(LEFT($B912,4))-$I912&lt;4+IFERROR(MATCH($C912,LISTE_NIVEAUX,0),99),VALUE(LEFT($B912,4))-$I912&gt;6+IFERROR(MATCH($C912,LISTE_NIVEAUX,0),99))),"⚠ Vérifier niveau",IF(AND(IFERROR(VLOOKUP($C912,TABLE_CYCLE,2,0),3)=2,COUNT($O912:$Q912)&gt;0),"⚠ Tests cycle 3",IF(COUNT($J912:$Q912)&gt;=IF(IFERROR(VLOOKUP($C912,TABLE_CYCLE,2,0),3)=2,5,8),"Complet","Incomplet"))))))))</f>
        <v/>
      </c>
      <c r="S912" s="24"/>
      <c r="T912" s="67" t="str">
        <f t="shared" si="127"/>
        <v/>
      </c>
      <c r="U912" s="67" t="str">
        <f t="shared" si="128"/>
        <v/>
      </c>
      <c r="V912" s="67" t="str">
        <f t="shared" si="129"/>
        <v/>
      </c>
      <c r="W912" s="67" t="str">
        <f t="shared" si="130"/>
        <v/>
      </c>
      <c r="X912" s="67" t="str">
        <f t="shared" si="131"/>
        <v/>
      </c>
      <c r="Y912" s="24" t="str">
        <f t="shared" si="132"/>
        <v/>
      </c>
      <c r="Z912">
        <f t="shared" si="133"/>
        <v>0</v>
      </c>
      <c r="AA912">
        <f t="shared" si="134"/>
        <v>0</v>
      </c>
    </row>
    <row r="913" spans="2:27" ht="15.75" customHeight="1" x14ac:dyDescent="0.3">
      <c r="B913" s="21"/>
      <c r="C913" s="21"/>
      <c r="D913" s="21"/>
      <c r="E913" s="22" t="str">
        <f t="shared" si="126"/>
        <v/>
      </c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3" t="str">
        <f>IF($F913="","",IF(OR($B913="",$C913="",$D913=""),"⚠ Compléter Année/Niveau/Session",IF(AND($E913&lt;&gt;"",COUNTIF(D_KEY_DOUBLON,$B913&amp;"|"&amp;$D913&amp;"|"&amp;$E913)&gt;1),"⚠ Doublon",IF(AND($E913&lt;&gt;"",COUNTIF(D_KEY_STATUT,$B913&amp;"|"&amp;$E913&amp;"|P")&gt;0,COUNTIF(D_KEY_STATUT,$B913&amp;"|"&amp;$E913&amp;"|A")&gt;0),"⚠ Statut incohérent",IF(AND($D913="S1",$Y913&lt;&gt;"Parti",COUNTIF(ANNEES_VERROU,$B913)&gt;0,COUNTIF(D_KEY_NIVSES,$B913&amp;"|"&amp;$C913&amp;"|S2")&gt;0,COUNTIF(D_KEY_DOUBLON,$B913&amp;"|S2|"&amp;$E913)=0),"⚠ Départ non confirmé ?",IF(AND($C913&lt;&gt;"",ISNUMBER($I913),OR(VALUE(LEFT($B913,4))-$I913&lt;4+IFERROR(MATCH($C913,LISTE_NIVEAUX,0),99),VALUE(LEFT($B913,4))-$I913&gt;6+IFERROR(MATCH($C913,LISTE_NIVEAUX,0),99))),"⚠ Vérifier niveau",IF(AND(IFERROR(VLOOKUP($C913,TABLE_CYCLE,2,0),3)=2,COUNT($O913:$Q913)&gt;0),"⚠ Tests cycle 3",IF(COUNT($J913:$Q913)&gt;=IF(IFERROR(VLOOKUP($C913,TABLE_CYCLE,2,0),3)=2,5,8),"Complet","Incomplet"))))))))</f>
        <v/>
      </c>
      <c r="S913" s="24"/>
      <c r="T913" s="67" t="str">
        <f t="shared" si="127"/>
        <v/>
      </c>
      <c r="U913" s="67" t="str">
        <f t="shared" si="128"/>
        <v/>
      </c>
      <c r="V913" s="67" t="str">
        <f t="shared" si="129"/>
        <v/>
      </c>
      <c r="W913" s="67" t="str">
        <f t="shared" si="130"/>
        <v/>
      </c>
      <c r="X913" s="67" t="str">
        <f t="shared" si="131"/>
        <v/>
      </c>
      <c r="Y913" s="24" t="str">
        <f t="shared" si="132"/>
        <v/>
      </c>
      <c r="Z913">
        <f t="shared" si="133"/>
        <v>0</v>
      </c>
      <c r="AA913">
        <f t="shared" si="134"/>
        <v>0</v>
      </c>
    </row>
    <row r="914" spans="2:27" ht="15.75" customHeight="1" x14ac:dyDescent="0.3">
      <c r="B914" s="25"/>
      <c r="C914" s="25"/>
      <c r="D914" s="25"/>
      <c r="E914" s="26" t="str">
        <f t="shared" si="126"/>
        <v/>
      </c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3" t="str">
        <f>IF($F914="","",IF(OR($B914="",$C914="",$D914=""),"⚠ Compléter Année/Niveau/Session",IF(AND($E914&lt;&gt;"",COUNTIF(D_KEY_DOUBLON,$B914&amp;"|"&amp;$D914&amp;"|"&amp;$E914)&gt;1),"⚠ Doublon",IF(AND($E914&lt;&gt;"",COUNTIF(D_KEY_STATUT,$B914&amp;"|"&amp;$E914&amp;"|P")&gt;0,COUNTIF(D_KEY_STATUT,$B914&amp;"|"&amp;$E914&amp;"|A")&gt;0),"⚠ Statut incohérent",IF(AND($D914="S1",$Y914&lt;&gt;"Parti",COUNTIF(ANNEES_VERROU,$B914)&gt;0,COUNTIF(D_KEY_NIVSES,$B914&amp;"|"&amp;$C914&amp;"|S2")&gt;0,COUNTIF(D_KEY_DOUBLON,$B914&amp;"|S2|"&amp;$E914)=0),"⚠ Départ non confirmé ?",IF(AND($C914&lt;&gt;"",ISNUMBER($I914),OR(VALUE(LEFT($B914,4))-$I914&lt;4+IFERROR(MATCH($C914,LISTE_NIVEAUX,0),99),VALUE(LEFT($B914,4))-$I914&gt;6+IFERROR(MATCH($C914,LISTE_NIVEAUX,0),99))),"⚠ Vérifier niveau",IF(AND(IFERROR(VLOOKUP($C914,TABLE_CYCLE,2,0),3)=2,COUNT($O914:$Q914)&gt;0),"⚠ Tests cycle 3",IF(COUNT($J914:$Q914)&gt;=IF(IFERROR(VLOOKUP($C914,TABLE_CYCLE,2,0),3)=2,5,8),"Complet","Incomplet"))))))))</f>
        <v/>
      </c>
      <c r="S914" s="24"/>
      <c r="T914" s="67" t="str">
        <f t="shared" si="127"/>
        <v/>
      </c>
      <c r="U914" s="67" t="str">
        <f t="shared" si="128"/>
        <v/>
      </c>
      <c r="V914" s="67" t="str">
        <f t="shared" si="129"/>
        <v/>
      </c>
      <c r="W914" s="67" t="str">
        <f t="shared" si="130"/>
        <v/>
      </c>
      <c r="X914" s="67" t="str">
        <f t="shared" si="131"/>
        <v/>
      </c>
      <c r="Y914" s="24" t="str">
        <f t="shared" si="132"/>
        <v/>
      </c>
      <c r="Z914">
        <f t="shared" si="133"/>
        <v>0</v>
      </c>
      <c r="AA914">
        <f t="shared" si="134"/>
        <v>0</v>
      </c>
    </row>
    <row r="915" spans="2:27" ht="15.75" customHeight="1" x14ac:dyDescent="0.3">
      <c r="B915" s="21"/>
      <c r="C915" s="21"/>
      <c r="D915" s="21"/>
      <c r="E915" s="22" t="str">
        <f t="shared" si="126"/>
        <v/>
      </c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3" t="str">
        <f>IF($F915="","",IF(OR($B915="",$C915="",$D915=""),"⚠ Compléter Année/Niveau/Session",IF(AND($E915&lt;&gt;"",COUNTIF(D_KEY_DOUBLON,$B915&amp;"|"&amp;$D915&amp;"|"&amp;$E915)&gt;1),"⚠ Doublon",IF(AND($E915&lt;&gt;"",COUNTIF(D_KEY_STATUT,$B915&amp;"|"&amp;$E915&amp;"|P")&gt;0,COUNTIF(D_KEY_STATUT,$B915&amp;"|"&amp;$E915&amp;"|A")&gt;0),"⚠ Statut incohérent",IF(AND($D915="S1",$Y915&lt;&gt;"Parti",COUNTIF(ANNEES_VERROU,$B915)&gt;0,COUNTIF(D_KEY_NIVSES,$B915&amp;"|"&amp;$C915&amp;"|S2")&gt;0,COUNTIF(D_KEY_DOUBLON,$B915&amp;"|S2|"&amp;$E915)=0),"⚠ Départ non confirmé ?",IF(AND($C915&lt;&gt;"",ISNUMBER($I915),OR(VALUE(LEFT($B915,4))-$I915&lt;4+IFERROR(MATCH($C915,LISTE_NIVEAUX,0),99),VALUE(LEFT($B915,4))-$I915&gt;6+IFERROR(MATCH($C915,LISTE_NIVEAUX,0),99))),"⚠ Vérifier niveau",IF(AND(IFERROR(VLOOKUP($C915,TABLE_CYCLE,2,0),3)=2,COUNT($O915:$Q915)&gt;0),"⚠ Tests cycle 3",IF(COUNT($J915:$Q915)&gt;=IF(IFERROR(VLOOKUP($C915,TABLE_CYCLE,2,0),3)=2,5,8),"Complet","Incomplet"))))))))</f>
        <v/>
      </c>
      <c r="S915" s="24"/>
      <c r="T915" s="67" t="str">
        <f t="shared" si="127"/>
        <v/>
      </c>
      <c r="U915" s="67" t="str">
        <f t="shared" si="128"/>
        <v/>
      </c>
      <c r="V915" s="67" t="str">
        <f t="shared" si="129"/>
        <v/>
      </c>
      <c r="W915" s="67" t="str">
        <f t="shared" si="130"/>
        <v/>
      </c>
      <c r="X915" s="67" t="str">
        <f t="shared" si="131"/>
        <v/>
      </c>
      <c r="Y915" s="24" t="str">
        <f t="shared" si="132"/>
        <v/>
      </c>
      <c r="Z915">
        <f t="shared" si="133"/>
        <v>0</v>
      </c>
      <c r="AA915">
        <f t="shared" si="134"/>
        <v>0</v>
      </c>
    </row>
    <row r="916" spans="2:27" ht="15.75" customHeight="1" x14ac:dyDescent="0.3">
      <c r="B916" s="25"/>
      <c r="C916" s="25"/>
      <c r="D916" s="25"/>
      <c r="E916" s="26" t="str">
        <f t="shared" si="126"/>
        <v/>
      </c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3" t="str">
        <f>IF($F916="","",IF(OR($B916="",$C916="",$D916=""),"⚠ Compléter Année/Niveau/Session",IF(AND($E916&lt;&gt;"",COUNTIF(D_KEY_DOUBLON,$B916&amp;"|"&amp;$D916&amp;"|"&amp;$E916)&gt;1),"⚠ Doublon",IF(AND($E916&lt;&gt;"",COUNTIF(D_KEY_STATUT,$B916&amp;"|"&amp;$E916&amp;"|P")&gt;0,COUNTIF(D_KEY_STATUT,$B916&amp;"|"&amp;$E916&amp;"|A")&gt;0),"⚠ Statut incohérent",IF(AND($D916="S1",$Y916&lt;&gt;"Parti",COUNTIF(ANNEES_VERROU,$B916)&gt;0,COUNTIF(D_KEY_NIVSES,$B916&amp;"|"&amp;$C916&amp;"|S2")&gt;0,COUNTIF(D_KEY_DOUBLON,$B916&amp;"|S2|"&amp;$E916)=0),"⚠ Départ non confirmé ?",IF(AND($C916&lt;&gt;"",ISNUMBER($I916),OR(VALUE(LEFT($B916,4))-$I916&lt;4+IFERROR(MATCH($C916,LISTE_NIVEAUX,0),99),VALUE(LEFT($B916,4))-$I916&gt;6+IFERROR(MATCH($C916,LISTE_NIVEAUX,0),99))),"⚠ Vérifier niveau",IF(AND(IFERROR(VLOOKUP($C916,TABLE_CYCLE,2,0),3)=2,COUNT($O916:$Q916)&gt;0),"⚠ Tests cycle 3",IF(COUNT($J916:$Q916)&gt;=IF(IFERROR(VLOOKUP($C916,TABLE_CYCLE,2,0),3)=2,5,8),"Complet","Incomplet"))))))))</f>
        <v/>
      </c>
      <c r="S916" s="24"/>
      <c r="T916" s="67" t="str">
        <f t="shared" si="127"/>
        <v/>
      </c>
      <c r="U916" s="67" t="str">
        <f t="shared" si="128"/>
        <v/>
      </c>
      <c r="V916" s="67" t="str">
        <f t="shared" si="129"/>
        <v/>
      </c>
      <c r="W916" s="67" t="str">
        <f t="shared" si="130"/>
        <v/>
      </c>
      <c r="X916" s="67" t="str">
        <f t="shared" si="131"/>
        <v/>
      </c>
      <c r="Y916" s="24" t="str">
        <f t="shared" si="132"/>
        <v/>
      </c>
      <c r="Z916">
        <f t="shared" si="133"/>
        <v>0</v>
      </c>
      <c r="AA916">
        <f t="shared" si="134"/>
        <v>0</v>
      </c>
    </row>
    <row r="917" spans="2:27" ht="15.75" customHeight="1" x14ac:dyDescent="0.3">
      <c r="B917" s="21"/>
      <c r="C917" s="21"/>
      <c r="D917" s="21"/>
      <c r="E917" s="22" t="str">
        <f t="shared" si="126"/>
        <v/>
      </c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3" t="str">
        <f>IF($F917="","",IF(OR($B917="",$C917="",$D917=""),"⚠ Compléter Année/Niveau/Session",IF(AND($E917&lt;&gt;"",COUNTIF(D_KEY_DOUBLON,$B917&amp;"|"&amp;$D917&amp;"|"&amp;$E917)&gt;1),"⚠ Doublon",IF(AND($E917&lt;&gt;"",COUNTIF(D_KEY_STATUT,$B917&amp;"|"&amp;$E917&amp;"|P")&gt;0,COUNTIF(D_KEY_STATUT,$B917&amp;"|"&amp;$E917&amp;"|A")&gt;0),"⚠ Statut incohérent",IF(AND($D917="S1",$Y917&lt;&gt;"Parti",COUNTIF(ANNEES_VERROU,$B917)&gt;0,COUNTIF(D_KEY_NIVSES,$B917&amp;"|"&amp;$C917&amp;"|S2")&gt;0,COUNTIF(D_KEY_DOUBLON,$B917&amp;"|S2|"&amp;$E917)=0),"⚠ Départ non confirmé ?",IF(AND($C917&lt;&gt;"",ISNUMBER($I917),OR(VALUE(LEFT($B917,4))-$I917&lt;4+IFERROR(MATCH($C917,LISTE_NIVEAUX,0),99),VALUE(LEFT($B917,4))-$I917&gt;6+IFERROR(MATCH($C917,LISTE_NIVEAUX,0),99))),"⚠ Vérifier niveau",IF(AND(IFERROR(VLOOKUP($C917,TABLE_CYCLE,2,0),3)=2,COUNT($O917:$Q917)&gt;0),"⚠ Tests cycle 3",IF(COUNT($J917:$Q917)&gt;=IF(IFERROR(VLOOKUP($C917,TABLE_CYCLE,2,0),3)=2,5,8),"Complet","Incomplet"))))))))</f>
        <v/>
      </c>
      <c r="S917" s="24"/>
      <c r="T917" s="67" t="str">
        <f t="shared" si="127"/>
        <v/>
      </c>
      <c r="U917" s="67" t="str">
        <f t="shared" si="128"/>
        <v/>
      </c>
      <c r="V917" s="67" t="str">
        <f t="shared" si="129"/>
        <v/>
      </c>
      <c r="W917" s="67" t="str">
        <f t="shared" si="130"/>
        <v/>
      </c>
      <c r="X917" s="67" t="str">
        <f t="shared" si="131"/>
        <v/>
      </c>
      <c r="Y917" s="24" t="str">
        <f t="shared" si="132"/>
        <v/>
      </c>
      <c r="Z917">
        <f t="shared" si="133"/>
        <v>0</v>
      </c>
      <c r="AA917">
        <f t="shared" si="134"/>
        <v>0</v>
      </c>
    </row>
    <row r="918" spans="2:27" ht="15.75" customHeight="1" x14ac:dyDescent="0.3">
      <c r="B918" s="25"/>
      <c r="C918" s="25"/>
      <c r="D918" s="25"/>
      <c r="E918" s="26" t="str">
        <f t="shared" si="126"/>
        <v/>
      </c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3" t="str">
        <f>IF($F918="","",IF(OR($B918="",$C918="",$D918=""),"⚠ Compléter Année/Niveau/Session",IF(AND($E918&lt;&gt;"",COUNTIF(D_KEY_DOUBLON,$B918&amp;"|"&amp;$D918&amp;"|"&amp;$E918)&gt;1),"⚠ Doublon",IF(AND($E918&lt;&gt;"",COUNTIF(D_KEY_STATUT,$B918&amp;"|"&amp;$E918&amp;"|P")&gt;0,COUNTIF(D_KEY_STATUT,$B918&amp;"|"&amp;$E918&amp;"|A")&gt;0),"⚠ Statut incohérent",IF(AND($D918="S1",$Y918&lt;&gt;"Parti",COUNTIF(ANNEES_VERROU,$B918)&gt;0,COUNTIF(D_KEY_NIVSES,$B918&amp;"|"&amp;$C918&amp;"|S2")&gt;0,COUNTIF(D_KEY_DOUBLON,$B918&amp;"|S2|"&amp;$E918)=0),"⚠ Départ non confirmé ?",IF(AND($C918&lt;&gt;"",ISNUMBER($I918),OR(VALUE(LEFT($B918,4))-$I918&lt;4+IFERROR(MATCH($C918,LISTE_NIVEAUX,0),99),VALUE(LEFT($B918,4))-$I918&gt;6+IFERROR(MATCH($C918,LISTE_NIVEAUX,0),99))),"⚠ Vérifier niveau",IF(AND(IFERROR(VLOOKUP($C918,TABLE_CYCLE,2,0),3)=2,COUNT($O918:$Q918)&gt;0),"⚠ Tests cycle 3",IF(COUNT($J918:$Q918)&gt;=IF(IFERROR(VLOOKUP($C918,TABLE_CYCLE,2,0),3)=2,5,8),"Complet","Incomplet"))))))))</f>
        <v/>
      </c>
      <c r="S918" s="24"/>
      <c r="T918" s="67" t="str">
        <f t="shared" si="127"/>
        <v/>
      </c>
      <c r="U918" s="67" t="str">
        <f t="shared" si="128"/>
        <v/>
      </c>
      <c r="V918" s="67" t="str">
        <f t="shared" si="129"/>
        <v/>
      </c>
      <c r="W918" s="67" t="str">
        <f t="shared" si="130"/>
        <v/>
      </c>
      <c r="X918" s="67" t="str">
        <f t="shared" si="131"/>
        <v/>
      </c>
      <c r="Y918" s="24" t="str">
        <f t="shared" si="132"/>
        <v/>
      </c>
      <c r="Z918">
        <f t="shared" si="133"/>
        <v>0</v>
      </c>
      <c r="AA918">
        <f t="shared" si="134"/>
        <v>0</v>
      </c>
    </row>
    <row r="919" spans="2:27" ht="15.75" customHeight="1" x14ac:dyDescent="0.3">
      <c r="B919" s="21"/>
      <c r="C919" s="21"/>
      <c r="D919" s="21"/>
      <c r="E919" s="22" t="str">
        <f t="shared" si="126"/>
        <v/>
      </c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3" t="str">
        <f>IF($F919="","",IF(OR($B919="",$C919="",$D919=""),"⚠ Compléter Année/Niveau/Session",IF(AND($E919&lt;&gt;"",COUNTIF(D_KEY_DOUBLON,$B919&amp;"|"&amp;$D919&amp;"|"&amp;$E919)&gt;1),"⚠ Doublon",IF(AND($E919&lt;&gt;"",COUNTIF(D_KEY_STATUT,$B919&amp;"|"&amp;$E919&amp;"|P")&gt;0,COUNTIF(D_KEY_STATUT,$B919&amp;"|"&amp;$E919&amp;"|A")&gt;0),"⚠ Statut incohérent",IF(AND($D919="S1",$Y919&lt;&gt;"Parti",COUNTIF(ANNEES_VERROU,$B919)&gt;0,COUNTIF(D_KEY_NIVSES,$B919&amp;"|"&amp;$C919&amp;"|S2")&gt;0,COUNTIF(D_KEY_DOUBLON,$B919&amp;"|S2|"&amp;$E919)=0),"⚠ Départ non confirmé ?",IF(AND($C919&lt;&gt;"",ISNUMBER($I919),OR(VALUE(LEFT($B919,4))-$I919&lt;4+IFERROR(MATCH($C919,LISTE_NIVEAUX,0),99),VALUE(LEFT($B919,4))-$I919&gt;6+IFERROR(MATCH($C919,LISTE_NIVEAUX,0),99))),"⚠ Vérifier niveau",IF(AND(IFERROR(VLOOKUP($C919,TABLE_CYCLE,2,0),3)=2,COUNT($O919:$Q919)&gt;0),"⚠ Tests cycle 3",IF(COUNT($J919:$Q919)&gt;=IF(IFERROR(VLOOKUP($C919,TABLE_CYCLE,2,0),3)=2,5,8),"Complet","Incomplet"))))))))</f>
        <v/>
      </c>
      <c r="S919" s="24"/>
      <c r="T919" s="67" t="str">
        <f t="shared" si="127"/>
        <v/>
      </c>
      <c r="U919" s="67" t="str">
        <f t="shared" si="128"/>
        <v/>
      </c>
      <c r="V919" s="67" t="str">
        <f t="shared" si="129"/>
        <v/>
      </c>
      <c r="W919" s="67" t="str">
        <f t="shared" si="130"/>
        <v/>
      </c>
      <c r="X919" s="67" t="str">
        <f t="shared" si="131"/>
        <v/>
      </c>
      <c r="Y919" s="24" t="str">
        <f t="shared" si="132"/>
        <v/>
      </c>
      <c r="Z919">
        <f t="shared" si="133"/>
        <v>0</v>
      </c>
      <c r="AA919">
        <f t="shared" si="134"/>
        <v>0</v>
      </c>
    </row>
    <row r="920" spans="2:27" ht="15.75" customHeight="1" x14ac:dyDescent="0.3">
      <c r="B920" s="25"/>
      <c r="C920" s="25"/>
      <c r="D920" s="25"/>
      <c r="E920" s="26" t="str">
        <f t="shared" si="126"/>
        <v/>
      </c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3" t="str">
        <f>IF($F920="","",IF(OR($B920="",$C920="",$D920=""),"⚠ Compléter Année/Niveau/Session",IF(AND($E920&lt;&gt;"",COUNTIF(D_KEY_DOUBLON,$B920&amp;"|"&amp;$D920&amp;"|"&amp;$E920)&gt;1),"⚠ Doublon",IF(AND($E920&lt;&gt;"",COUNTIF(D_KEY_STATUT,$B920&amp;"|"&amp;$E920&amp;"|P")&gt;0,COUNTIF(D_KEY_STATUT,$B920&amp;"|"&amp;$E920&amp;"|A")&gt;0),"⚠ Statut incohérent",IF(AND($D920="S1",$Y920&lt;&gt;"Parti",COUNTIF(ANNEES_VERROU,$B920)&gt;0,COUNTIF(D_KEY_NIVSES,$B920&amp;"|"&amp;$C920&amp;"|S2")&gt;0,COUNTIF(D_KEY_DOUBLON,$B920&amp;"|S2|"&amp;$E920)=0),"⚠ Départ non confirmé ?",IF(AND($C920&lt;&gt;"",ISNUMBER($I920),OR(VALUE(LEFT($B920,4))-$I920&lt;4+IFERROR(MATCH($C920,LISTE_NIVEAUX,0),99),VALUE(LEFT($B920,4))-$I920&gt;6+IFERROR(MATCH($C920,LISTE_NIVEAUX,0),99))),"⚠ Vérifier niveau",IF(AND(IFERROR(VLOOKUP($C920,TABLE_CYCLE,2,0),3)=2,COUNT($O920:$Q920)&gt;0),"⚠ Tests cycle 3",IF(COUNT($J920:$Q920)&gt;=IF(IFERROR(VLOOKUP($C920,TABLE_CYCLE,2,0),3)=2,5,8),"Complet","Incomplet"))))))))</f>
        <v/>
      </c>
      <c r="S920" s="24"/>
      <c r="T920" s="67" t="str">
        <f t="shared" si="127"/>
        <v/>
      </c>
      <c r="U920" s="67" t="str">
        <f t="shared" si="128"/>
        <v/>
      </c>
      <c r="V920" s="67" t="str">
        <f t="shared" si="129"/>
        <v/>
      </c>
      <c r="W920" s="67" t="str">
        <f t="shared" si="130"/>
        <v/>
      </c>
      <c r="X920" s="67" t="str">
        <f t="shared" si="131"/>
        <v/>
      </c>
      <c r="Y920" s="24" t="str">
        <f t="shared" si="132"/>
        <v/>
      </c>
      <c r="Z920">
        <f t="shared" si="133"/>
        <v>0</v>
      </c>
      <c r="AA920">
        <f t="shared" si="134"/>
        <v>0</v>
      </c>
    </row>
    <row r="921" spans="2:27" ht="15.75" customHeight="1" x14ac:dyDescent="0.3">
      <c r="B921" s="21"/>
      <c r="C921" s="21"/>
      <c r="D921" s="21"/>
      <c r="E921" s="22" t="str">
        <f t="shared" si="126"/>
        <v/>
      </c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3" t="str">
        <f>IF($F921="","",IF(OR($B921="",$C921="",$D921=""),"⚠ Compléter Année/Niveau/Session",IF(AND($E921&lt;&gt;"",COUNTIF(D_KEY_DOUBLON,$B921&amp;"|"&amp;$D921&amp;"|"&amp;$E921)&gt;1),"⚠ Doublon",IF(AND($E921&lt;&gt;"",COUNTIF(D_KEY_STATUT,$B921&amp;"|"&amp;$E921&amp;"|P")&gt;0,COUNTIF(D_KEY_STATUT,$B921&amp;"|"&amp;$E921&amp;"|A")&gt;0),"⚠ Statut incohérent",IF(AND($D921="S1",$Y921&lt;&gt;"Parti",COUNTIF(ANNEES_VERROU,$B921)&gt;0,COUNTIF(D_KEY_NIVSES,$B921&amp;"|"&amp;$C921&amp;"|S2")&gt;0,COUNTIF(D_KEY_DOUBLON,$B921&amp;"|S2|"&amp;$E921)=0),"⚠ Départ non confirmé ?",IF(AND($C921&lt;&gt;"",ISNUMBER($I921),OR(VALUE(LEFT($B921,4))-$I921&lt;4+IFERROR(MATCH($C921,LISTE_NIVEAUX,0),99),VALUE(LEFT($B921,4))-$I921&gt;6+IFERROR(MATCH($C921,LISTE_NIVEAUX,0),99))),"⚠ Vérifier niveau",IF(AND(IFERROR(VLOOKUP($C921,TABLE_CYCLE,2,0),3)=2,COUNT($O921:$Q921)&gt;0),"⚠ Tests cycle 3",IF(COUNT($J921:$Q921)&gt;=IF(IFERROR(VLOOKUP($C921,TABLE_CYCLE,2,0),3)=2,5,8),"Complet","Incomplet"))))))))</f>
        <v/>
      </c>
      <c r="S921" s="24"/>
      <c r="T921" s="67" t="str">
        <f t="shared" si="127"/>
        <v/>
      </c>
      <c r="U921" s="67" t="str">
        <f t="shared" si="128"/>
        <v/>
      </c>
      <c r="V921" s="67" t="str">
        <f t="shared" si="129"/>
        <v/>
      </c>
      <c r="W921" s="67" t="str">
        <f t="shared" si="130"/>
        <v/>
      </c>
      <c r="X921" s="67" t="str">
        <f t="shared" si="131"/>
        <v/>
      </c>
      <c r="Y921" s="24" t="str">
        <f t="shared" si="132"/>
        <v/>
      </c>
      <c r="Z921">
        <f t="shared" si="133"/>
        <v>0</v>
      </c>
      <c r="AA921">
        <f t="shared" si="134"/>
        <v>0</v>
      </c>
    </row>
    <row r="922" spans="2:27" ht="15.75" customHeight="1" x14ac:dyDescent="0.3">
      <c r="B922" s="25"/>
      <c r="C922" s="25"/>
      <c r="D922" s="25"/>
      <c r="E922" s="26" t="str">
        <f t="shared" si="126"/>
        <v/>
      </c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3" t="str">
        <f>IF($F922="","",IF(OR($B922="",$C922="",$D922=""),"⚠ Compléter Année/Niveau/Session",IF(AND($E922&lt;&gt;"",COUNTIF(D_KEY_DOUBLON,$B922&amp;"|"&amp;$D922&amp;"|"&amp;$E922)&gt;1),"⚠ Doublon",IF(AND($E922&lt;&gt;"",COUNTIF(D_KEY_STATUT,$B922&amp;"|"&amp;$E922&amp;"|P")&gt;0,COUNTIF(D_KEY_STATUT,$B922&amp;"|"&amp;$E922&amp;"|A")&gt;0),"⚠ Statut incohérent",IF(AND($D922="S1",$Y922&lt;&gt;"Parti",COUNTIF(ANNEES_VERROU,$B922)&gt;0,COUNTIF(D_KEY_NIVSES,$B922&amp;"|"&amp;$C922&amp;"|S2")&gt;0,COUNTIF(D_KEY_DOUBLON,$B922&amp;"|S2|"&amp;$E922)=0),"⚠ Départ non confirmé ?",IF(AND($C922&lt;&gt;"",ISNUMBER($I922),OR(VALUE(LEFT($B922,4))-$I922&lt;4+IFERROR(MATCH($C922,LISTE_NIVEAUX,0),99),VALUE(LEFT($B922,4))-$I922&gt;6+IFERROR(MATCH($C922,LISTE_NIVEAUX,0),99))),"⚠ Vérifier niveau",IF(AND(IFERROR(VLOOKUP($C922,TABLE_CYCLE,2,0),3)=2,COUNT($O922:$Q922)&gt;0),"⚠ Tests cycle 3",IF(COUNT($J922:$Q922)&gt;=IF(IFERROR(VLOOKUP($C922,TABLE_CYCLE,2,0),3)=2,5,8),"Complet","Incomplet"))))))))</f>
        <v/>
      </c>
      <c r="S922" s="24"/>
      <c r="T922" s="67" t="str">
        <f t="shared" si="127"/>
        <v/>
      </c>
      <c r="U922" s="67" t="str">
        <f t="shared" si="128"/>
        <v/>
      </c>
      <c r="V922" s="67" t="str">
        <f t="shared" si="129"/>
        <v/>
      </c>
      <c r="W922" s="67" t="str">
        <f t="shared" si="130"/>
        <v/>
      </c>
      <c r="X922" s="67" t="str">
        <f t="shared" si="131"/>
        <v/>
      </c>
      <c r="Y922" s="24" t="str">
        <f t="shared" si="132"/>
        <v/>
      </c>
      <c r="Z922">
        <f t="shared" si="133"/>
        <v>0</v>
      </c>
      <c r="AA922">
        <f t="shared" si="134"/>
        <v>0</v>
      </c>
    </row>
    <row r="923" spans="2:27" ht="15.75" customHeight="1" x14ac:dyDescent="0.3">
      <c r="B923" s="21"/>
      <c r="C923" s="21"/>
      <c r="D923" s="21"/>
      <c r="E923" s="22" t="str">
        <f t="shared" si="126"/>
        <v/>
      </c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3" t="str">
        <f>IF($F923="","",IF(OR($B923="",$C923="",$D923=""),"⚠ Compléter Année/Niveau/Session",IF(AND($E923&lt;&gt;"",COUNTIF(D_KEY_DOUBLON,$B923&amp;"|"&amp;$D923&amp;"|"&amp;$E923)&gt;1),"⚠ Doublon",IF(AND($E923&lt;&gt;"",COUNTIF(D_KEY_STATUT,$B923&amp;"|"&amp;$E923&amp;"|P")&gt;0,COUNTIF(D_KEY_STATUT,$B923&amp;"|"&amp;$E923&amp;"|A")&gt;0),"⚠ Statut incohérent",IF(AND($D923="S1",$Y923&lt;&gt;"Parti",COUNTIF(ANNEES_VERROU,$B923)&gt;0,COUNTIF(D_KEY_NIVSES,$B923&amp;"|"&amp;$C923&amp;"|S2")&gt;0,COUNTIF(D_KEY_DOUBLON,$B923&amp;"|S2|"&amp;$E923)=0),"⚠ Départ non confirmé ?",IF(AND($C923&lt;&gt;"",ISNUMBER($I923),OR(VALUE(LEFT($B923,4))-$I923&lt;4+IFERROR(MATCH($C923,LISTE_NIVEAUX,0),99),VALUE(LEFT($B923,4))-$I923&gt;6+IFERROR(MATCH($C923,LISTE_NIVEAUX,0),99))),"⚠ Vérifier niveau",IF(AND(IFERROR(VLOOKUP($C923,TABLE_CYCLE,2,0),3)=2,COUNT($O923:$Q923)&gt;0),"⚠ Tests cycle 3",IF(COUNT($J923:$Q923)&gt;=IF(IFERROR(VLOOKUP($C923,TABLE_CYCLE,2,0),3)=2,5,8),"Complet","Incomplet"))))))))</f>
        <v/>
      </c>
      <c r="S923" s="24"/>
      <c r="T923" s="67" t="str">
        <f t="shared" si="127"/>
        <v/>
      </c>
      <c r="U923" s="67" t="str">
        <f t="shared" si="128"/>
        <v/>
      </c>
      <c r="V923" s="67" t="str">
        <f t="shared" si="129"/>
        <v/>
      </c>
      <c r="W923" s="67" t="str">
        <f t="shared" si="130"/>
        <v/>
      </c>
      <c r="X923" s="67" t="str">
        <f t="shared" si="131"/>
        <v/>
      </c>
      <c r="Y923" s="24" t="str">
        <f t="shared" si="132"/>
        <v/>
      </c>
      <c r="Z923">
        <f t="shared" si="133"/>
        <v>0</v>
      </c>
      <c r="AA923">
        <f t="shared" si="134"/>
        <v>0</v>
      </c>
    </row>
    <row r="924" spans="2:27" ht="15.75" customHeight="1" x14ac:dyDescent="0.3">
      <c r="B924" s="25"/>
      <c r="C924" s="25"/>
      <c r="D924" s="25"/>
      <c r="E924" s="26" t="str">
        <f t="shared" si="126"/>
        <v/>
      </c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3" t="str">
        <f>IF($F924="","",IF(OR($B924="",$C924="",$D924=""),"⚠ Compléter Année/Niveau/Session",IF(AND($E924&lt;&gt;"",COUNTIF(D_KEY_DOUBLON,$B924&amp;"|"&amp;$D924&amp;"|"&amp;$E924)&gt;1),"⚠ Doublon",IF(AND($E924&lt;&gt;"",COUNTIF(D_KEY_STATUT,$B924&amp;"|"&amp;$E924&amp;"|P")&gt;0,COUNTIF(D_KEY_STATUT,$B924&amp;"|"&amp;$E924&amp;"|A")&gt;0),"⚠ Statut incohérent",IF(AND($D924="S1",$Y924&lt;&gt;"Parti",COUNTIF(ANNEES_VERROU,$B924)&gt;0,COUNTIF(D_KEY_NIVSES,$B924&amp;"|"&amp;$C924&amp;"|S2")&gt;0,COUNTIF(D_KEY_DOUBLON,$B924&amp;"|S2|"&amp;$E924)=0),"⚠ Départ non confirmé ?",IF(AND($C924&lt;&gt;"",ISNUMBER($I924),OR(VALUE(LEFT($B924,4))-$I924&lt;4+IFERROR(MATCH($C924,LISTE_NIVEAUX,0),99),VALUE(LEFT($B924,4))-$I924&gt;6+IFERROR(MATCH($C924,LISTE_NIVEAUX,0),99))),"⚠ Vérifier niveau",IF(AND(IFERROR(VLOOKUP($C924,TABLE_CYCLE,2,0),3)=2,COUNT($O924:$Q924)&gt;0),"⚠ Tests cycle 3",IF(COUNT($J924:$Q924)&gt;=IF(IFERROR(VLOOKUP($C924,TABLE_CYCLE,2,0),3)=2,5,8),"Complet","Incomplet"))))))))</f>
        <v/>
      </c>
      <c r="S924" s="24"/>
      <c r="T924" s="67" t="str">
        <f t="shared" si="127"/>
        <v/>
      </c>
      <c r="U924" s="67" t="str">
        <f t="shared" si="128"/>
        <v/>
      </c>
      <c r="V924" s="67" t="str">
        <f t="shared" si="129"/>
        <v/>
      </c>
      <c r="W924" s="67" t="str">
        <f t="shared" si="130"/>
        <v/>
      </c>
      <c r="X924" s="67" t="str">
        <f t="shared" si="131"/>
        <v/>
      </c>
      <c r="Y924" s="24" t="str">
        <f t="shared" si="132"/>
        <v/>
      </c>
      <c r="Z924">
        <f t="shared" si="133"/>
        <v>0</v>
      </c>
      <c r="AA924">
        <f t="shared" si="134"/>
        <v>0</v>
      </c>
    </row>
    <row r="925" spans="2:27" ht="15.75" customHeight="1" x14ac:dyDescent="0.3">
      <c r="B925" s="21"/>
      <c r="C925" s="21"/>
      <c r="D925" s="21"/>
      <c r="E925" s="22" t="str">
        <f t="shared" si="126"/>
        <v/>
      </c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3" t="str">
        <f>IF($F925="","",IF(OR($B925="",$C925="",$D925=""),"⚠ Compléter Année/Niveau/Session",IF(AND($E925&lt;&gt;"",COUNTIF(D_KEY_DOUBLON,$B925&amp;"|"&amp;$D925&amp;"|"&amp;$E925)&gt;1),"⚠ Doublon",IF(AND($E925&lt;&gt;"",COUNTIF(D_KEY_STATUT,$B925&amp;"|"&amp;$E925&amp;"|P")&gt;0,COUNTIF(D_KEY_STATUT,$B925&amp;"|"&amp;$E925&amp;"|A")&gt;0),"⚠ Statut incohérent",IF(AND($D925="S1",$Y925&lt;&gt;"Parti",COUNTIF(ANNEES_VERROU,$B925)&gt;0,COUNTIF(D_KEY_NIVSES,$B925&amp;"|"&amp;$C925&amp;"|S2")&gt;0,COUNTIF(D_KEY_DOUBLON,$B925&amp;"|S2|"&amp;$E925)=0),"⚠ Départ non confirmé ?",IF(AND($C925&lt;&gt;"",ISNUMBER($I925),OR(VALUE(LEFT($B925,4))-$I925&lt;4+IFERROR(MATCH($C925,LISTE_NIVEAUX,0),99),VALUE(LEFT($B925,4))-$I925&gt;6+IFERROR(MATCH($C925,LISTE_NIVEAUX,0),99))),"⚠ Vérifier niveau",IF(AND(IFERROR(VLOOKUP($C925,TABLE_CYCLE,2,0),3)=2,COUNT($O925:$Q925)&gt;0),"⚠ Tests cycle 3",IF(COUNT($J925:$Q925)&gt;=IF(IFERROR(VLOOKUP($C925,TABLE_CYCLE,2,0),3)=2,5,8),"Complet","Incomplet"))))))))</f>
        <v/>
      </c>
      <c r="S925" s="24"/>
      <c r="T925" s="67" t="str">
        <f t="shared" si="127"/>
        <v/>
      </c>
      <c r="U925" s="67" t="str">
        <f t="shared" si="128"/>
        <v/>
      </c>
      <c r="V925" s="67" t="str">
        <f t="shared" si="129"/>
        <v/>
      </c>
      <c r="W925" s="67" t="str">
        <f t="shared" si="130"/>
        <v/>
      </c>
      <c r="X925" s="67" t="str">
        <f t="shared" si="131"/>
        <v/>
      </c>
      <c r="Y925" s="24" t="str">
        <f t="shared" si="132"/>
        <v/>
      </c>
      <c r="Z925">
        <f t="shared" si="133"/>
        <v>0</v>
      </c>
      <c r="AA925">
        <f t="shared" si="134"/>
        <v>0</v>
      </c>
    </row>
    <row r="926" spans="2:27" ht="15.75" customHeight="1" x14ac:dyDescent="0.3">
      <c r="B926" s="25"/>
      <c r="C926" s="25"/>
      <c r="D926" s="25"/>
      <c r="E926" s="26" t="str">
        <f t="shared" si="126"/>
        <v/>
      </c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3" t="str">
        <f>IF($F926="","",IF(OR($B926="",$C926="",$D926=""),"⚠ Compléter Année/Niveau/Session",IF(AND($E926&lt;&gt;"",COUNTIF(D_KEY_DOUBLON,$B926&amp;"|"&amp;$D926&amp;"|"&amp;$E926)&gt;1),"⚠ Doublon",IF(AND($E926&lt;&gt;"",COUNTIF(D_KEY_STATUT,$B926&amp;"|"&amp;$E926&amp;"|P")&gt;0,COUNTIF(D_KEY_STATUT,$B926&amp;"|"&amp;$E926&amp;"|A")&gt;0),"⚠ Statut incohérent",IF(AND($D926="S1",$Y926&lt;&gt;"Parti",COUNTIF(ANNEES_VERROU,$B926)&gt;0,COUNTIF(D_KEY_NIVSES,$B926&amp;"|"&amp;$C926&amp;"|S2")&gt;0,COUNTIF(D_KEY_DOUBLON,$B926&amp;"|S2|"&amp;$E926)=0),"⚠ Départ non confirmé ?",IF(AND($C926&lt;&gt;"",ISNUMBER($I926),OR(VALUE(LEFT($B926,4))-$I926&lt;4+IFERROR(MATCH($C926,LISTE_NIVEAUX,0),99),VALUE(LEFT($B926,4))-$I926&gt;6+IFERROR(MATCH($C926,LISTE_NIVEAUX,0),99))),"⚠ Vérifier niveau",IF(AND(IFERROR(VLOOKUP($C926,TABLE_CYCLE,2,0),3)=2,COUNT($O926:$Q926)&gt;0),"⚠ Tests cycle 3",IF(COUNT($J926:$Q926)&gt;=IF(IFERROR(VLOOKUP($C926,TABLE_CYCLE,2,0),3)=2,5,8),"Complet","Incomplet"))))))))</f>
        <v/>
      </c>
      <c r="S926" s="24"/>
      <c r="T926" s="67" t="str">
        <f t="shared" si="127"/>
        <v/>
      </c>
      <c r="U926" s="67" t="str">
        <f t="shared" si="128"/>
        <v/>
      </c>
      <c r="V926" s="67" t="str">
        <f t="shared" si="129"/>
        <v/>
      </c>
      <c r="W926" s="67" t="str">
        <f t="shared" si="130"/>
        <v/>
      </c>
      <c r="X926" s="67" t="str">
        <f t="shared" si="131"/>
        <v/>
      </c>
      <c r="Y926" s="24" t="str">
        <f t="shared" si="132"/>
        <v/>
      </c>
      <c r="Z926">
        <f t="shared" si="133"/>
        <v>0</v>
      </c>
      <c r="AA926">
        <f t="shared" si="134"/>
        <v>0</v>
      </c>
    </row>
    <row r="927" spans="2:27" ht="15.75" customHeight="1" x14ac:dyDescent="0.3">
      <c r="B927" s="21"/>
      <c r="C927" s="21"/>
      <c r="D927" s="21"/>
      <c r="E927" s="22" t="str">
        <f t="shared" si="126"/>
        <v/>
      </c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3" t="str">
        <f>IF($F927="","",IF(OR($B927="",$C927="",$D927=""),"⚠ Compléter Année/Niveau/Session",IF(AND($E927&lt;&gt;"",COUNTIF(D_KEY_DOUBLON,$B927&amp;"|"&amp;$D927&amp;"|"&amp;$E927)&gt;1),"⚠ Doublon",IF(AND($E927&lt;&gt;"",COUNTIF(D_KEY_STATUT,$B927&amp;"|"&amp;$E927&amp;"|P")&gt;0,COUNTIF(D_KEY_STATUT,$B927&amp;"|"&amp;$E927&amp;"|A")&gt;0),"⚠ Statut incohérent",IF(AND($D927="S1",$Y927&lt;&gt;"Parti",COUNTIF(ANNEES_VERROU,$B927)&gt;0,COUNTIF(D_KEY_NIVSES,$B927&amp;"|"&amp;$C927&amp;"|S2")&gt;0,COUNTIF(D_KEY_DOUBLON,$B927&amp;"|S2|"&amp;$E927)=0),"⚠ Départ non confirmé ?",IF(AND($C927&lt;&gt;"",ISNUMBER($I927),OR(VALUE(LEFT($B927,4))-$I927&lt;4+IFERROR(MATCH($C927,LISTE_NIVEAUX,0),99),VALUE(LEFT($B927,4))-$I927&gt;6+IFERROR(MATCH($C927,LISTE_NIVEAUX,0),99))),"⚠ Vérifier niveau",IF(AND(IFERROR(VLOOKUP($C927,TABLE_CYCLE,2,0),3)=2,COUNT($O927:$Q927)&gt;0),"⚠ Tests cycle 3",IF(COUNT($J927:$Q927)&gt;=IF(IFERROR(VLOOKUP($C927,TABLE_CYCLE,2,0),3)=2,5,8),"Complet","Incomplet"))))))))</f>
        <v/>
      </c>
      <c r="S927" s="24"/>
      <c r="T927" s="67" t="str">
        <f t="shared" si="127"/>
        <v/>
      </c>
      <c r="U927" s="67" t="str">
        <f t="shared" si="128"/>
        <v/>
      </c>
      <c r="V927" s="67" t="str">
        <f t="shared" si="129"/>
        <v/>
      </c>
      <c r="W927" s="67" t="str">
        <f t="shared" si="130"/>
        <v/>
      </c>
      <c r="X927" s="67" t="str">
        <f t="shared" si="131"/>
        <v/>
      </c>
      <c r="Y927" s="24" t="str">
        <f t="shared" si="132"/>
        <v/>
      </c>
      <c r="Z927">
        <f t="shared" si="133"/>
        <v>0</v>
      </c>
      <c r="AA927">
        <f t="shared" si="134"/>
        <v>0</v>
      </c>
    </row>
    <row r="928" spans="2:27" ht="15.75" customHeight="1" x14ac:dyDescent="0.3">
      <c r="B928" s="25"/>
      <c r="C928" s="25"/>
      <c r="D928" s="25"/>
      <c r="E928" s="26" t="str">
        <f t="shared" si="126"/>
        <v/>
      </c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3" t="str">
        <f>IF($F928="","",IF(OR($B928="",$C928="",$D928=""),"⚠ Compléter Année/Niveau/Session",IF(AND($E928&lt;&gt;"",COUNTIF(D_KEY_DOUBLON,$B928&amp;"|"&amp;$D928&amp;"|"&amp;$E928)&gt;1),"⚠ Doublon",IF(AND($E928&lt;&gt;"",COUNTIF(D_KEY_STATUT,$B928&amp;"|"&amp;$E928&amp;"|P")&gt;0,COUNTIF(D_KEY_STATUT,$B928&amp;"|"&amp;$E928&amp;"|A")&gt;0),"⚠ Statut incohérent",IF(AND($D928="S1",$Y928&lt;&gt;"Parti",COUNTIF(ANNEES_VERROU,$B928)&gt;0,COUNTIF(D_KEY_NIVSES,$B928&amp;"|"&amp;$C928&amp;"|S2")&gt;0,COUNTIF(D_KEY_DOUBLON,$B928&amp;"|S2|"&amp;$E928)=0),"⚠ Départ non confirmé ?",IF(AND($C928&lt;&gt;"",ISNUMBER($I928),OR(VALUE(LEFT($B928,4))-$I928&lt;4+IFERROR(MATCH($C928,LISTE_NIVEAUX,0),99),VALUE(LEFT($B928,4))-$I928&gt;6+IFERROR(MATCH($C928,LISTE_NIVEAUX,0),99))),"⚠ Vérifier niveau",IF(AND(IFERROR(VLOOKUP($C928,TABLE_CYCLE,2,0),3)=2,COUNT($O928:$Q928)&gt;0),"⚠ Tests cycle 3",IF(COUNT($J928:$Q928)&gt;=IF(IFERROR(VLOOKUP($C928,TABLE_CYCLE,2,0),3)=2,5,8),"Complet","Incomplet"))))))))</f>
        <v/>
      </c>
      <c r="S928" s="24"/>
      <c r="T928" s="67" t="str">
        <f t="shared" si="127"/>
        <v/>
      </c>
      <c r="U928" s="67" t="str">
        <f t="shared" si="128"/>
        <v/>
      </c>
      <c r="V928" s="67" t="str">
        <f t="shared" si="129"/>
        <v/>
      </c>
      <c r="W928" s="67" t="str">
        <f t="shared" si="130"/>
        <v/>
      </c>
      <c r="X928" s="67" t="str">
        <f t="shared" si="131"/>
        <v/>
      </c>
      <c r="Y928" s="24" t="str">
        <f t="shared" si="132"/>
        <v/>
      </c>
      <c r="Z928">
        <f t="shared" si="133"/>
        <v>0</v>
      </c>
      <c r="AA928">
        <f t="shared" si="134"/>
        <v>0</v>
      </c>
    </row>
    <row r="929" spans="2:27" ht="15.75" customHeight="1" x14ac:dyDescent="0.3">
      <c r="B929" s="21"/>
      <c r="C929" s="21"/>
      <c r="D929" s="21"/>
      <c r="E929" s="22" t="str">
        <f t="shared" si="126"/>
        <v/>
      </c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3" t="str">
        <f>IF($F929="","",IF(OR($B929="",$C929="",$D929=""),"⚠ Compléter Année/Niveau/Session",IF(AND($E929&lt;&gt;"",COUNTIF(D_KEY_DOUBLON,$B929&amp;"|"&amp;$D929&amp;"|"&amp;$E929)&gt;1),"⚠ Doublon",IF(AND($E929&lt;&gt;"",COUNTIF(D_KEY_STATUT,$B929&amp;"|"&amp;$E929&amp;"|P")&gt;0,COUNTIF(D_KEY_STATUT,$B929&amp;"|"&amp;$E929&amp;"|A")&gt;0),"⚠ Statut incohérent",IF(AND($D929="S1",$Y929&lt;&gt;"Parti",COUNTIF(ANNEES_VERROU,$B929)&gt;0,COUNTIF(D_KEY_NIVSES,$B929&amp;"|"&amp;$C929&amp;"|S2")&gt;0,COUNTIF(D_KEY_DOUBLON,$B929&amp;"|S2|"&amp;$E929)=0),"⚠ Départ non confirmé ?",IF(AND($C929&lt;&gt;"",ISNUMBER($I929),OR(VALUE(LEFT($B929,4))-$I929&lt;4+IFERROR(MATCH($C929,LISTE_NIVEAUX,0),99),VALUE(LEFT($B929,4))-$I929&gt;6+IFERROR(MATCH($C929,LISTE_NIVEAUX,0),99))),"⚠ Vérifier niveau",IF(AND(IFERROR(VLOOKUP($C929,TABLE_CYCLE,2,0),3)=2,COUNT($O929:$Q929)&gt;0),"⚠ Tests cycle 3",IF(COUNT($J929:$Q929)&gt;=IF(IFERROR(VLOOKUP($C929,TABLE_CYCLE,2,0),3)=2,5,8),"Complet","Incomplet"))))))))</f>
        <v/>
      </c>
      <c r="S929" s="24"/>
      <c r="T929" s="67" t="str">
        <f t="shared" si="127"/>
        <v/>
      </c>
      <c r="U929" s="67" t="str">
        <f t="shared" si="128"/>
        <v/>
      </c>
      <c r="V929" s="67" t="str">
        <f t="shared" si="129"/>
        <v/>
      </c>
      <c r="W929" s="67" t="str">
        <f t="shared" si="130"/>
        <v/>
      </c>
      <c r="X929" s="67" t="str">
        <f t="shared" si="131"/>
        <v/>
      </c>
      <c r="Y929" s="24" t="str">
        <f t="shared" si="132"/>
        <v/>
      </c>
      <c r="Z929">
        <f t="shared" si="133"/>
        <v>0</v>
      </c>
      <c r="AA929">
        <f t="shared" si="134"/>
        <v>0</v>
      </c>
    </row>
    <row r="930" spans="2:27" ht="15.75" customHeight="1" x14ac:dyDescent="0.3">
      <c r="B930" s="25"/>
      <c r="C930" s="25"/>
      <c r="D930" s="25"/>
      <c r="E930" s="26" t="str">
        <f t="shared" si="126"/>
        <v/>
      </c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3" t="str">
        <f>IF($F930="","",IF(OR($B930="",$C930="",$D930=""),"⚠ Compléter Année/Niveau/Session",IF(AND($E930&lt;&gt;"",COUNTIF(D_KEY_DOUBLON,$B930&amp;"|"&amp;$D930&amp;"|"&amp;$E930)&gt;1),"⚠ Doublon",IF(AND($E930&lt;&gt;"",COUNTIF(D_KEY_STATUT,$B930&amp;"|"&amp;$E930&amp;"|P")&gt;0,COUNTIF(D_KEY_STATUT,$B930&amp;"|"&amp;$E930&amp;"|A")&gt;0),"⚠ Statut incohérent",IF(AND($D930="S1",$Y930&lt;&gt;"Parti",COUNTIF(ANNEES_VERROU,$B930)&gt;0,COUNTIF(D_KEY_NIVSES,$B930&amp;"|"&amp;$C930&amp;"|S2")&gt;0,COUNTIF(D_KEY_DOUBLON,$B930&amp;"|S2|"&amp;$E930)=0),"⚠ Départ non confirmé ?",IF(AND($C930&lt;&gt;"",ISNUMBER($I930),OR(VALUE(LEFT($B930,4))-$I930&lt;4+IFERROR(MATCH($C930,LISTE_NIVEAUX,0),99),VALUE(LEFT($B930,4))-$I930&gt;6+IFERROR(MATCH($C930,LISTE_NIVEAUX,0),99))),"⚠ Vérifier niveau",IF(AND(IFERROR(VLOOKUP($C930,TABLE_CYCLE,2,0),3)=2,COUNT($O930:$Q930)&gt;0),"⚠ Tests cycle 3",IF(COUNT($J930:$Q930)&gt;=IF(IFERROR(VLOOKUP($C930,TABLE_CYCLE,2,0),3)=2,5,8),"Complet","Incomplet"))))))))</f>
        <v/>
      </c>
      <c r="S930" s="24"/>
      <c r="T930" s="67" t="str">
        <f t="shared" si="127"/>
        <v/>
      </c>
      <c r="U930" s="67" t="str">
        <f t="shared" si="128"/>
        <v/>
      </c>
      <c r="V930" s="67" t="str">
        <f t="shared" si="129"/>
        <v/>
      </c>
      <c r="W930" s="67" t="str">
        <f t="shared" si="130"/>
        <v/>
      </c>
      <c r="X930" s="67" t="str">
        <f t="shared" si="131"/>
        <v/>
      </c>
      <c r="Y930" s="24" t="str">
        <f t="shared" si="132"/>
        <v/>
      </c>
      <c r="Z930">
        <f t="shared" si="133"/>
        <v>0</v>
      </c>
      <c r="AA930">
        <f t="shared" si="134"/>
        <v>0</v>
      </c>
    </row>
    <row r="931" spans="2:27" ht="15.75" customHeight="1" x14ac:dyDescent="0.3">
      <c r="B931" s="21"/>
      <c r="C931" s="21"/>
      <c r="D931" s="21"/>
      <c r="E931" s="22" t="str">
        <f t="shared" si="126"/>
        <v/>
      </c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3" t="str">
        <f>IF($F931="","",IF(OR($B931="",$C931="",$D931=""),"⚠ Compléter Année/Niveau/Session",IF(AND($E931&lt;&gt;"",COUNTIF(D_KEY_DOUBLON,$B931&amp;"|"&amp;$D931&amp;"|"&amp;$E931)&gt;1),"⚠ Doublon",IF(AND($E931&lt;&gt;"",COUNTIF(D_KEY_STATUT,$B931&amp;"|"&amp;$E931&amp;"|P")&gt;0,COUNTIF(D_KEY_STATUT,$B931&amp;"|"&amp;$E931&amp;"|A")&gt;0),"⚠ Statut incohérent",IF(AND($D931="S1",$Y931&lt;&gt;"Parti",COUNTIF(ANNEES_VERROU,$B931)&gt;0,COUNTIF(D_KEY_NIVSES,$B931&amp;"|"&amp;$C931&amp;"|S2")&gt;0,COUNTIF(D_KEY_DOUBLON,$B931&amp;"|S2|"&amp;$E931)=0),"⚠ Départ non confirmé ?",IF(AND($C931&lt;&gt;"",ISNUMBER($I931),OR(VALUE(LEFT($B931,4))-$I931&lt;4+IFERROR(MATCH($C931,LISTE_NIVEAUX,0),99),VALUE(LEFT($B931,4))-$I931&gt;6+IFERROR(MATCH($C931,LISTE_NIVEAUX,0),99))),"⚠ Vérifier niveau",IF(AND(IFERROR(VLOOKUP($C931,TABLE_CYCLE,2,0),3)=2,COUNT($O931:$Q931)&gt;0),"⚠ Tests cycle 3",IF(COUNT($J931:$Q931)&gt;=IF(IFERROR(VLOOKUP($C931,TABLE_CYCLE,2,0),3)=2,5,8),"Complet","Incomplet"))))))))</f>
        <v/>
      </c>
      <c r="S931" s="24"/>
      <c r="T931" s="67" t="str">
        <f t="shared" si="127"/>
        <v/>
      </c>
      <c r="U931" s="67" t="str">
        <f t="shared" si="128"/>
        <v/>
      </c>
      <c r="V931" s="67" t="str">
        <f t="shared" si="129"/>
        <v/>
      </c>
      <c r="W931" s="67" t="str">
        <f t="shared" si="130"/>
        <v/>
      </c>
      <c r="X931" s="67" t="str">
        <f t="shared" si="131"/>
        <v/>
      </c>
      <c r="Y931" s="24" t="str">
        <f t="shared" si="132"/>
        <v/>
      </c>
      <c r="Z931">
        <f t="shared" si="133"/>
        <v>0</v>
      </c>
      <c r="AA931">
        <f t="shared" si="134"/>
        <v>0</v>
      </c>
    </row>
    <row r="932" spans="2:27" ht="15.75" customHeight="1" x14ac:dyDescent="0.3">
      <c r="B932" s="25"/>
      <c r="C932" s="25"/>
      <c r="D932" s="25"/>
      <c r="E932" s="26" t="str">
        <f t="shared" si="126"/>
        <v/>
      </c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3" t="str">
        <f>IF($F932="","",IF(OR($B932="",$C932="",$D932=""),"⚠ Compléter Année/Niveau/Session",IF(AND($E932&lt;&gt;"",COUNTIF(D_KEY_DOUBLON,$B932&amp;"|"&amp;$D932&amp;"|"&amp;$E932)&gt;1),"⚠ Doublon",IF(AND($E932&lt;&gt;"",COUNTIF(D_KEY_STATUT,$B932&amp;"|"&amp;$E932&amp;"|P")&gt;0,COUNTIF(D_KEY_STATUT,$B932&amp;"|"&amp;$E932&amp;"|A")&gt;0),"⚠ Statut incohérent",IF(AND($D932="S1",$Y932&lt;&gt;"Parti",COUNTIF(ANNEES_VERROU,$B932)&gt;0,COUNTIF(D_KEY_NIVSES,$B932&amp;"|"&amp;$C932&amp;"|S2")&gt;0,COUNTIF(D_KEY_DOUBLON,$B932&amp;"|S2|"&amp;$E932)=0),"⚠ Départ non confirmé ?",IF(AND($C932&lt;&gt;"",ISNUMBER($I932),OR(VALUE(LEFT($B932,4))-$I932&lt;4+IFERROR(MATCH($C932,LISTE_NIVEAUX,0),99),VALUE(LEFT($B932,4))-$I932&gt;6+IFERROR(MATCH($C932,LISTE_NIVEAUX,0),99))),"⚠ Vérifier niveau",IF(AND(IFERROR(VLOOKUP($C932,TABLE_CYCLE,2,0),3)=2,COUNT($O932:$Q932)&gt;0),"⚠ Tests cycle 3",IF(COUNT($J932:$Q932)&gt;=IF(IFERROR(VLOOKUP($C932,TABLE_CYCLE,2,0),3)=2,5,8),"Complet","Incomplet"))))))))</f>
        <v/>
      </c>
      <c r="S932" s="24"/>
      <c r="T932" s="67" t="str">
        <f t="shared" si="127"/>
        <v/>
      </c>
      <c r="U932" s="67" t="str">
        <f t="shared" si="128"/>
        <v/>
      </c>
      <c r="V932" s="67" t="str">
        <f t="shared" si="129"/>
        <v/>
      </c>
      <c r="W932" s="67" t="str">
        <f t="shared" si="130"/>
        <v/>
      </c>
      <c r="X932" s="67" t="str">
        <f t="shared" si="131"/>
        <v/>
      </c>
      <c r="Y932" s="24" t="str">
        <f t="shared" si="132"/>
        <v/>
      </c>
      <c r="Z932">
        <f t="shared" si="133"/>
        <v>0</v>
      </c>
      <c r="AA932">
        <f t="shared" si="134"/>
        <v>0</v>
      </c>
    </row>
    <row r="933" spans="2:27" ht="15.75" customHeight="1" x14ac:dyDescent="0.3">
      <c r="B933" s="21"/>
      <c r="C933" s="21"/>
      <c r="D933" s="21"/>
      <c r="E933" s="22" t="str">
        <f t="shared" si="126"/>
        <v/>
      </c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3" t="str">
        <f>IF($F933="","",IF(OR($B933="",$C933="",$D933=""),"⚠ Compléter Année/Niveau/Session",IF(AND($E933&lt;&gt;"",COUNTIF(D_KEY_DOUBLON,$B933&amp;"|"&amp;$D933&amp;"|"&amp;$E933)&gt;1),"⚠ Doublon",IF(AND($E933&lt;&gt;"",COUNTIF(D_KEY_STATUT,$B933&amp;"|"&amp;$E933&amp;"|P")&gt;0,COUNTIF(D_KEY_STATUT,$B933&amp;"|"&amp;$E933&amp;"|A")&gt;0),"⚠ Statut incohérent",IF(AND($D933="S1",$Y933&lt;&gt;"Parti",COUNTIF(ANNEES_VERROU,$B933)&gt;0,COUNTIF(D_KEY_NIVSES,$B933&amp;"|"&amp;$C933&amp;"|S2")&gt;0,COUNTIF(D_KEY_DOUBLON,$B933&amp;"|S2|"&amp;$E933)=0),"⚠ Départ non confirmé ?",IF(AND($C933&lt;&gt;"",ISNUMBER($I933),OR(VALUE(LEFT($B933,4))-$I933&lt;4+IFERROR(MATCH($C933,LISTE_NIVEAUX,0),99),VALUE(LEFT($B933,4))-$I933&gt;6+IFERROR(MATCH($C933,LISTE_NIVEAUX,0),99))),"⚠ Vérifier niveau",IF(AND(IFERROR(VLOOKUP($C933,TABLE_CYCLE,2,0),3)=2,COUNT($O933:$Q933)&gt;0),"⚠ Tests cycle 3",IF(COUNT($J933:$Q933)&gt;=IF(IFERROR(VLOOKUP($C933,TABLE_CYCLE,2,0),3)=2,5,8),"Complet","Incomplet"))))))))</f>
        <v/>
      </c>
      <c r="S933" s="24"/>
      <c r="T933" s="67" t="str">
        <f t="shared" si="127"/>
        <v/>
      </c>
      <c r="U933" s="67" t="str">
        <f t="shared" si="128"/>
        <v/>
      </c>
      <c r="V933" s="67" t="str">
        <f t="shared" si="129"/>
        <v/>
      </c>
      <c r="W933" s="67" t="str">
        <f t="shared" si="130"/>
        <v/>
      </c>
      <c r="X933" s="67" t="str">
        <f t="shared" si="131"/>
        <v/>
      </c>
      <c r="Y933" s="24" t="str">
        <f t="shared" si="132"/>
        <v/>
      </c>
      <c r="Z933">
        <f t="shared" si="133"/>
        <v>0</v>
      </c>
      <c r="AA933">
        <f t="shared" si="134"/>
        <v>0</v>
      </c>
    </row>
    <row r="934" spans="2:27" ht="15.75" customHeight="1" x14ac:dyDescent="0.3">
      <c r="B934" s="25"/>
      <c r="C934" s="25"/>
      <c r="D934" s="25"/>
      <c r="E934" s="26" t="str">
        <f t="shared" si="126"/>
        <v/>
      </c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3" t="str">
        <f>IF($F934="","",IF(OR($B934="",$C934="",$D934=""),"⚠ Compléter Année/Niveau/Session",IF(AND($E934&lt;&gt;"",COUNTIF(D_KEY_DOUBLON,$B934&amp;"|"&amp;$D934&amp;"|"&amp;$E934)&gt;1),"⚠ Doublon",IF(AND($E934&lt;&gt;"",COUNTIF(D_KEY_STATUT,$B934&amp;"|"&amp;$E934&amp;"|P")&gt;0,COUNTIF(D_KEY_STATUT,$B934&amp;"|"&amp;$E934&amp;"|A")&gt;0),"⚠ Statut incohérent",IF(AND($D934="S1",$Y934&lt;&gt;"Parti",COUNTIF(ANNEES_VERROU,$B934)&gt;0,COUNTIF(D_KEY_NIVSES,$B934&amp;"|"&amp;$C934&amp;"|S2")&gt;0,COUNTIF(D_KEY_DOUBLON,$B934&amp;"|S2|"&amp;$E934)=0),"⚠ Départ non confirmé ?",IF(AND($C934&lt;&gt;"",ISNUMBER($I934),OR(VALUE(LEFT($B934,4))-$I934&lt;4+IFERROR(MATCH($C934,LISTE_NIVEAUX,0),99),VALUE(LEFT($B934,4))-$I934&gt;6+IFERROR(MATCH($C934,LISTE_NIVEAUX,0),99))),"⚠ Vérifier niveau",IF(AND(IFERROR(VLOOKUP($C934,TABLE_CYCLE,2,0),3)=2,COUNT($O934:$Q934)&gt;0),"⚠ Tests cycle 3",IF(COUNT($J934:$Q934)&gt;=IF(IFERROR(VLOOKUP($C934,TABLE_CYCLE,2,0),3)=2,5,8),"Complet","Incomplet"))))))))</f>
        <v/>
      </c>
      <c r="S934" s="24"/>
      <c r="T934" s="67" t="str">
        <f t="shared" si="127"/>
        <v/>
      </c>
      <c r="U934" s="67" t="str">
        <f t="shared" si="128"/>
        <v/>
      </c>
      <c r="V934" s="67" t="str">
        <f t="shared" si="129"/>
        <v/>
      </c>
      <c r="W934" s="67" t="str">
        <f t="shared" si="130"/>
        <v/>
      </c>
      <c r="X934" s="67" t="str">
        <f t="shared" si="131"/>
        <v/>
      </c>
      <c r="Y934" s="24" t="str">
        <f t="shared" si="132"/>
        <v/>
      </c>
      <c r="Z934">
        <f t="shared" si="133"/>
        <v>0</v>
      </c>
      <c r="AA934">
        <f t="shared" si="134"/>
        <v>0</v>
      </c>
    </row>
    <row r="935" spans="2:27" ht="15.75" customHeight="1" x14ac:dyDescent="0.3">
      <c r="B935" s="21"/>
      <c r="C935" s="21"/>
      <c r="D935" s="21"/>
      <c r="E935" s="22" t="str">
        <f t="shared" si="126"/>
        <v/>
      </c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3" t="str">
        <f>IF($F935="","",IF(OR($B935="",$C935="",$D935=""),"⚠ Compléter Année/Niveau/Session",IF(AND($E935&lt;&gt;"",COUNTIF(D_KEY_DOUBLON,$B935&amp;"|"&amp;$D935&amp;"|"&amp;$E935)&gt;1),"⚠ Doublon",IF(AND($E935&lt;&gt;"",COUNTIF(D_KEY_STATUT,$B935&amp;"|"&amp;$E935&amp;"|P")&gt;0,COUNTIF(D_KEY_STATUT,$B935&amp;"|"&amp;$E935&amp;"|A")&gt;0),"⚠ Statut incohérent",IF(AND($D935="S1",$Y935&lt;&gt;"Parti",COUNTIF(ANNEES_VERROU,$B935)&gt;0,COUNTIF(D_KEY_NIVSES,$B935&amp;"|"&amp;$C935&amp;"|S2")&gt;0,COUNTIF(D_KEY_DOUBLON,$B935&amp;"|S2|"&amp;$E935)=0),"⚠ Départ non confirmé ?",IF(AND($C935&lt;&gt;"",ISNUMBER($I935),OR(VALUE(LEFT($B935,4))-$I935&lt;4+IFERROR(MATCH($C935,LISTE_NIVEAUX,0),99),VALUE(LEFT($B935,4))-$I935&gt;6+IFERROR(MATCH($C935,LISTE_NIVEAUX,0),99))),"⚠ Vérifier niveau",IF(AND(IFERROR(VLOOKUP($C935,TABLE_CYCLE,2,0),3)=2,COUNT($O935:$Q935)&gt;0),"⚠ Tests cycle 3",IF(COUNT($J935:$Q935)&gt;=IF(IFERROR(VLOOKUP($C935,TABLE_CYCLE,2,0),3)=2,5,8),"Complet","Incomplet"))))))))</f>
        <v/>
      </c>
      <c r="S935" s="24"/>
      <c r="T935" s="67" t="str">
        <f t="shared" si="127"/>
        <v/>
      </c>
      <c r="U935" s="67" t="str">
        <f t="shared" si="128"/>
        <v/>
      </c>
      <c r="V935" s="67" t="str">
        <f t="shared" si="129"/>
        <v/>
      </c>
      <c r="W935" s="67" t="str">
        <f t="shared" si="130"/>
        <v/>
      </c>
      <c r="X935" s="67" t="str">
        <f t="shared" si="131"/>
        <v/>
      </c>
      <c r="Y935" s="24" t="str">
        <f t="shared" si="132"/>
        <v/>
      </c>
      <c r="Z935">
        <f t="shared" si="133"/>
        <v>0</v>
      </c>
      <c r="AA935">
        <f t="shared" si="134"/>
        <v>0</v>
      </c>
    </row>
    <row r="936" spans="2:27" ht="15.75" customHeight="1" x14ac:dyDescent="0.3">
      <c r="B936" s="25"/>
      <c r="C936" s="25"/>
      <c r="D936" s="25"/>
      <c r="E936" s="26" t="str">
        <f t="shared" si="126"/>
        <v/>
      </c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3" t="str">
        <f>IF($F936="","",IF(OR($B936="",$C936="",$D936=""),"⚠ Compléter Année/Niveau/Session",IF(AND($E936&lt;&gt;"",COUNTIF(D_KEY_DOUBLON,$B936&amp;"|"&amp;$D936&amp;"|"&amp;$E936)&gt;1),"⚠ Doublon",IF(AND($E936&lt;&gt;"",COUNTIF(D_KEY_STATUT,$B936&amp;"|"&amp;$E936&amp;"|P")&gt;0,COUNTIF(D_KEY_STATUT,$B936&amp;"|"&amp;$E936&amp;"|A")&gt;0),"⚠ Statut incohérent",IF(AND($D936="S1",$Y936&lt;&gt;"Parti",COUNTIF(ANNEES_VERROU,$B936)&gt;0,COUNTIF(D_KEY_NIVSES,$B936&amp;"|"&amp;$C936&amp;"|S2")&gt;0,COUNTIF(D_KEY_DOUBLON,$B936&amp;"|S2|"&amp;$E936)=0),"⚠ Départ non confirmé ?",IF(AND($C936&lt;&gt;"",ISNUMBER($I936),OR(VALUE(LEFT($B936,4))-$I936&lt;4+IFERROR(MATCH($C936,LISTE_NIVEAUX,0),99),VALUE(LEFT($B936,4))-$I936&gt;6+IFERROR(MATCH($C936,LISTE_NIVEAUX,0),99))),"⚠ Vérifier niveau",IF(AND(IFERROR(VLOOKUP($C936,TABLE_CYCLE,2,0),3)=2,COUNT($O936:$Q936)&gt;0),"⚠ Tests cycle 3",IF(COUNT($J936:$Q936)&gt;=IF(IFERROR(VLOOKUP($C936,TABLE_CYCLE,2,0),3)=2,5,8),"Complet","Incomplet"))))))))</f>
        <v/>
      </c>
      <c r="S936" s="24"/>
      <c r="T936" s="67" t="str">
        <f t="shared" si="127"/>
        <v/>
      </c>
      <c r="U936" s="67" t="str">
        <f t="shared" si="128"/>
        <v/>
      </c>
      <c r="V936" s="67" t="str">
        <f t="shared" si="129"/>
        <v/>
      </c>
      <c r="W936" s="67" t="str">
        <f t="shared" si="130"/>
        <v/>
      </c>
      <c r="X936" s="67" t="str">
        <f t="shared" si="131"/>
        <v/>
      </c>
      <c r="Y936" s="24" t="str">
        <f t="shared" si="132"/>
        <v/>
      </c>
      <c r="Z936">
        <f t="shared" si="133"/>
        <v>0</v>
      </c>
      <c r="AA936">
        <f t="shared" si="134"/>
        <v>0</v>
      </c>
    </row>
    <row r="937" spans="2:27" ht="15.75" customHeight="1" x14ac:dyDescent="0.3">
      <c r="B937" s="21"/>
      <c r="C937" s="21"/>
      <c r="D937" s="21"/>
      <c r="E937" s="22" t="str">
        <f t="shared" si="126"/>
        <v/>
      </c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3" t="str">
        <f>IF($F937="","",IF(OR($B937="",$C937="",$D937=""),"⚠ Compléter Année/Niveau/Session",IF(AND($E937&lt;&gt;"",COUNTIF(D_KEY_DOUBLON,$B937&amp;"|"&amp;$D937&amp;"|"&amp;$E937)&gt;1),"⚠ Doublon",IF(AND($E937&lt;&gt;"",COUNTIF(D_KEY_STATUT,$B937&amp;"|"&amp;$E937&amp;"|P")&gt;0,COUNTIF(D_KEY_STATUT,$B937&amp;"|"&amp;$E937&amp;"|A")&gt;0),"⚠ Statut incohérent",IF(AND($D937="S1",$Y937&lt;&gt;"Parti",COUNTIF(ANNEES_VERROU,$B937)&gt;0,COUNTIF(D_KEY_NIVSES,$B937&amp;"|"&amp;$C937&amp;"|S2")&gt;0,COUNTIF(D_KEY_DOUBLON,$B937&amp;"|S2|"&amp;$E937)=0),"⚠ Départ non confirmé ?",IF(AND($C937&lt;&gt;"",ISNUMBER($I937),OR(VALUE(LEFT($B937,4))-$I937&lt;4+IFERROR(MATCH($C937,LISTE_NIVEAUX,0),99),VALUE(LEFT($B937,4))-$I937&gt;6+IFERROR(MATCH($C937,LISTE_NIVEAUX,0),99))),"⚠ Vérifier niveau",IF(AND(IFERROR(VLOOKUP($C937,TABLE_CYCLE,2,0),3)=2,COUNT($O937:$Q937)&gt;0),"⚠ Tests cycle 3",IF(COUNT($J937:$Q937)&gt;=IF(IFERROR(VLOOKUP($C937,TABLE_CYCLE,2,0),3)=2,5,8),"Complet","Incomplet"))))))))</f>
        <v/>
      </c>
      <c r="S937" s="24"/>
      <c r="T937" s="67" t="str">
        <f t="shared" si="127"/>
        <v/>
      </c>
      <c r="U937" s="67" t="str">
        <f t="shared" si="128"/>
        <v/>
      </c>
      <c r="V937" s="67" t="str">
        <f t="shared" si="129"/>
        <v/>
      </c>
      <c r="W937" s="67" t="str">
        <f t="shared" si="130"/>
        <v/>
      </c>
      <c r="X937" s="67" t="str">
        <f t="shared" si="131"/>
        <v/>
      </c>
      <c r="Y937" s="24" t="str">
        <f t="shared" si="132"/>
        <v/>
      </c>
      <c r="Z937">
        <f t="shared" si="133"/>
        <v>0</v>
      </c>
      <c r="AA937">
        <f t="shared" si="134"/>
        <v>0</v>
      </c>
    </row>
    <row r="938" spans="2:27" ht="15.75" customHeight="1" x14ac:dyDescent="0.3">
      <c r="B938" s="25"/>
      <c r="C938" s="25"/>
      <c r="D938" s="25"/>
      <c r="E938" s="26" t="str">
        <f t="shared" si="126"/>
        <v/>
      </c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3" t="str">
        <f>IF($F938="","",IF(OR($B938="",$C938="",$D938=""),"⚠ Compléter Année/Niveau/Session",IF(AND($E938&lt;&gt;"",COUNTIF(D_KEY_DOUBLON,$B938&amp;"|"&amp;$D938&amp;"|"&amp;$E938)&gt;1),"⚠ Doublon",IF(AND($E938&lt;&gt;"",COUNTIF(D_KEY_STATUT,$B938&amp;"|"&amp;$E938&amp;"|P")&gt;0,COUNTIF(D_KEY_STATUT,$B938&amp;"|"&amp;$E938&amp;"|A")&gt;0),"⚠ Statut incohérent",IF(AND($D938="S1",$Y938&lt;&gt;"Parti",COUNTIF(ANNEES_VERROU,$B938)&gt;0,COUNTIF(D_KEY_NIVSES,$B938&amp;"|"&amp;$C938&amp;"|S2")&gt;0,COUNTIF(D_KEY_DOUBLON,$B938&amp;"|S2|"&amp;$E938)=0),"⚠ Départ non confirmé ?",IF(AND($C938&lt;&gt;"",ISNUMBER($I938),OR(VALUE(LEFT($B938,4))-$I938&lt;4+IFERROR(MATCH($C938,LISTE_NIVEAUX,0),99),VALUE(LEFT($B938,4))-$I938&gt;6+IFERROR(MATCH($C938,LISTE_NIVEAUX,0),99))),"⚠ Vérifier niveau",IF(AND(IFERROR(VLOOKUP($C938,TABLE_CYCLE,2,0),3)=2,COUNT($O938:$Q938)&gt;0),"⚠ Tests cycle 3",IF(COUNT($J938:$Q938)&gt;=IF(IFERROR(VLOOKUP($C938,TABLE_CYCLE,2,0),3)=2,5,8),"Complet","Incomplet"))))))))</f>
        <v/>
      </c>
      <c r="S938" s="24"/>
      <c r="T938" s="67" t="str">
        <f t="shared" si="127"/>
        <v/>
      </c>
      <c r="U938" s="67" t="str">
        <f t="shared" si="128"/>
        <v/>
      </c>
      <c r="V938" s="67" t="str">
        <f t="shared" si="129"/>
        <v/>
      </c>
      <c r="W938" s="67" t="str">
        <f t="shared" si="130"/>
        <v/>
      </c>
      <c r="X938" s="67" t="str">
        <f t="shared" si="131"/>
        <v/>
      </c>
      <c r="Y938" s="24" t="str">
        <f t="shared" si="132"/>
        <v/>
      </c>
      <c r="Z938">
        <f t="shared" si="133"/>
        <v>0</v>
      </c>
      <c r="AA938">
        <f t="shared" si="134"/>
        <v>0</v>
      </c>
    </row>
    <row r="939" spans="2:27" ht="15.75" customHeight="1" x14ac:dyDescent="0.3">
      <c r="B939" s="21"/>
      <c r="C939" s="21"/>
      <c r="D939" s="21"/>
      <c r="E939" s="22" t="str">
        <f t="shared" si="126"/>
        <v/>
      </c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3" t="str">
        <f>IF($F939="","",IF(OR($B939="",$C939="",$D939=""),"⚠ Compléter Année/Niveau/Session",IF(AND($E939&lt;&gt;"",COUNTIF(D_KEY_DOUBLON,$B939&amp;"|"&amp;$D939&amp;"|"&amp;$E939)&gt;1),"⚠ Doublon",IF(AND($E939&lt;&gt;"",COUNTIF(D_KEY_STATUT,$B939&amp;"|"&amp;$E939&amp;"|P")&gt;0,COUNTIF(D_KEY_STATUT,$B939&amp;"|"&amp;$E939&amp;"|A")&gt;0),"⚠ Statut incohérent",IF(AND($D939="S1",$Y939&lt;&gt;"Parti",COUNTIF(ANNEES_VERROU,$B939)&gt;0,COUNTIF(D_KEY_NIVSES,$B939&amp;"|"&amp;$C939&amp;"|S2")&gt;0,COUNTIF(D_KEY_DOUBLON,$B939&amp;"|S2|"&amp;$E939)=0),"⚠ Départ non confirmé ?",IF(AND($C939&lt;&gt;"",ISNUMBER($I939),OR(VALUE(LEFT($B939,4))-$I939&lt;4+IFERROR(MATCH($C939,LISTE_NIVEAUX,0),99),VALUE(LEFT($B939,4))-$I939&gt;6+IFERROR(MATCH($C939,LISTE_NIVEAUX,0),99))),"⚠ Vérifier niveau",IF(AND(IFERROR(VLOOKUP($C939,TABLE_CYCLE,2,0),3)=2,COUNT($O939:$Q939)&gt;0),"⚠ Tests cycle 3",IF(COUNT($J939:$Q939)&gt;=IF(IFERROR(VLOOKUP($C939,TABLE_CYCLE,2,0),3)=2,5,8),"Complet","Incomplet"))))))))</f>
        <v/>
      </c>
      <c r="S939" s="24"/>
      <c r="T939" s="67" t="str">
        <f t="shared" si="127"/>
        <v/>
      </c>
      <c r="U939" s="67" t="str">
        <f t="shared" si="128"/>
        <v/>
      </c>
      <c r="V939" s="67" t="str">
        <f t="shared" si="129"/>
        <v/>
      </c>
      <c r="W939" s="67" t="str">
        <f t="shared" si="130"/>
        <v/>
      </c>
      <c r="X939" s="67" t="str">
        <f t="shared" si="131"/>
        <v/>
      </c>
      <c r="Y939" s="24" t="str">
        <f t="shared" si="132"/>
        <v/>
      </c>
      <c r="Z939">
        <f t="shared" si="133"/>
        <v>0</v>
      </c>
      <c r="AA939">
        <f t="shared" si="134"/>
        <v>0</v>
      </c>
    </row>
    <row r="940" spans="2:27" ht="15.75" customHeight="1" x14ac:dyDescent="0.3">
      <c r="B940" s="25"/>
      <c r="C940" s="25"/>
      <c r="D940" s="25"/>
      <c r="E940" s="26" t="str">
        <f t="shared" si="126"/>
        <v/>
      </c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3" t="str">
        <f>IF($F940="","",IF(OR($B940="",$C940="",$D940=""),"⚠ Compléter Année/Niveau/Session",IF(AND($E940&lt;&gt;"",COUNTIF(D_KEY_DOUBLON,$B940&amp;"|"&amp;$D940&amp;"|"&amp;$E940)&gt;1),"⚠ Doublon",IF(AND($E940&lt;&gt;"",COUNTIF(D_KEY_STATUT,$B940&amp;"|"&amp;$E940&amp;"|P")&gt;0,COUNTIF(D_KEY_STATUT,$B940&amp;"|"&amp;$E940&amp;"|A")&gt;0),"⚠ Statut incohérent",IF(AND($D940="S1",$Y940&lt;&gt;"Parti",COUNTIF(ANNEES_VERROU,$B940)&gt;0,COUNTIF(D_KEY_NIVSES,$B940&amp;"|"&amp;$C940&amp;"|S2")&gt;0,COUNTIF(D_KEY_DOUBLON,$B940&amp;"|S2|"&amp;$E940)=0),"⚠ Départ non confirmé ?",IF(AND($C940&lt;&gt;"",ISNUMBER($I940),OR(VALUE(LEFT($B940,4))-$I940&lt;4+IFERROR(MATCH($C940,LISTE_NIVEAUX,0),99),VALUE(LEFT($B940,4))-$I940&gt;6+IFERROR(MATCH($C940,LISTE_NIVEAUX,0),99))),"⚠ Vérifier niveau",IF(AND(IFERROR(VLOOKUP($C940,TABLE_CYCLE,2,0),3)=2,COUNT($O940:$Q940)&gt;0),"⚠ Tests cycle 3",IF(COUNT($J940:$Q940)&gt;=IF(IFERROR(VLOOKUP($C940,TABLE_CYCLE,2,0),3)=2,5,8),"Complet","Incomplet"))))))))</f>
        <v/>
      </c>
      <c r="S940" s="24"/>
      <c r="T940" s="67" t="str">
        <f t="shared" si="127"/>
        <v/>
      </c>
      <c r="U940" s="67" t="str">
        <f t="shared" si="128"/>
        <v/>
      </c>
      <c r="V940" s="67" t="str">
        <f t="shared" si="129"/>
        <v/>
      </c>
      <c r="W940" s="67" t="str">
        <f t="shared" si="130"/>
        <v/>
      </c>
      <c r="X940" s="67" t="str">
        <f t="shared" si="131"/>
        <v/>
      </c>
      <c r="Y940" s="24" t="str">
        <f t="shared" si="132"/>
        <v/>
      </c>
      <c r="Z940">
        <f t="shared" si="133"/>
        <v>0</v>
      </c>
      <c r="AA940">
        <f t="shared" si="134"/>
        <v>0</v>
      </c>
    </row>
    <row r="941" spans="2:27" ht="15.75" customHeight="1" x14ac:dyDescent="0.3">
      <c r="B941" s="21"/>
      <c r="C941" s="21"/>
      <c r="D941" s="21"/>
      <c r="E941" s="22" t="str">
        <f t="shared" si="126"/>
        <v/>
      </c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3" t="str">
        <f>IF($F941="","",IF(OR($B941="",$C941="",$D941=""),"⚠ Compléter Année/Niveau/Session",IF(AND($E941&lt;&gt;"",COUNTIF(D_KEY_DOUBLON,$B941&amp;"|"&amp;$D941&amp;"|"&amp;$E941)&gt;1),"⚠ Doublon",IF(AND($E941&lt;&gt;"",COUNTIF(D_KEY_STATUT,$B941&amp;"|"&amp;$E941&amp;"|P")&gt;0,COUNTIF(D_KEY_STATUT,$B941&amp;"|"&amp;$E941&amp;"|A")&gt;0),"⚠ Statut incohérent",IF(AND($D941="S1",$Y941&lt;&gt;"Parti",COUNTIF(ANNEES_VERROU,$B941)&gt;0,COUNTIF(D_KEY_NIVSES,$B941&amp;"|"&amp;$C941&amp;"|S2")&gt;0,COUNTIF(D_KEY_DOUBLON,$B941&amp;"|S2|"&amp;$E941)=0),"⚠ Départ non confirmé ?",IF(AND($C941&lt;&gt;"",ISNUMBER($I941),OR(VALUE(LEFT($B941,4))-$I941&lt;4+IFERROR(MATCH($C941,LISTE_NIVEAUX,0),99),VALUE(LEFT($B941,4))-$I941&gt;6+IFERROR(MATCH($C941,LISTE_NIVEAUX,0),99))),"⚠ Vérifier niveau",IF(AND(IFERROR(VLOOKUP($C941,TABLE_CYCLE,2,0),3)=2,COUNT($O941:$Q941)&gt;0),"⚠ Tests cycle 3",IF(COUNT($J941:$Q941)&gt;=IF(IFERROR(VLOOKUP($C941,TABLE_CYCLE,2,0),3)=2,5,8),"Complet","Incomplet"))))))))</f>
        <v/>
      </c>
      <c r="S941" s="24"/>
      <c r="T941" s="67" t="str">
        <f t="shared" si="127"/>
        <v/>
      </c>
      <c r="U941" s="67" t="str">
        <f t="shared" si="128"/>
        <v/>
      </c>
      <c r="V941" s="67" t="str">
        <f t="shared" si="129"/>
        <v/>
      </c>
      <c r="W941" s="67" t="str">
        <f t="shared" si="130"/>
        <v/>
      </c>
      <c r="X941" s="67" t="str">
        <f t="shared" si="131"/>
        <v/>
      </c>
      <c r="Y941" s="24" t="str">
        <f t="shared" si="132"/>
        <v/>
      </c>
      <c r="Z941">
        <f t="shared" si="133"/>
        <v>0</v>
      </c>
      <c r="AA941">
        <f t="shared" si="134"/>
        <v>0</v>
      </c>
    </row>
    <row r="942" spans="2:27" ht="15.75" customHeight="1" x14ac:dyDescent="0.3">
      <c r="B942" s="25"/>
      <c r="C942" s="25"/>
      <c r="D942" s="25"/>
      <c r="E942" s="26" t="str">
        <f t="shared" si="126"/>
        <v/>
      </c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3" t="str">
        <f>IF($F942="","",IF(OR($B942="",$C942="",$D942=""),"⚠ Compléter Année/Niveau/Session",IF(AND($E942&lt;&gt;"",COUNTIF(D_KEY_DOUBLON,$B942&amp;"|"&amp;$D942&amp;"|"&amp;$E942)&gt;1),"⚠ Doublon",IF(AND($E942&lt;&gt;"",COUNTIF(D_KEY_STATUT,$B942&amp;"|"&amp;$E942&amp;"|P")&gt;0,COUNTIF(D_KEY_STATUT,$B942&amp;"|"&amp;$E942&amp;"|A")&gt;0),"⚠ Statut incohérent",IF(AND($D942="S1",$Y942&lt;&gt;"Parti",COUNTIF(ANNEES_VERROU,$B942)&gt;0,COUNTIF(D_KEY_NIVSES,$B942&amp;"|"&amp;$C942&amp;"|S2")&gt;0,COUNTIF(D_KEY_DOUBLON,$B942&amp;"|S2|"&amp;$E942)=0),"⚠ Départ non confirmé ?",IF(AND($C942&lt;&gt;"",ISNUMBER($I942),OR(VALUE(LEFT($B942,4))-$I942&lt;4+IFERROR(MATCH($C942,LISTE_NIVEAUX,0),99),VALUE(LEFT($B942,4))-$I942&gt;6+IFERROR(MATCH($C942,LISTE_NIVEAUX,0),99))),"⚠ Vérifier niveau",IF(AND(IFERROR(VLOOKUP($C942,TABLE_CYCLE,2,0),3)=2,COUNT($O942:$Q942)&gt;0),"⚠ Tests cycle 3",IF(COUNT($J942:$Q942)&gt;=IF(IFERROR(VLOOKUP($C942,TABLE_CYCLE,2,0),3)=2,5,8),"Complet","Incomplet"))))))))</f>
        <v/>
      </c>
      <c r="S942" s="24"/>
      <c r="T942" s="67" t="str">
        <f t="shared" si="127"/>
        <v/>
      </c>
      <c r="U942" s="67" t="str">
        <f t="shared" si="128"/>
        <v/>
      </c>
      <c r="V942" s="67" t="str">
        <f t="shared" si="129"/>
        <v/>
      </c>
      <c r="W942" s="67" t="str">
        <f t="shared" si="130"/>
        <v/>
      </c>
      <c r="X942" s="67" t="str">
        <f t="shared" si="131"/>
        <v/>
      </c>
      <c r="Y942" s="24" t="str">
        <f t="shared" si="132"/>
        <v/>
      </c>
      <c r="Z942">
        <f t="shared" si="133"/>
        <v>0</v>
      </c>
      <c r="AA942">
        <f t="shared" si="134"/>
        <v>0</v>
      </c>
    </row>
    <row r="943" spans="2:27" ht="15.75" customHeight="1" x14ac:dyDescent="0.3">
      <c r="B943" s="21"/>
      <c r="C943" s="21"/>
      <c r="D943" s="21"/>
      <c r="E943" s="22" t="str">
        <f t="shared" si="126"/>
        <v/>
      </c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3" t="str">
        <f>IF($F943="","",IF(OR($B943="",$C943="",$D943=""),"⚠ Compléter Année/Niveau/Session",IF(AND($E943&lt;&gt;"",COUNTIF(D_KEY_DOUBLON,$B943&amp;"|"&amp;$D943&amp;"|"&amp;$E943)&gt;1),"⚠ Doublon",IF(AND($E943&lt;&gt;"",COUNTIF(D_KEY_STATUT,$B943&amp;"|"&amp;$E943&amp;"|P")&gt;0,COUNTIF(D_KEY_STATUT,$B943&amp;"|"&amp;$E943&amp;"|A")&gt;0),"⚠ Statut incohérent",IF(AND($D943="S1",$Y943&lt;&gt;"Parti",COUNTIF(ANNEES_VERROU,$B943)&gt;0,COUNTIF(D_KEY_NIVSES,$B943&amp;"|"&amp;$C943&amp;"|S2")&gt;0,COUNTIF(D_KEY_DOUBLON,$B943&amp;"|S2|"&amp;$E943)=0),"⚠ Départ non confirmé ?",IF(AND($C943&lt;&gt;"",ISNUMBER($I943),OR(VALUE(LEFT($B943,4))-$I943&lt;4+IFERROR(MATCH($C943,LISTE_NIVEAUX,0),99),VALUE(LEFT($B943,4))-$I943&gt;6+IFERROR(MATCH($C943,LISTE_NIVEAUX,0),99))),"⚠ Vérifier niveau",IF(AND(IFERROR(VLOOKUP($C943,TABLE_CYCLE,2,0),3)=2,COUNT($O943:$Q943)&gt;0),"⚠ Tests cycle 3",IF(COUNT($J943:$Q943)&gt;=IF(IFERROR(VLOOKUP($C943,TABLE_CYCLE,2,0),3)=2,5,8),"Complet","Incomplet"))))))))</f>
        <v/>
      </c>
      <c r="S943" s="24"/>
      <c r="T943" s="67" t="str">
        <f t="shared" si="127"/>
        <v/>
      </c>
      <c r="U943" s="67" t="str">
        <f t="shared" si="128"/>
        <v/>
      </c>
      <c r="V943" s="67" t="str">
        <f t="shared" si="129"/>
        <v/>
      </c>
      <c r="W943" s="67" t="str">
        <f t="shared" si="130"/>
        <v/>
      </c>
      <c r="X943" s="67" t="str">
        <f t="shared" si="131"/>
        <v/>
      </c>
      <c r="Y943" s="24" t="str">
        <f t="shared" si="132"/>
        <v/>
      </c>
      <c r="Z943">
        <f t="shared" si="133"/>
        <v>0</v>
      </c>
      <c r="AA943">
        <f t="shared" si="134"/>
        <v>0</v>
      </c>
    </row>
    <row r="944" spans="2:27" ht="15.75" customHeight="1" x14ac:dyDescent="0.3">
      <c r="B944" s="25"/>
      <c r="C944" s="25"/>
      <c r="D944" s="25"/>
      <c r="E944" s="26" t="str">
        <f t="shared" si="126"/>
        <v/>
      </c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3" t="str">
        <f>IF($F944="","",IF(OR($B944="",$C944="",$D944=""),"⚠ Compléter Année/Niveau/Session",IF(AND($E944&lt;&gt;"",COUNTIF(D_KEY_DOUBLON,$B944&amp;"|"&amp;$D944&amp;"|"&amp;$E944)&gt;1),"⚠ Doublon",IF(AND($E944&lt;&gt;"",COUNTIF(D_KEY_STATUT,$B944&amp;"|"&amp;$E944&amp;"|P")&gt;0,COUNTIF(D_KEY_STATUT,$B944&amp;"|"&amp;$E944&amp;"|A")&gt;0),"⚠ Statut incohérent",IF(AND($D944="S1",$Y944&lt;&gt;"Parti",COUNTIF(ANNEES_VERROU,$B944)&gt;0,COUNTIF(D_KEY_NIVSES,$B944&amp;"|"&amp;$C944&amp;"|S2")&gt;0,COUNTIF(D_KEY_DOUBLON,$B944&amp;"|S2|"&amp;$E944)=0),"⚠ Départ non confirmé ?",IF(AND($C944&lt;&gt;"",ISNUMBER($I944),OR(VALUE(LEFT($B944,4))-$I944&lt;4+IFERROR(MATCH($C944,LISTE_NIVEAUX,0),99),VALUE(LEFT($B944,4))-$I944&gt;6+IFERROR(MATCH($C944,LISTE_NIVEAUX,0),99))),"⚠ Vérifier niveau",IF(AND(IFERROR(VLOOKUP($C944,TABLE_CYCLE,2,0),3)=2,COUNT($O944:$Q944)&gt;0),"⚠ Tests cycle 3",IF(COUNT($J944:$Q944)&gt;=IF(IFERROR(VLOOKUP($C944,TABLE_CYCLE,2,0),3)=2,5,8),"Complet","Incomplet"))))))))</f>
        <v/>
      </c>
      <c r="S944" s="24"/>
      <c r="T944" s="67" t="str">
        <f t="shared" si="127"/>
        <v/>
      </c>
      <c r="U944" s="67" t="str">
        <f t="shared" si="128"/>
        <v/>
      </c>
      <c r="V944" s="67" t="str">
        <f t="shared" si="129"/>
        <v/>
      </c>
      <c r="W944" s="67" t="str">
        <f t="shared" si="130"/>
        <v/>
      </c>
      <c r="X944" s="67" t="str">
        <f t="shared" si="131"/>
        <v/>
      </c>
      <c r="Y944" s="24" t="str">
        <f t="shared" si="132"/>
        <v/>
      </c>
      <c r="Z944">
        <f t="shared" si="133"/>
        <v>0</v>
      </c>
      <c r="AA944">
        <f t="shared" si="134"/>
        <v>0</v>
      </c>
    </row>
    <row r="945" spans="2:27" ht="15.75" customHeight="1" x14ac:dyDescent="0.3">
      <c r="B945" s="21"/>
      <c r="C945" s="21"/>
      <c r="D945" s="21"/>
      <c r="E945" s="22" t="str">
        <f t="shared" si="126"/>
        <v/>
      </c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3" t="str">
        <f>IF($F945="","",IF(OR($B945="",$C945="",$D945=""),"⚠ Compléter Année/Niveau/Session",IF(AND($E945&lt;&gt;"",COUNTIF(D_KEY_DOUBLON,$B945&amp;"|"&amp;$D945&amp;"|"&amp;$E945)&gt;1),"⚠ Doublon",IF(AND($E945&lt;&gt;"",COUNTIF(D_KEY_STATUT,$B945&amp;"|"&amp;$E945&amp;"|P")&gt;0,COUNTIF(D_KEY_STATUT,$B945&amp;"|"&amp;$E945&amp;"|A")&gt;0),"⚠ Statut incohérent",IF(AND($D945="S1",$Y945&lt;&gt;"Parti",COUNTIF(ANNEES_VERROU,$B945)&gt;0,COUNTIF(D_KEY_NIVSES,$B945&amp;"|"&amp;$C945&amp;"|S2")&gt;0,COUNTIF(D_KEY_DOUBLON,$B945&amp;"|S2|"&amp;$E945)=0),"⚠ Départ non confirmé ?",IF(AND($C945&lt;&gt;"",ISNUMBER($I945),OR(VALUE(LEFT($B945,4))-$I945&lt;4+IFERROR(MATCH($C945,LISTE_NIVEAUX,0),99),VALUE(LEFT($B945,4))-$I945&gt;6+IFERROR(MATCH($C945,LISTE_NIVEAUX,0),99))),"⚠ Vérifier niveau",IF(AND(IFERROR(VLOOKUP($C945,TABLE_CYCLE,2,0),3)=2,COUNT($O945:$Q945)&gt;0),"⚠ Tests cycle 3",IF(COUNT($J945:$Q945)&gt;=IF(IFERROR(VLOOKUP($C945,TABLE_CYCLE,2,0),3)=2,5,8),"Complet","Incomplet"))))))))</f>
        <v/>
      </c>
      <c r="S945" s="24"/>
      <c r="T945" s="67" t="str">
        <f t="shared" si="127"/>
        <v/>
      </c>
      <c r="U945" s="67" t="str">
        <f t="shared" si="128"/>
        <v/>
      </c>
      <c r="V945" s="67" t="str">
        <f t="shared" si="129"/>
        <v/>
      </c>
      <c r="W945" s="67" t="str">
        <f t="shared" si="130"/>
        <v/>
      </c>
      <c r="X945" s="67" t="str">
        <f t="shared" si="131"/>
        <v/>
      </c>
      <c r="Y945" s="24" t="str">
        <f t="shared" si="132"/>
        <v/>
      </c>
      <c r="Z945">
        <f t="shared" si="133"/>
        <v>0</v>
      </c>
      <c r="AA945">
        <f t="shared" si="134"/>
        <v>0</v>
      </c>
    </row>
    <row r="946" spans="2:27" ht="15.75" customHeight="1" x14ac:dyDescent="0.3">
      <c r="B946" s="25"/>
      <c r="C946" s="25"/>
      <c r="D946" s="25"/>
      <c r="E946" s="26" t="str">
        <f t="shared" si="126"/>
        <v/>
      </c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3" t="str">
        <f>IF($F946="","",IF(OR($B946="",$C946="",$D946=""),"⚠ Compléter Année/Niveau/Session",IF(AND($E946&lt;&gt;"",COUNTIF(D_KEY_DOUBLON,$B946&amp;"|"&amp;$D946&amp;"|"&amp;$E946)&gt;1),"⚠ Doublon",IF(AND($E946&lt;&gt;"",COUNTIF(D_KEY_STATUT,$B946&amp;"|"&amp;$E946&amp;"|P")&gt;0,COUNTIF(D_KEY_STATUT,$B946&amp;"|"&amp;$E946&amp;"|A")&gt;0),"⚠ Statut incohérent",IF(AND($D946="S1",$Y946&lt;&gt;"Parti",COUNTIF(ANNEES_VERROU,$B946)&gt;0,COUNTIF(D_KEY_NIVSES,$B946&amp;"|"&amp;$C946&amp;"|S2")&gt;0,COUNTIF(D_KEY_DOUBLON,$B946&amp;"|S2|"&amp;$E946)=0),"⚠ Départ non confirmé ?",IF(AND($C946&lt;&gt;"",ISNUMBER($I946),OR(VALUE(LEFT($B946,4))-$I946&lt;4+IFERROR(MATCH($C946,LISTE_NIVEAUX,0),99),VALUE(LEFT($B946,4))-$I946&gt;6+IFERROR(MATCH($C946,LISTE_NIVEAUX,0),99))),"⚠ Vérifier niveau",IF(AND(IFERROR(VLOOKUP($C946,TABLE_CYCLE,2,0),3)=2,COUNT($O946:$Q946)&gt;0),"⚠ Tests cycle 3",IF(COUNT($J946:$Q946)&gt;=IF(IFERROR(VLOOKUP($C946,TABLE_CYCLE,2,0),3)=2,5,8),"Complet","Incomplet"))))))))</f>
        <v/>
      </c>
      <c r="S946" s="24"/>
      <c r="T946" s="67" t="str">
        <f t="shared" si="127"/>
        <v/>
      </c>
      <c r="U946" s="67" t="str">
        <f t="shared" si="128"/>
        <v/>
      </c>
      <c r="V946" s="67" t="str">
        <f t="shared" si="129"/>
        <v/>
      </c>
      <c r="W946" s="67" t="str">
        <f t="shared" si="130"/>
        <v/>
      </c>
      <c r="X946" s="67" t="str">
        <f t="shared" si="131"/>
        <v/>
      </c>
      <c r="Y946" s="24" t="str">
        <f t="shared" si="132"/>
        <v/>
      </c>
      <c r="Z946">
        <f t="shared" si="133"/>
        <v>0</v>
      </c>
      <c r="AA946">
        <f t="shared" si="134"/>
        <v>0</v>
      </c>
    </row>
    <row r="947" spans="2:27" ht="15.75" customHeight="1" x14ac:dyDescent="0.3">
      <c r="B947" s="21"/>
      <c r="C947" s="21"/>
      <c r="D947" s="21"/>
      <c r="E947" s="22" t="str">
        <f t="shared" si="126"/>
        <v/>
      </c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3" t="str">
        <f>IF($F947="","",IF(OR($B947="",$C947="",$D947=""),"⚠ Compléter Année/Niveau/Session",IF(AND($E947&lt;&gt;"",COUNTIF(D_KEY_DOUBLON,$B947&amp;"|"&amp;$D947&amp;"|"&amp;$E947)&gt;1),"⚠ Doublon",IF(AND($E947&lt;&gt;"",COUNTIF(D_KEY_STATUT,$B947&amp;"|"&amp;$E947&amp;"|P")&gt;0,COUNTIF(D_KEY_STATUT,$B947&amp;"|"&amp;$E947&amp;"|A")&gt;0),"⚠ Statut incohérent",IF(AND($D947="S1",$Y947&lt;&gt;"Parti",COUNTIF(ANNEES_VERROU,$B947)&gt;0,COUNTIF(D_KEY_NIVSES,$B947&amp;"|"&amp;$C947&amp;"|S2")&gt;0,COUNTIF(D_KEY_DOUBLON,$B947&amp;"|S2|"&amp;$E947)=0),"⚠ Départ non confirmé ?",IF(AND($C947&lt;&gt;"",ISNUMBER($I947),OR(VALUE(LEFT($B947,4))-$I947&lt;4+IFERROR(MATCH($C947,LISTE_NIVEAUX,0),99),VALUE(LEFT($B947,4))-$I947&gt;6+IFERROR(MATCH($C947,LISTE_NIVEAUX,0),99))),"⚠ Vérifier niveau",IF(AND(IFERROR(VLOOKUP($C947,TABLE_CYCLE,2,0),3)=2,COUNT($O947:$Q947)&gt;0),"⚠ Tests cycle 3",IF(COUNT($J947:$Q947)&gt;=IF(IFERROR(VLOOKUP($C947,TABLE_CYCLE,2,0),3)=2,5,8),"Complet","Incomplet"))))))))</f>
        <v/>
      </c>
      <c r="S947" s="24"/>
      <c r="T947" s="67" t="str">
        <f t="shared" si="127"/>
        <v/>
      </c>
      <c r="U947" s="67" t="str">
        <f t="shared" si="128"/>
        <v/>
      </c>
      <c r="V947" s="67" t="str">
        <f t="shared" si="129"/>
        <v/>
      </c>
      <c r="W947" s="67" t="str">
        <f t="shared" si="130"/>
        <v/>
      </c>
      <c r="X947" s="67" t="str">
        <f t="shared" si="131"/>
        <v/>
      </c>
      <c r="Y947" s="24" t="str">
        <f t="shared" si="132"/>
        <v/>
      </c>
      <c r="Z947">
        <f t="shared" si="133"/>
        <v>0</v>
      </c>
      <c r="AA947">
        <f t="shared" si="134"/>
        <v>0</v>
      </c>
    </row>
    <row r="948" spans="2:27" ht="15.75" customHeight="1" x14ac:dyDescent="0.3">
      <c r="B948" s="25"/>
      <c r="C948" s="25"/>
      <c r="D948" s="25"/>
      <c r="E948" s="26" t="str">
        <f t="shared" si="126"/>
        <v/>
      </c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3" t="str">
        <f>IF($F948="","",IF(OR($B948="",$C948="",$D948=""),"⚠ Compléter Année/Niveau/Session",IF(AND($E948&lt;&gt;"",COUNTIF(D_KEY_DOUBLON,$B948&amp;"|"&amp;$D948&amp;"|"&amp;$E948)&gt;1),"⚠ Doublon",IF(AND($E948&lt;&gt;"",COUNTIF(D_KEY_STATUT,$B948&amp;"|"&amp;$E948&amp;"|P")&gt;0,COUNTIF(D_KEY_STATUT,$B948&amp;"|"&amp;$E948&amp;"|A")&gt;0),"⚠ Statut incohérent",IF(AND($D948="S1",$Y948&lt;&gt;"Parti",COUNTIF(ANNEES_VERROU,$B948)&gt;0,COUNTIF(D_KEY_NIVSES,$B948&amp;"|"&amp;$C948&amp;"|S2")&gt;0,COUNTIF(D_KEY_DOUBLON,$B948&amp;"|S2|"&amp;$E948)=0),"⚠ Départ non confirmé ?",IF(AND($C948&lt;&gt;"",ISNUMBER($I948),OR(VALUE(LEFT($B948,4))-$I948&lt;4+IFERROR(MATCH($C948,LISTE_NIVEAUX,0),99),VALUE(LEFT($B948,4))-$I948&gt;6+IFERROR(MATCH($C948,LISTE_NIVEAUX,0),99))),"⚠ Vérifier niveau",IF(AND(IFERROR(VLOOKUP($C948,TABLE_CYCLE,2,0),3)=2,COUNT($O948:$Q948)&gt;0),"⚠ Tests cycle 3",IF(COUNT($J948:$Q948)&gt;=IF(IFERROR(VLOOKUP($C948,TABLE_CYCLE,2,0),3)=2,5,8),"Complet","Incomplet"))))))))</f>
        <v/>
      </c>
      <c r="S948" s="24"/>
      <c r="T948" s="67" t="str">
        <f t="shared" si="127"/>
        <v/>
      </c>
      <c r="U948" s="67" t="str">
        <f t="shared" si="128"/>
        <v/>
      </c>
      <c r="V948" s="67" t="str">
        <f t="shared" si="129"/>
        <v/>
      </c>
      <c r="W948" s="67" t="str">
        <f t="shared" si="130"/>
        <v/>
      </c>
      <c r="X948" s="67" t="str">
        <f t="shared" si="131"/>
        <v/>
      </c>
      <c r="Y948" s="24" t="str">
        <f t="shared" si="132"/>
        <v/>
      </c>
      <c r="Z948">
        <f t="shared" si="133"/>
        <v>0</v>
      </c>
      <c r="AA948">
        <f t="shared" si="134"/>
        <v>0</v>
      </c>
    </row>
    <row r="949" spans="2:27" ht="15.75" customHeight="1" x14ac:dyDescent="0.3">
      <c r="B949" s="21"/>
      <c r="C949" s="21"/>
      <c r="D949" s="21"/>
      <c r="E949" s="22" t="str">
        <f t="shared" si="126"/>
        <v/>
      </c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3" t="str">
        <f>IF($F949="","",IF(OR($B949="",$C949="",$D949=""),"⚠ Compléter Année/Niveau/Session",IF(AND($E949&lt;&gt;"",COUNTIF(D_KEY_DOUBLON,$B949&amp;"|"&amp;$D949&amp;"|"&amp;$E949)&gt;1),"⚠ Doublon",IF(AND($E949&lt;&gt;"",COUNTIF(D_KEY_STATUT,$B949&amp;"|"&amp;$E949&amp;"|P")&gt;0,COUNTIF(D_KEY_STATUT,$B949&amp;"|"&amp;$E949&amp;"|A")&gt;0),"⚠ Statut incohérent",IF(AND($D949="S1",$Y949&lt;&gt;"Parti",COUNTIF(ANNEES_VERROU,$B949)&gt;0,COUNTIF(D_KEY_NIVSES,$B949&amp;"|"&amp;$C949&amp;"|S2")&gt;0,COUNTIF(D_KEY_DOUBLON,$B949&amp;"|S2|"&amp;$E949)=0),"⚠ Départ non confirmé ?",IF(AND($C949&lt;&gt;"",ISNUMBER($I949),OR(VALUE(LEFT($B949,4))-$I949&lt;4+IFERROR(MATCH($C949,LISTE_NIVEAUX,0),99),VALUE(LEFT($B949,4))-$I949&gt;6+IFERROR(MATCH($C949,LISTE_NIVEAUX,0),99))),"⚠ Vérifier niveau",IF(AND(IFERROR(VLOOKUP($C949,TABLE_CYCLE,2,0),3)=2,COUNT($O949:$Q949)&gt;0),"⚠ Tests cycle 3",IF(COUNT($J949:$Q949)&gt;=IF(IFERROR(VLOOKUP($C949,TABLE_CYCLE,2,0),3)=2,5,8),"Complet","Incomplet"))))))))</f>
        <v/>
      </c>
      <c r="S949" s="24"/>
      <c r="T949" s="67" t="str">
        <f t="shared" si="127"/>
        <v/>
      </c>
      <c r="U949" s="67" t="str">
        <f t="shared" si="128"/>
        <v/>
      </c>
      <c r="V949" s="67" t="str">
        <f t="shared" si="129"/>
        <v/>
      </c>
      <c r="W949" s="67" t="str">
        <f t="shared" si="130"/>
        <v/>
      </c>
      <c r="X949" s="67" t="str">
        <f t="shared" si="131"/>
        <v/>
      </c>
      <c r="Y949" s="24" t="str">
        <f t="shared" si="132"/>
        <v/>
      </c>
      <c r="Z949">
        <f t="shared" si="133"/>
        <v>0</v>
      </c>
      <c r="AA949">
        <f t="shared" si="134"/>
        <v>0</v>
      </c>
    </row>
    <row r="950" spans="2:27" ht="15.75" customHeight="1" x14ac:dyDescent="0.3">
      <c r="B950" s="25"/>
      <c r="C950" s="25"/>
      <c r="D950" s="25"/>
      <c r="E950" s="26" t="str">
        <f t="shared" si="126"/>
        <v/>
      </c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3" t="str">
        <f>IF($F950="","",IF(OR($B950="",$C950="",$D950=""),"⚠ Compléter Année/Niveau/Session",IF(AND($E950&lt;&gt;"",COUNTIF(D_KEY_DOUBLON,$B950&amp;"|"&amp;$D950&amp;"|"&amp;$E950)&gt;1),"⚠ Doublon",IF(AND($E950&lt;&gt;"",COUNTIF(D_KEY_STATUT,$B950&amp;"|"&amp;$E950&amp;"|P")&gt;0,COUNTIF(D_KEY_STATUT,$B950&amp;"|"&amp;$E950&amp;"|A")&gt;0),"⚠ Statut incohérent",IF(AND($D950="S1",$Y950&lt;&gt;"Parti",COUNTIF(ANNEES_VERROU,$B950)&gt;0,COUNTIF(D_KEY_NIVSES,$B950&amp;"|"&amp;$C950&amp;"|S2")&gt;0,COUNTIF(D_KEY_DOUBLON,$B950&amp;"|S2|"&amp;$E950)=0),"⚠ Départ non confirmé ?",IF(AND($C950&lt;&gt;"",ISNUMBER($I950),OR(VALUE(LEFT($B950,4))-$I950&lt;4+IFERROR(MATCH($C950,LISTE_NIVEAUX,0),99),VALUE(LEFT($B950,4))-$I950&gt;6+IFERROR(MATCH($C950,LISTE_NIVEAUX,0),99))),"⚠ Vérifier niveau",IF(AND(IFERROR(VLOOKUP($C950,TABLE_CYCLE,2,0),3)=2,COUNT($O950:$Q950)&gt;0),"⚠ Tests cycle 3",IF(COUNT($J950:$Q950)&gt;=IF(IFERROR(VLOOKUP($C950,TABLE_CYCLE,2,0),3)=2,5,8),"Complet","Incomplet"))))))))</f>
        <v/>
      </c>
      <c r="S950" s="24"/>
      <c r="T950" s="67" t="str">
        <f t="shared" si="127"/>
        <v/>
      </c>
      <c r="U950" s="67" t="str">
        <f t="shared" si="128"/>
        <v/>
      </c>
      <c r="V950" s="67" t="str">
        <f t="shared" si="129"/>
        <v/>
      </c>
      <c r="W950" s="67" t="str">
        <f t="shared" si="130"/>
        <v/>
      </c>
      <c r="X950" s="67" t="str">
        <f t="shared" si="131"/>
        <v/>
      </c>
      <c r="Y950" s="24" t="str">
        <f t="shared" si="132"/>
        <v/>
      </c>
      <c r="Z950">
        <f t="shared" si="133"/>
        <v>0</v>
      </c>
      <c r="AA950">
        <f t="shared" si="134"/>
        <v>0</v>
      </c>
    </row>
    <row r="951" spans="2:27" ht="15.75" customHeight="1" x14ac:dyDescent="0.3">
      <c r="B951" s="21"/>
      <c r="C951" s="21"/>
      <c r="D951" s="21"/>
      <c r="E951" s="22" t="str">
        <f t="shared" si="126"/>
        <v/>
      </c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3" t="str">
        <f>IF($F951="","",IF(OR($B951="",$C951="",$D951=""),"⚠ Compléter Année/Niveau/Session",IF(AND($E951&lt;&gt;"",COUNTIF(D_KEY_DOUBLON,$B951&amp;"|"&amp;$D951&amp;"|"&amp;$E951)&gt;1),"⚠ Doublon",IF(AND($E951&lt;&gt;"",COUNTIF(D_KEY_STATUT,$B951&amp;"|"&amp;$E951&amp;"|P")&gt;0,COUNTIF(D_KEY_STATUT,$B951&amp;"|"&amp;$E951&amp;"|A")&gt;0),"⚠ Statut incohérent",IF(AND($D951="S1",$Y951&lt;&gt;"Parti",COUNTIF(ANNEES_VERROU,$B951)&gt;0,COUNTIF(D_KEY_NIVSES,$B951&amp;"|"&amp;$C951&amp;"|S2")&gt;0,COUNTIF(D_KEY_DOUBLON,$B951&amp;"|S2|"&amp;$E951)=0),"⚠ Départ non confirmé ?",IF(AND($C951&lt;&gt;"",ISNUMBER($I951),OR(VALUE(LEFT($B951,4))-$I951&lt;4+IFERROR(MATCH($C951,LISTE_NIVEAUX,0),99),VALUE(LEFT($B951,4))-$I951&gt;6+IFERROR(MATCH($C951,LISTE_NIVEAUX,0),99))),"⚠ Vérifier niveau",IF(AND(IFERROR(VLOOKUP($C951,TABLE_CYCLE,2,0),3)=2,COUNT($O951:$Q951)&gt;0),"⚠ Tests cycle 3",IF(COUNT($J951:$Q951)&gt;=IF(IFERROR(VLOOKUP($C951,TABLE_CYCLE,2,0),3)=2,5,8),"Complet","Incomplet"))))))))</f>
        <v/>
      </c>
      <c r="S951" s="24"/>
      <c r="T951" s="67" t="str">
        <f t="shared" si="127"/>
        <v/>
      </c>
      <c r="U951" s="67" t="str">
        <f t="shared" si="128"/>
        <v/>
      </c>
      <c r="V951" s="67" t="str">
        <f t="shared" si="129"/>
        <v/>
      </c>
      <c r="W951" s="67" t="str">
        <f t="shared" si="130"/>
        <v/>
      </c>
      <c r="X951" s="67" t="str">
        <f t="shared" si="131"/>
        <v/>
      </c>
      <c r="Y951" s="24" t="str">
        <f t="shared" si="132"/>
        <v/>
      </c>
      <c r="Z951">
        <f t="shared" si="133"/>
        <v>0</v>
      </c>
      <c r="AA951">
        <f t="shared" si="134"/>
        <v>0</v>
      </c>
    </row>
    <row r="952" spans="2:27" ht="15.75" customHeight="1" x14ac:dyDescent="0.3">
      <c r="B952" s="25"/>
      <c r="C952" s="25"/>
      <c r="D952" s="25"/>
      <c r="E952" s="26" t="str">
        <f t="shared" si="126"/>
        <v/>
      </c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3" t="str">
        <f>IF($F952="","",IF(OR($B952="",$C952="",$D952=""),"⚠ Compléter Année/Niveau/Session",IF(AND($E952&lt;&gt;"",COUNTIF(D_KEY_DOUBLON,$B952&amp;"|"&amp;$D952&amp;"|"&amp;$E952)&gt;1),"⚠ Doublon",IF(AND($E952&lt;&gt;"",COUNTIF(D_KEY_STATUT,$B952&amp;"|"&amp;$E952&amp;"|P")&gt;0,COUNTIF(D_KEY_STATUT,$B952&amp;"|"&amp;$E952&amp;"|A")&gt;0),"⚠ Statut incohérent",IF(AND($D952="S1",$Y952&lt;&gt;"Parti",COUNTIF(ANNEES_VERROU,$B952)&gt;0,COUNTIF(D_KEY_NIVSES,$B952&amp;"|"&amp;$C952&amp;"|S2")&gt;0,COUNTIF(D_KEY_DOUBLON,$B952&amp;"|S2|"&amp;$E952)=0),"⚠ Départ non confirmé ?",IF(AND($C952&lt;&gt;"",ISNUMBER($I952),OR(VALUE(LEFT($B952,4))-$I952&lt;4+IFERROR(MATCH($C952,LISTE_NIVEAUX,0),99),VALUE(LEFT($B952,4))-$I952&gt;6+IFERROR(MATCH($C952,LISTE_NIVEAUX,0),99))),"⚠ Vérifier niveau",IF(AND(IFERROR(VLOOKUP($C952,TABLE_CYCLE,2,0),3)=2,COUNT($O952:$Q952)&gt;0),"⚠ Tests cycle 3",IF(COUNT($J952:$Q952)&gt;=IF(IFERROR(VLOOKUP($C952,TABLE_CYCLE,2,0),3)=2,5,8),"Complet","Incomplet"))))))))</f>
        <v/>
      </c>
      <c r="S952" s="24"/>
      <c r="T952" s="67" t="str">
        <f t="shared" si="127"/>
        <v/>
      </c>
      <c r="U952" s="67" t="str">
        <f t="shared" si="128"/>
        <v/>
      </c>
      <c r="V952" s="67" t="str">
        <f t="shared" si="129"/>
        <v/>
      </c>
      <c r="W952" s="67" t="str">
        <f t="shared" si="130"/>
        <v/>
      </c>
      <c r="X952" s="67" t="str">
        <f t="shared" si="131"/>
        <v/>
      </c>
      <c r="Y952" s="24" t="str">
        <f t="shared" si="132"/>
        <v/>
      </c>
      <c r="Z952">
        <f t="shared" si="133"/>
        <v>0</v>
      </c>
      <c r="AA952">
        <f t="shared" si="134"/>
        <v>0</v>
      </c>
    </row>
    <row r="953" spans="2:27" ht="15.75" customHeight="1" x14ac:dyDescent="0.3">
      <c r="B953" s="21"/>
      <c r="C953" s="21"/>
      <c r="D953" s="21"/>
      <c r="E953" s="22" t="str">
        <f t="shared" si="126"/>
        <v/>
      </c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3" t="str">
        <f>IF($F953="","",IF(OR($B953="",$C953="",$D953=""),"⚠ Compléter Année/Niveau/Session",IF(AND($E953&lt;&gt;"",COUNTIF(D_KEY_DOUBLON,$B953&amp;"|"&amp;$D953&amp;"|"&amp;$E953)&gt;1),"⚠ Doublon",IF(AND($E953&lt;&gt;"",COUNTIF(D_KEY_STATUT,$B953&amp;"|"&amp;$E953&amp;"|P")&gt;0,COUNTIF(D_KEY_STATUT,$B953&amp;"|"&amp;$E953&amp;"|A")&gt;0),"⚠ Statut incohérent",IF(AND($D953="S1",$Y953&lt;&gt;"Parti",COUNTIF(ANNEES_VERROU,$B953)&gt;0,COUNTIF(D_KEY_NIVSES,$B953&amp;"|"&amp;$C953&amp;"|S2")&gt;0,COUNTIF(D_KEY_DOUBLON,$B953&amp;"|S2|"&amp;$E953)=0),"⚠ Départ non confirmé ?",IF(AND($C953&lt;&gt;"",ISNUMBER($I953),OR(VALUE(LEFT($B953,4))-$I953&lt;4+IFERROR(MATCH($C953,LISTE_NIVEAUX,0),99),VALUE(LEFT($B953,4))-$I953&gt;6+IFERROR(MATCH($C953,LISTE_NIVEAUX,0),99))),"⚠ Vérifier niveau",IF(AND(IFERROR(VLOOKUP($C953,TABLE_CYCLE,2,0),3)=2,COUNT($O953:$Q953)&gt;0),"⚠ Tests cycle 3",IF(COUNT($J953:$Q953)&gt;=IF(IFERROR(VLOOKUP($C953,TABLE_CYCLE,2,0),3)=2,5,8),"Complet","Incomplet"))))))))</f>
        <v/>
      </c>
      <c r="S953" s="24"/>
      <c r="T953" s="67" t="str">
        <f t="shared" si="127"/>
        <v/>
      </c>
      <c r="U953" s="67" t="str">
        <f t="shared" si="128"/>
        <v/>
      </c>
      <c r="V953" s="67" t="str">
        <f t="shared" si="129"/>
        <v/>
      </c>
      <c r="W953" s="67" t="str">
        <f t="shared" si="130"/>
        <v/>
      </c>
      <c r="X953" s="67" t="str">
        <f t="shared" si="131"/>
        <v/>
      </c>
      <c r="Y953" s="24" t="str">
        <f t="shared" si="132"/>
        <v/>
      </c>
      <c r="Z953">
        <f t="shared" si="133"/>
        <v>0</v>
      </c>
      <c r="AA953">
        <f t="shared" si="134"/>
        <v>0</v>
      </c>
    </row>
    <row r="954" spans="2:27" ht="15.75" customHeight="1" x14ac:dyDescent="0.3">
      <c r="B954" s="25"/>
      <c r="C954" s="25"/>
      <c r="D954" s="25"/>
      <c r="E954" s="26" t="str">
        <f t="shared" si="126"/>
        <v/>
      </c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3" t="str">
        <f>IF($F954="","",IF(OR($B954="",$C954="",$D954=""),"⚠ Compléter Année/Niveau/Session",IF(AND($E954&lt;&gt;"",COUNTIF(D_KEY_DOUBLON,$B954&amp;"|"&amp;$D954&amp;"|"&amp;$E954)&gt;1),"⚠ Doublon",IF(AND($E954&lt;&gt;"",COUNTIF(D_KEY_STATUT,$B954&amp;"|"&amp;$E954&amp;"|P")&gt;0,COUNTIF(D_KEY_STATUT,$B954&amp;"|"&amp;$E954&amp;"|A")&gt;0),"⚠ Statut incohérent",IF(AND($D954="S1",$Y954&lt;&gt;"Parti",COUNTIF(ANNEES_VERROU,$B954)&gt;0,COUNTIF(D_KEY_NIVSES,$B954&amp;"|"&amp;$C954&amp;"|S2")&gt;0,COUNTIF(D_KEY_DOUBLON,$B954&amp;"|S2|"&amp;$E954)=0),"⚠ Départ non confirmé ?",IF(AND($C954&lt;&gt;"",ISNUMBER($I954),OR(VALUE(LEFT($B954,4))-$I954&lt;4+IFERROR(MATCH($C954,LISTE_NIVEAUX,0),99),VALUE(LEFT($B954,4))-$I954&gt;6+IFERROR(MATCH($C954,LISTE_NIVEAUX,0),99))),"⚠ Vérifier niveau",IF(AND(IFERROR(VLOOKUP($C954,TABLE_CYCLE,2,0),3)=2,COUNT($O954:$Q954)&gt;0),"⚠ Tests cycle 3",IF(COUNT($J954:$Q954)&gt;=IF(IFERROR(VLOOKUP($C954,TABLE_CYCLE,2,0),3)=2,5,8),"Complet","Incomplet"))))))))</f>
        <v/>
      </c>
      <c r="S954" s="24"/>
      <c r="T954" s="67" t="str">
        <f t="shared" si="127"/>
        <v/>
      </c>
      <c r="U954" s="67" t="str">
        <f t="shared" si="128"/>
        <v/>
      </c>
      <c r="V954" s="67" t="str">
        <f t="shared" si="129"/>
        <v/>
      </c>
      <c r="W954" s="67" t="str">
        <f t="shared" si="130"/>
        <v/>
      </c>
      <c r="X954" s="67" t="str">
        <f t="shared" si="131"/>
        <v/>
      </c>
      <c r="Y954" s="24" t="str">
        <f t="shared" si="132"/>
        <v/>
      </c>
      <c r="Z954">
        <f t="shared" si="133"/>
        <v>0</v>
      </c>
      <c r="AA954">
        <f t="shared" si="134"/>
        <v>0</v>
      </c>
    </row>
    <row r="955" spans="2:27" ht="15.75" customHeight="1" x14ac:dyDescent="0.3">
      <c r="B955" s="21"/>
      <c r="C955" s="21"/>
      <c r="D955" s="21"/>
      <c r="E955" s="22" t="str">
        <f t="shared" si="126"/>
        <v/>
      </c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3" t="str">
        <f>IF($F955="","",IF(OR($B955="",$C955="",$D955=""),"⚠ Compléter Année/Niveau/Session",IF(AND($E955&lt;&gt;"",COUNTIF(D_KEY_DOUBLON,$B955&amp;"|"&amp;$D955&amp;"|"&amp;$E955)&gt;1),"⚠ Doublon",IF(AND($E955&lt;&gt;"",COUNTIF(D_KEY_STATUT,$B955&amp;"|"&amp;$E955&amp;"|P")&gt;0,COUNTIF(D_KEY_STATUT,$B955&amp;"|"&amp;$E955&amp;"|A")&gt;0),"⚠ Statut incohérent",IF(AND($D955="S1",$Y955&lt;&gt;"Parti",COUNTIF(ANNEES_VERROU,$B955)&gt;0,COUNTIF(D_KEY_NIVSES,$B955&amp;"|"&amp;$C955&amp;"|S2")&gt;0,COUNTIF(D_KEY_DOUBLON,$B955&amp;"|S2|"&amp;$E955)=0),"⚠ Départ non confirmé ?",IF(AND($C955&lt;&gt;"",ISNUMBER($I955),OR(VALUE(LEFT($B955,4))-$I955&lt;4+IFERROR(MATCH($C955,LISTE_NIVEAUX,0),99),VALUE(LEFT($B955,4))-$I955&gt;6+IFERROR(MATCH($C955,LISTE_NIVEAUX,0),99))),"⚠ Vérifier niveau",IF(AND(IFERROR(VLOOKUP($C955,TABLE_CYCLE,2,0),3)=2,COUNT($O955:$Q955)&gt;0),"⚠ Tests cycle 3",IF(COUNT($J955:$Q955)&gt;=IF(IFERROR(VLOOKUP($C955,TABLE_CYCLE,2,0),3)=2,5,8),"Complet","Incomplet"))))))))</f>
        <v/>
      </c>
      <c r="S955" s="24"/>
      <c r="T955" s="67" t="str">
        <f t="shared" si="127"/>
        <v/>
      </c>
      <c r="U955" s="67" t="str">
        <f t="shared" si="128"/>
        <v/>
      </c>
      <c r="V955" s="67" t="str">
        <f t="shared" si="129"/>
        <v/>
      </c>
      <c r="W955" s="67" t="str">
        <f t="shared" si="130"/>
        <v/>
      </c>
      <c r="X955" s="67" t="str">
        <f t="shared" si="131"/>
        <v/>
      </c>
      <c r="Y955" s="24" t="str">
        <f t="shared" si="132"/>
        <v/>
      </c>
      <c r="Z955">
        <f t="shared" si="133"/>
        <v>0</v>
      </c>
      <c r="AA955">
        <f t="shared" si="134"/>
        <v>0</v>
      </c>
    </row>
    <row r="956" spans="2:27" ht="15.75" customHeight="1" x14ac:dyDescent="0.3">
      <c r="B956" s="25"/>
      <c r="C956" s="25"/>
      <c r="D956" s="25"/>
      <c r="E956" s="26" t="str">
        <f t="shared" si="126"/>
        <v/>
      </c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3" t="str">
        <f>IF($F956="","",IF(OR($B956="",$C956="",$D956=""),"⚠ Compléter Année/Niveau/Session",IF(AND($E956&lt;&gt;"",COUNTIF(D_KEY_DOUBLON,$B956&amp;"|"&amp;$D956&amp;"|"&amp;$E956)&gt;1),"⚠ Doublon",IF(AND($E956&lt;&gt;"",COUNTIF(D_KEY_STATUT,$B956&amp;"|"&amp;$E956&amp;"|P")&gt;0,COUNTIF(D_KEY_STATUT,$B956&amp;"|"&amp;$E956&amp;"|A")&gt;0),"⚠ Statut incohérent",IF(AND($D956="S1",$Y956&lt;&gt;"Parti",COUNTIF(ANNEES_VERROU,$B956)&gt;0,COUNTIF(D_KEY_NIVSES,$B956&amp;"|"&amp;$C956&amp;"|S2")&gt;0,COUNTIF(D_KEY_DOUBLON,$B956&amp;"|S2|"&amp;$E956)=0),"⚠ Départ non confirmé ?",IF(AND($C956&lt;&gt;"",ISNUMBER($I956),OR(VALUE(LEFT($B956,4))-$I956&lt;4+IFERROR(MATCH($C956,LISTE_NIVEAUX,0),99),VALUE(LEFT($B956,4))-$I956&gt;6+IFERROR(MATCH($C956,LISTE_NIVEAUX,0),99))),"⚠ Vérifier niveau",IF(AND(IFERROR(VLOOKUP($C956,TABLE_CYCLE,2,0),3)=2,COUNT($O956:$Q956)&gt;0),"⚠ Tests cycle 3",IF(COUNT($J956:$Q956)&gt;=IF(IFERROR(VLOOKUP($C956,TABLE_CYCLE,2,0),3)=2,5,8),"Complet","Incomplet"))))))))</f>
        <v/>
      </c>
      <c r="S956" s="24"/>
      <c r="T956" s="67" t="str">
        <f t="shared" si="127"/>
        <v/>
      </c>
      <c r="U956" s="67" t="str">
        <f t="shared" si="128"/>
        <v/>
      </c>
      <c r="V956" s="67" t="str">
        <f t="shared" si="129"/>
        <v/>
      </c>
      <c r="W956" s="67" t="str">
        <f t="shared" si="130"/>
        <v/>
      </c>
      <c r="X956" s="67" t="str">
        <f t="shared" si="131"/>
        <v/>
      </c>
      <c r="Y956" s="24" t="str">
        <f t="shared" si="132"/>
        <v/>
      </c>
      <c r="Z956">
        <f t="shared" si="133"/>
        <v>0</v>
      </c>
      <c r="AA956">
        <f t="shared" si="134"/>
        <v>0</v>
      </c>
    </row>
    <row r="957" spans="2:27" ht="15.75" customHeight="1" x14ac:dyDescent="0.3">
      <c r="B957" s="21"/>
      <c r="C957" s="21"/>
      <c r="D957" s="21"/>
      <c r="E957" s="22" t="str">
        <f t="shared" si="126"/>
        <v/>
      </c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3" t="str">
        <f>IF($F957="","",IF(OR($B957="",$C957="",$D957=""),"⚠ Compléter Année/Niveau/Session",IF(AND($E957&lt;&gt;"",COUNTIF(D_KEY_DOUBLON,$B957&amp;"|"&amp;$D957&amp;"|"&amp;$E957)&gt;1),"⚠ Doublon",IF(AND($E957&lt;&gt;"",COUNTIF(D_KEY_STATUT,$B957&amp;"|"&amp;$E957&amp;"|P")&gt;0,COUNTIF(D_KEY_STATUT,$B957&amp;"|"&amp;$E957&amp;"|A")&gt;0),"⚠ Statut incohérent",IF(AND($D957="S1",$Y957&lt;&gt;"Parti",COUNTIF(ANNEES_VERROU,$B957)&gt;0,COUNTIF(D_KEY_NIVSES,$B957&amp;"|"&amp;$C957&amp;"|S2")&gt;0,COUNTIF(D_KEY_DOUBLON,$B957&amp;"|S2|"&amp;$E957)=0),"⚠ Départ non confirmé ?",IF(AND($C957&lt;&gt;"",ISNUMBER($I957),OR(VALUE(LEFT($B957,4))-$I957&lt;4+IFERROR(MATCH($C957,LISTE_NIVEAUX,0),99),VALUE(LEFT($B957,4))-$I957&gt;6+IFERROR(MATCH($C957,LISTE_NIVEAUX,0),99))),"⚠ Vérifier niveau",IF(AND(IFERROR(VLOOKUP($C957,TABLE_CYCLE,2,0),3)=2,COUNT($O957:$Q957)&gt;0),"⚠ Tests cycle 3",IF(COUNT($J957:$Q957)&gt;=IF(IFERROR(VLOOKUP($C957,TABLE_CYCLE,2,0),3)=2,5,8),"Complet","Incomplet"))))))))</f>
        <v/>
      </c>
      <c r="S957" s="24"/>
      <c r="T957" s="67" t="str">
        <f t="shared" si="127"/>
        <v/>
      </c>
      <c r="U957" s="67" t="str">
        <f t="shared" si="128"/>
        <v/>
      </c>
      <c r="V957" s="67" t="str">
        <f t="shared" si="129"/>
        <v/>
      </c>
      <c r="W957" s="67" t="str">
        <f t="shared" si="130"/>
        <v/>
      </c>
      <c r="X957" s="67" t="str">
        <f t="shared" si="131"/>
        <v/>
      </c>
      <c r="Y957" s="24" t="str">
        <f t="shared" si="132"/>
        <v/>
      </c>
      <c r="Z957">
        <f t="shared" si="133"/>
        <v>0</v>
      </c>
      <c r="AA957">
        <f t="shared" si="134"/>
        <v>0</v>
      </c>
    </row>
    <row r="958" spans="2:27" ht="15.75" customHeight="1" x14ac:dyDescent="0.3">
      <c r="B958" s="25"/>
      <c r="C958" s="25"/>
      <c r="D958" s="25"/>
      <c r="E958" s="26" t="str">
        <f t="shared" si="126"/>
        <v/>
      </c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3" t="str">
        <f>IF($F958="","",IF(OR($B958="",$C958="",$D958=""),"⚠ Compléter Année/Niveau/Session",IF(AND($E958&lt;&gt;"",COUNTIF(D_KEY_DOUBLON,$B958&amp;"|"&amp;$D958&amp;"|"&amp;$E958)&gt;1),"⚠ Doublon",IF(AND($E958&lt;&gt;"",COUNTIF(D_KEY_STATUT,$B958&amp;"|"&amp;$E958&amp;"|P")&gt;0,COUNTIF(D_KEY_STATUT,$B958&amp;"|"&amp;$E958&amp;"|A")&gt;0),"⚠ Statut incohérent",IF(AND($D958="S1",$Y958&lt;&gt;"Parti",COUNTIF(ANNEES_VERROU,$B958)&gt;0,COUNTIF(D_KEY_NIVSES,$B958&amp;"|"&amp;$C958&amp;"|S2")&gt;0,COUNTIF(D_KEY_DOUBLON,$B958&amp;"|S2|"&amp;$E958)=0),"⚠ Départ non confirmé ?",IF(AND($C958&lt;&gt;"",ISNUMBER($I958),OR(VALUE(LEFT($B958,4))-$I958&lt;4+IFERROR(MATCH($C958,LISTE_NIVEAUX,0),99),VALUE(LEFT($B958,4))-$I958&gt;6+IFERROR(MATCH($C958,LISTE_NIVEAUX,0),99))),"⚠ Vérifier niveau",IF(AND(IFERROR(VLOOKUP($C958,TABLE_CYCLE,2,0),3)=2,COUNT($O958:$Q958)&gt;0),"⚠ Tests cycle 3",IF(COUNT($J958:$Q958)&gt;=IF(IFERROR(VLOOKUP($C958,TABLE_CYCLE,2,0),3)=2,5,8),"Complet","Incomplet"))))))))</f>
        <v/>
      </c>
      <c r="S958" s="24"/>
      <c r="T958" s="67" t="str">
        <f t="shared" si="127"/>
        <v/>
      </c>
      <c r="U958" s="67" t="str">
        <f t="shared" si="128"/>
        <v/>
      </c>
      <c r="V958" s="67" t="str">
        <f t="shared" si="129"/>
        <v/>
      </c>
      <c r="W958" s="67" t="str">
        <f t="shared" si="130"/>
        <v/>
      </c>
      <c r="X958" s="67" t="str">
        <f t="shared" si="131"/>
        <v/>
      </c>
      <c r="Y958" s="24" t="str">
        <f t="shared" si="132"/>
        <v/>
      </c>
      <c r="Z958">
        <f t="shared" si="133"/>
        <v>0</v>
      </c>
      <c r="AA958">
        <f t="shared" si="134"/>
        <v>0</v>
      </c>
    </row>
    <row r="959" spans="2:27" ht="15.75" customHeight="1" x14ac:dyDescent="0.3">
      <c r="B959" s="21"/>
      <c r="C959" s="21"/>
      <c r="D959" s="21"/>
      <c r="E959" s="22" t="str">
        <f t="shared" si="126"/>
        <v/>
      </c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3" t="str">
        <f>IF($F959="","",IF(OR($B959="",$C959="",$D959=""),"⚠ Compléter Année/Niveau/Session",IF(AND($E959&lt;&gt;"",COUNTIF(D_KEY_DOUBLON,$B959&amp;"|"&amp;$D959&amp;"|"&amp;$E959)&gt;1),"⚠ Doublon",IF(AND($E959&lt;&gt;"",COUNTIF(D_KEY_STATUT,$B959&amp;"|"&amp;$E959&amp;"|P")&gt;0,COUNTIF(D_KEY_STATUT,$B959&amp;"|"&amp;$E959&amp;"|A")&gt;0),"⚠ Statut incohérent",IF(AND($D959="S1",$Y959&lt;&gt;"Parti",COUNTIF(ANNEES_VERROU,$B959)&gt;0,COUNTIF(D_KEY_NIVSES,$B959&amp;"|"&amp;$C959&amp;"|S2")&gt;0,COUNTIF(D_KEY_DOUBLON,$B959&amp;"|S2|"&amp;$E959)=0),"⚠ Départ non confirmé ?",IF(AND($C959&lt;&gt;"",ISNUMBER($I959),OR(VALUE(LEFT($B959,4))-$I959&lt;4+IFERROR(MATCH($C959,LISTE_NIVEAUX,0),99),VALUE(LEFT($B959,4))-$I959&gt;6+IFERROR(MATCH($C959,LISTE_NIVEAUX,0),99))),"⚠ Vérifier niveau",IF(AND(IFERROR(VLOOKUP($C959,TABLE_CYCLE,2,0),3)=2,COUNT($O959:$Q959)&gt;0),"⚠ Tests cycle 3",IF(COUNT($J959:$Q959)&gt;=IF(IFERROR(VLOOKUP($C959,TABLE_CYCLE,2,0),3)=2,5,8),"Complet","Incomplet"))))))))</f>
        <v/>
      </c>
      <c r="S959" s="24"/>
      <c r="T959" s="67" t="str">
        <f t="shared" si="127"/>
        <v/>
      </c>
      <c r="U959" s="67" t="str">
        <f t="shared" si="128"/>
        <v/>
      </c>
      <c r="V959" s="67" t="str">
        <f t="shared" si="129"/>
        <v/>
      </c>
      <c r="W959" s="67" t="str">
        <f t="shared" si="130"/>
        <v/>
      </c>
      <c r="X959" s="67" t="str">
        <f t="shared" si="131"/>
        <v/>
      </c>
      <c r="Y959" s="24" t="str">
        <f t="shared" si="132"/>
        <v/>
      </c>
      <c r="Z959">
        <f t="shared" si="133"/>
        <v>0</v>
      </c>
      <c r="AA959">
        <f t="shared" si="134"/>
        <v>0</v>
      </c>
    </row>
    <row r="960" spans="2:27" ht="15.75" customHeight="1" x14ac:dyDescent="0.3">
      <c r="B960" s="25"/>
      <c r="C960" s="25"/>
      <c r="D960" s="25"/>
      <c r="E960" s="26" t="str">
        <f t="shared" si="126"/>
        <v/>
      </c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3" t="str">
        <f>IF($F960="","",IF(OR($B960="",$C960="",$D960=""),"⚠ Compléter Année/Niveau/Session",IF(AND($E960&lt;&gt;"",COUNTIF(D_KEY_DOUBLON,$B960&amp;"|"&amp;$D960&amp;"|"&amp;$E960)&gt;1),"⚠ Doublon",IF(AND($E960&lt;&gt;"",COUNTIF(D_KEY_STATUT,$B960&amp;"|"&amp;$E960&amp;"|P")&gt;0,COUNTIF(D_KEY_STATUT,$B960&amp;"|"&amp;$E960&amp;"|A")&gt;0),"⚠ Statut incohérent",IF(AND($D960="S1",$Y960&lt;&gt;"Parti",COUNTIF(ANNEES_VERROU,$B960)&gt;0,COUNTIF(D_KEY_NIVSES,$B960&amp;"|"&amp;$C960&amp;"|S2")&gt;0,COUNTIF(D_KEY_DOUBLON,$B960&amp;"|S2|"&amp;$E960)=0),"⚠ Départ non confirmé ?",IF(AND($C960&lt;&gt;"",ISNUMBER($I960),OR(VALUE(LEFT($B960,4))-$I960&lt;4+IFERROR(MATCH($C960,LISTE_NIVEAUX,0),99),VALUE(LEFT($B960,4))-$I960&gt;6+IFERROR(MATCH($C960,LISTE_NIVEAUX,0),99))),"⚠ Vérifier niveau",IF(AND(IFERROR(VLOOKUP($C960,TABLE_CYCLE,2,0),3)=2,COUNT($O960:$Q960)&gt;0),"⚠ Tests cycle 3",IF(COUNT($J960:$Q960)&gt;=IF(IFERROR(VLOOKUP($C960,TABLE_CYCLE,2,0),3)=2,5,8),"Complet","Incomplet"))))))))</f>
        <v/>
      </c>
      <c r="S960" s="24"/>
      <c r="T960" s="67" t="str">
        <f t="shared" si="127"/>
        <v/>
      </c>
      <c r="U960" s="67" t="str">
        <f t="shared" si="128"/>
        <v/>
      </c>
      <c r="V960" s="67" t="str">
        <f t="shared" si="129"/>
        <v/>
      </c>
      <c r="W960" s="67" t="str">
        <f t="shared" si="130"/>
        <v/>
      </c>
      <c r="X960" s="67" t="str">
        <f t="shared" si="131"/>
        <v/>
      </c>
      <c r="Y960" s="24" t="str">
        <f t="shared" si="132"/>
        <v/>
      </c>
      <c r="Z960">
        <f t="shared" si="133"/>
        <v>0</v>
      </c>
      <c r="AA960">
        <f t="shared" si="134"/>
        <v>0</v>
      </c>
    </row>
    <row r="961" spans="2:27" ht="15.75" customHeight="1" x14ac:dyDescent="0.3">
      <c r="B961" s="21"/>
      <c r="C961" s="21"/>
      <c r="D961" s="21"/>
      <c r="E961" s="22" t="str">
        <f t="shared" si="126"/>
        <v/>
      </c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3" t="str">
        <f>IF($F961="","",IF(OR($B961="",$C961="",$D961=""),"⚠ Compléter Année/Niveau/Session",IF(AND($E961&lt;&gt;"",COUNTIF(D_KEY_DOUBLON,$B961&amp;"|"&amp;$D961&amp;"|"&amp;$E961)&gt;1),"⚠ Doublon",IF(AND($E961&lt;&gt;"",COUNTIF(D_KEY_STATUT,$B961&amp;"|"&amp;$E961&amp;"|P")&gt;0,COUNTIF(D_KEY_STATUT,$B961&amp;"|"&amp;$E961&amp;"|A")&gt;0),"⚠ Statut incohérent",IF(AND($D961="S1",$Y961&lt;&gt;"Parti",COUNTIF(ANNEES_VERROU,$B961)&gt;0,COUNTIF(D_KEY_NIVSES,$B961&amp;"|"&amp;$C961&amp;"|S2")&gt;0,COUNTIF(D_KEY_DOUBLON,$B961&amp;"|S2|"&amp;$E961)=0),"⚠ Départ non confirmé ?",IF(AND($C961&lt;&gt;"",ISNUMBER($I961),OR(VALUE(LEFT($B961,4))-$I961&lt;4+IFERROR(MATCH($C961,LISTE_NIVEAUX,0),99),VALUE(LEFT($B961,4))-$I961&gt;6+IFERROR(MATCH($C961,LISTE_NIVEAUX,0),99))),"⚠ Vérifier niveau",IF(AND(IFERROR(VLOOKUP($C961,TABLE_CYCLE,2,0),3)=2,COUNT($O961:$Q961)&gt;0),"⚠ Tests cycle 3",IF(COUNT($J961:$Q961)&gt;=IF(IFERROR(VLOOKUP($C961,TABLE_CYCLE,2,0),3)=2,5,8),"Complet","Incomplet"))))))))</f>
        <v/>
      </c>
      <c r="S961" s="24"/>
      <c r="T961" s="67" t="str">
        <f t="shared" si="127"/>
        <v/>
      </c>
      <c r="U961" s="67" t="str">
        <f t="shared" si="128"/>
        <v/>
      </c>
      <c r="V961" s="67" t="str">
        <f t="shared" si="129"/>
        <v/>
      </c>
      <c r="W961" s="67" t="str">
        <f t="shared" si="130"/>
        <v/>
      </c>
      <c r="X961" s="67" t="str">
        <f t="shared" si="131"/>
        <v/>
      </c>
      <c r="Y961" s="24" t="str">
        <f t="shared" si="132"/>
        <v/>
      </c>
      <c r="Z961">
        <f t="shared" si="133"/>
        <v>0</v>
      </c>
      <c r="AA961">
        <f t="shared" si="134"/>
        <v>0</v>
      </c>
    </row>
    <row r="962" spans="2:27" ht="15.75" customHeight="1" x14ac:dyDescent="0.3">
      <c r="B962" s="25"/>
      <c r="C962" s="25"/>
      <c r="D962" s="25"/>
      <c r="E962" s="26" t="str">
        <f t="shared" si="126"/>
        <v/>
      </c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3" t="str">
        <f>IF($F962="","",IF(OR($B962="",$C962="",$D962=""),"⚠ Compléter Année/Niveau/Session",IF(AND($E962&lt;&gt;"",COUNTIF(D_KEY_DOUBLON,$B962&amp;"|"&amp;$D962&amp;"|"&amp;$E962)&gt;1),"⚠ Doublon",IF(AND($E962&lt;&gt;"",COUNTIF(D_KEY_STATUT,$B962&amp;"|"&amp;$E962&amp;"|P")&gt;0,COUNTIF(D_KEY_STATUT,$B962&amp;"|"&amp;$E962&amp;"|A")&gt;0),"⚠ Statut incohérent",IF(AND($D962="S1",$Y962&lt;&gt;"Parti",COUNTIF(ANNEES_VERROU,$B962)&gt;0,COUNTIF(D_KEY_NIVSES,$B962&amp;"|"&amp;$C962&amp;"|S2")&gt;0,COUNTIF(D_KEY_DOUBLON,$B962&amp;"|S2|"&amp;$E962)=0),"⚠ Départ non confirmé ?",IF(AND($C962&lt;&gt;"",ISNUMBER($I962),OR(VALUE(LEFT($B962,4))-$I962&lt;4+IFERROR(MATCH($C962,LISTE_NIVEAUX,0),99),VALUE(LEFT($B962,4))-$I962&gt;6+IFERROR(MATCH($C962,LISTE_NIVEAUX,0),99))),"⚠ Vérifier niveau",IF(AND(IFERROR(VLOOKUP($C962,TABLE_CYCLE,2,0),3)=2,COUNT($O962:$Q962)&gt;0),"⚠ Tests cycle 3",IF(COUNT($J962:$Q962)&gt;=IF(IFERROR(VLOOKUP($C962,TABLE_CYCLE,2,0),3)=2,5,8),"Complet","Incomplet"))))))))</f>
        <v/>
      </c>
      <c r="S962" s="24"/>
      <c r="T962" s="67" t="str">
        <f t="shared" si="127"/>
        <v/>
      </c>
      <c r="U962" s="67" t="str">
        <f t="shared" si="128"/>
        <v/>
      </c>
      <c r="V962" s="67" t="str">
        <f t="shared" si="129"/>
        <v/>
      </c>
      <c r="W962" s="67" t="str">
        <f t="shared" si="130"/>
        <v/>
      </c>
      <c r="X962" s="67" t="str">
        <f t="shared" si="131"/>
        <v/>
      </c>
      <c r="Y962" s="24" t="str">
        <f t="shared" si="132"/>
        <v/>
      </c>
      <c r="Z962">
        <f t="shared" si="133"/>
        <v>0</v>
      </c>
      <c r="AA962">
        <f t="shared" si="134"/>
        <v>0</v>
      </c>
    </row>
    <row r="963" spans="2:27" ht="15.75" customHeight="1" x14ac:dyDescent="0.3">
      <c r="B963" s="21"/>
      <c r="C963" s="21"/>
      <c r="D963" s="21"/>
      <c r="E963" s="22" t="str">
        <f t="shared" si="126"/>
        <v/>
      </c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3" t="str">
        <f>IF($F963="","",IF(OR($B963="",$C963="",$D963=""),"⚠ Compléter Année/Niveau/Session",IF(AND($E963&lt;&gt;"",COUNTIF(D_KEY_DOUBLON,$B963&amp;"|"&amp;$D963&amp;"|"&amp;$E963)&gt;1),"⚠ Doublon",IF(AND($E963&lt;&gt;"",COUNTIF(D_KEY_STATUT,$B963&amp;"|"&amp;$E963&amp;"|P")&gt;0,COUNTIF(D_KEY_STATUT,$B963&amp;"|"&amp;$E963&amp;"|A")&gt;0),"⚠ Statut incohérent",IF(AND($D963="S1",$Y963&lt;&gt;"Parti",COUNTIF(ANNEES_VERROU,$B963)&gt;0,COUNTIF(D_KEY_NIVSES,$B963&amp;"|"&amp;$C963&amp;"|S2")&gt;0,COUNTIF(D_KEY_DOUBLON,$B963&amp;"|S2|"&amp;$E963)=0),"⚠ Départ non confirmé ?",IF(AND($C963&lt;&gt;"",ISNUMBER($I963),OR(VALUE(LEFT($B963,4))-$I963&lt;4+IFERROR(MATCH($C963,LISTE_NIVEAUX,0),99),VALUE(LEFT($B963,4))-$I963&gt;6+IFERROR(MATCH($C963,LISTE_NIVEAUX,0),99))),"⚠ Vérifier niveau",IF(AND(IFERROR(VLOOKUP($C963,TABLE_CYCLE,2,0),3)=2,COUNT($O963:$Q963)&gt;0),"⚠ Tests cycle 3",IF(COUNT($J963:$Q963)&gt;=IF(IFERROR(VLOOKUP($C963,TABLE_CYCLE,2,0),3)=2,5,8),"Complet","Incomplet"))))))))</f>
        <v/>
      </c>
      <c r="S963" s="24"/>
      <c r="T963" s="67" t="str">
        <f t="shared" si="127"/>
        <v/>
      </c>
      <c r="U963" s="67" t="str">
        <f t="shared" si="128"/>
        <v/>
      </c>
      <c r="V963" s="67" t="str">
        <f t="shared" si="129"/>
        <v/>
      </c>
      <c r="W963" s="67" t="str">
        <f t="shared" si="130"/>
        <v/>
      </c>
      <c r="X963" s="67" t="str">
        <f t="shared" si="131"/>
        <v/>
      </c>
      <c r="Y963" s="24" t="str">
        <f t="shared" si="132"/>
        <v/>
      </c>
      <c r="Z963">
        <f t="shared" si="133"/>
        <v>0</v>
      </c>
      <c r="AA963">
        <f t="shared" si="134"/>
        <v>0</v>
      </c>
    </row>
    <row r="964" spans="2:27" ht="15.75" customHeight="1" x14ac:dyDescent="0.3">
      <c r="B964" s="25"/>
      <c r="C964" s="25"/>
      <c r="D964" s="25"/>
      <c r="E964" s="26" t="str">
        <f t="shared" si="126"/>
        <v/>
      </c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3" t="str">
        <f>IF($F964="","",IF(OR($B964="",$C964="",$D964=""),"⚠ Compléter Année/Niveau/Session",IF(AND($E964&lt;&gt;"",COUNTIF(D_KEY_DOUBLON,$B964&amp;"|"&amp;$D964&amp;"|"&amp;$E964)&gt;1),"⚠ Doublon",IF(AND($E964&lt;&gt;"",COUNTIF(D_KEY_STATUT,$B964&amp;"|"&amp;$E964&amp;"|P")&gt;0,COUNTIF(D_KEY_STATUT,$B964&amp;"|"&amp;$E964&amp;"|A")&gt;0),"⚠ Statut incohérent",IF(AND($D964="S1",$Y964&lt;&gt;"Parti",COUNTIF(ANNEES_VERROU,$B964)&gt;0,COUNTIF(D_KEY_NIVSES,$B964&amp;"|"&amp;$C964&amp;"|S2")&gt;0,COUNTIF(D_KEY_DOUBLON,$B964&amp;"|S2|"&amp;$E964)=0),"⚠ Départ non confirmé ?",IF(AND($C964&lt;&gt;"",ISNUMBER($I964),OR(VALUE(LEFT($B964,4))-$I964&lt;4+IFERROR(MATCH($C964,LISTE_NIVEAUX,0),99),VALUE(LEFT($B964,4))-$I964&gt;6+IFERROR(MATCH($C964,LISTE_NIVEAUX,0),99))),"⚠ Vérifier niveau",IF(AND(IFERROR(VLOOKUP($C964,TABLE_CYCLE,2,0),3)=2,COUNT($O964:$Q964)&gt;0),"⚠ Tests cycle 3",IF(COUNT($J964:$Q964)&gt;=IF(IFERROR(VLOOKUP($C964,TABLE_CYCLE,2,0),3)=2,5,8),"Complet","Incomplet"))))))))</f>
        <v/>
      </c>
      <c r="S964" s="24"/>
      <c r="T964" s="67" t="str">
        <f t="shared" si="127"/>
        <v/>
      </c>
      <c r="U964" s="67" t="str">
        <f t="shared" si="128"/>
        <v/>
      </c>
      <c r="V964" s="67" t="str">
        <f t="shared" si="129"/>
        <v/>
      </c>
      <c r="W964" s="67" t="str">
        <f t="shared" si="130"/>
        <v/>
      </c>
      <c r="X964" s="67" t="str">
        <f t="shared" si="131"/>
        <v/>
      </c>
      <c r="Y964" s="24" t="str">
        <f t="shared" si="132"/>
        <v/>
      </c>
      <c r="Z964">
        <f t="shared" si="133"/>
        <v>0</v>
      </c>
      <c r="AA964">
        <f t="shared" si="134"/>
        <v>0</v>
      </c>
    </row>
    <row r="965" spans="2:27" ht="15.75" customHeight="1" x14ac:dyDescent="0.3">
      <c r="B965" s="21"/>
      <c r="C965" s="21"/>
      <c r="D965" s="21"/>
      <c r="E965" s="22" t="str">
        <f t="shared" si="126"/>
        <v/>
      </c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3" t="str">
        <f>IF($F965="","",IF(OR($B965="",$C965="",$D965=""),"⚠ Compléter Année/Niveau/Session",IF(AND($E965&lt;&gt;"",COUNTIF(D_KEY_DOUBLON,$B965&amp;"|"&amp;$D965&amp;"|"&amp;$E965)&gt;1),"⚠ Doublon",IF(AND($E965&lt;&gt;"",COUNTIF(D_KEY_STATUT,$B965&amp;"|"&amp;$E965&amp;"|P")&gt;0,COUNTIF(D_KEY_STATUT,$B965&amp;"|"&amp;$E965&amp;"|A")&gt;0),"⚠ Statut incohérent",IF(AND($D965="S1",$Y965&lt;&gt;"Parti",COUNTIF(ANNEES_VERROU,$B965)&gt;0,COUNTIF(D_KEY_NIVSES,$B965&amp;"|"&amp;$C965&amp;"|S2")&gt;0,COUNTIF(D_KEY_DOUBLON,$B965&amp;"|S2|"&amp;$E965)=0),"⚠ Départ non confirmé ?",IF(AND($C965&lt;&gt;"",ISNUMBER($I965),OR(VALUE(LEFT($B965,4))-$I965&lt;4+IFERROR(MATCH($C965,LISTE_NIVEAUX,0),99),VALUE(LEFT($B965,4))-$I965&gt;6+IFERROR(MATCH($C965,LISTE_NIVEAUX,0),99))),"⚠ Vérifier niveau",IF(AND(IFERROR(VLOOKUP($C965,TABLE_CYCLE,2,0),3)=2,COUNT($O965:$Q965)&gt;0),"⚠ Tests cycle 3",IF(COUNT($J965:$Q965)&gt;=IF(IFERROR(VLOOKUP($C965,TABLE_CYCLE,2,0),3)=2,5,8),"Complet","Incomplet"))))))))</f>
        <v/>
      </c>
      <c r="S965" s="24"/>
      <c r="T965" s="67" t="str">
        <f t="shared" si="127"/>
        <v/>
      </c>
      <c r="U965" s="67" t="str">
        <f t="shared" si="128"/>
        <v/>
      </c>
      <c r="V965" s="67" t="str">
        <f t="shared" si="129"/>
        <v/>
      </c>
      <c r="W965" s="67" t="str">
        <f t="shared" si="130"/>
        <v/>
      </c>
      <c r="X965" s="67" t="str">
        <f t="shared" si="131"/>
        <v/>
      </c>
      <c r="Y965" s="24" t="str">
        <f t="shared" si="132"/>
        <v/>
      </c>
      <c r="Z965">
        <f t="shared" si="133"/>
        <v>0</v>
      </c>
      <c r="AA965">
        <f t="shared" si="134"/>
        <v>0</v>
      </c>
    </row>
    <row r="966" spans="2:27" ht="15.75" customHeight="1" x14ac:dyDescent="0.3">
      <c r="B966" s="25"/>
      <c r="C966" s="25"/>
      <c r="D966" s="25"/>
      <c r="E966" s="26" t="str">
        <f t="shared" si="126"/>
        <v/>
      </c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3" t="str">
        <f>IF($F966="","",IF(OR($B966="",$C966="",$D966=""),"⚠ Compléter Année/Niveau/Session",IF(AND($E966&lt;&gt;"",COUNTIF(D_KEY_DOUBLON,$B966&amp;"|"&amp;$D966&amp;"|"&amp;$E966)&gt;1),"⚠ Doublon",IF(AND($E966&lt;&gt;"",COUNTIF(D_KEY_STATUT,$B966&amp;"|"&amp;$E966&amp;"|P")&gt;0,COUNTIF(D_KEY_STATUT,$B966&amp;"|"&amp;$E966&amp;"|A")&gt;0),"⚠ Statut incohérent",IF(AND($D966="S1",$Y966&lt;&gt;"Parti",COUNTIF(ANNEES_VERROU,$B966)&gt;0,COUNTIF(D_KEY_NIVSES,$B966&amp;"|"&amp;$C966&amp;"|S2")&gt;0,COUNTIF(D_KEY_DOUBLON,$B966&amp;"|S2|"&amp;$E966)=0),"⚠ Départ non confirmé ?",IF(AND($C966&lt;&gt;"",ISNUMBER($I966),OR(VALUE(LEFT($B966,4))-$I966&lt;4+IFERROR(MATCH($C966,LISTE_NIVEAUX,0),99),VALUE(LEFT($B966,4))-$I966&gt;6+IFERROR(MATCH($C966,LISTE_NIVEAUX,0),99))),"⚠ Vérifier niveau",IF(AND(IFERROR(VLOOKUP($C966,TABLE_CYCLE,2,0),3)=2,COUNT($O966:$Q966)&gt;0),"⚠ Tests cycle 3",IF(COUNT($J966:$Q966)&gt;=IF(IFERROR(VLOOKUP($C966,TABLE_CYCLE,2,0),3)=2,5,8),"Complet","Incomplet"))))))))</f>
        <v/>
      </c>
      <c r="S966" s="24"/>
      <c r="T966" s="67" t="str">
        <f t="shared" si="127"/>
        <v/>
      </c>
      <c r="U966" s="67" t="str">
        <f t="shared" si="128"/>
        <v/>
      </c>
      <c r="V966" s="67" t="str">
        <f t="shared" si="129"/>
        <v/>
      </c>
      <c r="W966" s="67" t="str">
        <f t="shared" si="130"/>
        <v/>
      </c>
      <c r="X966" s="67" t="str">
        <f t="shared" si="131"/>
        <v/>
      </c>
      <c r="Y966" s="24" t="str">
        <f t="shared" si="132"/>
        <v/>
      </c>
      <c r="Z966">
        <f t="shared" si="133"/>
        <v>0</v>
      </c>
      <c r="AA966">
        <f t="shared" si="134"/>
        <v>0</v>
      </c>
    </row>
    <row r="967" spans="2:27" ht="15.75" customHeight="1" x14ac:dyDescent="0.3">
      <c r="B967" s="21"/>
      <c r="C967" s="21"/>
      <c r="D967" s="21"/>
      <c r="E967" s="22" t="str">
        <f t="shared" ref="E967:E1030" si="135">IF(OR($F967="",$G967=""),"",IF(ISNUMBER($I967),TEXT($I967-2000,"00")&amp;"_","__")&amp;UPPER(TRIM($F967))&amp;"_"&amp;UPPER(TRIM($G967)))</f>
        <v/>
      </c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3" t="str">
        <f>IF($F967="","",IF(OR($B967="",$C967="",$D967=""),"⚠ Compléter Année/Niveau/Session",IF(AND($E967&lt;&gt;"",COUNTIF(D_KEY_DOUBLON,$B967&amp;"|"&amp;$D967&amp;"|"&amp;$E967)&gt;1),"⚠ Doublon",IF(AND($E967&lt;&gt;"",COUNTIF(D_KEY_STATUT,$B967&amp;"|"&amp;$E967&amp;"|P")&gt;0,COUNTIF(D_KEY_STATUT,$B967&amp;"|"&amp;$E967&amp;"|A")&gt;0),"⚠ Statut incohérent",IF(AND($D967="S1",$Y967&lt;&gt;"Parti",COUNTIF(ANNEES_VERROU,$B967)&gt;0,COUNTIF(D_KEY_NIVSES,$B967&amp;"|"&amp;$C967&amp;"|S2")&gt;0,COUNTIF(D_KEY_DOUBLON,$B967&amp;"|S2|"&amp;$E967)=0),"⚠ Départ non confirmé ?",IF(AND($C967&lt;&gt;"",ISNUMBER($I967),OR(VALUE(LEFT($B967,4))-$I967&lt;4+IFERROR(MATCH($C967,LISTE_NIVEAUX,0),99),VALUE(LEFT($B967,4))-$I967&gt;6+IFERROR(MATCH($C967,LISTE_NIVEAUX,0),99))),"⚠ Vérifier niveau",IF(AND(IFERROR(VLOOKUP($C967,TABLE_CYCLE,2,0),3)=2,COUNT($O967:$Q967)&gt;0),"⚠ Tests cycle 3",IF(COUNT($J967:$Q967)&gt;=IF(IFERROR(VLOOKUP($C967,TABLE_CYCLE,2,0),3)=2,5,8),"Complet","Incomplet"))))))))</f>
        <v/>
      </c>
      <c r="S967" s="24"/>
      <c r="T967" s="67" t="str">
        <f t="shared" ref="T967:T1030" si="136">IFERROR(INDEX(D_NOM,MATCH(ROW()-6,D_RANG_RECUP,0)),"")</f>
        <v/>
      </c>
      <c r="U967" s="67" t="str">
        <f t="shared" ref="U967:U1030" si="137">IFERROR(INDEX(D_PRENOM,MATCH(ROW()-6,D_RANG_RECUP,0)),"")</f>
        <v/>
      </c>
      <c r="V967" s="67" t="str">
        <f t="shared" ref="V967:V1030" si="138">IFERROR(INDEX(D_SEXE,MATCH(ROW()-6,D_RANG_RECUP,0)),"")</f>
        <v/>
      </c>
      <c r="W967" s="67" t="str">
        <f t="shared" ref="W967:W1030" si="139">IFERROR(INDEX(D_NAISS,MATCH(ROW()-6,D_RANG_RECUP,0)),"")</f>
        <v/>
      </c>
      <c r="X967" s="67" t="str">
        <f t="shared" ref="X967:X1030" si="140">IF($T967="","",IF($X$4="→ Session 2 (même année)",$W$4,IFERROR(INDEX(LISTE_NIVEAUX,MATCH($W$4,LISTE_NIVEAUX,0)+1),"CM2 terminé")))</f>
        <v/>
      </c>
      <c r="Y967" s="24" t="str">
        <f t="shared" ref="Y967:Y1030" si="141">IF($S967="","",$S967)</f>
        <v/>
      </c>
      <c r="Z967">
        <f t="shared" ref="Z967:Z1030" si="142">SUBTOTAL(103,$F967)*($R967="Complet")</f>
        <v>0</v>
      </c>
      <c r="AA967">
        <f t="shared" ref="AA967:AA1030" si="143">IF(OR($F967="",$C967=""),0,IF(COUNTIFS($B$7:$B$1206,$B967,$F$7:$F$1206,$F967,$G$7:$G$1206,$G967,$I$7:$I$1206,$I967,$C$7:$C$1206,"&lt;&gt;"&amp;$C967)&gt;0,1,0))</f>
        <v>0</v>
      </c>
    </row>
    <row r="968" spans="2:27" ht="15.75" customHeight="1" x14ac:dyDescent="0.3">
      <c r="B968" s="25"/>
      <c r="C968" s="25"/>
      <c r="D968" s="25"/>
      <c r="E968" s="26" t="str">
        <f t="shared" si="135"/>
        <v/>
      </c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3" t="str">
        <f>IF($F968="","",IF(OR($B968="",$C968="",$D968=""),"⚠ Compléter Année/Niveau/Session",IF(AND($E968&lt;&gt;"",COUNTIF(D_KEY_DOUBLON,$B968&amp;"|"&amp;$D968&amp;"|"&amp;$E968)&gt;1),"⚠ Doublon",IF(AND($E968&lt;&gt;"",COUNTIF(D_KEY_STATUT,$B968&amp;"|"&amp;$E968&amp;"|P")&gt;0,COUNTIF(D_KEY_STATUT,$B968&amp;"|"&amp;$E968&amp;"|A")&gt;0),"⚠ Statut incohérent",IF(AND($D968="S1",$Y968&lt;&gt;"Parti",COUNTIF(ANNEES_VERROU,$B968)&gt;0,COUNTIF(D_KEY_NIVSES,$B968&amp;"|"&amp;$C968&amp;"|S2")&gt;0,COUNTIF(D_KEY_DOUBLON,$B968&amp;"|S2|"&amp;$E968)=0),"⚠ Départ non confirmé ?",IF(AND($C968&lt;&gt;"",ISNUMBER($I968),OR(VALUE(LEFT($B968,4))-$I968&lt;4+IFERROR(MATCH($C968,LISTE_NIVEAUX,0),99),VALUE(LEFT($B968,4))-$I968&gt;6+IFERROR(MATCH($C968,LISTE_NIVEAUX,0),99))),"⚠ Vérifier niveau",IF(AND(IFERROR(VLOOKUP($C968,TABLE_CYCLE,2,0),3)=2,COUNT($O968:$Q968)&gt;0),"⚠ Tests cycle 3",IF(COUNT($J968:$Q968)&gt;=IF(IFERROR(VLOOKUP($C968,TABLE_CYCLE,2,0),3)=2,5,8),"Complet","Incomplet"))))))))</f>
        <v/>
      </c>
      <c r="S968" s="24"/>
      <c r="T968" s="67" t="str">
        <f t="shared" si="136"/>
        <v/>
      </c>
      <c r="U968" s="67" t="str">
        <f t="shared" si="137"/>
        <v/>
      </c>
      <c r="V968" s="67" t="str">
        <f t="shared" si="138"/>
        <v/>
      </c>
      <c r="W968" s="67" t="str">
        <f t="shared" si="139"/>
        <v/>
      </c>
      <c r="X968" s="67" t="str">
        <f t="shared" si="140"/>
        <v/>
      </c>
      <c r="Y968" s="24" t="str">
        <f t="shared" si="141"/>
        <v/>
      </c>
      <c r="Z968">
        <f t="shared" si="142"/>
        <v>0</v>
      </c>
      <c r="AA968">
        <f t="shared" si="143"/>
        <v>0</v>
      </c>
    </row>
    <row r="969" spans="2:27" ht="15.75" customHeight="1" x14ac:dyDescent="0.3">
      <c r="B969" s="21"/>
      <c r="C969" s="21"/>
      <c r="D969" s="21"/>
      <c r="E969" s="22" t="str">
        <f t="shared" si="135"/>
        <v/>
      </c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3" t="str">
        <f>IF($F969="","",IF(OR($B969="",$C969="",$D969=""),"⚠ Compléter Année/Niveau/Session",IF(AND($E969&lt;&gt;"",COUNTIF(D_KEY_DOUBLON,$B969&amp;"|"&amp;$D969&amp;"|"&amp;$E969)&gt;1),"⚠ Doublon",IF(AND($E969&lt;&gt;"",COUNTIF(D_KEY_STATUT,$B969&amp;"|"&amp;$E969&amp;"|P")&gt;0,COUNTIF(D_KEY_STATUT,$B969&amp;"|"&amp;$E969&amp;"|A")&gt;0),"⚠ Statut incohérent",IF(AND($D969="S1",$Y969&lt;&gt;"Parti",COUNTIF(ANNEES_VERROU,$B969)&gt;0,COUNTIF(D_KEY_NIVSES,$B969&amp;"|"&amp;$C969&amp;"|S2")&gt;0,COUNTIF(D_KEY_DOUBLON,$B969&amp;"|S2|"&amp;$E969)=0),"⚠ Départ non confirmé ?",IF(AND($C969&lt;&gt;"",ISNUMBER($I969),OR(VALUE(LEFT($B969,4))-$I969&lt;4+IFERROR(MATCH($C969,LISTE_NIVEAUX,0),99),VALUE(LEFT($B969,4))-$I969&gt;6+IFERROR(MATCH($C969,LISTE_NIVEAUX,0),99))),"⚠ Vérifier niveau",IF(AND(IFERROR(VLOOKUP($C969,TABLE_CYCLE,2,0),3)=2,COUNT($O969:$Q969)&gt;0),"⚠ Tests cycle 3",IF(COUNT($J969:$Q969)&gt;=IF(IFERROR(VLOOKUP($C969,TABLE_CYCLE,2,0),3)=2,5,8),"Complet","Incomplet"))))))))</f>
        <v/>
      </c>
      <c r="S969" s="24"/>
      <c r="T969" s="67" t="str">
        <f t="shared" si="136"/>
        <v/>
      </c>
      <c r="U969" s="67" t="str">
        <f t="shared" si="137"/>
        <v/>
      </c>
      <c r="V969" s="67" t="str">
        <f t="shared" si="138"/>
        <v/>
      </c>
      <c r="W969" s="67" t="str">
        <f t="shared" si="139"/>
        <v/>
      </c>
      <c r="X969" s="67" t="str">
        <f t="shared" si="140"/>
        <v/>
      </c>
      <c r="Y969" s="24" t="str">
        <f t="shared" si="141"/>
        <v/>
      </c>
      <c r="Z969">
        <f t="shared" si="142"/>
        <v>0</v>
      </c>
      <c r="AA969">
        <f t="shared" si="143"/>
        <v>0</v>
      </c>
    </row>
    <row r="970" spans="2:27" ht="15.75" customHeight="1" x14ac:dyDescent="0.3">
      <c r="B970" s="25"/>
      <c r="C970" s="25"/>
      <c r="D970" s="25"/>
      <c r="E970" s="26" t="str">
        <f t="shared" si="135"/>
        <v/>
      </c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3" t="str">
        <f>IF($F970="","",IF(OR($B970="",$C970="",$D970=""),"⚠ Compléter Année/Niveau/Session",IF(AND($E970&lt;&gt;"",COUNTIF(D_KEY_DOUBLON,$B970&amp;"|"&amp;$D970&amp;"|"&amp;$E970)&gt;1),"⚠ Doublon",IF(AND($E970&lt;&gt;"",COUNTIF(D_KEY_STATUT,$B970&amp;"|"&amp;$E970&amp;"|P")&gt;0,COUNTIF(D_KEY_STATUT,$B970&amp;"|"&amp;$E970&amp;"|A")&gt;0),"⚠ Statut incohérent",IF(AND($D970="S1",$Y970&lt;&gt;"Parti",COUNTIF(ANNEES_VERROU,$B970)&gt;0,COUNTIF(D_KEY_NIVSES,$B970&amp;"|"&amp;$C970&amp;"|S2")&gt;0,COUNTIF(D_KEY_DOUBLON,$B970&amp;"|S2|"&amp;$E970)=0),"⚠ Départ non confirmé ?",IF(AND($C970&lt;&gt;"",ISNUMBER($I970),OR(VALUE(LEFT($B970,4))-$I970&lt;4+IFERROR(MATCH($C970,LISTE_NIVEAUX,0),99),VALUE(LEFT($B970,4))-$I970&gt;6+IFERROR(MATCH($C970,LISTE_NIVEAUX,0),99))),"⚠ Vérifier niveau",IF(AND(IFERROR(VLOOKUP($C970,TABLE_CYCLE,2,0),3)=2,COUNT($O970:$Q970)&gt;0),"⚠ Tests cycle 3",IF(COUNT($J970:$Q970)&gt;=IF(IFERROR(VLOOKUP($C970,TABLE_CYCLE,2,0),3)=2,5,8),"Complet","Incomplet"))))))))</f>
        <v/>
      </c>
      <c r="S970" s="24"/>
      <c r="T970" s="67" t="str">
        <f t="shared" si="136"/>
        <v/>
      </c>
      <c r="U970" s="67" t="str">
        <f t="shared" si="137"/>
        <v/>
      </c>
      <c r="V970" s="67" t="str">
        <f t="shared" si="138"/>
        <v/>
      </c>
      <c r="W970" s="67" t="str">
        <f t="shared" si="139"/>
        <v/>
      </c>
      <c r="X970" s="67" t="str">
        <f t="shared" si="140"/>
        <v/>
      </c>
      <c r="Y970" s="24" t="str">
        <f t="shared" si="141"/>
        <v/>
      </c>
      <c r="Z970">
        <f t="shared" si="142"/>
        <v>0</v>
      </c>
      <c r="AA970">
        <f t="shared" si="143"/>
        <v>0</v>
      </c>
    </row>
    <row r="971" spans="2:27" ht="15.75" customHeight="1" x14ac:dyDescent="0.3">
      <c r="B971" s="21"/>
      <c r="C971" s="21"/>
      <c r="D971" s="21"/>
      <c r="E971" s="22" t="str">
        <f t="shared" si="135"/>
        <v/>
      </c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3" t="str">
        <f>IF($F971="","",IF(OR($B971="",$C971="",$D971=""),"⚠ Compléter Année/Niveau/Session",IF(AND($E971&lt;&gt;"",COUNTIF(D_KEY_DOUBLON,$B971&amp;"|"&amp;$D971&amp;"|"&amp;$E971)&gt;1),"⚠ Doublon",IF(AND($E971&lt;&gt;"",COUNTIF(D_KEY_STATUT,$B971&amp;"|"&amp;$E971&amp;"|P")&gt;0,COUNTIF(D_KEY_STATUT,$B971&amp;"|"&amp;$E971&amp;"|A")&gt;0),"⚠ Statut incohérent",IF(AND($D971="S1",$Y971&lt;&gt;"Parti",COUNTIF(ANNEES_VERROU,$B971)&gt;0,COUNTIF(D_KEY_NIVSES,$B971&amp;"|"&amp;$C971&amp;"|S2")&gt;0,COUNTIF(D_KEY_DOUBLON,$B971&amp;"|S2|"&amp;$E971)=0),"⚠ Départ non confirmé ?",IF(AND($C971&lt;&gt;"",ISNUMBER($I971),OR(VALUE(LEFT($B971,4))-$I971&lt;4+IFERROR(MATCH($C971,LISTE_NIVEAUX,0),99),VALUE(LEFT($B971,4))-$I971&gt;6+IFERROR(MATCH($C971,LISTE_NIVEAUX,0),99))),"⚠ Vérifier niveau",IF(AND(IFERROR(VLOOKUP($C971,TABLE_CYCLE,2,0),3)=2,COUNT($O971:$Q971)&gt;0),"⚠ Tests cycle 3",IF(COUNT($J971:$Q971)&gt;=IF(IFERROR(VLOOKUP($C971,TABLE_CYCLE,2,0),3)=2,5,8),"Complet","Incomplet"))))))))</f>
        <v/>
      </c>
      <c r="S971" s="24"/>
      <c r="T971" s="67" t="str">
        <f t="shared" si="136"/>
        <v/>
      </c>
      <c r="U971" s="67" t="str">
        <f t="shared" si="137"/>
        <v/>
      </c>
      <c r="V971" s="67" t="str">
        <f t="shared" si="138"/>
        <v/>
      </c>
      <c r="W971" s="67" t="str">
        <f t="shared" si="139"/>
        <v/>
      </c>
      <c r="X971" s="67" t="str">
        <f t="shared" si="140"/>
        <v/>
      </c>
      <c r="Y971" s="24" t="str">
        <f t="shared" si="141"/>
        <v/>
      </c>
      <c r="Z971">
        <f t="shared" si="142"/>
        <v>0</v>
      </c>
      <c r="AA971">
        <f t="shared" si="143"/>
        <v>0</v>
      </c>
    </row>
    <row r="972" spans="2:27" ht="15.75" customHeight="1" x14ac:dyDescent="0.3">
      <c r="B972" s="25"/>
      <c r="C972" s="25"/>
      <c r="D972" s="25"/>
      <c r="E972" s="26" t="str">
        <f t="shared" si="135"/>
        <v/>
      </c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3" t="str">
        <f>IF($F972="","",IF(OR($B972="",$C972="",$D972=""),"⚠ Compléter Année/Niveau/Session",IF(AND($E972&lt;&gt;"",COUNTIF(D_KEY_DOUBLON,$B972&amp;"|"&amp;$D972&amp;"|"&amp;$E972)&gt;1),"⚠ Doublon",IF(AND($E972&lt;&gt;"",COUNTIF(D_KEY_STATUT,$B972&amp;"|"&amp;$E972&amp;"|P")&gt;0,COUNTIF(D_KEY_STATUT,$B972&amp;"|"&amp;$E972&amp;"|A")&gt;0),"⚠ Statut incohérent",IF(AND($D972="S1",$Y972&lt;&gt;"Parti",COUNTIF(ANNEES_VERROU,$B972)&gt;0,COUNTIF(D_KEY_NIVSES,$B972&amp;"|"&amp;$C972&amp;"|S2")&gt;0,COUNTIF(D_KEY_DOUBLON,$B972&amp;"|S2|"&amp;$E972)=0),"⚠ Départ non confirmé ?",IF(AND($C972&lt;&gt;"",ISNUMBER($I972),OR(VALUE(LEFT($B972,4))-$I972&lt;4+IFERROR(MATCH($C972,LISTE_NIVEAUX,0),99),VALUE(LEFT($B972,4))-$I972&gt;6+IFERROR(MATCH($C972,LISTE_NIVEAUX,0),99))),"⚠ Vérifier niveau",IF(AND(IFERROR(VLOOKUP($C972,TABLE_CYCLE,2,0),3)=2,COUNT($O972:$Q972)&gt;0),"⚠ Tests cycle 3",IF(COUNT($J972:$Q972)&gt;=IF(IFERROR(VLOOKUP($C972,TABLE_CYCLE,2,0),3)=2,5,8),"Complet","Incomplet"))))))))</f>
        <v/>
      </c>
      <c r="S972" s="24"/>
      <c r="T972" s="67" t="str">
        <f t="shared" si="136"/>
        <v/>
      </c>
      <c r="U972" s="67" t="str">
        <f t="shared" si="137"/>
        <v/>
      </c>
      <c r="V972" s="67" t="str">
        <f t="shared" si="138"/>
        <v/>
      </c>
      <c r="W972" s="67" t="str">
        <f t="shared" si="139"/>
        <v/>
      </c>
      <c r="X972" s="67" t="str">
        <f t="shared" si="140"/>
        <v/>
      </c>
      <c r="Y972" s="24" t="str">
        <f t="shared" si="141"/>
        <v/>
      </c>
      <c r="Z972">
        <f t="shared" si="142"/>
        <v>0</v>
      </c>
      <c r="AA972">
        <f t="shared" si="143"/>
        <v>0</v>
      </c>
    </row>
    <row r="973" spans="2:27" ht="15.75" customHeight="1" x14ac:dyDescent="0.3">
      <c r="B973" s="21"/>
      <c r="C973" s="21"/>
      <c r="D973" s="21"/>
      <c r="E973" s="22" t="str">
        <f t="shared" si="135"/>
        <v/>
      </c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3" t="str">
        <f>IF($F973="","",IF(OR($B973="",$C973="",$D973=""),"⚠ Compléter Année/Niveau/Session",IF(AND($E973&lt;&gt;"",COUNTIF(D_KEY_DOUBLON,$B973&amp;"|"&amp;$D973&amp;"|"&amp;$E973)&gt;1),"⚠ Doublon",IF(AND($E973&lt;&gt;"",COUNTIF(D_KEY_STATUT,$B973&amp;"|"&amp;$E973&amp;"|P")&gt;0,COUNTIF(D_KEY_STATUT,$B973&amp;"|"&amp;$E973&amp;"|A")&gt;0),"⚠ Statut incohérent",IF(AND($D973="S1",$Y973&lt;&gt;"Parti",COUNTIF(ANNEES_VERROU,$B973)&gt;0,COUNTIF(D_KEY_NIVSES,$B973&amp;"|"&amp;$C973&amp;"|S2")&gt;0,COUNTIF(D_KEY_DOUBLON,$B973&amp;"|S2|"&amp;$E973)=0),"⚠ Départ non confirmé ?",IF(AND($C973&lt;&gt;"",ISNUMBER($I973),OR(VALUE(LEFT($B973,4))-$I973&lt;4+IFERROR(MATCH($C973,LISTE_NIVEAUX,0),99),VALUE(LEFT($B973,4))-$I973&gt;6+IFERROR(MATCH($C973,LISTE_NIVEAUX,0),99))),"⚠ Vérifier niveau",IF(AND(IFERROR(VLOOKUP($C973,TABLE_CYCLE,2,0),3)=2,COUNT($O973:$Q973)&gt;0),"⚠ Tests cycle 3",IF(COUNT($J973:$Q973)&gt;=IF(IFERROR(VLOOKUP($C973,TABLE_CYCLE,2,0),3)=2,5,8),"Complet","Incomplet"))))))))</f>
        <v/>
      </c>
      <c r="S973" s="24"/>
      <c r="T973" s="67" t="str">
        <f t="shared" si="136"/>
        <v/>
      </c>
      <c r="U973" s="67" t="str">
        <f t="shared" si="137"/>
        <v/>
      </c>
      <c r="V973" s="67" t="str">
        <f t="shared" si="138"/>
        <v/>
      </c>
      <c r="W973" s="67" t="str">
        <f t="shared" si="139"/>
        <v/>
      </c>
      <c r="X973" s="67" t="str">
        <f t="shared" si="140"/>
        <v/>
      </c>
      <c r="Y973" s="24" t="str">
        <f t="shared" si="141"/>
        <v/>
      </c>
      <c r="Z973">
        <f t="shared" si="142"/>
        <v>0</v>
      </c>
      <c r="AA973">
        <f t="shared" si="143"/>
        <v>0</v>
      </c>
    </row>
    <row r="974" spans="2:27" ht="15.75" customHeight="1" x14ac:dyDescent="0.3">
      <c r="B974" s="25"/>
      <c r="C974" s="25"/>
      <c r="D974" s="25"/>
      <c r="E974" s="26" t="str">
        <f t="shared" si="135"/>
        <v/>
      </c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3" t="str">
        <f>IF($F974="","",IF(OR($B974="",$C974="",$D974=""),"⚠ Compléter Année/Niveau/Session",IF(AND($E974&lt;&gt;"",COUNTIF(D_KEY_DOUBLON,$B974&amp;"|"&amp;$D974&amp;"|"&amp;$E974)&gt;1),"⚠ Doublon",IF(AND($E974&lt;&gt;"",COUNTIF(D_KEY_STATUT,$B974&amp;"|"&amp;$E974&amp;"|P")&gt;0,COUNTIF(D_KEY_STATUT,$B974&amp;"|"&amp;$E974&amp;"|A")&gt;0),"⚠ Statut incohérent",IF(AND($D974="S1",$Y974&lt;&gt;"Parti",COUNTIF(ANNEES_VERROU,$B974)&gt;0,COUNTIF(D_KEY_NIVSES,$B974&amp;"|"&amp;$C974&amp;"|S2")&gt;0,COUNTIF(D_KEY_DOUBLON,$B974&amp;"|S2|"&amp;$E974)=0),"⚠ Départ non confirmé ?",IF(AND($C974&lt;&gt;"",ISNUMBER($I974),OR(VALUE(LEFT($B974,4))-$I974&lt;4+IFERROR(MATCH($C974,LISTE_NIVEAUX,0),99),VALUE(LEFT($B974,4))-$I974&gt;6+IFERROR(MATCH($C974,LISTE_NIVEAUX,0),99))),"⚠ Vérifier niveau",IF(AND(IFERROR(VLOOKUP($C974,TABLE_CYCLE,2,0),3)=2,COUNT($O974:$Q974)&gt;0),"⚠ Tests cycle 3",IF(COUNT($J974:$Q974)&gt;=IF(IFERROR(VLOOKUP($C974,TABLE_CYCLE,2,0),3)=2,5,8),"Complet","Incomplet"))))))))</f>
        <v/>
      </c>
      <c r="S974" s="24"/>
      <c r="T974" s="67" t="str">
        <f t="shared" si="136"/>
        <v/>
      </c>
      <c r="U974" s="67" t="str">
        <f t="shared" si="137"/>
        <v/>
      </c>
      <c r="V974" s="67" t="str">
        <f t="shared" si="138"/>
        <v/>
      </c>
      <c r="W974" s="67" t="str">
        <f t="shared" si="139"/>
        <v/>
      </c>
      <c r="X974" s="67" t="str">
        <f t="shared" si="140"/>
        <v/>
      </c>
      <c r="Y974" s="24" t="str">
        <f t="shared" si="141"/>
        <v/>
      </c>
      <c r="Z974">
        <f t="shared" si="142"/>
        <v>0</v>
      </c>
      <c r="AA974">
        <f t="shared" si="143"/>
        <v>0</v>
      </c>
    </row>
    <row r="975" spans="2:27" ht="15.75" customHeight="1" x14ac:dyDescent="0.3">
      <c r="B975" s="21"/>
      <c r="C975" s="21"/>
      <c r="D975" s="21"/>
      <c r="E975" s="22" t="str">
        <f t="shared" si="135"/>
        <v/>
      </c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3" t="str">
        <f>IF($F975="","",IF(OR($B975="",$C975="",$D975=""),"⚠ Compléter Année/Niveau/Session",IF(AND($E975&lt;&gt;"",COUNTIF(D_KEY_DOUBLON,$B975&amp;"|"&amp;$D975&amp;"|"&amp;$E975)&gt;1),"⚠ Doublon",IF(AND($E975&lt;&gt;"",COUNTIF(D_KEY_STATUT,$B975&amp;"|"&amp;$E975&amp;"|P")&gt;0,COUNTIF(D_KEY_STATUT,$B975&amp;"|"&amp;$E975&amp;"|A")&gt;0),"⚠ Statut incohérent",IF(AND($D975="S1",$Y975&lt;&gt;"Parti",COUNTIF(ANNEES_VERROU,$B975)&gt;0,COUNTIF(D_KEY_NIVSES,$B975&amp;"|"&amp;$C975&amp;"|S2")&gt;0,COUNTIF(D_KEY_DOUBLON,$B975&amp;"|S2|"&amp;$E975)=0),"⚠ Départ non confirmé ?",IF(AND($C975&lt;&gt;"",ISNUMBER($I975),OR(VALUE(LEFT($B975,4))-$I975&lt;4+IFERROR(MATCH($C975,LISTE_NIVEAUX,0),99),VALUE(LEFT($B975,4))-$I975&gt;6+IFERROR(MATCH($C975,LISTE_NIVEAUX,0),99))),"⚠ Vérifier niveau",IF(AND(IFERROR(VLOOKUP($C975,TABLE_CYCLE,2,0),3)=2,COUNT($O975:$Q975)&gt;0),"⚠ Tests cycle 3",IF(COUNT($J975:$Q975)&gt;=IF(IFERROR(VLOOKUP($C975,TABLE_CYCLE,2,0),3)=2,5,8),"Complet","Incomplet"))))))))</f>
        <v/>
      </c>
      <c r="S975" s="24"/>
      <c r="T975" s="67" t="str">
        <f t="shared" si="136"/>
        <v/>
      </c>
      <c r="U975" s="67" t="str">
        <f t="shared" si="137"/>
        <v/>
      </c>
      <c r="V975" s="67" t="str">
        <f t="shared" si="138"/>
        <v/>
      </c>
      <c r="W975" s="67" t="str">
        <f t="shared" si="139"/>
        <v/>
      </c>
      <c r="X975" s="67" t="str">
        <f t="shared" si="140"/>
        <v/>
      </c>
      <c r="Y975" s="24" t="str">
        <f t="shared" si="141"/>
        <v/>
      </c>
      <c r="Z975">
        <f t="shared" si="142"/>
        <v>0</v>
      </c>
      <c r="AA975">
        <f t="shared" si="143"/>
        <v>0</v>
      </c>
    </row>
    <row r="976" spans="2:27" ht="15.75" customHeight="1" x14ac:dyDescent="0.3">
      <c r="B976" s="25"/>
      <c r="C976" s="25"/>
      <c r="D976" s="25"/>
      <c r="E976" s="26" t="str">
        <f t="shared" si="135"/>
        <v/>
      </c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3" t="str">
        <f>IF($F976="","",IF(OR($B976="",$C976="",$D976=""),"⚠ Compléter Année/Niveau/Session",IF(AND($E976&lt;&gt;"",COUNTIF(D_KEY_DOUBLON,$B976&amp;"|"&amp;$D976&amp;"|"&amp;$E976)&gt;1),"⚠ Doublon",IF(AND($E976&lt;&gt;"",COUNTIF(D_KEY_STATUT,$B976&amp;"|"&amp;$E976&amp;"|P")&gt;0,COUNTIF(D_KEY_STATUT,$B976&amp;"|"&amp;$E976&amp;"|A")&gt;0),"⚠ Statut incohérent",IF(AND($D976="S1",$Y976&lt;&gt;"Parti",COUNTIF(ANNEES_VERROU,$B976)&gt;0,COUNTIF(D_KEY_NIVSES,$B976&amp;"|"&amp;$C976&amp;"|S2")&gt;0,COUNTIF(D_KEY_DOUBLON,$B976&amp;"|S2|"&amp;$E976)=0),"⚠ Départ non confirmé ?",IF(AND($C976&lt;&gt;"",ISNUMBER($I976),OR(VALUE(LEFT($B976,4))-$I976&lt;4+IFERROR(MATCH($C976,LISTE_NIVEAUX,0),99),VALUE(LEFT($B976,4))-$I976&gt;6+IFERROR(MATCH($C976,LISTE_NIVEAUX,0),99))),"⚠ Vérifier niveau",IF(AND(IFERROR(VLOOKUP($C976,TABLE_CYCLE,2,0),3)=2,COUNT($O976:$Q976)&gt;0),"⚠ Tests cycle 3",IF(COUNT($J976:$Q976)&gt;=IF(IFERROR(VLOOKUP($C976,TABLE_CYCLE,2,0),3)=2,5,8),"Complet","Incomplet"))))))))</f>
        <v/>
      </c>
      <c r="S976" s="24"/>
      <c r="T976" s="67" t="str">
        <f t="shared" si="136"/>
        <v/>
      </c>
      <c r="U976" s="67" t="str">
        <f t="shared" si="137"/>
        <v/>
      </c>
      <c r="V976" s="67" t="str">
        <f t="shared" si="138"/>
        <v/>
      </c>
      <c r="W976" s="67" t="str">
        <f t="shared" si="139"/>
        <v/>
      </c>
      <c r="X976" s="67" t="str">
        <f t="shared" si="140"/>
        <v/>
      </c>
      <c r="Y976" s="24" t="str">
        <f t="shared" si="141"/>
        <v/>
      </c>
      <c r="Z976">
        <f t="shared" si="142"/>
        <v>0</v>
      </c>
      <c r="AA976">
        <f t="shared" si="143"/>
        <v>0</v>
      </c>
    </row>
    <row r="977" spans="2:27" ht="15.75" customHeight="1" x14ac:dyDescent="0.3">
      <c r="B977" s="21"/>
      <c r="C977" s="21"/>
      <c r="D977" s="21"/>
      <c r="E977" s="22" t="str">
        <f t="shared" si="135"/>
        <v/>
      </c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3" t="str">
        <f>IF($F977="","",IF(OR($B977="",$C977="",$D977=""),"⚠ Compléter Année/Niveau/Session",IF(AND($E977&lt;&gt;"",COUNTIF(D_KEY_DOUBLON,$B977&amp;"|"&amp;$D977&amp;"|"&amp;$E977)&gt;1),"⚠ Doublon",IF(AND($E977&lt;&gt;"",COUNTIF(D_KEY_STATUT,$B977&amp;"|"&amp;$E977&amp;"|P")&gt;0,COUNTIF(D_KEY_STATUT,$B977&amp;"|"&amp;$E977&amp;"|A")&gt;0),"⚠ Statut incohérent",IF(AND($D977="S1",$Y977&lt;&gt;"Parti",COUNTIF(ANNEES_VERROU,$B977)&gt;0,COUNTIF(D_KEY_NIVSES,$B977&amp;"|"&amp;$C977&amp;"|S2")&gt;0,COUNTIF(D_KEY_DOUBLON,$B977&amp;"|S2|"&amp;$E977)=0),"⚠ Départ non confirmé ?",IF(AND($C977&lt;&gt;"",ISNUMBER($I977),OR(VALUE(LEFT($B977,4))-$I977&lt;4+IFERROR(MATCH($C977,LISTE_NIVEAUX,0),99),VALUE(LEFT($B977,4))-$I977&gt;6+IFERROR(MATCH($C977,LISTE_NIVEAUX,0),99))),"⚠ Vérifier niveau",IF(AND(IFERROR(VLOOKUP($C977,TABLE_CYCLE,2,0),3)=2,COUNT($O977:$Q977)&gt;0),"⚠ Tests cycle 3",IF(COUNT($J977:$Q977)&gt;=IF(IFERROR(VLOOKUP($C977,TABLE_CYCLE,2,0),3)=2,5,8),"Complet","Incomplet"))))))))</f>
        <v/>
      </c>
      <c r="S977" s="24"/>
      <c r="T977" s="67" t="str">
        <f t="shared" si="136"/>
        <v/>
      </c>
      <c r="U977" s="67" t="str">
        <f t="shared" si="137"/>
        <v/>
      </c>
      <c r="V977" s="67" t="str">
        <f t="shared" si="138"/>
        <v/>
      </c>
      <c r="W977" s="67" t="str">
        <f t="shared" si="139"/>
        <v/>
      </c>
      <c r="X977" s="67" t="str">
        <f t="shared" si="140"/>
        <v/>
      </c>
      <c r="Y977" s="24" t="str">
        <f t="shared" si="141"/>
        <v/>
      </c>
      <c r="Z977">
        <f t="shared" si="142"/>
        <v>0</v>
      </c>
      <c r="AA977">
        <f t="shared" si="143"/>
        <v>0</v>
      </c>
    </row>
    <row r="978" spans="2:27" ht="15.75" customHeight="1" x14ac:dyDescent="0.3">
      <c r="B978" s="25"/>
      <c r="C978" s="25"/>
      <c r="D978" s="25"/>
      <c r="E978" s="26" t="str">
        <f t="shared" si="135"/>
        <v/>
      </c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3" t="str">
        <f>IF($F978="","",IF(OR($B978="",$C978="",$D978=""),"⚠ Compléter Année/Niveau/Session",IF(AND($E978&lt;&gt;"",COUNTIF(D_KEY_DOUBLON,$B978&amp;"|"&amp;$D978&amp;"|"&amp;$E978)&gt;1),"⚠ Doublon",IF(AND($E978&lt;&gt;"",COUNTIF(D_KEY_STATUT,$B978&amp;"|"&amp;$E978&amp;"|P")&gt;0,COUNTIF(D_KEY_STATUT,$B978&amp;"|"&amp;$E978&amp;"|A")&gt;0),"⚠ Statut incohérent",IF(AND($D978="S1",$Y978&lt;&gt;"Parti",COUNTIF(ANNEES_VERROU,$B978)&gt;0,COUNTIF(D_KEY_NIVSES,$B978&amp;"|"&amp;$C978&amp;"|S2")&gt;0,COUNTIF(D_KEY_DOUBLON,$B978&amp;"|S2|"&amp;$E978)=0),"⚠ Départ non confirmé ?",IF(AND($C978&lt;&gt;"",ISNUMBER($I978),OR(VALUE(LEFT($B978,4))-$I978&lt;4+IFERROR(MATCH($C978,LISTE_NIVEAUX,0),99),VALUE(LEFT($B978,4))-$I978&gt;6+IFERROR(MATCH($C978,LISTE_NIVEAUX,0),99))),"⚠ Vérifier niveau",IF(AND(IFERROR(VLOOKUP($C978,TABLE_CYCLE,2,0),3)=2,COUNT($O978:$Q978)&gt;0),"⚠ Tests cycle 3",IF(COUNT($J978:$Q978)&gt;=IF(IFERROR(VLOOKUP($C978,TABLE_CYCLE,2,0),3)=2,5,8),"Complet","Incomplet"))))))))</f>
        <v/>
      </c>
      <c r="S978" s="24"/>
      <c r="T978" s="67" t="str">
        <f t="shared" si="136"/>
        <v/>
      </c>
      <c r="U978" s="67" t="str">
        <f t="shared" si="137"/>
        <v/>
      </c>
      <c r="V978" s="67" t="str">
        <f t="shared" si="138"/>
        <v/>
      </c>
      <c r="W978" s="67" t="str">
        <f t="shared" si="139"/>
        <v/>
      </c>
      <c r="X978" s="67" t="str">
        <f t="shared" si="140"/>
        <v/>
      </c>
      <c r="Y978" s="24" t="str">
        <f t="shared" si="141"/>
        <v/>
      </c>
      <c r="Z978">
        <f t="shared" si="142"/>
        <v>0</v>
      </c>
      <c r="AA978">
        <f t="shared" si="143"/>
        <v>0</v>
      </c>
    </row>
    <row r="979" spans="2:27" ht="15.75" customHeight="1" x14ac:dyDescent="0.3">
      <c r="B979" s="21"/>
      <c r="C979" s="21"/>
      <c r="D979" s="21"/>
      <c r="E979" s="22" t="str">
        <f t="shared" si="135"/>
        <v/>
      </c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3" t="str">
        <f>IF($F979="","",IF(OR($B979="",$C979="",$D979=""),"⚠ Compléter Année/Niveau/Session",IF(AND($E979&lt;&gt;"",COUNTIF(D_KEY_DOUBLON,$B979&amp;"|"&amp;$D979&amp;"|"&amp;$E979)&gt;1),"⚠ Doublon",IF(AND($E979&lt;&gt;"",COUNTIF(D_KEY_STATUT,$B979&amp;"|"&amp;$E979&amp;"|P")&gt;0,COUNTIF(D_KEY_STATUT,$B979&amp;"|"&amp;$E979&amp;"|A")&gt;0),"⚠ Statut incohérent",IF(AND($D979="S1",$Y979&lt;&gt;"Parti",COUNTIF(ANNEES_VERROU,$B979)&gt;0,COUNTIF(D_KEY_NIVSES,$B979&amp;"|"&amp;$C979&amp;"|S2")&gt;0,COUNTIF(D_KEY_DOUBLON,$B979&amp;"|S2|"&amp;$E979)=0),"⚠ Départ non confirmé ?",IF(AND($C979&lt;&gt;"",ISNUMBER($I979),OR(VALUE(LEFT($B979,4))-$I979&lt;4+IFERROR(MATCH($C979,LISTE_NIVEAUX,0),99),VALUE(LEFT($B979,4))-$I979&gt;6+IFERROR(MATCH($C979,LISTE_NIVEAUX,0),99))),"⚠ Vérifier niveau",IF(AND(IFERROR(VLOOKUP($C979,TABLE_CYCLE,2,0),3)=2,COUNT($O979:$Q979)&gt;0),"⚠ Tests cycle 3",IF(COUNT($J979:$Q979)&gt;=IF(IFERROR(VLOOKUP($C979,TABLE_CYCLE,2,0),3)=2,5,8),"Complet","Incomplet"))))))))</f>
        <v/>
      </c>
      <c r="S979" s="24"/>
      <c r="T979" s="67" t="str">
        <f t="shared" si="136"/>
        <v/>
      </c>
      <c r="U979" s="67" t="str">
        <f t="shared" si="137"/>
        <v/>
      </c>
      <c r="V979" s="67" t="str">
        <f t="shared" si="138"/>
        <v/>
      </c>
      <c r="W979" s="67" t="str">
        <f t="shared" si="139"/>
        <v/>
      </c>
      <c r="X979" s="67" t="str">
        <f t="shared" si="140"/>
        <v/>
      </c>
      <c r="Y979" s="24" t="str">
        <f t="shared" si="141"/>
        <v/>
      </c>
      <c r="Z979">
        <f t="shared" si="142"/>
        <v>0</v>
      </c>
      <c r="AA979">
        <f t="shared" si="143"/>
        <v>0</v>
      </c>
    </row>
    <row r="980" spans="2:27" ht="15.75" customHeight="1" x14ac:dyDescent="0.3">
      <c r="B980" s="25"/>
      <c r="C980" s="25"/>
      <c r="D980" s="25"/>
      <c r="E980" s="26" t="str">
        <f t="shared" si="135"/>
        <v/>
      </c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3" t="str">
        <f>IF($F980="","",IF(OR($B980="",$C980="",$D980=""),"⚠ Compléter Année/Niveau/Session",IF(AND($E980&lt;&gt;"",COUNTIF(D_KEY_DOUBLON,$B980&amp;"|"&amp;$D980&amp;"|"&amp;$E980)&gt;1),"⚠ Doublon",IF(AND($E980&lt;&gt;"",COUNTIF(D_KEY_STATUT,$B980&amp;"|"&amp;$E980&amp;"|P")&gt;0,COUNTIF(D_KEY_STATUT,$B980&amp;"|"&amp;$E980&amp;"|A")&gt;0),"⚠ Statut incohérent",IF(AND($D980="S1",$Y980&lt;&gt;"Parti",COUNTIF(ANNEES_VERROU,$B980)&gt;0,COUNTIF(D_KEY_NIVSES,$B980&amp;"|"&amp;$C980&amp;"|S2")&gt;0,COUNTIF(D_KEY_DOUBLON,$B980&amp;"|S2|"&amp;$E980)=0),"⚠ Départ non confirmé ?",IF(AND($C980&lt;&gt;"",ISNUMBER($I980),OR(VALUE(LEFT($B980,4))-$I980&lt;4+IFERROR(MATCH($C980,LISTE_NIVEAUX,0),99),VALUE(LEFT($B980,4))-$I980&gt;6+IFERROR(MATCH($C980,LISTE_NIVEAUX,0),99))),"⚠ Vérifier niveau",IF(AND(IFERROR(VLOOKUP($C980,TABLE_CYCLE,2,0),3)=2,COUNT($O980:$Q980)&gt;0),"⚠ Tests cycle 3",IF(COUNT($J980:$Q980)&gt;=IF(IFERROR(VLOOKUP($C980,TABLE_CYCLE,2,0),3)=2,5,8),"Complet","Incomplet"))))))))</f>
        <v/>
      </c>
      <c r="S980" s="24"/>
      <c r="T980" s="67" t="str">
        <f t="shared" si="136"/>
        <v/>
      </c>
      <c r="U980" s="67" t="str">
        <f t="shared" si="137"/>
        <v/>
      </c>
      <c r="V980" s="67" t="str">
        <f t="shared" si="138"/>
        <v/>
      </c>
      <c r="W980" s="67" t="str">
        <f t="shared" si="139"/>
        <v/>
      </c>
      <c r="X980" s="67" t="str">
        <f t="shared" si="140"/>
        <v/>
      </c>
      <c r="Y980" s="24" t="str">
        <f t="shared" si="141"/>
        <v/>
      </c>
      <c r="Z980">
        <f t="shared" si="142"/>
        <v>0</v>
      </c>
      <c r="AA980">
        <f t="shared" si="143"/>
        <v>0</v>
      </c>
    </row>
    <row r="981" spans="2:27" ht="15.75" customHeight="1" x14ac:dyDescent="0.3">
      <c r="B981" s="21"/>
      <c r="C981" s="21"/>
      <c r="D981" s="21"/>
      <c r="E981" s="22" t="str">
        <f t="shared" si="135"/>
        <v/>
      </c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3" t="str">
        <f>IF($F981="","",IF(OR($B981="",$C981="",$D981=""),"⚠ Compléter Année/Niveau/Session",IF(AND($E981&lt;&gt;"",COUNTIF(D_KEY_DOUBLON,$B981&amp;"|"&amp;$D981&amp;"|"&amp;$E981)&gt;1),"⚠ Doublon",IF(AND($E981&lt;&gt;"",COUNTIF(D_KEY_STATUT,$B981&amp;"|"&amp;$E981&amp;"|P")&gt;0,COUNTIF(D_KEY_STATUT,$B981&amp;"|"&amp;$E981&amp;"|A")&gt;0),"⚠ Statut incohérent",IF(AND($D981="S1",$Y981&lt;&gt;"Parti",COUNTIF(ANNEES_VERROU,$B981)&gt;0,COUNTIF(D_KEY_NIVSES,$B981&amp;"|"&amp;$C981&amp;"|S2")&gt;0,COUNTIF(D_KEY_DOUBLON,$B981&amp;"|S2|"&amp;$E981)=0),"⚠ Départ non confirmé ?",IF(AND($C981&lt;&gt;"",ISNUMBER($I981),OR(VALUE(LEFT($B981,4))-$I981&lt;4+IFERROR(MATCH($C981,LISTE_NIVEAUX,0),99),VALUE(LEFT($B981,4))-$I981&gt;6+IFERROR(MATCH($C981,LISTE_NIVEAUX,0),99))),"⚠ Vérifier niveau",IF(AND(IFERROR(VLOOKUP($C981,TABLE_CYCLE,2,0),3)=2,COUNT($O981:$Q981)&gt;0),"⚠ Tests cycle 3",IF(COUNT($J981:$Q981)&gt;=IF(IFERROR(VLOOKUP($C981,TABLE_CYCLE,2,0),3)=2,5,8),"Complet","Incomplet"))))))))</f>
        <v/>
      </c>
      <c r="S981" s="24"/>
      <c r="T981" s="67" t="str">
        <f t="shared" si="136"/>
        <v/>
      </c>
      <c r="U981" s="67" t="str">
        <f t="shared" si="137"/>
        <v/>
      </c>
      <c r="V981" s="67" t="str">
        <f t="shared" si="138"/>
        <v/>
      </c>
      <c r="W981" s="67" t="str">
        <f t="shared" si="139"/>
        <v/>
      </c>
      <c r="X981" s="67" t="str">
        <f t="shared" si="140"/>
        <v/>
      </c>
      <c r="Y981" s="24" t="str">
        <f t="shared" si="141"/>
        <v/>
      </c>
      <c r="Z981">
        <f t="shared" si="142"/>
        <v>0</v>
      </c>
      <c r="AA981">
        <f t="shared" si="143"/>
        <v>0</v>
      </c>
    </row>
    <row r="982" spans="2:27" ht="15.75" customHeight="1" x14ac:dyDescent="0.3">
      <c r="B982" s="25"/>
      <c r="C982" s="25"/>
      <c r="D982" s="25"/>
      <c r="E982" s="26" t="str">
        <f t="shared" si="135"/>
        <v/>
      </c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3" t="str">
        <f>IF($F982="","",IF(OR($B982="",$C982="",$D982=""),"⚠ Compléter Année/Niveau/Session",IF(AND($E982&lt;&gt;"",COUNTIF(D_KEY_DOUBLON,$B982&amp;"|"&amp;$D982&amp;"|"&amp;$E982)&gt;1),"⚠ Doublon",IF(AND($E982&lt;&gt;"",COUNTIF(D_KEY_STATUT,$B982&amp;"|"&amp;$E982&amp;"|P")&gt;0,COUNTIF(D_KEY_STATUT,$B982&amp;"|"&amp;$E982&amp;"|A")&gt;0),"⚠ Statut incohérent",IF(AND($D982="S1",$Y982&lt;&gt;"Parti",COUNTIF(ANNEES_VERROU,$B982)&gt;0,COUNTIF(D_KEY_NIVSES,$B982&amp;"|"&amp;$C982&amp;"|S2")&gt;0,COUNTIF(D_KEY_DOUBLON,$B982&amp;"|S2|"&amp;$E982)=0),"⚠ Départ non confirmé ?",IF(AND($C982&lt;&gt;"",ISNUMBER($I982),OR(VALUE(LEFT($B982,4))-$I982&lt;4+IFERROR(MATCH($C982,LISTE_NIVEAUX,0),99),VALUE(LEFT($B982,4))-$I982&gt;6+IFERROR(MATCH($C982,LISTE_NIVEAUX,0),99))),"⚠ Vérifier niveau",IF(AND(IFERROR(VLOOKUP($C982,TABLE_CYCLE,2,0),3)=2,COUNT($O982:$Q982)&gt;0),"⚠ Tests cycle 3",IF(COUNT($J982:$Q982)&gt;=IF(IFERROR(VLOOKUP($C982,TABLE_CYCLE,2,0),3)=2,5,8),"Complet","Incomplet"))))))))</f>
        <v/>
      </c>
      <c r="S982" s="24"/>
      <c r="T982" s="67" t="str">
        <f t="shared" si="136"/>
        <v/>
      </c>
      <c r="U982" s="67" t="str">
        <f t="shared" si="137"/>
        <v/>
      </c>
      <c r="V982" s="67" t="str">
        <f t="shared" si="138"/>
        <v/>
      </c>
      <c r="W982" s="67" t="str">
        <f t="shared" si="139"/>
        <v/>
      </c>
      <c r="X982" s="67" t="str">
        <f t="shared" si="140"/>
        <v/>
      </c>
      <c r="Y982" s="24" t="str">
        <f t="shared" si="141"/>
        <v/>
      </c>
      <c r="Z982">
        <f t="shared" si="142"/>
        <v>0</v>
      </c>
      <c r="AA982">
        <f t="shared" si="143"/>
        <v>0</v>
      </c>
    </row>
    <row r="983" spans="2:27" ht="15.75" customHeight="1" x14ac:dyDescent="0.3">
      <c r="B983" s="21"/>
      <c r="C983" s="21"/>
      <c r="D983" s="21"/>
      <c r="E983" s="22" t="str">
        <f t="shared" si="135"/>
        <v/>
      </c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3" t="str">
        <f>IF($F983="","",IF(OR($B983="",$C983="",$D983=""),"⚠ Compléter Année/Niveau/Session",IF(AND($E983&lt;&gt;"",COUNTIF(D_KEY_DOUBLON,$B983&amp;"|"&amp;$D983&amp;"|"&amp;$E983)&gt;1),"⚠ Doublon",IF(AND($E983&lt;&gt;"",COUNTIF(D_KEY_STATUT,$B983&amp;"|"&amp;$E983&amp;"|P")&gt;0,COUNTIF(D_KEY_STATUT,$B983&amp;"|"&amp;$E983&amp;"|A")&gt;0),"⚠ Statut incohérent",IF(AND($D983="S1",$Y983&lt;&gt;"Parti",COUNTIF(ANNEES_VERROU,$B983)&gt;0,COUNTIF(D_KEY_NIVSES,$B983&amp;"|"&amp;$C983&amp;"|S2")&gt;0,COUNTIF(D_KEY_DOUBLON,$B983&amp;"|S2|"&amp;$E983)=0),"⚠ Départ non confirmé ?",IF(AND($C983&lt;&gt;"",ISNUMBER($I983),OR(VALUE(LEFT($B983,4))-$I983&lt;4+IFERROR(MATCH($C983,LISTE_NIVEAUX,0),99),VALUE(LEFT($B983,4))-$I983&gt;6+IFERROR(MATCH($C983,LISTE_NIVEAUX,0),99))),"⚠ Vérifier niveau",IF(AND(IFERROR(VLOOKUP($C983,TABLE_CYCLE,2,0),3)=2,COUNT($O983:$Q983)&gt;0),"⚠ Tests cycle 3",IF(COUNT($J983:$Q983)&gt;=IF(IFERROR(VLOOKUP($C983,TABLE_CYCLE,2,0),3)=2,5,8),"Complet","Incomplet"))))))))</f>
        <v/>
      </c>
      <c r="S983" s="24"/>
      <c r="T983" s="67" t="str">
        <f t="shared" si="136"/>
        <v/>
      </c>
      <c r="U983" s="67" t="str">
        <f t="shared" si="137"/>
        <v/>
      </c>
      <c r="V983" s="67" t="str">
        <f t="shared" si="138"/>
        <v/>
      </c>
      <c r="W983" s="67" t="str">
        <f t="shared" si="139"/>
        <v/>
      </c>
      <c r="X983" s="67" t="str">
        <f t="shared" si="140"/>
        <v/>
      </c>
      <c r="Y983" s="24" t="str">
        <f t="shared" si="141"/>
        <v/>
      </c>
      <c r="Z983">
        <f t="shared" si="142"/>
        <v>0</v>
      </c>
      <c r="AA983">
        <f t="shared" si="143"/>
        <v>0</v>
      </c>
    </row>
    <row r="984" spans="2:27" ht="15.75" customHeight="1" x14ac:dyDescent="0.3">
      <c r="B984" s="25"/>
      <c r="C984" s="25"/>
      <c r="D984" s="25"/>
      <c r="E984" s="26" t="str">
        <f t="shared" si="135"/>
        <v/>
      </c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3" t="str">
        <f>IF($F984="","",IF(OR($B984="",$C984="",$D984=""),"⚠ Compléter Année/Niveau/Session",IF(AND($E984&lt;&gt;"",COUNTIF(D_KEY_DOUBLON,$B984&amp;"|"&amp;$D984&amp;"|"&amp;$E984)&gt;1),"⚠ Doublon",IF(AND($E984&lt;&gt;"",COUNTIF(D_KEY_STATUT,$B984&amp;"|"&amp;$E984&amp;"|P")&gt;0,COUNTIF(D_KEY_STATUT,$B984&amp;"|"&amp;$E984&amp;"|A")&gt;0),"⚠ Statut incohérent",IF(AND($D984="S1",$Y984&lt;&gt;"Parti",COUNTIF(ANNEES_VERROU,$B984)&gt;0,COUNTIF(D_KEY_NIVSES,$B984&amp;"|"&amp;$C984&amp;"|S2")&gt;0,COUNTIF(D_KEY_DOUBLON,$B984&amp;"|S2|"&amp;$E984)=0),"⚠ Départ non confirmé ?",IF(AND($C984&lt;&gt;"",ISNUMBER($I984),OR(VALUE(LEFT($B984,4))-$I984&lt;4+IFERROR(MATCH($C984,LISTE_NIVEAUX,0),99),VALUE(LEFT($B984,4))-$I984&gt;6+IFERROR(MATCH($C984,LISTE_NIVEAUX,0),99))),"⚠ Vérifier niveau",IF(AND(IFERROR(VLOOKUP($C984,TABLE_CYCLE,2,0),3)=2,COUNT($O984:$Q984)&gt;0),"⚠ Tests cycle 3",IF(COUNT($J984:$Q984)&gt;=IF(IFERROR(VLOOKUP($C984,TABLE_CYCLE,2,0),3)=2,5,8),"Complet","Incomplet"))))))))</f>
        <v/>
      </c>
      <c r="S984" s="24"/>
      <c r="T984" s="67" t="str">
        <f t="shared" si="136"/>
        <v/>
      </c>
      <c r="U984" s="67" t="str">
        <f t="shared" si="137"/>
        <v/>
      </c>
      <c r="V984" s="67" t="str">
        <f t="shared" si="138"/>
        <v/>
      </c>
      <c r="W984" s="67" t="str">
        <f t="shared" si="139"/>
        <v/>
      </c>
      <c r="X984" s="67" t="str">
        <f t="shared" si="140"/>
        <v/>
      </c>
      <c r="Y984" s="24" t="str">
        <f t="shared" si="141"/>
        <v/>
      </c>
      <c r="Z984">
        <f t="shared" si="142"/>
        <v>0</v>
      </c>
      <c r="AA984">
        <f t="shared" si="143"/>
        <v>0</v>
      </c>
    </row>
    <row r="985" spans="2:27" ht="15.75" customHeight="1" x14ac:dyDescent="0.3">
      <c r="B985" s="21"/>
      <c r="C985" s="21"/>
      <c r="D985" s="21"/>
      <c r="E985" s="22" t="str">
        <f t="shared" si="135"/>
        <v/>
      </c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3" t="str">
        <f>IF($F985="","",IF(OR($B985="",$C985="",$D985=""),"⚠ Compléter Année/Niveau/Session",IF(AND($E985&lt;&gt;"",COUNTIF(D_KEY_DOUBLON,$B985&amp;"|"&amp;$D985&amp;"|"&amp;$E985)&gt;1),"⚠ Doublon",IF(AND($E985&lt;&gt;"",COUNTIF(D_KEY_STATUT,$B985&amp;"|"&amp;$E985&amp;"|P")&gt;0,COUNTIF(D_KEY_STATUT,$B985&amp;"|"&amp;$E985&amp;"|A")&gt;0),"⚠ Statut incohérent",IF(AND($D985="S1",$Y985&lt;&gt;"Parti",COUNTIF(ANNEES_VERROU,$B985)&gt;0,COUNTIF(D_KEY_NIVSES,$B985&amp;"|"&amp;$C985&amp;"|S2")&gt;0,COUNTIF(D_KEY_DOUBLON,$B985&amp;"|S2|"&amp;$E985)=0),"⚠ Départ non confirmé ?",IF(AND($C985&lt;&gt;"",ISNUMBER($I985),OR(VALUE(LEFT($B985,4))-$I985&lt;4+IFERROR(MATCH($C985,LISTE_NIVEAUX,0),99),VALUE(LEFT($B985,4))-$I985&gt;6+IFERROR(MATCH($C985,LISTE_NIVEAUX,0),99))),"⚠ Vérifier niveau",IF(AND(IFERROR(VLOOKUP($C985,TABLE_CYCLE,2,0),3)=2,COUNT($O985:$Q985)&gt;0),"⚠ Tests cycle 3",IF(COUNT($J985:$Q985)&gt;=IF(IFERROR(VLOOKUP($C985,TABLE_CYCLE,2,0),3)=2,5,8),"Complet","Incomplet"))))))))</f>
        <v/>
      </c>
      <c r="S985" s="24"/>
      <c r="T985" s="67" t="str">
        <f t="shared" si="136"/>
        <v/>
      </c>
      <c r="U985" s="67" t="str">
        <f t="shared" si="137"/>
        <v/>
      </c>
      <c r="V985" s="67" t="str">
        <f t="shared" si="138"/>
        <v/>
      </c>
      <c r="W985" s="67" t="str">
        <f t="shared" si="139"/>
        <v/>
      </c>
      <c r="X985" s="67" t="str">
        <f t="shared" si="140"/>
        <v/>
      </c>
      <c r="Y985" s="24" t="str">
        <f t="shared" si="141"/>
        <v/>
      </c>
      <c r="Z985">
        <f t="shared" si="142"/>
        <v>0</v>
      </c>
      <c r="AA985">
        <f t="shared" si="143"/>
        <v>0</v>
      </c>
    </row>
    <row r="986" spans="2:27" ht="15.75" customHeight="1" x14ac:dyDescent="0.3">
      <c r="B986" s="25"/>
      <c r="C986" s="25"/>
      <c r="D986" s="25"/>
      <c r="E986" s="26" t="str">
        <f t="shared" si="135"/>
        <v/>
      </c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3" t="str">
        <f>IF($F986="","",IF(OR($B986="",$C986="",$D986=""),"⚠ Compléter Année/Niveau/Session",IF(AND($E986&lt;&gt;"",COUNTIF(D_KEY_DOUBLON,$B986&amp;"|"&amp;$D986&amp;"|"&amp;$E986)&gt;1),"⚠ Doublon",IF(AND($E986&lt;&gt;"",COUNTIF(D_KEY_STATUT,$B986&amp;"|"&amp;$E986&amp;"|P")&gt;0,COUNTIF(D_KEY_STATUT,$B986&amp;"|"&amp;$E986&amp;"|A")&gt;0),"⚠ Statut incohérent",IF(AND($D986="S1",$Y986&lt;&gt;"Parti",COUNTIF(ANNEES_VERROU,$B986)&gt;0,COUNTIF(D_KEY_NIVSES,$B986&amp;"|"&amp;$C986&amp;"|S2")&gt;0,COUNTIF(D_KEY_DOUBLON,$B986&amp;"|S2|"&amp;$E986)=0),"⚠ Départ non confirmé ?",IF(AND($C986&lt;&gt;"",ISNUMBER($I986),OR(VALUE(LEFT($B986,4))-$I986&lt;4+IFERROR(MATCH($C986,LISTE_NIVEAUX,0),99),VALUE(LEFT($B986,4))-$I986&gt;6+IFERROR(MATCH($C986,LISTE_NIVEAUX,0),99))),"⚠ Vérifier niveau",IF(AND(IFERROR(VLOOKUP($C986,TABLE_CYCLE,2,0),3)=2,COUNT($O986:$Q986)&gt;0),"⚠ Tests cycle 3",IF(COUNT($J986:$Q986)&gt;=IF(IFERROR(VLOOKUP($C986,TABLE_CYCLE,2,0),3)=2,5,8),"Complet","Incomplet"))))))))</f>
        <v/>
      </c>
      <c r="S986" s="24"/>
      <c r="T986" s="67" t="str">
        <f t="shared" si="136"/>
        <v/>
      </c>
      <c r="U986" s="67" t="str">
        <f t="shared" si="137"/>
        <v/>
      </c>
      <c r="V986" s="67" t="str">
        <f t="shared" si="138"/>
        <v/>
      </c>
      <c r="W986" s="67" t="str">
        <f t="shared" si="139"/>
        <v/>
      </c>
      <c r="X986" s="67" t="str">
        <f t="shared" si="140"/>
        <v/>
      </c>
      <c r="Y986" s="24" t="str">
        <f t="shared" si="141"/>
        <v/>
      </c>
      <c r="Z986">
        <f t="shared" si="142"/>
        <v>0</v>
      </c>
      <c r="AA986">
        <f t="shared" si="143"/>
        <v>0</v>
      </c>
    </row>
    <row r="987" spans="2:27" ht="15.75" customHeight="1" x14ac:dyDescent="0.3">
      <c r="B987" s="21"/>
      <c r="C987" s="21"/>
      <c r="D987" s="21"/>
      <c r="E987" s="22" t="str">
        <f t="shared" si="135"/>
        <v/>
      </c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3" t="str">
        <f>IF($F987="","",IF(OR($B987="",$C987="",$D987=""),"⚠ Compléter Année/Niveau/Session",IF(AND($E987&lt;&gt;"",COUNTIF(D_KEY_DOUBLON,$B987&amp;"|"&amp;$D987&amp;"|"&amp;$E987)&gt;1),"⚠ Doublon",IF(AND($E987&lt;&gt;"",COUNTIF(D_KEY_STATUT,$B987&amp;"|"&amp;$E987&amp;"|P")&gt;0,COUNTIF(D_KEY_STATUT,$B987&amp;"|"&amp;$E987&amp;"|A")&gt;0),"⚠ Statut incohérent",IF(AND($D987="S1",$Y987&lt;&gt;"Parti",COUNTIF(ANNEES_VERROU,$B987)&gt;0,COUNTIF(D_KEY_NIVSES,$B987&amp;"|"&amp;$C987&amp;"|S2")&gt;0,COUNTIF(D_KEY_DOUBLON,$B987&amp;"|S2|"&amp;$E987)=0),"⚠ Départ non confirmé ?",IF(AND($C987&lt;&gt;"",ISNUMBER($I987),OR(VALUE(LEFT($B987,4))-$I987&lt;4+IFERROR(MATCH($C987,LISTE_NIVEAUX,0),99),VALUE(LEFT($B987,4))-$I987&gt;6+IFERROR(MATCH($C987,LISTE_NIVEAUX,0),99))),"⚠ Vérifier niveau",IF(AND(IFERROR(VLOOKUP($C987,TABLE_CYCLE,2,0),3)=2,COUNT($O987:$Q987)&gt;0),"⚠ Tests cycle 3",IF(COUNT($J987:$Q987)&gt;=IF(IFERROR(VLOOKUP($C987,TABLE_CYCLE,2,0),3)=2,5,8),"Complet","Incomplet"))))))))</f>
        <v/>
      </c>
      <c r="S987" s="24"/>
      <c r="T987" s="67" t="str">
        <f t="shared" si="136"/>
        <v/>
      </c>
      <c r="U987" s="67" t="str">
        <f t="shared" si="137"/>
        <v/>
      </c>
      <c r="V987" s="67" t="str">
        <f t="shared" si="138"/>
        <v/>
      </c>
      <c r="W987" s="67" t="str">
        <f t="shared" si="139"/>
        <v/>
      </c>
      <c r="X987" s="67" t="str">
        <f t="shared" si="140"/>
        <v/>
      </c>
      <c r="Y987" s="24" t="str">
        <f t="shared" si="141"/>
        <v/>
      </c>
      <c r="Z987">
        <f t="shared" si="142"/>
        <v>0</v>
      </c>
      <c r="AA987">
        <f t="shared" si="143"/>
        <v>0</v>
      </c>
    </row>
    <row r="988" spans="2:27" ht="15.75" customHeight="1" x14ac:dyDescent="0.3">
      <c r="B988" s="25"/>
      <c r="C988" s="25"/>
      <c r="D988" s="25"/>
      <c r="E988" s="26" t="str">
        <f t="shared" si="135"/>
        <v/>
      </c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3" t="str">
        <f>IF($F988="","",IF(OR($B988="",$C988="",$D988=""),"⚠ Compléter Année/Niveau/Session",IF(AND($E988&lt;&gt;"",COUNTIF(D_KEY_DOUBLON,$B988&amp;"|"&amp;$D988&amp;"|"&amp;$E988)&gt;1),"⚠ Doublon",IF(AND($E988&lt;&gt;"",COUNTIF(D_KEY_STATUT,$B988&amp;"|"&amp;$E988&amp;"|P")&gt;0,COUNTIF(D_KEY_STATUT,$B988&amp;"|"&amp;$E988&amp;"|A")&gt;0),"⚠ Statut incohérent",IF(AND($D988="S1",$Y988&lt;&gt;"Parti",COUNTIF(ANNEES_VERROU,$B988)&gt;0,COUNTIF(D_KEY_NIVSES,$B988&amp;"|"&amp;$C988&amp;"|S2")&gt;0,COUNTIF(D_KEY_DOUBLON,$B988&amp;"|S2|"&amp;$E988)=0),"⚠ Départ non confirmé ?",IF(AND($C988&lt;&gt;"",ISNUMBER($I988),OR(VALUE(LEFT($B988,4))-$I988&lt;4+IFERROR(MATCH($C988,LISTE_NIVEAUX,0),99),VALUE(LEFT($B988,4))-$I988&gt;6+IFERROR(MATCH($C988,LISTE_NIVEAUX,0),99))),"⚠ Vérifier niveau",IF(AND(IFERROR(VLOOKUP($C988,TABLE_CYCLE,2,0),3)=2,COUNT($O988:$Q988)&gt;0),"⚠ Tests cycle 3",IF(COUNT($J988:$Q988)&gt;=IF(IFERROR(VLOOKUP($C988,TABLE_CYCLE,2,0),3)=2,5,8),"Complet","Incomplet"))))))))</f>
        <v/>
      </c>
      <c r="S988" s="24"/>
      <c r="T988" s="67" t="str">
        <f t="shared" si="136"/>
        <v/>
      </c>
      <c r="U988" s="67" t="str">
        <f t="shared" si="137"/>
        <v/>
      </c>
      <c r="V988" s="67" t="str">
        <f t="shared" si="138"/>
        <v/>
      </c>
      <c r="W988" s="67" t="str">
        <f t="shared" si="139"/>
        <v/>
      </c>
      <c r="X988" s="67" t="str">
        <f t="shared" si="140"/>
        <v/>
      </c>
      <c r="Y988" s="24" t="str">
        <f t="shared" si="141"/>
        <v/>
      </c>
      <c r="Z988">
        <f t="shared" si="142"/>
        <v>0</v>
      </c>
      <c r="AA988">
        <f t="shared" si="143"/>
        <v>0</v>
      </c>
    </row>
    <row r="989" spans="2:27" ht="15.75" customHeight="1" x14ac:dyDescent="0.3">
      <c r="B989" s="21"/>
      <c r="C989" s="21"/>
      <c r="D989" s="21"/>
      <c r="E989" s="22" t="str">
        <f t="shared" si="135"/>
        <v/>
      </c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3" t="str">
        <f>IF($F989="","",IF(OR($B989="",$C989="",$D989=""),"⚠ Compléter Année/Niveau/Session",IF(AND($E989&lt;&gt;"",COUNTIF(D_KEY_DOUBLON,$B989&amp;"|"&amp;$D989&amp;"|"&amp;$E989)&gt;1),"⚠ Doublon",IF(AND($E989&lt;&gt;"",COUNTIF(D_KEY_STATUT,$B989&amp;"|"&amp;$E989&amp;"|P")&gt;0,COUNTIF(D_KEY_STATUT,$B989&amp;"|"&amp;$E989&amp;"|A")&gt;0),"⚠ Statut incohérent",IF(AND($D989="S1",$Y989&lt;&gt;"Parti",COUNTIF(ANNEES_VERROU,$B989)&gt;0,COUNTIF(D_KEY_NIVSES,$B989&amp;"|"&amp;$C989&amp;"|S2")&gt;0,COUNTIF(D_KEY_DOUBLON,$B989&amp;"|S2|"&amp;$E989)=0),"⚠ Départ non confirmé ?",IF(AND($C989&lt;&gt;"",ISNUMBER($I989),OR(VALUE(LEFT($B989,4))-$I989&lt;4+IFERROR(MATCH($C989,LISTE_NIVEAUX,0),99),VALUE(LEFT($B989,4))-$I989&gt;6+IFERROR(MATCH($C989,LISTE_NIVEAUX,0),99))),"⚠ Vérifier niveau",IF(AND(IFERROR(VLOOKUP($C989,TABLE_CYCLE,2,0),3)=2,COUNT($O989:$Q989)&gt;0),"⚠ Tests cycle 3",IF(COUNT($J989:$Q989)&gt;=IF(IFERROR(VLOOKUP($C989,TABLE_CYCLE,2,0),3)=2,5,8),"Complet","Incomplet"))))))))</f>
        <v/>
      </c>
      <c r="S989" s="24"/>
      <c r="T989" s="67" t="str">
        <f t="shared" si="136"/>
        <v/>
      </c>
      <c r="U989" s="67" t="str">
        <f t="shared" si="137"/>
        <v/>
      </c>
      <c r="V989" s="67" t="str">
        <f t="shared" si="138"/>
        <v/>
      </c>
      <c r="W989" s="67" t="str">
        <f t="shared" si="139"/>
        <v/>
      </c>
      <c r="X989" s="67" t="str">
        <f t="shared" si="140"/>
        <v/>
      </c>
      <c r="Y989" s="24" t="str">
        <f t="shared" si="141"/>
        <v/>
      </c>
      <c r="Z989">
        <f t="shared" si="142"/>
        <v>0</v>
      </c>
      <c r="AA989">
        <f t="shared" si="143"/>
        <v>0</v>
      </c>
    </row>
    <row r="990" spans="2:27" ht="15.75" customHeight="1" x14ac:dyDescent="0.3">
      <c r="B990" s="25"/>
      <c r="C990" s="25"/>
      <c r="D990" s="25"/>
      <c r="E990" s="26" t="str">
        <f t="shared" si="135"/>
        <v/>
      </c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3" t="str">
        <f>IF($F990="","",IF(OR($B990="",$C990="",$D990=""),"⚠ Compléter Année/Niveau/Session",IF(AND($E990&lt;&gt;"",COUNTIF(D_KEY_DOUBLON,$B990&amp;"|"&amp;$D990&amp;"|"&amp;$E990)&gt;1),"⚠ Doublon",IF(AND($E990&lt;&gt;"",COUNTIF(D_KEY_STATUT,$B990&amp;"|"&amp;$E990&amp;"|P")&gt;0,COUNTIF(D_KEY_STATUT,$B990&amp;"|"&amp;$E990&amp;"|A")&gt;0),"⚠ Statut incohérent",IF(AND($D990="S1",$Y990&lt;&gt;"Parti",COUNTIF(ANNEES_VERROU,$B990)&gt;0,COUNTIF(D_KEY_NIVSES,$B990&amp;"|"&amp;$C990&amp;"|S2")&gt;0,COUNTIF(D_KEY_DOUBLON,$B990&amp;"|S2|"&amp;$E990)=0),"⚠ Départ non confirmé ?",IF(AND($C990&lt;&gt;"",ISNUMBER($I990),OR(VALUE(LEFT($B990,4))-$I990&lt;4+IFERROR(MATCH($C990,LISTE_NIVEAUX,0),99),VALUE(LEFT($B990,4))-$I990&gt;6+IFERROR(MATCH($C990,LISTE_NIVEAUX,0),99))),"⚠ Vérifier niveau",IF(AND(IFERROR(VLOOKUP($C990,TABLE_CYCLE,2,0),3)=2,COUNT($O990:$Q990)&gt;0),"⚠ Tests cycle 3",IF(COUNT($J990:$Q990)&gt;=IF(IFERROR(VLOOKUP($C990,TABLE_CYCLE,2,0),3)=2,5,8),"Complet","Incomplet"))))))))</f>
        <v/>
      </c>
      <c r="S990" s="24"/>
      <c r="T990" s="67" t="str">
        <f t="shared" si="136"/>
        <v/>
      </c>
      <c r="U990" s="67" t="str">
        <f t="shared" si="137"/>
        <v/>
      </c>
      <c r="V990" s="67" t="str">
        <f t="shared" si="138"/>
        <v/>
      </c>
      <c r="W990" s="67" t="str">
        <f t="shared" si="139"/>
        <v/>
      </c>
      <c r="X990" s="67" t="str">
        <f t="shared" si="140"/>
        <v/>
      </c>
      <c r="Y990" s="24" t="str">
        <f t="shared" si="141"/>
        <v/>
      </c>
      <c r="Z990">
        <f t="shared" si="142"/>
        <v>0</v>
      </c>
      <c r="AA990">
        <f t="shared" si="143"/>
        <v>0</v>
      </c>
    </row>
    <row r="991" spans="2:27" ht="15.75" customHeight="1" x14ac:dyDescent="0.3">
      <c r="B991" s="21"/>
      <c r="C991" s="21"/>
      <c r="D991" s="21"/>
      <c r="E991" s="22" t="str">
        <f t="shared" si="135"/>
        <v/>
      </c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3" t="str">
        <f>IF($F991="","",IF(OR($B991="",$C991="",$D991=""),"⚠ Compléter Année/Niveau/Session",IF(AND($E991&lt;&gt;"",COUNTIF(D_KEY_DOUBLON,$B991&amp;"|"&amp;$D991&amp;"|"&amp;$E991)&gt;1),"⚠ Doublon",IF(AND($E991&lt;&gt;"",COUNTIF(D_KEY_STATUT,$B991&amp;"|"&amp;$E991&amp;"|P")&gt;0,COUNTIF(D_KEY_STATUT,$B991&amp;"|"&amp;$E991&amp;"|A")&gt;0),"⚠ Statut incohérent",IF(AND($D991="S1",$Y991&lt;&gt;"Parti",COUNTIF(ANNEES_VERROU,$B991)&gt;0,COUNTIF(D_KEY_NIVSES,$B991&amp;"|"&amp;$C991&amp;"|S2")&gt;0,COUNTIF(D_KEY_DOUBLON,$B991&amp;"|S2|"&amp;$E991)=0),"⚠ Départ non confirmé ?",IF(AND($C991&lt;&gt;"",ISNUMBER($I991),OR(VALUE(LEFT($B991,4))-$I991&lt;4+IFERROR(MATCH($C991,LISTE_NIVEAUX,0),99),VALUE(LEFT($B991,4))-$I991&gt;6+IFERROR(MATCH($C991,LISTE_NIVEAUX,0),99))),"⚠ Vérifier niveau",IF(AND(IFERROR(VLOOKUP($C991,TABLE_CYCLE,2,0),3)=2,COUNT($O991:$Q991)&gt;0),"⚠ Tests cycle 3",IF(COUNT($J991:$Q991)&gt;=IF(IFERROR(VLOOKUP($C991,TABLE_CYCLE,2,0),3)=2,5,8),"Complet","Incomplet"))))))))</f>
        <v/>
      </c>
      <c r="S991" s="24"/>
      <c r="T991" s="67" t="str">
        <f t="shared" si="136"/>
        <v/>
      </c>
      <c r="U991" s="67" t="str">
        <f t="shared" si="137"/>
        <v/>
      </c>
      <c r="V991" s="67" t="str">
        <f t="shared" si="138"/>
        <v/>
      </c>
      <c r="W991" s="67" t="str">
        <f t="shared" si="139"/>
        <v/>
      </c>
      <c r="X991" s="67" t="str">
        <f t="shared" si="140"/>
        <v/>
      </c>
      <c r="Y991" s="24" t="str">
        <f t="shared" si="141"/>
        <v/>
      </c>
      <c r="Z991">
        <f t="shared" si="142"/>
        <v>0</v>
      </c>
      <c r="AA991">
        <f t="shared" si="143"/>
        <v>0</v>
      </c>
    </row>
    <row r="992" spans="2:27" ht="15.75" customHeight="1" x14ac:dyDescent="0.3">
      <c r="B992" s="25"/>
      <c r="C992" s="25"/>
      <c r="D992" s="25"/>
      <c r="E992" s="26" t="str">
        <f t="shared" si="135"/>
        <v/>
      </c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3" t="str">
        <f>IF($F992="","",IF(OR($B992="",$C992="",$D992=""),"⚠ Compléter Année/Niveau/Session",IF(AND($E992&lt;&gt;"",COUNTIF(D_KEY_DOUBLON,$B992&amp;"|"&amp;$D992&amp;"|"&amp;$E992)&gt;1),"⚠ Doublon",IF(AND($E992&lt;&gt;"",COUNTIF(D_KEY_STATUT,$B992&amp;"|"&amp;$E992&amp;"|P")&gt;0,COUNTIF(D_KEY_STATUT,$B992&amp;"|"&amp;$E992&amp;"|A")&gt;0),"⚠ Statut incohérent",IF(AND($D992="S1",$Y992&lt;&gt;"Parti",COUNTIF(ANNEES_VERROU,$B992)&gt;0,COUNTIF(D_KEY_NIVSES,$B992&amp;"|"&amp;$C992&amp;"|S2")&gt;0,COUNTIF(D_KEY_DOUBLON,$B992&amp;"|S2|"&amp;$E992)=0),"⚠ Départ non confirmé ?",IF(AND($C992&lt;&gt;"",ISNUMBER($I992),OR(VALUE(LEFT($B992,4))-$I992&lt;4+IFERROR(MATCH($C992,LISTE_NIVEAUX,0),99),VALUE(LEFT($B992,4))-$I992&gt;6+IFERROR(MATCH($C992,LISTE_NIVEAUX,0),99))),"⚠ Vérifier niveau",IF(AND(IFERROR(VLOOKUP($C992,TABLE_CYCLE,2,0),3)=2,COUNT($O992:$Q992)&gt;0),"⚠ Tests cycle 3",IF(COUNT($J992:$Q992)&gt;=IF(IFERROR(VLOOKUP($C992,TABLE_CYCLE,2,0),3)=2,5,8),"Complet","Incomplet"))))))))</f>
        <v/>
      </c>
      <c r="S992" s="24"/>
      <c r="T992" s="67" t="str">
        <f t="shared" si="136"/>
        <v/>
      </c>
      <c r="U992" s="67" t="str">
        <f t="shared" si="137"/>
        <v/>
      </c>
      <c r="V992" s="67" t="str">
        <f t="shared" si="138"/>
        <v/>
      </c>
      <c r="W992" s="67" t="str">
        <f t="shared" si="139"/>
        <v/>
      </c>
      <c r="X992" s="67" t="str">
        <f t="shared" si="140"/>
        <v/>
      </c>
      <c r="Y992" s="24" t="str">
        <f t="shared" si="141"/>
        <v/>
      </c>
      <c r="Z992">
        <f t="shared" si="142"/>
        <v>0</v>
      </c>
      <c r="AA992">
        <f t="shared" si="143"/>
        <v>0</v>
      </c>
    </row>
    <row r="993" spans="2:27" ht="15.75" customHeight="1" x14ac:dyDescent="0.3">
      <c r="B993" s="21"/>
      <c r="C993" s="21"/>
      <c r="D993" s="21"/>
      <c r="E993" s="22" t="str">
        <f t="shared" si="135"/>
        <v/>
      </c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3" t="str">
        <f>IF($F993="","",IF(OR($B993="",$C993="",$D993=""),"⚠ Compléter Année/Niveau/Session",IF(AND($E993&lt;&gt;"",COUNTIF(D_KEY_DOUBLON,$B993&amp;"|"&amp;$D993&amp;"|"&amp;$E993)&gt;1),"⚠ Doublon",IF(AND($E993&lt;&gt;"",COUNTIF(D_KEY_STATUT,$B993&amp;"|"&amp;$E993&amp;"|P")&gt;0,COUNTIF(D_KEY_STATUT,$B993&amp;"|"&amp;$E993&amp;"|A")&gt;0),"⚠ Statut incohérent",IF(AND($D993="S1",$Y993&lt;&gt;"Parti",COUNTIF(ANNEES_VERROU,$B993)&gt;0,COUNTIF(D_KEY_NIVSES,$B993&amp;"|"&amp;$C993&amp;"|S2")&gt;0,COUNTIF(D_KEY_DOUBLON,$B993&amp;"|S2|"&amp;$E993)=0),"⚠ Départ non confirmé ?",IF(AND($C993&lt;&gt;"",ISNUMBER($I993),OR(VALUE(LEFT($B993,4))-$I993&lt;4+IFERROR(MATCH($C993,LISTE_NIVEAUX,0),99),VALUE(LEFT($B993,4))-$I993&gt;6+IFERROR(MATCH($C993,LISTE_NIVEAUX,0),99))),"⚠ Vérifier niveau",IF(AND(IFERROR(VLOOKUP($C993,TABLE_CYCLE,2,0),3)=2,COUNT($O993:$Q993)&gt;0),"⚠ Tests cycle 3",IF(COUNT($J993:$Q993)&gt;=IF(IFERROR(VLOOKUP($C993,TABLE_CYCLE,2,0),3)=2,5,8),"Complet","Incomplet"))))))))</f>
        <v/>
      </c>
      <c r="S993" s="24"/>
      <c r="T993" s="67" t="str">
        <f t="shared" si="136"/>
        <v/>
      </c>
      <c r="U993" s="67" t="str">
        <f t="shared" si="137"/>
        <v/>
      </c>
      <c r="V993" s="67" t="str">
        <f t="shared" si="138"/>
        <v/>
      </c>
      <c r="W993" s="67" t="str">
        <f t="shared" si="139"/>
        <v/>
      </c>
      <c r="X993" s="67" t="str">
        <f t="shared" si="140"/>
        <v/>
      </c>
      <c r="Y993" s="24" t="str">
        <f t="shared" si="141"/>
        <v/>
      </c>
      <c r="Z993">
        <f t="shared" si="142"/>
        <v>0</v>
      </c>
      <c r="AA993">
        <f t="shared" si="143"/>
        <v>0</v>
      </c>
    </row>
    <row r="994" spans="2:27" ht="15.75" customHeight="1" x14ac:dyDescent="0.3">
      <c r="B994" s="25"/>
      <c r="C994" s="25"/>
      <c r="D994" s="25"/>
      <c r="E994" s="26" t="str">
        <f t="shared" si="135"/>
        <v/>
      </c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3" t="str">
        <f>IF($F994="","",IF(OR($B994="",$C994="",$D994=""),"⚠ Compléter Année/Niveau/Session",IF(AND($E994&lt;&gt;"",COUNTIF(D_KEY_DOUBLON,$B994&amp;"|"&amp;$D994&amp;"|"&amp;$E994)&gt;1),"⚠ Doublon",IF(AND($E994&lt;&gt;"",COUNTIF(D_KEY_STATUT,$B994&amp;"|"&amp;$E994&amp;"|P")&gt;0,COUNTIF(D_KEY_STATUT,$B994&amp;"|"&amp;$E994&amp;"|A")&gt;0),"⚠ Statut incohérent",IF(AND($D994="S1",$Y994&lt;&gt;"Parti",COUNTIF(ANNEES_VERROU,$B994)&gt;0,COUNTIF(D_KEY_NIVSES,$B994&amp;"|"&amp;$C994&amp;"|S2")&gt;0,COUNTIF(D_KEY_DOUBLON,$B994&amp;"|S2|"&amp;$E994)=0),"⚠ Départ non confirmé ?",IF(AND($C994&lt;&gt;"",ISNUMBER($I994),OR(VALUE(LEFT($B994,4))-$I994&lt;4+IFERROR(MATCH($C994,LISTE_NIVEAUX,0),99),VALUE(LEFT($B994,4))-$I994&gt;6+IFERROR(MATCH($C994,LISTE_NIVEAUX,0),99))),"⚠ Vérifier niveau",IF(AND(IFERROR(VLOOKUP($C994,TABLE_CYCLE,2,0),3)=2,COUNT($O994:$Q994)&gt;0),"⚠ Tests cycle 3",IF(COUNT($J994:$Q994)&gt;=IF(IFERROR(VLOOKUP($C994,TABLE_CYCLE,2,0),3)=2,5,8),"Complet","Incomplet"))))))))</f>
        <v/>
      </c>
      <c r="S994" s="24"/>
      <c r="T994" s="67" t="str">
        <f t="shared" si="136"/>
        <v/>
      </c>
      <c r="U994" s="67" t="str">
        <f t="shared" si="137"/>
        <v/>
      </c>
      <c r="V994" s="67" t="str">
        <f t="shared" si="138"/>
        <v/>
      </c>
      <c r="W994" s="67" t="str">
        <f t="shared" si="139"/>
        <v/>
      </c>
      <c r="X994" s="67" t="str">
        <f t="shared" si="140"/>
        <v/>
      </c>
      <c r="Y994" s="24" t="str">
        <f t="shared" si="141"/>
        <v/>
      </c>
      <c r="Z994">
        <f t="shared" si="142"/>
        <v>0</v>
      </c>
      <c r="AA994">
        <f t="shared" si="143"/>
        <v>0</v>
      </c>
    </row>
    <row r="995" spans="2:27" ht="15.75" customHeight="1" x14ac:dyDescent="0.3">
      <c r="B995" s="21"/>
      <c r="C995" s="21"/>
      <c r="D995" s="21"/>
      <c r="E995" s="22" t="str">
        <f t="shared" si="135"/>
        <v/>
      </c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3" t="str">
        <f>IF($F995="","",IF(OR($B995="",$C995="",$D995=""),"⚠ Compléter Année/Niveau/Session",IF(AND($E995&lt;&gt;"",COUNTIF(D_KEY_DOUBLON,$B995&amp;"|"&amp;$D995&amp;"|"&amp;$E995)&gt;1),"⚠ Doublon",IF(AND($E995&lt;&gt;"",COUNTIF(D_KEY_STATUT,$B995&amp;"|"&amp;$E995&amp;"|P")&gt;0,COUNTIF(D_KEY_STATUT,$B995&amp;"|"&amp;$E995&amp;"|A")&gt;0),"⚠ Statut incohérent",IF(AND($D995="S1",$Y995&lt;&gt;"Parti",COUNTIF(ANNEES_VERROU,$B995)&gt;0,COUNTIF(D_KEY_NIVSES,$B995&amp;"|"&amp;$C995&amp;"|S2")&gt;0,COUNTIF(D_KEY_DOUBLON,$B995&amp;"|S2|"&amp;$E995)=0),"⚠ Départ non confirmé ?",IF(AND($C995&lt;&gt;"",ISNUMBER($I995),OR(VALUE(LEFT($B995,4))-$I995&lt;4+IFERROR(MATCH($C995,LISTE_NIVEAUX,0),99),VALUE(LEFT($B995,4))-$I995&gt;6+IFERROR(MATCH($C995,LISTE_NIVEAUX,0),99))),"⚠ Vérifier niveau",IF(AND(IFERROR(VLOOKUP($C995,TABLE_CYCLE,2,0),3)=2,COUNT($O995:$Q995)&gt;0),"⚠ Tests cycle 3",IF(COUNT($J995:$Q995)&gt;=IF(IFERROR(VLOOKUP($C995,TABLE_CYCLE,2,0),3)=2,5,8),"Complet","Incomplet"))))))))</f>
        <v/>
      </c>
      <c r="S995" s="24"/>
      <c r="T995" s="67" t="str">
        <f t="shared" si="136"/>
        <v/>
      </c>
      <c r="U995" s="67" t="str">
        <f t="shared" si="137"/>
        <v/>
      </c>
      <c r="V995" s="67" t="str">
        <f t="shared" si="138"/>
        <v/>
      </c>
      <c r="W995" s="67" t="str">
        <f t="shared" si="139"/>
        <v/>
      </c>
      <c r="X995" s="67" t="str">
        <f t="shared" si="140"/>
        <v/>
      </c>
      <c r="Y995" s="24" t="str">
        <f t="shared" si="141"/>
        <v/>
      </c>
      <c r="Z995">
        <f t="shared" si="142"/>
        <v>0</v>
      </c>
      <c r="AA995">
        <f t="shared" si="143"/>
        <v>0</v>
      </c>
    </row>
    <row r="996" spans="2:27" ht="15.75" customHeight="1" x14ac:dyDescent="0.3">
      <c r="B996" s="25"/>
      <c r="C996" s="25"/>
      <c r="D996" s="25"/>
      <c r="E996" s="26" t="str">
        <f t="shared" si="135"/>
        <v/>
      </c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3" t="str">
        <f>IF($F996="","",IF(OR($B996="",$C996="",$D996=""),"⚠ Compléter Année/Niveau/Session",IF(AND($E996&lt;&gt;"",COUNTIF(D_KEY_DOUBLON,$B996&amp;"|"&amp;$D996&amp;"|"&amp;$E996)&gt;1),"⚠ Doublon",IF(AND($E996&lt;&gt;"",COUNTIF(D_KEY_STATUT,$B996&amp;"|"&amp;$E996&amp;"|P")&gt;0,COUNTIF(D_KEY_STATUT,$B996&amp;"|"&amp;$E996&amp;"|A")&gt;0),"⚠ Statut incohérent",IF(AND($D996="S1",$Y996&lt;&gt;"Parti",COUNTIF(ANNEES_VERROU,$B996)&gt;0,COUNTIF(D_KEY_NIVSES,$B996&amp;"|"&amp;$C996&amp;"|S2")&gt;0,COUNTIF(D_KEY_DOUBLON,$B996&amp;"|S2|"&amp;$E996)=0),"⚠ Départ non confirmé ?",IF(AND($C996&lt;&gt;"",ISNUMBER($I996),OR(VALUE(LEFT($B996,4))-$I996&lt;4+IFERROR(MATCH($C996,LISTE_NIVEAUX,0),99),VALUE(LEFT($B996,4))-$I996&gt;6+IFERROR(MATCH($C996,LISTE_NIVEAUX,0),99))),"⚠ Vérifier niveau",IF(AND(IFERROR(VLOOKUP($C996,TABLE_CYCLE,2,0),3)=2,COUNT($O996:$Q996)&gt;0),"⚠ Tests cycle 3",IF(COUNT($J996:$Q996)&gt;=IF(IFERROR(VLOOKUP($C996,TABLE_CYCLE,2,0),3)=2,5,8),"Complet","Incomplet"))))))))</f>
        <v/>
      </c>
      <c r="S996" s="24"/>
      <c r="T996" s="67" t="str">
        <f t="shared" si="136"/>
        <v/>
      </c>
      <c r="U996" s="67" t="str">
        <f t="shared" si="137"/>
        <v/>
      </c>
      <c r="V996" s="67" t="str">
        <f t="shared" si="138"/>
        <v/>
      </c>
      <c r="W996" s="67" t="str">
        <f t="shared" si="139"/>
        <v/>
      </c>
      <c r="X996" s="67" t="str">
        <f t="shared" si="140"/>
        <v/>
      </c>
      <c r="Y996" s="24" t="str">
        <f t="shared" si="141"/>
        <v/>
      </c>
      <c r="Z996">
        <f t="shared" si="142"/>
        <v>0</v>
      </c>
      <c r="AA996">
        <f t="shared" si="143"/>
        <v>0</v>
      </c>
    </row>
    <row r="997" spans="2:27" ht="15.75" customHeight="1" x14ac:dyDescent="0.3">
      <c r="B997" s="21"/>
      <c r="C997" s="21"/>
      <c r="D997" s="21"/>
      <c r="E997" s="22" t="str">
        <f t="shared" si="135"/>
        <v/>
      </c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3" t="str">
        <f>IF($F997="","",IF(OR($B997="",$C997="",$D997=""),"⚠ Compléter Année/Niveau/Session",IF(AND($E997&lt;&gt;"",COUNTIF(D_KEY_DOUBLON,$B997&amp;"|"&amp;$D997&amp;"|"&amp;$E997)&gt;1),"⚠ Doublon",IF(AND($E997&lt;&gt;"",COUNTIF(D_KEY_STATUT,$B997&amp;"|"&amp;$E997&amp;"|P")&gt;0,COUNTIF(D_KEY_STATUT,$B997&amp;"|"&amp;$E997&amp;"|A")&gt;0),"⚠ Statut incohérent",IF(AND($D997="S1",$Y997&lt;&gt;"Parti",COUNTIF(ANNEES_VERROU,$B997)&gt;0,COUNTIF(D_KEY_NIVSES,$B997&amp;"|"&amp;$C997&amp;"|S2")&gt;0,COUNTIF(D_KEY_DOUBLON,$B997&amp;"|S2|"&amp;$E997)=0),"⚠ Départ non confirmé ?",IF(AND($C997&lt;&gt;"",ISNUMBER($I997),OR(VALUE(LEFT($B997,4))-$I997&lt;4+IFERROR(MATCH($C997,LISTE_NIVEAUX,0),99),VALUE(LEFT($B997,4))-$I997&gt;6+IFERROR(MATCH($C997,LISTE_NIVEAUX,0),99))),"⚠ Vérifier niveau",IF(AND(IFERROR(VLOOKUP($C997,TABLE_CYCLE,2,0),3)=2,COUNT($O997:$Q997)&gt;0),"⚠ Tests cycle 3",IF(COUNT($J997:$Q997)&gt;=IF(IFERROR(VLOOKUP($C997,TABLE_CYCLE,2,0),3)=2,5,8),"Complet","Incomplet"))))))))</f>
        <v/>
      </c>
      <c r="S997" s="24"/>
      <c r="T997" s="67" t="str">
        <f t="shared" si="136"/>
        <v/>
      </c>
      <c r="U997" s="67" t="str">
        <f t="shared" si="137"/>
        <v/>
      </c>
      <c r="V997" s="67" t="str">
        <f t="shared" si="138"/>
        <v/>
      </c>
      <c r="W997" s="67" t="str">
        <f t="shared" si="139"/>
        <v/>
      </c>
      <c r="X997" s="67" t="str">
        <f t="shared" si="140"/>
        <v/>
      </c>
      <c r="Y997" s="24" t="str">
        <f t="shared" si="141"/>
        <v/>
      </c>
      <c r="Z997">
        <f t="shared" si="142"/>
        <v>0</v>
      </c>
      <c r="AA997">
        <f t="shared" si="143"/>
        <v>0</v>
      </c>
    </row>
    <row r="998" spans="2:27" ht="15.75" customHeight="1" x14ac:dyDescent="0.3">
      <c r="B998" s="25"/>
      <c r="C998" s="25"/>
      <c r="D998" s="25"/>
      <c r="E998" s="26" t="str">
        <f t="shared" si="135"/>
        <v/>
      </c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3" t="str">
        <f>IF($F998="","",IF(OR($B998="",$C998="",$D998=""),"⚠ Compléter Année/Niveau/Session",IF(AND($E998&lt;&gt;"",COUNTIF(D_KEY_DOUBLON,$B998&amp;"|"&amp;$D998&amp;"|"&amp;$E998)&gt;1),"⚠ Doublon",IF(AND($E998&lt;&gt;"",COUNTIF(D_KEY_STATUT,$B998&amp;"|"&amp;$E998&amp;"|P")&gt;0,COUNTIF(D_KEY_STATUT,$B998&amp;"|"&amp;$E998&amp;"|A")&gt;0),"⚠ Statut incohérent",IF(AND($D998="S1",$Y998&lt;&gt;"Parti",COUNTIF(ANNEES_VERROU,$B998)&gt;0,COUNTIF(D_KEY_NIVSES,$B998&amp;"|"&amp;$C998&amp;"|S2")&gt;0,COUNTIF(D_KEY_DOUBLON,$B998&amp;"|S2|"&amp;$E998)=0),"⚠ Départ non confirmé ?",IF(AND($C998&lt;&gt;"",ISNUMBER($I998),OR(VALUE(LEFT($B998,4))-$I998&lt;4+IFERROR(MATCH($C998,LISTE_NIVEAUX,0),99),VALUE(LEFT($B998,4))-$I998&gt;6+IFERROR(MATCH($C998,LISTE_NIVEAUX,0),99))),"⚠ Vérifier niveau",IF(AND(IFERROR(VLOOKUP($C998,TABLE_CYCLE,2,0),3)=2,COUNT($O998:$Q998)&gt;0),"⚠ Tests cycle 3",IF(COUNT($J998:$Q998)&gt;=IF(IFERROR(VLOOKUP($C998,TABLE_CYCLE,2,0),3)=2,5,8),"Complet","Incomplet"))))))))</f>
        <v/>
      </c>
      <c r="S998" s="24"/>
      <c r="T998" s="67" t="str">
        <f t="shared" si="136"/>
        <v/>
      </c>
      <c r="U998" s="67" t="str">
        <f t="shared" si="137"/>
        <v/>
      </c>
      <c r="V998" s="67" t="str">
        <f t="shared" si="138"/>
        <v/>
      </c>
      <c r="W998" s="67" t="str">
        <f t="shared" si="139"/>
        <v/>
      </c>
      <c r="X998" s="67" t="str">
        <f t="shared" si="140"/>
        <v/>
      </c>
      <c r="Y998" s="24" t="str">
        <f t="shared" si="141"/>
        <v/>
      </c>
      <c r="Z998">
        <f t="shared" si="142"/>
        <v>0</v>
      </c>
      <c r="AA998">
        <f t="shared" si="143"/>
        <v>0</v>
      </c>
    </row>
    <row r="999" spans="2:27" ht="15.75" customHeight="1" x14ac:dyDescent="0.3">
      <c r="B999" s="21"/>
      <c r="C999" s="21"/>
      <c r="D999" s="21"/>
      <c r="E999" s="22" t="str">
        <f t="shared" si="135"/>
        <v/>
      </c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3" t="str">
        <f>IF($F999="","",IF(OR($B999="",$C999="",$D999=""),"⚠ Compléter Année/Niveau/Session",IF(AND($E999&lt;&gt;"",COUNTIF(D_KEY_DOUBLON,$B999&amp;"|"&amp;$D999&amp;"|"&amp;$E999)&gt;1),"⚠ Doublon",IF(AND($E999&lt;&gt;"",COUNTIF(D_KEY_STATUT,$B999&amp;"|"&amp;$E999&amp;"|P")&gt;0,COUNTIF(D_KEY_STATUT,$B999&amp;"|"&amp;$E999&amp;"|A")&gt;0),"⚠ Statut incohérent",IF(AND($D999="S1",$Y999&lt;&gt;"Parti",COUNTIF(ANNEES_VERROU,$B999)&gt;0,COUNTIF(D_KEY_NIVSES,$B999&amp;"|"&amp;$C999&amp;"|S2")&gt;0,COUNTIF(D_KEY_DOUBLON,$B999&amp;"|S2|"&amp;$E999)=0),"⚠ Départ non confirmé ?",IF(AND($C999&lt;&gt;"",ISNUMBER($I999),OR(VALUE(LEFT($B999,4))-$I999&lt;4+IFERROR(MATCH($C999,LISTE_NIVEAUX,0),99),VALUE(LEFT($B999,4))-$I999&gt;6+IFERROR(MATCH($C999,LISTE_NIVEAUX,0),99))),"⚠ Vérifier niveau",IF(AND(IFERROR(VLOOKUP($C999,TABLE_CYCLE,2,0),3)=2,COUNT($O999:$Q999)&gt;0),"⚠ Tests cycle 3",IF(COUNT($J999:$Q999)&gt;=IF(IFERROR(VLOOKUP($C999,TABLE_CYCLE,2,0),3)=2,5,8),"Complet","Incomplet"))))))))</f>
        <v/>
      </c>
      <c r="S999" s="24"/>
      <c r="T999" s="67" t="str">
        <f t="shared" si="136"/>
        <v/>
      </c>
      <c r="U999" s="67" t="str">
        <f t="shared" si="137"/>
        <v/>
      </c>
      <c r="V999" s="67" t="str">
        <f t="shared" si="138"/>
        <v/>
      </c>
      <c r="W999" s="67" t="str">
        <f t="shared" si="139"/>
        <v/>
      </c>
      <c r="X999" s="67" t="str">
        <f t="shared" si="140"/>
        <v/>
      </c>
      <c r="Y999" s="24" t="str">
        <f t="shared" si="141"/>
        <v/>
      </c>
      <c r="Z999">
        <f t="shared" si="142"/>
        <v>0</v>
      </c>
      <c r="AA999">
        <f t="shared" si="143"/>
        <v>0</v>
      </c>
    </row>
    <row r="1000" spans="2:27" ht="15.75" customHeight="1" x14ac:dyDescent="0.3">
      <c r="B1000" s="25"/>
      <c r="C1000" s="25"/>
      <c r="D1000" s="25"/>
      <c r="E1000" s="26" t="str">
        <f t="shared" si="135"/>
        <v/>
      </c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3" t="str">
        <f>IF($F1000="","",IF(OR($B1000="",$C1000="",$D1000=""),"⚠ Compléter Année/Niveau/Session",IF(AND($E1000&lt;&gt;"",COUNTIF(D_KEY_DOUBLON,$B1000&amp;"|"&amp;$D1000&amp;"|"&amp;$E1000)&gt;1),"⚠ Doublon",IF(AND($E1000&lt;&gt;"",COUNTIF(D_KEY_STATUT,$B1000&amp;"|"&amp;$E1000&amp;"|P")&gt;0,COUNTIF(D_KEY_STATUT,$B1000&amp;"|"&amp;$E1000&amp;"|A")&gt;0),"⚠ Statut incohérent",IF(AND($D1000="S1",$Y1000&lt;&gt;"Parti",COUNTIF(ANNEES_VERROU,$B1000)&gt;0,COUNTIF(D_KEY_NIVSES,$B1000&amp;"|"&amp;$C1000&amp;"|S2")&gt;0,COUNTIF(D_KEY_DOUBLON,$B1000&amp;"|S2|"&amp;$E1000)=0),"⚠ Départ non confirmé ?",IF(AND($C1000&lt;&gt;"",ISNUMBER($I1000),OR(VALUE(LEFT($B1000,4))-$I1000&lt;4+IFERROR(MATCH($C1000,LISTE_NIVEAUX,0),99),VALUE(LEFT($B1000,4))-$I1000&gt;6+IFERROR(MATCH($C1000,LISTE_NIVEAUX,0),99))),"⚠ Vérifier niveau",IF(AND(IFERROR(VLOOKUP($C1000,TABLE_CYCLE,2,0),3)=2,COUNT($O1000:$Q1000)&gt;0),"⚠ Tests cycle 3",IF(COUNT($J1000:$Q1000)&gt;=IF(IFERROR(VLOOKUP($C1000,TABLE_CYCLE,2,0),3)=2,5,8),"Complet","Incomplet"))))))))</f>
        <v/>
      </c>
      <c r="S1000" s="24"/>
      <c r="T1000" s="67" t="str">
        <f t="shared" si="136"/>
        <v/>
      </c>
      <c r="U1000" s="67" t="str">
        <f t="shared" si="137"/>
        <v/>
      </c>
      <c r="V1000" s="67" t="str">
        <f t="shared" si="138"/>
        <v/>
      </c>
      <c r="W1000" s="67" t="str">
        <f t="shared" si="139"/>
        <v/>
      </c>
      <c r="X1000" s="67" t="str">
        <f t="shared" si="140"/>
        <v/>
      </c>
      <c r="Y1000" s="24" t="str">
        <f t="shared" si="141"/>
        <v/>
      </c>
      <c r="Z1000">
        <f t="shared" si="142"/>
        <v>0</v>
      </c>
      <c r="AA1000">
        <f t="shared" si="143"/>
        <v>0</v>
      </c>
    </row>
    <row r="1001" spans="2:27" ht="15.75" customHeight="1" x14ac:dyDescent="0.3">
      <c r="B1001" s="21"/>
      <c r="C1001" s="21"/>
      <c r="D1001" s="21"/>
      <c r="E1001" s="22" t="str">
        <f t="shared" si="135"/>
        <v/>
      </c>
      <c r="F1001" s="21"/>
      <c r="G1001" s="21"/>
      <c r="H1001" s="21"/>
      <c r="I1001" s="21"/>
      <c r="J1001" s="21"/>
      <c r="K1001" s="21"/>
      <c r="L1001" s="21"/>
      <c r="M1001" s="21"/>
      <c r="N1001" s="21"/>
      <c r="O1001" s="21"/>
      <c r="P1001" s="21"/>
      <c r="Q1001" s="21"/>
      <c r="R1001" s="23" t="str">
        <f>IF($F1001="","",IF(OR($B1001="",$C1001="",$D1001=""),"⚠ Compléter Année/Niveau/Session",IF(AND($E1001&lt;&gt;"",COUNTIF(D_KEY_DOUBLON,$B1001&amp;"|"&amp;$D1001&amp;"|"&amp;$E1001)&gt;1),"⚠ Doublon",IF(AND($E1001&lt;&gt;"",COUNTIF(D_KEY_STATUT,$B1001&amp;"|"&amp;$E1001&amp;"|P")&gt;0,COUNTIF(D_KEY_STATUT,$B1001&amp;"|"&amp;$E1001&amp;"|A")&gt;0),"⚠ Statut incohérent",IF(AND($D1001="S1",$Y1001&lt;&gt;"Parti",COUNTIF(ANNEES_VERROU,$B1001)&gt;0,COUNTIF(D_KEY_NIVSES,$B1001&amp;"|"&amp;$C1001&amp;"|S2")&gt;0,COUNTIF(D_KEY_DOUBLON,$B1001&amp;"|S2|"&amp;$E1001)=0),"⚠ Départ non confirmé ?",IF(AND($C1001&lt;&gt;"",ISNUMBER($I1001),OR(VALUE(LEFT($B1001,4))-$I1001&lt;4+IFERROR(MATCH($C1001,LISTE_NIVEAUX,0),99),VALUE(LEFT($B1001,4))-$I1001&gt;6+IFERROR(MATCH($C1001,LISTE_NIVEAUX,0),99))),"⚠ Vérifier niveau",IF(AND(IFERROR(VLOOKUP($C1001,TABLE_CYCLE,2,0),3)=2,COUNT($O1001:$Q1001)&gt;0),"⚠ Tests cycle 3",IF(COUNT($J1001:$Q1001)&gt;=IF(IFERROR(VLOOKUP($C1001,TABLE_CYCLE,2,0),3)=2,5,8),"Complet","Incomplet"))))))))</f>
        <v/>
      </c>
      <c r="S1001" s="24"/>
      <c r="T1001" s="67" t="str">
        <f t="shared" si="136"/>
        <v/>
      </c>
      <c r="U1001" s="67" t="str">
        <f t="shared" si="137"/>
        <v/>
      </c>
      <c r="V1001" s="67" t="str">
        <f t="shared" si="138"/>
        <v/>
      </c>
      <c r="W1001" s="67" t="str">
        <f t="shared" si="139"/>
        <v/>
      </c>
      <c r="X1001" s="67" t="str">
        <f t="shared" si="140"/>
        <v/>
      </c>
      <c r="Y1001" s="24" t="str">
        <f t="shared" si="141"/>
        <v/>
      </c>
      <c r="Z1001">
        <f t="shared" si="142"/>
        <v>0</v>
      </c>
      <c r="AA1001">
        <f t="shared" si="143"/>
        <v>0</v>
      </c>
    </row>
    <row r="1002" spans="2:27" ht="15.75" customHeight="1" x14ac:dyDescent="0.3">
      <c r="B1002" s="25"/>
      <c r="C1002" s="25"/>
      <c r="D1002" s="25"/>
      <c r="E1002" s="26" t="str">
        <f t="shared" si="135"/>
        <v/>
      </c>
      <c r="F1002" s="25"/>
      <c r="G1002" s="25"/>
      <c r="H1002" s="25"/>
      <c r="I1002" s="25"/>
      <c r="J1002" s="25"/>
      <c r="K1002" s="25"/>
      <c r="L1002" s="25"/>
      <c r="M1002" s="25"/>
      <c r="N1002" s="25"/>
      <c r="O1002" s="25"/>
      <c r="P1002" s="25"/>
      <c r="Q1002" s="25"/>
      <c r="R1002" s="23" t="str">
        <f>IF($F1002="","",IF(OR($B1002="",$C1002="",$D1002=""),"⚠ Compléter Année/Niveau/Session",IF(AND($E1002&lt;&gt;"",COUNTIF(D_KEY_DOUBLON,$B1002&amp;"|"&amp;$D1002&amp;"|"&amp;$E1002)&gt;1),"⚠ Doublon",IF(AND($E1002&lt;&gt;"",COUNTIF(D_KEY_STATUT,$B1002&amp;"|"&amp;$E1002&amp;"|P")&gt;0,COUNTIF(D_KEY_STATUT,$B1002&amp;"|"&amp;$E1002&amp;"|A")&gt;0),"⚠ Statut incohérent",IF(AND($D1002="S1",$Y1002&lt;&gt;"Parti",COUNTIF(ANNEES_VERROU,$B1002)&gt;0,COUNTIF(D_KEY_NIVSES,$B1002&amp;"|"&amp;$C1002&amp;"|S2")&gt;0,COUNTIF(D_KEY_DOUBLON,$B1002&amp;"|S2|"&amp;$E1002)=0),"⚠ Départ non confirmé ?",IF(AND($C1002&lt;&gt;"",ISNUMBER($I1002),OR(VALUE(LEFT($B1002,4))-$I1002&lt;4+IFERROR(MATCH($C1002,LISTE_NIVEAUX,0),99),VALUE(LEFT($B1002,4))-$I1002&gt;6+IFERROR(MATCH($C1002,LISTE_NIVEAUX,0),99))),"⚠ Vérifier niveau",IF(AND(IFERROR(VLOOKUP($C1002,TABLE_CYCLE,2,0),3)=2,COUNT($O1002:$Q1002)&gt;0),"⚠ Tests cycle 3",IF(COUNT($J1002:$Q1002)&gt;=IF(IFERROR(VLOOKUP($C1002,TABLE_CYCLE,2,0),3)=2,5,8),"Complet","Incomplet"))))))))</f>
        <v/>
      </c>
      <c r="S1002" s="24"/>
      <c r="T1002" s="67" t="str">
        <f t="shared" si="136"/>
        <v/>
      </c>
      <c r="U1002" s="67" t="str">
        <f t="shared" si="137"/>
        <v/>
      </c>
      <c r="V1002" s="67" t="str">
        <f t="shared" si="138"/>
        <v/>
      </c>
      <c r="W1002" s="67" t="str">
        <f t="shared" si="139"/>
        <v/>
      </c>
      <c r="X1002" s="67" t="str">
        <f t="shared" si="140"/>
        <v/>
      </c>
      <c r="Y1002" s="24" t="str">
        <f t="shared" si="141"/>
        <v/>
      </c>
      <c r="Z1002">
        <f t="shared" si="142"/>
        <v>0</v>
      </c>
      <c r="AA1002">
        <f t="shared" si="143"/>
        <v>0</v>
      </c>
    </row>
    <row r="1003" spans="2:27" ht="15.75" customHeight="1" x14ac:dyDescent="0.3">
      <c r="B1003" s="21"/>
      <c r="C1003" s="21"/>
      <c r="D1003" s="21"/>
      <c r="E1003" s="22" t="str">
        <f t="shared" si="135"/>
        <v/>
      </c>
      <c r="F1003" s="21"/>
      <c r="G1003" s="21"/>
      <c r="H1003" s="21"/>
      <c r="I1003" s="21"/>
      <c r="J1003" s="21"/>
      <c r="K1003" s="21"/>
      <c r="L1003" s="21"/>
      <c r="M1003" s="21"/>
      <c r="N1003" s="21"/>
      <c r="O1003" s="21"/>
      <c r="P1003" s="21"/>
      <c r="Q1003" s="21"/>
      <c r="R1003" s="23" t="str">
        <f>IF($F1003="","",IF(OR($B1003="",$C1003="",$D1003=""),"⚠ Compléter Année/Niveau/Session",IF(AND($E1003&lt;&gt;"",COUNTIF(D_KEY_DOUBLON,$B1003&amp;"|"&amp;$D1003&amp;"|"&amp;$E1003)&gt;1),"⚠ Doublon",IF(AND($E1003&lt;&gt;"",COUNTIF(D_KEY_STATUT,$B1003&amp;"|"&amp;$E1003&amp;"|P")&gt;0,COUNTIF(D_KEY_STATUT,$B1003&amp;"|"&amp;$E1003&amp;"|A")&gt;0),"⚠ Statut incohérent",IF(AND($D1003="S1",$Y1003&lt;&gt;"Parti",COUNTIF(ANNEES_VERROU,$B1003)&gt;0,COUNTIF(D_KEY_NIVSES,$B1003&amp;"|"&amp;$C1003&amp;"|S2")&gt;0,COUNTIF(D_KEY_DOUBLON,$B1003&amp;"|S2|"&amp;$E1003)=0),"⚠ Départ non confirmé ?",IF(AND($C1003&lt;&gt;"",ISNUMBER($I1003),OR(VALUE(LEFT($B1003,4))-$I1003&lt;4+IFERROR(MATCH($C1003,LISTE_NIVEAUX,0),99),VALUE(LEFT($B1003,4))-$I1003&gt;6+IFERROR(MATCH($C1003,LISTE_NIVEAUX,0),99))),"⚠ Vérifier niveau",IF(AND(IFERROR(VLOOKUP($C1003,TABLE_CYCLE,2,0),3)=2,COUNT($O1003:$Q1003)&gt;0),"⚠ Tests cycle 3",IF(COUNT($J1003:$Q1003)&gt;=IF(IFERROR(VLOOKUP($C1003,TABLE_CYCLE,2,0),3)=2,5,8),"Complet","Incomplet"))))))))</f>
        <v/>
      </c>
      <c r="S1003" s="24"/>
      <c r="T1003" s="67" t="str">
        <f t="shared" si="136"/>
        <v/>
      </c>
      <c r="U1003" s="67" t="str">
        <f t="shared" si="137"/>
        <v/>
      </c>
      <c r="V1003" s="67" t="str">
        <f t="shared" si="138"/>
        <v/>
      </c>
      <c r="W1003" s="67" t="str">
        <f t="shared" si="139"/>
        <v/>
      </c>
      <c r="X1003" s="67" t="str">
        <f t="shared" si="140"/>
        <v/>
      </c>
      <c r="Y1003" s="24" t="str">
        <f t="shared" si="141"/>
        <v/>
      </c>
      <c r="Z1003">
        <f t="shared" si="142"/>
        <v>0</v>
      </c>
      <c r="AA1003">
        <f t="shared" si="143"/>
        <v>0</v>
      </c>
    </row>
    <row r="1004" spans="2:27" ht="15.75" customHeight="1" x14ac:dyDescent="0.3">
      <c r="B1004" s="25"/>
      <c r="C1004" s="25"/>
      <c r="D1004" s="25"/>
      <c r="E1004" s="26" t="str">
        <f t="shared" si="135"/>
        <v/>
      </c>
      <c r="F1004" s="25"/>
      <c r="G1004" s="25"/>
      <c r="H1004" s="25"/>
      <c r="I1004" s="25"/>
      <c r="J1004" s="25"/>
      <c r="K1004" s="25"/>
      <c r="L1004" s="25"/>
      <c r="M1004" s="25"/>
      <c r="N1004" s="25"/>
      <c r="O1004" s="25"/>
      <c r="P1004" s="25"/>
      <c r="Q1004" s="25"/>
      <c r="R1004" s="23" t="str">
        <f>IF($F1004="","",IF(OR($B1004="",$C1004="",$D1004=""),"⚠ Compléter Année/Niveau/Session",IF(AND($E1004&lt;&gt;"",COUNTIF(D_KEY_DOUBLON,$B1004&amp;"|"&amp;$D1004&amp;"|"&amp;$E1004)&gt;1),"⚠ Doublon",IF(AND($E1004&lt;&gt;"",COUNTIF(D_KEY_STATUT,$B1004&amp;"|"&amp;$E1004&amp;"|P")&gt;0,COUNTIF(D_KEY_STATUT,$B1004&amp;"|"&amp;$E1004&amp;"|A")&gt;0),"⚠ Statut incohérent",IF(AND($D1004="S1",$Y1004&lt;&gt;"Parti",COUNTIF(ANNEES_VERROU,$B1004)&gt;0,COUNTIF(D_KEY_NIVSES,$B1004&amp;"|"&amp;$C1004&amp;"|S2")&gt;0,COUNTIF(D_KEY_DOUBLON,$B1004&amp;"|S2|"&amp;$E1004)=0),"⚠ Départ non confirmé ?",IF(AND($C1004&lt;&gt;"",ISNUMBER($I1004),OR(VALUE(LEFT($B1004,4))-$I1004&lt;4+IFERROR(MATCH($C1004,LISTE_NIVEAUX,0),99),VALUE(LEFT($B1004,4))-$I1004&gt;6+IFERROR(MATCH($C1004,LISTE_NIVEAUX,0),99))),"⚠ Vérifier niveau",IF(AND(IFERROR(VLOOKUP($C1004,TABLE_CYCLE,2,0),3)=2,COUNT($O1004:$Q1004)&gt;0),"⚠ Tests cycle 3",IF(COUNT($J1004:$Q1004)&gt;=IF(IFERROR(VLOOKUP($C1004,TABLE_CYCLE,2,0),3)=2,5,8),"Complet","Incomplet"))))))))</f>
        <v/>
      </c>
      <c r="S1004" s="24"/>
      <c r="T1004" s="67" t="str">
        <f t="shared" si="136"/>
        <v/>
      </c>
      <c r="U1004" s="67" t="str">
        <f t="shared" si="137"/>
        <v/>
      </c>
      <c r="V1004" s="67" t="str">
        <f t="shared" si="138"/>
        <v/>
      </c>
      <c r="W1004" s="67" t="str">
        <f t="shared" si="139"/>
        <v/>
      </c>
      <c r="X1004" s="67" t="str">
        <f t="shared" si="140"/>
        <v/>
      </c>
      <c r="Y1004" s="24" t="str">
        <f t="shared" si="141"/>
        <v/>
      </c>
      <c r="Z1004">
        <f t="shared" si="142"/>
        <v>0</v>
      </c>
      <c r="AA1004">
        <f t="shared" si="143"/>
        <v>0</v>
      </c>
    </row>
    <row r="1005" spans="2:27" ht="15.75" customHeight="1" x14ac:dyDescent="0.3">
      <c r="B1005" s="21"/>
      <c r="C1005" s="21"/>
      <c r="D1005" s="21"/>
      <c r="E1005" s="22" t="str">
        <f t="shared" si="135"/>
        <v/>
      </c>
      <c r="F1005" s="21"/>
      <c r="G1005" s="21"/>
      <c r="H1005" s="21"/>
      <c r="I1005" s="21"/>
      <c r="J1005" s="21"/>
      <c r="K1005" s="21"/>
      <c r="L1005" s="21"/>
      <c r="M1005" s="21"/>
      <c r="N1005" s="21"/>
      <c r="O1005" s="21"/>
      <c r="P1005" s="21"/>
      <c r="Q1005" s="21"/>
      <c r="R1005" s="23" t="str">
        <f>IF($F1005="","",IF(OR($B1005="",$C1005="",$D1005=""),"⚠ Compléter Année/Niveau/Session",IF(AND($E1005&lt;&gt;"",COUNTIF(D_KEY_DOUBLON,$B1005&amp;"|"&amp;$D1005&amp;"|"&amp;$E1005)&gt;1),"⚠ Doublon",IF(AND($E1005&lt;&gt;"",COUNTIF(D_KEY_STATUT,$B1005&amp;"|"&amp;$E1005&amp;"|P")&gt;0,COUNTIF(D_KEY_STATUT,$B1005&amp;"|"&amp;$E1005&amp;"|A")&gt;0),"⚠ Statut incohérent",IF(AND($D1005="S1",$Y1005&lt;&gt;"Parti",COUNTIF(ANNEES_VERROU,$B1005)&gt;0,COUNTIF(D_KEY_NIVSES,$B1005&amp;"|"&amp;$C1005&amp;"|S2")&gt;0,COUNTIF(D_KEY_DOUBLON,$B1005&amp;"|S2|"&amp;$E1005)=0),"⚠ Départ non confirmé ?",IF(AND($C1005&lt;&gt;"",ISNUMBER($I1005),OR(VALUE(LEFT($B1005,4))-$I1005&lt;4+IFERROR(MATCH($C1005,LISTE_NIVEAUX,0),99),VALUE(LEFT($B1005,4))-$I1005&gt;6+IFERROR(MATCH($C1005,LISTE_NIVEAUX,0),99))),"⚠ Vérifier niveau",IF(AND(IFERROR(VLOOKUP($C1005,TABLE_CYCLE,2,0),3)=2,COUNT($O1005:$Q1005)&gt;0),"⚠ Tests cycle 3",IF(COUNT($J1005:$Q1005)&gt;=IF(IFERROR(VLOOKUP($C1005,TABLE_CYCLE,2,0),3)=2,5,8),"Complet","Incomplet"))))))))</f>
        <v/>
      </c>
      <c r="S1005" s="24"/>
      <c r="T1005" s="67" t="str">
        <f t="shared" si="136"/>
        <v/>
      </c>
      <c r="U1005" s="67" t="str">
        <f t="shared" si="137"/>
        <v/>
      </c>
      <c r="V1005" s="67" t="str">
        <f t="shared" si="138"/>
        <v/>
      </c>
      <c r="W1005" s="67" t="str">
        <f t="shared" si="139"/>
        <v/>
      </c>
      <c r="X1005" s="67" t="str">
        <f t="shared" si="140"/>
        <v/>
      </c>
      <c r="Y1005" s="24" t="str">
        <f t="shared" si="141"/>
        <v/>
      </c>
      <c r="Z1005">
        <f t="shared" si="142"/>
        <v>0</v>
      </c>
      <c r="AA1005">
        <f t="shared" si="143"/>
        <v>0</v>
      </c>
    </row>
    <row r="1006" spans="2:27" ht="15.75" customHeight="1" x14ac:dyDescent="0.3">
      <c r="B1006" s="25"/>
      <c r="C1006" s="25"/>
      <c r="D1006" s="25"/>
      <c r="E1006" s="26" t="str">
        <f t="shared" si="135"/>
        <v/>
      </c>
      <c r="F1006" s="25"/>
      <c r="G1006" s="25"/>
      <c r="H1006" s="25"/>
      <c r="I1006" s="25"/>
      <c r="J1006" s="25"/>
      <c r="K1006" s="25"/>
      <c r="L1006" s="25"/>
      <c r="M1006" s="25"/>
      <c r="N1006" s="25"/>
      <c r="O1006" s="25"/>
      <c r="P1006" s="25"/>
      <c r="Q1006" s="25"/>
      <c r="R1006" s="23" t="str">
        <f>IF($F1006="","",IF(OR($B1006="",$C1006="",$D1006=""),"⚠ Compléter Année/Niveau/Session",IF(AND($E1006&lt;&gt;"",COUNTIF(D_KEY_DOUBLON,$B1006&amp;"|"&amp;$D1006&amp;"|"&amp;$E1006)&gt;1),"⚠ Doublon",IF(AND($E1006&lt;&gt;"",COUNTIF(D_KEY_STATUT,$B1006&amp;"|"&amp;$E1006&amp;"|P")&gt;0,COUNTIF(D_KEY_STATUT,$B1006&amp;"|"&amp;$E1006&amp;"|A")&gt;0),"⚠ Statut incohérent",IF(AND($D1006="S1",$Y1006&lt;&gt;"Parti",COUNTIF(ANNEES_VERROU,$B1006)&gt;0,COUNTIF(D_KEY_NIVSES,$B1006&amp;"|"&amp;$C1006&amp;"|S2")&gt;0,COUNTIF(D_KEY_DOUBLON,$B1006&amp;"|S2|"&amp;$E1006)=0),"⚠ Départ non confirmé ?",IF(AND($C1006&lt;&gt;"",ISNUMBER($I1006),OR(VALUE(LEFT($B1006,4))-$I1006&lt;4+IFERROR(MATCH($C1006,LISTE_NIVEAUX,0),99),VALUE(LEFT($B1006,4))-$I1006&gt;6+IFERROR(MATCH($C1006,LISTE_NIVEAUX,0),99))),"⚠ Vérifier niveau",IF(AND(IFERROR(VLOOKUP($C1006,TABLE_CYCLE,2,0),3)=2,COUNT($O1006:$Q1006)&gt;0),"⚠ Tests cycle 3",IF(COUNT($J1006:$Q1006)&gt;=IF(IFERROR(VLOOKUP($C1006,TABLE_CYCLE,2,0),3)=2,5,8),"Complet","Incomplet"))))))))</f>
        <v/>
      </c>
      <c r="S1006" s="24"/>
      <c r="T1006" s="67" t="str">
        <f t="shared" si="136"/>
        <v/>
      </c>
      <c r="U1006" s="67" t="str">
        <f t="shared" si="137"/>
        <v/>
      </c>
      <c r="V1006" s="67" t="str">
        <f t="shared" si="138"/>
        <v/>
      </c>
      <c r="W1006" s="67" t="str">
        <f t="shared" si="139"/>
        <v/>
      </c>
      <c r="X1006" s="67" t="str">
        <f t="shared" si="140"/>
        <v/>
      </c>
      <c r="Y1006" s="24" t="str">
        <f t="shared" si="141"/>
        <v/>
      </c>
      <c r="Z1006">
        <f t="shared" si="142"/>
        <v>0</v>
      </c>
      <c r="AA1006">
        <f t="shared" si="143"/>
        <v>0</v>
      </c>
    </row>
    <row r="1007" spans="2:27" ht="15.75" customHeight="1" x14ac:dyDescent="0.3">
      <c r="B1007" s="21"/>
      <c r="C1007" s="21"/>
      <c r="D1007" s="21"/>
      <c r="E1007" s="22" t="str">
        <f t="shared" si="135"/>
        <v/>
      </c>
      <c r="F1007" s="21"/>
      <c r="G1007" s="21"/>
      <c r="H1007" s="21"/>
      <c r="I1007" s="21"/>
      <c r="J1007" s="21"/>
      <c r="K1007" s="21"/>
      <c r="L1007" s="21"/>
      <c r="M1007" s="21"/>
      <c r="N1007" s="21"/>
      <c r="O1007" s="21"/>
      <c r="P1007" s="21"/>
      <c r="Q1007" s="21"/>
      <c r="R1007" s="23" t="str">
        <f>IF($F1007="","",IF(OR($B1007="",$C1007="",$D1007=""),"⚠ Compléter Année/Niveau/Session",IF(AND($E1007&lt;&gt;"",COUNTIF(D_KEY_DOUBLON,$B1007&amp;"|"&amp;$D1007&amp;"|"&amp;$E1007)&gt;1),"⚠ Doublon",IF(AND($E1007&lt;&gt;"",COUNTIF(D_KEY_STATUT,$B1007&amp;"|"&amp;$E1007&amp;"|P")&gt;0,COUNTIF(D_KEY_STATUT,$B1007&amp;"|"&amp;$E1007&amp;"|A")&gt;0),"⚠ Statut incohérent",IF(AND($D1007="S1",$Y1007&lt;&gt;"Parti",COUNTIF(ANNEES_VERROU,$B1007)&gt;0,COUNTIF(D_KEY_NIVSES,$B1007&amp;"|"&amp;$C1007&amp;"|S2")&gt;0,COUNTIF(D_KEY_DOUBLON,$B1007&amp;"|S2|"&amp;$E1007)=0),"⚠ Départ non confirmé ?",IF(AND($C1007&lt;&gt;"",ISNUMBER($I1007),OR(VALUE(LEFT($B1007,4))-$I1007&lt;4+IFERROR(MATCH($C1007,LISTE_NIVEAUX,0),99),VALUE(LEFT($B1007,4))-$I1007&gt;6+IFERROR(MATCH($C1007,LISTE_NIVEAUX,0),99))),"⚠ Vérifier niveau",IF(AND(IFERROR(VLOOKUP($C1007,TABLE_CYCLE,2,0),3)=2,COUNT($O1007:$Q1007)&gt;0),"⚠ Tests cycle 3",IF(COUNT($J1007:$Q1007)&gt;=IF(IFERROR(VLOOKUP($C1007,TABLE_CYCLE,2,0),3)=2,5,8),"Complet","Incomplet"))))))))</f>
        <v/>
      </c>
      <c r="S1007" s="24"/>
      <c r="T1007" s="67" t="str">
        <f t="shared" si="136"/>
        <v/>
      </c>
      <c r="U1007" s="67" t="str">
        <f t="shared" si="137"/>
        <v/>
      </c>
      <c r="V1007" s="67" t="str">
        <f t="shared" si="138"/>
        <v/>
      </c>
      <c r="W1007" s="67" t="str">
        <f t="shared" si="139"/>
        <v/>
      </c>
      <c r="X1007" s="67" t="str">
        <f t="shared" si="140"/>
        <v/>
      </c>
      <c r="Y1007" s="24" t="str">
        <f t="shared" si="141"/>
        <v/>
      </c>
      <c r="Z1007">
        <f t="shared" si="142"/>
        <v>0</v>
      </c>
      <c r="AA1007">
        <f t="shared" si="143"/>
        <v>0</v>
      </c>
    </row>
    <row r="1008" spans="2:27" ht="15.75" customHeight="1" x14ac:dyDescent="0.3">
      <c r="B1008" s="25"/>
      <c r="C1008" s="25"/>
      <c r="D1008" s="25"/>
      <c r="E1008" s="26" t="str">
        <f t="shared" si="135"/>
        <v/>
      </c>
      <c r="F1008" s="25"/>
      <c r="G1008" s="25"/>
      <c r="H1008" s="25"/>
      <c r="I1008" s="25"/>
      <c r="J1008" s="25"/>
      <c r="K1008" s="25"/>
      <c r="L1008" s="25"/>
      <c r="M1008" s="25"/>
      <c r="N1008" s="25"/>
      <c r="O1008" s="25"/>
      <c r="P1008" s="25"/>
      <c r="Q1008" s="25"/>
      <c r="R1008" s="23" t="str">
        <f>IF($F1008="","",IF(OR($B1008="",$C1008="",$D1008=""),"⚠ Compléter Année/Niveau/Session",IF(AND($E1008&lt;&gt;"",COUNTIF(D_KEY_DOUBLON,$B1008&amp;"|"&amp;$D1008&amp;"|"&amp;$E1008)&gt;1),"⚠ Doublon",IF(AND($E1008&lt;&gt;"",COUNTIF(D_KEY_STATUT,$B1008&amp;"|"&amp;$E1008&amp;"|P")&gt;0,COUNTIF(D_KEY_STATUT,$B1008&amp;"|"&amp;$E1008&amp;"|A")&gt;0),"⚠ Statut incohérent",IF(AND($D1008="S1",$Y1008&lt;&gt;"Parti",COUNTIF(ANNEES_VERROU,$B1008)&gt;0,COUNTIF(D_KEY_NIVSES,$B1008&amp;"|"&amp;$C1008&amp;"|S2")&gt;0,COUNTIF(D_KEY_DOUBLON,$B1008&amp;"|S2|"&amp;$E1008)=0),"⚠ Départ non confirmé ?",IF(AND($C1008&lt;&gt;"",ISNUMBER($I1008),OR(VALUE(LEFT($B1008,4))-$I1008&lt;4+IFERROR(MATCH($C1008,LISTE_NIVEAUX,0),99),VALUE(LEFT($B1008,4))-$I1008&gt;6+IFERROR(MATCH($C1008,LISTE_NIVEAUX,0),99))),"⚠ Vérifier niveau",IF(AND(IFERROR(VLOOKUP($C1008,TABLE_CYCLE,2,0),3)=2,COUNT($O1008:$Q1008)&gt;0),"⚠ Tests cycle 3",IF(COUNT($J1008:$Q1008)&gt;=IF(IFERROR(VLOOKUP($C1008,TABLE_CYCLE,2,0),3)=2,5,8),"Complet","Incomplet"))))))))</f>
        <v/>
      </c>
      <c r="S1008" s="24"/>
      <c r="T1008" s="67" t="str">
        <f t="shared" si="136"/>
        <v/>
      </c>
      <c r="U1008" s="67" t="str">
        <f t="shared" si="137"/>
        <v/>
      </c>
      <c r="V1008" s="67" t="str">
        <f t="shared" si="138"/>
        <v/>
      </c>
      <c r="W1008" s="67" t="str">
        <f t="shared" si="139"/>
        <v/>
      </c>
      <c r="X1008" s="67" t="str">
        <f t="shared" si="140"/>
        <v/>
      </c>
      <c r="Y1008" s="24" t="str">
        <f t="shared" si="141"/>
        <v/>
      </c>
      <c r="Z1008">
        <f t="shared" si="142"/>
        <v>0</v>
      </c>
      <c r="AA1008">
        <f t="shared" si="143"/>
        <v>0</v>
      </c>
    </row>
    <row r="1009" spans="2:27" ht="15.75" customHeight="1" x14ac:dyDescent="0.3">
      <c r="B1009" s="21"/>
      <c r="C1009" s="21"/>
      <c r="D1009" s="21"/>
      <c r="E1009" s="22" t="str">
        <f t="shared" si="135"/>
        <v/>
      </c>
      <c r="F1009" s="21"/>
      <c r="G1009" s="21"/>
      <c r="H1009" s="21"/>
      <c r="I1009" s="21"/>
      <c r="J1009" s="21"/>
      <c r="K1009" s="21"/>
      <c r="L1009" s="21"/>
      <c r="M1009" s="21"/>
      <c r="N1009" s="21"/>
      <c r="O1009" s="21"/>
      <c r="P1009" s="21"/>
      <c r="Q1009" s="21"/>
      <c r="R1009" s="23" t="str">
        <f>IF($F1009="","",IF(OR($B1009="",$C1009="",$D1009=""),"⚠ Compléter Année/Niveau/Session",IF(AND($E1009&lt;&gt;"",COUNTIF(D_KEY_DOUBLON,$B1009&amp;"|"&amp;$D1009&amp;"|"&amp;$E1009)&gt;1),"⚠ Doublon",IF(AND($E1009&lt;&gt;"",COUNTIF(D_KEY_STATUT,$B1009&amp;"|"&amp;$E1009&amp;"|P")&gt;0,COUNTIF(D_KEY_STATUT,$B1009&amp;"|"&amp;$E1009&amp;"|A")&gt;0),"⚠ Statut incohérent",IF(AND($D1009="S1",$Y1009&lt;&gt;"Parti",COUNTIF(ANNEES_VERROU,$B1009)&gt;0,COUNTIF(D_KEY_NIVSES,$B1009&amp;"|"&amp;$C1009&amp;"|S2")&gt;0,COUNTIF(D_KEY_DOUBLON,$B1009&amp;"|S2|"&amp;$E1009)=0),"⚠ Départ non confirmé ?",IF(AND($C1009&lt;&gt;"",ISNUMBER($I1009),OR(VALUE(LEFT($B1009,4))-$I1009&lt;4+IFERROR(MATCH($C1009,LISTE_NIVEAUX,0),99),VALUE(LEFT($B1009,4))-$I1009&gt;6+IFERROR(MATCH($C1009,LISTE_NIVEAUX,0),99))),"⚠ Vérifier niveau",IF(AND(IFERROR(VLOOKUP($C1009,TABLE_CYCLE,2,0),3)=2,COUNT($O1009:$Q1009)&gt;0),"⚠ Tests cycle 3",IF(COUNT($J1009:$Q1009)&gt;=IF(IFERROR(VLOOKUP($C1009,TABLE_CYCLE,2,0),3)=2,5,8),"Complet","Incomplet"))))))))</f>
        <v/>
      </c>
      <c r="S1009" s="24"/>
      <c r="T1009" s="67" t="str">
        <f t="shared" si="136"/>
        <v/>
      </c>
      <c r="U1009" s="67" t="str">
        <f t="shared" si="137"/>
        <v/>
      </c>
      <c r="V1009" s="67" t="str">
        <f t="shared" si="138"/>
        <v/>
      </c>
      <c r="W1009" s="67" t="str">
        <f t="shared" si="139"/>
        <v/>
      </c>
      <c r="X1009" s="67" t="str">
        <f t="shared" si="140"/>
        <v/>
      </c>
      <c r="Y1009" s="24" t="str">
        <f t="shared" si="141"/>
        <v/>
      </c>
      <c r="Z1009">
        <f t="shared" si="142"/>
        <v>0</v>
      </c>
      <c r="AA1009">
        <f t="shared" si="143"/>
        <v>0</v>
      </c>
    </row>
    <row r="1010" spans="2:27" ht="15.75" customHeight="1" x14ac:dyDescent="0.3">
      <c r="B1010" s="25"/>
      <c r="C1010" s="25"/>
      <c r="D1010" s="25"/>
      <c r="E1010" s="26" t="str">
        <f t="shared" si="135"/>
        <v/>
      </c>
      <c r="F1010" s="25"/>
      <c r="G1010" s="25"/>
      <c r="H1010" s="25"/>
      <c r="I1010" s="25"/>
      <c r="J1010" s="25"/>
      <c r="K1010" s="25"/>
      <c r="L1010" s="25"/>
      <c r="M1010" s="25"/>
      <c r="N1010" s="25"/>
      <c r="O1010" s="25"/>
      <c r="P1010" s="25"/>
      <c r="Q1010" s="25"/>
      <c r="R1010" s="23" t="str">
        <f>IF($F1010="","",IF(OR($B1010="",$C1010="",$D1010=""),"⚠ Compléter Année/Niveau/Session",IF(AND($E1010&lt;&gt;"",COUNTIF(D_KEY_DOUBLON,$B1010&amp;"|"&amp;$D1010&amp;"|"&amp;$E1010)&gt;1),"⚠ Doublon",IF(AND($E1010&lt;&gt;"",COUNTIF(D_KEY_STATUT,$B1010&amp;"|"&amp;$E1010&amp;"|P")&gt;0,COUNTIF(D_KEY_STATUT,$B1010&amp;"|"&amp;$E1010&amp;"|A")&gt;0),"⚠ Statut incohérent",IF(AND($D1010="S1",$Y1010&lt;&gt;"Parti",COUNTIF(ANNEES_VERROU,$B1010)&gt;0,COUNTIF(D_KEY_NIVSES,$B1010&amp;"|"&amp;$C1010&amp;"|S2")&gt;0,COUNTIF(D_KEY_DOUBLON,$B1010&amp;"|S2|"&amp;$E1010)=0),"⚠ Départ non confirmé ?",IF(AND($C1010&lt;&gt;"",ISNUMBER($I1010),OR(VALUE(LEFT($B1010,4))-$I1010&lt;4+IFERROR(MATCH($C1010,LISTE_NIVEAUX,0),99),VALUE(LEFT($B1010,4))-$I1010&gt;6+IFERROR(MATCH($C1010,LISTE_NIVEAUX,0),99))),"⚠ Vérifier niveau",IF(AND(IFERROR(VLOOKUP($C1010,TABLE_CYCLE,2,0),3)=2,COUNT($O1010:$Q1010)&gt;0),"⚠ Tests cycle 3",IF(COUNT($J1010:$Q1010)&gt;=IF(IFERROR(VLOOKUP($C1010,TABLE_CYCLE,2,0),3)=2,5,8),"Complet","Incomplet"))))))))</f>
        <v/>
      </c>
      <c r="S1010" s="24"/>
      <c r="T1010" s="67" t="str">
        <f t="shared" si="136"/>
        <v/>
      </c>
      <c r="U1010" s="67" t="str">
        <f t="shared" si="137"/>
        <v/>
      </c>
      <c r="V1010" s="67" t="str">
        <f t="shared" si="138"/>
        <v/>
      </c>
      <c r="W1010" s="67" t="str">
        <f t="shared" si="139"/>
        <v/>
      </c>
      <c r="X1010" s="67" t="str">
        <f t="shared" si="140"/>
        <v/>
      </c>
      <c r="Y1010" s="24" t="str">
        <f t="shared" si="141"/>
        <v/>
      </c>
      <c r="Z1010">
        <f t="shared" si="142"/>
        <v>0</v>
      </c>
      <c r="AA1010">
        <f t="shared" si="143"/>
        <v>0</v>
      </c>
    </row>
    <row r="1011" spans="2:27" ht="15.75" customHeight="1" x14ac:dyDescent="0.3">
      <c r="B1011" s="21"/>
      <c r="C1011" s="21"/>
      <c r="D1011" s="21"/>
      <c r="E1011" s="22" t="str">
        <f t="shared" si="135"/>
        <v/>
      </c>
      <c r="F1011" s="21"/>
      <c r="G1011" s="21"/>
      <c r="H1011" s="21"/>
      <c r="I1011" s="21"/>
      <c r="J1011" s="21"/>
      <c r="K1011" s="21"/>
      <c r="L1011" s="21"/>
      <c r="M1011" s="21"/>
      <c r="N1011" s="21"/>
      <c r="O1011" s="21"/>
      <c r="P1011" s="21"/>
      <c r="Q1011" s="21"/>
      <c r="R1011" s="23" t="str">
        <f>IF($F1011="","",IF(OR($B1011="",$C1011="",$D1011=""),"⚠ Compléter Année/Niveau/Session",IF(AND($E1011&lt;&gt;"",COUNTIF(D_KEY_DOUBLON,$B1011&amp;"|"&amp;$D1011&amp;"|"&amp;$E1011)&gt;1),"⚠ Doublon",IF(AND($E1011&lt;&gt;"",COUNTIF(D_KEY_STATUT,$B1011&amp;"|"&amp;$E1011&amp;"|P")&gt;0,COUNTIF(D_KEY_STATUT,$B1011&amp;"|"&amp;$E1011&amp;"|A")&gt;0),"⚠ Statut incohérent",IF(AND($D1011="S1",$Y1011&lt;&gt;"Parti",COUNTIF(ANNEES_VERROU,$B1011)&gt;0,COUNTIF(D_KEY_NIVSES,$B1011&amp;"|"&amp;$C1011&amp;"|S2")&gt;0,COUNTIF(D_KEY_DOUBLON,$B1011&amp;"|S2|"&amp;$E1011)=0),"⚠ Départ non confirmé ?",IF(AND($C1011&lt;&gt;"",ISNUMBER($I1011),OR(VALUE(LEFT($B1011,4))-$I1011&lt;4+IFERROR(MATCH($C1011,LISTE_NIVEAUX,0),99),VALUE(LEFT($B1011,4))-$I1011&gt;6+IFERROR(MATCH($C1011,LISTE_NIVEAUX,0),99))),"⚠ Vérifier niveau",IF(AND(IFERROR(VLOOKUP($C1011,TABLE_CYCLE,2,0),3)=2,COUNT($O1011:$Q1011)&gt;0),"⚠ Tests cycle 3",IF(COUNT($J1011:$Q1011)&gt;=IF(IFERROR(VLOOKUP($C1011,TABLE_CYCLE,2,0),3)=2,5,8),"Complet","Incomplet"))))))))</f>
        <v/>
      </c>
      <c r="S1011" s="24"/>
      <c r="T1011" s="67" t="str">
        <f t="shared" si="136"/>
        <v/>
      </c>
      <c r="U1011" s="67" t="str">
        <f t="shared" si="137"/>
        <v/>
      </c>
      <c r="V1011" s="67" t="str">
        <f t="shared" si="138"/>
        <v/>
      </c>
      <c r="W1011" s="67" t="str">
        <f t="shared" si="139"/>
        <v/>
      </c>
      <c r="X1011" s="67" t="str">
        <f t="shared" si="140"/>
        <v/>
      </c>
      <c r="Y1011" s="24" t="str">
        <f t="shared" si="141"/>
        <v/>
      </c>
      <c r="Z1011">
        <f t="shared" si="142"/>
        <v>0</v>
      </c>
      <c r="AA1011">
        <f t="shared" si="143"/>
        <v>0</v>
      </c>
    </row>
    <row r="1012" spans="2:27" ht="15.75" customHeight="1" x14ac:dyDescent="0.3">
      <c r="B1012" s="25"/>
      <c r="C1012" s="25"/>
      <c r="D1012" s="25"/>
      <c r="E1012" s="26" t="str">
        <f t="shared" si="135"/>
        <v/>
      </c>
      <c r="F1012" s="25"/>
      <c r="G1012" s="25"/>
      <c r="H1012" s="25"/>
      <c r="I1012" s="25"/>
      <c r="J1012" s="25"/>
      <c r="K1012" s="25"/>
      <c r="L1012" s="25"/>
      <c r="M1012" s="25"/>
      <c r="N1012" s="25"/>
      <c r="O1012" s="25"/>
      <c r="P1012" s="25"/>
      <c r="Q1012" s="25"/>
      <c r="R1012" s="23" t="str">
        <f>IF($F1012="","",IF(OR($B1012="",$C1012="",$D1012=""),"⚠ Compléter Année/Niveau/Session",IF(AND($E1012&lt;&gt;"",COUNTIF(D_KEY_DOUBLON,$B1012&amp;"|"&amp;$D1012&amp;"|"&amp;$E1012)&gt;1),"⚠ Doublon",IF(AND($E1012&lt;&gt;"",COUNTIF(D_KEY_STATUT,$B1012&amp;"|"&amp;$E1012&amp;"|P")&gt;0,COUNTIF(D_KEY_STATUT,$B1012&amp;"|"&amp;$E1012&amp;"|A")&gt;0),"⚠ Statut incohérent",IF(AND($D1012="S1",$Y1012&lt;&gt;"Parti",COUNTIF(ANNEES_VERROU,$B1012)&gt;0,COUNTIF(D_KEY_NIVSES,$B1012&amp;"|"&amp;$C1012&amp;"|S2")&gt;0,COUNTIF(D_KEY_DOUBLON,$B1012&amp;"|S2|"&amp;$E1012)=0),"⚠ Départ non confirmé ?",IF(AND($C1012&lt;&gt;"",ISNUMBER($I1012),OR(VALUE(LEFT($B1012,4))-$I1012&lt;4+IFERROR(MATCH($C1012,LISTE_NIVEAUX,0),99),VALUE(LEFT($B1012,4))-$I1012&gt;6+IFERROR(MATCH($C1012,LISTE_NIVEAUX,0),99))),"⚠ Vérifier niveau",IF(AND(IFERROR(VLOOKUP($C1012,TABLE_CYCLE,2,0),3)=2,COUNT($O1012:$Q1012)&gt;0),"⚠ Tests cycle 3",IF(COUNT($J1012:$Q1012)&gt;=IF(IFERROR(VLOOKUP($C1012,TABLE_CYCLE,2,0),3)=2,5,8),"Complet","Incomplet"))))))))</f>
        <v/>
      </c>
      <c r="S1012" s="24"/>
      <c r="T1012" s="67" t="str">
        <f t="shared" si="136"/>
        <v/>
      </c>
      <c r="U1012" s="67" t="str">
        <f t="shared" si="137"/>
        <v/>
      </c>
      <c r="V1012" s="67" t="str">
        <f t="shared" si="138"/>
        <v/>
      </c>
      <c r="W1012" s="67" t="str">
        <f t="shared" si="139"/>
        <v/>
      </c>
      <c r="X1012" s="67" t="str">
        <f t="shared" si="140"/>
        <v/>
      </c>
      <c r="Y1012" s="24" t="str">
        <f t="shared" si="141"/>
        <v/>
      </c>
      <c r="Z1012">
        <f t="shared" si="142"/>
        <v>0</v>
      </c>
      <c r="AA1012">
        <f t="shared" si="143"/>
        <v>0</v>
      </c>
    </row>
    <row r="1013" spans="2:27" ht="15.75" customHeight="1" x14ac:dyDescent="0.3">
      <c r="B1013" s="21"/>
      <c r="C1013" s="21"/>
      <c r="D1013" s="21"/>
      <c r="E1013" s="22" t="str">
        <f t="shared" si="135"/>
        <v/>
      </c>
      <c r="F1013" s="21"/>
      <c r="G1013" s="21"/>
      <c r="H1013" s="21"/>
      <c r="I1013" s="21"/>
      <c r="J1013" s="21"/>
      <c r="K1013" s="21"/>
      <c r="L1013" s="21"/>
      <c r="M1013" s="21"/>
      <c r="N1013" s="21"/>
      <c r="O1013" s="21"/>
      <c r="P1013" s="21"/>
      <c r="Q1013" s="21"/>
      <c r="R1013" s="23" t="str">
        <f>IF($F1013="","",IF(OR($B1013="",$C1013="",$D1013=""),"⚠ Compléter Année/Niveau/Session",IF(AND($E1013&lt;&gt;"",COUNTIF(D_KEY_DOUBLON,$B1013&amp;"|"&amp;$D1013&amp;"|"&amp;$E1013)&gt;1),"⚠ Doublon",IF(AND($E1013&lt;&gt;"",COUNTIF(D_KEY_STATUT,$B1013&amp;"|"&amp;$E1013&amp;"|P")&gt;0,COUNTIF(D_KEY_STATUT,$B1013&amp;"|"&amp;$E1013&amp;"|A")&gt;0),"⚠ Statut incohérent",IF(AND($D1013="S1",$Y1013&lt;&gt;"Parti",COUNTIF(ANNEES_VERROU,$B1013)&gt;0,COUNTIF(D_KEY_NIVSES,$B1013&amp;"|"&amp;$C1013&amp;"|S2")&gt;0,COUNTIF(D_KEY_DOUBLON,$B1013&amp;"|S2|"&amp;$E1013)=0),"⚠ Départ non confirmé ?",IF(AND($C1013&lt;&gt;"",ISNUMBER($I1013),OR(VALUE(LEFT($B1013,4))-$I1013&lt;4+IFERROR(MATCH($C1013,LISTE_NIVEAUX,0),99),VALUE(LEFT($B1013,4))-$I1013&gt;6+IFERROR(MATCH($C1013,LISTE_NIVEAUX,0),99))),"⚠ Vérifier niveau",IF(AND(IFERROR(VLOOKUP($C1013,TABLE_CYCLE,2,0),3)=2,COUNT($O1013:$Q1013)&gt;0),"⚠ Tests cycle 3",IF(COUNT($J1013:$Q1013)&gt;=IF(IFERROR(VLOOKUP($C1013,TABLE_CYCLE,2,0),3)=2,5,8),"Complet","Incomplet"))))))))</f>
        <v/>
      </c>
      <c r="S1013" s="24"/>
      <c r="T1013" s="67" t="str">
        <f t="shared" si="136"/>
        <v/>
      </c>
      <c r="U1013" s="67" t="str">
        <f t="shared" si="137"/>
        <v/>
      </c>
      <c r="V1013" s="67" t="str">
        <f t="shared" si="138"/>
        <v/>
      </c>
      <c r="W1013" s="67" t="str">
        <f t="shared" si="139"/>
        <v/>
      </c>
      <c r="X1013" s="67" t="str">
        <f t="shared" si="140"/>
        <v/>
      </c>
      <c r="Y1013" s="24" t="str">
        <f t="shared" si="141"/>
        <v/>
      </c>
      <c r="Z1013">
        <f t="shared" si="142"/>
        <v>0</v>
      </c>
      <c r="AA1013">
        <f t="shared" si="143"/>
        <v>0</v>
      </c>
    </row>
    <row r="1014" spans="2:27" ht="15.75" customHeight="1" x14ac:dyDescent="0.3">
      <c r="B1014" s="25"/>
      <c r="C1014" s="25"/>
      <c r="D1014" s="25"/>
      <c r="E1014" s="26" t="str">
        <f t="shared" si="135"/>
        <v/>
      </c>
      <c r="F1014" s="25"/>
      <c r="G1014" s="25"/>
      <c r="H1014" s="25"/>
      <c r="I1014" s="25"/>
      <c r="J1014" s="25"/>
      <c r="K1014" s="25"/>
      <c r="L1014" s="25"/>
      <c r="M1014" s="25"/>
      <c r="N1014" s="25"/>
      <c r="O1014" s="25"/>
      <c r="P1014" s="25"/>
      <c r="Q1014" s="25"/>
      <c r="R1014" s="23" t="str">
        <f>IF($F1014="","",IF(OR($B1014="",$C1014="",$D1014=""),"⚠ Compléter Année/Niveau/Session",IF(AND($E1014&lt;&gt;"",COUNTIF(D_KEY_DOUBLON,$B1014&amp;"|"&amp;$D1014&amp;"|"&amp;$E1014)&gt;1),"⚠ Doublon",IF(AND($E1014&lt;&gt;"",COUNTIF(D_KEY_STATUT,$B1014&amp;"|"&amp;$E1014&amp;"|P")&gt;0,COUNTIF(D_KEY_STATUT,$B1014&amp;"|"&amp;$E1014&amp;"|A")&gt;0),"⚠ Statut incohérent",IF(AND($D1014="S1",$Y1014&lt;&gt;"Parti",COUNTIF(ANNEES_VERROU,$B1014)&gt;0,COUNTIF(D_KEY_NIVSES,$B1014&amp;"|"&amp;$C1014&amp;"|S2")&gt;0,COUNTIF(D_KEY_DOUBLON,$B1014&amp;"|S2|"&amp;$E1014)=0),"⚠ Départ non confirmé ?",IF(AND($C1014&lt;&gt;"",ISNUMBER($I1014),OR(VALUE(LEFT($B1014,4))-$I1014&lt;4+IFERROR(MATCH($C1014,LISTE_NIVEAUX,0),99),VALUE(LEFT($B1014,4))-$I1014&gt;6+IFERROR(MATCH($C1014,LISTE_NIVEAUX,0),99))),"⚠ Vérifier niveau",IF(AND(IFERROR(VLOOKUP($C1014,TABLE_CYCLE,2,0),3)=2,COUNT($O1014:$Q1014)&gt;0),"⚠ Tests cycle 3",IF(COUNT($J1014:$Q1014)&gt;=IF(IFERROR(VLOOKUP($C1014,TABLE_CYCLE,2,0),3)=2,5,8),"Complet","Incomplet"))))))))</f>
        <v/>
      </c>
      <c r="S1014" s="24"/>
      <c r="T1014" s="67" t="str">
        <f t="shared" si="136"/>
        <v/>
      </c>
      <c r="U1014" s="67" t="str">
        <f t="shared" si="137"/>
        <v/>
      </c>
      <c r="V1014" s="67" t="str">
        <f t="shared" si="138"/>
        <v/>
      </c>
      <c r="W1014" s="67" t="str">
        <f t="shared" si="139"/>
        <v/>
      </c>
      <c r="X1014" s="67" t="str">
        <f t="shared" si="140"/>
        <v/>
      </c>
      <c r="Y1014" s="24" t="str">
        <f t="shared" si="141"/>
        <v/>
      </c>
      <c r="Z1014">
        <f t="shared" si="142"/>
        <v>0</v>
      </c>
      <c r="AA1014">
        <f t="shared" si="143"/>
        <v>0</v>
      </c>
    </row>
    <row r="1015" spans="2:27" ht="15.75" customHeight="1" x14ac:dyDescent="0.3">
      <c r="B1015" s="21"/>
      <c r="C1015" s="21"/>
      <c r="D1015" s="21"/>
      <c r="E1015" s="22" t="str">
        <f t="shared" si="135"/>
        <v/>
      </c>
      <c r="F1015" s="21"/>
      <c r="G1015" s="21"/>
      <c r="H1015" s="21"/>
      <c r="I1015" s="21"/>
      <c r="J1015" s="21"/>
      <c r="K1015" s="21"/>
      <c r="L1015" s="21"/>
      <c r="M1015" s="21"/>
      <c r="N1015" s="21"/>
      <c r="O1015" s="21"/>
      <c r="P1015" s="21"/>
      <c r="Q1015" s="21"/>
      <c r="R1015" s="23" t="str">
        <f>IF($F1015="","",IF(OR($B1015="",$C1015="",$D1015=""),"⚠ Compléter Année/Niveau/Session",IF(AND($E1015&lt;&gt;"",COUNTIF(D_KEY_DOUBLON,$B1015&amp;"|"&amp;$D1015&amp;"|"&amp;$E1015)&gt;1),"⚠ Doublon",IF(AND($E1015&lt;&gt;"",COUNTIF(D_KEY_STATUT,$B1015&amp;"|"&amp;$E1015&amp;"|P")&gt;0,COUNTIF(D_KEY_STATUT,$B1015&amp;"|"&amp;$E1015&amp;"|A")&gt;0),"⚠ Statut incohérent",IF(AND($D1015="S1",$Y1015&lt;&gt;"Parti",COUNTIF(ANNEES_VERROU,$B1015)&gt;0,COUNTIF(D_KEY_NIVSES,$B1015&amp;"|"&amp;$C1015&amp;"|S2")&gt;0,COUNTIF(D_KEY_DOUBLON,$B1015&amp;"|S2|"&amp;$E1015)=0),"⚠ Départ non confirmé ?",IF(AND($C1015&lt;&gt;"",ISNUMBER($I1015),OR(VALUE(LEFT($B1015,4))-$I1015&lt;4+IFERROR(MATCH($C1015,LISTE_NIVEAUX,0),99),VALUE(LEFT($B1015,4))-$I1015&gt;6+IFERROR(MATCH($C1015,LISTE_NIVEAUX,0),99))),"⚠ Vérifier niveau",IF(AND(IFERROR(VLOOKUP($C1015,TABLE_CYCLE,2,0),3)=2,COUNT($O1015:$Q1015)&gt;0),"⚠ Tests cycle 3",IF(COUNT($J1015:$Q1015)&gt;=IF(IFERROR(VLOOKUP($C1015,TABLE_CYCLE,2,0),3)=2,5,8),"Complet","Incomplet"))))))))</f>
        <v/>
      </c>
      <c r="S1015" s="24"/>
      <c r="T1015" s="67" t="str">
        <f t="shared" si="136"/>
        <v/>
      </c>
      <c r="U1015" s="67" t="str">
        <f t="shared" si="137"/>
        <v/>
      </c>
      <c r="V1015" s="67" t="str">
        <f t="shared" si="138"/>
        <v/>
      </c>
      <c r="W1015" s="67" t="str">
        <f t="shared" si="139"/>
        <v/>
      </c>
      <c r="X1015" s="67" t="str">
        <f t="shared" si="140"/>
        <v/>
      </c>
      <c r="Y1015" s="24" t="str">
        <f t="shared" si="141"/>
        <v/>
      </c>
      <c r="Z1015">
        <f t="shared" si="142"/>
        <v>0</v>
      </c>
      <c r="AA1015">
        <f t="shared" si="143"/>
        <v>0</v>
      </c>
    </row>
    <row r="1016" spans="2:27" ht="15.75" customHeight="1" x14ac:dyDescent="0.3">
      <c r="B1016" s="25"/>
      <c r="C1016" s="25"/>
      <c r="D1016" s="25"/>
      <c r="E1016" s="26" t="str">
        <f t="shared" si="135"/>
        <v/>
      </c>
      <c r="F1016" s="25"/>
      <c r="G1016" s="25"/>
      <c r="H1016" s="25"/>
      <c r="I1016" s="25"/>
      <c r="J1016" s="25"/>
      <c r="K1016" s="25"/>
      <c r="L1016" s="25"/>
      <c r="M1016" s="25"/>
      <c r="N1016" s="25"/>
      <c r="O1016" s="25"/>
      <c r="P1016" s="25"/>
      <c r="Q1016" s="25"/>
      <c r="R1016" s="23" t="str">
        <f>IF($F1016="","",IF(OR($B1016="",$C1016="",$D1016=""),"⚠ Compléter Année/Niveau/Session",IF(AND($E1016&lt;&gt;"",COUNTIF(D_KEY_DOUBLON,$B1016&amp;"|"&amp;$D1016&amp;"|"&amp;$E1016)&gt;1),"⚠ Doublon",IF(AND($E1016&lt;&gt;"",COUNTIF(D_KEY_STATUT,$B1016&amp;"|"&amp;$E1016&amp;"|P")&gt;0,COUNTIF(D_KEY_STATUT,$B1016&amp;"|"&amp;$E1016&amp;"|A")&gt;0),"⚠ Statut incohérent",IF(AND($D1016="S1",$Y1016&lt;&gt;"Parti",COUNTIF(ANNEES_VERROU,$B1016)&gt;0,COUNTIF(D_KEY_NIVSES,$B1016&amp;"|"&amp;$C1016&amp;"|S2")&gt;0,COUNTIF(D_KEY_DOUBLON,$B1016&amp;"|S2|"&amp;$E1016)=0),"⚠ Départ non confirmé ?",IF(AND($C1016&lt;&gt;"",ISNUMBER($I1016),OR(VALUE(LEFT($B1016,4))-$I1016&lt;4+IFERROR(MATCH($C1016,LISTE_NIVEAUX,0),99),VALUE(LEFT($B1016,4))-$I1016&gt;6+IFERROR(MATCH($C1016,LISTE_NIVEAUX,0),99))),"⚠ Vérifier niveau",IF(AND(IFERROR(VLOOKUP($C1016,TABLE_CYCLE,2,0),3)=2,COUNT($O1016:$Q1016)&gt;0),"⚠ Tests cycle 3",IF(COUNT($J1016:$Q1016)&gt;=IF(IFERROR(VLOOKUP($C1016,TABLE_CYCLE,2,0),3)=2,5,8),"Complet","Incomplet"))))))))</f>
        <v/>
      </c>
      <c r="S1016" s="24"/>
      <c r="T1016" s="67" t="str">
        <f t="shared" si="136"/>
        <v/>
      </c>
      <c r="U1016" s="67" t="str">
        <f t="shared" si="137"/>
        <v/>
      </c>
      <c r="V1016" s="67" t="str">
        <f t="shared" si="138"/>
        <v/>
      </c>
      <c r="W1016" s="67" t="str">
        <f t="shared" si="139"/>
        <v/>
      </c>
      <c r="X1016" s="67" t="str">
        <f t="shared" si="140"/>
        <v/>
      </c>
      <c r="Y1016" s="24" t="str">
        <f t="shared" si="141"/>
        <v/>
      </c>
      <c r="Z1016">
        <f t="shared" si="142"/>
        <v>0</v>
      </c>
      <c r="AA1016">
        <f t="shared" si="143"/>
        <v>0</v>
      </c>
    </row>
    <row r="1017" spans="2:27" ht="15.75" customHeight="1" x14ac:dyDescent="0.3">
      <c r="B1017" s="21"/>
      <c r="C1017" s="21"/>
      <c r="D1017" s="21"/>
      <c r="E1017" s="22" t="str">
        <f t="shared" si="135"/>
        <v/>
      </c>
      <c r="F1017" s="21"/>
      <c r="G1017" s="21"/>
      <c r="H1017" s="21"/>
      <c r="I1017" s="21"/>
      <c r="J1017" s="21"/>
      <c r="K1017" s="21"/>
      <c r="L1017" s="21"/>
      <c r="M1017" s="21"/>
      <c r="N1017" s="21"/>
      <c r="O1017" s="21"/>
      <c r="P1017" s="21"/>
      <c r="Q1017" s="21"/>
      <c r="R1017" s="23" t="str">
        <f>IF($F1017="","",IF(OR($B1017="",$C1017="",$D1017=""),"⚠ Compléter Année/Niveau/Session",IF(AND($E1017&lt;&gt;"",COUNTIF(D_KEY_DOUBLON,$B1017&amp;"|"&amp;$D1017&amp;"|"&amp;$E1017)&gt;1),"⚠ Doublon",IF(AND($E1017&lt;&gt;"",COUNTIF(D_KEY_STATUT,$B1017&amp;"|"&amp;$E1017&amp;"|P")&gt;0,COUNTIF(D_KEY_STATUT,$B1017&amp;"|"&amp;$E1017&amp;"|A")&gt;0),"⚠ Statut incohérent",IF(AND($D1017="S1",$Y1017&lt;&gt;"Parti",COUNTIF(ANNEES_VERROU,$B1017)&gt;0,COUNTIF(D_KEY_NIVSES,$B1017&amp;"|"&amp;$C1017&amp;"|S2")&gt;0,COUNTIF(D_KEY_DOUBLON,$B1017&amp;"|S2|"&amp;$E1017)=0),"⚠ Départ non confirmé ?",IF(AND($C1017&lt;&gt;"",ISNUMBER($I1017),OR(VALUE(LEFT($B1017,4))-$I1017&lt;4+IFERROR(MATCH($C1017,LISTE_NIVEAUX,0),99),VALUE(LEFT($B1017,4))-$I1017&gt;6+IFERROR(MATCH($C1017,LISTE_NIVEAUX,0),99))),"⚠ Vérifier niveau",IF(AND(IFERROR(VLOOKUP($C1017,TABLE_CYCLE,2,0),3)=2,COUNT($O1017:$Q1017)&gt;0),"⚠ Tests cycle 3",IF(COUNT($J1017:$Q1017)&gt;=IF(IFERROR(VLOOKUP($C1017,TABLE_CYCLE,2,0),3)=2,5,8),"Complet","Incomplet"))))))))</f>
        <v/>
      </c>
      <c r="S1017" s="24"/>
      <c r="T1017" s="67" t="str">
        <f t="shared" si="136"/>
        <v/>
      </c>
      <c r="U1017" s="67" t="str">
        <f t="shared" si="137"/>
        <v/>
      </c>
      <c r="V1017" s="67" t="str">
        <f t="shared" si="138"/>
        <v/>
      </c>
      <c r="W1017" s="67" t="str">
        <f t="shared" si="139"/>
        <v/>
      </c>
      <c r="X1017" s="67" t="str">
        <f t="shared" si="140"/>
        <v/>
      </c>
      <c r="Y1017" s="24" t="str">
        <f t="shared" si="141"/>
        <v/>
      </c>
      <c r="Z1017">
        <f t="shared" si="142"/>
        <v>0</v>
      </c>
      <c r="AA1017">
        <f t="shared" si="143"/>
        <v>0</v>
      </c>
    </row>
    <row r="1018" spans="2:27" ht="15.75" customHeight="1" x14ac:dyDescent="0.3">
      <c r="B1018" s="25"/>
      <c r="C1018" s="25"/>
      <c r="D1018" s="25"/>
      <c r="E1018" s="26" t="str">
        <f t="shared" si="135"/>
        <v/>
      </c>
      <c r="F1018" s="25"/>
      <c r="G1018" s="25"/>
      <c r="H1018" s="25"/>
      <c r="I1018" s="25"/>
      <c r="J1018" s="25"/>
      <c r="K1018" s="25"/>
      <c r="L1018" s="25"/>
      <c r="M1018" s="25"/>
      <c r="N1018" s="25"/>
      <c r="O1018" s="25"/>
      <c r="P1018" s="25"/>
      <c r="Q1018" s="25"/>
      <c r="R1018" s="23" t="str">
        <f>IF($F1018="","",IF(OR($B1018="",$C1018="",$D1018=""),"⚠ Compléter Année/Niveau/Session",IF(AND($E1018&lt;&gt;"",COUNTIF(D_KEY_DOUBLON,$B1018&amp;"|"&amp;$D1018&amp;"|"&amp;$E1018)&gt;1),"⚠ Doublon",IF(AND($E1018&lt;&gt;"",COUNTIF(D_KEY_STATUT,$B1018&amp;"|"&amp;$E1018&amp;"|P")&gt;0,COUNTIF(D_KEY_STATUT,$B1018&amp;"|"&amp;$E1018&amp;"|A")&gt;0),"⚠ Statut incohérent",IF(AND($D1018="S1",$Y1018&lt;&gt;"Parti",COUNTIF(ANNEES_VERROU,$B1018)&gt;0,COUNTIF(D_KEY_NIVSES,$B1018&amp;"|"&amp;$C1018&amp;"|S2")&gt;0,COUNTIF(D_KEY_DOUBLON,$B1018&amp;"|S2|"&amp;$E1018)=0),"⚠ Départ non confirmé ?",IF(AND($C1018&lt;&gt;"",ISNUMBER($I1018),OR(VALUE(LEFT($B1018,4))-$I1018&lt;4+IFERROR(MATCH($C1018,LISTE_NIVEAUX,0),99),VALUE(LEFT($B1018,4))-$I1018&gt;6+IFERROR(MATCH($C1018,LISTE_NIVEAUX,0),99))),"⚠ Vérifier niveau",IF(AND(IFERROR(VLOOKUP($C1018,TABLE_CYCLE,2,0),3)=2,COUNT($O1018:$Q1018)&gt;0),"⚠ Tests cycle 3",IF(COUNT($J1018:$Q1018)&gt;=IF(IFERROR(VLOOKUP($C1018,TABLE_CYCLE,2,0),3)=2,5,8),"Complet","Incomplet"))))))))</f>
        <v/>
      </c>
      <c r="S1018" s="24"/>
      <c r="T1018" s="67" t="str">
        <f t="shared" si="136"/>
        <v/>
      </c>
      <c r="U1018" s="67" t="str">
        <f t="shared" si="137"/>
        <v/>
      </c>
      <c r="V1018" s="67" t="str">
        <f t="shared" si="138"/>
        <v/>
      </c>
      <c r="W1018" s="67" t="str">
        <f t="shared" si="139"/>
        <v/>
      </c>
      <c r="X1018" s="67" t="str">
        <f t="shared" si="140"/>
        <v/>
      </c>
      <c r="Y1018" s="24" t="str">
        <f t="shared" si="141"/>
        <v/>
      </c>
      <c r="Z1018">
        <f t="shared" si="142"/>
        <v>0</v>
      </c>
      <c r="AA1018">
        <f t="shared" si="143"/>
        <v>0</v>
      </c>
    </row>
    <row r="1019" spans="2:27" ht="15.75" customHeight="1" x14ac:dyDescent="0.3">
      <c r="B1019" s="21"/>
      <c r="C1019" s="21"/>
      <c r="D1019" s="21"/>
      <c r="E1019" s="22" t="str">
        <f t="shared" si="135"/>
        <v/>
      </c>
      <c r="F1019" s="21"/>
      <c r="G1019" s="21"/>
      <c r="H1019" s="21"/>
      <c r="I1019" s="21"/>
      <c r="J1019" s="21"/>
      <c r="K1019" s="21"/>
      <c r="L1019" s="21"/>
      <c r="M1019" s="21"/>
      <c r="N1019" s="21"/>
      <c r="O1019" s="21"/>
      <c r="P1019" s="21"/>
      <c r="Q1019" s="21"/>
      <c r="R1019" s="23" t="str">
        <f>IF($F1019="","",IF(OR($B1019="",$C1019="",$D1019=""),"⚠ Compléter Année/Niveau/Session",IF(AND($E1019&lt;&gt;"",COUNTIF(D_KEY_DOUBLON,$B1019&amp;"|"&amp;$D1019&amp;"|"&amp;$E1019)&gt;1),"⚠ Doublon",IF(AND($E1019&lt;&gt;"",COUNTIF(D_KEY_STATUT,$B1019&amp;"|"&amp;$E1019&amp;"|P")&gt;0,COUNTIF(D_KEY_STATUT,$B1019&amp;"|"&amp;$E1019&amp;"|A")&gt;0),"⚠ Statut incohérent",IF(AND($D1019="S1",$Y1019&lt;&gt;"Parti",COUNTIF(ANNEES_VERROU,$B1019)&gt;0,COUNTIF(D_KEY_NIVSES,$B1019&amp;"|"&amp;$C1019&amp;"|S2")&gt;0,COUNTIF(D_KEY_DOUBLON,$B1019&amp;"|S2|"&amp;$E1019)=0),"⚠ Départ non confirmé ?",IF(AND($C1019&lt;&gt;"",ISNUMBER($I1019),OR(VALUE(LEFT($B1019,4))-$I1019&lt;4+IFERROR(MATCH($C1019,LISTE_NIVEAUX,0),99),VALUE(LEFT($B1019,4))-$I1019&gt;6+IFERROR(MATCH($C1019,LISTE_NIVEAUX,0),99))),"⚠ Vérifier niveau",IF(AND(IFERROR(VLOOKUP($C1019,TABLE_CYCLE,2,0),3)=2,COUNT($O1019:$Q1019)&gt;0),"⚠ Tests cycle 3",IF(COUNT($J1019:$Q1019)&gt;=IF(IFERROR(VLOOKUP($C1019,TABLE_CYCLE,2,0),3)=2,5,8),"Complet","Incomplet"))))))))</f>
        <v/>
      </c>
      <c r="S1019" s="24"/>
      <c r="T1019" s="67" t="str">
        <f t="shared" si="136"/>
        <v/>
      </c>
      <c r="U1019" s="67" t="str">
        <f t="shared" si="137"/>
        <v/>
      </c>
      <c r="V1019" s="67" t="str">
        <f t="shared" si="138"/>
        <v/>
      </c>
      <c r="W1019" s="67" t="str">
        <f t="shared" si="139"/>
        <v/>
      </c>
      <c r="X1019" s="67" t="str">
        <f t="shared" si="140"/>
        <v/>
      </c>
      <c r="Y1019" s="24" t="str">
        <f t="shared" si="141"/>
        <v/>
      </c>
      <c r="Z1019">
        <f t="shared" si="142"/>
        <v>0</v>
      </c>
      <c r="AA1019">
        <f t="shared" si="143"/>
        <v>0</v>
      </c>
    </row>
    <row r="1020" spans="2:27" ht="15.75" customHeight="1" x14ac:dyDescent="0.3">
      <c r="B1020" s="25"/>
      <c r="C1020" s="25"/>
      <c r="D1020" s="25"/>
      <c r="E1020" s="26" t="str">
        <f t="shared" si="135"/>
        <v/>
      </c>
      <c r="F1020" s="25"/>
      <c r="G1020" s="25"/>
      <c r="H1020" s="25"/>
      <c r="I1020" s="25"/>
      <c r="J1020" s="25"/>
      <c r="K1020" s="25"/>
      <c r="L1020" s="25"/>
      <c r="M1020" s="25"/>
      <c r="N1020" s="25"/>
      <c r="O1020" s="25"/>
      <c r="P1020" s="25"/>
      <c r="Q1020" s="25"/>
      <c r="R1020" s="23" t="str">
        <f>IF($F1020="","",IF(OR($B1020="",$C1020="",$D1020=""),"⚠ Compléter Année/Niveau/Session",IF(AND($E1020&lt;&gt;"",COUNTIF(D_KEY_DOUBLON,$B1020&amp;"|"&amp;$D1020&amp;"|"&amp;$E1020)&gt;1),"⚠ Doublon",IF(AND($E1020&lt;&gt;"",COUNTIF(D_KEY_STATUT,$B1020&amp;"|"&amp;$E1020&amp;"|P")&gt;0,COUNTIF(D_KEY_STATUT,$B1020&amp;"|"&amp;$E1020&amp;"|A")&gt;0),"⚠ Statut incohérent",IF(AND($D1020="S1",$Y1020&lt;&gt;"Parti",COUNTIF(ANNEES_VERROU,$B1020)&gt;0,COUNTIF(D_KEY_NIVSES,$B1020&amp;"|"&amp;$C1020&amp;"|S2")&gt;0,COUNTIF(D_KEY_DOUBLON,$B1020&amp;"|S2|"&amp;$E1020)=0),"⚠ Départ non confirmé ?",IF(AND($C1020&lt;&gt;"",ISNUMBER($I1020),OR(VALUE(LEFT($B1020,4))-$I1020&lt;4+IFERROR(MATCH($C1020,LISTE_NIVEAUX,0),99),VALUE(LEFT($B1020,4))-$I1020&gt;6+IFERROR(MATCH($C1020,LISTE_NIVEAUX,0),99))),"⚠ Vérifier niveau",IF(AND(IFERROR(VLOOKUP($C1020,TABLE_CYCLE,2,0),3)=2,COUNT($O1020:$Q1020)&gt;0),"⚠ Tests cycle 3",IF(COUNT($J1020:$Q1020)&gt;=IF(IFERROR(VLOOKUP($C1020,TABLE_CYCLE,2,0),3)=2,5,8),"Complet","Incomplet"))))))))</f>
        <v/>
      </c>
      <c r="S1020" s="24"/>
      <c r="T1020" s="67" t="str">
        <f t="shared" si="136"/>
        <v/>
      </c>
      <c r="U1020" s="67" t="str">
        <f t="shared" si="137"/>
        <v/>
      </c>
      <c r="V1020" s="67" t="str">
        <f t="shared" si="138"/>
        <v/>
      </c>
      <c r="W1020" s="67" t="str">
        <f t="shared" si="139"/>
        <v/>
      </c>
      <c r="X1020" s="67" t="str">
        <f t="shared" si="140"/>
        <v/>
      </c>
      <c r="Y1020" s="24" t="str">
        <f t="shared" si="141"/>
        <v/>
      </c>
      <c r="Z1020">
        <f t="shared" si="142"/>
        <v>0</v>
      </c>
      <c r="AA1020">
        <f t="shared" si="143"/>
        <v>0</v>
      </c>
    </row>
    <row r="1021" spans="2:27" ht="15.75" customHeight="1" x14ac:dyDescent="0.3">
      <c r="B1021" s="21"/>
      <c r="C1021" s="21"/>
      <c r="D1021" s="21"/>
      <c r="E1021" s="22" t="str">
        <f t="shared" si="135"/>
        <v/>
      </c>
      <c r="F1021" s="21"/>
      <c r="G1021" s="21"/>
      <c r="H1021" s="21"/>
      <c r="I1021" s="21"/>
      <c r="J1021" s="21"/>
      <c r="K1021" s="21"/>
      <c r="L1021" s="21"/>
      <c r="M1021" s="21"/>
      <c r="N1021" s="21"/>
      <c r="O1021" s="21"/>
      <c r="P1021" s="21"/>
      <c r="Q1021" s="21"/>
      <c r="R1021" s="23" t="str">
        <f>IF($F1021="","",IF(OR($B1021="",$C1021="",$D1021=""),"⚠ Compléter Année/Niveau/Session",IF(AND($E1021&lt;&gt;"",COUNTIF(D_KEY_DOUBLON,$B1021&amp;"|"&amp;$D1021&amp;"|"&amp;$E1021)&gt;1),"⚠ Doublon",IF(AND($E1021&lt;&gt;"",COUNTIF(D_KEY_STATUT,$B1021&amp;"|"&amp;$E1021&amp;"|P")&gt;0,COUNTIF(D_KEY_STATUT,$B1021&amp;"|"&amp;$E1021&amp;"|A")&gt;0),"⚠ Statut incohérent",IF(AND($D1021="S1",$Y1021&lt;&gt;"Parti",COUNTIF(ANNEES_VERROU,$B1021)&gt;0,COUNTIF(D_KEY_NIVSES,$B1021&amp;"|"&amp;$C1021&amp;"|S2")&gt;0,COUNTIF(D_KEY_DOUBLON,$B1021&amp;"|S2|"&amp;$E1021)=0),"⚠ Départ non confirmé ?",IF(AND($C1021&lt;&gt;"",ISNUMBER($I1021),OR(VALUE(LEFT($B1021,4))-$I1021&lt;4+IFERROR(MATCH($C1021,LISTE_NIVEAUX,0),99),VALUE(LEFT($B1021,4))-$I1021&gt;6+IFERROR(MATCH($C1021,LISTE_NIVEAUX,0),99))),"⚠ Vérifier niveau",IF(AND(IFERROR(VLOOKUP($C1021,TABLE_CYCLE,2,0),3)=2,COUNT($O1021:$Q1021)&gt;0),"⚠ Tests cycle 3",IF(COUNT($J1021:$Q1021)&gt;=IF(IFERROR(VLOOKUP($C1021,TABLE_CYCLE,2,0),3)=2,5,8),"Complet","Incomplet"))))))))</f>
        <v/>
      </c>
      <c r="S1021" s="24"/>
      <c r="T1021" s="67" t="str">
        <f t="shared" si="136"/>
        <v/>
      </c>
      <c r="U1021" s="67" t="str">
        <f t="shared" si="137"/>
        <v/>
      </c>
      <c r="V1021" s="67" t="str">
        <f t="shared" si="138"/>
        <v/>
      </c>
      <c r="W1021" s="67" t="str">
        <f t="shared" si="139"/>
        <v/>
      </c>
      <c r="X1021" s="67" t="str">
        <f t="shared" si="140"/>
        <v/>
      </c>
      <c r="Y1021" s="24" t="str">
        <f t="shared" si="141"/>
        <v/>
      </c>
      <c r="Z1021">
        <f t="shared" si="142"/>
        <v>0</v>
      </c>
      <c r="AA1021">
        <f t="shared" si="143"/>
        <v>0</v>
      </c>
    </row>
    <row r="1022" spans="2:27" ht="15.75" customHeight="1" x14ac:dyDescent="0.3">
      <c r="B1022" s="25"/>
      <c r="C1022" s="25"/>
      <c r="D1022" s="25"/>
      <c r="E1022" s="26" t="str">
        <f t="shared" si="135"/>
        <v/>
      </c>
      <c r="F1022" s="25"/>
      <c r="G1022" s="25"/>
      <c r="H1022" s="25"/>
      <c r="I1022" s="25"/>
      <c r="J1022" s="25"/>
      <c r="K1022" s="25"/>
      <c r="L1022" s="25"/>
      <c r="M1022" s="25"/>
      <c r="N1022" s="25"/>
      <c r="O1022" s="25"/>
      <c r="P1022" s="25"/>
      <c r="Q1022" s="25"/>
      <c r="R1022" s="23" t="str">
        <f>IF($F1022="","",IF(OR($B1022="",$C1022="",$D1022=""),"⚠ Compléter Année/Niveau/Session",IF(AND($E1022&lt;&gt;"",COUNTIF(D_KEY_DOUBLON,$B1022&amp;"|"&amp;$D1022&amp;"|"&amp;$E1022)&gt;1),"⚠ Doublon",IF(AND($E1022&lt;&gt;"",COUNTIF(D_KEY_STATUT,$B1022&amp;"|"&amp;$E1022&amp;"|P")&gt;0,COUNTIF(D_KEY_STATUT,$B1022&amp;"|"&amp;$E1022&amp;"|A")&gt;0),"⚠ Statut incohérent",IF(AND($D1022="S1",$Y1022&lt;&gt;"Parti",COUNTIF(ANNEES_VERROU,$B1022)&gt;0,COUNTIF(D_KEY_NIVSES,$B1022&amp;"|"&amp;$C1022&amp;"|S2")&gt;0,COUNTIF(D_KEY_DOUBLON,$B1022&amp;"|S2|"&amp;$E1022)=0),"⚠ Départ non confirmé ?",IF(AND($C1022&lt;&gt;"",ISNUMBER($I1022),OR(VALUE(LEFT($B1022,4))-$I1022&lt;4+IFERROR(MATCH($C1022,LISTE_NIVEAUX,0),99),VALUE(LEFT($B1022,4))-$I1022&gt;6+IFERROR(MATCH($C1022,LISTE_NIVEAUX,0),99))),"⚠ Vérifier niveau",IF(AND(IFERROR(VLOOKUP($C1022,TABLE_CYCLE,2,0),3)=2,COUNT($O1022:$Q1022)&gt;0),"⚠ Tests cycle 3",IF(COUNT($J1022:$Q1022)&gt;=IF(IFERROR(VLOOKUP($C1022,TABLE_CYCLE,2,0),3)=2,5,8),"Complet","Incomplet"))))))))</f>
        <v/>
      </c>
      <c r="S1022" s="24"/>
      <c r="T1022" s="67" t="str">
        <f t="shared" si="136"/>
        <v/>
      </c>
      <c r="U1022" s="67" t="str">
        <f t="shared" si="137"/>
        <v/>
      </c>
      <c r="V1022" s="67" t="str">
        <f t="shared" si="138"/>
        <v/>
      </c>
      <c r="W1022" s="67" t="str">
        <f t="shared" si="139"/>
        <v/>
      </c>
      <c r="X1022" s="67" t="str">
        <f t="shared" si="140"/>
        <v/>
      </c>
      <c r="Y1022" s="24" t="str">
        <f t="shared" si="141"/>
        <v/>
      </c>
      <c r="Z1022">
        <f t="shared" si="142"/>
        <v>0</v>
      </c>
      <c r="AA1022">
        <f t="shared" si="143"/>
        <v>0</v>
      </c>
    </row>
    <row r="1023" spans="2:27" ht="15.75" customHeight="1" x14ac:dyDescent="0.3">
      <c r="B1023" s="21"/>
      <c r="C1023" s="21"/>
      <c r="D1023" s="21"/>
      <c r="E1023" s="22" t="str">
        <f t="shared" si="135"/>
        <v/>
      </c>
      <c r="F1023" s="21"/>
      <c r="G1023" s="21"/>
      <c r="H1023" s="21"/>
      <c r="I1023" s="21"/>
      <c r="J1023" s="21"/>
      <c r="K1023" s="21"/>
      <c r="L1023" s="21"/>
      <c r="M1023" s="21"/>
      <c r="N1023" s="21"/>
      <c r="O1023" s="21"/>
      <c r="P1023" s="21"/>
      <c r="Q1023" s="21"/>
      <c r="R1023" s="23" t="str">
        <f>IF($F1023="","",IF(OR($B1023="",$C1023="",$D1023=""),"⚠ Compléter Année/Niveau/Session",IF(AND($E1023&lt;&gt;"",COUNTIF(D_KEY_DOUBLON,$B1023&amp;"|"&amp;$D1023&amp;"|"&amp;$E1023)&gt;1),"⚠ Doublon",IF(AND($E1023&lt;&gt;"",COUNTIF(D_KEY_STATUT,$B1023&amp;"|"&amp;$E1023&amp;"|P")&gt;0,COUNTIF(D_KEY_STATUT,$B1023&amp;"|"&amp;$E1023&amp;"|A")&gt;0),"⚠ Statut incohérent",IF(AND($D1023="S1",$Y1023&lt;&gt;"Parti",COUNTIF(ANNEES_VERROU,$B1023)&gt;0,COUNTIF(D_KEY_NIVSES,$B1023&amp;"|"&amp;$C1023&amp;"|S2")&gt;0,COUNTIF(D_KEY_DOUBLON,$B1023&amp;"|S2|"&amp;$E1023)=0),"⚠ Départ non confirmé ?",IF(AND($C1023&lt;&gt;"",ISNUMBER($I1023),OR(VALUE(LEFT($B1023,4))-$I1023&lt;4+IFERROR(MATCH($C1023,LISTE_NIVEAUX,0),99),VALUE(LEFT($B1023,4))-$I1023&gt;6+IFERROR(MATCH($C1023,LISTE_NIVEAUX,0),99))),"⚠ Vérifier niveau",IF(AND(IFERROR(VLOOKUP($C1023,TABLE_CYCLE,2,0),3)=2,COUNT($O1023:$Q1023)&gt;0),"⚠ Tests cycle 3",IF(COUNT($J1023:$Q1023)&gt;=IF(IFERROR(VLOOKUP($C1023,TABLE_CYCLE,2,0),3)=2,5,8),"Complet","Incomplet"))))))))</f>
        <v/>
      </c>
      <c r="S1023" s="24"/>
      <c r="T1023" s="67" t="str">
        <f t="shared" si="136"/>
        <v/>
      </c>
      <c r="U1023" s="67" t="str">
        <f t="shared" si="137"/>
        <v/>
      </c>
      <c r="V1023" s="67" t="str">
        <f t="shared" si="138"/>
        <v/>
      </c>
      <c r="W1023" s="67" t="str">
        <f t="shared" si="139"/>
        <v/>
      </c>
      <c r="X1023" s="67" t="str">
        <f t="shared" si="140"/>
        <v/>
      </c>
      <c r="Y1023" s="24" t="str">
        <f t="shared" si="141"/>
        <v/>
      </c>
      <c r="Z1023">
        <f t="shared" si="142"/>
        <v>0</v>
      </c>
      <c r="AA1023">
        <f t="shared" si="143"/>
        <v>0</v>
      </c>
    </row>
    <row r="1024" spans="2:27" ht="15.75" customHeight="1" x14ac:dyDescent="0.3">
      <c r="B1024" s="25"/>
      <c r="C1024" s="25"/>
      <c r="D1024" s="25"/>
      <c r="E1024" s="26" t="str">
        <f t="shared" si="135"/>
        <v/>
      </c>
      <c r="F1024" s="25"/>
      <c r="G1024" s="25"/>
      <c r="H1024" s="25"/>
      <c r="I1024" s="25"/>
      <c r="J1024" s="25"/>
      <c r="K1024" s="25"/>
      <c r="L1024" s="25"/>
      <c r="M1024" s="25"/>
      <c r="N1024" s="25"/>
      <c r="O1024" s="25"/>
      <c r="P1024" s="25"/>
      <c r="Q1024" s="25"/>
      <c r="R1024" s="23" t="str">
        <f>IF($F1024="","",IF(OR($B1024="",$C1024="",$D1024=""),"⚠ Compléter Année/Niveau/Session",IF(AND($E1024&lt;&gt;"",COUNTIF(D_KEY_DOUBLON,$B1024&amp;"|"&amp;$D1024&amp;"|"&amp;$E1024)&gt;1),"⚠ Doublon",IF(AND($E1024&lt;&gt;"",COUNTIF(D_KEY_STATUT,$B1024&amp;"|"&amp;$E1024&amp;"|P")&gt;0,COUNTIF(D_KEY_STATUT,$B1024&amp;"|"&amp;$E1024&amp;"|A")&gt;0),"⚠ Statut incohérent",IF(AND($D1024="S1",$Y1024&lt;&gt;"Parti",COUNTIF(ANNEES_VERROU,$B1024)&gt;0,COUNTIF(D_KEY_NIVSES,$B1024&amp;"|"&amp;$C1024&amp;"|S2")&gt;0,COUNTIF(D_KEY_DOUBLON,$B1024&amp;"|S2|"&amp;$E1024)=0),"⚠ Départ non confirmé ?",IF(AND($C1024&lt;&gt;"",ISNUMBER($I1024),OR(VALUE(LEFT($B1024,4))-$I1024&lt;4+IFERROR(MATCH($C1024,LISTE_NIVEAUX,0),99),VALUE(LEFT($B1024,4))-$I1024&gt;6+IFERROR(MATCH($C1024,LISTE_NIVEAUX,0),99))),"⚠ Vérifier niveau",IF(AND(IFERROR(VLOOKUP($C1024,TABLE_CYCLE,2,0),3)=2,COUNT($O1024:$Q1024)&gt;0),"⚠ Tests cycle 3",IF(COUNT($J1024:$Q1024)&gt;=IF(IFERROR(VLOOKUP($C1024,TABLE_CYCLE,2,0),3)=2,5,8),"Complet","Incomplet"))))))))</f>
        <v/>
      </c>
      <c r="S1024" s="24"/>
      <c r="T1024" s="67" t="str">
        <f t="shared" si="136"/>
        <v/>
      </c>
      <c r="U1024" s="67" t="str">
        <f t="shared" si="137"/>
        <v/>
      </c>
      <c r="V1024" s="67" t="str">
        <f t="shared" si="138"/>
        <v/>
      </c>
      <c r="W1024" s="67" t="str">
        <f t="shared" si="139"/>
        <v/>
      </c>
      <c r="X1024" s="67" t="str">
        <f t="shared" si="140"/>
        <v/>
      </c>
      <c r="Y1024" s="24" t="str">
        <f t="shared" si="141"/>
        <v/>
      </c>
      <c r="Z1024">
        <f t="shared" si="142"/>
        <v>0</v>
      </c>
      <c r="AA1024">
        <f t="shared" si="143"/>
        <v>0</v>
      </c>
    </row>
    <row r="1025" spans="2:27" ht="15.75" customHeight="1" x14ac:dyDescent="0.3">
      <c r="B1025" s="21"/>
      <c r="C1025" s="21"/>
      <c r="D1025" s="21"/>
      <c r="E1025" s="22" t="str">
        <f t="shared" si="135"/>
        <v/>
      </c>
      <c r="F1025" s="21"/>
      <c r="G1025" s="21"/>
      <c r="H1025" s="21"/>
      <c r="I1025" s="21"/>
      <c r="J1025" s="21"/>
      <c r="K1025" s="21"/>
      <c r="L1025" s="21"/>
      <c r="M1025" s="21"/>
      <c r="N1025" s="21"/>
      <c r="O1025" s="21"/>
      <c r="P1025" s="21"/>
      <c r="Q1025" s="21"/>
      <c r="R1025" s="23" t="str">
        <f>IF($F1025="","",IF(OR($B1025="",$C1025="",$D1025=""),"⚠ Compléter Année/Niveau/Session",IF(AND($E1025&lt;&gt;"",COUNTIF(D_KEY_DOUBLON,$B1025&amp;"|"&amp;$D1025&amp;"|"&amp;$E1025)&gt;1),"⚠ Doublon",IF(AND($E1025&lt;&gt;"",COUNTIF(D_KEY_STATUT,$B1025&amp;"|"&amp;$E1025&amp;"|P")&gt;0,COUNTIF(D_KEY_STATUT,$B1025&amp;"|"&amp;$E1025&amp;"|A")&gt;0),"⚠ Statut incohérent",IF(AND($D1025="S1",$Y1025&lt;&gt;"Parti",COUNTIF(ANNEES_VERROU,$B1025)&gt;0,COUNTIF(D_KEY_NIVSES,$B1025&amp;"|"&amp;$C1025&amp;"|S2")&gt;0,COUNTIF(D_KEY_DOUBLON,$B1025&amp;"|S2|"&amp;$E1025)=0),"⚠ Départ non confirmé ?",IF(AND($C1025&lt;&gt;"",ISNUMBER($I1025),OR(VALUE(LEFT($B1025,4))-$I1025&lt;4+IFERROR(MATCH($C1025,LISTE_NIVEAUX,0),99),VALUE(LEFT($B1025,4))-$I1025&gt;6+IFERROR(MATCH($C1025,LISTE_NIVEAUX,0),99))),"⚠ Vérifier niveau",IF(AND(IFERROR(VLOOKUP($C1025,TABLE_CYCLE,2,0),3)=2,COUNT($O1025:$Q1025)&gt;0),"⚠ Tests cycle 3",IF(COUNT($J1025:$Q1025)&gt;=IF(IFERROR(VLOOKUP($C1025,TABLE_CYCLE,2,0),3)=2,5,8),"Complet","Incomplet"))))))))</f>
        <v/>
      </c>
      <c r="S1025" s="24"/>
      <c r="T1025" s="67" t="str">
        <f t="shared" si="136"/>
        <v/>
      </c>
      <c r="U1025" s="67" t="str">
        <f t="shared" si="137"/>
        <v/>
      </c>
      <c r="V1025" s="67" t="str">
        <f t="shared" si="138"/>
        <v/>
      </c>
      <c r="W1025" s="67" t="str">
        <f t="shared" si="139"/>
        <v/>
      </c>
      <c r="X1025" s="67" t="str">
        <f t="shared" si="140"/>
        <v/>
      </c>
      <c r="Y1025" s="24" t="str">
        <f t="shared" si="141"/>
        <v/>
      </c>
      <c r="Z1025">
        <f t="shared" si="142"/>
        <v>0</v>
      </c>
      <c r="AA1025">
        <f t="shared" si="143"/>
        <v>0</v>
      </c>
    </row>
    <row r="1026" spans="2:27" ht="15.75" customHeight="1" x14ac:dyDescent="0.3">
      <c r="B1026" s="25"/>
      <c r="C1026" s="25"/>
      <c r="D1026" s="25"/>
      <c r="E1026" s="26" t="str">
        <f t="shared" si="135"/>
        <v/>
      </c>
      <c r="F1026" s="25"/>
      <c r="G1026" s="25"/>
      <c r="H1026" s="25"/>
      <c r="I1026" s="25"/>
      <c r="J1026" s="25"/>
      <c r="K1026" s="25"/>
      <c r="L1026" s="25"/>
      <c r="M1026" s="25"/>
      <c r="N1026" s="25"/>
      <c r="O1026" s="25"/>
      <c r="P1026" s="25"/>
      <c r="Q1026" s="25"/>
      <c r="R1026" s="23" t="str">
        <f>IF($F1026="","",IF(OR($B1026="",$C1026="",$D1026=""),"⚠ Compléter Année/Niveau/Session",IF(AND($E1026&lt;&gt;"",COUNTIF(D_KEY_DOUBLON,$B1026&amp;"|"&amp;$D1026&amp;"|"&amp;$E1026)&gt;1),"⚠ Doublon",IF(AND($E1026&lt;&gt;"",COUNTIF(D_KEY_STATUT,$B1026&amp;"|"&amp;$E1026&amp;"|P")&gt;0,COUNTIF(D_KEY_STATUT,$B1026&amp;"|"&amp;$E1026&amp;"|A")&gt;0),"⚠ Statut incohérent",IF(AND($D1026="S1",$Y1026&lt;&gt;"Parti",COUNTIF(ANNEES_VERROU,$B1026)&gt;0,COUNTIF(D_KEY_NIVSES,$B1026&amp;"|"&amp;$C1026&amp;"|S2")&gt;0,COUNTIF(D_KEY_DOUBLON,$B1026&amp;"|S2|"&amp;$E1026)=0),"⚠ Départ non confirmé ?",IF(AND($C1026&lt;&gt;"",ISNUMBER($I1026),OR(VALUE(LEFT($B1026,4))-$I1026&lt;4+IFERROR(MATCH($C1026,LISTE_NIVEAUX,0),99),VALUE(LEFT($B1026,4))-$I1026&gt;6+IFERROR(MATCH($C1026,LISTE_NIVEAUX,0),99))),"⚠ Vérifier niveau",IF(AND(IFERROR(VLOOKUP($C1026,TABLE_CYCLE,2,0),3)=2,COUNT($O1026:$Q1026)&gt;0),"⚠ Tests cycle 3",IF(COUNT($J1026:$Q1026)&gt;=IF(IFERROR(VLOOKUP($C1026,TABLE_CYCLE,2,0),3)=2,5,8),"Complet","Incomplet"))))))))</f>
        <v/>
      </c>
      <c r="S1026" s="24"/>
      <c r="T1026" s="67" t="str">
        <f t="shared" si="136"/>
        <v/>
      </c>
      <c r="U1026" s="67" t="str">
        <f t="shared" si="137"/>
        <v/>
      </c>
      <c r="V1026" s="67" t="str">
        <f t="shared" si="138"/>
        <v/>
      </c>
      <c r="W1026" s="67" t="str">
        <f t="shared" si="139"/>
        <v/>
      </c>
      <c r="X1026" s="67" t="str">
        <f t="shared" si="140"/>
        <v/>
      </c>
      <c r="Y1026" s="24" t="str">
        <f t="shared" si="141"/>
        <v/>
      </c>
      <c r="Z1026">
        <f t="shared" si="142"/>
        <v>0</v>
      </c>
      <c r="AA1026">
        <f t="shared" si="143"/>
        <v>0</v>
      </c>
    </row>
    <row r="1027" spans="2:27" ht="15.75" customHeight="1" x14ac:dyDescent="0.3">
      <c r="B1027" s="21"/>
      <c r="C1027" s="21"/>
      <c r="D1027" s="21"/>
      <c r="E1027" s="22" t="str">
        <f t="shared" si="135"/>
        <v/>
      </c>
      <c r="F1027" s="21"/>
      <c r="G1027" s="21"/>
      <c r="H1027" s="21"/>
      <c r="I1027" s="21"/>
      <c r="J1027" s="21"/>
      <c r="K1027" s="21"/>
      <c r="L1027" s="21"/>
      <c r="M1027" s="21"/>
      <c r="N1027" s="21"/>
      <c r="O1027" s="21"/>
      <c r="P1027" s="21"/>
      <c r="Q1027" s="21"/>
      <c r="R1027" s="23" t="str">
        <f>IF($F1027="","",IF(OR($B1027="",$C1027="",$D1027=""),"⚠ Compléter Année/Niveau/Session",IF(AND($E1027&lt;&gt;"",COUNTIF(D_KEY_DOUBLON,$B1027&amp;"|"&amp;$D1027&amp;"|"&amp;$E1027)&gt;1),"⚠ Doublon",IF(AND($E1027&lt;&gt;"",COUNTIF(D_KEY_STATUT,$B1027&amp;"|"&amp;$E1027&amp;"|P")&gt;0,COUNTIF(D_KEY_STATUT,$B1027&amp;"|"&amp;$E1027&amp;"|A")&gt;0),"⚠ Statut incohérent",IF(AND($D1027="S1",$Y1027&lt;&gt;"Parti",COUNTIF(ANNEES_VERROU,$B1027)&gt;0,COUNTIF(D_KEY_NIVSES,$B1027&amp;"|"&amp;$C1027&amp;"|S2")&gt;0,COUNTIF(D_KEY_DOUBLON,$B1027&amp;"|S2|"&amp;$E1027)=0),"⚠ Départ non confirmé ?",IF(AND($C1027&lt;&gt;"",ISNUMBER($I1027),OR(VALUE(LEFT($B1027,4))-$I1027&lt;4+IFERROR(MATCH($C1027,LISTE_NIVEAUX,0),99),VALUE(LEFT($B1027,4))-$I1027&gt;6+IFERROR(MATCH($C1027,LISTE_NIVEAUX,0),99))),"⚠ Vérifier niveau",IF(AND(IFERROR(VLOOKUP($C1027,TABLE_CYCLE,2,0),3)=2,COUNT($O1027:$Q1027)&gt;0),"⚠ Tests cycle 3",IF(COUNT($J1027:$Q1027)&gt;=IF(IFERROR(VLOOKUP($C1027,TABLE_CYCLE,2,0),3)=2,5,8),"Complet","Incomplet"))))))))</f>
        <v/>
      </c>
      <c r="S1027" s="24"/>
      <c r="T1027" s="67" t="str">
        <f t="shared" si="136"/>
        <v/>
      </c>
      <c r="U1027" s="67" t="str">
        <f t="shared" si="137"/>
        <v/>
      </c>
      <c r="V1027" s="67" t="str">
        <f t="shared" si="138"/>
        <v/>
      </c>
      <c r="W1027" s="67" t="str">
        <f t="shared" si="139"/>
        <v/>
      </c>
      <c r="X1027" s="67" t="str">
        <f t="shared" si="140"/>
        <v/>
      </c>
      <c r="Y1027" s="24" t="str">
        <f t="shared" si="141"/>
        <v/>
      </c>
      <c r="Z1027">
        <f t="shared" si="142"/>
        <v>0</v>
      </c>
      <c r="AA1027">
        <f t="shared" si="143"/>
        <v>0</v>
      </c>
    </row>
    <row r="1028" spans="2:27" ht="15.75" customHeight="1" x14ac:dyDescent="0.3">
      <c r="B1028" s="25"/>
      <c r="C1028" s="25"/>
      <c r="D1028" s="25"/>
      <c r="E1028" s="26" t="str">
        <f t="shared" si="135"/>
        <v/>
      </c>
      <c r="F1028" s="25"/>
      <c r="G1028" s="25"/>
      <c r="H1028" s="25"/>
      <c r="I1028" s="25"/>
      <c r="J1028" s="25"/>
      <c r="K1028" s="25"/>
      <c r="L1028" s="25"/>
      <c r="M1028" s="25"/>
      <c r="N1028" s="25"/>
      <c r="O1028" s="25"/>
      <c r="P1028" s="25"/>
      <c r="Q1028" s="25"/>
      <c r="R1028" s="23" t="str">
        <f>IF($F1028="","",IF(OR($B1028="",$C1028="",$D1028=""),"⚠ Compléter Année/Niveau/Session",IF(AND($E1028&lt;&gt;"",COUNTIF(D_KEY_DOUBLON,$B1028&amp;"|"&amp;$D1028&amp;"|"&amp;$E1028)&gt;1),"⚠ Doublon",IF(AND($E1028&lt;&gt;"",COUNTIF(D_KEY_STATUT,$B1028&amp;"|"&amp;$E1028&amp;"|P")&gt;0,COUNTIF(D_KEY_STATUT,$B1028&amp;"|"&amp;$E1028&amp;"|A")&gt;0),"⚠ Statut incohérent",IF(AND($D1028="S1",$Y1028&lt;&gt;"Parti",COUNTIF(ANNEES_VERROU,$B1028)&gt;0,COUNTIF(D_KEY_NIVSES,$B1028&amp;"|"&amp;$C1028&amp;"|S2")&gt;0,COUNTIF(D_KEY_DOUBLON,$B1028&amp;"|S2|"&amp;$E1028)=0),"⚠ Départ non confirmé ?",IF(AND($C1028&lt;&gt;"",ISNUMBER($I1028),OR(VALUE(LEFT($B1028,4))-$I1028&lt;4+IFERROR(MATCH($C1028,LISTE_NIVEAUX,0),99),VALUE(LEFT($B1028,4))-$I1028&gt;6+IFERROR(MATCH($C1028,LISTE_NIVEAUX,0),99))),"⚠ Vérifier niveau",IF(AND(IFERROR(VLOOKUP($C1028,TABLE_CYCLE,2,0),3)=2,COUNT($O1028:$Q1028)&gt;0),"⚠ Tests cycle 3",IF(COUNT($J1028:$Q1028)&gt;=IF(IFERROR(VLOOKUP($C1028,TABLE_CYCLE,2,0),3)=2,5,8),"Complet","Incomplet"))))))))</f>
        <v/>
      </c>
      <c r="S1028" s="24"/>
      <c r="T1028" s="67" t="str">
        <f t="shared" si="136"/>
        <v/>
      </c>
      <c r="U1028" s="67" t="str">
        <f t="shared" si="137"/>
        <v/>
      </c>
      <c r="V1028" s="67" t="str">
        <f t="shared" si="138"/>
        <v/>
      </c>
      <c r="W1028" s="67" t="str">
        <f t="shared" si="139"/>
        <v/>
      </c>
      <c r="X1028" s="67" t="str">
        <f t="shared" si="140"/>
        <v/>
      </c>
      <c r="Y1028" s="24" t="str">
        <f t="shared" si="141"/>
        <v/>
      </c>
      <c r="Z1028">
        <f t="shared" si="142"/>
        <v>0</v>
      </c>
      <c r="AA1028">
        <f t="shared" si="143"/>
        <v>0</v>
      </c>
    </row>
    <row r="1029" spans="2:27" ht="15.75" customHeight="1" x14ac:dyDescent="0.3">
      <c r="B1029" s="21"/>
      <c r="C1029" s="21"/>
      <c r="D1029" s="21"/>
      <c r="E1029" s="22" t="str">
        <f t="shared" si="135"/>
        <v/>
      </c>
      <c r="F1029" s="21"/>
      <c r="G1029" s="21"/>
      <c r="H1029" s="21"/>
      <c r="I1029" s="21"/>
      <c r="J1029" s="21"/>
      <c r="K1029" s="21"/>
      <c r="L1029" s="21"/>
      <c r="M1029" s="21"/>
      <c r="N1029" s="21"/>
      <c r="O1029" s="21"/>
      <c r="P1029" s="21"/>
      <c r="Q1029" s="21"/>
      <c r="R1029" s="23" t="str">
        <f>IF($F1029="","",IF(OR($B1029="",$C1029="",$D1029=""),"⚠ Compléter Année/Niveau/Session",IF(AND($E1029&lt;&gt;"",COUNTIF(D_KEY_DOUBLON,$B1029&amp;"|"&amp;$D1029&amp;"|"&amp;$E1029)&gt;1),"⚠ Doublon",IF(AND($E1029&lt;&gt;"",COUNTIF(D_KEY_STATUT,$B1029&amp;"|"&amp;$E1029&amp;"|P")&gt;0,COUNTIF(D_KEY_STATUT,$B1029&amp;"|"&amp;$E1029&amp;"|A")&gt;0),"⚠ Statut incohérent",IF(AND($D1029="S1",$Y1029&lt;&gt;"Parti",COUNTIF(ANNEES_VERROU,$B1029)&gt;0,COUNTIF(D_KEY_NIVSES,$B1029&amp;"|"&amp;$C1029&amp;"|S2")&gt;0,COUNTIF(D_KEY_DOUBLON,$B1029&amp;"|S2|"&amp;$E1029)=0),"⚠ Départ non confirmé ?",IF(AND($C1029&lt;&gt;"",ISNUMBER($I1029),OR(VALUE(LEFT($B1029,4))-$I1029&lt;4+IFERROR(MATCH($C1029,LISTE_NIVEAUX,0),99),VALUE(LEFT($B1029,4))-$I1029&gt;6+IFERROR(MATCH($C1029,LISTE_NIVEAUX,0),99))),"⚠ Vérifier niveau",IF(AND(IFERROR(VLOOKUP($C1029,TABLE_CYCLE,2,0),3)=2,COUNT($O1029:$Q1029)&gt;0),"⚠ Tests cycle 3",IF(COUNT($J1029:$Q1029)&gt;=IF(IFERROR(VLOOKUP($C1029,TABLE_CYCLE,2,0),3)=2,5,8),"Complet","Incomplet"))))))))</f>
        <v/>
      </c>
      <c r="S1029" s="24"/>
      <c r="T1029" s="67" t="str">
        <f t="shared" si="136"/>
        <v/>
      </c>
      <c r="U1029" s="67" t="str">
        <f t="shared" si="137"/>
        <v/>
      </c>
      <c r="V1029" s="67" t="str">
        <f t="shared" si="138"/>
        <v/>
      </c>
      <c r="W1029" s="67" t="str">
        <f t="shared" si="139"/>
        <v/>
      </c>
      <c r="X1029" s="67" t="str">
        <f t="shared" si="140"/>
        <v/>
      </c>
      <c r="Y1029" s="24" t="str">
        <f t="shared" si="141"/>
        <v/>
      </c>
      <c r="Z1029">
        <f t="shared" si="142"/>
        <v>0</v>
      </c>
      <c r="AA1029">
        <f t="shared" si="143"/>
        <v>0</v>
      </c>
    </row>
    <row r="1030" spans="2:27" ht="15.75" customHeight="1" x14ac:dyDescent="0.3">
      <c r="B1030" s="25"/>
      <c r="C1030" s="25"/>
      <c r="D1030" s="25"/>
      <c r="E1030" s="26" t="str">
        <f t="shared" si="135"/>
        <v/>
      </c>
      <c r="F1030" s="25"/>
      <c r="G1030" s="25"/>
      <c r="H1030" s="25"/>
      <c r="I1030" s="25"/>
      <c r="J1030" s="25"/>
      <c r="K1030" s="25"/>
      <c r="L1030" s="25"/>
      <c r="M1030" s="25"/>
      <c r="N1030" s="25"/>
      <c r="O1030" s="25"/>
      <c r="P1030" s="25"/>
      <c r="Q1030" s="25"/>
      <c r="R1030" s="23" t="str">
        <f>IF($F1030="","",IF(OR($B1030="",$C1030="",$D1030=""),"⚠ Compléter Année/Niveau/Session",IF(AND($E1030&lt;&gt;"",COUNTIF(D_KEY_DOUBLON,$B1030&amp;"|"&amp;$D1030&amp;"|"&amp;$E1030)&gt;1),"⚠ Doublon",IF(AND($E1030&lt;&gt;"",COUNTIF(D_KEY_STATUT,$B1030&amp;"|"&amp;$E1030&amp;"|P")&gt;0,COUNTIF(D_KEY_STATUT,$B1030&amp;"|"&amp;$E1030&amp;"|A")&gt;0),"⚠ Statut incohérent",IF(AND($D1030="S1",$Y1030&lt;&gt;"Parti",COUNTIF(ANNEES_VERROU,$B1030)&gt;0,COUNTIF(D_KEY_NIVSES,$B1030&amp;"|"&amp;$C1030&amp;"|S2")&gt;0,COUNTIF(D_KEY_DOUBLON,$B1030&amp;"|S2|"&amp;$E1030)=0),"⚠ Départ non confirmé ?",IF(AND($C1030&lt;&gt;"",ISNUMBER($I1030),OR(VALUE(LEFT($B1030,4))-$I1030&lt;4+IFERROR(MATCH($C1030,LISTE_NIVEAUX,0),99),VALUE(LEFT($B1030,4))-$I1030&gt;6+IFERROR(MATCH($C1030,LISTE_NIVEAUX,0),99))),"⚠ Vérifier niveau",IF(AND(IFERROR(VLOOKUP($C1030,TABLE_CYCLE,2,0),3)=2,COUNT($O1030:$Q1030)&gt;0),"⚠ Tests cycle 3",IF(COUNT($J1030:$Q1030)&gt;=IF(IFERROR(VLOOKUP($C1030,TABLE_CYCLE,2,0),3)=2,5,8),"Complet","Incomplet"))))))))</f>
        <v/>
      </c>
      <c r="S1030" s="24"/>
      <c r="T1030" s="67" t="str">
        <f t="shared" si="136"/>
        <v/>
      </c>
      <c r="U1030" s="67" t="str">
        <f t="shared" si="137"/>
        <v/>
      </c>
      <c r="V1030" s="67" t="str">
        <f t="shared" si="138"/>
        <v/>
      </c>
      <c r="W1030" s="67" t="str">
        <f t="shared" si="139"/>
        <v/>
      </c>
      <c r="X1030" s="67" t="str">
        <f t="shared" si="140"/>
        <v/>
      </c>
      <c r="Y1030" s="24" t="str">
        <f t="shared" si="141"/>
        <v/>
      </c>
      <c r="Z1030">
        <f t="shared" si="142"/>
        <v>0</v>
      </c>
      <c r="AA1030">
        <f t="shared" si="143"/>
        <v>0</v>
      </c>
    </row>
    <row r="1031" spans="2:27" ht="15.75" customHeight="1" x14ac:dyDescent="0.3">
      <c r="B1031" s="21"/>
      <c r="C1031" s="21"/>
      <c r="D1031" s="21"/>
      <c r="E1031" s="22" t="str">
        <f t="shared" ref="E1031:E1094" si="144">IF(OR($F1031="",$G1031=""),"",IF(ISNUMBER($I1031),TEXT($I1031-2000,"00")&amp;"_","__")&amp;UPPER(TRIM($F1031))&amp;"_"&amp;UPPER(TRIM($G1031)))</f>
        <v/>
      </c>
      <c r="F1031" s="21"/>
      <c r="G1031" s="21"/>
      <c r="H1031" s="21"/>
      <c r="I1031" s="21"/>
      <c r="J1031" s="21"/>
      <c r="K1031" s="21"/>
      <c r="L1031" s="21"/>
      <c r="M1031" s="21"/>
      <c r="N1031" s="21"/>
      <c r="O1031" s="21"/>
      <c r="P1031" s="21"/>
      <c r="Q1031" s="21"/>
      <c r="R1031" s="23" t="str">
        <f>IF($F1031="","",IF(OR($B1031="",$C1031="",$D1031=""),"⚠ Compléter Année/Niveau/Session",IF(AND($E1031&lt;&gt;"",COUNTIF(D_KEY_DOUBLON,$B1031&amp;"|"&amp;$D1031&amp;"|"&amp;$E1031)&gt;1),"⚠ Doublon",IF(AND($E1031&lt;&gt;"",COUNTIF(D_KEY_STATUT,$B1031&amp;"|"&amp;$E1031&amp;"|P")&gt;0,COUNTIF(D_KEY_STATUT,$B1031&amp;"|"&amp;$E1031&amp;"|A")&gt;0),"⚠ Statut incohérent",IF(AND($D1031="S1",$Y1031&lt;&gt;"Parti",COUNTIF(ANNEES_VERROU,$B1031)&gt;0,COUNTIF(D_KEY_NIVSES,$B1031&amp;"|"&amp;$C1031&amp;"|S2")&gt;0,COUNTIF(D_KEY_DOUBLON,$B1031&amp;"|S2|"&amp;$E1031)=0),"⚠ Départ non confirmé ?",IF(AND($C1031&lt;&gt;"",ISNUMBER($I1031),OR(VALUE(LEFT($B1031,4))-$I1031&lt;4+IFERROR(MATCH($C1031,LISTE_NIVEAUX,0),99),VALUE(LEFT($B1031,4))-$I1031&gt;6+IFERROR(MATCH($C1031,LISTE_NIVEAUX,0),99))),"⚠ Vérifier niveau",IF(AND(IFERROR(VLOOKUP($C1031,TABLE_CYCLE,2,0),3)=2,COUNT($O1031:$Q1031)&gt;0),"⚠ Tests cycle 3",IF(COUNT($J1031:$Q1031)&gt;=IF(IFERROR(VLOOKUP($C1031,TABLE_CYCLE,2,0),3)=2,5,8),"Complet","Incomplet"))))))))</f>
        <v/>
      </c>
      <c r="S1031" s="24"/>
      <c r="T1031" s="67" t="str">
        <f t="shared" ref="T1031:T1094" si="145">IFERROR(INDEX(D_NOM,MATCH(ROW()-6,D_RANG_RECUP,0)),"")</f>
        <v/>
      </c>
      <c r="U1031" s="67" t="str">
        <f t="shared" ref="U1031:U1094" si="146">IFERROR(INDEX(D_PRENOM,MATCH(ROW()-6,D_RANG_RECUP,0)),"")</f>
        <v/>
      </c>
      <c r="V1031" s="67" t="str">
        <f t="shared" ref="V1031:V1094" si="147">IFERROR(INDEX(D_SEXE,MATCH(ROW()-6,D_RANG_RECUP,0)),"")</f>
        <v/>
      </c>
      <c r="W1031" s="67" t="str">
        <f t="shared" ref="W1031:W1094" si="148">IFERROR(INDEX(D_NAISS,MATCH(ROW()-6,D_RANG_RECUP,0)),"")</f>
        <v/>
      </c>
      <c r="X1031" s="67" t="str">
        <f t="shared" ref="X1031:X1094" si="149">IF($T1031="","",IF($X$4="→ Session 2 (même année)",$W$4,IFERROR(INDEX(LISTE_NIVEAUX,MATCH($W$4,LISTE_NIVEAUX,0)+1),"CM2 terminé")))</f>
        <v/>
      </c>
      <c r="Y1031" s="24" t="str">
        <f t="shared" ref="Y1031:Y1094" si="150">IF($S1031="","",$S1031)</f>
        <v/>
      </c>
      <c r="Z1031">
        <f t="shared" ref="Z1031:Z1094" si="151">SUBTOTAL(103,$F1031)*($R1031="Complet")</f>
        <v>0</v>
      </c>
      <c r="AA1031">
        <f t="shared" ref="AA1031:AA1094" si="152">IF(OR($F1031="",$C1031=""),0,IF(COUNTIFS($B$7:$B$1206,$B1031,$F$7:$F$1206,$F1031,$G$7:$G$1206,$G1031,$I$7:$I$1206,$I1031,$C$7:$C$1206,"&lt;&gt;"&amp;$C1031)&gt;0,1,0))</f>
        <v>0</v>
      </c>
    </row>
    <row r="1032" spans="2:27" ht="15.75" customHeight="1" x14ac:dyDescent="0.3">
      <c r="B1032" s="25"/>
      <c r="C1032" s="25"/>
      <c r="D1032" s="25"/>
      <c r="E1032" s="26" t="str">
        <f t="shared" si="144"/>
        <v/>
      </c>
      <c r="F1032" s="25"/>
      <c r="G1032" s="25"/>
      <c r="H1032" s="25"/>
      <c r="I1032" s="25"/>
      <c r="J1032" s="25"/>
      <c r="K1032" s="25"/>
      <c r="L1032" s="25"/>
      <c r="M1032" s="25"/>
      <c r="N1032" s="25"/>
      <c r="O1032" s="25"/>
      <c r="P1032" s="25"/>
      <c r="Q1032" s="25"/>
      <c r="R1032" s="23" t="str">
        <f>IF($F1032="","",IF(OR($B1032="",$C1032="",$D1032=""),"⚠ Compléter Année/Niveau/Session",IF(AND($E1032&lt;&gt;"",COUNTIF(D_KEY_DOUBLON,$B1032&amp;"|"&amp;$D1032&amp;"|"&amp;$E1032)&gt;1),"⚠ Doublon",IF(AND($E1032&lt;&gt;"",COUNTIF(D_KEY_STATUT,$B1032&amp;"|"&amp;$E1032&amp;"|P")&gt;0,COUNTIF(D_KEY_STATUT,$B1032&amp;"|"&amp;$E1032&amp;"|A")&gt;0),"⚠ Statut incohérent",IF(AND($D1032="S1",$Y1032&lt;&gt;"Parti",COUNTIF(ANNEES_VERROU,$B1032)&gt;0,COUNTIF(D_KEY_NIVSES,$B1032&amp;"|"&amp;$C1032&amp;"|S2")&gt;0,COUNTIF(D_KEY_DOUBLON,$B1032&amp;"|S2|"&amp;$E1032)=0),"⚠ Départ non confirmé ?",IF(AND($C1032&lt;&gt;"",ISNUMBER($I1032),OR(VALUE(LEFT($B1032,4))-$I1032&lt;4+IFERROR(MATCH($C1032,LISTE_NIVEAUX,0),99),VALUE(LEFT($B1032,4))-$I1032&gt;6+IFERROR(MATCH($C1032,LISTE_NIVEAUX,0),99))),"⚠ Vérifier niveau",IF(AND(IFERROR(VLOOKUP($C1032,TABLE_CYCLE,2,0),3)=2,COUNT($O1032:$Q1032)&gt;0),"⚠ Tests cycle 3",IF(COUNT($J1032:$Q1032)&gt;=IF(IFERROR(VLOOKUP($C1032,TABLE_CYCLE,2,0),3)=2,5,8),"Complet","Incomplet"))))))))</f>
        <v/>
      </c>
      <c r="S1032" s="24"/>
      <c r="T1032" s="67" t="str">
        <f t="shared" si="145"/>
        <v/>
      </c>
      <c r="U1032" s="67" t="str">
        <f t="shared" si="146"/>
        <v/>
      </c>
      <c r="V1032" s="67" t="str">
        <f t="shared" si="147"/>
        <v/>
      </c>
      <c r="W1032" s="67" t="str">
        <f t="shared" si="148"/>
        <v/>
      </c>
      <c r="X1032" s="67" t="str">
        <f t="shared" si="149"/>
        <v/>
      </c>
      <c r="Y1032" s="24" t="str">
        <f t="shared" si="150"/>
        <v/>
      </c>
      <c r="Z1032">
        <f t="shared" si="151"/>
        <v>0</v>
      </c>
      <c r="AA1032">
        <f t="shared" si="152"/>
        <v>0</v>
      </c>
    </row>
    <row r="1033" spans="2:27" ht="15.75" customHeight="1" x14ac:dyDescent="0.3">
      <c r="B1033" s="21"/>
      <c r="C1033" s="21"/>
      <c r="D1033" s="21"/>
      <c r="E1033" s="22" t="str">
        <f t="shared" si="144"/>
        <v/>
      </c>
      <c r="F1033" s="21"/>
      <c r="G1033" s="21"/>
      <c r="H1033" s="21"/>
      <c r="I1033" s="21"/>
      <c r="J1033" s="21"/>
      <c r="K1033" s="21"/>
      <c r="L1033" s="21"/>
      <c r="M1033" s="21"/>
      <c r="N1033" s="21"/>
      <c r="O1033" s="21"/>
      <c r="P1033" s="21"/>
      <c r="Q1033" s="21"/>
      <c r="R1033" s="23" t="str">
        <f>IF($F1033="","",IF(OR($B1033="",$C1033="",$D1033=""),"⚠ Compléter Année/Niveau/Session",IF(AND($E1033&lt;&gt;"",COUNTIF(D_KEY_DOUBLON,$B1033&amp;"|"&amp;$D1033&amp;"|"&amp;$E1033)&gt;1),"⚠ Doublon",IF(AND($E1033&lt;&gt;"",COUNTIF(D_KEY_STATUT,$B1033&amp;"|"&amp;$E1033&amp;"|P")&gt;0,COUNTIF(D_KEY_STATUT,$B1033&amp;"|"&amp;$E1033&amp;"|A")&gt;0),"⚠ Statut incohérent",IF(AND($D1033="S1",$Y1033&lt;&gt;"Parti",COUNTIF(ANNEES_VERROU,$B1033)&gt;0,COUNTIF(D_KEY_NIVSES,$B1033&amp;"|"&amp;$C1033&amp;"|S2")&gt;0,COUNTIF(D_KEY_DOUBLON,$B1033&amp;"|S2|"&amp;$E1033)=0),"⚠ Départ non confirmé ?",IF(AND($C1033&lt;&gt;"",ISNUMBER($I1033),OR(VALUE(LEFT($B1033,4))-$I1033&lt;4+IFERROR(MATCH($C1033,LISTE_NIVEAUX,0),99),VALUE(LEFT($B1033,4))-$I1033&gt;6+IFERROR(MATCH($C1033,LISTE_NIVEAUX,0),99))),"⚠ Vérifier niveau",IF(AND(IFERROR(VLOOKUP($C1033,TABLE_CYCLE,2,0),3)=2,COUNT($O1033:$Q1033)&gt;0),"⚠ Tests cycle 3",IF(COUNT($J1033:$Q1033)&gt;=IF(IFERROR(VLOOKUP($C1033,TABLE_CYCLE,2,0),3)=2,5,8),"Complet","Incomplet"))))))))</f>
        <v/>
      </c>
      <c r="S1033" s="24"/>
      <c r="T1033" s="67" t="str">
        <f t="shared" si="145"/>
        <v/>
      </c>
      <c r="U1033" s="67" t="str">
        <f t="shared" si="146"/>
        <v/>
      </c>
      <c r="V1033" s="67" t="str">
        <f t="shared" si="147"/>
        <v/>
      </c>
      <c r="W1033" s="67" t="str">
        <f t="shared" si="148"/>
        <v/>
      </c>
      <c r="X1033" s="67" t="str">
        <f t="shared" si="149"/>
        <v/>
      </c>
      <c r="Y1033" s="24" t="str">
        <f t="shared" si="150"/>
        <v/>
      </c>
      <c r="Z1033">
        <f t="shared" si="151"/>
        <v>0</v>
      </c>
      <c r="AA1033">
        <f t="shared" si="152"/>
        <v>0</v>
      </c>
    </row>
    <row r="1034" spans="2:27" ht="15.75" customHeight="1" x14ac:dyDescent="0.3">
      <c r="B1034" s="25"/>
      <c r="C1034" s="25"/>
      <c r="D1034" s="25"/>
      <c r="E1034" s="26" t="str">
        <f t="shared" si="144"/>
        <v/>
      </c>
      <c r="F1034" s="25"/>
      <c r="G1034" s="25"/>
      <c r="H1034" s="25"/>
      <c r="I1034" s="25"/>
      <c r="J1034" s="25"/>
      <c r="K1034" s="25"/>
      <c r="L1034" s="25"/>
      <c r="M1034" s="25"/>
      <c r="N1034" s="25"/>
      <c r="O1034" s="25"/>
      <c r="P1034" s="25"/>
      <c r="Q1034" s="25"/>
      <c r="R1034" s="23" t="str">
        <f>IF($F1034="","",IF(OR($B1034="",$C1034="",$D1034=""),"⚠ Compléter Année/Niveau/Session",IF(AND($E1034&lt;&gt;"",COUNTIF(D_KEY_DOUBLON,$B1034&amp;"|"&amp;$D1034&amp;"|"&amp;$E1034)&gt;1),"⚠ Doublon",IF(AND($E1034&lt;&gt;"",COUNTIF(D_KEY_STATUT,$B1034&amp;"|"&amp;$E1034&amp;"|P")&gt;0,COUNTIF(D_KEY_STATUT,$B1034&amp;"|"&amp;$E1034&amp;"|A")&gt;0),"⚠ Statut incohérent",IF(AND($D1034="S1",$Y1034&lt;&gt;"Parti",COUNTIF(ANNEES_VERROU,$B1034)&gt;0,COUNTIF(D_KEY_NIVSES,$B1034&amp;"|"&amp;$C1034&amp;"|S2")&gt;0,COUNTIF(D_KEY_DOUBLON,$B1034&amp;"|S2|"&amp;$E1034)=0),"⚠ Départ non confirmé ?",IF(AND($C1034&lt;&gt;"",ISNUMBER($I1034),OR(VALUE(LEFT($B1034,4))-$I1034&lt;4+IFERROR(MATCH($C1034,LISTE_NIVEAUX,0),99),VALUE(LEFT($B1034,4))-$I1034&gt;6+IFERROR(MATCH($C1034,LISTE_NIVEAUX,0),99))),"⚠ Vérifier niveau",IF(AND(IFERROR(VLOOKUP($C1034,TABLE_CYCLE,2,0),3)=2,COUNT($O1034:$Q1034)&gt;0),"⚠ Tests cycle 3",IF(COUNT($J1034:$Q1034)&gt;=IF(IFERROR(VLOOKUP($C1034,TABLE_CYCLE,2,0),3)=2,5,8),"Complet","Incomplet"))))))))</f>
        <v/>
      </c>
      <c r="S1034" s="24"/>
      <c r="T1034" s="67" t="str">
        <f t="shared" si="145"/>
        <v/>
      </c>
      <c r="U1034" s="67" t="str">
        <f t="shared" si="146"/>
        <v/>
      </c>
      <c r="V1034" s="67" t="str">
        <f t="shared" si="147"/>
        <v/>
      </c>
      <c r="W1034" s="67" t="str">
        <f t="shared" si="148"/>
        <v/>
      </c>
      <c r="X1034" s="67" t="str">
        <f t="shared" si="149"/>
        <v/>
      </c>
      <c r="Y1034" s="24" t="str">
        <f t="shared" si="150"/>
        <v/>
      </c>
      <c r="Z1034">
        <f t="shared" si="151"/>
        <v>0</v>
      </c>
      <c r="AA1034">
        <f t="shared" si="152"/>
        <v>0</v>
      </c>
    </row>
    <row r="1035" spans="2:27" ht="15.75" customHeight="1" x14ac:dyDescent="0.3">
      <c r="B1035" s="21"/>
      <c r="C1035" s="21"/>
      <c r="D1035" s="21"/>
      <c r="E1035" s="22" t="str">
        <f t="shared" si="144"/>
        <v/>
      </c>
      <c r="F1035" s="21"/>
      <c r="G1035" s="21"/>
      <c r="H1035" s="21"/>
      <c r="I1035" s="21"/>
      <c r="J1035" s="21"/>
      <c r="K1035" s="21"/>
      <c r="L1035" s="21"/>
      <c r="M1035" s="21"/>
      <c r="N1035" s="21"/>
      <c r="O1035" s="21"/>
      <c r="P1035" s="21"/>
      <c r="Q1035" s="21"/>
      <c r="R1035" s="23" t="str">
        <f>IF($F1035="","",IF(OR($B1035="",$C1035="",$D1035=""),"⚠ Compléter Année/Niveau/Session",IF(AND($E1035&lt;&gt;"",COUNTIF(D_KEY_DOUBLON,$B1035&amp;"|"&amp;$D1035&amp;"|"&amp;$E1035)&gt;1),"⚠ Doublon",IF(AND($E1035&lt;&gt;"",COUNTIF(D_KEY_STATUT,$B1035&amp;"|"&amp;$E1035&amp;"|P")&gt;0,COUNTIF(D_KEY_STATUT,$B1035&amp;"|"&amp;$E1035&amp;"|A")&gt;0),"⚠ Statut incohérent",IF(AND($D1035="S1",$Y1035&lt;&gt;"Parti",COUNTIF(ANNEES_VERROU,$B1035)&gt;0,COUNTIF(D_KEY_NIVSES,$B1035&amp;"|"&amp;$C1035&amp;"|S2")&gt;0,COUNTIF(D_KEY_DOUBLON,$B1035&amp;"|S2|"&amp;$E1035)=0),"⚠ Départ non confirmé ?",IF(AND($C1035&lt;&gt;"",ISNUMBER($I1035),OR(VALUE(LEFT($B1035,4))-$I1035&lt;4+IFERROR(MATCH($C1035,LISTE_NIVEAUX,0),99),VALUE(LEFT($B1035,4))-$I1035&gt;6+IFERROR(MATCH($C1035,LISTE_NIVEAUX,0),99))),"⚠ Vérifier niveau",IF(AND(IFERROR(VLOOKUP($C1035,TABLE_CYCLE,2,0),3)=2,COUNT($O1035:$Q1035)&gt;0),"⚠ Tests cycle 3",IF(COUNT($J1035:$Q1035)&gt;=IF(IFERROR(VLOOKUP($C1035,TABLE_CYCLE,2,0),3)=2,5,8),"Complet","Incomplet"))))))))</f>
        <v/>
      </c>
      <c r="S1035" s="24"/>
      <c r="T1035" s="67" t="str">
        <f t="shared" si="145"/>
        <v/>
      </c>
      <c r="U1035" s="67" t="str">
        <f t="shared" si="146"/>
        <v/>
      </c>
      <c r="V1035" s="67" t="str">
        <f t="shared" si="147"/>
        <v/>
      </c>
      <c r="W1035" s="67" t="str">
        <f t="shared" si="148"/>
        <v/>
      </c>
      <c r="X1035" s="67" t="str">
        <f t="shared" si="149"/>
        <v/>
      </c>
      <c r="Y1035" s="24" t="str">
        <f t="shared" si="150"/>
        <v/>
      </c>
      <c r="Z1035">
        <f t="shared" si="151"/>
        <v>0</v>
      </c>
      <c r="AA1035">
        <f t="shared" si="152"/>
        <v>0</v>
      </c>
    </row>
    <row r="1036" spans="2:27" ht="15.75" customHeight="1" x14ac:dyDescent="0.3">
      <c r="B1036" s="25"/>
      <c r="C1036" s="25"/>
      <c r="D1036" s="25"/>
      <c r="E1036" s="26" t="str">
        <f t="shared" si="144"/>
        <v/>
      </c>
      <c r="F1036" s="25"/>
      <c r="G1036" s="25"/>
      <c r="H1036" s="25"/>
      <c r="I1036" s="25"/>
      <c r="J1036" s="25"/>
      <c r="K1036" s="25"/>
      <c r="L1036" s="25"/>
      <c r="M1036" s="25"/>
      <c r="N1036" s="25"/>
      <c r="O1036" s="25"/>
      <c r="P1036" s="25"/>
      <c r="Q1036" s="25"/>
      <c r="R1036" s="23" t="str">
        <f>IF($F1036="","",IF(OR($B1036="",$C1036="",$D1036=""),"⚠ Compléter Année/Niveau/Session",IF(AND($E1036&lt;&gt;"",COUNTIF(D_KEY_DOUBLON,$B1036&amp;"|"&amp;$D1036&amp;"|"&amp;$E1036)&gt;1),"⚠ Doublon",IF(AND($E1036&lt;&gt;"",COUNTIF(D_KEY_STATUT,$B1036&amp;"|"&amp;$E1036&amp;"|P")&gt;0,COUNTIF(D_KEY_STATUT,$B1036&amp;"|"&amp;$E1036&amp;"|A")&gt;0),"⚠ Statut incohérent",IF(AND($D1036="S1",$Y1036&lt;&gt;"Parti",COUNTIF(ANNEES_VERROU,$B1036)&gt;0,COUNTIF(D_KEY_NIVSES,$B1036&amp;"|"&amp;$C1036&amp;"|S2")&gt;0,COUNTIF(D_KEY_DOUBLON,$B1036&amp;"|S2|"&amp;$E1036)=0),"⚠ Départ non confirmé ?",IF(AND($C1036&lt;&gt;"",ISNUMBER($I1036),OR(VALUE(LEFT($B1036,4))-$I1036&lt;4+IFERROR(MATCH($C1036,LISTE_NIVEAUX,0),99),VALUE(LEFT($B1036,4))-$I1036&gt;6+IFERROR(MATCH($C1036,LISTE_NIVEAUX,0),99))),"⚠ Vérifier niveau",IF(AND(IFERROR(VLOOKUP($C1036,TABLE_CYCLE,2,0),3)=2,COUNT($O1036:$Q1036)&gt;0),"⚠ Tests cycle 3",IF(COUNT($J1036:$Q1036)&gt;=IF(IFERROR(VLOOKUP($C1036,TABLE_CYCLE,2,0),3)=2,5,8),"Complet","Incomplet"))))))))</f>
        <v/>
      </c>
      <c r="S1036" s="24"/>
      <c r="T1036" s="67" t="str">
        <f t="shared" si="145"/>
        <v/>
      </c>
      <c r="U1036" s="67" t="str">
        <f t="shared" si="146"/>
        <v/>
      </c>
      <c r="V1036" s="67" t="str">
        <f t="shared" si="147"/>
        <v/>
      </c>
      <c r="W1036" s="67" t="str">
        <f t="shared" si="148"/>
        <v/>
      </c>
      <c r="X1036" s="67" t="str">
        <f t="shared" si="149"/>
        <v/>
      </c>
      <c r="Y1036" s="24" t="str">
        <f t="shared" si="150"/>
        <v/>
      </c>
      <c r="Z1036">
        <f t="shared" si="151"/>
        <v>0</v>
      </c>
      <c r="AA1036">
        <f t="shared" si="152"/>
        <v>0</v>
      </c>
    </row>
    <row r="1037" spans="2:27" ht="15.75" customHeight="1" x14ac:dyDescent="0.3">
      <c r="B1037" s="21"/>
      <c r="C1037" s="21"/>
      <c r="D1037" s="21"/>
      <c r="E1037" s="22" t="str">
        <f t="shared" si="144"/>
        <v/>
      </c>
      <c r="F1037" s="21"/>
      <c r="G1037" s="21"/>
      <c r="H1037" s="21"/>
      <c r="I1037" s="21"/>
      <c r="J1037" s="21"/>
      <c r="K1037" s="21"/>
      <c r="L1037" s="21"/>
      <c r="M1037" s="21"/>
      <c r="N1037" s="21"/>
      <c r="O1037" s="21"/>
      <c r="P1037" s="21"/>
      <c r="Q1037" s="21"/>
      <c r="R1037" s="23" t="str">
        <f>IF($F1037="","",IF(OR($B1037="",$C1037="",$D1037=""),"⚠ Compléter Année/Niveau/Session",IF(AND($E1037&lt;&gt;"",COUNTIF(D_KEY_DOUBLON,$B1037&amp;"|"&amp;$D1037&amp;"|"&amp;$E1037)&gt;1),"⚠ Doublon",IF(AND($E1037&lt;&gt;"",COUNTIF(D_KEY_STATUT,$B1037&amp;"|"&amp;$E1037&amp;"|P")&gt;0,COUNTIF(D_KEY_STATUT,$B1037&amp;"|"&amp;$E1037&amp;"|A")&gt;0),"⚠ Statut incohérent",IF(AND($D1037="S1",$Y1037&lt;&gt;"Parti",COUNTIF(ANNEES_VERROU,$B1037)&gt;0,COUNTIF(D_KEY_NIVSES,$B1037&amp;"|"&amp;$C1037&amp;"|S2")&gt;0,COUNTIF(D_KEY_DOUBLON,$B1037&amp;"|S2|"&amp;$E1037)=0),"⚠ Départ non confirmé ?",IF(AND($C1037&lt;&gt;"",ISNUMBER($I1037),OR(VALUE(LEFT($B1037,4))-$I1037&lt;4+IFERROR(MATCH($C1037,LISTE_NIVEAUX,0),99),VALUE(LEFT($B1037,4))-$I1037&gt;6+IFERROR(MATCH($C1037,LISTE_NIVEAUX,0),99))),"⚠ Vérifier niveau",IF(AND(IFERROR(VLOOKUP($C1037,TABLE_CYCLE,2,0),3)=2,COUNT($O1037:$Q1037)&gt;0),"⚠ Tests cycle 3",IF(COUNT($J1037:$Q1037)&gt;=IF(IFERROR(VLOOKUP($C1037,TABLE_CYCLE,2,0),3)=2,5,8),"Complet","Incomplet"))))))))</f>
        <v/>
      </c>
      <c r="S1037" s="24"/>
      <c r="T1037" s="67" t="str">
        <f t="shared" si="145"/>
        <v/>
      </c>
      <c r="U1037" s="67" t="str">
        <f t="shared" si="146"/>
        <v/>
      </c>
      <c r="V1037" s="67" t="str">
        <f t="shared" si="147"/>
        <v/>
      </c>
      <c r="W1037" s="67" t="str">
        <f t="shared" si="148"/>
        <v/>
      </c>
      <c r="X1037" s="67" t="str">
        <f t="shared" si="149"/>
        <v/>
      </c>
      <c r="Y1037" s="24" t="str">
        <f t="shared" si="150"/>
        <v/>
      </c>
      <c r="Z1037">
        <f t="shared" si="151"/>
        <v>0</v>
      </c>
      <c r="AA1037">
        <f t="shared" si="152"/>
        <v>0</v>
      </c>
    </row>
    <row r="1038" spans="2:27" ht="15.75" customHeight="1" x14ac:dyDescent="0.3">
      <c r="B1038" s="25"/>
      <c r="C1038" s="25"/>
      <c r="D1038" s="25"/>
      <c r="E1038" s="26" t="str">
        <f t="shared" si="144"/>
        <v/>
      </c>
      <c r="F1038" s="25"/>
      <c r="G1038" s="25"/>
      <c r="H1038" s="25"/>
      <c r="I1038" s="25"/>
      <c r="J1038" s="25"/>
      <c r="K1038" s="25"/>
      <c r="L1038" s="25"/>
      <c r="M1038" s="25"/>
      <c r="N1038" s="25"/>
      <c r="O1038" s="25"/>
      <c r="P1038" s="25"/>
      <c r="Q1038" s="25"/>
      <c r="R1038" s="23" t="str">
        <f>IF($F1038="","",IF(OR($B1038="",$C1038="",$D1038=""),"⚠ Compléter Année/Niveau/Session",IF(AND($E1038&lt;&gt;"",COUNTIF(D_KEY_DOUBLON,$B1038&amp;"|"&amp;$D1038&amp;"|"&amp;$E1038)&gt;1),"⚠ Doublon",IF(AND($E1038&lt;&gt;"",COUNTIF(D_KEY_STATUT,$B1038&amp;"|"&amp;$E1038&amp;"|P")&gt;0,COUNTIF(D_KEY_STATUT,$B1038&amp;"|"&amp;$E1038&amp;"|A")&gt;0),"⚠ Statut incohérent",IF(AND($D1038="S1",$Y1038&lt;&gt;"Parti",COUNTIF(ANNEES_VERROU,$B1038)&gt;0,COUNTIF(D_KEY_NIVSES,$B1038&amp;"|"&amp;$C1038&amp;"|S2")&gt;0,COUNTIF(D_KEY_DOUBLON,$B1038&amp;"|S2|"&amp;$E1038)=0),"⚠ Départ non confirmé ?",IF(AND($C1038&lt;&gt;"",ISNUMBER($I1038),OR(VALUE(LEFT($B1038,4))-$I1038&lt;4+IFERROR(MATCH($C1038,LISTE_NIVEAUX,0),99),VALUE(LEFT($B1038,4))-$I1038&gt;6+IFERROR(MATCH($C1038,LISTE_NIVEAUX,0),99))),"⚠ Vérifier niveau",IF(AND(IFERROR(VLOOKUP($C1038,TABLE_CYCLE,2,0),3)=2,COUNT($O1038:$Q1038)&gt;0),"⚠ Tests cycle 3",IF(COUNT($J1038:$Q1038)&gt;=IF(IFERROR(VLOOKUP($C1038,TABLE_CYCLE,2,0),3)=2,5,8),"Complet","Incomplet"))))))))</f>
        <v/>
      </c>
      <c r="S1038" s="24"/>
      <c r="T1038" s="67" t="str">
        <f t="shared" si="145"/>
        <v/>
      </c>
      <c r="U1038" s="67" t="str">
        <f t="shared" si="146"/>
        <v/>
      </c>
      <c r="V1038" s="67" t="str">
        <f t="shared" si="147"/>
        <v/>
      </c>
      <c r="W1038" s="67" t="str">
        <f t="shared" si="148"/>
        <v/>
      </c>
      <c r="X1038" s="67" t="str">
        <f t="shared" si="149"/>
        <v/>
      </c>
      <c r="Y1038" s="24" t="str">
        <f t="shared" si="150"/>
        <v/>
      </c>
      <c r="Z1038">
        <f t="shared" si="151"/>
        <v>0</v>
      </c>
      <c r="AA1038">
        <f t="shared" si="152"/>
        <v>0</v>
      </c>
    </row>
    <row r="1039" spans="2:27" ht="15.75" customHeight="1" x14ac:dyDescent="0.3">
      <c r="B1039" s="21"/>
      <c r="C1039" s="21"/>
      <c r="D1039" s="21"/>
      <c r="E1039" s="22" t="str">
        <f t="shared" si="144"/>
        <v/>
      </c>
      <c r="F1039" s="21"/>
      <c r="G1039" s="21"/>
      <c r="H1039" s="21"/>
      <c r="I1039" s="21"/>
      <c r="J1039" s="21"/>
      <c r="K1039" s="21"/>
      <c r="L1039" s="21"/>
      <c r="M1039" s="21"/>
      <c r="N1039" s="21"/>
      <c r="O1039" s="21"/>
      <c r="P1039" s="21"/>
      <c r="Q1039" s="21"/>
      <c r="R1039" s="23" t="str">
        <f>IF($F1039="","",IF(OR($B1039="",$C1039="",$D1039=""),"⚠ Compléter Année/Niveau/Session",IF(AND($E1039&lt;&gt;"",COUNTIF(D_KEY_DOUBLON,$B1039&amp;"|"&amp;$D1039&amp;"|"&amp;$E1039)&gt;1),"⚠ Doublon",IF(AND($E1039&lt;&gt;"",COUNTIF(D_KEY_STATUT,$B1039&amp;"|"&amp;$E1039&amp;"|P")&gt;0,COUNTIF(D_KEY_STATUT,$B1039&amp;"|"&amp;$E1039&amp;"|A")&gt;0),"⚠ Statut incohérent",IF(AND($D1039="S1",$Y1039&lt;&gt;"Parti",COUNTIF(ANNEES_VERROU,$B1039)&gt;0,COUNTIF(D_KEY_NIVSES,$B1039&amp;"|"&amp;$C1039&amp;"|S2")&gt;0,COUNTIF(D_KEY_DOUBLON,$B1039&amp;"|S2|"&amp;$E1039)=0),"⚠ Départ non confirmé ?",IF(AND($C1039&lt;&gt;"",ISNUMBER($I1039),OR(VALUE(LEFT($B1039,4))-$I1039&lt;4+IFERROR(MATCH($C1039,LISTE_NIVEAUX,0),99),VALUE(LEFT($B1039,4))-$I1039&gt;6+IFERROR(MATCH($C1039,LISTE_NIVEAUX,0),99))),"⚠ Vérifier niveau",IF(AND(IFERROR(VLOOKUP($C1039,TABLE_CYCLE,2,0),3)=2,COUNT($O1039:$Q1039)&gt;0),"⚠ Tests cycle 3",IF(COUNT($J1039:$Q1039)&gt;=IF(IFERROR(VLOOKUP($C1039,TABLE_CYCLE,2,0),3)=2,5,8),"Complet","Incomplet"))))))))</f>
        <v/>
      </c>
      <c r="S1039" s="24"/>
      <c r="T1039" s="67" t="str">
        <f t="shared" si="145"/>
        <v/>
      </c>
      <c r="U1039" s="67" t="str">
        <f t="shared" si="146"/>
        <v/>
      </c>
      <c r="V1039" s="67" t="str">
        <f t="shared" si="147"/>
        <v/>
      </c>
      <c r="W1039" s="67" t="str">
        <f t="shared" si="148"/>
        <v/>
      </c>
      <c r="X1039" s="67" t="str">
        <f t="shared" si="149"/>
        <v/>
      </c>
      <c r="Y1039" s="24" t="str">
        <f t="shared" si="150"/>
        <v/>
      </c>
      <c r="Z1039">
        <f t="shared" si="151"/>
        <v>0</v>
      </c>
      <c r="AA1039">
        <f t="shared" si="152"/>
        <v>0</v>
      </c>
    </row>
    <row r="1040" spans="2:27" ht="15.75" customHeight="1" x14ac:dyDescent="0.3">
      <c r="B1040" s="25"/>
      <c r="C1040" s="25"/>
      <c r="D1040" s="25"/>
      <c r="E1040" s="26" t="str">
        <f t="shared" si="144"/>
        <v/>
      </c>
      <c r="F1040" s="25"/>
      <c r="G1040" s="25"/>
      <c r="H1040" s="25"/>
      <c r="I1040" s="25"/>
      <c r="J1040" s="25"/>
      <c r="K1040" s="25"/>
      <c r="L1040" s="25"/>
      <c r="M1040" s="25"/>
      <c r="N1040" s="25"/>
      <c r="O1040" s="25"/>
      <c r="P1040" s="25"/>
      <c r="Q1040" s="25"/>
      <c r="R1040" s="23" t="str">
        <f>IF($F1040="","",IF(OR($B1040="",$C1040="",$D1040=""),"⚠ Compléter Année/Niveau/Session",IF(AND($E1040&lt;&gt;"",COUNTIF(D_KEY_DOUBLON,$B1040&amp;"|"&amp;$D1040&amp;"|"&amp;$E1040)&gt;1),"⚠ Doublon",IF(AND($E1040&lt;&gt;"",COUNTIF(D_KEY_STATUT,$B1040&amp;"|"&amp;$E1040&amp;"|P")&gt;0,COUNTIF(D_KEY_STATUT,$B1040&amp;"|"&amp;$E1040&amp;"|A")&gt;0),"⚠ Statut incohérent",IF(AND($D1040="S1",$Y1040&lt;&gt;"Parti",COUNTIF(ANNEES_VERROU,$B1040)&gt;0,COUNTIF(D_KEY_NIVSES,$B1040&amp;"|"&amp;$C1040&amp;"|S2")&gt;0,COUNTIF(D_KEY_DOUBLON,$B1040&amp;"|S2|"&amp;$E1040)=0),"⚠ Départ non confirmé ?",IF(AND($C1040&lt;&gt;"",ISNUMBER($I1040),OR(VALUE(LEFT($B1040,4))-$I1040&lt;4+IFERROR(MATCH($C1040,LISTE_NIVEAUX,0),99),VALUE(LEFT($B1040,4))-$I1040&gt;6+IFERROR(MATCH($C1040,LISTE_NIVEAUX,0),99))),"⚠ Vérifier niveau",IF(AND(IFERROR(VLOOKUP($C1040,TABLE_CYCLE,2,0),3)=2,COUNT($O1040:$Q1040)&gt;0),"⚠ Tests cycle 3",IF(COUNT($J1040:$Q1040)&gt;=IF(IFERROR(VLOOKUP($C1040,TABLE_CYCLE,2,0),3)=2,5,8),"Complet","Incomplet"))))))))</f>
        <v/>
      </c>
      <c r="S1040" s="24"/>
      <c r="T1040" s="67" t="str">
        <f t="shared" si="145"/>
        <v/>
      </c>
      <c r="U1040" s="67" t="str">
        <f t="shared" si="146"/>
        <v/>
      </c>
      <c r="V1040" s="67" t="str">
        <f t="shared" si="147"/>
        <v/>
      </c>
      <c r="W1040" s="67" t="str">
        <f t="shared" si="148"/>
        <v/>
      </c>
      <c r="X1040" s="67" t="str">
        <f t="shared" si="149"/>
        <v/>
      </c>
      <c r="Y1040" s="24" t="str">
        <f t="shared" si="150"/>
        <v/>
      </c>
      <c r="Z1040">
        <f t="shared" si="151"/>
        <v>0</v>
      </c>
      <c r="AA1040">
        <f t="shared" si="152"/>
        <v>0</v>
      </c>
    </row>
    <row r="1041" spans="2:27" ht="15.75" customHeight="1" x14ac:dyDescent="0.3">
      <c r="B1041" s="21"/>
      <c r="C1041" s="21"/>
      <c r="D1041" s="21"/>
      <c r="E1041" s="22" t="str">
        <f t="shared" si="144"/>
        <v/>
      </c>
      <c r="F1041" s="21"/>
      <c r="G1041" s="21"/>
      <c r="H1041" s="21"/>
      <c r="I1041" s="21"/>
      <c r="J1041" s="21"/>
      <c r="K1041" s="21"/>
      <c r="L1041" s="21"/>
      <c r="M1041" s="21"/>
      <c r="N1041" s="21"/>
      <c r="O1041" s="21"/>
      <c r="P1041" s="21"/>
      <c r="Q1041" s="21"/>
      <c r="R1041" s="23" t="str">
        <f>IF($F1041="","",IF(OR($B1041="",$C1041="",$D1041=""),"⚠ Compléter Année/Niveau/Session",IF(AND($E1041&lt;&gt;"",COUNTIF(D_KEY_DOUBLON,$B1041&amp;"|"&amp;$D1041&amp;"|"&amp;$E1041)&gt;1),"⚠ Doublon",IF(AND($E1041&lt;&gt;"",COUNTIF(D_KEY_STATUT,$B1041&amp;"|"&amp;$E1041&amp;"|P")&gt;0,COUNTIF(D_KEY_STATUT,$B1041&amp;"|"&amp;$E1041&amp;"|A")&gt;0),"⚠ Statut incohérent",IF(AND($D1041="S1",$Y1041&lt;&gt;"Parti",COUNTIF(ANNEES_VERROU,$B1041)&gt;0,COUNTIF(D_KEY_NIVSES,$B1041&amp;"|"&amp;$C1041&amp;"|S2")&gt;0,COUNTIF(D_KEY_DOUBLON,$B1041&amp;"|S2|"&amp;$E1041)=0),"⚠ Départ non confirmé ?",IF(AND($C1041&lt;&gt;"",ISNUMBER($I1041),OR(VALUE(LEFT($B1041,4))-$I1041&lt;4+IFERROR(MATCH($C1041,LISTE_NIVEAUX,0),99),VALUE(LEFT($B1041,4))-$I1041&gt;6+IFERROR(MATCH($C1041,LISTE_NIVEAUX,0),99))),"⚠ Vérifier niveau",IF(AND(IFERROR(VLOOKUP($C1041,TABLE_CYCLE,2,0),3)=2,COUNT($O1041:$Q1041)&gt;0),"⚠ Tests cycle 3",IF(COUNT($J1041:$Q1041)&gt;=IF(IFERROR(VLOOKUP($C1041,TABLE_CYCLE,2,0),3)=2,5,8),"Complet","Incomplet"))))))))</f>
        <v/>
      </c>
      <c r="S1041" s="24"/>
      <c r="T1041" s="67" t="str">
        <f t="shared" si="145"/>
        <v/>
      </c>
      <c r="U1041" s="67" t="str">
        <f t="shared" si="146"/>
        <v/>
      </c>
      <c r="V1041" s="67" t="str">
        <f t="shared" si="147"/>
        <v/>
      </c>
      <c r="W1041" s="67" t="str">
        <f t="shared" si="148"/>
        <v/>
      </c>
      <c r="X1041" s="67" t="str">
        <f t="shared" si="149"/>
        <v/>
      </c>
      <c r="Y1041" s="24" t="str">
        <f t="shared" si="150"/>
        <v/>
      </c>
      <c r="Z1041">
        <f t="shared" si="151"/>
        <v>0</v>
      </c>
      <c r="AA1041">
        <f t="shared" si="152"/>
        <v>0</v>
      </c>
    </row>
    <row r="1042" spans="2:27" ht="15.75" customHeight="1" x14ac:dyDescent="0.3">
      <c r="B1042" s="25"/>
      <c r="C1042" s="25"/>
      <c r="D1042" s="25"/>
      <c r="E1042" s="26" t="str">
        <f t="shared" si="144"/>
        <v/>
      </c>
      <c r="F1042" s="25"/>
      <c r="G1042" s="25"/>
      <c r="H1042" s="25"/>
      <c r="I1042" s="25"/>
      <c r="J1042" s="25"/>
      <c r="K1042" s="25"/>
      <c r="L1042" s="25"/>
      <c r="M1042" s="25"/>
      <c r="N1042" s="25"/>
      <c r="O1042" s="25"/>
      <c r="P1042" s="25"/>
      <c r="Q1042" s="25"/>
      <c r="R1042" s="23" t="str">
        <f>IF($F1042="","",IF(OR($B1042="",$C1042="",$D1042=""),"⚠ Compléter Année/Niveau/Session",IF(AND($E1042&lt;&gt;"",COUNTIF(D_KEY_DOUBLON,$B1042&amp;"|"&amp;$D1042&amp;"|"&amp;$E1042)&gt;1),"⚠ Doublon",IF(AND($E1042&lt;&gt;"",COUNTIF(D_KEY_STATUT,$B1042&amp;"|"&amp;$E1042&amp;"|P")&gt;0,COUNTIF(D_KEY_STATUT,$B1042&amp;"|"&amp;$E1042&amp;"|A")&gt;0),"⚠ Statut incohérent",IF(AND($D1042="S1",$Y1042&lt;&gt;"Parti",COUNTIF(ANNEES_VERROU,$B1042)&gt;0,COUNTIF(D_KEY_NIVSES,$B1042&amp;"|"&amp;$C1042&amp;"|S2")&gt;0,COUNTIF(D_KEY_DOUBLON,$B1042&amp;"|S2|"&amp;$E1042)=0),"⚠ Départ non confirmé ?",IF(AND($C1042&lt;&gt;"",ISNUMBER($I1042),OR(VALUE(LEFT($B1042,4))-$I1042&lt;4+IFERROR(MATCH($C1042,LISTE_NIVEAUX,0),99),VALUE(LEFT($B1042,4))-$I1042&gt;6+IFERROR(MATCH($C1042,LISTE_NIVEAUX,0),99))),"⚠ Vérifier niveau",IF(AND(IFERROR(VLOOKUP($C1042,TABLE_CYCLE,2,0),3)=2,COUNT($O1042:$Q1042)&gt;0),"⚠ Tests cycle 3",IF(COUNT($J1042:$Q1042)&gt;=IF(IFERROR(VLOOKUP($C1042,TABLE_CYCLE,2,0),3)=2,5,8),"Complet","Incomplet"))))))))</f>
        <v/>
      </c>
      <c r="S1042" s="24"/>
      <c r="T1042" s="67" t="str">
        <f t="shared" si="145"/>
        <v/>
      </c>
      <c r="U1042" s="67" t="str">
        <f t="shared" si="146"/>
        <v/>
      </c>
      <c r="V1042" s="67" t="str">
        <f t="shared" si="147"/>
        <v/>
      </c>
      <c r="W1042" s="67" t="str">
        <f t="shared" si="148"/>
        <v/>
      </c>
      <c r="X1042" s="67" t="str">
        <f t="shared" si="149"/>
        <v/>
      </c>
      <c r="Y1042" s="24" t="str">
        <f t="shared" si="150"/>
        <v/>
      </c>
      <c r="Z1042">
        <f t="shared" si="151"/>
        <v>0</v>
      </c>
      <c r="AA1042">
        <f t="shared" si="152"/>
        <v>0</v>
      </c>
    </row>
    <row r="1043" spans="2:27" ht="15.75" customHeight="1" x14ac:dyDescent="0.3">
      <c r="B1043" s="21"/>
      <c r="C1043" s="21"/>
      <c r="D1043" s="21"/>
      <c r="E1043" s="22" t="str">
        <f t="shared" si="144"/>
        <v/>
      </c>
      <c r="F1043" s="21"/>
      <c r="G1043" s="21"/>
      <c r="H1043" s="21"/>
      <c r="I1043" s="21"/>
      <c r="J1043" s="21"/>
      <c r="K1043" s="21"/>
      <c r="L1043" s="21"/>
      <c r="M1043" s="21"/>
      <c r="N1043" s="21"/>
      <c r="O1043" s="21"/>
      <c r="P1043" s="21"/>
      <c r="Q1043" s="21"/>
      <c r="R1043" s="23" t="str">
        <f>IF($F1043="","",IF(OR($B1043="",$C1043="",$D1043=""),"⚠ Compléter Année/Niveau/Session",IF(AND($E1043&lt;&gt;"",COUNTIF(D_KEY_DOUBLON,$B1043&amp;"|"&amp;$D1043&amp;"|"&amp;$E1043)&gt;1),"⚠ Doublon",IF(AND($E1043&lt;&gt;"",COUNTIF(D_KEY_STATUT,$B1043&amp;"|"&amp;$E1043&amp;"|P")&gt;0,COUNTIF(D_KEY_STATUT,$B1043&amp;"|"&amp;$E1043&amp;"|A")&gt;0),"⚠ Statut incohérent",IF(AND($D1043="S1",$Y1043&lt;&gt;"Parti",COUNTIF(ANNEES_VERROU,$B1043)&gt;0,COUNTIF(D_KEY_NIVSES,$B1043&amp;"|"&amp;$C1043&amp;"|S2")&gt;0,COUNTIF(D_KEY_DOUBLON,$B1043&amp;"|S2|"&amp;$E1043)=0),"⚠ Départ non confirmé ?",IF(AND($C1043&lt;&gt;"",ISNUMBER($I1043),OR(VALUE(LEFT($B1043,4))-$I1043&lt;4+IFERROR(MATCH($C1043,LISTE_NIVEAUX,0),99),VALUE(LEFT($B1043,4))-$I1043&gt;6+IFERROR(MATCH($C1043,LISTE_NIVEAUX,0),99))),"⚠ Vérifier niveau",IF(AND(IFERROR(VLOOKUP($C1043,TABLE_CYCLE,2,0),3)=2,COUNT($O1043:$Q1043)&gt;0),"⚠ Tests cycle 3",IF(COUNT($J1043:$Q1043)&gt;=IF(IFERROR(VLOOKUP($C1043,TABLE_CYCLE,2,0),3)=2,5,8),"Complet","Incomplet"))))))))</f>
        <v/>
      </c>
      <c r="S1043" s="24"/>
      <c r="T1043" s="67" t="str">
        <f t="shared" si="145"/>
        <v/>
      </c>
      <c r="U1043" s="67" t="str">
        <f t="shared" si="146"/>
        <v/>
      </c>
      <c r="V1043" s="67" t="str">
        <f t="shared" si="147"/>
        <v/>
      </c>
      <c r="W1043" s="67" t="str">
        <f t="shared" si="148"/>
        <v/>
      </c>
      <c r="X1043" s="67" t="str">
        <f t="shared" si="149"/>
        <v/>
      </c>
      <c r="Y1043" s="24" t="str">
        <f t="shared" si="150"/>
        <v/>
      </c>
      <c r="Z1043">
        <f t="shared" si="151"/>
        <v>0</v>
      </c>
      <c r="AA1043">
        <f t="shared" si="152"/>
        <v>0</v>
      </c>
    </row>
    <row r="1044" spans="2:27" ht="15.75" customHeight="1" x14ac:dyDescent="0.3">
      <c r="B1044" s="25"/>
      <c r="C1044" s="25"/>
      <c r="D1044" s="25"/>
      <c r="E1044" s="26" t="str">
        <f t="shared" si="144"/>
        <v/>
      </c>
      <c r="F1044" s="25"/>
      <c r="G1044" s="25"/>
      <c r="H1044" s="25"/>
      <c r="I1044" s="25"/>
      <c r="J1044" s="25"/>
      <c r="K1044" s="25"/>
      <c r="L1044" s="25"/>
      <c r="M1044" s="25"/>
      <c r="N1044" s="25"/>
      <c r="O1044" s="25"/>
      <c r="P1044" s="25"/>
      <c r="Q1044" s="25"/>
      <c r="R1044" s="23" t="str">
        <f>IF($F1044="","",IF(OR($B1044="",$C1044="",$D1044=""),"⚠ Compléter Année/Niveau/Session",IF(AND($E1044&lt;&gt;"",COUNTIF(D_KEY_DOUBLON,$B1044&amp;"|"&amp;$D1044&amp;"|"&amp;$E1044)&gt;1),"⚠ Doublon",IF(AND($E1044&lt;&gt;"",COUNTIF(D_KEY_STATUT,$B1044&amp;"|"&amp;$E1044&amp;"|P")&gt;0,COUNTIF(D_KEY_STATUT,$B1044&amp;"|"&amp;$E1044&amp;"|A")&gt;0),"⚠ Statut incohérent",IF(AND($D1044="S1",$Y1044&lt;&gt;"Parti",COUNTIF(ANNEES_VERROU,$B1044)&gt;0,COUNTIF(D_KEY_NIVSES,$B1044&amp;"|"&amp;$C1044&amp;"|S2")&gt;0,COUNTIF(D_KEY_DOUBLON,$B1044&amp;"|S2|"&amp;$E1044)=0),"⚠ Départ non confirmé ?",IF(AND($C1044&lt;&gt;"",ISNUMBER($I1044),OR(VALUE(LEFT($B1044,4))-$I1044&lt;4+IFERROR(MATCH($C1044,LISTE_NIVEAUX,0),99),VALUE(LEFT($B1044,4))-$I1044&gt;6+IFERROR(MATCH($C1044,LISTE_NIVEAUX,0),99))),"⚠ Vérifier niveau",IF(AND(IFERROR(VLOOKUP($C1044,TABLE_CYCLE,2,0),3)=2,COUNT($O1044:$Q1044)&gt;0),"⚠ Tests cycle 3",IF(COUNT($J1044:$Q1044)&gt;=IF(IFERROR(VLOOKUP($C1044,TABLE_CYCLE,2,0),3)=2,5,8),"Complet","Incomplet"))))))))</f>
        <v/>
      </c>
      <c r="S1044" s="24"/>
      <c r="T1044" s="67" t="str">
        <f t="shared" si="145"/>
        <v/>
      </c>
      <c r="U1044" s="67" t="str">
        <f t="shared" si="146"/>
        <v/>
      </c>
      <c r="V1044" s="67" t="str">
        <f t="shared" si="147"/>
        <v/>
      </c>
      <c r="W1044" s="67" t="str">
        <f t="shared" si="148"/>
        <v/>
      </c>
      <c r="X1044" s="67" t="str">
        <f t="shared" si="149"/>
        <v/>
      </c>
      <c r="Y1044" s="24" t="str">
        <f t="shared" si="150"/>
        <v/>
      </c>
      <c r="Z1044">
        <f t="shared" si="151"/>
        <v>0</v>
      </c>
      <c r="AA1044">
        <f t="shared" si="152"/>
        <v>0</v>
      </c>
    </row>
    <row r="1045" spans="2:27" ht="15.75" customHeight="1" x14ac:dyDescent="0.3">
      <c r="B1045" s="21"/>
      <c r="C1045" s="21"/>
      <c r="D1045" s="21"/>
      <c r="E1045" s="22" t="str">
        <f t="shared" si="144"/>
        <v/>
      </c>
      <c r="F1045" s="21"/>
      <c r="G1045" s="21"/>
      <c r="H1045" s="21"/>
      <c r="I1045" s="21"/>
      <c r="J1045" s="21"/>
      <c r="K1045" s="21"/>
      <c r="L1045" s="21"/>
      <c r="M1045" s="21"/>
      <c r="N1045" s="21"/>
      <c r="O1045" s="21"/>
      <c r="P1045" s="21"/>
      <c r="Q1045" s="21"/>
      <c r="R1045" s="23" t="str">
        <f>IF($F1045="","",IF(OR($B1045="",$C1045="",$D1045=""),"⚠ Compléter Année/Niveau/Session",IF(AND($E1045&lt;&gt;"",COUNTIF(D_KEY_DOUBLON,$B1045&amp;"|"&amp;$D1045&amp;"|"&amp;$E1045)&gt;1),"⚠ Doublon",IF(AND($E1045&lt;&gt;"",COUNTIF(D_KEY_STATUT,$B1045&amp;"|"&amp;$E1045&amp;"|P")&gt;0,COUNTIF(D_KEY_STATUT,$B1045&amp;"|"&amp;$E1045&amp;"|A")&gt;0),"⚠ Statut incohérent",IF(AND($D1045="S1",$Y1045&lt;&gt;"Parti",COUNTIF(ANNEES_VERROU,$B1045)&gt;0,COUNTIF(D_KEY_NIVSES,$B1045&amp;"|"&amp;$C1045&amp;"|S2")&gt;0,COUNTIF(D_KEY_DOUBLON,$B1045&amp;"|S2|"&amp;$E1045)=0),"⚠ Départ non confirmé ?",IF(AND($C1045&lt;&gt;"",ISNUMBER($I1045),OR(VALUE(LEFT($B1045,4))-$I1045&lt;4+IFERROR(MATCH($C1045,LISTE_NIVEAUX,0),99),VALUE(LEFT($B1045,4))-$I1045&gt;6+IFERROR(MATCH($C1045,LISTE_NIVEAUX,0),99))),"⚠ Vérifier niveau",IF(AND(IFERROR(VLOOKUP($C1045,TABLE_CYCLE,2,0),3)=2,COUNT($O1045:$Q1045)&gt;0),"⚠ Tests cycle 3",IF(COUNT($J1045:$Q1045)&gt;=IF(IFERROR(VLOOKUP($C1045,TABLE_CYCLE,2,0),3)=2,5,8),"Complet","Incomplet"))))))))</f>
        <v/>
      </c>
      <c r="S1045" s="24"/>
      <c r="T1045" s="67" t="str">
        <f t="shared" si="145"/>
        <v/>
      </c>
      <c r="U1045" s="67" t="str">
        <f t="shared" si="146"/>
        <v/>
      </c>
      <c r="V1045" s="67" t="str">
        <f t="shared" si="147"/>
        <v/>
      </c>
      <c r="W1045" s="67" t="str">
        <f t="shared" si="148"/>
        <v/>
      </c>
      <c r="X1045" s="67" t="str">
        <f t="shared" si="149"/>
        <v/>
      </c>
      <c r="Y1045" s="24" t="str">
        <f t="shared" si="150"/>
        <v/>
      </c>
      <c r="Z1045">
        <f t="shared" si="151"/>
        <v>0</v>
      </c>
      <c r="AA1045">
        <f t="shared" si="152"/>
        <v>0</v>
      </c>
    </row>
    <row r="1046" spans="2:27" ht="15.75" customHeight="1" x14ac:dyDescent="0.3">
      <c r="B1046" s="25"/>
      <c r="C1046" s="25"/>
      <c r="D1046" s="25"/>
      <c r="E1046" s="26" t="str">
        <f t="shared" si="144"/>
        <v/>
      </c>
      <c r="F1046" s="25"/>
      <c r="G1046" s="25"/>
      <c r="H1046" s="25"/>
      <c r="I1046" s="25"/>
      <c r="J1046" s="25"/>
      <c r="K1046" s="25"/>
      <c r="L1046" s="25"/>
      <c r="M1046" s="25"/>
      <c r="N1046" s="25"/>
      <c r="O1046" s="25"/>
      <c r="P1046" s="25"/>
      <c r="Q1046" s="25"/>
      <c r="R1046" s="23" t="str">
        <f>IF($F1046="","",IF(OR($B1046="",$C1046="",$D1046=""),"⚠ Compléter Année/Niveau/Session",IF(AND($E1046&lt;&gt;"",COUNTIF(D_KEY_DOUBLON,$B1046&amp;"|"&amp;$D1046&amp;"|"&amp;$E1046)&gt;1),"⚠ Doublon",IF(AND($E1046&lt;&gt;"",COUNTIF(D_KEY_STATUT,$B1046&amp;"|"&amp;$E1046&amp;"|P")&gt;0,COUNTIF(D_KEY_STATUT,$B1046&amp;"|"&amp;$E1046&amp;"|A")&gt;0),"⚠ Statut incohérent",IF(AND($D1046="S1",$Y1046&lt;&gt;"Parti",COUNTIF(ANNEES_VERROU,$B1046)&gt;0,COUNTIF(D_KEY_NIVSES,$B1046&amp;"|"&amp;$C1046&amp;"|S2")&gt;0,COUNTIF(D_KEY_DOUBLON,$B1046&amp;"|S2|"&amp;$E1046)=0),"⚠ Départ non confirmé ?",IF(AND($C1046&lt;&gt;"",ISNUMBER($I1046),OR(VALUE(LEFT($B1046,4))-$I1046&lt;4+IFERROR(MATCH($C1046,LISTE_NIVEAUX,0),99),VALUE(LEFT($B1046,4))-$I1046&gt;6+IFERROR(MATCH($C1046,LISTE_NIVEAUX,0),99))),"⚠ Vérifier niveau",IF(AND(IFERROR(VLOOKUP($C1046,TABLE_CYCLE,2,0),3)=2,COUNT($O1046:$Q1046)&gt;0),"⚠ Tests cycle 3",IF(COUNT($J1046:$Q1046)&gt;=IF(IFERROR(VLOOKUP($C1046,TABLE_CYCLE,2,0),3)=2,5,8),"Complet","Incomplet"))))))))</f>
        <v/>
      </c>
      <c r="S1046" s="24"/>
      <c r="T1046" s="67" t="str">
        <f t="shared" si="145"/>
        <v/>
      </c>
      <c r="U1046" s="67" t="str">
        <f t="shared" si="146"/>
        <v/>
      </c>
      <c r="V1046" s="67" t="str">
        <f t="shared" si="147"/>
        <v/>
      </c>
      <c r="W1046" s="67" t="str">
        <f t="shared" si="148"/>
        <v/>
      </c>
      <c r="X1046" s="67" t="str">
        <f t="shared" si="149"/>
        <v/>
      </c>
      <c r="Y1046" s="24" t="str">
        <f t="shared" si="150"/>
        <v/>
      </c>
      <c r="Z1046">
        <f t="shared" si="151"/>
        <v>0</v>
      </c>
      <c r="AA1046">
        <f t="shared" si="152"/>
        <v>0</v>
      </c>
    </row>
    <row r="1047" spans="2:27" ht="15.75" customHeight="1" x14ac:dyDescent="0.3">
      <c r="B1047" s="21"/>
      <c r="C1047" s="21"/>
      <c r="D1047" s="21"/>
      <c r="E1047" s="22" t="str">
        <f t="shared" si="144"/>
        <v/>
      </c>
      <c r="F1047" s="21"/>
      <c r="G1047" s="21"/>
      <c r="H1047" s="21"/>
      <c r="I1047" s="21"/>
      <c r="J1047" s="21"/>
      <c r="K1047" s="21"/>
      <c r="L1047" s="21"/>
      <c r="M1047" s="21"/>
      <c r="N1047" s="21"/>
      <c r="O1047" s="21"/>
      <c r="P1047" s="21"/>
      <c r="Q1047" s="21"/>
      <c r="R1047" s="23" t="str">
        <f>IF($F1047="","",IF(OR($B1047="",$C1047="",$D1047=""),"⚠ Compléter Année/Niveau/Session",IF(AND($E1047&lt;&gt;"",COUNTIF(D_KEY_DOUBLON,$B1047&amp;"|"&amp;$D1047&amp;"|"&amp;$E1047)&gt;1),"⚠ Doublon",IF(AND($E1047&lt;&gt;"",COUNTIF(D_KEY_STATUT,$B1047&amp;"|"&amp;$E1047&amp;"|P")&gt;0,COUNTIF(D_KEY_STATUT,$B1047&amp;"|"&amp;$E1047&amp;"|A")&gt;0),"⚠ Statut incohérent",IF(AND($D1047="S1",$Y1047&lt;&gt;"Parti",COUNTIF(ANNEES_VERROU,$B1047)&gt;0,COUNTIF(D_KEY_NIVSES,$B1047&amp;"|"&amp;$C1047&amp;"|S2")&gt;0,COUNTIF(D_KEY_DOUBLON,$B1047&amp;"|S2|"&amp;$E1047)=0),"⚠ Départ non confirmé ?",IF(AND($C1047&lt;&gt;"",ISNUMBER($I1047),OR(VALUE(LEFT($B1047,4))-$I1047&lt;4+IFERROR(MATCH($C1047,LISTE_NIVEAUX,0),99),VALUE(LEFT($B1047,4))-$I1047&gt;6+IFERROR(MATCH($C1047,LISTE_NIVEAUX,0),99))),"⚠ Vérifier niveau",IF(AND(IFERROR(VLOOKUP($C1047,TABLE_CYCLE,2,0),3)=2,COUNT($O1047:$Q1047)&gt;0),"⚠ Tests cycle 3",IF(COUNT($J1047:$Q1047)&gt;=IF(IFERROR(VLOOKUP($C1047,TABLE_CYCLE,2,0),3)=2,5,8),"Complet","Incomplet"))))))))</f>
        <v/>
      </c>
      <c r="S1047" s="24"/>
      <c r="T1047" s="67" t="str">
        <f t="shared" si="145"/>
        <v/>
      </c>
      <c r="U1047" s="67" t="str">
        <f t="shared" si="146"/>
        <v/>
      </c>
      <c r="V1047" s="67" t="str">
        <f t="shared" si="147"/>
        <v/>
      </c>
      <c r="W1047" s="67" t="str">
        <f t="shared" si="148"/>
        <v/>
      </c>
      <c r="X1047" s="67" t="str">
        <f t="shared" si="149"/>
        <v/>
      </c>
      <c r="Y1047" s="24" t="str">
        <f t="shared" si="150"/>
        <v/>
      </c>
      <c r="Z1047">
        <f t="shared" si="151"/>
        <v>0</v>
      </c>
      <c r="AA1047">
        <f t="shared" si="152"/>
        <v>0</v>
      </c>
    </row>
    <row r="1048" spans="2:27" ht="15.75" customHeight="1" x14ac:dyDescent="0.3">
      <c r="B1048" s="25"/>
      <c r="C1048" s="25"/>
      <c r="D1048" s="25"/>
      <c r="E1048" s="26" t="str">
        <f t="shared" si="144"/>
        <v/>
      </c>
      <c r="F1048" s="25"/>
      <c r="G1048" s="25"/>
      <c r="H1048" s="25"/>
      <c r="I1048" s="25"/>
      <c r="J1048" s="25"/>
      <c r="K1048" s="25"/>
      <c r="L1048" s="25"/>
      <c r="M1048" s="25"/>
      <c r="N1048" s="25"/>
      <c r="O1048" s="25"/>
      <c r="P1048" s="25"/>
      <c r="Q1048" s="25"/>
      <c r="R1048" s="23" t="str">
        <f>IF($F1048="","",IF(OR($B1048="",$C1048="",$D1048=""),"⚠ Compléter Année/Niveau/Session",IF(AND($E1048&lt;&gt;"",COUNTIF(D_KEY_DOUBLON,$B1048&amp;"|"&amp;$D1048&amp;"|"&amp;$E1048)&gt;1),"⚠ Doublon",IF(AND($E1048&lt;&gt;"",COUNTIF(D_KEY_STATUT,$B1048&amp;"|"&amp;$E1048&amp;"|P")&gt;0,COUNTIF(D_KEY_STATUT,$B1048&amp;"|"&amp;$E1048&amp;"|A")&gt;0),"⚠ Statut incohérent",IF(AND($D1048="S1",$Y1048&lt;&gt;"Parti",COUNTIF(ANNEES_VERROU,$B1048)&gt;0,COUNTIF(D_KEY_NIVSES,$B1048&amp;"|"&amp;$C1048&amp;"|S2")&gt;0,COUNTIF(D_KEY_DOUBLON,$B1048&amp;"|S2|"&amp;$E1048)=0),"⚠ Départ non confirmé ?",IF(AND($C1048&lt;&gt;"",ISNUMBER($I1048),OR(VALUE(LEFT($B1048,4))-$I1048&lt;4+IFERROR(MATCH($C1048,LISTE_NIVEAUX,0),99),VALUE(LEFT($B1048,4))-$I1048&gt;6+IFERROR(MATCH($C1048,LISTE_NIVEAUX,0),99))),"⚠ Vérifier niveau",IF(AND(IFERROR(VLOOKUP($C1048,TABLE_CYCLE,2,0),3)=2,COUNT($O1048:$Q1048)&gt;0),"⚠ Tests cycle 3",IF(COUNT($J1048:$Q1048)&gt;=IF(IFERROR(VLOOKUP($C1048,TABLE_CYCLE,2,0),3)=2,5,8),"Complet","Incomplet"))))))))</f>
        <v/>
      </c>
      <c r="S1048" s="24"/>
      <c r="T1048" s="67" t="str">
        <f t="shared" si="145"/>
        <v/>
      </c>
      <c r="U1048" s="67" t="str">
        <f t="shared" si="146"/>
        <v/>
      </c>
      <c r="V1048" s="67" t="str">
        <f t="shared" si="147"/>
        <v/>
      </c>
      <c r="W1048" s="67" t="str">
        <f t="shared" si="148"/>
        <v/>
      </c>
      <c r="X1048" s="67" t="str">
        <f t="shared" si="149"/>
        <v/>
      </c>
      <c r="Y1048" s="24" t="str">
        <f t="shared" si="150"/>
        <v/>
      </c>
      <c r="Z1048">
        <f t="shared" si="151"/>
        <v>0</v>
      </c>
      <c r="AA1048">
        <f t="shared" si="152"/>
        <v>0</v>
      </c>
    </row>
    <row r="1049" spans="2:27" ht="15.75" customHeight="1" x14ac:dyDescent="0.3">
      <c r="B1049" s="21"/>
      <c r="C1049" s="21"/>
      <c r="D1049" s="21"/>
      <c r="E1049" s="22" t="str">
        <f t="shared" si="144"/>
        <v/>
      </c>
      <c r="F1049" s="21"/>
      <c r="G1049" s="21"/>
      <c r="H1049" s="21"/>
      <c r="I1049" s="21"/>
      <c r="J1049" s="21"/>
      <c r="K1049" s="21"/>
      <c r="L1049" s="21"/>
      <c r="M1049" s="21"/>
      <c r="N1049" s="21"/>
      <c r="O1049" s="21"/>
      <c r="P1049" s="21"/>
      <c r="Q1049" s="21"/>
      <c r="R1049" s="23" t="str">
        <f>IF($F1049="","",IF(OR($B1049="",$C1049="",$D1049=""),"⚠ Compléter Année/Niveau/Session",IF(AND($E1049&lt;&gt;"",COUNTIF(D_KEY_DOUBLON,$B1049&amp;"|"&amp;$D1049&amp;"|"&amp;$E1049)&gt;1),"⚠ Doublon",IF(AND($E1049&lt;&gt;"",COUNTIF(D_KEY_STATUT,$B1049&amp;"|"&amp;$E1049&amp;"|P")&gt;0,COUNTIF(D_KEY_STATUT,$B1049&amp;"|"&amp;$E1049&amp;"|A")&gt;0),"⚠ Statut incohérent",IF(AND($D1049="S1",$Y1049&lt;&gt;"Parti",COUNTIF(ANNEES_VERROU,$B1049)&gt;0,COUNTIF(D_KEY_NIVSES,$B1049&amp;"|"&amp;$C1049&amp;"|S2")&gt;0,COUNTIF(D_KEY_DOUBLON,$B1049&amp;"|S2|"&amp;$E1049)=0),"⚠ Départ non confirmé ?",IF(AND($C1049&lt;&gt;"",ISNUMBER($I1049),OR(VALUE(LEFT($B1049,4))-$I1049&lt;4+IFERROR(MATCH($C1049,LISTE_NIVEAUX,0),99),VALUE(LEFT($B1049,4))-$I1049&gt;6+IFERROR(MATCH($C1049,LISTE_NIVEAUX,0),99))),"⚠ Vérifier niveau",IF(AND(IFERROR(VLOOKUP($C1049,TABLE_CYCLE,2,0),3)=2,COUNT($O1049:$Q1049)&gt;0),"⚠ Tests cycle 3",IF(COUNT($J1049:$Q1049)&gt;=IF(IFERROR(VLOOKUP($C1049,TABLE_CYCLE,2,0),3)=2,5,8),"Complet","Incomplet"))))))))</f>
        <v/>
      </c>
      <c r="S1049" s="24"/>
      <c r="T1049" s="67" t="str">
        <f t="shared" si="145"/>
        <v/>
      </c>
      <c r="U1049" s="67" t="str">
        <f t="shared" si="146"/>
        <v/>
      </c>
      <c r="V1049" s="67" t="str">
        <f t="shared" si="147"/>
        <v/>
      </c>
      <c r="W1049" s="67" t="str">
        <f t="shared" si="148"/>
        <v/>
      </c>
      <c r="X1049" s="67" t="str">
        <f t="shared" si="149"/>
        <v/>
      </c>
      <c r="Y1049" s="24" t="str">
        <f t="shared" si="150"/>
        <v/>
      </c>
      <c r="Z1049">
        <f t="shared" si="151"/>
        <v>0</v>
      </c>
      <c r="AA1049">
        <f t="shared" si="152"/>
        <v>0</v>
      </c>
    </row>
    <row r="1050" spans="2:27" ht="15.75" customHeight="1" x14ac:dyDescent="0.3">
      <c r="B1050" s="25"/>
      <c r="C1050" s="25"/>
      <c r="D1050" s="25"/>
      <c r="E1050" s="26" t="str">
        <f t="shared" si="144"/>
        <v/>
      </c>
      <c r="F1050" s="25"/>
      <c r="G1050" s="25"/>
      <c r="H1050" s="25"/>
      <c r="I1050" s="25"/>
      <c r="J1050" s="25"/>
      <c r="K1050" s="25"/>
      <c r="L1050" s="25"/>
      <c r="M1050" s="25"/>
      <c r="N1050" s="25"/>
      <c r="O1050" s="25"/>
      <c r="P1050" s="25"/>
      <c r="Q1050" s="25"/>
      <c r="R1050" s="23" t="str">
        <f>IF($F1050="","",IF(OR($B1050="",$C1050="",$D1050=""),"⚠ Compléter Année/Niveau/Session",IF(AND($E1050&lt;&gt;"",COUNTIF(D_KEY_DOUBLON,$B1050&amp;"|"&amp;$D1050&amp;"|"&amp;$E1050)&gt;1),"⚠ Doublon",IF(AND($E1050&lt;&gt;"",COUNTIF(D_KEY_STATUT,$B1050&amp;"|"&amp;$E1050&amp;"|P")&gt;0,COUNTIF(D_KEY_STATUT,$B1050&amp;"|"&amp;$E1050&amp;"|A")&gt;0),"⚠ Statut incohérent",IF(AND($D1050="S1",$Y1050&lt;&gt;"Parti",COUNTIF(ANNEES_VERROU,$B1050)&gt;0,COUNTIF(D_KEY_NIVSES,$B1050&amp;"|"&amp;$C1050&amp;"|S2")&gt;0,COUNTIF(D_KEY_DOUBLON,$B1050&amp;"|S2|"&amp;$E1050)=0),"⚠ Départ non confirmé ?",IF(AND($C1050&lt;&gt;"",ISNUMBER($I1050),OR(VALUE(LEFT($B1050,4))-$I1050&lt;4+IFERROR(MATCH($C1050,LISTE_NIVEAUX,0),99),VALUE(LEFT($B1050,4))-$I1050&gt;6+IFERROR(MATCH($C1050,LISTE_NIVEAUX,0),99))),"⚠ Vérifier niveau",IF(AND(IFERROR(VLOOKUP($C1050,TABLE_CYCLE,2,0),3)=2,COUNT($O1050:$Q1050)&gt;0),"⚠ Tests cycle 3",IF(COUNT($J1050:$Q1050)&gt;=IF(IFERROR(VLOOKUP($C1050,TABLE_CYCLE,2,0),3)=2,5,8),"Complet","Incomplet"))))))))</f>
        <v/>
      </c>
      <c r="S1050" s="24"/>
      <c r="T1050" s="67" t="str">
        <f t="shared" si="145"/>
        <v/>
      </c>
      <c r="U1050" s="67" t="str">
        <f t="shared" si="146"/>
        <v/>
      </c>
      <c r="V1050" s="67" t="str">
        <f t="shared" si="147"/>
        <v/>
      </c>
      <c r="W1050" s="67" t="str">
        <f t="shared" si="148"/>
        <v/>
      </c>
      <c r="X1050" s="67" t="str">
        <f t="shared" si="149"/>
        <v/>
      </c>
      <c r="Y1050" s="24" t="str">
        <f t="shared" si="150"/>
        <v/>
      </c>
      <c r="Z1050">
        <f t="shared" si="151"/>
        <v>0</v>
      </c>
      <c r="AA1050">
        <f t="shared" si="152"/>
        <v>0</v>
      </c>
    </row>
    <row r="1051" spans="2:27" ht="15.75" customHeight="1" x14ac:dyDescent="0.3">
      <c r="B1051" s="21"/>
      <c r="C1051" s="21"/>
      <c r="D1051" s="21"/>
      <c r="E1051" s="22" t="str">
        <f t="shared" si="144"/>
        <v/>
      </c>
      <c r="F1051" s="21"/>
      <c r="G1051" s="21"/>
      <c r="H1051" s="21"/>
      <c r="I1051" s="21"/>
      <c r="J1051" s="21"/>
      <c r="K1051" s="21"/>
      <c r="L1051" s="21"/>
      <c r="M1051" s="21"/>
      <c r="N1051" s="21"/>
      <c r="O1051" s="21"/>
      <c r="P1051" s="21"/>
      <c r="Q1051" s="21"/>
      <c r="R1051" s="23" t="str">
        <f>IF($F1051="","",IF(OR($B1051="",$C1051="",$D1051=""),"⚠ Compléter Année/Niveau/Session",IF(AND($E1051&lt;&gt;"",COUNTIF(D_KEY_DOUBLON,$B1051&amp;"|"&amp;$D1051&amp;"|"&amp;$E1051)&gt;1),"⚠ Doublon",IF(AND($E1051&lt;&gt;"",COUNTIF(D_KEY_STATUT,$B1051&amp;"|"&amp;$E1051&amp;"|P")&gt;0,COUNTIF(D_KEY_STATUT,$B1051&amp;"|"&amp;$E1051&amp;"|A")&gt;0),"⚠ Statut incohérent",IF(AND($D1051="S1",$Y1051&lt;&gt;"Parti",COUNTIF(ANNEES_VERROU,$B1051)&gt;0,COUNTIF(D_KEY_NIVSES,$B1051&amp;"|"&amp;$C1051&amp;"|S2")&gt;0,COUNTIF(D_KEY_DOUBLON,$B1051&amp;"|S2|"&amp;$E1051)=0),"⚠ Départ non confirmé ?",IF(AND($C1051&lt;&gt;"",ISNUMBER($I1051),OR(VALUE(LEFT($B1051,4))-$I1051&lt;4+IFERROR(MATCH($C1051,LISTE_NIVEAUX,0),99),VALUE(LEFT($B1051,4))-$I1051&gt;6+IFERROR(MATCH($C1051,LISTE_NIVEAUX,0),99))),"⚠ Vérifier niveau",IF(AND(IFERROR(VLOOKUP($C1051,TABLE_CYCLE,2,0),3)=2,COUNT($O1051:$Q1051)&gt;0),"⚠ Tests cycle 3",IF(COUNT($J1051:$Q1051)&gt;=IF(IFERROR(VLOOKUP($C1051,TABLE_CYCLE,2,0),3)=2,5,8),"Complet","Incomplet"))))))))</f>
        <v/>
      </c>
      <c r="S1051" s="24"/>
      <c r="T1051" s="67" t="str">
        <f t="shared" si="145"/>
        <v/>
      </c>
      <c r="U1051" s="67" t="str">
        <f t="shared" si="146"/>
        <v/>
      </c>
      <c r="V1051" s="67" t="str">
        <f t="shared" si="147"/>
        <v/>
      </c>
      <c r="W1051" s="67" t="str">
        <f t="shared" si="148"/>
        <v/>
      </c>
      <c r="X1051" s="67" t="str">
        <f t="shared" si="149"/>
        <v/>
      </c>
      <c r="Y1051" s="24" t="str">
        <f t="shared" si="150"/>
        <v/>
      </c>
      <c r="Z1051">
        <f t="shared" si="151"/>
        <v>0</v>
      </c>
      <c r="AA1051">
        <f t="shared" si="152"/>
        <v>0</v>
      </c>
    </row>
    <row r="1052" spans="2:27" ht="15.75" customHeight="1" x14ac:dyDescent="0.3">
      <c r="B1052" s="25"/>
      <c r="C1052" s="25"/>
      <c r="D1052" s="25"/>
      <c r="E1052" s="26" t="str">
        <f t="shared" si="144"/>
        <v/>
      </c>
      <c r="F1052" s="25"/>
      <c r="G1052" s="25"/>
      <c r="H1052" s="25"/>
      <c r="I1052" s="25"/>
      <c r="J1052" s="25"/>
      <c r="K1052" s="25"/>
      <c r="L1052" s="25"/>
      <c r="M1052" s="25"/>
      <c r="N1052" s="25"/>
      <c r="O1052" s="25"/>
      <c r="P1052" s="25"/>
      <c r="Q1052" s="25"/>
      <c r="R1052" s="23" t="str">
        <f>IF($F1052="","",IF(OR($B1052="",$C1052="",$D1052=""),"⚠ Compléter Année/Niveau/Session",IF(AND($E1052&lt;&gt;"",COUNTIF(D_KEY_DOUBLON,$B1052&amp;"|"&amp;$D1052&amp;"|"&amp;$E1052)&gt;1),"⚠ Doublon",IF(AND($E1052&lt;&gt;"",COUNTIF(D_KEY_STATUT,$B1052&amp;"|"&amp;$E1052&amp;"|P")&gt;0,COUNTIF(D_KEY_STATUT,$B1052&amp;"|"&amp;$E1052&amp;"|A")&gt;0),"⚠ Statut incohérent",IF(AND($D1052="S1",$Y1052&lt;&gt;"Parti",COUNTIF(ANNEES_VERROU,$B1052)&gt;0,COUNTIF(D_KEY_NIVSES,$B1052&amp;"|"&amp;$C1052&amp;"|S2")&gt;0,COUNTIF(D_KEY_DOUBLON,$B1052&amp;"|S2|"&amp;$E1052)=0),"⚠ Départ non confirmé ?",IF(AND($C1052&lt;&gt;"",ISNUMBER($I1052),OR(VALUE(LEFT($B1052,4))-$I1052&lt;4+IFERROR(MATCH($C1052,LISTE_NIVEAUX,0),99),VALUE(LEFT($B1052,4))-$I1052&gt;6+IFERROR(MATCH($C1052,LISTE_NIVEAUX,0),99))),"⚠ Vérifier niveau",IF(AND(IFERROR(VLOOKUP($C1052,TABLE_CYCLE,2,0),3)=2,COUNT($O1052:$Q1052)&gt;0),"⚠ Tests cycle 3",IF(COUNT($J1052:$Q1052)&gt;=IF(IFERROR(VLOOKUP($C1052,TABLE_CYCLE,2,0),3)=2,5,8),"Complet","Incomplet"))))))))</f>
        <v/>
      </c>
      <c r="S1052" s="24"/>
      <c r="T1052" s="67" t="str">
        <f t="shared" si="145"/>
        <v/>
      </c>
      <c r="U1052" s="67" t="str">
        <f t="shared" si="146"/>
        <v/>
      </c>
      <c r="V1052" s="67" t="str">
        <f t="shared" si="147"/>
        <v/>
      </c>
      <c r="W1052" s="67" t="str">
        <f t="shared" si="148"/>
        <v/>
      </c>
      <c r="X1052" s="67" t="str">
        <f t="shared" si="149"/>
        <v/>
      </c>
      <c r="Y1052" s="24" t="str">
        <f t="shared" si="150"/>
        <v/>
      </c>
      <c r="Z1052">
        <f t="shared" si="151"/>
        <v>0</v>
      </c>
      <c r="AA1052">
        <f t="shared" si="152"/>
        <v>0</v>
      </c>
    </row>
    <row r="1053" spans="2:27" ht="15.75" customHeight="1" x14ac:dyDescent="0.3">
      <c r="B1053" s="21"/>
      <c r="C1053" s="21"/>
      <c r="D1053" s="21"/>
      <c r="E1053" s="22" t="str">
        <f t="shared" si="144"/>
        <v/>
      </c>
      <c r="F1053" s="21"/>
      <c r="G1053" s="21"/>
      <c r="H1053" s="21"/>
      <c r="I1053" s="21"/>
      <c r="J1053" s="21"/>
      <c r="K1053" s="21"/>
      <c r="L1053" s="21"/>
      <c r="M1053" s="21"/>
      <c r="N1053" s="21"/>
      <c r="O1053" s="21"/>
      <c r="P1053" s="21"/>
      <c r="Q1053" s="21"/>
      <c r="R1053" s="23" t="str">
        <f>IF($F1053="","",IF(OR($B1053="",$C1053="",$D1053=""),"⚠ Compléter Année/Niveau/Session",IF(AND($E1053&lt;&gt;"",COUNTIF(D_KEY_DOUBLON,$B1053&amp;"|"&amp;$D1053&amp;"|"&amp;$E1053)&gt;1),"⚠ Doublon",IF(AND($E1053&lt;&gt;"",COUNTIF(D_KEY_STATUT,$B1053&amp;"|"&amp;$E1053&amp;"|P")&gt;0,COUNTIF(D_KEY_STATUT,$B1053&amp;"|"&amp;$E1053&amp;"|A")&gt;0),"⚠ Statut incohérent",IF(AND($D1053="S1",$Y1053&lt;&gt;"Parti",COUNTIF(ANNEES_VERROU,$B1053)&gt;0,COUNTIF(D_KEY_NIVSES,$B1053&amp;"|"&amp;$C1053&amp;"|S2")&gt;0,COUNTIF(D_KEY_DOUBLON,$B1053&amp;"|S2|"&amp;$E1053)=0),"⚠ Départ non confirmé ?",IF(AND($C1053&lt;&gt;"",ISNUMBER($I1053),OR(VALUE(LEFT($B1053,4))-$I1053&lt;4+IFERROR(MATCH($C1053,LISTE_NIVEAUX,0),99),VALUE(LEFT($B1053,4))-$I1053&gt;6+IFERROR(MATCH($C1053,LISTE_NIVEAUX,0),99))),"⚠ Vérifier niveau",IF(AND(IFERROR(VLOOKUP($C1053,TABLE_CYCLE,2,0),3)=2,COUNT($O1053:$Q1053)&gt;0),"⚠ Tests cycle 3",IF(COUNT($J1053:$Q1053)&gt;=IF(IFERROR(VLOOKUP($C1053,TABLE_CYCLE,2,0),3)=2,5,8),"Complet","Incomplet"))))))))</f>
        <v/>
      </c>
      <c r="S1053" s="24"/>
      <c r="T1053" s="67" t="str">
        <f t="shared" si="145"/>
        <v/>
      </c>
      <c r="U1053" s="67" t="str">
        <f t="shared" si="146"/>
        <v/>
      </c>
      <c r="V1053" s="67" t="str">
        <f t="shared" si="147"/>
        <v/>
      </c>
      <c r="W1053" s="67" t="str">
        <f t="shared" si="148"/>
        <v/>
      </c>
      <c r="X1053" s="67" t="str">
        <f t="shared" si="149"/>
        <v/>
      </c>
      <c r="Y1053" s="24" t="str">
        <f t="shared" si="150"/>
        <v/>
      </c>
      <c r="Z1053">
        <f t="shared" si="151"/>
        <v>0</v>
      </c>
      <c r="AA1053">
        <f t="shared" si="152"/>
        <v>0</v>
      </c>
    </row>
    <row r="1054" spans="2:27" ht="15.75" customHeight="1" x14ac:dyDescent="0.3">
      <c r="B1054" s="25"/>
      <c r="C1054" s="25"/>
      <c r="D1054" s="25"/>
      <c r="E1054" s="26" t="str">
        <f t="shared" si="144"/>
        <v/>
      </c>
      <c r="F1054" s="25"/>
      <c r="G1054" s="25"/>
      <c r="H1054" s="25"/>
      <c r="I1054" s="25"/>
      <c r="J1054" s="25"/>
      <c r="K1054" s="25"/>
      <c r="L1054" s="25"/>
      <c r="M1054" s="25"/>
      <c r="N1054" s="25"/>
      <c r="O1054" s="25"/>
      <c r="P1054" s="25"/>
      <c r="Q1054" s="25"/>
      <c r="R1054" s="23" t="str">
        <f>IF($F1054="","",IF(OR($B1054="",$C1054="",$D1054=""),"⚠ Compléter Année/Niveau/Session",IF(AND($E1054&lt;&gt;"",COUNTIF(D_KEY_DOUBLON,$B1054&amp;"|"&amp;$D1054&amp;"|"&amp;$E1054)&gt;1),"⚠ Doublon",IF(AND($E1054&lt;&gt;"",COUNTIF(D_KEY_STATUT,$B1054&amp;"|"&amp;$E1054&amp;"|P")&gt;0,COUNTIF(D_KEY_STATUT,$B1054&amp;"|"&amp;$E1054&amp;"|A")&gt;0),"⚠ Statut incohérent",IF(AND($D1054="S1",$Y1054&lt;&gt;"Parti",COUNTIF(ANNEES_VERROU,$B1054)&gt;0,COUNTIF(D_KEY_NIVSES,$B1054&amp;"|"&amp;$C1054&amp;"|S2")&gt;0,COUNTIF(D_KEY_DOUBLON,$B1054&amp;"|S2|"&amp;$E1054)=0),"⚠ Départ non confirmé ?",IF(AND($C1054&lt;&gt;"",ISNUMBER($I1054),OR(VALUE(LEFT($B1054,4))-$I1054&lt;4+IFERROR(MATCH($C1054,LISTE_NIVEAUX,0),99),VALUE(LEFT($B1054,4))-$I1054&gt;6+IFERROR(MATCH($C1054,LISTE_NIVEAUX,0),99))),"⚠ Vérifier niveau",IF(AND(IFERROR(VLOOKUP($C1054,TABLE_CYCLE,2,0),3)=2,COUNT($O1054:$Q1054)&gt;0),"⚠ Tests cycle 3",IF(COUNT($J1054:$Q1054)&gt;=IF(IFERROR(VLOOKUP($C1054,TABLE_CYCLE,2,0),3)=2,5,8),"Complet","Incomplet"))))))))</f>
        <v/>
      </c>
      <c r="S1054" s="24"/>
      <c r="T1054" s="67" t="str">
        <f t="shared" si="145"/>
        <v/>
      </c>
      <c r="U1054" s="67" t="str">
        <f t="shared" si="146"/>
        <v/>
      </c>
      <c r="V1054" s="67" t="str">
        <f t="shared" si="147"/>
        <v/>
      </c>
      <c r="W1054" s="67" t="str">
        <f t="shared" si="148"/>
        <v/>
      </c>
      <c r="X1054" s="67" t="str">
        <f t="shared" si="149"/>
        <v/>
      </c>
      <c r="Y1054" s="24" t="str">
        <f t="shared" si="150"/>
        <v/>
      </c>
      <c r="Z1054">
        <f t="shared" si="151"/>
        <v>0</v>
      </c>
      <c r="AA1054">
        <f t="shared" si="152"/>
        <v>0</v>
      </c>
    </row>
    <row r="1055" spans="2:27" ht="15.75" customHeight="1" x14ac:dyDescent="0.3">
      <c r="B1055" s="21"/>
      <c r="C1055" s="21"/>
      <c r="D1055" s="21"/>
      <c r="E1055" s="22" t="str">
        <f t="shared" si="144"/>
        <v/>
      </c>
      <c r="F1055" s="21"/>
      <c r="G1055" s="21"/>
      <c r="H1055" s="21"/>
      <c r="I1055" s="21"/>
      <c r="J1055" s="21"/>
      <c r="K1055" s="21"/>
      <c r="L1055" s="21"/>
      <c r="M1055" s="21"/>
      <c r="N1055" s="21"/>
      <c r="O1055" s="21"/>
      <c r="P1055" s="21"/>
      <c r="Q1055" s="21"/>
      <c r="R1055" s="23" t="str">
        <f>IF($F1055="","",IF(OR($B1055="",$C1055="",$D1055=""),"⚠ Compléter Année/Niveau/Session",IF(AND($E1055&lt;&gt;"",COUNTIF(D_KEY_DOUBLON,$B1055&amp;"|"&amp;$D1055&amp;"|"&amp;$E1055)&gt;1),"⚠ Doublon",IF(AND($E1055&lt;&gt;"",COUNTIF(D_KEY_STATUT,$B1055&amp;"|"&amp;$E1055&amp;"|P")&gt;0,COUNTIF(D_KEY_STATUT,$B1055&amp;"|"&amp;$E1055&amp;"|A")&gt;0),"⚠ Statut incohérent",IF(AND($D1055="S1",$Y1055&lt;&gt;"Parti",COUNTIF(ANNEES_VERROU,$B1055)&gt;0,COUNTIF(D_KEY_NIVSES,$B1055&amp;"|"&amp;$C1055&amp;"|S2")&gt;0,COUNTIF(D_KEY_DOUBLON,$B1055&amp;"|S2|"&amp;$E1055)=0),"⚠ Départ non confirmé ?",IF(AND($C1055&lt;&gt;"",ISNUMBER($I1055),OR(VALUE(LEFT($B1055,4))-$I1055&lt;4+IFERROR(MATCH($C1055,LISTE_NIVEAUX,0),99),VALUE(LEFT($B1055,4))-$I1055&gt;6+IFERROR(MATCH($C1055,LISTE_NIVEAUX,0),99))),"⚠ Vérifier niveau",IF(AND(IFERROR(VLOOKUP($C1055,TABLE_CYCLE,2,0),3)=2,COUNT($O1055:$Q1055)&gt;0),"⚠ Tests cycle 3",IF(COUNT($J1055:$Q1055)&gt;=IF(IFERROR(VLOOKUP($C1055,TABLE_CYCLE,2,0),3)=2,5,8),"Complet","Incomplet"))))))))</f>
        <v/>
      </c>
      <c r="S1055" s="24"/>
      <c r="T1055" s="67" t="str">
        <f t="shared" si="145"/>
        <v/>
      </c>
      <c r="U1055" s="67" t="str">
        <f t="shared" si="146"/>
        <v/>
      </c>
      <c r="V1055" s="67" t="str">
        <f t="shared" si="147"/>
        <v/>
      </c>
      <c r="W1055" s="67" t="str">
        <f t="shared" si="148"/>
        <v/>
      </c>
      <c r="X1055" s="67" t="str">
        <f t="shared" si="149"/>
        <v/>
      </c>
      <c r="Y1055" s="24" t="str">
        <f t="shared" si="150"/>
        <v/>
      </c>
      <c r="Z1055">
        <f t="shared" si="151"/>
        <v>0</v>
      </c>
      <c r="AA1055">
        <f t="shared" si="152"/>
        <v>0</v>
      </c>
    </row>
    <row r="1056" spans="2:27" ht="15.75" customHeight="1" x14ac:dyDescent="0.3">
      <c r="B1056" s="25"/>
      <c r="C1056" s="25"/>
      <c r="D1056" s="25"/>
      <c r="E1056" s="26" t="str">
        <f t="shared" si="144"/>
        <v/>
      </c>
      <c r="F1056" s="25"/>
      <c r="G1056" s="25"/>
      <c r="H1056" s="25"/>
      <c r="I1056" s="25"/>
      <c r="J1056" s="25"/>
      <c r="K1056" s="25"/>
      <c r="L1056" s="25"/>
      <c r="M1056" s="25"/>
      <c r="N1056" s="25"/>
      <c r="O1056" s="25"/>
      <c r="P1056" s="25"/>
      <c r="Q1056" s="25"/>
      <c r="R1056" s="23" t="str">
        <f>IF($F1056="","",IF(OR($B1056="",$C1056="",$D1056=""),"⚠ Compléter Année/Niveau/Session",IF(AND($E1056&lt;&gt;"",COUNTIF(D_KEY_DOUBLON,$B1056&amp;"|"&amp;$D1056&amp;"|"&amp;$E1056)&gt;1),"⚠ Doublon",IF(AND($E1056&lt;&gt;"",COUNTIF(D_KEY_STATUT,$B1056&amp;"|"&amp;$E1056&amp;"|P")&gt;0,COUNTIF(D_KEY_STATUT,$B1056&amp;"|"&amp;$E1056&amp;"|A")&gt;0),"⚠ Statut incohérent",IF(AND($D1056="S1",$Y1056&lt;&gt;"Parti",COUNTIF(ANNEES_VERROU,$B1056)&gt;0,COUNTIF(D_KEY_NIVSES,$B1056&amp;"|"&amp;$C1056&amp;"|S2")&gt;0,COUNTIF(D_KEY_DOUBLON,$B1056&amp;"|S2|"&amp;$E1056)=0),"⚠ Départ non confirmé ?",IF(AND($C1056&lt;&gt;"",ISNUMBER($I1056),OR(VALUE(LEFT($B1056,4))-$I1056&lt;4+IFERROR(MATCH($C1056,LISTE_NIVEAUX,0),99),VALUE(LEFT($B1056,4))-$I1056&gt;6+IFERROR(MATCH($C1056,LISTE_NIVEAUX,0),99))),"⚠ Vérifier niveau",IF(AND(IFERROR(VLOOKUP($C1056,TABLE_CYCLE,2,0),3)=2,COUNT($O1056:$Q1056)&gt;0),"⚠ Tests cycle 3",IF(COUNT($J1056:$Q1056)&gt;=IF(IFERROR(VLOOKUP($C1056,TABLE_CYCLE,2,0),3)=2,5,8),"Complet","Incomplet"))))))))</f>
        <v/>
      </c>
      <c r="S1056" s="24"/>
      <c r="T1056" s="67" t="str">
        <f t="shared" si="145"/>
        <v/>
      </c>
      <c r="U1056" s="67" t="str">
        <f t="shared" si="146"/>
        <v/>
      </c>
      <c r="V1056" s="67" t="str">
        <f t="shared" si="147"/>
        <v/>
      </c>
      <c r="W1056" s="67" t="str">
        <f t="shared" si="148"/>
        <v/>
      </c>
      <c r="X1056" s="67" t="str">
        <f t="shared" si="149"/>
        <v/>
      </c>
      <c r="Y1056" s="24" t="str">
        <f t="shared" si="150"/>
        <v/>
      </c>
      <c r="Z1056">
        <f t="shared" si="151"/>
        <v>0</v>
      </c>
      <c r="AA1056">
        <f t="shared" si="152"/>
        <v>0</v>
      </c>
    </row>
    <row r="1057" spans="2:27" ht="15.75" customHeight="1" x14ac:dyDescent="0.3">
      <c r="B1057" s="21"/>
      <c r="C1057" s="21"/>
      <c r="D1057" s="21"/>
      <c r="E1057" s="22" t="str">
        <f t="shared" si="144"/>
        <v/>
      </c>
      <c r="F1057" s="21"/>
      <c r="G1057" s="21"/>
      <c r="H1057" s="21"/>
      <c r="I1057" s="21"/>
      <c r="J1057" s="21"/>
      <c r="K1057" s="21"/>
      <c r="L1057" s="21"/>
      <c r="M1057" s="21"/>
      <c r="N1057" s="21"/>
      <c r="O1057" s="21"/>
      <c r="P1057" s="21"/>
      <c r="Q1057" s="21"/>
      <c r="R1057" s="23" t="str">
        <f>IF($F1057="","",IF(OR($B1057="",$C1057="",$D1057=""),"⚠ Compléter Année/Niveau/Session",IF(AND($E1057&lt;&gt;"",COUNTIF(D_KEY_DOUBLON,$B1057&amp;"|"&amp;$D1057&amp;"|"&amp;$E1057)&gt;1),"⚠ Doublon",IF(AND($E1057&lt;&gt;"",COUNTIF(D_KEY_STATUT,$B1057&amp;"|"&amp;$E1057&amp;"|P")&gt;0,COUNTIF(D_KEY_STATUT,$B1057&amp;"|"&amp;$E1057&amp;"|A")&gt;0),"⚠ Statut incohérent",IF(AND($D1057="S1",$Y1057&lt;&gt;"Parti",COUNTIF(ANNEES_VERROU,$B1057)&gt;0,COUNTIF(D_KEY_NIVSES,$B1057&amp;"|"&amp;$C1057&amp;"|S2")&gt;0,COUNTIF(D_KEY_DOUBLON,$B1057&amp;"|S2|"&amp;$E1057)=0),"⚠ Départ non confirmé ?",IF(AND($C1057&lt;&gt;"",ISNUMBER($I1057),OR(VALUE(LEFT($B1057,4))-$I1057&lt;4+IFERROR(MATCH($C1057,LISTE_NIVEAUX,0),99),VALUE(LEFT($B1057,4))-$I1057&gt;6+IFERROR(MATCH($C1057,LISTE_NIVEAUX,0),99))),"⚠ Vérifier niveau",IF(AND(IFERROR(VLOOKUP($C1057,TABLE_CYCLE,2,0),3)=2,COUNT($O1057:$Q1057)&gt;0),"⚠ Tests cycle 3",IF(COUNT($J1057:$Q1057)&gt;=IF(IFERROR(VLOOKUP($C1057,TABLE_CYCLE,2,0),3)=2,5,8),"Complet","Incomplet"))))))))</f>
        <v/>
      </c>
      <c r="S1057" s="24"/>
      <c r="T1057" s="67" t="str">
        <f t="shared" si="145"/>
        <v/>
      </c>
      <c r="U1057" s="67" t="str">
        <f t="shared" si="146"/>
        <v/>
      </c>
      <c r="V1057" s="67" t="str">
        <f t="shared" si="147"/>
        <v/>
      </c>
      <c r="W1057" s="67" t="str">
        <f t="shared" si="148"/>
        <v/>
      </c>
      <c r="X1057" s="67" t="str">
        <f t="shared" si="149"/>
        <v/>
      </c>
      <c r="Y1057" s="24" t="str">
        <f t="shared" si="150"/>
        <v/>
      </c>
      <c r="Z1057">
        <f t="shared" si="151"/>
        <v>0</v>
      </c>
      <c r="AA1057">
        <f t="shared" si="152"/>
        <v>0</v>
      </c>
    </row>
    <row r="1058" spans="2:27" ht="15.75" customHeight="1" x14ac:dyDescent="0.3">
      <c r="B1058" s="25"/>
      <c r="C1058" s="25"/>
      <c r="D1058" s="25"/>
      <c r="E1058" s="26" t="str">
        <f t="shared" si="144"/>
        <v/>
      </c>
      <c r="F1058" s="25"/>
      <c r="G1058" s="25"/>
      <c r="H1058" s="25"/>
      <c r="I1058" s="25"/>
      <c r="J1058" s="25"/>
      <c r="K1058" s="25"/>
      <c r="L1058" s="25"/>
      <c r="M1058" s="25"/>
      <c r="N1058" s="25"/>
      <c r="O1058" s="25"/>
      <c r="P1058" s="25"/>
      <c r="Q1058" s="25"/>
      <c r="R1058" s="23" t="str">
        <f>IF($F1058="","",IF(OR($B1058="",$C1058="",$D1058=""),"⚠ Compléter Année/Niveau/Session",IF(AND($E1058&lt;&gt;"",COUNTIF(D_KEY_DOUBLON,$B1058&amp;"|"&amp;$D1058&amp;"|"&amp;$E1058)&gt;1),"⚠ Doublon",IF(AND($E1058&lt;&gt;"",COUNTIF(D_KEY_STATUT,$B1058&amp;"|"&amp;$E1058&amp;"|P")&gt;0,COUNTIF(D_KEY_STATUT,$B1058&amp;"|"&amp;$E1058&amp;"|A")&gt;0),"⚠ Statut incohérent",IF(AND($D1058="S1",$Y1058&lt;&gt;"Parti",COUNTIF(ANNEES_VERROU,$B1058)&gt;0,COUNTIF(D_KEY_NIVSES,$B1058&amp;"|"&amp;$C1058&amp;"|S2")&gt;0,COUNTIF(D_KEY_DOUBLON,$B1058&amp;"|S2|"&amp;$E1058)=0),"⚠ Départ non confirmé ?",IF(AND($C1058&lt;&gt;"",ISNUMBER($I1058),OR(VALUE(LEFT($B1058,4))-$I1058&lt;4+IFERROR(MATCH($C1058,LISTE_NIVEAUX,0),99),VALUE(LEFT($B1058,4))-$I1058&gt;6+IFERROR(MATCH($C1058,LISTE_NIVEAUX,0),99))),"⚠ Vérifier niveau",IF(AND(IFERROR(VLOOKUP($C1058,TABLE_CYCLE,2,0),3)=2,COUNT($O1058:$Q1058)&gt;0),"⚠ Tests cycle 3",IF(COUNT($J1058:$Q1058)&gt;=IF(IFERROR(VLOOKUP($C1058,TABLE_CYCLE,2,0),3)=2,5,8),"Complet","Incomplet"))))))))</f>
        <v/>
      </c>
      <c r="S1058" s="24"/>
      <c r="T1058" s="67" t="str">
        <f t="shared" si="145"/>
        <v/>
      </c>
      <c r="U1058" s="67" t="str">
        <f t="shared" si="146"/>
        <v/>
      </c>
      <c r="V1058" s="67" t="str">
        <f t="shared" si="147"/>
        <v/>
      </c>
      <c r="W1058" s="67" t="str">
        <f t="shared" si="148"/>
        <v/>
      </c>
      <c r="X1058" s="67" t="str">
        <f t="shared" si="149"/>
        <v/>
      </c>
      <c r="Y1058" s="24" t="str">
        <f t="shared" si="150"/>
        <v/>
      </c>
      <c r="Z1058">
        <f t="shared" si="151"/>
        <v>0</v>
      </c>
      <c r="AA1058">
        <f t="shared" si="152"/>
        <v>0</v>
      </c>
    </row>
    <row r="1059" spans="2:27" ht="15.75" customHeight="1" x14ac:dyDescent="0.3">
      <c r="B1059" s="21"/>
      <c r="C1059" s="21"/>
      <c r="D1059" s="21"/>
      <c r="E1059" s="22" t="str">
        <f t="shared" si="144"/>
        <v/>
      </c>
      <c r="F1059" s="21"/>
      <c r="G1059" s="21"/>
      <c r="H1059" s="21"/>
      <c r="I1059" s="21"/>
      <c r="J1059" s="21"/>
      <c r="K1059" s="21"/>
      <c r="L1059" s="21"/>
      <c r="M1059" s="21"/>
      <c r="N1059" s="21"/>
      <c r="O1059" s="21"/>
      <c r="P1059" s="21"/>
      <c r="Q1059" s="21"/>
      <c r="R1059" s="23" t="str">
        <f>IF($F1059="","",IF(OR($B1059="",$C1059="",$D1059=""),"⚠ Compléter Année/Niveau/Session",IF(AND($E1059&lt;&gt;"",COUNTIF(D_KEY_DOUBLON,$B1059&amp;"|"&amp;$D1059&amp;"|"&amp;$E1059)&gt;1),"⚠ Doublon",IF(AND($E1059&lt;&gt;"",COUNTIF(D_KEY_STATUT,$B1059&amp;"|"&amp;$E1059&amp;"|P")&gt;0,COUNTIF(D_KEY_STATUT,$B1059&amp;"|"&amp;$E1059&amp;"|A")&gt;0),"⚠ Statut incohérent",IF(AND($D1059="S1",$Y1059&lt;&gt;"Parti",COUNTIF(ANNEES_VERROU,$B1059)&gt;0,COUNTIF(D_KEY_NIVSES,$B1059&amp;"|"&amp;$C1059&amp;"|S2")&gt;0,COUNTIF(D_KEY_DOUBLON,$B1059&amp;"|S2|"&amp;$E1059)=0),"⚠ Départ non confirmé ?",IF(AND($C1059&lt;&gt;"",ISNUMBER($I1059),OR(VALUE(LEFT($B1059,4))-$I1059&lt;4+IFERROR(MATCH($C1059,LISTE_NIVEAUX,0),99),VALUE(LEFT($B1059,4))-$I1059&gt;6+IFERROR(MATCH($C1059,LISTE_NIVEAUX,0),99))),"⚠ Vérifier niveau",IF(AND(IFERROR(VLOOKUP($C1059,TABLE_CYCLE,2,0),3)=2,COUNT($O1059:$Q1059)&gt;0),"⚠ Tests cycle 3",IF(COUNT($J1059:$Q1059)&gt;=IF(IFERROR(VLOOKUP($C1059,TABLE_CYCLE,2,0),3)=2,5,8),"Complet","Incomplet"))))))))</f>
        <v/>
      </c>
      <c r="S1059" s="24"/>
      <c r="T1059" s="67" t="str">
        <f t="shared" si="145"/>
        <v/>
      </c>
      <c r="U1059" s="67" t="str">
        <f t="shared" si="146"/>
        <v/>
      </c>
      <c r="V1059" s="67" t="str">
        <f t="shared" si="147"/>
        <v/>
      </c>
      <c r="W1059" s="67" t="str">
        <f t="shared" si="148"/>
        <v/>
      </c>
      <c r="X1059" s="67" t="str">
        <f t="shared" si="149"/>
        <v/>
      </c>
      <c r="Y1059" s="24" t="str">
        <f t="shared" si="150"/>
        <v/>
      </c>
      <c r="Z1059">
        <f t="shared" si="151"/>
        <v>0</v>
      </c>
      <c r="AA1059">
        <f t="shared" si="152"/>
        <v>0</v>
      </c>
    </row>
    <row r="1060" spans="2:27" ht="15.75" customHeight="1" x14ac:dyDescent="0.3">
      <c r="B1060" s="25"/>
      <c r="C1060" s="25"/>
      <c r="D1060" s="25"/>
      <c r="E1060" s="26" t="str">
        <f t="shared" si="144"/>
        <v/>
      </c>
      <c r="F1060" s="25"/>
      <c r="G1060" s="25"/>
      <c r="H1060" s="25"/>
      <c r="I1060" s="25"/>
      <c r="J1060" s="25"/>
      <c r="K1060" s="25"/>
      <c r="L1060" s="25"/>
      <c r="M1060" s="25"/>
      <c r="N1060" s="25"/>
      <c r="O1060" s="25"/>
      <c r="P1060" s="25"/>
      <c r="Q1060" s="25"/>
      <c r="R1060" s="23" t="str">
        <f>IF($F1060="","",IF(OR($B1060="",$C1060="",$D1060=""),"⚠ Compléter Année/Niveau/Session",IF(AND($E1060&lt;&gt;"",COUNTIF(D_KEY_DOUBLON,$B1060&amp;"|"&amp;$D1060&amp;"|"&amp;$E1060)&gt;1),"⚠ Doublon",IF(AND($E1060&lt;&gt;"",COUNTIF(D_KEY_STATUT,$B1060&amp;"|"&amp;$E1060&amp;"|P")&gt;0,COUNTIF(D_KEY_STATUT,$B1060&amp;"|"&amp;$E1060&amp;"|A")&gt;0),"⚠ Statut incohérent",IF(AND($D1060="S1",$Y1060&lt;&gt;"Parti",COUNTIF(ANNEES_VERROU,$B1060)&gt;0,COUNTIF(D_KEY_NIVSES,$B1060&amp;"|"&amp;$C1060&amp;"|S2")&gt;0,COUNTIF(D_KEY_DOUBLON,$B1060&amp;"|S2|"&amp;$E1060)=0),"⚠ Départ non confirmé ?",IF(AND($C1060&lt;&gt;"",ISNUMBER($I1060),OR(VALUE(LEFT($B1060,4))-$I1060&lt;4+IFERROR(MATCH($C1060,LISTE_NIVEAUX,0),99),VALUE(LEFT($B1060,4))-$I1060&gt;6+IFERROR(MATCH($C1060,LISTE_NIVEAUX,0),99))),"⚠ Vérifier niveau",IF(AND(IFERROR(VLOOKUP($C1060,TABLE_CYCLE,2,0),3)=2,COUNT($O1060:$Q1060)&gt;0),"⚠ Tests cycle 3",IF(COUNT($J1060:$Q1060)&gt;=IF(IFERROR(VLOOKUP($C1060,TABLE_CYCLE,2,0),3)=2,5,8),"Complet","Incomplet"))))))))</f>
        <v/>
      </c>
      <c r="S1060" s="24"/>
      <c r="T1060" s="67" t="str">
        <f t="shared" si="145"/>
        <v/>
      </c>
      <c r="U1060" s="67" t="str">
        <f t="shared" si="146"/>
        <v/>
      </c>
      <c r="V1060" s="67" t="str">
        <f t="shared" si="147"/>
        <v/>
      </c>
      <c r="W1060" s="67" t="str">
        <f t="shared" si="148"/>
        <v/>
      </c>
      <c r="X1060" s="67" t="str">
        <f t="shared" si="149"/>
        <v/>
      </c>
      <c r="Y1060" s="24" t="str">
        <f t="shared" si="150"/>
        <v/>
      </c>
      <c r="Z1060">
        <f t="shared" si="151"/>
        <v>0</v>
      </c>
      <c r="AA1060">
        <f t="shared" si="152"/>
        <v>0</v>
      </c>
    </row>
    <row r="1061" spans="2:27" ht="15.75" customHeight="1" x14ac:dyDescent="0.3">
      <c r="B1061" s="21"/>
      <c r="C1061" s="21"/>
      <c r="D1061" s="21"/>
      <c r="E1061" s="22" t="str">
        <f t="shared" si="144"/>
        <v/>
      </c>
      <c r="F1061" s="21"/>
      <c r="G1061" s="21"/>
      <c r="H1061" s="21"/>
      <c r="I1061" s="21"/>
      <c r="J1061" s="21"/>
      <c r="K1061" s="21"/>
      <c r="L1061" s="21"/>
      <c r="M1061" s="21"/>
      <c r="N1061" s="21"/>
      <c r="O1061" s="21"/>
      <c r="P1061" s="21"/>
      <c r="Q1061" s="21"/>
      <c r="R1061" s="23" t="str">
        <f>IF($F1061="","",IF(OR($B1061="",$C1061="",$D1061=""),"⚠ Compléter Année/Niveau/Session",IF(AND($E1061&lt;&gt;"",COUNTIF(D_KEY_DOUBLON,$B1061&amp;"|"&amp;$D1061&amp;"|"&amp;$E1061)&gt;1),"⚠ Doublon",IF(AND($E1061&lt;&gt;"",COUNTIF(D_KEY_STATUT,$B1061&amp;"|"&amp;$E1061&amp;"|P")&gt;0,COUNTIF(D_KEY_STATUT,$B1061&amp;"|"&amp;$E1061&amp;"|A")&gt;0),"⚠ Statut incohérent",IF(AND($D1061="S1",$Y1061&lt;&gt;"Parti",COUNTIF(ANNEES_VERROU,$B1061)&gt;0,COUNTIF(D_KEY_NIVSES,$B1061&amp;"|"&amp;$C1061&amp;"|S2")&gt;0,COUNTIF(D_KEY_DOUBLON,$B1061&amp;"|S2|"&amp;$E1061)=0),"⚠ Départ non confirmé ?",IF(AND($C1061&lt;&gt;"",ISNUMBER($I1061),OR(VALUE(LEFT($B1061,4))-$I1061&lt;4+IFERROR(MATCH($C1061,LISTE_NIVEAUX,0),99),VALUE(LEFT($B1061,4))-$I1061&gt;6+IFERROR(MATCH($C1061,LISTE_NIVEAUX,0),99))),"⚠ Vérifier niveau",IF(AND(IFERROR(VLOOKUP($C1061,TABLE_CYCLE,2,0),3)=2,COUNT($O1061:$Q1061)&gt;0),"⚠ Tests cycle 3",IF(COUNT($J1061:$Q1061)&gt;=IF(IFERROR(VLOOKUP($C1061,TABLE_CYCLE,2,0),3)=2,5,8),"Complet","Incomplet"))))))))</f>
        <v/>
      </c>
      <c r="S1061" s="24"/>
      <c r="T1061" s="67" t="str">
        <f t="shared" si="145"/>
        <v/>
      </c>
      <c r="U1061" s="67" t="str">
        <f t="shared" si="146"/>
        <v/>
      </c>
      <c r="V1061" s="67" t="str">
        <f t="shared" si="147"/>
        <v/>
      </c>
      <c r="W1061" s="67" t="str">
        <f t="shared" si="148"/>
        <v/>
      </c>
      <c r="X1061" s="67" t="str">
        <f t="shared" si="149"/>
        <v/>
      </c>
      <c r="Y1061" s="24" t="str">
        <f t="shared" si="150"/>
        <v/>
      </c>
      <c r="Z1061">
        <f t="shared" si="151"/>
        <v>0</v>
      </c>
      <c r="AA1061">
        <f t="shared" si="152"/>
        <v>0</v>
      </c>
    </row>
    <row r="1062" spans="2:27" ht="15.75" customHeight="1" x14ac:dyDescent="0.3">
      <c r="B1062" s="25"/>
      <c r="C1062" s="25"/>
      <c r="D1062" s="25"/>
      <c r="E1062" s="26" t="str">
        <f t="shared" si="144"/>
        <v/>
      </c>
      <c r="F1062" s="25"/>
      <c r="G1062" s="25"/>
      <c r="H1062" s="25"/>
      <c r="I1062" s="25"/>
      <c r="J1062" s="25"/>
      <c r="K1062" s="25"/>
      <c r="L1062" s="25"/>
      <c r="M1062" s="25"/>
      <c r="N1062" s="25"/>
      <c r="O1062" s="25"/>
      <c r="P1062" s="25"/>
      <c r="Q1062" s="25"/>
      <c r="R1062" s="23" t="str">
        <f>IF($F1062="","",IF(OR($B1062="",$C1062="",$D1062=""),"⚠ Compléter Année/Niveau/Session",IF(AND($E1062&lt;&gt;"",COUNTIF(D_KEY_DOUBLON,$B1062&amp;"|"&amp;$D1062&amp;"|"&amp;$E1062)&gt;1),"⚠ Doublon",IF(AND($E1062&lt;&gt;"",COUNTIF(D_KEY_STATUT,$B1062&amp;"|"&amp;$E1062&amp;"|P")&gt;0,COUNTIF(D_KEY_STATUT,$B1062&amp;"|"&amp;$E1062&amp;"|A")&gt;0),"⚠ Statut incohérent",IF(AND($D1062="S1",$Y1062&lt;&gt;"Parti",COUNTIF(ANNEES_VERROU,$B1062)&gt;0,COUNTIF(D_KEY_NIVSES,$B1062&amp;"|"&amp;$C1062&amp;"|S2")&gt;0,COUNTIF(D_KEY_DOUBLON,$B1062&amp;"|S2|"&amp;$E1062)=0),"⚠ Départ non confirmé ?",IF(AND($C1062&lt;&gt;"",ISNUMBER($I1062),OR(VALUE(LEFT($B1062,4))-$I1062&lt;4+IFERROR(MATCH($C1062,LISTE_NIVEAUX,0),99),VALUE(LEFT($B1062,4))-$I1062&gt;6+IFERROR(MATCH($C1062,LISTE_NIVEAUX,0),99))),"⚠ Vérifier niveau",IF(AND(IFERROR(VLOOKUP($C1062,TABLE_CYCLE,2,0),3)=2,COUNT($O1062:$Q1062)&gt;0),"⚠ Tests cycle 3",IF(COUNT($J1062:$Q1062)&gt;=IF(IFERROR(VLOOKUP($C1062,TABLE_CYCLE,2,0),3)=2,5,8),"Complet","Incomplet"))))))))</f>
        <v/>
      </c>
      <c r="S1062" s="24"/>
      <c r="T1062" s="67" t="str">
        <f t="shared" si="145"/>
        <v/>
      </c>
      <c r="U1062" s="67" t="str">
        <f t="shared" si="146"/>
        <v/>
      </c>
      <c r="V1062" s="67" t="str">
        <f t="shared" si="147"/>
        <v/>
      </c>
      <c r="W1062" s="67" t="str">
        <f t="shared" si="148"/>
        <v/>
      </c>
      <c r="X1062" s="67" t="str">
        <f t="shared" si="149"/>
        <v/>
      </c>
      <c r="Y1062" s="24" t="str">
        <f t="shared" si="150"/>
        <v/>
      </c>
      <c r="Z1062">
        <f t="shared" si="151"/>
        <v>0</v>
      </c>
      <c r="AA1062">
        <f t="shared" si="152"/>
        <v>0</v>
      </c>
    </row>
    <row r="1063" spans="2:27" ht="15.75" customHeight="1" x14ac:dyDescent="0.3">
      <c r="B1063" s="21"/>
      <c r="C1063" s="21"/>
      <c r="D1063" s="21"/>
      <c r="E1063" s="22" t="str">
        <f t="shared" si="144"/>
        <v/>
      </c>
      <c r="F1063" s="21"/>
      <c r="G1063" s="21"/>
      <c r="H1063" s="21"/>
      <c r="I1063" s="21"/>
      <c r="J1063" s="21"/>
      <c r="K1063" s="21"/>
      <c r="L1063" s="21"/>
      <c r="M1063" s="21"/>
      <c r="N1063" s="21"/>
      <c r="O1063" s="21"/>
      <c r="P1063" s="21"/>
      <c r="Q1063" s="21"/>
      <c r="R1063" s="23" t="str">
        <f>IF($F1063="","",IF(OR($B1063="",$C1063="",$D1063=""),"⚠ Compléter Année/Niveau/Session",IF(AND($E1063&lt;&gt;"",COUNTIF(D_KEY_DOUBLON,$B1063&amp;"|"&amp;$D1063&amp;"|"&amp;$E1063)&gt;1),"⚠ Doublon",IF(AND($E1063&lt;&gt;"",COUNTIF(D_KEY_STATUT,$B1063&amp;"|"&amp;$E1063&amp;"|P")&gt;0,COUNTIF(D_KEY_STATUT,$B1063&amp;"|"&amp;$E1063&amp;"|A")&gt;0),"⚠ Statut incohérent",IF(AND($D1063="S1",$Y1063&lt;&gt;"Parti",COUNTIF(ANNEES_VERROU,$B1063)&gt;0,COUNTIF(D_KEY_NIVSES,$B1063&amp;"|"&amp;$C1063&amp;"|S2")&gt;0,COUNTIF(D_KEY_DOUBLON,$B1063&amp;"|S2|"&amp;$E1063)=0),"⚠ Départ non confirmé ?",IF(AND($C1063&lt;&gt;"",ISNUMBER($I1063),OR(VALUE(LEFT($B1063,4))-$I1063&lt;4+IFERROR(MATCH($C1063,LISTE_NIVEAUX,0),99),VALUE(LEFT($B1063,4))-$I1063&gt;6+IFERROR(MATCH($C1063,LISTE_NIVEAUX,0),99))),"⚠ Vérifier niveau",IF(AND(IFERROR(VLOOKUP($C1063,TABLE_CYCLE,2,0),3)=2,COUNT($O1063:$Q1063)&gt;0),"⚠ Tests cycle 3",IF(COUNT($J1063:$Q1063)&gt;=IF(IFERROR(VLOOKUP($C1063,TABLE_CYCLE,2,0),3)=2,5,8),"Complet","Incomplet"))))))))</f>
        <v/>
      </c>
      <c r="S1063" s="24"/>
      <c r="T1063" s="67" t="str">
        <f t="shared" si="145"/>
        <v/>
      </c>
      <c r="U1063" s="67" t="str">
        <f t="shared" si="146"/>
        <v/>
      </c>
      <c r="V1063" s="67" t="str">
        <f t="shared" si="147"/>
        <v/>
      </c>
      <c r="W1063" s="67" t="str">
        <f t="shared" si="148"/>
        <v/>
      </c>
      <c r="X1063" s="67" t="str">
        <f t="shared" si="149"/>
        <v/>
      </c>
      <c r="Y1063" s="24" t="str">
        <f t="shared" si="150"/>
        <v/>
      </c>
      <c r="Z1063">
        <f t="shared" si="151"/>
        <v>0</v>
      </c>
      <c r="AA1063">
        <f t="shared" si="152"/>
        <v>0</v>
      </c>
    </row>
    <row r="1064" spans="2:27" ht="15.75" customHeight="1" x14ac:dyDescent="0.3">
      <c r="B1064" s="25"/>
      <c r="C1064" s="25"/>
      <c r="D1064" s="25"/>
      <c r="E1064" s="26" t="str">
        <f t="shared" si="144"/>
        <v/>
      </c>
      <c r="F1064" s="25"/>
      <c r="G1064" s="25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3" t="str">
        <f>IF($F1064="","",IF(OR($B1064="",$C1064="",$D1064=""),"⚠ Compléter Année/Niveau/Session",IF(AND($E1064&lt;&gt;"",COUNTIF(D_KEY_DOUBLON,$B1064&amp;"|"&amp;$D1064&amp;"|"&amp;$E1064)&gt;1),"⚠ Doublon",IF(AND($E1064&lt;&gt;"",COUNTIF(D_KEY_STATUT,$B1064&amp;"|"&amp;$E1064&amp;"|P")&gt;0,COUNTIF(D_KEY_STATUT,$B1064&amp;"|"&amp;$E1064&amp;"|A")&gt;0),"⚠ Statut incohérent",IF(AND($D1064="S1",$Y1064&lt;&gt;"Parti",COUNTIF(ANNEES_VERROU,$B1064)&gt;0,COUNTIF(D_KEY_NIVSES,$B1064&amp;"|"&amp;$C1064&amp;"|S2")&gt;0,COUNTIF(D_KEY_DOUBLON,$B1064&amp;"|S2|"&amp;$E1064)=0),"⚠ Départ non confirmé ?",IF(AND($C1064&lt;&gt;"",ISNUMBER($I1064),OR(VALUE(LEFT($B1064,4))-$I1064&lt;4+IFERROR(MATCH($C1064,LISTE_NIVEAUX,0),99),VALUE(LEFT($B1064,4))-$I1064&gt;6+IFERROR(MATCH($C1064,LISTE_NIVEAUX,0),99))),"⚠ Vérifier niveau",IF(AND(IFERROR(VLOOKUP($C1064,TABLE_CYCLE,2,0),3)=2,COUNT($O1064:$Q1064)&gt;0),"⚠ Tests cycle 3",IF(COUNT($J1064:$Q1064)&gt;=IF(IFERROR(VLOOKUP($C1064,TABLE_CYCLE,2,0),3)=2,5,8),"Complet","Incomplet"))))))))</f>
        <v/>
      </c>
      <c r="S1064" s="24"/>
      <c r="T1064" s="67" t="str">
        <f t="shared" si="145"/>
        <v/>
      </c>
      <c r="U1064" s="67" t="str">
        <f t="shared" si="146"/>
        <v/>
      </c>
      <c r="V1064" s="67" t="str">
        <f t="shared" si="147"/>
        <v/>
      </c>
      <c r="W1064" s="67" t="str">
        <f t="shared" si="148"/>
        <v/>
      </c>
      <c r="X1064" s="67" t="str">
        <f t="shared" si="149"/>
        <v/>
      </c>
      <c r="Y1064" s="24" t="str">
        <f t="shared" si="150"/>
        <v/>
      </c>
      <c r="Z1064">
        <f t="shared" si="151"/>
        <v>0</v>
      </c>
      <c r="AA1064">
        <f t="shared" si="152"/>
        <v>0</v>
      </c>
    </row>
    <row r="1065" spans="2:27" ht="15.75" customHeight="1" x14ac:dyDescent="0.3">
      <c r="B1065" s="21"/>
      <c r="C1065" s="21"/>
      <c r="D1065" s="21"/>
      <c r="E1065" s="22" t="str">
        <f t="shared" si="144"/>
        <v/>
      </c>
      <c r="F1065" s="21"/>
      <c r="G1065" s="21"/>
      <c r="H1065" s="21"/>
      <c r="I1065" s="21"/>
      <c r="J1065" s="21"/>
      <c r="K1065" s="21"/>
      <c r="L1065" s="21"/>
      <c r="M1065" s="21"/>
      <c r="N1065" s="21"/>
      <c r="O1065" s="21"/>
      <c r="P1065" s="21"/>
      <c r="Q1065" s="21"/>
      <c r="R1065" s="23" t="str">
        <f>IF($F1065="","",IF(OR($B1065="",$C1065="",$D1065=""),"⚠ Compléter Année/Niveau/Session",IF(AND($E1065&lt;&gt;"",COUNTIF(D_KEY_DOUBLON,$B1065&amp;"|"&amp;$D1065&amp;"|"&amp;$E1065)&gt;1),"⚠ Doublon",IF(AND($E1065&lt;&gt;"",COUNTIF(D_KEY_STATUT,$B1065&amp;"|"&amp;$E1065&amp;"|P")&gt;0,COUNTIF(D_KEY_STATUT,$B1065&amp;"|"&amp;$E1065&amp;"|A")&gt;0),"⚠ Statut incohérent",IF(AND($D1065="S1",$Y1065&lt;&gt;"Parti",COUNTIF(ANNEES_VERROU,$B1065)&gt;0,COUNTIF(D_KEY_NIVSES,$B1065&amp;"|"&amp;$C1065&amp;"|S2")&gt;0,COUNTIF(D_KEY_DOUBLON,$B1065&amp;"|S2|"&amp;$E1065)=0),"⚠ Départ non confirmé ?",IF(AND($C1065&lt;&gt;"",ISNUMBER($I1065),OR(VALUE(LEFT($B1065,4))-$I1065&lt;4+IFERROR(MATCH($C1065,LISTE_NIVEAUX,0),99),VALUE(LEFT($B1065,4))-$I1065&gt;6+IFERROR(MATCH($C1065,LISTE_NIVEAUX,0),99))),"⚠ Vérifier niveau",IF(AND(IFERROR(VLOOKUP($C1065,TABLE_CYCLE,2,0),3)=2,COUNT($O1065:$Q1065)&gt;0),"⚠ Tests cycle 3",IF(COUNT($J1065:$Q1065)&gt;=IF(IFERROR(VLOOKUP($C1065,TABLE_CYCLE,2,0),3)=2,5,8),"Complet","Incomplet"))))))))</f>
        <v/>
      </c>
      <c r="S1065" s="24"/>
      <c r="T1065" s="67" t="str">
        <f t="shared" si="145"/>
        <v/>
      </c>
      <c r="U1065" s="67" t="str">
        <f t="shared" si="146"/>
        <v/>
      </c>
      <c r="V1065" s="67" t="str">
        <f t="shared" si="147"/>
        <v/>
      </c>
      <c r="W1065" s="67" t="str">
        <f t="shared" si="148"/>
        <v/>
      </c>
      <c r="X1065" s="67" t="str">
        <f t="shared" si="149"/>
        <v/>
      </c>
      <c r="Y1065" s="24" t="str">
        <f t="shared" si="150"/>
        <v/>
      </c>
      <c r="Z1065">
        <f t="shared" si="151"/>
        <v>0</v>
      </c>
      <c r="AA1065">
        <f t="shared" si="152"/>
        <v>0</v>
      </c>
    </row>
    <row r="1066" spans="2:27" ht="15.75" customHeight="1" x14ac:dyDescent="0.3">
      <c r="B1066" s="25"/>
      <c r="C1066" s="25"/>
      <c r="D1066" s="25"/>
      <c r="E1066" s="26" t="str">
        <f t="shared" si="144"/>
        <v/>
      </c>
      <c r="F1066" s="25"/>
      <c r="G1066" s="25"/>
      <c r="H1066" s="25"/>
      <c r="I1066" s="25"/>
      <c r="J1066" s="25"/>
      <c r="K1066" s="25"/>
      <c r="L1066" s="25"/>
      <c r="M1066" s="25"/>
      <c r="N1066" s="25"/>
      <c r="O1066" s="25"/>
      <c r="P1066" s="25"/>
      <c r="Q1066" s="25"/>
      <c r="R1066" s="23" t="str">
        <f>IF($F1066="","",IF(OR($B1066="",$C1066="",$D1066=""),"⚠ Compléter Année/Niveau/Session",IF(AND($E1066&lt;&gt;"",COUNTIF(D_KEY_DOUBLON,$B1066&amp;"|"&amp;$D1066&amp;"|"&amp;$E1066)&gt;1),"⚠ Doublon",IF(AND($E1066&lt;&gt;"",COUNTIF(D_KEY_STATUT,$B1066&amp;"|"&amp;$E1066&amp;"|P")&gt;0,COUNTIF(D_KEY_STATUT,$B1066&amp;"|"&amp;$E1066&amp;"|A")&gt;0),"⚠ Statut incohérent",IF(AND($D1066="S1",$Y1066&lt;&gt;"Parti",COUNTIF(ANNEES_VERROU,$B1066)&gt;0,COUNTIF(D_KEY_NIVSES,$B1066&amp;"|"&amp;$C1066&amp;"|S2")&gt;0,COUNTIF(D_KEY_DOUBLON,$B1066&amp;"|S2|"&amp;$E1066)=0),"⚠ Départ non confirmé ?",IF(AND($C1066&lt;&gt;"",ISNUMBER($I1066),OR(VALUE(LEFT($B1066,4))-$I1066&lt;4+IFERROR(MATCH($C1066,LISTE_NIVEAUX,0),99),VALUE(LEFT($B1066,4))-$I1066&gt;6+IFERROR(MATCH($C1066,LISTE_NIVEAUX,0),99))),"⚠ Vérifier niveau",IF(AND(IFERROR(VLOOKUP($C1066,TABLE_CYCLE,2,0),3)=2,COUNT($O1066:$Q1066)&gt;0),"⚠ Tests cycle 3",IF(COUNT($J1066:$Q1066)&gt;=IF(IFERROR(VLOOKUP($C1066,TABLE_CYCLE,2,0),3)=2,5,8),"Complet","Incomplet"))))))))</f>
        <v/>
      </c>
      <c r="S1066" s="24"/>
      <c r="T1066" s="67" t="str">
        <f t="shared" si="145"/>
        <v/>
      </c>
      <c r="U1066" s="67" t="str">
        <f t="shared" si="146"/>
        <v/>
      </c>
      <c r="V1066" s="67" t="str">
        <f t="shared" si="147"/>
        <v/>
      </c>
      <c r="W1066" s="67" t="str">
        <f t="shared" si="148"/>
        <v/>
      </c>
      <c r="X1066" s="67" t="str">
        <f t="shared" si="149"/>
        <v/>
      </c>
      <c r="Y1066" s="24" t="str">
        <f t="shared" si="150"/>
        <v/>
      </c>
      <c r="Z1066">
        <f t="shared" si="151"/>
        <v>0</v>
      </c>
      <c r="AA1066">
        <f t="shared" si="152"/>
        <v>0</v>
      </c>
    </row>
    <row r="1067" spans="2:27" ht="15.75" customHeight="1" x14ac:dyDescent="0.3">
      <c r="B1067" s="21"/>
      <c r="C1067" s="21"/>
      <c r="D1067" s="21"/>
      <c r="E1067" s="22" t="str">
        <f t="shared" si="144"/>
        <v/>
      </c>
      <c r="F1067" s="21"/>
      <c r="G1067" s="21"/>
      <c r="H1067" s="21"/>
      <c r="I1067" s="21"/>
      <c r="J1067" s="21"/>
      <c r="K1067" s="21"/>
      <c r="L1067" s="21"/>
      <c r="M1067" s="21"/>
      <c r="N1067" s="21"/>
      <c r="O1067" s="21"/>
      <c r="P1067" s="21"/>
      <c r="Q1067" s="21"/>
      <c r="R1067" s="23" t="str">
        <f>IF($F1067="","",IF(OR($B1067="",$C1067="",$D1067=""),"⚠ Compléter Année/Niveau/Session",IF(AND($E1067&lt;&gt;"",COUNTIF(D_KEY_DOUBLON,$B1067&amp;"|"&amp;$D1067&amp;"|"&amp;$E1067)&gt;1),"⚠ Doublon",IF(AND($E1067&lt;&gt;"",COUNTIF(D_KEY_STATUT,$B1067&amp;"|"&amp;$E1067&amp;"|P")&gt;0,COUNTIF(D_KEY_STATUT,$B1067&amp;"|"&amp;$E1067&amp;"|A")&gt;0),"⚠ Statut incohérent",IF(AND($D1067="S1",$Y1067&lt;&gt;"Parti",COUNTIF(ANNEES_VERROU,$B1067)&gt;0,COUNTIF(D_KEY_NIVSES,$B1067&amp;"|"&amp;$C1067&amp;"|S2")&gt;0,COUNTIF(D_KEY_DOUBLON,$B1067&amp;"|S2|"&amp;$E1067)=0),"⚠ Départ non confirmé ?",IF(AND($C1067&lt;&gt;"",ISNUMBER($I1067),OR(VALUE(LEFT($B1067,4))-$I1067&lt;4+IFERROR(MATCH($C1067,LISTE_NIVEAUX,0),99),VALUE(LEFT($B1067,4))-$I1067&gt;6+IFERROR(MATCH($C1067,LISTE_NIVEAUX,0),99))),"⚠ Vérifier niveau",IF(AND(IFERROR(VLOOKUP($C1067,TABLE_CYCLE,2,0),3)=2,COUNT($O1067:$Q1067)&gt;0),"⚠ Tests cycle 3",IF(COUNT($J1067:$Q1067)&gt;=IF(IFERROR(VLOOKUP($C1067,TABLE_CYCLE,2,0),3)=2,5,8),"Complet","Incomplet"))))))))</f>
        <v/>
      </c>
      <c r="S1067" s="24"/>
      <c r="T1067" s="67" t="str">
        <f t="shared" si="145"/>
        <v/>
      </c>
      <c r="U1067" s="67" t="str">
        <f t="shared" si="146"/>
        <v/>
      </c>
      <c r="V1067" s="67" t="str">
        <f t="shared" si="147"/>
        <v/>
      </c>
      <c r="W1067" s="67" t="str">
        <f t="shared" si="148"/>
        <v/>
      </c>
      <c r="X1067" s="67" t="str">
        <f t="shared" si="149"/>
        <v/>
      </c>
      <c r="Y1067" s="24" t="str">
        <f t="shared" si="150"/>
        <v/>
      </c>
      <c r="Z1067">
        <f t="shared" si="151"/>
        <v>0</v>
      </c>
      <c r="AA1067">
        <f t="shared" si="152"/>
        <v>0</v>
      </c>
    </row>
    <row r="1068" spans="2:27" ht="15.75" customHeight="1" x14ac:dyDescent="0.3">
      <c r="B1068" s="25"/>
      <c r="C1068" s="25"/>
      <c r="D1068" s="25"/>
      <c r="E1068" s="26" t="str">
        <f t="shared" si="144"/>
        <v/>
      </c>
      <c r="F1068" s="25"/>
      <c r="G1068" s="25"/>
      <c r="H1068" s="25"/>
      <c r="I1068" s="25"/>
      <c r="J1068" s="25"/>
      <c r="K1068" s="25"/>
      <c r="L1068" s="25"/>
      <c r="M1068" s="25"/>
      <c r="N1068" s="25"/>
      <c r="O1068" s="25"/>
      <c r="P1068" s="25"/>
      <c r="Q1068" s="25"/>
      <c r="R1068" s="23" t="str">
        <f>IF($F1068="","",IF(OR($B1068="",$C1068="",$D1068=""),"⚠ Compléter Année/Niveau/Session",IF(AND($E1068&lt;&gt;"",COUNTIF(D_KEY_DOUBLON,$B1068&amp;"|"&amp;$D1068&amp;"|"&amp;$E1068)&gt;1),"⚠ Doublon",IF(AND($E1068&lt;&gt;"",COUNTIF(D_KEY_STATUT,$B1068&amp;"|"&amp;$E1068&amp;"|P")&gt;0,COUNTIF(D_KEY_STATUT,$B1068&amp;"|"&amp;$E1068&amp;"|A")&gt;0),"⚠ Statut incohérent",IF(AND($D1068="S1",$Y1068&lt;&gt;"Parti",COUNTIF(ANNEES_VERROU,$B1068)&gt;0,COUNTIF(D_KEY_NIVSES,$B1068&amp;"|"&amp;$C1068&amp;"|S2")&gt;0,COUNTIF(D_KEY_DOUBLON,$B1068&amp;"|S2|"&amp;$E1068)=0),"⚠ Départ non confirmé ?",IF(AND($C1068&lt;&gt;"",ISNUMBER($I1068),OR(VALUE(LEFT($B1068,4))-$I1068&lt;4+IFERROR(MATCH($C1068,LISTE_NIVEAUX,0),99),VALUE(LEFT($B1068,4))-$I1068&gt;6+IFERROR(MATCH($C1068,LISTE_NIVEAUX,0),99))),"⚠ Vérifier niveau",IF(AND(IFERROR(VLOOKUP($C1068,TABLE_CYCLE,2,0),3)=2,COUNT($O1068:$Q1068)&gt;0),"⚠ Tests cycle 3",IF(COUNT($J1068:$Q1068)&gt;=IF(IFERROR(VLOOKUP($C1068,TABLE_CYCLE,2,0),3)=2,5,8),"Complet","Incomplet"))))))))</f>
        <v/>
      </c>
      <c r="S1068" s="24"/>
      <c r="T1068" s="67" t="str">
        <f t="shared" si="145"/>
        <v/>
      </c>
      <c r="U1068" s="67" t="str">
        <f t="shared" si="146"/>
        <v/>
      </c>
      <c r="V1068" s="67" t="str">
        <f t="shared" si="147"/>
        <v/>
      </c>
      <c r="W1068" s="67" t="str">
        <f t="shared" si="148"/>
        <v/>
      </c>
      <c r="X1068" s="67" t="str">
        <f t="shared" si="149"/>
        <v/>
      </c>
      <c r="Y1068" s="24" t="str">
        <f t="shared" si="150"/>
        <v/>
      </c>
      <c r="Z1068">
        <f t="shared" si="151"/>
        <v>0</v>
      </c>
      <c r="AA1068">
        <f t="shared" si="152"/>
        <v>0</v>
      </c>
    </row>
    <row r="1069" spans="2:27" ht="15.75" customHeight="1" x14ac:dyDescent="0.3">
      <c r="B1069" s="21"/>
      <c r="C1069" s="21"/>
      <c r="D1069" s="21"/>
      <c r="E1069" s="22" t="str">
        <f t="shared" si="144"/>
        <v/>
      </c>
      <c r="F1069" s="21"/>
      <c r="G1069" s="21"/>
      <c r="H1069" s="21"/>
      <c r="I1069" s="21"/>
      <c r="J1069" s="21"/>
      <c r="K1069" s="21"/>
      <c r="L1069" s="21"/>
      <c r="M1069" s="21"/>
      <c r="N1069" s="21"/>
      <c r="O1069" s="21"/>
      <c r="P1069" s="21"/>
      <c r="Q1069" s="21"/>
      <c r="R1069" s="23" t="str">
        <f>IF($F1069="","",IF(OR($B1069="",$C1069="",$D1069=""),"⚠ Compléter Année/Niveau/Session",IF(AND($E1069&lt;&gt;"",COUNTIF(D_KEY_DOUBLON,$B1069&amp;"|"&amp;$D1069&amp;"|"&amp;$E1069)&gt;1),"⚠ Doublon",IF(AND($E1069&lt;&gt;"",COUNTIF(D_KEY_STATUT,$B1069&amp;"|"&amp;$E1069&amp;"|P")&gt;0,COUNTIF(D_KEY_STATUT,$B1069&amp;"|"&amp;$E1069&amp;"|A")&gt;0),"⚠ Statut incohérent",IF(AND($D1069="S1",$Y1069&lt;&gt;"Parti",COUNTIF(ANNEES_VERROU,$B1069)&gt;0,COUNTIF(D_KEY_NIVSES,$B1069&amp;"|"&amp;$C1069&amp;"|S2")&gt;0,COUNTIF(D_KEY_DOUBLON,$B1069&amp;"|S2|"&amp;$E1069)=0),"⚠ Départ non confirmé ?",IF(AND($C1069&lt;&gt;"",ISNUMBER($I1069),OR(VALUE(LEFT($B1069,4))-$I1069&lt;4+IFERROR(MATCH($C1069,LISTE_NIVEAUX,0),99),VALUE(LEFT($B1069,4))-$I1069&gt;6+IFERROR(MATCH($C1069,LISTE_NIVEAUX,0),99))),"⚠ Vérifier niveau",IF(AND(IFERROR(VLOOKUP($C1069,TABLE_CYCLE,2,0),3)=2,COUNT($O1069:$Q1069)&gt;0),"⚠ Tests cycle 3",IF(COUNT($J1069:$Q1069)&gt;=IF(IFERROR(VLOOKUP($C1069,TABLE_CYCLE,2,0),3)=2,5,8),"Complet","Incomplet"))))))))</f>
        <v/>
      </c>
      <c r="S1069" s="24"/>
      <c r="T1069" s="67" t="str">
        <f t="shared" si="145"/>
        <v/>
      </c>
      <c r="U1069" s="67" t="str">
        <f t="shared" si="146"/>
        <v/>
      </c>
      <c r="V1069" s="67" t="str">
        <f t="shared" si="147"/>
        <v/>
      </c>
      <c r="W1069" s="67" t="str">
        <f t="shared" si="148"/>
        <v/>
      </c>
      <c r="X1069" s="67" t="str">
        <f t="shared" si="149"/>
        <v/>
      </c>
      <c r="Y1069" s="24" t="str">
        <f t="shared" si="150"/>
        <v/>
      </c>
      <c r="Z1069">
        <f t="shared" si="151"/>
        <v>0</v>
      </c>
      <c r="AA1069">
        <f t="shared" si="152"/>
        <v>0</v>
      </c>
    </row>
    <row r="1070" spans="2:27" ht="15.75" customHeight="1" x14ac:dyDescent="0.3">
      <c r="B1070" s="25"/>
      <c r="C1070" s="25"/>
      <c r="D1070" s="25"/>
      <c r="E1070" s="26" t="str">
        <f t="shared" si="144"/>
        <v/>
      </c>
      <c r="F1070" s="25"/>
      <c r="G1070" s="25"/>
      <c r="H1070" s="25"/>
      <c r="I1070" s="25"/>
      <c r="J1070" s="25"/>
      <c r="K1070" s="25"/>
      <c r="L1070" s="25"/>
      <c r="M1070" s="25"/>
      <c r="N1070" s="25"/>
      <c r="O1070" s="25"/>
      <c r="P1070" s="25"/>
      <c r="Q1070" s="25"/>
      <c r="R1070" s="23" t="str">
        <f>IF($F1070="","",IF(OR($B1070="",$C1070="",$D1070=""),"⚠ Compléter Année/Niveau/Session",IF(AND($E1070&lt;&gt;"",COUNTIF(D_KEY_DOUBLON,$B1070&amp;"|"&amp;$D1070&amp;"|"&amp;$E1070)&gt;1),"⚠ Doublon",IF(AND($E1070&lt;&gt;"",COUNTIF(D_KEY_STATUT,$B1070&amp;"|"&amp;$E1070&amp;"|P")&gt;0,COUNTIF(D_KEY_STATUT,$B1070&amp;"|"&amp;$E1070&amp;"|A")&gt;0),"⚠ Statut incohérent",IF(AND($D1070="S1",$Y1070&lt;&gt;"Parti",COUNTIF(ANNEES_VERROU,$B1070)&gt;0,COUNTIF(D_KEY_NIVSES,$B1070&amp;"|"&amp;$C1070&amp;"|S2")&gt;0,COUNTIF(D_KEY_DOUBLON,$B1070&amp;"|S2|"&amp;$E1070)=0),"⚠ Départ non confirmé ?",IF(AND($C1070&lt;&gt;"",ISNUMBER($I1070),OR(VALUE(LEFT($B1070,4))-$I1070&lt;4+IFERROR(MATCH($C1070,LISTE_NIVEAUX,0),99),VALUE(LEFT($B1070,4))-$I1070&gt;6+IFERROR(MATCH($C1070,LISTE_NIVEAUX,0),99))),"⚠ Vérifier niveau",IF(AND(IFERROR(VLOOKUP($C1070,TABLE_CYCLE,2,0),3)=2,COUNT($O1070:$Q1070)&gt;0),"⚠ Tests cycle 3",IF(COUNT($J1070:$Q1070)&gt;=IF(IFERROR(VLOOKUP($C1070,TABLE_CYCLE,2,0),3)=2,5,8),"Complet","Incomplet"))))))))</f>
        <v/>
      </c>
      <c r="S1070" s="24"/>
      <c r="T1070" s="67" t="str">
        <f t="shared" si="145"/>
        <v/>
      </c>
      <c r="U1070" s="67" t="str">
        <f t="shared" si="146"/>
        <v/>
      </c>
      <c r="V1070" s="67" t="str">
        <f t="shared" si="147"/>
        <v/>
      </c>
      <c r="W1070" s="67" t="str">
        <f t="shared" si="148"/>
        <v/>
      </c>
      <c r="X1070" s="67" t="str">
        <f t="shared" si="149"/>
        <v/>
      </c>
      <c r="Y1070" s="24" t="str">
        <f t="shared" si="150"/>
        <v/>
      </c>
      <c r="Z1070">
        <f t="shared" si="151"/>
        <v>0</v>
      </c>
      <c r="AA1070">
        <f t="shared" si="152"/>
        <v>0</v>
      </c>
    </row>
    <row r="1071" spans="2:27" ht="15.75" customHeight="1" x14ac:dyDescent="0.3">
      <c r="B1071" s="21"/>
      <c r="C1071" s="21"/>
      <c r="D1071" s="21"/>
      <c r="E1071" s="22" t="str">
        <f t="shared" si="144"/>
        <v/>
      </c>
      <c r="F1071" s="21"/>
      <c r="G1071" s="21"/>
      <c r="H1071" s="21"/>
      <c r="I1071" s="21"/>
      <c r="J1071" s="21"/>
      <c r="K1071" s="21"/>
      <c r="L1071" s="21"/>
      <c r="M1071" s="21"/>
      <c r="N1071" s="21"/>
      <c r="O1071" s="21"/>
      <c r="P1071" s="21"/>
      <c r="Q1071" s="21"/>
      <c r="R1071" s="23" t="str">
        <f>IF($F1071="","",IF(OR($B1071="",$C1071="",$D1071=""),"⚠ Compléter Année/Niveau/Session",IF(AND($E1071&lt;&gt;"",COUNTIF(D_KEY_DOUBLON,$B1071&amp;"|"&amp;$D1071&amp;"|"&amp;$E1071)&gt;1),"⚠ Doublon",IF(AND($E1071&lt;&gt;"",COUNTIF(D_KEY_STATUT,$B1071&amp;"|"&amp;$E1071&amp;"|P")&gt;0,COUNTIF(D_KEY_STATUT,$B1071&amp;"|"&amp;$E1071&amp;"|A")&gt;0),"⚠ Statut incohérent",IF(AND($D1071="S1",$Y1071&lt;&gt;"Parti",COUNTIF(ANNEES_VERROU,$B1071)&gt;0,COUNTIF(D_KEY_NIVSES,$B1071&amp;"|"&amp;$C1071&amp;"|S2")&gt;0,COUNTIF(D_KEY_DOUBLON,$B1071&amp;"|S2|"&amp;$E1071)=0),"⚠ Départ non confirmé ?",IF(AND($C1071&lt;&gt;"",ISNUMBER($I1071),OR(VALUE(LEFT($B1071,4))-$I1071&lt;4+IFERROR(MATCH($C1071,LISTE_NIVEAUX,0),99),VALUE(LEFT($B1071,4))-$I1071&gt;6+IFERROR(MATCH($C1071,LISTE_NIVEAUX,0),99))),"⚠ Vérifier niveau",IF(AND(IFERROR(VLOOKUP($C1071,TABLE_CYCLE,2,0),3)=2,COUNT($O1071:$Q1071)&gt;0),"⚠ Tests cycle 3",IF(COUNT($J1071:$Q1071)&gt;=IF(IFERROR(VLOOKUP($C1071,TABLE_CYCLE,2,0),3)=2,5,8),"Complet","Incomplet"))))))))</f>
        <v/>
      </c>
      <c r="S1071" s="24"/>
      <c r="T1071" s="67" t="str">
        <f t="shared" si="145"/>
        <v/>
      </c>
      <c r="U1071" s="67" t="str">
        <f t="shared" si="146"/>
        <v/>
      </c>
      <c r="V1071" s="67" t="str">
        <f t="shared" si="147"/>
        <v/>
      </c>
      <c r="W1071" s="67" t="str">
        <f t="shared" si="148"/>
        <v/>
      </c>
      <c r="X1071" s="67" t="str">
        <f t="shared" si="149"/>
        <v/>
      </c>
      <c r="Y1071" s="24" t="str">
        <f t="shared" si="150"/>
        <v/>
      </c>
      <c r="Z1071">
        <f t="shared" si="151"/>
        <v>0</v>
      </c>
      <c r="AA1071">
        <f t="shared" si="152"/>
        <v>0</v>
      </c>
    </row>
    <row r="1072" spans="2:27" ht="15.75" customHeight="1" x14ac:dyDescent="0.3">
      <c r="B1072" s="25"/>
      <c r="C1072" s="25"/>
      <c r="D1072" s="25"/>
      <c r="E1072" s="26" t="str">
        <f t="shared" si="144"/>
        <v/>
      </c>
      <c r="F1072" s="25"/>
      <c r="G1072" s="25"/>
      <c r="H1072" s="25"/>
      <c r="I1072" s="25"/>
      <c r="J1072" s="25"/>
      <c r="K1072" s="25"/>
      <c r="L1072" s="25"/>
      <c r="M1072" s="25"/>
      <c r="N1072" s="25"/>
      <c r="O1072" s="25"/>
      <c r="P1072" s="25"/>
      <c r="Q1072" s="25"/>
      <c r="R1072" s="23" t="str">
        <f>IF($F1072="","",IF(OR($B1072="",$C1072="",$D1072=""),"⚠ Compléter Année/Niveau/Session",IF(AND($E1072&lt;&gt;"",COUNTIF(D_KEY_DOUBLON,$B1072&amp;"|"&amp;$D1072&amp;"|"&amp;$E1072)&gt;1),"⚠ Doublon",IF(AND($E1072&lt;&gt;"",COUNTIF(D_KEY_STATUT,$B1072&amp;"|"&amp;$E1072&amp;"|P")&gt;0,COUNTIF(D_KEY_STATUT,$B1072&amp;"|"&amp;$E1072&amp;"|A")&gt;0),"⚠ Statut incohérent",IF(AND($D1072="S1",$Y1072&lt;&gt;"Parti",COUNTIF(ANNEES_VERROU,$B1072)&gt;0,COUNTIF(D_KEY_NIVSES,$B1072&amp;"|"&amp;$C1072&amp;"|S2")&gt;0,COUNTIF(D_KEY_DOUBLON,$B1072&amp;"|S2|"&amp;$E1072)=0),"⚠ Départ non confirmé ?",IF(AND($C1072&lt;&gt;"",ISNUMBER($I1072),OR(VALUE(LEFT($B1072,4))-$I1072&lt;4+IFERROR(MATCH($C1072,LISTE_NIVEAUX,0),99),VALUE(LEFT($B1072,4))-$I1072&gt;6+IFERROR(MATCH($C1072,LISTE_NIVEAUX,0),99))),"⚠ Vérifier niveau",IF(AND(IFERROR(VLOOKUP($C1072,TABLE_CYCLE,2,0),3)=2,COUNT($O1072:$Q1072)&gt;0),"⚠ Tests cycle 3",IF(COUNT($J1072:$Q1072)&gt;=IF(IFERROR(VLOOKUP($C1072,TABLE_CYCLE,2,0),3)=2,5,8),"Complet","Incomplet"))))))))</f>
        <v/>
      </c>
      <c r="S1072" s="24"/>
      <c r="T1072" s="67" t="str">
        <f t="shared" si="145"/>
        <v/>
      </c>
      <c r="U1072" s="67" t="str">
        <f t="shared" si="146"/>
        <v/>
      </c>
      <c r="V1072" s="67" t="str">
        <f t="shared" si="147"/>
        <v/>
      </c>
      <c r="W1072" s="67" t="str">
        <f t="shared" si="148"/>
        <v/>
      </c>
      <c r="X1072" s="67" t="str">
        <f t="shared" si="149"/>
        <v/>
      </c>
      <c r="Y1072" s="24" t="str">
        <f t="shared" si="150"/>
        <v/>
      </c>
      <c r="Z1072">
        <f t="shared" si="151"/>
        <v>0</v>
      </c>
      <c r="AA1072">
        <f t="shared" si="152"/>
        <v>0</v>
      </c>
    </row>
    <row r="1073" spans="2:27" ht="15.75" customHeight="1" x14ac:dyDescent="0.3">
      <c r="B1073" s="21"/>
      <c r="C1073" s="21"/>
      <c r="D1073" s="21"/>
      <c r="E1073" s="22" t="str">
        <f t="shared" si="144"/>
        <v/>
      </c>
      <c r="F1073" s="21"/>
      <c r="G1073" s="21"/>
      <c r="H1073" s="21"/>
      <c r="I1073" s="21"/>
      <c r="J1073" s="21"/>
      <c r="K1073" s="21"/>
      <c r="L1073" s="21"/>
      <c r="M1073" s="21"/>
      <c r="N1073" s="21"/>
      <c r="O1073" s="21"/>
      <c r="P1073" s="21"/>
      <c r="Q1073" s="21"/>
      <c r="R1073" s="23" t="str">
        <f>IF($F1073="","",IF(OR($B1073="",$C1073="",$D1073=""),"⚠ Compléter Année/Niveau/Session",IF(AND($E1073&lt;&gt;"",COUNTIF(D_KEY_DOUBLON,$B1073&amp;"|"&amp;$D1073&amp;"|"&amp;$E1073)&gt;1),"⚠ Doublon",IF(AND($E1073&lt;&gt;"",COUNTIF(D_KEY_STATUT,$B1073&amp;"|"&amp;$E1073&amp;"|P")&gt;0,COUNTIF(D_KEY_STATUT,$B1073&amp;"|"&amp;$E1073&amp;"|A")&gt;0),"⚠ Statut incohérent",IF(AND($D1073="S1",$Y1073&lt;&gt;"Parti",COUNTIF(ANNEES_VERROU,$B1073)&gt;0,COUNTIF(D_KEY_NIVSES,$B1073&amp;"|"&amp;$C1073&amp;"|S2")&gt;0,COUNTIF(D_KEY_DOUBLON,$B1073&amp;"|S2|"&amp;$E1073)=0),"⚠ Départ non confirmé ?",IF(AND($C1073&lt;&gt;"",ISNUMBER($I1073),OR(VALUE(LEFT($B1073,4))-$I1073&lt;4+IFERROR(MATCH($C1073,LISTE_NIVEAUX,0),99),VALUE(LEFT($B1073,4))-$I1073&gt;6+IFERROR(MATCH($C1073,LISTE_NIVEAUX,0),99))),"⚠ Vérifier niveau",IF(AND(IFERROR(VLOOKUP($C1073,TABLE_CYCLE,2,0),3)=2,COUNT($O1073:$Q1073)&gt;0),"⚠ Tests cycle 3",IF(COUNT($J1073:$Q1073)&gt;=IF(IFERROR(VLOOKUP($C1073,TABLE_CYCLE,2,0),3)=2,5,8),"Complet","Incomplet"))))))))</f>
        <v/>
      </c>
      <c r="S1073" s="24"/>
      <c r="T1073" s="67" t="str">
        <f t="shared" si="145"/>
        <v/>
      </c>
      <c r="U1073" s="67" t="str">
        <f t="shared" si="146"/>
        <v/>
      </c>
      <c r="V1073" s="67" t="str">
        <f t="shared" si="147"/>
        <v/>
      </c>
      <c r="W1073" s="67" t="str">
        <f t="shared" si="148"/>
        <v/>
      </c>
      <c r="X1073" s="67" t="str">
        <f t="shared" si="149"/>
        <v/>
      </c>
      <c r="Y1073" s="24" t="str">
        <f t="shared" si="150"/>
        <v/>
      </c>
      <c r="Z1073">
        <f t="shared" si="151"/>
        <v>0</v>
      </c>
      <c r="AA1073">
        <f t="shared" si="152"/>
        <v>0</v>
      </c>
    </row>
    <row r="1074" spans="2:27" ht="15.75" customHeight="1" x14ac:dyDescent="0.3">
      <c r="B1074" s="25"/>
      <c r="C1074" s="25"/>
      <c r="D1074" s="25"/>
      <c r="E1074" s="26" t="str">
        <f t="shared" si="144"/>
        <v/>
      </c>
      <c r="F1074" s="25"/>
      <c r="G1074" s="25"/>
      <c r="H1074" s="25"/>
      <c r="I1074" s="25"/>
      <c r="J1074" s="25"/>
      <c r="K1074" s="25"/>
      <c r="L1074" s="25"/>
      <c r="M1074" s="25"/>
      <c r="N1074" s="25"/>
      <c r="O1074" s="25"/>
      <c r="P1074" s="25"/>
      <c r="Q1074" s="25"/>
      <c r="R1074" s="23" t="str">
        <f>IF($F1074="","",IF(OR($B1074="",$C1074="",$D1074=""),"⚠ Compléter Année/Niveau/Session",IF(AND($E1074&lt;&gt;"",COUNTIF(D_KEY_DOUBLON,$B1074&amp;"|"&amp;$D1074&amp;"|"&amp;$E1074)&gt;1),"⚠ Doublon",IF(AND($E1074&lt;&gt;"",COUNTIF(D_KEY_STATUT,$B1074&amp;"|"&amp;$E1074&amp;"|P")&gt;0,COUNTIF(D_KEY_STATUT,$B1074&amp;"|"&amp;$E1074&amp;"|A")&gt;0),"⚠ Statut incohérent",IF(AND($D1074="S1",$Y1074&lt;&gt;"Parti",COUNTIF(ANNEES_VERROU,$B1074)&gt;0,COUNTIF(D_KEY_NIVSES,$B1074&amp;"|"&amp;$C1074&amp;"|S2")&gt;0,COUNTIF(D_KEY_DOUBLON,$B1074&amp;"|S2|"&amp;$E1074)=0),"⚠ Départ non confirmé ?",IF(AND($C1074&lt;&gt;"",ISNUMBER($I1074),OR(VALUE(LEFT($B1074,4))-$I1074&lt;4+IFERROR(MATCH($C1074,LISTE_NIVEAUX,0),99),VALUE(LEFT($B1074,4))-$I1074&gt;6+IFERROR(MATCH($C1074,LISTE_NIVEAUX,0),99))),"⚠ Vérifier niveau",IF(AND(IFERROR(VLOOKUP($C1074,TABLE_CYCLE,2,0),3)=2,COUNT($O1074:$Q1074)&gt;0),"⚠ Tests cycle 3",IF(COUNT($J1074:$Q1074)&gt;=IF(IFERROR(VLOOKUP($C1074,TABLE_CYCLE,2,0),3)=2,5,8),"Complet","Incomplet"))))))))</f>
        <v/>
      </c>
      <c r="S1074" s="24"/>
      <c r="T1074" s="67" t="str">
        <f t="shared" si="145"/>
        <v/>
      </c>
      <c r="U1074" s="67" t="str">
        <f t="shared" si="146"/>
        <v/>
      </c>
      <c r="V1074" s="67" t="str">
        <f t="shared" si="147"/>
        <v/>
      </c>
      <c r="W1074" s="67" t="str">
        <f t="shared" si="148"/>
        <v/>
      </c>
      <c r="X1074" s="67" t="str">
        <f t="shared" si="149"/>
        <v/>
      </c>
      <c r="Y1074" s="24" t="str">
        <f t="shared" si="150"/>
        <v/>
      </c>
      <c r="Z1074">
        <f t="shared" si="151"/>
        <v>0</v>
      </c>
      <c r="AA1074">
        <f t="shared" si="152"/>
        <v>0</v>
      </c>
    </row>
    <row r="1075" spans="2:27" ht="15.75" customHeight="1" x14ac:dyDescent="0.3">
      <c r="B1075" s="21"/>
      <c r="C1075" s="21"/>
      <c r="D1075" s="21"/>
      <c r="E1075" s="22" t="str">
        <f t="shared" si="144"/>
        <v/>
      </c>
      <c r="F1075" s="21"/>
      <c r="G1075" s="21"/>
      <c r="H1075" s="21"/>
      <c r="I1075" s="21"/>
      <c r="J1075" s="21"/>
      <c r="K1075" s="21"/>
      <c r="L1075" s="21"/>
      <c r="M1075" s="21"/>
      <c r="N1075" s="21"/>
      <c r="O1075" s="21"/>
      <c r="P1075" s="21"/>
      <c r="Q1075" s="21"/>
      <c r="R1075" s="23" t="str">
        <f>IF($F1075="","",IF(OR($B1075="",$C1075="",$D1075=""),"⚠ Compléter Année/Niveau/Session",IF(AND($E1075&lt;&gt;"",COUNTIF(D_KEY_DOUBLON,$B1075&amp;"|"&amp;$D1075&amp;"|"&amp;$E1075)&gt;1),"⚠ Doublon",IF(AND($E1075&lt;&gt;"",COUNTIF(D_KEY_STATUT,$B1075&amp;"|"&amp;$E1075&amp;"|P")&gt;0,COUNTIF(D_KEY_STATUT,$B1075&amp;"|"&amp;$E1075&amp;"|A")&gt;0),"⚠ Statut incohérent",IF(AND($D1075="S1",$Y1075&lt;&gt;"Parti",COUNTIF(ANNEES_VERROU,$B1075)&gt;0,COUNTIF(D_KEY_NIVSES,$B1075&amp;"|"&amp;$C1075&amp;"|S2")&gt;0,COUNTIF(D_KEY_DOUBLON,$B1075&amp;"|S2|"&amp;$E1075)=0),"⚠ Départ non confirmé ?",IF(AND($C1075&lt;&gt;"",ISNUMBER($I1075),OR(VALUE(LEFT($B1075,4))-$I1075&lt;4+IFERROR(MATCH($C1075,LISTE_NIVEAUX,0),99),VALUE(LEFT($B1075,4))-$I1075&gt;6+IFERROR(MATCH($C1075,LISTE_NIVEAUX,0),99))),"⚠ Vérifier niveau",IF(AND(IFERROR(VLOOKUP($C1075,TABLE_CYCLE,2,0),3)=2,COUNT($O1075:$Q1075)&gt;0),"⚠ Tests cycle 3",IF(COUNT($J1075:$Q1075)&gt;=IF(IFERROR(VLOOKUP($C1075,TABLE_CYCLE,2,0),3)=2,5,8),"Complet","Incomplet"))))))))</f>
        <v/>
      </c>
      <c r="S1075" s="24"/>
      <c r="T1075" s="67" t="str">
        <f t="shared" si="145"/>
        <v/>
      </c>
      <c r="U1075" s="67" t="str">
        <f t="shared" si="146"/>
        <v/>
      </c>
      <c r="V1075" s="67" t="str">
        <f t="shared" si="147"/>
        <v/>
      </c>
      <c r="W1075" s="67" t="str">
        <f t="shared" si="148"/>
        <v/>
      </c>
      <c r="X1075" s="67" t="str">
        <f t="shared" si="149"/>
        <v/>
      </c>
      <c r="Y1075" s="24" t="str">
        <f t="shared" si="150"/>
        <v/>
      </c>
      <c r="Z1075">
        <f t="shared" si="151"/>
        <v>0</v>
      </c>
      <c r="AA1075">
        <f t="shared" si="152"/>
        <v>0</v>
      </c>
    </row>
    <row r="1076" spans="2:27" ht="15.75" customHeight="1" x14ac:dyDescent="0.3">
      <c r="B1076" s="25"/>
      <c r="C1076" s="25"/>
      <c r="D1076" s="25"/>
      <c r="E1076" s="26" t="str">
        <f t="shared" si="144"/>
        <v/>
      </c>
      <c r="F1076" s="25"/>
      <c r="G1076" s="25"/>
      <c r="H1076" s="25"/>
      <c r="I1076" s="25"/>
      <c r="J1076" s="25"/>
      <c r="K1076" s="25"/>
      <c r="L1076" s="25"/>
      <c r="M1076" s="25"/>
      <c r="N1076" s="25"/>
      <c r="O1076" s="25"/>
      <c r="P1076" s="25"/>
      <c r="Q1076" s="25"/>
      <c r="R1076" s="23" t="str">
        <f>IF($F1076="","",IF(OR($B1076="",$C1076="",$D1076=""),"⚠ Compléter Année/Niveau/Session",IF(AND($E1076&lt;&gt;"",COUNTIF(D_KEY_DOUBLON,$B1076&amp;"|"&amp;$D1076&amp;"|"&amp;$E1076)&gt;1),"⚠ Doublon",IF(AND($E1076&lt;&gt;"",COUNTIF(D_KEY_STATUT,$B1076&amp;"|"&amp;$E1076&amp;"|P")&gt;0,COUNTIF(D_KEY_STATUT,$B1076&amp;"|"&amp;$E1076&amp;"|A")&gt;0),"⚠ Statut incohérent",IF(AND($D1076="S1",$Y1076&lt;&gt;"Parti",COUNTIF(ANNEES_VERROU,$B1076)&gt;0,COUNTIF(D_KEY_NIVSES,$B1076&amp;"|"&amp;$C1076&amp;"|S2")&gt;0,COUNTIF(D_KEY_DOUBLON,$B1076&amp;"|S2|"&amp;$E1076)=0),"⚠ Départ non confirmé ?",IF(AND($C1076&lt;&gt;"",ISNUMBER($I1076),OR(VALUE(LEFT($B1076,4))-$I1076&lt;4+IFERROR(MATCH($C1076,LISTE_NIVEAUX,0),99),VALUE(LEFT($B1076,4))-$I1076&gt;6+IFERROR(MATCH($C1076,LISTE_NIVEAUX,0),99))),"⚠ Vérifier niveau",IF(AND(IFERROR(VLOOKUP($C1076,TABLE_CYCLE,2,0),3)=2,COUNT($O1076:$Q1076)&gt;0),"⚠ Tests cycle 3",IF(COUNT($J1076:$Q1076)&gt;=IF(IFERROR(VLOOKUP($C1076,TABLE_CYCLE,2,0),3)=2,5,8),"Complet","Incomplet"))))))))</f>
        <v/>
      </c>
      <c r="S1076" s="24"/>
      <c r="T1076" s="67" t="str">
        <f t="shared" si="145"/>
        <v/>
      </c>
      <c r="U1076" s="67" t="str">
        <f t="shared" si="146"/>
        <v/>
      </c>
      <c r="V1076" s="67" t="str">
        <f t="shared" si="147"/>
        <v/>
      </c>
      <c r="W1076" s="67" t="str">
        <f t="shared" si="148"/>
        <v/>
      </c>
      <c r="X1076" s="67" t="str">
        <f t="shared" si="149"/>
        <v/>
      </c>
      <c r="Y1076" s="24" t="str">
        <f t="shared" si="150"/>
        <v/>
      </c>
      <c r="Z1076">
        <f t="shared" si="151"/>
        <v>0</v>
      </c>
      <c r="AA1076">
        <f t="shared" si="152"/>
        <v>0</v>
      </c>
    </row>
    <row r="1077" spans="2:27" ht="15.75" customHeight="1" x14ac:dyDescent="0.3">
      <c r="B1077" s="21"/>
      <c r="C1077" s="21"/>
      <c r="D1077" s="21"/>
      <c r="E1077" s="22" t="str">
        <f t="shared" si="144"/>
        <v/>
      </c>
      <c r="F1077" s="21"/>
      <c r="G1077" s="21"/>
      <c r="H1077" s="21"/>
      <c r="I1077" s="21"/>
      <c r="J1077" s="21"/>
      <c r="K1077" s="21"/>
      <c r="L1077" s="21"/>
      <c r="M1077" s="21"/>
      <c r="N1077" s="21"/>
      <c r="O1077" s="21"/>
      <c r="P1077" s="21"/>
      <c r="Q1077" s="21"/>
      <c r="R1077" s="23" t="str">
        <f>IF($F1077="","",IF(OR($B1077="",$C1077="",$D1077=""),"⚠ Compléter Année/Niveau/Session",IF(AND($E1077&lt;&gt;"",COUNTIF(D_KEY_DOUBLON,$B1077&amp;"|"&amp;$D1077&amp;"|"&amp;$E1077)&gt;1),"⚠ Doublon",IF(AND($E1077&lt;&gt;"",COUNTIF(D_KEY_STATUT,$B1077&amp;"|"&amp;$E1077&amp;"|P")&gt;0,COUNTIF(D_KEY_STATUT,$B1077&amp;"|"&amp;$E1077&amp;"|A")&gt;0),"⚠ Statut incohérent",IF(AND($D1077="S1",$Y1077&lt;&gt;"Parti",COUNTIF(ANNEES_VERROU,$B1077)&gt;0,COUNTIF(D_KEY_NIVSES,$B1077&amp;"|"&amp;$C1077&amp;"|S2")&gt;0,COUNTIF(D_KEY_DOUBLON,$B1077&amp;"|S2|"&amp;$E1077)=0),"⚠ Départ non confirmé ?",IF(AND($C1077&lt;&gt;"",ISNUMBER($I1077),OR(VALUE(LEFT($B1077,4))-$I1077&lt;4+IFERROR(MATCH($C1077,LISTE_NIVEAUX,0),99),VALUE(LEFT($B1077,4))-$I1077&gt;6+IFERROR(MATCH($C1077,LISTE_NIVEAUX,0),99))),"⚠ Vérifier niveau",IF(AND(IFERROR(VLOOKUP($C1077,TABLE_CYCLE,2,0),3)=2,COUNT($O1077:$Q1077)&gt;0),"⚠ Tests cycle 3",IF(COUNT($J1077:$Q1077)&gt;=IF(IFERROR(VLOOKUP($C1077,TABLE_CYCLE,2,0),3)=2,5,8),"Complet","Incomplet"))))))))</f>
        <v/>
      </c>
      <c r="S1077" s="24"/>
      <c r="T1077" s="67" t="str">
        <f t="shared" si="145"/>
        <v/>
      </c>
      <c r="U1077" s="67" t="str">
        <f t="shared" si="146"/>
        <v/>
      </c>
      <c r="V1077" s="67" t="str">
        <f t="shared" si="147"/>
        <v/>
      </c>
      <c r="W1077" s="67" t="str">
        <f t="shared" si="148"/>
        <v/>
      </c>
      <c r="X1077" s="67" t="str">
        <f t="shared" si="149"/>
        <v/>
      </c>
      <c r="Y1077" s="24" t="str">
        <f t="shared" si="150"/>
        <v/>
      </c>
      <c r="Z1077">
        <f t="shared" si="151"/>
        <v>0</v>
      </c>
      <c r="AA1077">
        <f t="shared" si="152"/>
        <v>0</v>
      </c>
    </row>
    <row r="1078" spans="2:27" ht="15.75" customHeight="1" x14ac:dyDescent="0.3">
      <c r="B1078" s="25"/>
      <c r="C1078" s="25"/>
      <c r="D1078" s="25"/>
      <c r="E1078" s="26" t="str">
        <f t="shared" si="144"/>
        <v/>
      </c>
      <c r="F1078" s="25"/>
      <c r="G1078" s="25"/>
      <c r="H1078" s="25"/>
      <c r="I1078" s="25"/>
      <c r="J1078" s="25"/>
      <c r="K1078" s="25"/>
      <c r="L1078" s="25"/>
      <c r="M1078" s="25"/>
      <c r="N1078" s="25"/>
      <c r="O1078" s="25"/>
      <c r="P1078" s="25"/>
      <c r="Q1078" s="25"/>
      <c r="R1078" s="23" t="str">
        <f>IF($F1078="","",IF(OR($B1078="",$C1078="",$D1078=""),"⚠ Compléter Année/Niveau/Session",IF(AND($E1078&lt;&gt;"",COUNTIF(D_KEY_DOUBLON,$B1078&amp;"|"&amp;$D1078&amp;"|"&amp;$E1078)&gt;1),"⚠ Doublon",IF(AND($E1078&lt;&gt;"",COUNTIF(D_KEY_STATUT,$B1078&amp;"|"&amp;$E1078&amp;"|P")&gt;0,COUNTIF(D_KEY_STATUT,$B1078&amp;"|"&amp;$E1078&amp;"|A")&gt;0),"⚠ Statut incohérent",IF(AND($D1078="S1",$Y1078&lt;&gt;"Parti",COUNTIF(ANNEES_VERROU,$B1078)&gt;0,COUNTIF(D_KEY_NIVSES,$B1078&amp;"|"&amp;$C1078&amp;"|S2")&gt;0,COUNTIF(D_KEY_DOUBLON,$B1078&amp;"|S2|"&amp;$E1078)=0),"⚠ Départ non confirmé ?",IF(AND($C1078&lt;&gt;"",ISNUMBER($I1078),OR(VALUE(LEFT($B1078,4))-$I1078&lt;4+IFERROR(MATCH($C1078,LISTE_NIVEAUX,0),99),VALUE(LEFT($B1078,4))-$I1078&gt;6+IFERROR(MATCH($C1078,LISTE_NIVEAUX,0),99))),"⚠ Vérifier niveau",IF(AND(IFERROR(VLOOKUP($C1078,TABLE_CYCLE,2,0),3)=2,COUNT($O1078:$Q1078)&gt;0),"⚠ Tests cycle 3",IF(COUNT($J1078:$Q1078)&gt;=IF(IFERROR(VLOOKUP($C1078,TABLE_CYCLE,2,0),3)=2,5,8),"Complet","Incomplet"))))))))</f>
        <v/>
      </c>
      <c r="S1078" s="24"/>
      <c r="T1078" s="67" t="str">
        <f t="shared" si="145"/>
        <v/>
      </c>
      <c r="U1078" s="67" t="str">
        <f t="shared" si="146"/>
        <v/>
      </c>
      <c r="V1078" s="67" t="str">
        <f t="shared" si="147"/>
        <v/>
      </c>
      <c r="W1078" s="67" t="str">
        <f t="shared" si="148"/>
        <v/>
      </c>
      <c r="X1078" s="67" t="str">
        <f t="shared" si="149"/>
        <v/>
      </c>
      <c r="Y1078" s="24" t="str">
        <f t="shared" si="150"/>
        <v/>
      </c>
      <c r="Z1078">
        <f t="shared" si="151"/>
        <v>0</v>
      </c>
      <c r="AA1078">
        <f t="shared" si="152"/>
        <v>0</v>
      </c>
    </row>
    <row r="1079" spans="2:27" ht="15.75" customHeight="1" x14ac:dyDescent="0.3">
      <c r="B1079" s="21"/>
      <c r="C1079" s="21"/>
      <c r="D1079" s="21"/>
      <c r="E1079" s="22" t="str">
        <f t="shared" si="144"/>
        <v/>
      </c>
      <c r="F1079" s="21"/>
      <c r="G1079" s="21"/>
      <c r="H1079" s="21"/>
      <c r="I1079" s="21"/>
      <c r="J1079" s="21"/>
      <c r="K1079" s="21"/>
      <c r="L1079" s="21"/>
      <c r="M1079" s="21"/>
      <c r="N1079" s="21"/>
      <c r="O1079" s="21"/>
      <c r="P1079" s="21"/>
      <c r="Q1079" s="21"/>
      <c r="R1079" s="23" t="str">
        <f>IF($F1079="","",IF(OR($B1079="",$C1079="",$D1079=""),"⚠ Compléter Année/Niveau/Session",IF(AND($E1079&lt;&gt;"",COUNTIF(D_KEY_DOUBLON,$B1079&amp;"|"&amp;$D1079&amp;"|"&amp;$E1079)&gt;1),"⚠ Doublon",IF(AND($E1079&lt;&gt;"",COUNTIF(D_KEY_STATUT,$B1079&amp;"|"&amp;$E1079&amp;"|P")&gt;0,COUNTIF(D_KEY_STATUT,$B1079&amp;"|"&amp;$E1079&amp;"|A")&gt;0),"⚠ Statut incohérent",IF(AND($D1079="S1",$Y1079&lt;&gt;"Parti",COUNTIF(ANNEES_VERROU,$B1079)&gt;0,COUNTIF(D_KEY_NIVSES,$B1079&amp;"|"&amp;$C1079&amp;"|S2")&gt;0,COUNTIF(D_KEY_DOUBLON,$B1079&amp;"|S2|"&amp;$E1079)=0),"⚠ Départ non confirmé ?",IF(AND($C1079&lt;&gt;"",ISNUMBER($I1079),OR(VALUE(LEFT($B1079,4))-$I1079&lt;4+IFERROR(MATCH($C1079,LISTE_NIVEAUX,0),99),VALUE(LEFT($B1079,4))-$I1079&gt;6+IFERROR(MATCH($C1079,LISTE_NIVEAUX,0),99))),"⚠ Vérifier niveau",IF(AND(IFERROR(VLOOKUP($C1079,TABLE_CYCLE,2,0),3)=2,COUNT($O1079:$Q1079)&gt;0),"⚠ Tests cycle 3",IF(COUNT($J1079:$Q1079)&gt;=IF(IFERROR(VLOOKUP($C1079,TABLE_CYCLE,2,0),3)=2,5,8),"Complet","Incomplet"))))))))</f>
        <v/>
      </c>
      <c r="S1079" s="24"/>
      <c r="T1079" s="67" t="str">
        <f t="shared" si="145"/>
        <v/>
      </c>
      <c r="U1079" s="67" t="str">
        <f t="shared" si="146"/>
        <v/>
      </c>
      <c r="V1079" s="67" t="str">
        <f t="shared" si="147"/>
        <v/>
      </c>
      <c r="W1079" s="67" t="str">
        <f t="shared" si="148"/>
        <v/>
      </c>
      <c r="X1079" s="67" t="str">
        <f t="shared" si="149"/>
        <v/>
      </c>
      <c r="Y1079" s="24" t="str">
        <f t="shared" si="150"/>
        <v/>
      </c>
      <c r="Z1079">
        <f t="shared" si="151"/>
        <v>0</v>
      </c>
      <c r="AA1079">
        <f t="shared" si="152"/>
        <v>0</v>
      </c>
    </row>
    <row r="1080" spans="2:27" ht="15.75" customHeight="1" x14ac:dyDescent="0.3">
      <c r="B1080" s="25"/>
      <c r="C1080" s="25"/>
      <c r="D1080" s="25"/>
      <c r="E1080" s="26" t="str">
        <f t="shared" si="144"/>
        <v/>
      </c>
      <c r="F1080" s="25"/>
      <c r="G1080" s="25"/>
      <c r="H1080" s="25"/>
      <c r="I1080" s="25"/>
      <c r="J1080" s="25"/>
      <c r="K1080" s="25"/>
      <c r="L1080" s="25"/>
      <c r="M1080" s="25"/>
      <c r="N1080" s="25"/>
      <c r="O1080" s="25"/>
      <c r="P1080" s="25"/>
      <c r="Q1080" s="25"/>
      <c r="R1080" s="23" t="str">
        <f>IF($F1080="","",IF(OR($B1080="",$C1080="",$D1080=""),"⚠ Compléter Année/Niveau/Session",IF(AND($E1080&lt;&gt;"",COUNTIF(D_KEY_DOUBLON,$B1080&amp;"|"&amp;$D1080&amp;"|"&amp;$E1080)&gt;1),"⚠ Doublon",IF(AND($E1080&lt;&gt;"",COUNTIF(D_KEY_STATUT,$B1080&amp;"|"&amp;$E1080&amp;"|P")&gt;0,COUNTIF(D_KEY_STATUT,$B1080&amp;"|"&amp;$E1080&amp;"|A")&gt;0),"⚠ Statut incohérent",IF(AND($D1080="S1",$Y1080&lt;&gt;"Parti",COUNTIF(ANNEES_VERROU,$B1080)&gt;0,COUNTIF(D_KEY_NIVSES,$B1080&amp;"|"&amp;$C1080&amp;"|S2")&gt;0,COUNTIF(D_KEY_DOUBLON,$B1080&amp;"|S2|"&amp;$E1080)=0),"⚠ Départ non confirmé ?",IF(AND($C1080&lt;&gt;"",ISNUMBER($I1080),OR(VALUE(LEFT($B1080,4))-$I1080&lt;4+IFERROR(MATCH($C1080,LISTE_NIVEAUX,0),99),VALUE(LEFT($B1080,4))-$I1080&gt;6+IFERROR(MATCH($C1080,LISTE_NIVEAUX,0),99))),"⚠ Vérifier niveau",IF(AND(IFERROR(VLOOKUP($C1080,TABLE_CYCLE,2,0),3)=2,COUNT($O1080:$Q1080)&gt;0),"⚠ Tests cycle 3",IF(COUNT($J1080:$Q1080)&gt;=IF(IFERROR(VLOOKUP($C1080,TABLE_CYCLE,2,0),3)=2,5,8),"Complet","Incomplet"))))))))</f>
        <v/>
      </c>
      <c r="S1080" s="24"/>
      <c r="T1080" s="67" t="str">
        <f t="shared" si="145"/>
        <v/>
      </c>
      <c r="U1080" s="67" t="str">
        <f t="shared" si="146"/>
        <v/>
      </c>
      <c r="V1080" s="67" t="str">
        <f t="shared" si="147"/>
        <v/>
      </c>
      <c r="W1080" s="67" t="str">
        <f t="shared" si="148"/>
        <v/>
      </c>
      <c r="X1080" s="67" t="str">
        <f t="shared" si="149"/>
        <v/>
      </c>
      <c r="Y1080" s="24" t="str">
        <f t="shared" si="150"/>
        <v/>
      </c>
      <c r="Z1080">
        <f t="shared" si="151"/>
        <v>0</v>
      </c>
      <c r="AA1080">
        <f t="shared" si="152"/>
        <v>0</v>
      </c>
    </row>
    <row r="1081" spans="2:27" ht="15.75" customHeight="1" x14ac:dyDescent="0.3">
      <c r="B1081" s="21"/>
      <c r="C1081" s="21"/>
      <c r="D1081" s="21"/>
      <c r="E1081" s="22" t="str">
        <f t="shared" si="144"/>
        <v/>
      </c>
      <c r="F1081" s="21"/>
      <c r="G1081" s="21"/>
      <c r="H1081" s="21"/>
      <c r="I1081" s="21"/>
      <c r="J1081" s="21"/>
      <c r="K1081" s="21"/>
      <c r="L1081" s="21"/>
      <c r="M1081" s="21"/>
      <c r="N1081" s="21"/>
      <c r="O1081" s="21"/>
      <c r="P1081" s="21"/>
      <c r="Q1081" s="21"/>
      <c r="R1081" s="23" t="str">
        <f>IF($F1081="","",IF(OR($B1081="",$C1081="",$D1081=""),"⚠ Compléter Année/Niveau/Session",IF(AND($E1081&lt;&gt;"",COUNTIF(D_KEY_DOUBLON,$B1081&amp;"|"&amp;$D1081&amp;"|"&amp;$E1081)&gt;1),"⚠ Doublon",IF(AND($E1081&lt;&gt;"",COUNTIF(D_KEY_STATUT,$B1081&amp;"|"&amp;$E1081&amp;"|P")&gt;0,COUNTIF(D_KEY_STATUT,$B1081&amp;"|"&amp;$E1081&amp;"|A")&gt;0),"⚠ Statut incohérent",IF(AND($D1081="S1",$Y1081&lt;&gt;"Parti",COUNTIF(ANNEES_VERROU,$B1081)&gt;0,COUNTIF(D_KEY_NIVSES,$B1081&amp;"|"&amp;$C1081&amp;"|S2")&gt;0,COUNTIF(D_KEY_DOUBLON,$B1081&amp;"|S2|"&amp;$E1081)=0),"⚠ Départ non confirmé ?",IF(AND($C1081&lt;&gt;"",ISNUMBER($I1081),OR(VALUE(LEFT($B1081,4))-$I1081&lt;4+IFERROR(MATCH($C1081,LISTE_NIVEAUX,0),99),VALUE(LEFT($B1081,4))-$I1081&gt;6+IFERROR(MATCH($C1081,LISTE_NIVEAUX,0),99))),"⚠ Vérifier niveau",IF(AND(IFERROR(VLOOKUP($C1081,TABLE_CYCLE,2,0),3)=2,COUNT($O1081:$Q1081)&gt;0),"⚠ Tests cycle 3",IF(COUNT($J1081:$Q1081)&gt;=IF(IFERROR(VLOOKUP($C1081,TABLE_CYCLE,2,0),3)=2,5,8),"Complet","Incomplet"))))))))</f>
        <v/>
      </c>
      <c r="S1081" s="24"/>
      <c r="T1081" s="67" t="str">
        <f t="shared" si="145"/>
        <v/>
      </c>
      <c r="U1081" s="67" t="str">
        <f t="shared" si="146"/>
        <v/>
      </c>
      <c r="V1081" s="67" t="str">
        <f t="shared" si="147"/>
        <v/>
      </c>
      <c r="W1081" s="67" t="str">
        <f t="shared" si="148"/>
        <v/>
      </c>
      <c r="X1081" s="67" t="str">
        <f t="shared" si="149"/>
        <v/>
      </c>
      <c r="Y1081" s="24" t="str">
        <f t="shared" si="150"/>
        <v/>
      </c>
      <c r="Z1081">
        <f t="shared" si="151"/>
        <v>0</v>
      </c>
      <c r="AA1081">
        <f t="shared" si="152"/>
        <v>0</v>
      </c>
    </row>
    <row r="1082" spans="2:27" ht="15.75" customHeight="1" x14ac:dyDescent="0.3">
      <c r="B1082" s="25"/>
      <c r="C1082" s="25"/>
      <c r="D1082" s="25"/>
      <c r="E1082" s="26" t="str">
        <f t="shared" si="144"/>
        <v/>
      </c>
      <c r="F1082" s="25"/>
      <c r="G1082" s="25"/>
      <c r="H1082" s="25"/>
      <c r="I1082" s="25"/>
      <c r="J1082" s="25"/>
      <c r="K1082" s="25"/>
      <c r="L1082" s="25"/>
      <c r="M1082" s="25"/>
      <c r="N1082" s="25"/>
      <c r="O1082" s="25"/>
      <c r="P1082" s="25"/>
      <c r="Q1082" s="25"/>
      <c r="R1082" s="23" t="str">
        <f>IF($F1082="","",IF(OR($B1082="",$C1082="",$D1082=""),"⚠ Compléter Année/Niveau/Session",IF(AND($E1082&lt;&gt;"",COUNTIF(D_KEY_DOUBLON,$B1082&amp;"|"&amp;$D1082&amp;"|"&amp;$E1082)&gt;1),"⚠ Doublon",IF(AND($E1082&lt;&gt;"",COUNTIF(D_KEY_STATUT,$B1082&amp;"|"&amp;$E1082&amp;"|P")&gt;0,COUNTIF(D_KEY_STATUT,$B1082&amp;"|"&amp;$E1082&amp;"|A")&gt;0),"⚠ Statut incohérent",IF(AND($D1082="S1",$Y1082&lt;&gt;"Parti",COUNTIF(ANNEES_VERROU,$B1082)&gt;0,COUNTIF(D_KEY_NIVSES,$B1082&amp;"|"&amp;$C1082&amp;"|S2")&gt;0,COUNTIF(D_KEY_DOUBLON,$B1082&amp;"|S2|"&amp;$E1082)=0),"⚠ Départ non confirmé ?",IF(AND($C1082&lt;&gt;"",ISNUMBER($I1082),OR(VALUE(LEFT($B1082,4))-$I1082&lt;4+IFERROR(MATCH($C1082,LISTE_NIVEAUX,0),99),VALUE(LEFT($B1082,4))-$I1082&gt;6+IFERROR(MATCH($C1082,LISTE_NIVEAUX,0),99))),"⚠ Vérifier niveau",IF(AND(IFERROR(VLOOKUP($C1082,TABLE_CYCLE,2,0),3)=2,COUNT($O1082:$Q1082)&gt;0),"⚠ Tests cycle 3",IF(COUNT($J1082:$Q1082)&gt;=IF(IFERROR(VLOOKUP($C1082,TABLE_CYCLE,2,0),3)=2,5,8),"Complet","Incomplet"))))))))</f>
        <v/>
      </c>
      <c r="S1082" s="24"/>
      <c r="T1082" s="67" t="str">
        <f t="shared" si="145"/>
        <v/>
      </c>
      <c r="U1082" s="67" t="str">
        <f t="shared" si="146"/>
        <v/>
      </c>
      <c r="V1082" s="67" t="str">
        <f t="shared" si="147"/>
        <v/>
      </c>
      <c r="W1082" s="67" t="str">
        <f t="shared" si="148"/>
        <v/>
      </c>
      <c r="X1082" s="67" t="str">
        <f t="shared" si="149"/>
        <v/>
      </c>
      <c r="Y1082" s="24" t="str">
        <f t="shared" si="150"/>
        <v/>
      </c>
      <c r="Z1082">
        <f t="shared" si="151"/>
        <v>0</v>
      </c>
      <c r="AA1082">
        <f t="shared" si="152"/>
        <v>0</v>
      </c>
    </row>
    <row r="1083" spans="2:27" ht="15.75" customHeight="1" x14ac:dyDescent="0.3">
      <c r="B1083" s="21"/>
      <c r="C1083" s="21"/>
      <c r="D1083" s="21"/>
      <c r="E1083" s="22" t="str">
        <f t="shared" si="144"/>
        <v/>
      </c>
      <c r="F1083" s="21"/>
      <c r="G1083" s="21"/>
      <c r="H1083" s="21"/>
      <c r="I1083" s="21"/>
      <c r="J1083" s="21"/>
      <c r="K1083" s="21"/>
      <c r="L1083" s="21"/>
      <c r="M1083" s="21"/>
      <c r="N1083" s="21"/>
      <c r="O1083" s="21"/>
      <c r="P1083" s="21"/>
      <c r="Q1083" s="21"/>
      <c r="R1083" s="23" t="str">
        <f>IF($F1083="","",IF(OR($B1083="",$C1083="",$D1083=""),"⚠ Compléter Année/Niveau/Session",IF(AND($E1083&lt;&gt;"",COUNTIF(D_KEY_DOUBLON,$B1083&amp;"|"&amp;$D1083&amp;"|"&amp;$E1083)&gt;1),"⚠ Doublon",IF(AND($E1083&lt;&gt;"",COUNTIF(D_KEY_STATUT,$B1083&amp;"|"&amp;$E1083&amp;"|P")&gt;0,COUNTIF(D_KEY_STATUT,$B1083&amp;"|"&amp;$E1083&amp;"|A")&gt;0),"⚠ Statut incohérent",IF(AND($D1083="S1",$Y1083&lt;&gt;"Parti",COUNTIF(ANNEES_VERROU,$B1083)&gt;0,COUNTIF(D_KEY_NIVSES,$B1083&amp;"|"&amp;$C1083&amp;"|S2")&gt;0,COUNTIF(D_KEY_DOUBLON,$B1083&amp;"|S2|"&amp;$E1083)=0),"⚠ Départ non confirmé ?",IF(AND($C1083&lt;&gt;"",ISNUMBER($I1083),OR(VALUE(LEFT($B1083,4))-$I1083&lt;4+IFERROR(MATCH($C1083,LISTE_NIVEAUX,0),99),VALUE(LEFT($B1083,4))-$I1083&gt;6+IFERROR(MATCH($C1083,LISTE_NIVEAUX,0),99))),"⚠ Vérifier niveau",IF(AND(IFERROR(VLOOKUP($C1083,TABLE_CYCLE,2,0),3)=2,COUNT($O1083:$Q1083)&gt;0),"⚠ Tests cycle 3",IF(COUNT($J1083:$Q1083)&gt;=IF(IFERROR(VLOOKUP($C1083,TABLE_CYCLE,2,0),3)=2,5,8),"Complet","Incomplet"))))))))</f>
        <v/>
      </c>
      <c r="S1083" s="24"/>
      <c r="T1083" s="67" t="str">
        <f t="shared" si="145"/>
        <v/>
      </c>
      <c r="U1083" s="67" t="str">
        <f t="shared" si="146"/>
        <v/>
      </c>
      <c r="V1083" s="67" t="str">
        <f t="shared" si="147"/>
        <v/>
      </c>
      <c r="W1083" s="67" t="str">
        <f t="shared" si="148"/>
        <v/>
      </c>
      <c r="X1083" s="67" t="str">
        <f t="shared" si="149"/>
        <v/>
      </c>
      <c r="Y1083" s="24" t="str">
        <f t="shared" si="150"/>
        <v/>
      </c>
      <c r="Z1083">
        <f t="shared" si="151"/>
        <v>0</v>
      </c>
      <c r="AA1083">
        <f t="shared" si="152"/>
        <v>0</v>
      </c>
    </row>
    <row r="1084" spans="2:27" ht="15.75" customHeight="1" x14ac:dyDescent="0.3">
      <c r="B1084" s="25"/>
      <c r="C1084" s="25"/>
      <c r="D1084" s="25"/>
      <c r="E1084" s="26" t="str">
        <f t="shared" si="144"/>
        <v/>
      </c>
      <c r="F1084" s="25"/>
      <c r="G1084" s="25"/>
      <c r="H1084" s="25"/>
      <c r="I1084" s="25"/>
      <c r="J1084" s="25"/>
      <c r="K1084" s="25"/>
      <c r="L1084" s="25"/>
      <c r="M1084" s="25"/>
      <c r="N1084" s="25"/>
      <c r="O1084" s="25"/>
      <c r="P1084" s="25"/>
      <c r="Q1084" s="25"/>
      <c r="R1084" s="23" t="str">
        <f>IF($F1084="","",IF(OR($B1084="",$C1084="",$D1084=""),"⚠ Compléter Année/Niveau/Session",IF(AND($E1084&lt;&gt;"",COUNTIF(D_KEY_DOUBLON,$B1084&amp;"|"&amp;$D1084&amp;"|"&amp;$E1084)&gt;1),"⚠ Doublon",IF(AND($E1084&lt;&gt;"",COUNTIF(D_KEY_STATUT,$B1084&amp;"|"&amp;$E1084&amp;"|P")&gt;0,COUNTIF(D_KEY_STATUT,$B1084&amp;"|"&amp;$E1084&amp;"|A")&gt;0),"⚠ Statut incohérent",IF(AND($D1084="S1",$Y1084&lt;&gt;"Parti",COUNTIF(ANNEES_VERROU,$B1084)&gt;0,COUNTIF(D_KEY_NIVSES,$B1084&amp;"|"&amp;$C1084&amp;"|S2")&gt;0,COUNTIF(D_KEY_DOUBLON,$B1084&amp;"|S2|"&amp;$E1084)=0),"⚠ Départ non confirmé ?",IF(AND($C1084&lt;&gt;"",ISNUMBER($I1084),OR(VALUE(LEFT($B1084,4))-$I1084&lt;4+IFERROR(MATCH($C1084,LISTE_NIVEAUX,0),99),VALUE(LEFT($B1084,4))-$I1084&gt;6+IFERROR(MATCH($C1084,LISTE_NIVEAUX,0),99))),"⚠ Vérifier niveau",IF(AND(IFERROR(VLOOKUP($C1084,TABLE_CYCLE,2,0),3)=2,COUNT($O1084:$Q1084)&gt;0),"⚠ Tests cycle 3",IF(COUNT($J1084:$Q1084)&gt;=IF(IFERROR(VLOOKUP($C1084,TABLE_CYCLE,2,0),3)=2,5,8),"Complet","Incomplet"))))))))</f>
        <v/>
      </c>
      <c r="S1084" s="24"/>
      <c r="T1084" s="67" t="str">
        <f t="shared" si="145"/>
        <v/>
      </c>
      <c r="U1084" s="67" t="str">
        <f t="shared" si="146"/>
        <v/>
      </c>
      <c r="V1084" s="67" t="str">
        <f t="shared" si="147"/>
        <v/>
      </c>
      <c r="W1084" s="67" t="str">
        <f t="shared" si="148"/>
        <v/>
      </c>
      <c r="X1084" s="67" t="str">
        <f t="shared" si="149"/>
        <v/>
      </c>
      <c r="Y1084" s="24" t="str">
        <f t="shared" si="150"/>
        <v/>
      </c>
      <c r="Z1084">
        <f t="shared" si="151"/>
        <v>0</v>
      </c>
      <c r="AA1084">
        <f t="shared" si="152"/>
        <v>0</v>
      </c>
    </row>
    <row r="1085" spans="2:27" ht="15.75" customHeight="1" x14ac:dyDescent="0.3">
      <c r="B1085" s="21"/>
      <c r="C1085" s="21"/>
      <c r="D1085" s="21"/>
      <c r="E1085" s="22" t="str">
        <f t="shared" si="144"/>
        <v/>
      </c>
      <c r="F1085" s="21"/>
      <c r="G1085" s="21"/>
      <c r="H1085" s="21"/>
      <c r="I1085" s="21"/>
      <c r="J1085" s="21"/>
      <c r="K1085" s="21"/>
      <c r="L1085" s="21"/>
      <c r="M1085" s="21"/>
      <c r="N1085" s="21"/>
      <c r="O1085" s="21"/>
      <c r="P1085" s="21"/>
      <c r="Q1085" s="21"/>
      <c r="R1085" s="23" t="str">
        <f>IF($F1085="","",IF(OR($B1085="",$C1085="",$D1085=""),"⚠ Compléter Année/Niveau/Session",IF(AND($E1085&lt;&gt;"",COUNTIF(D_KEY_DOUBLON,$B1085&amp;"|"&amp;$D1085&amp;"|"&amp;$E1085)&gt;1),"⚠ Doublon",IF(AND($E1085&lt;&gt;"",COUNTIF(D_KEY_STATUT,$B1085&amp;"|"&amp;$E1085&amp;"|P")&gt;0,COUNTIF(D_KEY_STATUT,$B1085&amp;"|"&amp;$E1085&amp;"|A")&gt;0),"⚠ Statut incohérent",IF(AND($D1085="S1",$Y1085&lt;&gt;"Parti",COUNTIF(ANNEES_VERROU,$B1085)&gt;0,COUNTIF(D_KEY_NIVSES,$B1085&amp;"|"&amp;$C1085&amp;"|S2")&gt;0,COUNTIF(D_KEY_DOUBLON,$B1085&amp;"|S2|"&amp;$E1085)=0),"⚠ Départ non confirmé ?",IF(AND($C1085&lt;&gt;"",ISNUMBER($I1085),OR(VALUE(LEFT($B1085,4))-$I1085&lt;4+IFERROR(MATCH($C1085,LISTE_NIVEAUX,0),99),VALUE(LEFT($B1085,4))-$I1085&gt;6+IFERROR(MATCH($C1085,LISTE_NIVEAUX,0),99))),"⚠ Vérifier niveau",IF(AND(IFERROR(VLOOKUP($C1085,TABLE_CYCLE,2,0),3)=2,COUNT($O1085:$Q1085)&gt;0),"⚠ Tests cycle 3",IF(COUNT($J1085:$Q1085)&gt;=IF(IFERROR(VLOOKUP($C1085,TABLE_CYCLE,2,0),3)=2,5,8),"Complet","Incomplet"))))))))</f>
        <v/>
      </c>
      <c r="S1085" s="24"/>
      <c r="T1085" s="67" t="str">
        <f t="shared" si="145"/>
        <v/>
      </c>
      <c r="U1085" s="67" t="str">
        <f t="shared" si="146"/>
        <v/>
      </c>
      <c r="V1085" s="67" t="str">
        <f t="shared" si="147"/>
        <v/>
      </c>
      <c r="W1085" s="67" t="str">
        <f t="shared" si="148"/>
        <v/>
      </c>
      <c r="X1085" s="67" t="str">
        <f t="shared" si="149"/>
        <v/>
      </c>
      <c r="Y1085" s="24" t="str">
        <f t="shared" si="150"/>
        <v/>
      </c>
      <c r="Z1085">
        <f t="shared" si="151"/>
        <v>0</v>
      </c>
      <c r="AA1085">
        <f t="shared" si="152"/>
        <v>0</v>
      </c>
    </row>
    <row r="1086" spans="2:27" ht="15.75" customHeight="1" x14ac:dyDescent="0.3">
      <c r="B1086" s="25"/>
      <c r="C1086" s="25"/>
      <c r="D1086" s="25"/>
      <c r="E1086" s="26" t="str">
        <f t="shared" si="144"/>
        <v/>
      </c>
      <c r="F1086" s="25"/>
      <c r="G1086" s="25"/>
      <c r="H1086" s="25"/>
      <c r="I1086" s="25"/>
      <c r="J1086" s="25"/>
      <c r="K1086" s="25"/>
      <c r="L1086" s="25"/>
      <c r="M1086" s="25"/>
      <c r="N1086" s="25"/>
      <c r="O1086" s="25"/>
      <c r="P1086" s="25"/>
      <c r="Q1086" s="25"/>
      <c r="R1086" s="23" t="str">
        <f>IF($F1086="","",IF(OR($B1086="",$C1086="",$D1086=""),"⚠ Compléter Année/Niveau/Session",IF(AND($E1086&lt;&gt;"",COUNTIF(D_KEY_DOUBLON,$B1086&amp;"|"&amp;$D1086&amp;"|"&amp;$E1086)&gt;1),"⚠ Doublon",IF(AND($E1086&lt;&gt;"",COUNTIF(D_KEY_STATUT,$B1086&amp;"|"&amp;$E1086&amp;"|P")&gt;0,COUNTIF(D_KEY_STATUT,$B1086&amp;"|"&amp;$E1086&amp;"|A")&gt;0),"⚠ Statut incohérent",IF(AND($D1086="S1",$Y1086&lt;&gt;"Parti",COUNTIF(ANNEES_VERROU,$B1086)&gt;0,COUNTIF(D_KEY_NIVSES,$B1086&amp;"|"&amp;$C1086&amp;"|S2")&gt;0,COUNTIF(D_KEY_DOUBLON,$B1086&amp;"|S2|"&amp;$E1086)=0),"⚠ Départ non confirmé ?",IF(AND($C1086&lt;&gt;"",ISNUMBER($I1086),OR(VALUE(LEFT($B1086,4))-$I1086&lt;4+IFERROR(MATCH($C1086,LISTE_NIVEAUX,0),99),VALUE(LEFT($B1086,4))-$I1086&gt;6+IFERROR(MATCH($C1086,LISTE_NIVEAUX,0),99))),"⚠ Vérifier niveau",IF(AND(IFERROR(VLOOKUP($C1086,TABLE_CYCLE,2,0),3)=2,COUNT($O1086:$Q1086)&gt;0),"⚠ Tests cycle 3",IF(COUNT($J1086:$Q1086)&gt;=IF(IFERROR(VLOOKUP($C1086,TABLE_CYCLE,2,0),3)=2,5,8),"Complet","Incomplet"))))))))</f>
        <v/>
      </c>
      <c r="S1086" s="24"/>
      <c r="T1086" s="67" t="str">
        <f t="shared" si="145"/>
        <v/>
      </c>
      <c r="U1086" s="67" t="str">
        <f t="shared" si="146"/>
        <v/>
      </c>
      <c r="V1086" s="67" t="str">
        <f t="shared" si="147"/>
        <v/>
      </c>
      <c r="W1086" s="67" t="str">
        <f t="shared" si="148"/>
        <v/>
      </c>
      <c r="X1086" s="67" t="str">
        <f t="shared" si="149"/>
        <v/>
      </c>
      <c r="Y1086" s="24" t="str">
        <f t="shared" si="150"/>
        <v/>
      </c>
      <c r="Z1086">
        <f t="shared" si="151"/>
        <v>0</v>
      </c>
      <c r="AA1086">
        <f t="shared" si="152"/>
        <v>0</v>
      </c>
    </row>
    <row r="1087" spans="2:27" ht="15.75" customHeight="1" x14ac:dyDescent="0.3">
      <c r="B1087" s="21"/>
      <c r="C1087" s="21"/>
      <c r="D1087" s="21"/>
      <c r="E1087" s="22" t="str">
        <f t="shared" si="144"/>
        <v/>
      </c>
      <c r="F1087" s="21"/>
      <c r="G1087" s="21"/>
      <c r="H1087" s="21"/>
      <c r="I1087" s="21"/>
      <c r="J1087" s="21"/>
      <c r="K1087" s="21"/>
      <c r="L1087" s="21"/>
      <c r="M1087" s="21"/>
      <c r="N1087" s="21"/>
      <c r="O1087" s="21"/>
      <c r="P1087" s="21"/>
      <c r="Q1087" s="21"/>
      <c r="R1087" s="23" t="str">
        <f>IF($F1087="","",IF(OR($B1087="",$C1087="",$D1087=""),"⚠ Compléter Année/Niveau/Session",IF(AND($E1087&lt;&gt;"",COUNTIF(D_KEY_DOUBLON,$B1087&amp;"|"&amp;$D1087&amp;"|"&amp;$E1087)&gt;1),"⚠ Doublon",IF(AND($E1087&lt;&gt;"",COUNTIF(D_KEY_STATUT,$B1087&amp;"|"&amp;$E1087&amp;"|P")&gt;0,COUNTIF(D_KEY_STATUT,$B1087&amp;"|"&amp;$E1087&amp;"|A")&gt;0),"⚠ Statut incohérent",IF(AND($D1087="S1",$Y1087&lt;&gt;"Parti",COUNTIF(ANNEES_VERROU,$B1087)&gt;0,COUNTIF(D_KEY_NIVSES,$B1087&amp;"|"&amp;$C1087&amp;"|S2")&gt;0,COUNTIF(D_KEY_DOUBLON,$B1087&amp;"|S2|"&amp;$E1087)=0),"⚠ Départ non confirmé ?",IF(AND($C1087&lt;&gt;"",ISNUMBER($I1087),OR(VALUE(LEFT($B1087,4))-$I1087&lt;4+IFERROR(MATCH($C1087,LISTE_NIVEAUX,0),99),VALUE(LEFT($B1087,4))-$I1087&gt;6+IFERROR(MATCH($C1087,LISTE_NIVEAUX,0),99))),"⚠ Vérifier niveau",IF(AND(IFERROR(VLOOKUP($C1087,TABLE_CYCLE,2,0),3)=2,COUNT($O1087:$Q1087)&gt;0),"⚠ Tests cycle 3",IF(COUNT($J1087:$Q1087)&gt;=IF(IFERROR(VLOOKUP($C1087,TABLE_CYCLE,2,0),3)=2,5,8),"Complet","Incomplet"))))))))</f>
        <v/>
      </c>
      <c r="S1087" s="24"/>
      <c r="T1087" s="67" t="str">
        <f t="shared" si="145"/>
        <v/>
      </c>
      <c r="U1087" s="67" t="str">
        <f t="shared" si="146"/>
        <v/>
      </c>
      <c r="V1087" s="67" t="str">
        <f t="shared" si="147"/>
        <v/>
      </c>
      <c r="W1087" s="67" t="str">
        <f t="shared" si="148"/>
        <v/>
      </c>
      <c r="X1087" s="67" t="str">
        <f t="shared" si="149"/>
        <v/>
      </c>
      <c r="Y1087" s="24" t="str">
        <f t="shared" si="150"/>
        <v/>
      </c>
      <c r="Z1087">
        <f t="shared" si="151"/>
        <v>0</v>
      </c>
      <c r="AA1087">
        <f t="shared" si="152"/>
        <v>0</v>
      </c>
    </row>
    <row r="1088" spans="2:27" ht="15.75" customHeight="1" x14ac:dyDescent="0.3">
      <c r="B1088" s="25"/>
      <c r="C1088" s="25"/>
      <c r="D1088" s="25"/>
      <c r="E1088" s="26" t="str">
        <f t="shared" si="144"/>
        <v/>
      </c>
      <c r="F1088" s="25"/>
      <c r="G1088" s="25"/>
      <c r="H1088" s="25"/>
      <c r="I1088" s="25"/>
      <c r="J1088" s="25"/>
      <c r="K1088" s="25"/>
      <c r="L1088" s="25"/>
      <c r="M1088" s="25"/>
      <c r="N1088" s="25"/>
      <c r="O1088" s="25"/>
      <c r="P1088" s="25"/>
      <c r="Q1088" s="25"/>
      <c r="R1088" s="23" t="str">
        <f>IF($F1088="","",IF(OR($B1088="",$C1088="",$D1088=""),"⚠ Compléter Année/Niveau/Session",IF(AND($E1088&lt;&gt;"",COUNTIF(D_KEY_DOUBLON,$B1088&amp;"|"&amp;$D1088&amp;"|"&amp;$E1088)&gt;1),"⚠ Doublon",IF(AND($E1088&lt;&gt;"",COUNTIF(D_KEY_STATUT,$B1088&amp;"|"&amp;$E1088&amp;"|P")&gt;0,COUNTIF(D_KEY_STATUT,$B1088&amp;"|"&amp;$E1088&amp;"|A")&gt;0),"⚠ Statut incohérent",IF(AND($D1088="S1",$Y1088&lt;&gt;"Parti",COUNTIF(ANNEES_VERROU,$B1088)&gt;0,COUNTIF(D_KEY_NIVSES,$B1088&amp;"|"&amp;$C1088&amp;"|S2")&gt;0,COUNTIF(D_KEY_DOUBLON,$B1088&amp;"|S2|"&amp;$E1088)=0),"⚠ Départ non confirmé ?",IF(AND($C1088&lt;&gt;"",ISNUMBER($I1088),OR(VALUE(LEFT($B1088,4))-$I1088&lt;4+IFERROR(MATCH($C1088,LISTE_NIVEAUX,0),99),VALUE(LEFT($B1088,4))-$I1088&gt;6+IFERROR(MATCH($C1088,LISTE_NIVEAUX,0),99))),"⚠ Vérifier niveau",IF(AND(IFERROR(VLOOKUP($C1088,TABLE_CYCLE,2,0),3)=2,COUNT($O1088:$Q1088)&gt;0),"⚠ Tests cycle 3",IF(COUNT($J1088:$Q1088)&gt;=IF(IFERROR(VLOOKUP($C1088,TABLE_CYCLE,2,0),3)=2,5,8),"Complet","Incomplet"))))))))</f>
        <v/>
      </c>
      <c r="S1088" s="24"/>
      <c r="T1088" s="67" t="str">
        <f t="shared" si="145"/>
        <v/>
      </c>
      <c r="U1088" s="67" t="str">
        <f t="shared" si="146"/>
        <v/>
      </c>
      <c r="V1088" s="67" t="str">
        <f t="shared" si="147"/>
        <v/>
      </c>
      <c r="W1088" s="67" t="str">
        <f t="shared" si="148"/>
        <v/>
      </c>
      <c r="X1088" s="67" t="str">
        <f t="shared" si="149"/>
        <v/>
      </c>
      <c r="Y1088" s="24" t="str">
        <f t="shared" si="150"/>
        <v/>
      </c>
      <c r="Z1088">
        <f t="shared" si="151"/>
        <v>0</v>
      </c>
      <c r="AA1088">
        <f t="shared" si="152"/>
        <v>0</v>
      </c>
    </row>
    <row r="1089" spans="2:27" ht="15.75" customHeight="1" x14ac:dyDescent="0.3">
      <c r="B1089" s="21"/>
      <c r="C1089" s="21"/>
      <c r="D1089" s="21"/>
      <c r="E1089" s="22" t="str">
        <f t="shared" si="144"/>
        <v/>
      </c>
      <c r="F1089" s="21"/>
      <c r="G1089" s="21"/>
      <c r="H1089" s="21"/>
      <c r="I1089" s="21"/>
      <c r="J1089" s="21"/>
      <c r="K1089" s="21"/>
      <c r="L1089" s="21"/>
      <c r="M1089" s="21"/>
      <c r="N1089" s="21"/>
      <c r="O1089" s="21"/>
      <c r="P1089" s="21"/>
      <c r="Q1089" s="21"/>
      <c r="R1089" s="23" t="str">
        <f>IF($F1089="","",IF(OR($B1089="",$C1089="",$D1089=""),"⚠ Compléter Année/Niveau/Session",IF(AND($E1089&lt;&gt;"",COUNTIF(D_KEY_DOUBLON,$B1089&amp;"|"&amp;$D1089&amp;"|"&amp;$E1089)&gt;1),"⚠ Doublon",IF(AND($E1089&lt;&gt;"",COUNTIF(D_KEY_STATUT,$B1089&amp;"|"&amp;$E1089&amp;"|P")&gt;0,COUNTIF(D_KEY_STATUT,$B1089&amp;"|"&amp;$E1089&amp;"|A")&gt;0),"⚠ Statut incohérent",IF(AND($D1089="S1",$Y1089&lt;&gt;"Parti",COUNTIF(ANNEES_VERROU,$B1089)&gt;0,COUNTIF(D_KEY_NIVSES,$B1089&amp;"|"&amp;$C1089&amp;"|S2")&gt;0,COUNTIF(D_KEY_DOUBLON,$B1089&amp;"|S2|"&amp;$E1089)=0),"⚠ Départ non confirmé ?",IF(AND($C1089&lt;&gt;"",ISNUMBER($I1089),OR(VALUE(LEFT($B1089,4))-$I1089&lt;4+IFERROR(MATCH($C1089,LISTE_NIVEAUX,0),99),VALUE(LEFT($B1089,4))-$I1089&gt;6+IFERROR(MATCH($C1089,LISTE_NIVEAUX,0),99))),"⚠ Vérifier niveau",IF(AND(IFERROR(VLOOKUP($C1089,TABLE_CYCLE,2,0),3)=2,COUNT($O1089:$Q1089)&gt;0),"⚠ Tests cycle 3",IF(COUNT($J1089:$Q1089)&gt;=IF(IFERROR(VLOOKUP($C1089,TABLE_CYCLE,2,0),3)=2,5,8),"Complet","Incomplet"))))))))</f>
        <v/>
      </c>
      <c r="S1089" s="24"/>
      <c r="T1089" s="67" t="str">
        <f t="shared" si="145"/>
        <v/>
      </c>
      <c r="U1089" s="67" t="str">
        <f t="shared" si="146"/>
        <v/>
      </c>
      <c r="V1089" s="67" t="str">
        <f t="shared" si="147"/>
        <v/>
      </c>
      <c r="W1089" s="67" t="str">
        <f t="shared" si="148"/>
        <v/>
      </c>
      <c r="X1089" s="67" t="str">
        <f t="shared" si="149"/>
        <v/>
      </c>
      <c r="Y1089" s="24" t="str">
        <f t="shared" si="150"/>
        <v/>
      </c>
      <c r="Z1089">
        <f t="shared" si="151"/>
        <v>0</v>
      </c>
      <c r="AA1089">
        <f t="shared" si="152"/>
        <v>0</v>
      </c>
    </row>
    <row r="1090" spans="2:27" ht="15.75" customHeight="1" x14ac:dyDescent="0.3">
      <c r="B1090" s="25"/>
      <c r="C1090" s="25"/>
      <c r="D1090" s="25"/>
      <c r="E1090" s="26" t="str">
        <f t="shared" si="144"/>
        <v/>
      </c>
      <c r="F1090" s="25"/>
      <c r="G1090" s="25"/>
      <c r="H1090" s="25"/>
      <c r="I1090" s="25"/>
      <c r="J1090" s="25"/>
      <c r="K1090" s="25"/>
      <c r="L1090" s="25"/>
      <c r="M1090" s="25"/>
      <c r="N1090" s="25"/>
      <c r="O1090" s="25"/>
      <c r="P1090" s="25"/>
      <c r="Q1090" s="25"/>
      <c r="R1090" s="23" t="str">
        <f>IF($F1090="","",IF(OR($B1090="",$C1090="",$D1090=""),"⚠ Compléter Année/Niveau/Session",IF(AND($E1090&lt;&gt;"",COUNTIF(D_KEY_DOUBLON,$B1090&amp;"|"&amp;$D1090&amp;"|"&amp;$E1090)&gt;1),"⚠ Doublon",IF(AND($E1090&lt;&gt;"",COUNTIF(D_KEY_STATUT,$B1090&amp;"|"&amp;$E1090&amp;"|P")&gt;0,COUNTIF(D_KEY_STATUT,$B1090&amp;"|"&amp;$E1090&amp;"|A")&gt;0),"⚠ Statut incohérent",IF(AND($D1090="S1",$Y1090&lt;&gt;"Parti",COUNTIF(ANNEES_VERROU,$B1090)&gt;0,COUNTIF(D_KEY_NIVSES,$B1090&amp;"|"&amp;$C1090&amp;"|S2")&gt;0,COUNTIF(D_KEY_DOUBLON,$B1090&amp;"|S2|"&amp;$E1090)=0),"⚠ Départ non confirmé ?",IF(AND($C1090&lt;&gt;"",ISNUMBER($I1090),OR(VALUE(LEFT($B1090,4))-$I1090&lt;4+IFERROR(MATCH($C1090,LISTE_NIVEAUX,0),99),VALUE(LEFT($B1090,4))-$I1090&gt;6+IFERROR(MATCH($C1090,LISTE_NIVEAUX,0),99))),"⚠ Vérifier niveau",IF(AND(IFERROR(VLOOKUP($C1090,TABLE_CYCLE,2,0),3)=2,COUNT($O1090:$Q1090)&gt;0),"⚠ Tests cycle 3",IF(COUNT($J1090:$Q1090)&gt;=IF(IFERROR(VLOOKUP($C1090,TABLE_CYCLE,2,0),3)=2,5,8),"Complet","Incomplet"))))))))</f>
        <v/>
      </c>
      <c r="S1090" s="24"/>
      <c r="T1090" s="67" t="str">
        <f t="shared" si="145"/>
        <v/>
      </c>
      <c r="U1090" s="67" t="str">
        <f t="shared" si="146"/>
        <v/>
      </c>
      <c r="V1090" s="67" t="str">
        <f t="shared" si="147"/>
        <v/>
      </c>
      <c r="W1090" s="67" t="str">
        <f t="shared" si="148"/>
        <v/>
      </c>
      <c r="X1090" s="67" t="str">
        <f t="shared" si="149"/>
        <v/>
      </c>
      <c r="Y1090" s="24" t="str">
        <f t="shared" si="150"/>
        <v/>
      </c>
      <c r="Z1090">
        <f t="shared" si="151"/>
        <v>0</v>
      </c>
      <c r="AA1090">
        <f t="shared" si="152"/>
        <v>0</v>
      </c>
    </row>
    <row r="1091" spans="2:27" ht="15.75" customHeight="1" x14ac:dyDescent="0.3">
      <c r="B1091" s="21"/>
      <c r="C1091" s="21"/>
      <c r="D1091" s="21"/>
      <c r="E1091" s="22" t="str">
        <f t="shared" si="144"/>
        <v/>
      </c>
      <c r="F1091" s="21"/>
      <c r="G1091" s="21"/>
      <c r="H1091" s="21"/>
      <c r="I1091" s="21"/>
      <c r="J1091" s="21"/>
      <c r="K1091" s="21"/>
      <c r="L1091" s="21"/>
      <c r="M1091" s="21"/>
      <c r="N1091" s="21"/>
      <c r="O1091" s="21"/>
      <c r="P1091" s="21"/>
      <c r="Q1091" s="21"/>
      <c r="R1091" s="23" t="str">
        <f>IF($F1091="","",IF(OR($B1091="",$C1091="",$D1091=""),"⚠ Compléter Année/Niveau/Session",IF(AND($E1091&lt;&gt;"",COUNTIF(D_KEY_DOUBLON,$B1091&amp;"|"&amp;$D1091&amp;"|"&amp;$E1091)&gt;1),"⚠ Doublon",IF(AND($E1091&lt;&gt;"",COUNTIF(D_KEY_STATUT,$B1091&amp;"|"&amp;$E1091&amp;"|P")&gt;0,COUNTIF(D_KEY_STATUT,$B1091&amp;"|"&amp;$E1091&amp;"|A")&gt;0),"⚠ Statut incohérent",IF(AND($D1091="S1",$Y1091&lt;&gt;"Parti",COUNTIF(ANNEES_VERROU,$B1091)&gt;0,COUNTIF(D_KEY_NIVSES,$B1091&amp;"|"&amp;$C1091&amp;"|S2")&gt;0,COUNTIF(D_KEY_DOUBLON,$B1091&amp;"|S2|"&amp;$E1091)=0),"⚠ Départ non confirmé ?",IF(AND($C1091&lt;&gt;"",ISNUMBER($I1091),OR(VALUE(LEFT($B1091,4))-$I1091&lt;4+IFERROR(MATCH($C1091,LISTE_NIVEAUX,0),99),VALUE(LEFT($B1091,4))-$I1091&gt;6+IFERROR(MATCH($C1091,LISTE_NIVEAUX,0),99))),"⚠ Vérifier niveau",IF(AND(IFERROR(VLOOKUP($C1091,TABLE_CYCLE,2,0),3)=2,COUNT($O1091:$Q1091)&gt;0),"⚠ Tests cycle 3",IF(COUNT($J1091:$Q1091)&gt;=IF(IFERROR(VLOOKUP($C1091,TABLE_CYCLE,2,0),3)=2,5,8),"Complet","Incomplet"))))))))</f>
        <v/>
      </c>
      <c r="S1091" s="24"/>
      <c r="T1091" s="67" t="str">
        <f t="shared" si="145"/>
        <v/>
      </c>
      <c r="U1091" s="67" t="str">
        <f t="shared" si="146"/>
        <v/>
      </c>
      <c r="V1091" s="67" t="str">
        <f t="shared" si="147"/>
        <v/>
      </c>
      <c r="W1091" s="67" t="str">
        <f t="shared" si="148"/>
        <v/>
      </c>
      <c r="X1091" s="67" t="str">
        <f t="shared" si="149"/>
        <v/>
      </c>
      <c r="Y1091" s="24" t="str">
        <f t="shared" si="150"/>
        <v/>
      </c>
      <c r="Z1091">
        <f t="shared" si="151"/>
        <v>0</v>
      </c>
      <c r="AA1091">
        <f t="shared" si="152"/>
        <v>0</v>
      </c>
    </row>
    <row r="1092" spans="2:27" ht="15.75" customHeight="1" x14ac:dyDescent="0.3">
      <c r="B1092" s="25"/>
      <c r="C1092" s="25"/>
      <c r="D1092" s="25"/>
      <c r="E1092" s="26" t="str">
        <f t="shared" si="144"/>
        <v/>
      </c>
      <c r="F1092" s="25"/>
      <c r="G1092" s="25"/>
      <c r="H1092" s="25"/>
      <c r="I1092" s="25"/>
      <c r="J1092" s="25"/>
      <c r="K1092" s="25"/>
      <c r="L1092" s="25"/>
      <c r="M1092" s="25"/>
      <c r="N1092" s="25"/>
      <c r="O1092" s="25"/>
      <c r="P1092" s="25"/>
      <c r="Q1092" s="25"/>
      <c r="R1092" s="23" t="str">
        <f>IF($F1092="","",IF(OR($B1092="",$C1092="",$D1092=""),"⚠ Compléter Année/Niveau/Session",IF(AND($E1092&lt;&gt;"",COUNTIF(D_KEY_DOUBLON,$B1092&amp;"|"&amp;$D1092&amp;"|"&amp;$E1092)&gt;1),"⚠ Doublon",IF(AND($E1092&lt;&gt;"",COUNTIF(D_KEY_STATUT,$B1092&amp;"|"&amp;$E1092&amp;"|P")&gt;0,COUNTIF(D_KEY_STATUT,$B1092&amp;"|"&amp;$E1092&amp;"|A")&gt;0),"⚠ Statut incohérent",IF(AND($D1092="S1",$Y1092&lt;&gt;"Parti",COUNTIF(ANNEES_VERROU,$B1092)&gt;0,COUNTIF(D_KEY_NIVSES,$B1092&amp;"|"&amp;$C1092&amp;"|S2")&gt;0,COUNTIF(D_KEY_DOUBLON,$B1092&amp;"|S2|"&amp;$E1092)=0),"⚠ Départ non confirmé ?",IF(AND($C1092&lt;&gt;"",ISNUMBER($I1092),OR(VALUE(LEFT($B1092,4))-$I1092&lt;4+IFERROR(MATCH($C1092,LISTE_NIVEAUX,0),99),VALUE(LEFT($B1092,4))-$I1092&gt;6+IFERROR(MATCH($C1092,LISTE_NIVEAUX,0),99))),"⚠ Vérifier niveau",IF(AND(IFERROR(VLOOKUP($C1092,TABLE_CYCLE,2,0),3)=2,COUNT($O1092:$Q1092)&gt;0),"⚠ Tests cycle 3",IF(COUNT($J1092:$Q1092)&gt;=IF(IFERROR(VLOOKUP($C1092,TABLE_CYCLE,2,0),3)=2,5,8),"Complet","Incomplet"))))))))</f>
        <v/>
      </c>
      <c r="S1092" s="24"/>
      <c r="T1092" s="67" t="str">
        <f t="shared" si="145"/>
        <v/>
      </c>
      <c r="U1092" s="67" t="str">
        <f t="shared" si="146"/>
        <v/>
      </c>
      <c r="V1092" s="67" t="str">
        <f t="shared" si="147"/>
        <v/>
      </c>
      <c r="W1092" s="67" t="str">
        <f t="shared" si="148"/>
        <v/>
      </c>
      <c r="X1092" s="67" t="str">
        <f t="shared" si="149"/>
        <v/>
      </c>
      <c r="Y1092" s="24" t="str">
        <f t="shared" si="150"/>
        <v/>
      </c>
      <c r="Z1092">
        <f t="shared" si="151"/>
        <v>0</v>
      </c>
      <c r="AA1092">
        <f t="shared" si="152"/>
        <v>0</v>
      </c>
    </row>
    <row r="1093" spans="2:27" ht="15.75" customHeight="1" x14ac:dyDescent="0.3">
      <c r="B1093" s="21"/>
      <c r="C1093" s="21"/>
      <c r="D1093" s="21"/>
      <c r="E1093" s="22" t="str">
        <f t="shared" si="144"/>
        <v/>
      </c>
      <c r="F1093" s="21"/>
      <c r="G1093" s="21"/>
      <c r="H1093" s="21"/>
      <c r="I1093" s="21"/>
      <c r="J1093" s="21"/>
      <c r="K1093" s="21"/>
      <c r="L1093" s="21"/>
      <c r="M1093" s="21"/>
      <c r="N1093" s="21"/>
      <c r="O1093" s="21"/>
      <c r="P1093" s="21"/>
      <c r="Q1093" s="21"/>
      <c r="R1093" s="23" t="str">
        <f>IF($F1093="","",IF(OR($B1093="",$C1093="",$D1093=""),"⚠ Compléter Année/Niveau/Session",IF(AND($E1093&lt;&gt;"",COUNTIF(D_KEY_DOUBLON,$B1093&amp;"|"&amp;$D1093&amp;"|"&amp;$E1093)&gt;1),"⚠ Doublon",IF(AND($E1093&lt;&gt;"",COUNTIF(D_KEY_STATUT,$B1093&amp;"|"&amp;$E1093&amp;"|P")&gt;0,COUNTIF(D_KEY_STATUT,$B1093&amp;"|"&amp;$E1093&amp;"|A")&gt;0),"⚠ Statut incohérent",IF(AND($D1093="S1",$Y1093&lt;&gt;"Parti",COUNTIF(ANNEES_VERROU,$B1093)&gt;0,COUNTIF(D_KEY_NIVSES,$B1093&amp;"|"&amp;$C1093&amp;"|S2")&gt;0,COUNTIF(D_KEY_DOUBLON,$B1093&amp;"|S2|"&amp;$E1093)=0),"⚠ Départ non confirmé ?",IF(AND($C1093&lt;&gt;"",ISNUMBER($I1093),OR(VALUE(LEFT($B1093,4))-$I1093&lt;4+IFERROR(MATCH($C1093,LISTE_NIVEAUX,0),99),VALUE(LEFT($B1093,4))-$I1093&gt;6+IFERROR(MATCH($C1093,LISTE_NIVEAUX,0),99))),"⚠ Vérifier niveau",IF(AND(IFERROR(VLOOKUP($C1093,TABLE_CYCLE,2,0),3)=2,COUNT($O1093:$Q1093)&gt;0),"⚠ Tests cycle 3",IF(COUNT($J1093:$Q1093)&gt;=IF(IFERROR(VLOOKUP($C1093,TABLE_CYCLE,2,0),3)=2,5,8),"Complet","Incomplet"))))))))</f>
        <v/>
      </c>
      <c r="S1093" s="24"/>
      <c r="T1093" s="67" t="str">
        <f t="shared" si="145"/>
        <v/>
      </c>
      <c r="U1093" s="67" t="str">
        <f t="shared" si="146"/>
        <v/>
      </c>
      <c r="V1093" s="67" t="str">
        <f t="shared" si="147"/>
        <v/>
      </c>
      <c r="W1093" s="67" t="str">
        <f t="shared" si="148"/>
        <v/>
      </c>
      <c r="X1093" s="67" t="str">
        <f t="shared" si="149"/>
        <v/>
      </c>
      <c r="Y1093" s="24" t="str">
        <f t="shared" si="150"/>
        <v/>
      </c>
      <c r="Z1093">
        <f t="shared" si="151"/>
        <v>0</v>
      </c>
      <c r="AA1093">
        <f t="shared" si="152"/>
        <v>0</v>
      </c>
    </row>
    <row r="1094" spans="2:27" ht="15.75" customHeight="1" x14ac:dyDescent="0.3">
      <c r="B1094" s="25"/>
      <c r="C1094" s="25"/>
      <c r="D1094" s="25"/>
      <c r="E1094" s="26" t="str">
        <f t="shared" si="144"/>
        <v/>
      </c>
      <c r="F1094" s="25"/>
      <c r="G1094" s="25"/>
      <c r="H1094" s="25"/>
      <c r="I1094" s="25"/>
      <c r="J1094" s="25"/>
      <c r="K1094" s="25"/>
      <c r="L1094" s="25"/>
      <c r="M1094" s="25"/>
      <c r="N1094" s="25"/>
      <c r="O1094" s="25"/>
      <c r="P1094" s="25"/>
      <c r="Q1094" s="25"/>
      <c r="R1094" s="23" t="str">
        <f>IF($F1094="","",IF(OR($B1094="",$C1094="",$D1094=""),"⚠ Compléter Année/Niveau/Session",IF(AND($E1094&lt;&gt;"",COUNTIF(D_KEY_DOUBLON,$B1094&amp;"|"&amp;$D1094&amp;"|"&amp;$E1094)&gt;1),"⚠ Doublon",IF(AND($E1094&lt;&gt;"",COUNTIF(D_KEY_STATUT,$B1094&amp;"|"&amp;$E1094&amp;"|P")&gt;0,COUNTIF(D_KEY_STATUT,$B1094&amp;"|"&amp;$E1094&amp;"|A")&gt;0),"⚠ Statut incohérent",IF(AND($D1094="S1",$Y1094&lt;&gt;"Parti",COUNTIF(ANNEES_VERROU,$B1094)&gt;0,COUNTIF(D_KEY_NIVSES,$B1094&amp;"|"&amp;$C1094&amp;"|S2")&gt;0,COUNTIF(D_KEY_DOUBLON,$B1094&amp;"|S2|"&amp;$E1094)=0),"⚠ Départ non confirmé ?",IF(AND($C1094&lt;&gt;"",ISNUMBER($I1094),OR(VALUE(LEFT($B1094,4))-$I1094&lt;4+IFERROR(MATCH($C1094,LISTE_NIVEAUX,0),99),VALUE(LEFT($B1094,4))-$I1094&gt;6+IFERROR(MATCH($C1094,LISTE_NIVEAUX,0),99))),"⚠ Vérifier niveau",IF(AND(IFERROR(VLOOKUP($C1094,TABLE_CYCLE,2,0),3)=2,COUNT($O1094:$Q1094)&gt;0),"⚠ Tests cycle 3",IF(COUNT($J1094:$Q1094)&gt;=IF(IFERROR(VLOOKUP($C1094,TABLE_CYCLE,2,0),3)=2,5,8),"Complet","Incomplet"))))))))</f>
        <v/>
      </c>
      <c r="S1094" s="24"/>
      <c r="T1094" s="67" t="str">
        <f t="shared" si="145"/>
        <v/>
      </c>
      <c r="U1094" s="67" t="str">
        <f t="shared" si="146"/>
        <v/>
      </c>
      <c r="V1094" s="67" t="str">
        <f t="shared" si="147"/>
        <v/>
      </c>
      <c r="W1094" s="67" t="str">
        <f t="shared" si="148"/>
        <v/>
      </c>
      <c r="X1094" s="67" t="str">
        <f t="shared" si="149"/>
        <v/>
      </c>
      <c r="Y1094" s="24" t="str">
        <f t="shared" si="150"/>
        <v/>
      </c>
      <c r="Z1094">
        <f t="shared" si="151"/>
        <v>0</v>
      </c>
      <c r="AA1094">
        <f t="shared" si="152"/>
        <v>0</v>
      </c>
    </row>
    <row r="1095" spans="2:27" ht="15.75" customHeight="1" x14ac:dyDescent="0.3">
      <c r="B1095" s="21"/>
      <c r="C1095" s="21"/>
      <c r="D1095" s="21"/>
      <c r="E1095" s="22" t="str">
        <f t="shared" ref="E1095:E1158" si="153">IF(OR($F1095="",$G1095=""),"",IF(ISNUMBER($I1095),TEXT($I1095-2000,"00")&amp;"_","__")&amp;UPPER(TRIM($F1095))&amp;"_"&amp;UPPER(TRIM($G1095)))</f>
        <v/>
      </c>
      <c r="F1095" s="21"/>
      <c r="G1095" s="21"/>
      <c r="H1095" s="21"/>
      <c r="I1095" s="21"/>
      <c r="J1095" s="21"/>
      <c r="K1095" s="21"/>
      <c r="L1095" s="21"/>
      <c r="M1095" s="21"/>
      <c r="N1095" s="21"/>
      <c r="O1095" s="21"/>
      <c r="P1095" s="21"/>
      <c r="Q1095" s="21"/>
      <c r="R1095" s="23" t="str">
        <f>IF($F1095="","",IF(OR($B1095="",$C1095="",$D1095=""),"⚠ Compléter Année/Niveau/Session",IF(AND($E1095&lt;&gt;"",COUNTIF(D_KEY_DOUBLON,$B1095&amp;"|"&amp;$D1095&amp;"|"&amp;$E1095)&gt;1),"⚠ Doublon",IF(AND($E1095&lt;&gt;"",COUNTIF(D_KEY_STATUT,$B1095&amp;"|"&amp;$E1095&amp;"|P")&gt;0,COUNTIF(D_KEY_STATUT,$B1095&amp;"|"&amp;$E1095&amp;"|A")&gt;0),"⚠ Statut incohérent",IF(AND($D1095="S1",$Y1095&lt;&gt;"Parti",COUNTIF(ANNEES_VERROU,$B1095)&gt;0,COUNTIF(D_KEY_NIVSES,$B1095&amp;"|"&amp;$C1095&amp;"|S2")&gt;0,COUNTIF(D_KEY_DOUBLON,$B1095&amp;"|S2|"&amp;$E1095)=0),"⚠ Départ non confirmé ?",IF(AND($C1095&lt;&gt;"",ISNUMBER($I1095),OR(VALUE(LEFT($B1095,4))-$I1095&lt;4+IFERROR(MATCH($C1095,LISTE_NIVEAUX,0),99),VALUE(LEFT($B1095,4))-$I1095&gt;6+IFERROR(MATCH($C1095,LISTE_NIVEAUX,0),99))),"⚠ Vérifier niveau",IF(AND(IFERROR(VLOOKUP($C1095,TABLE_CYCLE,2,0),3)=2,COUNT($O1095:$Q1095)&gt;0),"⚠ Tests cycle 3",IF(COUNT($J1095:$Q1095)&gt;=IF(IFERROR(VLOOKUP($C1095,TABLE_CYCLE,2,0),3)=2,5,8),"Complet","Incomplet"))))))))</f>
        <v/>
      </c>
      <c r="S1095" s="24"/>
      <c r="T1095" s="67" t="str">
        <f t="shared" ref="T1095:T1158" si="154">IFERROR(INDEX(D_NOM,MATCH(ROW()-6,D_RANG_RECUP,0)),"")</f>
        <v/>
      </c>
      <c r="U1095" s="67" t="str">
        <f t="shared" ref="U1095:U1158" si="155">IFERROR(INDEX(D_PRENOM,MATCH(ROW()-6,D_RANG_RECUP,0)),"")</f>
        <v/>
      </c>
      <c r="V1095" s="67" t="str">
        <f t="shared" ref="V1095:V1158" si="156">IFERROR(INDEX(D_SEXE,MATCH(ROW()-6,D_RANG_RECUP,0)),"")</f>
        <v/>
      </c>
      <c r="W1095" s="67" t="str">
        <f t="shared" ref="W1095:W1158" si="157">IFERROR(INDEX(D_NAISS,MATCH(ROW()-6,D_RANG_RECUP,0)),"")</f>
        <v/>
      </c>
      <c r="X1095" s="67" t="str">
        <f t="shared" ref="X1095:X1158" si="158">IF($T1095="","",IF($X$4="→ Session 2 (même année)",$W$4,IFERROR(INDEX(LISTE_NIVEAUX,MATCH($W$4,LISTE_NIVEAUX,0)+1),"CM2 terminé")))</f>
        <v/>
      </c>
      <c r="Y1095" s="24" t="str">
        <f t="shared" ref="Y1095:Y1158" si="159">IF($S1095="","",$S1095)</f>
        <v/>
      </c>
      <c r="Z1095">
        <f t="shared" ref="Z1095:Z1158" si="160">SUBTOTAL(103,$F1095)*($R1095="Complet")</f>
        <v>0</v>
      </c>
      <c r="AA1095">
        <f t="shared" ref="AA1095:AA1158" si="161">IF(OR($F1095="",$C1095=""),0,IF(COUNTIFS($B$7:$B$1206,$B1095,$F$7:$F$1206,$F1095,$G$7:$G$1206,$G1095,$I$7:$I$1206,$I1095,$C$7:$C$1206,"&lt;&gt;"&amp;$C1095)&gt;0,1,0))</f>
        <v>0</v>
      </c>
    </row>
    <row r="1096" spans="2:27" ht="15.75" customHeight="1" x14ac:dyDescent="0.3">
      <c r="B1096" s="25"/>
      <c r="C1096" s="25"/>
      <c r="D1096" s="25"/>
      <c r="E1096" s="26" t="str">
        <f t="shared" si="153"/>
        <v/>
      </c>
      <c r="F1096" s="25"/>
      <c r="G1096" s="25"/>
      <c r="H1096" s="25"/>
      <c r="I1096" s="25"/>
      <c r="J1096" s="25"/>
      <c r="K1096" s="25"/>
      <c r="L1096" s="25"/>
      <c r="M1096" s="25"/>
      <c r="N1096" s="25"/>
      <c r="O1096" s="25"/>
      <c r="P1096" s="25"/>
      <c r="Q1096" s="25"/>
      <c r="R1096" s="23" t="str">
        <f>IF($F1096="","",IF(OR($B1096="",$C1096="",$D1096=""),"⚠ Compléter Année/Niveau/Session",IF(AND($E1096&lt;&gt;"",COUNTIF(D_KEY_DOUBLON,$B1096&amp;"|"&amp;$D1096&amp;"|"&amp;$E1096)&gt;1),"⚠ Doublon",IF(AND($E1096&lt;&gt;"",COUNTIF(D_KEY_STATUT,$B1096&amp;"|"&amp;$E1096&amp;"|P")&gt;0,COUNTIF(D_KEY_STATUT,$B1096&amp;"|"&amp;$E1096&amp;"|A")&gt;0),"⚠ Statut incohérent",IF(AND($D1096="S1",$Y1096&lt;&gt;"Parti",COUNTIF(ANNEES_VERROU,$B1096)&gt;0,COUNTIF(D_KEY_NIVSES,$B1096&amp;"|"&amp;$C1096&amp;"|S2")&gt;0,COUNTIF(D_KEY_DOUBLON,$B1096&amp;"|S2|"&amp;$E1096)=0),"⚠ Départ non confirmé ?",IF(AND($C1096&lt;&gt;"",ISNUMBER($I1096),OR(VALUE(LEFT($B1096,4))-$I1096&lt;4+IFERROR(MATCH($C1096,LISTE_NIVEAUX,0),99),VALUE(LEFT($B1096,4))-$I1096&gt;6+IFERROR(MATCH($C1096,LISTE_NIVEAUX,0),99))),"⚠ Vérifier niveau",IF(AND(IFERROR(VLOOKUP($C1096,TABLE_CYCLE,2,0),3)=2,COUNT($O1096:$Q1096)&gt;0),"⚠ Tests cycle 3",IF(COUNT($J1096:$Q1096)&gt;=IF(IFERROR(VLOOKUP($C1096,TABLE_CYCLE,2,0),3)=2,5,8),"Complet","Incomplet"))))))))</f>
        <v/>
      </c>
      <c r="S1096" s="24"/>
      <c r="T1096" s="67" t="str">
        <f t="shared" si="154"/>
        <v/>
      </c>
      <c r="U1096" s="67" t="str">
        <f t="shared" si="155"/>
        <v/>
      </c>
      <c r="V1096" s="67" t="str">
        <f t="shared" si="156"/>
        <v/>
      </c>
      <c r="W1096" s="67" t="str">
        <f t="shared" si="157"/>
        <v/>
      </c>
      <c r="X1096" s="67" t="str">
        <f t="shared" si="158"/>
        <v/>
      </c>
      <c r="Y1096" s="24" t="str">
        <f t="shared" si="159"/>
        <v/>
      </c>
      <c r="Z1096">
        <f t="shared" si="160"/>
        <v>0</v>
      </c>
      <c r="AA1096">
        <f t="shared" si="161"/>
        <v>0</v>
      </c>
    </row>
    <row r="1097" spans="2:27" ht="15.75" customHeight="1" x14ac:dyDescent="0.3">
      <c r="B1097" s="21"/>
      <c r="C1097" s="21"/>
      <c r="D1097" s="21"/>
      <c r="E1097" s="22" t="str">
        <f t="shared" si="153"/>
        <v/>
      </c>
      <c r="F1097" s="21"/>
      <c r="G1097" s="21"/>
      <c r="H1097" s="21"/>
      <c r="I1097" s="21"/>
      <c r="J1097" s="21"/>
      <c r="K1097" s="21"/>
      <c r="L1097" s="21"/>
      <c r="M1097" s="21"/>
      <c r="N1097" s="21"/>
      <c r="O1097" s="21"/>
      <c r="P1097" s="21"/>
      <c r="Q1097" s="21"/>
      <c r="R1097" s="23" t="str">
        <f>IF($F1097="","",IF(OR($B1097="",$C1097="",$D1097=""),"⚠ Compléter Année/Niveau/Session",IF(AND($E1097&lt;&gt;"",COUNTIF(D_KEY_DOUBLON,$B1097&amp;"|"&amp;$D1097&amp;"|"&amp;$E1097)&gt;1),"⚠ Doublon",IF(AND($E1097&lt;&gt;"",COUNTIF(D_KEY_STATUT,$B1097&amp;"|"&amp;$E1097&amp;"|P")&gt;0,COUNTIF(D_KEY_STATUT,$B1097&amp;"|"&amp;$E1097&amp;"|A")&gt;0),"⚠ Statut incohérent",IF(AND($D1097="S1",$Y1097&lt;&gt;"Parti",COUNTIF(ANNEES_VERROU,$B1097)&gt;0,COUNTIF(D_KEY_NIVSES,$B1097&amp;"|"&amp;$C1097&amp;"|S2")&gt;0,COUNTIF(D_KEY_DOUBLON,$B1097&amp;"|S2|"&amp;$E1097)=0),"⚠ Départ non confirmé ?",IF(AND($C1097&lt;&gt;"",ISNUMBER($I1097),OR(VALUE(LEFT($B1097,4))-$I1097&lt;4+IFERROR(MATCH($C1097,LISTE_NIVEAUX,0),99),VALUE(LEFT($B1097,4))-$I1097&gt;6+IFERROR(MATCH($C1097,LISTE_NIVEAUX,0),99))),"⚠ Vérifier niveau",IF(AND(IFERROR(VLOOKUP($C1097,TABLE_CYCLE,2,0),3)=2,COUNT($O1097:$Q1097)&gt;0),"⚠ Tests cycle 3",IF(COUNT($J1097:$Q1097)&gt;=IF(IFERROR(VLOOKUP($C1097,TABLE_CYCLE,2,0),3)=2,5,8),"Complet","Incomplet"))))))))</f>
        <v/>
      </c>
      <c r="S1097" s="24"/>
      <c r="T1097" s="67" t="str">
        <f t="shared" si="154"/>
        <v/>
      </c>
      <c r="U1097" s="67" t="str">
        <f t="shared" si="155"/>
        <v/>
      </c>
      <c r="V1097" s="67" t="str">
        <f t="shared" si="156"/>
        <v/>
      </c>
      <c r="W1097" s="67" t="str">
        <f t="shared" si="157"/>
        <v/>
      </c>
      <c r="X1097" s="67" t="str">
        <f t="shared" si="158"/>
        <v/>
      </c>
      <c r="Y1097" s="24" t="str">
        <f t="shared" si="159"/>
        <v/>
      </c>
      <c r="Z1097">
        <f t="shared" si="160"/>
        <v>0</v>
      </c>
      <c r="AA1097">
        <f t="shared" si="161"/>
        <v>0</v>
      </c>
    </row>
    <row r="1098" spans="2:27" ht="15.75" customHeight="1" x14ac:dyDescent="0.3">
      <c r="B1098" s="25"/>
      <c r="C1098" s="25"/>
      <c r="D1098" s="25"/>
      <c r="E1098" s="26" t="str">
        <f t="shared" si="153"/>
        <v/>
      </c>
      <c r="F1098" s="25"/>
      <c r="G1098" s="25"/>
      <c r="H1098" s="25"/>
      <c r="I1098" s="25"/>
      <c r="J1098" s="25"/>
      <c r="K1098" s="25"/>
      <c r="L1098" s="25"/>
      <c r="M1098" s="25"/>
      <c r="N1098" s="25"/>
      <c r="O1098" s="25"/>
      <c r="P1098" s="25"/>
      <c r="Q1098" s="25"/>
      <c r="R1098" s="23" t="str">
        <f>IF($F1098="","",IF(OR($B1098="",$C1098="",$D1098=""),"⚠ Compléter Année/Niveau/Session",IF(AND($E1098&lt;&gt;"",COUNTIF(D_KEY_DOUBLON,$B1098&amp;"|"&amp;$D1098&amp;"|"&amp;$E1098)&gt;1),"⚠ Doublon",IF(AND($E1098&lt;&gt;"",COUNTIF(D_KEY_STATUT,$B1098&amp;"|"&amp;$E1098&amp;"|P")&gt;0,COUNTIF(D_KEY_STATUT,$B1098&amp;"|"&amp;$E1098&amp;"|A")&gt;0),"⚠ Statut incohérent",IF(AND($D1098="S1",$Y1098&lt;&gt;"Parti",COUNTIF(ANNEES_VERROU,$B1098)&gt;0,COUNTIF(D_KEY_NIVSES,$B1098&amp;"|"&amp;$C1098&amp;"|S2")&gt;0,COUNTIF(D_KEY_DOUBLON,$B1098&amp;"|S2|"&amp;$E1098)=0),"⚠ Départ non confirmé ?",IF(AND($C1098&lt;&gt;"",ISNUMBER($I1098),OR(VALUE(LEFT($B1098,4))-$I1098&lt;4+IFERROR(MATCH($C1098,LISTE_NIVEAUX,0),99),VALUE(LEFT($B1098,4))-$I1098&gt;6+IFERROR(MATCH($C1098,LISTE_NIVEAUX,0),99))),"⚠ Vérifier niveau",IF(AND(IFERROR(VLOOKUP($C1098,TABLE_CYCLE,2,0),3)=2,COUNT($O1098:$Q1098)&gt;0),"⚠ Tests cycle 3",IF(COUNT($J1098:$Q1098)&gt;=IF(IFERROR(VLOOKUP($C1098,TABLE_CYCLE,2,0),3)=2,5,8),"Complet","Incomplet"))))))))</f>
        <v/>
      </c>
      <c r="S1098" s="24"/>
      <c r="T1098" s="67" t="str">
        <f t="shared" si="154"/>
        <v/>
      </c>
      <c r="U1098" s="67" t="str">
        <f t="shared" si="155"/>
        <v/>
      </c>
      <c r="V1098" s="67" t="str">
        <f t="shared" si="156"/>
        <v/>
      </c>
      <c r="W1098" s="67" t="str">
        <f t="shared" si="157"/>
        <v/>
      </c>
      <c r="X1098" s="67" t="str">
        <f t="shared" si="158"/>
        <v/>
      </c>
      <c r="Y1098" s="24" t="str">
        <f t="shared" si="159"/>
        <v/>
      </c>
      <c r="Z1098">
        <f t="shared" si="160"/>
        <v>0</v>
      </c>
      <c r="AA1098">
        <f t="shared" si="161"/>
        <v>0</v>
      </c>
    </row>
    <row r="1099" spans="2:27" ht="15.75" customHeight="1" x14ac:dyDescent="0.3">
      <c r="B1099" s="21"/>
      <c r="C1099" s="21"/>
      <c r="D1099" s="21"/>
      <c r="E1099" s="22" t="str">
        <f t="shared" si="153"/>
        <v/>
      </c>
      <c r="F1099" s="21"/>
      <c r="G1099" s="21"/>
      <c r="H1099" s="21"/>
      <c r="I1099" s="21"/>
      <c r="J1099" s="21"/>
      <c r="K1099" s="21"/>
      <c r="L1099" s="21"/>
      <c r="M1099" s="21"/>
      <c r="N1099" s="21"/>
      <c r="O1099" s="21"/>
      <c r="P1099" s="21"/>
      <c r="Q1099" s="21"/>
      <c r="R1099" s="23" t="str">
        <f>IF($F1099="","",IF(OR($B1099="",$C1099="",$D1099=""),"⚠ Compléter Année/Niveau/Session",IF(AND($E1099&lt;&gt;"",COUNTIF(D_KEY_DOUBLON,$B1099&amp;"|"&amp;$D1099&amp;"|"&amp;$E1099)&gt;1),"⚠ Doublon",IF(AND($E1099&lt;&gt;"",COUNTIF(D_KEY_STATUT,$B1099&amp;"|"&amp;$E1099&amp;"|P")&gt;0,COUNTIF(D_KEY_STATUT,$B1099&amp;"|"&amp;$E1099&amp;"|A")&gt;0),"⚠ Statut incohérent",IF(AND($D1099="S1",$Y1099&lt;&gt;"Parti",COUNTIF(ANNEES_VERROU,$B1099)&gt;0,COUNTIF(D_KEY_NIVSES,$B1099&amp;"|"&amp;$C1099&amp;"|S2")&gt;0,COUNTIF(D_KEY_DOUBLON,$B1099&amp;"|S2|"&amp;$E1099)=0),"⚠ Départ non confirmé ?",IF(AND($C1099&lt;&gt;"",ISNUMBER($I1099),OR(VALUE(LEFT($B1099,4))-$I1099&lt;4+IFERROR(MATCH($C1099,LISTE_NIVEAUX,0),99),VALUE(LEFT($B1099,4))-$I1099&gt;6+IFERROR(MATCH($C1099,LISTE_NIVEAUX,0),99))),"⚠ Vérifier niveau",IF(AND(IFERROR(VLOOKUP($C1099,TABLE_CYCLE,2,0),3)=2,COUNT($O1099:$Q1099)&gt;0),"⚠ Tests cycle 3",IF(COUNT($J1099:$Q1099)&gt;=IF(IFERROR(VLOOKUP($C1099,TABLE_CYCLE,2,0),3)=2,5,8),"Complet","Incomplet"))))))))</f>
        <v/>
      </c>
      <c r="S1099" s="24"/>
      <c r="T1099" s="67" t="str">
        <f t="shared" si="154"/>
        <v/>
      </c>
      <c r="U1099" s="67" t="str">
        <f t="shared" si="155"/>
        <v/>
      </c>
      <c r="V1099" s="67" t="str">
        <f t="shared" si="156"/>
        <v/>
      </c>
      <c r="W1099" s="67" t="str">
        <f t="shared" si="157"/>
        <v/>
      </c>
      <c r="X1099" s="67" t="str">
        <f t="shared" si="158"/>
        <v/>
      </c>
      <c r="Y1099" s="24" t="str">
        <f t="shared" si="159"/>
        <v/>
      </c>
      <c r="Z1099">
        <f t="shared" si="160"/>
        <v>0</v>
      </c>
      <c r="AA1099">
        <f t="shared" si="161"/>
        <v>0</v>
      </c>
    </row>
    <row r="1100" spans="2:27" ht="15.75" customHeight="1" x14ac:dyDescent="0.3">
      <c r="B1100" s="25"/>
      <c r="C1100" s="25"/>
      <c r="D1100" s="25"/>
      <c r="E1100" s="26" t="str">
        <f t="shared" si="153"/>
        <v/>
      </c>
      <c r="F1100" s="25"/>
      <c r="G1100" s="25"/>
      <c r="H1100" s="25"/>
      <c r="I1100" s="25"/>
      <c r="J1100" s="25"/>
      <c r="K1100" s="25"/>
      <c r="L1100" s="25"/>
      <c r="M1100" s="25"/>
      <c r="N1100" s="25"/>
      <c r="O1100" s="25"/>
      <c r="P1100" s="25"/>
      <c r="Q1100" s="25"/>
      <c r="R1100" s="23" t="str">
        <f>IF($F1100="","",IF(OR($B1100="",$C1100="",$D1100=""),"⚠ Compléter Année/Niveau/Session",IF(AND($E1100&lt;&gt;"",COUNTIF(D_KEY_DOUBLON,$B1100&amp;"|"&amp;$D1100&amp;"|"&amp;$E1100)&gt;1),"⚠ Doublon",IF(AND($E1100&lt;&gt;"",COUNTIF(D_KEY_STATUT,$B1100&amp;"|"&amp;$E1100&amp;"|P")&gt;0,COUNTIF(D_KEY_STATUT,$B1100&amp;"|"&amp;$E1100&amp;"|A")&gt;0),"⚠ Statut incohérent",IF(AND($D1100="S1",$Y1100&lt;&gt;"Parti",COUNTIF(ANNEES_VERROU,$B1100)&gt;0,COUNTIF(D_KEY_NIVSES,$B1100&amp;"|"&amp;$C1100&amp;"|S2")&gt;0,COUNTIF(D_KEY_DOUBLON,$B1100&amp;"|S2|"&amp;$E1100)=0),"⚠ Départ non confirmé ?",IF(AND($C1100&lt;&gt;"",ISNUMBER($I1100),OR(VALUE(LEFT($B1100,4))-$I1100&lt;4+IFERROR(MATCH($C1100,LISTE_NIVEAUX,0),99),VALUE(LEFT($B1100,4))-$I1100&gt;6+IFERROR(MATCH($C1100,LISTE_NIVEAUX,0),99))),"⚠ Vérifier niveau",IF(AND(IFERROR(VLOOKUP($C1100,TABLE_CYCLE,2,0),3)=2,COUNT($O1100:$Q1100)&gt;0),"⚠ Tests cycle 3",IF(COUNT($J1100:$Q1100)&gt;=IF(IFERROR(VLOOKUP($C1100,TABLE_CYCLE,2,0),3)=2,5,8),"Complet","Incomplet"))))))))</f>
        <v/>
      </c>
      <c r="S1100" s="24"/>
      <c r="T1100" s="67" t="str">
        <f t="shared" si="154"/>
        <v/>
      </c>
      <c r="U1100" s="67" t="str">
        <f t="shared" si="155"/>
        <v/>
      </c>
      <c r="V1100" s="67" t="str">
        <f t="shared" si="156"/>
        <v/>
      </c>
      <c r="W1100" s="67" t="str">
        <f t="shared" si="157"/>
        <v/>
      </c>
      <c r="X1100" s="67" t="str">
        <f t="shared" si="158"/>
        <v/>
      </c>
      <c r="Y1100" s="24" t="str">
        <f t="shared" si="159"/>
        <v/>
      </c>
      <c r="Z1100">
        <f t="shared" si="160"/>
        <v>0</v>
      </c>
      <c r="AA1100">
        <f t="shared" si="161"/>
        <v>0</v>
      </c>
    </row>
    <row r="1101" spans="2:27" ht="15.75" customHeight="1" x14ac:dyDescent="0.3">
      <c r="B1101" s="21"/>
      <c r="C1101" s="21"/>
      <c r="D1101" s="21"/>
      <c r="E1101" s="22" t="str">
        <f t="shared" si="153"/>
        <v/>
      </c>
      <c r="F1101" s="21"/>
      <c r="G1101" s="21"/>
      <c r="H1101" s="21"/>
      <c r="I1101" s="21"/>
      <c r="J1101" s="21"/>
      <c r="K1101" s="21"/>
      <c r="L1101" s="21"/>
      <c r="M1101" s="21"/>
      <c r="N1101" s="21"/>
      <c r="O1101" s="21"/>
      <c r="P1101" s="21"/>
      <c r="Q1101" s="21"/>
      <c r="R1101" s="23" t="str">
        <f>IF($F1101="","",IF(OR($B1101="",$C1101="",$D1101=""),"⚠ Compléter Année/Niveau/Session",IF(AND($E1101&lt;&gt;"",COUNTIF(D_KEY_DOUBLON,$B1101&amp;"|"&amp;$D1101&amp;"|"&amp;$E1101)&gt;1),"⚠ Doublon",IF(AND($E1101&lt;&gt;"",COUNTIF(D_KEY_STATUT,$B1101&amp;"|"&amp;$E1101&amp;"|P")&gt;0,COUNTIF(D_KEY_STATUT,$B1101&amp;"|"&amp;$E1101&amp;"|A")&gt;0),"⚠ Statut incohérent",IF(AND($D1101="S1",$Y1101&lt;&gt;"Parti",COUNTIF(ANNEES_VERROU,$B1101)&gt;0,COUNTIF(D_KEY_NIVSES,$B1101&amp;"|"&amp;$C1101&amp;"|S2")&gt;0,COUNTIF(D_KEY_DOUBLON,$B1101&amp;"|S2|"&amp;$E1101)=0),"⚠ Départ non confirmé ?",IF(AND($C1101&lt;&gt;"",ISNUMBER($I1101),OR(VALUE(LEFT($B1101,4))-$I1101&lt;4+IFERROR(MATCH($C1101,LISTE_NIVEAUX,0),99),VALUE(LEFT($B1101,4))-$I1101&gt;6+IFERROR(MATCH($C1101,LISTE_NIVEAUX,0),99))),"⚠ Vérifier niveau",IF(AND(IFERROR(VLOOKUP($C1101,TABLE_CYCLE,2,0),3)=2,COUNT($O1101:$Q1101)&gt;0),"⚠ Tests cycle 3",IF(COUNT($J1101:$Q1101)&gt;=IF(IFERROR(VLOOKUP($C1101,TABLE_CYCLE,2,0),3)=2,5,8),"Complet","Incomplet"))))))))</f>
        <v/>
      </c>
      <c r="S1101" s="24"/>
      <c r="T1101" s="67" t="str">
        <f t="shared" si="154"/>
        <v/>
      </c>
      <c r="U1101" s="67" t="str">
        <f t="shared" si="155"/>
        <v/>
      </c>
      <c r="V1101" s="67" t="str">
        <f t="shared" si="156"/>
        <v/>
      </c>
      <c r="W1101" s="67" t="str">
        <f t="shared" si="157"/>
        <v/>
      </c>
      <c r="X1101" s="67" t="str">
        <f t="shared" si="158"/>
        <v/>
      </c>
      <c r="Y1101" s="24" t="str">
        <f t="shared" si="159"/>
        <v/>
      </c>
      <c r="Z1101">
        <f t="shared" si="160"/>
        <v>0</v>
      </c>
      <c r="AA1101">
        <f t="shared" si="161"/>
        <v>0</v>
      </c>
    </row>
    <row r="1102" spans="2:27" ht="15.75" customHeight="1" x14ac:dyDescent="0.3">
      <c r="B1102" s="25"/>
      <c r="C1102" s="25"/>
      <c r="D1102" s="25"/>
      <c r="E1102" s="26" t="str">
        <f t="shared" si="153"/>
        <v/>
      </c>
      <c r="F1102" s="25"/>
      <c r="G1102" s="25"/>
      <c r="H1102" s="25"/>
      <c r="I1102" s="25"/>
      <c r="J1102" s="25"/>
      <c r="K1102" s="25"/>
      <c r="L1102" s="25"/>
      <c r="M1102" s="25"/>
      <c r="N1102" s="25"/>
      <c r="O1102" s="25"/>
      <c r="P1102" s="25"/>
      <c r="Q1102" s="25"/>
      <c r="R1102" s="23" t="str">
        <f>IF($F1102="","",IF(OR($B1102="",$C1102="",$D1102=""),"⚠ Compléter Année/Niveau/Session",IF(AND($E1102&lt;&gt;"",COUNTIF(D_KEY_DOUBLON,$B1102&amp;"|"&amp;$D1102&amp;"|"&amp;$E1102)&gt;1),"⚠ Doublon",IF(AND($E1102&lt;&gt;"",COUNTIF(D_KEY_STATUT,$B1102&amp;"|"&amp;$E1102&amp;"|P")&gt;0,COUNTIF(D_KEY_STATUT,$B1102&amp;"|"&amp;$E1102&amp;"|A")&gt;0),"⚠ Statut incohérent",IF(AND($D1102="S1",$Y1102&lt;&gt;"Parti",COUNTIF(ANNEES_VERROU,$B1102)&gt;0,COUNTIF(D_KEY_NIVSES,$B1102&amp;"|"&amp;$C1102&amp;"|S2")&gt;0,COUNTIF(D_KEY_DOUBLON,$B1102&amp;"|S2|"&amp;$E1102)=0),"⚠ Départ non confirmé ?",IF(AND($C1102&lt;&gt;"",ISNUMBER($I1102),OR(VALUE(LEFT($B1102,4))-$I1102&lt;4+IFERROR(MATCH($C1102,LISTE_NIVEAUX,0),99),VALUE(LEFT($B1102,4))-$I1102&gt;6+IFERROR(MATCH($C1102,LISTE_NIVEAUX,0),99))),"⚠ Vérifier niveau",IF(AND(IFERROR(VLOOKUP($C1102,TABLE_CYCLE,2,0),3)=2,COUNT($O1102:$Q1102)&gt;0),"⚠ Tests cycle 3",IF(COUNT($J1102:$Q1102)&gt;=IF(IFERROR(VLOOKUP($C1102,TABLE_CYCLE,2,0),3)=2,5,8),"Complet","Incomplet"))))))))</f>
        <v/>
      </c>
      <c r="S1102" s="24"/>
      <c r="T1102" s="67" t="str">
        <f t="shared" si="154"/>
        <v/>
      </c>
      <c r="U1102" s="67" t="str">
        <f t="shared" si="155"/>
        <v/>
      </c>
      <c r="V1102" s="67" t="str">
        <f t="shared" si="156"/>
        <v/>
      </c>
      <c r="W1102" s="67" t="str">
        <f t="shared" si="157"/>
        <v/>
      </c>
      <c r="X1102" s="67" t="str">
        <f t="shared" si="158"/>
        <v/>
      </c>
      <c r="Y1102" s="24" t="str">
        <f t="shared" si="159"/>
        <v/>
      </c>
      <c r="Z1102">
        <f t="shared" si="160"/>
        <v>0</v>
      </c>
      <c r="AA1102">
        <f t="shared" si="161"/>
        <v>0</v>
      </c>
    </row>
    <row r="1103" spans="2:27" ht="15.75" customHeight="1" x14ac:dyDescent="0.3">
      <c r="B1103" s="21"/>
      <c r="C1103" s="21"/>
      <c r="D1103" s="21"/>
      <c r="E1103" s="22" t="str">
        <f t="shared" si="153"/>
        <v/>
      </c>
      <c r="F1103" s="21"/>
      <c r="G1103" s="21"/>
      <c r="H1103" s="21"/>
      <c r="I1103" s="21"/>
      <c r="J1103" s="21"/>
      <c r="K1103" s="21"/>
      <c r="L1103" s="21"/>
      <c r="M1103" s="21"/>
      <c r="N1103" s="21"/>
      <c r="O1103" s="21"/>
      <c r="P1103" s="21"/>
      <c r="Q1103" s="21"/>
      <c r="R1103" s="23" t="str">
        <f>IF($F1103="","",IF(OR($B1103="",$C1103="",$D1103=""),"⚠ Compléter Année/Niveau/Session",IF(AND($E1103&lt;&gt;"",COUNTIF(D_KEY_DOUBLON,$B1103&amp;"|"&amp;$D1103&amp;"|"&amp;$E1103)&gt;1),"⚠ Doublon",IF(AND($E1103&lt;&gt;"",COUNTIF(D_KEY_STATUT,$B1103&amp;"|"&amp;$E1103&amp;"|P")&gt;0,COUNTIF(D_KEY_STATUT,$B1103&amp;"|"&amp;$E1103&amp;"|A")&gt;0),"⚠ Statut incohérent",IF(AND($D1103="S1",$Y1103&lt;&gt;"Parti",COUNTIF(ANNEES_VERROU,$B1103)&gt;0,COUNTIF(D_KEY_NIVSES,$B1103&amp;"|"&amp;$C1103&amp;"|S2")&gt;0,COUNTIF(D_KEY_DOUBLON,$B1103&amp;"|S2|"&amp;$E1103)=0),"⚠ Départ non confirmé ?",IF(AND($C1103&lt;&gt;"",ISNUMBER($I1103),OR(VALUE(LEFT($B1103,4))-$I1103&lt;4+IFERROR(MATCH($C1103,LISTE_NIVEAUX,0),99),VALUE(LEFT($B1103,4))-$I1103&gt;6+IFERROR(MATCH($C1103,LISTE_NIVEAUX,0),99))),"⚠ Vérifier niveau",IF(AND(IFERROR(VLOOKUP($C1103,TABLE_CYCLE,2,0),3)=2,COUNT($O1103:$Q1103)&gt;0),"⚠ Tests cycle 3",IF(COUNT($J1103:$Q1103)&gt;=IF(IFERROR(VLOOKUP($C1103,TABLE_CYCLE,2,0),3)=2,5,8),"Complet","Incomplet"))))))))</f>
        <v/>
      </c>
      <c r="S1103" s="24"/>
      <c r="T1103" s="67" t="str">
        <f t="shared" si="154"/>
        <v/>
      </c>
      <c r="U1103" s="67" t="str">
        <f t="shared" si="155"/>
        <v/>
      </c>
      <c r="V1103" s="67" t="str">
        <f t="shared" si="156"/>
        <v/>
      </c>
      <c r="W1103" s="67" t="str">
        <f t="shared" si="157"/>
        <v/>
      </c>
      <c r="X1103" s="67" t="str">
        <f t="shared" si="158"/>
        <v/>
      </c>
      <c r="Y1103" s="24" t="str">
        <f t="shared" si="159"/>
        <v/>
      </c>
      <c r="Z1103">
        <f t="shared" si="160"/>
        <v>0</v>
      </c>
      <c r="AA1103">
        <f t="shared" si="161"/>
        <v>0</v>
      </c>
    </row>
    <row r="1104" spans="2:27" ht="15.75" customHeight="1" x14ac:dyDescent="0.3">
      <c r="B1104" s="25"/>
      <c r="C1104" s="25"/>
      <c r="D1104" s="25"/>
      <c r="E1104" s="26" t="str">
        <f t="shared" si="153"/>
        <v/>
      </c>
      <c r="F1104" s="25"/>
      <c r="G1104" s="25"/>
      <c r="H1104" s="25"/>
      <c r="I1104" s="25"/>
      <c r="J1104" s="25"/>
      <c r="K1104" s="25"/>
      <c r="L1104" s="25"/>
      <c r="M1104" s="25"/>
      <c r="N1104" s="25"/>
      <c r="O1104" s="25"/>
      <c r="P1104" s="25"/>
      <c r="Q1104" s="25"/>
      <c r="R1104" s="23" t="str">
        <f>IF($F1104="","",IF(OR($B1104="",$C1104="",$D1104=""),"⚠ Compléter Année/Niveau/Session",IF(AND($E1104&lt;&gt;"",COUNTIF(D_KEY_DOUBLON,$B1104&amp;"|"&amp;$D1104&amp;"|"&amp;$E1104)&gt;1),"⚠ Doublon",IF(AND($E1104&lt;&gt;"",COUNTIF(D_KEY_STATUT,$B1104&amp;"|"&amp;$E1104&amp;"|P")&gt;0,COUNTIF(D_KEY_STATUT,$B1104&amp;"|"&amp;$E1104&amp;"|A")&gt;0),"⚠ Statut incohérent",IF(AND($D1104="S1",$Y1104&lt;&gt;"Parti",COUNTIF(ANNEES_VERROU,$B1104)&gt;0,COUNTIF(D_KEY_NIVSES,$B1104&amp;"|"&amp;$C1104&amp;"|S2")&gt;0,COUNTIF(D_KEY_DOUBLON,$B1104&amp;"|S2|"&amp;$E1104)=0),"⚠ Départ non confirmé ?",IF(AND($C1104&lt;&gt;"",ISNUMBER($I1104),OR(VALUE(LEFT($B1104,4))-$I1104&lt;4+IFERROR(MATCH($C1104,LISTE_NIVEAUX,0),99),VALUE(LEFT($B1104,4))-$I1104&gt;6+IFERROR(MATCH($C1104,LISTE_NIVEAUX,0),99))),"⚠ Vérifier niveau",IF(AND(IFERROR(VLOOKUP($C1104,TABLE_CYCLE,2,0),3)=2,COUNT($O1104:$Q1104)&gt;0),"⚠ Tests cycle 3",IF(COUNT($J1104:$Q1104)&gt;=IF(IFERROR(VLOOKUP($C1104,TABLE_CYCLE,2,0),3)=2,5,8),"Complet","Incomplet"))))))))</f>
        <v/>
      </c>
      <c r="S1104" s="24"/>
      <c r="T1104" s="67" t="str">
        <f t="shared" si="154"/>
        <v/>
      </c>
      <c r="U1104" s="67" t="str">
        <f t="shared" si="155"/>
        <v/>
      </c>
      <c r="V1104" s="67" t="str">
        <f t="shared" si="156"/>
        <v/>
      </c>
      <c r="W1104" s="67" t="str">
        <f t="shared" si="157"/>
        <v/>
      </c>
      <c r="X1104" s="67" t="str">
        <f t="shared" si="158"/>
        <v/>
      </c>
      <c r="Y1104" s="24" t="str">
        <f t="shared" si="159"/>
        <v/>
      </c>
      <c r="Z1104">
        <f t="shared" si="160"/>
        <v>0</v>
      </c>
      <c r="AA1104">
        <f t="shared" si="161"/>
        <v>0</v>
      </c>
    </row>
    <row r="1105" spans="2:27" ht="15.75" customHeight="1" x14ac:dyDescent="0.3">
      <c r="B1105" s="21"/>
      <c r="C1105" s="21"/>
      <c r="D1105" s="21"/>
      <c r="E1105" s="22" t="str">
        <f t="shared" si="153"/>
        <v/>
      </c>
      <c r="F1105" s="21"/>
      <c r="G1105" s="21"/>
      <c r="H1105" s="21"/>
      <c r="I1105" s="21"/>
      <c r="J1105" s="21"/>
      <c r="K1105" s="21"/>
      <c r="L1105" s="21"/>
      <c r="M1105" s="21"/>
      <c r="N1105" s="21"/>
      <c r="O1105" s="21"/>
      <c r="P1105" s="21"/>
      <c r="Q1105" s="21"/>
      <c r="R1105" s="23" t="str">
        <f>IF($F1105="","",IF(OR($B1105="",$C1105="",$D1105=""),"⚠ Compléter Année/Niveau/Session",IF(AND($E1105&lt;&gt;"",COUNTIF(D_KEY_DOUBLON,$B1105&amp;"|"&amp;$D1105&amp;"|"&amp;$E1105)&gt;1),"⚠ Doublon",IF(AND($E1105&lt;&gt;"",COUNTIF(D_KEY_STATUT,$B1105&amp;"|"&amp;$E1105&amp;"|P")&gt;0,COUNTIF(D_KEY_STATUT,$B1105&amp;"|"&amp;$E1105&amp;"|A")&gt;0),"⚠ Statut incohérent",IF(AND($D1105="S1",$Y1105&lt;&gt;"Parti",COUNTIF(ANNEES_VERROU,$B1105)&gt;0,COUNTIF(D_KEY_NIVSES,$B1105&amp;"|"&amp;$C1105&amp;"|S2")&gt;0,COUNTIF(D_KEY_DOUBLON,$B1105&amp;"|S2|"&amp;$E1105)=0),"⚠ Départ non confirmé ?",IF(AND($C1105&lt;&gt;"",ISNUMBER($I1105),OR(VALUE(LEFT($B1105,4))-$I1105&lt;4+IFERROR(MATCH($C1105,LISTE_NIVEAUX,0),99),VALUE(LEFT($B1105,4))-$I1105&gt;6+IFERROR(MATCH($C1105,LISTE_NIVEAUX,0),99))),"⚠ Vérifier niveau",IF(AND(IFERROR(VLOOKUP($C1105,TABLE_CYCLE,2,0),3)=2,COUNT($O1105:$Q1105)&gt;0),"⚠ Tests cycle 3",IF(COUNT($J1105:$Q1105)&gt;=IF(IFERROR(VLOOKUP($C1105,TABLE_CYCLE,2,0),3)=2,5,8),"Complet","Incomplet"))))))))</f>
        <v/>
      </c>
      <c r="S1105" s="24"/>
      <c r="T1105" s="67" t="str">
        <f t="shared" si="154"/>
        <v/>
      </c>
      <c r="U1105" s="67" t="str">
        <f t="shared" si="155"/>
        <v/>
      </c>
      <c r="V1105" s="67" t="str">
        <f t="shared" si="156"/>
        <v/>
      </c>
      <c r="W1105" s="67" t="str">
        <f t="shared" si="157"/>
        <v/>
      </c>
      <c r="X1105" s="67" t="str">
        <f t="shared" si="158"/>
        <v/>
      </c>
      <c r="Y1105" s="24" t="str">
        <f t="shared" si="159"/>
        <v/>
      </c>
      <c r="Z1105">
        <f t="shared" si="160"/>
        <v>0</v>
      </c>
      <c r="AA1105">
        <f t="shared" si="161"/>
        <v>0</v>
      </c>
    </row>
    <row r="1106" spans="2:27" ht="15.75" customHeight="1" x14ac:dyDescent="0.3">
      <c r="B1106" s="25"/>
      <c r="C1106" s="25"/>
      <c r="D1106" s="25"/>
      <c r="E1106" s="26" t="str">
        <f t="shared" si="153"/>
        <v/>
      </c>
      <c r="F1106" s="25"/>
      <c r="G1106" s="25"/>
      <c r="H1106" s="25"/>
      <c r="I1106" s="25"/>
      <c r="J1106" s="25"/>
      <c r="K1106" s="25"/>
      <c r="L1106" s="25"/>
      <c r="M1106" s="25"/>
      <c r="N1106" s="25"/>
      <c r="O1106" s="25"/>
      <c r="P1106" s="25"/>
      <c r="Q1106" s="25"/>
      <c r="R1106" s="23" t="str">
        <f>IF($F1106="","",IF(OR($B1106="",$C1106="",$D1106=""),"⚠ Compléter Année/Niveau/Session",IF(AND($E1106&lt;&gt;"",COUNTIF(D_KEY_DOUBLON,$B1106&amp;"|"&amp;$D1106&amp;"|"&amp;$E1106)&gt;1),"⚠ Doublon",IF(AND($E1106&lt;&gt;"",COUNTIF(D_KEY_STATUT,$B1106&amp;"|"&amp;$E1106&amp;"|P")&gt;0,COUNTIF(D_KEY_STATUT,$B1106&amp;"|"&amp;$E1106&amp;"|A")&gt;0),"⚠ Statut incohérent",IF(AND($D1106="S1",$Y1106&lt;&gt;"Parti",COUNTIF(ANNEES_VERROU,$B1106)&gt;0,COUNTIF(D_KEY_NIVSES,$B1106&amp;"|"&amp;$C1106&amp;"|S2")&gt;0,COUNTIF(D_KEY_DOUBLON,$B1106&amp;"|S2|"&amp;$E1106)=0),"⚠ Départ non confirmé ?",IF(AND($C1106&lt;&gt;"",ISNUMBER($I1106),OR(VALUE(LEFT($B1106,4))-$I1106&lt;4+IFERROR(MATCH($C1106,LISTE_NIVEAUX,0),99),VALUE(LEFT($B1106,4))-$I1106&gt;6+IFERROR(MATCH($C1106,LISTE_NIVEAUX,0),99))),"⚠ Vérifier niveau",IF(AND(IFERROR(VLOOKUP($C1106,TABLE_CYCLE,2,0),3)=2,COUNT($O1106:$Q1106)&gt;0),"⚠ Tests cycle 3",IF(COUNT($J1106:$Q1106)&gt;=IF(IFERROR(VLOOKUP($C1106,TABLE_CYCLE,2,0),3)=2,5,8),"Complet","Incomplet"))))))))</f>
        <v/>
      </c>
      <c r="S1106" s="24"/>
      <c r="T1106" s="67" t="str">
        <f t="shared" si="154"/>
        <v/>
      </c>
      <c r="U1106" s="67" t="str">
        <f t="shared" si="155"/>
        <v/>
      </c>
      <c r="V1106" s="67" t="str">
        <f t="shared" si="156"/>
        <v/>
      </c>
      <c r="W1106" s="67" t="str">
        <f t="shared" si="157"/>
        <v/>
      </c>
      <c r="X1106" s="67" t="str">
        <f t="shared" si="158"/>
        <v/>
      </c>
      <c r="Y1106" s="24" t="str">
        <f t="shared" si="159"/>
        <v/>
      </c>
      <c r="Z1106">
        <f t="shared" si="160"/>
        <v>0</v>
      </c>
      <c r="AA1106">
        <f t="shared" si="161"/>
        <v>0</v>
      </c>
    </row>
    <row r="1107" spans="2:27" ht="15.75" customHeight="1" x14ac:dyDescent="0.3">
      <c r="B1107" s="21"/>
      <c r="C1107" s="21"/>
      <c r="D1107" s="21"/>
      <c r="E1107" s="22" t="str">
        <f t="shared" si="153"/>
        <v/>
      </c>
      <c r="F1107" s="21"/>
      <c r="G1107" s="21"/>
      <c r="H1107" s="21"/>
      <c r="I1107" s="21"/>
      <c r="J1107" s="21"/>
      <c r="K1107" s="21"/>
      <c r="L1107" s="21"/>
      <c r="M1107" s="21"/>
      <c r="N1107" s="21"/>
      <c r="O1107" s="21"/>
      <c r="P1107" s="21"/>
      <c r="Q1107" s="21"/>
      <c r="R1107" s="23" t="str">
        <f>IF($F1107="","",IF(OR($B1107="",$C1107="",$D1107=""),"⚠ Compléter Année/Niveau/Session",IF(AND($E1107&lt;&gt;"",COUNTIF(D_KEY_DOUBLON,$B1107&amp;"|"&amp;$D1107&amp;"|"&amp;$E1107)&gt;1),"⚠ Doublon",IF(AND($E1107&lt;&gt;"",COUNTIF(D_KEY_STATUT,$B1107&amp;"|"&amp;$E1107&amp;"|P")&gt;0,COUNTIF(D_KEY_STATUT,$B1107&amp;"|"&amp;$E1107&amp;"|A")&gt;0),"⚠ Statut incohérent",IF(AND($D1107="S1",$Y1107&lt;&gt;"Parti",COUNTIF(ANNEES_VERROU,$B1107)&gt;0,COUNTIF(D_KEY_NIVSES,$B1107&amp;"|"&amp;$C1107&amp;"|S2")&gt;0,COUNTIF(D_KEY_DOUBLON,$B1107&amp;"|S2|"&amp;$E1107)=0),"⚠ Départ non confirmé ?",IF(AND($C1107&lt;&gt;"",ISNUMBER($I1107),OR(VALUE(LEFT($B1107,4))-$I1107&lt;4+IFERROR(MATCH($C1107,LISTE_NIVEAUX,0),99),VALUE(LEFT($B1107,4))-$I1107&gt;6+IFERROR(MATCH($C1107,LISTE_NIVEAUX,0),99))),"⚠ Vérifier niveau",IF(AND(IFERROR(VLOOKUP($C1107,TABLE_CYCLE,2,0),3)=2,COUNT($O1107:$Q1107)&gt;0),"⚠ Tests cycle 3",IF(COUNT($J1107:$Q1107)&gt;=IF(IFERROR(VLOOKUP($C1107,TABLE_CYCLE,2,0),3)=2,5,8),"Complet","Incomplet"))))))))</f>
        <v/>
      </c>
      <c r="S1107" s="24"/>
      <c r="T1107" s="67" t="str">
        <f t="shared" si="154"/>
        <v/>
      </c>
      <c r="U1107" s="67" t="str">
        <f t="shared" si="155"/>
        <v/>
      </c>
      <c r="V1107" s="67" t="str">
        <f t="shared" si="156"/>
        <v/>
      </c>
      <c r="W1107" s="67" t="str">
        <f t="shared" si="157"/>
        <v/>
      </c>
      <c r="X1107" s="67" t="str">
        <f t="shared" si="158"/>
        <v/>
      </c>
      <c r="Y1107" s="24" t="str">
        <f t="shared" si="159"/>
        <v/>
      </c>
      <c r="Z1107">
        <f t="shared" si="160"/>
        <v>0</v>
      </c>
      <c r="AA1107">
        <f t="shared" si="161"/>
        <v>0</v>
      </c>
    </row>
    <row r="1108" spans="2:27" ht="15.75" customHeight="1" x14ac:dyDescent="0.3">
      <c r="B1108" s="25"/>
      <c r="C1108" s="25"/>
      <c r="D1108" s="25"/>
      <c r="E1108" s="26" t="str">
        <f t="shared" si="153"/>
        <v/>
      </c>
      <c r="F1108" s="25"/>
      <c r="G1108" s="25"/>
      <c r="H1108" s="25"/>
      <c r="I1108" s="25"/>
      <c r="J1108" s="25"/>
      <c r="K1108" s="25"/>
      <c r="L1108" s="25"/>
      <c r="M1108" s="25"/>
      <c r="N1108" s="25"/>
      <c r="O1108" s="25"/>
      <c r="P1108" s="25"/>
      <c r="Q1108" s="25"/>
      <c r="R1108" s="23" t="str">
        <f>IF($F1108="","",IF(OR($B1108="",$C1108="",$D1108=""),"⚠ Compléter Année/Niveau/Session",IF(AND($E1108&lt;&gt;"",COUNTIF(D_KEY_DOUBLON,$B1108&amp;"|"&amp;$D1108&amp;"|"&amp;$E1108)&gt;1),"⚠ Doublon",IF(AND($E1108&lt;&gt;"",COUNTIF(D_KEY_STATUT,$B1108&amp;"|"&amp;$E1108&amp;"|P")&gt;0,COUNTIF(D_KEY_STATUT,$B1108&amp;"|"&amp;$E1108&amp;"|A")&gt;0),"⚠ Statut incohérent",IF(AND($D1108="S1",$Y1108&lt;&gt;"Parti",COUNTIF(ANNEES_VERROU,$B1108)&gt;0,COUNTIF(D_KEY_NIVSES,$B1108&amp;"|"&amp;$C1108&amp;"|S2")&gt;0,COUNTIF(D_KEY_DOUBLON,$B1108&amp;"|S2|"&amp;$E1108)=0),"⚠ Départ non confirmé ?",IF(AND($C1108&lt;&gt;"",ISNUMBER($I1108),OR(VALUE(LEFT($B1108,4))-$I1108&lt;4+IFERROR(MATCH($C1108,LISTE_NIVEAUX,0),99),VALUE(LEFT($B1108,4))-$I1108&gt;6+IFERROR(MATCH($C1108,LISTE_NIVEAUX,0),99))),"⚠ Vérifier niveau",IF(AND(IFERROR(VLOOKUP($C1108,TABLE_CYCLE,2,0),3)=2,COUNT($O1108:$Q1108)&gt;0),"⚠ Tests cycle 3",IF(COUNT($J1108:$Q1108)&gt;=IF(IFERROR(VLOOKUP($C1108,TABLE_CYCLE,2,0),3)=2,5,8),"Complet","Incomplet"))))))))</f>
        <v/>
      </c>
      <c r="S1108" s="24"/>
      <c r="T1108" s="67" t="str">
        <f t="shared" si="154"/>
        <v/>
      </c>
      <c r="U1108" s="67" t="str">
        <f t="shared" si="155"/>
        <v/>
      </c>
      <c r="V1108" s="67" t="str">
        <f t="shared" si="156"/>
        <v/>
      </c>
      <c r="W1108" s="67" t="str">
        <f t="shared" si="157"/>
        <v/>
      </c>
      <c r="X1108" s="67" t="str">
        <f t="shared" si="158"/>
        <v/>
      </c>
      <c r="Y1108" s="24" t="str">
        <f t="shared" si="159"/>
        <v/>
      </c>
      <c r="Z1108">
        <f t="shared" si="160"/>
        <v>0</v>
      </c>
      <c r="AA1108">
        <f t="shared" si="161"/>
        <v>0</v>
      </c>
    </row>
    <row r="1109" spans="2:27" ht="15.75" customHeight="1" x14ac:dyDescent="0.3">
      <c r="B1109" s="21"/>
      <c r="C1109" s="21"/>
      <c r="D1109" s="21"/>
      <c r="E1109" s="22" t="str">
        <f t="shared" si="153"/>
        <v/>
      </c>
      <c r="F1109" s="21"/>
      <c r="G1109" s="21"/>
      <c r="H1109" s="21"/>
      <c r="I1109" s="21"/>
      <c r="J1109" s="21"/>
      <c r="K1109" s="21"/>
      <c r="L1109" s="21"/>
      <c r="M1109" s="21"/>
      <c r="N1109" s="21"/>
      <c r="O1109" s="21"/>
      <c r="P1109" s="21"/>
      <c r="Q1109" s="21"/>
      <c r="R1109" s="23" t="str">
        <f>IF($F1109="","",IF(OR($B1109="",$C1109="",$D1109=""),"⚠ Compléter Année/Niveau/Session",IF(AND($E1109&lt;&gt;"",COUNTIF(D_KEY_DOUBLON,$B1109&amp;"|"&amp;$D1109&amp;"|"&amp;$E1109)&gt;1),"⚠ Doublon",IF(AND($E1109&lt;&gt;"",COUNTIF(D_KEY_STATUT,$B1109&amp;"|"&amp;$E1109&amp;"|P")&gt;0,COUNTIF(D_KEY_STATUT,$B1109&amp;"|"&amp;$E1109&amp;"|A")&gt;0),"⚠ Statut incohérent",IF(AND($D1109="S1",$Y1109&lt;&gt;"Parti",COUNTIF(ANNEES_VERROU,$B1109)&gt;0,COUNTIF(D_KEY_NIVSES,$B1109&amp;"|"&amp;$C1109&amp;"|S2")&gt;0,COUNTIF(D_KEY_DOUBLON,$B1109&amp;"|S2|"&amp;$E1109)=0),"⚠ Départ non confirmé ?",IF(AND($C1109&lt;&gt;"",ISNUMBER($I1109),OR(VALUE(LEFT($B1109,4))-$I1109&lt;4+IFERROR(MATCH($C1109,LISTE_NIVEAUX,0),99),VALUE(LEFT($B1109,4))-$I1109&gt;6+IFERROR(MATCH($C1109,LISTE_NIVEAUX,0),99))),"⚠ Vérifier niveau",IF(AND(IFERROR(VLOOKUP($C1109,TABLE_CYCLE,2,0),3)=2,COUNT($O1109:$Q1109)&gt;0),"⚠ Tests cycle 3",IF(COUNT($J1109:$Q1109)&gt;=IF(IFERROR(VLOOKUP($C1109,TABLE_CYCLE,2,0),3)=2,5,8),"Complet","Incomplet"))))))))</f>
        <v/>
      </c>
      <c r="S1109" s="24"/>
      <c r="T1109" s="67" t="str">
        <f t="shared" si="154"/>
        <v/>
      </c>
      <c r="U1109" s="67" t="str">
        <f t="shared" si="155"/>
        <v/>
      </c>
      <c r="V1109" s="67" t="str">
        <f t="shared" si="156"/>
        <v/>
      </c>
      <c r="W1109" s="67" t="str">
        <f t="shared" si="157"/>
        <v/>
      </c>
      <c r="X1109" s="67" t="str">
        <f t="shared" si="158"/>
        <v/>
      </c>
      <c r="Y1109" s="24" t="str">
        <f t="shared" si="159"/>
        <v/>
      </c>
      <c r="Z1109">
        <f t="shared" si="160"/>
        <v>0</v>
      </c>
      <c r="AA1109">
        <f t="shared" si="161"/>
        <v>0</v>
      </c>
    </row>
    <row r="1110" spans="2:27" ht="15.75" customHeight="1" x14ac:dyDescent="0.3">
      <c r="B1110" s="25"/>
      <c r="C1110" s="25"/>
      <c r="D1110" s="25"/>
      <c r="E1110" s="26" t="str">
        <f t="shared" si="153"/>
        <v/>
      </c>
      <c r="F1110" s="25"/>
      <c r="G1110" s="25"/>
      <c r="H1110" s="25"/>
      <c r="I1110" s="25"/>
      <c r="J1110" s="25"/>
      <c r="K1110" s="25"/>
      <c r="L1110" s="25"/>
      <c r="M1110" s="25"/>
      <c r="N1110" s="25"/>
      <c r="O1110" s="25"/>
      <c r="P1110" s="25"/>
      <c r="Q1110" s="25"/>
      <c r="R1110" s="23" t="str">
        <f>IF($F1110="","",IF(OR($B1110="",$C1110="",$D1110=""),"⚠ Compléter Année/Niveau/Session",IF(AND($E1110&lt;&gt;"",COUNTIF(D_KEY_DOUBLON,$B1110&amp;"|"&amp;$D1110&amp;"|"&amp;$E1110)&gt;1),"⚠ Doublon",IF(AND($E1110&lt;&gt;"",COUNTIF(D_KEY_STATUT,$B1110&amp;"|"&amp;$E1110&amp;"|P")&gt;0,COUNTIF(D_KEY_STATUT,$B1110&amp;"|"&amp;$E1110&amp;"|A")&gt;0),"⚠ Statut incohérent",IF(AND($D1110="S1",$Y1110&lt;&gt;"Parti",COUNTIF(ANNEES_VERROU,$B1110)&gt;0,COUNTIF(D_KEY_NIVSES,$B1110&amp;"|"&amp;$C1110&amp;"|S2")&gt;0,COUNTIF(D_KEY_DOUBLON,$B1110&amp;"|S2|"&amp;$E1110)=0),"⚠ Départ non confirmé ?",IF(AND($C1110&lt;&gt;"",ISNUMBER($I1110),OR(VALUE(LEFT($B1110,4))-$I1110&lt;4+IFERROR(MATCH($C1110,LISTE_NIVEAUX,0),99),VALUE(LEFT($B1110,4))-$I1110&gt;6+IFERROR(MATCH($C1110,LISTE_NIVEAUX,0),99))),"⚠ Vérifier niveau",IF(AND(IFERROR(VLOOKUP($C1110,TABLE_CYCLE,2,0),3)=2,COUNT($O1110:$Q1110)&gt;0),"⚠ Tests cycle 3",IF(COUNT($J1110:$Q1110)&gt;=IF(IFERROR(VLOOKUP($C1110,TABLE_CYCLE,2,0),3)=2,5,8),"Complet","Incomplet"))))))))</f>
        <v/>
      </c>
      <c r="S1110" s="24"/>
      <c r="T1110" s="67" t="str">
        <f t="shared" si="154"/>
        <v/>
      </c>
      <c r="U1110" s="67" t="str">
        <f t="shared" si="155"/>
        <v/>
      </c>
      <c r="V1110" s="67" t="str">
        <f t="shared" si="156"/>
        <v/>
      </c>
      <c r="W1110" s="67" t="str">
        <f t="shared" si="157"/>
        <v/>
      </c>
      <c r="X1110" s="67" t="str">
        <f t="shared" si="158"/>
        <v/>
      </c>
      <c r="Y1110" s="24" t="str">
        <f t="shared" si="159"/>
        <v/>
      </c>
      <c r="Z1110">
        <f t="shared" si="160"/>
        <v>0</v>
      </c>
      <c r="AA1110">
        <f t="shared" si="161"/>
        <v>0</v>
      </c>
    </row>
    <row r="1111" spans="2:27" ht="15.75" customHeight="1" x14ac:dyDescent="0.3">
      <c r="B1111" s="21"/>
      <c r="C1111" s="21"/>
      <c r="D1111" s="21"/>
      <c r="E1111" s="22" t="str">
        <f t="shared" si="153"/>
        <v/>
      </c>
      <c r="F1111" s="21"/>
      <c r="G1111" s="21"/>
      <c r="H1111" s="21"/>
      <c r="I1111" s="21"/>
      <c r="J1111" s="21"/>
      <c r="K1111" s="21"/>
      <c r="L1111" s="21"/>
      <c r="M1111" s="21"/>
      <c r="N1111" s="21"/>
      <c r="O1111" s="21"/>
      <c r="P1111" s="21"/>
      <c r="Q1111" s="21"/>
      <c r="R1111" s="23" t="str">
        <f>IF($F1111="","",IF(OR($B1111="",$C1111="",$D1111=""),"⚠ Compléter Année/Niveau/Session",IF(AND($E1111&lt;&gt;"",COUNTIF(D_KEY_DOUBLON,$B1111&amp;"|"&amp;$D1111&amp;"|"&amp;$E1111)&gt;1),"⚠ Doublon",IF(AND($E1111&lt;&gt;"",COUNTIF(D_KEY_STATUT,$B1111&amp;"|"&amp;$E1111&amp;"|P")&gt;0,COUNTIF(D_KEY_STATUT,$B1111&amp;"|"&amp;$E1111&amp;"|A")&gt;0),"⚠ Statut incohérent",IF(AND($D1111="S1",$Y1111&lt;&gt;"Parti",COUNTIF(ANNEES_VERROU,$B1111)&gt;0,COUNTIF(D_KEY_NIVSES,$B1111&amp;"|"&amp;$C1111&amp;"|S2")&gt;0,COUNTIF(D_KEY_DOUBLON,$B1111&amp;"|S2|"&amp;$E1111)=0),"⚠ Départ non confirmé ?",IF(AND($C1111&lt;&gt;"",ISNUMBER($I1111),OR(VALUE(LEFT($B1111,4))-$I1111&lt;4+IFERROR(MATCH($C1111,LISTE_NIVEAUX,0),99),VALUE(LEFT($B1111,4))-$I1111&gt;6+IFERROR(MATCH($C1111,LISTE_NIVEAUX,0),99))),"⚠ Vérifier niveau",IF(AND(IFERROR(VLOOKUP($C1111,TABLE_CYCLE,2,0),3)=2,COUNT($O1111:$Q1111)&gt;0),"⚠ Tests cycle 3",IF(COUNT($J1111:$Q1111)&gt;=IF(IFERROR(VLOOKUP($C1111,TABLE_CYCLE,2,0),3)=2,5,8),"Complet","Incomplet"))))))))</f>
        <v/>
      </c>
      <c r="S1111" s="24"/>
      <c r="T1111" s="67" t="str">
        <f t="shared" si="154"/>
        <v/>
      </c>
      <c r="U1111" s="67" t="str">
        <f t="shared" si="155"/>
        <v/>
      </c>
      <c r="V1111" s="67" t="str">
        <f t="shared" si="156"/>
        <v/>
      </c>
      <c r="W1111" s="67" t="str">
        <f t="shared" si="157"/>
        <v/>
      </c>
      <c r="X1111" s="67" t="str">
        <f t="shared" si="158"/>
        <v/>
      </c>
      <c r="Y1111" s="24" t="str">
        <f t="shared" si="159"/>
        <v/>
      </c>
      <c r="Z1111">
        <f t="shared" si="160"/>
        <v>0</v>
      </c>
      <c r="AA1111">
        <f t="shared" si="161"/>
        <v>0</v>
      </c>
    </row>
    <row r="1112" spans="2:27" ht="15.75" customHeight="1" x14ac:dyDescent="0.3">
      <c r="B1112" s="25"/>
      <c r="C1112" s="25"/>
      <c r="D1112" s="25"/>
      <c r="E1112" s="26" t="str">
        <f t="shared" si="153"/>
        <v/>
      </c>
      <c r="F1112" s="25"/>
      <c r="G1112" s="25"/>
      <c r="H1112" s="25"/>
      <c r="I1112" s="25"/>
      <c r="J1112" s="25"/>
      <c r="K1112" s="25"/>
      <c r="L1112" s="25"/>
      <c r="M1112" s="25"/>
      <c r="N1112" s="25"/>
      <c r="O1112" s="25"/>
      <c r="P1112" s="25"/>
      <c r="Q1112" s="25"/>
      <c r="R1112" s="23" t="str">
        <f>IF($F1112="","",IF(OR($B1112="",$C1112="",$D1112=""),"⚠ Compléter Année/Niveau/Session",IF(AND($E1112&lt;&gt;"",COUNTIF(D_KEY_DOUBLON,$B1112&amp;"|"&amp;$D1112&amp;"|"&amp;$E1112)&gt;1),"⚠ Doublon",IF(AND($E1112&lt;&gt;"",COUNTIF(D_KEY_STATUT,$B1112&amp;"|"&amp;$E1112&amp;"|P")&gt;0,COUNTIF(D_KEY_STATUT,$B1112&amp;"|"&amp;$E1112&amp;"|A")&gt;0),"⚠ Statut incohérent",IF(AND($D1112="S1",$Y1112&lt;&gt;"Parti",COUNTIF(ANNEES_VERROU,$B1112)&gt;0,COUNTIF(D_KEY_NIVSES,$B1112&amp;"|"&amp;$C1112&amp;"|S2")&gt;0,COUNTIF(D_KEY_DOUBLON,$B1112&amp;"|S2|"&amp;$E1112)=0),"⚠ Départ non confirmé ?",IF(AND($C1112&lt;&gt;"",ISNUMBER($I1112),OR(VALUE(LEFT($B1112,4))-$I1112&lt;4+IFERROR(MATCH($C1112,LISTE_NIVEAUX,0),99),VALUE(LEFT($B1112,4))-$I1112&gt;6+IFERROR(MATCH($C1112,LISTE_NIVEAUX,0),99))),"⚠ Vérifier niveau",IF(AND(IFERROR(VLOOKUP($C1112,TABLE_CYCLE,2,0),3)=2,COUNT($O1112:$Q1112)&gt;0),"⚠ Tests cycle 3",IF(COUNT($J1112:$Q1112)&gt;=IF(IFERROR(VLOOKUP($C1112,TABLE_CYCLE,2,0),3)=2,5,8),"Complet","Incomplet"))))))))</f>
        <v/>
      </c>
      <c r="S1112" s="24"/>
      <c r="T1112" s="67" t="str">
        <f t="shared" si="154"/>
        <v/>
      </c>
      <c r="U1112" s="67" t="str">
        <f t="shared" si="155"/>
        <v/>
      </c>
      <c r="V1112" s="67" t="str">
        <f t="shared" si="156"/>
        <v/>
      </c>
      <c r="W1112" s="67" t="str">
        <f t="shared" si="157"/>
        <v/>
      </c>
      <c r="X1112" s="67" t="str">
        <f t="shared" si="158"/>
        <v/>
      </c>
      <c r="Y1112" s="24" t="str">
        <f t="shared" si="159"/>
        <v/>
      </c>
      <c r="Z1112">
        <f t="shared" si="160"/>
        <v>0</v>
      </c>
      <c r="AA1112">
        <f t="shared" si="161"/>
        <v>0</v>
      </c>
    </row>
    <row r="1113" spans="2:27" ht="15.75" customHeight="1" x14ac:dyDescent="0.3">
      <c r="B1113" s="21"/>
      <c r="C1113" s="21"/>
      <c r="D1113" s="21"/>
      <c r="E1113" s="22" t="str">
        <f t="shared" si="153"/>
        <v/>
      </c>
      <c r="F1113" s="21"/>
      <c r="G1113" s="21"/>
      <c r="H1113" s="21"/>
      <c r="I1113" s="21"/>
      <c r="J1113" s="21"/>
      <c r="K1113" s="21"/>
      <c r="L1113" s="21"/>
      <c r="M1113" s="21"/>
      <c r="N1113" s="21"/>
      <c r="O1113" s="21"/>
      <c r="P1113" s="21"/>
      <c r="Q1113" s="21"/>
      <c r="R1113" s="23" t="str">
        <f>IF($F1113="","",IF(OR($B1113="",$C1113="",$D1113=""),"⚠ Compléter Année/Niveau/Session",IF(AND($E1113&lt;&gt;"",COUNTIF(D_KEY_DOUBLON,$B1113&amp;"|"&amp;$D1113&amp;"|"&amp;$E1113)&gt;1),"⚠ Doublon",IF(AND($E1113&lt;&gt;"",COUNTIF(D_KEY_STATUT,$B1113&amp;"|"&amp;$E1113&amp;"|P")&gt;0,COUNTIF(D_KEY_STATUT,$B1113&amp;"|"&amp;$E1113&amp;"|A")&gt;0),"⚠ Statut incohérent",IF(AND($D1113="S1",$Y1113&lt;&gt;"Parti",COUNTIF(ANNEES_VERROU,$B1113)&gt;0,COUNTIF(D_KEY_NIVSES,$B1113&amp;"|"&amp;$C1113&amp;"|S2")&gt;0,COUNTIF(D_KEY_DOUBLON,$B1113&amp;"|S2|"&amp;$E1113)=0),"⚠ Départ non confirmé ?",IF(AND($C1113&lt;&gt;"",ISNUMBER($I1113),OR(VALUE(LEFT($B1113,4))-$I1113&lt;4+IFERROR(MATCH($C1113,LISTE_NIVEAUX,0),99),VALUE(LEFT($B1113,4))-$I1113&gt;6+IFERROR(MATCH($C1113,LISTE_NIVEAUX,0),99))),"⚠ Vérifier niveau",IF(AND(IFERROR(VLOOKUP($C1113,TABLE_CYCLE,2,0),3)=2,COUNT($O1113:$Q1113)&gt;0),"⚠ Tests cycle 3",IF(COUNT($J1113:$Q1113)&gt;=IF(IFERROR(VLOOKUP($C1113,TABLE_CYCLE,2,0),3)=2,5,8),"Complet","Incomplet"))))))))</f>
        <v/>
      </c>
      <c r="S1113" s="24"/>
      <c r="T1113" s="67" t="str">
        <f t="shared" si="154"/>
        <v/>
      </c>
      <c r="U1113" s="67" t="str">
        <f t="shared" si="155"/>
        <v/>
      </c>
      <c r="V1113" s="67" t="str">
        <f t="shared" si="156"/>
        <v/>
      </c>
      <c r="W1113" s="67" t="str">
        <f t="shared" si="157"/>
        <v/>
      </c>
      <c r="X1113" s="67" t="str">
        <f t="shared" si="158"/>
        <v/>
      </c>
      <c r="Y1113" s="24" t="str">
        <f t="shared" si="159"/>
        <v/>
      </c>
      <c r="Z1113">
        <f t="shared" si="160"/>
        <v>0</v>
      </c>
      <c r="AA1113">
        <f t="shared" si="161"/>
        <v>0</v>
      </c>
    </row>
    <row r="1114" spans="2:27" ht="15.75" customHeight="1" x14ac:dyDescent="0.3">
      <c r="B1114" s="25"/>
      <c r="C1114" s="25"/>
      <c r="D1114" s="25"/>
      <c r="E1114" s="26" t="str">
        <f t="shared" si="153"/>
        <v/>
      </c>
      <c r="F1114" s="25"/>
      <c r="G1114" s="25"/>
      <c r="H1114" s="25"/>
      <c r="I1114" s="25"/>
      <c r="J1114" s="25"/>
      <c r="K1114" s="25"/>
      <c r="L1114" s="25"/>
      <c r="M1114" s="25"/>
      <c r="N1114" s="25"/>
      <c r="O1114" s="25"/>
      <c r="P1114" s="25"/>
      <c r="Q1114" s="25"/>
      <c r="R1114" s="23" t="str">
        <f>IF($F1114="","",IF(OR($B1114="",$C1114="",$D1114=""),"⚠ Compléter Année/Niveau/Session",IF(AND($E1114&lt;&gt;"",COUNTIF(D_KEY_DOUBLON,$B1114&amp;"|"&amp;$D1114&amp;"|"&amp;$E1114)&gt;1),"⚠ Doublon",IF(AND($E1114&lt;&gt;"",COUNTIF(D_KEY_STATUT,$B1114&amp;"|"&amp;$E1114&amp;"|P")&gt;0,COUNTIF(D_KEY_STATUT,$B1114&amp;"|"&amp;$E1114&amp;"|A")&gt;0),"⚠ Statut incohérent",IF(AND($D1114="S1",$Y1114&lt;&gt;"Parti",COUNTIF(ANNEES_VERROU,$B1114)&gt;0,COUNTIF(D_KEY_NIVSES,$B1114&amp;"|"&amp;$C1114&amp;"|S2")&gt;0,COUNTIF(D_KEY_DOUBLON,$B1114&amp;"|S2|"&amp;$E1114)=0),"⚠ Départ non confirmé ?",IF(AND($C1114&lt;&gt;"",ISNUMBER($I1114),OR(VALUE(LEFT($B1114,4))-$I1114&lt;4+IFERROR(MATCH($C1114,LISTE_NIVEAUX,0),99),VALUE(LEFT($B1114,4))-$I1114&gt;6+IFERROR(MATCH($C1114,LISTE_NIVEAUX,0),99))),"⚠ Vérifier niveau",IF(AND(IFERROR(VLOOKUP($C1114,TABLE_CYCLE,2,0),3)=2,COUNT($O1114:$Q1114)&gt;0),"⚠ Tests cycle 3",IF(COUNT($J1114:$Q1114)&gt;=IF(IFERROR(VLOOKUP($C1114,TABLE_CYCLE,2,0),3)=2,5,8),"Complet","Incomplet"))))))))</f>
        <v/>
      </c>
      <c r="S1114" s="24"/>
      <c r="T1114" s="67" t="str">
        <f t="shared" si="154"/>
        <v/>
      </c>
      <c r="U1114" s="67" t="str">
        <f t="shared" si="155"/>
        <v/>
      </c>
      <c r="V1114" s="67" t="str">
        <f t="shared" si="156"/>
        <v/>
      </c>
      <c r="W1114" s="67" t="str">
        <f t="shared" si="157"/>
        <v/>
      </c>
      <c r="X1114" s="67" t="str">
        <f t="shared" si="158"/>
        <v/>
      </c>
      <c r="Y1114" s="24" t="str">
        <f t="shared" si="159"/>
        <v/>
      </c>
      <c r="Z1114">
        <f t="shared" si="160"/>
        <v>0</v>
      </c>
      <c r="AA1114">
        <f t="shared" si="161"/>
        <v>0</v>
      </c>
    </row>
    <row r="1115" spans="2:27" ht="15.75" customHeight="1" x14ac:dyDescent="0.3">
      <c r="B1115" s="21"/>
      <c r="C1115" s="21"/>
      <c r="D1115" s="21"/>
      <c r="E1115" s="22" t="str">
        <f t="shared" si="153"/>
        <v/>
      </c>
      <c r="F1115" s="21"/>
      <c r="G1115" s="21"/>
      <c r="H1115" s="21"/>
      <c r="I1115" s="21"/>
      <c r="J1115" s="21"/>
      <c r="K1115" s="21"/>
      <c r="L1115" s="21"/>
      <c r="M1115" s="21"/>
      <c r="N1115" s="21"/>
      <c r="O1115" s="21"/>
      <c r="P1115" s="21"/>
      <c r="Q1115" s="21"/>
      <c r="R1115" s="23" t="str">
        <f>IF($F1115="","",IF(OR($B1115="",$C1115="",$D1115=""),"⚠ Compléter Année/Niveau/Session",IF(AND($E1115&lt;&gt;"",COUNTIF(D_KEY_DOUBLON,$B1115&amp;"|"&amp;$D1115&amp;"|"&amp;$E1115)&gt;1),"⚠ Doublon",IF(AND($E1115&lt;&gt;"",COUNTIF(D_KEY_STATUT,$B1115&amp;"|"&amp;$E1115&amp;"|P")&gt;0,COUNTIF(D_KEY_STATUT,$B1115&amp;"|"&amp;$E1115&amp;"|A")&gt;0),"⚠ Statut incohérent",IF(AND($D1115="S1",$Y1115&lt;&gt;"Parti",COUNTIF(ANNEES_VERROU,$B1115)&gt;0,COUNTIF(D_KEY_NIVSES,$B1115&amp;"|"&amp;$C1115&amp;"|S2")&gt;0,COUNTIF(D_KEY_DOUBLON,$B1115&amp;"|S2|"&amp;$E1115)=0),"⚠ Départ non confirmé ?",IF(AND($C1115&lt;&gt;"",ISNUMBER($I1115),OR(VALUE(LEFT($B1115,4))-$I1115&lt;4+IFERROR(MATCH($C1115,LISTE_NIVEAUX,0),99),VALUE(LEFT($B1115,4))-$I1115&gt;6+IFERROR(MATCH($C1115,LISTE_NIVEAUX,0),99))),"⚠ Vérifier niveau",IF(AND(IFERROR(VLOOKUP($C1115,TABLE_CYCLE,2,0),3)=2,COUNT($O1115:$Q1115)&gt;0),"⚠ Tests cycle 3",IF(COUNT($J1115:$Q1115)&gt;=IF(IFERROR(VLOOKUP($C1115,TABLE_CYCLE,2,0),3)=2,5,8),"Complet","Incomplet"))))))))</f>
        <v/>
      </c>
      <c r="S1115" s="24"/>
      <c r="T1115" s="67" t="str">
        <f t="shared" si="154"/>
        <v/>
      </c>
      <c r="U1115" s="67" t="str">
        <f t="shared" si="155"/>
        <v/>
      </c>
      <c r="V1115" s="67" t="str">
        <f t="shared" si="156"/>
        <v/>
      </c>
      <c r="W1115" s="67" t="str">
        <f t="shared" si="157"/>
        <v/>
      </c>
      <c r="X1115" s="67" t="str">
        <f t="shared" si="158"/>
        <v/>
      </c>
      <c r="Y1115" s="24" t="str">
        <f t="shared" si="159"/>
        <v/>
      </c>
      <c r="Z1115">
        <f t="shared" si="160"/>
        <v>0</v>
      </c>
      <c r="AA1115">
        <f t="shared" si="161"/>
        <v>0</v>
      </c>
    </row>
    <row r="1116" spans="2:27" ht="15.75" customHeight="1" x14ac:dyDescent="0.3">
      <c r="B1116" s="25"/>
      <c r="C1116" s="25"/>
      <c r="D1116" s="25"/>
      <c r="E1116" s="26" t="str">
        <f t="shared" si="153"/>
        <v/>
      </c>
      <c r="F1116" s="25"/>
      <c r="G1116" s="25"/>
      <c r="H1116" s="25"/>
      <c r="I1116" s="25"/>
      <c r="J1116" s="25"/>
      <c r="K1116" s="25"/>
      <c r="L1116" s="25"/>
      <c r="M1116" s="25"/>
      <c r="N1116" s="25"/>
      <c r="O1116" s="25"/>
      <c r="P1116" s="25"/>
      <c r="Q1116" s="25"/>
      <c r="R1116" s="23" t="str">
        <f>IF($F1116="","",IF(OR($B1116="",$C1116="",$D1116=""),"⚠ Compléter Année/Niveau/Session",IF(AND($E1116&lt;&gt;"",COUNTIF(D_KEY_DOUBLON,$B1116&amp;"|"&amp;$D1116&amp;"|"&amp;$E1116)&gt;1),"⚠ Doublon",IF(AND($E1116&lt;&gt;"",COUNTIF(D_KEY_STATUT,$B1116&amp;"|"&amp;$E1116&amp;"|P")&gt;0,COUNTIF(D_KEY_STATUT,$B1116&amp;"|"&amp;$E1116&amp;"|A")&gt;0),"⚠ Statut incohérent",IF(AND($D1116="S1",$Y1116&lt;&gt;"Parti",COUNTIF(ANNEES_VERROU,$B1116)&gt;0,COUNTIF(D_KEY_NIVSES,$B1116&amp;"|"&amp;$C1116&amp;"|S2")&gt;0,COUNTIF(D_KEY_DOUBLON,$B1116&amp;"|S2|"&amp;$E1116)=0),"⚠ Départ non confirmé ?",IF(AND($C1116&lt;&gt;"",ISNUMBER($I1116),OR(VALUE(LEFT($B1116,4))-$I1116&lt;4+IFERROR(MATCH($C1116,LISTE_NIVEAUX,0),99),VALUE(LEFT($B1116,4))-$I1116&gt;6+IFERROR(MATCH($C1116,LISTE_NIVEAUX,0),99))),"⚠ Vérifier niveau",IF(AND(IFERROR(VLOOKUP($C1116,TABLE_CYCLE,2,0),3)=2,COUNT($O1116:$Q1116)&gt;0),"⚠ Tests cycle 3",IF(COUNT($J1116:$Q1116)&gt;=IF(IFERROR(VLOOKUP($C1116,TABLE_CYCLE,2,0),3)=2,5,8),"Complet","Incomplet"))))))))</f>
        <v/>
      </c>
      <c r="S1116" s="24"/>
      <c r="T1116" s="67" t="str">
        <f t="shared" si="154"/>
        <v/>
      </c>
      <c r="U1116" s="67" t="str">
        <f t="shared" si="155"/>
        <v/>
      </c>
      <c r="V1116" s="67" t="str">
        <f t="shared" si="156"/>
        <v/>
      </c>
      <c r="W1116" s="67" t="str">
        <f t="shared" si="157"/>
        <v/>
      </c>
      <c r="X1116" s="67" t="str">
        <f t="shared" si="158"/>
        <v/>
      </c>
      <c r="Y1116" s="24" t="str">
        <f t="shared" si="159"/>
        <v/>
      </c>
      <c r="Z1116">
        <f t="shared" si="160"/>
        <v>0</v>
      </c>
      <c r="AA1116">
        <f t="shared" si="161"/>
        <v>0</v>
      </c>
    </row>
    <row r="1117" spans="2:27" ht="15.75" customHeight="1" x14ac:dyDescent="0.3">
      <c r="B1117" s="21"/>
      <c r="C1117" s="21"/>
      <c r="D1117" s="21"/>
      <c r="E1117" s="22" t="str">
        <f t="shared" si="153"/>
        <v/>
      </c>
      <c r="F1117" s="21"/>
      <c r="G1117" s="21"/>
      <c r="H1117" s="21"/>
      <c r="I1117" s="21"/>
      <c r="J1117" s="21"/>
      <c r="K1117" s="21"/>
      <c r="L1117" s="21"/>
      <c r="M1117" s="21"/>
      <c r="N1117" s="21"/>
      <c r="O1117" s="21"/>
      <c r="P1117" s="21"/>
      <c r="Q1117" s="21"/>
      <c r="R1117" s="23" t="str">
        <f>IF($F1117="","",IF(OR($B1117="",$C1117="",$D1117=""),"⚠ Compléter Année/Niveau/Session",IF(AND($E1117&lt;&gt;"",COUNTIF(D_KEY_DOUBLON,$B1117&amp;"|"&amp;$D1117&amp;"|"&amp;$E1117)&gt;1),"⚠ Doublon",IF(AND($E1117&lt;&gt;"",COUNTIF(D_KEY_STATUT,$B1117&amp;"|"&amp;$E1117&amp;"|P")&gt;0,COUNTIF(D_KEY_STATUT,$B1117&amp;"|"&amp;$E1117&amp;"|A")&gt;0),"⚠ Statut incohérent",IF(AND($D1117="S1",$Y1117&lt;&gt;"Parti",COUNTIF(ANNEES_VERROU,$B1117)&gt;0,COUNTIF(D_KEY_NIVSES,$B1117&amp;"|"&amp;$C1117&amp;"|S2")&gt;0,COUNTIF(D_KEY_DOUBLON,$B1117&amp;"|S2|"&amp;$E1117)=0),"⚠ Départ non confirmé ?",IF(AND($C1117&lt;&gt;"",ISNUMBER($I1117),OR(VALUE(LEFT($B1117,4))-$I1117&lt;4+IFERROR(MATCH($C1117,LISTE_NIVEAUX,0),99),VALUE(LEFT($B1117,4))-$I1117&gt;6+IFERROR(MATCH($C1117,LISTE_NIVEAUX,0),99))),"⚠ Vérifier niveau",IF(AND(IFERROR(VLOOKUP($C1117,TABLE_CYCLE,2,0),3)=2,COUNT($O1117:$Q1117)&gt;0),"⚠ Tests cycle 3",IF(COUNT($J1117:$Q1117)&gt;=IF(IFERROR(VLOOKUP($C1117,TABLE_CYCLE,2,0),3)=2,5,8),"Complet","Incomplet"))))))))</f>
        <v/>
      </c>
      <c r="S1117" s="24"/>
      <c r="T1117" s="67" t="str">
        <f t="shared" si="154"/>
        <v/>
      </c>
      <c r="U1117" s="67" t="str">
        <f t="shared" si="155"/>
        <v/>
      </c>
      <c r="V1117" s="67" t="str">
        <f t="shared" si="156"/>
        <v/>
      </c>
      <c r="W1117" s="67" t="str">
        <f t="shared" si="157"/>
        <v/>
      </c>
      <c r="X1117" s="67" t="str">
        <f t="shared" si="158"/>
        <v/>
      </c>
      <c r="Y1117" s="24" t="str">
        <f t="shared" si="159"/>
        <v/>
      </c>
      <c r="Z1117">
        <f t="shared" si="160"/>
        <v>0</v>
      </c>
      <c r="AA1117">
        <f t="shared" si="161"/>
        <v>0</v>
      </c>
    </row>
    <row r="1118" spans="2:27" ht="15.75" customHeight="1" x14ac:dyDescent="0.3">
      <c r="B1118" s="25"/>
      <c r="C1118" s="25"/>
      <c r="D1118" s="25"/>
      <c r="E1118" s="26" t="str">
        <f t="shared" si="153"/>
        <v/>
      </c>
      <c r="F1118" s="25"/>
      <c r="G1118" s="25"/>
      <c r="H1118" s="25"/>
      <c r="I1118" s="25"/>
      <c r="J1118" s="25"/>
      <c r="K1118" s="25"/>
      <c r="L1118" s="25"/>
      <c r="M1118" s="25"/>
      <c r="N1118" s="25"/>
      <c r="O1118" s="25"/>
      <c r="P1118" s="25"/>
      <c r="Q1118" s="25"/>
      <c r="R1118" s="23" t="str">
        <f>IF($F1118="","",IF(OR($B1118="",$C1118="",$D1118=""),"⚠ Compléter Année/Niveau/Session",IF(AND($E1118&lt;&gt;"",COUNTIF(D_KEY_DOUBLON,$B1118&amp;"|"&amp;$D1118&amp;"|"&amp;$E1118)&gt;1),"⚠ Doublon",IF(AND($E1118&lt;&gt;"",COUNTIF(D_KEY_STATUT,$B1118&amp;"|"&amp;$E1118&amp;"|P")&gt;0,COUNTIF(D_KEY_STATUT,$B1118&amp;"|"&amp;$E1118&amp;"|A")&gt;0),"⚠ Statut incohérent",IF(AND($D1118="S1",$Y1118&lt;&gt;"Parti",COUNTIF(ANNEES_VERROU,$B1118)&gt;0,COUNTIF(D_KEY_NIVSES,$B1118&amp;"|"&amp;$C1118&amp;"|S2")&gt;0,COUNTIF(D_KEY_DOUBLON,$B1118&amp;"|S2|"&amp;$E1118)=0),"⚠ Départ non confirmé ?",IF(AND($C1118&lt;&gt;"",ISNUMBER($I1118),OR(VALUE(LEFT($B1118,4))-$I1118&lt;4+IFERROR(MATCH($C1118,LISTE_NIVEAUX,0),99),VALUE(LEFT($B1118,4))-$I1118&gt;6+IFERROR(MATCH($C1118,LISTE_NIVEAUX,0),99))),"⚠ Vérifier niveau",IF(AND(IFERROR(VLOOKUP($C1118,TABLE_CYCLE,2,0),3)=2,COUNT($O1118:$Q1118)&gt;0),"⚠ Tests cycle 3",IF(COUNT($J1118:$Q1118)&gt;=IF(IFERROR(VLOOKUP($C1118,TABLE_CYCLE,2,0),3)=2,5,8),"Complet","Incomplet"))))))))</f>
        <v/>
      </c>
      <c r="S1118" s="24"/>
      <c r="T1118" s="67" t="str">
        <f t="shared" si="154"/>
        <v/>
      </c>
      <c r="U1118" s="67" t="str">
        <f t="shared" si="155"/>
        <v/>
      </c>
      <c r="V1118" s="67" t="str">
        <f t="shared" si="156"/>
        <v/>
      </c>
      <c r="W1118" s="67" t="str">
        <f t="shared" si="157"/>
        <v/>
      </c>
      <c r="X1118" s="67" t="str">
        <f t="shared" si="158"/>
        <v/>
      </c>
      <c r="Y1118" s="24" t="str">
        <f t="shared" si="159"/>
        <v/>
      </c>
      <c r="Z1118">
        <f t="shared" si="160"/>
        <v>0</v>
      </c>
      <c r="AA1118">
        <f t="shared" si="161"/>
        <v>0</v>
      </c>
    </row>
    <row r="1119" spans="2:27" ht="15.75" customHeight="1" x14ac:dyDescent="0.3">
      <c r="B1119" s="21"/>
      <c r="C1119" s="21"/>
      <c r="D1119" s="21"/>
      <c r="E1119" s="22" t="str">
        <f t="shared" si="153"/>
        <v/>
      </c>
      <c r="F1119" s="21"/>
      <c r="G1119" s="21"/>
      <c r="H1119" s="21"/>
      <c r="I1119" s="21"/>
      <c r="J1119" s="21"/>
      <c r="K1119" s="21"/>
      <c r="L1119" s="21"/>
      <c r="M1119" s="21"/>
      <c r="N1119" s="21"/>
      <c r="O1119" s="21"/>
      <c r="P1119" s="21"/>
      <c r="Q1119" s="21"/>
      <c r="R1119" s="23" t="str">
        <f>IF($F1119="","",IF(OR($B1119="",$C1119="",$D1119=""),"⚠ Compléter Année/Niveau/Session",IF(AND($E1119&lt;&gt;"",COUNTIF(D_KEY_DOUBLON,$B1119&amp;"|"&amp;$D1119&amp;"|"&amp;$E1119)&gt;1),"⚠ Doublon",IF(AND($E1119&lt;&gt;"",COUNTIF(D_KEY_STATUT,$B1119&amp;"|"&amp;$E1119&amp;"|P")&gt;0,COUNTIF(D_KEY_STATUT,$B1119&amp;"|"&amp;$E1119&amp;"|A")&gt;0),"⚠ Statut incohérent",IF(AND($D1119="S1",$Y1119&lt;&gt;"Parti",COUNTIF(ANNEES_VERROU,$B1119)&gt;0,COUNTIF(D_KEY_NIVSES,$B1119&amp;"|"&amp;$C1119&amp;"|S2")&gt;0,COUNTIF(D_KEY_DOUBLON,$B1119&amp;"|S2|"&amp;$E1119)=0),"⚠ Départ non confirmé ?",IF(AND($C1119&lt;&gt;"",ISNUMBER($I1119),OR(VALUE(LEFT($B1119,4))-$I1119&lt;4+IFERROR(MATCH($C1119,LISTE_NIVEAUX,0),99),VALUE(LEFT($B1119,4))-$I1119&gt;6+IFERROR(MATCH($C1119,LISTE_NIVEAUX,0),99))),"⚠ Vérifier niveau",IF(AND(IFERROR(VLOOKUP($C1119,TABLE_CYCLE,2,0),3)=2,COUNT($O1119:$Q1119)&gt;0),"⚠ Tests cycle 3",IF(COUNT($J1119:$Q1119)&gt;=IF(IFERROR(VLOOKUP($C1119,TABLE_CYCLE,2,0),3)=2,5,8),"Complet","Incomplet"))))))))</f>
        <v/>
      </c>
      <c r="S1119" s="24"/>
      <c r="T1119" s="67" t="str">
        <f t="shared" si="154"/>
        <v/>
      </c>
      <c r="U1119" s="67" t="str">
        <f t="shared" si="155"/>
        <v/>
      </c>
      <c r="V1119" s="67" t="str">
        <f t="shared" si="156"/>
        <v/>
      </c>
      <c r="W1119" s="67" t="str">
        <f t="shared" si="157"/>
        <v/>
      </c>
      <c r="X1119" s="67" t="str">
        <f t="shared" si="158"/>
        <v/>
      </c>
      <c r="Y1119" s="24" t="str">
        <f t="shared" si="159"/>
        <v/>
      </c>
      <c r="Z1119">
        <f t="shared" si="160"/>
        <v>0</v>
      </c>
      <c r="AA1119">
        <f t="shared" si="161"/>
        <v>0</v>
      </c>
    </row>
    <row r="1120" spans="2:27" ht="15.75" customHeight="1" x14ac:dyDescent="0.3">
      <c r="B1120" s="25"/>
      <c r="C1120" s="25"/>
      <c r="D1120" s="25"/>
      <c r="E1120" s="26" t="str">
        <f t="shared" si="153"/>
        <v/>
      </c>
      <c r="F1120" s="25"/>
      <c r="G1120" s="25"/>
      <c r="H1120" s="25"/>
      <c r="I1120" s="25"/>
      <c r="J1120" s="25"/>
      <c r="K1120" s="25"/>
      <c r="L1120" s="25"/>
      <c r="M1120" s="25"/>
      <c r="N1120" s="25"/>
      <c r="O1120" s="25"/>
      <c r="P1120" s="25"/>
      <c r="Q1120" s="25"/>
      <c r="R1120" s="23" t="str">
        <f>IF($F1120="","",IF(OR($B1120="",$C1120="",$D1120=""),"⚠ Compléter Année/Niveau/Session",IF(AND($E1120&lt;&gt;"",COUNTIF(D_KEY_DOUBLON,$B1120&amp;"|"&amp;$D1120&amp;"|"&amp;$E1120)&gt;1),"⚠ Doublon",IF(AND($E1120&lt;&gt;"",COUNTIF(D_KEY_STATUT,$B1120&amp;"|"&amp;$E1120&amp;"|P")&gt;0,COUNTIF(D_KEY_STATUT,$B1120&amp;"|"&amp;$E1120&amp;"|A")&gt;0),"⚠ Statut incohérent",IF(AND($D1120="S1",$Y1120&lt;&gt;"Parti",COUNTIF(ANNEES_VERROU,$B1120)&gt;0,COUNTIF(D_KEY_NIVSES,$B1120&amp;"|"&amp;$C1120&amp;"|S2")&gt;0,COUNTIF(D_KEY_DOUBLON,$B1120&amp;"|S2|"&amp;$E1120)=0),"⚠ Départ non confirmé ?",IF(AND($C1120&lt;&gt;"",ISNUMBER($I1120),OR(VALUE(LEFT($B1120,4))-$I1120&lt;4+IFERROR(MATCH($C1120,LISTE_NIVEAUX,0),99),VALUE(LEFT($B1120,4))-$I1120&gt;6+IFERROR(MATCH($C1120,LISTE_NIVEAUX,0),99))),"⚠ Vérifier niveau",IF(AND(IFERROR(VLOOKUP($C1120,TABLE_CYCLE,2,0),3)=2,COUNT($O1120:$Q1120)&gt;0),"⚠ Tests cycle 3",IF(COUNT($J1120:$Q1120)&gt;=IF(IFERROR(VLOOKUP($C1120,TABLE_CYCLE,2,0),3)=2,5,8),"Complet","Incomplet"))))))))</f>
        <v/>
      </c>
      <c r="S1120" s="24"/>
      <c r="T1120" s="67" t="str">
        <f t="shared" si="154"/>
        <v/>
      </c>
      <c r="U1120" s="67" t="str">
        <f t="shared" si="155"/>
        <v/>
      </c>
      <c r="V1120" s="67" t="str">
        <f t="shared" si="156"/>
        <v/>
      </c>
      <c r="W1120" s="67" t="str">
        <f t="shared" si="157"/>
        <v/>
      </c>
      <c r="X1120" s="67" t="str">
        <f t="shared" si="158"/>
        <v/>
      </c>
      <c r="Y1120" s="24" t="str">
        <f t="shared" si="159"/>
        <v/>
      </c>
      <c r="Z1120">
        <f t="shared" si="160"/>
        <v>0</v>
      </c>
      <c r="AA1120">
        <f t="shared" si="161"/>
        <v>0</v>
      </c>
    </row>
    <row r="1121" spans="2:27" ht="15.75" customHeight="1" x14ac:dyDescent="0.3">
      <c r="B1121" s="21"/>
      <c r="C1121" s="21"/>
      <c r="D1121" s="21"/>
      <c r="E1121" s="22" t="str">
        <f t="shared" si="153"/>
        <v/>
      </c>
      <c r="F1121" s="21"/>
      <c r="G1121" s="21"/>
      <c r="H1121" s="21"/>
      <c r="I1121" s="21"/>
      <c r="J1121" s="21"/>
      <c r="K1121" s="21"/>
      <c r="L1121" s="21"/>
      <c r="M1121" s="21"/>
      <c r="N1121" s="21"/>
      <c r="O1121" s="21"/>
      <c r="P1121" s="21"/>
      <c r="Q1121" s="21"/>
      <c r="R1121" s="23" t="str">
        <f>IF($F1121="","",IF(OR($B1121="",$C1121="",$D1121=""),"⚠ Compléter Année/Niveau/Session",IF(AND($E1121&lt;&gt;"",COUNTIF(D_KEY_DOUBLON,$B1121&amp;"|"&amp;$D1121&amp;"|"&amp;$E1121)&gt;1),"⚠ Doublon",IF(AND($E1121&lt;&gt;"",COUNTIF(D_KEY_STATUT,$B1121&amp;"|"&amp;$E1121&amp;"|P")&gt;0,COUNTIF(D_KEY_STATUT,$B1121&amp;"|"&amp;$E1121&amp;"|A")&gt;0),"⚠ Statut incohérent",IF(AND($D1121="S1",$Y1121&lt;&gt;"Parti",COUNTIF(ANNEES_VERROU,$B1121)&gt;0,COUNTIF(D_KEY_NIVSES,$B1121&amp;"|"&amp;$C1121&amp;"|S2")&gt;0,COUNTIF(D_KEY_DOUBLON,$B1121&amp;"|S2|"&amp;$E1121)=0),"⚠ Départ non confirmé ?",IF(AND($C1121&lt;&gt;"",ISNUMBER($I1121),OR(VALUE(LEFT($B1121,4))-$I1121&lt;4+IFERROR(MATCH($C1121,LISTE_NIVEAUX,0),99),VALUE(LEFT($B1121,4))-$I1121&gt;6+IFERROR(MATCH($C1121,LISTE_NIVEAUX,0),99))),"⚠ Vérifier niveau",IF(AND(IFERROR(VLOOKUP($C1121,TABLE_CYCLE,2,0),3)=2,COUNT($O1121:$Q1121)&gt;0),"⚠ Tests cycle 3",IF(COUNT($J1121:$Q1121)&gt;=IF(IFERROR(VLOOKUP($C1121,TABLE_CYCLE,2,0),3)=2,5,8),"Complet","Incomplet"))))))))</f>
        <v/>
      </c>
      <c r="S1121" s="24"/>
      <c r="T1121" s="67" t="str">
        <f t="shared" si="154"/>
        <v/>
      </c>
      <c r="U1121" s="67" t="str">
        <f t="shared" si="155"/>
        <v/>
      </c>
      <c r="V1121" s="67" t="str">
        <f t="shared" si="156"/>
        <v/>
      </c>
      <c r="W1121" s="67" t="str">
        <f t="shared" si="157"/>
        <v/>
      </c>
      <c r="X1121" s="67" t="str">
        <f t="shared" si="158"/>
        <v/>
      </c>
      <c r="Y1121" s="24" t="str">
        <f t="shared" si="159"/>
        <v/>
      </c>
      <c r="Z1121">
        <f t="shared" si="160"/>
        <v>0</v>
      </c>
      <c r="AA1121">
        <f t="shared" si="161"/>
        <v>0</v>
      </c>
    </row>
    <row r="1122" spans="2:27" ht="15.75" customHeight="1" x14ac:dyDescent="0.3">
      <c r="B1122" s="25"/>
      <c r="C1122" s="25"/>
      <c r="D1122" s="25"/>
      <c r="E1122" s="26" t="str">
        <f t="shared" si="153"/>
        <v/>
      </c>
      <c r="F1122" s="25"/>
      <c r="G1122" s="25"/>
      <c r="H1122" s="25"/>
      <c r="I1122" s="25"/>
      <c r="J1122" s="25"/>
      <c r="K1122" s="25"/>
      <c r="L1122" s="25"/>
      <c r="M1122" s="25"/>
      <c r="N1122" s="25"/>
      <c r="O1122" s="25"/>
      <c r="P1122" s="25"/>
      <c r="Q1122" s="25"/>
      <c r="R1122" s="23" t="str">
        <f>IF($F1122="","",IF(OR($B1122="",$C1122="",$D1122=""),"⚠ Compléter Année/Niveau/Session",IF(AND($E1122&lt;&gt;"",COUNTIF(D_KEY_DOUBLON,$B1122&amp;"|"&amp;$D1122&amp;"|"&amp;$E1122)&gt;1),"⚠ Doublon",IF(AND($E1122&lt;&gt;"",COUNTIF(D_KEY_STATUT,$B1122&amp;"|"&amp;$E1122&amp;"|P")&gt;0,COUNTIF(D_KEY_STATUT,$B1122&amp;"|"&amp;$E1122&amp;"|A")&gt;0),"⚠ Statut incohérent",IF(AND($D1122="S1",$Y1122&lt;&gt;"Parti",COUNTIF(ANNEES_VERROU,$B1122)&gt;0,COUNTIF(D_KEY_NIVSES,$B1122&amp;"|"&amp;$C1122&amp;"|S2")&gt;0,COUNTIF(D_KEY_DOUBLON,$B1122&amp;"|S2|"&amp;$E1122)=0),"⚠ Départ non confirmé ?",IF(AND($C1122&lt;&gt;"",ISNUMBER($I1122),OR(VALUE(LEFT($B1122,4))-$I1122&lt;4+IFERROR(MATCH($C1122,LISTE_NIVEAUX,0),99),VALUE(LEFT($B1122,4))-$I1122&gt;6+IFERROR(MATCH($C1122,LISTE_NIVEAUX,0),99))),"⚠ Vérifier niveau",IF(AND(IFERROR(VLOOKUP($C1122,TABLE_CYCLE,2,0),3)=2,COUNT($O1122:$Q1122)&gt;0),"⚠ Tests cycle 3",IF(COUNT($J1122:$Q1122)&gt;=IF(IFERROR(VLOOKUP($C1122,TABLE_CYCLE,2,0),3)=2,5,8),"Complet","Incomplet"))))))))</f>
        <v/>
      </c>
      <c r="S1122" s="24"/>
      <c r="T1122" s="67" t="str">
        <f t="shared" si="154"/>
        <v/>
      </c>
      <c r="U1122" s="67" t="str">
        <f t="shared" si="155"/>
        <v/>
      </c>
      <c r="V1122" s="67" t="str">
        <f t="shared" si="156"/>
        <v/>
      </c>
      <c r="W1122" s="67" t="str">
        <f t="shared" si="157"/>
        <v/>
      </c>
      <c r="X1122" s="67" t="str">
        <f t="shared" si="158"/>
        <v/>
      </c>
      <c r="Y1122" s="24" t="str">
        <f t="shared" si="159"/>
        <v/>
      </c>
      <c r="Z1122">
        <f t="shared" si="160"/>
        <v>0</v>
      </c>
      <c r="AA1122">
        <f t="shared" si="161"/>
        <v>0</v>
      </c>
    </row>
    <row r="1123" spans="2:27" ht="15.75" customHeight="1" x14ac:dyDescent="0.3">
      <c r="B1123" s="21"/>
      <c r="C1123" s="21"/>
      <c r="D1123" s="21"/>
      <c r="E1123" s="22" t="str">
        <f t="shared" si="153"/>
        <v/>
      </c>
      <c r="F1123" s="21"/>
      <c r="G1123" s="21"/>
      <c r="H1123" s="21"/>
      <c r="I1123" s="21"/>
      <c r="J1123" s="21"/>
      <c r="K1123" s="21"/>
      <c r="L1123" s="21"/>
      <c r="M1123" s="21"/>
      <c r="N1123" s="21"/>
      <c r="O1123" s="21"/>
      <c r="P1123" s="21"/>
      <c r="Q1123" s="21"/>
      <c r="R1123" s="23" t="str">
        <f>IF($F1123="","",IF(OR($B1123="",$C1123="",$D1123=""),"⚠ Compléter Année/Niveau/Session",IF(AND($E1123&lt;&gt;"",COUNTIF(D_KEY_DOUBLON,$B1123&amp;"|"&amp;$D1123&amp;"|"&amp;$E1123)&gt;1),"⚠ Doublon",IF(AND($E1123&lt;&gt;"",COUNTIF(D_KEY_STATUT,$B1123&amp;"|"&amp;$E1123&amp;"|P")&gt;0,COUNTIF(D_KEY_STATUT,$B1123&amp;"|"&amp;$E1123&amp;"|A")&gt;0),"⚠ Statut incohérent",IF(AND($D1123="S1",$Y1123&lt;&gt;"Parti",COUNTIF(ANNEES_VERROU,$B1123)&gt;0,COUNTIF(D_KEY_NIVSES,$B1123&amp;"|"&amp;$C1123&amp;"|S2")&gt;0,COUNTIF(D_KEY_DOUBLON,$B1123&amp;"|S2|"&amp;$E1123)=0),"⚠ Départ non confirmé ?",IF(AND($C1123&lt;&gt;"",ISNUMBER($I1123),OR(VALUE(LEFT($B1123,4))-$I1123&lt;4+IFERROR(MATCH($C1123,LISTE_NIVEAUX,0),99),VALUE(LEFT($B1123,4))-$I1123&gt;6+IFERROR(MATCH($C1123,LISTE_NIVEAUX,0),99))),"⚠ Vérifier niveau",IF(AND(IFERROR(VLOOKUP($C1123,TABLE_CYCLE,2,0),3)=2,COUNT($O1123:$Q1123)&gt;0),"⚠ Tests cycle 3",IF(COUNT($J1123:$Q1123)&gt;=IF(IFERROR(VLOOKUP($C1123,TABLE_CYCLE,2,0),3)=2,5,8),"Complet","Incomplet"))))))))</f>
        <v/>
      </c>
      <c r="S1123" s="24"/>
      <c r="T1123" s="67" t="str">
        <f t="shared" si="154"/>
        <v/>
      </c>
      <c r="U1123" s="67" t="str">
        <f t="shared" si="155"/>
        <v/>
      </c>
      <c r="V1123" s="67" t="str">
        <f t="shared" si="156"/>
        <v/>
      </c>
      <c r="W1123" s="67" t="str">
        <f t="shared" si="157"/>
        <v/>
      </c>
      <c r="X1123" s="67" t="str">
        <f t="shared" si="158"/>
        <v/>
      </c>
      <c r="Y1123" s="24" t="str">
        <f t="shared" si="159"/>
        <v/>
      </c>
      <c r="Z1123">
        <f t="shared" si="160"/>
        <v>0</v>
      </c>
      <c r="AA1123">
        <f t="shared" si="161"/>
        <v>0</v>
      </c>
    </row>
    <row r="1124" spans="2:27" ht="15.75" customHeight="1" x14ac:dyDescent="0.3">
      <c r="B1124" s="25"/>
      <c r="C1124" s="25"/>
      <c r="D1124" s="25"/>
      <c r="E1124" s="26" t="str">
        <f t="shared" si="153"/>
        <v/>
      </c>
      <c r="F1124" s="25"/>
      <c r="G1124" s="25"/>
      <c r="H1124" s="25"/>
      <c r="I1124" s="25"/>
      <c r="J1124" s="25"/>
      <c r="K1124" s="25"/>
      <c r="L1124" s="25"/>
      <c r="M1124" s="25"/>
      <c r="N1124" s="25"/>
      <c r="O1124" s="25"/>
      <c r="P1124" s="25"/>
      <c r="Q1124" s="25"/>
      <c r="R1124" s="23" t="str">
        <f>IF($F1124="","",IF(OR($B1124="",$C1124="",$D1124=""),"⚠ Compléter Année/Niveau/Session",IF(AND($E1124&lt;&gt;"",COUNTIF(D_KEY_DOUBLON,$B1124&amp;"|"&amp;$D1124&amp;"|"&amp;$E1124)&gt;1),"⚠ Doublon",IF(AND($E1124&lt;&gt;"",COUNTIF(D_KEY_STATUT,$B1124&amp;"|"&amp;$E1124&amp;"|P")&gt;0,COUNTIF(D_KEY_STATUT,$B1124&amp;"|"&amp;$E1124&amp;"|A")&gt;0),"⚠ Statut incohérent",IF(AND($D1124="S1",$Y1124&lt;&gt;"Parti",COUNTIF(ANNEES_VERROU,$B1124)&gt;0,COUNTIF(D_KEY_NIVSES,$B1124&amp;"|"&amp;$C1124&amp;"|S2")&gt;0,COUNTIF(D_KEY_DOUBLON,$B1124&amp;"|S2|"&amp;$E1124)=0),"⚠ Départ non confirmé ?",IF(AND($C1124&lt;&gt;"",ISNUMBER($I1124),OR(VALUE(LEFT($B1124,4))-$I1124&lt;4+IFERROR(MATCH($C1124,LISTE_NIVEAUX,0),99),VALUE(LEFT($B1124,4))-$I1124&gt;6+IFERROR(MATCH($C1124,LISTE_NIVEAUX,0),99))),"⚠ Vérifier niveau",IF(AND(IFERROR(VLOOKUP($C1124,TABLE_CYCLE,2,0),3)=2,COUNT($O1124:$Q1124)&gt;0),"⚠ Tests cycle 3",IF(COUNT($J1124:$Q1124)&gt;=IF(IFERROR(VLOOKUP($C1124,TABLE_CYCLE,2,0),3)=2,5,8),"Complet","Incomplet"))))))))</f>
        <v/>
      </c>
      <c r="S1124" s="24"/>
      <c r="T1124" s="67" t="str">
        <f t="shared" si="154"/>
        <v/>
      </c>
      <c r="U1124" s="67" t="str">
        <f t="shared" si="155"/>
        <v/>
      </c>
      <c r="V1124" s="67" t="str">
        <f t="shared" si="156"/>
        <v/>
      </c>
      <c r="W1124" s="67" t="str">
        <f t="shared" si="157"/>
        <v/>
      </c>
      <c r="X1124" s="67" t="str">
        <f t="shared" si="158"/>
        <v/>
      </c>
      <c r="Y1124" s="24" t="str">
        <f t="shared" si="159"/>
        <v/>
      </c>
      <c r="Z1124">
        <f t="shared" si="160"/>
        <v>0</v>
      </c>
      <c r="AA1124">
        <f t="shared" si="161"/>
        <v>0</v>
      </c>
    </row>
    <row r="1125" spans="2:27" ht="15.75" customHeight="1" x14ac:dyDescent="0.3">
      <c r="B1125" s="21"/>
      <c r="C1125" s="21"/>
      <c r="D1125" s="21"/>
      <c r="E1125" s="22" t="str">
        <f t="shared" si="153"/>
        <v/>
      </c>
      <c r="F1125" s="21"/>
      <c r="G1125" s="21"/>
      <c r="H1125" s="21"/>
      <c r="I1125" s="21"/>
      <c r="J1125" s="21"/>
      <c r="K1125" s="21"/>
      <c r="L1125" s="21"/>
      <c r="M1125" s="21"/>
      <c r="N1125" s="21"/>
      <c r="O1125" s="21"/>
      <c r="P1125" s="21"/>
      <c r="Q1125" s="21"/>
      <c r="R1125" s="23" t="str">
        <f>IF($F1125="","",IF(OR($B1125="",$C1125="",$D1125=""),"⚠ Compléter Année/Niveau/Session",IF(AND($E1125&lt;&gt;"",COUNTIF(D_KEY_DOUBLON,$B1125&amp;"|"&amp;$D1125&amp;"|"&amp;$E1125)&gt;1),"⚠ Doublon",IF(AND($E1125&lt;&gt;"",COUNTIF(D_KEY_STATUT,$B1125&amp;"|"&amp;$E1125&amp;"|P")&gt;0,COUNTIF(D_KEY_STATUT,$B1125&amp;"|"&amp;$E1125&amp;"|A")&gt;0),"⚠ Statut incohérent",IF(AND($D1125="S1",$Y1125&lt;&gt;"Parti",COUNTIF(ANNEES_VERROU,$B1125)&gt;0,COUNTIF(D_KEY_NIVSES,$B1125&amp;"|"&amp;$C1125&amp;"|S2")&gt;0,COUNTIF(D_KEY_DOUBLON,$B1125&amp;"|S2|"&amp;$E1125)=0),"⚠ Départ non confirmé ?",IF(AND($C1125&lt;&gt;"",ISNUMBER($I1125),OR(VALUE(LEFT($B1125,4))-$I1125&lt;4+IFERROR(MATCH($C1125,LISTE_NIVEAUX,0),99),VALUE(LEFT($B1125,4))-$I1125&gt;6+IFERROR(MATCH($C1125,LISTE_NIVEAUX,0),99))),"⚠ Vérifier niveau",IF(AND(IFERROR(VLOOKUP($C1125,TABLE_CYCLE,2,0),3)=2,COUNT($O1125:$Q1125)&gt;0),"⚠ Tests cycle 3",IF(COUNT($J1125:$Q1125)&gt;=IF(IFERROR(VLOOKUP($C1125,TABLE_CYCLE,2,0),3)=2,5,8),"Complet","Incomplet"))))))))</f>
        <v/>
      </c>
      <c r="S1125" s="24"/>
      <c r="T1125" s="67" t="str">
        <f t="shared" si="154"/>
        <v/>
      </c>
      <c r="U1125" s="67" t="str">
        <f t="shared" si="155"/>
        <v/>
      </c>
      <c r="V1125" s="67" t="str">
        <f t="shared" si="156"/>
        <v/>
      </c>
      <c r="W1125" s="67" t="str">
        <f t="shared" si="157"/>
        <v/>
      </c>
      <c r="X1125" s="67" t="str">
        <f t="shared" si="158"/>
        <v/>
      </c>
      <c r="Y1125" s="24" t="str">
        <f t="shared" si="159"/>
        <v/>
      </c>
      <c r="Z1125">
        <f t="shared" si="160"/>
        <v>0</v>
      </c>
      <c r="AA1125">
        <f t="shared" si="161"/>
        <v>0</v>
      </c>
    </row>
    <row r="1126" spans="2:27" ht="15.75" customHeight="1" x14ac:dyDescent="0.3">
      <c r="B1126" s="25"/>
      <c r="C1126" s="25"/>
      <c r="D1126" s="25"/>
      <c r="E1126" s="26" t="str">
        <f t="shared" si="153"/>
        <v/>
      </c>
      <c r="F1126" s="25"/>
      <c r="G1126" s="25"/>
      <c r="H1126" s="25"/>
      <c r="I1126" s="25"/>
      <c r="J1126" s="25"/>
      <c r="K1126" s="25"/>
      <c r="L1126" s="25"/>
      <c r="M1126" s="25"/>
      <c r="N1126" s="25"/>
      <c r="O1126" s="25"/>
      <c r="P1126" s="25"/>
      <c r="Q1126" s="25"/>
      <c r="R1126" s="23" t="str">
        <f>IF($F1126="","",IF(OR($B1126="",$C1126="",$D1126=""),"⚠ Compléter Année/Niveau/Session",IF(AND($E1126&lt;&gt;"",COUNTIF(D_KEY_DOUBLON,$B1126&amp;"|"&amp;$D1126&amp;"|"&amp;$E1126)&gt;1),"⚠ Doublon",IF(AND($E1126&lt;&gt;"",COUNTIF(D_KEY_STATUT,$B1126&amp;"|"&amp;$E1126&amp;"|P")&gt;0,COUNTIF(D_KEY_STATUT,$B1126&amp;"|"&amp;$E1126&amp;"|A")&gt;0),"⚠ Statut incohérent",IF(AND($D1126="S1",$Y1126&lt;&gt;"Parti",COUNTIF(ANNEES_VERROU,$B1126)&gt;0,COUNTIF(D_KEY_NIVSES,$B1126&amp;"|"&amp;$C1126&amp;"|S2")&gt;0,COUNTIF(D_KEY_DOUBLON,$B1126&amp;"|S2|"&amp;$E1126)=0),"⚠ Départ non confirmé ?",IF(AND($C1126&lt;&gt;"",ISNUMBER($I1126),OR(VALUE(LEFT($B1126,4))-$I1126&lt;4+IFERROR(MATCH($C1126,LISTE_NIVEAUX,0),99),VALUE(LEFT($B1126,4))-$I1126&gt;6+IFERROR(MATCH($C1126,LISTE_NIVEAUX,0),99))),"⚠ Vérifier niveau",IF(AND(IFERROR(VLOOKUP($C1126,TABLE_CYCLE,2,0),3)=2,COUNT($O1126:$Q1126)&gt;0),"⚠ Tests cycle 3",IF(COUNT($J1126:$Q1126)&gt;=IF(IFERROR(VLOOKUP($C1126,TABLE_CYCLE,2,0),3)=2,5,8),"Complet","Incomplet"))))))))</f>
        <v/>
      </c>
      <c r="S1126" s="24"/>
      <c r="T1126" s="67" t="str">
        <f t="shared" si="154"/>
        <v/>
      </c>
      <c r="U1126" s="67" t="str">
        <f t="shared" si="155"/>
        <v/>
      </c>
      <c r="V1126" s="67" t="str">
        <f t="shared" si="156"/>
        <v/>
      </c>
      <c r="W1126" s="67" t="str">
        <f t="shared" si="157"/>
        <v/>
      </c>
      <c r="X1126" s="67" t="str">
        <f t="shared" si="158"/>
        <v/>
      </c>
      <c r="Y1126" s="24" t="str">
        <f t="shared" si="159"/>
        <v/>
      </c>
      <c r="Z1126">
        <f t="shared" si="160"/>
        <v>0</v>
      </c>
      <c r="AA1126">
        <f t="shared" si="161"/>
        <v>0</v>
      </c>
    </row>
    <row r="1127" spans="2:27" ht="15.75" customHeight="1" x14ac:dyDescent="0.3">
      <c r="B1127" s="21"/>
      <c r="C1127" s="21"/>
      <c r="D1127" s="21"/>
      <c r="E1127" s="22" t="str">
        <f t="shared" si="153"/>
        <v/>
      </c>
      <c r="F1127" s="21"/>
      <c r="G1127" s="21"/>
      <c r="H1127" s="21"/>
      <c r="I1127" s="21"/>
      <c r="J1127" s="21"/>
      <c r="K1127" s="21"/>
      <c r="L1127" s="21"/>
      <c r="M1127" s="21"/>
      <c r="N1127" s="21"/>
      <c r="O1127" s="21"/>
      <c r="P1127" s="21"/>
      <c r="Q1127" s="21"/>
      <c r="R1127" s="23" t="str">
        <f>IF($F1127="","",IF(OR($B1127="",$C1127="",$D1127=""),"⚠ Compléter Année/Niveau/Session",IF(AND($E1127&lt;&gt;"",COUNTIF(D_KEY_DOUBLON,$B1127&amp;"|"&amp;$D1127&amp;"|"&amp;$E1127)&gt;1),"⚠ Doublon",IF(AND($E1127&lt;&gt;"",COUNTIF(D_KEY_STATUT,$B1127&amp;"|"&amp;$E1127&amp;"|P")&gt;0,COUNTIF(D_KEY_STATUT,$B1127&amp;"|"&amp;$E1127&amp;"|A")&gt;0),"⚠ Statut incohérent",IF(AND($D1127="S1",$Y1127&lt;&gt;"Parti",COUNTIF(ANNEES_VERROU,$B1127)&gt;0,COUNTIF(D_KEY_NIVSES,$B1127&amp;"|"&amp;$C1127&amp;"|S2")&gt;0,COUNTIF(D_KEY_DOUBLON,$B1127&amp;"|S2|"&amp;$E1127)=0),"⚠ Départ non confirmé ?",IF(AND($C1127&lt;&gt;"",ISNUMBER($I1127),OR(VALUE(LEFT($B1127,4))-$I1127&lt;4+IFERROR(MATCH($C1127,LISTE_NIVEAUX,0),99),VALUE(LEFT($B1127,4))-$I1127&gt;6+IFERROR(MATCH($C1127,LISTE_NIVEAUX,0),99))),"⚠ Vérifier niveau",IF(AND(IFERROR(VLOOKUP($C1127,TABLE_CYCLE,2,0),3)=2,COUNT($O1127:$Q1127)&gt;0),"⚠ Tests cycle 3",IF(COUNT($J1127:$Q1127)&gt;=IF(IFERROR(VLOOKUP($C1127,TABLE_CYCLE,2,0),3)=2,5,8),"Complet","Incomplet"))))))))</f>
        <v/>
      </c>
      <c r="S1127" s="24"/>
      <c r="T1127" s="67" t="str">
        <f t="shared" si="154"/>
        <v/>
      </c>
      <c r="U1127" s="67" t="str">
        <f t="shared" si="155"/>
        <v/>
      </c>
      <c r="V1127" s="67" t="str">
        <f t="shared" si="156"/>
        <v/>
      </c>
      <c r="W1127" s="67" t="str">
        <f t="shared" si="157"/>
        <v/>
      </c>
      <c r="X1127" s="67" t="str">
        <f t="shared" si="158"/>
        <v/>
      </c>
      <c r="Y1127" s="24" t="str">
        <f t="shared" si="159"/>
        <v/>
      </c>
      <c r="Z1127">
        <f t="shared" si="160"/>
        <v>0</v>
      </c>
      <c r="AA1127">
        <f t="shared" si="161"/>
        <v>0</v>
      </c>
    </row>
    <row r="1128" spans="2:27" ht="15.75" customHeight="1" x14ac:dyDescent="0.3">
      <c r="B1128" s="25"/>
      <c r="C1128" s="25"/>
      <c r="D1128" s="25"/>
      <c r="E1128" s="26" t="str">
        <f t="shared" si="153"/>
        <v/>
      </c>
      <c r="F1128" s="25"/>
      <c r="G1128" s="25"/>
      <c r="H1128" s="25"/>
      <c r="I1128" s="25"/>
      <c r="J1128" s="25"/>
      <c r="K1128" s="25"/>
      <c r="L1128" s="25"/>
      <c r="M1128" s="25"/>
      <c r="N1128" s="25"/>
      <c r="O1128" s="25"/>
      <c r="P1128" s="25"/>
      <c r="Q1128" s="25"/>
      <c r="R1128" s="23" t="str">
        <f>IF($F1128="","",IF(OR($B1128="",$C1128="",$D1128=""),"⚠ Compléter Année/Niveau/Session",IF(AND($E1128&lt;&gt;"",COUNTIF(D_KEY_DOUBLON,$B1128&amp;"|"&amp;$D1128&amp;"|"&amp;$E1128)&gt;1),"⚠ Doublon",IF(AND($E1128&lt;&gt;"",COUNTIF(D_KEY_STATUT,$B1128&amp;"|"&amp;$E1128&amp;"|P")&gt;0,COUNTIF(D_KEY_STATUT,$B1128&amp;"|"&amp;$E1128&amp;"|A")&gt;0),"⚠ Statut incohérent",IF(AND($D1128="S1",$Y1128&lt;&gt;"Parti",COUNTIF(ANNEES_VERROU,$B1128)&gt;0,COUNTIF(D_KEY_NIVSES,$B1128&amp;"|"&amp;$C1128&amp;"|S2")&gt;0,COUNTIF(D_KEY_DOUBLON,$B1128&amp;"|S2|"&amp;$E1128)=0),"⚠ Départ non confirmé ?",IF(AND($C1128&lt;&gt;"",ISNUMBER($I1128),OR(VALUE(LEFT($B1128,4))-$I1128&lt;4+IFERROR(MATCH($C1128,LISTE_NIVEAUX,0),99),VALUE(LEFT($B1128,4))-$I1128&gt;6+IFERROR(MATCH($C1128,LISTE_NIVEAUX,0),99))),"⚠ Vérifier niveau",IF(AND(IFERROR(VLOOKUP($C1128,TABLE_CYCLE,2,0),3)=2,COUNT($O1128:$Q1128)&gt;0),"⚠ Tests cycle 3",IF(COUNT($J1128:$Q1128)&gt;=IF(IFERROR(VLOOKUP($C1128,TABLE_CYCLE,2,0),3)=2,5,8),"Complet","Incomplet"))))))))</f>
        <v/>
      </c>
      <c r="S1128" s="24"/>
      <c r="T1128" s="67" t="str">
        <f t="shared" si="154"/>
        <v/>
      </c>
      <c r="U1128" s="67" t="str">
        <f t="shared" si="155"/>
        <v/>
      </c>
      <c r="V1128" s="67" t="str">
        <f t="shared" si="156"/>
        <v/>
      </c>
      <c r="W1128" s="67" t="str">
        <f t="shared" si="157"/>
        <v/>
      </c>
      <c r="X1128" s="67" t="str">
        <f t="shared" si="158"/>
        <v/>
      </c>
      <c r="Y1128" s="24" t="str">
        <f t="shared" si="159"/>
        <v/>
      </c>
      <c r="Z1128">
        <f t="shared" si="160"/>
        <v>0</v>
      </c>
      <c r="AA1128">
        <f t="shared" si="161"/>
        <v>0</v>
      </c>
    </row>
    <row r="1129" spans="2:27" ht="15.75" customHeight="1" x14ac:dyDescent="0.3">
      <c r="B1129" s="21"/>
      <c r="C1129" s="21"/>
      <c r="D1129" s="21"/>
      <c r="E1129" s="22" t="str">
        <f t="shared" si="153"/>
        <v/>
      </c>
      <c r="F1129" s="21"/>
      <c r="G1129" s="21"/>
      <c r="H1129" s="21"/>
      <c r="I1129" s="21"/>
      <c r="J1129" s="21"/>
      <c r="K1129" s="21"/>
      <c r="L1129" s="21"/>
      <c r="M1129" s="21"/>
      <c r="N1129" s="21"/>
      <c r="O1129" s="21"/>
      <c r="P1129" s="21"/>
      <c r="Q1129" s="21"/>
      <c r="R1129" s="23" t="str">
        <f>IF($F1129="","",IF(OR($B1129="",$C1129="",$D1129=""),"⚠ Compléter Année/Niveau/Session",IF(AND($E1129&lt;&gt;"",COUNTIF(D_KEY_DOUBLON,$B1129&amp;"|"&amp;$D1129&amp;"|"&amp;$E1129)&gt;1),"⚠ Doublon",IF(AND($E1129&lt;&gt;"",COUNTIF(D_KEY_STATUT,$B1129&amp;"|"&amp;$E1129&amp;"|P")&gt;0,COUNTIF(D_KEY_STATUT,$B1129&amp;"|"&amp;$E1129&amp;"|A")&gt;0),"⚠ Statut incohérent",IF(AND($D1129="S1",$Y1129&lt;&gt;"Parti",COUNTIF(ANNEES_VERROU,$B1129)&gt;0,COUNTIF(D_KEY_NIVSES,$B1129&amp;"|"&amp;$C1129&amp;"|S2")&gt;0,COUNTIF(D_KEY_DOUBLON,$B1129&amp;"|S2|"&amp;$E1129)=0),"⚠ Départ non confirmé ?",IF(AND($C1129&lt;&gt;"",ISNUMBER($I1129),OR(VALUE(LEFT($B1129,4))-$I1129&lt;4+IFERROR(MATCH($C1129,LISTE_NIVEAUX,0),99),VALUE(LEFT($B1129,4))-$I1129&gt;6+IFERROR(MATCH($C1129,LISTE_NIVEAUX,0),99))),"⚠ Vérifier niveau",IF(AND(IFERROR(VLOOKUP($C1129,TABLE_CYCLE,2,0),3)=2,COUNT($O1129:$Q1129)&gt;0),"⚠ Tests cycle 3",IF(COUNT($J1129:$Q1129)&gt;=IF(IFERROR(VLOOKUP($C1129,TABLE_CYCLE,2,0),3)=2,5,8),"Complet","Incomplet"))))))))</f>
        <v/>
      </c>
      <c r="S1129" s="24"/>
      <c r="T1129" s="67" t="str">
        <f t="shared" si="154"/>
        <v/>
      </c>
      <c r="U1129" s="67" t="str">
        <f t="shared" si="155"/>
        <v/>
      </c>
      <c r="V1129" s="67" t="str">
        <f t="shared" si="156"/>
        <v/>
      </c>
      <c r="W1129" s="67" t="str">
        <f t="shared" si="157"/>
        <v/>
      </c>
      <c r="X1129" s="67" t="str">
        <f t="shared" si="158"/>
        <v/>
      </c>
      <c r="Y1129" s="24" t="str">
        <f t="shared" si="159"/>
        <v/>
      </c>
      <c r="Z1129">
        <f t="shared" si="160"/>
        <v>0</v>
      </c>
      <c r="AA1129">
        <f t="shared" si="161"/>
        <v>0</v>
      </c>
    </row>
    <row r="1130" spans="2:27" ht="15.75" customHeight="1" x14ac:dyDescent="0.3">
      <c r="B1130" s="25"/>
      <c r="C1130" s="25"/>
      <c r="D1130" s="25"/>
      <c r="E1130" s="26" t="str">
        <f t="shared" si="153"/>
        <v/>
      </c>
      <c r="F1130" s="25"/>
      <c r="G1130" s="25"/>
      <c r="H1130" s="25"/>
      <c r="I1130" s="25"/>
      <c r="J1130" s="25"/>
      <c r="K1130" s="25"/>
      <c r="L1130" s="25"/>
      <c r="M1130" s="25"/>
      <c r="N1130" s="25"/>
      <c r="O1130" s="25"/>
      <c r="P1130" s="25"/>
      <c r="Q1130" s="25"/>
      <c r="R1130" s="23" t="str">
        <f>IF($F1130="","",IF(OR($B1130="",$C1130="",$D1130=""),"⚠ Compléter Année/Niveau/Session",IF(AND($E1130&lt;&gt;"",COUNTIF(D_KEY_DOUBLON,$B1130&amp;"|"&amp;$D1130&amp;"|"&amp;$E1130)&gt;1),"⚠ Doublon",IF(AND($E1130&lt;&gt;"",COUNTIF(D_KEY_STATUT,$B1130&amp;"|"&amp;$E1130&amp;"|P")&gt;0,COUNTIF(D_KEY_STATUT,$B1130&amp;"|"&amp;$E1130&amp;"|A")&gt;0),"⚠ Statut incohérent",IF(AND($D1130="S1",$Y1130&lt;&gt;"Parti",COUNTIF(ANNEES_VERROU,$B1130)&gt;0,COUNTIF(D_KEY_NIVSES,$B1130&amp;"|"&amp;$C1130&amp;"|S2")&gt;0,COUNTIF(D_KEY_DOUBLON,$B1130&amp;"|S2|"&amp;$E1130)=0),"⚠ Départ non confirmé ?",IF(AND($C1130&lt;&gt;"",ISNUMBER($I1130),OR(VALUE(LEFT($B1130,4))-$I1130&lt;4+IFERROR(MATCH($C1130,LISTE_NIVEAUX,0),99),VALUE(LEFT($B1130,4))-$I1130&gt;6+IFERROR(MATCH($C1130,LISTE_NIVEAUX,0),99))),"⚠ Vérifier niveau",IF(AND(IFERROR(VLOOKUP($C1130,TABLE_CYCLE,2,0),3)=2,COUNT($O1130:$Q1130)&gt;0),"⚠ Tests cycle 3",IF(COUNT($J1130:$Q1130)&gt;=IF(IFERROR(VLOOKUP($C1130,TABLE_CYCLE,2,0),3)=2,5,8),"Complet","Incomplet"))))))))</f>
        <v/>
      </c>
      <c r="S1130" s="24"/>
      <c r="T1130" s="67" t="str">
        <f t="shared" si="154"/>
        <v/>
      </c>
      <c r="U1130" s="67" t="str">
        <f t="shared" si="155"/>
        <v/>
      </c>
      <c r="V1130" s="67" t="str">
        <f t="shared" si="156"/>
        <v/>
      </c>
      <c r="W1130" s="67" t="str">
        <f t="shared" si="157"/>
        <v/>
      </c>
      <c r="X1130" s="67" t="str">
        <f t="shared" si="158"/>
        <v/>
      </c>
      <c r="Y1130" s="24" t="str">
        <f t="shared" si="159"/>
        <v/>
      </c>
      <c r="Z1130">
        <f t="shared" si="160"/>
        <v>0</v>
      </c>
      <c r="AA1130">
        <f t="shared" si="161"/>
        <v>0</v>
      </c>
    </row>
    <row r="1131" spans="2:27" ht="15.75" customHeight="1" x14ac:dyDescent="0.3">
      <c r="B1131" s="21"/>
      <c r="C1131" s="21"/>
      <c r="D1131" s="21"/>
      <c r="E1131" s="22" t="str">
        <f t="shared" si="153"/>
        <v/>
      </c>
      <c r="F1131" s="21"/>
      <c r="G1131" s="21"/>
      <c r="H1131" s="21"/>
      <c r="I1131" s="21"/>
      <c r="J1131" s="21"/>
      <c r="K1131" s="21"/>
      <c r="L1131" s="21"/>
      <c r="M1131" s="21"/>
      <c r="N1131" s="21"/>
      <c r="O1131" s="21"/>
      <c r="P1131" s="21"/>
      <c r="Q1131" s="21"/>
      <c r="R1131" s="23" t="str">
        <f>IF($F1131="","",IF(OR($B1131="",$C1131="",$D1131=""),"⚠ Compléter Année/Niveau/Session",IF(AND($E1131&lt;&gt;"",COUNTIF(D_KEY_DOUBLON,$B1131&amp;"|"&amp;$D1131&amp;"|"&amp;$E1131)&gt;1),"⚠ Doublon",IF(AND($E1131&lt;&gt;"",COUNTIF(D_KEY_STATUT,$B1131&amp;"|"&amp;$E1131&amp;"|P")&gt;0,COUNTIF(D_KEY_STATUT,$B1131&amp;"|"&amp;$E1131&amp;"|A")&gt;0),"⚠ Statut incohérent",IF(AND($D1131="S1",$Y1131&lt;&gt;"Parti",COUNTIF(ANNEES_VERROU,$B1131)&gt;0,COUNTIF(D_KEY_NIVSES,$B1131&amp;"|"&amp;$C1131&amp;"|S2")&gt;0,COUNTIF(D_KEY_DOUBLON,$B1131&amp;"|S2|"&amp;$E1131)=0),"⚠ Départ non confirmé ?",IF(AND($C1131&lt;&gt;"",ISNUMBER($I1131),OR(VALUE(LEFT($B1131,4))-$I1131&lt;4+IFERROR(MATCH($C1131,LISTE_NIVEAUX,0),99),VALUE(LEFT($B1131,4))-$I1131&gt;6+IFERROR(MATCH($C1131,LISTE_NIVEAUX,0),99))),"⚠ Vérifier niveau",IF(AND(IFERROR(VLOOKUP($C1131,TABLE_CYCLE,2,0),3)=2,COUNT($O1131:$Q1131)&gt;0),"⚠ Tests cycle 3",IF(COUNT($J1131:$Q1131)&gt;=IF(IFERROR(VLOOKUP($C1131,TABLE_CYCLE,2,0),3)=2,5,8),"Complet","Incomplet"))))))))</f>
        <v/>
      </c>
      <c r="S1131" s="24"/>
      <c r="T1131" s="67" t="str">
        <f t="shared" si="154"/>
        <v/>
      </c>
      <c r="U1131" s="67" t="str">
        <f t="shared" si="155"/>
        <v/>
      </c>
      <c r="V1131" s="67" t="str">
        <f t="shared" si="156"/>
        <v/>
      </c>
      <c r="W1131" s="67" t="str">
        <f t="shared" si="157"/>
        <v/>
      </c>
      <c r="X1131" s="67" t="str">
        <f t="shared" si="158"/>
        <v/>
      </c>
      <c r="Y1131" s="24" t="str">
        <f t="shared" si="159"/>
        <v/>
      </c>
      <c r="Z1131">
        <f t="shared" si="160"/>
        <v>0</v>
      </c>
      <c r="AA1131">
        <f t="shared" si="161"/>
        <v>0</v>
      </c>
    </row>
    <row r="1132" spans="2:27" ht="15.75" customHeight="1" x14ac:dyDescent="0.3">
      <c r="B1132" s="25"/>
      <c r="C1132" s="25"/>
      <c r="D1132" s="25"/>
      <c r="E1132" s="26" t="str">
        <f t="shared" si="153"/>
        <v/>
      </c>
      <c r="F1132" s="25"/>
      <c r="G1132" s="25"/>
      <c r="H1132" s="25"/>
      <c r="I1132" s="25"/>
      <c r="J1132" s="25"/>
      <c r="K1132" s="25"/>
      <c r="L1132" s="25"/>
      <c r="M1132" s="25"/>
      <c r="N1132" s="25"/>
      <c r="O1132" s="25"/>
      <c r="P1132" s="25"/>
      <c r="Q1132" s="25"/>
      <c r="R1132" s="23" t="str">
        <f>IF($F1132="","",IF(OR($B1132="",$C1132="",$D1132=""),"⚠ Compléter Année/Niveau/Session",IF(AND($E1132&lt;&gt;"",COUNTIF(D_KEY_DOUBLON,$B1132&amp;"|"&amp;$D1132&amp;"|"&amp;$E1132)&gt;1),"⚠ Doublon",IF(AND($E1132&lt;&gt;"",COUNTIF(D_KEY_STATUT,$B1132&amp;"|"&amp;$E1132&amp;"|P")&gt;0,COUNTIF(D_KEY_STATUT,$B1132&amp;"|"&amp;$E1132&amp;"|A")&gt;0),"⚠ Statut incohérent",IF(AND($D1132="S1",$Y1132&lt;&gt;"Parti",COUNTIF(ANNEES_VERROU,$B1132)&gt;0,COUNTIF(D_KEY_NIVSES,$B1132&amp;"|"&amp;$C1132&amp;"|S2")&gt;0,COUNTIF(D_KEY_DOUBLON,$B1132&amp;"|S2|"&amp;$E1132)=0),"⚠ Départ non confirmé ?",IF(AND($C1132&lt;&gt;"",ISNUMBER($I1132),OR(VALUE(LEFT($B1132,4))-$I1132&lt;4+IFERROR(MATCH($C1132,LISTE_NIVEAUX,0),99),VALUE(LEFT($B1132,4))-$I1132&gt;6+IFERROR(MATCH($C1132,LISTE_NIVEAUX,0),99))),"⚠ Vérifier niveau",IF(AND(IFERROR(VLOOKUP($C1132,TABLE_CYCLE,2,0),3)=2,COUNT($O1132:$Q1132)&gt;0),"⚠ Tests cycle 3",IF(COUNT($J1132:$Q1132)&gt;=IF(IFERROR(VLOOKUP($C1132,TABLE_CYCLE,2,0),3)=2,5,8),"Complet","Incomplet"))))))))</f>
        <v/>
      </c>
      <c r="S1132" s="24"/>
      <c r="T1132" s="67" t="str">
        <f t="shared" si="154"/>
        <v/>
      </c>
      <c r="U1132" s="67" t="str">
        <f t="shared" si="155"/>
        <v/>
      </c>
      <c r="V1132" s="67" t="str">
        <f t="shared" si="156"/>
        <v/>
      </c>
      <c r="W1132" s="67" t="str">
        <f t="shared" si="157"/>
        <v/>
      </c>
      <c r="X1132" s="67" t="str">
        <f t="shared" si="158"/>
        <v/>
      </c>
      <c r="Y1132" s="24" t="str">
        <f t="shared" si="159"/>
        <v/>
      </c>
      <c r="Z1132">
        <f t="shared" si="160"/>
        <v>0</v>
      </c>
      <c r="AA1132">
        <f t="shared" si="161"/>
        <v>0</v>
      </c>
    </row>
    <row r="1133" spans="2:27" ht="15.75" customHeight="1" x14ac:dyDescent="0.3">
      <c r="B1133" s="21"/>
      <c r="C1133" s="21"/>
      <c r="D1133" s="21"/>
      <c r="E1133" s="22" t="str">
        <f t="shared" si="153"/>
        <v/>
      </c>
      <c r="F1133" s="21"/>
      <c r="G1133" s="21"/>
      <c r="H1133" s="21"/>
      <c r="I1133" s="21"/>
      <c r="J1133" s="21"/>
      <c r="K1133" s="21"/>
      <c r="L1133" s="21"/>
      <c r="M1133" s="21"/>
      <c r="N1133" s="21"/>
      <c r="O1133" s="21"/>
      <c r="P1133" s="21"/>
      <c r="Q1133" s="21"/>
      <c r="R1133" s="23" t="str">
        <f>IF($F1133="","",IF(OR($B1133="",$C1133="",$D1133=""),"⚠ Compléter Année/Niveau/Session",IF(AND($E1133&lt;&gt;"",COUNTIF(D_KEY_DOUBLON,$B1133&amp;"|"&amp;$D1133&amp;"|"&amp;$E1133)&gt;1),"⚠ Doublon",IF(AND($E1133&lt;&gt;"",COUNTIF(D_KEY_STATUT,$B1133&amp;"|"&amp;$E1133&amp;"|P")&gt;0,COUNTIF(D_KEY_STATUT,$B1133&amp;"|"&amp;$E1133&amp;"|A")&gt;0),"⚠ Statut incohérent",IF(AND($D1133="S1",$Y1133&lt;&gt;"Parti",COUNTIF(ANNEES_VERROU,$B1133)&gt;0,COUNTIF(D_KEY_NIVSES,$B1133&amp;"|"&amp;$C1133&amp;"|S2")&gt;0,COUNTIF(D_KEY_DOUBLON,$B1133&amp;"|S2|"&amp;$E1133)=0),"⚠ Départ non confirmé ?",IF(AND($C1133&lt;&gt;"",ISNUMBER($I1133),OR(VALUE(LEFT($B1133,4))-$I1133&lt;4+IFERROR(MATCH($C1133,LISTE_NIVEAUX,0),99),VALUE(LEFT($B1133,4))-$I1133&gt;6+IFERROR(MATCH($C1133,LISTE_NIVEAUX,0),99))),"⚠ Vérifier niveau",IF(AND(IFERROR(VLOOKUP($C1133,TABLE_CYCLE,2,0),3)=2,COUNT($O1133:$Q1133)&gt;0),"⚠ Tests cycle 3",IF(COUNT($J1133:$Q1133)&gt;=IF(IFERROR(VLOOKUP($C1133,TABLE_CYCLE,2,0),3)=2,5,8),"Complet","Incomplet"))))))))</f>
        <v/>
      </c>
      <c r="S1133" s="24"/>
      <c r="T1133" s="67" t="str">
        <f t="shared" si="154"/>
        <v/>
      </c>
      <c r="U1133" s="67" t="str">
        <f t="shared" si="155"/>
        <v/>
      </c>
      <c r="V1133" s="67" t="str">
        <f t="shared" si="156"/>
        <v/>
      </c>
      <c r="W1133" s="67" t="str">
        <f t="shared" si="157"/>
        <v/>
      </c>
      <c r="X1133" s="67" t="str">
        <f t="shared" si="158"/>
        <v/>
      </c>
      <c r="Y1133" s="24" t="str">
        <f t="shared" si="159"/>
        <v/>
      </c>
      <c r="Z1133">
        <f t="shared" si="160"/>
        <v>0</v>
      </c>
      <c r="AA1133">
        <f t="shared" si="161"/>
        <v>0</v>
      </c>
    </row>
    <row r="1134" spans="2:27" ht="15.75" customHeight="1" x14ac:dyDescent="0.3">
      <c r="B1134" s="25"/>
      <c r="C1134" s="25"/>
      <c r="D1134" s="25"/>
      <c r="E1134" s="26" t="str">
        <f t="shared" si="153"/>
        <v/>
      </c>
      <c r="F1134" s="25"/>
      <c r="G1134" s="25"/>
      <c r="H1134" s="25"/>
      <c r="I1134" s="25"/>
      <c r="J1134" s="25"/>
      <c r="K1134" s="25"/>
      <c r="L1134" s="25"/>
      <c r="M1134" s="25"/>
      <c r="N1134" s="25"/>
      <c r="O1134" s="25"/>
      <c r="P1134" s="25"/>
      <c r="Q1134" s="25"/>
      <c r="R1134" s="23" t="str">
        <f>IF($F1134="","",IF(OR($B1134="",$C1134="",$D1134=""),"⚠ Compléter Année/Niveau/Session",IF(AND($E1134&lt;&gt;"",COUNTIF(D_KEY_DOUBLON,$B1134&amp;"|"&amp;$D1134&amp;"|"&amp;$E1134)&gt;1),"⚠ Doublon",IF(AND($E1134&lt;&gt;"",COUNTIF(D_KEY_STATUT,$B1134&amp;"|"&amp;$E1134&amp;"|P")&gt;0,COUNTIF(D_KEY_STATUT,$B1134&amp;"|"&amp;$E1134&amp;"|A")&gt;0),"⚠ Statut incohérent",IF(AND($D1134="S1",$Y1134&lt;&gt;"Parti",COUNTIF(ANNEES_VERROU,$B1134)&gt;0,COUNTIF(D_KEY_NIVSES,$B1134&amp;"|"&amp;$C1134&amp;"|S2")&gt;0,COUNTIF(D_KEY_DOUBLON,$B1134&amp;"|S2|"&amp;$E1134)=0),"⚠ Départ non confirmé ?",IF(AND($C1134&lt;&gt;"",ISNUMBER($I1134),OR(VALUE(LEFT($B1134,4))-$I1134&lt;4+IFERROR(MATCH($C1134,LISTE_NIVEAUX,0),99),VALUE(LEFT($B1134,4))-$I1134&gt;6+IFERROR(MATCH($C1134,LISTE_NIVEAUX,0),99))),"⚠ Vérifier niveau",IF(AND(IFERROR(VLOOKUP($C1134,TABLE_CYCLE,2,0),3)=2,COUNT($O1134:$Q1134)&gt;0),"⚠ Tests cycle 3",IF(COUNT($J1134:$Q1134)&gt;=IF(IFERROR(VLOOKUP($C1134,TABLE_CYCLE,2,0),3)=2,5,8),"Complet","Incomplet"))))))))</f>
        <v/>
      </c>
      <c r="S1134" s="24"/>
      <c r="T1134" s="67" t="str">
        <f t="shared" si="154"/>
        <v/>
      </c>
      <c r="U1134" s="67" t="str">
        <f t="shared" si="155"/>
        <v/>
      </c>
      <c r="V1134" s="67" t="str">
        <f t="shared" si="156"/>
        <v/>
      </c>
      <c r="W1134" s="67" t="str">
        <f t="shared" si="157"/>
        <v/>
      </c>
      <c r="X1134" s="67" t="str">
        <f t="shared" si="158"/>
        <v/>
      </c>
      <c r="Y1134" s="24" t="str">
        <f t="shared" si="159"/>
        <v/>
      </c>
      <c r="Z1134">
        <f t="shared" si="160"/>
        <v>0</v>
      </c>
      <c r="AA1134">
        <f t="shared" si="161"/>
        <v>0</v>
      </c>
    </row>
    <row r="1135" spans="2:27" ht="15.75" customHeight="1" x14ac:dyDescent="0.3">
      <c r="B1135" s="21"/>
      <c r="C1135" s="21"/>
      <c r="D1135" s="21"/>
      <c r="E1135" s="22" t="str">
        <f t="shared" si="153"/>
        <v/>
      </c>
      <c r="F1135" s="21"/>
      <c r="G1135" s="21"/>
      <c r="H1135" s="21"/>
      <c r="I1135" s="21"/>
      <c r="J1135" s="21"/>
      <c r="K1135" s="21"/>
      <c r="L1135" s="21"/>
      <c r="M1135" s="21"/>
      <c r="N1135" s="21"/>
      <c r="O1135" s="21"/>
      <c r="P1135" s="21"/>
      <c r="Q1135" s="21"/>
      <c r="R1135" s="23" t="str">
        <f>IF($F1135="","",IF(OR($B1135="",$C1135="",$D1135=""),"⚠ Compléter Année/Niveau/Session",IF(AND($E1135&lt;&gt;"",COUNTIF(D_KEY_DOUBLON,$B1135&amp;"|"&amp;$D1135&amp;"|"&amp;$E1135)&gt;1),"⚠ Doublon",IF(AND($E1135&lt;&gt;"",COUNTIF(D_KEY_STATUT,$B1135&amp;"|"&amp;$E1135&amp;"|P")&gt;0,COUNTIF(D_KEY_STATUT,$B1135&amp;"|"&amp;$E1135&amp;"|A")&gt;0),"⚠ Statut incohérent",IF(AND($D1135="S1",$Y1135&lt;&gt;"Parti",COUNTIF(ANNEES_VERROU,$B1135)&gt;0,COUNTIF(D_KEY_NIVSES,$B1135&amp;"|"&amp;$C1135&amp;"|S2")&gt;0,COUNTIF(D_KEY_DOUBLON,$B1135&amp;"|S2|"&amp;$E1135)=0),"⚠ Départ non confirmé ?",IF(AND($C1135&lt;&gt;"",ISNUMBER($I1135),OR(VALUE(LEFT($B1135,4))-$I1135&lt;4+IFERROR(MATCH($C1135,LISTE_NIVEAUX,0),99),VALUE(LEFT($B1135,4))-$I1135&gt;6+IFERROR(MATCH($C1135,LISTE_NIVEAUX,0),99))),"⚠ Vérifier niveau",IF(AND(IFERROR(VLOOKUP($C1135,TABLE_CYCLE,2,0),3)=2,COUNT($O1135:$Q1135)&gt;0),"⚠ Tests cycle 3",IF(COUNT($J1135:$Q1135)&gt;=IF(IFERROR(VLOOKUP($C1135,TABLE_CYCLE,2,0),3)=2,5,8),"Complet","Incomplet"))))))))</f>
        <v/>
      </c>
      <c r="S1135" s="24"/>
      <c r="T1135" s="67" t="str">
        <f t="shared" si="154"/>
        <v/>
      </c>
      <c r="U1135" s="67" t="str">
        <f t="shared" si="155"/>
        <v/>
      </c>
      <c r="V1135" s="67" t="str">
        <f t="shared" si="156"/>
        <v/>
      </c>
      <c r="W1135" s="67" t="str">
        <f t="shared" si="157"/>
        <v/>
      </c>
      <c r="X1135" s="67" t="str">
        <f t="shared" si="158"/>
        <v/>
      </c>
      <c r="Y1135" s="24" t="str">
        <f t="shared" si="159"/>
        <v/>
      </c>
      <c r="Z1135">
        <f t="shared" si="160"/>
        <v>0</v>
      </c>
      <c r="AA1135">
        <f t="shared" si="161"/>
        <v>0</v>
      </c>
    </row>
    <row r="1136" spans="2:27" ht="15.75" customHeight="1" x14ac:dyDescent="0.3">
      <c r="B1136" s="25"/>
      <c r="C1136" s="25"/>
      <c r="D1136" s="25"/>
      <c r="E1136" s="26" t="str">
        <f t="shared" si="153"/>
        <v/>
      </c>
      <c r="F1136" s="25"/>
      <c r="G1136" s="25"/>
      <c r="H1136" s="25"/>
      <c r="I1136" s="25"/>
      <c r="J1136" s="25"/>
      <c r="K1136" s="25"/>
      <c r="L1136" s="25"/>
      <c r="M1136" s="25"/>
      <c r="N1136" s="25"/>
      <c r="O1136" s="25"/>
      <c r="P1136" s="25"/>
      <c r="Q1136" s="25"/>
      <c r="R1136" s="23" t="str">
        <f>IF($F1136="","",IF(OR($B1136="",$C1136="",$D1136=""),"⚠ Compléter Année/Niveau/Session",IF(AND($E1136&lt;&gt;"",COUNTIF(D_KEY_DOUBLON,$B1136&amp;"|"&amp;$D1136&amp;"|"&amp;$E1136)&gt;1),"⚠ Doublon",IF(AND($E1136&lt;&gt;"",COUNTIF(D_KEY_STATUT,$B1136&amp;"|"&amp;$E1136&amp;"|P")&gt;0,COUNTIF(D_KEY_STATUT,$B1136&amp;"|"&amp;$E1136&amp;"|A")&gt;0),"⚠ Statut incohérent",IF(AND($D1136="S1",$Y1136&lt;&gt;"Parti",COUNTIF(ANNEES_VERROU,$B1136)&gt;0,COUNTIF(D_KEY_NIVSES,$B1136&amp;"|"&amp;$C1136&amp;"|S2")&gt;0,COUNTIF(D_KEY_DOUBLON,$B1136&amp;"|S2|"&amp;$E1136)=0),"⚠ Départ non confirmé ?",IF(AND($C1136&lt;&gt;"",ISNUMBER($I1136),OR(VALUE(LEFT($B1136,4))-$I1136&lt;4+IFERROR(MATCH($C1136,LISTE_NIVEAUX,0),99),VALUE(LEFT($B1136,4))-$I1136&gt;6+IFERROR(MATCH($C1136,LISTE_NIVEAUX,0),99))),"⚠ Vérifier niveau",IF(AND(IFERROR(VLOOKUP($C1136,TABLE_CYCLE,2,0),3)=2,COUNT($O1136:$Q1136)&gt;0),"⚠ Tests cycle 3",IF(COUNT($J1136:$Q1136)&gt;=IF(IFERROR(VLOOKUP($C1136,TABLE_CYCLE,2,0),3)=2,5,8),"Complet","Incomplet"))))))))</f>
        <v/>
      </c>
      <c r="S1136" s="24"/>
      <c r="T1136" s="67" t="str">
        <f t="shared" si="154"/>
        <v/>
      </c>
      <c r="U1136" s="67" t="str">
        <f t="shared" si="155"/>
        <v/>
      </c>
      <c r="V1136" s="67" t="str">
        <f t="shared" si="156"/>
        <v/>
      </c>
      <c r="W1136" s="67" t="str">
        <f t="shared" si="157"/>
        <v/>
      </c>
      <c r="X1136" s="67" t="str">
        <f t="shared" si="158"/>
        <v/>
      </c>
      <c r="Y1136" s="24" t="str">
        <f t="shared" si="159"/>
        <v/>
      </c>
      <c r="Z1136">
        <f t="shared" si="160"/>
        <v>0</v>
      </c>
      <c r="AA1136">
        <f t="shared" si="161"/>
        <v>0</v>
      </c>
    </row>
    <row r="1137" spans="2:27" ht="15.75" customHeight="1" x14ac:dyDescent="0.3">
      <c r="B1137" s="21"/>
      <c r="C1137" s="21"/>
      <c r="D1137" s="21"/>
      <c r="E1137" s="22" t="str">
        <f t="shared" si="153"/>
        <v/>
      </c>
      <c r="F1137" s="21"/>
      <c r="G1137" s="21"/>
      <c r="H1137" s="21"/>
      <c r="I1137" s="21"/>
      <c r="J1137" s="21"/>
      <c r="K1137" s="21"/>
      <c r="L1137" s="21"/>
      <c r="M1137" s="21"/>
      <c r="N1137" s="21"/>
      <c r="O1137" s="21"/>
      <c r="P1137" s="21"/>
      <c r="Q1137" s="21"/>
      <c r="R1137" s="23" t="str">
        <f>IF($F1137="","",IF(OR($B1137="",$C1137="",$D1137=""),"⚠ Compléter Année/Niveau/Session",IF(AND($E1137&lt;&gt;"",COUNTIF(D_KEY_DOUBLON,$B1137&amp;"|"&amp;$D1137&amp;"|"&amp;$E1137)&gt;1),"⚠ Doublon",IF(AND($E1137&lt;&gt;"",COUNTIF(D_KEY_STATUT,$B1137&amp;"|"&amp;$E1137&amp;"|P")&gt;0,COUNTIF(D_KEY_STATUT,$B1137&amp;"|"&amp;$E1137&amp;"|A")&gt;0),"⚠ Statut incohérent",IF(AND($D1137="S1",$Y1137&lt;&gt;"Parti",COUNTIF(ANNEES_VERROU,$B1137)&gt;0,COUNTIF(D_KEY_NIVSES,$B1137&amp;"|"&amp;$C1137&amp;"|S2")&gt;0,COUNTIF(D_KEY_DOUBLON,$B1137&amp;"|S2|"&amp;$E1137)=0),"⚠ Départ non confirmé ?",IF(AND($C1137&lt;&gt;"",ISNUMBER($I1137),OR(VALUE(LEFT($B1137,4))-$I1137&lt;4+IFERROR(MATCH($C1137,LISTE_NIVEAUX,0),99),VALUE(LEFT($B1137,4))-$I1137&gt;6+IFERROR(MATCH($C1137,LISTE_NIVEAUX,0),99))),"⚠ Vérifier niveau",IF(AND(IFERROR(VLOOKUP($C1137,TABLE_CYCLE,2,0),3)=2,COUNT($O1137:$Q1137)&gt;0),"⚠ Tests cycle 3",IF(COUNT($J1137:$Q1137)&gt;=IF(IFERROR(VLOOKUP($C1137,TABLE_CYCLE,2,0),3)=2,5,8),"Complet","Incomplet"))))))))</f>
        <v/>
      </c>
      <c r="S1137" s="24"/>
      <c r="T1137" s="67" t="str">
        <f t="shared" si="154"/>
        <v/>
      </c>
      <c r="U1137" s="67" t="str">
        <f t="shared" si="155"/>
        <v/>
      </c>
      <c r="V1137" s="67" t="str">
        <f t="shared" si="156"/>
        <v/>
      </c>
      <c r="W1137" s="67" t="str">
        <f t="shared" si="157"/>
        <v/>
      </c>
      <c r="X1137" s="67" t="str">
        <f t="shared" si="158"/>
        <v/>
      </c>
      <c r="Y1137" s="24" t="str">
        <f t="shared" si="159"/>
        <v/>
      </c>
      <c r="Z1137">
        <f t="shared" si="160"/>
        <v>0</v>
      </c>
      <c r="AA1137">
        <f t="shared" si="161"/>
        <v>0</v>
      </c>
    </row>
    <row r="1138" spans="2:27" ht="15.75" customHeight="1" x14ac:dyDescent="0.3">
      <c r="B1138" s="25"/>
      <c r="C1138" s="25"/>
      <c r="D1138" s="25"/>
      <c r="E1138" s="26" t="str">
        <f t="shared" si="153"/>
        <v/>
      </c>
      <c r="F1138" s="25"/>
      <c r="G1138" s="25"/>
      <c r="H1138" s="25"/>
      <c r="I1138" s="25"/>
      <c r="J1138" s="25"/>
      <c r="K1138" s="25"/>
      <c r="L1138" s="25"/>
      <c r="M1138" s="25"/>
      <c r="N1138" s="25"/>
      <c r="O1138" s="25"/>
      <c r="P1138" s="25"/>
      <c r="Q1138" s="25"/>
      <c r="R1138" s="23" t="str">
        <f>IF($F1138="","",IF(OR($B1138="",$C1138="",$D1138=""),"⚠ Compléter Année/Niveau/Session",IF(AND($E1138&lt;&gt;"",COUNTIF(D_KEY_DOUBLON,$B1138&amp;"|"&amp;$D1138&amp;"|"&amp;$E1138)&gt;1),"⚠ Doublon",IF(AND($E1138&lt;&gt;"",COUNTIF(D_KEY_STATUT,$B1138&amp;"|"&amp;$E1138&amp;"|P")&gt;0,COUNTIF(D_KEY_STATUT,$B1138&amp;"|"&amp;$E1138&amp;"|A")&gt;0),"⚠ Statut incohérent",IF(AND($D1138="S1",$Y1138&lt;&gt;"Parti",COUNTIF(ANNEES_VERROU,$B1138)&gt;0,COUNTIF(D_KEY_NIVSES,$B1138&amp;"|"&amp;$C1138&amp;"|S2")&gt;0,COUNTIF(D_KEY_DOUBLON,$B1138&amp;"|S2|"&amp;$E1138)=0),"⚠ Départ non confirmé ?",IF(AND($C1138&lt;&gt;"",ISNUMBER($I1138),OR(VALUE(LEFT($B1138,4))-$I1138&lt;4+IFERROR(MATCH($C1138,LISTE_NIVEAUX,0),99),VALUE(LEFT($B1138,4))-$I1138&gt;6+IFERROR(MATCH($C1138,LISTE_NIVEAUX,0),99))),"⚠ Vérifier niveau",IF(AND(IFERROR(VLOOKUP($C1138,TABLE_CYCLE,2,0),3)=2,COUNT($O1138:$Q1138)&gt;0),"⚠ Tests cycle 3",IF(COUNT($J1138:$Q1138)&gt;=IF(IFERROR(VLOOKUP($C1138,TABLE_CYCLE,2,0),3)=2,5,8),"Complet","Incomplet"))))))))</f>
        <v/>
      </c>
      <c r="S1138" s="24"/>
      <c r="T1138" s="67" t="str">
        <f t="shared" si="154"/>
        <v/>
      </c>
      <c r="U1138" s="67" t="str">
        <f t="shared" si="155"/>
        <v/>
      </c>
      <c r="V1138" s="67" t="str">
        <f t="shared" si="156"/>
        <v/>
      </c>
      <c r="W1138" s="67" t="str">
        <f t="shared" si="157"/>
        <v/>
      </c>
      <c r="X1138" s="67" t="str">
        <f t="shared" si="158"/>
        <v/>
      </c>
      <c r="Y1138" s="24" t="str">
        <f t="shared" si="159"/>
        <v/>
      </c>
      <c r="Z1138">
        <f t="shared" si="160"/>
        <v>0</v>
      </c>
      <c r="AA1138">
        <f t="shared" si="161"/>
        <v>0</v>
      </c>
    </row>
    <row r="1139" spans="2:27" ht="15.75" customHeight="1" x14ac:dyDescent="0.3">
      <c r="B1139" s="21"/>
      <c r="C1139" s="21"/>
      <c r="D1139" s="21"/>
      <c r="E1139" s="22" t="str">
        <f t="shared" si="153"/>
        <v/>
      </c>
      <c r="F1139" s="21"/>
      <c r="G1139" s="21"/>
      <c r="H1139" s="21"/>
      <c r="I1139" s="21"/>
      <c r="J1139" s="21"/>
      <c r="K1139" s="21"/>
      <c r="L1139" s="21"/>
      <c r="M1139" s="21"/>
      <c r="N1139" s="21"/>
      <c r="O1139" s="21"/>
      <c r="P1139" s="21"/>
      <c r="Q1139" s="21"/>
      <c r="R1139" s="23" t="str">
        <f>IF($F1139="","",IF(OR($B1139="",$C1139="",$D1139=""),"⚠ Compléter Année/Niveau/Session",IF(AND($E1139&lt;&gt;"",COUNTIF(D_KEY_DOUBLON,$B1139&amp;"|"&amp;$D1139&amp;"|"&amp;$E1139)&gt;1),"⚠ Doublon",IF(AND($E1139&lt;&gt;"",COUNTIF(D_KEY_STATUT,$B1139&amp;"|"&amp;$E1139&amp;"|P")&gt;0,COUNTIF(D_KEY_STATUT,$B1139&amp;"|"&amp;$E1139&amp;"|A")&gt;0),"⚠ Statut incohérent",IF(AND($D1139="S1",$Y1139&lt;&gt;"Parti",COUNTIF(ANNEES_VERROU,$B1139)&gt;0,COUNTIF(D_KEY_NIVSES,$B1139&amp;"|"&amp;$C1139&amp;"|S2")&gt;0,COUNTIF(D_KEY_DOUBLON,$B1139&amp;"|S2|"&amp;$E1139)=0),"⚠ Départ non confirmé ?",IF(AND($C1139&lt;&gt;"",ISNUMBER($I1139),OR(VALUE(LEFT($B1139,4))-$I1139&lt;4+IFERROR(MATCH($C1139,LISTE_NIVEAUX,0),99),VALUE(LEFT($B1139,4))-$I1139&gt;6+IFERROR(MATCH($C1139,LISTE_NIVEAUX,0),99))),"⚠ Vérifier niveau",IF(AND(IFERROR(VLOOKUP($C1139,TABLE_CYCLE,2,0),3)=2,COUNT($O1139:$Q1139)&gt;0),"⚠ Tests cycle 3",IF(COUNT($J1139:$Q1139)&gt;=IF(IFERROR(VLOOKUP($C1139,TABLE_CYCLE,2,0),3)=2,5,8),"Complet","Incomplet"))))))))</f>
        <v/>
      </c>
      <c r="S1139" s="24"/>
      <c r="T1139" s="67" t="str">
        <f t="shared" si="154"/>
        <v/>
      </c>
      <c r="U1139" s="67" t="str">
        <f t="shared" si="155"/>
        <v/>
      </c>
      <c r="V1139" s="67" t="str">
        <f t="shared" si="156"/>
        <v/>
      </c>
      <c r="W1139" s="67" t="str">
        <f t="shared" si="157"/>
        <v/>
      </c>
      <c r="X1139" s="67" t="str">
        <f t="shared" si="158"/>
        <v/>
      </c>
      <c r="Y1139" s="24" t="str">
        <f t="shared" si="159"/>
        <v/>
      </c>
      <c r="Z1139">
        <f t="shared" si="160"/>
        <v>0</v>
      </c>
      <c r="AA1139">
        <f t="shared" si="161"/>
        <v>0</v>
      </c>
    </row>
    <row r="1140" spans="2:27" ht="15.75" customHeight="1" x14ac:dyDescent="0.3">
      <c r="B1140" s="25"/>
      <c r="C1140" s="25"/>
      <c r="D1140" s="25"/>
      <c r="E1140" s="26" t="str">
        <f t="shared" si="153"/>
        <v/>
      </c>
      <c r="F1140" s="25"/>
      <c r="G1140" s="25"/>
      <c r="H1140" s="25"/>
      <c r="I1140" s="25"/>
      <c r="J1140" s="25"/>
      <c r="K1140" s="25"/>
      <c r="L1140" s="25"/>
      <c r="M1140" s="25"/>
      <c r="N1140" s="25"/>
      <c r="O1140" s="25"/>
      <c r="P1140" s="25"/>
      <c r="Q1140" s="25"/>
      <c r="R1140" s="23" t="str">
        <f>IF($F1140="","",IF(OR($B1140="",$C1140="",$D1140=""),"⚠ Compléter Année/Niveau/Session",IF(AND($E1140&lt;&gt;"",COUNTIF(D_KEY_DOUBLON,$B1140&amp;"|"&amp;$D1140&amp;"|"&amp;$E1140)&gt;1),"⚠ Doublon",IF(AND($E1140&lt;&gt;"",COUNTIF(D_KEY_STATUT,$B1140&amp;"|"&amp;$E1140&amp;"|P")&gt;0,COUNTIF(D_KEY_STATUT,$B1140&amp;"|"&amp;$E1140&amp;"|A")&gt;0),"⚠ Statut incohérent",IF(AND($D1140="S1",$Y1140&lt;&gt;"Parti",COUNTIF(ANNEES_VERROU,$B1140)&gt;0,COUNTIF(D_KEY_NIVSES,$B1140&amp;"|"&amp;$C1140&amp;"|S2")&gt;0,COUNTIF(D_KEY_DOUBLON,$B1140&amp;"|S2|"&amp;$E1140)=0),"⚠ Départ non confirmé ?",IF(AND($C1140&lt;&gt;"",ISNUMBER($I1140),OR(VALUE(LEFT($B1140,4))-$I1140&lt;4+IFERROR(MATCH($C1140,LISTE_NIVEAUX,0),99),VALUE(LEFT($B1140,4))-$I1140&gt;6+IFERROR(MATCH($C1140,LISTE_NIVEAUX,0),99))),"⚠ Vérifier niveau",IF(AND(IFERROR(VLOOKUP($C1140,TABLE_CYCLE,2,0),3)=2,COUNT($O1140:$Q1140)&gt;0),"⚠ Tests cycle 3",IF(COUNT($J1140:$Q1140)&gt;=IF(IFERROR(VLOOKUP($C1140,TABLE_CYCLE,2,0),3)=2,5,8),"Complet","Incomplet"))))))))</f>
        <v/>
      </c>
      <c r="S1140" s="24"/>
      <c r="T1140" s="67" t="str">
        <f t="shared" si="154"/>
        <v/>
      </c>
      <c r="U1140" s="67" t="str">
        <f t="shared" si="155"/>
        <v/>
      </c>
      <c r="V1140" s="67" t="str">
        <f t="shared" si="156"/>
        <v/>
      </c>
      <c r="W1140" s="67" t="str">
        <f t="shared" si="157"/>
        <v/>
      </c>
      <c r="X1140" s="67" t="str">
        <f t="shared" si="158"/>
        <v/>
      </c>
      <c r="Y1140" s="24" t="str">
        <f t="shared" si="159"/>
        <v/>
      </c>
      <c r="Z1140">
        <f t="shared" si="160"/>
        <v>0</v>
      </c>
      <c r="AA1140">
        <f t="shared" si="161"/>
        <v>0</v>
      </c>
    </row>
    <row r="1141" spans="2:27" ht="15.75" customHeight="1" x14ac:dyDescent="0.3">
      <c r="B1141" s="21"/>
      <c r="C1141" s="21"/>
      <c r="D1141" s="21"/>
      <c r="E1141" s="22" t="str">
        <f t="shared" si="153"/>
        <v/>
      </c>
      <c r="F1141" s="21"/>
      <c r="G1141" s="21"/>
      <c r="H1141" s="21"/>
      <c r="I1141" s="21"/>
      <c r="J1141" s="21"/>
      <c r="K1141" s="21"/>
      <c r="L1141" s="21"/>
      <c r="M1141" s="21"/>
      <c r="N1141" s="21"/>
      <c r="O1141" s="21"/>
      <c r="P1141" s="21"/>
      <c r="Q1141" s="21"/>
      <c r="R1141" s="23" t="str">
        <f>IF($F1141="","",IF(OR($B1141="",$C1141="",$D1141=""),"⚠ Compléter Année/Niveau/Session",IF(AND($E1141&lt;&gt;"",COUNTIF(D_KEY_DOUBLON,$B1141&amp;"|"&amp;$D1141&amp;"|"&amp;$E1141)&gt;1),"⚠ Doublon",IF(AND($E1141&lt;&gt;"",COUNTIF(D_KEY_STATUT,$B1141&amp;"|"&amp;$E1141&amp;"|P")&gt;0,COUNTIF(D_KEY_STATUT,$B1141&amp;"|"&amp;$E1141&amp;"|A")&gt;0),"⚠ Statut incohérent",IF(AND($D1141="S1",$Y1141&lt;&gt;"Parti",COUNTIF(ANNEES_VERROU,$B1141)&gt;0,COUNTIF(D_KEY_NIVSES,$B1141&amp;"|"&amp;$C1141&amp;"|S2")&gt;0,COUNTIF(D_KEY_DOUBLON,$B1141&amp;"|S2|"&amp;$E1141)=0),"⚠ Départ non confirmé ?",IF(AND($C1141&lt;&gt;"",ISNUMBER($I1141),OR(VALUE(LEFT($B1141,4))-$I1141&lt;4+IFERROR(MATCH($C1141,LISTE_NIVEAUX,0),99),VALUE(LEFT($B1141,4))-$I1141&gt;6+IFERROR(MATCH($C1141,LISTE_NIVEAUX,0),99))),"⚠ Vérifier niveau",IF(AND(IFERROR(VLOOKUP($C1141,TABLE_CYCLE,2,0),3)=2,COUNT($O1141:$Q1141)&gt;0),"⚠ Tests cycle 3",IF(COUNT($J1141:$Q1141)&gt;=IF(IFERROR(VLOOKUP($C1141,TABLE_CYCLE,2,0),3)=2,5,8),"Complet","Incomplet"))))))))</f>
        <v/>
      </c>
      <c r="S1141" s="24"/>
      <c r="T1141" s="67" t="str">
        <f t="shared" si="154"/>
        <v/>
      </c>
      <c r="U1141" s="67" t="str">
        <f t="shared" si="155"/>
        <v/>
      </c>
      <c r="V1141" s="67" t="str">
        <f t="shared" si="156"/>
        <v/>
      </c>
      <c r="W1141" s="67" t="str">
        <f t="shared" si="157"/>
        <v/>
      </c>
      <c r="X1141" s="67" t="str">
        <f t="shared" si="158"/>
        <v/>
      </c>
      <c r="Y1141" s="24" t="str">
        <f t="shared" si="159"/>
        <v/>
      </c>
      <c r="Z1141">
        <f t="shared" si="160"/>
        <v>0</v>
      </c>
      <c r="AA1141">
        <f t="shared" si="161"/>
        <v>0</v>
      </c>
    </row>
    <row r="1142" spans="2:27" ht="15.75" customHeight="1" x14ac:dyDescent="0.3">
      <c r="B1142" s="25"/>
      <c r="C1142" s="25"/>
      <c r="D1142" s="25"/>
      <c r="E1142" s="26" t="str">
        <f t="shared" si="153"/>
        <v/>
      </c>
      <c r="F1142" s="25"/>
      <c r="G1142" s="25"/>
      <c r="H1142" s="25"/>
      <c r="I1142" s="25"/>
      <c r="J1142" s="25"/>
      <c r="K1142" s="25"/>
      <c r="L1142" s="25"/>
      <c r="M1142" s="25"/>
      <c r="N1142" s="25"/>
      <c r="O1142" s="25"/>
      <c r="P1142" s="25"/>
      <c r="Q1142" s="25"/>
      <c r="R1142" s="23" t="str">
        <f>IF($F1142="","",IF(OR($B1142="",$C1142="",$D1142=""),"⚠ Compléter Année/Niveau/Session",IF(AND($E1142&lt;&gt;"",COUNTIF(D_KEY_DOUBLON,$B1142&amp;"|"&amp;$D1142&amp;"|"&amp;$E1142)&gt;1),"⚠ Doublon",IF(AND($E1142&lt;&gt;"",COUNTIF(D_KEY_STATUT,$B1142&amp;"|"&amp;$E1142&amp;"|P")&gt;0,COUNTIF(D_KEY_STATUT,$B1142&amp;"|"&amp;$E1142&amp;"|A")&gt;0),"⚠ Statut incohérent",IF(AND($D1142="S1",$Y1142&lt;&gt;"Parti",COUNTIF(ANNEES_VERROU,$B1142)&gt;0,COUNTIF(D_KEY_NIVSES,$B1142&amp;"|"&amp;$C1142&amp;"|S2")&gt;0,COUNTIF(D_KEY_DOUBLON,$B1142&amp;"|S2|"&amp;$E1142)=0),"⚠ Départ non confirmé ?",IF(AND($C1142&lt;&gt;"",ISNUMBER($I1142),OR(VALUE(LEFT($B1142,4))-$I1142&lt;4+IFERROR(MATCH($C1142,LISTE_NIVEAUX,0),99),VALUE(LEFT($B1142,4))-$I1142&gt;6+IFERROR(MATCH($C1142,LISTE_NIVEAUX,0),99))),"⚠ Vérifier niveau",IF(AND(IFERROR(VLOOKUP($C1142,TABLE_CYCLE,2,0),3)=2,COUNT($O1142:$Q1142)&gt;0),"⚠ Tests cycle 3",IF(COUNT($J1142:$Q1142)&gt;=IF(IFERROR(VLOOKUP($C1142,TABLE_CYCLE,2,0),3)=2,5,8),"Complet","Incomplet"))))))))</f>
        <v/>
      </c>
      <c r="S1142" s="24"/>
      <c r="T1142" s="67" t="str">
        <f t="shared" si="154"/>
        <v/>
      </c>
      <c r="U1142" s="67" t="str">
        <f t="shared" si="155"/>
        <v/>
      </c>
      <c r="V1142" s="67" t="str">
        <f t="shared" si="156"/>
        <v/>
      </c>
      <c r="W1142" s="67" t="str">
        <f t="shared" si="157"/>
        <v/>
      </c>
      <c r="X1142" s="67" t="str">
        <f t="shared" si="158"/>
        <v/>
      </c>
      <c r="Y1142" s="24" t="str">
        <f t="shared" si="159"/>
        <v/>
      </c>
      <c r="Z1142">
        <f t="shared" si="160"/>
        <v>0</v>
      </c>
      <c r="AA1142">
        <f t="shared" si="161"/>
        <v>0</v>
      </c>
    </row>
    <row r="1143" spans="2:27" ht="15.75" customHeight="1" x14ac:dyDescent="0.3">
      <c r="B1143" s="21"/>
      <c r="C1143" s="21"/>
      <c r="D1143" s="21"/>
      <c r="E1143" s="22" t="str">
        <f t="shared" si="153"/>
        <v/>
      </c>
      <c r="F1143" s="21"/>
      <c r="G1143" s="21"/>
      <c r="H1143" s="21"/>
      <c r="I1143" s="21"/>
      <c r="J1143" s="21"/>
      <c r="K1143" s="21"/>
      <c r="L1143" s="21"/>
      <c r="M1143" s="21"/>
      <c r="N1143" s="21"/>
      <c r="O1143" s="21"/>
      <c r="P1143" s="21"/>
      <c r="Q1143" s="21"/>
      <c r="R1143" s="23" t="str">
        <f>IF($F1143="","",IF(OR($B1143="",$C1143="",$D1143=""),"⚠ Compléter Année/Niveau/Session",IF(AND($E1143&lt;&gt;"",COUNTIF(D_KEY_DOUBLON,$B1143&amp;"|"&amp;$D1143&amp;"|"&amp;$E1143)&gt;1),"⚠ Doublon",IF(AND($E1143&lt;&gt;"",COUNTIF(D_KEY_STATUT,$B1143&amp;"|"&amp;$E1143&amp;"|P")&gt;0,COUNTIF(D_KEY_STATUT,$B1143&amp;"|"&amp;$E1143&amp;"|A")&gt;0),"⚠ Statut incohérent",IF(AND($D1143="S1",$Y1143&lt;&gt;"Parti",COUNTIF(ANNEES_VERROU,$B1143)&gt;0,COUNTIF(D_KEY_NIVSES,$B1143&amp;"|"&amp;$C1143&amp;"|S2")&gt;0,COUNTIF(D_KEY_DOUBLON,$B1143&amp;"|S2|"&amp;$E1143)=0),"⚠ Départ non confirmé ?",IF(AND($C1143&lt;&gt;"",ISNUMBER($I1143),OR(VALUE(LEFT($B1143,4))-$I1143&lt;4+IFERROR(MATCH($C1143,LISTE_NIVEAUX,0),99),VALUE(LEFT($B1143,4))-$I1143&gt;6+IFERROR(MATCH($C1143,LISTE_NIVEAUX,0),99))),"⚠ Vérifier niveau",IF(AND(IFERROR(VLOOKUP($C1143,TABLE_CYCLE,2,0),3)=2,COUNT($O1143:$Q1143)&gt;0),"⚠ Tests cycle 3",IF(COUNT($J1143:$Q1143)&gt;=IF(IFERROR(VLOOKUP($C1143,TABLE_CYCLE,2,0),3)=2,5,8),"Complet","Incomplet"))))))))</f>
        <v/>
      </c>
      <c r="S1143" s="24"/>
      <c r="T1143" s="67" t="str">
        <f t="shared" si="154"/>
        <v/>
      </c>
      <c r="U1143" s="67" t="str">
        <f t="shared" si="155"/>
        <v/>
      </c>
      <c r="V1143" s="67" t="str">
        <f t="shared" si="156"/>
        <v/>
      </c>
      <c r="W1143" s="67" t="str">
        <f t="shared" si="157"/>
        <v/>
      </c>
      <c r="X1143" s="67" t="str">
        <f t="shared" si="158"/>
        <v/>
      </c>
      <c r="Y1143" s="24" t="str">
        <f t="shared" si="159"/>
        <v/>
      </c>
      <c r="Z1143">
        <f t="shared" si="160"/>
        <v>0</v>
      </c>
      <c r="AA1143">
        <f t="shared" si="161"/>
        <v>0</v>
      </c>
    </row>
    <row r="1144" spans="2:27" ht="15.75" customHeight="1" x14ac:dyDescent="0.3">
      <c r="B1144" s="25"/>
      <c r="C1144" s="25"/>
      <c r="D1144" s="25"/>
      <c r="E1144" s="26" t="str">
        <f t="shared" si="153"/>
        <v/>
      </c>
      <c r="F1144" s="25"/>
      <c r="G1144" s="25"/>
      <c r="H1144" s="25"/>
      <c r="I1144" s="25"/>
      <c r="J1144" s="25"/>
      <c r="K1144" s="25"/>
      <c r="L1144" s="25"/>
      <c r="M1144" s="25"/>
      <c r="N1144" s="25"/>
      <c r="O1144" s="25"/>
      <c r="P1144" s="25"/>
      <c r="Q1144" s="25"/>
      <c r="R1144" s="23" t="str">
        <f>IF($F1144="","",IF(OR($B1144="",$C1144="",$D1144=""),"⚠ Compléter Année/Niveau/Session",IF(AND($E1144&lt;&gt;"",COUNTIF(D_KEY_DOUBLON,$B1144&amp;"|"&amp;$D1144&amp;"|"&amp;$E1144)&gt;1),"⚠ Doublon",IF(AND($E1144&lt;&gt;"",COUNTIF(D_KEY_STATUT,$B1144&amp;"|"&amp;$E1144&amp;"|P")&gt;0,COUNTIF(D_KEY_STATUT,$B1144&amp;"|"&amp;$E1144&amp;"|A")&gt;0),"⚠ Statut incohérent",IF(AND($D1144="S1",$Y1144&lt;&gt;"Parti",COUNTIF(ANNEES_VERROU,$B1144)&gt;0,COUNTIF(D_KEY_NIVSES,$B1144&amp;"|"&amp;$C1144&amp;"|S2")&gt;0,COUNTIF(D_KEY_DOUBLON,$B1144&amp;"|S2|"&amp;$E1144)=0),"⚠ Départ non confirmé ?",IF(AND($C1144&lt;&gt;"",ISNUMBER($I1144),OR(VALUE(LEFT($B1144,4))-$I1144&lt;4+IFERROR(MATCH($C1144,LISTE_NIVEAUX,0),99),VALUE(LEFT($B1144,4))-$I1144&gt;6+IFERROR(MATCH($C1144,LISTE_NIVEAUX,0),99))),"⚠ Vérifier niveau",IF(AND(IFERROR(VLOOKUP($C1144,TABLE_CYCLE,2,0),3)=2,COUNT($O1144:$Q1144)&gt;0),"⚠ Tests cycle 3",IF(COUNT($J1144:$Q1144)&gt;=IF(IFERROR(VLOOKUP($C1144,TABLE_CYCLE,2,0),3)=2,5,8),"Complet","Incomplet"))))))))</f>
        <v/>
      </c>
      <c r="S1144" s="24"/>
      <c r="T1144" s="67" t="str">
        <f t="shared" si="154"/>
        <v/>
      </c>
      <c r="U1144" s="67" t="str">
        <f t="shared" si="155"/>
        <v/>
      </c>
      <c r="V1144" s="67" t="str">
        <f t="shared" si="156"/>
        <v/>
      </c>
      <c r="W1144" s="67" t="str">
        <f t="shared" si="157"/>
        <v/>
      </c>
      <c r="X1144" s="67" t="str">
        <f t="shared" si="158"/>
        <v/>
      </c>
      <c r="Y1144" s="24" t="str">
        <f t="shared" si="159"/>
        <v/>
      </c>
      <c r="Z1144">
        <f t="shared" si="160"/>
        <v>0</v>
      </c>
      <c r="AA1144">
        <f t="shared" si="161"/>
        <v>0</v>
      </c>
    </row>
    <row r="1145" spans="2:27" ht="15.75" customHeight="1" x14ac:dyDescent="0.3">
      <c r="B1145" s="21"/>
      <c r="C1145" s="21"/>
      <c r="D1145" s="21"/>
      <c r="E1145" s="22" t="str">
        <f t="shared" si="153"/>
        <v/>
      </c>
      <c r="F1145" s="21"/>
      <c r="G1145" s="21"/>
      <c r="H1145" s="21"/>
      <c r="I1145" s="21"/>
      <c r="J1145" s="21"/>
      <c r="K1145" s="21"/>
      <c r="L1145" s="21"/>
      <c r="M1145" s="21"/>
      <c r="N1145" s="21"/>
      <c r="O1145" s="21"/>
      <c r="P1145" s="21"/>
      <c r="Q1145" s="21"/>
      <c r="R1145" s="23" t="str">
        <f>IF($F1145="","",IF(OR($B1145="",$C1145="",$D1145=""),"⚠ Compléter Année/Niveau/Session",IF(AND($E1145&lt;&gt;"",COUNTIF(D_KEY_DOUBLON,$B1145&amp;"|"&amp;$D1145&amp;"|"&amp;$E1145)&gt;1),"⚠ Doublon",IF(AND($E1145&lt;&gt;"",COUNTIF(D_KEY_STATUT,$B1145&amp;"|"&amp;$E1145&amp;"|P")&gt;0,COUNTIF(D_KEY_STATUT,$B1145&amp;"|"&amp;$E1145&amp;"|A")&gt;0),"⚠ Statut incohérent",IF(AND($D1145="S1",$Y1145&lt;&gt;"Parti",COUNTIF(ANNEES_VERROU,$B1145)&gt;0,COUNTIF(D_KEY_NIVSES,$B1145&amp;"|"&amp;$C1145&amp;"|S2")&gt;0,COUNTIF(D_KEY_DOUBLON,$B1145&amp;"|S2|"&amp;$E1145)=0),"⚠ Départ non confirmé ?",IF(AND($C1145&lt;&gt;"",ISNUMBER($I1145),OR(VALUE(LEFT($B1145,4))-$I1145&lt;4+IFERROR(MATCH($C1145,LISTE_NIVEAUX,0),99),VALUE(LEFT($B1145,4))-$I1145&gt;6+IFERROR(MATCH($C1145,LISTE_NIVEAUX,0),99))),"⚠ Vérifier niveau",IF(AND(IFERROR(VLOOKUP($C1145,TABLE_CYCLE,2,0),3)=2,COUNT($O1145:$Q1145)&gt;0),"⚠ Tests cycle 3",IF(COUNT($J1145:$Q1145)&gt;=IF(IFERROR(VLOOKUP($C1145,TABLE_CYCLE,2,0),3)=2,5,8),"Complet","Incomplet"))))))))</f>
        <v/>
      </c>
      <c r="S1145" s="24"/>
      <c r="T1145" s="67" t="str">
        <f t="shared" si="154"/>
        <v/>
      </c>
      <c r="U1145" s="67" t="str">
        <f t="shared" si="155"/>
        <v/>
      </c>
      <c r="V1145" s="67" t="str">
        <f t="shared" si="156"/>
        <v/>
      </c>
      <c r="W1145" s="67" t="str">
        <f t="shared" si="157"/>
        <v/>
      </c>
      <c r="X1145" s="67" t="str">
        <f t="shared" si="158"/>
        <v/>
      </c>
      <c r="Y1145" s="24" t="str">
        <f t="shared" si="159"/>
        <v/>
      </c>
      <c r="Z1145">
        <f t="shared" si="160"/>
        <v>0</v>
      </c>
      <c r="AA1145">
        <f t="shared" si="161"/>
        <v>0</v>
      </c>
    </row>
    <row r="1146" spans="2:27" ht="15.75" customHeight="1" x14ac:dyDescent="0.3">
      <c r="B1146" s="25"/>
      <c r="C1146" s="25"/>
      <c r="D1146" s="25"/>
      <c r="E1146" s="26" t="str">
        <f t="shared" si="153"/>
        <v/>
      </c>
      <c r="F1146" s="25"/>
      <c r="G1146" s="25"/>
      <c r="H1146" s="25"/>
      <c r="I1146" s="25"/>
      <c r="J1146" s="25"/>
      <c r="K1146" s="25"/>
      <c r="L1146" s="25"/>
      <c r="M1146" s="25"/>
      <c r="N1146" s="25"/>
      <c r="O1146" s="25"/>
      <c r="P1146" s="25"/>
      <c r="Q1146" s="25"/>
      <c r="R1146" s="23" t="str">
        <f>IF($F1146="","",IF(OR($B1146="",$C1146="",$D1146=""),"⚠ Compléter Année/Niveau/Session",IF(AND($E1146&lt;&gt;"",COUNTIF(D_KEY_DOUBLON,$B1146&amp;"|"&amp;$D1146&amp;"|"&amp;$E1146)&gt;1),"⚠ Doublon",IF(AND($E1146&lt;&gt;"",COUNTIF(D_KEY_STATUT,$B1146&amp;"|"&amp;$E1146&amp;"|P")&gt;0,COUNTIF(D_KEY_STATUT,$B1146&amp;"|"&amp;$E1146&amp;"|A")&gt;0),"⚠ Statut incohérent",IF(AND($D1146="S1",$Y1146&lt;&gt;"Parti",COUNTIF(ANNEES_VERROU,$B1146)&gt;0,COUNTIF(D_KEY_NIVSES,$B1146&amp;"|"&amp;$C1146&amp;"|S2")&gt;0,COUNTIF(D_KEY_DOUBLON,$B1146&amp;"|S2|"&amp;$E1146)=0),"⚠ Départ non confirmé ?",IF(AND($C1146&lt;&gt;"",ISNUMBER($I1146),OR(VALUE(LEFT($B1146,4))-$I1146&lt;4+IFERROR(MATCH($C1146,LISTE_NIVEAUX,0),99),VALUE(LEFT($B1146,4))-$I1146&gt;6+IFERROR(MATCH($C1146,LISTE_NIVEAUX,0),99))),"⚠ Vérifier niveau",IF(AND(IFERROR(VLOOKUP($C1146,TABLE_CYCLE,2,0),3)=2,COUNT($O1146:$Q1146)&gt;0),"⚠ Tests cycle 3",IF(COUNT($J1146:$Q1146)&gt;=IF(IFERROR(VLOOKUP($C1146,TABLE_CYCLE,2,0),3)=2,5,8),"Complet","Incomplet"))))))))</f>
        <v/>
      </c>
      <c r="S1146" s="24"/>
      <c r="T1146" s="67" t="str">
        <f t="shared" si="154"/>
        <v/>
      </c>
      <c r="U1146" s="67" t="str">
        <f t="shared" si="155"/>
        <v/>
      </c>
      <c r="V1146" s="67" t="str">
        <f t="shared" si="156"/>
        <v/>
      </c>
      <c r="W1146" s="67" t="str">
        <f t="shared" si="157"/>
        <v/>
      </c>
      <c r="X1146" s="67" t="str">
        <f t="shared" si="158"/>
        <v/>
      </c>
      <c r="Y1146" s="24" t="str">
        <f t="shared" si="159"/>
        <v/>
      </c>
      <c r="Z1146">
        <f t="shared" si="160"/>
        <v>0</v>
      </c>
      <c r="AA1146">
        <f t="shared" si="161"/>
        <v>0</v>
      </c>
    </row>
    <row r="1147" spans="2:27" ht="15.75" customHeight="1" x14ac:dyDescent="0.3">
      <c r="B1147" s="21"/>
      <c r="C1147" s="21"/>
      <c r="D1147" s="21"/>
      <c r="E1147" s="22" t="str">
        <f t="shared" si="153"/>
        <v/>
      </c>
      <c r="F1147" s="21"/>
      <c r="G1147" s="21"/>
      <c r="H1147" s="21"/>
      <c r="I1147" s="21"/>
      <c r="J1147" s="21"/>
      <c r="K1147" s="21"/>
      <c r="L1147" s="21"/>
      <c r="M1147" s="21"/>
      <c r="N1147" s="21"/>
      <c r="O1147" s="21"/>
      <c r="P1147" s="21"/>
      <c r="Q1147" s="21"/>
      <c r="R1147" s="23" t="str">
        <f>IF($F1147="","",IF(OR($B1147="",$C1147="",$D1147=""),"⚠ Compléter Année/Niveau/Session",IF(AND($E1147&lt;&gt;"",COUNTIF(D_KEY_DOUBLON,$B1147&amp;"|"&amp;$D1147&amp;"|"&amp;$E1147)&gt;1),"⚠ Doublon",IF(AND($E1147&lt;&gt;"",COUNTIF(D_KEY_STATUT,$B1147&amp;"|"&amp;$E1147&amp;"|P")&gt;0,COUNTIF(D_KEY_STATUT,$B1147&amp;"|"&amp;$E1147&amp;"|A")&gt;0),"⚠ Statut incohérent",IF(AND($D1147="S1",$Y1147&lt;&gt;"Parti",COUNTIF(ANNEES_VERROU,$B1147)&gt;0,COUNTIF(D_KEY_NIVSES,$B1147&amp;"|"&amp;$C1147&amp;"|S2")&gt;0,COUNTIF(D_KEY_DOUBLON,$B1147&amp;"|S2|"&amp;$E1147)=0),"⚠ Départ non confirmé ?",IF(AND($C1147&lt;&gt;"",ISNUMBER($I1147),OR(VALUE(LEFT($B1147,4))-$I1147&lt;4+IFERROR(MATCH($C1147,LISTE_NIVEAUX,0),99),VALUE(LEFT($B1147,4))-$I1147&gt;6+IFERROR(MATCH($C1147,LISTE_NIVEAUX,0),99))),"⚠ Vérifier niveau",IF(AND(IFERROR(VLOOKUP($C1147,TABLE_CYCLE,2,0),3)=2,COUNT($O1147:$Q1147)&gt;0),"⚠ Tests cycle 3",IF(COUNT($J1147:$Q1147)&gt;=IF(IFERROR(VLOOKUP($C1147,TABLE_CYCLE,2,0),3)=2,5,8),"Complet","Incomplet"))))))))</f>
        <v/>
      </c>
      <c r="S1147" s="24"/>
      <c r="T1147" s="67" t="str">
        <f t="shared" si="154"/>
        <v/>
      </c>
      <c r="U1147" s="67" t="str">
        <f t="shared" si="155"/>
        <v/>
      </c>
      <c r="V1147" s="67" t="str">
        <f t="shared" si="156"/>
        <v/>
      </c>
      <c r="W1147" s="67" t="str">
        <f t="shared" si="157"/>
        <v/>
      </c>
      <c r="X1147" s="67" t="str">
        <f t="shared" si="158"/>
        <v/>
      </c>
      <c r="Y1147" s="24" t="str">
        <f t="shared" si="159"/>
        <v/>
      </c>
      <c r="Z1147">
        <f t="shared" si="160"/>
        <v>0</v>
      </c>
      <c r="AA1147">
        <f t="shared" si="161"/>
        <v>0</v>
      </c>
    </row>
    <row r="1148" spans="2:27" ht="15.75" customHeight="1" x14ac:dyDescent="0.3">
      <c r="B1148" s="25"/>
      <c r="C1148" s="25"/>
      <c r="D1148" s="25"/>
      <c r="E1148" s="26" t="str">
        <f t="shared" si="153"/>
        <v/>
      </c>
      <c r="F1148" s="25"/>
      <c r="G1148" s="25"/>
      <c r="H1148" s="25"/>
      <c r="I1148" s="25"/>
      <c r="J1148" s="25"/>
      <c r="K1148" s="25"/>
      <c r="L1148" s="25"/>
      <c r="M1148" s="25"/>
      <c r="N1148" s="25"/>
      <c r="O1148" s="25"/>
      <c r="P1148" s="25"/>
      <c r="Q1148" s="25"/>
      <c r="R1148" s="23" t="str">
        <f>IF($F1148="","",IF(OR($B1148="",$C1148="",$D1148=""),"⚠ Compléter Année/Niveau/Session",IF(AND($E1148&lt;&gt;"",COUNTIF(D_KEY_DOUBLON,$B1148&amp;"|"&amp;$D1148&amp;"|"&amp;$E1148)&gt;1),"⚠ Doublon",IF(AND($E1148&lt;&gt;"",COUNTIF(D_KEY_STATUT,$B1148&amp;"|"&amp;$E1148&amp;"|P")&gt;0,COUNTIF(D_KEY_STATUT,$B1148&amp;"|"&amp;$E1148&amp;"|A")&gt;0),"⚠ Statut incohérent",IF(AND($D1148="S1",$Y1148&lt;&gt;"Parti",COUNTIF(ANNEES_VERROU,$B1148)&gt;0,COUNTIF(D_KEY_NIVSES,$B1148&amp;"|"&amp;$C1148&amp;"|S2")&gt;0,COUNTIF(D_KEY_DOUBLON,$B1148&amp;"|S2|"&amp;$E1148)=0),"⚠ Départ non confirmé ?",IF(AND($C1148&lt;&gt;"",ISNUMBER($I1148),OR(VALUE(LEFT($B1148,4))-$I1148&lt;4+IFERROR(MATCH($C1148,LISTE_NIVEAUX,0),99),VALUE(LEFT($B1148,4))-$I1148&gt;6+IFERROR(MATCH($C1148,LISTE_NIVEAUX,0),99))),"⚠ Vérifier niveau",IF(AND(IFERROR(VLOOKUP($C1148,TABLE_CYCLE,2,0),3)=2,COUNT($O1148:$Q1148)&gt;0),"⚠ Tests cycle 3",IF(COUNT($J1148:$Q1148)&gt;=IF(IFERROR(VLOOKUP($C1148,TABLE_CYCLE,2,0),3)=2,5,8),"Complet","Incomplet"))))))))</f>
        <v/>
      </c>
      <c r="S1148" s="24"/>
      <c r="T1148" s="67" t="str">
        <f t="shared" si="154"/>
        <v/>
      </c>
      <c r="U1148" s="67" t="str">
        <f t="shared" si="155"/>
        <v/>
      </c>
      <c r="V1148" s="67" t="str">
        <f t="shared" si="156"/>
        <v/>
      </c>
      <c r="W1148" s="67" t="str">
        <f t="shared" si="157"/>
        <v/>
      </c>
      <c r="X1148" s="67" t="str">
        <f t="shared" si="158"/>
        <v/>
      </c>
      <c r="Y1148" s="24" t="str">
        <f t="shared" si="159"/>
        <v/>
      </c>
      <c r="Z1148">
        <f t="shared" si="160"/>
        <v>0</v>
      </c>
      <c r="AA1148">
        <f t="shared" si="161"/>
        <v>0</v>
      </c>
    </row>
    <row r="1149" spans="2:27" ht="15.75" customHeight="1" x14ac:dyDescent="0.3">
      <c r="B1149" s="21"/>
      <c r="C1149" s="21"/>
      <c r="D1149" s="21"/>
      <c r="E1149" s="22" t="str">
        <f t="shared" si="153"/>
        <v/>
      </c>
      <c r="F1149" s="21"/>
      <c r="G1149" s="21"/>
      <c r="H1149" s="21"/>
      <c r="I1149" s="21"/>
      <c r="J1149" s="21"/>
      <c r="K1149" s="21"/>
      <c r="L1149" s="21"/>
      <c r="M1149" s="21"/>
      <c r="N1149" s="21"/>
      <c r="O1149" s="21"/>
      <c r="P1149" s="21"/>
      <c r="Q1149" s="21"/>
      <c r="R1149" s="23" t="str">
        <f>IF($F1149="","",IF(OR($B1149="",$C1149="",$D1149=""),"⚠ Compléter Année/Niveau/Session",IF(AND($E1149&lt;&gt;"",COUNTIF(D_KEY_DOUBLON,$B1149&amp;"|"&amp;$D1149&amp;"|"&amp;$E1149)&gt;1),"⚠ Doublon",IF(AND($E1149&lt;&gt;"",COUNTIF(D_KEY_STATUT,$B1149&amp;"|"&amp;$E1149&amp;"|P")&gt;0,COUNTIF(D_KEY_STATUT,$B1149&amp;"|"&amp;$E1149&amp;"|A")&gt;0),"⚠ Statut incohérent",IF(AND($D1149="S1",$Y1149&lt;&gt;"Parti",COUNTIF(ANNEES_VERROU,$B1149)&gt;0,COUNTIF(D_KEY_NIVSES,$B1149&amp;"|"&amp;$C1149&amp;"|S2")&gt;0,COUNTIF(D_KEY_DOUBLON,$B1149&amp;"|S2|"&amp;$E1149)=0),"⚠ Départ non confirmé ?",IF(AND($C1149&lt;&gt;"",ISNUMBER($I1149),OR(VALUE(LEFT($B1149,4))-$I1149&lt;4+IFERROR(MATCH($C1149,LISTE_NIVEAUX,0),99),VALUE(LEFT($B1149,4))-$I1149&gt;6+IFERROR(MATCH($C1149,LISTE_NIVEAUX,0),99))),"⚠ Vérifier niveau",IF(AND(IFERROR(VLOOKUP($C1149,TABLE_CYCLE,2,0),3)=2,COUNT($O1149:$Q1149)&gt;0),"⚠ Tests cycle 3",IF(COUNT($J1149:$Q1149)&gt;=IF(IFERROR(VLOOKUP($C1149,TABLE_CYCLE,2,0),3)=2,5,8),"Complet","Incomplet"))))))))</f>
        <v/>
      </c>
      <c r="S1149" s="24"/>
      <c r="T1149" s="67" t="str">
        <f t="shared" si="154"/>
        <v/>
      </c>
      <c r="U1149" s="67" t="str">
        <f t="shared" si="155"/>
        <v/>
      </c>
      <c r="V1149" s="67" t="str">
        <f t="shared" si="156"/>
        <v/>
      </c>
      <c r="W1149" s="67" t="str">
        <f t="shared" si="157"/>
        <v/>
      </c>
      <c r="X1149" s="67" t="str">
        <f t="shared" si="158"/>
        <v/>
      </c>
      <c r="Y1149" s="24" t="str">
        <f t="shared" si="159"/>
        <v/>
      </c>
      <c r="Z1149">
        <f t="shared" si="160"/>
        <v>0</v>
      </c>
      <c r="AA1149">
        <f t="shared" si="161"/>
        <v>0</v>
      </c>
    </row>
    <row r="1150" spans="2:27" ht="15.75" customHeight="1" x14ac:dyDescent="0.3">
      <c r="B1150" s="25"/>
      <c r="C1150" s="25"/>
      <c r="D1150" s="25"/>
      <c r="E1150" s="26" t="str">
        <f t="shared" si="153"/>
        <v/>
      </c>
      <c r="F1150" s="25"/>
      <c r="G1150" s="25"/>
      <c r="H1150" s="25"/>
      <c r="I1150" s="25"/>
      <c r="J1150" s="25"/>
      <c r="K1150" s="25"/>
      <c r="L1150" s="25"/>
      <c r="M1150" s="25"/>
      <c r="N1150" s="25"/>
      <c r="O1150" s="25"/>
      <c r="P1150" s="25"/>
      <c r="Q1150" s="25"/>
      <c r="R1150" s="23" t="str">
        <f>IF($F1150="","",IF(OR($B1150="",$C1150="",$D1150=""),"⚠ Compléter Année/Niveau/Session",IF(AND($E1150&lt;&gt;"",COUNTIF(D_KEY_DOUBLON,$B1150&amp;"|"&amp;$D1150&amp;"|"&amp;$E1150)&gt;1),"⚠ Doublon",IF(AND($E1150&lt;&gt;"",COUNTIF(D_KEY_STATUT,$B1150&amp;"|"&amp;$E1150&amp;"|P")&gt;0,COUNTIF(D_KEY_STATUT,$B1150&amp;"|"&amp;$E1150&amp;"|A")&gt;0),"⚠ Statut incohérent",IF(AND($D1150="S1",$Y1150&lt;&gt;"Parti",COUNTIF(ANNEES_VERROU,$B1150)&gt;0,COUNTIF(D_KEY_NIVSES,$B1150&amp;"|"&amp;$C1150&amp;"|S2")&gt;0,COUNTIF(D_KEY_DOUBLON,$B1150&amp;"|S2|"&amp;$E1150)=0),"⚠ Départ non confirmé ?",IF(AND($C1150&lt;&gt;"",ISNUMBER($I1150),OR(VALUE(LEFT($B1150,4))-$I1150&lt;4+IFERROR(MATCH($C1150,LISTE_NIVEAUX,0),99),VALUE(LEFT($B1150,4))-$I1150&gt;6+IFERROR(MATCH($C1150,LISTE_NIVEAUX,0),99))),"⚠ Vérifier niveau",IF(AND(IFERROR(VLOOKUP($C1150,TABLE_CYCLE,2,0),3)=2,COUNT($O1150:$Q1150)&gt;0),"⚠ Tests cycle 3",IF(COUNT($J1150:$Q1150)&gt;=IF(IFERROR(VLOOKUP($C1150,TABLE_CYCLE,2,0),3)=2,5,8),"Complet","Incomplet"))))))))</f>
        <v/>
      </c>
      <c r="S1150" s="24"/>
      <c r="T1150" s="67" t="str">
        <f t="shared" si="154"/>
        <v/>
      </c>
      <c r="U1150" s="67" t="str">
        <f t="shared" si="155"/>
        <v/>
      </c>
      <c r="V1150" s="67" t="str">
        <f t="shared" si="156"/>
        <v/>
      </c>
      <c r="W1150" s="67" t="str">
        <f t="shared" si="157"/>
        <v/>
      </c>
      <c r="X1150" s="67" t="str">
        <f t="shared" si="158"/>
        <v/>
      </c>
      <c r="Y1150" s="24" t="str">
        <f t="shared" si="159"/>
        <v/>
      </c>
      <c r="Z1150">
        <f t="shared" si="160"/>
        <v>0</v>
      </c>
      <c r="AA1150">
        <f t="shared" si="161"/>
        <v>0</v>
      </c>
    </row>
    <row r="1151" spans="2:27" ht="15.75" customHeight="1" x14ac:dyDescent="0.3">
      <c r="B1151" s="21"/>
      <c r="C1151" s="21"/>
      <c r="D1151" s="21"/>
      <c r="E1151" s="22" t="str">
        <f t="shared" si="153"/>
        <v/>
      </c>
      <c r="F1151" s="21"/>
      <c r="G1151" s="21"/>
      <c r="H1151" s="21"/>
      <c r="I1151" s="21"/>
      <c r="J1151" s="21"/>
      <c r="K1151" s="21"/>
      <c r="L1151" s="21"/>
      <c r="M1151" s="21"/>
      <c r="N1151" s="21"/>
      <c r="O1151" s="21"/>
      <c r="P1151" s="21"/>
      <c r="Q1151" s="21"/>
      <c r="R1151" s="23" t="str">
        <f>IF($F1151="","",IF(OR($B1151="",$C1151="",$D1151=""),"⚠ Compléter Année/Niveau/Session",IF(AND($E1151&lt;&gt;"",COUNTIF(D_KEY_DOUBLON,$B1151&amp;"|"&amp;$D1151&amp;"|"&amp;$E1151)&gt;1),"⚠ Doublon",IF(AND($E1151&lt;&gt;"",COUNTIF(D_KEY_STATUT,$B1151&amp;"|"&amp;$E1151&amp;"|P")&gt;0,COUNTIF(D_KEY_STATUT,$B1151&amp;"|"&amp;$E1151&amp;"|A")&gt;0),"⚠ Statut incohérent",IF(AND($D1151="S1",$Y1151&lt;&gt;"Parti",COUNTIF(ANNEES_VERROU,$B1151)&gt;0,COUNTIF(D_KEY_NIVSES,$B1151&amp;"|"&amp;$C1151&amp;"|S2")&gt;0,COUNTIF(D_KEY_DOUBLON,$B1151&amp;"|S2|"&amp;$E1151)=0),"⚠ Départ non confirmé ?",IF(AND($C1151&lt;&gt;"",ISNUMBER($I1151),OR(VALUE(LEFT($B1151,4))-$I1151&lt;4+IFERROR(MATCH($C1151,LISTE_NIVEAUX,0),99),VALUE(LEFT($B1151,4))-$I1151&gt;6+IFERROR(MATCH($C1151,LISTE_NIVEAUX,0),99))),"⚠ Vérifier niveau",IF(AND(IFERROR(VLOOKUP($C1151,TABLE_CYCLE,2,0),3)=2,COUNT($O1151:$Q1151)&gt;0),"⚠ Tests cycle 3",IF(COUNT($J1151:$Q1151)&gt;=IF(IFERROR(VLOOKUP($C1151,TABLE_CYCLE,2,0),3)=2,5,8),"Complet","Incomplet"))))))))</f>
        <v/>
      </c>
      <c r="S1151" s="24"/>
      <c r="T1151" s="67" t="str">
        <f t="shared" si="154"/>
        <v/>
      </c>
      <c r="U1151" s="67" t="str">
        <f t="shared" si="155"/>
        <v/>
      </c>
      <c r="V1151" s="67" t="str">
        <f t="shared" si="156"/>
        <v/>
      </c>
      <c r="W1151" s="67" t="str">
        <f t="shared" si="157"/>
        <v/>
      </c>
      <c r="X1151" s="67" t="str">
        <f t="shared" si="158"/>
        <v/>
      </c>
      <c r="Y1151" s="24" t="str">
        <f t="shared" si="159"/>
        <v/>
      </c>
      <c r="Z1151">
        <f t="shared" si="160"/>
        <v>0</v>
      </c>
      <c r="AA1151">
        <f t="shared" si="161"/>
        <v>0</v>
      </c>
    </row>
    <row r="1152" spans="2:27" ht="15.75" customHeight="1" x14ac:dyDescent="0.3">
      <c r="B1152" s="25"/>
      <c r="C1152" s="25"/>
      <c r="D1152" s="25"/>
      <c r="E1152" s="26" t="str">
        <f t="shared" si="153"/>
        <v/>
      </c>
      <c r="F1152" s="25"/>
      <c r="G1152" s="25"/>
      <c r="H1152" s="25"/>
      <c r="I1152" s="25"/>
      <c r="J1152" s="25"/>
      <c r="K1152" s="25"/>
      <c r="L1152" s="25"/>
      <c r="M1152" s="25"/>
      <c r="N1152" s="25"/>
      <c r="O1152" s="25"/>
      <c r="P1152" s="25"/>
      <c r="Q1152" s="25"/>
      <c r="R1152" s="23" t="str">
        <f>IF($F1152="","",IF(OR($B1152="",$C1152="",$D1152=""),"⚠ Compléter Année/Niveau/Session",IF(AND($E1152&lt;&gt;"",COUNTIF(D_KEY_DOUBLON,$B1152&amp;"|"&amp;$D1152&amp;"|"&amp;$E1152)&gt;1),"⚠ Doublon",IF(AND($E1152&lt;&gt;"",COUNTIF(D_KEY_STATUT,$B1152&amp;"|"&amp;$E1152&amp;"|P")&gt;0,COUNTIF(D_KEY_STATUT,$B1152&amp;"|"&amp;$E1152&amp;"|A")&gt;0),"⚠ Statut incohérent",IF(AND($D1152="S1",$Y1152&lt;&gt;"Parti",COUNTIF(ANNEES_VERROU,$B1152)&gt;0,COUNTIF(D_KEY_NIVSES,$B1152&amp;"|"&amp;$C1152&amp;"|S2")&gt;0,COUNTIF(D_KEY_DOUBLON,$B1152&amp;"|S2|"&amp;$E1152)=0),"⚠ Départ non confirmé ?",IF(AND($C1152&lt;&gt;"",ISNUMBER($I1152),OR(VALUE(LEFT($B1152,4))-$I1152&lt;4+IFERROR(MATCH($C1152,LISTE_NIVEAUX,0),99),VALUE(LEFT($B1152,4))-$I1152&gt;6+IFERROR(MATCH($C1152,LISTE_NIVEAUX,0),99))),"⚠ Vérifier niveau",IF(AND(IFERROR(VLOOKUP($C1152,TABLE_CYCLE,2,0),3)=2,COUNT($O1152:$Q1152)&gt;0),"⚠ Tests cycle 3",IF(COUNT($J1152:$Q1152)&gt;=IF(IFERROR(VLOOKUP($C1152,TABLE_CYCLE,2,0),3)=2,5,8),"Complet","Incomplet"))))))))</f>
        <v/>
      </c>
      <c r="S1152" s="24"/>
      <c r="T1152" s="67" t="str">
        <f t="shared" si="154"/>
        <v/>
      </c>
      <c r="U1152" s="67" t="str">
        <f t="shared" si="155"/>
        <v/>
      </c>
      <c r="V1152" s="67" t="str">
        <f t="shared" si="156"/>
        <v/>
      </c>
      <c r="W1152" s="67" t="str">
        <f t="shared" si="157"/>
        <v/>
      </c>
      <c r="X1152" s="67" t="str">
        <f t="shared" si="158"/>
        <v/>
      </c>
      <c r="Y1152" s="24" t="str">
        <f t="shared" si="159"/>
        <v/>
      </c>
      <c r="Z1152">
        <f t="shared" si="160"/>
        <v>0</v>
      </c>
      <c r="AA1152">
        <f t="shared" si="161"/>
        <v>0</v>
      </c>
    </row>
    <row r="1153" spans="2:27" ht="15.75" customHeight="1" x14ac:dyDescent="0.3">
      <c r="B1153" s="21"/>
      <c r="C1153" s="21"/>
      <c r="D1153" s="21"/>
      <c r="E1153" s="22" t="str">
        <f t="shared" si="153"/>
        <v/>
      </c>
      <c r="F1153" s="21"/>
      <c r="G1153" s="21"/>
      <c r="H1153" s="21"/>
      <c r="I1153" s="21"/>
      <c r="J1153" s="21"/>
      <c r="K1153" s="21"/>
      <c r="L1153" s="21"/>
      <c r="M1153" s="21"/>
      <c r="N1153" s="21"/>
      <c r="O1153" s="21"/>
      <c r="P1153" s="21"/>
      <c r="Q1153" s="21"/>
      <c r="R1153" s="23" t="str">
        <f>IF($F1153="","",IF(OR($B1153="",$C1153="",$D1153=""),"⚠ Compléter Année/Niveau/Session",IF(AND($E1153&lt;&gt;"",COUNTIF(D_KEY_DOUBLON,$B1153&amp;"|"&amp;$D1153&amp;"|"&amp;$E1153)&gt;1),"⚠ Doublon",IF(AND($E1153&lt;&gt;"",COUNTIF(D_KEY_STATUT,$B1153&amp;"|"&amp;$E1153&amp;"|P")&gt;0,COUNTIF(D_KEY_STATUT,$B1153&amp;"|"&amp;$E1153&amp;"|A")&gt;0),"⚠ Statut incohérent",IF(AND($D1153="S1",$Y1153&lt;&gt;"Parti",COUNTIF(ANNEES_VERROU,$B1153)&gt;0,COUNTIF(D_KEY_NIVSES,$B1153&amp;"|"&amp;$C1153&amp;"|S2")&gt;0,COUNTIF(D_KEY_DOUBLON,$B1153&amp;"|S2|"&amp;$E1153)=0),"⚠ Départ non confirmé ?",IF(AND($C1153&lt;&gt;"",ISNUMBER($I1153),OR(VALUE(LEFT($B1153,4))-$I1153&lt;4+IFERROR(MATCH($C1153,LISTE_NIVEAUX,0),99),VALUE(LEFT($B1153,4))-$I1153&gt;6+IFERROR(MATCH($C1153,LISTE_NIVEAUX,0),99))),"⚠ Vérifier niveau",IF(AND(IFERROR(VLOOKUP($C1153,TABLE_CYCLE,2,0),3)=2,COUNT($O1153:$Q1153)&gt;0),"⚠ Tests cycle 3",IF(COUNT($J1153:$Q1153)&gt;=IF(IFERROR(VLOOKUP($C1153,TABLE_CYCLE,2,0),3)=2,5,8),"Complet","Incomplet"))))))))</f>
        <v/>
      </c>
      <c r="S1153" s="24"/>
      <c r="T1153" s="67" t="str">
        <f t="shared" si="154"/>
        <v/>
      </c>
      <c r="U1153" s="67" t="str">
        <f t="shared" si="155"/>
        <v/>
      </c>
      <c r="V1153" s="67" t="str">
        <f t="shared" si="156"/>
        <v/>
      </c>
      <c r="W1153" s="67" t="str">
        <f t="shared" si="157"/>
        <v/>
      </c>
      <c r="X1153" s="67" t="str">
        <f t="shared" si="158"/>
        <v/>
      </c>
      <c r="Y1153" s="24" t="str">
        <f t="shared" si="159"/>
        <v/>
      </c>
      <c r="Z1153">
        <f t="shared" si="160"/>
        <v>0</v>
      </c>
      <c r="AA1153">
        <f t="shared" si="161"/>
        <v>0</v>
      </c>
    </row>
    <row r="1154" spans="2:27" ht="15.75" customHeight="1" x14ac:dyDescent="0.3">
      <c r="B1154" s="25"/>
      <c r="C1154" s="25"/>
      <c r="D1154" s="25"/>
      <c r="E1154" s="26" t="str">
        <f t="shared" si="153"/>
        <v/>
      </c>
      <c r="F1154" s="25"/>
      <c r="G1154" s="25"/>
      <c r="H1154" s="25"/>
      <c r="I1154" s="25"/>
      <c r="J1154" s="25"/>
      <c r="K1154" s="25"/>
      <c r="L1154" s="25"/>
      <c r="M1154" s="25"/>
      <c r="N1154" s="25"/>
      <c r="O1154" s="25"/>
      <c r="P1154" s="25"/>
      <c r="Q1154" s="25"/>
      <c r="R1154" s="23" t="str">
        <f>IF($F1154="","",IF(OR($B1154="",$C1154="",$D1154=""),"⚠ Compléter Année/Niveau/Session",IF(AND($E1154&lt;&gt;"",COUNTIF(D_KEY_DOUBLON,$B1154&amp;"|"&amp;$D1154&amp;"|"&amp;$E1154)&gt;1),"⚠ Doublon",IF(AND($E1154&lt;&gt;"",COUNTIF(D_KEY_STATUT,$B1154&amp;"|"&amp;$E1154&amp;"|P")&gt;0,COUNTIF(D_KEY_STATUT,$B1154&amp;"|"&amp;$E1154&amp;"|A")&gt;0),"⚠ Statut incohérent",IF(AND($D1154="S1",$Y1154&lt;&gt;"Parti",COUNTIF(ANNEES_VERROU,$B1154)&gt;0,COUNTIF(D_KEY_NIVSES,$B1154&amp;"|"&amp;$C1154&amp;"|S2")&gt;0,COUNTIF(D_KEY_DOUBLON,$B1154&amp;"|S2|"&amp;$E1154)=0),"⚠ Départ non confirmé ?",IF(AND($C1154&lt;&gt;"",ISNUMBER($I1154),OR(VALUE(LEFT($B1154,4))-$I1154&lt;4+IFERROR(MATCH($C1154,LISTE_NIVEAUX,0),99),VALUE(LEFT($B1154,4))-$I1154&gt;6+IFERROR(MATCH($C1154,LISTE_NIVEAUX,0),99))),"⚠ Vérifier niveau",IF(AND(IFERROR(VLOOKUP($C1154,TABLE_CYCLE,2,0),3)=2,COUNT($O1154:$Q1154)&gt;0),"⚠ Tests cycle 3",IF(COUNT($J1154:$Q1154)&gt;=IF(IFERROR(VLOOKUP($C1154,TABLE_CYCLE,2,0),3)=2,5,8),"Complet","Incomplet"))))))))</f>
        <v/>
      </c>
      <c r="S1154" s="24"/>
      <c r="T1154" s="67" t="str">
        <f t="shared" si="154"/>
        <v/>
      </c>
      <c r="U1154" s="67" t="str">
        <f t="shared" si="155"/>
        <v/>
      </c>
      <c r="V1154" s="67" t="str">
        <f t="shared" si="156"/>
        <v/>
      </c>
      <c r="W1154" s="67" t="str">
        <f t="shared" si="157"/>
        <v/>
      </c>
      <c r="X1154" s="67" t="str">
        <f t="shared" si="158"/>
        <v/>
      </c>
      <c r="Y1154" s="24" t="str">
        <f t="shared" si="159"/>
        <v/>
      </c>
      <c r="Z1154">
        <f t="shared" si="160"/>
        <v>0</v>
      </c>
      <c r="AA1154">
        <f t="shared" si="161"/>
        <v>0</v>
      </c>
    </row>
    <row r="1155" spans="2:27" ht="15.75" customHeight="1" x14ac:dyDescent="0.3">
      <c r="B1155" s="21"/>
      <c r="C1155" s="21"/>
      <c r="D1155" s="21"/>
      <c r="E1155" s="22" t="str">
        <f t="shared" si="153"/>
        <v/>
      </c>
      <c r="F1155" s="21"/>
      <c r="G1155" s="21"/>
      <c r="H1155" s="21"/>
      <c r="I1155" s="21"/>
      <c r="J1155" s="21"/>
      <c r="K1155" s="21"/>
      <c r="L1155" s="21"/>
      <c r="M1155" s="21"/>
      <c r="N1155" s="21"/>
      <c r="O1155" s="21"/>
      <c r="P1155" s="21"/>
      <c r="Q1155" s="21"/>
      <c r="R1155" s="23" t="str">
        <f>IF($F1155="","",IF(OR($B1155="",$C1155="",$D1155=""),"⚠ Compléter Année/Niveau/Session",IF(AND($E1155&lt;&gt;"",COUNTIF(D_KEY_DOUBLON,$B1155&amp;"|"&amp;$D1155&amp;"|"&amp;$E1155)&gt;1),"⚠ Doublon",IF(AND($E1155&lt;&gt;"",COUNTIF(D_KEY_STATUT,$B1155&amp;"|"&amp;$E1155&amp;"|P")&gt;0,COUNTIF(D_KEY_STATUT,$B1155&amp;"|"&amp;$E1155&amp;"|A")&gt;0),"⚠ Statut incohérent",IF(AND($D1155="S1",$Y1155&lt;&gt;"Parti",COUNTIF(ANNEES_VERROU,$B1155)&gt;0,COUNTIF(D_KEY_NIVSES,$B1155&amp;"|"&amp;$C1155&amp;"|S2")&gt;0,COUNTIF(D_KEY_DOUBLON,$B1155&amp;"|S2|"&amp;$E1155)=0),"⚠ Départ non confirmé ?",IF(AND($C1155&lt;&gt;"",ISNUMBER($I1155),OR(VALUE(LEFT($B1155,4))-$I1155&lt;4+IFERROR(MATCH($C1155,LISTE_NIVEAUX,0),99),VALUE(LEFT($B1155,4))-$I1155&gt;6+IFERROR(MATCH($C1155,LISTE_NIVEAUX,0),99))),"⚠ Vérifier niveau",IF(AND(IFERROR(VLOOKUP($C1155,TABLE_CYCLE,2,0),3)=2,COUNT($O1155:$Q1155)&gt;0),"⚠ Tests cycle 3",IF(COUNT($J1155:$Q1155)&gt;=IF(IFERROR(VLOOKUP($C1155,TABLE_CYCLE,2,0),3)=2,5,8),"Complet","Incomplet"))))))))</f>
        <v/>
      </c>
      <c r="S1155" s="24"/>
      <c r="T1155" s="67" t="str">
        <f t="shared" si="154"/>
        <v/>
      </c>
      <c r="U1155" s="67" t="str">
        <f t="shared" si="155"/>
        <v/>
      </c>
      <c r="V1155" s="67" t="str">
        <f t="shared" si="156"/>
        <v/>
      </c>
      <c r="W1155" s="67" t="str">
        <f t="shared" si="157"/>
        <v/>
      </c>
      <c r="X1155" s="67" t="str">
        <f t="shared" si="158"/>
        <v/>
      </c>
      <c r="Y1155" s="24" t="str">
        <f t="shared" si="159"/>
        <v/>
      </c>
      <c r="Z1155">
        <f t="shared" si="160"/>
        <v>0</v>
      </c>
      <c r="AA1155">
        <f t="shared" si="161"/>
        <v>0</v>
      </c>
    </row>
    <row r="1156" spans="2:27" ht="15.75" customHeight="1" x14ac:dyDescent="0.3">
      <c r="B1156" s="25"/>
      <c r="C1156" s="25"/>
      <c r="D1156" s="25"/>
      <c r="E1156" s="26" t="str">
        <f t="shared" si="153"/>
        <v/>
      </c>
      <c r="F1156" s="25"/>
      <c r="G1156" s="25"/>
      <c r="H1156" s="25"/>
      <c r="I1156" s="25"/>
      <c r="J1156" s="25"/>
      <c r="K1156" s="25"/>
      <c r="L1156" s="25"/>
      <c r="M1156" s="25"/>
      <c r="N1156" s="25"/>
      <c r="O1156" s="25"/>
      <c r="P1156" s="25"/>
      <c r="Q1156" s="25"/>
      <c r="R1156" s="23" t="str">
        <f>IF($F1156="","",IF(OR($B1156="",$C1156="",$D1156=""),"⚠ Compléter Année/Niveau/Session",IF(AND($E1156&lt;&gt;"",COUNTIF(D_KEY_DOUBLON,$B1156&amp;"|"&amp;$D1156&amp;"|"&amp;$E1156)&gt;1),"⚠ Doublon",IF(AND($E1156&lt;&gt;"",COUNTIF(D_KEY_STATUT,$B1156&amp;"|"&amp;$E1156&amp;"|P")&gt;0,COUNTIF(D_KEY_STATUT,$B1156&amp;"|"&amp;$E1156&amp;"|A")&gt;0),"⚠ Statut incohérent",IF(AND($D1156="S1",$Y1156&lt;&gt;"Parti",COUNTIF(ANNEES_VERROU,$B1156)&gt;0,COUNTIF(D_KEY_NIVSES,$B1156&amp;"|"&amp;$C1156&amp;"|S2")&gt;0,COUNTIF(D_KEY_DOUBLON,$B1156&amp;"|S2|"&amp;$E1156)=0),"⚠ Départ non confirmé ?",IF(AND($C1156&lt;&gt;"",ISNUMBER($I1156),OR(VALUE(LEFT($B1156,4))-$I1156&lt;4+IFERROR(MATCH($C1156,LISTE_NIVEAUX,0),99),VALUE(LEFT($B1156,4))-$I1156&gt;6+IFERROR(MATCH($C1156,LISTE_NIVEAUX,0),99))),"⚠ Vérifier niveau",IF(AND(IFERROR(VLOOKUP($C1156,TABLE_CYCLE,2,0),3)=2,COUNT($O1156:$Q1156)&gt;0),"⚠ Tests cycle 3",IF(COUNT($J1156:$Q1156)&gt;=IF(IFERROR(VLOOKUP($C1156,TABLE_CYCLE,2,0),3)=2,5,8),"Complet","Incomplet"))))))))</f>
        <v/>
      </c>
      <c r="S1156" s="24"/>
      <c r="T1156" s="67" t="str">
        <f t="shared" si="154"/>
        <v/>
      </c>
      <c r="U1156" s="67" t="str">
        <f t="shared" si="155"/>
        <v/>
      </c>
      <c r="V1156" s="67" t="str">
        <f t="shared" si="156"/>
        <v/>
      </c>
      <c r="W1156" s="67" t="str">
        <f t="shared" si="157"/>
        <v/>
      </c>
      <c r="X1156" s="67" t="str">
        <f t="shared" si="158"/>
        <v/>
      </c>
      <c r="Y1156" s="24" t="str">
        <f t="shared" si="159"/>
        <v/>
      </c>
      <c r="Z1156">
        <f t="shared" si="160"/>
        <v>0</v>
      </c>
      <c r="AA1156">
        <f t="shared" si="161"/>
        <v>0</v>
      </c>
    </row>
    <row r="1157" spans="2:27" ht="15.75" customHeight="1" x14ac:dyDescent="0.3">
      <c r="B1157" s="21"/>
      <c r="C1157" s="21"/>
      <c r="D1157" s="21"/>
      <c r="E1157" s="22" t="str">
        <f t="shared" si="153"/>
        <v/>
      </c>
      <c r="F1157" s="21"/>
      <c r="G1157" s="21"/>
      <c r="H1157" s="21"/>
      <c r="I1157" s="21"/>
      <c r="J1157" s="21"/>
      <c r="K1157" s="21"/>
      <c r="L1157" s="21"/>
      <c r="M1157" s="21"/>
      <c r="N1157" s="21"/>
      <c r="O1157" s="21"/>
      <c r="P1157" s="21"/>
      <c r="Q1157" s="21"/>
      <c r="R1157" s="23" t="str">
        <f>IF($F1157="","",IF(OR($B1157="",$C1157="",$D1157=""),"⚠ Compléter Année/Niveau/Session",IF(AND($E1157&lt;&gt;"",COUNTIF(D_KEY_DOUBLON,$B1157&amp;"|"&amp;$D1157&amp;"|"&amp;$E1157)&gt;1),"⚠ Doublon",IF(AND($E1157&lt;&gt;"",COUNTIF(D_KEY_STATUT,$B1157&amp;"|"&amp;$E1157&amp;"|P")&gt;0,COUNTIF(D_KEY_STATUT,$B1157&amp;"|"&amp;$E1157&amp;"|A")&gt;0),"⚠ Statut incohérent",IF(AND($D1157="S1",$Y1157&lt;&gt;"Parti",COUNTIF(ANNEES_VERROU,$B1157)&gt;0,COUNTIF(D_KEY_NIVSES,$B1157&amp;"|"&amp;$C1157&amp;"|S2")&gt;0,COUNTIF(D_KEY_DOUBLON,$B1157&amp;"|S2|"&amp;$E1157)=0),"⚠ Départ non confirmé ?",IF(AND($C1157&lt;&gt;"",ISNUMBER($I1157),OR(VALUE(LEFT($B1157,4))-$I1157&lt;4+IFERROR(MATCH($C1157,LISTE_NIVEAUX,0),99),VALUE(LEFT($B1157,4))-$I1157&gt;6+IFERROR(MATCH($C1157,LISTE_NIVEAUX,0),99))),"⚠ Vérifier niveau",IF(AND(IFERROR(VLOOKUP($C1157,TABLE_CYCLE,2,0),3)=2,COUNT($O1157:$Q1157)&gt;0),"⚠ Tests cycle 3",IF(COUNT($J1157:$Q1157)&gt;=IF(IFERROR(VLOOKUP($C1157,TABLE_CYCLE,2,0),3)=2,5,8),"Complet","Incomplet"))))))))</f>
        <v/>
      </c>
      <c r="S1157" s="24"/>
      <c r="T1157" s="67" t="str">
        <f t="shared" si="154"/>
        <v/>
      </c>
      <c r="U1157" s="67" t="str">
        <f t="shared" si="155"/>
        <v/>
      </c>
      <c r="V1157" s="67" t="str">
        <f t="shared" si="156"/>
        <v/>
      </c>
      <c r="W1157" s="67" t="str">
        <f t="shared" si="157"/>
        <v/>
      </c>
      <c r="X1157" s="67" t="str">
        <f t="shared" si="158"/>
        <v/>
      </c>
      <c r="Y1157" s="24" t="str">
        <f t="shared" si="159"/>
        <v/>
      </c>
      <c r="Z1157">
        <f t="shared" si="160"/>
        <v>0</v>
      </c>
      <c r="AA1157">
        <f t="shared" si="161"/>
        <v>0</v>
      </c>
    </row>
    <row r="1158" spans="2:27" ht="15.75" customHeight="1" x14ac:dyDescent="0.3">
      <c r="B1158" s="25"/>
      <c r="C1158" s="25"/>
      <c r="D1158" s="25"/>
      <c r="E1158" s="26" t="str">
        <f t="shared" si="153"/>
        <v/>
      </c>
      <c r="F1158" s="25"/>
      <c r="G1158" s="25"/>
      <c r="H1158" s="25"/>
      <c r="I1158" s="25"/>
      <c r="J1158" s="25"/>
      <c r="K1158" s="25"/>
      <c r="L1158" s="25"/>
      <c r="M1158" s="25"/>
      <c r="N1158" s="25"/>
      <c r="O1158" s="25"/>
      <c r="P1158" s="25"/>
      <c r="Q1158" s="25"/>
      <c r="R1158" s="23" t="str">
        <f>IF($F1158="","",IF(OR($B1158="",$C1158="",$D1158=""),"⚠ Compléter Année/Niveau/Session",IF(AND($E1158&lt;&gt;"",COUNTIF(D_KEY_DOUBLON,$B1158&amp;"|"&amp;$D1158&amp;"|"&amp;$E1158)&gt;1),"⚠ Doublon",IF(AND($E1158&lt;&gt;"",COUNTIF(D_KEY_STATUT,$B1158&amp;"|"&amp;$E1158&amp;"|P")&gt;0,COUNTIF(D_KEY_STATUT,$B1158&amp;"|"&amp;$E1158&amp;"|A")&gt;0),"⚠ Statut incohérent",IF(AND($D1158="S1",$Y1158&lt;&gt;"Parti",COUNTIF(ANNEES_VERROU,$B1158)&gt;0,COUNTIF(D_KEY_NIVSES,$B1158&amp;"|"&amp;$C1158&amp;"|S2")&gt;0,COUNTIF(D_KEY_DOUBLON,$B1158&amp;"|S2|"&amp;$E1158)=0),"⚠ Départ non confirmé ?",IF(AND($C1158&lt;&gt;"",ISNUMBER($I1158),OR(VALUE(LEFT($B1158,4))-$I1158&lt;4+IFERROR(MATCH($C1158,LISTE_NIVEAUX,0),99),VALUE(LEFT($B1158,4))-$I1158&gt;6+IFERROR(MATCH($C1158,LISTE_NIVEAUX,0),99))),"⚠ Vérifier niveau",IF(AND(IFERROR(VLOOKUP($C1158,TABLE_CYCLE,2,0),3)=2,COUNT($O1158:$Q1158)&gt;0),"⚠ Tests cycle 3",IF(COUNT($J1158:$Q1158)&gt;=IF(IFERROR(VLOOKUP($C1158,TABLE_CYCLE,2,0),3)=2,5,8),"Complet","Incomplet"))))))))</f>
        <v/>
      </c>
      <c r="S1158" s="24"/>
      <c r="T1158" s="67" t="str">
        <f t="shared" si="154"/>
        <v/>
      </c>
      <c r="U1158" s="67" t="str">
        <f t="shared" si="155"/>
        <v/>
      </c>
      <c r="V1158" s="67" t="str">
        <f t="shared" si="156"/>
        <v/>
      </c>
      <c r="W1158" s="67" t="str">
        <f t="shared" si="157"/>
        <v/>
      </c>
      <c r="X1158" s="67" t="str">
        <f t="shared" si="158"/>
        <v/>
      </c>
      <c r="Y1158" s="24" t="str">
        <f t="shared" si="159"/>
        <v/>
      </c>
      <c r="Z1158">
        <f t="shared" si="160"/>
        <v>0</v>
      </c>
      <c r="AA1158">
        <f t="shared" si="161"/>
        <v>0</v>
      </c>
    </row>
    <row r="1159" spans="2:27" ht="15.75" customHeight="1" x14ac:dyDescent="0.3">
      <c r="B1159" s="21"/>
      <c r="C1159" s="21"/>
      <c r="D1159" s="21"/>
      <c r="E1159" s="22" t="str">
        <f t="shared" ref="E1159:E1206" si="162">IF(OR($F1159="",$G1159=""),"",IF(ISNUMBER($I1159),TEXT($I1159-2000,"00")&amp;"_","__")&amp;UPPER(TRIM($F1159))&amp;"_"&amp;UPPER(TRIM($G1159)))</f>
        <v/>
      </c>
      <c r="F1159" s="21"/>
      <c r="G1159" s="21"/>
      <c r="H1159" s="21"/>
      <c r="I1159" s="21"/>
      <c r="J1159" s="21"/>
      <c r="K1159" s="21"/>
      <c r="L1159" s="21"/>
      <c r="M1159" s="21"/>
      <c r="N1159" s="21"/>
      <c r="O1159" s="21"/>
      <c r="P1159" s="21"/>
      <c r="Q1159" s="21"/>
      <c r="R1159" s="23" t="str">
        <f>IF($F1159="","",IF(OR($B1159="",$C1159="",$D1159=""),"⚠ Compléter Année/Niveau/Session",IF(AND($E1159&lt;&gt;"",COUNTIF(D_KEY_DOUBLON,$B1159&amp;"|"&amp;$D1159&amp;"|"&amp;$E1159)&gt;1),"⚠ Doublon",IF(AND($E1159&lt;&gt;"",COUNTIF(D_KEY_STATUT,$B1159&amp;"|"&amp;$E1159&amp;"|P")&gt;0,COUNTIF(D_KEY_STATUT,$B1159&amp;"|"&amp;$E1159&amp;"|A")&gt;0),"⚠ Statut incohérent",IF(AND($D1159="S1",$Y1159&lt;&gt;"Parti",COUNTIF(ANNEES_VERROU,$B1159)&gt;0,COUNTIF(D_KEY_NIVSES,$B1159&amp;"|"&amp;$C1159&amp;"|S2")&gt;0,COUNTIF(D_KEY_DOUBLON,$B1159&amp;"|S2|"&amp;$E1159)=0),"⚠ Départ non confirmé ?",IF(AND($C1159&lt;&gt;"",ISNUMBER($I1159),OR(VALUE(LEFT($B1159,4))-$I1159&lt;4+IFERROR(MATCH($C1159,LISTE_NIVEAUX,0),99),VALUE(LEFT($B1159,4))-$I1159&gt;6+IFERROR(MATCH($C1159,LISTE_NIVEAUX,0),99))),"⚠ Vérifier niveau",IF(AND(IFERROR(VLOOKUP($C1159,TABLE_CYCLE,2,0),3)=2,COUNT($O1159:$Q1159)&gt;0),"⚠ Tests cycle 3",IF(COUNT($J1159:$Q1159)&gt;=IF(IFERROR(VLOOKUP($C1159,TABLE_CYCLE,2,0),3)=2,5,8),"Complet","Incomplet"))))))))</f>
        <v/>
      </c>
      <c r="S1159" s="24"/>
      <c r="T1159" s="67" t="str">
        <f t="shared" ref="T1159:T1206" si="163">IFERROR(INDEX(D_NOM,MATCH(ROW()-6,D_RANG_RECUP,0)),"")</f>
        <v/>
      </c>
      <c r="U1159" s="67" t="str">
        <f t="shared" ref="U1159:U1206" si="164">IFERROR(INDEX(D_PRENOM,MATCH(ROW()-6,D_RANG_RECUP,0)),"")</f>
        <v/>
      </c>
      <c r="V1159" s="67" t="str">
        <f t="shared" ref="V1159:V1206" si="165">IFERROR(INDEX(D_SEXE,MATCH(ROW()-6,D_RANG_RECUP,0)),"")</f>
        <v/>
      </c>
      <c r="W1159" s="67" t="str">
        <f t="shared" ref="W1159:W1206" si="166">IFERROR(INDEX(D_NAISS,MATCH(ROW()-6,D_RANG_RECUP,0)),"")</f>
        <v/>
      </c>
      <c r="X1159" s="67" t="str">
        <f t="shared" ref="X1159:X1206" si="167">IF($T1159="","",IF($X$4="→ Session 2 (même année)",$W$4,IFERROR(INDEX(LISTE_NIVEAUX,MATCH($W$4,LISTE_NIVEAUX,0)+1),"CM2 terminé")))</f>
        <v/>
      </c>
      <c r="Y1159" s="24" t="str">
        <f t="shared" ref="Y1159:Y1206" si="168">IF($S1159="","",$S1159)</f>
        <v/>
      </c>
      <c r="Z1159">
        <f t="shared" ref="Z1159:Z1206" si="169">SUBTOTAL(103,$F1159)*($R1159="Complet")</f>
        <v>0</v>
      </c>
      <c r="AA1159">
        <f t="shared" ref="AA1159:AA1206" si="170">IF(OR($F1159="",$C1159=""),0,IF(COUNTIFS($B$7:$B$1206,$B1159,$F$7:$F$1206,$F1159,$G$7:$G$1206,$G1159,$I$7:$I$1206,$I1159,$C$7:$C$1206,"&lt;&gt;"&amp;$C1159)&gt;0,1,0))</f>
        <v>0</v>
      </c>
    </row>
    <row r="1160" spans="2:27" ht="15.75" customHeight="1" x14ac:dyDescent="0.3">
      <c r="B1160" s="25"/>
      <c r="C1160" s="25"/>
      <c r="D1160" s="25"/>
      <c r="E1160" s="26" t="str">
        <f t="shared" si="162"/>
        <v/>
      </c>
      <c r="F1160" s="25"/>
      <c r="G1160" s="25"/>
      <c r="H1160" s="25"/>
      <c r="I1160" s="25"/>
      <c r="J1160" s="25"/>
      <c r="K1160" s="25"/>
      <c r="L1160" s="25"/>
      <c r="M1160" s="25"/>
      <c r="N1160" s="25"/>
      <c r="O1160" s="25"/>
      <c r="P1160" s="25"/>
      <c r="Q1160" s="25"/>
      <c r="R1160" s="23" t="str">
        <f>IF($F1160="","",IF(OR($B1160="",$C1160="",$D1160=""),"⚠ Compléter Année/Niveau/Session",IF(AND($E1160&lt;&gt;"",COUNTIF(D_KEY_DOUBLON,$B1160&amp;"|"&amp;$D1160&amp;"|"&amp;$E1160)&gt;1),"⚠ Doublon",IF(AND($E1160&lt;&gt;"",COUNTIF(D_KEY_STATUT,$B1160&amp;"|"&amp;$E1160&amp;"|P")&gt;0,COUNTIF(D_KEY_STATUT,$B1160&amp;"|"&amp;$E1160&amp;"|A")&gt;0),"⚠ Statut incohérent",IF(AND($D1160="S1",$Y1160&lt;&gt;"Parti",COUNTIF(ANNEES_VERROU,$B1160)&gt;0,COUNTIF(D_KEY_NIVSES,$B1160&amp;"|"&amp;$C1160&amp;"|S2")&gt;0,COUNTIF(D_KEY_DOUBLON,$B1160&amp;"|S2|"&amp;$E1160)=0),"⚠ Départ non confirmé ?",IF(AND($C1160&lt;&gt;"",ISNUMBER($I1160),OR(VALUE(LEFT($B1160,4))-$I1160&lt;4+IFERROR(MATCH($C1160,LISTE_NIVEAUX,0),99),VALUE(LEFT($B1160,4))-$I1160&gt;6+IFERROR(MATCH($C1160,LISTE_NIVEAUX,0),99))),"⚠ Vérifier niveau",IF(AND(IFERROR(VLOOKUP($C1160,TABLE_CYCLE,2,0),3)=2,COUNT($O1160:$Q1160)&gt;0),"⚠ Tests cycle 3",IF(COUNT($J1160:$Q1160)&gt;=IF(IFERROR(VLOOKUP($C1160,TABLE_CYCLE,2,0),3)=2,5,8),"Complet","Incomplet"))))))))</f>
        <v/>
      </c>
      <c r="S1160" s="24"/>
      <c r="T1160" s="67" t="str">
        <f t="shared" si="163"/>
        <v/>
      </c>
      <c r="U1160" s="67" t="str">
        <f t="shared" si="164"/>
        <v/>
      </c>
      <c r="V1160" s="67" t="str">
        <f t="shared" si="165"/>
        <v/>
      </c>
      <c r="W1160" s="67" t="str">
        <f t="shared" si="166"/>
        <v/>
      </c>
      <c r="X1160" s="67" t="str">
        <f t="shared" si="167"/>
        <v/>
      </c>
      <c r="Y1160" s="24" t="str">
        <f t="shared" si="168"/>
        <v/>
      </c>
      <c r="Z1160">
        <f t="shared" si="169"/>
        <v>0</v>
      </c>
      <c r="AA1160">
        <f t="shared" si="170"/>
        <v>0</v>
      </c>
    </row>
    <row r="1161" spans="2:27" ht="15.75" customHeight="1" x14ac:dyDescent="0.3">
      <c r="B1161" s="21"/>
      <c r="C1161" s="21"/>
      <c r="D1161" s="21"/>
      <c r="E1161" s="22" t="str">
        <f t="shared" si="162"/>
        <v/>
      </c>
      <c r="F1161" s="21"/>
      <c r="G1161" s="21"/>
      <c r="H1161" s="21"/>
      <c r="I1161" s="21"/>
      <c r="J1161" s="21"/>
      <c r="K1161" s="21"/>
      <c r="L1161" s="21"/>
      <c r="M1161" s="21"/>
      <c r="N1161" s="21"/>
      <c r="O1161" s="21"/>
      <c r="P1161" s="21"/>
      <c r="Q1161" s="21"/>
      <c r="R1161" s="23" t="str">
        <f>IF($F1161="","",IF(OR($B1161="",$C1161="",$D1161=""),"⚠ Compléter Année/Niveau/Session",IF(AND($E1161&lt;&gt;"",COUNTIF(D_KEY_DOUBLON,$B1161&amp;"|"&amp;$D1161&amp;"|"&amp;$E1161)&gt;1),"⚠ Doublon",IF(AND($E1161&lt;&gt;"",COUNTIF(D_KEY_STATUT,$B1161&amp;"|"&amp;$E1161&amp;"|P")&gt;0,COUNTIF(D_KEY_STATUT,$B1161&amp;"|"&amp;$E1161&amp;"|A")&gt;0),"⚠ Statut incohérent",IF(AND($D1161="S1",$Y1161&lt;&gt;"Parti",COUNTIF(ANNEES_VERROU,$B1161)&gt;0,COUNTIF(D_KEY_NIVSES,$B1161&amp;"|"&amp;$C1161&amp;"|S2")&gt;0,COUNTIF(D_KEY_DOUBLON,$B1161&amp;"|S2|"&amp;$E1161)=0),"⚠ Départ non confirmé ?",IF(AND($C1161&lt;&gt;"",ISNUMBER($I1161),OR(VALUE(LEFT($B1161,4))-$I1161&lt;4+IFERROR(MATCH($C1161,LISTE_NIVEAUX,0),99),VALUE(LEFT($B1161,4))-$I1161&gt;6+IFERROR(MATCH($C1161,LISTE_NIVEAUX,0),99))),"⚠ Vérifier niveau",IF(AND(IFERROR(VLOOKUP($C1161,TABLE_CYCLE,2,0),3)=2,COUNT($O1161:$Q1161)&gt;0),"⚠ Tests cycle 3",IF(COUNT($J1161:$Q1161)&gt;=IF(IFERROR(VLOOKUP($C1161,TABLE_CYCLE,2,0),3)=2,5,8),"Complet","Incomplet"))))))))</f>
        <v/>
      </c>
      <c r="S1161" s="24"/>
      <c r="T1161" s="67" t="str">
        <f t="shared" si="163"/>
        <v/>
      </c>
      <c r="U1161" s="67" t="str">
        <f t="shared" si="164"/>
        <v/>
      </c>
      <c r="V1161" s="67" t="str">
        <f t="shared" si="165"/>
        <v/>
      </c>
      <c r="W1161" s="67" t="str">
        <f t="shared" si="166"/>
        <v/>
      </c>
      <c r="X1161" s="67" t="str">
        <f t="shared" si="167"/>
        <v/>
      </c>
      <c r="Y1161" s="24" t="str">
        <f t="shared" si="168"/>
        <v/>
      </c>
      <c r="Z1161">
        <f t="shared" si="169"/>
        <v>0</v>
      </c>
      <c r="AA1161">
        <f t="shared" si="170"/>
        <v>0</v>
      </c>
    </row>
    <row r="1162" spans="2:27" ht="15.75" customHeight="1" x14ac:dyDescent="0.3">
      <c r="B1162" s="25"/>
      <c r="C1162" s="25"/>
      <c r="D1162" s="25"/>
      <c r="E1162" s="26" t="str">
        <f t="shared" si="162"/>
        <v/>
      </c>
      <c r="F1162" s="25"/>
      <c r="G1162" s="25"/>
      <c r="H1162" s="25"/>
      <c r="I1162" s="25"/>
      <c r="J1162" s="25"/>
      <c r="K1162" s="25"/>
      <c r="L1162" s="25"/>
      <c r="M1162" s="25"/>
      <c r="N1162" s="25"/>
      <c r="O1162" s="25"/>
      <c r="P1162" s="25"/>
      <c r="Q1162" s="25"/>
      <c r="R1162" s="23" t="str">
        <f>IF($F1162="","",IF(OR($B1162="",$C1162="",$D1162=""),"⚠ Compléter Année/Niveau/Session",IF(AND($E1162&lt;&gt;"",COUNTIF(D_KEY_DOUBLON,$B1162&amp;"|"&amp;$D1162&amp;"|"&amp;$E1162)&gt;1),"⚠ Doublon",IF(AND($E1162&lt;&gt;"",COUNTIF(D_KEY_STATUT,$B1162&amp;"|"&amp;$E1162&amp;"|P")&gt;0,COUNTIF(D_KEY_STATUT,$B1162&amp;"|"&amp;$E1162&amp;"|A")&gt;0),"⚠ Statut incohérent",IF(AND($D1162="S1",$Y1162&lt;&gt;"Parti",COUNTIF(ANNEES_VERROU,$B1162)&gt;0,COUNTIF(D_KEY_NIVSES,$B1162&amp;"|"&amp;$C1162&amp;"|S2")&gt;0,COUNTIF(D_KEY_DOUBLON,$B1162&amp;"|S2|"&amp;$E1162)=0),"⚠ Départ non confirmé ?",IF(AND($C1162&lt;&gt;"",ISNUMBER($I1162),OR(VALUE(LEFT($B1162,4))-$I1162&lt;4+IFERROR(MATCH($C1162,LISTE_NIVEAUX,0),99),VALUE(LEFT($B1162,4))-$I1162&gt;6+IFERROR(MATCH($C1162,LISTE_NIVEAUX,0),99))),"⚠ Vérifier niveau",IF(AND(IFERROR(VLOOKUP($C1162,TABLE_CYCLE,2,0),3)=2,COUNT($O1162:$Q1162)&gt;0),"⚠ Tests cycle 3",IF(COUNT($J1162:$Q1162)&gt;=IF(IFERROR(VLOOKUP($C1162,TABLE_CYCLE,2,0),3)=2,5,8),"Complet","Incomplet"))))))))</f>
        <v/>
      </c>
      <c r="S1162" s="24"/>
      <c r="T1162" s="67" t="str">
        <f t="shared" si="163"/>
        <v/>
      </c>
      <c r="U1162" s="67" t="str">
        <f t="shared" si="164"/>
        <v/>
      </c>
      <c r="V1162" s="67" t="str">
        <f t="shared" si="165"/>
        <v/>
      </c>
      <c r="W1162" s="67" t="str">
        <f t="shared" si="166"/>
        <v/>
      </c>
      <c r="X1162" s="67" t="str">
        <f t="shared" si="167"/>
        <v/>
      </c>
      <c r="Y1162" s="24" t="str">
        <f t="shared" si="168"/>
        <v/>
      </c>
      <c r="Z1162">
        <f t="shared" si="169"/>
        <v>0</v>
      </c>
      <c r="AA1162">
        <f t="shared" si="170"/>
        <v>0</v>
      </c>
    </row>
    <row r="1163" spans="2:27" ht="15.75" customHeight="1" x14ac:dyDescent="0.3">
      <c r="B1163" s="21"/>
      <c r="C1163" s="21"/>
      <c r="D1163" s="21"/>
      <c r="E1163" s="22" t="str">
        <f t="shared" si="162"/>
        <v/>
      </c>
      <c r="F1163" s="21"/>
      <c r="G1163" s="21"/>
      <c r="H1163" s="21"/>
      <c r="I1163" s="21"/>
      <c r="J1163" s="21"/>
      <c r="K1163" s="21"/>
      <c r="L1163" s="21"/>
      <c r="M1163" s="21"/>
      <c r="N1163" s="21"/>
      <c r="O1163" s="21"/>
      <c r="P1163" s="21"/>
      <c r="Q1163" s="21"/>
      <c r="R1163" s="23" t="str">
        <f>IF($F1163="","",IF(OR($B1163="",$C1163="",$D1163=""),"⚠ Compléter Année/Niveau/Session",IF(AND($E1163&lt;&gt;"",COUNTIF(D_KEY_DOUBLON,$B1163&amp;"|"&amp;$D1163&amp;"|"&amp;$E1163)&gt;1),"⚠ Doublon",IF(AND($E1163&lt;&gt;"",COUNTIF(D_KEY_STATUT,$B1163&amp;"|"&amp;$E1163&amp;"|P")&gt;0,COUNTIF(D_KEY_STATUT,$B1163&amp;"|"&amp;$E1163&amp;"|A")&gt;0),"⚠ Statut incohérent",IF(AND($D1163="S1",$Y1163&lt;&gt;"Parti",COUNTIF(ANNEES_VERROU,$B1163)&gt;0,COUNTIF(D_KEY_NIVSES,$B1163&amp;"|"&amp;$C1163&amp;"|S2")&gt;0,COUNTIF(D_KEY_DOUBLON,$B1163&amp;"|S2|"&amp;$E1163)=0),"⚠ Départ non confirmé ?",IF(AND($C1163&lt;&gt;"",ISNUMBER($I1163),OR(VALUE(LEFT($B1163,4))-$I1163&lt;4+IFERROR(MATCH($C1163,LISTE_NIVEAUX,0),99),VALUE(LEFT($B1163,4))-$I1163&gt;6+IFERROR(MATCH($C1163,LISTE_NIVEAUX,0),99))),"⚠ Vérifier niveau",IF(AND(IFERROR(VLOOKUP($C1163,TABLE_CYCLE,2,0),3)=2,COUNT($O1163:$Q1163)&gt;0),"⚠ Tests cycle 3",IF(COUNT($J1163:$Q1163)&gt;=IF(IFERROR(VLOOKUP($C1163,TABLE_CYCLE,2,0),3)=2,5,8),"Complet","Incomplet"))))))))</f>
        <v/>
      </c>
      <c r="S1163" s="24"/>
      <c r="T1163" s="67" t="str">
        <f t="shared" si="163"/>
        <v/>
      </c>
      <c r="U1163" s="67" t="str">
        <f t="shared" si="164"/>
        <v/>
      </c>
      <c r="V1163" s="67" t="str">
        <f t="shared" si="165"/>
        <v/>
      </c>
      <c r="W1163" s="67" t="str">
        <f t="shared" si="166"/>
        <v/>
      </c>
      <c r="X1163" s="67" t="str">
        <f t="shared" si="167"/>
        <v/>
      </c>
      <c r="Y1163" s="24" t="str">
        <f t="shared" si="168"/>
        <v/>
      </c>
      <c r="Z1163">
        <f t="shared" si="169"/>
        <v>0</v>
      </c>
      <c r="AA1163">
        <f t="shared" si="170"/>
        <v>0</v>
      </c>
    </row>
    <row r="1164" spans="2:27" ht="15.75" customHeight="1" x14ac:dyDescent="0.3">
      <c r="B1164" s="25"/>
      <c r="C1164" s="25"/>
      <c r="D1164" s="25"/>
      <c r="E1164" s="26" t="str">
        <f t="shared" si="162"/>
        <v/>
      </c>
      <c r="F1164" s="25"/>
      <c r="G1164" s="25"/>
      <c r="H1164" s="25"/>
      <c r="I1164" s="25"/>
      <c r="J1164" s="25"/>
      <c r="K1164" s="25"/>
      <c r="L1164" s="25"/>
      <c r="M1164" s="25"/>
      <c r="N1164" s="25"/>
      <c r="O1164" s="25"/>
      <c r="P1164" s="25"/>
      <c r="Q1164" s="25"/>
      <c r="R1164" s="23" t="str">
        <f>IF($F1164="","",IF(OR($B1164="",$C1164="",$D1164=""),"⚠ Compléter Année/Niveau/Session",IF(AND($E1164&lt;&gt;"",COUNTIF(D_KEY_DOUBLON,$B1164&amp;"|"&amp;$D1164&amp;"|"&amp;$E1164)&gt;1),"⚠ Doublon",IF(AND($E1164&lt;&gt;"",COUNTIF(D_KEY_STATUT,$B1164&amp;"|"&amp;$E1164&amp;"|P")&gt;0,COUNTIF(D_KEY_STATUT,$B1164&amp;"|"&amp;$E1164&amp;"|A")&gt;0),"⚠ Statut incohérent",IF(AND($D1164="S1",$Y1164&lt;&gt;"Parti",COUNTIF(ANNEES_VERROU,$B1164)&gt;0,COUNTIF(D_KEY_NIVSES,$B1164&amp;"|"&amp;$C1164&amp;"|S2")&gt;0,COUNTIF(D_KEY_DOUBLON,$B1164&amp;"|S2|"&amp;$E1164)=0),"⚠ Départ non confirmé ?",IF(AND($C1164&lt;&gt;"",ISNUMBER($I1164),OR(VALUE(LEFT($B1164,4))-$I1164&lt;4+IFERROR(MATCH($C1164,LISTE_NIVEAUX,0),99),VALUE(LEFT($B1164,4))-$I1164&gt;6+IFERROR(MATCH($C1164,LISTE_NIVEAUX,0),99))),"⚠ Vérifier niveau",IF(AND(IFERROR(VLOOKUP($C1164,TABLE_CYCLE,2,0),3)=2,COUNT($O1164:$Q1164)&gt;0),"⚠ Tests cycle 3",IF(COUNT($J1164:$Q1164)&gt;=IF(IFERROR(VLOOKUP($C1164,TABLE_CYCLE,2,0),3)=2,5,8),"Complet","Incomplet"))))))))</f>
        <v/>
      </c>
      <c r="S1164" s="24"/>
      <c r="T1164" s="67" t="str">
        <f t="shared" si="163"/>
        <v/>
      </c>
      <c r="U1164" s="67" t="str">
        <f t="shared" si="164"/>
        <v/>
      </c>
      <c r="V1164" s="67" t="str">
        <f t="shared" si="165"/>
        <v/>
      </c>
      <c r="W1164" s="67" t="str">
        <f t="shared" si="166"/>
        <v/>
      </c>
      <c r="X1164" s="67" t="str">
        <f t="shared" si="167"/>
        <v/>
      </c>
      <c r="Y1164" s="24" t="str">
        <f t="shared" si="168"/>
        <v/>
      </c>
      <c r="Z1164">
        <f t="shared" si="169"/>
        <v>0</v>
      </c>
      <c r="AA1164">
        <f t="shared" si="170"/>
        <v>0</v>
      </c>
    </row>
    <row r="1165" spans="2:27" ht="15.75" customHeight="1" x14ac:dyDescent="0.3">
      <c r="B1165" s="21"/>
      <c r="C1165" s="21"/>
      <c r="D1165" s="21"/>
      <c r="E1165" s="22" t="str">
        <f t="shared" si="162"/>
        <v/>
      </c>
      <c r="F1165" s="21"/>
      <c r="G1165" s="21"/>
      <c r="H1165" s="21"/>
      <c r="I1165" s="21"/>
      <c r="J1165" s="21"/>
      <c r="K1165" s="21"/>
      <c r="L1165" s="21"/>
      <c r="M1165" s="21"/>
      <c r="N1165" s="21"/>
      <c r="O1165" s="21"/>
      <c r="P1165" s="21"/>
      <c r="Q1165" s="21"/>
      <c r="R1165" s="23" t="str">
        <f>IF($F1165="","",IF(OR($B1165="",$C1165="",$D1165=""),"⚠ Compléter Année/Niveau/Session",IF(AND($E1165&lt;&gt;"",COUNTIF(D_KEY_DOUBLON,$B1165&amp;"|"&amp;$D1165&amp;"|"&amp;$E1165)&gt;1),"⚠ Doublon",IF(AND($E1165&lt;&gt;"",COUNTIF(D_KEY_STATUT,$B1165&amp;"|"&amp;$E1165&amp;"|P")&gt;0,COUNTIF(D_KEY_STATUT,$B1165&amp;"|"&amp;$E1165&amp;"|A")&gt;0),"⚠ Statut incohérent",IF(AND($D1165="S1",$Y1165&lt;&gt;"Parti",COUNTIF(ANNEES_VERROU,$B1165)&gt;0,COUNTIF(D_KEY_NIVSES,$B1165&amp;"|"&amp;$C1165&amp;"|S2")&gt;0,COUNTIF(D_KEY_DOUBLON,$B1165&amp;"|S2|"&amp;$E1165)=0),"⚠ Départ non confirmé ?",IF(AND($C1165&lt;&gt;"",ISNUMBER($I1165),OR(VALUE(LEFT($B1165,4))-$I1165&lt;4+IFERROR(MATCH($C1165,LISTE_NIVEAUX,0),99),VALUE(LEFT($B1165,4))-$I1165&gt;6+IFERROR(MATCH($C1165,LISTE_NIVEAUX,0),99))),"⚠ Vérifier niveau",IF(AND(IFERROR(VLOOKUP($C1165,TABLE_CYCLE,2,0),3)=2,COUNT($O1165:$Q1165)&gt;0),"⚠ Tests cycle 3",IF(COUNT($J1165:$Q1165)&gt;=IF(IFERROR(VLOOKUP($C1165,TABLE_CYCLE,2,0),3)=2,5,8),"Complet","Incomplet"))))))))</f>
        <v/>
      </c>
      <c r="S1165" s="24"/>
      <c r="T1165" s="67" t="str">
        <f t="shared" si="163"/>
        <v/>
      </c>
      <c r="U1165" s="67" t="str">
        <f t="shared" si="164"/>
        <v/>
      </c>
      <c r="V1165" s="67" t="str">
        <f t="shared" si="165"/>
        <v/>
      </c>
      <c r="W1165" s="67" t="str">
        <f t="shared" si="166"/>
        <v/>
      </c>
      <c r="X1165" s="67" t="str">
        <f t="shared" si="167"/>
        <v/>
      </c>
      <c r="Y1165" s="24" t="str">
        <f t="shared" si="168"/>
        <v/>
      </c>
      <c r="Z1165">
        <f t="shared" si="169"/>
        <v>0</v>
      </c>
      <c r="AA1165">
        <f t="shared" si="170"/>
        <v>0</v>
      </c>
    </row>
    <row r="1166" spans="2:27" ht="15.75" customHeight="1" x14ac:dyDescent="0.3">
      <c r="B1166" s="25"/>
      <c r="C1166" s="25"/>
      <c r="D1166" s="25"/>
      <c r="E1166" s="26" t="str">
        <f t="shared" si="162"/>
        <v/>
      </c>
      <c r="F1166" s="25"/>
      <c r="G1166" s="25"/>
      <c r="H1166" s="25"/>
      <c r="I1166" s="25"/>
      <c r="J1166" s="25"/>
      <c r="K1166" s="25"/>
      <c r="L1166" s="25"/>
      <c r="M1166" s="25"/>
      <c r="N1166" s="25"/>
      <c r="O1166" s="25"/>
      <c r="P1166" s="25"/>
      <c r="Q1166" s="25"/>
      <c r="R1166" s="23" t="str">
        <f>IF($F1166="","",IF(OR($B1166="",$C1166="",$D1166=""),"⚠ Compléter Année/Niveau/Session",IF(AND($E1166&lt;&gt;"",COUNTIF(D_KEY_DOUBLON,$B1166&amp;"|"&amp;$D1166&amp;"|"&amp;$E1166)&gt;1),"⚠ Doublon",IF(AND($E1166&lt;&gt;"",COUNTIF(D_KEY_STATUT,$B1166&amp;"|"&amp;$E1166&amp;"|P")&gt;0,COUNTIF(D_KEY_STATUT,$B1166&amp;"|"&amp;$E1166&amp;"|A")&gt;0),"⚠ Statut incohérent",IF(AND($D1166="S1",$Y1166&lt;&gt;"Parti",COUNTIF(ANNEES_VERROU,$B1166)&gt;0,COUNTIF(D_KEY_NIVSES,$B1166&amp;"|"&amp;$C1166&amp;"|S2")&gt;0,COUNTIF(D_KEY_DOUBLON,$B1166&amp;"|S2|"&amp;$E1166)=0),"⚠ Départ non confirmé ?",IF(AND($C1166&lt;&gt;"",ISNUMBER($I1166),OR(VALUE(LEFT($B1166,4))-$I1166&lt;4+IFERROR(MATCH($C1166,LISTE_NIVEAUX,0),99),VALUE(LEFT($B1166,4))-$I1166&gt;6+IFERROR(MATCH($C1166,LISTE_NIVEAUX,0),99))),"⚠ Vérifier niveau",IF(AND(IFERROR(VLOOKUP($C1166,TABLE_CYCLE,2,0),3)=2,COUNT($O1166:$Q1166)&gt;0),"⚠ Tests cycle 3",IF(COUNT($J1166:$Q1166)&gt;=IF(IFERROR(VLOOKUP($C1166,TABLE_CYCLE,2,0),3)=2,5,8),"Complet","Incomplet"))))))))</f>
        <v/>
      </c>
      <c r="S1166" s="24"/>
      <c r="T1166" s="67" t="str">
        <f t="shared" si="163"/>
        <v/>
      </c>
      <c r="U1166" s="67" t="str">
        <f t="shared" si="164"/>
        <v/>
      </c>
      <c r="V1166" s="67" t="str">
        <f t="shared" si="165"/>
        <v/>
      </c>
      <c r="W1166" s="67" t="str">
        <f t="shared" si="166"/>
        <v/>
      </c>
      <c r="X1166" s="67" t="str">
        <f t="shared" si="167"/>
        <v/>
      </c>
      <c r="Y1166" s="24" t="str">
        <f t="shared" si="168"/>
        <v/>
      </c>
      <c r="Z1166">
        <f t="shared" si="169"/>
        <v>0</v>
      </c>
      <c r="AA1166">
        <f t="shared" si="170"/>
        <v>0</v>
      </c>
    </row>
    <row r="1167" spans="2:27" ht="15.75" customHeight="1" x14ac:dyDescent="0.3">
      <c r="B1167" s="21"/>
      <c r="C1167" s="21"/>
      <c r="D1167" s="21"/>
      <c r="E1167" s="22" t="str">
        <f t="shared" si="162"/>
        <v/>
      </c>
      <c r="F1167" s="21"/>
      <c r="G1167" s="21"/>
      <c r="H1167" s="21"/>
      <c r="I1167" s="21"/>
      <c r="J1167" s="21"/>
      <c r="K1167" s="21"/>
      <c r="L1167" s="21"/>
      <c r="M1167" s="21"/>
      <c r="N1167" s="21"/>
      <c r="O1167" s="21"/>
      <c r="P1167" s="21"/>
      <c r="Q1167" s="21"/>
      <c r="R1167" s="23" t="str">
        <f>IF($F1167="","",IF(OR($B1167="",$C1167="",$D1167=""),"⚠ Compléter Année/Niveau/Session",IF(AND($E1167&lt;&gt;"",COUNTIF(D_KEY_DOUBLON,$B1167&amp;"|"&amp;$D1167&amp;"|"&amp;$E1167)&gt;1),"⚠ Doublon",IF(AND($E1167&lt;&gt;"",COUNTIF(D_KEY_STATUT,$B1167&amp;"|"&amp;$E1167&amp;"|P")&gt;0,COUNTIF(D_KEY_STATUT,$B1167&amp;"|"&amp;$E1167&amp;"|A")&gt;0),"⚠ Statut incohérent",IF(AND($D1167="S1",$Y1167&lt;&gt;"Parti",COUNTIF(ANNEES_VERROU,$B1167)&gt;0,COUNTIF(D_KEY_NIVSES,$B1167&amp;"|"&amp;$C1167&amp;"|S2")&gt;0,COUNTIF(D_KEY_DOUBLON,$B1167&amp;"|S2|"&amp;$E1167)=0),"⚠ Départ non confirmé ?",IF(AND($C1167&lt;&gt;"",ISNUMBER($I1167),OR(VALUE(LEFT($B1167,4))-$I1167&lt;4+IFERROR(MATCH($C1167,LISTE_NIVEAUX,0),99),VALUE(LEFT($B1167,4))-$I1167&gt;6+IFERROR(MATCH($C1167,LISTE_NIVEAUX,0),99))),"⚠ Vérifier niveau",IF(AND(IFERROR(VLOOKUP($C1167,TABLE_CYCLE,2,0),3)=2,COUNT($O1167:$Q1167)&gt;0),"⚠ Tests cycle 3",IF(COUNT($J1167:$Q1167)&gt;=IF(IFERROR(VLOOKUP($C1167,TABLE_CYCLE,2,0),3)=2,5,8),"Complet","Incomplet"))))))))</f>
        <v/>
      </c>
      <c r="S1167" s="24"/>
      <c r="T1167" s="67" t="str">
        <f t="shared" si="163"/>
        <v/>
      </c>
      <c r="U1167" s="67" t="str">
        <f t="shared" si="164"/>
        <v/>
      </c>
      <c r="V1167" s="67" t="str">
        <f t="shared" si="165"/>
        <v/>
      </c>
      <c r="W1167" s="67" t="str">
        <f t="shared" si="166"/>
        <v/>
      </c>
      <c r="X1167" s="67" t="str">
        <f t="shared" si="167"/>
        <v/>
      </c>
      <c r="Y1167" s="24" t="str">
        <f t="shared" si="168"/>
        <v/>
      </c>
      <c r="Z1167">
        <f t="shared" si="169"/>
        <v>0</v>
      </c>
      <c r="AA1167">
        <f t="shared" si="170"/>
        <v>0</v>
      </c>
    </row>
    <row r="1168" spans="2:27" ht="15.75" customHeight="1" x14ac:dyDescent="0.3">
      <c r="B1168" s="25"/>
      <c r="C1168" s="25"/>
      <c r="D1168" s="25"/>
      <c r="E1168" s="26" t="str">
        <f t="shared" si="162"/>
        <v/>
      </c>
      <c r="F1168" s="25"/>
      <c r="G1168" s="25"/>
      <c r="H1168" s="25"/>
      <c r="I1168" s="25"/>
      <c r="J1168" s="25"/>
      <c r="K1168" s="25"/>
      <c r="L1168" s="25"/>
      <c r="M1168" s="25"/>
      <c r="N1168" s="25"/>
      <c r="O1168" s="25"/>
      <c r="P1168" s="25"/>
      <c r="Q1168" s="25"/>
      <c r="R1168" s="23" t="str">
        <f>IF($F1168="","",IF(OR($B1168="",$C1168="",$D1168=""),"⚠ Compléter Année/Niveau/Session",IF(AND($E1168&lt;&gt;"",COUNTIF(D_KEY_DOUBLON,$B1168&amp;"|"&amp;$D1168&amp;"|"&amp;$E1168)&gt;1),"⚠ Doublon",IF(AND($E1168&lt;&gt;"",COUNTIF(D_KEY_STATUT,$B1168&amp;"|"&amp;$E1168&amp;"|P")&gt;0,COUNTIF(D_KEY_STATUT,$B1168&amp;"|"&amp;$E1168&amp;"|A")&gt;0),"⚠ Statut incohérent",IF(AND($D1168="S1",$Y1168&lt;&gt;"Parti",COUNTIF(ANNEES_VERROU,$B1168)&gt;0,COUNTIF(D_KEY_NIVSES,$B1168&amp;"|"&amp;$C1168&amp;"|S2")&gt;0,COUNTIF(D_KEY_DOUBLON,$B1168&amp;"|S2|"&amp;$E1168)=0),"⚠ Départ non confirmé ?",IF(AND($C1168&lt;&gt;"",ISNUMBER($I1168),OR(VALUE(LEFT($B1168,4))-$I1168&lt;4+IFERROR(MATCH($C1168,LISTE_NIVEAUX,0),99),VALUE(LEFT($B1168,4))-$I1168&gt;6+IFERROR(MATCH($C1168,LISTE_NIVEAUX,0),99))),"⚠ Vérifier niveau",IF(AND(IFERROR(VLOOKUP($C1168,TABLE_CYCLE,2,0),3)=2,COUNT($O1168:$Q1168)&gt;0),"⚠ Tests cycle 3",IF(COUNT($J1168:$Q1168)&gt;=IF(IFERROR(VLOOKUP($C1168,TABLE_CYCLE,2,0),3)=2,5,8),"Complet","Incomplet"))))))))</f>
        <v/>
      </c>
      <c r="S1168" s="24"/>
      <c r="T1168" s="67" t="str">
        <f t="shared" si="163"/>
        <v/>
      </c>
      <c r="U1168" s="67" t="str">
        <f t="shared" si="164"/>
        <v/>
      </c>
      <c r="V1168" s="67" t="str">
        <f t="shared" si="165"/>
        <v/>
      </c>
      <c r="W1168" s="67" t="str">
        <f t="shared" si="166"/>
        <v/>
      </c>
      <c r="X1168" s="67" t="str">
        <f t="shared" si="167"/>
        <v/>
      </c>
      <c r="Y1168" s="24" t="str">
        <f t="shared" si="168"/>
        <v/>
      </c>
      <c r="Z1168">
        <f t="shared" si="169"/>
        <v>0</v>
      </c>
      <c r="AA1168">
        <f t="shared" si="170"/>
        <v>0</v>
      </c>
    </row>
    <row r="1169" spans="2:27" ht="15.75" customHeight="1" x14ac:dyDescent="0.3">
      <c r="B1169" s="21"/>
      <c r="C1169" s="21"/>
      <c r="D1169" s="21"/>
      <c r="E1169" s="22" t="str">
        <f t="shared" si="162"/>
        <v/>
      </c>
      <c r="F1169" s="21"/>
      <c r="G1169" s="21"/>
      <c r="H1169" s="21"/>
      <c r="I1169" s="21"/>
      <c r="J1169" s="21"/>
      <c r="K1169" s="21"/>
      <c r="L1169" s="21"/>
      <c r="M1169" s="21"/>
      <c r="N1169" s="21"/>
      <c r="O1169" s="21"/>
      <c r="P1169" s="21"/>
      <c r="Q1169" s="21"/>
      <c r="R1169" s="23" t="str">
        <f>IF($F1169="","",IF(OR($B1169="",$C1169="",$D1169=""),"⚠ Compléter Année/Niveau/Session",IF(AND($E1169&lt;&gt;"",COUNTIF(D_KEY_DOUBLON,$B1169&amp;"|"&amp;$D1169&amp;"|"&amp;$E1169)&gt;1),"⚠ Doublon",IF(AND($E1169&lt;&gt;"",COUNTIF(D_KEY_STATUT,$B1169&amp;"|"&amp;$E1169&amp;"|P")&gt;0,COUNTIF(D_KEY_STATUT,$B1169&amp;"|"&amp;$E1169&amp;"|A")&gt;0),"⚠ Statut incohérent",IF(AND($D1169="S1",$Y1169&lt;&gt;"Parti",COUNTIF(ANNEES_VERROU,$B1169)&gt;0,COUNTIF(D_KEY_NIVSES,$B1169&amp;"|"&amp;$C1169&amp;"|S2")&gt;0,COUNTIF(D_KEY_DOUBLON,$B1169&amp;"|S2|"&amp;$E1169)=0),"⚠ Départ non confirmé ?",IF(AND($C1169&lt;&gt;"",ISNUMBER($I1169),OR(VALUE(LEFT($B1169,4))-$I1169&lt;4+IFERROR(MATCH($C1169,LISTE_NIVEAUX,0),99),VALUE(LEFT($B1169,4))-$I1169&gt;6+IFERROR(MATCH($C1169,LISTE_NIVEAUX,0),99))),"⚠ Vérifier niveau",IF(AND(IFERROR(VLOOKUP($C1169,TABLE_CYCLE,2,0),3)=2,COUNT($O1169:$Q1169)&gt;0),"⚠ Tests cycle 3",IF(COUNT($J1169:$Q1169)&gt;=IF(IFERROR(VLOOKUP($C1169,TABLE_CYCLE,2,0),3)=2,5,8),"Complet","Incomplet"))))))))</f>
        <v/>
      </c>
      <c r="S1169" s="24"/>
      <c r="T1169" s="67" t="str">
        <f t="shared" si="163"/>
        <v/>
      </c>
      <c r="U1169" s="67" t="str">
        <f t="shared" si="164"/>
        <v/>
      </c>
      <c r="V1169" s="67" t="str">
        <f t="shared" si="165"/>
        <v/>
      </c>
      <c r="W1169" s="67" t="str">
        <f t="shared" si="166"/>
        <v/>
      </c>
      <c r="X1169" s="67" t="str">
        <f t="shared" si="167"/>
        <v/>
      </c>
      <c r="Y1169" s="24" t="str">
        <f t="shared" si="168"/>
        <v/>
      </c>
      <c r="Z1169">
        <f t="shared" si="169"/>
        <v>0</v>
      </c>
      <c r="AA1169">
        <f t="shared" si="170"/>
        <v>0</v>
      </c>
    </row>
    <row r="1170" spans="2:27" ht="15.75" customHeight="1" x14ac:dyDescent="0.3">
      <c r="B1170" s="25"/>
      <c r="C1170" s="25"/>
      <c r="D1170" s="25"/>
      <c r="E1170" s="26" t="str">
        <f t="shared" si="162"/>
        <v/>
      </c>
      <c r="F1170" s="25"/>
      <c r="G1170" s="25"/>
      <c r="H1170" s="25"/>
      <c r="I1170" s="25"/>
      <c r="J1170" s="25"/>
      <c r="K1170" s="25"/>
      <c r="L1170" s="25"/>
      <c r="M1170" s="25"/>
      <c r="N1170" s="25"/>
      <c r="O1170" s="25"/>
      <c r="P1170" s="25"/>
      <c r="Q1170" s="25"/>
      <c r="R1170" s="23" t="str">
        <f>IF($F1170="","",IF(OR($B1170="",$C1170="",$D1170=""),"⚠ Compléter Année/Niveau/Session",IF(AND($E1170&lt;&gt;"",COUNTIF(D_KEY_DOUBLON,$B1170&amp;"|"&amp;$D1170&amp;"|"&amp;$E1170)&gt;1),"⚠ Doublon",IF(AND($E1170&lt;&gt;"",COUNTIF(D_KEY_STATUT,$B1170&amp;"|"&amp;$E1170&amp;"|P")&gt;0,COUNTIF(D_KEY_STATUT,$B1170&amp;"|"&amp;$E1170&amp;"|A")&gt;0),"⚠ Statut incohérent",IF(AND($D1170="S1",$Y1170&lt;&gt;"Parti",COUNTIF(ANNEES_VERROU,$B1170)&gt;0,COUNTIF(D_KEY_NIVSES,$B1170&amp;"|"&amp;$C1170&amp;"|S2")&gt;0,COUNTIF(D_KEY_DOUBLON,$B1170&amp;"|S2|"&amp;$E1170)=0),"⚠ Départ non confirmé ?",IF(AND($C1170&lt;&gt;"",ISNUMBER($I1170),OR(VALUE(LEFT($B1170,4))-$I1170&lt;4+IFERROR(MATCH($C1170,LISTE_NIVEAUX,0),99),VALUE(LEFT($B1170,4))-$I1170&gt;6+IFERROR(MATCH($C1170,LISTE_NIVEAUX,0),99))),"⚠ Vérifier niveau",IF(AND(IFERROR(VLOOKUP($C1170,TABLE_CYCLE,2,0),3)=2,COUNT($O1170:$Q1170)&gt;0),"⚠ Tests cycle 3",IF(COUNT($J1170:$Q1170)&gt;=IF(IFERROR(VLOOKUP($C1170,TABLE_CYCLE,2,0),3)=2,5,8),"Complet","Incomplet"))))))))</f>
        <v/>
      </c>
      <c r="S1170" s="24"/>
      <c r="T1170" s="67" t="str">
        <f t="shared" si="163"/>
        <v/>
      </c>
      <c r="U1170" s="67" t="str">
        <f t="shared" si="164"/>
        <v/>
      </c>
      <c r="V1170" s="67" t="str">
        <f t="shared" si="165"/>
        <v/>
      </c>
      <c r="W1170" s="67" t="str">
        <f t="shared" si="166"/>
        <v/>
      </c>
      <c r="X1170" s="67" t="str">
        <f t="shared" si="167"/>
        <v/>
      </c>
      <c r="Y1170" s="24" t="str">
        <f t="shared" si="168"/>
        <v/>
      </c>
      <c r="Z1170">
        <f t="shared" si="169"/>
        <v>0</v>
      </c>
      <c r="AA1170">
        <f t="shared" si="170"/>
        <v>0</v>
      </c>
    </row>
    <row r="1171" spans="2:27" ht="15.75" customHeight="1" x14ac:dyDescent="0.3">
      <c r="B1171" s="21"/>
      <c r="C1171" s="21"/>
      <c r="D1171" s="21"/>
      <c r="E1171" s="22" t="str">
        <f t="shared" si="162"/>
        <v/>
      </c>
      <c r="F1171" s="21"/>
      <c r="G1171" s="21"/>
      <c r="H1171" s="21"/>
      <c r="I1171" s="21"/>
      <c r="J1171" s="21"/>
      <c r="K1171" s="21"/>
      <c r="L1171" s="21"/>
      <c r="M1171" s="21"/>
      <c r="N1171" s="21"/>
      <c r="O1171" s="21"/>
      <c r="P1171" s="21"/>
      <c r="Q1171" s="21"/>
      <c r="R1171" s="23" t="str">
        <f>IF($F1171="","",IF(OR($B1171="",$C1171="",$D1171=""),"⚠ Compléter Année/Niveau/Session",IF(AND($E1171&lt;&gt;"",COUNTIF(D_KEY_DOUBLON,$B1171&amp;"|"&amp;$D1171&amp;"|"&amp;$E1171)&gt;1),"⚠ Doublon",IF(AND($E1171&lt;&gt;"",COUNTIF(D_KEY_STATUT,$B1171&amp;"|"&amp;$E1171&amp;"|P")&gt;0,COUNTIF(D_KEY_STATUT,$B1171&amp;"|"&amp;$E1171&amp;"|A")&gt;0),"⚠ Statut incohérent",IF(AND($D1171="S1",$Y1171&lt;&gt;"Parti",COUNTIF(ANNEES_VERROU,$B1171)&gt;0,COUNTIF(D_KEY_NIVSES,$B1171&amp;"|"&amp;$C1171&amp;"|S2")&gt;0,COUNTIF(D_KEY_DOUBLON,$B1171&amp;"|S2|"&amp;$E1171)=0),"⚠ Départ non confirmé ?",IF(AND($C1171&lt;&gt;"",ISNUMBER($I1171),OR(VALUE(LEFT($B1171,4))-$I1171&lt;4+IFERROR(MATCH($C1171,LISTE_NIVEAUX,0),99),VALUE(LEFT($B1171,4))-$I1171&gt;6+IFERROR(MATCH($C1171,LISTE_NIVEAUX,0),99))),"⚠ Vérifier niveau",IF(AND(IFERROR(VLOOKUP($C1171,TABLE_CYCLE,2,0),3)=2,COUNT($O1171:$Q1171)&gt;0),"⚠ Tests cycle 3",IF(COUNT($J1171:$Q1171)&gt;=IF(IFERROR(VLOOKUP($C1171,TABLE_CYCLE,2,0),3)=2,5,8),"Complet","Incomplet"))))))))</f>
        <v/>
      </c>
      <c r="S1171" s="24"/>
      <c r="T1171" s="67" t="str">
        <f t="shared" si="163"/>
        <v/>
      </c>
      <c r="U1171" s="67" t="str">
        <f t="shared" si="164"/>
        <v/>
      </c>
      <c r="V1171" s="67" t="str">
        <f t="shared" si="165"/>
        <v/>
      </c>
      <c r="W1171" s="67" t="str">
        <f t="shared" si="166"/>
        <v/>
      </c>
      <c r="X1171" s="67" t="str">
        <f t="shared" si="167"/>
        <v/>
      </c>
      <c r="Y1171" s="24" t="str">
        <f t="shared" si="168"/>
        <v/>
      </c>
      <c r="Z1171">
        <f t="shared" si="169"/>
        <v>0</v>
      </c>
      <c r="AA1171">
        <f t="shared" si="170"/>
        <v>0</v>
      </c>
    </row>
    <row r="1172" spans="2:27" ht="15.75" customHeight="1" x14ac:dyDescent="0.3">
      <c r="B1172" s="25"/>
      <c r="C1172" s="25"/>
      <c r="D1172" s="25"/>
      <c r="E1172" s="26" t="str">
        <f t="shared" si="162"/>
        <v/>
      </c>
      <c r="F1172" s="25"/>
      <c r="G1172" s="25"/>
      <c r="H1172" s="25"/>
      <c r="I1172" s="25"/>
      <c r="J1172" s="25"/>
      <c r="K1172" s="25"/>
      <c r="L1172" s="25"/>
      <c r="M1172" s="25"/>
      <c r="N1172" s="25"/>
      <c r="O1172" s="25"/>
      <c r="P1172" s="25"/>
      <c r="Q1172" s="25"/>
      <c r="R1172" s="23" t="str">
        <f>IF($F1172="","",IF(OR($B1172="",$C1172="",$D1172=""),"⚠ Compléter Année/Niveau/Session",IF(AND($E1172&lt;&gt;"",COUNTIF(D_KEY_DOUBLON,$B1172&amp;"|"&amp;$D1172&amp;"|"&amp;$E1172)&gt;1),"⚠ Doublon",IF(AND($E1172&lt;&gt;"",COUNTIF(D_KEY_STATUT,$B1172&amp;"|"&amp;$E1172&amp;"|P")&gt;0,COUNTIF(D_KEY_STATUT,$B1172&amp;"|"&amp;$E1172&amp;"|A")&gt;0),"⚠ Statut incohérent",IF(AND($D1172="S1",$Y1172&lt;&gt;"Parti",COUNTIF(ANNEES_VERROU,$B1172)&gt;0,COUNTIF(D_KEY_NIVSES,$B1172&amp;"|"&amp;$C1172&amp;"|S2")&gt;0,COUNTIF(D_KEY_DOUBLON,$B1172&amp;"|S2|"&amp;$E1172)=0),"⚠ Départ non confirmé ?",IF(AND($C1172&lt;&gt;"",ISNUMBER($I1172),OR(VALUE(LEFT($B1172,4))-$I1172&lt;4+IFERROR(MATCH($C1172,LISTE_NIVEAUX,0),99),VALUE(LEFT($B1172,4))-$I1172&gt;6+IFERROR(MATCH($C1172,LISTE_NIVEAUX,0),99))),"⚠ Vérifier niveau",IF(AND(IFERROR(VLOOKUP($C1172,TABLE_CYCLE,2,0),3)=2,COUNT($O1172:$Q1172)&gt;0),"⚠ Tests cycle 3",IF(COUNT($J1172:$Q1172)&gt;=IF(IFERROR(VLOOKUP($C1172,TABLE_CYCLE,2,0),3)=2,5,8),"Complet","Incomplet"))))))))</f>
        <v/>
      </c>
      <c r="S1172" s="24"/>
      <c r="T1172" s="67" t="str">
        <f t="shared" si="163"/>
        <v/>
      </c>
      <c r="U1172" s="67" t="str">
        <f t="shared" si="164"/>
        <v/>
      </c>
      <c r="V1172" s="67" t="str">
        <f t="shared" si="165"/>
        <v/>
      </c>
      <c r="W1172" s="67" t="str">
        <f t="shared" si="166"/>
        <v/>
      </c>
      <c r="X1172" s="67" t="str">
        <f t="shared" si="167"/>
        <v/>
      </c>
      <c r="Y1172" s="24" t="str">
        <f t="shared" si="168"/>
        <v/>
      </c>
      <c r="Z1172">
        <f t="shared" si="169"/>
        <v>0</v>
      </c>
      <c r="AA1172">
        <f t="shared" si="170"/>
        <v>0</v>
      </c>
    </row>
    <row r="1173" spans="2:27" ht="15.75" customHeight="1" x14ac:dyDescent="0.3">
      <c r="B1173" s="21"/>
      <c r="C1173" s="21"/>
      <c r="D1173" s="21"/>
      <c r="E1173" s="22" t="str">
        <f t="shared" si="162"/>
        <v/>
      </c>
      <c r="F1173" s="21"/>
      <c r="G1173" s="21"/>
      <c r="H1173" s="21"/>
      <c r="I1173" s="21"/>
      <c r="J1173" s="21"/>
      <c r="K1173" s="21"/>
      <c r="L1173" s="21"/>
      <c r="M1173" s="21"/>
      <c r="N1173" s="21"/>
      <c r="O1173" s="21"/>
      <c r="P1173" s="21"/>
      <c r="Q1173" s="21"/>
      <c r="R1173" s="23" t="str">
        <f>IF($F1173="","",IF(OR($B1173="",$C1173="",$D1173=""),"⚠ Compléter Année/Niveau/Session",IF(AND($E1173&lt;&gt;"",COUNTIF(D_KEY_DOUBLON,$B1173&amp;"|"&amp;$D1173&amp;"|"&amp;$E1173)&gt;1),"⚠ Doublon",IF(AND($E1173&lt;&gt;"",COUNTIF(D_KEY_STATUT,$B1173&amp;"|"&amp;$E1173&amp;"|P")&gt;0,COUNTIF(D_KEY_STATUT,$B1173&amp;"|"&amp;$E1173&amp;"|A")&gt;0),"⚠ Statut incohérent",IF(AND($D1173="S1",$Y1173&lt;&gt;"Parti",COUNTIF(ANNEES_VERROU,$B1173)&gt;0,COUNTIF(D_KEY_NIVSES,$B1173&amp;"|"&amp;$C1173&amp;"|S2")&gt;0,COUNTIF(D_KEY_DOUBLON,$B1173&amp;"|S2|"&amp;$E1173)=0),"⚠ Départ non confirmé ?",IF(AND($C1173&lt;&gt;"",ISNUMBER($I1173),OR(VALUE(LEFT($B1173,4))-$I1173&lt;4+IFERROR(MATCH($C1173,LISTE_NIVEAUX,0),99),VALUE(LEFT($B1173,4))-$I1173&gt;6+IFERROR(MATCH($C1173,LISTE_NIVEAUX,0),99))),"⚠ Vérifier niveau",IF(AND(IFERROR(VLOOKUP($C1173,TABLE_CYCLE,2,0),3)=2,COUNT($O1173:$Q1173)&gt;0),"⚠ Tests cycle 3",IF(COUNT($J1173:$Q1173)&gt;=IF(IFERROR(VLOOKUP($C1173,TABLE_CYCLE,2,0),3)=2,5,8),"Complet","Incomplet"))))))))</f>
        <v/>
      </c>
      <c r="S1173" s="24"/>
      <c r="T1173" s="67" t="str">
        <f t="shared" si="163"/>
        <v/>
      </c>
      <c r="U1173" s="67" t="str">
        <f t="shared" si="164"/>
        <v/>
      </c>
      <c r="V1173" s="67" t="str">
        <f t="shared" si="165"/>
        <v/>
      </c>
      <c r="W1173" s="67" t="str">
        <f t="shared" si="166"/>
        <v/>
      </c>
      <c r="X1173" s="67" t="str">
        <f t="shared" si="167"/>
        <v/>
      </c>
      <c r="Y1173" s="24" t="str">
        <f t="shared" si="168"/>
        <v/>
      </c>
      <c r="Z1173">
        <f t="shared" si="169"/>
        <v>0</v>
      </c>
      <c r="AA1173">
        <f t="shared" si="170"/>
        <v>0</v>
      </c>
    </row>
    <row r="1174" spans="2:27" ht="15.75" customHeight="1" x14ac:dyDescent="0.3">
      <c r="B1174" s="25"/>
      <c r="C1174" s="25"/>
      <c r="D1174" s="25"/>
      <c r="E1174" s="26" t="str">
        <f t="shared" si="162"/>
        <v/>
      </c>
      <c r="F1174" s="25"/>
      <c r="G1174" s="25"/>
      <c r="H1174" s="25"/>
      <c r="I1174" s="25"/>
      <c r="J1174" s="25"/>
      <c r="K1174" s="25"/>
      <c r="L1174" s="25"/>
      <c r="M1174" s="25"/>
      <c r="N1174" s="25"/>
      <c r="O1174" s="25"/>
      <c r="P1174" s="25"/>
      <c r="Q1174" s="25"/>
      <c r="R1174" s="23" t="str">
        <f>IF($F1174="","",IF(OR($B1174="",$C1174="",$D1174=""),"⚠ Compléter Année/Niveau/Session",IF(AND($E1174&lt;&gt;"",COUNTIF(D_KEY_DOUBLON,$B1174&amp;"|"&amp;$D1174&amp;"|"&amp;$E1174)&gt;1),"⚠ Doublon",IF(AND($E1174&lt;&gt;"",COUNTIF(D_KEY_STATUT,$B1174&amp;"|"&amp;$E1174&amp;"|P")&gt;0,COUNTIF(D_KEY_STATUT,$B1174&amp;"|"&amp;$E1174&amp;"|A")&gt;0),"⚠ Statut incohérent",IF(AND($D1174="S1",$Y1174&lt;&gt;"Parti",COUNTIF(ANNEES_VERROU,$B1174)&gt;0,COUNTIF(D_KEY_NIVSES,$B1174&amp;"|"&amp;$C1174&amp;"|S2")&gt;0,COUNTIF(D_KEY_DOUBLON,$B1174&amp;"|S2|"&amp;$E1174)=0),"⚠ Départ non confirmé ?",IF(AND($C1174&lt;&gt;"",ISNUMBER($I1174),OR(VALUE(LEFT($B1174,4))-$I1174&lt;4+IFERROR(MATCH($C1174,LISTE_NIVEAUX,0),99),VALUE(LEFT($B1174,4))-$I1174&gt;6+IFERROR(MATCH($C1174,LISTE_NIVEAUX,0),99))),"⚠ Vérifier niveau",IF(AND(IFERROR(VLOOKUP($C1174,TABLE_CYCLE,2,0),3)=2,COUNT($O1174:$Q1174)&gt;0),"⚠ Tests cycle 3",IF(COUNT($J1174:$Q1174)&gt;=IF(IFERROR(VLOOKUP($C1174,TABLE_CYCLE,2,0),3)=2,5,8),"Complet","Incomplet"))))))))</f>
        <v/>
      </c>
      <c r="S1174" s="24"/>
      <c r="T1174" s="67" t="str">
        <f t="shared" si="163"/>
        <v/>
      </c>
      <c r="U1174" s="67" t="str">
        <f t="shared" si="164"/>
        <v/>
      </c>
      <c r="V1174" s="67" t="str">
        <f t="shared" si="165"/>
        <v/>
      </c>
      <c r="W1174" s="67" t="str">
        <f t="shared" si="166"/>
        <v/>
      </c>
      <c r="X1174" s="67" t="str">
        <f t="shared" si="167"/>
        <v/>
      </c>
      <c r="Y1174" s="24" t="str">
        <f t="shared" si="168"/>
        <v/>
      </c>
      <c r="Z1174">
        <f t="shared" si="169"/>
        <v>0</v>
      </c>
      <c r="AA1174">
        <f t="shared" si="170"/>
        <v>0</v>
      </c>
    </row>
    <row r="1175" spans="2:27" ht="15.75" customHeight="1" x14ac:dyDescent="0.3">
      <c r="B1175" s="21"/>
      <c r="C1175" s="21"/>
      <c r="D1175" s="21"/>
      <c r="E1175" s="22" t="str">
        <f t="shared" si="162"/>
        <v/>
      </c>
      <c r="F1175" s="21"/>
      <c r="G1175" s="21"/>
      <c r="H1175" s="21"/>
      <c r="I1175" s="21"/>
      <c r="J1175" s="21"/>
      <c r="K1175" s="21"/>
      <c r="L1175" s="21"/>
      <c r="M1175" s="21"/>
      <c r="N1175" s="21"/>
      <c r="O1175" s="21"/>
      <c r="P1175" s="21"/>
      <c r="Q1175" s="21"/>
      <c r="R1175" s="23" t="str">
        <f>IF($F1175="","",IF(OR($B1175="",$C1175="",$D1175=""),"⚠ Compléter Année/Niveau/Session",IF(AND($E1175&lt;&gt;"",COUNTIF(D_KEY_DOUBLON,$B1175&amp;"|"&amp;$D1175&amp;"|"&amp;$E1175)&gt;1),"⚠ Doublon",IF(AND($E1175&lt;&gt;"",COUNTIF(D_KEY_STATUT,$B1175&amp;"|"&amp;$E1175&amp;"|P")&gt;0,COUNTIF(D_KEY_STATUT,$B1175&amp;"|"&amp;$E1175&amp;"|A")&gt;0),"⚠ Statut incohérent",IF(AND($D1175="S1",$Y1175&lt;&gt;"Parti",COUNTIF(ANNEES_VERROU,$B1175)&gt;0,COUNTIF(D_KEY_NIVSES,$B1175&amp;"|"&amp;$C1175&amp;"|S2")&gt;0,COUNTIF(D_KEY_DOUBLON,$B1175&amp;"|S2|"&amp;$E1175)=0),"⚠ Départ non confirmé ?",IF(AND($C1175&lt;&gt;"",ISNUMBER($I1175),OR(VALUE(LEFT($B1175,4))-$I1175&lt;4+IFERROR(MATCH($C1175,LISTE_NIVEAUX,0),99),VALUE(LEFT($B1175,4))-$I1175&gt;6+IFERROR(MATCH($C1175,LISTE_NIVEAUX,0),99))),"⚠ Vérifier niveau",IF(AND(IFERROR(VLOOKUP($C1175,TABLE_CYCLE,2,0),3)=2,COUNT($O1175:$Q1175)&gt;0),"⚠ Tests cycle 3",IF(COUNT($J1175:$Q1175)&gt;=IF(IFERROR(VLOOKUP($C1175,TABLE_CYCLE,2,0),3)=2,5,8),"Complet","Incomplet"))))))))</f>
        <v/>
      </c>
      <c r="S1175" s="24"/>
      <c r="T1175" s="67" t="str">
        <f t="shared" si="163"/>
        <v/>
      </c>
      <c r="U1175" s="67" t="str">
        <f t="shared" si="164"/>
        <v/>
      </c>
      <c r="V1175" s="67" t="str">
        <f t="shared" si="165"/>
        <v/>
      </c>
      <c r="W1175" s="67" t="str">
        <f t="shared" si="166"/>
        <v/>
      </c>
      <c r="X1175" s="67" t="str">
        <f t="shared" si="167"/>
        <v/>
      </c>
      <c r="Y1175" s="24" t="str">
        <f t="shared" si="168"/>
        <v/>
      </c>
      <c r="Z1175">
        <f t="shared" si="169"/>
        <v>0</v>
      </c>
      <c r="AA1175">
        <f t="shared" si="170"/>
        <v>0</v>
      </c>
    </row>
    <row r="1176" spans="2:27" ht="15.75" customHeight="1" x14ac:dyDescent="0.3">
      <c r="B1176" s="25"/>
      <c r="C1176" s="25"/>
      <c r="D1176" s="25"/>
      <c r="E1176" s="26" t="str">
        <f t="shared" si="162"/>
        <v/>
      </c>
      <c r="F1176" s="25"/>
      <c r="G1176" s="25"/>
      <c r="H1176" s="25"/>
      <c r="I1176" s="25"/>
      <c r="J1176" s="25"/>
      <c r="K1176" s="25"/>
      <c r="L1176" s="25"/>
      <c r="M1176" s="25"/>
      <c r="N1176" s="25"/>
      <c r="O1176" s="25"/>
      <c r="P1176" s="25"/>
      <c r="Q1176" s="25"/>
      <c r="R1176" s="23" t="str">
        <f>IF($F1176="","",IF(OR($B1176="",$C1176="",$D1176=""),"⚠ Compléter Année/Niveau/Session",IF(AND($E1176&lt;&gt;"",COUNTIF(D_KEY_DOUBLON,$B1176&amp;"|"&amp;$D1176&amp;"|"&amp;$E1176)&gt;1),"⚠ Doublon",IF(AND($E1176&lt;&gt;"",COUNTIF(D_KEY_STATUT,$B1176&amp;"|"&amp;$E1176&amp;"|P")&gt;0,COUNTIF(D_KEY_STATUT,$B1176&amp;"|"&amp;$E1176&amp;"|A")&gt;0),"⚠ Statut incohérent",IF(AND($D1176="S1",$Y1176&lt;&gt;"Parti",COUNTIF(ANNEES_VERROU,$B1176)&gt;0,COUNTIF(D_KEY_NIVSES,$B1176&amp;"|"&amp;$C1176&amp;"|S2")&gt;0,COUNTIF(D_KEY_DOUBLON,$B1176&amp;"|S2|"&amp;$E1176)=0),"⚠ Départ non confirmé ?",IF(AND($C1176&lt;&gt;"",ISNUMBER($I1176),OR(VALUE(LEFT($B1176,4))-$I1176&lt;4+IFERROR(MATCH($C1176,LISTE_NIVEAUX,0),99),VALUE(LEFT($B1176,4))-$I1176&gt;6+IFERROR(MATCH($C1176,LISTE_NIVEAUX,0),99))),"⚠ Vérifier niveau",IF(AND(IFERROR(VLOOKUP($C1176,TABLE_CYCLE,2,0),3)=2,COUNT($O1176:$Q1176)&gt;0),"⚠ Tests cycle 3",IF(COUNT($J1176:$Q1176)&gt;=IF(IFERROR(VLOOKUP($C1176,TABLE_CYCLE,2,0),3)=2,5,8),"Complet","Incomplet"))))))))</f>
        <v/>
      </c>
      <c r="S1176" s="24"/>
      <c r="T1176" s="67" t="str">
        <f t="shared" si="163"/>
        <v/>
      </c>
      <c r="U1176" s="67" t="str">
        <f t="shared" si="164"/>
        <v/>
      </c>
      <c r="V1176" s="67" t="str">
        <f t="shared" si="165"/>
        <v/>
      </c>
      <c r="W1176" s="67" t="str">
        <f t="shared" si="166"/>
        <v/>
      </c>
      <c r="X1176" s="67" t="str">
        <f t="shared" si="167"/>
        <v/>
      </c>
      <c r="Y1176" s="24" t="str">
        <f t="shared" si="168"/>
        <v/>
      </c>
      <c r="Z1176">
        <f t="shared" si="169"/>
        <v>0</v>
      </c>
      <c r="AA1176">
        <f t="shared" si="170"/>
        <v>0</v>
      </c>
    </row>
    <row r="1177" spans="2:27" ht="15.75" customHeight="1" x14ac:dyDescent="0.3">
      <c r="B1177" s="21"/>
      <c r="C1177" s="21"/>
      <c r="D1177" s="21"/>
      <c r="E1177" s="22" t="str">
        <f t="shared" si="162"/>
        <v/>
      </c>
      <c r="F1177" s="21"/>
      <c r="G1177" s="21"/>
      <c r="H1177" s="21"/>
      <c r="I1177" s="21"/>
      <c r="J1177" s="21"/>
      <c r="K1177" s="21"/>
      <c r="L1177" s="21"/>
      <c r="M1177" s="21"/>
      <c r="N1177" s="21"/>
      <c r="O1177" s="21"/>
      <c r="P1177" s="21"/>
      <c r="Q1177" s="21"/>
      <c r="R1177" s="23" t="str">
        <f>IF($F1177="","",IF(OR($B1177="",$C1177="",$D1177=""),"⚠ Compléter Année/Niveau/Session",IF(AND($E1177&lt;&gt;"",COUNTIF(D_KEY_DOUBLON,$B1177&amp;"|"&amp;$D1177&amp;"|"&amp;$E1177)&gt;1),"⚠ Doublon",IF(AND($E1177&lt;&gt;"",COUNTIF(D_KEY_STATUT,$B1177&amp;"|"&amp;$E1177&amp;"|P")&gt;0,COUNTIF(D_KEY_STATUT,$B1177&amp;"|"&amp;$E1177&amp;"|A")&gt;0),"⚠ Statut incohérent",IF(AND($D1177="S1",$Y1177&lt;&gt;"Parti",COUNTIF(ANNEES_VERROU,$B1177)&gt;0,COUNTIF(D_KEY_NIVSES,$B1177&amp;"|"&amp;$C1177&amp;"|S2")&gt;0,COUNTIF(D_KEY_DOUBLON,$B1177&amp;"|S2|"&amp;$E1177)=0),"⚠ Départ non confirmé ?",IF(AND($C1177&lt;&gt;"",ISNUMBER($I1177),OR(VALUE(LEFT($B1177,4))-$I1177&lt;4+IFERROR(MATCH($C1177,LISTE_NIVEAUX,0),99),VALUE(LEFT($B1177,4))-$I1177&gt;6+IFERROR(MATCH($C1177,LISTE_NIVEAUX,0),99))),"⚠ Vérifier niveau",IF(AND(IFERROR(VLOOKUP($C1177,TABLE_CYCLE,2,0),3)=2,COUNT($O1177:$Q1177)&gt;0),"⚠ Tests cycle 3",IF(COUNT($J1177:$Q1177)&gt;=IF(IFERROR(VLOOKUP($C1177,TABLE_CYCLE,2,0),3)=2,5,8),"Complet","Incomplet"))))))))</f>
        <v/>
      </c>
      <c r="S1177" s="24"/>
      <c r="T1177" s="67" t="str">
        <f t="shared" si="163"/>
        <v/>
      </c>
      <c r="U1177" s="67" t="str">
        <f t="shared" si="164"/>
        <v/>
      </c>
      <c r="V1177" s="67" t="str">
        <f t="shared" si="165"/>
        <v/>
      </c>
      <c r="W1177" s="67" t="str">
        <f t="shared" si="166"/>
        <v/>
      </c>
      <c r="X1177" s="67" t="str">
        <f t="shared" si="167"/>
        <v/>
      </c>
      <c r="Y1177" s="24" t="str">
        <f t="shared" si="168"/>
        <v/>
      </c>
      <c r="Z1177">
        <f t="shared" si="169"/>
        <v>0</v>
      </c>
      <c r="AA1177">
        <f t="shared" si="170"/>
        <v>0</v>
      </c>
    </row>
    <row r="1178" spans="2:27" ht="15.75" customHeight="1" x14ac:dyDescent="0.3">
      <c r="B1178" s="25"/>
      <c r="C1178" s="25"/>
      <c r="D1178" s="25"/>
      <c r="E1178" s="26" t="str">
        <f t="shared" si="162"/>
        <v/>
      </c>
      <c r="F1178" s="25"/>
      <c r="G1178" s="25"/>
      <c r="H1178" s="25"/>
      <c r="I1178" s="25"/>
      <c r="J1178" s="25"/>
      <c r="K1178" s="25"/>
      <c r="L1178" s="25"/>
      <c r="M1178" s="25"/>
      <c r="N1178" s="25"/>
      <c r="O1178" s="25"/>
      <c r="P1178" s="25"/>
      <c r="Q1178" s="25"/>
      <c r="R1178" s="23" t="str">
        <f>IF($F1178="","",IF(OR($B1178="",$C1178="",$D1178=""),"⚠ Compléter Année/Niveau/Session",IF(AND($E1178&lt;&gt;"",COUNTIF(D_KEY_DOUBLON,$B1178&amp;"|"&amp;$D1178&amp;"|"&amp;$E1178)&gt;1),"⚠ Doublon",IF(AND($E1178&lt;&gt;"",COUNTIF(D_KEY_STATUT,$B1178&amp;"|"&amp;$E1178&amp;"|P")&gt;0,COUNTIF(D_KEY_STATUT,$B1178&amp;"|"&amp;$E1178&amp;"|A")&gt;0),"⚠ Statut incohérent",IF(AND($D1178="S1",$Y1178&lt;&gt;"Parti",COUNTIF(ANNEES_VERROU,$B1178)&gt;0,COUNTIF(D_KEY_NIVSES,$B1178&amp;"|"&amp;$C1178&amp;"|S2")&gt;0,COUNTIF(D_KEY_DOUBLON,$B1178&amp;"|S2|"&amp;$E1178)=0),"⚠ Départ non confirmé ?",IF(AND($C1178&lt;&gt;"",ISNUMBER($I1178),OR(VALUE(LEFT($B1178,4))-$I1178&lt;4+IFERROR(MATCH($C1178,LISTE_NIVEAUX,0),99),VALUE(LEFT($B1178,4))-$I1178&gt;6+IFERROR(MATCH($C1178,LISTE_NIVEAUX,0),99))),"⚠ Vérifier niveau",IF(AND(IFERROR(VLOOKUP($C1178,TABLE_CYCLE,2,0),3)=2,COUNT($O1178:$Q1178)&gt;0),"⚠ Tests cycle 3",IF(COUNT($J1178:$Q1178)&gt;=IF(IFERROR(VLOOKUP($C1178,TABLE_CYCLE,2,0),3)=2,5,8),"Complet","Incomplet"))))))))</f>
        <v/>
      </c>
      <c r="S1178" s="24"/>
      <c r="T1178" s="67" t="str">
        <f t="shared" si="163"/>
        <v/>
      </c>
      <c r="U1178" s="67" t="str">
        <f t="shared" si="164"/>
        <v/>
      </c>
      <c r="V1178" s="67" t="str">
        <f t="shared" si="165"/>
        <v/>
      </c>
      <c r="W1178" s="67" t="str">
        <f t="shared" si="166"/>
        <v/>
      </c>
      <c r="X1178" s="67" t="str">
        <f t="shared" si="167"/>
        <v/>
      </c>
      <c r="Y1178" s="24" t="str">
        <f t="shared" si="168"/>
        <v/>
      </c>
      <c r="Z1178">
        <f t="shared" si="169"/>
        <v>0</v>
      </c>
      <c r="AA1178">
        <f t="shared" si="170"/>
        <v>0</v>
      </c>
    </row>
    <row r="1179" spans="2:27" ht="15.75" customHeight="1" x14ac:dyDescent="0.3">
      <c r="B1179" s="21"/>
      <c r="C1179" s="21"/>
      <c r="D1179" s="21"/>
      <c r="E1179" s="22" t="str">
        <f t="shared" si="162"/>
        <v/>
      </c>
      <c r="F1179" s="21"/>
      <c r="G1179" s="21"/>
      <c r="H1179" s="21"/>
      <c r="I1179" s="21"/>
      <c r="J1179" s="21"/>
      <c r="K1179" s="21"/>
      <c r="L1179" s="21"/>
      <c r="M1179" s="21"/>
      <c r="N1179" s="21"/>
      <c r="O1179" s="21"/>
      <c r="P1179" s="21"/>
      <c r="Q1179" s="21"/>
      <c r="R1179" s="23" t="str">
        <f>IF($F1179="","",IF(OR($B1179="",$C1179="",$D1179=""),"⚠ Compléter Année/Niveau/Session",IF(AND($E1179&lt;&gt;"",COUNTIF(D_KEY_DOUBLON,$B1179&amp;"|"&amp;$D1179&amp;"|"&amp;$E1179)&gt;1),"⚠ Doublon",IF(AND($E1179&lt;&gt;"",COUNTIF(D_KEY_STATUT,$B1179&amp;"|"&amp;$E1179&amp;"|P")&gt;0,COUNTIF(D_KEY_STATUT,$B1179&amp;"|"&amp;$E1179&amp;"|A")&gt;0),"⚠ Statut incohérent",IF(AND($D1179="S1",$Y1179&lt;&gt;"Parti",COUNTIF(ANNEES_VERROU,$B1179)&gt;0,COUNTIF(D_KEY_NIVSES,$B1179&amp;"|"&amp;$C1179&amp;"|S2")&gt;0,COUNTIF(D_KEY_DOUBLON,$B1179&amp;"|S2|"&amp;$E1179)=0),"⚠ Départ non confirmé ?",IF(AND($C1179&lt;&gt;"",ISNUMBER($I1179),OR(VALUE(LEFT($B1179,4))-$I1179&lt;4+IFERROR(MATCH($C1179,LISTE_NIVEAUX,0),99),VALUE(LEFT($B1179,4))-$I1179&gt;6+IFERROR(MATCH($C1179,LISTE_NIVEAUX,0),99))),"⚠ Vérifier niveau",IF(AND(IFERROR(VLOOKUP($C1179,TABLE_CYCLE,2,0),3)=2,COUNT($O1179:$Q1179)&gt;0),"⚠ Tests cycle 3",IF(COUNT($J1179:$Q1179)&gt;=IF(IFERROR(VLOOKUP($C1179,TABLE_CYCLE,2,0),3)=2,5,8),"Complet","Incomplet"))))))))</f>
        <v/>
      </c>
      <c r="S1179" s="24"/>
      <c r="T1179" s="67" t="str">
        <f t="shared" si="163"/>
        <v/>
      </c>
      <c r="U1179" s="67" t="str">
        <f t="shared" si="164"/>
        <v/>
      </c>
      <c r="V1179" s="67" t="str">
        <f t="shared" si="165"/>
        <v/>
      </c>
      <c r="W1179" s="67" t="str">
        <f t="shared" si="166"/>
        <v/>
      </c>
      <c r="X1179" s="67" t="str">
        <f t="shared" si="167"/>
        <v/>
      </c>
      <c r="Y1179" s="24" t="str">
        <f t="shared" si="168"/>
        <v/>
      </c>
      <c r="Z1179">
        <f t="shared" si="169"/>
        <v>0</v>
      </c>
      <c r="AA1179">
        <f t="shared" si="170"/>
        <v>0</v>
      </c>
    </row>
    <row r="1180" spans="2:27" ht="15.75" customHeight="1" x14ac:dyDescent="0.3">
      <c r="B1180" s="25"/>
      <c r="C1180" s="25"/>
      <c r="D1180" s="25"/>
      <c r="E1180" s="26" t="str">
        <f t="shared" si="162"/>
        <v/>
      </c>
      <c r="F1180" s="25"/>
      <c r="G1180" s="25"/>
      <c r="H1180" s="25"/>
      <c r="I1180" s="25"/>
      <c r="J1180" s="25"/>
      <c r="K1180" s="25"/>
      <c r="L1180" s="25"/>
      <c r="M1180" s="25"/>
      <c r="N1180" s="25"/>
      <c r="O1180" s="25"/>
      <c r="P1180" s="25"/>
      <c r="Q1180" s="25"/>
      <c r="R1180" s="23" t="str">
        <f>IF($F1180="","",IF(OR($B1180="",$C1180="",$D1180=""),"⚠ Compléter Année/Niveau/Session",IF(AND($E1180&lt;&gt;"",COUNTIF(D_KEY_DOUBLON,$B1180&amp;"|"&amp;$D1180&amp;"|"&amp;$E1180)&gt;1),"⚠ Doublon",IF(AND($E1180&lt;&gt;"",COUNTIF(D_KEY_STATUT,$B1180&amp;"|"&amp;$E1180&amp;"|P")&gt;0,COUNTIF(D_KEY_STATUT,$B1180&amp;"|"&amp;$E1180&amp;"|A")&gt;0),"⚠ Statut incohérent",IF(AND($D1180="S1",$Y1180&lt;&gt;"Parti",COUNTIF(ANNEES_VERROU,$B1180)&gt;0,COUNTIF(D_KEY_NIVSES,$B1180&amp;"|"&amp;$C1180&amp;"|S2")&gt;0,COUNTIF(D_KEY_DOUBLON,$B1180&amp;"|S2|"&amp;$E1180)=0),"⚠ Départ non confirmé ?",IF(AND($C1180&lt;&gt;"",ISNUMBER($I1180),OR(VALUE(LEFT($B1180,4))-$I1180&lt;4+IFERROR(MATCH($C1180,LISTE_NIVEAUX,0),99),VALUE(LEFT($B1180,4))-$I1180&gt;6+IFERROR(MATCH($C1180,LISTE_NIVEAUX,0),99))),"⚠ Vérifier niveau",IF(AND(IFERROR(VLOOKUP($C1180,TABLE_CYCLE,2,0),3)=2,COUNT($O1180:$Q1180)&gt;0),"⚠ Tests cycle 3",IF(COUNT($J1180:$Q1180)&gt;=IF(IFERROR(VLOOKUP($C1180,TABLE_CYCLE,2,0),3)=2,5,8),"Complet","Incomplet"))))))))</f>
        <v/>
      </c>
      <c r="S1180" s="24"/>
      <c r="T1180" s="67" t="str">
        <f t="shared" si="163"/>
        <v/>
      </c>
      <c r="U1180" s="67" t="str">
        <f t="shared" si="164"/>
        <v/>
      </c>
      <c r="V1180" s="67" t="str">
        <f t="shared" si="165"/>
        <v/>
      </c>
      <c r="W1180" s="67" t="str">
        <f t="shared" si="166"/>
        <v/>
      </c>
      <c r="X1180" s="67" t="str">
        <f t="shared" si="167"/>
        <v/>
      </c>
      <c r="Y1180" s="24" t="str">
        <f t="shared" si="168"/>
        <v/>
      </c>
      <c r="Z1180">
        <f t="shared" si="169"/>
        <v>0</v>
      </c>
      <c r="AA1180">
        <f t="shared" si="170"/>
        <v>0</v>
      </c>
    </row>
    <row r="1181" spans="2:27" ht="15.75" customHeight="1" x14ac:dyDescent="0.3">
      <c r="B1181" s="21"/>
      <c r="C1181" s="21"/>
      <c r="D1181" s="21"/>
      <c r="E1181" s="22" t="str">
        <f t="shared" si="162"/>
        <v/>
      </c>
      <c r="F1181" s="21"/>
      <c r="G1181" s="21"/>
      <c r="H1181" s="21"/>
      <c r="I1181" s="21"/>
      <c r="J1181" s="21"/>
      <c r="K1181" s="21"/>
      <c r="L1181" s="21"/>
      <c r="M1181" s="21"/>
      <c r="N1181" s="21"/>
      <c r="O1181" s="21"/>
      <c r="P1181" s="21"/>
      <c r="Q1181" s="21"/>
      <c r="R1181" s="23" t="str">
        <f>IF($F1181="","",IF(OR($B1181="",$C1181="",$D1181=""),"⚠ Compléter Année/Niveau/Session",IF(AND($E1181&lt;&gt;"",COUNTIF(D_KEY_DOUBLON,$B1181&amp;"|"&amp;$D1181&amp;"|"&amp;$E1181)&gt;1),"⚠ Doublon",IF(AND($E1181&lt;&gt;"",COUNTIF(D_KEY_STATUT,$B1181&amp;"|"&amp;$E1181&amp;"|P")&gt;0,COUNTIF(D_KEY_STATUT,$B1181&amp;"|"&amp;$E1181&amp;"|A")&gt;0),"⚠ Statut incohérent",IF(AND($D1181="S1",$Y1181&lt;&gt;"Parti",COUNTIF(ANNEES_VERROU,$B1181)&gt;0,COUNTIF(D_KEY_NIVSES,$B1181&amp;"|"&amp;$C1181&amp;"|S2")&gt;0,COUNTIF(D_KEY_DOUBLON,$B1181&amp;"|S2|"&amp;$E1181)=0),"⚠ Départ non confirmé ?",IF(AND($C1181&lt;&gt;"",ISNUMBER($I1181),OR(VALUE(LEFT($B1181,4))-$I1181&lt;4+IFERROR(MATCH($C1181,LISTE_NIVEAUX,0),99),VALUE(LEFT($B1181,4))-$I1181&gt;6+IFERROR(MATCH($C1181,LISTE_NIVEAUX,0),99))),"⚠ Vérifier niveau",IF(AND(IFERROR(VLOOKUP($C1181,TABLE_CYCLE,2,0),3)=2,COUNT($O1181:$Q1181)&gt;0),"⚠ Tests cycle 3",IF(COUNT($J1181:$Q1181)&gt;=IF(IFERROR(VLOOKUP($C1181,TABLE_CYCLE,2,0),3)=2,5,8),"Complet","Incomplet"))))))))</f>
        <v/>
      </c>
      <c r="S1181" s="24"/>
      <c r="T1181" s="67" t="str">
        <f t="shared" si="163"/>
        <v/>
      </c>
      <c r="U1181" s="67" t="str">
        <f t="shared" si="164"/>
        <v/>
      </c>
      <c r="V1181" s="67" t="str">
        <f t="shared" si="165"/>
        <v/>
      </c>
      <c r="W1181" s="67" t="str">
        <f t="shared" si="166"/>
        <v/>
      </c>
      <c r="X1181" s="67" t="str">
        <f t="shared" si="167"/>
        <v/>
      </c>
      <c r="Y1181" s="24" t="str">
        <f t="shared" si="168"/>
        <v/>
      </c>
      <c r="Z1181">
        <f t="shared" si="169"/>
        <v>0</v>
      </c>
      <c r="AA1181">
        <f t="shared" si="170"/>
        <v>0</v>
      </c>
    </row>
    <row r="1182" spans="2:27" ht="15.75" customHeight="1" x14ac:dyDescent="0.3">
      <c r="B1182" s="25"/>
      <c r="C1182" s="25"/>
      <c r="D1182" s="25"/>
      <c r="E1182" s="26" t="str">
        <f t="shared" si="162"/>
        <v/>
      </c>
      <c r="F1182" s="25"/>
      <c r="G1182" s="25"/>
      <c r="H1182" s="25"/>
      <c r="I1182" s="25"/>
      <c r="J1182" s="25"/>
      <c r="K1182" s="25"/>
      <c r="L1182" s="25"/>
      <c r="M1182" s="25"/>
      <c r="N1182" s="25"/>
      <c r="O1182" s="25"/>
      <c r="P1182" s="25"/>
      <c r="Q1182" s="25"/>
      <c r="R1182" s="23" t="str">
        <f>IF($F1182="","",IF(OR($B1182="",$C1182="",$D1182=""),"⚠ Compléter Année/Niveau/Session",IF(AND($E1182&lt;&gt;"",COUNTIF(D_KEY_DOUBLON,$B1182&amp;"|"&amp;$D1182&amp;"|"&amp;$E1182)&gt;1),"⚠ Doublon",IF(AND($E1182&lt;&gt;"",COUNTIF(D_KEY_STATUT,$B1182&amp;"|"&amp;$E1182&amp;"|P")&gt;0,COUNTIF(D_KEY_STATUT,$B1182&amp;"|"&amp;$E1182&amp;"|A")&gt;0),"⚠ Statut incohérent",IF(AND($D1182="S1",$Y1182&lt;&gt;"Parti",COUNTIF(ANNEES_VERROU,$B1182)&gt;0,COUNTIF(D_KEY_NIVSES,$B1182&amp;"|"&amp;$C1182&amp;"|S2")&gt;0,COUNTIF(D_KEY_DOUBLON,$B1182&amp;"|S2|"&amp;$E1182)=0),"⚠ Départ non confirmé ?",IF(AND($C1182&lt;&gt;"",ISNUMBER($I1182),OR(VALUE(LEFT($B1182,4))-$I1182&lt;4+IFERROR(MATCH($C1182,LISTE_NIVEAUX,0),99),VALUE(LEFT($B1182,4))-$I1182&gt;6+IFERROR(MATCH($C1182,LISTE_NIVEAUX,0),99))),"⚠ Vérifier niveau",IF(AND(IFERROR(VLOOKUP($C1182,TABLE_CYCLE,2,0),3)=2,COUNT($O1182:$Q1182)&gt;0),"⚠ Tests cycle 3",IF(COUNT($J1182:$Q1182)&gt;=IF(IFERROR(VLOOKUP($C1182,TABLE_CYCLE,2,0),3)=2,5,8),"Complet","Incomplet"))))))))</f>
        <v/>
      </c>
      <c r="S1182" s="24"/>
      <c r="T1182" s="67" t="str">
        <f t="shared" si="163"/>
        <v/>
      </c>
      <c r="U1182" s="67" t="str">
        <f t="shared" si="164"/>
        <v/>
      </c>
      <c r="V1182" s="67" t="str">
        <f t="shared" si="165"/>
        <v/>
      </c>
      <c r="W1182" s="67" t="str">
        <f t="shared" si="166"/>
        <v/>
      </c>
      <c r="X1182" s="67" t="str">
        <f t="shared" si="167"/>
        <v/>
      </c>
      <c r="Y1182" s="24" t="str">
        <f t="shared" si="168"/>
        <v/>
      </c>
      <c r="Z1182">
        <f t="shared" si="169"/>
        <v>0</v>
      </c>
      <c r="AA1182">
        <f t="shared" si="170"/>
        <v>0</v>
      </c>
    </row>
    <row r="1183" spans="2:27" ht="15.75" customHeight="1" x14ac:dyDescent="0.3">
      <c r="B1183" s="21"/>
      <c r="C1183" s="21"/>
      <c r="D1183" s="21"/>
      <c r="E1183" s="22" t="str">
        <f t="shared" si="162"/>
        <v/>
      </c>
      <c r="F1183" s="21"/>
      <c r="G1183" s="21"/>
      <c r="H1183" s="21"/>
      <c r="I1183" s="21"/>
      <c r="J1183" s="21"/>
      <c r="K1183" s="21"/>
      <c r="L1183" s="21"/>
      <c r="M1183" s="21"/>
      <c r="N1183" s="21"/>
      <c r="O1183" s="21"/>
      <c r="P1183" s="21"/>
      <c r="Q1183" s="21"/>
      <c r="R1183" s="23" t="str">
        <f>IF($F1183="","",IF(OR($B1183="",$C1183="",$D1183=""),"⚠ Compléter Année/Niveau/Session",IF(AND($E1183&lt;&gt;"",COUNTIF(D_KEY_DOUBLON,$B1183&amp;"|"&amp;$D1183&amp;"|"&amp;$E1183)&gt;1),"⚠ Doublon",IF(AND($E1183&lt;&gt;"",COUNTIF(D_KEY_STATUT,$B1183&amp;"|"&amp;$E1183&amp;"|P")&gt;0,COUNTIF(D_KEY_STATUT,$B1183&amp;"|"&amp;$E1183&amp;"|A")&gt;0),"⚠ Statut incohérent",IF(AND($D1183="S1",$Y1183&lt;&gt;"Parti",COUNTIF(ANNEES_VERROU,$B1183)&gt;0,COUNTIF(D_KEY_NIVSES,$B1183&amp;"|"&amp;$C1183&amp;"|S2")&gt;0,COUNTIF(D_KEY_DOUBLON,$B1183&amp;"|S2|"&amp;$E1183)=0),"⚠ Départ non confirmé ?",IF(AND($C1183&lt;&gt;"",ISNUMBER($I1183),OR(VALUE(LEFT($B1183,4))-$I1183&lt;4+IFERROR(MATCH($C1183,LISTE_NIVEAUX,0),99),VALUE(LEFT($B1183,4))-$I1183&gt;6+IFERROR(MATCH($C1183,LISTE_NIVEAUX,0),99))),"⚠ Vérifier niveau",IF(AND(IFERROR(VLOOKUP($C1183,TABLE_CYCLE,2,0),3)=2,COUNT($O1183:$Q1183)&gt;0),"⚠ Tests cycle 3",IF(COUNT($J1183:$Q1183)&gt;=IF(IFERROR(VLOOKUP($C1183,TABLE_CYCLE,2,0),3)=2,5,8),"Complet","Incomplet"))))))))</f>
        <v/>
      </c>
      <c r="S1183" s="24"/>
      <c r="T1183" s="67" t="str">
        <f t="shared" si="163"/>
        <v/>
      </c>
      <c r="U1183" s="67" t="str">
        <f t="shared" si="164"/>
        <v/>
      </c>
      <c r="V1183" s="67" t="str">
        <f t="shared" si="165"/>
        <v/>
      </c>
      <c r="W1183" s="67" t="str">
        <f t="shared" si="166"/>
        <v/>
      </c>
      <c r="X1183" s="67" t="str">
        <f t="shared" si="167"/>
        <v/>
      </c>
      <c r="Y1183" s="24" t="str">
        <f t="shared" si="168"/>
        <v/>
      </c>
      <c r="Z1183">
        <f t="shared" si="169"/>
        <v>0</v>
      </c>
      <c r="AA1183">
        <f t="shared" si="170"/>
        <v>0</v>
      </c>
    </row>
    <row r="1184" spans="2:27" ht="15.75" customHeight="1" x14ac:dyDescent="0.3">
      <c r="B1184" s="25"/>
      <c r="C1184" s="25"/>
      <c r="D1184" s="25"/>
      <c r="E1184" s="26" t="str">
        <f t="shared" si="162"/>
        <v/>
      </c>
      <c r="F1184" s="25"/>
      <c r="G1184" s="25"/>
      <c r="H1184" s="25"/>
      <c r="I1184" s="25"/>
      <c r="J1184" s="25"/>
      <c r="K1184" s="25"/>
      <c r="L1184" s="25"/>
      <c r="M1184" s="25"/>
      <c r="N1184" s="25"/>
      <c r="O1184" s="25"/>
      <c r="P1184" s="25"/>
      <c r="Q1184" s="25"/>
      <c r="R1184" s="23" t="str">
        <f>IF($F1184="","",IF(OR($B1184="",$C1184="",$D1184=""),"⚠ Compléter Année/Niveau/Session",IF(AND($E1184&lt;&gt;"",COUNTIF(D_KEY_DOUBLON,$B1184&amp;"|"&amp;$D1184&amp;"|"&amp;$E1184)&gt;1),"⚠ Doublon",IF(AND($E1184&lt;&gt;"",COUNTIF(D_KEY_STATUT,$B1184&amp;"|"&amp;$E1184&amp;"|P")&gt;0,COUNTIF(D_KEY_STATUT,$B1184&amp;"|"&amp;$E1184&amp;"|A")&gt;0),"⚠ Statut incohérent",IF(AND($D1184="S1",$Y1184&lt;&gt;"Parti",COUNTIF(ANNEES_VERROU,$B1184)&gt;0,COUNTIF(D_KEY_NIVSES,$B1184&amp;"|"&amp;$C1184&amp;"|S2")&gt;0,COUNTIF(D_KEY_DOUBLON,$B1184&amp;"|S2|"&amp;$E1184)=0),"⚠ Départ non confirmé ?",IF(AND($C1184&lt;&gt;"",ISNUMBER($I1184),OR(VALUE(LEFT($B1184,4))-$I1184&lt;4+IFERROR(MATCH($C1184,LISTE_NIVEAUX,0),99),VALUE(LEFT($B1184,4))-$I1184&gt;6+IFERROR(MATCH($C1184,LISTE_NIVEAUX,0),99))),"⚠ Vérifier niveau",IF(AND(IFERROR(VLOOKUP($C1184,TABLE_CYCLE,2,0),3)=2,COUNT($O1184:$Q1184)&gt;0),"⚠ Tests cycle 3",IF(COUNT($J1184:$Q1184)&gt;=IF(IFERROR(VLOOKUP($C1184,TABLE_CYCLE,2,0),3)=2,5,8),"Complet","Incomplet"))))))))</f>
        <v/>
      </c>
      <c r="S1184" s="24"/>
      <c r="T1184" s="67" t="str">
        <f t="shared" si="163"/>
        <v/>
      </c>
      <c r="U1184" s="67" t="str">
        <f t="shared" si="164"/>
        <v/>
      </c>
      <c r="V1184" s="67" t="str">
        <f t="shared" si="165"/>
        <v/>
      </c>
      <c r="W1184" s="67" t="str">
        <f t="shared" si="166"/>
        <v/>
      </c>
      <c r="X1184" s="67" t="str">
        <f t="shared" si="167"/>
        <v/>
      </c>
      <c r="Y1184" s="24" t="str">
        <f t="shared" si="168"/>
        <v/>
      </c>
      <c r="Z1184">
        <f t="shared" si="169"/>
        <v>0</v>
      </c>
      <c r="AA1184">
        <f t="shared" si="170"/>
        <v>0</v>
      </c>
    </row>
    <row r="1185" spans="2:27" ht="15.75" customHeight="1" x14ac:dyDescent="0.3">
      <c r="B1185" s="21"/>
      <c r="C1185" s="21"/>
      <c r="D1185" s="21"/>
      <c r="E1185" s="22" t="str">
        <f t="shared" si="162"/>
        <v/>
      </c>
      <c r="F1185" s="21"/>
      <c r="G1185" s="21"/>
      <c r="H1185" s="21"/>
      <c r="I1185" s="21"/>
      <c r="J1185" s="21"/>
      <c r="K1185" s="21"/>
      <c r="L1185" s="21"/>
      <c r="M1185" s="21"/>
      <c r="N1185" s="21"/>
      <c r="O1185" s="21"/>
      <c r="P1185" s="21"/>
      <c r="Q1185" s="21"/>
      <c r="R1185" s="23" t="str">
        <f>IF($F1185="","",IF(OR($B1185="",$C1185="",$D1185=""),"⚠ Compléter Année/Niveau/Session",IF(AND($E1185&lt;&gt;"",COUNTIF(D_KEY_DOUBLON,$B1185&amp;"|"&amp;$D1185&amp;"|"&amp;$E1185)&gt;1),"⚠ Doublon",IF(AND($E1185&lt;&gt;"",COUNTIF(D_KEY_STATUT,$B1185&amp;"|"&amp;$E1185&amp;"|P")&gt;0,COUNTIF(D_KEY_STATUT,$B1185&amp;"|"&amp;$E1185&amp;"|A")&gt;0),"⚠ Statut incohérent",IF(AND($D1185="S1",$Y1185&lt;&gt;"Parti",COUNTIF(ANNEES_VERROU,$B1185)&gt;0,COUNTIF(D_KEY_NIVSES,$B1185&amp;"|"&amp;$C1185&amp;"|S2")&gt;0,COUNTIF(D_KEY_DOUBLON,$B1185&amp;"|S2|"&amp;$E1185)=0),"⚠ Départ non confirmé ?",IF(AND($C1185&lt;&gt;"",ISNUMBER($I1185),OR(VALUE(LEFT($B1185,4))-$I1185&lt;4+IFERROR(MATCH($C1185,LISTE_NIVEAUX,0),99),VALUE(LEFT($B1185,4))-$I1185&gt;6+IFERROR(MATCH($C1185,LISTE_NIVEAUX,0),99))),"⚠ Vérifier niveau",IF(AND(IFERROR(VLOOKUP($C1185,TABLE_CYCLE,2,0),3)=2,COUNT($O1185:$Q1185)&gt;0),"⚠ Tests cycle 3",IF(COUNT($J1185:$Q1185)&gt;=IF(IFERROR(VLOOKUP($C1185,TABLE_CYCLE,2,0),3)=2,5,8),"Complet","Incomplet"))))))))</f>
        <v/>
      </c>
      <c r="S1185" s="24"/>
      <c r="T1185" s="67" t="str">
        <f t="shared" si="163"/>
        <v/>
      </c>
      <c r="U1185" s="67" t="str">
        <f t="shared" si="164"/>
        <v/>
      </c>
      <c r="V1185" s="67" t="str">
        <f t="shared" si="165"/>
        <v/>
      </c>
      <c r="W1185" s="67" t="str">
        <f t="shared" si="166"/>
        <v/>
      </c>
      <c r="X1185" s="67" t="str">
        <f t="shared" si="167"/>
        <v/>
      </c>
      <c r="Y1185" s="24" t="str">
        <f t="shared" si="168"/>
        <v/>
      </c>
      <c r="Z1185">
        <f t="shared" si="169"/>
        <v>0</v>
      </c>
      <c r="AA1185">
        <f t="shared" si="170"/>
        <v>0</v>
      </c>
    </row>
    <row r="1186" spans="2:27" ht="15.75" customHeight="1" x14ac:dyDescent="0.3">
      <c r="B1186" s="25"/>
      <c r="C1186" s="25"/>
      <c r="D1186" s="25"/>
      <c r="E1186" s="26" t="str">
        <f t="shared" si="162"/>
        <v/>
      </c>
      <c r="F1186" s="25"/>
      <c r="G1186" s="25"/>
      <c r="H1186" s="25"/>
      <c r="I1186" s="25"/>
      <c r="J1186" s="25"/>
      <c r="K1186" s="25"/>
      <c r="L1186" s="25"/>
      <c r="M1186" s="25"/>
      <c r="N1186" s="25"/>
      <c r="O1186" s="25"/>
      <c r="P1186" s="25"/>
      <c r="Q1186" s="25"/>
      <c r="R1186" s="23" t="str">
        <f>IF($F1186="","",IF(OR($B1186="",$C1186="",$D1186=""),"⚠ Compléter Année/Niveau/Session",IF(AND($E1186&lt;&gt;"",COUNTIF(D_KEY_DOUBLON,$B1186&amp;"|"&amp;$D1186&amp;"|"&amp;$E1186)&gt;1),"⚠ Doublon",IF(AND($E1186&lt;&gt;"",COUNTIF(D_KEY_STATUT,$B1186&amp;"|"&amp;$E1186&amp;"|P")&gt;0,COUNTIF(D_KEY_STATUT,$B1186&amp;"|"&amp;$E1186&amp;"|A")&gt;0),"⚠ Statut incohérent",IF(AND($D1186="S1",$Y1186&lt;&gt;"Parti",COUNTIF(ANNEES_VERROU,$B1186)&gt;0,COUNTIF(D_KEY_NIVSES,$B1186&amp;"|"&amp;$C1186&amp;"|S2")&gt;0,COUNTIF(D_KEY_DOUBLON,$B1186&amp;"|S2|"&amp;$E1186)=0),"⚠ Départ non confirmé ?",IF(AND($C1186&lt;&gt;"",ISNUMBER($I1186),OR(VALUE(LEFT($B1186,4))-$I1186&lt;4+IFERROR(MATCH($C1186,LISTE_NIVEAUX,0),99),VALUE(LEFT($B1186,4))-$I1186&gt;6+IFERROR(MATCH($C1186,LISTE_NIVEAUX,0),99))),"⚠ Vérifier niveau",IF(AND(IFERROR(VLOOKUP($C1186,TABLE_CYCLE,2,0),3)=2,COUNT($O1186:$Q1186)&gt;0),"⚠ Tests cycle 3",IF(COUNT($J1186:$Q1186)&gt;=IF(IFERROR(VLOOKUP($C1186,TABLE_CYCLE,2,0),3)=2,5,8),"Complet","Incomplet"))))))))</f>
        <v/>
      </c>
      <c r="S1186" s="24"/>
      <c r="T1186" s="67" t="str">
        <f t="shared" si="163"/>
        <v/>
      </c>
      <c r="U1186" s="67" t="str">
        <f t="shared" si="164"/>
        <v/>
      </c>
      <c r="V1186" s="67" t="str">
        <f t="shared" si="165"/>
        <v/>
      </c>
      <c r="W1186" s="67" t="str">
        <f t="shared" si="166"/>
        <v/>
      </c>
      <c r="X1186" s="67" t="str">
        <f t="shared" si="167"/>
        <v/>
      </c>
      <c r="Y1186" s="24" t="str">
        <f t="shared" si="168"/>
        <v/>
      </c>
      <c r="Z1186">
        <f t="shared" si="169"/>
        <v>0</v>
      </c>
      <c r="AA1186">
        <f t="shared" si="170"/>
        <v>0</v>
      </c>
    </row>
    <row r="1187" spans="2:27" ht="15.75" customHeight="1" x14ac:dyDescent="0.3">
      <c r="B1187" s="21"/>
      <c r="C1187" s="21"/>
      <c r="D1187" s="21"/>
      <c r="E1187" s="22" t="str">
        <f t="shared" si="162"/>
        <v/>
      </c>
      <c r="F1187" s="21"/>
      <c r="G1187" s="21"/>
      <c r="H1187" s="21"/>
      <c r="I1187" s="21"/>
      <c r="J1187" s="21"/>
      <c r="K1187" s="21"/>
      <c r="L1187" s="21"/>
      <c r="M1187" s="21"/>
      <c r="N1187" s="21"/>
      <c r="O1187" s="21"/>
      <c r="P1187" s="21"/>
      <c r="Q1187" s="21"/>
      <c r="R1187" s="23" t="str">
        <f>IF($F1187="","",IF(OR($B1187="",$C1187="",$D1187=""),"⚠ Compléter Année/Niveau/Session",IF(AND($E1187&lt;&gt;"",COUNTIF(D_KEY_DOUBLON,$B1187&amp;"|"&amp;$D1187&amp;"|"&amp;$E1187)&gt;1),"⚠ Doublon",IF(AND($E1187&lt;&gt;"",COUNTIF(D_KEY_STATUT,$B1187&amp;"|"&amp;$E1187&amp;"|P")&gt;0,COUNTIF(D_KEY_STATUT,$B1187&amp;"|"&amp;$E1187&amp;"|A")&gt;0),"⚠ Statut incohérent",IF(AND($D1187="S1",$Y1187&lt;&gt;"Parti",COUNTIF(ANNEES_VERROU,$B1187)&gt;0,COUNTIF(D_KEY_NIVSES,$B1187&amp;"|"&amp;$C1187&amp;"|S2")&gt;0,COUNTIF(D_KEY_DOUBLON,$B1187&amp;"|S2|"&amp;$E1187)=0),"⚠ Départ non confirmé ?",IF(AND($C1187&lt;&gt;"",ISNUMBER($I1187),OR(VALUE(LEFT($B1187,4))-$I1187&lt;4+IFERROR(MATCH($C1187,LISTE_NIVEAUX,0),99),VALUE(LEFT($B1187,4))-$I1187&gt;6+IFERROR(MATCH($C1187,LISTE_NIVEAUX,0),99))),"⚠ Vérifier niveau",IF(AND(IFERROR(VLOOKUP($C1187,TABLE_CYCLE,2,0),3)=2,COUNT($O1187:$Q1187)&gt;0),"⚠ Tests cycle 3",IF(COUNT($J1187:$Q1187)&gt;=IF(IFERROR(VLOOKUP($C1187,TABLE_CYCLE,2,0),3)=2,5,8),"Complet","Incomplet"))))))))</f>
        <v/>
      </c>
      <c r="S1187" s="24"/>
      <c r="T1187" s="67" t="str">
        <f t="shared" si="163"/>
        <v/>
      </c>
      <c r="U1187" s="67" t="str">
        <f t="shared" si="164"/>
        <v/>
      </c>
      <c r="V1187" s="67" t="str">
        <f t="shared" si="165"/>
        <v/>
      </c>
      <c r="W1187" s="67" t="str">
        <f t="shared" si="166"/>
        <v/>
      </c>
      <c r="X1187" s="67" t="str">
        <f t="shared" si="167"/>
        <v/>
      </c>
      <c r="Y1187" s="24" t="str">
        <f t="shared" si="168"/>
        <v/>
      </c>
      <c r="Z1187">
        <f t="shared" si="169"/>
        <v>0</v>
      </c>
      <c r="AA1187">
        <f t="shared" si="170"/>
        <v>0</v>
      </c>
    </row>
    <row r="1188" spans="2:27" ht="15.75" customHeight="1" x14ac:dyDescent="0.3">
      <c r="B1188" s="25"/>
      <c r="C1188" s="25"/>
      <c r="D1188" s="25"/>
      <c r="E1188" s="26" t="str">
        <f t="shared" si="162"/>
        <v/>
      </c>
      <c r="F1188" s="25"/>
      <c r="G1188" s="25"/>
      <c r="H1188" s="25"/>
      <c r="I1188" s="25"/>
      <c r="J1188" s="25"/>
      <c r="K1188" s="25"/>
      <c r="L1188" s="25"/>
      <c r="M1188" s="25"/>
      <c r="N1188" s="25"/>
      <c r="O1188" s="25"/>
      <c r="P1188" s="25"/>
      <c r="Q1188" s="25"/>
      <c r="R1188" s="23" t="str">
        <f>IF($F1188="","",IF(OR($B1188="",$C1188="",$D1188=""),"⚠ Compléter Année/Niveau/Session",IF(AND($E1188&lt;&gt;"",COUNTIF(D_KEY_DOUBLON,$B1188&amp;"|"&amp;$D1188&amp;"|"&amp;$E1188)&gt;1),"⚠ Doublon",IF(AND($E1188&lt;&gt;"",COUNTIF(D_KEY_STATUT,$B1188&amp;"|"&amp;$E1188&amp;"|P")&gt;0,COUNTIF(D_KEY_STATUT,$B1188&amp;"|"&amp;$E1188&amp;"|A")&gt;0),"⚠ Statut incohérent",IF(AND($D1188="S1",$Y1188&lt;&gt;"Parti",COUNTIF(ANNEES_VERROU,$B1188)&gt;0,COUNTIF(D_KEY_NIVSES,$B1188&amp;"|"&amp;$C1188&amp;"|S2")&gt;0,COUNTIF(D_KEY_DOUBLON,$B1188&amp;"|S2|"&amp;$E1188)=0),"⚠ Départ non confirmé ?",IF(AND($C1188&lt;&gt;"",ISNUMBER($I1188),OR(VALUE(LEFT($B1188,4))-$I1188&lt;4+IFERROR(MATCH($C1188,LISTE_NIVEAUX,0),99),VALUE(LEFT($B1188,4))-$I1188&gt;6+IFERROR(MATCH($C1188,LISTE_NIVEAUX,0),99))),"⚠ Vérifier niveau",IF(AND(IFERROR(VLOOKUP($C1188,TABLE_CYCLE,2,0),3)=2,COUNT($O1188:$Q1188)&gt;0),"⚠ Tests cycle 3",IF(COUNT($J1188:$Q1188)&gt;=IF(IFERROR(VLOOKUP($C1188,TABLE_CYCLE,2,0),3)=2,5,8),"Complet","Incomplet"))))))))</f>
        <v/>
      </c>
      <c r="S1188" s="24"/>
      <c r="T1188" s="67" t="str">
        <f t="shared" si="163"/>
        <v/>
      </c>
      <c r="U1188" s="67" t="str">
        <f t="shared" si="164"/>
        <v/>
      </c>
      <c r="V1188" s="67" t="str">
        <f t="shared" si="165"/>
        <v/>
      </c>
      <c r="W1188" s="67" t="str">
        <f t="shared" si="166"/>
        <v/>
      </c>
      <c r="X1188" s="67" t="str">
        <f t="shared" si="167"/>
        <v/>
      </c>
      <c r="Y1188" s="24" t="str">
        <f t="shared" si="168"/>
        <v/>
      </c>
      <c r="Z1188">
        <f t="shared" si="169"/>
        <v>0</v>
      </c>
      <c r="AA1188">
        <f t="shared" si="170"/>
        <v>0</v>
      </c>
    </row>
    <row r="1189" spans="2:27" ht="15.75" customHeight="1" x14ac:dyDescent="0.3">
      <c r="B1189" s="21"/>
      <c r="C1189" s="21"/>
      <c r="D1189" s="21"/>
      <c r="E1189" s="22" t="str">
        <f t="shared" si="162"/>
        <v/>
      </c>
      <c r="F1189" s="21"/>
      <c r="G1189" s="21"/>
      <c r="H1189" s="21"/>
      <c r="I1189" s="21"/>
      <c r="J1189" s="21"/>
      <c r="K1189" s="21"/>
      <c r="L1189" s="21"/>
      <c r="M1189" s="21"/>
      <c r="N1189" s="21"/>
      <c r="O1189" s="21"/>
      <c r="P1189" s="21"/>
      <c r="Q1189" s="21"/>
      <c r="R1189" s="23" t="str">
        <f>IF($F1189="","",IF(OR($B1189="",$C1189="",$D1189=""),"⚠ Compléter Année/Niveau/Session",IF(AND($E1189&lt;&gt;"",COUNTIF(D_KEY_DOUBLON,$B1189&amp;"|"&amp;$D1189&amp;"|"&amp;$E1189)&gt;1),"⚠ Doublon",IF(AND($E1189&lt;&gt;"",COUNTIF(D_KEY_STATUT,$B1189&amp;"|"&amp;$E1189&amp;"|P")&gt;0,COUNTIF(D_KEY_STATUT,$B1189&amp;"|"&amp;$E1189&amp;"|A")&gt;0),"⚠ Statut incohérent",IF(AND($D1189="S1",$Y1189&lt;&gt;"Parti",COUNTIF(ANNEES_VERROU,$B1189)&gt;0,COUNTIF(D_KEY_NIVSES,$B1189&amp;"|"&amp;$C1189&amp;"|S2")&gt;0,COUNTIF(D_KEY_DOUBLON,$B1189&amp;"|S2|"&amp;$E1189)=0),"⚠ Départ non confirmé ?",IF(AND($C1189&lt;&gt;"",ISNUMBER($I1189),OR(VALUE(LEFT($B1189,4))-$I1189&lt;4+IFERROR(MATCH($C1189,LISTE_NIVEAUX,0),99),VALUE(LEFT($B1189,4))-$I1189&gt;6+IFERROR(MATCH($C1189,LISTE_NIVEAUX,0),99))),"⚠ Vérifier niveau",IF(AND(IFERROR(VLOOKUP($C1189,TABLE_CYCLE,2,0),3)=2,COUNT($O1189:$Q1189)&gt;0),"⚠ Tests cycle 3",IF(COUNT($J1189:$Q1189)&gt;=IF(IFERROR(VLOOKUP($C1189,TABLE_CYCLE,2,0),3)=2,5,8),"Complet","Incomplet"))))))))</f>
        <v/>
      </c>
      <c r="S1189" s="24"/>
      <c r="T1189" s="67" t="str">
        <f t="shared" si="163"/>
        <v/>
      </c>
      <c r="U1189" s="67" t="str">
        <f t="shared" si="164"/>
        <v/>
      </c>
      <c r="V1189" s="67" t="str">
        <f t="shared" si="165"/>
        <v/>
      </c>
      <c r="W1189" s="67" t="str">
        <f t="shared" si="166"/>
        <v/>
      </c>
      <c r="X1189" s="67" t="str">
        <f t="shared" si="167"/>
        <v/>
      </c>
      <c r="Y1189" s="24" t="str">
        <f t="shared" si="168"/>
        <v/>
      </c>
      <c r="Z1189">
        <f t="shared" si="169"/>
        <v>0</v>
      </c>
      <c r="AA1189">
        <f t="shared" si="170"/>
        <v>0</v>
      </c>
    </row>
    <row r="1190" spans="2:27" ht="15.75" customHeight="1" x14ac:dyDescent="0.3">
      <c r="B1190" s="25"/>
      <c r="C1190" s="25"/>
      <c r="D1190" s="25"/>
      <c r="E1190" s="26" t="str">
        <f t="shared" si="162"/>
        <v/>
      </c>
      <c r="F1190" s="25"/>
      <c r="G1190" s="25"/>
      <c r="H1190" s="25"/>
      <c r="I1190" s="25"/>
      <c r="J1190" s="25"/>
      <c r="K1190" s="25"/>
      <c r="L1190" s="25"/>
      <c r="M1190" s="25"/>
      <c r="N1190" s="25"/>
      <c r="O1190" s="25"/>
      <c r="P1190" s="25"/>
      <c r="Q1190" s="25"/>
      <c r="R1190" s="23" t="str">
        <f>IF($F1190="","",IF(OR($B1190="",$C1190="",$D1190=""),"⚠ Compléter Année/Niveau/Session",IF(AND($E1190&lt;&gt;"",COUNTIF(D_KEY_DOUBLON,$B1190&amp;"|"&amp;$D1190&amp;"|"&amp;$E1190)&gt;1),"⚠ Doublon",IF(AND($E1190&lt;&gt;"",COUNTIF(D_KEY_STATUT,$B1190&amp;"|"&amp;$E1190&amp;"|P")&gt;0,COUNTIF(D_KEY_STATUT,$B1190&amp;"|"&amp;$E1190&amp;"|A")&gt;0),"⚠ Statut incohérent",IF(AND($D1190="S1",$Y1190&lt;&gt;"Parti",COUNTIF(ANNEES_VERROU,$B1190)&gt;0,COUNTIF(D_KEY_NIVSES,$B1190&amp;"|"&amp;$C1190&amp;"|S2")&gt;0,COUNTIF(D_KEY_DOUBLON,$B1190&amp;"|S2|"&amp;$E1190)=0),"⚠ Départ non confirmé ?",IF(AND($C1190&lt;&gt;"",ISNUMBER($I1190),OR(VALUE(LEFT($B1190,4))-$I1190&lt;4+IFERROR(MATCH($C1190,LISTE_NIVEAUX,0),99),VALUE(LEFT($B1190,4))-$I1190&gt;6+IFERROR(MATCH($C1190,LISTE_NIVEAUX,0),99))),"⚠ Vérifier niveau",IF(AND(IFERROR(VLOOKUP($C1190,TABLE_CYCLE,2,0),3)=2,COUNT($O1190:$Q1190)&gt;0),"⚠ Tests cycle 3",IF(COUNT($J1190:$Q1190)&gt;=IF(IFERROR(VLOOKUP($C1190,TABLE_CYCLE,2,0),3)=2,5,8),"Complet","Incomplet"))))))))</f>
        <v/>
      </c>
      <c r="S1190" s="24"/>
      <c r="T1190" s="67" t="str">
        <f t="shared" si="163"/>
        <v/>
      </c>
      <c r="U1190" s="67" t="str">
        <f t="shared" si="164"/>
        <v/>
      </c>
      <c r="V1190" s="67" t="str">
        <f t="shared" si="165"/>
        <v/>
      </c>
      <c r="W1190" s="67" t="str">
        <f t="shared" si="166"/>
        <v/>
      </c>
      <c r="X1190" s="67" t="str">
        <f t="shared" si="167"/>
        <v/>
      </c>
      <c r="Y1190" s="24" t="str">
        <f t="shared" si="168"/>
        <v/>
      </c>
      <c r="Z1190">
        <f t="shared" si="169"/>
        <v>0</v>
      </c>
      <c r="AA1190">
        <f t="shared" si="170"/>
        <v>0</v>
      </c>
    </row>
    <row r="1191" spans="2:27" ht="15.75" customHeight="1" x14ac:dyDescent="0.3">
      <c r="B1191" s="21"/>
      <c r="C1191" s="21"/>
      <c r="D1191" s="21"/>
      <c r="E1191" s="22" t="str">
        <f t="shared" si="162"/>
        <v/>
      </c>
      <c r="F1191" s="21"/>
      <c r="G1191" s="21"/>
      <c r="H1191" s="21"/>
      <c r="I1191" s="21"/>
      <c r="J1191" s="21"/>
      <c r="K1191" s="21"/>
      <c r="L1191" s="21"/>
      <c r="M1191" s="21"/>
      <c r="N1191" s="21"/>
      <c r="O1191" s="21"/>
      <c r="P1191" s="21"/>
      <c r="Q1191" s="21"/>
      <c r="R1191" s="23" t="str">
        <f>IF($F1191="","",IF(OR($B1191="",$C1191="",$D1191=""),"⚠ Compléter Année/Niveau/Session",IF(AND($E1191&lt;&gt;"",COUNTIF(D_KEY_DOUBLON,$B1191&amp;"|"&amp;$D1191&amp;"|"&amp;$E1191)&gt;1),"⚠ Doublon",IF(AND($E1191&lt;&gt;"",COUNTIF(D_KEY_STATUT,$B1191&amp;"|"&amp;$E1191&amp;"|P")&gt;0,COUNTIF(D_KEY_STATUT,$B1191&amp;"|"&amp;$E1191&amp;"|A")&gt;0),"⚠ Statut incohérent",IF(AND($D1191="S1",$Y1191&lt;&gt;"Parti",COUNTIF(ANNEES_VERROU,$B1191)&gt;0,COUNTIF(D_KEY_NIVSES,$B1191&amp;"|"&amp;$C1191&amp;"|S2")&gt;0,COUNTIF(D_KEY_DOUBLON,$B1191&amp;"|S2|"&amp;$E1191)=0),"⚠ Départ non confirmé ?",IF(AND($C1191&lt;&gt;"",ISNUMBER($I1191),OR(VALUE(LEFT($B1191,4))-$I1191&lt;4+IFERROR(MATCH($C1191,LISTE_NIVEAUX,0),99),VALUE(LEFT($B1191,4))-$I1191&gt;6+IFERROR(MATCH($C1191,LISTE_NIVEAUX,0),99))),"⚠ Vérifier niveau",IF(AND(IFERROR(VLOOKUP($C1191,TABLE_CYCLE,2,0),3)=2,COUNT($O1191:$Q1191)&gt;0),"⚠ Tests cycle 3",IF(COUNT($J1191:$Q1191)&gt;=IF(IFERROR(VLOOKUP($C1191,TABLE_CYCLE,2,0),3)=2,5,8),"Complet","Incomplet"))))))))</f>
        <v/>
      </c>
      <c r="S1191" s="24"/>
      <c r="T1191" s="67" t="str">
        <f t="shared" si="163"/>
        <v/>
      </c>
      <c r="U1191" s="67" t="str">
        <f t="shared" si="164"/>
        <v/>
      </c>
      <c r="V1191" s="67" t="str">
        <f t="shared" si="165"/>
        <v/>
      </c>
      <c r="W1191" s="67" t="str">
        <f t="shared" si="166"/>
        <v/>
      </c>
      <c r="X1191" s="67" t="str">
        <f t="shared" si="167"/>
        <v/>
      </c>
      <c r="Y1191" s="24" t="str">
        <f t="shared" si="168"/>
        <v/>
      </c>
      <c r="Z1191">
        <f t="shared" si="169"/>
        <v>0</v>
      </c>
      <c r="AA1191">
        <f t="shared" si="170"/>
        <v>0</v>
      </c>
    </row>
    <row r="1192" spans="2:27" ht="15.75" customHeight="1" x14ac:dyDescent="0.3">
      <c r="B1192" s="25"/>
      <c r="C1192" s="25"/>
      <c r="D1192" s="25"/>
      <c r="E1192" s="26" t="str">
        <f t="shared" si="162"/>
        <v/>
      </c>
      <c r="F1192" s="25"/>
      <c r="G1192" s="25"/>
      <c r="H1192" s="25"/>
      <c r="I1192" s="25"/>
      <c r="J1192" s="25"/>
      <c r="K1192" s="25"/>
      <c r="L1192" s="25"/>
      <c r="M1192" s="25"/>
      <c r="N1192" s="25"/>
      <c r="O1192" s="25"/>
      <c r="P1192" s="25"/>
      <c r="Q1192" s="25"/>
      <c r="R1192" s="23" t="str">
        <f>IF($F1192="","",IF(OR($B1192="",$C1192="",$D1192=""),"⚠ Compléter Année/Niveau/Session",IF(AND($E1192&lt;&gt;"",COUNTIF(D_KEY_DOUBLON,$B1192&amp;"|"&amp;$D1192&amp;"|"&amp;$E1192)&gt;1),"⚠ Doublon",IF(AND($E1192&lt;&gt;"",COUNTIF(D_KEY_STATUT,$B1192&amp;"|"&amp;$E1192&amp;"|P")&gt;0,COUNTIF(D_KEY_STATUT,$B1192&amp;"|"&amp;$E1192&amp;"|A")&gt;0),"⚠ Statut incohérent",IF(AND($D1192="S1",$Y1192&lt;&gt;"Parti",COUNTIF(ANNEES_VERROU,$B1192)&gt;0,COUNTIF(D_KEY_NIVSES,$B1192&amp;"|"&amp;$C1192&amp;"|S2")&gt;0,COUNTIF(D_KEY_DOUBLON,$B1192&amp;"|S2|"&amp;$E1192)=0),"⚠ Départ non confirmé ?",IF(AND($C1192&lt;&gt;"",ISNUMBER($I1192),OR(VALUE(LEFT($B1192,4))-$I1192&lt;4+IFERROR(MATCH($C1192,LISTE_NIVEAUX,0),99),VALUE(LEFT($B1192,4))-$I1192&gt;6+IFERROR(MATCH($C1192,LISTE_NIVEAUX,0),99))),"⚠ Vérifier niveau",IF(AND(IFERROR(VLOOKUP($C1192,TABLE_CYCLE,2,0),3)=2,COUNT($O1192:$Q1192)&gt;0),"⚠ Tests cycle 3",IF(COUNT($J1192:$Q1192)&gt;=IF(IFERROR(VLOOKUP($C1192,TABLE_CYCLE,2,0),3)=2,5,8),"Complet","Incomplet"))))))))</f>
        <v/>
      </c>
      <c r="S1192" s="24"/>
      <c r="T1192" s="67" t="str">
        <f t="shared" si="163"/>
        <v/>
      </c>
      <c r="U1192" s="67" t="str">
        <f t="shared" si="164"/>
        <v/>
      </c>
      <c r="V1192" s="67" t="str">
        <f t="shared" si="165"/>
        <v/>
      </c>
      <c r="W1192" s="67" t="str">
        <f t="shared" si="166"/>
        <v/>
      </c>
      <c r="X1192" s="67" t="str">
        <f t="shared" si="167"/>
        <v/>
      </c>
      <c r="Y1192" s="24" t="str">
        <f t="shared" si="168"/>
        <v/>
      </c>
      <c r="Z1192">
        <f t="shared" si="169"/>
        <v>0</v>
      </c>
      <c r="AA1192">
        <f t="shared" si="170"/>
        <v>0</v>
      </c>
    </row>
    <row r="1193" spans="2:27" ht="15.75" customHeight="1" x14ac:dyDescent="0.3">
      <c r="B1193" s="21"/>
      <c r="C1193" s="21"/>
      <c r="D1193" s="21"/>
      <c r="E1193" s="22" t="str">
        <f t="shared" si="162"/>
        <v/>
      </c>
      <c r="F1193" s="21"/>
      <c r="G1193" s="21"/>
      <c r="H1193" s="21"/>
      <c r="I1193" s="21"/>
      <c r="J1193" s="21"/>
      <c r="K1193" s="21"/>
      <c r="L1193" s="21"/>
      <c r="M1193" s="21"/>
      <c r="N1193" s="21"/>
      <c r="O1193" s="21"/>
      <c r="P1193" s="21"/>
      <c r="Q1193" s="21"/>
      <c r="R1193" s="23" t="str">
        <f>IF($F1193="","",IF(OR($B1193="",$C1193="",$D1193=""),"⚠ Compléter Année/Niveau/Session",IF(AND($E1193&lt;&gt;"",COUNTIF(D_KEY_DOUBLON,$B1193&amp;"|"&amp;$D1193&amp;"|"&amp;$E1193)&gt;1),"⚠ Doublon",IF(AND($E1193&lt;&gt;"",COUNTIF(D_KEY_STATUT,$B1193&amp;"|"&amp;$E1193&amp;"|P")&gt;0,COUNTIF(D_KEY_STATUT,$B1193&amp;"|"&amp;$E1193&amp;"|A")&gt;0),"⚠ Statut incohérent",IF(AND($D1193="S1",$Y1193&lt;&gt;"Parti",COUNTIF(ANNEES_VERROU,$B1193)&gt;0,COUNTIF(D_KEY_NIVSES,$B1193&amp;"|"&amp;$C1193&amp;"|S2")&gt;0,COUNTIF(D_KEY_DOUBLON,$B1193&amp;"|S2|"&amp;$E1193)=0),"⚠ Départ non confirmé ?",IF(AND($C1193&lt;&gt;"",ISNUMBER($I1193),OR(VALUE(LEFT($B1193,4))-$I1193&lt;4+IFERROR(MATCH($C1193,LISTE_NIVEAUX,0),99),VALUE(LEFT($B1193,4))-$I1193&gt;6+IFERROR(MATCH($C1193,LISTE_NIVEAUX,0),99))),"⚠ Vérifier niveau",IF(AND(IFERROR(VLOOKUP($C1193,TABLE_CYCLE,2,0),3)=2,COUNT($O1193:$Q1193)&gt;0),"⚠ Tests cycle 3",IF(COUNT($J1193:$Q1193)&gt;=IF(IFERROR(VLOOKUP($C1193,TABLE_CYCLE,2,0),3)=2,5,8),"Complet","Incomplet"))))))))</f>
        <v/>
      </c>
      <c r="S1193" s="24"/>
      <c r="T1193" s="67" t="str">
        <f t="shared" si="163"/>
        <v/>
      </c>
      <c r="U1193" s="67" t="str">
        <f t="shared" si="164"/>
        <v/>
      </c>
      <c r="V1193" s="67" t="str">
        <f t="shared" si="165"/>
        <v/>
      </c>
      <c r="W1193" s="67" t="str">
        <f t="shared" si="166"/>
        <v/>
      </c>
      <c r="X1193" s="67" t="str">
        <f t="shared" si="167"/>
        <v/>
      </c>
      <c r="Y1193" s="24" t="str">
        <f t="shared" si="168"/>
        <v/>
      </c>
      <c r="Z1193">
        <f t="shared" si="169"/>
        <v>0</v>
      </c>
      <c r="AA1193">
        <f t="shared" si="170"/>
        <v>0</v>
      </c>
    </row>
    <row r="1194" spans="2:27" ht="15.75" customHeight="1" x14ac:dyDescent="0.3">
      <c r="B1194" s="25"/>
      <c r="C1194" s="25"/>
      <c r="D1194" s="25"/>
      <c r="E1194" s="26" t="str">
        <f t="shared" si="162"/>
        <v/>
      </c>
      <c r="F1194" s="25"/>
      <c r="G1194" s="25"/>
      <c r="H1194" s="25"/>
      <c r="I1194" s="25"/>
      <c r="J1194" s="25"/>
      <c r="K1194" s="25"/>
      <c r="L1194" s="25"/>
      <c r="M1194" s="25"/>
      <c r="N1194" s="25"/>
      <c r="O1194" s="25"/>
      <c r="P1194" s="25"/>
      <c r="Q1194" s="25"/>
      <c r="R1194" s="23" t="str">
        <f>IF($F1194="","",IF(OR($B1194="",$C1194="",$D1194=""),"⚠ Compléter Année/Niveau/Session",IF(AND($E1194&lt;&gt;"",COUNTIF(D_KEY_DOUBLON,$B1194&amp;"|"&amp;$D1194&amp;"|"&amp;$E1194)&gt;1),"⚠ Doublon",IF(AND($E1194&lt;&gt;"",COUNTIF(D_KEY_STATUT,$B1194&amp;"|"&amp;$E1194&amp;"|P")&gt;0,COUNTIF(D_KEY_STATUT,$B1194&amp;"|"&amp;$E1194&amp;"|A")&gt;0),"⚠ Statut incohérent",IF(AND($D1194="S1",$Y1194&lt;&gt;"Parti",COUNTIF(ANNEES_VERROU,$B1194)&gt;0,COUNTIF(D_KEY_NIVSES,$B1194&amp;"|"&amp;$C1194&amp;"|S2")&gt;0,COUNTIF(D_KEY_DOUBLON,$B1194&amp;"|S2|"&amp;$E1194)=0),"⚠ Départ non confirmé ?",IF(AND($C1194&lt;&gt;"",ISNUMBER($I1194),OR(VALUE(LEFT($B1194,4))-$I1194&lt;4+IFERROR(MATCH($C1194,LISTE_NIVEAUX,0),99),VALUE(LEFT($B1194,4))-$I1194&gt;6+IFERROR(MATCH($C1194,LISTE_NIVEAUX,0),99))),"⚠ Vérifier niveau",IF(AND(IFERROR(VLOOKUP($C1194,TABLE_CYCLE,2,0),3)=2,COUNT($O1194:$Q1194)&gt;0),"⚠ Tests cycle 3",IF(COUNT($J1194:$Q1194)&gt;=IF(IFERROR(VLOOKUP($C1194,TABLE_CYCLE,2,0),3)=2,5,8),"Complet","Incomplet"))))))))</f>
        <v/>
      </c>
      <c r="S1194" s="24"/>
      <c r="T1194" s="67" t="str">
        <f t="shared" si="163"/>
        <v/>
      </c>
      <c r="U1194" s="67" t="str">
        <f t="shared" si="164"/>
        <v/>
      </c>
      <c r="V1194" s="67" t="str">
        <f t="shared" si="165"/>
        <v/>
      </c>
      <c r="W1194" s="67" t="str">
        <f t="shared" si="166"/>
        <v/>
      </c>
      <c r="X1194" s="67" t="str">
        <f t="shared" si="167"/>
        <v/>
      </c>
      <c r="Y1194" s="24" t="str">
        <f t="shared" si="168"/>
        <v/>
      </c>
      <c r="Z1194">
        <f t="shared" si="169"/>
        <v>0</v>
      </c>
      <c r="AA1194">
        <f t="shared" si="170"/>
        <v>0</v>
      </c>
    </row>
    <row r="1195" spans="2:27" ht="15.75" customHeight="1" x14ac:dyDescent="0.3">
      <c r="B1195" s="21"/>
      <c r="C1195" s="21"/>
      <c r="D1195" s="21"/>
      <c r="E1195" s="22" t="str">
        <f t="shared" si="162"/>
        <v/>
      </c>
      <c r="F1195" s="21"/>
      <c r="G1195" s="21"/>
      <c r="H1195" s="21"/>
      <c r="I1195" s="21"/>
      <c r="J1195" s="21"/>
      <c r="K1195" s="21"/>
      <c r="L1195" s="21"/>
      <c r="M1195" s="21"/>
      <c r="N1195" s="21"/>
      <c r="O1195" s="21"/>
      <c r="P1195" s="21"/>
      <c r="Q1195" s="21"/>
      <c r="R1195" s="23" t="str">
        <f>IF($F1195="","",IF(OR($B1195="",$C1195="",$D1195=""),"⚠ Compléter Année/Niveau/Session",IF(AND($E1195&lt;&gt;"",COUNTIF(D_KEY_DOUBLON,$B1195&amp;"|"&amp;$D1195&amp;"|"&amp;$E1195)&gt;1),"⚠ Doublon",IF(AND($E1195&lt;&gt;"",COUNTIF(D_KEY_STATUT,$B1195&amp;"|"&amp;$E1195&amp;"|P")&gt;0,COUNTIF(D_KEY_STATUT,$B1195&amp;"|"&amp;$E1195&amp;"|A")&gt;0),"⚠ Statut incohérent",IF(AND($D1195="S1",$Y1195&lt;&gt;"Parti",COUNTIF(ANNEES_VERROU,$B1195)&gt;0,COUNTIF(D_KEY_NIVSES,$B1195&amp;"|"&amp;$C1195&amp;"|S2")&gt;0,COUNTIF(D_KEY_DOUBLON,$B1195&amp;"|S2|"&amp;$E1195)=0),"⚠ Départ non confirmé ?",IF(AND($C1195&lt;&gt;"",ISNUMBER($I1195),OR(VALUE(LEFT($B1195,4))-$I1195&lt;4+IFERROR(MATCH($C1195,LISTE_NIVEAUX,0),99),VALUE(LEFT($B1195,4))-$I1195&gt;6+IFERROR(MATCH($C1195,LISTE_NIVEAUX,0),99))),"⚠ Vérifier niveau",IF(AND(IFERROR(VLOOKUP($C1195,TABLE_CYCLE,2,0),3)=2,COUNT($O1195:$Q1195)&gt;0),"⚠ Tests cycle 3",IF(COUNT($J1195:$Q1195)&gt;=IF(IFERROR(VLOOKUP($C1195,TABLE_CYCLE,2,0),3)=2,5,8),"Complet","Incomplet"))))))))</f>
        <v/>
      </c>
      <c r="S1195" s="24"/>
      <c r="T1195" s="67" t="str">
        <f t="shared" si="163"/>
        <v/>
      </c>
      <c r="U1195" s="67" t="str">
        <f t="shared" si="164"/>
        <v/>
      </c>
      <c r="V1195" s="67" t="str">
        <f t="shared" si="165"/>
        <v/>
      </c>
      <c r="W1195" s="67" t="str">
        <f t="shared" si="166"/>
        <v/>
      </c>
      <c r="X1195" s="67" t="str">
        <f t="shared" si="167"/>
        <v/>
      </c>
      <c r="Y1195" s="24" t="str">
        <f t="shared" si="168"/>
        <v/>
      </c>
      <c r="Z1195">
        <f t="shared" si="169"/>
        <v>0</v>
      </c>
      <c r="AA1195">
        <f t="shared" si="170"/>
        <v>0</v>
      </c>
    </row>
    <row r="1196" spans="2:27" ht="15.75" customHeight="1" x14ac:dyDescent="0.3">
      <c r="B1196" s="25"/>
      <c r="C1196" s="25"/>
      <c r="D1196" s="25"/>
      <c r="E1196" s="26" t="str">
        <f t="shared" si="162"/>
        <v/>
      </c>
      <c r="F1196" s="25"/>
      <c r="G1196" s="25"/>
      <c r="H1196" s="25"/>
      <c r="I1196" s="25"/>
      <c r="J1196" s="25"/>
      <c r="K1196" s="25"/>
      <c r="L1196" s="25"/>
      <c r="M1196" s="25"/>
      <c r="N1196" s="25"/>
      <c r="O1196" s="25"/>
      <c r="P1196" s="25"/>
      <c r="Q1196" s="25"/>
      <c r="R1196" s="23" t="str">
        <f>IF($F1196="","",IF(OR($B1196="",$C1196="",$D1196=""),"⚠ Compléter Année/Niveau/Session",IF(AND($E1196&lt;&gt;"",COUNTIF(D_KEY_DOUBLON,$B1196&amp;"|"&amp;$D1196&amp;"|"&amp;$E1196)&gt;1),"⚠ Doublon",IF(AND($E1196&lt;&gt;"",COUNTIF(D_KEY_STATUT,$B1196&amp;"|"&amp;$E1196&amp;"|P")&gt;0,COUNTIF(D_KEY_STATUT,$B1196&amp;"|"&amp;$E1196&amp;"|A")&gt;0),"⚠ Statut incohérent",IF(AND($D1196="S1",$Y1196&lt;&gt;"Parti",COUNTIF(ANNEES_VERROU,$B1196)&gt;0,COUNTIF(D_KEY_NIVSES,$B1196&amp;"|"&amp;$C1196&amp;"|S2")&gt;0,COUNTIF(D_KEY_DOUBLON,$B1196&amp;"|S2|"&amp;$E1196)=0),"⚠ Départ non confirmé ?",IF(AND($C1196&lt;&gt;"",ISNUMBER($I1196),OR(VALUE(LEFT($B1196,4))-$I1196&lt;4+IFERROR(MATCH($C1196,LISTE_NIVEAUX,0),99),VALUE(LEFT($B1196,4))-$I1196&gt;6+IFERROR(MATCH($C1196,LISTE_NIVEAUX,0),99))),"⚠ Vérifier niveau",IF(AND(IFERROR(VLOOKUP($C1196,TABLE_CYCLE,2,0),3)=2,COUNT($O1196:$Q1196)&gt;0),"⚠ Tests cycle 3",IF(COUNT($J1196:$Q1196)&gt;=IF(IFERROR(VLOOKUP($C1196,TABLE_CYCLE,2,0),3)=2,5,8),"Complet","Incomplet"))))))))</f>
        <v/>
      </c>
      <c r="S1196" s="24"/>
      <c r="T1196" s="67" t="str">
        <f t="shared" si="163"/>
        <v/>
      </c>
      <c r="U1196" s="67" t="str">
        <f t="shared" si="164"/>
        <v/>
      </c>
      <c r="V1196" s="67" t="str">
        <f t="shared" si="165"/>
        <v/>
      </c>
      <c r="W1196" s="67" t="str">
        <f t="shared" si="166"/>
        <v/>
      </c>
      <c r="X1196" s="67" t="str">
        <f t="shared" si="167"/>
        <v/>
      </c>
      <c r="Y1196" s="24" t="str">
        <f t="shared" si="168"/>
        <v/>
      </c>
      <c r="Z1196">
        <f t="shared" si="169"/>
        <v>0</v>
      </c>
      <c r="AA1196">
        <f t="shared" si="170"/>
        <v>0</v>
      </c>
    </row>
    <row r="1197" spans="2:27" ht="15.75" customHeight="1" x14ac:dyDescent="0.3">
      <c r="B1197" s="21"/>
      <c r="C1197" s="21"/>
      <c r="D1197" s="21"/>
      <c r="E1197" s="22" t="str">
        <f t="shared" si="162"/>
        <v/>
      </c>
      <c r="F1197" s="21"/>
      <c r="G1197" s="21"/>
      <c r="H1197" s="21"/>
      <c r="I1197" s="21"/>
      <c r="J1197" s="21"/>
      <c r="K1197" s="21"/>
      <c r="L1197" s="21"/>
      <c r="M1197" s="21"/>
      <c r="N1197" s="21"/>
      <c r="O1197" s="21"/>
      <c r="P1197" s="21"/>
      <c r="Q1197" s="21"/>
      <c r="R1197" s="23" t="str">
        <f>IF($F1197="","",IF(OR($B1197="",$C1197="",$D1197=""),"⚠ Compléter Année/Niveau/Session",IF(AND($E1197&lt;&gt;"",COUNTIF(D_KEY_DOUBLON,$B1197&amp;"|"&amp;$D1197&amp;"|"&amp;$E1197)&gt;1),"⚠ Doublon",IF(AND($E1197&lt;&gt;"",COUNTIF(D_KEY_STATUT,$B1197&amp;"|"&amp;$E1197&amp;"|P")&gt;0,COUNTIF(D_KEY_STATUT,$B1197&amp;"|"&amp;$E1197&amp;"|A")&gt;0),"⚠ Statut incohérent",IF(AND($D1197="S1",$Y1197&lt;&gt;"Parti",COUNTIF(ANNEES_VERROU,$B1197)&gt;0,COUNTIF(D_KEY_NIVSES,$B1197&amp;"|"&amp;$C1197&amp;"|S2")&gt;0,COUNTIF(D_KEY_DOUBLON,$B1197&amp;"|S2|"&amp;$E1197)=0),"⚠ Départ non confirmé ?",IF(AND($C1197&lt;&gt;"",ISNUMBER($I1197),OR(VALUE(LEFT($B1197,4))-$I1197&lt;4+IFERROR(MATCH($C1197,LISTE_NIVEAUX,0),99),VALUE(LEFT($B1197,4))-$I1197&gt;6+IFERROR(MATCH($C1197,LISTE_NIVEAUX,0),99))),"⚠ Vérifier niveau",IF(AND(IFERROR(VLOOKUP($C1197,TABLE_CYCLE,2,0),3)=2,COUNT($O1197:$Q1197)&gt;0),"⚠ Tests cycle 3",IF(COUNT($J1197:$Q1197)&gt;=IF(IFERROR(VLOOKUP($C1197,TABLE_CYCLE,2,0),3)=2,5,8),"Complet","Incomplet"))))))))</f>
        <v/>
      </c>
      <c r="S1197" s="24"/>
      <c r="T1197" s="67" t="str">
        <f t="shared" si="163"/>
        <v/>
      </c>
      <c r="U1197" s="67" t="str">
        <f t="shared" si="164"/>
        <v/>
      </c>
      <c r="V1197" s="67" t="str">
        <f t="shared" si="165"/>
        <v/>
      </c>
      <c r="W1197" s="67" t="str">
        <f t="shared" si="166"/>
        <v/>
      </c>
      <c r="X1197" s="67" t="str">
        <f t="shared" si="167"/>
        <v/>
      </c>
      <c r="Y1197" s="24" t="str">
        <f t="shared" si="168"/>
        <v/>
      </c>
      <c r="Z1197">
        <f t="shared" si="169"/>
        <v>0</v>
      </c>
      <c r="AA1197">
        <f t="shared" si="170"/>
        <v>0</v>
      </c>
    </row>
    <row r="1198" spans="2:27" ht="15.75" customHeight="1" x14ac:dyDescent="0.3">
      <c r="B1198" s="25"/>
      <c r="C1198" s="25"/>
      <c r="D1198" s="25"/>
      <c r="E1198" s="26" t="str">
        <f t="shared" si="162"/>
        <v/>
      </c>
      <c r="F1198" s="25"/>
      <c r="G1198" s="25"/>
      <c r="H1198" s="25"/>
      <c r="I1198" s="25"/>
      <c r="J1198" s="25"/>
      <c r="K1198" s="25"/>
      <c r="L1198" s="25"/>
      <c r="M1198" s="25"/>
      <c r="N1198" s="25"/>
      <c r="O1198" s="25"/>
      <c r="P1198" s="25"/>
      <c r="Q1198" s="25"/>
      <c r="R1198" s="23" t="str">
        <f>IF($F1198="","",IF(OR($B1198="",$C1198="",$D1198=""),"⚠ Compléter Année/Niveau/Session",IF(AND($E1198&lt;&gt;"",COUNTIF(D_KEY_DOUBLON,$B1198&amp;"|"&amp;$D1198&amp;"|"&amp;$E1198)&gt;1),"⚠ Doublon",IF(AND($E1198&lt;&gt;"",COUNTIF(D_KEY_STATUT,$B1198&amp;"|"&amp;$E1198&amp;"|P")&gt;0,COUNTIF(D_KEY_STATUT,$B1198&amp;"|"&amp;$E1198&amp;"|A")&gt;0),"⚠ Statut incohérent",IF(AND($D1198="S1",$Y1198&lt;&gt;"Parti",COUNTIF(ANNEES_VERROU,$B1198)&gt;0,COUNTIF(D_KEY_NIVSES,$B1198&amp;"|"&amp;$C1198&amp;"|S2")&gt;0,COUNTIF(D_KEY_DOUBLON,$B1198&amp;"|S2|"&amp;$E1198)=0),"⚠ Départ non confirmé ?",IF(AND($C1198&lt;&gt;"",ISNUMBER($I1198),OR(VALUE(LEFT($B1198,4))-$I1198&lt;4+IFERROR(MATCH($C1198,LISTE_NIVEAUX,0),99),VALUE(LEFT($B1198,4))-$I1198&gt;6+IFERROR(MATCH($C1198,LISTE_NIVEAUX,0),99))),"⚠ Vérifier niveau",IF(AND(IFERROR(VLOOKUP($C1198,TABLE_CYCLE,2,0),3)=2,COUNT($O1198:$Q1198)&gt;0),"⚠ Tests cycle 3",IF(COUNT($J1198:$Q1198)&gt;=IF(IFERROR(VLOOKUP($C1198,TABLE_CYCLE,2,0),3)=2,5,8),"Complet","Incomplet"))))))))</f>
        <v/>
      </c>
      <c r="S1198" s="24"/>
      <c r="T1198" s="67" t="str">
        <f t="shared" si="163"/>
        <v/>
      </c>
      <c r="U1198" s="67" t="str">
        <f t="shared" si="164"/>
        <v/>
      </c>
      <c r="V1198" s="67" t="str">
        <f t="shared" si="165"/>
        <v/>
      </c>
      <c r="W1198" s="67" t="str">
        <f t="shared" si="166"/>
        <v/>
      </c>
      <c r="X1198" s="67" t="str">
        <f t="shared" si="167"/>
        <v/>
      </c>
      <c r="Y1198" s="24" t="str">
        <f t="shared" si="168"/>
        <v/>
      </c>
      <c r="Z1198">
        <f t="shared" si="169"/>
        <v>0</v>
      </c>
      <c r="AA1198">
        <f t="shared" si="170"/>
        <v>0</v>
      </c>
    </row>
    <row r="1199" spans="2:27" ht="15.75" customHeight="1" x14ac:dyDescent="0.3">
      <c r="B1199" s="21"/>
      <c r="C1199" s="21"/>
      <c r="D1199" s="21"/>
      <c r="E1199" s="22" t="str">
        <f t="shared" si="162"/>
        <v/>
      </c>
      <c r="F1199" s="21"/>
      <c r="G1199" s="21"/>
      <c r="H1199" s="21"/>
      <c r="I1199" s="21"/>
      <c r="J1199" s="21"/>
      <c r="K1199" s="21"/>
      <c r="L1199" s="21"/>
      <c r="M1199" s="21"/>
      <c r="N1199" s="21"/>
      <c r="O1199" s="21"/>
      <c r="P1199" s="21"/>
      <c r="Q1199" s="21"/>
      <c r="R1199" s="23" t="str">
        <f>IF($F1199="","",IF(OR($B1199="",$C1199="",$D1199=""),"⚠ Compléter Année/Niveau/Session",IF(AND($E1199&lt;&gt;"",COUNTIF(D_KEY_DOUBLON,$B1199&amp;"|"&amp;$D1199&amp;"|"&amp;$E1199)&gt;1),"⚠ Doublon",IF(AND($E1199&lt;&gt;"",COUNTIF(D_KEY_STATUT,$B1199&amp;"|"&amp;$E1199&amp;"|P")&gt;0,COUNTIF(D_KEY_STATUT,$B1199&amp;"|"&amp;$E1199&amp;"|A")&gt;0),"⚠ Statut incohérent",IF(AND($D1199="S1",$Y1199&lt;&gt;"Parti",COUNTIF(ANNEES_VERROU,$B1199)&gt;0,COUNTIF(D_KEY_NIVSES,$B1199&amp;"|"&amp;$C1199&amp;"|S2")&gt;0,COUNTIF(D_KEY_DOUBLON,$B1199&amp;"|S2|"&amp;$E1199)=0),"⚠ Départ non confirmé ?",IF(AND($C1199&lt;&gt;"",ISNUMBER($I1199),OR(VALUE(LEFT($B1199,4))-$I1199&lt;4+IFERROR(MATCH($C1199,LISTE_NIVEAUX,0),99),VALUE(LEFT($B1199,4))-$I1199&gt;6+IFERROR(MATCH($C1199,LISTE_NIVEAUX,0),99))),"⚠ Vérifier niveau",IF(AND(IFERROR(VLOOKUP($C1199,TABLE_CYCLE,2,0),3)=2,COUNT($O1199:$Q1199)&gt;0),"⚠ Tests cycle 3",IF(COUNT($J1199:$Q1199)&gt;=IF(IFERROR(VLOOKUP($C1199,TABLE_CYCLE,2,0),3)=2,5,8),"Complet","Incomplet"))))))))</f>
        <v/>
      </c>
      <c r="S1199" s="24"/>
      <c r="T1199" s="67" t="str">
        <f t="shared" si="163"/>
        <v/>
      </c>
      <c r="U1199" s="67" t="str">
        <f t="shared" si="164"/>
        <v/>
      </c>
      <c r="V1199" s="67" t="str">
        <f t="shared" si="165"/>
        <v/>
      </c>
      <c r="W1199" s="67" t="str">
        <f t="shared" si="166"/>
        <v/>
      </c>
      <c r="X1199" s="67" t="str">
        <f t="shared" si="167"/>
        <v/>
      </c>
      <c r="Y1199" s="24" t="str">
        <f t="shared" si="168"/>
        <v/>
      </c>
      <c r="Z1199">
        <f t="shared" si="169"/>
        <v>0</v>
      </c>
      <c r="AA1199">
        <f t="shared" si="170"/>
        <v>0</v>
      </c>
    </row>
    <row r="1200" spans="2:27" ht="15.75" customHeight="1" x14ac:dyDescent="0.3">
      <c r="B1200" s="25"/>
      <c r="C1200" s="25"/>
      <c r="D1200" s="25"/>
      <c r="E1200" s="26" t="str">
        <f t="shared" si="162"/>
        <v/>
      </c>
      <c r="F1200" s="25"/>
      <c r="G1200" s="25"/>
      <c r="H1200" s="25"/>
      <c r="I1200" s="25"/>
      <c r="J1200" s="25"/>
      <c r="K1200" s="25"/>
      <c r="L1200" s="25"/>
      <c r="M1200" s="25"/>
      <c r="N1200" s="25"/>
      <c r="O1200" s="25"/>
      <c r="P1200" s="25"/>
      <c r="Q1200" s="25"/>
      <c r="R1200" s="23" t="str">
        <f>IF($F1200="","",IF(OR($B1200="",$C1200="",$D1200=""),"⚠ Compléter Année/Niveau/Session",IF(AND($E1200&lt;&gt;"",COUNTIF(D_KEY_DOUBLON,$B1200&amp;"|"&amp;$D1200&amp;"|"&amp;$E1200)&gt;1),"⚠ Doublon",IF(AND($E1200&lt;&gt;"",COUNTIF(D_KEY_STATUT,$B1200&amp;"|"&amp;$E1200&amp;"|P")&gt;0,COUNTIF(D_KEY_STATUT,$B1200&amp;"|"&amp;$E1200&amp;"|A")&gt;0),"⚠ Statut incohérent",IF(AND($D1200="S1",$Y1200&lt;&gt;"Parti",COUNTIF(ANNEES_VERROU,$B1200)&gt;0,COUNTIF(D_KEY_NIVSES,$B1200&amp;"|"&amp;$C1200&amp;"|S2")&gt;0,COUNTIF(D_KEY_DOUBLON,$B1200&amp;"|S2|"&amp;$E1200)=0),"⚠ Départ non confirmé ?",IF(AND($C1200&lt;&gt;"",ISNUMBER($I1200),OR(VALUE(LEFT($B1200,4))-$I1200&lt;4+IFERROR(MATCH($C1200,LISTE_NIVEAUX,0),99),VALUE(LEFT($B1200,4))-$I1200&gt;6+IFERROR(MATCH($C1200,LISTE_NIVEAUX,0),99))),"⚠ Vérifier niveau",IF(AND(IFERROR(VLOOKUP($C1200,TABLE_CYCLE,2,0),3)=2,COUNT($O1200:$Q1200)&gt;0),"⚠ Tests cycle 3",IF(COUNT($J1200:$Q1200)&gt;=IF(IFERROR(VLOOKUP($C1200,TABLE_CYCLE,2,0),3)=2,5,8),"Complet","Incomplet"))))))))</f>
        <v/>
      </c>
      <c r="S1200" s="24"/>
      <c r="T1200" s="67" t="str">
        <f t="shared" si="163"/>
        <v/>
      </c>
      <c r="U1200" s="67" t="str">
        <f t="shared" si="164"/>
        <v/>
      </c>
      <c r="V1200" s="67" t="str">
        <f t="shared" si="165"/>
        <v/>
      </c>
      <c r="W1200" s="67" t="str">
        <f t="shared" si="166"/>
        <v/>
      </c>
      <c r="X1200" s="67" t="str">
        <f t="shared" si="167"/>
        <v/>
      </c>
      <c r="Y1200" s="24" t="str">
        <f t="shared" si="168"/>
        <v/>
      </c>
      <c r="Z1200">
        <f t="shared" si="169"/>
        <v>0</v>
      </c>
      <c r="AA1200">
        <f t="shared" si="170"/>
        <v>0</v>
      </c>
    </row>
    <row r="1201" spans="2:27" ht="15.75" customHeight="1" x14ac:dyDescent="0.3">
      <c r="B1201" s="21"/>
      <c r="C1201" s="21"/>
      <c r="D1201" s="21"/>
      <c r="E1201" s="22" t="str">
        <f t="shared" si="162"/>
        <v/>
      </c>
      <c r="F1201" s="21"/>
      <c r="G1201" s="21"/>
      <c r="H1201" s="21"/>
      <c r="I1201" s="21"/>
      <c r="J1201" s="21"/>
      <c r="K1201" s="21"/>
      <c r="L1201" s="21"/>
      <c r="M1201" s="21"/>
      <c r="N1201" s="21"/>
      <c r="O1201" s="21"/>
      <c r="P1201" s="21"/>
      <c r="Q1201" s="21"/>
      <c r="R1201" s="23" t="str">
        <f>IF($F1201="","",IF(OR($B1201="",$C1201="",$D1201=""),"⚠ Compléter Année/Niveau/Session",IF(AND($E1201&lt;&gt;"",COUNTIF(D_KEY_DOUBLON,$B1201&amp;"|"&amp;$D1201&amp;"|"&amp;$E1201)&gt;1),"⚠ Doublon",IF(AND($E1201&lt;&gt;"",COUNTIF(D_KEY_STATUT,$B1201&amp;"|"&amp;$E1201&amp;"|P")&gt;0,COUNTIF(D_KEY_STATUT,$B1201&amp;"|"&amp;$E1201&amp;"|A")&gt;0),"⚠ Statut incohérent",IF(AND($D1201="S1",$Y1201&lt;&gt;"Parti",COUNTIF(ANNEES_VERROU,$B1201)&gt;0,COUNTIF(D_KEY_NIVSES,$B1201&amp;"|"&amp;$C1201&amp;"|S2")&gt;0,COUNTIF(D_KEY_DOUBLON,$B1201&amp;"|S2|"&amp;$E1201)=0),"⚠ Départ non confirmé ?",IF(AND($C1201&lt;&gt;"",ISNUMBER($I1201),OR(VALUE(LEFT($B1201,4))-$I1201&lt;4+IFERROR(MATCH($C1201,LISTE_NIVEAUX,0),99),VALUE(LEFT($B1201,4))-$I1201&gt;6+IFERROR(MATCH($C1201,LISTE_NIVEAUX,0),99))),"⚠ Vérifier niveau",IF(AND(IFERROR(VLOOKUP($C1201,TABLE_CYCLE,2,0),3)=2,COUNT($O1201:$Q1201)&gt;0),"⚠ Tests cycle 3",IF(COUNT($J1201:$Q1201)&gt;=IF(IFERROR(VLOOKUP($C1201,TABLE_CYCLE,2,0),3)=2,5,8),"Complet","Incomplet"))))))))</f>
        <v/>
      </c>
      <c r="S1201" s="24"/>
      <c r="T1201" s="67" t="str">
        <f t="shared" si="163"/>
        <v/>
      </c>
      <c r="U1201" s="67" t="str">
        <f t="shared" si="164"/>
        <v/>
      </c>
      <c r="V1201" s="67" t="str">
        <f t="shared" si="165"/>
        <v/>
      </c>
      <c r="W1201" s="67" t="str">
        <f t="shared" si="166"/>
        <v/>
      </c>
      <c r="X1201" s="67" t="str">
        <f t="shared" si="167"/>
        <v/>
      </c>
      <c r="Y1201" s="24" t="str">
        <f t="shared" si="168"/>
        <v/>
      </c>
      <c r="Z1201">
        <f t="shared" si="169"/>
        <v>0</v>
      </c>
      <c r="AA1201">
        <f t="shared" si="170"/>
        <v>0</v>
      </c>
    </row>
    <row r="1202" spans="2:27" ht="15.75" customHeight="1" x14ac:dyDescent="0.3">
      <c r="B1202" s="25"/>
      <c r="C1202" s="25"/>
      <c r="D1202" s="25"/>
      <c r="E1202" s="26" t="str">
        <f t="shared" si="162"/>
        <v/>
      </c>
      <c r="F1202" s="25"/>
      <c r="G1202" s="25"/>
      <c r="H1202" s="25"/>
      <c r="I1202" s="25"/>
      <c r="J1202" s="25"/>
      <c r="K1202" s="25"/>
      <c r="L1202" s="25"/>
      <c r="M1202" s="25"/>
      <c r="N1202" s="25"/>
      <c r="O1202" s="25"/>
      <c r="P1202" s="25"/>
      <c r="Q1202" s="25"/>
      <c r="R1202" s="23" t="str">
        <f>IF($F1202="","",IF(OR($B1202="",$C1202="",$D1202=""),"⚠ Compléter Année/Niveau/Session",IF(AND($E1202&lt;&gt;"",COUNTIF(D_KEY_DOUBLON,$B1202&amp;"|"&amp;$D1202&amp;"|"&amp;$E1202)&gt;1),"⚠ Doublon",IF(AND($E1202&lt;&gt;"",COUNTIF(D_KEY_STATUT,$B1202&amp;"|"&amp;$E1202&amp;"|P")&gt;0,COUNTIF(D_KEY_STATUT,$B1202&amp;"|"&amp;$E1202&amp;"|A")&gt;0),"⚠ Statut incohérent",IF(AND($D1202="S1",$Y1202&lt;&gt;"Parti",COUNTIF(ANNEES_VERROU,$B1202)&gt;0,COUNTIF(D_KEY_NIVSES,$B1202&amp;"|"&amp;$C1202&amp;"|S2")&gt;0,COUNTIF(D_KEY_DOUBLON,$B1202&amp;"|S2|"&amp;$E1202)=0),"⚠ Départ non confirmé ?",IF(AND($C1202&lt;&gt;"",ISNUMBER($I1202),OR(VALUE(LEFT($B1202,4))-$I1202&lt;4+IFERROR(MATCH($C1202,LISTE_NIVEAUX,0),99),VALUE(LEFT($B1202,4))-$I1202&gt;6+IFERROR(MATCH($C1202,LISTE_NIVEAUX,0),99))),"⚠ Vérifier niveau",IF(AND(IFERROR(VLOOKUP($C1202,TABLE_CYCLE,2,0),3)=2,COUNT($O1202:$Q1202)&gt;0),"⚠ Tests cycle 3",IF(COUNT($J1202:$Q1202)&gt;=IF(IFERROR(VLOOKUP($C1202,TABLE_CYCLE,2,0),3)=2,5,8),"Complet","Incomplet"))))))))</f>
        <v/>
      </c>
      <c r="S1202" s="24"/>
      <c r="T1202" s="67" t="str">
        <f t="shared" si="163"/>
        <v/>
      </c>
      <c r="U1202" s="67" t="str">
        <f t="shared" si="164"/>
        <v/>
      </c>
      <c r="V1202" s="67" t="str">
        <f t="shared" si="165"/>
        <v/>
      </c>
      <c r="W1202" s="67" t="str">
        <f t="shared" si="166"/>
        <v/>
      </c>
      <c r="X1202" s="67" t="str">
        <f t="shared" si="167"/>
        <v/>
      </c>
      <c r="Y1202" s="24" t="str">
        <f t="shared" si="168"/>
        <v/>
      </c>
      <c r="Z1202">
        <f t="shared" si="169"/>
        <v>0</v>
      </c>
      <c r="AA1202">
        <f t="shared" si="170"/>
        <v>0</v>
      </c>
    </row>
    <row r="1203" spans="2:27" ht="15.75" customHeight="1" x14ac:dyDescent="0.3">
      <c r="B1203" s="21"/>
      <c r="C1203" s="21"/>
      <c r="D1203" s="21"/>
      <c r="E1203" s="22" t="str">
        <f t="shared" si="162"/>
        <v/>
      </c>
      <c r="F1203" s="21"/>
      <c r="G1203" s="21"/>
      <c r="H1203" s="21"/>
      <c r="I1203" s="21"/>
      <c r="J1203" s="21"/>
      <c r="K1203" s="21"/>
      <c r="L1203" s="21"/>
      <c r="M1203" s="21"/>
      <c r="N1203" s="21"/>
      <c r="O1203" s="21"/>
      <c r="P1203" s="21"/>
      <c r="Q1203" s="21"/>
      <c r="R1203" s="23" t="str">
        <f>IF($F1203="","",IF(OR($B1203="",$C1203="",$D1203=""),"⚠ Compléter Année/Niveau/Session",IF(AND($E1203&lt;&gt;"",COUNTIF(D_KEY_DOUBLON,$B1203&amp;"|"&amp;$D1203&amp;"|"&amp;$E1203)&gt;1),"⚠ Doublon",IF(AND($E1203&lt;&gt;"",COUNTIF(D_KEY_STATUT,$B1203&amp;"|"&amp;$E1203&amp;"|P")&gt;0,COUNTIF(D_KEY_STATUT,$B1203&amp;"|"&amp;$E1203&amp;"|A")&gt;0),"⚠ Statut incohérent",IF(AND($D1203="S1",$Y1203&lt;&gt;"Parti",COUNTIF(ANNEES_VERROU,$B1203)&gt;0,COUNTIF(D_KEY_NIVSES,$B1203&amp;"|"&amp;$C1203&amp;"|S2")&gt;0,COUNTIF(D_KEY_DOUBLON,$B1203&amp;"|S2|"&amp;$E1203)=0),"⚠ Départ non confirmé ?",IF(AND($C1203&lt;&gt;"",ISNUMBER($I1203),OR(VALUE(LEFT($B1203,4))-$I1203&lt;4+IFERROR(MATCH($C1203,LISTE_NIVEAUX,0),99),VALUE(LEFT($B1203,4))-$I1203&gt;6+IFERROR(MATCH($C1203,LISTE_NIVEAUX,0),99))),"⚠ Vérifier niveau",IF(AND(IFERROR(VLOOKUP($C1203,TABLE_CYCLE,2,0),3)=2,COUNT($O1203:$Q1203)&gt;0),"⚠ Tests cycle 3",IF(COUNT($J1203:$Q1203)&gt;=IF(IFERROR(VLOOKUP($C1203,TABLE_CYCLE,2,0),3)=2,5,8),"Complet","Incomplet"))))))))</f>
        <v/>
      </c>
      <c r="S1203" s="24"/>
      <c r="T1203" s="67" t="str">
        <f t="shared" si="163"/>
        <v/>
      </c>
      <c r="U1203" s="67" t="str">
        <f t="shared" si="164"/>
        <v/>
      </c>
      <c r="V1203" s="67" t="str">
        <f t="shared" si="165"/>
        <v/>
      </c>
      <c r="W1203" s="67" t="str">
        <f t="shared" si="166"/>
        <v/>
      </c>
      <c r="X1203" s="67" t="str">
        <f t="shared" si="167"/>
        <v/>
      </c>
      <c r="Y1203" s="24" t="str">
        <f t="shared" si="168"/>
        <v/>
      </c>
      <c r="Z1203">
        <f t="shared" si="169"/>
        <v>0</v>
      </c>
      <c r="AA1203">
        <f t="shared" si="170"/>
        <v>0</v>
      </c>
    </row>
    <row r="1204" spans="2:27" ht="15.75" customHeight="1" x14ac:dyDescent="0.3">
      <c r="B1204" s="25"/>
      <c r="C1204" s="25"/>
      <c r="D1204" s="25"/>
      <c r="E1204" s="26" t="str">
        <f t="shared" si="162"/>
        <v/>
      </c>
      <c r="F1204" s="25"/>
      <c r="G1204" s="25"/>
      <c r="H1204" s="25"/>
      <c r="I1204" s="25"/>
      <c r="J1204" s="25"/>
      <c r="K1204" s="25"/>
      <c r="L1204" s="25"/>
      <c r="M1204" s="25"/>
      <c r="N1204" s="25"/>
      <c r="O1204" s="25"/>
      <c r="P1204" s="25"/>
      <c r="Q1204" s="25"/>
      <c r="R1204" s="23" t="str">
        <f>IF($F1204="","",IF(OR($B1204="",$C1204="",$D1204=""),"⚠ Compléter Année/Niveau/Session",IF(AND($E1204&lt;&gt;"",COUNTIF(D_KEY_DOUBLON,$B1204&amp;"|"&amp;$D1204&amp;"|"&amp;$E1204)&gt;1),"⚠ Doublon",IF(AND($E1204&lt;&gt;"",COUNTIF(D_KEY_STATUT,$B1204&amp;"|"&amp;$E1204&amp;"|P")&gt;0,COUNTIF(D_KEY_STATUT,$B1204&amp;"|"&amp;$E1204&amp;"|A")&gt;0),"⚠ Statut incohérent",IF(AND($D1204="S1",$Y1204&lt;&gt;"Parti",COUNTIF(ANNEES_VERROU,$B1204)&gt;0,COUNTIF(D_KEY_NIVSES,$B1204&amp;"|"&amp;$C1204&amp;"|S2")&gt;0,COUNTIF(D_KEY_DOUBLON,$B1204&amp;"|S2|"&amp;$E1204)=0),"⚠ Départ non confirmé ?",IF(AND($C1204&lt;&gt;"",ISNUMBER($I1204),OR(VALUE(LEFT($B1204,4))-$I1204&lt;4+IFERROR(MATCH($C1204,LISTE_NIVEAUX,0),99),VALUE(LEFT($B1204,4))-$I1204&gt;6+IFERROR(MATCH($C1204,LISTE_NIVEAUX,0),99))),"⚠ Vérifier niveau",IF(AND(IFERROR(VLOOKUP($C1204,TABLE_CYCLE,2,0),3)=2,COUNT($O1204:$Q1204)&gt;0),"⚠ Tests cycle 3",IF(COUNT($J1204:$Q1204)&gt;=IF(IFERROR(VLOOKUP($C1204,TABLE_CYCLE,2,0),3)=2,5,8),"Complet","Incomplet"))))))))</f>
        <v/>
      </c>
      <c r="S1204" s="24"/>
      <c r="T1204" s="67" t="str">
        <f t="shared" si="163"/>
        <v/>
      </c>
      <c r="U1204" s="67" t="str">
        <f t="shared" si="164"/>
        <v/>
      </c>
      <c r="V1204" s="67" t="str">
        <f t="shared" si="165"/>
        <v/>
      </c>
      <c r="W1204" s="67" t="str">
        <f t="shared" si="166"/>
        <v/>
      </c>
      <c r="X1204" s="67" t="str">
        <f t="shared" si="167"/>
        <v/>
      </c>
      <c r="Y1204" s="24" t="str">
        <f t="shared" si="168"/>
        <v/>
      </c>
      <c r="Z1204">
        <f t="shared" si="169"/>
        <v>0</v>
      </c>
      <c r="AA1204">
        <f t="shared" si="170"/>
        <v>0</v>
      </c>
    </row>
    <row r="1205" spans="2:27" ht="15.75" customHeight="1" x14ac:dyDescent="0.3">
      <c r="B1205" s="21"/>
      <c r="C1205" s="21"/>
      <c r="D1205" s="21"/>
      <c r="E1205" s="22" t="str">
        <f t="shared" si="162"/>
        <v/>
      </c>
      <c r="F1205" s="21"/>
      <c r="G1205" s="21"/>
      <c r="H1205" s="21"/>
      <c r="I1205" s="21"/>
      <c r="J1205" s="21"/>
      <c r="K1205" s="21"/>
      <c r="L1205" s="21"/>
      <c r="M1205" s="21"/>
      <c r="N1205" s="21"/>
      <c r="O1205" s="21"/>
      <c r="P1205" s="21"/>
      <c r="Q1205" s="21"/>
      <c r="R1205" s="23" t="str">
        <f>IF($F1205="","",IF(OR($B1205="",$C1205="",$D1205=""),"⚠ Compléter Année/Niveau/Session",IF(AND($E1205&lt;&gt;"",COUNTIF(D_KEY_DOUBLON,$B1205&amp;"|"&amp;$D1205&amp;"|"&amp;$E1205)&gt;1),"⚠ Doublon",IF(AND($E1205&lt;&gt;"",COUNTIF(D_KEY_STATUT,$B1205&amp;"|"&amp;$E1205&amp;"|P")&gt;0,COUNTIF(D_KEY_STATUT,$B1205&amp;"|"&amp;$E1205&amp;"|A")&gt;0),"⚠ Statut incohérent",IF(AND($D1205="S1",$Y1205&lt;&gt;"Parti",COUNTIF(ANNEES_VERROU,$B1205)&gt;0,COUNTIF(D_KEY_NIVSES,$B1205&amp;"|"&amp;$C1205&amp;"|S2")&gt;0,COUNTIF(D_KEY_DOUBLON,$B1205&amp;"|S2|"&amp;$E1205)=0),"⚠ Départ non confirmé ?",IF(AND($C1205&lt;&gt;"",ISNUMBER($I1205),OR(VALUE(LEFT($B1205,4))-$I1205&lt;4+IFERROR(MATCH($C1205,LISTE_NIVEAUX,0),99),VALUE(LEFT($B1205,4))-$I1205&gt;6+IFERROR(MATCH($C1205,LISTE_NIVEAUX,0),99))),"⚠ Vérifier niveau",IF(AND(IFERROR(VLOOKUP($C1205,TABLE_CYCLE,2,0),3)=2,COUNT($O1205:$Q1205)&gt;0),"⚠ Tests cycle 3",IF(COUNT($J1205:$Q1205)&gt;=IF(IFERROR(VLOOKUP($C1205,TABLE_CYCLE,2,0),3)=2,5,8),"Complet","Incomplet"))))))))</f>
        <v/>
      </c>
      <c r="S1205" s="24"/>
      <c r="T1205" s="67" t="str">
        <f t="shared" si="163"/>
        <v/>
      </c>
      <c r="U1205" s="67" t="str">
        <f t="shared" si="164"/>
        <v/>
      </c>
      <c r="V1205" s="67" t="str">
        <f t="shared" si="165"/>
        <v/>
      </c>
      <c r="W1205" s="67" t="str">
        <f t="shared" si="166"/>
        <v/>
      </c>
      <c r="X1205" s="67" t="str">
        <f t="shared" si="167"/>
        <v/>
      </c>
      <c r="Y1205" s="24" t="str">
        <f t="shared" si="168"/>
        <v/>
      </c>
      <c r="Z1205">
        <f t="shared" si="169"/>
        <v>0</v>
      </c>
      <c r="AA1205">
        <f t="shared" si="170"/>
        <v>0</v>
      </c>
    </row>
    <row r="1206" spans="2:27" ht="15.75" customHeight="1" x14ac:dyDescent="0.3">
      <c r="B1206" s="25"/>
      <c r="C1206" s="25"/>
      <c r="D1206" s="25"/>
      <c r="E1206" s="26" t="str">
        <f t="shared" si="162"/>
        <v/>
      </c>
      <c r="F1206" s="25"/>
      <c r="G1206" s="25"/>
      <c r="H1206" s="25"/>
      <c r="I1206" s="25"/>
      <c r="J1206" s="25"/>
      <c r="K1206" s="25"/>
      <c r="L1206" s="25"/>
      <c r="M1206" s="25"/>
      <c r="N1206" s="25"/>
      <c r="O1206" s="25"/>
      <c r="P1206" s="25"/>
      <c r="Q1206" s="25"/>
      <c r="R1206" s="23" t="str">
        <f>IF($F1206="","",IF(OR($B1206="",$C1206="",$D1206=""),"⚠ Compléter Année/Niveau/Session",IF(AND($E1206&lt;&gt;"",COUNTIF(D_KEY_DOUBLON,$B1206&amp;"|"&amp;$D1206&amp;"|"&amp;$E1206)&gt;1),"⚠ Doublon",IF(AND($E1206&lt;&gt;"",COUNTIF(D_KEY_STATUT,$B1206&amp;"|"&amp;$E1206&amp;"|P")&gt;0,COUNTIF(D_KEY_STATUT,$B1206&amp;"|"&amp;$E1206&amp;"|A")&gt;0),"⚠ Statut incohérent",IF(AND($D1206="S1",$Y1206&lt;&gt;"Parti",COUNTIF(ANNEES_VERROU,$B1206)&gt;0,COUNTIF(D_KEY_NIVSES,$B1206&amp;"|"&amp;$C1206&amp;"|S2")&gt;0,COUNTIF(D_KEY_DOUBLON,$B1206&amp;"|S2|"&amp;$E1206)=0),"⚠ Départ non confirmé ?",IF(AND($C1206&lt;&gt;"",ISNUMBER($I1206),OR(VALUE(LEFT($B1206,4))-$I1206&lt;4+IFERROR(MATCH($C1206,LISTE_NIVEAUX,0),99),VALUE(LEFT($B1206,4))-$I1206&gt;6+IFERROR(MATCH($C1206,LISTE_NIVEAUX,0),99))),"⚠ Vérifier niveau",IF(AND(IFERROR(VLOOKUP($C1206,TABLE_CYCLE,2,0),3)=2,COUNT($O1206:$Q1206)&gt;0),"⚠ Tests cycle 3",IF(COUNT($J1206:$Q1206)&gt;=IF(IFERROR(VLOOKUP($C1206,TABLE_CYCLE,2,0),3)=2,5,8),"Complet","Incomplet"))))))))</f>
        <v/>
      </c>
      <c r="S1206" s="24"/>
      <c r="T1206" s="67" t="str">
        <f t="shared" si="163"/>
        <v/>
      </c>
      <c r="U1206" s="67" t="str">
        <f t="shared" si="164"/>
        <v/>
      </c>
      <c r="V1206" s="67" t="str">
        <f t="shared" si="165"/>
        <v/>
      </c>
      <c r="W1206" s="67" t="str">
        <f t="shared" si="166"/>
        <v/>
      </c>
      <c r="X1206" s="67" t="str">
        <f t="shared" si="167"/>
        <v/>
      </c>
      <c r="Y1206" s="24" t="str">
        <f t="shared" si="168"/>
        <v/>
      </c>
      <c r="Z1206">
        <f t="shared" si="169"/>
        <v>0</v>
      </c>
      <c r="AA1206">
        <f t="shared" si="170"/>
        <v>0</v>
      </c>
    </row>
    <row r="1208" spans="2:27" ht="18" customHeight="1" x14ac:dyDescent="0.3">
      <c r="B1208" s="9" t="s">
        <v>129</v>
      </c>
      <c r="C1208" s="9"/>
      <c r="E1208" s="9" t="s">
        <v>130</v>
      </c>
    </row>
    <row r="1209" spans="2:27" ht="15.75" customHeight="1" x14ac:dyDescent="0.3">
      <c r="B1209" s="27" t="s">
        <v>131</v>
      </c>
      <c r="C1209" s="27"/>
      <c r="E1209" s="27" t="s">
        <v>132</v>
      </c>
    </row>
    <row r="1210" spans="2:27" ht="15.75" customHeight="1" x14ac:dyDescent="0.3">
      <c r="B1210" s="27" t="s">
        <v>133</v>
      </c>
      <c r="C1210" s="27"/>
      <c r="E1210" s="27" t="s">
        <v>134</v>
      </c>
    </row>
    <row r="1211" spans="2:27" ht="15.75" customHeight="1" x14ac:dyDescent="0.3">
      <c r="B1211" s="27" t="s">
        <v>135</v>
      </c>
      <c r="C1211" s="27"/>
      <c r="E1211" s="27" t="s">
        <v>136</v>
      </c>
    </row>
    <row r="1212" spans="2:27" ht="15.75" customHeight="1" x14ac:dyDescent="0.3">
      <c r="B1212" s="27" t="s">
        <v>137</v>
      </c>
      <c r="C1212" s="27"/>
      <c r="E1212" s="27" t="s">
        <v>138</v>
      </c>
    </row>
    <row r="1213" spans="2:27" ht="15.75" customHeight="1" x14ac:dyDescent="0.3">
      <c r="B1213" s="27" t="s">
        <v>139</v>
      </c>
      <c r="C1213" s="27"/>
      <c r="E1213" s="27" t="s">
        <v>140</v>
      </c>
    </row>
    <row r="1214" spans="2:27" ht="15.75" customHeight="1" x14ac:dyDescent="0.3">
      <c r="B1214" s="27" t="s">
        <v>141</v>
      </c>
      <c r="C1214" s="27"/>
      <c r="E1214" s="27" t="s">
        <v>142</v>
      </c>
    </row>
    <row r="1216" spans="2:27" ht="14.25" customHeight="1" x14ac:dyDescent="0.3">
      <c r="B1216" s="9" t="s">
        <v>143</v>
      </c>
    </row>
    <row r="1217" spans="2:2" ht="14.25" customHeight="1" x14ac:dyDescent="0.3">
      <c r="B1217" s="27" t="s">
        <v>144</v>
      </c>
    </row>
    <row r="1218" spans="2:2" ht="14.25" customHeight="1" x14ac:dyDescent="0.3">
      <c r="B1218" s="27" t="s">
        <v>145</v>
      </c>
    </row>
    <row r="1219" spans="2:2" ht="14.25" customHeight="1" x14ac:dyDescent="0.3">
      <c r="B1219" s="27" t="s">
        <v>146</v>
      </c>
    </row>
    <row r="1220" spans="2:2" ht="14.25" customHeight="1" x14ac:dyDescent="0.3">
      <c r="B1220" s="27" t="s">
        <v>147</v>
      </c>
    </row>
    <row r="1221" spans="2:2" ht="14.25" customHeight="1" x14ac:dyDescent="0.3">
      <c r="B1221" s="27" t="s">
        <v>148</v>
      </c>
    </row>
    <row r="1222" spans="2:2" ht="14.25" customHeight="1" x14ac:dyDescent="0.3">
      <c r="B1222" s="27"/>
    </row>
  </sheetData>
  <sheetProtection formatCells="0" formatColumns="0" formatRows="0" insertRows="0" insertHyperlinks="0" deleteRows="0" sort="0" autoFilter="0"/>
  <mergeCells count="12">
    <mergeCell ref="F4:G4"/>
    <mergeCell ref="H4:I4"/>
    <mergeCell ref="J4:R4"/>
    <mergeCell ref="T5:Y5"/>
    <mergeCell ref="B5:S5"/>
    <mergeCell ref="T1:W2"/>
    <mergeCell ref="F3:G3"/>
    <mergeCell ref="H3:I3"/>
    <mergeCell ref="J3:R3"/>
    <mergeCell ref="T3:W3"/>
    <mergeCell ref="B1:S1"/>
    <mergeCell ref="B2:S2"/>
  </mergeCells>
  <conditionalFormatting sqref="B7:B1206 J4">
    <cfRule type="expression" dxfId="225" priority="44">
      <formula>$R7="⚠ Doublon"</formula>
    </cfRule>
  </conditionalFormatting>
  <conditionalFormatting sqref="B1209">
    <cfRule type="expression" dxfId="224" priority="55">
      <formula>B1209="Complet"</formula>
    </cfRule>
  </conditionalFormatting>
  <conditionalFormatting sqref="B1210">
    <cfRule type="expression" dxfId="223" priority="56">
      <formula>B1210="Incomplet"</formula>
    </cfRule>
  </conditionalFormatting>
  <conditionalFormatting sqref="B1211:B1214">
    <cfRule type="expression" dxfId="222" priority="57">
      <formula>LEFT(B1211,1)="⚠"</formula>
    </cfRule>
  </conditionalFormatting>
  <conditionalFormatting sqref="B7:D1206">
    <cfRule type="expression" dxfId="221" priority="2">
      <formula>AND($F7&lt;&gt;"",B7="")</formula>
    </cfRule>
    <cfRule type="expression" dxfId="220" priority="54">
      <formula>B7&lt;&gt;""</formula>
    </cfRule>
    <cfRule type="expression" dxfId="219" priority="53">
      <formula>B7=""</formula>
    </cfRule>
  </conditionalFormatting>
  <conditionalFormatting sqref="B7:F7 B8:S1206 H7:S7">
    <cfRule type="expression" dxfId="218" priority="3">
      <formula>AND($B7&lt;&gt;"",COUNTIF(ANNEES_VERROU,$B7)&gt;0)</formula>
    </cfRule>
  </conditionalFormatting>
  <conditionalFormatting sqref="B8:S1206 B7:F7 H7:S7 Y7:Y1206">
    <cfRule type="expression" dxfId="217" priority="59">
      <formula>$Y7="Parti"</formula>
    </cfRule>
  </conditionalFormatting>
  <conditionalFormatting sqref="C7:C1206">
    <cfRule type="expression" dxfId="216" priority="1" stopIfTrue="1">
      <formula>$AA7=1</formula>
    </cfRule>
  </conditionalFormatting>
  <conditionalFormatting sqref="D7:D1206 N4">
    <cfRule type="expression" dxfId="215" priority="45">
      <formula>$R7="⚠ Doublon"</formula>
    </cfRule>
  </conditionalFormatting>
  <conditionalFormatting sqref="F7 H7 F8:G1206">
    <cfRule type="expression" dxfId="214" priority="47">
      <formula>AND(F7&lt;&gt;"",F7&lt;&gt;TRIM(F7))</formula>
    </cfRule>
    <cfRule type="expression" dxfId="213" priority="46">
      <formula>$R7="⚠ Doublon"</formula>
    </cfRule>
  </conditionalFormatting>
  <conditionalFormatting sqref="F4:G4">
    <cfRule type="expression" dxfId="212" priority="62">
      <formula>$F$4=""</formula>
    </cfRule>
  </conditionalFormatting>
  <conditionalFormatting sqref="H8:H1206">
    <cfRule type="expression" dxfId="211" priority="58">
      <formula>AND($F8&lt;&gt;"",H8="")</formula>
    </cfRule>
  </conditionalFormatting>
  <conditionalFormatting sqref="H4:I4">
    <cfRule type="expression" dxfId="210" priority="63">
      <formula>$H$4=""</formula>
    </cfRule>
  </conditionalFormatting>
  <conditionalFormatting sqref="I7:I1206">
    <cfRule type="expression" dxfId="209" priority="50">
      <formula>AND($F7&lt;&gt;"",I7="")</formula>
    </cfRule>
  </conditionalFormatting>
  <conditionalFormatting sqref="I8:I1206">
    <cfRule type="expression" dxfId="208" priority="48">
      <formula>$R8="⚠ Doublon"</formula>
    </cfRule>
    <cfRule type="expression" dxfId="207" priority="49">
      <formula>AND($D8="S2",$I8="",$F8&lt;&gt;"")</formula>
    </cfRule>
  </conditionalFormatting>
  <conditionalFormatting sqref="J4">
    <cfRule type="expression" dxfId="206" priority="65">
      <formula>OR($F$4="",$H$4="")</formula>
    </cfRule>
    <cfRule type="expression" dxfId="205" priority="66">
      <formula>AND($F$4&lt;&gt;"",$H$4&lt;&gt;"")</formula>
    </cfRule>
  </conditionalFormatting>
  <conditionalFormatting sqref="J7">
    <cfRule type="expression" dxfId="204" priority="87">
      <formula>AND($F7&lt;&gt;"",J7="")</formula>
    </cfRule>
    <cfRule type="expression" dxfId="203" priority="86">
      <formula>AND($D7="S2",$J7="",$F7&lt;&gt;"")</formula>
    </cfRule>
    <cfRule type="expression" dxfId="202" priority="85">
      <formula>$R7="⚠ Doublon"</formula>
    </cfRule>
  </conditionalFormatting>
  <conditionalFormatting sqref="J8:J1206">
    <cfRule type="expression" dxfId="201" priority="7">
      <formula>AND($J8&lt;&gt;"",$J8&gt;INDEX(SEUIL_EQ,1),$J8&lt;=INDEX(SEUIL_EQ,2))</formula>
    </cfRule>
    <cfRule type="expression" dxfId="200" priority="4">
      <formula>AND($J8&lt;&gt;"",$J8&gt;INDEX(SEUIL_EQ,4),1)</formula>
    </cfRule>
    <cfRule type="expression" dxfId="199" priority="5">
      <formula>AND($J8&lt;&gt;"",$J8&gt;INDEX(SEUIL_EQ,3),$J8&lt;=INDEX(SEUIL_EQ,4))</formula>
    </cfRule>
    <cfRule type="expression" dxfId="198" priority="6">
      <formula>AND($J8&lt;&gt;"",$J8&gt;INDEX(SEUIL_EQ,2),$J8&lt;=INDEX(SEUIL_EQ,3))</formula>
    </cfRule>
    <cfRule type="expression" dxfId="197" priority="8">
      <formula>AND($J8&lt;&gt;"",$J8&lt;=INDEX(SEUIL_EQ,1),1)</formula>
    </cfRule>
  </conditionalFormatting>
  <conditionalFormatting sqref="K7">
    <cfRule type="expression" dxfId="196" priority="94">
      <formula>AND($K7&lt;&gt;"",$K7&gt;INDEX(SEUIL_EQ,3),$K7&lt;=INDEX(SEUIL_EQ,4))</formula>
    </cfRule>
    <cfRule type="expression" dxfId="195" priority="93">
      <formula>AND($K7&lt;&gt;"",$K7&gt;INDEX(SEUIL_EQ,4),1)</formula>
    </cfRule>
    <cfRule type="expression" dxfId="194" priority="95">
      <formula>AND($K7&lt;&gt;"",$K7&gt;INDEX(SEUIL_EQ,2),$K7&lt;=INDEX(SEUIL_EQ,3))</formula>
    </cfRule>
    <cfRule type="expression" dxfId="193" priority="96">
      <formula>AND($K7&lt;&gt;"",$K7&gt;INDEX(SEUIL_EQ,1),$K7&lt;=INDEX(SEUIL_EQ,2))</formula>
    </cfRule>
    <cfRule type="expression" dxfId="192" priority="97">
      <formula>AND($K7&lt;&gt;"",$K7&lt;=INDEX(SEUIL_EQ,1),1)</formula>
    </cfRule>
  </conditionalFormatting>
  <conditionalFormatting sqref="K8:K1206">
    <cfRule type="expression" dxfId="191" priority="39">
      <formula>$K8=1</formula>
    </cfRule>
    <cfRule type="expression" dxfId="190" priority="40">
      <formula>$K8=2</formula>
    </cfRule>
    <cfRule type="expression" dxfId="189" priority="41">
      <formula>$K8=3</formula>
    </cfRule>
    <cfRule type="expression" dxfId="188" priority="42">
      <formula>$K8=4</formula>
    </cfRule>
    <cfRule type="expression" dxfId="187" priority="43">
      <formula>$K8=5</formula>
    </cfRule>
  </conditionalFormatting>
  <conditionalFormatting sqref="L7">
    <cfRule type="expression" dxfId="186" priority="103">
      <formula>$L7=1</formula>
    </cfRule>
    <cfRule type="expression" dxfId="185" priority="104">
      <formula>$L7=2</formula>
    </cfRule>
    <cfRule type="expression" dxfId="184" priority="105">
      <formula>$L7=3</formula>
    </cfRule>
    <cfRule type="expression" dxfId="183" priority="106">
      <formula>$L7=4</formula>
    </cfRule>
    <cfRule type="expression" dxfId="182" priority="107">
      <formula>$L7=5</formula>
    </cfRule>
  </conditionalFormatting>
  <conditionalFormatting sqref="L8:L1206">
    <cfRule type="expression" dxfId="181" priority="34">
      <formula>AND($L8&lt;&gt;"",IF(IFERROR(VLOOKUP($C8,TABLE_CYCLE,2,0),3)=2,AND($L8&gt;INDEX(SEUIL_VI_C2,4),1),AND($L8&gt;INDEX(SEUIL_VI_C3,4),1)))</formula>
    </cfRule>
    <cfRule type="expression" dxfId="180" priority="35">
      <formula>AND($L8&lt;&gt;"",IF(IFERROR(VLOOKUP($C8,TABLE_CYCLE,2,0),3)=2,AND($L8&gt;INDEX(SEUIL_VI_C2,3),$L8&lt;=INDEX(SEUIL_VI_C2,4)),AND($L8&gt;INDEX(SEUIL_VI_C3,3),$L8&lt;=INDEX(SEUIL_VI_C3,4))))</formula>
    </cfRule>
    <cfRule type="expression" dxfId="179" priority="36">
      <formula>AND($L8&lt;&gt;"",IF(IFERROR(VLOOKUP($C8,TABLE_CYCLE,2,0),3)=2,AND($L8&gt;INDEX(SEUIL_VI_C2,2),$L8&lt;=INDEX(SEUIL_VI_C2,3)),AND($L8&gt;INDEX(SEUIL_VI_C3,2),$L8&lt;=INDEX(SEUIL_VI_C3,3))))</formula>
    </cfRule>
    <cfRule type="expression" dxfId="178" priority="37">
      <formula>AND($L8&lt;&gt;"",IF(IFERROR(VLOOKUP($C8,TABLE_CYCLE,2,0),3)=2,AND($L8&gt;INDEX(SEUIL_VI_C2,1),$L8&lt;=INDEX(SEUIL_VI_C2,2)),AND($L8&gt;INDEX(SEUIL_VI_C3,1),$L8&lt;=INDEX(SEUIL_VI_C3,2))))</formula>
    </cfRule>
    <cfRule type="expression" dxfId="177" priority="38">
      <formula>AND($L8&lt;&gt;"",IF(IFERROR(VLOOKUP($C8,TABLE_CYCLE,2,0),3)=2,AND($L8&lt;=INDEX(SEUIL_VI_C2,1),1),AND($L8&lt;=INDEX(SEUIL_VI_C3,1),1)))</formula>
    </cfRule>
  </conditionalFormatting>
  <conditionalFormatting sqref="M7">
    <cfRule type="expression" dxfId="176" priority="114">
      <formula>AND($M7&lt;&gt;"",IF(IFERROR(VLOOKUP($C7,TABLE_CYCLE,2,0),3)=2,AND($M7&gt;INDEX(SEUIL_VI_C2,3),$M7&lt;=INDEX(SEUIL_VI_C2,4)),AND($M7&gt;INDEX(SEUIL_VI_C3,3),$M7&lt;=INDEX(SEUIL_VI_C3,4))))</formula>
    </cfRule>
    <cfRule type="expression" dxfId="175" priority="113">
      <formula>AND($M7&lt;&gt;"",IF(IFERROR(VLOOKUP($C7,TABLE_CYCLE,2,0),3)=2,AND($M7&gt;INDEX(SEUIL_VI_C2,4),1),AND($M7&gt;INDEX(SEUIL_VI_C3,4),1)))</formula>
    </cfRule>
    <cfRule type="expression" dxfId="174" priority="115">
      <formula>AND($M7&lt;&gt;"",IF(IFERROR(VLOOKUP($C7,TABLE_CYCLE,2,0),3)=2,AND($M7&gt;INDEX(SEUIL_VI_C2,2),$M7&lt;=INDEX(SEUIL_VI_C2,3)),AND($M7&gt;INDEX(SEUIL_VI_C3,2),$M7&lt;=INDEX(SEUIL_VI_C3,3))))</formula>
    </cfRule>
    <cfRule type="expression" dxfId="173" priority="116">
      <formula>AND($M7&lt;&gt;"",IF(IFERROR(VLOOKUP($C7,TABLE_CYCLE,2,0),3)=2,AND($M7&gt;INDEX(SEUIL_VI_C2,1),$M7&lt;=INDEX(SEUIL_VI_C2,2)),AND($M7&gt;INDEX(SEUIL_VI_C3,1),$M7&lt;=INDEX(SEUIL_VI_C3,2))))</formula>
    </cfRule>
    <cfRule type="expression" dxfId="172" priority="117">
      <formula>AND($M7&lt;&gt;"",IF(IFERROR(VLOOKUP($C7,TABLE_CYCLE,2,0),3)=2,AND($M7&lt;=INDEX(SEUIL_VI_C2,1),1),AND($M7&lt;=INDEX(SEUIL_VI_C3,1),1)))</formula>
    </cfRule>
  </conditionalFormatting>
  <conditionalFormatting sqref="M8:M1206">
    <cfRule type="expression" dxfId="171" priority="13">
      <formula>AND($M8&lt;&gt;"",$M8&lt;=INDEX(SEUIL_EN,1),1)</formula>
    </cfRule>
    <cfRule type="expression" dxfId="170" priority="12">
      <formula>AND($M8&lt;&gt;"",$M8&gt;INDEX(SEUIL_EN,1),$M8&lt;=INDEX(SEUIL_EN,2))</formula>
    </cfRule>
    <cfRule type="expression" dxfId="169" priority="9">
      <formula>AND($M8&lt;&gt;"",$M8&gt;INDEX(SEUIL_EN,4),1)</formula>
    </cfRule>
    <cfRule type="expression" dxfId="168" priority="11">
      <formula>AND($M8&lt;&gt;"",$M8&gt;INDEX(SEUIL_EN,2),$M8&lt;=INDEX(SEUIL_EN,3))</formula>
    </cfRule>
    <cfRule type="expression" dxfId="167" priority="10">
      <formula>AND($M8&lt;&gt;"",$M8&gt;INDEX(SEUIL_EN,3),$M8&lt;=INDEX(SEUIL_EN,4))</formula>
    </cfRule>
  </conditionalFormatting>
  <conditionalFormatting sqref="N7">
    <cfRule type="expression" dxfId="166" priority="123">
      <formula>AND($N7&lt;&gt;"",$N7&gt;INDEX(SEUIL_EN,4),1)</formula>
    </cfRule>
    <cfRule type="expression" dxfId="165" priority="124">
      <formula>AND($N7&lt;&gt;"",$N7&gt;INDEX(SEUIL_EN,3),$N7&lt;=INDEX(SEUIL_EN,4))</formula>
    </cfRule>
    <cfRule type="expression" dxfId="164" priority="125">
      <formula>AND($N7&lt;&gt;"",$N7&gt;INDEX(SEUIL_EN,2),$N7&lt;=INDEX(SEUIL_EN,3))</formula>
    </cfRule>
    <cfRule type="expression" dxfId="163" priority="126">
      <formula>AND($N7&lt;&gt;"",$N7&gt;INDEX(SEUIL_EN,1),$N7&lt;=INDEX(SEUIL_EN,2))</formula>
    </cfRule>
    <cfRule type="expression" dxfId="162" priority="127">
      <formula>AND($N7&lt;&gt;"",$N7&lt;=INDEX(SEUIL_EN,1),1)</formula>
    </cfRule>
  </conditionalFormatting>
  <conditionalFormatting sqref="N8:N1206">
    <cfRule type="expression" dxfId="161" priority="17">
      <formula>AND($N8&lt;&gt;"",$N8&gt;INDEX(SEUIL_CO,1),$N8&lt;=INDEX(SEUIL_CO,2))</formula>
    </cfRule>
    <cfRule type="expression" dxfId="160" priority="16">
      <formula>AND($N8&lt;&gt;"",$N8&gt;INDEX(SEUIL_CO,2),$N8&lt;=INDEX(SEUIL_CO,3))</formula>
    </cfRule>
    <cfRule type="expression" dxfId="159" priority="15">
      <formula>AND($N8&lt;&gt;"",$N8&gt;INDEX(SEUIL_CO,3),$N8&lt;=INDEX(SEUIL_CO,4))</formula>
    </cfRule>
    <cfRule type="expression" dxfId="158" priority="14">
      <formula>AND($N8&lt;&gt;"",$N8&gt;INDEX(SEUIL_CO,4),1)</formula>
    </cfRule>
    <cfRule type="expression" dxfId="157" priority="18">
      <formula>AND($N8&lt;&gt;"",$N8&lt;=INDEX(SEUIL_CO,1),1)</formula>
    </cfRule>
  </conditionalFormatting>
  <conditionalFormatting sqref="O7">
    <cfRule type="expression" dxfId="156" priority="135">
      <formula>AND($O7&lt;&gt;"",$O7&gt;INDEX(SEUIL_CO,2),$O7&lt;=INDEX(SEUIL_CO,3))</formula>
    </cfRule>
    <cfRule type="expression" dxfId="155" priority="133">
      <formula>AND($O7&lt;&gt;"",$O7&gt;INDEX(SEUIL_CO,4),1)</formula>
    </cfRule>
    <cfRule type="expression" dxfId="154" priority="134">
      <formula>AND($O7&lt;&gt;"",$O7&gt;INDEX(SEUIL_CO,3),$O7&lt;=INDEX(SEUIL_CO,4))</formula>
    </cfRule>
    <cfRule type="expression" dxfId="153" priority="136">
      <formula>AND($O7&lt;&gt;"",$O7&gt;INDEX(SEUIL_CO,1),$O7&lt;=INDEX(SEUIL_CO,2))</formula>
    </cfRule>
    <cfRule type="expression" dxfId="152" priority="137">
      <formula>AND($O7&lt;&gt;"",$O7&lt;=INDEX(SEUIL_CO,1),1)</formula>
    </cfRule>
  </conditionalFormatting>
  <conditionalFormatting sqref="O8:O1206">
    <cfRule type="expression" dxfId="151" priority="23">
      <formula>AND($O8&lt;&gt;"",$O8&lt;=INDEX(SEUIL_GA,1),1)</formula>
    </cfRule>
    <cfRule type="expression" dxfId="150" priority="22">
      <formula>AND($O8&lt;&gt;"",$O8&gt;INDEX(SEUIL_GA,1),$O8&lt;=INDEX(SEUIL_GA,2))</formula>
    </cfRule>
    <cfRule type="expression" dxfId="149" priority="21">
      <formula>AND($O8&lt;&gt;"",$O8&gt;INDEX(SEUIL_GA,2),$O8&lt;=INDEX(SEUIL_GA,3))</formula>
    </cfRule>
    <cfRule type="expression" dxfId="148" priority="20">
      <formula>AND($O8&lt;&gt;"",$O8&gt;INDEX(SEUIL_GA,3),$O8&lt;=INDEX(SEUIL_GA,4))</formula>
    </cfRule>
    <cfRule type="expression" dxfId="147" priority="19">
      <formula>AND($O8&lt;&gt;"",$O8&gt;INDEX(SEUIL_GA,4),1)</formula>
    </cfRule>
  </conditionalFormatting>
  <conditionalFormatting sqref="P7">
    <cfRule type="expression" dxfId="146" priority="143">
      <formula>AND($P7&lt;&gt;"",$P7&gt;INDEX(SEUIL_GA,4),1)</formula>
    </cfRule>
    <cfRule type="expression" dxfId="145" priority="144">
      <formula>AND($P7&lt;&gt;"",$P7&gt;INDEX(SEUIL_GA,3),$P7&lt;=INDEX(SEUIL_GA,4))</formula>
    </cfRule>
    <cfRule type="expression" dxfId="144" priority="145">
      <formula>AND($P7&lt;&gt;"",$P7&gt;INDEX(SEUIL_GA,2),$P7&lt;=INDEX(SEUIL_GA,3))</formula>
    </cfRule>
    <cfRule type="expression" dxfId="143" priority="146">
      <formula>AND($P7&lt;&gt;"",$P7&gt;INDEX(SEUIL_GA,1),$P7&lt;=INDEX(SEUIL_GA,2))</formula>
    </cfRule>
    <cfRule type="expression" dxfId="142" priority="147">
      <formula>AND($P7&lt;&gt;"",$P7&lt;=INDEX(SEUIL_GA,1),1)</formula>
    </cfRule>
  </conditionalFormatting>
  <conditionalFormatting sqref="P8:P1206">
    <cfRule type="expression" dxfId="141" priority="28">
      <formula>AND($P8&lt;&gt;"",$P8&lt;=INDEX(SEUIL_AD,1),1)</formula>
    </cfRule>
    <cfRule type="expression" dxfId="140" priority="27">
      <formula>AND($P8&lt;&gt;"",$P8&gt;INDEX(SEUIL_AD,1),$P8&lt;=INDEX(SEUIL_AD,2))</formula>
    </cfRule>
    <cfRule type="expression" dxfId="139" priority="26">
      <formula>AND($P8&lt;&gt;"",$P8&gt;INDEX(SEUIL_AD,2),$P8&lt;=INDEX(SEUIL_AD,3))</formula>
    </cfRule>
    <cfRule type="expression" dxfId="138" priority="25">
      <formula>AND($P8&lt;&gt;"",$P8&gt;INDEX(SEUIL_AD,3),$P8&lt;=INDEX(SEUIL_AD,4))</formula>
    </cfRule>
    <cfRule type="expression" dxfId="137" priority="24">
      <formula>AND($P8&lt;&gt;"",$P8&gt;INDEX(SEUIL_AD,4),1)</formula>
    </cfRule>
  </conditionalFormatting>
  <conditionalFormatting sqref="P7:Q7 O8:Q1206">
    <cfRule type="expression" dxfId="136" priority="67">
      <formula>AND($C7&lt;&gt;"",IFERROR(VLOOKUP($C7,TABLE_CYCLE,2,0),3)=2)</formula>
    </cfRule>
  </conditionalFormatting>
  <conditionalFormatting sqref="Q7">
    <cfRule type="expression" dxfId="135" priority="155">
      <formula>AND($Q7&lt;&gt;"",$Q7&gt;INDEX(SEUIL_AD,4),1)</formula>
    </cfRule>
    <cfRule type="expression" dxfId="134" priority="156">
      <formula>AND($Q7&lt;&gt;"",$Q7&gt;INDEX(SEUIL_AD,3),$Q7&lt;=INDEX(SEUIL_AD,4))</formula>
    </cfRule>
    <cfRule type="expression" dxfId="133" priority="157">
      <formula>AND($Q7&lt;&gt;"",$Q7&gt;INDEX(SEUIL_AD,2),$Q7&lt;=INDEX(SEUIL_AD,3))</formula>
    </cfRule>
    <cfRule type="expression" dxfId="132" priority="158">
      <formula>AND($Q7&lt;&gt;"",$Q7&gt;INDEX(SEUIL_AD,1),$Q7&lt;=INDEX(SEUIL_AD,2))</formula>
    </cfRule>
    <cfRule type="expression" dxfId="131" priority="159">
      <formula>AND($Q7&lt;&gt;"",$Q7&lt;=INDEX(SEUIL_AD,1),1)</formula>
    </cfRule>
  </conditionalFormatting>
  <conditionalFormatting sqref="Q8:Q1206">
    <cfRule type="expression" dxfId="130" priority="29">
      <formula>AND($Q8&lt;&gt;"",$Q8&gt;INDEX(SEUIL_FO,4),1)</formula>
    </cfRule>
    <cfRule type="expression" dxfId="129" priority="33">
      <formula>AND($Q8&lt;&gt;"",$Q8&lt;=INDEX(SEUIL_FO,1),1)</formula>
    </cfRule>
    <cfRule type="expression" dxfId="128" priority="32">
      <formula>AND($Q8&lt;&gt;"",$Q8&gt;INDEX(SEUIL_FO,1),$Q8&lt;=INDEX(SEUIL_FO,2))</formula>
    </cfRule>
    <cfRule type="expression" dxfId="127" priority="31">
      <formula>AND($Q8&lt;&gt;"",$Q8&gt;INDEX(SEUIL_FO,2),$Q8&lt;=INDEX(SEUIL_FO,3))</formula>
    </cfRule>
    <cfRule type="expression" dxfId="126" priority="30">
      <formula>AND($Q8&lt;&gt;"",$Q8&gt;INDEX(SEUIL_FO,3),$Q8&lt;=INDEX(SEUIL_FO,4))</formula>
    </cfRule>
  </conditionalFormatting>
  <conditionalFormatting sqref="R7:S1206">
    <cfRule type="expression" dxfId="125" priority="52">
      <formula>$R7="Incomplet"</formula>
    </cfRule>
    <cfRule type="expression" dxfId="124" priority="51">
      <formula>$R7="Complet"</formula>
    </cfRule>
  </conditionalFormatting>
  <dataValidations count="17">
    <dataValidation type="list" allowBlank="1" showErrorMessage="1" errorTitle="Année invalide" error="Choisissez une année scolaire dans la liste. Si l'année est clôturée, la modification est bloquée." sqref="B7:B1206" xr:uid="{00000000-0002-0000-0200-000000000000}">
      <formula1>LISTE_ANNEES</formula1>
    </dataValidation>
    <dataValidation type="list" allowBlank="1" showErrorMessage="1" errorTitle="Année invalide" error="Sélectionnez une année scolaire dans la liste déroulante (ex : 2025-2026). Vérifiez la saisie." sqref="U4" xr:uid="{00000000-0002-0000-0200-000001000000}">
      <formula1>LISTE_ANNEES</formula1>
      <formula2>0</formula2>
    </dataValidation>
    <dataValidation type="list" allowBlank="1" showErrorMessage="1" errorTitle="Niveau invalide" error="Sélectionnez un niveau scolaire dans la liste déroulante (CP, CE1, CE2, CM1 ou CM2). Vérifiez la saisie." sqref="W4" xr:uid="{00000000-0002-0000-0200-000002000000}">
      <formula1>LISTE_NIVEAUX</formula1>
      <formula2>0</formula2>
    </dataValidation>
    <dataValidation type="list" allowBlank="1" showErrorMessage="1" errorTitle="Niveau invalide" error="Sélectionnez un niveau scolaire valide (CP, CE1, CE2, CM1 ou CM2). Si l'année est clôturée, la modification est bloquée." sqref="C7:C1206" xr:uid="{00000000-0002-0000-0200-000003000000}">
      <formula1>LISTE_NIVEAUX</formula1>
    </dataValidation>
    <dataValidation type="list" allowBlank="1" showErrorMessage="1" errorTitle="Statut invalide" error="Sélectionnez Actif ou Parti dans la liste déroulante." sqref="S7:S1206" xr:uid="{00000000-0002-0000-0200-000004000000}">
      <formula1>LISTE_STATUTS</formula1>
      <formula2>0</formula2>
    </dataValidation>
    <dataValidation type="list" allowBlank="1" showErrorMessage="1" errorTitle="Session invalide" error="Sélectionnez une session valide (S1 ou S2). Si l'année est clôturée, la modification est bloquée." sqref="D7:D1206" xr:uid="{00000000-0002-0000-0200-000005000000}">
      <formula1>LISTE_SESSIONS</formula1>
    </dataValidation>
    <dataValidation type="custom" allowBlank="1" showErrorMessage="1" errorTitle="Test réservé au Cycle 3" error="Ce test fait partie du Cycle 3 (CM1-CM2). Un élève de Cycle 2 (CP, CE1, CE2) ne passe que 5 tests : Équilibre, Souplesse, Vitesse, Endurance, Coordination. · Si cette ligne appartient à une année clôturée (feuille PARAMETRES), elle est en lecture seule." sqref="Q7:Q1206" xr:uid="{00000000-0002-0000-0200-00000F000000}">
      <formula1>AND($B7&lt;&gt;"",$C7&lt;&gt;"",$D7&lt;&gt;"",IFERROR(VLOOKUP($C7,TABLE_CYCLE,2,0),3)=3,COUNTIF(ANNEES_VERROU,$B7)=0,Q7&gt;=0,Q7&lt;=4)</formula1>
      <formula2>0</formula2>
    </dataValidation>
    <dataValidation type="list" operator="equal" allowBlank="1" showInputMessage="1" showErrorMessage="1" errorTitle="Mode de récupération" error="Choisissez « Session 2 (même année) » ou « Session 1 (année suivante) »." sqref="X4" xr:uid="{00000000-0002-0000-0200-000010000000}">
      <formula1>"→ Session 2 (même année),→ Session 1 (année suivante)"</formula1>
    </dataValidation>
    <dataValidation type="list" operator="equal" allowBlank="1" showInputMessage="1" showErrorMessage="1" errorTitle="Sexe" error="Choisissez F ou M dans la liste." sqref="H8:H1206 I7" xr:uid="{00000000-0002-0000-0200-000006000000}">
      <formula1>LISTE_SEXE</formula1>
    </dataValidation>
    <dataValidation type="list" operator="equal" allowBlank="1" showInputMessage="1" showErrorMessage="1" errorTitle="Année de naissance" error="Choisissez une année dans la liste (ou saisissez-la à 4 chiffres)." sqref="I8:I1206 J7" xr:uid="{00000000-0002-0000-0200-000007000000}">
      <formula1>LISTE_NAISSANCE</formula1>
    </dataValidation>
    <dataValidation type="custom" showErrorMessage="1" errorTitle="École et Ville obligatoires" error="Renseignez d'abord ÉCOLE et VILLE en haut de la feuille : ces informations sont indispensables au suivi longitudinal. · Si cette ligne appartient à une année clôturée (feuille PARAMETRES), elle est en lecture seule." sqref="F8:G1206 F7 H7" xr:uid="{00000000-0002-0000-0200-000008000000}">
      <formula1>AND($F$4&lt;&gt;"",$H$4&lt;&gt;"",COUNTIF(ANNEES_VERROU,$B7)=0)</formula1>
      <formula2>0</formula2>
    </dataValidation>
    <dataValidation type="custom" allowBlank="1" showErrorMessage="1" errorTitle="Étape manquante" error="Remplissez d'abord l'Année scolaire, le Niveau et la Session sur cette ligne avant de saisir une performance. · Si cette ligne appartient à une année clôturée (feuille PARAMETRES), elle est en lecture seule." sqref="J8:J1206 K7" xr:uid="{00000000-0002-0000-0200-000009000000}">
      <formula1>AND($B7&lt;&gt;"",$C7&lt;&gt;"",$D7&lt;&gt;"",COUNTIF(ANNEES_VERROU,$B7)=0,J7&gt;=0,J7&lt;=180)</formula1>
      <formula2>0</formula2>
    </dataValidation>
    <dataValidation type="custom" allowBlank="1" showErrorMessage="1" errorTitle="Étape manquante" error="Remplissez d'abord l'Année scolaire, le Niveau et la Session sur cette ligne avant de saisir une performance. · Si cette ligne appartient à une année clôturée (feuille PARAMETRES), elle est en lecture seule." sqref="K8:K1206 L7" xr:uid="{00000000-0002-0000-0200-00000A000000}">
      <formula1>AND($B7&lt;&gt;"",$C7&lt;&gt;"",$D7&lt;&gt;"",COUNTIF(ANNEES_VERROU,$B7)=0,INT(K7)=K7,K7&gt;=1,K7&lt;=5)</formula1>
      <formula2>0</formula2>
    </dataValidation>
    <dataValidation type="custom" allowBlank="1" showErrorMessage="1" errorTitle="Étape manquante" error="Remplissez d'abord l'Année scolaire, le Niveau et la Session sur cette ligne avant de saisir une performance. · Si cette ligne appartient à une année clôturée (feuille PARAMETRES), elle est en lecture seule." sqref="L8:L1206 M7" xr:uid="{00000000-0002-0000-0200-00000B000000}">
      <formula1>AND($B7&lt;&gt;"",$C7&lt;&gt;"",$D7&lt;&gt;"",COUNTIF(ANNEES_VERROU,$B7)=0,L7&gt;=0,L7&lt;=60)</formula1>
      <formula2>0</formula2>
    </dataValidation>
    <dataValidation type="custom" allowBlank="1" showErrorMessage="1" errorTitle="Étape manquante" error="Remplissez d'abord l'Année scolaire, le Niveau et la Session sur cette ligne avant de saisir une performance. · Si cette ligne appartient à une année clôturée (feuille PARAMETRES), elle est en lecture seule." sqref="M8:N1206 N7:O7" xr:uid="{00000000-0002-0000-0200-00000C000000}">
      <formula1>AND($B7&lt;&gt;"",$C7&lt;&gt;"",$D7&lt;&gt;"",COUNTIF(ANNEES_VERROU,$B7)=0,INT(M7)=M7,M7&gt;=0,M7&lt;=60)</formula1>
      <formula2>0</formula2>
    </dataValidation>
    <dataValidation type="custom" allowBlank="1" showErrorMessage="1" errorTitle="Test réservé au Cycle 3" error="Ce test fait partie du Cycle 3 (CM1-CM2). Un élève de Cycle 2 (CP, CE1, CE2) ne passe que 5 tests : Équilibre, Souplesse, Vitesse, Endurance, Coordination. · Si cette ligne appartient à une année clôturée (feuille PARAMETRES), elle est en lecture seule." sqref="O8:O1206 P7" xr:uid="{00000000-0002-0000-0200-00000D000000}">
      <formula1>AND($B7&lt;&gt;"",$C7&lt;&gt;"",$D7&lt;&gt;"",IFERROR(VLOOKUP($C7,TABLE_CYCLE,2,0),3)=3,COUNTIF(ANNEES_VERROU,$B7)=0,O7&gt;=0,O7&lt;=120)</formula1>
      <formula2>0</formula2>
    </dataValidation>
    <dataValidation type="custom" allowBlank="1" showErrorMessage="1" errorTitle="Test réservé au Cycle 3" error="Ce test fait partie du Cycle 3 (CM1-CM2). Un élève de Cycle 2 (CP, CE1, CE2) ne passe que 5 tests : Équilibre, Souplesse, Vitesse, Endurance, Coordination. · Si cette ligne appartient à une année clôturée (feuille PARAMETRES), elle est en lecture seule." sqref="P8:P1206 Q7" xr:uid="{00000000-0002-0000-0200-00000E000000}">
      <formula1>AND($B7&lt;&gt;"",$C7&lt;&gt;"",$D7&lt;&gt;"",IFERROR(VLOOKUP($C7,TABLE_CYCLE,2,0),3)=3,COUNTIF(ANNEES_VERROU,$B7)=0,INT(P7)=P7,P7&gt;=0,P7&lt;=60)</formula1>
      <formula2>0</formula2>
    </dataValidation>
  </dataValidations>
  <pageMargins left="0.75" right="0.75" top="1" bottom="1" header="0.511811023622047" footer="0.511811023622047"/>
  <pageSetup paperSize="9" fitToHeight="0" orientation="landscape" horizontalDpi="300" verticalDpi="300"/>
  <ignoredErrors>
    <ignoredError sqref="B8:S1206 R7:S7" evalError="1" twoDigitTextYear="1" numberStoredAsText="1" formula="1" formulaRange="1" unlockedFormula="1" emptyCellReference="1" listDataValidation="1" calculatedColumn="1"/>
  </ignoredErrors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ED7D31"/>
    <pageSetUpPr fitToPage="1"/>
  </sheetPr>
  <dimension ref="A1:Z1201"/>
  <sheetViews>
    <sheetView showGridLines="0" zoomScaleNormal="100" workbookViewId="0">
      <pane ySplit="3" topLeftCell="A6" activePane="bottomLeft" state="frozen"/>
      <selection pane="bottomLeft" activeCell="C4" sqref="C4:F4"/>
    </sheetView>
  </sheetViews>
  <sheetFormatPr baseColWidth="10" defaultColWidth="8.88671875" defaultRowHeight="14.4" x14ac:dyDescent="0.3"/>
  <cols>
    <col min="1" max="1" width="2.21875" customWidth="1"/>
    <col min="2" max="2" width="13" customWidth="1"/>
    <col min="3" max="3" width="10" customWidth="1"/>
    <col min="4" max="5" width="7" customWidth="1"/>
    <col min="6" max="6" width="13" customWidth="1"/>
    <col min="7" max="7" width="10" customWidth="1"/>
    <col min="8" max="9" width="7" customWidth="1"/>
    <col min="10" max="10" width="13" customWidth="1"/>
    <col min="11" max="11" width="10" customWidth="1"/>
    <col min="12" max="13" width="7" customWidth="1"/>
    <col min="14" max="14" width="13" customWidth="1"/>
    <col min="15" max="15" width="10" customWidth="1"/>
    <col min="16" max="17" width="7" customWidth="1"/>
    <col min="19" max="19" width="9" hidden="1" customWidth="1"/>
    <col min="20" max="26" width="13" hidden="1" customWidth="1"/>
  </cols>
  <sheetData>
    <row r="1" spans="1:26" ht="31.5" customHeight="1" x14ac:dyDescent="0.3">
      <c r="A1" s="279" t="s">
        <v>149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</row>
    <row r="2" spans="1:26" ht="18" customHeight="1" x14ac:dyDescent="0.3">
      <c r="A2" s="280" t="s">
        <v>150</v>
      </c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154" t="str">
        <f>HYPERLINK("#ACCUEIL!A1","← ACCUEIL")</f>
        <v>← ACCUEIL</v>
      </c>
      <c r="Y2" t="str">
        <f t="shared" ref="Y2:Y65" si="0">IFERROR(INDEX(D_IDUNIQUE,MATCH(ROW()-1,D_RANG_PROFIL,0)),"")</f>
        <v/>
      </c>
      <c r="Z2" t="str">
        <f t="shared" ref="Z2:Z65" si="1">IF($Y2="","",UPPER(INDEX(D_NOM,MATCH($Y2,D_ID,0)))&amp;" "&amp;INDEX(D_PRENOM,MATCH($Y2,D_ID,0))&amp;" — "&amp;INDEX(D_NIVEAU_ACTUEL,MATCH($Y2,D_ID,0)))</f>
        <v/>
      </c>
    </row>
    <row r="3" spans="1:26" ht="13.5" customHeight="1" x14ac:dyDescent="0.3">
      <c r="B3" s="27"/>
      <c r="C3" s="281" t="s">
        <v>151</v>
      </c>
      <c r="D3" s="281"/>
      <c r="E3" s="281"/>
      <c r="F3" s="281"/>
      <c r="G3" s="27"/>
      <c r="H3" s="281" t="s">
        <v>152</v>
      </c>
      <c r="I3" s="281"/>
      <c r="J3" s="27"/>
      <c r="K3" s="281" t="s">
        <v>153</v>
      </c>
      <c r="L3" s="281"/>
      <c r="M3" s="27"/>
      <c r="N3" t="str">
        <f>HYPERLINK("#'FICHE PARENTS'!A1","🖨 FICHE PARENTS →")</f>
        <v>🖨 FICHE PARENTS →</v>
      </c>
      <c r="Y3" t="str">
        <f t="shared" si="0"/>
        <v/>
      </c>
      <c r="Z3" t="str">
        <f t="shared" si="1"/>
        <v/>
      </c>
    </row>
    <row r="4" spans="1:26" ht="25.5" customHeight="1" x14ac:dyDescent="0.3">
      <c r="B4" s="28"/>
      <c r="C4" s="272"/>
      <c r="D4" s="272"/>
      <c r="E4" s="272"/>
      <c r="F4" s="272"/>
      <c r="G4" s="11"/>
      <c r="H4" s="272" t="s">
        <v>314</v>
      </c>
      <c r="I4" s="272"/>
      <c r="J4" s="11"/>
      <c r="K4" s="272" t="s">
        <v>154</v>
      </c>
      <c r="L4" s="272"/>
      <c r="M4" s="29"/>
      <c r="S4" t="str">
        <f>IFERROR(INDEX($Y$2:$Y$1201,MATCH($C$4,$Z$2:$Z$1201,0)),"")&amp;"|"&amp;$H$4&amp;"|"&amp;"S1"</f>
        <v>|2026-2027|S1</v>
      </c>
      <c r="T4" t="str">
        <f>IFERROR(INDEX($Y$2:$Y$1201,MATCH($C$4,$Z$2:$Z$1201,0)),"")&amp;"|"&amp;$H$4&amp;"|"&amp;"S2"</f>
        <v>|2026-2027|S2</v>
      </c>
      <c r="U4">
        <f>IFERROR(MATCH($S$4,D_KEY,0),0)</f>
        <v>0</v>
      </c>
      <c r="V4">
        <f>IFERROR(MATCH($T$4,D_KEY,0),0)</f>
        <v>0</v>
      </c>
      <c r="W4">
        <f>IF($U$4&lt;&gt;0,$U$4,$V$4)</f>
        <v>0</v>
      </c>
      <c r="X4">
        <f>IFERROR(IF(VLOOKUP($M$6,TABLE_CYCLE,2,0)=2,5,8),8)</f>
        <v>8</v>
      </c>
      <c r="Y4" t="str">
        <f t="shared" si="0"/>
        <v/>
      </c>
      <c r="Z4" t="str">
        <f t="shared" si="1"/>
        <v/>
      </c>
    </row>
    <row r="5" spans="1:26" ht="7.5" customHeight="1" x14ac:dyDescent="0.3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Y5" t="str">
        <f t="shared" si="0"/>
        <v/>
      </c>
      <c r="Z5" t="str">
        <f t="shared" si="1"/>
        <v/>
      </c>
    </row>
    <row r="6" spans="1:26" ht="18" customHeight="1" x14ac:dyDescent="0.3">
      <c r="B6" s="30" t="s">
        <v>155</v>
      </c>
      <c r="C6" s="282" t="str">
        <f>IF($W$4=0,"Aucun élève sélectionné",INDEX(D_NOM,$W$4))</f>
        <v>Aucun élève sélectionné</v>
      </c>
      <c r="D6" s="282"/>
      <c r="E6" s="282"/>
      <c r="F6" s="282"/>
      <c r="G6" s="30" t="s">
        <v>156</v>
      </c>
      <c r="H6" s="282" t="str">
        <f>IF($W$4=0,"—",INDEX(D_PRENOM,$W$4))</f>
        <v>—</v>
      </c>
      <c r="I6" s="282"/>
      <c r="L6" s="30" t="s">
        <v>107</v>
      </c>
      <c r="M6" s="282" t="str">
        <f>IF($W$4=0,"—",INDEX(D_NIVEAU,$W$4))</f>
        <v>—</v>
      </c>
      <c r="N6" s="282"/>
      <c r="X6">
        <f>IF(COUNT($D$30:$D$37)&gt;0,2,1)</f>
        <v>1</v>
      </c>
      <c r="Y6" t="str">
        <f t="shared" si="0"/>
        <v/>
      </c>
      <c r="Z6" t="str">
        <f t="shared" si="1"/>
        <v/>
      </c>
    </row>
    <row r="7" spans="1:26" ht="15.75" customHeight="1" x14ac:dyDescent="0.3">
      <c r="B7" s="32" t="s">
        <v>157</v>
      </c>
      <c r="C7" s="283" t="str">
        <f>IF($U$4&lt;&gt;0,"✓ Session 1 saisie","✗ Session 1 absente")</f>
        <v>✗ Session 1 absente</v>
      </c>
      <c r="D7" s="283"/>
      <c r="E7" s="283"/>
      <c r="F7" s="283" t="str">
        <f>IF($V$4&lt;&gt;0,"✓ Session 2 saisie","✗ Session 2 absente")</f>
        <v>✗ Session 2 absente</v>
      </c>
      <c r="G7" s="283"/>
      <c r="H7" s="283"/>
      <c r="J7" s="262" t="str">
        <f>IF(OR($W$4=0,$X$7=""),"","Point fort : "&amp;$X$7)</f>
        <v/>
      </c>
      <c r="K7" s="262"/>
      <c r="L7" s="262"/>
      <c r="M7" s="262"/>
      <c r="N7" s="303" t="str">
        <f>IF(OR($W$4=0,$X$8=""),"","À travailler : "&amp;$X$8)</f>
        <v/>
      </c>
      <c r="O7" s="303"/>
      <c r="P7" s="303"/>
      <c r="Q7" s="303"/>
      <c r="X7" t="str">
        <f>IFERROR(INDEX($B$30:$B$37,MATCH(_xlfn.MAXIFS($V$30:$V$37,$V$30:$V$37,"&gt;0"),$V$30:$V$37,0)),"")</f>
        <v>Équilibre</v>
      </c>
      <c r="Y7" t="str">
        <f t="shared" si="0"/>
        <v/>
      </c>
      <c r="Z7" t="str">
        <f t="shared" si="1"/>
        <v/>
      </c>
    </row>
    <row r="8" spans="1:26" ht="7.5" customHeight="1" x14ac:dyDescent="0.3">
      <c r="X8" t="str">
        <f>IFERROR(INDEX($B$30:$B$37,MATCH(_xlfn.MINIFS($V$30:$V$37,$V$30:$V$37,"&gt;0"),$V$30:$V$37,0)),"")</f>
        <v>Équilibre</v>
      </c>
      <c r="Y8" t="str">
        <f t="shared" si="0"/>
        <v/>
      </c>
      <c r="Z8" t="str">
        <f t="shared" si="1"/>
        <v/>
      </c>
    </row>
    <row r="9" spans="1:26" ht="30" customHeight="1" x14ac:dyDescent="0.3">
      <c r="B9" s="33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5"/>
      <c r="Y9" t="str">
        <f t="shared" si="0"/>
        <v/>
      </c>
      <c r="Z9" t="str">
        <f t="shared" si="1"/>
        <v/>
      </c>
    </row>
    <row r="10" spans="1:26" ht="19.5" customHeight="1" x14ac:dyDescent="0.3">
      <c r="B10" s="284" t="s">
        <v>2</v>
      </c>
      <c r="C10" s="284"/>
      <c r="D10" s="284"/>
      <c r="E10" s="284"/>
      <c r="F10" s="285" t="s">
        <v>3</v>
      </c>
      <c r="G10" s="285"/>
      <c r="H10" s="285"/>
      <c r="I10" s="285"/>
      <c r="J10" s="286" t="s">
        <v>4</v>
      </c>
      <c r="K10" s="286"/>
      <c r="L10" s="286"/>
      <c r="M10" s="286"/>
      <c r="N10" s="287" t="s">
        <v>5</v>
      </c>
      <c r="O10" s="287"/>
      <c r="P10" s="287"/>
      <c r="Q10" s="287"/>
      <c r="Y10" t="str">
        <f t="shared" si="0"/>
        <v/>
      </c>
      <c r="Z10" t="str">
        <f t="shared" si="1"/>
        <v/>
      </c>
    </row>
    <row r="11" spans="1:26" ht="13.5" customHeight="1" x14ac:dyDescent="0.3">
      <c r="B11" s="288" t="s">
        <v>158</v>
      </c>
      <c r="C11" s="288"/>
      <c r="D11" s="288"/>
      <c r="E11" s="288"/>
      <c r="F11" s="289" t="s">
        <v>159</v>
      </c>
      <c r="G11" s="289"/>
      <c r="H11" s="289"/>
      <c r="I11" s="289"/>
      <c r="J11" s="289" t="s">
        <v>160</v>
      </c>
      <c r="K11" s="289"/>
      <c r="L11" s="289"/>
      <c r="M11" s="289"/>
      <c r="N11" s="290" t="s">
        <v>161</v>
      </c>
      <c r="O11" s="290"/>
      <c r="P11" s="290"/>
      <c r="Q11" s="290"/>
      <c r="Y11" t="str">
        <f t="shared" si="0"/>
        <v/>
      </c>
      <c r="Z11" t="str">
        <f t="shared" si="1"/>
        <v/>
      </c>
    </row>
    <row r="12" spans="1:26" ht="12.75" customHeight="1" x14ac:dyDescent="0.3">
      <c r="B12" s="36"/>
      <c r="C12" s="37" t="s">
        <v>162</v>
      </c>
      <c r="D12" s="291" t="s">
        <v>33</v>
      </c>
      <c r="E12" s="291"/>
      <c r="G12" s="37" t="s">
        <v>162</v>
      </c>
      <c r="H12" s="291" t="s">
        <v>33</v>
      </c>
      <c r="I12" s="291"/>
      <c r="K12" s="37" t="s">
        <v>162</v>
      </c>
      <c r="L12" s="291" t="s">
        <v>33</v>
      </c>
      <c r="M12" s="291"/>
      <c r="O12" s="37" t="s">
        <v>162</v>
      </c>
      <c r="P12" s="292" t="s">
        <v>33</v>
      </c>
      <c r="Q12" s="292"/>
      <c r="Y12" t="str">
        <f t="shared" si="0"/>
        <v/>
      </c>
      <c r="Z12" t="str">
        <f t="shared" si="1"/>
        <v/>
      </c>
    </row>
    <row r="13" spans="1:26" ht="16.5" customHeight="1" x14ac:dyDescent="0.3">
      <c r="B13" s="38" t="s">
        <v>163</v>
      </c>
      <c r="C13" s="39" t="str">
        <f>IF($U$4=0,"",INDEX(D_EQ_PERF,$U$4))</f>
        <v/>
      </c>
      <c r="D13" s="293" t="str">
        <f>IF($U$4=0,"",INDEX(D_EQ_NIV,$U$4))</f>
        <v/>
      </c>
      <c r="E13" s="293"/>
      <c r="F13" s="40" t="s">
        <v>163</v>
      </c>
      <c r="G13" s="39" t="str">
        <f>IF($U$4=0,"",INDEX(D_SO_PERF,$U$4))</f>
        <v/>
      </c>
      <c r="H13" s="293" t="str">
        <f>IF($U$4=0,"",INDEX(D_SO_NIV,$U$4))</f>
        <v/>
      </c>
      <c r="I13" s="293"/>
      <c r="J13" s="40" t="s">
        <v>163</v>
      </c>
      <c r="K13" s="39" t="str">
        <f>IF($U$4=0,"",INDEX(D_VI_PERF,$U$4))</f>
        <v/>
      </c>
      <c r="L13" s="293" t="str">
        <f>IF($U$4=0,"",INDEX(D_VI_NIV,$U$4))</f>
        <v/>
      </c>
      <c r="M13" s="293"/>
      <c r="N13" s="40" t="s">
        <v>163</v>
      </c>
      <c r="O13" s="39" t="str">
        <f>IF($U$4=0,"",INDEX(D_EN_PERF,$U$4))</f>
        <v/>
      </c>
      <c r="P13" s="293" t="str">
        <f>IF($U$4=0,"",INDEX(D_EN_NIV,$U$4))</f>
        <v/>
      </c>
      <c r="Q13" s="293"/>
      <c r="Y13" t="str">
        <f t="shared" si="0"/>
        <v/>
      </c>
      <c r="Z13" t="str">
        <f t="shared" si="1"/>
        <v/>
      </c>
    </row>
    <row r="14" spans="1:26" ht="16.5" customHeight="1" x14ac:dyDescent="0.3">
      <c r="B14" s="38" t="s">
        <v>164</v>
      </c>
      <c r="C14" s="39" t="str">
        <f>IF($V$4=0,"",INDEX(D_EQ_PERF,$V$4))</f>
        <v/>
      </c>
      <c r="D14" s="293" t="str">
        <f>IF($V$4=0,"",INDEX(D_EQ_NIV,$V$4))</f>
        <v/>
      </c>
      <c r="E14" s="293"/>
      <c r="F14" s="40" t="s">
        <v>164</v>
      </c>
      <c r="G14" s="39" t="str">
        <f>IF($V$4=0,"",INDEX(D_SO_PERF,$V$4))</f>
        <v/>
      </c>
      <c r="H14" s="293" t="str">
        <f>IF($V$4=0,"",INDEX(D_SO_NIV,$V$4))</f>
        <v/>
      </c>
      <c r="I14" s="293"/>
      <c r="J14" s="40" t="s">
        <v>164</v>
      </c>
      <c r="K14" s="39" t="str">
        <f>IF($V$4=0,"",INDEX(D_VI_PERF,$V$4))</f>
        <v/>
      </c>
      <c r="L14" s="293" t="str">
        <f>IF($V$4=0,"",INDEX(D_VI_NIV,$V$4))</f>
        <v/>
      </c>
      <c r="M14" s="293"/>
      <c r="N14" s="40" t="s">
        <v>164</v>
      </c>
      <c r="O14" s="39" t="str">
        <f>IF($V$4=0,"",INDEX(D_EN_PERF,$V$4))</f>
        <v/>
      </c>
      <c r="P14" s="293" t="str">
        <f>IF($V$4=0,"",INDEX(D_EN_NIV,$V$4))</f>
        <v/>
      </c>
      <c r="Q14" s="293"/>
      <c r="Y14" t="str">
        <f t="shared" si="0"/>
        <v/>
      </c>
      <c r="Z14" t="str">
        <f t="shared" si="1"/>
        <v/>
      </c>
    </row>
    <row r="15" spans="1:26" ht="15.75" customHeight="1" x14ac:dyDescent="0.3">
      <c r="B15" s="41" t="s">
        <v>165</v>
      </c>
      <c r="C15" s="294" t="str">
        <f>IF(OR(D13="",D14=""),"Non testé",IF(D14-D13&gt;0,"▲ +"&amp;(D14-D13)&amp;" niv.",IF(D14-D13&lt;0,"▼ "&amp;(D14-D13)&amp;" niv.","➜ stable")))</f>
        <v>Non testé</v>
      </c>
      <c r="D15" s="294"/>
      <c r="E15" s="294"/>
      <c r="F15" s="42" t="s">
        <v>165</v>
      </c>
      <c r="G15" s="294" t="str">
        <f>IF(OR(H13="",H14=""),"Non testé",IF(H14-H13&gt;0,"▲ +"&amp;(H14-H13)&amp;" niv.",IF(H14-H13&lt;0,"▼ "&amp;(H14-H13)&amp;" niv.","➜ stable")))</f>
        <v>Non testé</v>
      </c>
      <c r="H15" s="294"/>
      <c r="I15" s="294"/>
      <c r="J15" s="42" t="s">
        <v>165</v>
      </c>
      <c r="K15" s="294" t="str">
        <f>IF(OR(L13="",L14=""),"Non testé",IF(L14-L13&gt;0,"▲ +"&amp;(L14-L13)&amp;" niv.",IF(L14-L13&lt;0,"▼ "&amp;(L14-L13)&amp;" niv.","➜ stable")))</f>
        <v>Non testé</v>
      </c>
      <c r="L15" s="294"/>
      <c r="M15" s="294"/>
      <c r="N15" s="42" t="s">
        <v>165</v>
      </c>
      <c r="O15" s="294" t="str">
        <f>IF(OR(P13="",P14=""),"Non testé",IF(P14-P13&gt;0,"▲ +"&amp;(P14-P13)&amp;" niv.",IF(P14-P13&lt;0,"▼ "&amp;(P14-P13)&amp;" niv.","➜ stable")))</f>
        <v>Non testé</v>
      </c>
      <c r="P15" s="294"/>
      <c r="Q15" s="294"/>
      <c r="Y15" t="str">
        <f t="shared" si="0"/>
        <v/>
      </c>
      <c r="Z15" t="str">
        <f t="shared" si="1"/>
        <v/>
      </c>
    </row>
    <row r="16" spans="1:26" ht="6" customHeight="1" x14ac:dyDescent="0.3">
      <c r="B16" s="36"/>
      <c r="Q16" s="43"/>
      <c r="Y16" t="str">
        <f t="shared" si="0"/>
        <v/>
      </c>
      <c r="Z16" t="str">
        <f t="shared" si="1"/>
        <v/>
      </c>
    </row>
    <row r="17" spans="2:26" ht="30" customHeight="1" x14ac:dyDescent="0.3">
      <c r="B17" s="295" t="str">
        <f>"Moy. niveau scolaire : "&amp;IFERROR(ROUND(AVERAGEIFS(D_EQ_NIV,D_ANNEE,$H$4,D_NIVEAU,$M$6,D_EQ_NIV,"&gt;0"),1),"Non réalisée")</f>
        <v>Moy. niveau scolaire : Non réalisée</v>
      </c>
      <c r="C17" s="295"/>
      <c r="D17" s="295"/>
      <c r="E17" s="295"/>
      <c r="F17" s="296" t="str">
        <f>"Moy. niveau scolaire : "&amp;IFERROR(ROUND(AVERAGEIFS(D_SO_NIV,D_ANNEE,$H$4,D_NIVEAU,$M$6,D_SO_NIV,"&gt;0"),1),"Non réalisée")</f>
        <v>Moy. niveau scolaire : Non réalisée</v>
      </c>
      <c r="G17" s="296"/>
      <c r="H17" s="296"/>
      <c r="I17" s="296"/>
      <c r="J17" s="296" t="str">
        <f>"Moy. niveau scolaire : "&amp;IFERROR(ROUND(AVERAGEIFS(D_VI_NIV,D_ANNEE,$H$4,D_NIVEAU,$M$6,D_VI_NIV,"&gt;0"),1),"Non réalisée")</f>
        <v>Moy. niveau scolaire : Non réalisée</v>
      </c>
      <c r="K17" s="296"/>
      <c r="L17" s="296"/>
      <c r="M17" s="296"/>
      <c r="N17" s="297" t="str">
        <f>"Moy. niveau scolaire : "&amp;IFERROR(ROUND(AVERAGEIFS(D_EN_NIV,D_ANNEE,$H$4,D_NIVEAU,$M$6,D_EN_NIV,"&gt;0"),1),"Non réalisée")</f>
        <v>Moy. niveau scolaire : Non réalisée</v>
      </c>
      <c r="O17" s="297"/>
      <c r="P17" s="297"/>
      <c r="Q17" s="297"/>
      <c r="Y17" t="str">
        <f t="shared" si="0"/>
        <v/>
      </c>
      <c r="Z17" t="str">
        <f t="shared" si="1"/>
        <v/>
      </c>
    </row>
    <row r="18" spans="2:26" ht="30" customHeight="1" x14ac:dyDescent="0.3">
      <c r="Y18" t="str">
        <f t="shared" si="0"/>
        <v/>
      </c>
      <c r="Z18" t="str">
        <f t="shared" si="1"/>
        <v/>
      </c>
    </row>
    <row r="19" spans="2:26" ht="19.5" customHeight="1" x14ac:dyDescent="0.3">
      <c r="B19" s="298" t="s">
        <v>6</v>
      </c>
      <c r="C19" s="298"/>
      <c r="D19" s="298"/>
      <c r="E19" s="298"/>
      <c r="F19" s="299" t="s">
        <v>7</v>
      </c>
      <c r="G19" s="299"/>
      <c r="H19" s="299"/>
      <c r="I19" s="299"/>
      <c r="J19" s="300" t="s">
        <v>8</v>
      </c>
      <c r="K19" s="300"/>
      <c r="L19" s="300"/>
      <c r="M19" s="300"/>
      <c r="N19" s="301" t="s">
        <v>9</v>
      </c>
      <c r="O19" s="301"/>
      <c r="P19" s="301"/>
      <c r="Q19" s="301"/>
      <c r="Y19" t="str">
        <f t="shared" si="0"/>
        <v/>
      </c>
      <c r="Z19" t="str">
        <f t="shared" si="1"/>
        <v/>
      </c>
    </row>
    <row r="20" spans="2:26" ht="13.5" customHeight="1" x14ac:dyDescent="0.3">
      <c r="B20" s="288" t="s">
        <v>166</v>
      </c>
      <c r="C20" s="288"/>
      <c r="D20" s="288"/>
      <c r="E20" s="288"/>
      <c r="F20" s="289" t="s">
        <v>158</v>
      </c>
      <c r="G20" s="289"/>
      <c r="H20" s="289"/>
      <c r="I20" s="289"/>
      <c r="J20" s="289" t="s">
        <v>167</v>
      </c>
      <c r="K20" s="289"/>
      <c r="L20" s="289"/>
      <c r="M20" s="289"/>
      <c r="N20" s="290" t="s">
        <v>168</v>
      </c>
      <c r="O20" s="290"/>
      <c r="P20" s="290"/>
      <c r="Q20" s="290"/>
      <c r="Y20" t="str">
        <f t="shared" si="0"/>
        <v/>
      </c>
      <c r="Z20" t="str">
        <f t="shared" si="1"/>
        <v/>
      </c>
    </row>
    <row r="21" spans="2:26" ht="12.75" customHeight="1" x14ac:dyDescent="0.3">
      <c r="B21" s="36"/>
      <c r="C21" s="37" t="s">
        <v>162</v>
      </c>
      <c r="D21" s="291" t="s">
        <v>33</v>
      </c>
      <c r="E21" s="291"/>
      <c r="G21" s="37" t="s">
        <v>162</v>
      </c>
      <c r="H21" s="291" t="s">
        <v>33</v>
      </c>
      <c r="I21" s="291"/>
      <c r="K21" s="37" t="s">
        <v>162</v>
      </c>
      <c r="L21" s="291" t="s">
        <v>33</v>
      </c>
      <c r="M21" s="291"/>
      <c r="O21" s="37" t="s">
        <v>162</v>
      </c>
      <c r="P21" s="292" t="s">
        <v>33</v>
      </c>
      <c r="Q21" s="292"/>
      <c r="Y21" t="str">
        <f t="shared" si="0"/>
        <v/>
      </c>
      <c r="Z21" t="str">
        <f t="shared" si="1"/>
        <v/>
      </c>
    </row>
    <row r="22" spans="2:26" ht="16.5" customHeight="1" x14ac:dyDescent="0.3">
      <c r="B22" s="38" t="s">
        <v>163</v>
      </c>
      <c r="C22" s="39" t="str">
        <f>IF($U$4=0,"",INDEX(D_CO_PERF,$U$4))</f>
        <v/>
      </c>
      <c r="D22" s="293" t="str">
        <f>IF($U$4=0,"",INDEX(D_CO_NIV,$U$4))</f>
        <v/>
      </c>
      <c r="E22" s="293"/>
      <c r="F22" s="40" t="s">
        <v>163</v>
      </c>
      <c r="G22" s="39" t="str">
        <f>IF($U$4=0,"",INDEX(D_GA_PERF,$U$4))</f>
        <v/>
      </c>
      <c r="H22" s="293" t="str">
        <f>IF($U$4=0,"",INDEX(D_GA_NIV,$U$4))</f>
        <v/>
      </c>
      <c r="I22" s="293"/>
      <c r="J22" s="40" t="s">
        <v>163</v>
      </c>
      <c r="K22" s="39" t="str">
        <f>IF($U$4=0,"",INDEX(D_AD_PERF,$U$4))</f>
        <v/>
      </c>
      <c r="L22" s="293" t="str">
        <f>IF($U$4=0,"",INDEX(D_AD_NIV,$U$4))</f>
        <v/>
      </c>
      <c r="M22" s="293"/>
      <c r="N22" s="40" t="s">
        <v>163</v>
      </c>
      <c r="O22" s="39" t="str">
        <f>IF($U$4=0,"",INDEX(D_FO_PERF,$U$4))</f>
        <v/>
      </c>
      <c r="P22" s="293" t="str">
        <f>IF($U$4=0,"",INDEX(D_FO_NIV,$U$4))</f>
        <v/>
      </c>
      <c r="Q22" s="293"/>
      <c r="Y22" t="str">
        <f t="shared" si="0"/>
        <v/>
      </c>
      <c r="Z22" t="str">
        <f t="shared" si="1"/>
        <v/>
      </c>
    </row>
    <row r="23" spans="2:26" ht="16.5" customHeight="1" x14ac:dyDescent="0.3">
      <c r="B23" s="38" t="s">
        <v>164</v>
      </c>
      <c r="C23" s="39" t="str">
        <f>IF($V$4=0,"",INDEX(D_CO_PERF,$V$4))</f>
        <v/>
      </c>
      <c r="D23" s="293" t="str">
        <f>IF($V$4=0,"",INDEX(D_CO_NIV,$V$4))</f>
        <v/>
      </c>
      <c r="E23" s="293"/>
      <c r="F23" s="40" t="s">
        <v>164</v>
      </c>
      <c r="G23" s="39" t="str">
        <f>IF($V$4=0,"",INDEX(D_GA_PERF,$V$4))</f>
        <v/>
      </c>
      <c r="H23" s="293" t="str">
        <f>IF($V$4=0,"",INDEX(D_GA_NIV,$V$4))</f>
        <v/>
      </c>
      <c r="I23" s="293"/>
      <c r="J23" s="40" t="s">
        <v>164</v>
      </c>
      <c r="K23" s="39" t="str">
        <f>IF($V$4=0,"",INDEX(D_AD_PERF,$V$4))</f>
        <v/>
      </c>
      <c r="L23" s="293" t="str">
        <f>IF($V$4=0,"",INDEX(D_AD_NIV,$V$4))</f>
        <v/>
      </c>
      <c r="M23" s="293"/>
      <c r="N23" s="40" t="s">
        <v>164</v>
      </c>
      <c r="O23" s="39" t="str">
        <f>IF($V$4=0,"",INDEX(D_FO_PERF,$V$4))</f>
        <v/>
      </c>
      <c r="P23" s="293" t="str">
        <f>IF($V$4=0,"",INDEX(D_FO_NIV,$V$4))</f>
        <v/>
      </c>
      <c r="Q23" s="293"/>
      <c r="Y23" t="str">
        <f t="shared" si="0"/>
        <v/>
      </c>
      <c r="Z23" t="str">
        <f t="shared" si="1"/>
        <v/>
      </c>
    </row>
    <row r="24" spans="2:26" ht="15.75" customHeight="1" x14ac:dyDescent="0.3">
      <c r="B24" s="41" t="s">
        <v>165</v>
      </c>
      <c r="C24" s="294" t="str">
        <f>IF(OR(D22="",D23=""),"Non testé",IF(D23-D22&gt;0,"▲ +"&amp;(D23-D22)&amp;" niv.",IF(D23-D22&lt;0,"▼ "&amp;(D23-D22)&amp;" niv.","➜ stable")))</f>
        <v>Non testé</v>
      </c>
      <c r="D24" s="294"/>
      <c r="E24" s="294"/>
      <c r="F24" s="42" t="s">
        <v>165</v>
      </c>
      <c r="G24" s="294" t="str">
        <f>IF(OR(H22="",H23=""),"Non testé",IF(H23-H22&gt;0,"▲ +"&amp;(H23-H22)&amp;" niv.",IF(H23-H22&lt;0,"▼ "&amp;(H23-H22)&amp;" niv.","➜ stable")))</f>
        <v>Non testé</v>
      </c>
      <c r="H24" s="294"/>
      <c r="I24" s="294"/>
      <c r="J24" s="42" t="s">
        <v>165</v>
      </c>
      <c r="K24" s="294" t="str">
        <f>IF(OR(L22="",L23=""),"Non testé",IF(L23-L22&gt;0,"▲ +"&amp;(L23-L22)&amp;" niv.",IF(L23-L22&lt;0,"▼ "&amp;(L23-L22)&amp;" niv.","➜ stable")))</f>
        <v>Non testé</v>
      </c>
      <c r="L24" s="294"/>
      <c r="M24" s="294"/>
      <c r="N24" s="42" t="s">
        <v>165</v>
      </c>
      <c r="O24" s="294" t="str">
        <f>IF(OR(P22="",P23=""),"Non testé",IF(P23-P22&gt;0,"▲ +"&amp;(P23-P22)&amp;" niv.",IF(P23-P22&lt;0,"▼ "&amp;(P23-P22)&amp;" niv.","➜ stable")))</f>
        <v>Non testé</v>
      </c>
      <c r="P24" s="294"/>
      <c r="Q24" s="294"/>
      <c r="Y24" t="str">
        <f t="shared" si="0"/>
        <v/>
      </c>
      <c r="Z24" t="str">
        <f t="shared" si="1"/>
        <v/>
      </c>
    </row>
    <row r="25" spans="2:26" ht="15.75" customHeight="1" x14ac:dyDescent="0.3">
      <c r="B25" s="295" t="str">
        <f>"Moy. niveau scolaire : "&amp;IFERROR(ROUND(AVERAGEIFS(D_CO_NIV,D_ANNEE,$H$4,D_NIVEAU,$M$6,D_CO_NIV,"&gt;0"),1),"Non réalisée")</f>
        <v>Moy. niveau scolaire : Non réalisée</v>
      </c>
      <c r="C25" s="295"/>
      <c r="D25" s="295"/>
      <c r="E25" s="295"/>
      <c r="F25" s="296" t="str">
        <f>"Moy. niveau scolaire : "&amp;IFERROR(ROUND(AVERAGEIFS(D_GA_NIV,D_ANNEE,$H$4,D_NIVEAU,$M$6,D_GA_NIV,"&gt;0"),1),"Non réalisée")</f>
        <v>Moy. niveau scolaire : Non réalisée</v>
      </c>
      <c r="G25" s="296"/>
      <c r="H25" s="296"/>
      <c r="I25" s="296"/>
      <c r="J25" s="296" t="str">
        <f>"Moy. niveau scolaire : "&amp;IFERROR(ROUND(AVERAGEIFS(D_AD_NIV,D_ANNEE,$H$4,D_NIVEAU,$M$6,D_AD_NIV,"&gt;0"),1),"Non réalisée")</f>
        <v>Moy. niveau scolaire : Non réalisée</v>
      </c>
      <c r="K25" s="296"/>
      <c r="L25" s="296"/>
      <c r="M25" s="296"/>
      <c r="N25" s="297" t="str">
        <f>"Moy. niveau scolaire : "&amp;IFERROR(ROUND(AVERAGEIFS(D_FO_NIV,D_ANNEE,$H$4,D_NIVEAU,$M$6,D_FO_NIV,"&gt;0"),1),"Non réalisée")</f>
        <v>Moy. niveau scolaire : Non réalisée</v>
      </c>
      <c r="O25" s="297"/>
      <c r="P25" s="297"/>
      <c r="Q25" s="297"/>
      <c r="Y25" t="str">
        <f t="shared" si="0"/>
        <v/>
      </c>
      <c r="Z25" t="str">
        <f t="shared" si="1"/>
        <v/>
      </c>
    </row>
    <row r="26" spans="2:26" ht="15.75" customHeight="1" x14ac:dyDescent="0.3">
      <c r="B26" s="304" t="s">
        <v>169</v>
      </c>
      <c r="C26" s="304"/>
      <c r="D26" s="304"/>
      <c r="E26" s="304"/>
      <c r="F26" s="304"/>
      <c r="G26" s="304"/>
      <c r="H26" s="304"/>
      <c r="I26" s="304"/>
      <c r="J26" s="304"/>
      <c r="K26" s="304"/>
      <c r="L26" s="304"/>
      <c r="M26" s="304"/>
      <c r="N26" s="304"/>
      <c r="O26" s="304"/>
      <c r="P26" s="304"/>
      <c r="Q26" s="304"/>
      <c r="Y26" t="str">
        <f t="shared" si="0"/>
        <v/>
      </c>
      <c r="Z26" t="str">
        <f t="shared" si="1"/>
        <v/>
      </c>
    </row>
    <row r="27" spans="2:26" ht="14.25" customHeight="1" x14ac:dyDescent="0.3">
      <c r="B27" s="36"/>
      <c r="Q27" s="43"/>
      <c r="Y27" t="str">
        <f t="shared" si="0"/>
        <v/>
      </c>
      <c r="Z27" t="str">
        <f t="shared" si="1"/>
        <v/>
      </c>
    </row>
    <row r="28" spans="2:26" ht="14.25" customHeight="1" x14ac:dyDescent="0.3">
      <c r="B28" s="302" t="s">
        <v>170</v>
      </c>
      <c r="C28" s="302"/>
      <c r="D28" s="302"/>
      <c r="E28" s="302"/>
      <c r="F28" s="302"/>
      <c r="G28" s="44" t="s">
        <v>171</v>
      </c>
      <c r="H28" s="45" t="s">
        <v>172</v>
      </c>
      <c r="I28" s="46" t="s">
        <v>173</v>
      </c>
      <c r="J28" s="47" t="s">
        <v>174</v>
      </c>
      <c r="K28" s="48" t="s">
        <v>175</v>
      </c>
      <c r="Q28" s="43"/>
      <c r="Y28" t="str">
        <f t="shared" si="0"/>
        <v/>
      </c>
      <c r="Z28" t="str">
        <f t="shared" si="1"/>
        <v/>
      </c>
    </row>
    <row r="29" spans="2:26" ht="14.25" hidden="1" customHeight="1" x14ac:dyDescent="0.3">
      <c r="B29" s="49" t="s">
        <v>44</v>
      </c>
      <c r="C29" s="50" t="s">
        <v>163</v>
      </c>
      <c r="D29" s="50" t="s">
        <v>164</v>
      </c>
      <c r="E29" t="s">
        <v>176</v>
      </c>
      <c r="Q29" s="43"/>
      <c r="Y29" t="str">
        <f t="shared" si="0"/>
        <v/>
      </c>
      <c r="Z29" t="str">
        <f t="shared" si="1"/>
        <v/>
      </c>
    </row>
    <row r="30" spans="2:26" ht="14.25" hidden="1" customHeight="1" x14ac:dyDescent="0.3">
      <c r="B30" s="51" t="s">
        <v>2</v>
      </c>
      <c r="C30" s="52" t="e">
        <f>IF(D13="",NA(),D13)</f>
        <v>#N/A</v>
      </c>
      <c r="D30" s="52" t="e">
        <f>IF(D14="",NA(),D14)</f>
        <v>#N/A</v>
      </c>
      <c r="E30" t="e">
        <f>IFERROR(AVERAGEIFS(D_EQ_NIV,D_ANNEE,$H$4,D_NIVEAU,$M$6,D_EQ_NIV,"&gt;0"),NA())</f>
        <v>#N/A</v>
      </c>
      <c r="F30">
        <v>5.5</v>
      </c>
      <c r="Q30" s="43"/>
      <c r="V30">
        <f t="shared" ref="V30:V37" si="2">IFERROR(IF($X$6=2,D30,C30),0)</f>
        <v>0</v>
      </c>
      <c r="Y30" t="str">
        <f t="shared" si="0"/>
        <v/>
      </c>
      <c r="Z30" t="str">
        <f t="shared" si="1"/>
        <v/>
      </c>
    </row>
    <row r="31" spans="2:26" ht="14.25" hidden="1" customHeight="1" x14ac:dyDescent="0.3">
      <c r="B31" s="51" t="s">
        <v>3</v>
      </c>
      <c r="C31" s="52" t="e">
        <f>IF(H13="",NA(),H13)</f>
        <v>#N/A</v>
      </c>
      <c r="D31" s="52" t="e">
        <f>IF(H14="",NA(),H14)</f>
        <v>#N/A</v>
      </c>
      <c r="E31" t="e">
        <f>IFERROR(AVERAGEIFS(D_SO_NIV,D_ANNEE,$H$4,D_NIVEAU,$M$6,D_SO_NIV,"&gt;0"),NA())</f>
        <v>#N/A</v>
      </c>
      <c r="F31">
        <v>5.5</v>
      </c>
      <c r="Q31" s="43"/>
      <c r="V31">
        <f t="shared" si="2"/>
        <v>0</v>
      </c>
      <c r="Y31" t="str">
        <f t="shared" si="0"/>
        <v/>
      </c>
      <c r="Z31" t="str">
        <f t="shared" si="1"/>
        <v/>
      </c>
    </row>
    <row r="32" spans="2:26" ht="14.25" hidden="1" customHeight="1" x14ac:dyDescent="0.3">
      <c r="B32" s="51" t="s">
        <v>4</v>
      </c>
      <c r="C32" s="52" t="e">
        <f>IF(L13="",NA(),L13)</f>
        <v>#N/A</v>
      </c>
      <c r="D32" s="52" t="e">
        <f>IF(L14="",NA(),L14)</f>
        <v>#N/A</v>
      </c>
      <c r="E32" t="e">
        <f>IFERROR(AVERAGEIFS(D_VI_NIV,D_ANNEE,$H$4,D_NIVEAU,$M$6,D_VI_NIV,"&gt;0"),NA())</f>
        <v>#N/A</v>
      </c>
      <c r="F32">
        <v>5.5</v>
      </c>
      <c r="Q32" s="43"/>
      <c r="V32">
        <f t="shared" si="2"/>
        <v>0</v>
      </c>
      <c r="Y32" t="str">
        <f t="shared" si="0"/>
        <v/>
      </c>
      <c r="Z32" t="str">
        <f t="shared" si="1"/>
        <v/>
      </c>
    </row>
    <row r="33" spans="2:26" ht="14.25" hidden="1" customHeight="1" x14ac:dyDescent="0.3">
      <c r="B33" s="51" t="s">
        <v>5</v>
      </c>
      <c r="C33" s="52" t="e">
        <f>IF(P13="",NA(),P13)</f>
        <v>#N/A</v>
      </c>
      <c r="D33" s="52" t="e">
        <f>IF(P14="",NA(),P14)</f>
        <v>#N/A</v>
      </c>
      <c r="E33" t="e">
        <f>IFERROR(AVERAGEIFS(D_EN_NIV,D_ANNEE,$H$4,D_NIVEAU,$M$6,D_EN_NIV,"&gt;0"),NA())</f>
        <v>#N/A</v>
      </c>
      <c r="F33">
        <v>5.5</v>
      </c>
      <c r="Q33" s="43"/>
      <c r="V33">
        <f t="shared" si="2"/>
        <v>0</v>
      </c>
      <c r="Y33" t="str">
        <f t="shared" si="0"/>
        <v/>
      </c>
      <c r="Z33" t="str">
        <f t="shared" si="1"/>
        <v/>
      </c>
    </row>
    <row r="34" spans="2:26" ht="14.25" hidden="1" customHeight="1" x14ac:dyDescent="0.3">
      <c r="B34" s="51" t="s">
        <v>6</v>
      </c>
      <c r="C34" s="52" t="e">
        <f>IF(D22="",NA(),D22)</f>
        <v>#N/A</v>
      </c>
      <c r="D34" s="52" t="e">
        <f>IF(D23="",NA(),D23)</f>
        <v>#N/A</v>
      </c>
      <c r="E34" t="e">
        <f>IFERROR(AVERAGEIFS(D_CO_NIV,D_ANNEE,$H$4,D_NIVEAU,$M$6,D_CO_NIV,"&gt;0"),NA())</f>
        <v>#N/A</v>
      </c>
      <c r="F34">
        <v>5.5</v>
      </c>
      <c r="Q34" s="43"/>
      <c r="V34">
        <f t="shared" si="2"/>
        <v>0</v>
      </c>
      <c r="Y34" t="str">
        <f t="shared" si="0"/>
        <v/>
      </c>
      <c r="Z34" t="str">
        <f t="shared" si="1"/>
        <v/>
      </c>
    </row>
    <row r="35" spans="2:26" ht="14.25" hidden="1" customHeight="1" x14ac:dyDescent="0.3">
      <c r="B35" s="51" t="s">
        <v>7</v>
      </c>
      <c r="C35" s="52" t="e">
        <f>IF(H22="",NA(),H22)</f>
        <v>#N/A</v>
      </c>
      <c r="D35" s="52" t="e">
        <f>IF(H23="",NA(),H23)</f>
        <v>#N/A</v>
      </c>
      <c r="E35" t="e">
        <f>IFERROR(AVERAGEIFS(D_GA_NIV,D_ANNEE,$H$4,D_NIVEAU,$M$6,D_GA_NIV,"&gt;0"),NA())</f>
        <v>#N/A</v>
      </c>
      <c r="F35">
        <v>5.5</v>
      </c>
      <c r="Q35" s="43"/>
      <c r="V35">
        <f t="shared" si="2"/>
        <v>0</v>
      </c>
      <c r="Y35" t="str">
        <f t="shared" si="0"/>
        <v/>
      </c>
      <c r="Z35" t="str">
        <f t="shared" si="1"/>
        <v/>
      </c>
    </row>
    <row r="36" spans="2:26" ht="14.25" hidden="1" customHeight="1" x14ac:dyDescent="0.3">
      <c r="B36" s="51" t="s">
        <v>8</v>
      </c>
      <c r="C36" s="52" t="e">
        <f>IF(L22="",NA(),L22)</f>
        <v>#N/A</v>
      </c>
      <c r="D36" s="52" t="e">
        <f>IF(L23="",NA(),L23)</f>
        <v>#N/A</v>
      </c>
      <c r="E36" t="e">
        <f>IFERROR(AVERAGEIFS(D_AD_NIV,D_ANNEE,$H$4,D_NIVEAU,$M$6,D_AD_NIV,"&gt;0"),NA())</f>
        <v>#N/A</v>
      </c>
      <c r="F36">
        <v>5.5</v>
      </c>
      <c r="Q36" s="43"/>
      <c r="V36">
        <f t="shared" si="2"/>
        <v>0</v>
      </c>
      <c r="Y36" t="str">
        <f t="shared" si="0"/>
        <v/>
      </c>
      <c r="Z36" t="str">
        <f t="shared" si="1"/>
        <v/>
      </c>
    </row>
    <row r="37" spans="2:26" ht="14.25" hidden="1" customHeight="1" x14ac:dyDescent="0.3">
      <c r="B37" s="51" t="s">
        <v>9</v>
      </c>
      <c r="C37" s="52" t="e">
        <f>IF(P22="",NA(),P22)</f>
        <v>#N/A</v>
      </c>
      <c r="D37" s="52" t="e">
        <f>IF(P23="",NA(),P23)</f>
        <v>#N/A</v>
      </c>
      <c r="E37" t="e">
        <f>IFERROR(AVERAGEIFS(D_FO_NIV,D_ANNEE,$H$4,D_NIVEAU,$M$6,D_FO_NIV,"&gt;0"),NA())</f>
        <v>#N/A</v>
      </c>
      <c r="F37">
        <v>5.5</v>
      </c>
      <c r="Q37" s="43"/>
      <c r="V37">
        <f t="shared" si="2"/>
        <v>0</v>
      </c>
      <c r="Y37" t="str">
        <f t="shared" si="0"/>
        <v/>
      </c>
      <c r="Z37" t="str">
        <f t="shared" si="1"/>
        <v/>
      </c>
    </row>
    <row r="38" spans="2:26" ht="14.25" customHeight="1" x14ac:dyDescent="0.3">
      <c r="B38" s="36"/>
      <c r="Q38" s="43"/>
      <c r="Y38" t="str">
        <f t="shared" si="0"/>
        <v/>
      </c>
      <c r="Z38" t="str">
        <f t="shared" si="1"/>
        <v/>
      </c>
    </row>
    <row r="39" spans="2:26" ht="14.25" customHeight="1" x14ac:dyDescent="0.3">
      <c r="B39" s="36"/>
      <c r="Q39" s="43"/>
      <c r="Y39" t="str">
        <f t="shared" si="0"/>
        <v/>
      </c>
      <c r="Z39" t="str">
        <f t="shared" si="1"/>
        <v/>
      </c>
    </row>
    <row r="40" spans="2:26" ht="14.25" customHeight="1" x14ac:dyDescent="0.3">
      <c r="B40" s="36"/>
      <c r="Q40" s="43"/>
      <c r="Y40" t="str">
        <f t="shared" si="0"/>
        <v/>
      </c>
      <c r="Z40" t="str">
        <f t="shared" si="1"/>
        <v/>
      </c>
    </row>
    <row r="41" spans="2:26" ht="14.25" customHeight="1" x14ac:dyDescent="0.3">
      <c r="B41" s="36"/>
      <c r="Q41" s="43"/>
      <c r="Y41" t="str">
        <f t="shared" si="0"/>
        <v/>
      </c>
      <c r="Z41" t="str">
        <f t="shared" si="1"/>
        <v/>
      </c>
    </row>
    <row r="42" spans="2:26" ht="14.25" customHeight="1" x14ac:dyDescent="0.3">
      <c r="B42" s="36"/>
      <c r="Q42" s="43"/>
      <c r="Y42" t="str">
        <f t="shared" si="0"/>
        <v/>
      </c>
      <c r="Z42" t="str">
        <f t="shared" si="1"/>
        <v/>
      </c>
    </row>
    <row r="43" spans="2:26" ht="14.25" customHeight="1" x14ac:dyDescent="0.3">
      <c r="B43" s="36"/>
      <c r="Q43" s="43"/>
      <c r="Y43" t="str">
        <f t="shared" si="0"/>
        <v/>
      </c>
      <c r="Z43" t="str">
        <f t="shared" si="1"/>
        <v/>
      </c>
    </row>
    <row r="44" spans="2:26" ht="14.25" customHeight="1" x14ac:dyDescent="0.3">
      <c r="B44" s="36"/>
      <c r="Q44" s="43"/>
      <c r="Y44" t="str">
        <f t="shared" si="0"/>
        <v/>
      </c>
      <c r="Z44" t="str">
        <f t="shared" si="1"/>
        <v/>
      </c>
    </row>
    <row r="45" spans="2:26" ht="14.25" customHeight="1" x14ac:dyDescent="0.3">
      <c r="B45" s="36"/>
      <c r="Q45" s="43"/>
      <c r="Y45" t="str">
        <f t="shared" si="0"/>
        <v/>
      </c>
      <c r="Z45" t="str">
        <f t="shared" si="1"/>
        <v/>
      </c>
    </row>
    <row r="46" spans="2:26" ht="14.25" customHeight="1" x14ac:dyDescent="0.3">
      <c r="B46" s="36"/>
      <c r="Q46" s="43"/>
      <c r="Y46" t="str">
        <f t="shared" si="0"/>
        <v/>
      </c>
      <c r="Z46" t="str">
        <f t="shared" si="1"/>
        <v/>
      </c>
    </row>
    <row r="47" spans="2:26" ht="14.25" customHeight="1" x14ac:dyDescent="0.3">
      <c r="B47" s="36"/>
      <c r="Q47" s="43"/>
      <c r="Y47" t="str">
        <f t="shared" si="0"/>
        <v/>
      </c>
      <c r="Z47" t="str">
        <f t="shared" si="1"/>
        <v/>
      </c>
    </row>
    <row r="48" spans="2:26" ht="14.25" customHeight="1" x14ac:dyDescent="0.3">
      <c r="B48" s="36"/>
      <c r="Q48" s="43"/>
      <c r="Y48" t="str">
        <f t="shared" si="0"/>
        <v/>
      </c>
      <c r="Z48" t="str">
        <f t="shared" si="1"/>
        <v/>
      </c>
    </row>
    <row r="49" spans="2:26" ht="14.25" customHeight="1" x14ac:dyDescent="0.3">
      <c r="B49" s="36"/>
      <c r="Q49" s="43"/>
      <c r="Y49" t="str">
        <f t="shared" si="0"/>
        <v/>
      </c>
      <c r="Z49" t="str">
        <f t="shared" si="1"/>
        <v/>
      </c>
    </row>
    <row r="50" spans="2:26" ht="14.25" customHeight="1" x14ac:dyDescent="0.3">
      <c r="B50" s="36"/>
      <c r="Q50" s="43"/>
      <c r="Y50" t="str">
        <f t="shared" si="0"/>
        <v/>
      </c>
      <c r="Z50" t="str">
        <f t="shared" si="1"/>
        <v/>
      </c>
    </row>
    <row r="51" spans="2:26" ht="14.25" customHeight="1" x14ac:dyDescent="0.3">
      <c r="B51" s="36"/>
      <c r="Q51" s="43"/>
      <c r="Y51" t="str">
        <f t="shared" si="0"/>
        <v/>
      </c>
      <c r="Z51" t="str">
        <f t="shared" si="1"/>
        <v/>
      </c>
    </row>
    <row r="52" spans="2:26" ht="14.25" customHeight="1" x14ac:dyDescent="0.3">
      <c r="B52" s="36"/>
      <c r="Q52" s="43"/>
      <c r="Y52" t="str">
        <f t="shared" si="0"/>
        <v/>
      </c>
      <c r="Z52" t="str">
        <f t="shared" si="1"/>
        <v/>
      </c>
    </row>
    <row r="53" spans="2:26" ht="14.25" customHeight="1" x14ac:dyDescent="0.3">
      <c r="B53" s="36"/>
      <c r="Q53" s="43"/>
      <c r="Y53" t="str">
        <f t="shared" si="0"/>
        <v/>
      </c>
      <c r="Z53" t="str">
        <f t="shared" si="1"/>
        <v/>
      </c>
    </row>
    <row r="54" spans="2:26" ht="14.25" customHeight="1" x14ac:dyDescent="0.3">
      <c r="B54" s="36"/>
      <c r="Q54" s="43"/>
      <c r="Y54" t="str">
        <f t="shared" si="0"/>
        <v/>
      </c>
      <c r="Z54" t="str">
        <f t="shared" si="1"/>
        <v/>
      </c>
    </row>
    <row r="55" spans="2:26" ht="14.25" customHeight="1" x14ac:dyDescent="0.3">
      <c r="B55" s="36"/>
      <c r="Q55" s="43"/>
      <c r="Y55" t="str">
        <f t="shared" si="0"/>
        <v/>
      </c>
      <c r="Z55" t="str">
        <f t="shared" si="1"/>
        <v/>
      </c>
    </row>
    <row r="56" spans="2:26" ht="14.25" customHeight="1" x14ac:dyDescent="0.3">
      <c r="B56" s="36"/>
      <c r="Q56" s="43"/>
      <c r="Y56" t="str">
        <f t="shared" si="0"/>
        <v/>
      </c>
      <c r="Z56" t="str">
        <f t="shared" si="1"/>
        <v/>
      </c>
    </row>
    <row r="57" spans="2:26" ht="14.25" customHeight="1" x14ac:dyDescent="0.3">
      <c r="B57" s="36"/>
      <c r="Q57" s="43"/>
      <c r="Y57" t="str">
        <f t="shared" si="0"/>
        <v/>
      </c>
      <c r="Z57" t="str">
        <f t="shared" si="1"/>
        <v/>
      </c>
    </row>
    <row r="58" spans="2:26" ht="14.25" customHeight="1" x14ac:dyDescent="0.3">
      <c r="B58" s="36"/>
      <c r="Q58" s="43"/>
      <c r="Y58" t="str">
        <f t="shared" si="0"/>
        <v/>
      </c>
      <c r="Z58" t="str">
        <f t="shared" si="1"/>
        <v/>
      </c>
    </row>
    <row r="59" spans="2:26" ht="14.25" customHeight="1" x14ac:dyDescent="0.3">
      <c r="B59" s="36"/>
      <c r="Q59" s="43"/>
      <c r="Y59" t="str">
        <f t="shared" si="0"/>
        <v/>
      </c>
      <c r="Z59" t="str">
        <f t="shared" si="1"/>
        <v/>
      </c>
    </row>
    <row r="60" spans="2:26" ht="14.25" customHeight="1" x14ac:dyDescent="0.3">
      <c r="B60" s="53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5"/>
      <c r="Y60" t="str">
        <f t="shared" si="0"/>
        <v/>
      </c>
      <c r="Z60" t="str">
        <f t="shared" si="1"/>
        <v/>
      </c>
    </row>
    <row r="61" spans="2:26" ht="14.25" customHeight="1" x14ac:dyDescent="0.3">
      <c r="Y61" t="str">
        <f t="shared" si="0"/>
        <v/>
      </c>
      <c r="Z61" t="str">
        <f t="shared" si="1"/>
        <v/>
      </c>
    </row>
    <row r="62" spans="2:26" ht="14.25" customHeight="1" x14ac:dyDescent="0.3">
      <c r="Y62" t="str">
        <f t="shared" si="0"/>
        <v/>
      </c>
      <c r="Z62" t="str">
        <f t="shared" si="1"/>
        <v/>
      </c>
    </row>
    <row r="63" spans="2:26" ht="14.25" customHeight="1" x14ac:dyDescent="0.3">
      <c r="Y63" t="str">
        <f t="shared" si="0"/>
        <v/>
      </c>
      <c r="Z63" t="str">
        <f t="shared" si="1"/>
        <v/>
      </c>
    </row>
    <row r="64" spans="2:26" ht="14.25" customHeight="1" x14ac:dyDescent="0.3">
      <c r="Y64" t="str">
        <f t="shared" si="0"/>
        <v/>
      </c>
      <c r="Z64" t="str">
        <f t="shared" si="1"/>
        <v/>
      </c>
    </row>
    <row r="65" spans="25:26" ht="14.25" customHeight="1" x14ac:dyDescent="0.3">
      <c r="Y65" t="str">
        <f t="shared" si="0"/>
        <v/>
      </c>
      <c r="Z65" t="str">
        <f t="shared" si="1"/>
        <v/>
      </c>
    </row>
    <row r="66" spans="25:26" ht="14.25" customHeight="1" x14ac:dyDescent="0.3">
      <c r="Y66" t="str">
        <f t="shared" ref="Y66:Y129" si="3">IFERROR(INDEX(D_IDUNIQUE,MATCH(ROW()-1,D_RANG_PROFIL,0)),"")</f>
        <v/>
      </c>
      <c r="Z66" t="str">
        <f t="shared" ref="Z66:Z129" si="4">IF($Y66="","",UPPER(INDEX(D_NOM,MATCH($Y66,D_ID,0)))&amp;" "&amp;INDEX(D_PRENOM,MATCH($Y66,D_ID,0))&amp;" — "&amp;INDEX(D_NIVEAU_ACTUEL,MATCH($Y66,D_ID,0)))</f>
        <v/>
      </c>
    </row>
    <row r="67" spans="25:26" ht="14.25" customHeight="1" x14ac:dyDescent="0.3">
      <c r="Y67" t="str">
        <f t="shared" si="3"/>
        <v/>
      </c>
      <c r="Z67" t="str">
        <f t="shared" si="4"/>
        <v/>
      </c>
    </row>
    <row r="68" spans="25:26" ht="14.25" customHeight="1" x14ac:dyDescent="0.3">
      <c r="Y68" t="str">
        <f t="shared" si="3"/>
        <v/>
      </c>
      <c r="Z68" t="str">
        <f t="shared" si="4"/>
        <v/>
      </c>
    </row>
    <row r="69" spans="25:26" ht="14.25" customHeight="1" x14ac:dyDescent="0.3">
      <c r="Y69" t="str">
        <f t="shared" si="3"/>
        <v/>
      </c>
      <c r="Z69" t="str">
        <f t="shared" si="4"/>
        <v/>
      </c>
    </row>
    <row r="70" spans="25:26" ht="14.25" customHeight="1" x14ac:dyDescent="0.3">
      <c r="Y70" t="str">
        <f t="shared" si="3"/>
        <v/>
      </c>
      <c r="Z70" t="str">
        <f t="shared" si="4"/>
        <v/>
      </c>
    </row>
    <row r="71" spans="25:26" ht="14.25" customHeight="1" x14ac:dyDescent="0.3">
      <c r="Y71" t="str">
        <f t="shared" si="3"/>
        <v/>
      </c>
      <c r="Z71" t="str">
        <f t="shared" si="4"/>
        <v/>
      </c>
    </row>
    <row r="72" spans="25:26" ht="14.25" customHeight="1" x14ac:dyDescent="0.3">
      <c r="Y72" t="str">
        <f t="shared" si="3"/>
        <v/>
      </c>
      <c r="Z72" t="str">
        <f t="shared" si="4"/>
        <v/>
      </c>
    </row>
    <row r="73" spans="25:26" ht="14.25" customHeight="1" x14ac:dyDescent="0.3">
      <c r="Y73" t="str">
        <f t="shared" si="3"/>
        <v/>
      </c>
      <c r="Z73" t="str">
        <f t="shared" si="4"/>
        <v/>
      </c>
    </row>
    <row r="74" spans="25:26" ht="14.25" customHeight="1" x14ac:dyDescent="0.3">
      <c r="Y74" t="str">
        <f t="shared" si="3"/>
        <v/>
      </c>
      <c r="Z74" t="str">
        <f t="shared" si="4"/>
        <v/>
      </c>
    </row>
    <row r="75" spans="25:26" ht="14.25" customHeight="1" x14ac:dyDescent="0.3">
      <c r="Y75" t="str">
        <f t="shared" si="3"/>
        <v/>
      </c>
      <c r="Z75" t="str">
        <f t="shared" si="4"/>
        <v/>
      </c>
    </row>
    <row r="76" spans="25:26" ht="14.25" customHeight="1" x14ac:dyDescent="0.3">
      <c r="Y76" t="str">
        <f t="shared" si="3"/>
        <v/>
      </c>
      <c r="Z76" t="str">
        <f t="shared" si="4"/>
        <v/>
      </c>
    </row>
    <row r="77" spans="25:26" ht="14.25" customHeight="1" x14ac:dyDescent="0.3">
      <c r="Y77" t="str">
        <f t="shared" si="3"/>
        <v/>
      </c>
      <c r="Z77" t="str">
        <f t="shared" si="4"/>
        <v/>
      </c>
    </row>
    <row r="78" spans="25:26" ht="14.25" customHeight="1" x14ac:dyDescent="0.3">
      <c r="Y78" t="str">
        <f t="shared" si="3"/>
        <v/>
      </c>
      <c r="Z78" t="str">
        <f t="shared" si="4"/>
        <v/>
      </c>
    </row>
    <row r="79" spans="25:26" ht="14.25" customHeight="1" x14ac:dyDescent="0.3">
      <c r="Y79" t="str">
        <f t="shared" si="3"/>
        <v/>
      </c>
      <c r="Z79" t="str">
        <f t="shared" si="4"/>
        <v/>
      </c>
    </row>
    <row r="80" spans="25:26" ht="14.25" customHeight="1" x14ac:dyDescent="0.3">
      <c r="Y80" t="str">
        <f t="shared" si="3"/>
        <v/>
      </c>
      <c r="Z80" t="str">
        <f t="shared" si="4"/>
        <v/>
      </c>
    </row>
    <row r="81" spans="25:26" ht="14.25" customHeight="1" x14ac:dyDescent="0.3">
      <c r="Y81" t="str">
        <f t="shared" si="3"/>
        <v/>
      </c>
      <c r="Z81" t="str">
        <f t="shared" si="4"/>
        <v/>
      </c>
    </row>
    <row r="82" spans="25:26" ht="14.25" customHeight="1" x14ac:dyDescent="0.3">
      <c r="Y82" t="str">
        <f t="shared" si="3"/>
        <v/>
      </c>
      <c r="Z82" t="str">
        <f t="shared" si="4"/>
        <v/>
      </c>
    </row>
    <row r="83" spans="25:26" ht="14.25" customHeight="1" x14ac:dyDescent="0.3">
      <c r="Y83" t="str">
        <f t="shared" si="3"/>
        <v/>
      </c>
      <c r="Z83" t="str">
        <f t="shared" si="4"/>
        <v/>
      </c>
    </row>
    <row r="84" spans="25:26" ht="14.25" customHeight="1" x14ac:dyDescent="0.3">
      <c r="Y84" t="str">
        <f t="shared" si="3"/>
        <v/>
      </c>
      <c r="Z84" t="str">
        <f t="shared" si="4"/>
        <v/>
      </c>
    </row>
    <row r="85" spans="25:26" ht="14.25" customHeight="1" x14ac:dyDescent="0.3">
      <c r="Y85" t="str">
        <f t="shared" si="3"/>
        <v/>
      </c>
      <c r="Z85" t="str">
        <f t="shared" si="4"/>
        <v/>
      </c>
    </row>
    <row r="86" spans="25:26" ht="14.25" customHeight="1" x14ac:dyDescent="0.3">
      <c r="Y86" t="str">
        <f t="shared" si="3"/>
        <v/>
      </c>
      <c r="Z86" t="str">
        <f t="shared" si="4"/>
        <v/>
      </c>
    </row>
    <row r="87" spans="25:26" ht="14.25" customHeight="1" x14ac:dyDescent="0.3">
      <c r="Y87" t="str">
        <f t="shared" si="3"/>
        <v/>
      </c>
      <c r="Z87" t="str">
        <f t="shared" si="4"/>
        <v/>
      </c>
    </row>
    <row r="88" spans="25:26" ht="14.25" customHeight="1" x14ac:dyDescent="0.3">
      <c r="Y88" t="str">
        <f t="shared" si="3"/>
        <v/>
      </c>
      <c r="Z88" t="str">
        <f t="shared" si="4"/>
        <v/>
      </c>
    </row>
    <row r="89" spans="25:26" ht="14.25" customHeight="1" x14ac:dyDescent="0.3">
      <c r="Y89" t="str">
        <f t="shared" si="3"/>
        <v/>
      </c>
      <c r="Z89" t="str">
        <f t="shared" si="4"/>
        <v/>
      </c>
    </row>
    <row r="90" spans="25:26" ht="14.25" customHeight="1" x14ac:dyDescent="0.3">
      <c r="Y90" t="str">
        <f t="shared" si="3"/>
        <v/>
      </c>
      <c r="Z90" t="str">
        <f t="shared" si="4"/>
        <v/>
      </c>
    </row>
    <row r="91" spans="25:26" ht="14.25" customHeight="1" x14ac:dyDescent="0.3">
      <c r="Y91" t="str">
        <f t="shared" si="3"/>
        <v/>
      </c>
      <c r="Z91" t="str">
        <f t="shared" si="4"/>
        <v/>
      </c>
    </row>
    <row r="92" spans="25:26" ht="14.25" customHeight="1" x14ac:dyDescent="0.3">
      <c r="Y92" t="str">
        <f t="shared" si="3"/>
        <v/>
      </c>
      <c r="Z92" t="str">
        <f t="shared" si="4"/>
        <v/>
      </c>
    </row>
    <row r="93" spans="25:26" ht="14.25" customHeight="1" x14ac:dyDescent="0.3">
      <c r="Y93" t="str">
        <f t="shared" si="3"/>
        <v/>
      </c>
      <c r="Z93" t="str">
        <f t="shared" si="4"/>
        <v/>
      </c>
    </row>
    <row r="94" spans="25:26" ht="14.25" customHeight="1" x14ac:dyDescent="0.3">
      <c r="Y94" t="str">
        <f t="shared" si="3"/>
        <v/>
      </c>
      <c r="Z94" t="str">
        <f t="shared" si="4"/>
        <v/>
      </c>
    </row>
    <row r="95" spans="25:26" ht="14.25" customHeight="1" x14ac:dyDescent="0.3">
      <c r="Y95" t="str">
        <f t="shared" si="3"/>
        <v/>
      </c>
      <c r="Z95" t="str">
        <f t="shared" si="4"/>
        <v/>
      </c>
    </row>
    <row r="96" spans="25:26" ht="14.25" customHeight="1" x14ac:dyDescent="0.3">
      <c r="Y96" t="str">
        <f t="shared" si="3"/>
        <v/>
      </c>
      <c r="Z96" t="str">
        <f t="shared" si="4"/>
        <v/>
      </c>
    </row>
    <row r="97" spans="25:26" ht="14.25" customHeight="1" x14ac:dyDescent="0.3">
      <c r="Y97" t="str">
        <f t="shared" si="3"/>
        <v/>
      </c>
      <c r="Z97" t="str">
        <f t="shared" si="4"/>
        <v/>
      </c>
    </row>
    <row r="98" spans="25:26" ht="14.25" customHeight="1" x14ac:dyDescent="0.3">
      <c r="Y98" t="str">
        <f t="shared" si="3"/>
        <v/>
      </c>
      <c r="Z98" t="str">
        <f t="shared" si="4"/>
        <v/>
      </c>
    </row>
    <row r="99" spans="25:26" ht="14.25" customHeight="1" x14ac:dyDescent="0.3">
      <c r="Y99" t="str">
        <f t="shared" si="3"/>
        <v/>
      </c>
      <c r="Z99" t="str">
        <f t="shared" si="4"/>
        <v/>
      </c>
    </row>
    <row r="100" spans="25:26" ht="14.25" customHeight="1" x14ac:dyDescent="0.3">
      <c r="Y100" t="str">
        <f t="shared" si="3"/>
        <v/>
      </c>
      <c r="Z100" t="str">
        <f t="shared" si="4"/>
        <v/>
      </c>
    </row>
    <row r="101" spans="25:26" ht="14.25" customHeight="1" x14ac:dyDescent="0.3">
      <c r="Y101" t="str">
        <f t="shared" si="3"/>
        <v/>
      </c>
      <c r="Z101" t="str">
        <f t="shared" si="4"/>
        <v/>
      </c>
    </row>
    <row r="102" spans="25:26" ht="14.25" customHeight="1" x14ac:dyDescent="0.3">
      <c r="Y102" t="str">
        <f t="shared" si="3"/>
        <v/>
      </c>
      <c r="Z102" t="str">
        <f t="shared" si="4"/>
        <v/>
      </c>
    </row>
    <row r="103" spans="25:26" ht="14.25" customHeight="1" x14ac:dyDescent="0.3">
      <c r="Y103" t="str">
        <f t="shared" si="3"/>
        <v/>
      </c>
      <c r="Z103" t="str">
        <f t="shared" si="4"/>
        <v/>
      </c>
    </row>
    <row r="104" spans="25:26" ht="14.25" customHeight="1" x14ac:dyDescent="0.3">
      <c r="Y104" t="str">
        <f t="shared" si="3"/>
        <v/>
      </c>
      <c r="Z104" t="str">
        <f t="shared" si="4"/>
        <v/>
      </c>
    </row>
    <row r="105" spans="25:26" ht="14.25" customHeight="1" x14ac:dyDescent="0.3">
      <c r="Y105" t="str">
        <f t="shared" si="3"/>
        <v/>
      </c>
      <c r="Z105" t="str">
        <f t="shared" si="4"/>
        <v/>
      </c>
    </row>
    <row r="106" spans="25:26" ht="14.25" customHeight="1" x14ac:dyDescent="0.3">
      <c r="Y106" t="str">
        <f t="shared" si="3"/>
        <v/>
      </c>
      <c r="Z106" t="str">
        <f t="shared" si="4"/>
        <v/>
      </c>
    </row>
    <row r="107" spans="25:26" ht="14.25" customHeight="1" x14ac:dyDescent="0.3">
      <c r="Y107" t="str">
        <f t="shared" si="3"/>
        <v/>
      </c>
      <c r="Z107" t="str">
        <f t="shared" si="4"/>
        <v/>
      </c>
    </row>
    <row r="108" spans="25:26" ht="14.25" customHeight="1" x14ac:dyDescent="0.3">
      <c r="Y108" t="str">
        <f t="shared" si="3"/>
        <v/>
      </c>
      <c r="Z108" t="str">
        <f t="shared" si="4"/>
        <v/>
      </c>
    </row>
    <row r="109" spans="25:26" ht="14.25" customHeight="1" x14ac:dyDescent="0.3">
      <c r="Y109" t="str">
        <f t="shared" si="3"/>
        <v/>
      </c>
      <c r="Z109" t="str">
        <f t="shared" si="4"/>
        <v/>
      </c>
    </row>
    <row r="110" spans="25:26" ht="14.25" customHeight="1" x14ac:dyDescent="0.3">
      <c r="Y110" t="str">
        <f t="shared" si="3"/>
        <v/>
      </c>
      <c r="Z110" t="str">
        <f t="shared" si="4"/>
        <v/>
      </c>
    </row>
    <row r="111" spans="25:26" ht="14.25" customHeight="1" x14ac:dyDescent="0.3">
      <c r="Y111" t="str">
        <f t="shared" si="3"/>
        <v/>
      </c>
      <c r="Z111" t="str">
        <f t="shared" si="4"/>
        <v/>
      </c>
    </row>
    <row r="112" spans="25:26" ht="14.25" customHeight="1" x14ac:dyDescent="0.3">
      <c r="Y112" t="str">
        <f t="shared" si="3"/>
        <v/>
      </c>
      <c r="Z112" t="str">
        <f t="shared" si="4"/>
        <v/>
      </c>
    </row>
    <row r="113" spans="25:26" ht="14.25" customHeight="1" x14ac:dyDescent="0.3">
      <c r="Y113" t="str">
        <f t="shared" si="3"/>
        <v/>
      </c>
      <c r="Z113" t="str">
        <f t="shared" si="4"/>
        <v/>
      </c>
    </row>
    <row r="114" spans="25:26" ht="14.25" customHeight="1" x14ac:dyDescent="0.3">
      <c r="Y114" t="str">
        <f t="shared" si="3"/>
        <v/>
      </c>
      <c r="Z114" t="str">
        <f t="shared" si="4"/>
        <v/>
      </c>
    </row>
    <row r="115" spans="25:26" ht="14.25" customHeight="1" x14ac:dyDescent="0.3">
      <c r="Y115" t="str">
        <f t="shared" si="3"/>
        <v/>
      </c>
      <c r="Z115" t="str">
        <f t="shared" si="4"/>
        <v/>
      </c>
    </row>
    <row r="116" spans="25:26" ht="14.25" customHeight="1" x14ac:dyDescent="0.3">
      <c r="Y116" t="str">
        <f t="shared" si="3"/>
        <v/>
      </c>
      <c r="Z116" t="str">
        <f t="shared" si="4"/>
        <v/>
      </c>
    </row>
    <row r="117" spans="25:26" ht="14.25" customHeight="1" x14ac:dyDescent="0.3">
      <c r="Y117" t="str">
        <f t="shared" si="3"/>
        <v/>
      </c>
      <c r="Z117" t="str">
        <f t="shared" si="4"/>
        <v/>
      </c>
    </row>
    <row r="118" spans="25:26" ht="14.25" customHeight="1" x14ac:dyDescent="0.3">
      <c r="Y118" t="str">
        <f t="shared" si="3"/>
        <v/>
      </c>
      <c r="Z118" t="str">
        <f t="shared" si="4"/>
        <v/>
      </c>
    </row>
    <row r="119" spans="25:26" ht="14.25" customHeight="1" x14ac:dyDescent="0.3">
      <c r="Y119" t="str">
        <f t="shared" si="3"/>
        <v/>
      </c>
      <c r="Z119" t="str">
        <f t="shared" si="4"/>
        <v/>
      </c>
    </row>
    <row r="120" spans="25:26" ht="14.25" customHeight="1" x14ac:dyDescent="0.3">
      <c r="Y120" t="str">
        <f t="shared" si="3"/>
        <v/>
      </c>
      <c r="Z120" t="str">
        <f t="shared" si="4"/>
        <v/>
      </c>
    </row>
    <row r="121" spans="25:26" ht="14.25" customHeight="1" x14ac:dyDescent="0.3">
      <c r="Y121" t="str">
        <f t="shared" si="3"/>
        <v/>
      </c>
      <c r="Z121" t="str">
        <f t="shared" si="4"/>
        <v/>
      </c>
    </row>
    <row r="122" spans="25:26" ht="14.25" customHeight="1" x14ac:dyDescent="0.3">
      <c r="Y122" t="str">
        <f t="shared" si="3"/>
        <v/>
      </c>
      <c r="Z122" t="str">
        <f t="shared" si="4"/>
        <v/>
      </c>
    </row>
    <row r="123" spans="25:26" ht="14.25" customHeight="1" x14ac:dyDescent="0.3">
      <c r="Y123" t="str">
        <f t="shared" si="3"/>
        <v/>
      </c>
      <c r="Z123" t="str">
        <f t="shared" si="4"/>
        <v/>
      </c>
    </row>
    <row r="124" spans="25:26" ht="14.25" customHeight="1" x14ac:dyDescent="0.3">
      <c r="Y124" t="str">
        <f t="shared" si="3"/>
        <v/>
      </c>
      <c r="Z124" t="str">
        <f t="shared" si="4"/>
        <v/>
      </c>
    </row>
    <row r="125" spans="25:26" ht="14.25" customHeight="1" x14ac:dyDescent="0.3">
      <c r="Y125" t="str">
        <f t="shared" si="3"/>
        <v/>
      </c>
      <c r="Z125" t="str">
        <f t="shared" si="4"/>
        <v/>
      </c>
    </row>
    <row r="126" spans="25:26" ht="14.25" customHeight="1" x14ac:dyDescent="0.3">
      <c r="Y126" t="str">
        <f t="shared" si="3"/>
        <v/>
      </c>
      <c r="Z126" t="str">
        <f t="shared" si="4"/>
        <v/>
      </c>
    </row>
    <row r="127" spans="25:26" ht="14.25" customHeight="1" x14ac:dyDescent="0.3">
      <c r="Y127" t="str">
        <f t="shared" si="3"/>
        <v/>
      </c>
      <c r="Z127" t="str">
        <f t="shared" si="4"/>
        <v/>
      </c>
    </row>
    <row r="128" spans="25:26" ht="14.25" customHeight="1" x14ac:dyDescent="0.3">
      <c r="Y128" t="str">
        <f t="shared" si="3"/>
        <v/>
      </c>
      <c r="Z128" t="str">
        <f t="shared" si="4"/>
        <v/>
      </c>
    </row>
    <row r="129" spans="25:26" ht="14.25" customHeight="1" x14ac:dyDescent="0.3">
      <c r="Y129" t="str">
        <f t="shared" si="3"/>
        <v/>
      </c>
      <c r="Z129" t="str">
        <f t="shared" si="4"/>
        <v/>
      </c>
    </row>
    <row r="130" spans="25:26" ht="14.25" customHeight="1" x14ac:dyDescent="0.3">
      <c r="Y130" t="str">
        <f t="shared" ref="Y130:Y193" si="5">IFERROR(INDEX(D_IDUNIQUE,MATCH(ROW()-1,D_RANG_PROFIL,0)),"")</f>
        <v/>
      </c>
      <c r="Z130" t="str">
        <f t="shared" ref="Z130:Z193" si="6">IF($Y130="","",UPPER(INDEX(D_NOM,MATCH($Y130,D_ID,0)))&amp;" "&amp;INDEX(D_PRENOM,MATCH($Y130,D_ID,0))&amp;" — "&amp;INDEX(D_NIVEAU_ACTUEL,MATCH($Y130,D_ID,0)))</f>
        <v/>
      </c>
    </row>
    <row r="131" spans="25:26" ht="14.25" customHeight="1" x14ac:dyDescent="0.3">
      <c r="Y131" t="str">
        <f t="shared" si="5"/>
        <v/>
      </c>
      <c r="Z131" t="str">
        <f t="shared" si="6"/>
        <v/>
      </c>
    </row>
    <row r="132" spans="25:26" ht="14.25" customHeight="1" x14ac:dyDescent="0.3">
      <c r="Y132" t="str">
        <f t="shared" si="5"/>
        <v/>
      </c>
      <c r="Z132" t="str">
        <f t="shared" si="6"/>
        <v/>
      </c>
    </row>
    <row r="133" spans="25:26" ht="14.25" customHeight="1" x14ac:dyDescent="0.3">
      <c r="Y133" t="str">
        <f t="shared" si="5"/>
        <v/>
      </c>
      <c r="Z133" t="str">
        <f t="shared" si="6"/>
        <v/>
      </c>
    </row>
    <row r="134" spans="25:26" ht="14.25" customHeight="1" x14ac:dyDescent="0.3">
      <c r="Y134" t="str">
        <f t="shared" si="5"/>
        <v/>
      </c>
      <c r="Z134" t="str">
        <f t="shared" si="6"/>
        <v/>
      </c>
    </row>
    <row r="135" spans="25:26" ht="14.25" customHeight="1" x14ac:dyDescent="0.3">
      <c r="Y135" t="str">
        <f t="shared" si="5"/>
        <v/>
      </c>
      <c r="Z135" t="str">
        <f t="shared" si="6"/>
        <v/>
      </c>
    </row>
    <row r="136" spans="25:26" ht="14.25" customHeight="1" x14ac:dyDescent="0.3">
      <c r="Y136" t="str">
        <f t="shared" si="5"/>
        <v/>
      </c>
      <c r="Z136" t="str">
        <f t="shared" si="6"/>
        <v/>
      </c>
    </row>
    <row r="137" spans="25:26" ht="14.25" customHeight="1" x14ac:dyDescent="0.3">
      <c r="Y137" t="str">
        <f t="shared" si="5"/>
        <v/>
      </c>
      <c r="Z137" t="str">
        <f t="shared" si="6"/>
        <v/>
      </c>
    </row>
    <row r="138" spans="25:26" ht="14.25" customHeight="1" x14ac:dyDescent="0.3">
      <c r="Y138" t="str">
        <f t="shared" si="5"/>
        <v/>
      </c>
      <c r="Z138" t="str">
        <f t="shared" si="6"/>
        <v/>
      </c>
    </row>
    <row r="139" spans="25:26" ht="14.25" customHeight="1" x14ac:dyDescent="0.3">
      <c r="Y139" t="str">
        <f t="shared" si="5"/>
        <v/>
      </c>
      <c r="Z139" t="str">
        <f t="shared" si="6"/>
        <v/>
      </c>
    </row>
    <row r="140" spans="25:26" ht="14.25" customHeight="1" x14ac:dyDescent="0.3">
      <c r="Y140" t="str">
        <f t="shared" si="5"/>
        <v/>
      </c>
      <c r="Z140" t="str">
        <f t="shared" si="6"/>
        <v/>
      </c>
    </row>
    <row r="141" spans="25:26" ht="14.25" customHeight="1" x14ac:dyDescent="0.3">
      <c r="Y141" t="str">
        <f t="shared" si="5"/>
        <v/>
      </c>
      <c r="Z141" t="str">
        <f t="shared" si="6"/>
        <v/>
      </c>
    </row>
    <row r="142" spans="25:26" ht="14.25" customHeight="1" x14ac:dyDescent="0.3">
      <c r="Y142" t="str">
        <f t="shared" si="5"/>
        <v/>
      </c>
      <c r="Z142" t="str">
        <f t="shared" si="6"/>
        <v/>
      </c>
    </row>
    <row r="143" spans="25:26" ht="14.25" customHeight="1" x14ac:dyDescent="0.3">
      <c r="Y143" t="str">
        <f t="shared" si="5"/>
        <v/>
      </c>
      <c r="Z143" t="str">
        <f t="shared" si="6"/>
        <v/>
      </c>
    </row>
    <row r="144" spans="25:26" ht="14.25" customHeight="1" x14ac:dyDescent="0.3">
      <c r="Y144" t="str">
        <f t="shared" si="5"/>
        <v/>
      </c>
      <c r="Z144" t="str">
        <f t="shared" si="6"/>
        <v/>
      </c>
    </row>
    <row r="145" spans="25:26" ht="14.25" customHeight="1" x14ac:dyDescent="0.3">
      <c r="Y145" t="str">
        <f t="shared" si="5"/>
        <v/>
      </c>
      <c r="Z145" t="str">
        <f t="shared" si="6"/>
        <v/>
      </c>
    </row>
    <row r="146" spans="25:26" ht="14.25" customHeight="1" x14ac:dyDescent="0.3">
      <c r="Y146" t="str">
        <f t="shared" si="5"/>
        <v/>
      </c>
      <c r="Z146" t="str">
        <f t="shared" si="6"/>
        <v/>
      </c>
    </row>
    <row r="147" spans="25:26" ht="14.25" customHeight="1" x14ac:dyDescent="0.3">
      <c r="Y147" t="str">
        <f t="shared" si="5"/>
        <v/>
      </c>
      <c r="Z147" t="str">
        <f t="shared" si="6"/>
        <v/>
      </c>
    </row>
    <row r="148" spans="25:26" ht="14.25" customHeight="1" x14ac:dyDescent="0.3">
      <c r="Y148" t="str">
        <f t="shared" si="5"/>
        <v/>
      </c>
      <c r="Z148" t="str">
        <f t="shared" si="6"/>
        <v/>
      </c>
    </row>
    <row r="149" spans="25:26" ht="14.25" customHeight="1" x14ac:dyDescent="0.3">
      <c r="Y149" t="str">
        <f t="shared" si="5"/>
        <v/>
      </c>
      <c r="Z149" t="str">
        <f t="shared" si="6"/>
        <v/>
      </c>
    </row>
    <row r="150" spans="25:26" ht="14.25" customHeight="1" x14ac:dyDescent="0.3">
      <c r="Y150" t="str">
        <f t="shared" si="5"/>
        <v/>
      </c>
      <c r="Z150" t="str">
        <f t="shared" si="6"/>
        <v/>
      </c>
    </row>
    <row r="151" spans="25:26" ht="14.25" customHeight="1" x14ac:dyDescent="0.3">
      <c r="Y151" t="str">
        <f t="shared" si="5"/>
        <v/>
      </c>
      <c r="Z151" t="str">
        <f t="shared" si="6"/>
        <v/>
      </c>
    </row>
    <row r="152" spans="25:26" ht="14.25" customHeight="1" x14ac:dyDescent="0.3">
      <c r="Y152" t="str">
        <f t="shared" si="5"/>
        <v/>
      </c>
      <c r="Z152" t="str">
        <f t="shared" si="6"/>
        <v/>
      </c>
    </row>
    <row r="153" spans="25:26" ht="14.25" customHeight="1" x14ac:dyDescent="0.3">
      <c r="Y153" t="str">
        <f t="shared" si="5"/>
        <v/>
      </c>
      <c r="Z153" t="str">
        <f t="shared" si="6"/>
        <v/>
      </c>
    </row>
    <row r="154" spans="25:26" ht="14.25" customHeight="1" x14ac:dyDescent="0.3">
      <c r="Y154" t="str">
        <f t="shared" si="5"/>
        <v/>
      </c>
      <c r="Z154" t="str">
        <f t="shared" si="6"/>
        <v/>
      </c>
    </row>
    <row r="155" spans="25:26" ht="14.25" customHeight="1" x14ac:dyDescent="0.3">
      <c r="Y155" t="str">
        <f t="shared" si="5"/>
        <v/>
      </c>
      <c r="Z155" t="str">
        <f t="shared" si="6"/>
        <v/>
      </c>
    </row>
    <row r="156" spans="25:26" ht="14.25" customHeight="1" x14ac:dyDescent="0.3">
      <c r="Y156" t="str">
        <f t="shared" si="5"/>
        <v/>
      </c>
      <c r="Z156" t="str">
        <f t="shared" si="6"/>
        <v/>
      </c>
    </row>
    <row r="157" spans="25:26" ht="14.25" customHeight="1" x14ac:dyDescent="0.3">
      <c r="Y157" t="str">
        <f t="shared" si="5"/>
        <v/>
      </c>
      <c r="Z157" t="str">
        <f t="shared" si="6"/>
        <v/>
      </c>
    </row>
    <row r="158" spans="25:26" ht="14.25" customHeight="1" x14ac:dyDescent="0.3">
      <c r="Y158" t="str">
        <f t="shared" si="5"/>
        <v/>
      </c>
      <c r="Z158" t="str">
        <f t="shared" si="6"/>
        <v/>
      </c>
    </row>
    <row r="159" spans="25:26" ht="14.25" customHeight="1" x14ac:dyDescent="0.3">
      <c r="Y159" t="str">
        <f t="shared" si="5"/>
        <v/>
      </c>
      <c r="Z159" t="str">
        <f t="shared" si="6"/>
        <v/>
      </c>
    </row>
    <row r="160" spans="25:26" ht="14.25" customHeight="1" x14ac:dyDescent="0.3">
      <c r="Y160" t="str">
        <f t="shared" si="5"/>
        <v/>
      </c>
      <c r="Z160" t="str">
        <f t="shared" si="6"/>
        <v/>
      </c>
    </row>
    <row r="161" spans="25:26" ht="14.25" customHeight="1" x14ac:dyDescent="0.3">
      <c r="Y161" t="str">
        <f t="shared" si="5"/>
        <v/>
      </c>
      <c r="Z161" t="str">
        <f t="shared" si="6"/>
        <v/>
      </c>
    </row>
    <row r="162" spans="25:26" ht="14.25" customHeight="1" x14ac:dyDescent="0.3">
      <c r="Y162" t="str">
        <f t="shared" si="5"/>
        <v/>
      </c>
      <c r="Z162" t="str">
        <f t="shared" si="6"/>
        <v/>
      </c>
    </row>
    <row r="163" spans="25:26" ht="14.25" customHeight="1" x14ac:dyDescent="0.3">
      <c r="Y163" t="str">
        <f t="shared" si="5"/>
        <v/>
      </c>
      <c r="Z163" t="str">
        <f t="shared" si="6"/>
        <v/>
      </c>
    </row>
    <row r="164" spans="25:26" ht="14.25" customHeight="1" x14ac:dyDescent="0.3">
      <c r="Y164" t="str">
        <f t="shared" si="5"/>
        <v/>
      </c>
      <c r="Z164" t="str">
        <f t="shared" si="6"/>
        <v/>
      </c>
    </row>
    <row r="165" spans="25:26" ht="14.25" customHeight="1" x14ac:dyDescent="0.3">
      <c r="Y165" t="str">
        <f t="shared" si="5"/>
        <v/>
      </c>
      <c r="Z165" t="str">
        <f t="shared" si="6"/>
        <v/>
      </c>
    </row>
    <row r="166" spans="25:26" ht="14.25" customHeight="1" x14ac:dyDescent="0.3">
      <c r="Y166" t="str">
        <f t="shared" si="5"/>
        <v/>
      </c>
      <c r="Z166" t="str">
        <f t="shared" si="6"/>
        <v/>
      </c>
    </row>
    <row r="167" spans="25:26" ht="14.25" customHeight="1" x14ac:dyDescent="0.3">
      <c r="Y167" t="str">
        <f t="shared" si="5"/>
        <v/>
      </c>
      <c r="Z167" t="str">
        <f t="shared" si="6"/>
        <v/>
      </c>
    </row>
    <row r="168" spans="25:26" ht="14.25" customHeight="1" x14ac:dyDescent="0.3">
      <c r="Y168" t="str">
        <f t="shared" si="5"/>
        <v/>
      </c>
      <c r="Z168" t="str">
        <f t="shared" si="6"/>
        <v/>
      </c>
    </row>
    <row r="169" spans="25:26" ht="14.25" customHeight="1" x14ac:dyDescent="0.3">
      <c r="Y169" t="str">
        <f t="shared" si="5"/>
        <v/>
      </c>
      <c r="Z169" t="str">
        <f t="shared" si="6"/>
        <v/>
      </c>
    </row>
    <row r="170" spans="25:26" ht="14.25" customHeight="1" x14ac:dyDescent="0.3">
      <c r="Y170" t="str">
        <f t="shared" si="5"/>
        <v/>
      </c>
      <c r="Z170" t="str">
        <f t="shared" si="6"/>
        <v/>
      </c>
    </row>
    <row r="171" spans="25:26" ht="14.25" customHeight="1" x14ac:dyDescent="0.3">
      <c r="Y171" t="str">
        <f t="shared" si="5"/>
        <v/>
      </c>
      <c r="Z171" t="str">
        <f t="shared" si="6"/>
        <v/>
      </c>
    </row>
    <row r="172" spans="25:26" ht="14.25" customHeight="1" x14ac:dyDescent="0.3">
      <c r="Y172" t="str">
        <f t="shared" si="5"/>
        <v/>
      </c>
      <c r="Z172" t="str">
        <f t="shared" si="6"/>
        <v/>
      </c>
    </row>
    <row r="173" spans="25:26" ht="14.25" customHeight="1" x14ac:dyDescent="0.3">
      <c r="Y173" t="str">
        <f t="shared" si="5"/>
        <v/>
      </c>
      <c r="Z173" t="str">
        <f t="shared" si="6"/>
        <v/>
      </c>
    </row>
    <row r="174" spans="25:26" ht="14.25" customHeight="1" x14ac:dyDescent="0.3">
      <c r="Y174" t="str">
        <f t="shared" si="5"/>
        <v/>
      </c>
      <c r="Z174" t="str">
        <f t="shared" si="6"/>
        <v/>
      </c>
    </row>
    <row r="175" spans="25:26" ht="14.25" customHeight="1" x14ac:dyDescent="0.3">
      <c r="Y175" t="str">
        <f t="shared" si="5"/>
        <v/>
      </c>
      <c r="Z175" t="str">
        <f t="shared" si="6"/>
        <v/>
      </c>
    </row>
    <row r="176" spans="25:26" ht="14.25" customHeight="1" x14ac:dyDescent="0.3">
      <c r="Y176" t="str">
        <f t="shared" si="5"/>
        <v/>
      </c>
      <c r="Z176" t="str">
        <f t="shared" si="6"/>
        <v/>
      </c>
    </row>
    <row r="177" spans="25:26" ht="14.25" customHeight="1" x14ac:dyDescent="0.3">
      <c r="Y177" t="str">
        <f t="shared" si="5"/>
        <v/>
      </c>
      <c r="Z177" t="str">
        <f t="shared" si="6"/>
        <v/>
      </c>
    </row>
    <row r="178" spans="25:26" ht="14.25" customHeight="1" x14ac:dyDescent="0.3">
      <c r="Y178" t="str">
        <f t="shared" si="5"/>
        <v/>
      </c>
      <c r="Z178" t="str">
        <f t="shared" si="6"/>
        <v/>
      </c>
    </row>
    <row r="179" spans="25:26" ht="14.25" customHeight="1" x14ac:dyDescent="0.3">
      <c r="Y179" t="str">
        <f t="shared" si="5"/>
        <v/>
      </c>
      <c r="Z179" t="str">
        <f t="shared" si="6"/>
        <v/>
      </c>
    </row>
    <row r="180" spans="25:26" ht="14.25" customHeight="1" x14ac:dyDescent="0.3">
      <c r="Y180" t="str">
        <f t="shared" si="5"/>
        <v/>
      </c>
      <c r="Z180" t="str">
        <f t="shared" si="6"/>
        <v/>
      </c>
    </row>
    <row r="181" spans="25:26" ht="14.25" customHeight="1" x14ac:dyDescent="0.3">
      <c r="Y181" t="str">
        <f t="shared" si="5"/>
        <v/>
      </c>
      <c r="Z181" t="str">
        <f t="shared" si="6"/>
        <v/>
      </c>
    </row>
    <row r="182" spans="25:26" ht="14.25" customHeight="1" x14ac:dyDescent="0.3">
      <c r="Y182" t="str">
        <f t="shared" si="5"/>
        <v/>
      </c>
      <c r="Z182" t="str">
        <f t="shared" si="6"/>
        <v/>
      </c>
    </row>
    <row r="183" spans="25:26" ht="14.25" customHeight="1" x14ac:dyDescent="0.3">
      <c r="Y183" t="str">
        <f t="shared" si="5"/>
        <v/>
      </c>
      <c r="Z183" t="str">
        <f t="shared" si="6"/>
        <v/>
      </c>
    </row>
    <row r="184" spans="25:26" ht="14.25" customHeight="1" x14ac:dyDescent="0.3">
      <c r="Y184" t="str">
        <f t="shared" si="5"/>
        <v/>
      </c>
      <c r="Z184" t="str">
        <f t="shared" si="6"/>
        <v/>
      </c>
    </row>
    <row r="185" spans="25:26" ht="14.25" customHeight="1" x14ac:dyDescent="0.3">
      <c r="Y185" t="str">
        <f t="shared" si="5"/>
        <v/>
      </c>
      <c r="Z185" t="str">
        <f t="shared" si="6"/>
        <v/>
      </c>
    </row>
    <row r="186" spans="25:26" ht="14.25" customHeight="1" x14ac:dyDescent="0.3">
      <c r="Y186" t="str">
        <f t="shared" si="5"/>
        <v/>
      </c>
      <c r="Z186" t="str">
        <f t="shared" si="6"/>
        <v/>
      </c>
    </row>
    <row r="187" spans="25:26" ht="14.25" customHeight="1" x14ac:dyDescent="0.3">
      <c r="Y187" t="str">
        <f t="shared" si="5"/>
        <v/>
      </c>
      <c r="Z187" t="str">
        <f t="shared" si="6"/>
        <v/>
      </c>
    </row>
    <row r="188" spans="25:26" ht="14.25" customHeight="1" x14ac:dyDescent="0.3">
      <c r="Y188" t="str">
        <f t="shared" si="5"/>
        <v/>
      </c>
      <c r="Z188" t="str">
        <f t="shared" si="6"/>
        <v/>
      </c>
    </row>
    <row r="189" spans="25:26" ht="14.25" customHeight="1" x14ac:dyDescent="0.3">
      <c r="Y189" t="str">
        <f t="shared" si="5"/>
        <v/>
      </c>
      <c r="Z189" t="str">
        <f t="shared" si="6"/>
        <v/>
      </c>
    </row>
    <row r="190" spans="25:26" ht="14.25" customHeight="1" x14ac:dyDescent="0.3">
      <c r="Y190" t="str">
        <f t="shared" si="5"/>
        <v/>
      </c>
      <c r="Z190" t="str">
        <f t="shared" si="6"/>
        <v/>
      </c>
    </row>
    <row r="191" spans="25:26" ht="14.25" customHeight="1" x14ac:dyDescent="0.3">
      <c r="Y191" t="str">
        <f t="shared" si="5"/>
        <v/>
      </c>
      <c r="Z191" t="str">
        <f t="shared" si="6"/>
        <v/>
      </c>
    </row>
    <row r="192" spans="25:26" ht="14.25" customHeight="1" x14ac:dyDescent="0.3">
      <c r="Y192" t="str">
        <f t="shared" si="5"/>
        <v/>
      </c>
      <c r="Z192" t="str">
        <f t="shared" si="6"/>
        <v/>
      </c>
    </row>
    <row r="193" spans="25:26" ht="14.25" customHeight="1" x14ac:dyDescent="0.3">
      <c r="Y193" t="str">
        <f t="shared" si="5"/>
        <v/>
      </c>
      <c r="Z193" t="str">
        <f t="shared" si="6"/>
        <v/>
      </c>
    </row>
    <row r="194" spans="25:26" ht="14.25" customHeight="1" x14ac:dyDescent="0.3">
      <c r="Y194" t="str">
        <f t="shared" ref="Y194:Y257" si="7">IFERROR(INDEX(D_IDUNIQUE,MATCH(ROW()-1,D_RANG_PROFIL,0)),"")</f>
        <v/>
      </c>
      <c r="Z194" t="str">
        <f t="shared" ref="Z194:Z257" si="8">IF($Y194="","",UPPER(INDEX(D_NOM,MATCH($Y194,D_ID,0)))&amp;" "&amp;INDEX(D_PRENOM,MATCH($Y194,D_ID,0))&amp;" — "&amp;INDEX(D_NIVEAU_ACTUEL,MATCH($Y194,D_ID,0)))</f>
        <v/>
      </c>
    </row>
    <row r="195" spans="25:26" ht="14.25" customHeight="1" x14ac:dyDescent="0.3">
      <c r="Y195" t="str">
        <f t="shared" si="7"/>
        <v/>
      </c>
      <c r="Z195" t="str">
        <f t="shared" si="8"/>
        <v/>
      </c>
    </row>
    <row r="196" spans="25:26" ht="14.25" customHeight="1" x14ac:dyDescent="0.3">
      <c r="Y196" t="str">
        <f t="shared" si="7"/>
        <v/>
      </c>
      <c r="Z196" t="str">
        <f t="shared" si="8"/>
        <v/>
      </c>
    </row>
    <row r="197" spans="25:26" ht="14.25" customHeight="1" x14ac:dyDescent="0.3">
      <c r="Y197" t="str">
        <f t="shared" si="7"/>
        <v/>
      </c>
      <c r="Z197" t="str">
        <f t="shared" si="8"/>
        <v/>
      </c>
    </row>
    <row r="198" spans="25:26" ht="14.25" customHeight="1" x14ac:dyDescent="0.3">
      <c r="Y198" t="str">
        <f t="shared" si="7"/>
        <v/>
      </c>
      <c r="Z198" t="str">
        <f t="shared" si="8"/>
        <v/>
      </c>
    </row>
    <row r="199" spans="25:26" ht="14.25" customHeight="1" x14ac:dyDescent="0.3">
      <c r="Y199" t="str">
        <f t="shared" si="7"/>
        <v/>
      </c>
      <c r="Z199" t="str">
        <f t="shared" si="8"/>
        <v/>
      </c>
    </row>
    <row r="200" spans="25:26" ht="14.25" customHeight="1" x14ac:dyDescent="0.3">
      <c r="Y200" t="str">
        <f t="shared" si="7"/>
        <v/>
      </c>
      <c r="Z200" t="str">
        <f t="shared" si="8"/>
        <v/>
      </c>
    </row>
    <row r="201" spans="25:26" ht="14.25" customHeight="1" x14ac:dyDescent="0.3">
      <c r="Y201" t="str">
        <f t="shared" si="7"/>
        <v/>
      </c>
      <c r="Z201" t="str">
        <f t="shared" si="8"/>
        <v/>
      </c>
    </row>
    <row r="202" spans="25:26" ht="14.25" customHeight="1" x14ac:dyDescent="0.3">
      <c r="Y202" t="str">
        <f t="shared" si="7"/>
        <v/>
      </c>
      <c r="Z202" t="str">
        <f t="shared" si="8"/>
        <v/>
      </c>
    </row>
    <row r="203" spans="25:26" ht="14.25" customHeight="1" x14ac:dyDescent="0.3">
      <c r="Y203" t="str">
        <f t="shared" si="7"/>
        <v/>
      </c>
      <c r="Z203" t="str">
        <f t="shared" si="8"/>
        <v/>
      </c>
    </row>
    <row r="204" spans="25:26" ht="14.25" customHeight="1" x14ac:dyDescent="0.3">
      <c r="Y204" t="str">
        <f t="shared" si="7"/>
        <v/>
      </c>
      <c r="Z204" t="str">
        <f t="shared" si="8"/>
        <v/>
      </c>
    </row>
    <row r="205" spans="25:26" ht="14.25" customHeight="1" x14ac:dyDescent="0.3">
      <c r="Y205" t="str">
        <f t="shared" si="7"/>
        <v/>
      </c>
      <c r="Z205" t="str">
        <f t="shared" si="8"/>
        <v/>
      </c>
    </row>
    <row r="206" spans="25:26" ht="14.25" customHeight="1" x14ac:dyDescent="0.3">
      <c r="Y206" t="str">
        <f t="shared" si="7"/>
        <v/>
      </c>
      <c r="Z206" t="str">
        <f t="shared" si="8"/>
        <v/>
      </c>
    </row>
    <row r="207" spans="25:26" ht="14.25" customHeight="1" x14ac:dyDescent="0.3">
      <c r="Y207" t="str">
        <f t="shared" si="7"/>
        <v/>
      </c>
      <c r="Z207" t="str">
        <f t="shared" si="8"/>
        <v/>
      </c>
    </row>
    <row r="208" spans="25:26" ht="14.25" customHeight="1" x14ac:dyDescent="0.3">
      <c r="Y208" t="str">
        <f t="shared" si="7"/>
        <v/>
      </c>
      <c r="Z208" t="str">
        <f t="shared" si="8"/>
        <v/>
      </c>
    </row>
    <row r="209" spans="25:26" ht="14.25" customHeight="1" x14ac:dyDescent="0.3">
      <c r="Y209" t="str">
        <f t="shared" si="7"/>
        <v/>
      </c>
      <c r="Z209" t="str">
        <f t="shared" si="8"/>
        <v/>
      </c>
    </row>
    <row r="210" spans="25:26" ht="14.25" customHeight="1" x14ac:dyDescent="0.3">
      <c r="Y210" t="str">
        <f t="shared" si="7"/>
        <v/>
      </c>
      <c r="Z210" t="str">
        <f t="shared" si="8"/>
        <v/>
      </c>
    </row>
    <row r="211" spans="25:26" ht="14.25" customHeight="1" x14ac:dyDescent="0.3">
      <c r="Y211" t="str">
        <f t="shared" si="7"/>
        <v/>
      </c>
      <c r="Z211" t="str">
        <f t="shared" si="8"/>
        <v/>
      </c>
    </row>
    <row r="212" spans="25:26" ht="14.25" customHeight="1" x14ac:dyDescent="0.3">
      <c r="Y212" t="str">
        <f t="shared" si="7"/>
        <v/>
      </c>
      <c r="Z212" t="str">
        <f t="shared" si="8"/>
        <v/>
      </c>
    </row>
    <row r="213" spans="25:26" ht="14.25" customHeight="1" x14ac:dyDescent="0.3">
      <c r="Y213" t="str">
        <f t="shared" si="7"/>
        <v/>
      </c>
      <c r="Z213" t="str">
        <f t="shared" si="8"/>
        <v/>
      </c>
    </row>
    <row r="214" spans="25:26" ht="14.25" customHeight="1" x14ac:dyDescent="0.3">
      <c r="Y214" t="str">
        <f t="shared" si="7"/>
        <v/>
      </c>
      <c r="Z214" t="str">
        <f t="shared" si="8"/>
        <v/>
      </c>
    </row>
    <row r="215" spans="25:26" ht="14.25" customHeight="1" x14ac:dyDescent="0.3">
      <c r="Y215" t="str">
        <f t="shared" si="7"/>
        <v/>
      </c>
      <c r="Z215" t="str">
        <f t="shared" si="8"/>
        <v/>
      </c>
    </row>
    <row r="216" spans="25:26" ht="14.25" customHeight="1" x14ac:dyDescent="0.3">
      <c r="Y216" t="str">
        <f t="shared" si="7"/>
        <v/>
      </c>
      <c r="Z216" t="str">
        <f t="shared" si="8"/>
        <v/>
      </c>
    </row>
    <row r="217" spans="25:26" ht="14.25" customHeight="1" x14ac:dyDescent="0.3">
      <c r="Y217" t="str">
        <f t="shared" si="7"/>
        <v/>
      </c>
      <c r="Z217" t="str">
        <f t="shared" si="8"/>
        <v/>
      </c>
    </row>
    <row r="218" spans="25:26" ht="14.25" customHeight="1" x14ac:dyDescent="0.3">
      <c r="Y218" t="str">
        <f t="shared" si="7"/>
        <v/>
      </c>
      <c r="Z218" t="str">
        <f t="shared" si="8"/>
        <v/>
      </c>
    </row>
    <row r="219" spans="25:26" ht="14.25" customHeight="1" x14ac:dyDescent="0.3">
      <c r="Y219" t="str">
        <f t="shared" si="7"/>
        <v/>
      </c>
      <c r="Z219" t="str">
        <f t="shared" si="8"/>
        <v/>
      </c>
    </row>
    <row r="220" spans="25:26" ht="14.25" customHeight="1" x14ac:dyDescent="0.3">
      <c r="Y220" t="str">
        <f t="shared" si="7"/>
        <v/>
      </c>
      <c r="Z220" t="str">
        <f t="shared" si="8"/>
        <v/>
      </c>
    </row>
    <row r="221" spans="25:26" ht="14.25" customHeight="1" x14ac:dyDescent="0.3">
      <c r="Y221" t="str">
        <f t="shared" si="7"/>
        <v/>
      </c>
      <c r="Z221" t="str">
        <f t="shared" si="8"/>
        <v/>
      </c>
    </row>
    <row r="222" spans="25:26" ht="14.25" customHeight="1" x14ac:dyDescent="0.3">
      <c r="Y222" t="str">
        <f t="shared" si="7"/>
        <v/>
      </c>
      <c r="Z222" t="str">
        <f t="shared" si="8"/>
        <v/>
      </c>
    </row>
    <row r="223" spans="25:26" ht="14.25" customHeight="1" x14ac:dyDescent="0.3">
      <c r="Y223" t="str">
        <f t="shared" si="7"/>
        <v/>
      </c>
      <c r="Z223" t="str">
        <f t="shared" si="8"/>
        <v/>
      </c>
    </row>
    <row r="224" spans="25:26" ht="14.25" customHeight="1" x14ac:dyDescent="0.3">
      <c r="Y224" t="str">
        <f t="shared" si="7"/>
        <v/>
      </c>
      <c r="Z224" t="str">
        <f t="shared" si="8"/>
        <v/>
      </c>
    </row>
    <row r="225" spans="25:26" ht="14.25" customHeight="1" x14ac:dyDescent="0.3">
      <c r="Y225" t="str">
        <f t="shared" si="7"/>
        <v/>
      </c>
      <c r="Z225" t="str">
        <f t="shared" si="8"/>
        <v/>
      </c>
    </row>
    <row r="226" spans="25:26" ht="14.25" customHeight="1" x14ac:dyDescent="0.3">
      <c r="Y226" t="str">
        <f t="shared" si="7"/>
        <v/>
      </c>
      <c r="Z226" t="str">
        <f t="shared" si="8"/>
        <v/>
      </c>
    </row>
    <row r="227" spans="25:26" ht="14.25" customHeight="1" x14ac:dyDescent="0.3">
      <c r="Y227" t="str">
        <f t="shared" si="7"/>
        <v/>
      </c>
      <c r="Z227" t="str">
        <f t="shared" si="8"/>
        <v/>
      </c>
    </row>
    <row r="228" spans="25:26" ht="14.25" customHeight="1" x14ac:dyDescent="0.3">
      <c r="Y228" t="str">
        <f t="shared" si="7"/>
        <v/>
      </c>
      <c r="Z228" t="str">
        <f t="shared" si="8"/>
        <v/>
      </c>
    </row>
    <row r="229" spans="25:26" ht="14.25" customHeight="1" x14ac:dyDescent="0.3">
      <c r="Y229" t="str">
        <f t="shared" si="7"/>
        <v/>
      </c>
      <c r="Z229" t="str">
        <f t="shared" si="8"/>
        <v/>
      </c>
    </row>
    <row r="230" spans="25:26" ht="14.25" customHeight="1" x14ac:dyDescent="0.3">
      <c r="Y230" t="str">
        <f t="shared" si="7"/>
        <v/>
      </c>
      <c r="Z230" t="str">
        <f t="shared" si="8"/>
        <v/>
      </c>
    </row>
    <row r="231" spans="25:26" ht="14.25" customHeight="1" x14ac:dyDescent="0.3">
      <c r="Y231" t="str">
        <f t="shared" si="7"/>
        <v/>
      </c>
      <c r="Z231" t="str">
        <f t="shared" si="8"/>
        <v/>
      </c>
    </row>
    <row r="232" spans="25:26" ht="14.25" customHeight="1" x14ac:dyDescent="0.3">
      <c r="Y232" t="str">
        <f t="shared" si="7"/>
        <v/>
      </c>
      <c r="Z232" t="str">
        <f t="shared" si="8"/>
        <v/>
      </c>
    </row>
    <row r="233" spans="25:26" ht="14.25" customHeight="1" x14ac:dyDescent="0.3">
      <c r="Y233" t="str">
        <f t="shared" si="7"/>
        <v/>
      </c>
      <c r="Z233" t="str">
        <f t="shared" si="8"/>
        <v/>
      </c>
    </row>
    <row r="234" spans="25:26" ht="14.25" customHeight="1" x14ac:dyDescent="0.3">
      <c r="Y234" t="str">
        <f t="shared" si="7"/>
        <v/>
      </c>
      <c r="Z234" t="str">
        <f t="shared" si="8"/>
        <v/>
      </c>
    </row>
    <row r="235" spans="25:26" ht="14.25" customHeight="1" x14ac:dyDescent="0.3">
      <c r="Y235" t="str">
        <f t="shared" si="7"/>
        <v/>
      </c>
      <c r="Z235" t="str">
        <f t="shared" si="8"/>
        <v/>
      </c>
    </row>
    <row r="236" spans="25:26" ht="14.25" customHeight="1" x14ac:dyDescent="0.3">
      <c r="Y236" t="str">
        <f t="shared" si="7"/>
        <v/>
      </c>
      <c r="Z236" t="str">
        <f t="shared" si="8"/>
        <v/>
      </c>
    </row>
    <row r="237" spans="25:26" ht="14.25" customHeight="1" x14ac:dyDescent="0.3">
      <c r="Y237" t="str">
        <f t="shared" si="7"/>
        <v/>
      </c>
      <c r="Z237" t="str">
        <f t="shared" si="8"/>
        <v/>
      </c>
    </row>
    <row r="238" spans="25:26" ht="14.25" customHeight="1" x14ac:dyDescent="0.3">
      <c r="Y238" t="str">
        <f t="shared" si="7"/>
        <v/>
      </c>
      <c r="Z238" t="str">
        <f t="shared" si="8"/>
        <v/>
      </c>
    </row>
    <row r="239" spans="25:26" ht="14.25" customHeight="1" x14ac:dyDescent="0.3">
      <c r="Y239" t="str">
        <f t="shared" si="7"/>
        <v/>
      </c>
      <c r="Z239" t="str">
        <f t="shared" si="8"/>
        <v/>
      </c>
    </row>
    <row r="240" spans="25:26" ht="14.25" customHeight="1" x14ac:dyDescent="0.3">
      <c r="Y240" t="str">
        <f t="shared" si="7"/>
        <v/>
      </c>
      <c r="Z240" t="str">
        <f t="shared" si="8"/>
        <v/>
      </c>
    </row>
    <row r="241" spans="25:26" ht="14.25" customHeight="1" x14ac:dyDescent="0.3">
      <c r="Y241" t="str">
        <f t="shared" si="7"/>
        <v/>
      </c>
      <c r="Z241" t="str">
        <f t="shared" si="8"/>
        <v/>
      </c>
    </row>
    <row r="242" spans="25:26" ht="14.25" customHeight="1" x14ac:dyDescent="0.3">
      <c r="Y242" t="str">
        <f t="shared" si="7"/>
        <v/>
      </c>
      <c r="Z242" t="str">
        <f t="shared" si="8"/>
        <v/>
      </c>
    </row>
    <row r="243" spans="25:26" ht="14.25" customHeight="1" x14ac:dyDescent="0.3">
      <c r="Y243" t="str">
        <f t="shared" si="7"/>
        <v/>
      </c>
      <c r="Z243" t="str">
        <f t="shared" si="8"/>
        <v/>
      </c>
    </row>
    <row r="244" spans="25:26" ht="14.25" customHeight="1" x14ac:dyDescent="0.3">
      <c r="Y244" t="str">
        <f t="shared" si="7"/>
        <v/>
      </c>
      <c r="Z244" t="str">
        <f t="shared" si="8"/>
        <v/>
      </c>
    </row>
    <row r="245" spans="25:26" ht="14.25" customHeight="1" x14ac:dyDescent="0.3">
      <c r="Y245" t="str">
        <f t="shared" si="7"/>
        <v/>
      </c>
      <c r="Z245" t="str">
        <f t="shared" si="8"/>
        <v/>
      </c>
    </row>
    <row r="246" spans="25:26" ht="14.25" customHeight="1" x14ac:dyDescent="0.3">
      <c r="Y246" t="str">
        <f t="shared" si="7"/>
        <v/>
      </c>
      <c r="Z246" t="str">
        <f t="shared" si="8"/>
        <v/>
      </c>
    </row>
    <row r="247" spans="25:26" ht="14.25" customHeight="1" x14ac:dyDescent="0.3">
      <c r="Y247" t="str">
        <f t="shared" si="7"/>
        <v/>
      </c>
      <c r="Z247" t="str">
        <f t="shared" si="8"/>
        <v/>
      </c>
    </row>
    <row r="248" spans="25:26" ht="14.25" customHeight="1" x14ac:dyDescent="0.3">
      <c r="Y248" t="str">
        <f t="shared" si="7"/>
        <v/>
      </c>
      <c r="Z248" t="str">
        <f t="shared" si="8"/>
        <v/>
      </c>
    </row>
    <row r="249" spans="25:26" ht="14.25" customHeight="1" x14ac:dyDescent="0.3">
      <c r="Y249" t="str">
        <f t="shared" si="7"/>
        <v/>
      </c>
      <c r="Z249" t="str">
        <f t="shared" si="8"/>
        <v/>
      </c>
    </row>
    <row r="250" spans="25:26" ht="14.25" customHeight="1" x14ac:dyDescent="0.3">
      <c r="Y250" t="str">
        <f t="shared" si="7"/>
        <v/>
      </c>
      <c r="Z250" t="str">
        <f t="shared" si="8"/>
        <v/>
      </c>
    </row>
    <row r="251" spans="25:26" ht="14.25" customHeight="1" x14ac:dyDescent="0.3">
      <c r="Y251" t="str">
        <f t="shared" si="7"/>
        <v/>
      </c>
      <c r="Z251" t="str">
        <f t="shared" si="8"/>
        <v/>
      </c>
    </row>
    <row r="252" spans="25:26" ht="14.25" customHeight="1" x14ac:dyDescent="0.3">
      <c r="Y252" t="str">
        <f t="shared" si="7"/>
        <v/>
      </c>
      <c r="Z252" t="str">
        <f t="shared" si="8"/>
        <v/>
      </c>
    </row>
    <row r="253" spans="25:26" ht="14.25" customHeight="1" x14ac:dyDescent="0.3">
      <c r="Y253" t="str">
        <f t="shared" si="7"/>
        <v/>
      </c>
      <c r="Z253" t="str">
        <f t="shared" si="8"/>
        <v/>
      </c>
    </row>
    <row r="254" spans="25:26" ht="14.25" customHeight="1" x14ac:dyDescent="0.3">
      <c r="Y254" t="str">
        <f t="shared" si="7"/>
        <v/>
      </c>
      <c r="Z254" t="str">
        <f t="shared" si="8"/>
        <v/>
      </c>
    </row>
    <row r="255" spans="25:26" ht="14.25" customHeight="1" x14ac:dyDescent="0.3">
      <c r="Y255" t="str">
        <f t="shared" si="7"/>
        <v/>
      </c>
      <c r="Z255" t="str">
        <f t="shared" si="8"/>
        <v/>
      </c>
    </row>
    <row r="256" spans="25:26" ht="14.25" customHeight="1" x14ac:dyDescent="0.3">
      <c r="Y256" t="str">
        <f t="shared" si="7"/>
        <v/>
      </c>
      <c r="Z256" t="str">
        <f t="shared" si="8"/>
        <v/>
      </c>
    </row>
    <row r="257" spans="25:26" ht="14.25" customHeight="1" x14ac:dyDescent="0.3">
      <c r="Y257" t="str">
        <f t="shared" si="7"/>
        <v/>
      </c>
      <c r="Z257" t="str">
        <f t="shared" si="8"/>
        <v/>
      </c>
    </row>
    <row r="258" spans="25:26" ht="14.25" customHeight="1" x14ac:dyDescent="0.3">
      <c r="Y258" t="str">
        <f t="shared" ref="Y258:Y321" si="9">IFERROR(INDEX(D_IDUNIQUE,MATCH(ROW()-1,D_RANG_PROFIL,0)),"")</f>
        <v/>
      </c>
      <c r="Z258" t="str">
        <f t="shared" ref="Z258:Z321" si="10">IF($Y258="","",UPPER(INDEX(D_NOM,MATCH($Y258,D_ID,0)))&amp;" "&amp;INDEX(D_PRENOM,MATCH($Y258,D_ID,0))&amp;" — "&amp;INDEX(D_NIVEAU_ACTUEL,MATCH($Y258,D_ID,0)))</f>
        <v/>
      </c>
    </row>
    <row r="259" spans="25:26" ht="14.25" customHeight="1" x14ac:dyDescent="0.3">
      <c r="Y259" t="str">
        <f t="shared" si="9"/>
        <v/>
      </c>
      <c r="Z259" t="str">
        <f t="shared" si="10"/>
        <v/>
      </c>
    </row>
    <row r="260" spans="25:26" ht="14.25" customHeight="1" x14ac:dyDescent="0.3">
      <c r="Y260" t="str">
        <f t="shared" si="9"/>
        <v/>
      </c>
      <c r="Z260" t="str">
        <f t="shared" si="10"/>
        <v/>
      </c>
    </row>
    <row r="261" spans="25:26" ht="14.25" customHeight="1" x14ac:dyDescent="0.3">
      <c r="Y261" t="str">
        <f t="shared" si="9"/>
        <v/>
      </c>
      <c r="Z261" t="str">
        <f t="shared" si="10"/>
        <v/>
      </c>
    </row>
    <row r="262" spans="25:26" ht="14.25" customHeight="1" x14ac:dyDescent="0.3">
      <c r="Y262" t="str">
        <f t="shared" si="9"/>
        <v/>
      </c>
      <c r="Z262" t="str">
        <f t="shared" si="10"/>
        <v/>
      </c>
    </row>
    <row r="263" spans="25:26" ht="14.25" customHeight="1" x14ac:dyDescent="0.3">
      <c r="Y263" t="str">
        <f t="shared" si="9"/>
        <v/>
      </c>
      <c r="Z263" t="str">
        <f t="shared" si="10"/>
        <v/>
      </c>
    </row>
    <row r="264" spans="25:26" ht="14.25" customHeight="1" x14ac:dyDescent="0.3">
      <c r="Y264" t="str">
        <f t="shared" si="9"/>
        <v/>
      </c>
      <c r="Z264" t="str">
        <f t="shared" si="10"/>
        <v/>
      </c>
    </row>
    <row r="265" spans="25:26" ht="14.25" customHeight="1" x14ac:dyDescent="0.3">
      <c r="Y265" t="str">
        <f t="shared" si="9"/>
        <v/>
      </c>
      <c r="Z265" t="str">
        <f t="shared" si="10"/>
        <v/>
      </c>
    </row>
    <row r="266" spans="25:26" ht="14.25" customHeight="1" x14ac:dyDescent="0.3">
      <c r="Y266" t="str">
        <f t="shared" si="9"/>
        <v/>
      </c>
      <c r="Z266" t="str">
        <f t="shared" si="10"/>
        <v/>
      </c>
    </row>
    <row r="267" spans="25:26" ht="14.25" customHeight="1" x14ac:dyDescent="0.3">
      <c r="Y267" t="str">
        <f t="shared" si="9"/>
        <v/>
      </c>
      <c r="Z267" t="str">
        <f t="shared" si="10"/>
        <v/>
      </c>
    </row>
    <row r="268" spans="25:26" ht="14.25" customHeight="1" x14ac:dyDescent="0.3">
      <c r="Y268" t="str">
        <f t="shared" si="9"/>
        <v/>
      </c>
      <c r="Z268" t="str">
        <f t="shared" si="10"/>
        <v/>
      </c>
    </row>
    <row r="269" spans="25:26" ht="14.25" customHeight="1" x14ac:dyDescent="0.3">
      <c r="Y269" t="str">
        <f t="shared" si="9"/>
        <v/>
      </c>
      <c r="Z269" t="str">
        <f t="shared" si="10"/>
        <v/>
      </c>
    </row>
    <row r="270" spans="25:26" ht="14.25" customHeight="1" x14ac:dyDescent="0.3">
      <c r="Y270" t="str">
        <f t="shared" si="9"/>
        <v/>
      </c>
      <c r="Z270" t="str">
        <f t="shared" si="10"/>
        <v/>
      </c>
    </row>
    <row r="271" spans="25:26" ht="14.25" customHeight="1" x14ac:dyDescent="0.3">
      <c r="Y271" t="str">
        <f t="shared" si="9"/>
        <v/>
      </c>
      <c r="Z271" t="str">
        <f t="shared" si="10"/>
        <v/>
      </c>
    </row>
    <row r="272" spans="25:26" ht="14.25" customHeight="1" x14ac:dyDescent="0.3">
      <c r="Y272" t="str">
        <f t="shared" si="9"/>
        <v/>
      </c>
      <c r="Z272" t="str">
        <f t="shared" si="10"/>
        <v/>
      </c>
    </row>
    <row r="273" spans="25:26" ht="14.25" customHeight="1" x14ac:dyDescent="0.3">
      <c r="Y273" t="str">
        <f t="shared" si="9"/>
        <v/>
      </c>
      <c r="Z273" t="str">
        <f t="shared" si="10"/>
        <v/>
      </c>
    </row>
    <row r="274" spans="25:26" ht="14.25" customHeight="1" x14ac:dyDescent="0.3">
      <c r="Y274" t="str">
        <f t="shared" si="9"/>
        <v/>
      </c>
      <c r="Z274" t="str">
        <f t="shared" si="10"/>
        <v/>
      </c>
    </row>
    <row r="275" spans="25:26" ht="14.25" customHeight="1" x14ac:dyDescent="0.3">
      <c r="Y275" t="str">
        <f t="shared" si="9"/>
        <v/>
      </c>
      <c r="Z275" t="str">
        <f t="shared" si="10"/>
        <v/>
      </c>
    </row>
    <row r="276" spans="25:26" ht="14.25" customHeight="1" x14ac:dyDescent="0.3">
      <c r="Y276" t="str">
        <f t="shared" si="9"/>
        <v/>
      </c>
      <c r="Z276" t="str">
        <f t="shared" si="10"/>
        <v/>
      </c>
    </row>
    <row r="277" spans="25:26" ht="14.25" customHeight="1" x14ac:dyDescent="0.3">
      <c r="Y277" t="str">
        <f t="shared" si="9"/>
        <v/>
      </c>
      <c r="Z277" t="str">
        <f t="shared" si="10"/>
        <v/>
      </c>
    </row>
    <row r="278" spans="25:26" ht="14.25" customHeight="1" x14ac:dyDescent="0.3">
      <c r="Y278" t="str">
        <f t="shared" si="9"/>
        <v/>
      </c>
      <c r="Z278" t="str">
        <f t="shared" si="10"/>
        <v/>
      </c>
    </row>
    <row r="279" spans="25:26" ht="14.25" customHeight="1" x14ac:dyDescent="0.3">
      <c r="Y279" t="str">
        <f t="shared" si="9"/>
        <v/>
      </c>
      <c r="Z279" t="str">
        <f t="shared" si="10"/>
        <v/>
      </c>
    </row>
    <row r="280" spans="25:26" ht="14.25" customHeight="1" x14ac:dyDescent="0.3">
      <c r="Y280" t="str">
        <f t="shared" si="9"/>
        <v/>
      </c>
      <c r="Z280" t="str">
        <f t="shared" si="10"/>
        <v/>
      </c>
    </row>
    <row r="281" spans="25:26" ht="14.25" customHeight="1" x14ac:dyDescent="0.3">
      <c r="Y281" t="str">
        <f t="shared" si="9"/>
        <v/>
      </c>
      <c r="Z281" t="str">
        <f t="shared" si="10"/>
        <v/>
      </c>
    </row>
    <row r="282" spans="25:26" ht="14.25" customHeight="1" x14ac:dyDescent="0.3">
      <c r="Y282" t="str">
        <f t="shared" si="9"/>
        <v/>
      </c>
      <c r="Z282" t="str">
        <f t="shared" si="10"/>
        <v/>
      </c>
    </row>
    <row r="283" spans="25:26" ht="14.25" customHeight="1" x14ac:dyDescent="0.3">
      <c r="Y283" t="str">
        <f t="shared" si="9"/>
        <v/>
      </c>
      <c r="Z283" t="str">
        <f t="shared" si="10"/>
        <v/>
      </c>
    </row>
    <row r="284" spans="25:26" ht="14.25" customHeight="1" x14ac:dyDescent="0.3">
      <c r="Y284" t="str">
        <f t="shared" si="9"/>
        <v/>
      </c>
      <c r="Z284" t="str">
        <f t="shared" si="10"/>
        <v/>
      </c>
    </row>
    <row r="285" spans="25:26" ht="14.25" customHeight="1" x14ac:dyDescent="0.3">
      <c r="Y285" t="str">
        <f t="shared" si="9"/>
        <v/>
      </c>
      <c r="Z285" t="str">
        <f t="shared" si="10"/>
        <v/>
      </c>
    </row>
    <row r="286" spans="25:26" ht="14.25" customHeight="1" x14ac:dyDescent="0.3">
      <c r="Y286" t="str">
        <f t="shared" si="9"/>
        <v/>
      </c>
      <c r="Z286" t="str">
        <f t="shared" si="10"/>
        <v/>
      </c>
    </row>
    <row r="287" spans="25:26" ht="14.25" customHeight="1" x14ac:dyDescent="0.3">
      <c r="Y287" t="str">
        <f t="shared" si="9"/>
        <v/>
      </c>
      <c r="Z287" t="str">
        <f t="shared" si="10"/>
        <v/>
      </c>
    </row>
    <row r="288" spans="25:26" ht="14.25" customHeight="1" x14ac:dyDescent="0.3">
      <c r="Y288" t="str">
        <f t="shared" si="9"/>
        <v/>
      </c>
      <c r="Z288" t="str">
        <f t="shared" si="10"/>
        <v/>
      </c>
    </row>
    <row r="289" spans="25:26" ht="14.25" customHeight="1" x14ac:dyDescent="0.3">
      <c r="Y289" t="str">
        <f t="shared" si="9"/>
        <v/>
      </c>
      <c r="Z289" t="str">
        <f t="shared" si="10"/>
        <v/>
      </c>
    </row>
    <row r="290" spans="25:26" ht="14.25" customHeight="1" x14ac:dyDescent="0.3">
      <c r="Y290" t="str">
        <f t="shared" si="9"/>
        <v/>
      </c>
      <c r="Z290" t="str">
        <f t="shared" si="10"/>
        <v/>
      </c>
    </row>
    <row r="291" spans="25:26" ht="14.25" customHeight="1" x14ac:dyDescent="0.3">
      <c r="Y291" t="str">
        <f t="shared" si="9"/>
        <v/>
      </c>
      <c r="Z291" t="str">
        <f t="shared" si="10"/>
        <v/>
      </c>
    </row>
    <row r="292" spans="25:26" ht="14.25" customHeight="1" x14ac:dyDescent="0.3">
      <c r="Y292" t="str">
        <f t="shared" si="9"/>
        <v/>
      </c>
      <c r="Z292" t="str">
        <f t="shared" si="10"/>
        <v/>
      </c>
    </row>
    <row r="293" spans="25:26" ht="14.25" customHeight="1" x14ac:dyDescent="0.3">
      <c r="Y293" t="str">
        <f t="shared" si="9"/>
        <v/>
      </c>
      <c r="Z293" t="str">
        <f t="shared" si="10"/>
        <v/>
      </c>
    </row>
    <row r="294" spans="25:26" ht="14.25" customHeight="1" x14ac:dyDescent="0.3">
      <c r="Y294" t="str">
        <f t="shared" si="9"/>
        <v/>
      </c>
      <c r="Z294" t="str">
        <f t="shared" si="10"/>
        <v/>
      </c>
    </row>
    <row r="295" spans="25:26" ht="14.25" customHeight="1" x14ac:dyDescent="0.3">
      <c r="Y295" t="str">
        <f t="shared" si="9"/>
        <v/>
      </c>
      <c r="Z295" t="str">
        <f t="shared" si="10"/>
        <v/>
      </c>
    </row>
    <row r="296" spans="25:26" ht="14.25" customHeight="1" x14ac:dyDescent="0.3">
      <c r="Y296" t="str">
        <f t="shared" si="9"/>
        <v/>
      </c>
      <c r="Z296" t="str">
        <f t="shared" si="10"/>
        <v/>
      </c>
    </row>
    <row r="297" spans="25:26" ht="14.25" customHeight="1" x14ac:dyDescent="0.3">
      <c r="Y297" t="str">
        <f t="shared" si="9"/>
        <v/>
      </c>
      <c r="Z297" t="str">
        <f t="shared" si="10"/>
        <v/>
      </c>
    </row>
    <row r="298" spans="25:26" ht="14.25" customHeight="1" x14ac:dyDescent="0.3">
      <c r="Y298" t="str">
        <f t="shared" si="9"/>
        <v/>
      </c>
      <c r="Z298" t="str">
        <f t="shared" si="10"/>
        <v/>
      </c>
    </row>
    <row r="299" spans="25:26" ht="14.25" customHeight="1" x14ac:dyDescent="0.3">
      <c r="Y299" t="str">
        <f t="shared" si="9"/>
        <v/>
      </c>
      <c r="Z299" t="str">
        <f t="shared" si="10"/>
        <v/>
      </c>
    </row>
    <row r="300" spans="25:26" ht="14.25" customHeight="1" x14ac:dyDescent="0.3">
      <c r="Y300" t="str">
        <f t="shared" si="9"/>
        <v/>
      </c>
      <c r="Z300" t="str">
        <f t="shared" si="10"/>
        <v/>
      </c>
    </row>
    <row r="301" spans="25:26" ht="14.25" customHeight="1" x14ac:dyDescent="0.3">
      <c r="Y301" t="str">
        <f t="shared" si="9"/>
        <v/>
      </c>
      <c r="Z301" t="str">
        <f t="shared" si="10"/>
        <v/>
      </c>
    </row>
    <row r="302" spans="25:26" ht="14.25" customHeight="1" x14ac:dyDescent="0.3">
      <c r="Y302" t="str">
        <f t="shared" si="9"/>
        <v/>
      </c>
      <c r="Z302" t="str">
        <f t="shared" si="10"/>
        <v/>
      </c>
    </row>
    <row r="303" spans="25:26" ht="14.25" customHeight="1" x14ac:dyDescent="0.3">
      <c r="Y303" t="str">
        <f t="shared" si="9"/>
        <v/>
      </c>
      <c r="Z303" t="str">
        <f t="shared" si="10"/>
        <v/>
      </c>
    </row>
    <row r="304" spans="25:26" ht="14.25" customHeight="1" x14ac:dyDescent="0.3">
      <c r="Y304" t="str">
        <f t="shared" si="9"/>
        <v/>
      </c>
      <c r="Z304" t="str">
        <f t="shared" si="10"/>
        <v/>
      </c>
    </row>
    <row r="305" spans="25:26" ht="14.25" customHeight="1" x14ac:dyDescent="0.3">
      <c r="Y305" t="str">
        <f t="shared" si="9"/>
        <v/>
      </c>
      <c r="Z305" t="str">
        <f t="shared" si="10"/>
        <v/>
      </c>
    </row>
    <row r="306" spans="25:26" ht="14.25" customHeight="1" x14ac:dyDescent="0.3">
      <c r="Y306" t="str">
        <f t="shared" si="9"/>
        <v/>
      </c>
      <c r="Z306" t="str">
        <f t="shared" si="10"/>
        <v/>
      </c>
    </row>
    <row r="307" spans="25:26" ht="14.25" customHeight="1" x14ac:dyDescent="0.3">
      <c r="Y307" t="str">
        <f t="shared" si="9"/>
        <v/>
      </c>
      <c r="Z307" t="str">
        <f t="shared" si="10"/>
        <v/>
      </c>
    </row>
    <row r="308" spans="25:26" ht="14.25" customHeight="1" x14ac:dyDescent="0.3">
      <c r="Y308" t="str">
        <f t="shared" si="9"/>
        <v/>
      </c>
      <c r="Z308" t="str">
        <f t="shared" si="10"/>
        <v/>
      </c>
    </row>
    <row r="309" spans="25:26" ht="14.25" customHeight="1" x14ac:dyDescent="0.3">
      <c r="Y309" t="str">
        <f t="shared" si="9"/>
        <v/>
      </c>
      <c r="Z309" t="str">
        <f t="shared" si="10"/>
        <v/>
      </c>
    </row>
    <row r="310" spans="25:26" ht="14.25" customHeight="1" x14ac:dyDescent="0.3">
      <c r="Y310" t="str">
        <f t="shared" si="9"/>
        <v/>
      </c>
      <c r="Z310" t="str">
        <f t="shared" si="10"/>
        <v/>
      </c>
    </row>
    <row r="311" spans="25:26" ht="14.25" customHeight="1" x14ac:dyDescent="0.3">
      <c r="Y311" t="str">
        <f t="shared" si="9"/>
        <v/>
      </c>
      <c r="Z311" t="str">
        <f t="shared" si="10"/>
        <v/>
      </c>
    </row>
    <row r="312" spans="25:26" ht="14.25" customHeight="1" x14ac:dyDescent="0.3">
      <c r="Y312" t="str">
        <f t="shared" si="9"/>
        <v/>
      </c>
      <c r="Z312" t="str">
        <f t="shared" si="10"/>
        <v/>
      </c>
    </row>
    <row r="313" spans="25:26" ht="14.25" customHeight="1" x14ac:dyDescent="0.3">
      <c r="Y313" t="str">
        <f t="shared" si="9"/>
        <v/>
      </c>
      <c r="Z313" t="str">
        <f t="shared" si="10"/>
        <v/>
      </c>
    </row>
    <row r="314" spans="25:26" ht="14.25" customHeight="1" x14ac:dyDescent="0.3">
      <c r="Y314" t="str">
        <f t="shared" si="9"/>
        <v/>
      </c>
      <c r="Z314" t="str">
        <f t="shared" si="10"/>
        <v/>
      </c>
    </row>
    <row r="315" spans="25:26" ht="14.25" customHeight="1" x14ac:dyDescent="0.3">
      <c r="Y315" t="str">
        <f t="shared" si="9"/>
        <v/>
      </c>
      <c r="Z315" t="str">
        <f t="shared" si="10"/>
        <v/>
      </c>
    </row>
    <row r="316" spans="25:26" ht="14.25" customHeight="1" x14ac:dyDescent="0.3">
      <c r="Y316" t="str">
        <f t="shared" si="9"/>
        <v/>
      </c>
      <c r="Z316" t="str">
        <f t="shared" si="10"/>
        <v/>
      </c>
    </row>
    <row r="317" spans="25:26" ht="14.25" customHeight="1" x14ac:dyDescent="0.3">
      <c r="Y317" t="str">
        <f t="shared" si="9"/>
        <v/>
      </c>
      <c r="Z317" t="str">
        <f t="shared" si="10"/>
        <v/>
      </c>
    </row>
    <row r="318" spans="25:26" ht="14.25" customHeight="1" x14ac:dyDescent="0.3">
      <c r="Y318" t="str">
        <f t="shared" si="9"/>
        <v/>
      </c>
      <c r="Z318" t="str">
        <f t="shared" si="10"/>
        <v/>
      </c>
    </row>
    <row r="319" spans="25:26" ht="14.25" customHeight="1" x14ac:dyDescent="0.3">
      <c r="Y319" t="str">
        <f t="shared" si="9"/>
        <v/>
      </c>
      <c r="Z319" t="str">
        <f t="shared" si="10"/>
        <v/>
      </c>
    </row>
    <row r="320" spans="25:26" ht="14.25" customHeight="1" x14ac:dyDescent="0.3">
      <c r="Y320" t="str">
        <f t="shared" si="9"/>
        <v/>
      </c>
      <c r="Z320" t="str">
        <f t="shared" si="10"/>
        <v/>
      </c>
    </row>
    <row r="321" spans="25:26" ht="14.25" customHeight="1" x14ac:dyDescent="0.3">
      <c r="Y321" t="str">
        <f t="shared" si="9"/>
        <v/>
      </c>
      <c r="Z321" t="str">
        <f t="shared" si="10"/>
        <v/>
      </c>
    </row>
    <row r="322" spans="25:26" ht="14.25" customHeight="1" x14ac:dyDescent="0.3">
      <c r="Y322" t="str">
        <f t="shared" ref="Y322:Y385" si="11">IFERROR(INDEX(D_IDUNIQUE,MATCH(ROW()-1,D_RANG_PROFIL,0)),"")</f>
        <v/>
      </c>
      <c r="Z322" t="str">
        <f t="shared" ref="Z322:Z385" si="12">IF($Y322="","",UPPER(INDEX(D_NOM,MATCH($Y322,D_ID,0)))&amp;" "&amp;INDEX(D_PRENOM,MATCH($Y322,D_ID,0))&amp;" — "&amp;INDEX(D_NIVEAU_ACTUEL,MATCH($Y322,D_ID,0)))</f>
        <v/>
      </c>
    </row>
    <row r="323" spans="25:26" ht="14.25" customHeight="1" x14ac:dyDescent="0.3">
      <c r="Y323" t="str">
        <f t="shared" si="11"/>
        <v/>
      </c>
      <c r="Z323" t="str">
        <f t="shared" si="12"/>
        <v/>
      </c>
    </row>
    <row r="324" spans="25:26" ht="14.25" customHeight="1" x14ac:dyDescent="0.3">
      <c r="Y324" t="str">
        <f t="shared" si="11"/>
        <v/>
      </c>
      <c r="Z324" t="str">
        <f t="shared" si="12"/>
        <v/>
      </c>
    </row>
    <row r="325" spans="25:26" ht="14.25" customHeight="1" x14ac:dyDescent="0.3">
      <c r="Y325" t="str">
        <f t="shared" si="11"/>
        <v/>
      </c>
      <c r="Z325" t="str">
        <f t="shared" si="12"/>
        <v/>
      </c>
    </row>
    <row r="326" spans="25:26" ht="14.25" customHeight="1" x14ac:dyDescent="0.3">
      <c r="Y326" t="str">
        <f t="shared" si="11"/>
        <v/>
      </c>
      <c r="Z326" t="str">
        <f t="shared" si="12"/>
        <v/>
      </c>
    </row>
    <row r="327" spans="25:26" ht="14.25" customHeight="1" x14ac:dyDescent="0.3">
      <c r="Y327" t="str">
        <f t="shared" si="11"/>
        <v/>
      </c>
      <c r="Z327" t="str">
        <f t="shared" si="12"/>
        <v/>
      </c>
    </row>
    <row r="328" spans="25:26" ht="14.25" customHeight="1" x14ac:dyDescent="0.3">
      <c r="Y328" t="str">
        <f t="shared" si="11"/>
        <v/>
      </c>
      <c r="Z328" t="str">
        <f t="shared" si="12"/>
        <v/>
      </c>
    </row>
    <row r="329" spans="25:26" ht="14.25" customHeight="1" x14ac:dyDescent="0.3">
      <c r="Y329" t="str">
        <f t="shared" si="11"/>
        <v/>
      </c>
      <c r="Z329" t="str">
        <f t="shared" si="12"/>
        <v/>
      </c>
    </row>
    <row r="330" spans="25:26" ht="14.25" customHeight="1" x14ac:dyDescent="0.3">
      <c r="Y330" t="str">
        <f t="shared" si="11"/>
        <v/>
      </c>
      <c r="Z330" t="str">
        <f t="shared" si="12"/>
        <v/>
      </c>
    </row>
    <row r="331" spans="25:26" ht="14.25" customHeight="1" x14ac:dyDescent="0.3">
      <c r="Y331" t="str">
        <f t="shared" si="11"/>
        <v/>
      </c>
      <c r="Z331" t="str">
        <f t="shared" si="12"/>
        <v/>
      </c>
    </row>
    <row r="332" spans="25:26" ht="14.25" customHeight="1" x14ac:dyDescent="0.3">
      <c r="Y332" t="str">
        <f t="shared" si="11"/>
        <v/>
      </c>
      <c r="Z332" t="str">
        <f t="shared" si="12"/>
        <v/>
      </c>
    </row>
    <row r="333" spans="25:26" ht="14.25" customHeight="1" x14ac:dyDescent="0.3">
      <c r="Y333" t="str">
        <f t="shared" si="11"/>
        <v/>
      </c>
      <c r="Z333" t="str">
        <f t="shared" si="12"/>
        <v/>
      </c>
    </row>
    <row r="334" spans="25:26" ht="14.25" customHeight="1" x14ac:dyDescent="0.3">
      <c r="Y334" t="str">
        <f t="shared" si="11"/>
        <v/>
      </c>
      <c r="Z334" t="str">
        <f t="shared" si="12"/>
        <v/>
      </c>
    </row>
    <row r="335" spans="25:26" ht="14.25" customHeight="1" x14ac:dyDescent="0.3">
      <c r="Y335" t="str">
        <f t="shared" si="11"/>
        <v/>
      </c>
      <c r="Z335" t="str">
        <f t="shared" si="12"/>
        <v/>
      </c>
    </row>
    <row r="336" spans="25:26" ht="14.25" customHeight="1" x14ac:dyDescent="0.3">
      <c r="Y336" t="str">
        <f t="shared" si="11"/>
        <v/>
      </c>
      <c r="Z336" t="str">
        <f t="shared" si="12"/>
        <v/>
      </c>
    </row>
    <row r="337" spans="25:26" ht="14.25" customHeight="1" x14ac:dyDescent="0.3">
      <c r="Y337" t="str">
        <f t="shared" si="11"/>
        <v/>
      </c>
      <c r="Z337" t="str">
        <f t="shared" si="12"/>
        <v/>
      </c>
    </row>
    <row r="338" spans="25:26" ht="14.25" customHeight="1" x14ac:dyDescent="0.3">
      <c r="Y338" t="str">
        <f t="shared" si="11"/>
        <v/>
      </c>
      <c r="Z338" t="str">
        <f t="shared" si="12"/>
        <v/>
      </c>
    </row>
    <row r="339" spans="25:26" ht="14.25" customHeight="1" x14ac:dyDescent="0.3">
      <c r="Y339" t="str">
        <f t="shared" si="11"/>
        <v/>
      </c>
      <c r="Z339" t="str">
        <f t="shared" si="12"/>
        <v/>
      </c>
    </row>
    <row r="340" spans="25:26" ht="14.25" customHeight="1" x14ac:dyDescent="0.3">
      <c r="Y340" t="str">
        <f t="shared" si="11"/>
        <v/>
      </c>
      <c r="Z340" t="str">
        <f t="shared" si="12"/>
        <v/>
      </c>
    </row>
    <row r="341" spans="25:26" ht="14.25" customHeight="1" x14ac:dyDescent="0.3">
      <c r="Y341" t="str">
        <f t="shared" si="11"/>
        <v/>
      </c>
      <c r="Z341" t="str">
        <f t="shared" si="12"/>
        <v/>
      </c>
    </row>
    <row r="342" spans="25:26" ht="14.25" customHeight="1" x14ac:dyDescent="0.3">
      <c r="Y342" t="str">
        <f t="shared" si="11"/>
        <v/>
      </c>
      <c r="Z342" t="str">
        <f t="shared" si="12"/>
        <v/>
      </c>
    </row>
    <row r="343" spans="25:26" ht="14.25" customHeight="1" x14ac:dyDescent="0.3">
      <c r="Y343" t="str">
        <f t="shared" si="11"/>
        <v/>
      </c>
      <c r="Z343" t="str">
        <f t="shared" si="12"/>
        <v/>
      </c>
    </row>
    <row r="344" spans="25:26" ht="14.25" customHeight="1" x14ac:dyDescent="0.3">
      <c r="Y344" t="str">
        <f t="shared" si="11"/>
        <v/>
      </c>
      <c r="Z344" t="str">
        <f t="shared" si="12"/>
        <v/>
      </c>
    </row>
    <row r="345" spans="25:26" ht="14.25" customHeight="1" x14ac:dyDescent="0.3">
      <c r="Y345" t="str">
        <f t="shared" si="11"/>
        <v/>
      </c>
      <c r="Z345" t="str">
        <f t="shared" si="12"/>
        <v/>
      </c>
    </row>
    <row r="346" spans="25:26" ht="14.25" customHeight="1" x14ac:dyDescent="0.3">
      <c r="Y346" t="str">
        <f t="shared" si="11"/>
        <v/>
      </c>
      <c r="Z346" t="str">
        <f t="shared" si="12"/>
        <v/>
      </c>
    </row>
    <row r="347" spans="25:26" ht="14.25" customHeight="1" x14ac:dyDescent="0.3">
      <c r="Y347" t="str">
        <f t="shared" si="11"/>
        <v/>
      </c>
      <c r="Z347" t="str">
        <f t="shared" si="12"/>
        <v/>
      </c>
    </row>
    <row r="348" spans="25:26" ht="14.25" customHeight="1" x14ac:dyDescent="0.3">
      <c r="Y348" t="str">
        <f t="shared" si="11"/>
        <v/>
      </c>
      <c r="Z348" t="str">
        <f t="shared" si="12"/>
        <v/>
      </c>
    </row>
    <row r="349" spans="25:26" ht="14.25" customHeight="1" x14ac:dyDescent="0.3">
      <c r="Y349" t="str">
        <f t="shared" si="11"/>
        <v/>
      </c>
      <c r="Z349" t="str">
        <f t="shared" si="12"/>
        <v/>
      </c>
    </row>
    <row r="350" spans="25:26" ht="14.25" customHeight="1" x14ac:dyDescent="0.3">
      <c r="Y350" t="str">
        <f t="shared" si="11"/>
        <v/>
      </c>
      <c r="Z350" t="str">
        <f t="shared" si="12"/>
        <v/>
      </c>
    </row>
    <row r="351" spans="25:26" ht="14.25" customHeight="1" x14ac:dyDescent="0.3">
      <c r="Y351" t="str">
        <f t="shared" si="11"/>
        <v/>
      </c>
      <c r="Z351" t="str">
        <f t="shared" si="12"/>
        <v/>
      </c>
    </row>
    <row r="352" spans="25:26" ht="14.25" customHeight="1" x14ac:dyDescent="0.3">
      <c r="Y352" t="str">
        <f t="shared" si="11"/>
        <v/>
      </c>
      <c r="Z352" t="str">
        <f t="shared" si="12"/>
        <v/>
      </c>
    </row>
    <row r="353" spans="25:26" ht="14.25" customHeight="1" x14ac:dyDescent="0.3">
      <c r="Y353" t="str">
        <f t="shared" si="11"/>
        <v/>
      </c>
      <c r="Z353" t="str">
        <f t="shared" si="12"/>
        <v/>
      </c>
    </row>
    <row r="354" spans="25:26" ht="14.25" customHeight="1" x14ac:dyDescent="0.3">
      <c r="Y354" t="str">
        <f t="shared" si="11"/>
        <v/>
      </c>
      <c r="Z354" t="str">
        <f t="shared" si="12"/>
        <v/>
      </c>
    </row>
    <row r="355" spans="25:26" ht="14.25" customHeight="1" x14ac:dyDescent="0.3">
      <c r="Y355" t="str">
        <f t="shared" si="11"/>
        <v/>
      </c>
      <c r="Z355" t="str">
        <f t="shared" si="12"/>
        <v/>
      </c>
    </row>
    <row r="356" spans="25:26" ht="14.25" customHeight="1" x14ac:dyDescent="0.3">
      <c r="Y356" t="str">
        <f t="shared" si="11"/>
        <v/>
      </c>
      <c r="Z356" t="str">
        <f t="shared" si="12"/>
        <v/>
      </c>
    </row>
    <row r="357" spans="25:26" ht="14.25" customHeight="1" x14ac:dyDescent="0.3">
      <c r="Y357" t="str">
        <f t="shared" si="11"/>
        <v/>
      </c>
      <c r="Z357" t="str">
        <f t="shared" si="12"/>
        <v/>
      </c>
    </row>
    <row r="358" spans="25:26" ht="14.25" customHeight="1" x14ac:dyDescent="0.3">
      <c r="Y358" t="str">
        <f t="shared" si="11"/>
        <v/>
      </c>
      <c r="Z358" t="str">
        <f t="shared" si="12"/>
        <v/>
      </c>
    </row>
    <row r="359" spans="25:26" ht="14.25" customHeight="1" x14ac:dyDescent="0.3">
      <c r="Y359" t="str">
        <f t="shared" si="11"/>
        <v/>
      </c>
      <c r="Z359" t="str">
        <f t="shared" si="12"/>
        <v/>
      </c>
    </row>
    <row r="360" spans="25:26" ht="14.25" customHeight="1" x14ac:dyDescent="0.3">
      <c r="Y360" t="str">
        <f t="shared" si="11"/>
        <v/>
      </c>
      <c r="Z360" t="str">
        <f t="shared" si="12"/>
        <v/>
      </c>
    </row>
    <row r="361" spans="25:26" ht="14.25" customHeight="1" x14ac:dyDescent="0.3">
      <c r="Y361" t="str">
        <f t="shared" si="11"/>
        <v/>
      </c>
      <c r="Z361" t="str">
        <f t="shared" si="12"/>
        <v/>
      </c>
    </row>
    <row r="362" spans="25:26" ht="14.25" customHeight="1" x14ac:dyDescent="0.3">
      <c r="Y362" t="str">
        <f t="shared" si="11"/>
        <v/>
      </c>
      <c r="Z362" t="str">
        <f t="shared" si="12"/>
        <v/>
      </c>
    </row>
    <row r="363" spans="25:26" ht="14.25" customHeight="1" x14ac:dyDescent="0.3">
      <c r="Y363" t="str">
        <f t="shared" si="11"/>
        <v/>
      </c>
      <c r="Z363" t="str">
        <f t="shared" si="12"/>
        <v/>
      </c>
    </row>
    <row r="364" spans="25:26" ht="14.25" customHeight="1" x14ac:dyDescent="0.3">
      <c r="Y364" t="str">
        <f t="shared" si="11"/>
        <v/>
      </c>
      <c r="Z364" t="str">
        <f t="shared" si="12"/>
        <v/>
      </c>
    </row>
    <row r="365" spans="25:26" ht="14.25" customHeight="1" x14ac:dyDescent="0.3">
      <c r="Y365" t="str">
        <f t="shared" si="11"/>
        <v/>
      </c>
      <c r="Z365" t="str">
        <f t="shared" si="12"/>
        <v/>
      </c>
    </row>
    <row r="366" spans="25:26" ht="14.25" customHeight="1" x14ac:dyDescent="0.3">
      <c r="Y366" t="str">
        <f t="shared" si="11"/>
        <v/>
      </c>
      <c r="Z366" t="str">
        <f t="shared" si="12"/>
        <v/>
      </c>
    </row>
    <row r="367" spans="25:26" ht="14.25" customHeight="1" x14ac:dyDescent="0.3">
      <c r="Y367" t="str">
        <f t="shared" si="11"/>
        <v/>
      </c>
      <c r="Z367" t="str">
        <f t="shared" si="12"/>
        <v/>
      </c>
    </row>
    <row r="368" spans="25:26" ht="14.25" customHeight="1" x14ac:dyDescent="0.3">
      <c r="Y368" t="str">
        <f t="shared" si="11"/>
        <v/>
      </c>
      <c r="Z368" t="str">
        <f t="shared" si="12"/>
        <v/>
      </c>
    </row>
    <row r="369" spans="25:26" ht="14.25" customHeight="1" x14ac:dyDescent="0.3">
      <c r="Y369" t="str">
        <f t="shared" si="11"/>
        <v/>
      </c>
      <c r="Z369" t="str">
        <f t="shared" si="12"/>
        <v/>
      </c>
    </row>
    <row r="370" spans="25:26" ht="14.25" customHeight="1" x14ac:dyDescent="0.3">
      <c r="Y370" t="str">
        <f t="shared" si="11"/>
        <v/>
      </c>
      <c r="Z370" t="str">
        <f t="shared" si="12"/>
        <v/>
      </c>
    </row>
    <row r="371" spans="25:26" ht="14.25" customHeight="1" x14ac:dyDescent="0.3">
      <c r="Y371" t="str">
        <f t="shared" si="11"/>
        <v/>
      </c>
      <c r="Z371" t="str">
        <f t="shared" si="12"/>
        <v/>
      </c>
    </row>
    <row r="372" spans="25:26" ht="14.25" customHeight="1" x14ac:dyDescent="0.3">
      <c r="Y372" t="str">
        <f t="shared" si="11"/>
        <v/>
      </c>
      <c r="Z372" t="str">
        <f t="shared" si="12"/>
        <v/>
      </c>
    </row>
    <row r="373" spans="25:26" ht="14.25" customHeight="1" x14ac:dyDescent="0.3">
      <c r="Y373" t="str">
        <f t="shared" si="11"/>
        <v/>
      </c>
      <c r="Z373" t="str">
        <f t="shared" si="12"/>
        <v/>
      </c>
    </row>
    <row r="374" spans="25:26" ht="14.25" customHeight="1" x14ac:dyDescent="0.3">
      <c r="Y374" t="str">
        <f t="shared" si="11"/>
        <v/>
      </c>
      <c r="Z374" t="str">
        <f t="shared" si="12"/>
        <v/>
      </c>
    </row>
    <row r="375" spans="25:26" ht="14.25" customHeight="1" x14ac:dyDescent="0.3">
      <c r="Y375" t="str">
        <f t="shared" si="11"/>
        <v/>
      </c>
      <c r="Z375" t="str">
        <f t="shared" si="12"/>
        <v/>
      </c>
    </row>
    <row r="376" spans="25:26" ht="14.25" customHeight="1" x14ac:dyDescent="0.3">
      <c r="Y376" t="str">
        <f t="shared" si="11"/>
        <v/>
      </c>
      <c r="Z376" t="str">
        <f t="shared" si="12"/>
        <v/>
      </c>
    </row>
    <row r="377" spans="25:26" ht="14.25" customHeight="1" x14ac:dyDescent="0.3">
      <c r="Y377" t="str">
        <f t="shared" si="11"/>
        <v/>
      </c>
      <c r="Z377" t="str">
        <f t="shared" si="12"/>
        <v/>
      </c>
    </row>
    <row r="378" spans="25:26" ht="14.25" customHeight="1" x14ac:dyDescent="0.3">
      <c r="Y378" t="str">
        <f t="shared" si="11"/>
        <v/>
      </c>
      <c r="Z378" t="str">
        <f t="shared" si="12"/>
        <v/>
      </c>
    </row>
    <row r="379" spans="25:26" ht="14.25" customHeight="1" x14ac:dyDescent="0.3">
      <c r="Y379" t="str">
        <f t="shared" si="11"/>
        <v/>
      </c>
      <c r="Z379" t="str">
        <f t="shared" si="12"/>
        <v/>
      </c>
    </row>
    <row r="380" spans="25:26" ht="14.25" customHeight="1" x14ac:dyDescent="0.3">
      <c r="Y380" t="str">
        <f t="shared" si="11"/>
        <v/>
      </c>
      <c r="Z380" t="str">
        <f t="shared" si="12"/>
        <v/>
      </c>
    </row>
    <row r="381" spans="25:26" ht="14.25" customHeight="1" x14ac:dyDescent="0.3">
      <c r="Y381" t="str">
        <f t="shared" si="11"/>
        <v/>
      </c>
      <c r="Z381" t="str">
        <f t="shared" si="12"/>
        <v/>
      </c>
    </row>
    <row r="382" spans="25:26" ht="14.25" customHeight="1" x14ac:dyDescent="0.3">
      <c r="Y382" t="str">
        <f t="shared" si="11"/>
        <v/>
      </c>
      <c r="Z382" t="str">
        <f t="shared" si="12"/>
        <v/>
      </c>
    </row>
    <row r="383" spans="25:26" ht="14.25" customHeight="1" x14ac:dyDescent="0.3">
      <c r="Y383" t="str">
        <f t="shared" si="11"/>
        <v/>
      </c>
      <c r="Z383" t="str">
        <f t="shared" si="12"/>
        <v/>
      </c>
    </row>
    <row r="384" spans="25:26" ht="14.25" customHeight="1" x14ac:dyDescent="0.3">
      <c r="Y384" t="str">
        <f t="shared" si="11"/>
        <v/>
      </c>
      <c r="Z384" t="str">
        <f t="shared" si="12"/>
        <v/>
      </c>
    </row>
    <row r="385" spans="25:26" ht="14.25" customHeight="1" x14ac:dyDescent="0.3">
      <c r="Y385" t="str">
        <f t="shared" si="11"/>
        <v/>
      </c>
      <c r="Z385" t="str">
        <f t="shared" si="12"/>
        <v/>
      </c>
    </row>
    <row r="386" spans="25:26" ht="14.25" customHeight="1" x14ac:dyDescent="0.3">
      <c r="Y386" t="str">
        <f t="shared" ref="Y386:Y449" si="13">IFERROR(INDEX(D_IDUNIQUE,MATCH(ROW()-1,D_RANG_PROFIL,0)),"")</f>
        <v/>
      </c>
      <c r="Z386" t="str">
        <f t="shared" ref="Z386:Z449" si="14">IF($Y386="","",UPPER(INDEX(D_NOM,MATCH($Y386,D_ID,0)))&amp;" "&amp;INDEX(D_PRENOM,MATCH($Y386,D_ID,0))&amp;" — "&amp;INDEX(D_NIVEAU_ACTUEL,MATCH($Y386,D_ID,0)))</f>
        <v/>
      </c>
    </row>
    <row r="387" spans="25:26" ht="14.25" customHeight="1" x14ac:dyDescent="0.3">
      <c r="Y387" t="str">
        <f t="shared" si="13"/>
        <v/>
      </c>
      <c r="Z387" t="str">
        <f t="shared" si="14"/>
        <v/>
      </c>
    </row>
    <row r="388" spans="25:26" ht="14.25" customHeight="1" x14ac:dyDescent="0.3">
      <c r="Y388" t="str">
        <f t="shared" si="13"/>
        <v/>
      </c>
      <c r="Z388" t="str">
        <f t="shared" si="14"/>
        <v/>
      </c>
    </row>
    <row r="389" spans="25:26" ht="14.25" customHeight="1" x14ac:dyDescent="0.3">
      <c r="Y389" t="str">
        <f t="shared" si="13"/>
        <v/>
      </c>
      <c r="Z389" t="str">
        <f t="shared" si="14"/>
        <v/>
      </c>
    </row>
    <row r="390" spans="25:26" ht="14.25" customHeight="1" x14ac:dyDescent="0.3">
      <c r="Y390" t="str">
        <f t="shared" si="13"/>
        <v/>
      </c>
      <c r="Z390" t="str">
        <f t="shared" si="14"/>
        <v/>
      </c>
    </row>
    <row r="391" spans="25:26" ht="14.25" customHeight="1" x14ac:dyDescent="0.3">
      <c r="Y391" t="str">
        <f t="shared" si="13"/>
        <v/>
      </c>
      <c r="Z391" t="str">
        <f t="shared" si="14"/>
        <v/>
      </c>
    </row>
    <row r="392" spans="25:26" ht="14.25" customHeight="1" x14ac:dyDescent="0.3">
      <c r="Y392" t="str">
        <f t="shared" si="13"/>
        <v/>
      </c>
      <c r="Z392" t="str">
        <f t="shared" si="14"/>
        <v/>
      </c>
    </row>
    <row r="393" spans="25:26" ht="14.25" customHeight="1" x14ac:dyDescent="0.3">
      <c r="Y393" t="str">
        <f t="shared" si="13"/>
        <v/>
      </c>
      <c r="Z393" t="str">
        <f t="shared" si="14"/>
        <v/>
      </c>
    </row>
    <row r="394" spans="25:26" ht="14.25" customHeight="1" x14ac:dyDescent="0.3">
      <c r="Y394" t="str">
        <f t="shared" si="13"/>
        <v/>
      </c>
      <c r="Z394" t="str">
        <f t="shared" si="14"/>
        <v/>
      </c>
    </row>
    <row r="395" spans="25:26" ht="14.25" customHeight="1" x14ac:dyDescent="0.3">
      <c r="Y395" t="str">
        <f t="shared" si="13"/>
        <v/>
      </c>
      <c r="Z395" t="str">
        <f t="shared" si="14"/>
        <v/>
      </c>
    </row>
    <row r="396" spans="25:26" ht="14.25" customHeight="1" x14ac:dyDescent="0.3">
      <c r="Y396" t="str">
        <f t="shared" si="13"/>
        <v/>
      </c>
      <c r="Z396" t="str">
        <f t="shared" si="14"/>
        <v/>
      </c>
    </row>
    <row r="397" spans="25:26" ht="14.25" customHeight="1" x14ac:dyDescent="0.3">
      <c r="Y397" t="str">
        <f t="shared" si="13"/>
        <v/>
      </c>
      <c r="Z397" t="str">
        <f t="shared" si="14"/>
        <v/>
      </c>
    </row>
    <row r="398" spans="25:26" ht="14.25" customHeight="1" x14ac:dyDescent="0.3">
      <c r="Y398" t="str">
        <f t="shared" si="13"/>
        <v/>
      </c>
      <c r="Z398" t="str">
        <f t="shared" si="14"/>
        <v/>
      </c>
    </row>
    <row r="399" spans="25:26" ht="14.25" customHeight="1" x14ac:dyDescent="0.3">
      <c r="Y399" t="str">
        <f t="shared" si="13"/>
        <v/>
      </c>
      <c r="Z399" t="str">
        <f t="shared" si="14"/>
        <v/>
      </c>
    </row>
    <row r="400" spans="25:26" ht="14.25" customHeight="1" x14ac:dyDescent="0.3">
      <c r="Y400" t="str">
        <f t="shared" si="13"/>
        <v/>
      </c>
      <c r="Z400" t="str">
        <f t="shared" si="14"/>
        <v/>
      </c>
    </row>
    <row r="401" spans="25:26" ht="14.25" customHeight="1" x14ac:dyDescent="0.3">
      <c r="Y401" t="str">
        <f t="shared" si="13"/>
        <v/>
      </c>
      <c r="Z401" t="str">
        <f t="shared" si="14"/>
        <v/>
      </c>
    </row>
    <row r="402" spans="25:26" ht="14.25" customHeight="1" x14ac:dyDescent="0.3">
      <c r="Y402" t="str">
        <f t="shared" si="13"/>
        <v/>
      </c>
      <c r="Z402" t="str">
        <f t="shared" si="14"/>
        <v/>
      </c>
    </row>
    <row r="403" spans="25:26" ht="14.25" customHeight="1" x14ac:dyDescent="0.3">
      <c r="Y403" t="str">
        <f t="shared" si="13"/>
        <v/>
      </c>
      <c r="Z403" t="str">
        <f t="shared" si="14"/>
        <v/>
      </c>
    </row>
    <row r="404" spans="25:26" ht="14.25" customHeight="1" x14ac:dyDescent="0.3">
      <c r="Y404" t="str">
        <f t="shared" si="13"/>
        <v/>
      </c>
      <c r="Z404" t="str">
        <f t="shared" si="14"/>
        <v/>
      </c>
    </row>
    <row r="405" spans="25:26" ht="14.25" customHeight="1" x14ac:dyDescent="0.3">
      <c r="Y405" t="str">
        <f t="shared" si="13"/>
        <v/>
      </c>
      <c r="Z405" t="str">
        <f t="shared" si="14"/>
        <v/>
      </c>
    </row>
    <row r="406" spans="25:26" ht="14.25" customHeight="1" x14ac:dyDescent="0.3">
      <c r="Y406" t="str">
        <f t="shared" si="13"/>
        <v/>
      </c>
      <c r="Z406" t="str">
        <f t="shared" si="14"/>
        <v/>
      </c>
    </row>
    <row r="407" spans="25:26" ht="14.25" customHeight="1" x14ac:dyDescent="0.3">
      <c r="Y407" t="str">
        <f t="shared" si="13"/>
        <v/>
      </c>
      <c r="Z407" t="str">
        <f t="shared" si="14"/>
        <v/>
      </c>
    </row>
    <row r="408" spans="25:26" ht="14.25" customHeight="1" x14ac:dyDescent="0.3">
      <c r="Y408" t="str">
        <f t="shared" si="13"/>
        <v/>
      </c>
      <c r="Z408" t="str">
        <f t="shared" si="14"/>
        <v/>
      </c>
    </row>
    <row r="409" spans="25:26" ht="14.25" customHeight="1" x14ac:dyDescent="0.3">
      <c r="Y409" t="str">
        <f t="shared" si="13"/>
        <v/>
      </c>
      <c r="Z409" t="str">
        <f t="shared" si="14"/>
        <v/>
      </c>
    </row>
    <row r="410" spans="25:26" ht="14.25" customHeight="1" x14ac:dyDescent="0.3">
      <c r="Y410" t="str">
        <f t="shared" si="13"/>
        <v/>
      </c>
      <c r="Z410" t="str">
        <f t="shared" si="14"/>
        <v/>
      </c>
    </row>
    <row r="411" spans="25:26" ht="14.25" customHeight="1" x14ac:dyDescent="0.3">
      <c r="Y411" t="str">
        <f t="shared" si="13"/>
        <v/>
      </c>
      <c r="Z411" t="str">
        <f t="shared" si="14"/>
        <v/>
      </c>
    </row>
    <row r="412" spans="25:26" ht="14.25" customHeight="1" x14ac:dyDescent="0.3">
      <c r="Y412" t="str">
        <f t="shared" si="13"/>
        <v/>
      </c>
      <c r="Z412" t="str">
        <f t="shared" si="14"/>
        <v/>
      </c>
    </row>
    <row r="413" spans="25:26" ht="14.25" customHeight="1" x14ac:dyDescent="0.3">
      <c r="Y413" t="str">
        <f t="shared" si="13"/>
        <v/>
      </c>
      <c r="Z413" t="str">
        <f t="shared" si="14"/>
        <v/>
      </c>
    </row>
    <row r="414" spans="25:26" ht="14.25" customHeight="1" x14ac:dyDescent="0.3">
      <c r="Y414" t="str">
        <f t="shared" si="13"/>
        <v/>
      </c>
      <c r="Z414" t="str">
        <f t="shared" si="14"/>
        <v/>
      </c>
    </row>
    <row r="415" spans="25:26" ht="14.25" customHeight="1" x14ac:dyDescent="0.3">
      <c r="Y415" t="str">
        <f t="shared" si="13"/>
        <v/>
      </c>
      <c r="Z415" t="str">
        <f t="shared" si="14"/>
        <v/>
      </c>
    </row>
    <row r="416" spans="25:26" ht="14.25" customHeight="1" x14ac:dyDescent="0.3">
      <c r="Y416" t="str">
        <f t="shared" si="13"/>
        <v/>
      </c>
      <c r="Z416" t="str">
        <f t="shared" si="14"/>
        <v/>
      </c>
    </row>
    <row r="417" spans="25:26" ht="14.25" customHeight="1" x14ac:dyDescent="0.3">
      <c r="Y417" t="str">
        <f t="shared" si="13"/>
        <v/>
      </c>
      <c r="Z417" t="str">
        <f t="shared" si="14"/>
        <v/>
      </c>
    </row>
    <row r="418" spans="25:26" ht="14.25" customHeight="1" x14ac:dyDescent="0.3">
      <c r="Y418" t="str">
        <f t="shared" si="13"/>
        <v/>
      </c>
      <c r="Z418" t="str">
        <f t="shared" si="14"/>
        <v/>
      </c>
    </row>
    <row r="419" spans="25:26" ht="14.25" customHeight="1" x14ac:dyDescent="0.3">
      <c r="Y419" t="str">
        <f t="shared" si="13"/>
        <v/>
      </c>
      <c r="Z419" t="str">
        <f t="shared" si="14"/>
        <v/>
      </c>
    </row>
    <row r="420" spans="25:26" ht="14.25" customHeight="1" x14ac:dyDescent="0.3">
      <c r="Y420" t="str">
        <f t="shared" si="13"/>
        <v/>
      </c>
      <c r="Z420" t="str">
        <f t="shared" si="14"/>
        <v/>
      </c>
    </row>
    <row r="421" spans="25:26" ht="14.25" customHeight="1" x14ac:dyDescent="0.3">
      <c r="Y421" t="str">
        <f t="shared" si="13"/>
        <v/>
      </c>
      <c r="Z421" t="str">
        <f t="shared" si="14"/>
        <v/>
      </c>
    </row>
    <row r="422" spans="25:26" ht="14.25" customHeight="1" x14ac:dyDescent="0.3">
      <c r="Y422" t="str">
        <f t="shared" si="13"/>
        <v/>
      </c>
      <c r="Z422" t="str">
        <f t="shared" si="14"/>
        <v/>
      </c>
    </row>
    <row r="423" spans="25:26" ht="14.25" customHeight="1" x14ac:dyDescent="0.3">
      <c r="Y423" t="str">
        <f t="shared" si="13"/>
        <v/>
      </c>
      <c r="Z423" t="str">
        <f t="shared" si="14"/>
        <v/>
      </c>
    </row>
    <row r="424" spans="25:26" ht="14.25" customHeight="1" x14ac:dyDescent="0.3">
      <c r="Y424" t="str">
        <f t="shared" si="13"/>
        <v/>
      </c>
      <c r="Z424" t="str">
        <f t="shared" si="14"/>
        <v/>
      </c>
    </row>
    <row r="425" spans="25:26" ht="14.25" customHeight="1" x14ac:dyDescent="0.3">
      <c r="Y425" t="str">
        <f t="shared" si="13"/>
        <v/>
      </c>
      <c r="Z425" t="str">
        <f t="shared" si="14"/>
        <v/>
      </c>
    </row>
    <row r="426" spans="25:26" ht="14.25" customHeight="1" x14ac:dyDescent="0.3">
      <c r="Y426" t="str">
        <f t="shared" si="13"/>
        <v/>
      </c>
      <c r="Z426" t="str">
        <f t="shared" si="14"/>
        <v/>
      </c>
    </row>
    <row r="427" spans="25:26" ht="14.25" customHeight="1" x14ac:dyDescent="0.3">
      <c r="Y427" t="str">
        <f t="shared" si="13"/>
        <v/>
      </c>
      <c r="Z427" t="str">
        <f t="shared" si="14"/>
        <v/>
      </c>
    </row>
    <row r="428" spans="25:26" ht="14.25" customHeight="1" x14ac:dyDescent="0.3">
      <c r="Y428" t="str">
        <f t="shared" si="13"/>
        <v/>
      </c>
      <c r="Z428" t="str">
        <f t="shared" si="14"/>
        <v/>
      </c>
    </row>
    <row r="429" spans="25:26" ht="14.25" customHeight="1" x14ac:dyDescent="0.3">
      <c r="Y429" t="str">
        <f t="shared" si="13"/>
        <v/>
      </c>
      <c r="Z429" t="str">
        <f t="shared" si="14"/>
        <v/>
      </c>
    </row>
    <row r="430" spans="25:26" ht="14.25" customHeight="1" x14ac:dyDescent="0.3">
      <c r="Y430" t="str">
        <f t="shared" si="13"/>
        <v/>
      </c>
      <c r="Z430" t="str">
        <f t="shared" si="14"/>
        <v/>
      </c>
    </row>
    <row r="431" spans="25:26" ht="14.25" customHeight="1" x14ac:dyDescent="0.3">
      <c r="Y431" t="str">
        <f t="shared" si="13"/>
        <v/>
      </c>
      <c r="Z431" t="str">
        <f t="shared" si="14"/>
        <v/>
      </c>
    </row>
    <row r="432" spans="25:26" ht="14.25" customHeight="1" x14ac:dyDescent="0.3">
      <c r="Y432" t="str">
        <f t="shared" si="13"/>
        <v/>
      </c>
      <c r="Z432" t="str">
        <f t="shared" si="14"/>
        <v/>
      </c>
    </row>
    <row r="433" spans="25:26" ht="14.25" customHeight="1" x14ac:dyDescent="0.3">
      <c r="Y433" t="str">
        <f t="shared" si="13"/>
        <v/>
      </c>
      <c r="Z433" t="str">
        <f t="shared" si="14"/>
        <v/>
      </c>
    </row>
    <row r="434" spans="25:26" ht="14.25" customHeight="1" x14ac:dyDescent="0.3">
      <c r="Y434" t="str">
        <f t="shared" si="13"/>
        <v/>
      </c>
      <c r="Z434" t="str">
        <f t="shared" si="14"/>
        <v/>
      </c>
    </row>
    <row r="435" spans="25:26" ht="14.25" customHeight="1" x14ac:dyDescent="0.3">
      <c r="Y435" t="str">
        <f t="shared" si="13"/>
        <v/>
      </c>
      <c r="Z435" t="str">
        <f t="shared" si="14"/>
        <v/>
      </c>
    </row>
    <row r="436" spans="25:26" ht="14.25" customHeight="1" x14ac:dyDescent="0.3">
      <c r="Y436" t="str">
        <f t="shared" si="13"/>
        <v/>
      </c>
      <c r="Z436" t="str">
        <f t="shared" si="14"/>
        <v/>
      </c>
    </row>
    <row r="437" spans="25:26" ht="14.25" customHeight="1" x14ac:dyDescent="0.3">
      <c r="Y437" t="str">
        <f t="shared" si="13"/>
        <v/>
      </c>
      <c r="Z437" t="str">
        <f t="shared" si="14"/>
        <v/>
      </c>
    </row>
    <row r="438" spans="25:26" ht="14.25" customHeight="1" x14ac:dyDescent="0.3">
      <c r="Y438" t="str">
        <f t="shared" si="13"/>
        <v/>
      </c>
      <c r="Z438" t="str">
        <f t="shared" si="14"/>
        <v/>
      </c>
    </row>
    <row r="439" spans="25:26" ht="14.25" customHeight="1" x14ac:dyDescent="0.3">
      <c r="Y439" t="str">
        <f t="shared" si="13"/>
        <v/>
      </c>
      <c r="Z439" t="str">
        <f t="shared" si="14"/>
        <v/>
      </c>
    </row>
    <row r="440" spans="25:26" ht="14.25" customHeight="1" x14ac:dyDescent="0.3">
      <c r="Y440" t="str">
        <f t="shared" si="13"/>
        <v/>
      </c>
      <c r="Z440" t="str">
        <f t="shared" si="14"/>
        <v/>
      </c>
    </row>
    <row r="441" spans="25:26" ht="14.25" customHeight="1" x14ac:dyDescent="0.3">
      <c r="Y441" t="str">
        <f t="shared" si="13"/>
        <v/>
      </c>
      <c r="Z441" t="str">
        <f t="shared" si="14"/>
        <v/>
      </c>
    </row>
    <row r="442" spans="25:26" ht="14.25" customHeight="1" x14ac:dyDescent="0.3">
      <c r="Y442" t="str">
        <f t="shared" si="13"/>
        <v/>
      </c>
      <c r="Z442" t="str">
        <f t="shared" si="14"/>
        <v/>
      </c>
    </row>
    <row r="443" spans="25:26" ht="14.25" customHeight="1" x14ac:dyDescent="0.3">
      <c r="Y443" t="str">
        <f t="shared" si="13"/>
        <v/>
      </c>
      <c r="Z443" t="str">
        <f t="shared" si="14"/>
        <v/>
      </c>
    </row>
    <row r="444" spans="25:26" ht="14.25" customHeight="1" x14ac:dyDescent="0.3">
      <c r="Y444" t="str">
        <f t="shared" si="13"/>
        <v/>
      </c>
      <c r="Z444" t="str">
        <f t="shared" si="14"/>
        <v/>
      </c>
    </row>
    <row r="445" spans="25:26" ht="14.25" customHeight="1" x14ac:dyDescent="0.3">
      <c r="Y445" t="str">
        <f t="shared" si="13"/>
        <v/>
      </c>
      <c r="Z445" t="str">
        <f t="shared" si="14"/>
        <v/>
      </c>
    </row>
    <row r="446" spans="25:26" ht="14.25" customHeight="1" x14ac:dyDescent="0.3">
      <c r="Y446" t="str">
        <f t="shared" si="13"/>
        <v/>
      </c>
      <c r="Z446" t="str">
        <f t="shared" si="14"/>
        <v/>
      </c>
    </row>
    <row r="447" spans="25:26" ht="14.25" customHeight="1" x14ac:dyDescent="0.3">
      <c r="Y447" t="str">
        <f t="shared" si="13"/>
        <v/>
      </c>
      <c r="Z447" t="str">
        <f t="shared" si="14"/>
        <v/>
      </c>
    </row>
    <row r="448" spans="25:26" ht="14.25" customHeight="1" x14ac:dyDescent="0.3">
      <c r="Y448" t="str">
        <f t="shared" si="13"/>
        <v/>
      </c>
      <c r="Z448" t="str">
        <f t="shared" si="14"/>
        <v/>
      </c>
    </row>
    <row r="449" spans="25:26" ht="14.25" customHeight="1" x14ac:dyDescent="0.3">
      <c r="Y449" t="str">
        <f t="shared" si="13"/>
        <v/>
      </c>
      <c r="Z449" t="str">
        <f t="shared" si="14"/>
        <v/>
      </c>
    </row>
    <row r="450" spans="25:26" ht="14.25" customHeight="1" x14ac:dyDescent="0.3">
      <c r="Y450" t="str">
        <f t="shared" ref="Y450:Y513" si="15">IFERROR(INDEX(D_IDUNIQUE,MATCH(ROW()-1,D_RANG_PROFIL,0)),"")</f>
        <v/>
      </c>
      <c r="Z450" t="str">
        <f t="shared" ref="Z450:Z513" si="16">IF($Y450="","",UPPER(INDEX(D_NOM,MATCH($Y450,D_ID,0)))&amp;" "&amp;INDEX(D_PRENOM,MATCH($Y450,D_ID,0))&amp;" — "&amp;INDEX(D_NIVEAU_ACTUEL,MATCH($Y450,D_ID,0)))</f>
        <v/>
      </c>
    </row>
    <row r="451" spans="25:26" ht="14.25" customHeight="1" x14ac:dyDescent="0.3">
      <c r="Y451" t="str">
        <f t="shared" si="15"/>
        <v/>
      </c>
      <c r="Z451" t="str">
        <f t="shared" si="16"/>
        <v/>
      </c>
    </row>
    <row r="452" spans="25:26" ht="14.25" customHeight="1" x14ac:dyDescent="0.3">
      <c r="Y452" t="str">
        <f t="shared" si="15"/>
        <v/>
      </c>
      <c r="Z452" t="str">
        <f t="shared" si="16"/>
        <v/>
      </c>
    </row>
    <row r="453" spans="25:26" ht="14.25" customHeight="1" x14ac:dyDescent="0.3">
      <c r="Y453" t="str">
        <f t="shared" si="15"/>
        <v/>
      </c>
      <c r="Z453" t="str">
        <f t="shared" si="16"/>
        <v/>
      </c>
    </row>
    <row r="454" spans="25:26" ht="14.25" customHeight="1" x14ac:dyDescent="0.3">
      <c r="Y454" t="str">
        <f t="shared" si="15"/>
        <v/>
      </c>
      <c r="Z454" t="str">
        <f t="shared" si="16"/>
        <v/>
      </c>
    </row>
    <row r="455" spans="25:26" ht="14.25" customHeight="1" x14ac:dyDescent="0.3">
      <c r="Y455" t="str">
        <f t="shared" si="15"/>
        <v/>
      </c>
      <c r="Z455" t="str">
        <f t="shared" si="16"/>
        <v/>
      </c>
    </row>
    <row r="456" spans="25:26" ht="14.25" customHeight="1" x14ac:dyDescent="0.3">
      <c r="Y456" t="str">
        <f t="shared" si="15"/>
        <v/>
      </c>
      <c r="Z456" t="str">
        <f t="shared" si="16"/>
        <v/>
      </c>
    </row>
    <row r="457" spans="25:26" ht="14.25" customHeight="1" x14ac:dyDescent="0.3">
      <c r="Y457" t="str">
        <f t="shared" si="15"/>
        <v/>
      </c>
      <c r="Z457" t="str">
        <f t="shared" si="16"/>
        <v/>
      </c>
    </row>
    <row r="458" spans="25:26" ht="14.25" customHeight="1" x14ac:dyDescent="0.3">
      <c r="Y458" t="str">
        <f t="shared" si="15"/>
        <v/>
      </c>
      <c r="Z458" t="str">
        <f t="shared" si="16"/>
        <v/>
      </c>
    </row>
    <row r="459" spans="25:26" ht="14.25" customHeight="1" x14ac:dyDescent="0.3">
      <c r="Y459" t="str">
        <f t="shared" si="15"/>
        <v/>
      </c>
      <c r="Z459" t="str">
        <f t="shared" si="16"/>
        <v/>
      </c>
    </row>
    <row r="460" spans="25:26" ht="14.25" customHeight="1" x14ac:dyDescent="0.3">
      <c r="Y460" t="str">
        <f t="shared" si="15"/>
        <v/>
      </c>
      <c r="Z460" t="str">
        <f t="shared" si="16"/>
        <v/>
      </c>
    </row>
    <row r="461" spans="25:26" ht="14.25" customHeight="1" x14ac:dyDescent="0.3">
      <c r="Y461" t="str">
        <f t="shared" si="15"/>
        <v/>
      </c>
      <c r="Z461" t="str">
        <f t="shared" si="16"/>
        <v/>
      </c>
    </row>
    <row r="462" spans="25:26" ht="14.25" customHeight="1" x14ac:dyDescent="0.3">
      <c r="Y462" t="str">
        <f t="shared" si="15"/>
        <v/>
      </c>
      <c r="Z462" t="str">
        <f t="shared" si="16"/>
        <v/>
      </c>
    </row>
    <row r="463" spans="25:26" ht="14.25" customHeight="1" x14ac:dyDescent="0.3">
      <c r="Y463" t="str">
        <f t="shared" si="15"/>
        <v/>
      </c>
      <c r="Z463" t="str">
        <f t="shared" si="16"/>
        <v/>
      </c>
    </row>
    <row r="464" spans="25:26" ht="14.25" customHeight="1" x14ac:dyDescent="0.3">
      <c r="Y464" t="str">
        <f t="shared" si="15"/>
        <v/>
      </c>
      <c r="Z464" t="str">
        <f t="shared" si="16"/>
        <v/>
      </c>
    </row>
    <row r="465" spans="25:26" ht="14.25" customHeight="1" x14ac:dyDescent="0.3">
      <c r="Y465" t="str">
        <f t="shared" si="15"/>
        <v/>
      </c>
      <c r="Z465" t="str">
        <f t="shared" si="16"/>
        <v/>
      </c>
    </row>
    <row r="466" spans="25:26" ht="14.25" customHeight="1" x14ac:dyDescent="0.3">
      <c r="Y466" t="str">
        <f t="shared" si="15"/>
        <v/>
      </c>
      <c r="Z466" t="str">
        <f t="shared" si="16"/>
        <v/>
      </c>
    </row>
    <row r="467" spans="25:26" ht="14.25" customHeight="1" x14ac:dyDescent="0.3">
      <c r="Y467" t="str">
        <f t="shared" si="15"/>
        <v/>
      </c>
      <c r="Z467" t="str">
        <f t="shared" si="16"/>
        <v/>
      </c>
    </row>
    <row r="468" spans="25:26" ht="14.25" customHeight="1" x14ac:dyDescent="0.3">
      <c r="Y468" t="str">
        <f t="shared" si="15"/>
        <v/>
      </c>
      <c r="Z468" t="str">
        <f t="shared" si="16"/>
        <v/>
      </c>
    </row>
    <row r="469" spans="25:26" ht="14.25" customHeight="1" x14ac:dyDescent="0.3">
      <c r="Y469" t="str">
        <f t="shared" si="15"/>
        <v/>
      </c>
      <c r="Z469" t="str">
        <f t="shared" si="16"/>
        <v/>
      </c>
    </row>
    <row r="470" spans="25:26" ht="14.25" customHeight="1" x14ac:dyDescent="0.3">
      <c r="Y470" t="str">
        <f t="shared" si="15"/>
        <v/>
      </c>
      <c r="Z470" t="str">
        <f t="shared" si="16"/>
        <v/>
      </c>
    </row>
    <row r="471" spans="25:26" ht="14.25" customHeight="1" x14ac:dyDescent="0.3">
      <c r="Y471" t="str">
        <f t="shared" si="15"/>
        <v/>
      </c>
      <c r="Z471" t="str">
        <f t="shared" si="16"/>
        <v/>
      </c>
    </row>
    <row r="472" spans="25:26" ht="14.25" customHeight="1" x14ac:dyDescent="0.3">
      <c r="Y472" t="str">
        <f t="shared" si="15"/>
        <v/>
      </c>
      <c r="Z472" t="str">
        <f t="shared" si="16"/>
        <v/>
      </c>
    </row>
    <row r="473" spans="25:26" ht="14.25" customHeight="1" x14ac:dyDescent="0.3">
      <c r="Y473" t="str">
        <f t="shared" si="15"/>
        <v/>
      </c>
      <c r="Z473" t="str">
        <f t="shared" si="16"/>
        <v/>
      </c>
    </row>
    <row r="474" spans="25:26" ht="14.25" customHeight="1" x14ac:dyDescent="0.3">
      <c r="Y474" t="str">
        <f t="shared" si="15"/>
        <v/>
      </c>
      <c r="Z474" t="str">
        <f t="shared" si="16"/>
        <v/>
      </c>
    </row>
    <row r="475" spans="25:26" ht="14.25" customHeight="1" x14ac:dyDescent="0.3">
      <c r="Y475" t="str">
        <f t="shared" si="15"/>
        <v/>
      </c>
      <c r="Z475" t="str">
        <f t="shared" si="16"/>
        <v/>
      </c>
    </row>
    <row r="476" spans="25:26" ht="14.25" customHeight="1" x14ac:dyDescent="0.3">
      <c r="Y476" t="str">
        <f t="shared" si="15"/>
        <v/>
      </c>
      <c r="Z476" t="str">
        <f t="shared" si="16"/>
        <v/>
      </c>
    </row>
    <row r="477" spans="25:26" ht="14.25" customHeight="1" x14ac:dyDescent="0.3">
      <c r="Y477" t="str">
        <f t="shared" si="15"/>
        <v/>
      </c>
      <c r="Z477" t="str">
        <f t="shared" si="16"/>
        <v/>
      </c>
    </row>
    <row r="478" spans="25:26" ht="14.25" customHeight="1" x14ac:dyDescent="0.3">
      <c r="Y478" t="str">
        <f t="shared" si="15"/>
        <v/>
      </c>
      <c r="Z478" t="str">
        <f t="shared" si="16"/>
        <v/>
      </c>
    </row>
    <row r="479" spans="25:26" ht="14.25" customHeight="1" x14ac:dyDescent="0.3">
      <c r="Y479" t="str">
        <f t="shared" si="15"/>
        <v/>
      </c>
      <c r="Z479" t="str">
        <f t="shared" si="16"/>
        <v/>
      </c>
    </row>
    <row r="480" spans="25:26" ht="14.25" customHeight="1" x14ac:dyDescent="0.3">
      <c r="Y480" t="str">
        <f t="shared" si="15"/>
        <v/>
      </c>
      <c r="Z480" t="str">
        <f t="shared" si="16"/>
        <v/>
      </c>
    </row>
    <row r="481" spans="25:26" ht="14.25" customHeight="1" x14ac:dyDescent="0.3">
      <c r="Y481" t="str">
        <f t="shared" si="15"/>
        <v/>
      </c>
      <c r="Z481" t="str">
        <f t="shared" si="16"/>
        <v/>
      </c>
    </row>
    <row r="482" spans="25:26" ht="14.25" customHeight="1" x14ac:dyDescent="0.3">
      <c r="Y482" t="str">
        <f t="shared" si="15"/>
        <v/>
      </c>
      <c r="Z482" t="str">
        <f t="shared" si="16"/>
        <v/>
      </c>
    </row>
    <row r="483" spans="25:26" ht="14.25" customHeight="1" x14ac:dyDescent="0.3">
      <c r="Y483" t="str">
        <f t="shared" si="15"/>
        <v/>
      </c>
      <c r="Z483" t="str">
        <f t="shared" si="16"/>
        <v/>
      </c>
    </row>
    <row r="484" spans="25:26" ht="14.25" customHeight="1" x14ac:dyDescent="0.3">
      <c r="Y484" t="str">
        <f t="shared" si="15"/>
        <v/>
      </c>
      <c r="Z484" t="str">
        <f t="shared" si="16"/>
        <v/>
      </c>
    </row>
    <row r="485" spans="25:26" ht="14.25" customHeight="1" x14ac:dyDescent="0.3">
      <c r="Y485" t="str">
        <f t="shared" si="15"/>
        <v/>
      </c>
      <c r="Z485" t="str">
        <f t="shared" si="16"/>
        <v/>
      </c>
    </row>
    <row r="486" spans="25:26" ht="14.25" customHeight="1" x14ac:dyDescent="0.3">
      <c r="Y486" t="str">
        <f t="shared" si="15"/>
        <v/>
      </c>
      <c r="Z486" t="str">
        <f t="shared" si="16"/>
        <v/>
      </c>
    </row>
    <row r="487" spans="25:26" ht="14.25" customHeight="1" x14ac:dyDescent="0.3">
      <c r="Y487" t="str">
        <f t="shared" si="15"/>
        <v/>
      </c>
      <c r="Z487" t="str">
        <f t="shared" si="16"/>
        <v/>
      </c>
    </row>
    <row r="488" spans="25:26" ht="14.25" customHeight="1" x14ac:dyDescent="0.3">
      <c r="Y488" t="str">
        <f t="shared" si="15"/>
        <v/>
      </c>
      <c r="Z488" t="str">
        <f t="shared" si="16"/>
        <v/>
      </c>
    </row>
    <row r="489" spans="25:26" ht="14.25" customHeight="1" x14ac:dyDescent="0.3">
      <c r="Y489" t="str">
        <f t="shared" si="15"/>
        <v/>
      </c>
      <c r="Z489" t="str">
        <f t="shared" si="16"/>
        <v/>
      </c>
    </row>
    <row r="490" spans="25:26" ht="14.25" customHeight="1" x14ac:dyDescent="0.3">
      <c r="Y490" t="str">
        <f t="shared" si="15"/>
        <v/>
      </c>
      <c r="Z490" t="str">
        <f t="shared" si="16"/>
        <v/>
      </c>
    </row>
    <row r="491" spans="25:26" ht="14.25" customHeight="1" x14ac:dyDescent="0.3">
      <c r="Y491" t="str">
        <f t="shared" si="15"/>
        <v/>
      </c>
      <c r="Z491" t="str">
        <f t="shared" si="16"/>
        <v/>
      </c>
    </row>
    <row r="492" spans="25:26" ht="14.25" customHeight="1" x14ac:dyDescent="0.3">
      <c r="Y492" t="str">
        <f t="shared" si="15"/>
        <v/>
      </c>
      <c r="Z492" t="str">
        <f t="shared" si="16"/>
        <v/>
      </c>
    </row>
    <row r="493" spans="25:26" ht="14.25" customHeight="1" x14ac:dyDescent="0.3">
      <c r="Y493" t="str">
        <f t="shared" si="15"/>
        <v/>
      </c>
      <c r="Z493" t="str">
        <f t="shared" si="16"/>
        <v/>
      </c>
    </row>
    <row r="494" spans="25:26" ht="14.25" customHeight="1" x14ac:dyDescent="0.3">
      <c r="Y494" t="str">
        <f t="shared" si="15"/>
        <v/>
      </c>
      <c r="Z494" t="str">
        <f t="shared" si="16"/>
        <v/>
      </c>
    </row>
    <row r="495" spans="25:26" ht="14.25" customHeight="1" x14ac:dyDescent="0.3">
      <c r="Y495" t="str">
        <f t="shared" si="15"/>
        <v/>
      </c>
      <c r="Z495" t="str">
        <f t="shared" si="16"/>
        <v/>
      </c>
    </row>
    <row r="496" spans="25:26" ht="14.25" customHeight="1" x14ac:dyDescent="0.3">
      <c r="Y496" t="str">
        <f t="shared" si="15"/>
        <v/>
      </c>
      <c r="Z496" t="str">
        <f t="shared" si="16"/>
        <v/>
      </c>
    </row>
    <row r="497" spans="25:26" ht="14.25" customHeight="1" x14ac:dyDescent="0.3">
      <c r="Y497" t="str">
        <f t="shared" si="15"/>
        <v/>
      </c>
      <c r="Z497" t="str">
        <f t="shared" si="16"/>
        <v/>
      </c>
    </row>
    <row r="498" spans="25:26" ht="14.25" customHeight="1" x14ac:dyDescent="0.3">
      <c r="Y498" t="str">
        <f t="shared" si="15"/>
        <v/>
      </c>
      <c r="Z498" t="str">
        <f t="shared" si="16"/>
        <v/>
      </c>
    </row>
    <row r="499" spans="25:26" ht="14.25" customHeight="1" x14ac:dyDescent="0.3">
      <c r="Y499" t="str">
        <f t="shared" si="15"/>
        <v/>
      </c>
      <c r="Z499" t="str">
        <f t="shared" si="16"/>
        <v/>
      </c>
    </row>
    <row r="500" spans="25:26" ht="14.25" customHeight="1" x14ac:dyDescent="0.3">
      <c r="Y500" t="str">
        <f t="shared" si="15"/>
        <v/>
      </c>
      <c r="Z500" t="str">
        <f t="shared" si="16"/>
        <v/>
      </c>
    </row>
    <row r="501" spans="25:26" ht="14.25" customHeight="1" x14ac:dyDescent="0.3">
      <c r="Y501" t="str">
        <f t="shared" si="15"/>
        <v/>
      </c>
      <c r="Z501" t="str">
        <f t="shared" si="16"/>
        <v/>
      </c>
    </row>
    <row r="502" spans="25:26" ht="14.25" customHeight="1" x14ac:dyDescent="0.3">
      <c r="Y502" t="str">
        <f t="shared" si="15"/>
        <v/>
      </c>
      <c r="Z502" t="str">
        <f t="shared" si="16"/>
        <v/>
      </c>
    </row>
    <row r="503" spans="25:26" ht="14.25" customHeight="1" x14ac:dyDescent="0.3">
      <c r="Y503" t="str">
        <f t="shared" si="15"/>
        <v/>
      </c>
      <c r="Z503" t="str">
        <f t="shared" si="16"/>
        <v/>
      </c>
    </row>
    <row r="504" spans="25:26" ht="14.25" customHeight="1" x14ac:dyDescent="0.3">
      <c r="Y504" t="str">
        <f t="shared" si="15"/>
        <v/>
      </c>
      <c r="Z504" t="str">
        <f t="shared" si="16"/>
        <v/>
      </c>
    </row>
    <row r="505" spans="25:26" ht="14.25" customHeight="1" x14ac:dyDescent="0.3">
      <c r="Y505" t="str">
        <f t="shared" si="15"/>
        <v/>
      </c>
      <c r="Z505" t="str">
        <f t="shared" si="16"/>
        <v/>
      </c>
    </row>
    <row r="506" spans="25:26" ht="14.25" customHeight="1" x14ac:dyDescent="0.3">
      <c r="Y506" t="str">
        <f t="shared" si="15"/>
        <v/>
      </c>
      <c r="Z506" t="str">
        <f t="shared" si="16"/>
        <v/>
      </c>
    </row>
    <row r="507" spans="25:26" ht="14.25" customHeight="1" x14ac:dyDescent="0.3">
      <c r="Y507" t="str">
        <f t="shared" si="15"/>
        <v/>
      </c>
      <c r="Z507" t="str">
        <f t="shared" si="16"/>
        <v/>
      </c>
    </row>
    <row r="508" spans="25:26" ht="14.25" customHeight="1" x14ac:dyDescent="0.3">
      <c r="Y508" t="str">
        <f t="shared" si="15"/>
        <v/>
      </c>
      <c r="Z508" t="str">
        <f t="shared" si="16"/>
        <v/>
      </c>
    </row>
    <row r="509" spans="25:26" ht="14.25" customHeight="1" x14ac:dyDescent="0.3">
      <c r="Y509" t="str">
        <f t="shared" si="15"/>
        <v/>
      </c>
      <c r="Z509" t="str">
        <f t="shared" si="16"/>
        <v/>
      </c>
    </row>
    <row r="510" spans="25:26" ht="14.25" customHeight="1" x14ac:dyDescent="0.3">
      <c r="Y510" t="str">
        <f t="shared" si="15"/>
        <v/>
      </c>
      <c r="Z510" t="str">
        <f t="shared" si="16"/>
        <v/>
      </c>
    </row>
    <row r="511" spans="25:26" ht="14.25" customHeight="1" x14ac:dyDescent="0.3">
      <c r="Y511" t="str">
        <f t="shared" si="15"/>
        <v/>
      </c>
      <c r="Z511" t="str">
        <f t="shared" si="16"/>
        <v/>
      </c>
    </row>
    <row r="512" spans="25:26" ht="14.25" customHeight="1" x14ac:dyDescent="0.3">
      <c r="Y512" t="str">
        <f t="shared" si="15"/>
        <v/>
      </c>
      <c r="Z512" t="str">
        <f t="shared" si="16"/>
        <v/>
      </c>
    </row>
    <row r="513" spans="25:26" ht="14.25" customHeight="1" x14ac:dyDescent="0.3">
      <c r="Y513" t="str">
        <f t="shared" si="15"/>
        <v/>
      </c>
      <c r="Z513" t="str">
        <f t="shared" si="16"/>
        <v/>
      </c>
    </row>
    <row r="514" spans="25:26" ht="14.25" customHeight="1" x14ac:dyDescent="0.3">
      <c r="Y514" t="str">
        <f t="shared" ref="Y514:Y577" si="17">IFERROR(INDEX(D_IDUNIQUE,MATCH(ROW()-1,D_RANG_PROFIL,0)),"")</f>
        <v/>
      </c>
      <c r="Z514" t="str">
        <f t="shared" ref="Z514:Z577" si="18">IF($Y514="","",UPPER(INDEX(D_NOM,MATCH($Y514,D_ID,0)))&amp;" "&amp;INDEX(D_PRENOM,MATCH($Y514,D_ID,0))&amp;" — "&amp;INDEX(D_NIVEAU_ACTUEL,MATCH($Y514,D_ID,0)))</f>
        <v/>
      </c>
    </row>
    <row r="515" spans="25:26" ht="14.25" customHeight="1" x14ac:dyDescent="0.3">
      <c r="Y515" t="str">
        <f t="shared" si="17"/>
        <v/>
      </c>
      <c r="Z515" t="str">
        <f t="shared" si="18"/>
        <v/>
      </c>
    </row>
    <row r="516" spans="25:26" ht="14.25" customHeight="1" x14ac:dyDescent="0.3">
      <c r="Y516" t="str">
        <f t="shared" si="17"/>
        <v/>
      </c>
      <c r="Z516" t="str">
        <f t="shared" si="18"/>
        <v/>
      </c>
    </row>
    <row r="517" spans="25:26" ht="14.25" customHeight="1" x14ac:dyDescent="0.3">
      <c r="Y517" t="str">
        <f t="shared" si="17"/>
        <v/>
      </c>
      <c r="Z517" t="str">
        <f t="shared" si="18"/>
        <v/>
      </c>
    </row>
    <row r="518" spans="25:26" ht="14.25" customHeight="1" x14ac:dyDescent="0.3">
      <c r="Y518" t="str">
        <f t="shared" si="17"/>
        <v/>
      </c>
      <c r="Z518" t="str">
        <f t="shared" si="18"/>
        <v/>
      </c>
    </row>
    <row r="519" spans="25:26" ht="14.25" customHeight="1" x14ac:dyDescent="0.3">
      <c r="Y519" t="str">
        <f t="shared" si="17"/>
        <v/>
      </c>
      <c r="Z519" t="str">
        <f t="shared" si="18"/>
        <v/>
      </c>
    </row>
    <row r="520" spans="25:26" ht="14.25" customHeight="1" x14ac:dyDescent="0.3">
      <c r="Y520" t="str">
        <f t="shared" si="17"/>
        <v/>
      </c>
      <c r="Z520" t="str">
        <f t="shared" si="18"/>
        <v/>
      </c>
    </row>
    <row r="521" spans="25:26" ht="14.25" customHeight="1" x14ac:dyDescent="0.3">
      <c r="Y521" t="str">
        <f t="shared" si="17"/>
        <v/>
      </c>
      <c r="Z521" t="str">
        <f t="shared" si="18"/>
        <v/>
      </c>
    </row>
    <row r="522" spans="25:26" ht="14.25" customHeight="1" x14ac:dyDescent="0.3">
      <c r="Y522" t="str">
        <f t="shared" si="17"/>
        <v/>
      </c>
      <c r="Z522" t="str">
        <f t="shared" si="18"/>
        <v/>
      </c>
    </row>
    <row r="523" spans="25:26" ht="14.25" customHeight="1" x14ac:dyDescent="0.3">
      <c r="Y523" t="str">
        <f t="shared" si="17"/>
        <v/>
      </c>
      <c r="Z523" t="str">
        <f t="shared" si="18"/>
        <v/>
      </c>
    </row>
    <row r="524" spans="25:26" ht="14.25" customHeight="1" x14ac:dyDescent="0.3">
      <c r="Y524" t="str">
        <f t="shared" si="17"/>
        <v/>
      </c>
      <c r="Z524" t="str">
        <f t="shared" si="18"/>
        <v/>
      </c>
    </row>
    <row r="525" spans="25:26" ht="14.25" customHeight="1" x14ac:dyDescent="0.3">
      <c r="Y525" t="str">
        <f t="shared" si="17"/>
        <v/>
      </c>
      <c r="Z525" t="str">
        <f t="shared" si="18"/>
        <v/>
      </c>
    </row>
    <row r="526" spans="25:26" ht="14.25" customHeight="1" x14ac:dyDescent="0.3">
      <c r="Y526" t="str">
        <f t="shared" si="17"/>
        <v/>
      </c>
      <c r="Z526" t="str">
        <f t="shared" si="18"/>
        <v/>
      </c>
    </row>
    <row r="527" spans="25:26" ht="14.25" customHeight="1" x14ac:dyDescent="0.3">
      <c r="Y527" t="str">
        <f t="shared" si="17"/>
        <v/>
      </c>
      <c r="Z527" t="str">
        <f t="shared" si="18"/>
        <v/>
      </c>
    </row>
    <row r="528" spans="25:26" ht="14.25" customHeight="1" x14ac:dyDescent="0.3">
      <c r="Y528" t="str">
        <f t="shared" si="17"/>
        <v/>
      </c>
      <c r="Z528" t="str">
        <f t="shared" si="18"/>
        <v/>
      </c>
    </row>
    <row r="529" spans="25:26" ht="14.25" customHeight="1" x14ac:dyDescent="0.3">
      <c r="Y529" t="str">
        <f t="shared" si="17"/>
        <v/>
      </c>
      <c r="Z529" t="str">
        <f t="shared" si="18"/>
        <v/>
      </c>
    </row>
    <row r="530" spans="25:26" ht="14.25" customHeight="1" x14ac:dyDescent="0.3">
      <c r="Y530" t="str">
        <f t="shared" si="17"/>
        <v/>
      </c>
      <c r="Z530" t="str">
        <f t="shared" si="18"/>
        <v/>
      </c>
    </row>
    <row r="531" spans="25:26" ht="14.25" customHeight="1" x14ac:dyDescent="0.3">
      <c r="Y531" t="str">
        <f t="shared" si="17"/>
        <v/>
      </c>
      <c r="Z531" t="str">
        <f t="shared" si="18"/>
        <v/>
      </c>
    </row>
    <row r="532" spans="25:26" ht="14.25" customHeight="1" x14ac:dyDescent="0.3">
      <c r="Y532" t="str">
        <f t="shared" si="17"/>
        <v/>
      </c>
      <c r="Z532" t="str">
        <f t="shared" si="18"/>
        <v/>
      </c>
    </row>
    <row r="533" spans="25:26" ht="14.25" customHeight="1" x14ac:dyDescent="0.3">
      <c r="Y533" t="str">
        <f t="shared" si="17"/>
        <v/>
      </c>
      <c r="Z533" t="str">
        <f t="shared" si="18"/>
        <v/>
      </c>
    </row>
    <row r="534" spans="25:26" ht="14.25" customHeight="1" x14ac:dyDescent="0.3">
      <c r="Y534" t="str">
        <f t="shared" si="17"/>
        <v/>
      </c>
      <c r="Z534" t="str">
        <f t="shared" si="18"/>
        <v/>
      </c>
    </row>
    <row r="535" spans="25:26" ht="14.25" customHeight="1" x14ac:dyDescent="0.3">
      <c r="Y535" t="str">
        <f t="shared" si="17"/>
        <v/>
      </c>
      <c r="Z535" t="str">
        <f t="shared" si="18"/>
        <v/>
      </c>
    </row>
    <row r="536" spans="25:26" ht="14.25" customHeight="1" x14ac:dyDescent="0.3">
      <c r="Y536" t="str">
        <f t="shared" si="17"/>
        <v/>
      </c>
      <c r="Z536" t="str">
        <f t="shared" si="18"/>
        <v/>
      </c>
    </row>
    <row r="537" spans="25:26" ht="14.25" customHeight="1" x14ac:dyDescent="0.3">
      <c r="Y537" t="str">
        <f t="shared" si="17"/>
        <v/>
      </c>
      <c r="Z537" t="str">
        <f t="shared" si="18"/>
        <v/>
      </c>
    </row>
    <row r="538" spans="25:26" ht="14.25" customHeight="1" x14ac:dyDescent="0.3">
      <c r="Y538" t="str">
        <f t="shared" si="17"/>
        <v/>
      </c>
      <c r="Z538" t="str">
        <f t="shared" si="18"/>
        <v/>
      </c>
    </row>
    <row r="539" spans="25:26" ht="14.25" customHeight="1" x14ac:dyDescent="0.3">
      <c r="Y539" t="str">
        <f t="shared" si="17"/>
        <v/>
      </c>
      <c r="Z539" t="str">
        <f t="shared" si="18"/>
        <v/>
      </c>
    </row>
    <row r="540" spans="25:26" ht="14.25" customHeight="1" x14ac:dyDescent="0.3">
      <c r="Y540" t="str">
        <f t="shared" si="17"/>
        <v/>
      </c>
      <c r="Z540" t="str">
        <f t="shared" si="18"/>
        <v/>
      </c>
    </row>
    <row r="541" spans="25:26" ht="14.25" customHeight="1" x14ac:dyDescent="0.3">
      <c r="Y541" t="str">
        <f t="shared" si="17"/>
        <v/>
      </c>
      <c r="Z541" t="str">
        <f t="shared" si="18"/>
        <v/>
      </c>
    </row>
    <row r="542" spans="25:26" ht="14.25" customHeight="1" x14ac:dyDescent="0.3">
      <c r="Y542" t="str">
        <f t="shared" si="17"/>
        <v/>
      </c>
      <c r="Z542" t="str">
        <f t="shared" si="18"/>
        <v/>
      </c>
    </row>
    <row r="543" spans="25:26" ht="14.25" customHeight="1" x14ac:dyDescent="0.3">
      <c r="Y543" t="str">
        <f t="shared" si="17"/>
        <v/>
      </c>
      <c r="Z543" t="str">
        <f t="shared" si="18"/>
        <v/>
      </c>
    </row>
    <row r="544" spans="25:26" ht="14.25" customHeight="1" x14ac:dyDescent="0.3">
      <c r="Y544" t="str">
        <f t="shared" si="17"/>
        <v/>
      </c>
      <c r="Z544" t="str">
        <f t="shared" si="18"/>
        <v/>
      </c>
    </row>
    <row r="545" spans="25:26" ht="14.25" customHeight="1" x14ac:dyDescent="0.3">
      <c r="Y545" t="str">
        <f t="shared" si="17"/>
        <v/>
      </c>
      <c r="Z545" t="str">
        <f t="shared" si="18"/>
        <v/>
      </c>
    </row>
    <row r="546" spans="25:26" ht="14.25" customHeight="1" x14ac:dyDescent="0.3">
      <c r="Y546" t="str">
        <f t="shared" si="17"/>
        <v/>
      </c>
      <c r="Z546" t="str">
        <f t="shared" si="18"/>
        <v/>
      </c>
    </row>
    <row r="547" spans="25:26" ht="14.25" customHeight="1" x14ac:dyDescent="0.3">
      <c r="Y547" t="str">
        <f t="shared" si="17"/>
        <v/>
      </c>
      <c r="Z547" t="str">
        <f t="shared" si="18"/>
        <v/>
      </c>
    </row>
    <row r="548" spans="25:26" ht="14.25" customHeight="1" x14ac:dyDescent="0.3">
      <c r="Y548" t="str">
        <f t="shared" si="17"/>
        <v/>
      </c>
      <c r="Z548" t="str">
        <f t="shared" si="18"/>
        <v/>
      </c>
    </row>
    <row r="549" spans="25:26" ht="14.25" customHeight="1" x14ac:dyDescent="0.3">
      <c r="Y549" t="str">
        <f t="shared" si="17"/>
        <v/>
      </c>
      <c r="Z549" t="str">
        <f t="shared" si="18"/>
        <v/>
      </c>
    </row>
    <row r="550" spans="25:26" ht="14.25" customHeight="1" x14ac:dyDescent="0.3">
      <c r="Y550" t="str">
        <f t="shared" si="17"/>
        <v/>
      </c>
      <c r="Z550" t="str">
        <f t="shared" si="18"/>
        <v/>
      </c>
    </row>
    <row r="551" spans="25:26" ht="14.25" customHeight="1" x14ac:dyDescent="0.3">
      <c r="Y551" t="str">
        <f t="shared" si="17"/>
        <v/>
      </c>
      <c r="Z551" t="str">
        <f t="shared" si="18"/>
        <v/>
      </c>
    </row>
    <row r="552" spans="25:26" ht="14.25" customHeight="1" x14ac:dyDescent="0.3">
      <c r="Y552" t="str">
        <f t="shared" si="17"/>
        <v/>
      </c>
      <c r="Z552" t="str">
        <f t="shared" si="18"/>
        <v/>
      </c>
    </row>
    <row r="553" spans="25:26" ht="14.25" customHeight="1" x14ac:dyDescent="0.3">
      <c r="Y553" t="str">
        <f t="shared" si="17"/>
        <v/>
      </c>
      <c r="Z553" t="str">
        <f t="shared" si="18"/>
        <v/>
      </c>
    </row>
    <row r="554" spans="25:26" ht="14.25" customHeight="1" x14ac:dyDescent="0.3">
      <c r="Y554" t="str">
        <f t="shared" si="17"/>
        <v/>
      </c>
      <c r="Z554" t="str">
        <f t="shared" si="18"/>
        <v/>
      </c>
    </row>
    <row r="555" spans="25:26" ht="14.25" customHeight="1" x14ac:dyDescent="0.3">
      <c r="Y555" t="str">
        <f t="shared" si="17"/>
        <v/>
      </c>
      <c r="Z555" t="str">
        <f t="shared" si="18"/>
        <v/>
      </c>
    </row>
    <row r="556" spans="25:26" ht="14.25" customHeight="1" x14ac:dyDescent="0.3">
      <c r="Y556" t="str">
        <f t="shared" si="17"/>
        <v/>
      </c>
      <c r="Z556" t="str">
        <f t="shared" si="18"/>
        <v/>
      </c>
    </row>
    <row r="557" spans="25:26" ht="14.25" customHeight="1" x14ac:dyDescent="0.3">
      <c r="Y557" t="str">
        <f t="shared" si="17"/>
        <v/>
      </c>
      <c r="Z557" t="str">
        <f t="shared" si="18"/>
        <v/>
      </c>
    </row>
    <row r="558" spans="25:26" ht="14.25" customHeight="1" x14ac:dyDescent="0.3">
      <c r="Y558" t="str">
        <f t="shared" si="17"/>
        <v/>
      </c>
      <c r="Z558" t="str">
        <f t="shared" si="18"/>
        <v/>
      </c>
    </row>
    <row r="559" spans="25:26" ht="14.25" customHeight="1" x14ac:dyDescent="0.3">
      <c r="Y559" t="str">
        <f t="shared" si="17"/>
        <v/>
      </c>
      <c r="Z559" t="str">
        <f t="shared" si="18"/>
        <v/>
      </c>
    </row>
    <row r="560" spans="25:26" ht="14.25" customHeight="1" x14ac:dyDescent="0.3">
      <c r="Y560" t="str">
        <f t="shared" si="17"/>
        <v/>
      </c>
      <c r="Z560" t="str">
        <f t="shared" si="18"/>
        <v/>
      </c>
    </row>
    <row r="561" spans="25:26" ht="14.25" customHeight="1" x14ac:dyDescent="0.3">
      <c r="Y561" t="str">
        <f t="shared" si="17"/>
        <v/>
      </c>
      <c r="Z561" t="str">
        <f t="shared" si="18"/>
        <v/>
      </c>
    </row>
    <row r="562" spans="25:26" ht="14.25" customHeight="1" x14ac:dyDescent="0.3">
      <c r="Y562" t="str">
        <f t="shared" si="17"/>
        <v/>
      </c>
      <c r="Z562" t="str">
        <f t="shared" si="18"/>
        <v/>
      </c>
    </row>
    <row r="563" spans="25:26" ht="14.25" customHeight="1" x14ac:dyDescent="0.3">
      <c r="Y563" t="str">
        <f t="shared" si="17"/>
        <v/>
      </c>
      <c r="Z563" t="str">
        <f t="shared" si="18"/>
        <v/>
      </c>
    </row>
    <row r="564" spans="25:26" ht="14.25" customHeight="1" x14ac:dyDescent="0.3">
      <c r="Y564" t="str">
        <f t="shared" si="17"/>
        <v/>
      </c>
      <c r="Z564" t="str">
        <f t="shared" si="18"/>
        <v/>
      </c>
    </row>
    <row r="565" spans="25:26" ht="14.25" customHeight="1" x14ac:dyDescent="0.3">
      <c r="Y565" t="str">
        <f t="shared" si="17"/>
        <v/>
      </c>
      <c r="Z565" t="str">
        <f t="shared" si="18"/>
        <v/>
      </c>
    </row>
    <row r="566" spans="25:26" ht="14.25" customHeight="1" x14ac:dyDescent="0.3">
      <c r="Y566" t="str">
        <f t="shared" si="17"/>
        <v/>
      </c>
      <c r="Z566" t="str">
        <f t="shared" si="18"/>
        <v/>
      </c>
    </row>
    <row r="567" spans="25:26" ht="14.25" customHeight="1" x14ac:dyDescent="0.3">
      <c r="Y567" t="str">
        <f t="shared" si="17"/>
        <v/>
      </c>
      <c r="Z567" t="str">
        <f t="shared" si="18"/>
        <v/>
      </c>
    </row>
    <row r="568" spans="25:26" ht="14.25" customHeight="1" x14ac:dyDescent="0.3">
      <c r="Y568" t="str">
        <f t="shared" si="17"/>
        <v/>
      </c>
      <c r="Z568" t="str">
        <f t="shared" si="18"/>
        <v/>
      </c>
    </row>
    <row r="569" spans="25:26" ht="14.25" customHeight="1" x14ac:dyDescent="0.3">
      <c r="Y569" t="str">
        <f t="shared" si="17"/>
        <v/>
      </c>
      <c r="Z569" t="str">
        <f t="shared" si="18"/>
        <v/>
      </c>
    </row>
    <row r="570" spans="25:26" ht="14.25" customHeight="1" x14ac:dyDescent="0.3">
      <c r="Y570" t="str">
        <f t="shared" si="17"/>
        <v/>
      </c>
      <c r="Z570" t="str">
        <f t="shared" si="18"/>
        <v/>
      </c>
    </row>
    <row r="571" spans="25:26" ht="14.25" customHeight="1" x14ac:dyDescent="0.3">
      <c r="Y571" t="str">
        <f t="shared" si="17"/>
        <v/>
      </c>
      <c r="Z571" t="str">
        <f t="shared" si="18"/>
        <v/>
      </c>
    </row>
    <row r="572" spans="25:26" ht="14.25" customHeight="1" x14ac:dyDescent="0.3">
      <c r="Y572" t="str">
        <f t="shared" si="17"/>
        <v/>
      </c>
      <c r="Z572" t="str">
        <f t="shared" si="18"/>
        <v/>
      </c>
    </row>
    <row r="573" spans="25:26" ht="14.25" customHeight="1" x14ac:dyDescent="0.3">
      <c r="Y573" t="str">
        <f t="shared" si="17"/>
        <v/>
      </c>
      <c r="Z573" t="str">
        <f t="shared" si="18"/>
        <v/>
      </c>
    </row>
    <row r="574" spans="25:26" ht="14.25" customHeight="1" x14ac:dyDescent="0.3">
      <c r="Y574" t="str">
        <f t="shared" si="17"/>
        <v/>
      </c>
      <c r="Z574" t="str">
        <f t="shared" si="18"/>
        <v/>
      </c>
    </row>
    <row r="575" spans="25:26" ht="14.25" customHeight="1" x14ac:dyDescent="0.3">
      <c r="Y575" t="str">
        <f t="shared" si="17"/>
        <v/>
      </c>
      <c r="Z575" t="str">
        <f t="shared" si="18"/>
        <v/>
      </c>
    </row>
    <row r="576" spans="25:26" ht="14.25" customHeight="1" x14ac:dyDescent="0.3">
      <c r="Y576" t="str">
        <f t="shared" si="17"/>
        <v/>
      </c>
      <c r="Z576" t="str">
        <f t="shared" si="18"/>
        <v/>
      </c>
    </row>
    <row r="577" spans="25:26" ht="14.25" customHeight="1" x14ac:dyDescent="0.3">
      <c r="Y577" t="str">
        <f t="shared" si="17"/>
        <v/>
      </c>
      <c r="Z577" t="str">
        <f t="shared" si="18"/>
        <v/>
      </c>
    </row>
    <row r="578" spans="25:26" ht="14.25" customHeight="1" x14ac:dyDescent="0.3">
      <c r="Y578" t="str">
        <f t="shared" ref="Y578:Y641" si="19">IFERROR(INDEX(D_IDUNIQUE,MATCH(ROW()-1,D_RANG_PROFIL,0)),"")</f>
        <v/>
      </c>
      <c r="Z578" t="str">
        <f t="shared" ref="Z578:Z641" si="20">IF($Y578="","",UPPER(INDEX(D_NOM,MATCH($Y578,D_ID,0)))&amp;" "&amp;INDEX(D_PRENOM,MATCH($Y578,D_ID,0))&amp;" — "&amp;INDEX(D_NIVEAU_ACTUEL,MATCH($Y578,D_ID,0)))</f>
        <v/>
      </c>
    </row>
    <row r="579" spans="25:26" ht="14.25" customHeight="1" x14ac:dyDescent="0.3">
      <c r="Y579" t="str">
        <f t="shared" si="19"/>
        <v/>
      </c>
      <c r="Z579" t="str">
        <f t="shared" si="20"/>
        <v/>
      </c>
    </row>
    <row r="580" spans="25:26" ht="14.25" customHeight="1" x14ac:dyDescent="0.3">
      <c r="Y580" t="str">
        <f t="shared" si="19"/>
        <v/>
      </c>
      <c r="Z580" t="str">
        <f t="shared" si="20"/>
        <v/>
      </c>
    </row>
    <row r="581" spans="25:26" ht="14.25" customHeight="1" x14ac:dyDescent="0.3">
      <c r="Y581" t="str">
        <f t="shared" si="19"/>
        <v/>
      </c>
      <c r="Z581" t="str">
        <f t="shared" si="20"/>
        <v/>
      </c>
    </row>
    <row r="582" spans="25:26" ht="14.25" customHeight="1" x14ac:dyDescent="0.3">
      <c r="Y582" t="str">
        <f t="shared" si="19"/>
        <v/>
      </c>
      <c r="Z582" t="str">
        <f t="shared" si="20"/>
        <v/>
      </c>
    </row>
    <row r="583" spans="25:26" ht="14.25" customHeight="1" x14ac:dyDescent="0.3">
      <c r="Y583" t="str">
        <f t="shared" si="19"/>
        <v/>
      </c>
      <c r="Z583" t="str">
        <f t="shared" si="20"/>
        <v/>
      </c>
    </row>
    <row r="584" spans="25:26" ht="14.25" customHeight="1" x14ac:dyDescent="0.3">
      <c r="Y584" t="str">
        <f t="shared" si="19"/>
        <v/>
      </c>
      <c r="Z584" t="str">
        <f t="shared" si="20"/>
        <v/>
      </c>
    </row>
    <row r="585" spans="25:26" ht="14.25" customHeight="1" x14ac:dyDescent="0.3">
      <c r="Y585" t="str">
        <f t="shared" si="19"/>
        <v/>
      </c>
      <c r="Z585" t="str">
        <f t="shared" si="20"/>
        <v/>
      </c>
    </row>
    <row r="586" spans="25:26" ht="14.25" customHeight="1" x14ac:dyDescent="0.3">
      <c r="Y586" t="str">
        <f t="shared" si="19"/>
        <v/>
      </c>
      <c r="Z586" t="str">
        <f t="shared" si="20"/>
        <v/>
      </c>
    </row>
    <row r="587" spans="25:26" ht="14.25" customHeight="1" x14ac:dyDescent="0.3">
      <c r="Y587" t="str">
        <f t="shared" si="19"/>
        <v/>
      </c>
      <c r="Z587" t="str">
        <f t="shared" si="20"/>
        <v/>
      </c>
    </row>
    <row r="588" spans="25:26" ht="14.25" customHeight="1" x14ac:dyDescent="0.3">
      <c r="Y588" t="str">
        <f t="shared" si="19"/>
        <v/>
      </c>
      <c r="Z588" t="str">
        <f t="shared" si="20"/>
        <v/>
      </c>
    </row>
    <row r="589" spans="25:26" ht="14.25" customHeight="1" x14ac:dyDescent="0.3">
      <c r="Y589" t="str">
        <f t="shared" si="19"/>
        <v/>
      </c>
      <c r="Z589" t="str">
        <f t="shared" si="20"/>
        <v/>
      </c>
    </row>
    <row r="590" spans="25:26" ht="14.25" customHeight="1" x14ac:dyDescent="0.3">
      <c r="Y590" t="str">
        <f t="shared" si="19"/>
        <v/>
      </c>
      <c r="Z590" t="str">
        <f t="shared" si="20"/>
        <v/>
      </c>
    </row>
    <row r="591" spans="25:26" ht="14.25" customHeight="1" x14ac:dyDescent="0.3">
      <c r="Y591" t="str">
        <f t="shared" si="19"/>
        <v/>
      </c>
      <c r="Z591" t="str">
        <f t="shared" si="20"/>
        <v/>
      </c>
    </row>
    <row r="592" spans="25:26" ht="14.25" customHeight="1" x14ac:dyDescent="0.3">
      <c r="Y592" t="str">
        <f t="shared" si="19"/>
        <v/>
      </c>
      <c r="Z592" t="str">
        <f t="shared" si="20"/>
        <v/>
      </c>
    </row>
    <row r="593" spans="25:26" ht="14.25" customHeight="1" x14ac:dyDescent="0.3">
      <c r="Y593" t="str">
        <f t="shared" si="19"/>
        <v/>
      </c>
      <c r="Z593" t="str">
        <f t="shared" si="20"/>
        <v/>
      </c>
    </row>
    <row r="594" spans="25:26" ht="14.25" customHeight="1" x14ac:dyDescent="0.3">
      <c r="Y594" t="str">
        <f t="shared" si="19"/>
        <v/>
      </c>
      <c r="Z594" t="str">
        <f t="shared" si="20"/>
        <v/>
      </c>
    </row>
    <row r="595" spans="25:26" ht="14.25" customHeight="1" x14ac:dyDescent="0.3">
      <c r="Y595" t="str">
        <f t="shared" si="19"/>
        <v/>
      </c>
      <c r="Z595" t="str">
        <f t="shared" si="20"/>
        <v/>
      </c>
    </row>
    <row r="596" spans="25:26" ht="14.25" customHeight="1" x14ac:dyDescent="0.3">
      <c r="Y596" t="str">
        <f t="shared" si="19"/>
        <v/>
      </c>
      <c r="Z596" t="str">
        <f t="shared" si="20"/>
        <v/>
      </c>
    </row>
    <row r="597" spans="25:26" ht="14.25" customHeight="1" x14ac:dyDescent="0.3">
      <c r="Y597" t="str">
        <f t="shared" si="19"/>
        <v/>
      </c>
      <c r="Z597" t="str">
        <f t="shared" si="20"/>
        <v/>
      </c>
    </row>
    <row r="598" spans="25:26" ht="14.25" customHeight="1" x14ac:dyDescent="0.3">
      <c r="Y598" t="str">
        <f t="shared" si="19"/>
        <v/>
      </c>
      <c r="Z598" t="str">
        <f t="shared" si="20"/>
        <v/>
      </c>
    </row>
    <row r="599" spans="25:26" ht="14.25" customHeight="1" x14ac:dyDescent="0.3">
      <c r="Y599" t="str">
        <f t="shared" si="19"/>
        <v/>
      </c>
      <c r="Z599" t="str">
        <f t="shared" si="20"/>
        <v/>
      </c>
    </row>
    <row r="600" spans="25:26" ht="14.25" customHeight="1" x14ac:dyDescent="0.3">
      <c r="Y600" t="str">
        <f t="shared" si="19"/>
        <v/>
      </c>
      <c r="Z600" t="str">
        <f t="shared" si="20"/>
        <v/>
      </c>
    </row>
    <row r="601" spans="25:26" ht="14.25" customHeight="1" x14ac:dyDescent="0.3">
      <c r="Y601" t="str">
        <f t="shared" si="19"/>
        <v/>
      </c>
      <c r="Z601" t="str">
        <f t="shared" si="20"/>
        <v/>
      </c>
    </row>
    <row r="602" spans="25:26" ht="14.25" customHeight="1" x14ac:dyDescent="0.3">
      <c r="Y602" t="str">
        <f t="shared" si="19"/>
        <v/>
      </c>
      <c r="Z602" t="str">
        <f t="shared" si="20"/>
        <v/>
      </c>
    </row>
    <row r="603" spans="25:26" ht="14.25" customHeight="1" x14ac:dyDescent="0.3">
      <c r="Y603" t="str">
        <f t="shared" si="19"/>
        <v/>
      </c>
      <c r="Z603" t="str">
        <f t="shared" si="20"/>
        <v/>
      </c>
    </row>
    <row r="604" spans="25:26" ht="14.25" customHeight="1" x14ac:dyDescent="0.3">
      <c r="Y604" t="str">
        <f t="shared" si="19"/>
        <v/>
      </c>
      <c r="Z604" t="str">
        <f t="shared" si="20"/>
        <v/>
      </c>
    </row>
    <row r="605" spans="25:26" ht="14.25" customHeight="1" x14ac:dyDescent="0.3">
      <c r="Y605" t="str">
        <f t="shared" si="19"/>
        <v/>
      </c>
      <c r="Z605" t="str">
        <f t="shared" si="20"/>
        <v/>
      </c>
    </row>
    <row r="606" spans="25:26" ht="14.25" customHeight="1" x14ac:dyDescent="0.3">
      <c r="Y606" t="str">
        <f t="shared" si="19"/>
        <v/>
      </c>
      <c r="Z606" t="str">
        <f t="shared" si="20"/>
        <v/>
      </c>
    </row>
    <row r="607" spans="25:26" ht="14.25" customHeight="1" x14ac:dyDescent="0.3">
      <c r="Y607" t="str">
        <f t="shared" si="19"/>
        <v/>
      </c>
      <c r="Z607" t="str">
        <f t="shared" si="20"/>
        <v/>
      </c>
    </row>
    <row r="608" spans="25:26" ht="14.25" customHeight="1" x14ac:dyDescent="0.3">
      <c r="Y608" t="str">
        <f t="shared" si="19"/>
        <v/>
      </c>
      <c r="Z608" t="str">
        <f t="shared" si="20"/>
        <v/>
      </c>
    </row>
    <row r="609" spans="25:26" ht="14.25" customHeight="1" x14ac:dyDescent="0.3">
      <c r="Y609" t="str">
        <f t="shared" si="19"/>
        <v/>
      </c>
      <c r="Z609" t="str">
        <f t="shared" si="20"/>
        <v/>
      </c>
    </row>
    <row r="610" spans="25:26" ht="14.25" customHeight="1" x14ac:dyDescent="0.3">
      <c r="Y610" t="str">
        <f t="shared" si="19"/>
        <v/>
      </c>
      <c r="Z610" t="str">
        <f t="shared" si="20"/>
        <v/>
      </c>
    </row>
    <row r="611" spans="25:26" ht="14.25" customHeight="1" x14ac:dyDescent="0.3">
      <c r="Y611" t="str">
        <f t="shared" si="19"/>
        <v/>
      </c>
      <c r="Z611" t="str">
        <f t="shared" si="20"/>
        <v/>
      </c>
    </row>
    <row r="612" spans="25:26" ht="14.25" customHeight="1" x14ac:dyDescent="0.3">
      <c r="Y612" t="str">
        <f t="shared" si="19"/>
        <v/>
      </c>
      <c r="Z612" t="str">
        <f t="shared" si="20"/>
        <v/>
      </c>
    </row>
    <row r="613" spans="25:26" ht="14.25" customHeight="1" x14ac:dyDescent="0.3">
      <c r="Y613" t="str">
        <f t="shared" si="19"/>
        <v/>
      </c>
      <c r="Z613" t="str">
        <f t="shared" si="20"/>
        <v/>
      </c>
    </row>
    <row r="614" spans="25:26" ht="14.25" customHeight="1" x14ac:dyDescent="0.3">
      <c r="Y614" t="str">
        <f t="shared" si="19"/>
        <v/>
      </c>
      <c r="Z614" t="str">
        <f t="shared" si="20"/>
        <v/>
      </c>
    </row>
    <row r="615" spans="25:26" ht="14.25" customHeight="1" x14ac:dyDescent="0.3">
      <c r="Y615" t="str">
        <f t="shared" si="19"/>
        <v/>
      </c>
      <c r="Z615" t="str">
        <f t="shared" si="20"/>
        <v/>
      </c>
    </row>
    <row r="616" spans="25:26" ht="14.25" customHeight="1" x14ac:dyDescent="0.3">
      <c r="Y616" t="str">
        <f t="shared" si="19"/>
        <v/>
      </c>
      <c r="Z616" t="str">
        <f t="shared" si="20"/>
        <v/>
      </c>
    </row>
    <row r="617" spans="25:26" ht="14.25" customHeight="1" x14ac:dyDescent="0.3">
      <c r="Y617" t="str">
        <f t="shared" si="19"/>
        <v/>
      </c>
      <c r="Z617" t="str">
        <f t="shared" si="20"/>
        <v/>
      </c>
    </row>
    <row r="618" spans="25:26" ht="14.25" customHeight="1" x14ac:dyDescent="0.3">
      <c r="Y618" t="str">
        <f t="shared" si="19"/>
        <v/>
      </c>
      <c r="Z618" t="str">
        <f t="shared" si="20"/>
        <v/>
      </c>
    </row>
    <row r="619" spans="25:26" ht="14.25" customHeight="1" x14ac:dyDescent="0.3">
      <c r="Y619" t="str">
        <f t="shared" si="19"/>
        <v/>
      </c>
      <c r="Z619" t="str">
        <f t="shared" si="20"/>
        <v/>
      </c>
    </row>
    <row r="620" spans="25:26" ht="14.25" customHeight="1" x14ac:dyDescent="0.3">
      <c r="Y620" t="str">
        <f t="shared" si="19"/>
        <v/>
      </c>
      <c r="Z620" t="str">
        <f t="shared" si="20"/>
        <v/>
      </c>
    </row>
    <row r="621" spans="25:26" ht="14.25" customHeight="1" x14ac:dyDescent="0.3">
      <c r="Y621" t="str">
        <f t="shared" si="19"/>
        <v/>
      </c>
      <c r="Z621" t="str">
        <f t="shared" si="20"/>
        <v/>
      </c>
    </row>
    <row r="622" spans="25:26" ht="14.25" customHeight="1" x14ac:dyDescent="0.3">
      <c r="Y622" t="str">
        <f t="shared" si="19"/>
        <v/>
      </c>
      <c r="Z622" t="str">
        <f t="shared" si="20"/>
        <v/>
      </c>
    </row>
    <row r="623" spans="25:26" ht="14.25" customHeight="1" x14ac:dyDescent="0.3">
      <c r="Y623" t="str">
        <f t="shared" si="19"/>
        <v/>
      </c>
      <c r="Z623" t="str">
        <f t="shared" si="20"/>
        <v/>
      </c>
    </row>
    <row r="624" spans="25:26" ht="14.25" customHeight="1" x14ac:dyDescent="0.3">
      <c r="Y624" t="str">
        <f t="shared" si="19"/>
        <v/>
      </c>
      <c r="Z624" t="str">
        <f t="shared" si="20"/>
        <v/>
      </c>
    </row>
    <row r="625" spans="25:26" ht="14.25" customHeight="1" x14ac:dyDescent="0.3">
      <c r="Y625" t="str">
        <f t="shared" si="19"/>
        <v/>
      </c>
      <c r="Z625" t="str">
        <f t="shared" si="20"/>
        <v/>
      </c>
    </row>
    <row r="626" spans="25:26" ht="14.25" customHeight="1" x14ac:dyDescent="0.3">
      <c r="Y626" t="str">
        <f t="shared" si="19"/>
        <v/>
      </c>
      <c r="Z626" t="str">
        <f t="shared" si="20"/>
        <v/>
      </c>
    </row>
    <row r="627" spans="25:26" ht="14.25" customHeight="1" x14ac:dyDescent="0.3">
      <c r="Y627" t="str">
        <f t="shared" si="19"/>
        <v/>
      </c>
      <c r="Z627" t="str">
        <f t="shared" si="20"/>
        <v/>
      </c>
    </row>
    <row r="628" spans="25:26" ht="14.25" customHeight="1" x14ac:dyDescent="0.3">
      <c r="Y628" t="str">
        <f t="shared" si="19"/>
        <v/>
      </c>
      <c r="Z628" t="str">
        <f t="shared" si="20"/>
        <v/>
      </c>
    </row>
    <row r="629" spans="25:26" ht="14.25" customHeight="1" x14ac:dyDescent="0.3">
      <c r="Y629" t="str">
        <f t="shared" si="19"/>
        <v/>
      </c>
      <c r="Z629" t="str">
        <f t="shared" si="20"/>
        <v/>
      </c>
    </row>
    <row r="630" spans="25:26" ht="14.25" customHeight="1" x14ac:dyDescent="0.3">
      <c r="Y630" t="str">
        <f t="shared" si="19"/>
        <v/>
      </c>
      <c r="Z630" t="str">
        <f t="shared" si="20"/>
        <v/>
      </c>
    </row>
    <row r="631" spans="25:26" ht="14.25" customHeight="1" x14ac:dyDescent="0.3">
      <c r="Y631" t="str">
        <f t="shared" si="19"/>
        <v/>
      </c>
      <c r="Z631" t="str">
        <f t="shared" si="20"/>
        <v/>
      </c>
    </row>
    <row r="632" spans="25:26" ht="14.25" customHeight="1" x14ac:dyDescent="0.3">
      <c r="Y632" t="str">
        <f t="shared" si="19"/>
        <v/>
      </c>
      <c r="Z632" t="str">
        <f t="shared" si="20"/>
        <v/>
      </c>
    </row>
    <row r="633" spans="25:26" ht="14.25" customHeight="1" x14ac:dyDescent="0.3">
      <c r="Y633" t="str">
        <f t="shared" si="19"/>
        <v/>
      </c>
      <c r="Z633" t="str">
        <f t="shared" si="20"/>
        <v/>
      </c>
    </row>
    <row r="634" spans="25:26" ht="14.25" customHeight="1" x14ac:dyDescent="0.3">
      <c r="Y634" t="str">
        <f t="shared" si="19"/>
        <v/>
      </c>
      <c r="Z634" t="str">
        <f t="shared" si="20"/>
        <v/>
      </c>
    </row>
    <row r="635" spans="25:26" ht="14.25" customHeight="1" x14ac:dyDescent="0.3">
      <c r="Y635" t="str">
        <f t="shared" si="19"/>
        <v/>
      </c>
      <c r="Z635" t="str">
        <f t="shared" si="20"/>
        <v/>
      </c>
    </row>
    <row r="636" spans="25:26" ht="14.25" customHeight="1" x14ac:dyDescent="0.3">
      <c r="Y636" t="str">
        <f t="shared" si="19"/>
        <v/>
      </c>
      <c r="Z636" t="str">
        <f t="shared" si="20"/>
        <v/>
      </c>
    </row>
    <row r="637" spans="25:26" ht="14.25" customHeight="1" x14ac:dyDescent="0.3">
      <c r="Y637" t="str">
        <f t="shared" si="19"/>
        <v/>
      </c>
      <c r="Z637" t="str">
        <f t="shared" si="20"/>
        <v/>
      </c>
    </row>
    <row r="638" spans="25:26" ht="14.25" customHeight="1" x14ac:dyDescent="0.3">
      <c r="Y638" t="str">
        <f t="shared" si="19"/>
        <v/>
      </c>
      <c r="Z638" t="str">
        <f t="shared" si="20"/>
        <v/>
      </c>
    </row>
    <row r="639" spans="25:26" ht="14.25" customHeight="1" x14ac:dyDescent="0.3">
      <c r="Y639" t="str">
        <f t="shared" si="19"/>
        <v/>
      </c>
      <c r="Z639" t="str">
        <f t="shared" si="20"/>
        <v/>
      </c>
    </row>
    <row r="640" spans="25:26" ht="14.25" customHeight="1" x14ac:dyDescent="0.3">
      <c r="Y640" t="str">
        <f t="shared" si="19"/>
        <v/>
      </c>
      <c r="Z640" t="str">
        <f t="shared" si="20"/>
        <v/>
      </c>
    </row>
    <row r="641" spans="25:26" ht="14.25" customHeight="1" x14ac:dyDescent="0.3">
      <c r="Y641" t="str">
        <f t="shared" si="19"/>
        <v/>
      </c>
      <c r="Z641" t="str">
        <f t="shared" si="20"/>
        <v/>
      </c>
    </row>
    <row r="642" spans="25:26" ht="14.25" customHeight="1" x14ac:dyDescent="0.3">
      <c r="Y642" t="str">
        <f t="shared" ref="Y642:Y705" si="21">IFERROR(INDEX(D_IDUNIQUE,MATCH(ROW()-1,D_RANG_PROFIL,0)),"")</f>
        <v/>
      </c>
      <c r="Z642" t="str">
        <f t="shared" ref="Z642:Z705" si="22">IF($Y642="","",UPPER(INDEX(D_NOM,MATCH($Y642,D_ID,0)))&amp;" "&amp;INDEX(D_PRENOM,MATCH($Y642,D_ID,0))&amp;" — "&amp;INDEX(D_NIVEAU_ACTUEL,MATCH($Y642,D_ID,0)))</f>
        <v/>
      </c>
    </row>
    <row r="643" spans="25:26" ht="14.25" customHeight="1" x14ac:dyDescent="0.3">
      <c r="Y643" t="str">
        <f t="shared" si="21"/>
        <v/>
      </c>
      <c r="Z643" t="str">
        <f t="shared" si="22"/>
        <v/>
      </c>
    </row>
    <row r="644" spans="25:26" ht="14.25" customHeight="1" x14ac:dyDescent="0.3">
      <c r="Y644" t="str">
        <f t="shared" si="21"/>
        <v/>
      </c>
      <c r="Z644" t="str">
        <f t="shared" si="22"/>
        <v/>
      </c>
    </row>
    <row r="645" spans="25:26" ht="14.25" customHeight="1" x14ac:dyDescent="0.3">
      <c r="Y645" t="str">
        <f t="shared" si="21"/>
        <v/>
      </c>
      <c r="Z645" t="str">
        <f t="shared" si="22"/>
        <v/>
      </c>
    </row>
    <row r="646" spans="25:26" ht="14.25" customHeight="1" x14ac:dyDescent="0.3">
      <c r="Y646" t="str">
        <f t="shared" si="21"/>
        <v/>
      </c>
      <c r="Z646" t="str">
        <f t="shared" si="22"/>
        <v/>
      </c>
    </row>
    <row r="647" spans="25:26" ht="14.25" customHeight="1" x14ac:dyDescent="0.3">
      <c r="Y647" t="str">
        <f t="shared" si="21"/>
        <v/>
      </c>
      <c r="Z647" t="str">
        <f t="shared" si="22"/>
        <v/>
      </c>
    </row>
    <row r="648" spans="25:26" ht="14.25" customHeight="1" x14ac:dyDescent="0.3">
      <c r="Y648" t="str">
        <f t="shared" si="21"/>
        <v/>
      </c>
      <c r="Z648" t="str">
        <f t="shared" si="22"/>
        <v/>
      </c>
    </row>
    <row r="649" spans="25:26" ht="14.25" customHeight="1" x14ac:dyDescent="0.3">
      <c r="Y649" t="str">
        <f t="shared" si="21"/>
        <v/>
      </c>
      <c r="Z649" t="str">
        <f t="shared" si="22"/>
        <v/>
      </c>
    </row>
    <row r="650" spans="25:26" ht="14.25" customHeight="1" x14ac:dyDescent="0.3">
      <c r="Y650" t="str">
        <f t="shared" si="21"/>
        <v/>
      </c>
      <c r="Z650" t="str">
        <f t="shared" si="22"/>
        <v/>
      </c>
    </row>
    <row r="651" spans="25:26" ht="14.25" customHeight="1" x14ac:dyDescent="0.3">
      <c r="Y651" t="str">
        <f t="shared" si="21"/>
        <v/>
      </c>
      <c r="Z651" t="str">
        <f t="shared" si="22"/>
        <v/>
      </c>
    </row>
    <row r="652" spans="25:26" ht="14.25" customHeight="1" x14ac:dyDescent="0.3">
      <c r="Y652" t="str">
        <f t="shared" si="21"/>
        <v/>
      </c>
      <c r="Z652" t="str">
        <f t="shared" si="22"/>
        <v/>
      </c>
    </row>
    <row r="653" spans="25:26" ht="14.25" customHeight="1" x14ac:dyDescent="0.3">
      <c r="Y653" t="str">
        <f t="shared" si="21"/>
        <v/>
      </c>
      <c r="Z653" t="str">
        <f t="shared" si="22"/>
        <v/>
      </c>
    </row>
    <row r="654" spans="25:26" ht="14.25" customHeight="1" x14ac:dyDescent="0.3">
      <c r="Y654" t="str">
        <f t="shared" si="21"/>
        <v/>
      </c>
      <c r="Z654" t="str">
        <f t="shared" si="22"/>
        <v/>
      </c>
    </row>
    <row r="655" spans="25:26" ht="14.25" customHeight="1" x14ac:dyDescent="0.3">
      <c r="Y655" t="str">
        <f t="shared" si="21"/>
        <v/>
      </c>
      <c r="Z655" t="str">
        <f t="shared" si="22"/>
        <v/>
      </c>
    </row>
    <row r="656" spans="25:26" ht="14.25" customHeight="1" x14ac:dyDescent="0.3">
      <c r="Y656" t="str">
        <f t="shared" si="21"/>
        <v/>
      </c>
      <c r="Z656" t="str">
        <f t="shared" si="22"/>
        <v/>
      </c>
    </row>
    <row r="657" spans="25:26" ht="14.25" customHeight="1" x14ac:dyDescent="0.3">
      <c r="Y657" t="str">
        <f t="shared" si="21"/>
        <v/>
      </c>
      <c r="Z657" t="str">
        <f t="shared" si="22"/>
        <v/>
      </c>
    </row>
    <row r="658" spans="25:26" ht="14.25" customHeight="1" x14ac:dyDescent="0.3">
      <c r="Y658" t="str">
        <f t="shared" si="21"/>
        <v/>
      </c>
      <c r="Z658" t="str">
        <f t="shared" si="22"/>
        <v/>
      </c>
    </row>
    <row r="659" spans="25:26" ht="14.25" customHeight="1" x14ac:dyDescent="0.3">
      <c r="Y659" t="str">
        <f t="shared" si="21"/>
        <v/>
      </c>
      <c r="Z659" t="str">
        <f t="shared" si="22"/>
        <v/>
      </c>
    </row>
    <row r="660" spans="25:26" ht="14.25" customHeight="1" x14ac:dyDescent="0.3">
      <c r="Y660" t="str">
        <f t="shared" si="21"/>
        <v/>
      </c>
      <c r="Z660" t="str">
        <f t="shared" si="22"/>
        <v/>
      </c>
    </row>
    <row r="661" spans="25:26" ht="14.25" customHeight="1" x14ac:dyDescent="0.3">
      <c r="Y661" t="str">
        <f t="shared" si="21"/>
        <v/>
      </c>
      <c r="Z661" t="str">
        <f t="shared" si="22"/>
        <v/>
      </c>
    </row>
    <row r="662" spans="25:26" ht="14.25" customHeight="1" x14ac:dyDescent="0.3">
      <c r="Y662" t="str">
        <f t="shared" si="21"/>
        <v/>
      </c>
      <c r="Z662" t="str">
        <f t="shared" si="22"/>
        <v/>
      </c>
    </row>
    <row r="663" spans="25:26" ht="14.25" customHeight="1" x14ac:dyDescent="0.3">
      <c r="Y663" t="str">
        <f t="shared" si="21"/>
        <v/>
      </c>
      <c r="Z663" t="str">
        <f t="shared" si="22"/>
        <v/>
      </c>
    </row>
    <row r="664" spans="25:26" ht="14.25" customHeight="1" x14ac:dyDescent="0.3">
      <c r="Y664" t="str">
        <f t="shared" si="21"/>
        <v/>
      </c>
      <c r="Z664" t="str">
        <f t="shared" si="22"/>
        <v/>
      </c>
    </row>
    <row r="665" spans="25:26" ht="14.25" customHeight="1" x14ac:dyDescent="0.3">
      <c r="Y665" t="str">
        <f t="shared" si="21"/>
        <v/>
      </c>
      <c r="Z665" t="str">
        <f t="shared" si="22"/>
        <v/>
      </c>
    </row>
    <row r="666" spans="25:26" ht="14.25" customHeight="1" x14ac:dyDescent="0.3">
      <c r="Y666" t="str">
        <f t="shared" si="21"/>
        <v/>
      </c>
      <c r="Z666" t="str">
        <f t="shared" si="22"/>
        <v/>
      </c>
    </row>
    <row r="667" spans="25:26" ht="14.25" customHeight="1" x14ac:dyDescent="0.3">
      <c r="Y667" t="str">
        <f t="shared" si="21"/>
        <v/>
      </c>
      <c r="Z667" t="str">
        <f t="shared" si="22"/>
        <v/>
      </c>
    </row>
    <row r="668" spans="25:26" ht="14.25" customHeight="1" x14ac:dyDescent="0.3">
      <c r="Y668" t="str">
        <f t="shared" si="21"/>
        <v/>
      </c>
      <c r="Z668" t="str">
        <f t="shared" si="22"/>
        <v/>
      </c>
    </row>
    <row r="669" spans="25:26" ht="14.25" customHeight="1" x14ac:dyDescent="0.3">
      <c r="Y669" t="str">
        <f t="shared" si="21"/>
        <v/>
      </c>
      <c r="Z669" t="str">
        <f t="shared" si="22"/>
        <v/>
      </c>
    </row>
    <row r="670" spans="25:26" ht="14.25" customHeight="1" x14ac:dyDescent="0.3">
      <c r="Y670" t="str">
        <f t="shared" si="21"/>
        <v/>
      </c>
      <c r="Z670" t="str">
        <f t="shared" si="22"/>
        <v/>
      </c>
    </row>
    <row r="671" spans="25:26" ht="14.25" customHeight="1" x14ac:dyDescent="0.3">
      <c r="Y671" t="str">
        <f t="shared" si="21"/>
        <v/>
      </c>
      <c r="Z671" t="str">
        <f t="shared" si="22"/>
        <v/>
      </c>
    </row>
    <row r="672" spans="25:26" ht="14.25" customHeight="1" x14ac:dyDescent="0.3">
      <c r="Y672" t="str">
        <f t="shared" si="21"/>
        <v/>
      </c>
      <c r="Z672" t="str">
        <f t="shared" si="22"/>
        <v/>
      </c>
    </row>
    <row r="673" spans="25:26" ht="14.25" customHeight="1" x14ac:dyDescent="0.3">
      <c r="Y673" t="str">
        <f t="shared" si="21"/>
        <v/>
      </c>
      <c r="Z673" t="str">
        <f t="shared" si="22"/>
        <v/>
      </c>
    </row>
    <row r="674" spans="25:26" ht="14.25" customHeight="1" x14ac:dyDescent="0.3">
      <c r="Y674" t="str">
        <f t="shared" si="21"/>
        <v/>
      </c>
      <c r="Z674" t="str">
        <f t="shared" si="22"/>
        <v/>
      </c>
    </row>
    <row r="675" spans="25:26" ht="14.25" customHeight="1" x14ac:dyDescent="0.3">
      <c r="Y675" t="str">
        <f t="shared" si="21"/>
        <v/>
      </c>
      <c r="Z675" t="str">
        <f t="shared" si="22"/>
        <v/>
      </c>
    </row>
    <row r="676" spans="25:26" ht="14.25" customHeight="1" x14ac:dyDescent="0.3">
      <c r="Y676" t="str">
        <f t="shared" si="21"/>
        <v/>
      </c>
      <c r="Z676" t="str">
        <f t="shared" si="22"/>
        <v/>
      </c>
    </row>
    <row r="677" spans="25:26" ht="14.25" customHeight="1" x14ac:dyDescent="0.3">
      <c r="Y677" t="str">
        <f t="shared" si="21"/>
        <v/>
      </c>
      <c r="Z677" t="str">
        <f t="shared" si="22"/>
        <v/>
      </c>
    </row>
    <row r="678" spans="25:26" ht="14.25" customHeight="1" x14ac:dyDescent="0.3">
      <c r="Y678" t="str">
        <f t="shared" si="21"/>
        <v/>
      </c>
      <c r="Z678" t="str">
        <f t="shared" si="22"/>
        <v/>
      </c>
    </row>
    <row r="679" spans="25:26" ht="14.25" customHeight="1" x14ac:dyDescent="0.3">
      <c r="Y679" t="str">
        <f t="shared" si="21"/>
        <v/>
      </c>
      <c r="Z679" t="str">
        <f t="shared" si="22"/>
        <v/>
      </c>
    </row>
    <row r="680" spans="25:26" ht="14.25" customHeight="1" x14ac:dyDescent="0.3">
      <c r="Y680" t="str">
        <f t="shared" si="21"/>
        <v/>
      </c>
      <c r="Z680" t="str">
        <f t="shared" si="22"/>
        <v/>
      </c>
    </row>
    <row r="681" spans="25:26" ht="14.25" customHeight="1" x14ac:dyDescent="0.3">
      <c r="Y681" t="str">
        <f t="shared" si="21"/>
        <v/>
      </c>
      <c r="Z681" t="str">
        <f t="shared" si="22"/>
        <v/>
      </c>
    </row>
    <row r="682" spans="25:26" ht="14.25" customHeight="1" x14ac:dyDescent="0.3">
      <c r="Y682" t="str">
        <f t="shared" si="21"/>
        <v/>
      </c>
      <c r="Z682" t="str">
        <f t="shared" si="22"/>
        <v/>
      </c>
    </row>
    <row r="683" spans="25:26" ht="14.25" customHeight="1" x14ac:dyDescent="0.3">
      <c r="Y683" t="str">
        <f t="shared" si="21"/>
        <v/>
      </c>
      <c r="Z683" t="str">
        <f t="shared" si="22"/>
        <v/>
      </c>
    </row>
    <row r="684" spans="25:26" ht="14.25" customHeight="1" x14ac:dyDescent="0.3">
      <c r="Y684" t="str">
        <f t="shared" si="21"/>
        <v/>
      </c>
      <c r="Z684" t="str">
        <f t="shared" si="22"/>
        <v/>
      </c>
    </row>
    <row r="685" spans="25:26" ht="14.25" customHeight="1" x14ac:dyDescent="0.3">
      <c r="Y685" t="str">
        <f t="shared" si="21"/>
        <v/>
      </c>
      <c r="Z685" t="str">
        <f t="shared" si="22"/>
        <v/>
      </c>
    </row>
    <row r="686" spans="25:26" ht="14.25" customHeight="1" x14ac:dyDescent="0.3">
      <c r="Y686" t="str">
        <f t="shared" si="21"/>
        <v/>
      </c>
      <c r="Z686" t="str">
        <f t="shared" si="22"/>
        <v/>
      </c>
    </row>
    <row r="687" spans="25:26" ht="14.25" customHeight="1" x14ac:dyDescent="0.3">
      <c r="Y687" t="str">
        <f t="shared" si="21"/>
        <v/>
      </c>
      <c r="Z687" t="str">
        <f t="shared" si="22"/>
        <v/>
      </c>
    </row>
    <row r="688" spans="25:26" ht="14.25" customHeight="1" x14ac:dyDescent="0.3">
      <c r="Y688" t="str">
        <f t="shared" si="21"/>
        <v/>
      </c>
      <c r="Z688" t="str">
        <f t="shared" si="22"/>
        <v/>
      </c>
    </row>
    <row r="689" spans="25:26" ht="14.25" customHeight="1" x14ac:dyDescent="0.3">
      <c r="Y689" t="str">
        <f t="shared" si="21"/>
        <v/>
      </c>
      <c r="Z689" t="str">
        <f t="shared" si="22"/>
        <v/>
      </c>
    </row>
    <row r="690" spans="25:26" ht="14.25" customHeight="1" x14ac:dyDescent="0.3">
      <c r="Y690" t="str">
        <f t="shared" si="21"/>
        <v/>
      </c>
      <c r="Z690" t="str">
        <f t="shared" si="22"/>
        <v/>
      </c>
    </row>
    <row r="691" spans="25:26" ht="14.25" customHeight="1" x14ac:dyDescent="0.3">
      <c r="Y691" t="str">
        <f t="shared" si="21"/>
        <v/>
      </c>
      <c r="Z691" t="str">
        <f t="shared" si="22"/>
        <v/>
      </c>
    </row>
    <row r="692" spans="25:26" ht="14.25" customHeight="1" x14ac:dyDescent="0.3">
      <c r="Y692" t="str">
        <f t="shared" si="21"/>
        <v/>
      </c>
      <c r="Z692" t="str">
        <f t="shared" si="22"/>
        <v/>
      </c>
    </row>
    <row r="693" spans="25:26" ht="14.25" customHeight="1" x14ac:dyDescent="0.3">
      <c r="Y693" t="str">
        <f t="shared" si="21"/>
        <v/>
      </c>
      <c r="Z693" t="str">
        <f t="shared" si="22"/>
        <v/>
      </c>
    </row>
    <row r="694" spans="25:26" ht="14.25" customHeight="1" x14ac:dyDescent="0.3">
      <c r="Y694" t="str">
        <f t="shared" si="21"/>
        <v/>
      </c>
      <c r="Z694" t="str">
        <f t="shared" si="22"/>
        <v/>
      </c>
    </row>
    <row r="695" spans="25:26" ht="14.25" customHeight="1" x14ac:dyDescent="0.3">
      <c r="Y695" t="str">
        <f t="shared" si="21"/>
        <v/>
      </c>
      <c r="Z695" t="str">
        <f t="shared" si="22"/>
        <v/>
      </c>
    </row>
    <row r="696" spans="25:26" ht="14.25" customHeight="1" x14ac:dyDescent="0.3">
      <c r="Y696" t="str">
        <f t="shared" si="21"/>
        <v/>
      </c>
      <c r="Z696" t="str">
        <f t="shared" si="22"/>
        <v/>
      </c>
    </row>
    <row r="697" spans="25:26" ht="14.25" customHeight="1" x14ac:dyDescent="0.3">
      <c r="Y697" t="str">
        <f t="shared" si="21"/>
        <v/>
      </c>
      <c r="Z697" t="str">
        <f t="shared" si="22"/>
        <v/>
      </c>
    </row>
    <row r="698" spans="25:26" ht="14.25" customHeight="1" x14ac:dyDescent="0.3">
      <c r="Y698" t="str">
        <f t="shared" si="21"/>
        <v/>
      </c>
      <c r="Z698" t="str">
        <f t="shared" si="22"/>
        <v/>
      </c>
    </row>
    <row r="699" spans="25:26" ht="14.25" customHeight="1" x14ac:dyDescent="0.3">
      <c r="Y699" t="str">
        <f t="shared" si="21"/>
        <v/>
      </c>
      <c r="Z699" t="str">
        <f t="shared" si="22"/>
        <v/>
      </c>
    </row>
    <row r="700" spans="25:26" ht="14.25" customHeight="1" x14ac:dyDescent="0.3">
      <c r="Y700" t="str">
        <f t="shared" si="21"/>
        <v/>
      </c>
      <c r="Z700" t="str">
        <f t="shared" si="22"/>
        <v/>
      </c>
    </row>
    <row r="701" spans="25:26" ht="14.25" customHeight="1" x14ac:dyDescent="0.3">
      <c r="Y701" t="str">
        <f t="shared" si="21"/>
        <v/>
      </c>
      <c r="Z701" t="str">
        <f t="shared" si="22"/>
        <v/>
      </c>
    </row>
    <row r="702" spans="25:26" ht="14.25" customHeight="1" x14ac:dyDescent="0.3">
      <c r="Y702" t="str">
        <f t="shared" si="21"/>
        <v/>
      </c>
      <c r="Z702" t="str">
        <f t="shared" si="22"/>
        <v/>
      </c>
    </row>
    <row r="703" spans="25:26" ht="14.25" customHeight="1" x14ac:dyDescent="0.3">
      <c r="Y703" t="str">
        <f t="shared" si="21"/>
        <v/>
      </c>
      <c r="Z703" t="str">
        <f t="shared" si="22"/>
        <v/>
      </c>
    </row>
    <row r="704" spans="25:26" ht="14.25" customHeight="1" x14ac:dyDescent="0.3">
      <c r="Y704" t="str">
        <f t="shared" si="21"/>
        <v/>
      </c>
      <c r="Z704" t="str">
        <f t="shared" si="22"/>
        <v/>
      </c>
    </row>
    <row r="705" spans="25:26" ht="14.25" customHeight="1" x14ac:dyDescent="0.3">
      <c r="Y705" t="str">
        <f t="shared" si="21"/>
        <v/>
      </c>
      <c r="Z705" t="str">
        <f t="shared" si="22"/>
        <v/>
      </c>
    </row>
    <row r="706" spans="25:26" ht="14.25" customHeight="1" x14ac:dyDescent="0.3">
      <c r="Y706" t="str">
        <f t="shared" ref="Y706:Y769" si="23">IFERROR(INDEX(D_IDUNIQUE,MATCH(ROW()-1,D_RANG_PROFIL,0)),"")</f>
        <v/>
      </c>
      <c r="Z706" t="str">
        <f t="shared" ref="Z706:Z769" si="24">IF($Y706="","",UPPER(INDEX(D_NOM,MATCH($Y706,D_ID,0)))&amp;" "&amp;INDEX(D_PRENOM,MATCH($Y706,D_ID,0))&amp;" — "&amp;INDEX(D_NIVEAU_ACTUEL,MATCH($Y706,D_ID,0)))</f>
        <v/>
      </c>
    </row>
    <row r="707" spans="25:26" ht="14.25" customHeight="1" x14ac:dyDescent="0.3">
      <c r="Y707" t="str">
        <f t="shared" si="23"/>
        <v/>
      </c>
      <c r="Z707" t="str">
        <f t="shared" si="24"/>
        <v/>
      </c>
    </row>
    <row r="708" spans="25:26" ht="14.25" customHeight="1" x14ac:dyDescent="0.3">
      <c r="Y708" t="str">
        <f t="shared" si="23"/>
        <v/>
      </c>
      <c r="Z708" t="str">
        <f t="shared" si="24"/>
        <v/>
      </c>
    </row>
    <row r="709" spans="25:26" ht="14.25" customHeight="1" x14ac:dyDescent="0.3">
      <c r="Y709" t="str">
        <f t="shared" si="23"/>
        <v/>
      </c>
      <c r="Z709" t="str">
        <f t="shared" si="24"/>
        <v/>
      </c>
    </row>
    <row r="710" spans="25:26" ht="14.25" customHeight="1" x14ac:dyDescent="0.3">
      <c r="Y710" t="str">
        <f t="shared" si="23"/>
        <v/>
      </c>
      <c r="Z710" t="str">
        <f t="shared" si="24"/>
        <v/>
      </c>
    </row>
    <row r="711" spans="25:26" ht="14.25" customHeight="1" x14ac:dyDescent="0.3">
      <c r="Y711" t="str">
        <f t="shared" si="23"/>
        <v/>
      </c>
      <c r="Z711" t="str">
        <f t="shared" si="24"/>
        <v/>
      </c>
    </row>
    <row r="712" spans="25:26" ht="14.25" customHeight="1" x14ac:dyDescent="0.3">
      <c r="Y712" t="str">
        <f t="shared" si="23"/>
        <v/>
      </c>
      <c r="Z712" t="str">
        <f t="shared" si="24"/>
        <v/>
      </c>
    </row>
    <row r="713" spans="25:26" ht="14.25" customHeight="1" x14ac:dyDescent="0.3">
      <c r="Y713" t="str">
        <f t="shared" si="23"/>
        <v/>
      </c>
      <c r="Z713" t="str">
        <f t="shared" si="24"/>
        <v/>
      </c>
    </row>
    <row r="714" spans="25:26" ht="14.25" customHeight="1" x14ac:dyDescent="0.3">
      <c r="Y714" t="str">
        <f t="shared" si="23"/>
        <v/>
      </c>
      <c r="Z714" t="str">
        <f t="shared" si="24"/>
        <v/>
      </c>
    </row>
    <row r="715" spans="25:26" ht="14.25" customHeight="1" x14ac:dyDescent="0.3">
      <c r="Y715" t="str">
        <f t="shared" si="23"/>
        <v/>
      </c>
      <c r="Z715" t="str">
        <f t="shared" si="24"/>
        <v/>
      </c>
    </row>
    <row r="716" spans="25:26" ht="14.25" customHeight="1" x14ac:dyDescent="0.3">
      <c r="Y716" t="str">
        <f t="shared" si="23"/>
        <v/>
      </c>
      <c r="Z716" t="str">
        <f t="shared" si="24"/>
        <v/>
      </c>
    </row>
    <row r="717" spans="25:26" ht="14.25" customHeight="1" x14ac:dyDescent="0.3">
      <c r="Y717" t="str">
        <f t="shared" si="23"/>
        <v/>
      </c>
      <c r="Z717" t="str">
        <f t="shared" si="24"/>
        <v/>
      </c>
    </row>
    <row r="718" spans="25:26" ht="14.25" customHeight="1" x14ac:dyDescent="0.3">
      <c r="Y718" t="str">
        <f t="shared" si="23"/>
        <v/>
      </c>
      <c r="Z718" t="str">
        <f t="shared" si="24"/>
        <v/>
      </c>
    </row>
    <row r="719" spans="25:26" ht="14.25" customHeight="1" x14ac:dyDescent="0.3">
      <c r="Y719" t="str">
        <f t="shared" si="23"/>
        <v/>
      </c>
      <c r="Z719" t="str">
        <f t="shared" si="24"/>
        <v/>
      </c>
    </row>
    <row r="720" spans="25:26" ht="14.25" customHeight="1" x14ac:dyDescent="0.3">
      <c r="Y720" t="str">
        <f t="shared" si="23"/>
        <v/>
      </c>
      <c r="Z720" t="str">
        <f t="shared" si="24"/>
        <v/>
      </c>
    </row>
    <row r="721" spans="25:26" ht="14.25" customHeight="1" x14ac:dyDescent="0.3">
      <c r="Y721" t="str">
        <f t="shared" si="23"/>
        <v/>
      </c>
      <c r="Z721" t="str">
        <f t="shared" si="24"/>
        <v/>
      </c>
    </row>
    <row r="722" spans="25:26" ht="14.25" customHeight="1" x14ac:dyDescent="0.3">
      <c r="Y722" t="str">
        <f t="shared" si="23"/>
        <v/>
      </c>
      <c r="Z722" t="str">
        <f t="shared" si="24"/>
        <v/>
      </c>
    </row>
    <row r="723" spans="25:26" ht="14.25" customHeight="1" x14ac:dyDescent="0.3">
      <c r="Y723" t="str">
        <f t="shared" si="23"/>
        <v/>
      </c>
      <c r="Z723" t="str">
        <f t="shared" si="24"/>
        <v/>
      </c>
    </row>
    <row r="724" spans="25:26" ht="14.25" customHeight="1" x14ac:dyDescent="0.3">
      <c r="Y724" t="str">
        <f t="shared" si="23"/>
        <v/>
      </c>
      <c r="Z724" t="str">
        <f t="shared" si="24"/>
        <v/>
      </c>
    </row>
    <row r="725" spans="25:26" ht="14.25" customHeight="1" x14ac:dyDescent="0.3">
      <c r="Y725" t="str">
        <f t="shared" si="23"/>
        <v/>
      </c>
      <c r="Z725" t="str">
        <f t="shared" si="24"/>
        <v/>
      </c>
    </row>
    <row r="726" spans="25:26" ht="14.25" customHeight="1" x14ac:dyDescent="0.3">
      <c r="Y726" t="str">
        <f t="shared" si="23"/>
        <v/>
      </c>
      <c r="Z726" t="str">
        <f t="shared" si="24"/>
        <v/>
      </c>
    </row>
    <row r="727" spans="25:26" ht="14.25" customHeight="1" x14ac:dyDescent="0.3">
      <c r="Y727" t="str">
        <f t="shared" si="23"/>
        <v/>
      </c>
      <c r="Z727" t="str">
        <f t="shared" si="24"/>
        <v/>
      </c>
    </row>
    <row r="728" spans="25:26" ht="14.25" customHeight="1" x14ac:dyDescent="0.3">
      <c r="Y728" t="str">
        <f t="shared" si="23"/>
        <v/>
      </c>
      <c r="Z728" t="str">
        <f t="shared" si="24"/>
        <v/>
      </c>
    </row>
    <row r="729" spans="25:26" ht="14.25" customHeight="1" x14ac:dyDescent="0.3">
      <c r="Y729" t="str">
        <f t="shared" si="23"/>
        <v/>
      </c>
      <c r="Z729" t="str">
        <f t="shared" si="24"/>
        <v/>
      </c>
    </row>
    <row r="730" spans="25:26" ht="14.25" customHeight="1" x14ac:dyDescent="0.3">
      <c r="Y730" t="str">
        <f t="shared" si="23"/>
        <v/>
      </c>
      <c r="Z730" t="str">
        <f t="shared" si="24"/>
        <v/>
      </c>
    </row>
    <row r="731" spans="25:26" ht="14.25" customHeight="1" x14ac:dyDescent="0.3">
      <c r="Y731" t="str">
        <f t="shared" si="23"/>
        <v/>
      </c>
      <c r="Z731" t="str">
        <f t="shared" si="24"/>
        <v/>
      </c>
    </row>
    <row r="732" spans="25:26" ht="14.25" customHeight="1" x14ac:dyDescent="0.3">
      <c r="Y732" t="str">
        <f t="shared" si="23"/>
        <v/>
      </c>
      <c r="Z732" t="str">
        <f t="shared" si="24"/>
        <v/>
      </c>
    </row>
    <row r="733" spans="25:26" ht="14.25" customHeight="1" x14ac:dyDescent="0.3">
      <c r="Y733" t="str">
        <f t="shared" si="23"/>
        <v/>
      </c>
      <c r="Z733" t="str">
        <f t="shared" si="24"/>
        <v/>
      </c>
    </row>
    <row r="734" spans="25:26" ht="14.25" customHeight="1" x14ac:dyDescent="0.3">
      <c r="Y734" t="str">
        <f t="shared" si="23"/>
        <v/>
      </c>
      <c r="Z734" t="str">
        <f t="shared" si="24"/>
        <v/>
      </c>
    </row>
    <row r="735" spans="25:26" ht="14.25" customHeight="1" x14ac:dyDescent="0.3">
      <c r="Y735" t="str">
        <f t="shared" si="23"/>
        <v/>
      </c>
      <c r="Z735" t="str">
        <f t="shared" si="24"/>
        <v/>
      </c>
    </row>
    <row r="736" spans="25:26" ht="14.25" customHeight="1" x14ac:dyDescent="0.3">
      <c r="Y736" t="str">
        <f t="shared" si="23"/>
        <v/>
      </c>
      <c r="Z736" t="str">
        <f t="shared" si="24"/>
        <v/>
      </c>
    </row>
    <row r="737" spans="25:26" ht="14.25" customHeight="1" x14ac:dyDescent="0.3">
      <c r="Y737" t="str">
        <f t="shared" si="23"/>
        <v/>
      </c>
      <c r="Z737" t="str">
        <f t="shared" si="24"/>
        <v/>
      </c>
    </row>
    <row r="738" spans="25:26" ht="14.25" customHeight="1" x14ac:dyDescent="0.3">
      <c r="Y738" t="str">
        <f t="shared" si="23"/>
        <v/>
      </c>
      <c r="Z738" t="str">
        <f t="shared" si="24"/>
        <v/>
      </c>
    </row>
    <row r="739" spans="25:26" ht="14.25" customHeight="1" x14ac:dyDescent="0.3">
      <c r="Y739" t="str">
        <f t="shared" si="23"/>
        <v/>
      </c>
      <c r="Z739" t="str">
        <f t="shared" si="24"/>
        <v/>
      </c>
    </row>
    <row r="740" spans="25:26" ht="14.25" customHeight="1" x14ac:dyDescent="0.3">
      <c r="Y740" t="str">
        <f t="shared" si="23"/>
        <v/>
      </c>
      <c r="Z740" t="str">
        <f t="shared" si="24"/>
        <v/>
      </c>
    </row>
    <row r="741" spans="25:26" ht="14.25" customHeight="1" x14ac:dyDescent="0.3">
      <c r="Y741" t="str">
        <f t="shared" si="23"/>
        <v/>
      </c>
      <c r="Z741" t="str">
        <f t="shared" si="24"/>
        <v/>
      </c>
    </row>
    <row r="742" spans="25:26" ht="14.25" customHeight="1" x14ac:dyDescent="0.3">
      <c r="Y742" t="str">
        <f t="shared" si="23"/>
        <v/>
      </c>
      <c r="Z742" t="str">
        <f t="shared" si="24"/>
        <v/>
      </c>
    </row>
    <row r="743" spans="25:26" ht="14.25" customHeight="1" x14ac:dyDescent="0.3">
      <c r="Y743" t="str">
        <f t="shared" si="23"/>
        <v/>
      </c>
      <c r="Z743" t="str">
        <f t="shared" si="24"/>
        <v/>
      </c>
    </row>
    <row r="744" spans="25:26" ht="14.25" customHeight="1" x14ac:dyDescent="0.3">
      <c r="Y744" t="str">
        <f t="shared" si="23"/>
        <v/>
      </c>
      <c r="Z744" t="str">
        <f t="shared" si="24"/>
        <v/>
      </c>
    </row>
    <row r="745" spans="25:26" ht="14.25" customHeight="1" x14ac:dyDescent="0.3">
      <c r="Y745" t="str">
        <f t="shared" si="23"/>
        <v/>
      </c>
      <c r="Z745" t="str">
        <f t="shared" si="24"/>
        <v/>
      </c>
    </row>
    <row r="746" spans="25:26" ht="14.25" customHeight="1" x14ac:dyDescent="0.3">
      <c r="Y746" t="str">
        <f t="shared" si="23"/>
        <v/>
      </c>
      <c r="Z746" t="str">
        <f t="shared" si="24"/>
        <v/>
      </c>
    </row>
    <row r="747" spans="25:26" ht="14.25" customHeight="1" x14ac:dyDescent="0.3">
      <c r="Y747" t="str">
        <f t="shared" si="23"/>
        <v/>
      </c>
      <c r="Z747" t="str">
        <f t="shared" si="24"/>
        <v/>
      </c>
    </row>
    <row r="748" spans="25:26" ht="14.25" customHeight="1" x14ac:dyDescent="0.3">
      <c r="Y748" t="str">
        <f t="shared" si="23"/>
        <v/>
      </c>
      <c r="Z748" t="str">
        <f t="shared" si="24"/>
        <v/>
      </c>
    </row>
    <row r="749" spans="25:26" ht="14.25" customHeight="1" x14ac:dyDescent="0.3">
      <c r="Y749" t="str">
        <f t="shared" si="23"/>
        <v/>
      </c>
      <c r="Z749" t="str">
        <f t="shared" si="24"/>
        <v/>
      </c>
    </row>
    <row r="750" spans="25:26" ht="14.25" customHeight="1" x14ac:dyDescent="0.3">
      <c r="Y750" t="str">
        <f t="shared" si="23"/>
        <v/>
      </c>
      <c r="Z750" t="str">
        <f t="shared" si="24"/>
        <v/>
      </c>
    </row>
    <row r="751" spans="25:26" ht="14.25" customHeight="1" x14ac:dyDescent="0.3">
      <c r="Y751" t="str">
        <f t="shared" si="23"/>
        <v/>
      </c>
      <c r="Z751" t="str">
        <f t="shared" si="24"/>
        <v/>
      </c>
    </row>
    <row r="752" spans="25:26" ht="14.25" customHeight="1" x14ac:dyDescent="0.3">
      <c r="Y752" t="str">
        <f t="shared" si="23"/>
        <v/>
      </c>
      <c r="Z752" t="str">
        <f t="shared" si="24"/>
        <v/>
      </c>
    </row>
    <row r="753" spans="25:26" ht="14.25" customHeight="1" x14ac:dyDescent="0.3">
      <c r="Y753" t="str">
        <f t="shared" si="23"/>
        <v/>
      </c>
      <c r="Z753" t="str">
        <f t="shared" si="24"/>
        <v/>
      </c>
    </row>
    <row r="754" spans="25:26" ht="14.25" customHeight="1" x14ac:dyDescent="0.3">
      <c r="Y754" t="str">
        <f t="shared" si="23"/>
        <v/>
      </c>
      <c r="Z754" t="str">
        <f t="shared" si="24"/>
        <v/>
      </c>
    </row>
    <row r="755" spans="25:26" ht="14.25" customHeight="1" x14ac:dyDescent="0.3">
      <c r="Y755" t="str">
        <f t="shared" si="23"/>
        <v/>
      </c>
      <c r="Z755" t="str">
        <f t="shared" si="24"/>
        <v/>
      </c>
    </row>
    <row r="756" spans="25:26" ht="14.25" customHeight="1" x14ac:dyDescent="0.3">
      <c r="Y756" t="str">
        <f t="shared" si="23"/>
        <v/>
      </c>
      <c r="Z756" t="str">
        <f t="shared" si="24"/>
        <v/>
      </c>
    </row>
    <row r="757" spans="25:26" ht="14.25" customHeight="1" x14ac:dyDescent="0.3">
      <c r="Y757" t="str">
        <f t="shared" si="23"/>
        <v/>
      </c>
      <c r="Z757" t="str">
        <f t="shared" si="24"/>
        <v/>
      </c>
    </row>
    <row r="758" spans="25:26" ht="14.25" customHeight="1" x14ac:dyDescent="0.3">
      <c r="Y758" t="str">
        <f t="shared" si="23"/>
        <v/>
      </c>
      <c r="Z758" t="str">
        <f t="shared" si="24"/>
        <v/>
      </c>
    </row>
    <row r="759" spans="25:26" ht="14.25" customHeight="1" x14ac:dyDescent="0.3">
      <c r="Y759" t="str">
        <f t="shared" si="23"/>
        <v/>
      </c>
      <c r="Z759" t="str">
        <f t="shared" si="24"/>
        <v/>
      </c>
    </row>
    <row r="760" spans="25:26" ht="14.25" customHeight="1" x14ac:dyDescent="0.3">
      <c r="Y760" t="str">
        <f t="shared" si="23"/>
        <v/>
      </c>
      <c r="Z760" t="str">
        <f t="shared" si="24"/>
        <v/>
      </c>
    </row>
    <row r="761" spans="25:26" ht="14.25" customHeight="1" x14ac:dyDescent="0.3">
      <c r="Y761" t="str">
        <f t="shared" si="23"/>
        <v/>
      </c>
      <c r="Z761" t="str">
        <f t="shared" si="24"/>
        <v/>
      </c>
    </row>
    <row r="762" spans="25:26" ht="14.25" customHeight="1" x14ac:dyDescent="0.3">
      <c r="Y762" t="str">
        <f t="shared" si="23"/>
        <v/>
      </c>
      <c r="Z762" t="str">
        <f t="shared" si="24"/>
        <v/>
      </c>
    </row>
    <row r="763" spans="25:26" ht="14.25" customHeight="1" x14ac:dyDescent="0.3">
      <c r="Y763" t="str">
        <f t="shared" si="23"/>
        <v/>
      </c>
      <c r="Z763" t="str">
        <f t="shared" si="24"/>
        <v/>
      </c>
    </row>
    <row r="764" spans="25:26" ht="14.25" customHeight="1" x14ac:dyDescent="0.3">
      <c r="Y764" t="str">
        <f t="shared" si="23"/>
        <v/>
      </c>
      <c r="Z764" t="str">
        <f t="shared" si="24"/>
        <v/>
      </c>
    </row>
    <row r="765" spans="25:26" ht="14.25" customHeight="1" x14ac:dyDescent="0.3">
      <c r="Y765" t="str">
        <f t="shared" si="23"/>
        <v/>
      </c>
      <c r="Z765" t="str">
        <f t="shared" si="24"/>
        <v/>
      </c>
    </row>
    <row r="766" spans="25:26" ht="14.25" customHeight="1" x14ac:dyDescent="0.3">
      <c r="Y766" t="str">
        <f t="shared" si="23"/>
        <v/>
      </c>
      <c r="Z766" t="str">
        <f t="shared" si="24"/>
        <v/>
      </c>
    </row>
    <row r="767" spans="25:26" ht="14.25" customHeight="1" x14ac:dyDescent="0.3">
      <c r="Y767" t="str">
        <f t="shared" si="23"/>
        <v/>
      </c>
      <c r="Z767" t="str">
        <f t="shared" si="24"/>
        <v/>
      </c>
    </row>
    <row r="768" spans="25:26" ht="14.25" customHeight="1" x14ac:dyDescent="0.3">
      <c r="Y768" t="str">
        <f t="shared" si="23"/>
        <v/>
      </c>
      <c r="Z768" t="str">
        <f t="shared" si="24"/>
        <v/>
      </c>
    </row>
    <row r="769" spans="25:26" ht="14.25" customHeight="1" x14ac:dyDescent="0.3">
      <c r="Y769" t="str">
        <f t="shared" si="23"/>
        <v/>
      </c>
      <c r="Z769" t="str">
        <f t="shared" si="24"/>
        <v/>
      </c>
    </row>
    <row r="770" spans="25:26" ht="14.25" customHeight="1" x14ac:dyDescent="0.3">
      <c r="Y770" t="str">
        <f t="shared" ref="Y770:Y833" si="25">IFERROR(INDEX(D_IDUNIQUE,MATCH(ROW()-1,D_RANG_PROFIL,0)),"")</f>
        <v/>
      </c>
      <c r="Z770" t="str">
        <f t="shared" ref="Z770:Z833" si="26">IF($Y770="","",UPPER(INDEX(D_NOM,MATCH($Y770,D_ID,0)))&amp;" "&amp;INDEX(D_PRENOM,MATCH($Y770,D_ID,0))&amp;" — "&amp;INDEX(D_NIVEAU_ACTUEL,MATCH($Y770,D_ID,0)))</f>
        <v/>
      </c>
    </row>
    <row r="771" spans="25:26" ht="14.25" customHeight="1" x14ac:dyDescent="0.3">
      <c r="Y771" t="str">
        <f t="shared" si="25"/>
        <v/>
      </c>
      <c r="Z771" t="str">
        <f t="shared" si="26"/>
        <v/>
      </c>
    </row>
    <row r="772" spans="25:26" ht="14.25" customHeight="1" x14ac:dyDescent="0.3">
      <c r="Y772" t="str">
        <f t="shared" si="25"/>
        <v/>
      </c>
      <c r="Z772" t="str">
        <f t="shared" si="26"/>
        <v/>
      </c>
    </row>
    <row r="773" spans="25:26" ht="14.25" customHeight="1" x14ac:dyDescent="0.3">
      <c r="Y773" t="str">
        <f t="shared" si="25"/>
        <v/>
      </c>
      <c r="Z773" t="str">
        <f t="shared" si="26"/>
        <v/>
      </c>
    </row>
    <row r="774" spans="25:26" ht="14.25" customHeight="1" x14ac:dyDescent="0.3">
      <c r="Y774" t="str">
        <f t="shared" si="25"/>
        <v/>
      </c>
      <c r="Z774" t="str">
        <f t="shared" si="26"/>
        <v/>
      </c>
    </row>
    <row r="775" spans="25:26" ht="14.25" customHeight="1" x14ac:dyDescent="0.3">
      <c r="Y775" t="str">
        <f t="shared" si="25"/>
        <v/>
      </c>
      <c r="Z775" t="str">
        <f t="shared" si="26"/>
        <v/>
      </c>
    </row>
    <row r="776" spans="25:26" ht="14.25" customHeight="1" x14ac:dyDescent="0.3">
      <c r="Y776" t="str">
        <f t="shared" si="25"/>
        <v/>
      </c>
      <c r="Z776" t="str">
        <f t="shared" si="26"/>
        <v/>
      </c>
    </row>
    <row r="777" spans="25:26" ht="14.25" customHeight="1" x14ac:dyDescent="0.3">
      <c r="Y777" t="str">
        <f t="shared" si="25"/>
        <v/>
      </c>
      <c r="Z777" t="str">
        <f t="shared" si="26"/>
        <v/>
      </c>
    </row>
    <row r="778" spans="25:26" ht="14.25" customHeight="1" x14ac:dyDescent="0.3">
      <c r="Y778" t="str">
        <f t="shared" si="25"/>
        <v/>
      </c>
      <c r="Z778" t="str">
        <f t="shared" si="26"/>
        <v/>
      </c>
    </row>
    <row r="779" spans="25:26" ht="14.25" customHeight="1" x14ac:dyDescent="0.3">
      <c r="Y779" t="str">
        <f t="shared" si="25"/>
        <v/>
      </c>
      <c r="Z779" t="str">
        <f t="shared" si="26"/>
        <v/>
      </c>
    </row>
    <row r="780" spans="25:26" ht="14.25" customHeight="1" x14ac:dyDescent="0.3">
      <c r="Y780" t="str">
        <f t="shared" si="25"/>
        <v/>
      </c>
      <c r="Z780" t="str">
        <f t="shared" si="26"/>
        <v/>
      </c>
    </row>
    <row r="781" spans="25:26" ht="14.25" customHeight="1" x14ac:dyDescent="0.3">
      <c r="Y781" t="str">
        <f t="shared" si="25"/>
        <v/>
      </c>
      <c r="Z781" t="str">
        <f t="shared" si="26"/>
        <v/>
      </c>
    </row>
    <row r="782" spans="25:26" ht="14.25" customHeight="1" x14ac:dyDescent="0.3">
      <c r="Y782" t="str">
        <f t="shared" si="25"/>
        <v/>
      </c>
      <c r="Z782" t="str">
        <f t="shared" si="26"/>
        <v/>
      </c>
    </row>
    <row r="783" spans="25:26" ht="14.25" customHeight="1" x14ac:dyDescent="0.3">
      <c r="Y783" t="str">
        <f t="shared" si="25"/>
        <v/>
      </c>
      <c r="Z783" t="str">
        <f t="shared" si="26"/>
        <v/>
      </c>
    </row>
    <row r="784" spans="25:26" ht="14.25" customHeight="1" x14ac:dyDescent="0.3">
      <c r="Y784" t="str">
        <f t="shared" si="25"/>
        <v/>
      </c>
      <c r="Z784" t="str">
        <f t="shared" si="26"/>
        <v/>
      </c>
    </row>
    <row r="785" spans="25:26" ht="14.25" customHeight="1" x14ac:dyDescent="0.3">
      <c r="Y785" t="str">
        <f t="shared" si="25"/>
        <v/>
      </c>
      <c r="Z785" t="str">
        <f t="shared" si="26"/>
        <v/>
      </c>
    </row>
    <row r="786" spans="25:26" ht="14.25" customHeight="1" x14ac:dyDescent="0.3">
      <c r="Y786" t="str">
        <f t="shared" si="25"/>
        <v/>
      </c>
      <c r="Z786" t="str">
        <f t="shared" si="26"/>
        <v/>
      </c>
    </row>
    <row r="787" spans="25:26" ht="14.25" customHeight="1" x14ac:dyDescent="0.3">
      <c r="Y787" t="str">
        <f t="shared" si="25"/>
        <v/>
      </c>
      <c r="Z787" t="str">
        <f t="shared" si="26"/>
        <v/>
      </c>
    </row>
    <row r="788" spans="25:26" ht="14.25" customHeight="1" x14ac:dyDescent="0.3">
      <c r="Y788" t="str">
        <f t="shared" si="25"/>
        <v/>
      </c>
      <c r="Z788" t="str">
        <f t="shared" si="26"/>
        <v/>
      </c>
    </row>
    <row r="789" spans="25:26" ht="14.25" customHeight="1" x14ac:dyDescent="0.3">
      <c r="Y789" t="str">
        <f t="shared" si="25"/>
        <v/>
      </c>
      <c r="Z789" t="str">
        <f t="shared" si="26"/>
        <v/>
      </c>
    </row>
    <row r="790" spans="25:26" ht="14.25" customHeight="1" x14ac:dyDescent="0.3">
      <c r="Y790" t="str">
        <f t="shared" si="25"/>
        <v/>
      </c>
      <c r="Z790" t="str">
        <f t="shared" si="26"/>
        <v/>
      </c>
    </row>
    <row r="791" spans="25:26" ht="14.25" customHeight="1" x14ac:dyDescent="0.3">
      <c r="Y791" t="str">
        <f t="shared" si="25"/>
        <v/>
      </c>
      <c r="Z791" t="str">
        <f t="shared" si="26"/>
        <v/>
      </c>
    </row>
    <row r="792" spans="25:26" ht="14.25" customHeight="1" x14ac:dyDescent="0.3">
      <c r="Y792" t="str">
        <f t="shared" si="25"/>
        <v/>
      </c>
      <c r="Z792" t="str">
        <f t="shared" si="26"/>
        <v/>
      </c>
    </row>
    <row r="793" spans="25:26" ht="14.25" customHeight="1" x14ac:dyDescent="0.3">
      <c r="Y793" t="str">
        <f t="shared" si="25"/>
        <v/>
      </c>
      <c r="Z793" t="str">
        <f t="shared" si="26"/>
        <v/>
      </c>
    </row>
    <row r="794" spans="25:26" ht="14.25" customHeight="1" x14ac:dyDescent="0.3">
      <c r="Y794" t="str">
        <f t="shared" si="25"/>
        <v/>
      </c>
      <c r="Z794" t="str">
        <f t="shared" si="26"/>
        <v/>
      </c>
    </row>
    <row r="795" spans="25:26" ht="14.25" customHeight="1" x14ac:dyDescent="0.3">
      <c r="Y795" t="str">
        <f t="shared" si="25"/>
        <v/>
      </c>
      <c r="Z795" t="str">
        <f t="shared" si="26"/>
        <v/>
      </c>
    </row>
    <row r="796" spans="25:26" ht="14.25" customHeight="1" x14ac:dyDescent="0.3">
      <c r="Y796" t="str">
        <f t="shared" si="25"/>
        <v/>
      </c>
      <c r="Z796" t="str">
        <f t="shared" si="26"/>
        <v/>
      </c>
    </row>
    <row r="797" spans="25:26" ht="14.25" customHeight="1" x14ac:dyDescent="0.3">
      <c r="Y797" t="str">
        <f t="shared" si="25"/>
        <v/>
      </c>
      <c r="Z797" t="str">
        <f t="shared" si="26"/>
        <v/>
      </c>
    </row>
    <row r="798" spans="25:26" ht="14.25" customHeight="1" x14ac:dyDescent="0.3">
      <c r="Y798" t="str">
        <f t="shared" si="25"/>
        <v/>
      </c>
      <c r="Z798" t="str">
        <f t="shared" si="26"/>
        <v/>
      </c>
    </row>
    <row r="799" spans="25:26" ht="14.25" customHeight="1" x14ac:dyDescent="0.3">
      <c r="Y799" t="str">
        <f t="shared" si="25"/>
        <v/>
      </c>
      <c r="Z799" t="str">
        <f t="shared" si="26"/>
        <v/>
      </c>
    </row>
    <row r="800" spans="25:26" ht="14.25" customHeight="1" x14ac:dyDescent="0.3">
      <c r="Y800" t="str">
        <f t="shared" si="25"/>
        <v/>
      </c>
      <c r="Z800" t="str">
        <f t="shared" si="26"/>
        <v/>
      </c>
    </row>
    <row r="801" spans="25:26" ht="14.25" customHeight="1" x14ac:dyDescent="0.3">
      <c r="Y801" t="str">
        <f t="shared" si="25"/>
        <v/>
      </c>
      <c r="Z801" t="str">
        <f t="shared" si="26"/>
        <v/>
      </c>
    </row>
    <row r="802" spans="25:26" ht="14.25" customHeight="1" x14ac:dyDescent="0.3">
      <c r="Y802" t="str">
        <f t="shared" si="25"/>
        <v/>
      </c>
      <c r="Z802" t="str">
        <f t="shared" si="26"/>
        <v/>
      </c>
    </row>
    <row r="803" spans="25:26" ht="14.25" customHeight="1" x14ac:dyDescent="0.3">
      <c r="Y803" t="str">
        <f t="shared" si="25"/>
        <v/>
      </c>
      <c r="Z803" t="str">
        <f t="shared" si="26"/>
        <v/>
      </c>
    </row>
    <row r="804" spans="25:26" ht="14.25" customHeight="1" x14ac:dyDescent="0.3">
      <c r="Y804" t="str">
        <f t="shared" si="25"/>
        <v/>
      </c>
      <c r="Z804" t="str">
        <f t="shared" si="26"/>
        <v/>
      </c>
    </row>
    <row r="805" spans="25:26" ht="14.25" customHeight="1" x14ac:dyDescent="0.3">
      <c r="Y805" t="str">
        <f t="shared" si="25"/>
        <v/>
      </c>
      <c r="Z805" t="str">
        <f t="shared" si="26"/>
        <v/>
      </c>
    </row>
    <row r="806" spans="25:26" ht="14.25" customHeight="1" x14ac:dyDescent="0.3">
      <c r="Y806" t="str">
        <f t="shared" si="25"/>
        <v/>
      </c>
      <c r="Z806" t="str">
        <f t="shared" si="26"/>
        <v/>
      </c>
    </row>
    <row r="807" spans="25:26" ht="14.25" customHeight="1" x14ac:dyDescent="0.3">
      <c r="Y807" t="str">
        <f t="shared" si="25"/>
        <v/>
      </c>
      <c r="Z807" t="str">
        <f t="shared" si="26"/>
        <v/>
      </c>
    </row>
    <row r="808" spans="25:26" ht="14.25" customHeight="1" x14ac:dyDescent="0.3">
      <c r="Y808" t="str">
        <f t="shared" si="25"/>
        <v/>
      </c>
      <c r="Z808" t="str">
        <f t="shared" si="26"/>
        <v/>
      </c>
    </row>
    <row r="809" spans="25:26" ht="14.25" customHeight="1" x14ac:dyDescent="0.3">
      <c r="Y809" t="str">
        <f t="shared" si="25"/>
        <v/>
      </c>
      <c r="Z809" t="str">
        <f t="shared" si="26"/>
        <v/>
      </c>
    </row>
    <row r="810" spans="25:26" ht="14.25" customHeight="1" x14ac:dyDescent="0.3">
      <c r="Y810" t="str">
        <f t="shared" si="25"/>
        <v/>
      </c>
      <c r="Z810" t="str">
        <f t="shared" si="26"/>
        <v/>
      </c>
    </row>
    <row r="811" spans="25:26" ht="14.25" customHeight="1" x14ac:dyDescent="0.3">
      <c r="Y811" t="str">
        <f t="shared" si="25"/>
        <v/>
      </c>
      <c r="Z811" t="str">
        <f t="shared" si="26"/>
        <v/>
      </c>
    </row>
    <row r="812" spans="25:26" ht="14.25" customHeight="1" x14ac:dyDescent="0.3">
      <c r="Y812" t="str">
        <f t="shared" si="25"/>
        <v/>
      </c>
      <c r="Z812" t="str">
        <f t="shared" si="26"/>
        <v/>
      </c>
    </row>
    <row r="813" spans="25:26" ht="14.25" customHeight="1" x14ac:dyDescent="0.3">
      <c r="Y813" t="str">
        <f t="shared" si="25"/>
        <v/>
      </c>
      <c r="Z813" t="str">
        <f t="shared" si="26"/>
        <v/>
      </c>
    </row>
    <row r="814" spans="25:26" ht="14.25" customHeight="1" x14ac:dyDescent="0.3">
      <c r="Y814" t="str">
        <f t="shared" si="25"/>
        <v/>
      </c>
      <c r="Z814" t="str">
        <f t="shared" si="26"/>
        <v/>
      </c>
    </row>
    <row r="815" spans="25:26" ht="14.25" customHeight="1" x14ac:dyDescent="0.3">
      <c r="Y815" t="str">
        <f t="shared" si="25"/>
        <v/>
      </c>
      <c r="Z815" t="str">
        <f t="shared" si="26"/>
        <v/>
      </c>
    </row>
    <row r="816" spans="25:26" ht="14.25" customHeight="1" x14ac:dyDescent="0.3">
      <c r="Y816" t="str">
        <f t="shared" si="25"/>
        <v/>
      </c>
      <c r="Z816" t="str">
        <f t="shared" si="26"/>
        <v/>
      </c>
    </row>
    <row r="817" spans="25:26" ht="14.25" customHeight="1" x14ac:dyDescent="0.3">
      <c r="Y817" t="str">
        <f t="shared" si="25"/>
        <v/>
      </c>
      <c r="Z817" t="str">
        <f t="shared" si="26"/>
        <v/>
      </c>
    </row>
    <row r="818" spans="25:26" ht="14.25" customHeight="1" x14ac:dyDescent="0.3">
      <c r="Y818" t="str">
        <f t="shared" si="25"/>
        <v/>
      </c>
      <c r="Z818" t="str">
        <f t="shared" si="26"/>
        <v/>
      </c>
    </row>
    <row r="819" spans="25:26" ht="14.25" customHeight="1" x14ac:dyDescent="0.3">
      <c r="Y819" t="str">
        <f t="shared" si="25"/>
        <v/>
      </c>
      <c r="Z819" t="str">
        <f t="shared" si="26"/>
        <v/>
      </c>
    </row>
    <row r="820" spans="25:26" ht="14.25" customHeight="1" x14ac:dyDescent="0.3">
      <c r="Y820" t="str">
        <f t="shared" si="25"/>
        <v/>
      </c>
      <c r="Z820" t="str">
        <f t="shared" si="26"/>
        <v/>
      </c>
    </row>
    <row r="821" spans="25:26" ht="14.25" customHeight="1" x14ac:dyDescent="0.3">
      <c r="Y821" t="str">
        <f t="shared" si="25"/>
        <v/>
      </c>
      <c r="Z821" t="str">
        <f t="shared" si="26"/>
        <v/>
      </c>
    </row>
    <row r="822" spans="25:26" ht="14.25" customHeight="1" x14ac:dyDescent="0.3">
      <c r="Y822" t="str">
        <f t="shared" si="25"/>
        <v/>
      </c>
      <c r="Z822" t="str">
        <f t="shared" si="26"/>
        <v/>
      </c>
    </row>
    <row r="823" spans="25:26" ht="14.25" customHeight="1" x14ac:dyDescent="0.3">
      <c r="Y823" t="str">
        <f t="shared" si="25"/>
        <v/>
      </c>
      <c r="Z823" t="str">
        <f t="shared" si="26"/>
        <v/>
      </c>
    </row>
    <row r="824" spans="25:26" ht="14.25" customHeight="1" x14ac:dyDescent="0.3">
      <c r="Y824" t="str">
        <f t="shared" si="25"/>
        <v/>
      </c>
      <c r="Z824" t="str">
        <f t="shared" si="26"/>
        <v/>
      </c>
    </row>
    <row r="825" spans="25:26" ht="14.25" customHeight="1" x14ac:dyDescent="0.3">
      <c r="Y825" t="str">
        <f t="shared" si="25"/>
        <v/>
      </c>
      <c r="Z825" t="str">
        <f t="shared" si="26"/>
        <v/>
      </c>
    </row>
    <row r="826" spans="25:26" ht="14.25" customHeight="1" x14ac:dyDescent="0.3">
      <c r="Y826" t="str">
        <f t="shared" si="25"/>
        <v/>
      </c>
      <c r="Z826" t="str">
        <f t="shared" si="26"/>
        <v/>
      </c>
    </row>
    <row r="827" spans="25:26" ht="14.25" customHeight="1" x14ac:dyDescent="0.3">
      <c r="Y827" t="str">
        <f t="shared" si="25"/>
        <v/>
      </c>
      <c r="Z827" t="str">
        <f t="shared" si="26"/>
        <v/>
      </c>
    </row>
    <row r="828" spans="25:26" ht="14.25" customHeight="1" x14ac:dyDescent="0.3">
      <c r="Y828" t="str">
        <f t="shared" si="25"/>
        <v/>
      </c>
      <c r="Z828" t="str">
        <f t="shared" si="26"/>
        <v/>
      </c>
    </row>
    <row r="829" spans="25:26" ht="14.25" customHeight="1" x14ac:dyDescent="0.3">
      <c r="Y829" t="str">
        <f t="shared" si="25"/>
        <v/>
      </c>
      <c r="Z829" t="str">
        <f t="shared" si="26"/>
        <v/>
      </c>
    </row>
    <row r="830" spans="25:26" ht="14.25" customHeight="1" x14ac:dyDescent="0.3">
      <c r="Y830" t="str">
        <f t="shared" si="25"/>
        <v/>
      </c>
      <c r="Z830" t="str">
        <f t="shared" si="26"/>
        <v/>
      </c>
    </row>
    <row r="831" spans="25:26" ht="14.25" customHeight="1" x14ac:dyDescent="0.3">
      <c r="Y831" t="str">
        <f t="shared" si="25"/>
        <v/>
      </c>
      <c r="Z831" t="str">
        <f t="shared" si="26"/>
        <v/>
      </c>
    </row>
    <row r="832" spans="25:26" ht="14.25" customHeight="1" x14ac:dyDescent="0.3">
      <c r="Y832" t="str">
        <f t="shared" si="25"/>
        <v/>
      </c>
      <c r="Z832" t="str">
        <f t="shared" si="26"/>
        <v/>
      </c>
    </row>
    <row r="833" spans="25:26" ht="14.25" customHeight="1" x14ac:dyDescent="0.3">
      <c r="Y833" t="str">
        <f t="shared" si="25"/>
        <v/>
      </c>
      <c r="Z833" t="str">
        <f t="shared" si="26"/>
        <v/>
      </c>
    </row>
    <row r="834" spans="25:26" ht="14.25" customHeight="1" x14ac:dyDescent="0.3">
      <c r="Y834" t="str">
        <f t="shared" ref="Y834:Y897" si="27">IFERROR(INDEX(D_IDUNIQUE,MATCH(ROW()-1,D_RANG_PROFIL,0)),"")</f>
        <v/>
      </c>
      <c r="Z834" t="str">
        <f t="shared" ref="Z834:Z897" si="28">IF($Y834="","",UPPER(INDEX(D_NOM,MATCH($Y834,D_ID,0)))&amp;" "&amp;INDEX(D_PRENOM,MATCH($Y834,D_ID,0))&amp;" — "&amp;INDEX(D_NIVEAU_ACTUEL,MATCH($Y834,D_ID,0)))</f>
        <v/>
      </c>
    </row>
    <row r="835" spans="25:26" ht="14.25" customHeight="1" x14ac:dyDescent="0.3">
      <c r="Y835" t="str">
        <f t="shared" si="27"/>
        <v/>
      </c>
      <c r="Z835" t="str">
        <f t="shared" si="28"/>
        <v/>
      </c>
    </row>
    <row r="836" spans="25:26" ht="14.25" customHeight="1" x14ac:dyDescent="0.3">
      <c r="Y836" t="str">
        <f t="shared" si="27"/>
        <v/>
      </c>
      <c r="Z836" t="str">
        <f t="shared" si="28"/>
        <v/>
      </c>
    </row>
    <row r="837" spans="25:26" ht="14.25" customHeight="1" x14ac:dyDescent="0.3">
      <c r="Y837" t="str">
        <f t="shared" si="27"/>
        <v/>
      </c>
      <c r="Z837" t="str">
        <f t="shared" si="28"/>
        <v/>
      </c>
    </row>
    <row r="838" spans="25:26" ht="14.25" customHeight="1" x14ac:dyDescent="0.3">
      <c r="Y838" t="str">
        <f t="shared" si="27"/>
        <v/>
      </c>
      <c r="Z838" t="str">
        <f t="shared" si="28"/>
        <v/>
      </c>
    </row>
    <row r="839" spans="25:26" ht="14.25" customHeight="1" x14ac:dyDescent="0.3">
      <c r="Y839" t="str">
        <f t="shared" si="27"/>
        <v/>
      </c>
      <c r="Z839" t="str">
        <f t="shared" si="28"/>
        <v/>
      </c>
    </row>
    <row r="840" spans="25:26" ht="14.25" customHeight="1" x14ac:dyDescent="0.3">
      <c r="Y840" t="str">
        <f t="shared" si="27"/>
        <v/>
      </c>
      <c r="Z840" t="str">
        <f t="shared" si="28"/>
        <v/>
      </c>
    </row>
    <row r="841" spans="25:26" ht="14.25" customHeight="1" x14ac:dyDescent="0.3">
      <c r="Y841" t="str">
        <f t="shared" si="27"/>
        <v/>
      </c>
      <c r="Z841" t="str">
        <f t="shared" si="28"/>
        <v/>
      </c>
    </row>
    <row r="842" spans="25:26" ht="14.25" customHeight="1" x14ac:dyDescent="0.3">
      <c r="Y842" t="str">
        <f t="shared" si="27"/>
        <v/>
      </c>
      <c r="Z842" t="str">
        <f t="shared" si="28"/>
        <v/>
      </c>
    </row>
    <row r="843" spans="25:26" ht="14.25" customHeight="1" x14ac:dyDescent="0.3">
      <c r="Y843" t="str">
        <f t="shared" si="27"/>
        <v/>
      </c>
      <c r="Z843" t="str">
        <f t="shared" si="28"/>
        <v/>
      </c>
    </row>
    <row r="844" spans="25:26" ht="14.25" customHeight="1" x14ac:dyDescent="0.3">
      <c r="Y844" t="str">
        <f t="shared" si="27"/>
        <v/>
      </c>
      <c r="Z844" t="str">
        <f t="shared" si="28"/>
        <v/>
      </c>
    </row>
    <row r="845" spans="25:26" ht="14.25" customHeight="1" x14ac:dyDescent="0.3">
      <c r="Y845" t="str">
        <f t="shared" si="27"/>
        <v/>
      </c>
      <c r="Z845" t="str">
        <f t="shared" si="28"/>
        <v/>
      </c>
    </row>
    <row r="846" spans="25:26" ht="14.25" customHeight="1" x14ac:dyDescent="0.3">
      <c r="Y846" t="str">
        <f t="shared" si="27"/>
        <v/>
      </c>
      <c r="Z846" t="str">
        <f t="shared" si="28"/>
        <v/>
      </c>
    </row>
    <row r="847" spans="25:26" ht="14.25" customHeight="1" x14ac:dyDescent="0.3">
      <c r="Y847" t="str">
        <f t="shared" si="27"/>
        <v/>
      </c>
      <c r="Z847" t="str">
        <f t="shared" si="28"/>
        <v/>
      </c>
    </row>
    <row r="848" spans="25:26" ht="14.25" customHeight="1" x14ac:dyDescent="0.3">
      <c r="Y848" t="str">
        <f t="shared" si="27"/>
        <v/>
      </c>
      <c r="Z848" t="str">
        <f t="shared" si="28"/>
        <v/>
      </c>
    </row>
    <row r="849" spans="25:26" ht="14.25" customHeight="1" x14ac:dyDescent="0.3">
      <c r="Y849" t="str">
        <f t="shared" si="27"/>
        <v/>
      </c>
      <c r="Z849" t="str">
        <f t="shared" si="28"/>
        <v/>
      </c>
    </row>
    <row r="850" spans="25:26" ht="14.25" customHeight="1" x14ac:dyDescent="0.3">
      <c r="Y850" t="str">
        <f t="shared" si="27"/>
        <v/>
      </c>
      <c r="Z850" t="str">
        <f t="shared" si="28"/>
        <v/>
      </c>
    </row>
    <row r="851" spans="25:26" ht="14.25" customHeight="1" x14ac:dyDescent="0.3">
      <c r="Y851" t="str">
        <f t="shared" si="27"/>
        <v/>
      </c>
      <c r="Z851" t="str">
        <f t="shared" si="28"/>
        <v/>
      </c>
    </row>
    <row r="852" spans="25:26" ht="14.25" customHeight="1" x14ac:dyDescent="0.3">
      <c r="Y852" t="str">
        <f t="shared" si="27"/>
        <v/>
      </c>
      <c r="Z852" t="str">
        <f t="shared" si="28"/>
        <v/>
      </c>
    </row>
    <row r="853" spans="25:26" ht="14.25" customHeight="1" x14ac:dyDescent="0.3">
      <c r="Y853" t="str">
        <f t="shared" si="27"/>
        <v/>
      </c>
      <c r="Z853" t="str">
        <f t="shared" si="28"/>
        <v/>
      </c>
    </row>
    <row r="854" spans="25:26" ht="14.25" customHeight="1" x14ac:dyDescent="0.3">
      <c r="Y854" t="str">
        <f t="shared" si="27"/>
        <v/>
      </c>
      <c r="Z854" t="str">
        <f t="shared" si="28"/>
        <v/>
      </c>
    </row>
    <row r="855" spans="25:26" ht="14.25" customHeight="1" x14ac:dyDescent="0.3">
      <c r="Y855" t="str">
        <f t="shared" si="27"/>
        <v/>
      </c>
      <c r="Z855" t="str">
        <f t="shared" si="28"/>
        <v/>
      </c>
    </row>
    <row r="856" spans="25:26" ht="14.25" customHeight="1" x14ac:dyDescent="0.3">
      <c r="Y856" t="str">
        <f t="shared" si="27"/>
        <v/>
      </c>
      <c r="Z856" t="str">
        <f t="shared" si="28"/>
        <v/>
      </c>
    </row>
    <row r="857" spans="25:26" ht="14.25" customHeight="1" x14ac:dyDescent="0.3">
      <c r="Y857" t="str">
        <f t="shared" si="27"/>
        <v/>
      </c>
      <c r="Z857" t="str">
        <f t="shared" si="28"/>
        <v/>
      </c>
    </row>
    <row r="858" spans="25:26" ht="14.25" customHeight="1" x14ac:dyDescent="0.3">
      <c r="Y858" t="str">
        <f t="shared" si="27"/>
        <v/>
      </c>
      <c r="Z858" t="str">
        <f t="shared" si="28"/>
        <v/>
      </c>
    </row>
    <row r="859" spans="25:26" ht="14.25" customHeight="1" x14ac:dyDescent="0.3">
      <c r="Y859" t="str">
        <f t="shared" si="27"/>
        <v/>
      </c>
      <c r="Z859" t="str">
        <f t="shared" si="28"/>
        <v/>
      </c>
    </row>
    <row r="860" spans="25:26" ht="14.25" customHeight="1" x14ac:dyDescent="0.3">
      <c r="Y860" t="str">
        <f t="shared" si="27"/>
        <v/>
      </c>
      <c r="Z860" t="str">
        <f t="shared" si="28"/>
        <v/>
      </c>
    </row>
    <row r="861" spans="25:26" ht="14.25" customHeight="1" x14ac:dyDescent="0.3">
      <c r="Y861" t="str">
        <f t="shared" si="27"/>
        <v/>
      </c>
      <c r="Z861" t="str">
        <f t="shared" si="28"/>
        <v/>
      </c>
    </row>
    <row r="862" spans="25:26" ht="14.25" customHeight="1" x14ac:dyDescent="0.3">
      <c r="Y862" t="str">
        <f t="shared" si="27"/>
        <v/>
      </c>
      <c r="Z862" t="str">
        <f t="shared" si="28"/>
        <v/>
      </c>
    </row>
    <row r="863" spans="25:26" ht="14.25" customHeight="1" x14ac:dyDescent="0.3">
      <c r="Y863" t="str">
        <f t="shared" si="27"/>
        <v/>
      </c>
      <c r="Z863" t="str">
        <f t="shared" si="28"/>
        <v/>
      </c>
    </row>
    <row r="864" spans="25:26" ht="14.25" customHeight="1" x14ac:dyDescent="0.3">
      <c r="Y864" t="str">
        <f t="shared" si="27"/>
        <v/>
      </c>
      <c r="Z864" t="str">
        <f t="shared" si="28"/>
        <v/>
      </c>
    </row>
    <row r="865" spans="25:26" ht="14.25" customHeight="1" x14ac:dyDescent="0.3">
      <c r="Y865" t="str">
        <f t="shared" si="27"/>
        <v/>
      </c>
      <c r="Z865" t="str">
        <f t="shared" si="28"/>
        <v/>
      </c>
    </row>
    <row r="866" spans="25:26" ht="14.25" customHeight="1" x14ac:dyDescent="0.3">
      <c r="Y866" t="str">
        <f t="shared" si="27"/>
        <v/>
      </c>
      <c r="Z866" t="str">
        <f t="shared" si="28"/>
        <v/>
      </c>
    </row>
    <row r="867" spans="25:26" ht="14.25" customHeight="1" x14ac:dyDescent="0.3">
      <c r="Y867" t="str">
        <f t="shared" si="27"/>
        <v/>
      </c>
      <c r="Z867" t="str">
        <f t="shared" si="28"/>
        <v/>
      </c>
    </row>
    <row r="868" spans="25:26" ht="14.25" customHeight="1" x14ac:dyDescent="0.3">
      <c r="Y868" t="str">
        <f t="shared" si="27"/>
        <v/>
      </c>
      <c r="Z868" t="str">
        <f t="shared" si="28"/>
        <v/>
      </c>
    </row>
    <row r="869" spans="25:26" ht="14.25" customHeight="1" x14ac:dyDescent="0.3">
      <c r="Y869" t="str">
        <f t="shared" si="27"/>
        <v/>
      </c>
      <c r="Z869" t="str">
        <f t="shared" si="28"/>
        <v/>
      </c>
    </row>
    <row r="870" spans="25:26" ht="14.25" customHeight="1" x14ac:dyDescent="0.3">
      <c r="Y870" t="str">
        <f t="shared" si="27"/>
        <v/>
      </c>
      <c r="Z870" t="str">
        <f t="shared" si="28"/>
        <v/>
      </c>
    </row>
    <row r="871" spans="25:26" ht="14.25" customHeight="1" x14ac:dyDescent="0.3">
      <c r="Y871" t="str">
        <f t="shared" si="27"/>
        <v/>
      </c>
      <c r="Z871" t="str">
        <f t="shared" si="28"/>
        <v/>
      </c>
    </row>
    <row r="872" spans="25:26" ht="14.25" customHeight="1" x14ac:dyDescent="0.3">
      <c r="Y872" t="str">
        <f t="shared" si="27"/>
        <v/>
      </c>
      <c r="Z872" t="str">
        <f t="shared" si="28"/>
        <v/>
      </c>
    </row>
    <row r="873" spans="25:26" ht="14.25" customHeight="1" x14ac:dyDescent="0.3">
      <c r="Y873" t="str">
        <f t="shared" si="27"/>
        <v/>
      </c>
      <c r="Z873" t="str">
        <f t="shared" si="28"/>
        <v/>
      </c>
    </row>
    <row r="874" spans="25:26" ht="14.25" customHeight="1" x14ac:dyDescent="0.3">
      <c r="Y874" t="str">
        <f t="shared" si="27"/>
        <v/>
      </c>
      <c r="Z874" t="str">
        <f t="shared" si="28"/>
        <v/>
      </c>
    </row>
    <row r="875" spans="25:26" ht="14.25" customHeight="1" x14ac:dyDescent="0.3">
      <c r="Y875" t="str">
        <f t="shared" si="27"/>
        <v/>
      </c>
      <c r="Z875" t="str">
        <f t="shared" si="28"/>
        <v/>
      </c>
    </row>
    <row r="876" spans="25:26" ht="14.25" customHeight="1" x14ac:dyDescent="0.3">
      <c r="Y876" t="str">
        <f t="shared" si="27"/>
        <v/>
      </c>
      <c r="Z876" t="str">
        <f t="shared" si="28"/>
        <v/>
      </c>
    </row>
    <row r="877" spans="25:26" ht="14.25" customHeight="1" x14ac:dyDescent="0.3">
      <c r="Y877" t="str">
        <f t="shared" si="27"/>
        <v/>
      </c>
      <c r="Z877" t="str">
        <f t="shared" si="28"/>
        <v/>
      </c>
    </row>
    <row r="878" spans="25:26" ht="14.25" customHeight="1" x14ac:dyDescent="0.3">
      <c r="Y878" t="str">
        <f t="shared" si="27"/>
        <v/>
      </c>
      <c r="Z878" t="str">
        <f t="shared" si="28"/>
        <v/>
      </c>
    </row>
    <row r="879" spans="25:26" ht="14.25" customHeight="1" x14ac:dyDescent="0.3">
      <c r="Y879" t="str">
        <f t="shared" si="27"/>
        <v/>
      </c>
      <c r="Z879" t="str">
        <f t="shared" si="28"/>
        <v/>
      </c>
    </row>
    <row r="880" spans="25:26" ht="14.25" customHeight="1" x14ac:dyDescent="0.3">
      <c r="Y880" t="str">
        <f t="shared" si="27"/>
        <v/>
      </c>
      <c r="Z880" t="str">
        <f t="shared" si="28"/>
        <v/>
      </c>
    </row>
    <row r="881" spans="25:26" ht="14.25" customHeight="1" x14ac:dyDescent="0.3">
      <c r="Y881" t="str">
        <f t="shared" si="27"/>
        <v/>
      </c>
      <c r="Z881" t="str">
        <f t="shared" si="28"/>
        <v/>
      </c>
    </row>
    <row r="882" spans="25:26" ht="14.25" customHeight="1" x14ac:dyDescent="0.3">
      <c r="Y882" t="str">
        <f t="shared" si="27"/>
        <v/>
      </c>
      <c r="Z882" t="str">
        <f t="shared" si="28"/>
        <v/>
      </c>
    </row>
    <row r="883" spans="25:26" ht="14.25" customHeight="1" x14ac:dyDescent="0.3">
      <c r="Y883" t="str">
        <f t="shared" si="27"/>
        <v/>
      </c>
      <c r="Z883" t="str">
        <f t="shared" si="28"/>
        <v/>
      </c>
    </row>
    <row r="884" spans="25:26" ht="14.25" customHeight="1" x14ac:dyDescent="0.3">
      <c r="Y884" t="str">
        <f t="shared" si="27"/>
        <v/>
      </c>
      <c r="Z884" t="str">
        <f t="shared" si="28"/>
        <v/>
      </c>
    </row>
    <row r="885" spans="25:26" ht="14.25" customHeight="1" x14ac:dyDescent="0.3">
      <c r="Y885" t="str">
        <f t="shared" si="27"/>
        <v/>
      </c>
      <c r="Z885" t="str">
        <f t="shared" si="28"/>
        <v/>
      </c>
    </row>
    <row r="886" spans="25:26" ht="14.25" customHeight="1" x14ac:dyDescent="0.3">
      <c r="Y886" t="str">
        <f t="shared" si="27"/>
        <v/>
      </c>
      <c r="Z886" t="str">
        <f t="shared" si="28"/>
        <v/>
      </c>
    </row>
    <row r="887" spans="25:26" ht="14.25" customHeight="1" x14ac:dyDescent="0.3">
      <c r="Y887" t="str">
        <f t="shared" si="27"/>
        <v/>
      </c>
      <c r="Z887" t="str">
        <f t="shared" si="28"/>
        <v/>
      </c>
    </row>
    <row r="888" spans="25:26" ht="14.25" customHeight="1" x14ac:dyDescent="0.3">
      <c r="Y888" t="str">
        <f t="shared" si="27"/>
        <v/>
      </c>
      <c r="Z888" t="str">
        <f t="shared" si="28"/>
        <v/>
      </c>
    </row>
    <row r="889" spans="25:26" ht="14.25" customHeight="1" x14ac:dyDescent="0.3">
      <c r="Y889" t="str">
        <f t="shared" si="27"/>
        <v/>
      </c>
      <c r="Z889" t="str">
        <f t="shared" si="28"/>
        <v/>
      </c>
    </row>
    <row r="890" spans="25:26" ht="14.25" customHeight="1" x14ac:dyDescent="0.3">
      <c r="Y890" t="str">
        <f t="shared" si="27"/>
        <v/>
      </c>
      <c r="Z890" t="str">
        <f t="shared" si="28"/>
        <v/>
      </c>
    </row>
    <row r="891" spans="25:26" ht="14.25" customHeight="1" x14ac:dyDescent="0.3">
      <c r="Y891" t="str">
        <f t="shared" si="27"/>
        <v/>
      </c>
      <c r="Z891" t="str">
        <f t="shared" si="28"/>
        <v/>
      </c>
    </row>
    <row r="892" spans="25:26" ht="14.25" customHeight="1" x14ac:dyDescent="0.3">
      <c r="Y892" t="str">
        <f t="shared" si="27"/>
        <v/>
      </c>
      <c r="Z892" t="str">
        <f t="shared" si="28"/>
        <v/>
      </c>
    </row>
    <row r="893" spans="25:26" ht="14.25" customHeight="1" x14ac:dyDescent="0.3">
      <c r="Y893" t="str">
        <f t="shared" si="27"/>
        <v/>
      </c>
      <c r="Z893" t="str">
        <f t="shared" si="28"/>
        <v/>
      </c>
    </row>
    <row r="894" spans="25:26" ht="14.25" customHeight="1" x14ac:dyDescent="0.3">
      <c r="Y894" t="str">
        <f t="shared" si="27"/>
        <v/>
      </c>
      <c r="Z894" t="str">
        <f t="shared" si="28"/>
        <v/>
      </c>
    </row>
    <row r="895" spans="25:26" ht="14.25" customHeight="1" x14ac:dyDescent="0.3">
      <c r="Y895" t="str">
        <f t="shared" si="27"/>
        <v/>
      </c>
      <c r="Z895" t="str">
        <f t="shared" si="28"/>
        <v/>
      </c>
    </row>
    <row r="896" spans="25:26" ht="14.25" customHeight="1" x14ac:dyDescent="0.3">
      <c r="Y896" t="str">
        <f t="shared" si="27"/>
        <v/>
      </c>
      <c r="Z896" t="str">
        <f t="shared" si="28"/>
        <v/>
      </c>
    </row>
    <row r="897" spans="25:26" ht="14.25" customHeight="1" x14ac:dyDescent="0.3">
      <c r="Y897" t="str">
        <f t="shared" si="27"/>
        <v/>
      </c>
      <c r="Z897" t="str">
        <f t="shared" si="28"/>
        <v/>
      </c>
    </row>
    <row r="898" spans="25:26" ht="14.25" customHeight="1" x14ac:dyDescent="0.3">
      <c r="Y898" t="str">
        <f t="shared" ref="Y898:Y961" si="29">IFERROR(INDEX(D_IDUNIQUE,MATCH(ROW()-1,D_RANG_PROFIL,0)),"")</f>
        <v/>
      </c>
      <c r="Z898" t="str">
        <f t="shared" ref="Z898:Z961" si="30">IF($Y898="","",UPPER(INDEX(D_NOM,MATCH($Y898,D_ID,0)))&amp;" "&amp;INDEX(D_PRENOM,MATCH($Y898,D_ID,0))&amp;" — "&amp;INDEX(D_NIVEAU_ACTUEL,MATCH($Y898,D_ID,0)))</f>
        <v/>
      </c>
    </row>
    <row r="899" spans="25:26" ht="14.25" customHeight="1" x14ac:dyDescent="0.3">
      <c r="Y899" t="str">
        <f t="shared" si="29"/>
        <v/>
      </c>
      <c r="Z899" t="str">
        <f t="shared" si="30"/>
        <v/>
      </c>
    </row>
    <row r="900" spans="25:26" ht="14.25" customHeight="1" x14ac:dyDescent="0.3">
      <c r="Y900" t="str">
        <f t="shared" si="29"/>
        <v/>
      </c>
      <c r="Z900" t="str">
        <f t="shared" si="30"/>
        <v/>
      </c>
    </row>
    <row r="901" spans="25:26" ht="14.25" customHeight="1" x14ac:dyDescent="0.3">
      <c r="Y901" t="str">
        <f t="shared" si="29"/>
        <v/>
      </c>
      <c r="Z901" t="str">
        <f t="shared" si="30"/>
        <v/>
      </c>
    </row>
    <row r="902" spans="25:26" ht="14.25" customHeight="1" x14ac:dyDescent="0.3">
      <c r="Y902" t="str">
        <f t="shared" si="29"/>
        <v/>
      </c>
      <c r="Z902" t="str">
        <f t="shared" si="30"/>
        <v/>
      </c>
    </row>
    <row r="903" spans="25:26" ht="14.25" customHeight="1" x14ac:dyDescent="0.3">
      <c r="Y903" t="str">
        <f t="shared" si="29"/>
        <v/>
      </c>
      <c r="Z903" t="str">
        <f t="shared" si="30"/>
        <v/>
      </c>
    </row>
    <row r="904" spans="25:26" ht="14.25" customHeight="1" x14ac:dyDescent="0.3">
      <c r="Y904" t="str">
        <f t="shared" si="29"/>
        <v/>
      </c>
      <c r="Z904" t="str">
        <f t="shared" si="30"/>
        <v/>
      </c>
    </row>
    <row r="905" spans="25:26" ht="14.25" customHeight="1" x14ac:dyDescent="0.3">
      <c r="Y905" t="str">
        <f t="shared" si="29"/>
        <v/>
      </c>
      <c r="Z905" t="str">
        <f t="shared" si="30"/>
        <v/>
      </c>
    </row>
    <row r="906" spans="25:26" ht="14.25" customHeight="1" x14ac:dyDescent="0.3">
      <c r="Y906" t="str">
        <f t="shared" si="29"/>
        <v/>
      </c>
      <c r="Z906" t="str">
        <f t="shared" si="30"/>
        <v/>
      </c>
    </row>
    <row r="907" spans="25:26" ht="14.25" customHeight="1" x14ac:dyDescent="0.3">
      <c r="Y907" t="str">
        <f t="shared" si="29"/>
        <v/>
      </c>
      <c r="Z907" t="str">
        <f t="shared" si="30"/>
        <v/>
      </c>
    </row>
    <row r="908" spans="25:26" ht="14.25" customHeight="1" x14ac:dyDescent="0.3">
      <c r="Y908" t="str">
        <f t="shared" si="29"/>
        <v/>
      </c>
      <c r="Z908" t="str">
        <f t="shared" si="30"/>
        <v/>
      </c>
    </row>
    <row r="909" spans="25:26" ht="14.25" customHeight="1" x14ac:dyDescent="0.3">
      <c r="Y909" t="str">
        <f t="shared" si="29"/>
        <v/>
      </c>
      <c r="Z909" t="str">
        <f t="shared" si="30"/>
        <v/>
      </c>
    </row>
    <row r="910" spans="25:26" ht="14.25" customHeight="1" x14ac:dyDescent="0.3">
      <c r="Y910" t="str">
        <f t="shared" si="29"/>
        <v/>
      </c>
      <c r="Z910" t="str">
        <f t="shared" si="30"/>
        <v/>
      </c>
    </row>
    <row r="911" spans="25:26" ht="14.25" customHeight="1" x14ac:dyDescent="0.3">
      <c r="Y911" t="str">
        <f t="shared" si="29"/>
        <v/>
      </c>
      <c r="Z911" t="str">
        <f t="shared" si="30"/>
        <v/>
      </c>
    </row>
    <row r="912" spans="25:26" ht="14.25" customHeight="1" x14ac:dyDescent="0.3">
      <c r="Y912" t="str">
        <f t="shared" si="29"/>
        <v/>
      </c>
      <c r="Z912" t="str">
        <f t="shared" si="30"/>
        <v/>
      </c>
    </row>
    <row r="913" spans="25:26" ht="14.25" customHeight="1" x14ac:dyDescent="0.3">
      <c r="Y913" t="str">
        <f t="shared" si="29"/>
        <v/>
      </c>
      <c r="Z913" t="str">
        <f t="shared" si="30"/>
        <v/>
      </c>
    </row>
    <row r="914" spans="25:26" ht="14.25" customHeight="1" x14ac:dyDescent="0.3">
      <c r="Y914" t="str">
        <f t="shared" si="29"/>
        <v/>
      </c>
      <c r="Z914" t="str">
        <f t="shared" si="30"/>
        <v/>
      </c>
    </row>
    <row r="915" spans="25:26" ht="14.25" customHeight="1" x14ac:dyDescent="0.3">
      <c r="Y915" t="str">
        <f t="shared" si="29"/>
        <v/>
      </c>
      <c r="Z915" t="str">
        <f t="shared" si="30"/>
        <v/>
      </c>
    </row>
    <row r="916" spans="25:26" ht="14.25" customHeight="1" x14ac:dyDescent="0.3">
      <c r="Y916" t="str">
        <f t="shared" si="29"/>
        <v/>
      </c>
      <c r="Z916" t="str">
        <f t="shared" si="30"/>
        <v/>
      </c>
    </row>
    <row r="917" spans="25:26" ht="14.25" customHeight="1" x14ac:dyDescent="0.3">
      <c r="Y917" t="str">
        <f t="shared" si="29"/>
        <v/>
      </c>
      <c r="Z917" t="str">
        <f t="shared" si="30"/>
        <v/>
      </c>
    </row>
    <row r="918" spans="25:26" ht="14.25" customHeight="1" x14ac:dyDescent="0.3">
      <c r="Y918" t="str">
        <f t="shared" si="29"/>
        <v/>
      </c>
      <c r="Z918" t="str">
        <f t="shared" si="30"/>
        <v/>
      </c>
    </row>
    <row r="919" spans="25:26" ht="14.25" customHeight="1" x14ac:dyDescent="0.3">
      <c r="Y919" t="str">
        <f t="shared" si="29"/>
        <v/>
      </c>
      <c r="Z919" t="str">
        <f t="shared" si="30"/>
        <v/>
      </c>
    </row>
    <row r="920" spans="25:26" ht="14.25" customHeight="1" x14ac:dyDescent="0.3">
      <c r="Y920" t="str">
        <f t="shared" si="29"/>
        <v/>
      </c>
      <c r="Z920" t="str">
        <f t="shared" si="30"/>
        <v/>
      </c>
    </row>
    <row r="921" spans="25:26" ht="14.25" customHeight="1" x14ac:dyDescent="0.3">
      <c r="Y921" t="str">
        <f t="shared" si="29"/>
        <v/>
      </c>
      <c r="Z921" t="str">
        <f t="shared" si="30"/>
        <v/>
      </c>
    </row>
    <row r="922" spans="25:26" ht="14.25" customHeight="1" x14ac:dyDescent="0.3">
      <c r="Y922" t="str">
        <f t="shared" si="29"/>
        <v/>
      </c>
      <c r="Z922" t="str">
        <f t="shared" si="30"/>
        <v/>
      </c>
    </row>
    <row r="923" spans="25:26" ht="14.25" customHeight="1" x14ac:dyDescent="0.3">
      <c r="Y923" t="str">
        <f t="shared" si="29"/>
        <v/>
      </c>
      <c r="Z923" t="str">
        <f t="shared" si="30"/>
        <v/>
      </c>
    </row>
    <row r="924" spans="25:26" ht="14.25" customHeight="1" x14ac:dyDescent="0.3">
      <c r="Y924" t="str">
        <f t="shared" si="29"/>
        <v/>
      </c>
      <c r="Z924" t="str">
        <f t="shared" si="30"/>
        <v/>
      </c>
    </row>
    <row r="925" spans="25:26" ht="14.25" customHeight="1" x14ac:dyDescent="0.3">
      <c r="Y925" t="str">
        <f t="shared" si="29"/>
        <v/>
      </c>
      <c r="Z925" t="str">
        <f t="shared" si="30"/>
        <v/>
      </c>
    </row>
    <row r="926" spans="25:26" ht="14.25" customHeight="1" x14ac:dyDescent="0.3">
      <c r="Y926" t="str">
        <f t="shared" si="29"/>
        <v/>
      </c>
      <c r="Z926" t="str">
        <f t="shared" si="30"/>
        <v/>
      </c>
    </row>
    <row r="927" spans="25:26" ht="14.25" customHeight="1" x14ac:dyDescent="0.3">
      <c r="Y927" t="str">
        <f t="shared" si="29"/>
        <v/>
      </c>
      <c r="Z927" t="str">
        <f t="shared" si="30"/>
        <v/>
      </c>
    </row>
    <row r="928" spans="25:26" ht="14.25" customHeight="1" x14ac:dyDescent="0.3">
      <c r="Y928" t="str">
        <f t="shared" si="29"/>
        <v/>
      </c>
      <c r="Z928" t="str">
        <f t="shared" si="30"/>
        <v/>
      </c>
    </row>
    <row r="929" spans="25:26" ht="14.25" customHeight="1" x14ac:dyDescent="0.3">
      <c r="Y929" t="str">
        <f t="shared" si="29"/>
        <v/>
      </c>
      <c r="Z929" t="str">
        <f t="shared" si="30"/>
        <v/>
      </c>
    </row>
    <row r="930" spans="25:26" ht="14.25" customHeight="1" x14ac:dyDescent="0.3">
      <c r="Y930" t="str">
        <f t="shared" si="29"/>
        <v/>
      </c>
      <c r="Z930" t="str">
        <f t="shared" si="30"/>
        <v/>
      </c>
    </row>
    <row r="931" spans="25:26" ht="14.25" customHeight="1" x14ac:dyDescent="0.3">
      <c r="Y931" t="str">
        <f t="shared" si="29"/>
        <v/>
      </c>
      <c r="Z931" t="str">
        <f t="shared" si="30"/>
        <v/>
      </c>
    </row>
    <row r="932" spans="25:26" ht="14.25" customHeight="1" x14ac:dyDescent="0.3">
      <c r="Y932" t="str">
        <f t="shared" si="29"/>
        <v/>
      </c>
      <c r="Z932" t="str">
        <f t="shared" si="30"/>
        <v/>
      </c>
    </row>
    <row r="933" spans="25:26" ht="14.25" customHeight="1" x14ac:dyDescent="0.3">
      <c r="Y933" t="str">
        <f t="shared" si="29"/>
        <v/>
      </c>
      <c r="Z933" t="str">
        <f t="shared" si="30"/>
        <v/>
      </c>
    </row>
    <row r="934" spans="25:26" ht="14.25" customHeight="1" x14ac:dyDescent="0.3">
      <c r="Y934" t="str">
        <f t="shared" si="29"/>
        <v/>
      </c>
      <c r="Z934" t="str">
        <f t="shared" si="30"/>
        <v/>
      </c>
    </row>
    <row r="935" spans="25:26" ht="14.25" customHeight="1" x14ac:dyDescent="0.3">
      <c r="Y935" t="str">
        <f t="shared" si="29"/>
        <v/>
      </c>
      <c r="Z935" t="str">
        <f t="shared" si="30"/>
        <v/>
      </c>
    </row>
    <row r="936" spans="25:26" ht="14.25" customHeight="1" x14ac:dyDescent="0.3">
      <c r="Y936" t="str">
        <f t="shared" si="29"/>
        <v/>
      </c>
      <c r="Z936" t="str">
        <f t="shared" si="30"/>
        <v/>
      </c>
    </row>
    <row r="937" spans="25:26" ht="14.25" customHeight="1" x14ac:dyDescent="0.3">
      <c r="Y937" t="str">
        <f t="shared" si="29"/>
        <v/>
      </c>
      <c r="Z937" t="str">
        <f t="shared" si="30"/>
        <v/>
      </c>
    </row>
    <row r="938" spans="25:26" ht="14.25" customHeight="1" x14ac:dyDescent="0.3">
      <c r="Y938" t="str">
        <f t="shared" si="29"/>
        <v/>
      </c>
      <c r="Z938" t="str">
        <f t="shared" si="30"/>
        <v/>
      </c>
    </row>
    <row r="939" spans="25:26" ht="14.25" customHeight="1" x14ac:dyDescent="0.3">
      <c r="Y939" t="str">
        <f t="shared" si="29"/>
        <v/>
      </c>
      <c r="Z939" t="str">
        <f t="shared" si="30"/>
        <v/>
      </c>
    </row>
    <row r="940" spans="25:26" ht="14.25" customHeight="1" x14ac:dyDescent="0.3">
      <c r="Y940" t="str">
        <f t="shared" si="29"/>
        <v/>
      </c>
      <c r="Z940" t="str">
        <f t="shared" si="30"/>
        <v/>
      </c>
    </row>
    <row r="941" spans="25:26" ht="14.25" customHeight="1" x14ac:dyDescent="0.3">
      <c r="Y941" t="str">
        <f t="shared" si="29"/>
        <v/>
      </c>
      <c r="Z941" t="str">
        <f t="shared" si="30"/>
        <v/>
      </c>
    </row>
    <row r="942" spans="25:26" ht="14.25" customHeight="1" x14ac:dyDescent="0.3">
      <c r="Y942" t="str">
        <f t="shared" si="29"/>
        <v/>
      </c>
      <c r="Z942" t="str">
        <f t="shared" si="30"/>
        <v/>
      </c>
    </row>
    <row r="943" spans="25:26" ht="14.25" customHeight="1" x14ac:dyDescent="0.3">
      <c r="Y943" t="str">
        <f t="shared" si="29"/>
        <v/>
      </c>
      <c r="Z943" t="str">
        <f t="shared" si="30"/>
        <v/>
      </c>
    </row>
    <row r="944" spans="25:26" ht="14.25" customHeight="1" x14ac:dyDescent="0.3">
      <c r="Y944" t="str">
        <f t="shared" si="29"/>
        <v/>
      </c>
      <c r="Z944" t="str">
        <f t="shared" si="30"/>
        <v/>
      </c>
    </row>
    <row r="945" spans="25:26" ht="14.25" customHeight="1" x14ac:dyDescent="0.3">
      <c r="Y945" t="str">
        <f t="shared" si="29"/>
        <v/>
      </c>
      <c r="Z945" t="str">
        <f t="shared" si="30"/>
        <v/>
      </c>
    </row>
    <row r="946" spans="25:26" ht="14.25" customHeight="1" x14ac:dyDescent="0.3">
      <c r="Y946" t="str">
        <f t="shared" si="29"/>
        <v/>
      </c>
      <c r="Z946" t="str">
        <f t="shared" si="30"/>
        <v/>
      </c>
    </row>
    <row r="947" spans="25:26" ht="14.25" customHeight="1" x14ac:dyDescent="0.3">
      <c r="Y947" t="str">
        <f t="shared" si="29"/>
        <v/>
      </c>
      <c r="Z947" t="str">
        <f t="shared" si="30"/>
        <v/>
      </c>
    </row>
    <row r="948" spans="25:26" ht="14.25" customHeight="1" x14ac:dyDescent="0.3">
      <c r="Y948" t="str">
        <f t="shared" si="29"/>
        <v/>
      </c>
      <c r="Z948" t="str">
        <f t="shared" si="30"/>
        <v/>
      </c>
    </row>
    <row r="949" spans="25:26" ht="14.25" customHeight="1" x14ac:dyDescent="0.3">
      <c r="Y949" t="str">
        <f t="shared" si="29"/>
        <v/>
      </c>
      <c r="Z949" t="str">
        <f t="shared" si="30"/>
        <v/>
      </c>
    </row>
    <row r="950" spans="25:26" ht="14.25" customHeight="1" x14ac:dyDescent="0.3">
      <c r="Y950" t="str">
        <f t="shared" si="29"/>
        <v/>
      </c>
      <c r="Z950" t="str">
        <f t="shared" si="30"/>
        <v/>
      </c>
    </row>
    <row r="951" spans="25:26" ht="14.25" customHeight="1" x14ac:dyDescent="0.3">
      <c r="Y951" t="str">
        <f t="shared" si="29"/>
        <v/>
      </c>
      <c r="Z951" t="str">
        <f t="shared" si="30"/>
        <v/>
      </c>
    </row>
    <row r="952" spans="25:26" ht="14.25" customHeight="1" x14ac:dyDescent="0.3">
      <c r="Y952" t="str">
        <f t="shared" si="29"/>
        <v/>
      </c>
      <c r="Z952" t="str">
        <f t="shared" si="30"/>
        <v/>
      </c>
    </row>
    <row r="953" spans="25:26" ht="14.25" customHeight="1" x14ac:dyDescent="0.3">
      <c r="Y953" t="str">
        <f t="shared" si="29"/>
        <v/>
      </c>
      <c r="Z953" t="str">
        <f t="shared" si="30"/>
        <v/>
      </c>
    </row>
    <row r="954" spans="25:26" ht="14.25" customHeight="1" x14ac:dyDescent="0.3">
      <c r="Y954" t="str">
        <f t="shared" si="29"/>
        <v/>
      </c>
      <c r="Z954" t="str">
        <f t="shared" si="30"/>
        <v/>
      </c>
    </row>
    <row r="955" spans="25:26" ht="14.25" customHeight="1" x14ac:dyDescent="0.3">
      <c r="Y955" t="str">
        <f t="shared" si="29"/>
        <v/>
      </c>
      <c r="Z955" t="str">
        <f t="shared" si="30"/>
        <v/>
      </c>
    </row>
    <row r="956" spans="25:26" ht="14.25" customHeight="1" x14ac:dyDescent="0.3">
      <c r="Y956" t="str">
        <f t="shared" si="29"/>
        <v/>
      </c>
      <c r="Z956" t="str">
        <f t="shared" si="30"/>
        <v/>
      </c>
    </row>
    <row r="957" spans="25:26" ht="14.25" customHeight="1" x14ac:dyDescent="0.3">
      <c r="Y957" t="str">
        <f t="shared" si="29"/>
        <v/>
      </c>
      <c r="Z957" t="str">
        <f t="shared" si="30"/>
        <v/>
      </c>
    </row>
    <row r="958" spans="25:26" ht="14.25" customHeight="1" x14ac:dyDescent="0.3">
      <c r="Y958" t="str">
        <f t="shared" si="29"/>
        <v/>
      </c>
      <c r="Z958" t="str">
        <f t="shared" si="30"/>
        <v/>
      </c>
    </row>
    <row r="959" spans="25:26" ht="14.25" customHeight="1" x14ac:dyDescent="0.3">
      <c r="Y959" t="str">
        <f t="shared" si="29"/>
        <v/>
      </c>
      <c r="Z959" t="str">
        <f t="shared" si="30"/>
        <v/>
      </c>
    </row>
    <row r="960" spans="25:26" ht="14.25" customHeight="1" x14ac:dyDescent="0.3">
      <c r="Y960" t="str">
        <f t="shared" si="29"/>
        <v/>
      </c>
      <c r="Z960" t="str">
        <f t="shared" si="30"/>
        <v/>
      </c>
    </row>
    <row r="961" spans="25:26" ht="14.25" customHeight="1" x14ac:dyDescent="0.3">
      <c r="Y961" t="str">
        <f t="shared" si="29"/>
        <v/>
      </c>
      <c r="Z961" t="str">
        <f t="shared" si="30"/>
        <v/>
      </c>
    </row>
    <row r="962" spans="25:26" ht="14.25" customHeight="1" x14ac:dyDescent="0.3">
      <c r="Y962" t="str">
        <f t="shared" ref="Y962:Y1025" si="31">IFERROR(INDEX(D_IDUNIQUE,MATCH(ROW()-1,D_RANG_PROFIL,0)),"")</f>
        <v/>
      </c>
      <c r="Z962" t="str">
        <f t="shared" ref="Z962:Z1025" si="32">IF($Y962="","",UPPER(INDEX(D_NOM,MATCH($Y962,D_ID,0)))&amp;" "&amp;INDEX(D_PRENOM,MATCH($Y962,D_ID,0))&amp;" — "&amp;INDEX(D_NIVEAU_ACTUEL,MATCH($Y962,D_ID,0)))</f>
        <v/>
      </c>
    </row>
    <row r="963" spans="25:26" ht="14.25" customHeight="1" x14ac:dyDescent="0.3">
      <c r="Y963" t="str">
        <f t="shared" si="31"/>
        <v/>
      </c>
      <c r="Z963" t="str">
        <f t="shared" si="32"/>
        <v/>
      </c>
    </row>
    <row r="964" spans="25:26" ht="14.25" customHeight="1" x14ac:dyDescent="0.3">
      <c r="Y964" t="str">
        <f t="shared" si="31"/>
        <v/>
      </c>
      <c r="Z964" t="str">
        <f t="shared" si="32"/>
        <v/>
      </c>
    </row>
    <row r="965" spans="25:26" ht="14.25" customHeight="1" x14ac:dyDescent="0.3">
      <c r="Y965" t="str">
        <f t="shared" si="31"/>
        <v/>
      </c>
      <c r="Z965" t="str">
        <f t="shared" si="32"/>
        <v/>
      </c>
    </row>
    <row r="966" spans="25:26" ht="14.25" customHeight="1" x14ac:dyDescent="0.3">
      <c r="Y966" t="str">
        <f t="shared" si="31"/>
        <v/>
      </c>
      <c r="Z966" t="str">
        <f t="shared" si="32"/>
        <v/>
      </c>
    </row>
    <row r="967" spans="25:26" ht="14.25" customHeight="1" x14ac:dyDescent="0.3">
      <c r="Y967" t="str">
        <f t="shared" si="31"/>
        <v/>
      </c>
      <c r="Z967" t="str">
        <f t="shared" si="32"/>
        <v/>
      </c>
    </row>
    <row r="968" spans="25:26" ht="14.25" customHeight="1" x14ac:dyDescent="0.3">
      <c r="Y968" t="str">
        <f t="shared" si="31"/>
        <v/>
      </c>
      <c r="Z968" t="str">
        <f t="shared" si="32"/>
        <v/>
      </c>
    </row>
    <row r="969" spans="25:26" ht="14.25" customHeight="1" x14ac:dyDescent="0.3">
      <c r="Y969" t="str">
        <f t="shared" si="31"/>
        <v/>
      </c>
      <c r="Z969" t="str">
        <f t="shared" si="32"/>
        <v/>
      </c>
    </row>
    <row r="970" spans="25:26" ht="14.25" customHeight="1" x14ac:dyDescent="0.3">
      <c r="Y970" t="str">
        <f t="shared" si="31"/>
        <v/>
      </c>
      <c r="Z970" t="str">
        <f t="shared" si="32"/>
        <v/>
      </c>
    </row>
    <row r="971" spans="25:26" ht="14.25" customHeight="1" x14ac:dyDescent="0.3">
      <c r="Y971" t="str">
        <f t="shared" si="31"/>
        <v/>
      </c>
      <c r="Z971" t="str">
        <f t="shared" si="32"/>
        <v/>
      </c>
    </row>
    <row r="972" spans="25:26" ht="14.25" customHeight="1" x14ac:dyDescent="0.3">
      <c r="Y972" t="str">
        <f t="shared" si="31"/>
        <v/>
      </c>
      <c r="Z972" t="str">
        <f t="shared" si="32"/>
        <v/>
      </c>
    </row>
    <row r="973" spans="25:26" ht="14.25" customHeight="1" x14ac:dyDescent="0.3">
      <c r="Y973" t="str">
        <f t="shared" si="31"/>
        <v/>
      </c>
      <c r="Z973" t="str">
        <f t="shared" si="32"/>
        <v/>
      </c>
    </row>
    <row r="974" spans="25:26" ht="14.25" customHeight="1" x14ac:dyDescent="0.3">
      <c r="Y974" t="str">
        <f t="shared" si="31"/>
        <v/>
      </c>
      <c r="Z974" t="str">
        <f t="shared" si="32"/>
        <v/>
      </c>
    </row>
    <row r="975" spans="25:26" ht="14.25" customHeight="1" x14ac:dyDescent="0.3">
      <c r="Y975" t="str">
        <f t="shared" si="31"/>
        <v/>
      </c>
      <c r="Z975" t="str">
        <f t="shared" si="32"/>
        <v/>
      </c>
    </row>
    <row r="976" spans="25:26" ht="14.25" customHeight="1" x14ac:dyDescent="0.3">
      <c r="Y976" t="str">
        <f t="shared" si="31"/>
        <v/>
      </c>
      <c r="Z976" t="str">
        <f t="shared" si="32"/>
        <v/>
      </c>
    </row>
    <row r="977" spans="25:26" ht="14.25" customHeight="1" x14ac:dyDescent="0.3">
      <c r="Y977" t="str">
        <f t="shared" si="31"/>
        <v/>
      </c>
      <c r="Z977" t="str">
        <f t="shared" si="32"/>
        <v/>
      </c>
    </row>
    <row r="978" spans="25:26" ht="14.25" customHeight="1" x14ac:dyDescent="0.3">
      <c r="Y978" t="str">
        <f t="shared" si="31"/>
        <v/>
      </c>
      <c r="Z978" t="str">
        <f t="shared" si="32"/>
        <v/>
      </c>
    </row>
    <row r="979" spans="25:26" ht="14.25" customHeight="1" x14ac:dyDescent="0.3">
      <c r="Y979" t="str">
        <f t="shared" si="31"/>
        <v/>
      </c>
      <c r="Z979" t="str">
        <f t="shared" si="32"/>
        <v/>
      </c>
    </row>
    <row r="980" spans="25:26" ht="14.25" customHeight="1" x14ac:dyDescent="0.3">
      <c r="Y980" t="str">
        <f t="shared" si="31"/>
        <v/>
      </c>
      <c r="Z980" t="str">
        <f t="shared" si="32"/>
        <v/>
      </c>
    </row>
    <row r="981" spans="25:26" ht="14.25" customHeight="1" x14ac:dyDescent="0.3">
      <c r="Y981" t="str">
        <f t="shared" si="31"/>
        <v/>
      </c>
      <c r="Z981" t="str">
        <f t="shared" si="32"/>
        <v/>
      </c>
    </row>
    <row r="982" spans="25:26" ht="14.25" customHeight="1" x14ac:dyDescent="0.3">
      <c r="Y982" t="str">
        <f t="shared" si="31"/>
        <v/>
      </c>
      <c r="Z982" t="str">
        <f t="shared" si="32"/>
        <v/>
      </c>
    </row>
    <row r="983" spans="25:26" ht="14.25" customHeight="1" x14ac:dyDescent="0.3">
      <c r="Y983" t="str">
        <f t="shared" si="31"/>
        <v/>
      </c>
      <c r="Z983" t="str">
        <f t="shared" si="32"/>
        <v/>
      </c>
    </row>
    <row r="984" spans="25:26" ht="14.25" customHeight="1" x14ac:dyDescent="0.3">
      <c r="Y984" t="str">
        <f t="shared" si="31"/>
        <v/>
      </c>
      <c r="Z984" t="str">
        <f t="shared" si="32"/>
        <v/>
      </c>
    </row>
    <row r="985" spans="25:26" ht="14.25" customHeight="1" x14ac:dyDescent="0.3">
      <c r="Y985" t="str">
        <f t="shared" si="31"/>
        <v/>
      </c>
      <c r="Z985" t="str">
        <f t="shared" si="32"/>
        <v/>
      </c>
    </row>
    <row r="986" spans="25:26" ht="14.25" customHeight="1" x14ac:dyDescent="0.3">
      <c r="Y986" t="str">
        <f t="shared" si="31"/>
        <v/>
      </c>
      <c r="Z986" t="str">
        <f t="shared" si="32"/>
        <v/>
      </c>
    </row>
    <row r="987" spans="25:26" ht="14.25" customHeight="1" x14ac:dyDescent="0.3">
      <c r="Y987" t="str">
        <f t="shared" si="31"/>
        <v/>
      </c>
      <c r="Z987" t="str">
        <f t="shared" si="32"/>
        <v/>
      </c>
    </row>
    <row r="988" spans="25:26" ht="14.25" customHeight="1" x14ac:dyDescent="0.3">
      <c r="Y988" t="str">
        <f t="shared" si="31"/>
        <v/>
      </c>
      <c r="Z988" t="str">
        <f t="shared" si="32"/>
        <v/>
      </c>
    </row>
    <row r="989" spans="25:26" ht="14.25" customHeight="1" x14ac:dyDescent="0.3">
      <c r="Y989" t="str">
        <f t="shared" si="31"/>
        <v/>
      </c>
      <c r="Z989" t="str">
        <f t="shared" si="32"/>
        <v/>
      </c>
    </row>
    <row r="990" spans="25:26" ht="14.25" customHeight="1" x14ac:dyDescent="0.3">
      <c r="Y990" t="str">
        <f t="shared" si="31"/>
        <v/>
      </c>
      <c r="Z990" t="str">
        <f t="shared" si="32"/>
        <v/>
      </c>
    </row>
    <row r="991" spans="25:26" ht="14.25" customHeight="1" x14ac:dyDescent="0.3">
      <c r="Y991" t="str">
        <f t="shared" si="31"/>
        <v/>
      </c>
      <c r="Z991" t="str">
        <f t="shared" si="32"/>
        <v/>
      </c>
    </row>
    <row r="992" spans="25:26" ht="14.25" customHeight="1" x14ac:dyDescent="0.3">
      <c r="Y992" t="str">
        <f t="shared" si="31"/>
        <v/>
      </c>
      <c r="Z992" t="str">
        <f t="shared" si="32"/>
        <v/>
      </c>
    </row>
    <row r="993" spans="25:26" ht="14.25" customHeight="1" x14ac:dyDescent="0.3">
      <c r="Y993" t="str">
        <f t="shared" si="31"/>
        <v/>
      </c>
      <c r="Z993" t="str">
        <f t="shared" si="32"/>
        <v/>
      </c>
    </row>
    <row r="994" spans="25:26" ht="14.25" customHeight="1" x14ac:dyDescent="0.3">
      <c r="Y994" t="str">
        <f t="shared" si="31"/>
        <v/>
      </c>
      <c r="Z994" t="str">
        <f t="shared" si="32"/>
        <v/>
      </c>
    </row>
    <row r="995" spans="25:26" ht="14.25" customHeight="1" x14ac:dyDescent="0.3">
      <c r="Y995" t="str">
        <f t="shared" si="31"/>
        <v/>
      </c>
      <c r="Z995" t="str">
        <f t="shared" si="32"/>
        <v/>
      </c>
    </row>
    <row r="996" spans="25:26" ht="14.25" customHeight="1" x14ac:dyDescent="0.3">
      <c r="Y996" t="str">
        <f t="shared" si="31"/>
        <v/>
      </c>
      <c r="Z996" t="str">
        <f t="shared" si="32"/>
        <v/>
      </c>
    </row>
    <row r="997" spans="25:26" ht="14.25" customHeight="1" x14ac:dyDescent="0.3">
      <c r="Y997" t="str">
        <f t="shared" si="31"/>
        <v/>
      </c>
      <c r="Z997" t="str">
        <f t="shared" si="32"/>
        <v/>
      </c>
    </row>
    <row r="998" spans="25:26" ht="14.25" customHeight="1" x14ac:dyDescent="0.3">
      <c r="Y998" t="str">
        <f t="shared" si="31"/>
        <v/>
      </c>
      <c r="Z998" t="str">
        <f t="shared" si="32"/>
        <v/>
      </c>
    </row>
    <row r="999" spans="25:26" ht="14.25" customHeight="1" x14ac:dyDescent="0.3">
      <c r="Y999" t="str">
        <f t="shared" si="31"/>
        <v/>
      </c>
      <c r="Z999" t="str">
        <f t="shared" si="32"/>
        <v/>
      </c>
    </row>
    <row r="1000" spans="25:26" ht="14.25" customHeight="1" x14ac:dyDescent="0.3">
      <c r="Y1000" t="str">
        <f t="shared" si="31"/>
        <v/>
      </c>
      <c r="Z1000" t="str">
        <f t="shared" si="32"/>
        <v/>
      </c>
    </row>
    <row r="1001" spans="25:26" ht="14.25" customHeight="1" x14ac:dyDescent="0.3">
      <c r="Y1001" t="str">
        <f t="shared" si="31"/>
        <v/>
      </c>
      <c r="Z1001" t="str">
        <f t="shared" si="32"/>
        <v/>
      </c>
    </row>
    <row r="1002" spans="25:26" ht="14.25" customHeight="1" x14ac:dyDescent="0.3">
      <c r="Y1002" t="str">
        <f t="shared" si="31"/>
        <v/>
      </c>
      <c r="Z1002" t="str">
        <f t="shared" si="32"/>
        <v/>
      </c>
    </row>
    <row r="1003" spans="25:26" ht="14.25" customHeight="1" x14ac:dyDescent="0.3">
      <c r="Y1003" t="str">
        <f t="shared" si="31"/>
        <v/>
      </c>
      <c r="Z1003" t="str">
        <f t="shared" si="32"/>
        <v/>
      </c>
    </row>
    <row r="1004" spans="25:26" ht="14.25" customHeight="1" x14ac:dyDescent="0.3">
      <c r="Y1004" t="str">
        <f t="shared" si="31"/>
        <v/>
      </c>
      <c r="Z1004" t="str">
        <f t="shared" si="32"/>
        <v/>
      </c>
    </row>
    <row r="1005" spans="25:26" ht="14.25" customHeight="1" x14ac:dyDescent="0.3">
      <c r="Y1005" t="str">
        <f t="shared" si="31"/>
        <v/>
      </c>
      <c r="Z1005" t="str">
        <f t="shared" si="32"/>
        <v/>
      </c>
    </row>
    <row r="1006" spans="25:26" ht="14.25" customHeight="1" x14ac:dyDescent="0.3">
      <c r="Y1006" t="str">
        <f t="shared" si="31"/>
        <v/>
      </c>
      <c r="Z1006" t="str">
        <f t="shared" si="32"/>
        <v/>
      </c>
    </row>
    <row r="1007" spans="25:26" ht="14.25" customHeight="1" x14ac:dyDescent="0.3">
      <c r="Y1007" t="str">
        <f t="shared" si="31"/>
        <v/>
      </c>
      <c r="Z1007" t="str">
        <f t="shared" si="32"/>
        <v/>
      </c>
    </row>
    <row r="1008" spans="25:26" ht="14.25" customHeight="1" x14ac:dyDescent="0.3">
      <c r="Y1008" t="str">
        <f t="shared" si="31"/>
        <v/>
      </c>
      <c r="Z1008" t="str">
        <f t="shared" si="32"/>
        <v/>
      </c>
    </row>
    <row r="1009" spans="25:26" ht="14.25" customHeight="1" x14ac:dyDescent="0.3">
      <c r="Y1009" t="str">
        <f t="shared" si="31"/>
        <v/>
      </c>
      <c r="Z1009" t="str">
        <f t="shared" si="32"/>
        <v/>
      </c>
    </row>
    <row r="1010" spans="25:26" ht="14.25" customHeight="1" x14ac:dyDescent="0.3">
      <c r="Y1010" t="str">
        <f t="shared" si="31"/>
        <v/>
      </c>
      <c r="Z1010" t="str">
        <f t="shared" si="32"/>
        <v/>
      </c>
    </row>
    <row r="1011" spans="25:26" ht="14.25" customHeight="1" x14ac:dyDescent="0.3">
      <c r="Y1011" t="str">
        <f t="shared" si="31"/>
        <v/>
      </c>
      <c r="Z1011" t="str">
        <f t="shared" si="32"/>
        <v/>
      </c>
    </row>
    <row r="1012" spans="25:26" ht="14.25" customHeight="1" x14ac:dyDescent="0.3">
      <c r="Y1012" t="str">
        <f t="shared" si="31"/>
        <v/>
      </c>
      <c r="Z1012" t="str">
        <f t="shared" si="32"/>
        <v/>
      </c>
    </row>
    <row r="1013" spans="25:26" ht="14.25" customHeight="1" x14ac:dyDescent="0.3">
      <c r="Y1013" t="str">
        <f t="shared" si="31"/>
        <v/>
      </c>
      <c r="Z1013" t="str">
        <f t="shared" si="32"/>
        <v/>
      </c>
    </row>
    <row r="1014" spans="25:26" ht="14.25" customHeight="1" x14ac:dyDescent="0.3">
      <c r="Y1014" t="str">
        <f t="shared" si="31"/>
        <v/>
      </c>
      <c r="Z1014" t="str">
        <f t="shared" si="32"/>
        <v/>
      </c>
    </row>
    <row r="1015" spans="25:26" ht="14.25" customHeight="1" x14ac:dyDescent="0.3">
      <c r="Y1015" t="str">
        <f t="shared" si="31"/>
        <v/>
      </c>
      <c r="Z1015" t="str">
        <f t="shared" si="32"/>
        <v/>
      </c>
    </row>
    <row r="1016" spans="25:26" ht="14.25" customHeight="1" x14ac:dyDescent="0.3">
      <c r="Y1016" t="str">
        <f t="shared" si="31"/>
        <v/>
      </c>
      <c r="Z1016" t="str">
        <f t="shared" si="32"/>
        <v/>
      </c>
    </row>
    <row r="1017" spans="25:26" ht="14.25" customHeight="1" x14ac:dyDescent="0.3">
      <c r="Y1017" t="str">
        <f t="shared" si="31"/>
        <v/>
      </c>
      <c r="Z1017" t="str">
        <f t="shared" si="32"/>
        <v/>
      </c>
    </row>
    <row r="1018" spans="25:26" ht="14.25" customHeight="1" x14ac:dyDescent="0.3">
      <c r="Y1018" t="str">
        <f t="shared" si="31"/>
        <v/>
      </c>
      <c r="Z1018" t="str">
        <f t="shared" si="32"/>
        <v/>
      </c>
    </row>
    <row r="1019" spans="25:26" ht="14.25" customHeight="1" x14ac:dyDescent="0.3">
      <c r="Y1019" t="str">
        <f t="shared" si="31"/>
        <v/>
      </c>
      <c r="Z1019" t="str">
        <f t="shared" si="32"/>
        <v/>
      </c>
    </row>
    <row r="1020" spans="25:26" ht="14.25" customHeight="1" x14ac:dyDescent="0.3">
      <c r="Y1020" t="str">
        <f t="shared" si="31"/>
        <v/>
      </c>
      <c r="Z1020" t="str">
        <f t="shared" si="32"/>
        <v/>
      </c>
    </row>
    <row r="1021" spans="25:26" ht="14.25" customHeight="1" x14ac:dyDescent="0.3">
      <c r="Y1021" t="str">
        <f t="shared" si="31"/>
        <v/>
      </c>
      <c r="Z1021" t="str">
        <f t="shared" si="32"/>
        <v/>
      </c>
    </row>
    <row r="1022" spans="25:26" ht="14.25" customHeight="1" x14ac:dyDescent="0.3">
      <c r="Y1022" t="str">
        <f t="shared" si="31"/>
        <v/>
      </c>
      <c r="Z1022" t="str">
        <f t="shared" si="32"/>
        <v/>
      </c>
    </row>
    <row r="1023" spans="25:26" ht="14.25" customHeight="1" x14ac:dyDescent="0.3">
      <c r="Y1023" t="str">
        <f t="shared" si="31"/>
        <v/>
      </c>
      <c r="Z1023" t="str">
        <f t="shared" si="32"/>
        <v/>
      </c>
    </row>
    <row r="1024" spans="25:26" ht="14.25" customHeight="1" x14ac:dyDescent="0.3">
      <c r="Y1024" t="str">
        <f t="shared" si="31"/>
        <v/>
      </c>
      <c r="Z1024" t="str">
        <f t="shared" si="32"/>
        <v/>
      </c>
    </row>
    <row r="1025" spans="25:26" ht="14.25" customHeight="1" x14ac:dyDescent="0.3">
      <c r="Y1025" t="str">
        <f t="shared" si="31"/>
        <v/>
      </c>
      <c r="Z1025" t="str">
        <f t="shared" si="32"/>
        <v/>
      </c>
    </row>
    <row r="1026" spans="25:26" ht="14.25" customHeight="1" x14ac:dyDescent="0.3">
      <c r="Y1026" t="str">
        <f t="shared" ref="Y1026:Y1089" si="33">IFERROR(INDEX(D_IDUNIQUE,MATCH(ROW()-1,D_RANG_PROFIL,0)),"")</f>
        <v/>
      </c>
      <c r="Z1026" t="str">
        <f t="shared" ref="Z1026:Z1089" si="34">IF($Y1026="","",UPPER(INDEX(D_NOM,MATCH($Y1026,D_ID,0)))&amp;" "&amp;INDEX(D_PRENOM,MATCH($Y1026,D_ID,0))&amp;" — "&amp;INDEX(D_NIVEAU_ACTUEL,MATCH($Y1026,D_ID,0)))</f>
        <v/>
      </c>
    </row>
    <row r="1027" spans="25:26" ht="14.25" customHeight="1" x14ac:dyDescent="0.3">
      <c r="Y1027" t="str">
        <f t="shared" si="33"/>
        <v/>
      </c>
      <c r="Z1027" t="str">
        <f t="shared" si="34"/>
        <v/>
      </c>
    </row>
    <row r="1028" spans="25:26" ht="14.25" customHeight="1" x14ac:dyDescent="0.3">
      <c r="Y1028" t="str">
        <f t="shared" si="33"/>
        <v/>
      </c>
      <c r="Z1028" t="str">
        <f t="shared" si="34"/>
        <v/>
      </c>
    </row>
    <row r="1029" spans="25:26" ht="14.25" customHeight="1" x14ac:dyDescent="0.3">
      <c r="Y1029" t="str">
        <f t="shared" si="33"/>
        <v/>
      </c>
      <c r="Z1029" t="str">
        <f t="shared" si="34"/>
        <v/>
      </c>
    </row>
    <row r="1030" spans="25:26" ht="14.25" customHeight="1" x14ac:dyDescent="0.3">
      <c r="Y1030" t="str">
        <f t="shared" si="33"/>
        <v/>
      </c>
      <c r="Z1030" t="str">
        <f t="shared" si="34"/>
        <v/>
      </c>
    </row>
    <row r="1031" spans="25:26" ht="14.25" customHeight="1" x14ac:dyDescent="0.3">
      <c r="Y1031" t="str">
        <f t="shared" si="33"/>
        <v/>
      </c>
      <c r="Z1031" t="str">
        <f t="shared" si="34"/>
        <v/>
      </c>
    </row>
    <row r="1032" spans="25:26" ht="14.25" customHeight="1" x14ac:dyDescent="0.3">
      <c r="Y1032" t="str">
        <f t="shared" si="33"/>
        <v/>
      </c>
      <c r="Z1032" t="str">
        <f t="shared" si="34"/>
        <v/>
      </c>
    </row>
    <row r="1033" spans="25:26" ht="14.25" customHeight="1" x14ac:dyDescent="0.3">
      <c r="Y1033" t="str">
        <f t="shared" si="33"/>
        <v/>
      </c>
      <c r="Z1033" t="str">
        <f t="shared" si="34"/>
        <v/>
      </c>
    </row>
    <row r="1034" spans="25:26" ht="14.25" customHeight="1" x14ac:dyDescent="0.3">
      <c r="Y1034" t="str">
        <f t="shared" si="33"/>
        <v/>
      </c>
      <c r="Z1034" t="str">
        <f t="shared" si="34"/>
        <v/>
      </c>
    </row>
    <row r="1035" spans="25:26" ht="14.25" customHeight="1" x14ac:dyDescent="0.3">
      <c r="Y1035" t="str">
        <f t="shared" si="33"/>
        <v/>
      </c>
      <c r="Z1035" t="str">
        <f t="shared" si="34"/>
        <v/>
      </c>
    </row>
    <row r="1036" spans="25:26" ht="14.25" customHeight="1" x14ac:dyDescent="0.3">
      <c r="Y1036" t="str">
        <f t="shared" si="33"/>
        <v/>
      </c>
      <c r="Z1036" t="str">
        <f t="shared" si="34"/>
        <v/>
      </c>
    </row>
    <row r="1037" spans="25:26" ht="14.25" customHeight="1" x14ac:dyDescent="0.3">
      <c r="Y1037" t="str">
        <f t="shared" si="33"/>
        <v/>
      </c>
      <c r="Z1037" t="str">
        <f t="shared" si="34"/>
        <v/>
      </c>
    </row>
    <row r="1038" spans="25:26" ht="14.25" customHeight="1" x14ac:dyDescent="0.3">
      <c r="Y1038" t="str">
        <f t="shared" si="33"/>
        <v/>
      </c>
      <c r="Z1038" t="str">
        <f t="shared" si="34"/>
        <v/>
      </c>
    </row>
    <row r="1039" spans="25:26" ht="14.25" customHeight="1" x14ac:dyDescent="0.3">
      <c r="Y1039" t="str">
        <f t="shared" si="33"/>
        <v/>
      </c>
      <c r="Z1039" t="str">
        <f t="shared" si="34"/>
        <v/>
      </c>
    </row>
    <row r="1040" spans="25:26" ht="14.25" customHeight="1" x14ac:dyDescent="0.3">
      <c r="Y1040" t="str">
        <f t="shared" si="33"/>
        <v/>
      </c>
      <c r="Z1040" t="str">
        <f t="shared" si="34"/>
        <v/>
      </c>
    </row>
    <row r="1041" spans="25:26" ht="14.25" customHeight="1" x14ac:dyDescent="0.3">
      <c r="Y1041" t="str">
        <f t="shared" si="33"/>
        <v/>
      </c>
      <c r="Z1041" t="str">
        <f t="shared" si="34"/>
        <v/>
      </c>
    </row>
    <row r="1042" spans="25:26" ht="14.25" customHeight="1" x14ac:dyDescent="0.3">
      <c r="Y1042" t="str">
        <f t="shared" si="33"/>
        <v/>
      </c>
      <c r="Z1042" t="str">
        <f t="shared" si="34"/>
        <v/>
      </c>
    </row>
    <row r="1043" spans="25:26" ht="14.25" customHeight="1" x14ac:dyDescent="0.3">
      <c r="Y1043" t="str">
        <f t="shared" si="33"/>
        <v/>
      </c>
      <c r="Z1043" t="str">
        <f t="shared" si="34"/>
        <v/>
      </c>
    </row>
    <row r="1044" spans="25:26" ht="14.25" customHeight="1" x14ac:dyDescent="0.3">
      <c r="Y1044" t="str">
        <f t="shared" si="33"/>
        <v/>
      </c>
      <c r="Z1044" t="str">
        <f t="shared" si="34"/>
        <v/>
      </c>
    </row>
    <row r="1045" spans="25:26" ht="14.25" customHeight="1" x14ac:dyDescent="0.3">
      <c r="Y1045" t="str">
        <f t="shared" si="33"/>
        <v/>
      </c>
      <c r="Z1045" t="str">
        <f t="shared" si="34"/>
        <v/>
      </c>
    </row>
    <row r="1046" spans="25:26" ht="14.25" customHeight="1" x14ac:dyDescent="0.3">
      <c r="Y1046" t="str">
        <f t="shared" si="33"/>
        <v/>
      </c>
      <c r="Z1046" t="str">
        <f t="shared" si="34"/>
        <v/>
      </c>
    </row>
    <row r="1047" spans="25:26" ht="14.25" customHeight="1" x14ac:dyDescent="0.3">
      <c r="Y1047" t="str">
        <f t="shared" si="33"/>
        <v/>
      </c>
      <c r="Z1047" t="str">
        <f t="shared" si="34"/>
        <v/>
      </c>
    </row>
    <row r="1048" spans="25:26" ht="14.25" customHeight="1" x14ac:dyDescent="0.3">
      <c r="Y1048" t="str">
        <f t="shared" si="33"/>
        <v/>
      </c>
      <c r="Z1048" t="str">
        <f t="shared" si="34"/>
        <v/>
      </c>
    </row>
    <row r="1049" spans="25:26" ht="14.25" customHeight="1" x14ac:dyDescent="0.3">
      <c r="Y1049" t="str">
        <f t="shared" si="33"/>
        <v/>
      </c>
      <c r="Z1049" t="str">
        <f t="shared" si="34"/>
        <v/>
      </c>
    </row>
    <row r="1050" spans="25:26" ht="14.25" customHeight="1" x14ac:dyDescent="0.3">
      <c r="Y1050" t="str">
        <f t="shared" si="33"/>
        <v/>
      </c>
      <c r="Z1050" t="str">
        <f t="shared" si="34"/>
        <v/>
      </c>
    </row>
    <row r="1051" spans="25:26" ht="14.25" customHeight="1" x14ac:dyDescent="0.3">
      <c r="Y1051" t="str">
        <f t="shared" si="33"/>
        <v/>
      </c>
      <c r="Z1051" t="str">
        <f t="shared" si="34"/>
        <v/>
      </c>
    </row>
    <row r="1052" spans="25:26" ht="14.25" customHeight="1" x14ac:dyDescent="0.3">
      <c r="Y1052" t="str">
        <f t="shared" si="33"/>
        <v/>
      </c>
      <c r="Z1052" t="str">
        <f t="shared" si="34"/>
        <v/>
      </c>
    </row>
    <row r="1053" spans="25:26" ht="14.25" customHeight="1" x14ac:dyDescent="0.3">
      <c r="Y1053" t="str">
        <f t="shared" si="33"/>
        <v/>
      </c>
      <c r="Z1053" t="str">
        <f t="shared" si="34"/>
        <v/>
      </c>
    </row>
    <row r="1054" spans="25:26" ht="14.25" customHeight="1" x14ac:dyDescent="0.3">
      <c r="Y1054" t="str">
        <f t="shared" si="33"/>
        <v/>
      </c>
      <c r="Z1054" t="str">
        <f t="shared" si="34"/>
        <v/>
      </c>
    </row>
    <row r="1055" spans="25:26" ht="14.25" customHeight="1" x14ac:dyDescent="0.3">
      <c r="Y1055" t="str">
        <f t="shared" si="33"/>
        <v/>
      </c>
      <c r="Z1055" t="str">
        <f t="shared" si="34"/>
        <v/>
      </c>
    </row>
    <row r="1056" spans="25:26" ht="14.25" customHeight="1" x14ac:dyDescent="0.3">
      <c r="Y1056" t="str">
        <f t="shared" si="33"/>
        <v/>
      </c>
      <c r="Z1056" t="str">
        <f t="shared" si="34"/>
        <v/>
      </c>
    </row>
    <row r="1057" spans="25:26" ht="14.25" customHeight="1" x14ac:dyDescent="0.3">
      <c r="Y1057" t="str">
        <f t="shared" si="33"/>
        <v/>
      </c>
      <c r="Z1057" t="str">
        <f t="shared" si="34"/>
        <v/>
      </c>
    </row>
    <row r="1058" spans="25:26" ht="14.25" customHeight="1" x14ac:dyDescent="0.3">
      <c r="Y1058" t="str">
        <f t="shared" si="33"/>
        <v/>
      </c>
      <c r="Z1058" t="str">
        <f t="shared" si="34"/>
        <v/>
      </c>
    </row>
    <row r="1059" spans="25:26" ht="14.25" customHeight="1" x14ac:dyDescent="0.3">
      <c r="Y1059" t="str">
        <f t="shared" si="33"/>
        <v/>
      </c>
      <c r="Z1059" t="str">
        <f t="shared" si="34"/>
        <v/>
      </c>
    </row>
    <row r="1060" spans="25:26" ht="14.25" customHeight="1" x14ac:dyDescent="0.3">
      <c r="Y1060" t="str">
        <f t="shared" si="33"/>
        <v/>
      </c>
      <c r="Z1060" t="str">
        <f t="shared" si="34"/>
        <v/>
      </c>
    </row>
    <row r="1061" spans="25:26" ht="14.25" customHeight="1" x14ac:dyDescent="0.3">
      <c r="Y1061" t="str">
        <f t="shared" si="33"/>
        <v/>
      </c>
      <c r="Z1061" t="str">
        <f t="shared" si="34"/>
        <v/>
      </c>
    </row>
    <row r="1062" spans="25:26" ht="14.25" customHeight="1" x14ac:dyDescent="0.3">
      <c r="Y1062" t="str">
        <f t="shared" si="33"/>
        <v/>
      </c>
      <c r="Z1062" t="str">
        <f t="shared" si="34"/>
        <v/>
      </c>
    </row>
    <row r="1063" spans="25:26" ht="14.25" customHeight="1" x14ac:dyDescent="0.3">
      <c r="Y1063" t="str">
        <f t="shared" si="33"/>
        <v/>
      </c>
      <c r="Z1063" t="str">
        <f t="shared" si="34"/>
        <v/>
      </c>
    </row>
    <row r="1064" spans="25:26" ht="14.25" customHeight="1" x14ac:dyDescent="0.3">
      <c r="Y1064" t="str">
        <f t="shared" si="33"/>
        <v/>
      </c>
      <c r="Z1064" t="str">
        <f t="shared" si="34"/>
        <v/>
      </c>
    </row>
    <row r="1065" spans="25:26" ht="14.25" customHeight="1" x14ac:dyDescent="0.3">
      <c r="Y1065" t="str">
        <f t="shared" si="33"/>
        <v/>
      </c>
      <c r="Z1065" t="str">
        <f t="shared" si="34"/>
        <v/>
      </c>
    </row>
    <row r="1066" spans="25:26" ht="14.25" customHeight="1" x14ac:dyDescent="0.3">
      <c r="Y1066" t="str">
        <f t="shared" si="33"/>
        <v/>
      </c>
      <c r="Z1066" t="str">
        <f t="shared" si="34"/>
        <v/>
      </c>
    </row>
    <row r="1067" spans="25:26" ht="14.25" customHeight="1" x14ac:dyDescent="0.3">
      <c r="Y1067" t="str">
        <f t="shared" si="33"/>
        <v/>
      </c>
      <c r="Z1067" t="str">
        <f t="shared" si="34"/>
        <v/>
      </c>
    </row>
    <row r="1068" spans="25:26" ht="14.25" customHeight="1" x14ac:dyDescent="0.3">
      <c r="Y1068" t="str">
        <f t="shared" si="33"/>
        <v/>
      </c>
      <c r="Z1068" t="str">
        <f t="shared" si="34"/>
        <v/>
      </c>
    </row>
    <row r="1069" spans="25:26" ht="14.25" customHeight="1" x14ac:dyDescent="0.3">
      <c r="Y1069" t="str">
        <f t="shared" si="33"/>
        <v/>
      </c>
      <c r="Z1069" t="str">
        <f t="shared" si="34"/>
        <v/>
      </c>
    </row>
    <row r="1070" spans="25:26" ht="14.25" customHeight="1" x14ac:dyDescent="0.3">
      <c r="Y1070" t="str">
        <f t="shared" si="33"/>
        <v/>
      </c>
      <c r="Z1070" t="str">
        <f t="shared" si="34"/>
        <v/>
      </c>
    </row>
    <row r="1071" spans="25:26" ht="14.25" customHeight="1" x14ac:dyDescent="0.3">
      <c r="Y1071" t="str">
        <f t="shared" si="33"/>
        <v/>
      </c>
      <c r="Z1071" t="str">
        <f t="shared" si="34"/>
        <v/>
      </c>
    </row>
    <row r="1072" spans="25:26" ht="14.25" customHeight="1" x14ac:dyDescent="0.3">
      <c r="Y1072" t="str">
        <f t="shared" si="33"/>
        <v/>
      </c>
      <c r="Z1072" t="str">
        <f t="shared" si="34"/>
        <v/>
      </c>
    </row>
    <row r="1073" spans="25:26" ht="14.25" customHeight="1" x14ac:dyDescent="0.3">
      <c r="Y1073" t="str">
        <f t="shared" si="33"/>
        <v/>
      </c>
      <c r="Z1073" t="str">
        <f t="shared" si="34"/>
        <v/>
      </c>
    </row>
    <row r="1074" spans="25:26" ht="14.25" customHeight="1" x14ac:dyDescent="0.3">
      <c r="Y1074" t="str">
        <f t="shared" si="33"/>
        <v/>
      </c>
      <c r="Z1074" t="str">
        <f t="shared" si="34"/>
        <v/>
      </c>
    </row>
    <row r="1075" spans="25:26" ht="14.25" customHeight="1" x14ac:dyDescent="0.3">
      <c r="Y1075" t="str">
        <f t="shared" si="33"/>
        <v/>
      </c>
      <c r="Z1075" t="str">
        <f t="shared" si="34"/>
        <v/>
      </c>
    </row>
    <row r="1076" spans="25:26" ht="14.25" customHeight="1" x14ac:dyDescent="0.3">
      <c r="Y1076" t="str">
        <f t="shared" si="33"/>
        <v/>
      </c>
      <c r="Z1076" t="str">
        <f t="shared" si="34"/>
        <v/>
      </c>
    </row>
    <row r="1077" spans="25:26" ht="14.25" customHeight="1" x14ac:dyDescent="0.3">
      <c r="Y1077" t="str">
        <f t="shared" si="33"/>
        <v/>
      </c>
      <c r="Z1077" t="str">
        <f t="shared" si="34"/>
        <v/>
      </c>
    </row>
    <row r="1078" spans="25:26" ht="14.25" customHeight="1" x14ac:dyDescent="0.3">
      <c r="Y1078" t="str">
        <f t="shared" si="33"/>
        <v/>
      </c>
      <c r="Z1078" t="str">
        <f t="shared" si="34"/>
        <v/>
      </c>
    </row>
    <row r="1079" spans="25:26" ht="14.25" customHeight="1" x14ac:dyDescent="0.3">
      <c r="Y1079" t="str">
        <f t="shared" si="33"/>
        <v/>
      </c>
      <c r="Z1079" t="str">
        <f t="shared" si="34"/>
        <v/>
      </c>
    </row>
    <row r="1080" spans="25:26" ht="14.25" customHeight="1" x14ac:dyDescent="0.3">
      <c r="Y1080" t="str">
        <f t="shared" si="33"/>
        <v/>
      </c>
      <c r="Z1080" t="str">
        <f t="shared" si="34"/>
        <v/>
      </c>
    </row>
    <row r="1081" spans="25:26" ht="14.25" customHeight="1" x14ac:dyDescent="0.3">
      <c r="Y1081" t="str">
        <f t="shared" si="33"/>
        <v/>
      </c>
      <c r="Z1081" t="str">
        <f t="shared" si="34"/>
        <v/>
      </c>
    </row>
    <row r="1082" spans="25:26" ht="14.25" customHeight="1" x14ac:dyDescent="0.3">
      <c r="Y1082" t="str">
        <f t="shared" si="33"/>
        <v/>
      </c>
      <c r="Z1082" t="str">
        <f t="shared" si="34"/>
        <v/>
      </c>
    </row>
    <row r="1083" spans="25:26" ht="14.25" customHeight="1" x14ac:dyDescent="0.3">
      <c r="Y1083" t="str">
        <f t="shared" si="33"/>
        <v/>
      </c>
      <c r="Z1083" t="str">
        <f t="shared" si="34"/>
        <v/>
      </c>
    </row>
    <row r="1084" spans="25:26" ht="14.25" customHeight="1" x14ac:dyDescent="0.3">
      <c r="Y1084" t="str">
        <f t="shared" si="33"/>
        <v/>
      </c>
      <c r="Z1084" t="str">
        <f t="shared" si="34"/>
        <v/>
      </c>
    </row>
    <row r="1085" spans="25:26" ht="14.25" customHeight="1" x14ac:dyDescent="0.3">
      <c r="Y1085" t="str">
        <f t="shared" si="33"/>
        <v/>
      </c>
      <c r="Z1085" t="str">
        <f t="shared" si="34"/>
        <v/>
      </c>
    </row>
    <row r="1086" spans="25:26" ht="14.25" customHeight="1" x14ac:dyDescent="0.3">
      <c r="Y1086" t="str">
        <f t="shared" si="33"/>
        <v/>
      </c>
      <c r="Z1086" t="str">
        <f t="shared" si="34"/>
        <v/>
      </c>
    </row>
    <row r="1087" spans="25:26" ht="14.25" customHeight="1" x14ac:dyDescent="0.3">
      <c r="Y1087" t="str">
        <f t="shared" si="33"/>
        <v/>
      </c>
      <c r="Z1087" t="str">
        <f t="shared" si="34"/>
        <v/>
      </c>
    </row>
    <row r="1088" spans="25:26" ht="14.25" customHeight="1" x14ac:dyDescent="0.3">
      <c r="Y1088" t="str">
        <f t="shared" si="33"/>
        <v/>
      </c>
      <c r="Z1088" t="str">
        <f t="shared" si="34"/>
        <v/>
      </c>
    </row>
    <row r="1089" spans="25:26" ht="14.25" customHeight="1" x14ac:dyDescent="0.3">
      <c r="Y1089" t="str">
        <f t="shared" si="33"/>
        <v/>
      </c>
      <c r="Z1089" t="str">
        <f t="shared" si="34"/>
        <v/>
      </c>
    </row>
    <row r="1090" spans="25:26" ht="14.25" customHeight="1" x14ac:dyDescent="0.3">
      <c r="Y1090" t="str">
        <f t="shared" ref="Y1090:Y1153" si="35">IFERROR(INDEX(D_IDUNIQUE,MATCH(ROW()-1,D_RANG_PROFIL,0)),"")</f>
        <v/>
      </c>
      <c r="Z1090" t="str">
        <f t="shared" ref="Z1090:Z1153" si="36">IF($Y1090="","",UPPER(INDEX(D_NOM,MATCH($Y1090,D_ID,0)))&amp;" "&amp;INDEX(D_PRENOM,MATCH($Y1090,D_ID,0))&amp;" — "&amp;INDEX(D_NIVEAU_ACTUEL,MATCH($Y1090,D_ID,0)))</f>
        <v/>
      </c>
    </row>
    <row r="1091" spans="25:26" ht="14.25" customHeight="1" x14ac:dyDescent="0.3">
      <c r="Y1091" t="str">
        <f t="shared" si="35"/>
        <v/>
      </c>
      <c r="Z1091" t="str">
        <f t="shared" si="36"/>
        <v/>
      </c>
    </row>
    <row r="1092" spans="25:26" ht="14.25" customHeight="1" x14ac:dyDescent="0.3">
      <c r="Y1092" t="str">
        <f t="shared" si="35"/>
        <v/>
      </c>
      <c r="Z1092" t="str">
        <f t="shared" si="36"/>
        <v/>
      </c>
    </row>
    <row r="1093" spans="25:26" ht="14.25" customHeight="1" x14ac:dyDescent="0.3">
      <c r="Y1093" t="str">
        <f t="shared" si="35"/>
        <v/>
      </c>
      <c r="Z1093" t="str">
        <f t="shared" si="36"/>
        <v/>
      </c>
    </row>
    <row r="1094" spans="25:26" ht="14.25" customHeight="1" x14ac:dyDescent="0.3">
      <c r="Y1094" t="str">
        <f t="shared" si="35"/>
        <v/>
      </c>
      <c r="Z1094" t="str">
        <f t="shared" si="36"/>
        <v/>
      </c>
    </row>
    <row r="1095" spans="25:26" ht="14.25" customHeight="1" x14ac:dyDescent="0.3">
      <c r="Y1095" t="str">
        <f t="shared" si="35"/>
        <v/>
      </c>
      <c r="Z1095" t="str">
        <f t="shared" si="36"/>
        <v/>
      </c>
    </row>
    <row r="1096" spans="25:26" ht="14.25" customHeight="1" x14ac:dyDescent="0.3">
      <c r="Y1096" t="str">
        <f t="shared" si="35"/>
        <v/>
      </c>
      <c r="Z1096" t="str">
        <f t="shared" si="36"/>
        <v/>
      </c>
    </row>
    <row r="1097" spans="25:26" ht="14.25" customHeight="1" x14ac:dyDescent="0.3">
      <c r="Y1097" t="str">
        <f t="shared" si="35"/>
        <v/>
      </c>
      <c r="Z1097" t="str">
        <f t="shared" si="36"/>
        <v/>
      </c>
    </row>
    <row r="1098" spans="25:26" ht="14.25" customHeight="1" x14ac:dyDescent="0.3">
      <c r="Y1098" t="str">
        <f t="shared" si="35"/>
        <v/>
      </c>
      <c r="Z1098" t="str">
        <f t="shared" si="36"/>
        <v/>
      </c>
    </row>
    <row r="1099" spans="25:26" ht="14.25" customHeight="1" x14ac:dyDescent="0.3">
      <c r="Y1099" t="str">
        <f t="shared" si="35"/>
        <v/>
      </c>
      <c r="Z1099" t="str">
        <f t="shared" si="36"/>
        <v/>
      </c>
    </row>
    <row r="1100" spans="25:26" ht="14.25" customHeight="1" x14ac:dyDescent="0.3">
      <c r="Y1100" t="str">
        <f t="shared" si="35"/>
        <v/>
      </c>
      <c r="Z1100" t="str">
        <f t="shared" si="36"/>
        <v/>
      </c>
    </row>
    <row r="1101" spans="25:26" ht="14.25" customHeight="1" x14ac:dyDescent="0.3">
      <c r="Y1101" t="str">
        <f t="shared" si="35"/>
        <v/>
      </c>
      <c r="Z1101" t="str">
        <f t="shared" si="36"/>
        <v/>
      </c>
    </row>
    <row r="1102" spans="25:26" ht="14.25" customHeight="1" x14ac:dyDescent="0.3">
      <c r="Y1102" t="str">
        <f t="shared" si="35"/>
        <v/>
      </c>
      <c r="Z1102" t="str">
        <f t="shared" si="36"/>
        <v/>
      </c>
    </row>
    <row r="1103" spans="25:26" ht="14.25" customHeight="1" x14ac:dyDescent="0.3">
      <c r="Y1103" t="str">
        <f t="shared" si="35"/>
        <v/>
      </c>
      <c r="Z1103" t="str">
        <f t="shared" si="36"/>
        <v/>
      </c>
    </row>
    <row r="1104" spans="25:26" ht="14.25" customHeight="1" x14ac:dyDescent="0.3">
      <c r="Y1104" t="str">
        <f t="shared" si="35"/>
        <v/>
      </c>
      <c r="Z1104" t="str">
        <f t="shared" si="36"/>
        <v/>
      </c>
    </row>
    <row r="1105" spans="25:26" ht="14.25" customHeight="1" x14ac:dyDescent="0.3">
      <c r="Y1105" t="str">
        <f t="shared" si="35"/>
        <v/>
      </c>
      <c r="Z1105" t="str">
        <f t="shared" si="36"/>
        <v/>
      </c>
    </row>
    <row r="1106" spans="25:26" ht="14.25" customHeight="1" x14ac:dyDescent="0.3">
      <c r="Y1106" t="str">
        <f t="shared" si="35"/>
        <v/>
      </c>
      <c r="Z1106" t="str">
        <f t="shared" si="36"/>
        <v/>
      </c>
    </row>
    <row r="1107" spans="25:26" ht="14.25" customHeight="1" x14ac:dyDescent="0.3">
      <c r="Y1107" t="str">
        <f t="shared" si="35"/>
        <v/>
      </c>
      <c r="Z1107" t="str">
        <f t="shared" si="36"/>
        <v/>
      </c>
    </row>
    <row r="1108" spans="25:26" ht="14.25" customHeight="1" x14ac:dyDescent="0.3">
      <c r="Y1108" t="str">
        <f t="shared" si="35"/>
        <v/>
      </c>
      <c r="Z1108" t="str">
        <f t="shared" si="36"/>
        <v/>
      </c>
    </row>
    <row r="1109" spans="25:26" ht="14.25" customHeight="1" x14ac:dyDescent="0.3">
      <c r="Y1109" t="str">
        <f t="shared" si="35"/>
        <v/>
      </c>
      <c r="Z1109" t="str">
        <f t="shared" si="36"/>
        <v/>
      </c>
    </row>
    <row r="1110" spans="25:26" ht="14.25" customHeight="1" x14ac:dyDescent="0.3">
      <c r="Y1110" t="str">
        <f t="shared" si="35"/>
        <v/>
      </c>
      <c r="Z1110" t="str">
        <f t="shared" si="36"/>
        <v/>
      </c>
    </row>
    <row r="1111" spans="25:26" ht="14.25" customHeight="1" x14ac:dyDescent="0.3">
      <c r="Y1111" t="str">
        <f t="shared" si="35"/>
        <v/>
      </c>
      <c r="Z1111" t="str">
        <f t="shared" si="36"/>
        <v/>
      </c>
    </row>
    <row r="1112" spans="25:26" ht="14.25" customHeight="1" x14ac:dyDescent="0.3">
      <c r="Y1112" t="str">
        <f t="shared" si="35"/>
        <v/>
      </c>
      <c r="Z1112" t="str">
        <f t="shared" si="36"/>
        <v/>
      </c>
    </row>
    <row r="1113" spans="25:26" ht="14.25" customHeight="1" x14ac:dyDescent="0.3">
      <c r="Y1113" t="str">
        <f t="shared" si="35"/>
        <v/>
      </c>
      <c r="Z1113" t="str">
        <f t="shared" si="36"/>
        <v/>
      </c>
    </row>
    <row r="1114" spans="25:26" ht="14.25" customHeight="1" x14ac:dyDescent="0.3">
      <c r="Y1114" t="str">
        <f t="shared" si="35"/>
        <v/>
      </c>
      <c r="Z1114" t="str">
        <f t="shared" si="36"/>
        <v/>
      </c>
    </row>
    <row r="1115" spans="25:26" ht="14.25" customHeight="1" x14ac:dyDescent="0.3">
      <c r="Y1115" t="str">
        <f t="shared" si="35"/>
        <v/>
      </c>
      <c r="Z1115" t="str">
        <f t="shared" si="36"/>
        <v/>
      </c>
    </row>
    <row r="1116" spans="25:26" ht="14.25" customHeight="1" x14ac:dyDescent="0.3">
      <c r="Y1116" t="str">
        <f t="shared" si="35"/>
        <v/>
      </c>
      <c r="Z1116" t="str">
        <f t="shared" si="36"/>
        <v/>
      </c>
    </row>
    <row r="1117" spans="25:26" ht="14.25" customHeight="1" x14ac:dyDescent="0.3">
      <c r="Y1117" t="str">
        <f t="shared" si="35"/>
        <v/>
      </c>
      <c r="Z1117" t="str">
        <f t="shared" si="36"/>
        <v/>
      </c>
    </row>
    <row r="1118" spans="25:26" ht="14.25" customHeight="1" x14ac:dyDescent="0.3">
      <c r="Y1118" t="str">
        <f t="shared" si="35"/>
        <v/>
      </c>
      <c r="Z1118" t="str">
        <f t="shared" si="36"/>
        <v/>
      </c>
    </row>
    <row r="1119" spans="25:26" ht="14.25" customHeight="1" x14ac:dyDescent="0.3">
      <c r="Y1119" t="str">
        <f t="shared" si="35"/>
        <v/>
      </c>
      <c r="Z1119" t="str">
        <f t="shared" si="36"/>
        <v/>
      </c>
    </row>
    <row r="1120" spans="25:26" ht="14.25" customHeight="1" x14ac:dyDescent="0.3">
      <c r="Y1120" t="str">
        <f t="shared" si="35"/>
        <v/>
      </c>
      <c r="Z1120" t="str">
        <f t="shared" si="36"/>
        <v/>
      </c>
    </row>
    <row r="1121" spans="25:26" ht="14.25" customHeight="1" x14ac:dyDescent="0.3">
      <c r="Y1121" t="str">
        <f t="shared" si="35"/>
        <v/>
      </c>
      <c r="Z1121" t="str">
        <f t="shared" si="36"/>
        <v/>
      </c>
    </row>
    <row r="1122" spans="25:26" ht="14.25" customHeight="1" x14ac:dyDescent="0.3">
      <c r="Y1122" t="str">
        <f t="shared" si="35"/>
        <v/>
      </c>
      <c r="Z1122" t="str">
        <f t="shared" si="36"/>
        <v/>
      </c>
    </row>
    <row r="1123" spans="25:26" ht="14.25" customHeight="1" x14ac:dyDescent="0.3">
      <c r="Y1123" t="str">
        <f t="shared" si="35"/>
        <v/>
      </c>
      <c r="Z1123" t="str">
        <f t="shared" si="36"/>
        <v/>
      </c>
    </row>
    <row r="1124" spans="25:26" ht="14.25" customHeight="1" x14ac:dyDescent="0.3">
      <c r="Y1124" t="str">
        <f t="shared" si="35"/>
        <v/>
      </c>
      <c r="Z1124" t="str">
        <f t="shared" si="36"/>
        <v/>
      </c>
    </row>
    <row r="1125" spans="25:26" ht="14.25" customHeight="1" x14ac:dyDescent="0.3">
      <c r="Y1125" t="str">
        <f t="shared" si="35"/>
        <v/>
      </c>
      <c r="Z1125" t="str">
        <f t="shared" si="36"/>
        <v/>
      </c>
    </row>
    <row r="1126" spans="25:26" ht="14.25" customHeight="1" x14ac:dyDescent="0.3">
      <c r="Y1126" t="str">
        <f t="shared" si="35"/>
        <v/>
      </c>
      <c r="Z1126" t="str">
        <f t="shared" si="36"/>
        <v/>
      </c>
    </row>
    <row r="1127" spans="25:26" ht="14.25" customHeight="1" x14ac:dyDescent="0.3">
      <c r="Y1127" t="str">
        <f t="shared" si="35"/>
        <v/>
      </c>
      <c r="Z1127" t="str">
        <f t="shared" si="36"/>
        <v/>
      </c>
    </row>
    <row r="1128" spans="25:26" ht="14.25" customHeight="1" x14ac:dyDescent="0.3">
      <c r="Y1128" t="str">
        <f t="shared" si="35"/>
        <v/>
      </c>
      <c r="Z1128" t="str">
        <f t="shared" si="36"/>
        <v/>
      </c>
    </row>
    <row r="1129" spans="25:26" ht="14.25" customHeight="1" x14ac:dyDescent="0.3">
      <c r="Y1129" t="str">
        <f t="shared" si="35"/>
        <v/>
      </c>
      <c r="Z1129" t="str">
        <f t="shared" si="36"/>
        <v/>
      </c>
    </row>
    <row r="1130" spans="25:26" ht="14.25" customHeight="1" x14ac:dyDescent="0.3">
      <c r="Y1130" t="str">
        <f t="shared" si="35"/>
        <v/>
      </c>
      <c r="Z1130" t="str">
        <f t="shared" si="36"/>
        <v/>
      </c>
    </row>
    <row r="1131" spans="25:26" ht="14.25" customHeight="1" x14ac:dyDescent="0.3">
      <c r="Y1131" t="str">
        <f t="shared" si="35"/>
        <v/>
      </c>
      <c r="Z1131" t="str">
        <f t="shared" si="36"/>
        <v/>
      </c>
    </row>
    <row r="1132" spans="25:26" ht="14.25" customHeight="1" x14ac:dyDescent="0.3">
      <c r="Y1132" t="str">
        <f t="shared" si="35"/>
        <v/>
      </c>
      <c r="Z1132" t="str">
        <f t="shared" si="36"/>
        <v/>
      </c>
    </row>
    <row r="1133" spans="25:26" ht="14.25" customHeight="1" x14ac:dyDescent="0.3">
      <c r="Y1133" t="str">
        <f t="shared" si="35"/>
        <v/>
      </c>
      <c r="Z1133" t="str">
        <f t="shared" si="36"/>
        <v/>
      </c>
    </row>
    <row r="1134" spans="25:26" ht="14.25" customHeight="1" x14ac:dyDescent="0.3">
      <c r="Y1134" t="str">
        <f t="shared" si="35"/>
        <v/>
      </c>
      <c r="Z1134" t="str">
        <f t="shared" si="36"/>
        <v/>
      </c>
    </row>
    <row r="1135" spans="25:26" ht="14.25" customHeight="1" x14ac:dyDescent="0.3">
      <c r="Y1135" t="str">
        <f t="shared" si="35"/>
        <v/>
      </c>
      <c r="Z1135" t="str">
        <f t="shared" si="36"/>
        <v/>
      </c>
    </row>
    <row r="1136" spans="25:26" ht="14.25" customHeight="1" x14ac:dyDescent="0.3">
      <c r="Y1136" t="str">
        <f t="shared" si="35"/>
        <v/>
      </c>
      <c r="Z1136" t="str">
        <f t="shared" si="36"/>
        <v/>
      </c>
    </row>
    <row r="1137" spans="25:26" ht="14.25" customHeight="1" x14ac:dyDescent="0.3">
      <c r="Y1137" t="str">
        <f t="shared" si="35"/>
        <v/>
      </c>
      <c r="Z1137" t="str">
        <f t="shared" si="36"/>
        <v/>
      </c>
    </row>
    <row r="1138" spans="25:26" ht="14.25" customHeight="1" x14ac:dyDescent="0.3">
      <c r="Y1138" t="str">
        <f t="shared" si="35"/>
        <v/>
      </c>
      <c r="Z1138" t="str">
        <f t="shared" si="36"/>
        <v/>
      </c>
    </row>
    <row r="1139" spans="25:26" ht="14.25" customHeight="1" x14ac:dyDescent="0.3">
      <c r="Y1139" t="str">
        <f t="shared" si="35"/>
        <v/>
      </c>
      <c r="Z1139" t="str">
        <f t="shared" si="36"/>
        <v/>
      </c>
    </row>
    <row r="1140" spans="25:26" ht="14.25" customHeight="1" x14ac:dyDescent="0.3">
      <c r="Y1140" t="str">
        <f t="shared" si="35"/>
        <v/>
      </c>
      <c r="Z1140" t="str">
        <f t="shared" si="36"/>
        <v/>
      </c>
    </row>
    <row r="1141" spans="25:26" ht="14.25" customHeight="1" x14ac:dyDescent="0.3">
      <c r="Y1141" t="str">
        <f t="shared" si="35"/>
        <v/>
      </c>
      <c r="Z1141" t="str">
        <f t="shared" si="36"/>
        <v/>
      </c>
    </row>
    <row r="1142" spans="25:26" ht="14.25" customHeight="1" x14ac:dyDescent="0.3">
      <c r="Y1142" t="str">
        <f t="shared" si="35"/>
        <v/>
      </c>
      <c r="Z1142" t="str">
        <f t="shared" si="36"/>
        <v/>
      </c>
    </row>
    <row r="1143" spans="25:26" ht="14.25" customHeight="1" x14ac:dyDescent="0.3">
      <c r="Y1143" t="str">
        <f t="shared" si="35"/>
        <v/>
      </c>
      <c r="Z1143" t="str">
        <f t="shared" si="36"/>
        <v/>
      </c>
    </row>
    <row r="1144" spans="25:26" ht="14.25" customHeight="1" x14ac:dyDescent="0.3">
      <c r="Y1144" t="str">
        <f t="shared" si="35"/>
        <v/>
      </c>
      <c r="Z1144" t="str">
        <f t="shared" si="36"/>
        <v/>
      </c>
    </row>
    <row r="1145" spans="25:26" ht="14.25" customHeight="1" x14ac:dyDescent="0.3">
      <c r="Y1145" t="str">
        <f t="shared" si="35"/>
        <v/>
      </c>
      <c r="Z1145" t="str">
        <f t="shared" si="36"/>
        <v/>
      </c>
    </row>
    <row r="1146" spans="25:26" ht="14.25" customHeight="1" x14ac:dyDescent="0.3">
      <c r="Y1146" t="str">
        <f t="shared" si="35"/>
        <v/>
      </c>
      <c r="Z1146" t="str">
        <f t="shared" si="36"/>
        <v/>
      </c>
    </row>
    <row r="1147" spans="25:26" ht="14.25" customHeight="1" x14ac:dyDescent="0.3">
      <c r="Y1147" t="str">
        <f t="shared" si="35"/>
        <v/>
      </c>
      <c r="Z1147" t="str">
        <f t="shared" si="36"/>
        <v/>
      </c>
    </row>
    <row r="1148" spans="25:26" ht="14.25" customHeight="1" x14ac:dyDescent="0.3">
      <c r="Y1148" t="str">
        <f t="shared" si="35"/>
        <v/>
      </c>
      <c r="Z1148" t="str">
        <f t="shared" si="36"/>
        <v/>
      </c>
    </row>
    <row r="1149" spans="25:26" ht="14.25" customHeight="1" x14ac:dyDescent="0.3">
      <c r="Y1149" t="str">
        <f t="shared" si="35"/>
        <v/>
      </c>
      <c r="Z1149" t="str">
        <f t="shared" si="36"/>
        <v/>
      </c>
    </row>
    <row r="1150" spans="25:26" ht="14.25" customHeight="1" x14ac:dyDescent="0.3">
      <c r="Y1150" t="str">
        <f t="shared" si="35"/>
        <v/>
      </c>
      <c r="Z1150" t="str">
        <f t="shared" si="36"/>
        <v/>
      </c>
    </row>
    <row r="1151" spans="25:26" ht="14.25" customHeight="1" x14ac:dyDescent="0.3">
      <c r="Y1151" t="str">
        <f t="shared" si="35"/>
        <v/>
      </c>
      <c r="Z1151" t="str">
        <f t="shared" si="36"/>
        <v/>
      </c>
    </row>
    <row r="1152" spans="25:26" ht="14.25" customHeight="1" x14ac:dyDescent="0.3">
      <c r="Y1152" t="str">
        <f t="shared" si="35"/>
        <v/>
      </c>
      <c r="Z1152" t="str">
        <f t="shared" si="36"/>
        <v/>
      </c>
    </row>
    <row r="1153" spans="25:26" ht="14.25" customHeight="1" x14ac:dyDescent="0.3">
      <c r="Y1153" t="str">
        <f t="shared" si="35"/>
        <v/>
      </c>
      <c r="Z1153" t="str">
        <f t="shared" si="36"/>
        <v/>
      </c>
    </row>
    <row r="1154" spans="25:26" ht="14.25" customHeight="1" x14ac:dyDescent="0.3">
      <c r="Y1154" t="str">
        <f t="shared" ref="Y1154:Y1201" si="37">IFERROR(INDEX(D_IDUNIQUE,MATCH(ROW()-1,D_RANG_PROFIL,0)),"")</f>
        <v/>
      </c>
      <c r="Z1154" t="str">
        <f t="shared" ref="Z1154:Z1201" si="38">IF($Y1154="","",UPPER(INDEX(D_NOM,MATCH($Y1154,D_ID,0)))&amp;" "&amp;INDEX(D_PRENOM,MATCH($Y1154,D_ID,0))&amp;" — "&amp;INDEX(D_NIVEAU_ACTUEL,MATCH($Y1154,D_ID,0)))</f>
        <v/>
      </c>
    </row>
    <row r="1155" spans="25:26" ht="14.25" customHeight="1" x14ac:dyDescent="0.3">
      <c r="Y1155" t="str">
        <f t="shared" si="37"/>
        <v/>
      </c>
      <c r="Z1155" t="str">
        <f t="shared" si="38"/>
        <v/>
      </c>
    </row>
    <row r="1156" spans="25:26" ht="14.25" customHeight="1" x14ac:dyDescent="0.3">
      <c r="Y1156" t="str">
        <f t="shared" si="37"/>
        <v/>
      </c>
      <c r="Z1156" t="str">
        <f t="shared" si="38"/>
        <v/>
      </c>
    </row>
    <row r="1157" spans="25:26" ht="14.25" customHeight="1" x14ac:dyDescent="0.3">
      <c r="Y1157" t="str">
        <f t="shared" si="37"/>
        <v/>
      </c>
      <c r="Z1157" t="str">
        <f t="shared" si="38"/>
        <v/>
      </c>
    </row>
    <row r="1158" spans="25:26" ht="14.25" customHeight="1" x14ac:dyDescent="0.3">
      <c r="Y1158" t="str">
        <f t="shared" si="37"/>
        <v/>
      </c>
      <c r="Z1158" t="str">
        <f t="shared" si="38"/>
        <v/>
      </c>
    </row>
    <row r="1159" spans="25:26" ht="14.25" customHeight="1" x14ac:dyDescent="0.3">
      <c r="Y1159" t="str">
        <f t="shared" si="37"/>
        <v/>
      </c>
      <c r="Z1159" t="str">
        <f t="shared" si="38"/>
        <v/>
      </c>
    </row>
    <row r="1160" spans="25:26" ht="14.25" customHeight="1" x14ac:dyDescent="0.3">
      <c r="Y1160" t="str">
        <f t="shared" si="37"/>
        <v/>
      </c>
      <c r="Z1160" t="str">
        <f t="shared" si="38"/>
        <v/>
      </c>
    </row>
    <row r="1161" spans="25:26" ht="14.25" customHeight="1" x14ac:dyDescent="0.3">
      <c r="Y1161" t="str">
        <f t="shared" si="37"/>
        <v/>
      </c>
      <c r="Z1161" t="str">
        <f t="shared" si="38"/>
        <v/>
      </c>
    </row>
    <row r="1162" spans="25:26" ht="14.25" customHeight="1" x14ac:dyDescent="0.3">
      <c r="Y1162" t="str">
        <f t="shared" si="37"/>
        <v/>
      </c>
      <c r="Z1162" t="str">
        <f t="shared" si="38"/>
        <v/>
      </c>
    </row>
    <row r="1163" spans="25:26" ht="14.25" customHeight="1" x14ac:dyDescent="0.3">
      <c r="Y1163" t="str">
        <f t="shared" si="37"/>
        <v/>
      </c>
      <c r="Z1163" t="str">
        <f t="shared" si="38"/>
        <v/>
      </c>
    </row>
    <row r="1164" spans="25:26" ht="14.25" customHeight="1" x14ac:dyDescent="0.3">
      <c r="Y1164" t="str">
        <f t="shared" si="37"/>
        <v/>
      </c>
      <c r="Z1164" t="str">
        <f t="shared" si="38"/>
        <v/>
      </c>
    </row>
    <row r="1165" spans="25:26" ht="14.25" customHeight="1" x14ac:dyDescent="0.3">
      <c r="Y1165" t="str">
        <f t="shared" si="37"/>
        <v/>
      </c>
      <c r="Z1165" t="str">
        <f t="shared" si="38"/>
        <v/>
      </c>
    </row>
    <row r="1166" spans="25:26" ht="14.25" customHeight="1" x14ac:dyDescent="0.3">
      <c r="Y1166" t="str">
        <f t="shared" si="37"/>
        <v/>
      </c>
      <c r="Z1166" t="str">
        <f t="shared" si="38"/>
        <v/>
      </c>
    </row>
    <row r="1167" spans="25:26" ht="14.25" customHeight="1" x14ac:dyDescent="0.3">
      <c r="Y1167" t="str">
        <f t="shared" si="37"/>
        <v/>
      </c>
      <c r="Z1167" t="str">
        <f t="shared" si="38"/>
        <v/>
      </c>
    </row>
    <row r="1168" spans="25:26" ht="14.25" customHeight="1" x14ac:dyDescent="0.3">
      <c r="Y1168" t="str">
        <f t="shared" si="37"/>
        <v/>
      </c>
      <c r="Z1168" t="str">
        <f t="shared" si="38"/>
        <v/>
      </c>
    </row>
    <row r="1169" spans="25:26" ht="14.25" customHeight="1" x14ac:dyDescent="0.3">
      <c r="Y1169" t="str">
        <f t="shared" si="37"/>
        <v/>
      </c>
      <c r="Z1169" t="str">
        <f t="shared" si="38"/>
        <v/>
      </c>
    </row>
    <row r="1170" spans="25:26" ht="14.25" customHeight="1" x14ac:dyDescent="0.3">
      <c r="Y1170" t="str">
        <f t="shared" si="37"/>
        <v/>
      </c>
      <c r="Z1170" t="str">
        <f t="shared" si="38"/>
        <v/>
      </c>
    </row>
    <row r="1171" spans="25:26" ht="14.25" customHeight="1" x14ac:dyDescent="0.3">
      <c r="Y1171" t="str">
        <f t="shared" si="37"/>
        <v/>
      </c>
      <c r="Z1171" t="str">
        <f t="shared" si="38"/>
        <v/>
      </c>
    </row>
    <row r="1172" spans="25:26" ht="14.25" customHeight="1" x14ac:dyDescent="0.3">
      <c r="Y1172" t="str">
        <f t="shared" si="37"/>
        <v/>
      </c>
      <c r="Z1172" t="str">
        <f t="shared" si="38"/>
        <v/>
      </c>
    </row>
    <row r="1173" spans="25:26" ht="14.25" customHeight="1" x14ac:dyDescent="0.3">
      <c r="Y1173" t="str">
        <f t="shared" si="37"/>
        <v/>
      </c>
      <c r="Z1173" t="str">
        <f t="shared" si="38"/>
        <v/>
      </c>
    </row>
    <row r="1174" spans="25:26" ht="14.25" customHeight="1" x14ac:dyDescent="0.3">
      <c r="Y1174" t="str">
        <f t="shared" si="37"/>
        <v/>
      </c>
      <c r="Z1174" t="str">
        <f t="shared" si="38"/>
        <v/>
      </c>
    </row>
    <row r="1175" spans="25:26" ht="14.25" customHeight="1" x14ac:dyDescent="0.3">
      <c r="Y1175" t="str">
        <f t="shared" si="37"/>
        <v/>
      </c>
      <c r="Z1175" t="str">
        <f t="shared" si="38"/>
        <v/>
      </c>
    </row>
    <row r="1176" spans="25:26" ht="14.25" customHeight="1" x14ac:dyDescent="0.3">
      <c r="Y1176" t="str">
        <f t="shared" si="37"/>
        <v/>
      </c>
      <c r="Z1176" t="str">
        <f t="shared" si="38"/>
        <v/>
      </c>
    </row>
    <row r="1177" spans="25:26" ht="14.25" customHeight="1" x14ac:dyDescent="0.3">
      <c r="Y1177" t="str">
        <f t="shared" si="37"/>
        <v/>
      </c>
      <c r="Z1177" t="str">
        <f t="shared" si="38"/>
        <v/>
      </c>
    </row>
    <row r="1178" spans="25:26" ht="14.25" customHeight="1" x14ac:dyDescent="0.3">
      <c r="Y1178" t="str">
        <f t="shared" si="37"/>
        <v/>
      </c>
      <c r="Z1178" t="str">
        <f t="shared" si="38"/>
        <v/>
      </c>
    </row>
    <row r="1179" spans="25:26" ht="14.25" customHeight="1" x14ac:dyDescent="0.3">
      <c r="Y1179" t="str">
        <f t="shared" si="37"/>
        <v/>
      </c>
      <c r="Z1179" t="str">
        <f t="shared" si="38"/>
        <v/>
      </c>
    </row>
    <row r="1180" spans="25:26" ht="14.25" customHeight="1" x14ac:dyDescent="0.3">
      <c r="Y1180" t="str">
        <f t="shared" si="37"/>
        <v/>
      </c>
      <c r="Z1180" t="str">
        <f t="shared" si="38"/>
        <v/>
      </c>
    </row>
    <row r="1181" spans="25:26" ht="14.25" customHeight="1" x14ac:dyDescent="0.3">
      <c r="Y1181" t="str">
        <f t="shared" si="37"/>
        <v/>
      </c>
      <c r="Z1181" t="str">
        <f t="shared" si="38"/>
        <v/>
      </c>
    </row>
    <row r="1182" spans="25:26" ht="14.25" customHeight="1" x14ac:dyDescent="0.3">
      <c r="Y1182" t="str">
        <f t="shared" si="37"/>
        <v/>
      </c>
      <c r="Z1182" t="str">
        <f t="shared" si="38"/>
        <v/>
      </c>
    </row>
    <row r="1183" spans="25:26" ht="14.25" customHeight="1" x14ac:dyDescent="0.3">
      <c r="Y1183" t="str">
        <f t="shared" si="37"/>
        <v/>
      </c>
      <c r="Z1183" t="str">
        <f t="shared" si="38"/>
        <v/>
      </c>
    </row>
    <row r="1184" spans="25:26" ht="14.25" customHeight="1" x14ac:dyDescent="0.3">
      <c r="Y1184" t="str">
        <f t="shared" si="37"/>
        <v/>
      </c>
      <c r="Z1184" t="str">
        <f t="shared" si="38"/>
        <v/>
      </c>
    </row>
    <row r="1185" spans="25:26" ht="14.25" customHeight="1" x14ac:dyDescent="0.3">
      <c r="Y1185" t="str">
        <f t="shared" si="37"/>
        <v/>
      </c>
      <c r="Z1185" t="str">
        <f t="shared" si="38"/>
        <v/>
      </c>
    </row>
    <row r="1186" spans="25:26" ht="14.25" customHeight="1" x14ac:dyDescent="0.3">
      <c r="Y1186" t="str">
        <f t="shared" si="37"/>
        <v/>
      </c>
      <c r="Z1186" t="str">
        <f t="shared" si="38"/>
        <v/>
      </c>
    </row>
    <row r="1187" spans="25:26" ht="14.25" customHeight="1" x14ac:dyDescent="0.3">
      <c r="Y1187" t="str">
        <f t="shared" si="37"/>
        <v/>
      </c>
      <c r="Z1187" t="str">
        <f t="shared" si="38"/>
        <v/>
      </c>
    </row>
    <row r="1188" spans="25:26" ht="14.25" customHeight="1" x14ac:dyDescent="0.3">
      <c r="Y1188" t="str">
        <f t="shared" si="37"/>
        <v/>
      </c>
      <c r="Z1188" t="str">
        <f t="shared" si="38"/>
        <v/>
      </c>
    </row>
    <row r="1189" spans="25:26" ht="14.25" customHeight="1" x14ac:dyDescent="0.3">
      <c r="Y1189" t="str">
        <f t="shared" si="37"/>
        <v/>
      </c>
      <c r="Z1189" t="str">
        <f t="shared" si="38"/>
        <v/>
      </c>
    </row>
    <row r="1190" spans="25:26" ht="14.25" customHeight="1" x14ac:dyDescent="0.3">
      <c r="Y1190" t="str">
        <f t="shared" si="37"/>
        <v/>
      </c>
      <c r="Z1190" t="str">
        <f t="shared" si="38"/>
        <v/>
      </c>
    </row>
    <row r="1191" spans="25:26" ht="14.25" customHeight="1" x14ac:dyDescent="0.3">
      <c r="Y1191" t="str">
        <f t="shared" si="37"/>
        <v/>
      </c>
      <c r="Z1191" t="str">
        <f t="shared" si="38"/>
        <v/>
      </c>
    </row>
    <row r="1192" spans="25:26" ht="14.25" customHeight="1" x14ac:dyDescent="0.3">
      <c r="Y1192" t="str">
        <f t="shared" si="37"/>
        <v/>
      </c>
      <c r="Z1192" t="str">
        <f t="shared" si="38"/>
        <v/>
      </c>
    </row>
    <row r="1193" spans="25:26" ht="14.25" customHeight="1" x14ac:dyDescent="0.3">
      <c r="Y1193" t="str">
        <f t="shared" si="37"/>
        <v/>
      </c>
      <c r="Z1193" t="str">
        <f t="shared" si="38"/>
        <v/>
      </c>
    </row>
    <row r="1194" spans="25:26" ht="14.25" customHeight="1" x14ac:dyDescent="0.3">
      <c r="Y1194" t="str">
        <f t="shared" si="37"/>
        <v/>
      </c>
      <c r="Z1194" t="str">
        <f t="shared" si="38"/>
        <v/>
      </c>
    </row>
    <row r="1195" spans="25:26" ht="14.25" customHeight="1" x14ac:dyDescent="0.3">
      <c r="Y1195" t="str">
        <f t="shared" si="37"/>
        <v/>
      </c>
      <c r="Z1195" t="str">
        <f t="shared" si="38"/>
        <v/>
      </c>
    </row>
    <row r="1196" spans="25:26" ht="14.25" customHeight="1" x14ac:dyDescent="0.3">
      <c r="Y1196" t="str">
        <f t="shared" si="37"/>
        <v/>
      </c>
      <c r="Z1196" t="str">
        <f t="shared" si="38"/>
        <v/>
      </c>
    </row>
    <row r="1197" spans="25:26" ht="14.25" customHeight="1" x14ac:dyDescent="0.3">
      <c r="Y1197" t="str">
        <f t="shared" si="37"/>
        <v/>
      </c>
      <c r="Z1197" t="str">
        <f t="shared" si="38"/>
        <v/>
      </c>
    </row>
    <row r="1198" spans="25:26" ht="14.25" customHeight="1" x14ac:dyDescent="0.3">
      <c r="Y1198" t="str">
        <f t="shared" si="37"/>
        <v/>
      </c>
      <c r="Z1198" t="str">
        <f t="shared" si="38"/>
        <v/>
      </c>
    </row>
    <row r="1199" spans="25:26" ht="14.25" customHeight="1" x14ac:dyDescent="0.3">
      <c r="Y1199" t="str">
        <f t="shared" si="37"/>
        <v/>
      </c>
      <c r="Z1199" t="str">
        <f t="shared" si="38"/>
        <v/>
      </c>
    </row>
    <row r="1200" spans="25:26" ht="14.25" customHeight="1" x14ac:dyDescent="0.3">
      <c r="Y1200" t="str">
        <f t="shared" si="37"/>
        <v/>
      </c>
      <c r="Z1200" t="str">
        <f t="shared" si="38"/>
        <v/>
      </c>
    </row>
    <row r="1201" spans="25:26" ht="14.25" customHeight="1" x14ac:dyDescent="0.3">
      <c r="Y1201" t="str">
        <f t="shared" si="37"/>
        <v/>
      </c>
      <c r="Z1201" t="str">
        <f t="shared" si="38"/>
        <v/>
      </c>
    </row>
  </sheetData>
  <sheetProtection sheet="1" formatCells="0" formatColumns="0" formatRows="0" sort="0" autoFilter="0"/>
  <mergeCells count="73">
    <mergeCell ref="B28:F28"/>
    <mergeCell ref="J7:M7"/>
    <mergeCell ref="N7:Q7"/>
    <mergeCell ref="B25:E25"/>
    <mergeCell ref="F25:I25"/>
    <mergeCell ref="J25:M25"/>
    <mergeCell ref="N25:Q25"/>
    <mergeCell ref="B26:Q26"/>
    <mergeCell ref="D23:E23"/>
    <mergeCell ref="H23:I23"/>
    <mergeCell ref="L23:M23"/>
    <mergeCell ref="P23:Q23"/>
    <mergeCell ref="C24:E24"/>
    <mergeCell ref="G24:I24"/>
    <mergeCell ref="K24:M24"/>
    <mergeCell ref="O24:Q24"/>
    <mergeCell ref="D21:E21"/>
    <mergeCell ref="H21:I21"/>
    <mergeCell ref="L21:M21"/>
    <mergeCell ref="P21:Q21"/>
    <mergeCell ref="D22:E22"/>
    <mergeCell ref="H22:I22"/>
    <mergeCell ref="L22:M22"/>
    <mergeCell ref="P22:Q22"/>
    <mergeCell ref="B19:E19"/>
    <mergeCell ref="F19:I19"/>
    <mergeCell ref="J19:M19"/>
    <mergeCell ref="N19:Q19"/>
    <mergeCell ref="B20:E20"/>
    <mergeCell ref="F20:I20"/>
    <mergeCell ref="J20:M20"/>
    <mergeCell ref="N20:Q20"/>
    <mergeCell ref="C15:E15"/>
    <mergeCell ref="G15:I15"/>
    <mergeCell ref="K15:M15"/>
    <mergeCell ref="O15:Q15"/>
    <mergeCell ref="B17:E17"/>
    <mergeCell ref="F17:I17"/>
    <mergeCell ref="J17:M17"/>
    <mergeCell ref="N17:Q17"/>
    <mergeCell ref="D13:E13"/>
    <mergeCell ref="H13:I13"/>
    <mergeCell ref="L13:M13"/>
    <mergeCell ref="P13:Q13"/>
    <mergeCell ref="D14:E14"/>
    <mergeCell ref="H14:I14"/>
    <mergeCell ref="L14:M14"/>
    <mergeCell ref="P14:Q14"/>
    <mergeCell ref="B11:E11"/>
    <mergeCell ref="F11:I11"/>
    <mergeCell ref="J11:M11"/>
    <mergeCell ref="N11:Q11"/>
    <mergeCell ref="D12:E12"/>
    <mergeCell ref="H12:I12"/>
    <mergeCell ref="L12:M12"/>
    <mergeCell ref="P12:Q12"/>
    <mergeCell ref="M6:N6"/>
    <mergeCell ref="C7:E7"/>
    <mergeCell ref="F7:H7"/>
    <mergeCell ref="B10:E10"/>
    <mergeCell ref="F10:I10"/>
    <mergeCell ref="J10:M10"/>
    <mergeCell ref="N10:Q10"/>
    <mergeCell ref="C4:F4"/>
    <mergeCell ref="H4:I4"/>
    <mergeCell ref="K4:L4"/>
    <mergeCell ref="C6:F6"/>
    <mergeCell ref="H6:I6"/>
    <mergeCell ref="A1:Q1"/>
    <mergeCell ref="A2:Q2"/>
    <mergeCell ref="C3:F3"/>
    <mergeCell ref="H3:I3"/>
    <mergeCell ref="K3:L3"/>
  </mergeCells>
  <conditionalFormatting sqref="C7">
    <cfRule type="expression" dxfId="123" priority="2">
      <formula>LEFT(C7,1)="✓"</formula>
    </cfRule>
    <cfRule type="expression" dxfId="122" priority="3">
      <formula>LEFT(C7,1)="✗"</formula>
    </cfRule>
  </conditionalFormatting>
  <conditionalFormatting sqref="C15">
    <cfRule type="expression" dxfId="121" priority="11">
      <formula>LEFT(C15,1)="▲"</formula>
    </cfRule>
    <cfRule type="expression" dxfId="120" priority="12">
      <formula>LEFT(C15,1)="▼"</formula>
    </cfRule>
    <cfRule type="expression" dxfId="119" priority="13">
      <formula>LEFT(C15,1)="➜"</formula>
    </cfRule>
  </conditionalFormatting>
  <conditionalFormatting sqref="C24">
    <cfRule type="expression" dxfId="118" priority="43">
      <formula>LEFT(C24,1)="▲"</formula>
    </cfRule>
    <cfRule type="expression" dxfId="117" priority="44">
      <formula>LEFT(C24,1)="▼"</formula>
    </cfRule>
    <cfRule type="expression" dxfId="116" priority="45">
      <formula>LEFT(C24,1)="➜"</formula>
    </cfRule>
  </conditionalFormatting>
  <conditionalFormatting sqref="D13:E14">
    <cfRule type="cellIs" dxfId="115" priority="6" operator="equal">
      <formula>1</formula>
    </cfRule>
    <cfRule type="cellIs" dxfId="114" priority="7" operator="equal">
      <formula>2</formula>
    </cfRule>
    <cfRule type="cellIs" dxfId="113" priority="8" operator="equal">
      <formula>3</formula>
    </cfRule>
    <cfRule type="cellIs" dxfId="112" priority="9" operator="equal">
      <formula>4</formula>
    </cfRule>
    <cfRule type="cellIs" dxfId="111" priority="10" operator="equal">
      <formula>5</formula>
    </cfRule>
  </conditionalFormatting>
  <conditionalFormatting sqref="D22:E23">
    <cfRule type="cellIs" dxfId="110" priority="38" operator="equal">
      <formula>1</formula>
    </cfRule>
    <cfRule type="cellIs" dxfId="109" priority="39" operator="equal">
      <formula>2</formula>
    </cfRule>
    <cfRule type="cellIs" dxfId="108" priority="42" operator="equal">
      <formula>5</formula>
    </cfRule>
    <cfRule type="cellIs" dxfId="107" priority="41" operator="equal">
      <formula>4</formula>
    </cfRule>
    <cfRule type="cellIs" dxfId="106" priority="40" operator="equal">
      <formula>3</formula>
    </cfRule>
  </conditionalFormatting>
  <conditionalFormatting sqref="F7">
    <cfRule type="expression" dxfId="105" priority="4">
      <formula>LEFT(F7,1)="✓"</formula>
    </cfRule>
    <cfRule type="expression" dxfId="104" priority="5">
      <formula>LEFT(F7,1)="✗"</formula>
    </cfRule>
  </conditionalFormatting>
  <conditionalFormatting sqref="G15">
    <cfRule type="expression" dxfId="103" priority="19">
      <formula>LEFT(G15,1)="▲"</formula>
    </cfRule>
    <cfRule type="expression" dxfId="102" priority="20">
      <formula>LEFT(G15,1)="▼"</formula>
    </cfRule>
    <cfRule type="expression" dxfId="101" priority="21">
      <formula>LEFT(G15,1)="➜"</formula>
    </cfRule>
  </conditionalFormatting>
  <conditionalFormatting sqref="G24">
    <cfRule type="expression" dxfId="100" priority="51">
      <formula>LEFT(G24,1)="▲"</formula>
    </cfRule>
    <cfRule type="expression" dxfId="99" priority="52">
      <formula>LEFT(G24,1)="▼"</formula>
    </cfRule>
    <cfRule type="expression" dxfId="98" priority="53">
      <formula>LEFT(G24,1)="➜"</formula>
    </cfRule>
  </conditionalFormatting>
  <conditionalFormatting sqref="H13:I14">
    <cfRule type="cellIs" dxfId="97" priority="18" operator="equal">
      <formula>5</formula>
    </cfRule>
    <cfRule type="cellIs" dxfId="96" priority="17" operator="equal">
      <formula>4</formula>
    </cfRule>
    <cfRule type="cellIs" dxfId="95" priority="16" operator="equal">
      <formula>3</formula>
    </cfRule>
    <cfRule type="cellIs" dxfId="94" priority="15" operator="equal">
      <formula>2</formula>
    </cfRule>
    <cfRule type="cellIs" dxfId="93" priority="14" operator="equal">
      <formula>1</formula>
    </cfRule>
  </conditionalFormatting>
  <conditionalFormatting sqref="H22:I23">
    <cfRule type="cellIs" dxfId="92" priority="46" operator="equal">
      <formula>1</formula>
    </cfRule>
    <cfRule type="cellIs" dxfId="91" priority="49" operator="equal">
      <formula>4</formula>
    </cfRule>
    <cfRule type="cellIs" dxfId="90" priority="48" operator="equal">
      <formula>3</formula>
    </cfRule>
    <cfRule type="cellIs" dxfId="89" priority="47" operator="equal">
      <formula>2</formula>
    </cfRule>
    <cfRule type="cellIs" dxfId="88" priority="50" operator="equal">
      <formula>5</formula>
    </cfRule>
  </conditionalFormatting>
  <conditionalFormatting sqref="K15">
    <cfRule type="expression" dxfId="87" priority="29">
      <formula>LEFT(K15,1)="➜"</formula>
    </cfRule>
    <cfRule type="expression" dxfId="86" priority="28">
      <formula>LEFT(K15,1)="▼"</formula>
    </cfRule>
    <cfRule type="expression" dxfId="85" priority="27">
      <formula>LEFT(K15,1)="▲"</formula>
    </cfRule>
  </conditionalFormatting>
  <conditionalFormatting sqref="K24">
    <cfRule type="expression" dxfId="84" priority="59">
      <formula>LEFT(K24,1)="▲"</formula>
    </cfRule>
    <cfRule type="expression" dxfId="83" priority="60">
      <formula>LEFT(K24,1)="▼"</formula>
    </cfRule>
    <cfRule type="expression" dxfId="82" priority="61">
      <formula>LEFT(K24,1)="➜"</formula>
    </cfRule>
  </conditionalFormatting>
  <conditionalFormatting sqref="L13:M14">
    <cfRule type="cellIs" dxfId="81" priority="26" operator="equal">
      <formula>5</formula>
    </cfRule>
    <cfRule type="cellIs" dxfId="80" priority="25" operator="equal">
      <formula>4</formula>
    </cfRule>
    <cfRule type="cellIs" dxfId="79" priority="24" operator="equal">
      <formula>3</formula>
    </cfRule>
    <cfRule type="cellIs" dxfId="78" priority="23" operator="equal">
      <formula>2</formula>
    </cfRule>
    <cfRule type="cellIs" dxfId="77" priority="22" operator="equal">
      <formula>1</formula>
    </cfRule>
  </conditionalFormatting>
  <conditionalFormatting sqref="L22:M23">
    <cfRule type="cellIs" dxfId="76" priority="54" operator="equal">
      <formula>1</formula>
    </cfRule>
    <cfRule type="cellIs" dxfId="75" priority="55" operator="equal">
      <formula>2</formula>
    </cfRule>
    <cfRule type="cellIs" dxfId="74" priority="56" operator="equal">
      <formula>3</formula>
    </cfRule>
    <cfRule type="cellIs" dxfId="73" priority="57" operator="equal">
      <formula>4</formula>
    </cfRule>
    <cfRule type="cellIs" dxfId="72" priority="58" operator="equal">
      <formula>5</formula>
    </cfRule>
  </conditionalFormatting>
  <conditionalFormatting sqref="O15">
    <cfRule type="expression" dxfId="71" priority="36">
      <formula>LEFT(O15,1)="▼"</formula>
    </cfRule>
    <cfRule type="expression" dxfId="70" priority="37">
      <formula>LEFT(O15,1)="➜"</formula>
    </cfRule>
    <cfRule type="expression" dxfId="69" priority="35">
      <formula>LEFT(O15,1)="▲"</formula>
    </cfRule>
  </conditionalFormatting>
  <conditionalFormatting sqref="O24">
    <cfRule type="expression" dxfId="68" priority="67">
      <formula>LEFT(O24,1)="▲"</formula>
    </cfRule>
    <cfRule type="expression" dxfId="67" priority="68">
      <formula>LEFT(O24,1)="▼"</formula>
    </cfRule>
    <cfRule type="expression" dxfId="66" priority="69">
      <formula>LEFT(O24,1)="➜"</formula>
    </cfRule>
  </conditionalFormatting>
  <conditionalFormatting sqref="P13:Q14">
    <cfRule type="cellIs" dxfId="65" priority="32" operator="equal">
      <formula>3</formula>
    </cfRule>
    <cfRule type="cellIs" dxfId="64" priority="31" operator="equal">
      <formula>2</formula>
    </cfRule>
    <cfRule type="cellIs" dxfId="63" priority="30" operator="equal">
      <formula>1</formula>
    </cfRule>
    <cfRule type="cellIs" dxfId="62" priority="34" operator="equal">
      <formula>5</formula>
    </cfRule>
    <cfRule type="cellIs" dxfId="61" priority="33" operator="equal">
      <formula>4</formula>
    </cfRule>
  </conditionalFormatting>
  <conditionalFormatting sqref="P22:Q23">
    <cfRule type="cellIs" dxfId="60" priority="62" operator="equal">
      <formula>1</formula>
    </cfRule>
    <cfRule type="cellIs" dxfId="59" priority="63" operator="equal">
      <formula>2</formula>
    </cfRule>
    <cfRule type="cellIs" dxfId="58" priority="64" operator="equal">
      <formula>3</formula>
    </cfRule>
    <cfRule type="cellIs" dxfId="57" priority="65" operator="equal">
      <formula>4</formula>
    </cfRule>
    <cfRule type="cellIs" dxfId="56" priority="66" operator="equal">
      <formula>5</formula>
    </cfRule>
  </conditionalFormatting>
  <dataValidations count="3">
    <dataValidation type="list" allowBlank="1" showErrorMessage="1" errorTitle="Année invalide" error="Sélectionnez une année scolaire dans la liste déroulante (ex : 2025-2026). Vérifiez la saisie." sqref="H4" xr:uid="{00000000-0002-0000-0300-000000000000}">
      <formula1>LISTE_ANNEES</formula1>
      <formula2>0</formula2>
    </dataValidation>
    <dataValidation type="list" showErrorMessage="1" errorTitle="Niveau invalide" error="Sélectionnez (Tous) ou un niveau scolaire dans la liste déroulante." sqref="K4" xr:uid="{00000000-0002-0000-0300-000001000000}">
      <formula1>"(Tous),CP,CE1,CE2,CM1,CM2"</formula1>
      <formula2>0</formula2>
    </dataValidation>
    <dataValidation type="list" showErrorMessage="1" errorTitle="Élève invalide" error="Sélectionnez un élève existant dans la liste déroulante." sqref="C4" xr:uid="{00000000-0002-0000-0300-000002000000}">
      <formula1>LISTE_ELEVES_PROFIL</formula1>
      <formula2>0</formula2>
    </dataValidation>
  </dataValidations>
  <pageMargins left="0.75" right="0.75" top="1" bottom="1" header="0.511811023622047" footer="0.511811023622047"/>
  <pageSetup paperSize="9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ED7D31"/>
    <pageSetUpPr fitToPage="1"/>
  </sheetPr>
  <dimension ref="A1:L52"/>
  <sheetViews>
    <sheetView showGridLines="0" zoomScaleNormal="100" workbookViewId="0">
      <selection sqref="A1:I1"/>
    </sheetView>
  </sheetViews>
  <sheetFormatPr baseColWidth="10" defaultColWidth="8.88671875" defaultRowHeight="14.4" x14ac:dyDescent="0.3"/>
  <cols>
    <col min="1" max="1" width="3" customWidth="1"/>
    <col min="2" max="2" width="16" customWidth="1"/>
    <col min="3" max="3" width="14" customWidth="1"/>
    <col min="4" max="4" width="12" customWidth="1"/>
    <col min="5" max="5" width="11" customWidth="1"/>
    <col min="6" max="6" width="12" customWidth="1"/>
    <col min="7" max="7" width="11" customWidth="1"/>
    <col min="8" max="8" width="14" customWidth="1"/>
    <col min="9" max="9" width="2" customWidth="1"/>
    <col min="10" max="10" width="13" customWidth="1"/>
    <col min="11" max="11" width="2" hidden="1" customWidth="1"/>
  </cols>
  <sheetData>
    <row r="1" spans="1:12" ht="30" customHeight="1" x14ac:dyDescent="0.3">
      <c r="A1" s="315" t="s">
        <v>177</v>
      </c>
      <c r="B1" s="315"/>
      <c r="C1" s="315"/>
      <c r="D1" s="315"/>
      <c r="E1" s="315"/>
      <c r="F1" s="315"/>
      <c r="G1" s="315"/>
      <c r="H1" s="315"/>
      <c r="I1" s="315"/>
    </row>
    <row r="2" spans="1:12" ht="15.75" customHeight="1" x14ac:dyDescent="0.3">
      <c r="A2" s="316" t="str">
        <f>CONCATENATE("Établissement : ",IF(T(ETABLISSEMENT_NOM)="","(non renseigné)",ETABLISSEMENT_NOM),"   —   Année scolaire : ",'PROFIL ELEVE'!H4)</f>
        <v>Établissement : (non renseigné)   —   Année scolaire : 2026-2027</v>
      </c>
      <c r="B2" s="316"/>
      <c r="C2" s="316"/>
      <c r="D2" s="316"/>
      <c r="E2" s="316"/>
      <c r="F2" s="316"/>
      <c r="G2" s="316"/>
      <c r="H2" s="316"/>
      <c r="I2" s="316"/>
      <c r="L2" s="154" t="str">
        <f>HYPERLINK("#ACCUEIL!A1","← ACCUEIL")</f>
        <v>← ACCUEIL</v>
      </c>
    </row>
    <row r="3" spans="1:12" ht="7.5" customHeight="1" x14ac:dyDescent="0.3"/>
    <row r="4" spans="1:12" ht="27.75" customHeight="1" x14ac:dyDescent="0.3">
      <c r="A4" s="317" t="str">
        <f>IF('PROFIL ELEVE'!$W$4=0,"Aucun élève sélectionné",CONCATENATE('PROFIL ELEVE'!C6," ",'PROFIL ELEVE'!H6))</f>
        <v>Aucun élève sélectionné</v>
      </c>
      <c r="B4" s="317"/>
      <c r="C4" s="317"/>
      <c r="D4" s="317"/>
      <c r="E4" s="317"/>
      <c r="F4" s="317"/>
      <c r="G4" s="317"/>
      <c r="H4" s="317"/>
      <c r="I4" s="317"/>
    </row>
    <row r="5" spans="1:12" ht="18" customHeight="1" x14ac:dyDescent="0.3">
      <c r="A5" s="318" t="str">
        <f>CONCATENATE("Niveau scolaire : ",'PROFIL ELEVE'!M6)</f>
        <v>Niveau scolaire : —</v>
      </c>
      <c r="B5" s="318"/>
      <c r="C5" s="318"/>
      <c r="D5" s="318"/>
      <c r="E5" s="318" t="str">
        <f>CONCATENATE("Sessions : ",IF('PROFIL ELEVE'!U4&lt;&gt;0,"S1 ✓","S1 ✗"),"   /   ",IF('PROFIL ELEVE'!V4&lt;&gt;0,"S2 ✓","S2 ✗"))</f>
        <v>Sessions : S1 ✗   /   S2 ✗</v>
      </c>
      <c r="F5" s="318"/>
      <c r="G5" s="318"/>
      <c r="H5" s="318"/>
      <c r="I5" s="318"/>
    </row>
    <row r="6" spans="1:12" ht="9.75" customHeight="1" x14ac:dyDescent="0.3"/>
    <row r="7" spans="1:12" ht="21.75" customHeight="1" x14ac:dyDescent="0.3">
      <c r="A7" s="310" t="s">
        <v>178</v>
      </c>
      <c r="B7" s="310"/>
      <c r="C7" s="310"/>
      <c r="D7" s="310"/>
      <c r="E7" s="310"/>
      <c r="F7" s="310"/>
      <c r="G7" s="310"/>
      <c r="H7" s="310"/>
      <c r="I7" s="310"/>
      <c r="J7" s="35"/>
    </row>
    <row r="8" spans="1:12" ht="15.75" customHeight="1" x14ac:dyDescent="0.3">
      <c r="A8" s="311" t="s">
        <v>44</v>
      </c>
      <c r="B8" s="311"/>
      <c r="C8" s="56" t="s">
        <v>179</v>
      </c>
      <c r="D8" s="56" t="s">
        <v>180</v>
      </c>
      <c r="E8" s="56" t="s">
        <v>181</v>
      </c>
      <c r="F8" s="56" t="s">
        <v>182</v>
      </c>
      <c r="G8" s="56" t="s">
        <v>183</v>
      </c>
      <c r="H8" s="56" t="s">
        <v>165</v>
      </c>
      <c r="J8" s="57" t="s">
        <v>184</v>
      </c>
    </row>
    <row r="9" spans="1:12" ht="15.75" customHeight="1" x14ac:dyDescent="0.3">
      <c r="A9" s="312" t="s">
        <v>2</v>
      </c>
      <c r="B9" s="312"/>
      <c r="C9" s="58" t="s">
        <v>185</v>
      </c>
      <c r="D9" s="52" t="str">
        <f>'PROFIL ELEVE'!C13</f>
        <v/>
      </c>
      <c r="E9" s="59" t="str">
        <f>'PROFIL ELEVE'!D13</f>
        <v/>
      </c>
      <c r="F9" s="52" t="str">
        <f>'PROFIL ELEVE'!C14</f>
        <v/>
      </c>
      <c r="G9" s="59" t="str">
        <f>'PROFIL ELEVE'!D14</f>
        <v/>
      </c>
      <c r="H9" s="52" t="str">
        <f>'PROFIL ELEVE'!C15</f>
        <v>Non testé</v>
      </c>
      <c r="I9" s="52"/>
      <c r="J9" s="60" t="str">
        <f>IFERROR(ROUND(AVERAGEIFS(D_EQ_NIV,D_ANNEE,'PROFIL ELEVE'!$H$4,D_NIVEAU,'PROFIL ELEVE'!$M$6,D_EQ_NIV,"&gt;0"),1),"Non réalisée")</f>
        <v>Non réalisée</v>
      </c>
    </row>
    <row r="10" spans="1:12" ht="15.75" customHeight="1" x14ac:dyDescent="0.3">
      <c r="A10" s="313" t="s">
        <v>3</v>
      </c>
      <c r="B10" s="313"/>
      <c r="C10" s="58" t="s">
        <v>186</v>
      </c>
      <c r="D10" s="52" t="str">
        <f>'PROFIL ELEVE'!G13</f>
        <v/>
      </c>
      <c r="E10" s="59" t="str">
        <f>'PROFIL ELEVE'!H13</f>
        <v/>
      </c>
      <c r="F10" s="52" t="str">
        <f>'PROFIL ELEVE'!G14</f>
        <v/>
      </c>
      <c r="G10" s="59" t="str">
        <f>'PROFIL ELEVE'!H14</f>
        <v/>
      </c>
      <c r="H10" s="52" t="str">
        <f>'PROFIL ELEVE'!G15</f>
        <v>Non testé</v>
      </c>
      <c r="I10" s="52"/>
      <c r="J10" s="60" t="str">
        <f>IFERROR(ROUND(AVERAGEIFS(D_SO_NIV,D_ANNEE,'PROFIL ELEVE'!$H$4,D_NIVEAU,'PROFIL ELEVE'!$M$6,D_SO_NIV,"&gt;0"),1),"Non réalisée")</f>
        <v>Non réalisée</v>
      </c>
    </row>
    <row r="11" spans="1:12" ht="15.75" customHeight="1" x14ac:dyDescent="0.3">
      <c r="A11" s="314" t="s">
        <v>4</v>
      </c>
      <c r="B11" s="314"/>
      <c r="C11" s="58" t="s">
        <v>187</v>
      </c>
      <c r="D11" s="52" t="str">
        <f>'PROFIL ELEVE'!K13</f>
        <v/>
      </c>
      <c r="E11" s="59" t="str">
        <f>'PROFIL ELEVE'!L13</f>
        <v/>
      </c>
      <c r="F11" s="52" t="str">
        <f>'PROFIL ELEVE'!K14</f>
        <v/>
      </c>
      <c r="G11" s="59" t="str">
        <f>'PROFIL ELEVE'!L14</f>
        <v/>
      </c>
      <c r="H11" s="52" t="str">
        <f>'PROFIL ELEVE'!K15</f>
        <v>Non testé</v>
      </c>
      <c r="I11" s="52"/>
      <c r="J11" s="60" t="str">
        <f>IFERROR(ROUND(AVERAGEIFS(D_VI_NIV,D_ANNEE,'PROFIL ELEVE'!$H$4,D_NIVEAU,'PROFIL ELEVE'!$M$6,D_VI_NIV,"&gt;0"),1),"Non réalisée")</f>
        <v>Non réalisée</v>
      </c>
    </row>
    <row r="12" spans="1:12" ht="15.75" customHeight="1" x14ac:dyDescent="0.3">
      <c r="A12" s="305" t="s">
        <v>5</v>
      </c>
      <c r="B12" s="305"/>
      <c r="C12" s="58" t="s">
        <v>188</v>
      </c>
      <c r="D12" s="52" t="str">
        <f>'PROFIL ELEVE'!O13</f>
        <v/>
      </c>
      <c r="E12" s="59" t="str">
        <f>'PROFIL ELEVE'!P13</f>
        <v/>
      </c>
      <c r="F12" s="52" t="str">
        <f>'PROFIL ELEVE'!O14</f>
        <v/>
      </c>
      <c r="G12" s="59" t="str">
        <f>'PROFIL ELEVE'!P14</f>
        <v/>
      </c>
      <c r="H12" s="52" t="str">
        <f>'PROFIL ELEVE'!O15</f>
        <v>Non testé</v>
      </c>
      <c r="I12" s="52"/>
      <c r="J12" s="60" t="str">
        <f>IFERROR(ROUND(AVERAGEIFS(D_EN_NIV,D_ANNEE,'PROFIL ELEVE'!$H$4,D_NIVEAU,'PROFIL ELEVE'!$M$6,D_EN_NIV,"&gt;0"),1),"Non réalisée")</f>
        <v>Non réalisée</v>
      </c>
    </row>
    <row r="13" spans="1:12" ht="15.75" customHeight="1" x14ac:dyDescent="0.3">
      <c r="A13" s="306" t="s">
        <v>6</v>
      </c>
      <c r="B13" s="306"/>
      <c r="C13" s="58" t="s">
        <v>189</v>
      </c>
      <c r="D13" s="52" t="str">
        <f>'PROFIL ELEVE'!C22</f>
        <v/>
      </c>
      <c r="E13" s="59" t="str">
        <f>'PROFIL ELEVE'!D22</f>
        <v/>
      </c>
      <c r="F13" s="52" t="str">
        <f>'PROFIL ELEVE'!C23</f>
        <v/>
      </c>
      <c r="G13" s="59" t="str">
        <f>'PROFIL ELEVE'!D23</f>
        <v/>
      </c>
      <c r="H13" s="52" t="str">
        <f>'PROFIL ELEVE'!C24</f>
        <v>Non testé</v>
      </c>
      <c r="I13" s="52"/>
      <c r="J13" s="60" t="str">
        <f>IFERROR(ROUND(AVERAGEIFS(D_CO_NIV,D_ANNEE,'PROFIL ELEVE'!$H$4,D_NIVEAU,'PROFIL ELEVE'!$M$6,D_CO_NIV,"&gt;0"),1),"Non réalisée")</f>
        <v>Non réalisée</v>
      </c>
    </row>
    <row r="14" spans="1:12" ht="15.75" customHeight="1" x14ac:dyDescent="0.3">
      <c r="A14" s="307" t="s">
        <v>7</v>
      </c>
      <c r="B14" s="307"/>
      <c r="C14" s="58" t="s">
        <v>185</v>
      </c>
      <c r="D14" s="52" t="str">
        <f>'PROFIL ELEVE'!G22</f>
        <v/>
      </c>
      <c r="E14" s="59" t="str">
        <f>'PROFIL ELEVE'!H22</f>
        <v/>
      </c>
      <c r="F14" s="52" t="str">
        <f>'PROFIL ELEVE'!G23</f>
        <v/>
      </c>
      <c r="G14" s="59" t="str">
        <f>'PROFIL ELEVE'!H23</f>
        <v/>
      </c>
      <c r="H14" s="52" t="str">
        <f>'PROFIL ELEVE'!G24</f>
        <v>Non testé</v>
      </c>
      <c r="I14" s="52"/>
      <c r="J14" s="60" t="str">
        <f>IFERROR(ROUND(AVERAGEIFS(D_GA_NIV,D_ANNEE,'PROFIL ELEVE'!$H$4,D_NIVEAU,'PROFIL ELEVE'!$M$6,D_GA_NIV,"&gt;0"),1),"Non réalisée")</f>
        <v>Non réalisée</v>
      </c>
    </row>
    <row r="15" spans="1:12" ht="15.75" customHeight="1" x14ac:dyDescent="0.3">
      <c r="A15" s="308" t="s">
        <v>8</v>
      </c>
      <c r="B15" s="308"/>
      <c r="C15" s="58" t="s">
        <v>190</v>
      </c>
      <c r="D15" s="52" t="str">
        <f>'PROFIL ELEVE'!K22</f>
        <v/>
      </c>
      <c r="E15" s="59" t="str">
        <f>'PROFIL ELEVE'!L22</f>
        <v/>
      </c>
      <c r="F15" s="52" t="str">
        <f>'PROFIL ELEVE'!K23</f>
        <v/>
      </c>
      <c r="G15" s="59" t="str">
        <f>'PROFIL ELEVE'!L23</f>
        <v/>
      </c>
      <c r="H15" s="52" t="str">
        <f>'PROFIL ELEVE'!K24</f>
        <v>Non testé</v>
      </c>
      <c r="I15" s="52"/>
      <c r="J15" s="60" t="str">
        <f>IFERROR(ROUND(AVERAGEIFS(D_AD_NIV,D_ANNEE,'PROFIL ELEVE'!$H$4,D_NIVEAU,'PROFIL ELEVE'!$M$6,D_AD_NIV,"&gt;0"),1),"Non réalisée")</f>
        <v>Non réalisée</v>
      </c>
    </row>
    <row r="16" spans="1:12" ht="15.75" customHeight="1" x14ac:dyDescent="0.3">
      <c r="A16" s="309" t="s">
        <v>9</v>
      </c>
      <c r="B16" s="309"/>
      <c r="C16" s="58" t="s">
        <v>187</v>
      </c>
      <c r="D16" s="52" t="str">
        <f>'PROFIL ELEVE'!O22</f>
        <v/>
      </c>
      <c r="E16" s="59" t="str">
        <f>'PROFIL ELEVE'!P22</f>
        <v/>
      </c>
      <c r="F16" s="52" t="str">
        <f>'PROFIL ELEVE'!O23</f>
        <v/>
      </c>
      <c r="G16" s="59" t="str">
        <f>'PROFIL ELEVE'!P23</f>
        <v/>
      </c>
      <c r="H16" s="52" t="str">
        <f>'PROFIL ELEVE'!O24</f>
        <v>Non testé</v>
      </c>
      <c r="I16" s="52"/>
      <c r="J16" s="60" t="str">
        <f>IFERROR(ROUND(AVERAGEIFS(D_FO_NIV,D_ANNEE,'PROFIL ELEVE'!$H$4,D_NIVEAU,'PROFIL ELEVE'!$M$6,D_FO_NIV,"&gt;0"),1),"Non réalisée")</f>
        <v>Non réalisée</v>
      </c>
    </row>
    <row r="17" spans="1:10" ht="9.75" customHeight="1" x14ac:dyDescent="0.3">
      <c r="A17" s="36"/>
      <c r="J17" s="43"/>
    </row>
    <row r="18" spans="1:10" ht="21.75" customHeight="1" x14ac:dyDescent="0.3">
      <c r="A18" s="319" t="s">
        <v>170</v>
      </c>
      <c r="B18" s="319"/>
      <c r="C18" s="319"/>
      <c r="D18" s="319"/>
      <c r="E18" s="44" t="s">
        <v>171</v>
      </c>
      <c r="F18" s="45" t="s">
        <v>172</v>
      </c>
      <c r="G18" s="46" t="s">
        <v>173</v>
      </c>
      <c r="H18" s="47" t="s">
        <v>174</v>
      </c>
      <c r="I18" s="323" t="s">
        <v>175</v>
      </c>
      <c r="J18" s="324"/>
    </row>
    <row r="19" spans="1:10" ht="14.25" customHeight="1" x14ac:dyDescent="0.3">
      <c r="A19" s="36"/>
      <c r="J19" s="43"/>
    </row>
    <row r="20" spans="1:10" ht="14.25" customHeight="1" x14ac:dyDescent="0.3">
      <c r="A20" s="36"/>
      <c r="J20" s="43"/>
    </row>
    <row r="21" spans="1:10" ht="14.25" customHeight="1" x14ac:dyDescent="0.3">
      <c r="A21" s="36"/>
      <c r="J21" s="43"/>
    </row>
    <row r="22" spans="1:10" ht="14.25" customHeight="1" x14ac:dyDescent="0.3">
      <c r="A22" s="36"/>
      <c r="J22" s="43"/>
    </row>
    <row r="23" spans="1:10" ht="14.25" customHeight="1" x14ac:dyDescent="0.3">
      <c r="A23" s="36"/>
      <c r="J23" s="43"/>
    </row>
    <row r="24" spans="1:10" ht="14.25" customHeight="1" x14ac:dyDescent="0.3">
      <c r="A24" s="36"/>
      <c r="J24" s="43"/>
    </row>
    <row r="25" spans="1:10" ht="14.25" customHeight="1" x14ac:dyDescent="0.3">
      <c r="A25" s="36"/>
      <c r="J25" s="43"/>
    </row>
    <row r="26" spans="1:10" ht="14.25" customHeight="1" x14ac:dyDescent="0.3">
      <c r="A26" s="36"/>
      <c r="J26" s="43"/>
    </row>
    <row r="27" spans="1:10" ht="14.25" customHeight="1" x14ac:dyDescent="0.3">
      <c r="A27" s="36"/>
      <c r="J27" s="43"/>
    </row>
    <row r="28" spans="1:10" ht="14.25" customHeight="1" x14ac:dyDescent="0.3">
      <c r="A28" s="36"/>
      <c r="J28" s="43"/>
    </row>
    <row r="29" spans="1:10" ht="14.25" customHeight="1" x14ac:dyDescent="0.3">
      <c r="A29" s="36"/>
      <c r="J29" s="43"/>
    </row>
    <row r="30" spans="1:10" ht="14.25" customHeight="1" x14ac:dyDescent="0.3">
      <c r="A30" s="36"/>
      <c r="J30" s="43"/>
    </row>
    <row r="31" spans="1:10" ht="14.25" customHeight="1" x14ac:dyDescent="0.3">
      <c r="A31" s="36"/>
      <c r="J31" s="43"/>
    </row>
    <row r="32" spans="1:10" ht="14.25" customHeight="1" x14ac:dyDescent="0.3">
      <c r="A32" s="36"/>
      <c r="J32" s="43"/>
    </row>
    <row r="33" spans="1:11" ht="14.25" customHeight="1" x14ac:dyDescent="0.3">
      <c r="A33" s="36"/>
      <c r="J33" s="43"/>
    </row>
    <row r="34" spans="1:11" ht="14.25" customHeight="1" x14ac:dyDescent="0.3">
      <c r="A34" s="36"/>
      <c r="J34" s="43"/>
    </row>
    <row r="35" spans="1:11" ht="14.25" customHeight="1" x14ac:dyDescent="0.3">
      <c r="A35" s="36"/>
      <c r="J35" s="43"/>
    </row>
    <row r="36" spans="1:11" ht="14.25" customHeight="1" x14ac:dyDescent="0.3">
      <c r="A36" s="36"/>
      <c r="J36" s="43"/>
    </row>
    <row r="37" spans="1:11" ht="14.25" customHeight="1" x14ac:dyDescent="0.3">
      <c r="A37" s="36"/>
      <c r="J37" s="43"/>
    </row>
    <row r="38" spans="1:11" ht="14.25" customHeight="1" x14ac:dyDescent="0.3">
      <c r="A38" s="36"/>
      <c r="J38" s="43"/>
    </row>
    <row r="39" spans="1:11" ht="14.25" customHeight="1" x14ac:dyDescent="0.3">
      <c r="A39" s="36"/>
      <c r="J39" s="43"/>
    </row>
    <row r="40" spans="1:11" ht="14.25" customHeight="1" x14ac:dyDescent="0.3">
      <c r="A40" s="36"/>
      <c r="J40" s="43"/>
    </row>
    <row r="41" spans="1:11" ht="14.25" customHeight="1" x14ac:dyDescent="0.3">
      <c r="A41" s="36"/>
      <c r="J41" s="43"/>
    </row>
    <row r="42" spans="1:11" ht="14.25" customHeight="1" x14ac:dyDescent="0.3">
      <c r="A42" s="36"/>
      <c r="J42" s="43"/>
    </row>
    <row r="43" spans="1:11" ht="21.75" customHeight="1" x14ac:dyDescent="0.3">
      <c r="A43" s="310" t="s">
        <v>398</v>
      </c>
      <c r="B43" s="310"/>
      <c r="C43" s="310"/>
      <c r="D43" s="310"/>
      <c r="E43" s="310"/>
      <c r="F43" s="310"/>
      <c r="G43" s="310"/>
      <c r="H43" s="310"/>
      <c r="I43" s="310"/>
      <c r="J43" s="35"/>
    </row>
    <row r="44" spans="1:11" ht="36" customHeight="1" x14ac:dyDescent="0.3">
      <c r="A44" s="320" t="str">
        <f>IF('PROFIL ELEVE'!$W$4=0,"Sélectionnez un élève dans l'onglet PROFIL ELEVE pour générer l'appréciation.",IF($K$44=0,"Aucune donnée saisie pour le moment.",CHOOSE(MIN(ROUND($K$44,0),5),'PROFIL ELEVE'!$H$6&amp;" débute. Travail prioritaire : "&amp;$K$46&amp;".",'PROFIL ELEVE'!$H$6&amp;" progresse. Priorité : "&amp;$K$46&amp;".",'PROFIL ELEVE'!$H$6&amp;" présente un niveau satisfaisant. Point fort : "&amp;$K$45&amp;".",'PROFIL ELEVE'!$H$6&amp;" affiche de bonnes performances. Excellent niveau en "&amp;$K$45&amp;".",'PROFIL ELEVE'!$H$6&amp;" est au top ! Niveau exceptionnel en "&amp;$K$45&amp;".")))</f>
        <v>Sélectionnez un élève dans l'onglet PROFIL ELEVE pour générer l'appréciation.</v>
      </c>
      <c r="B44" s="320"/>
      <c r="C44" s="320"/>
      <c r="D44" s="320"/>
      <c r="E44" s="320"/>
      <c r="F44" s="320"/>
      <c r="G44" s="320"/>
      <c r="H44" s="320"/>
      <c r="I44" s="320"/>
      <c r="J44" s="43"/>
      <c r="K44">
        <f>IF(COUNTIF($G$9:$G$16,"&gt;0")&gt;0,AVERAGEIFS($G$9:$G$16,$G$9:$G$16,"&gt;0"),IFERROR(AVERAGEIFS($E$9:$E$16,$E$9:$E$16,"&gt;0"),0))</f>
        <v>0</v>
      </c>
    </row>
    <row r="45" spans="1:11" ht="18" customHeight="1" x14ac:dyDescent="0.3">
      <c r="A45" s="322" t="str">
        <f>IF(OR('PROFIL ELEVE'!$W$4=0,$K$45=""),"","Point fort : "&amp;$K$45&amp;"   ·   Point à travailler : "&amp;$K$46)</f>
        <v/>
      </c>
      <c r="B45" s="322"/>
      <c r="C45" s="322"/>
      <c r="D45" s="322"/>
      <c r="E45" s="322"/>
      <c r="F45" s="322"/>
      <c r="G45" s="322"/>
      <c r="H45" s="322"/>
      <c r="I45" s="322"/>
      <c r="J45" s="43"/>
      <c r="K45" t="str">
        <f>IFERROR(INDEX($A$9:$A$16,IF(COUNTIF($G$9:$G$16,"&gt;0")&gt;0,MATCH(_xlfn.MAXIFS($G$9:$G$16,$G$9:$G$16,"&gt;0"),$G$9:$G$16,0),MATCH(_xlfn.MAXIFS($E$9:$E$16,$E$9:$E$16,"&gt;0"),$E$9:$E$16,0))),"")</f>
        <v/>
      </c>
    </row>
    <row r="46" spans="1:11" ht="13.5" customHeight="1" x14ac:dyDescent="0.3">
      <c r="A46" s="321" t="str">
        <f ca="1">"Document généré automatiquement le "&amp;TEXT(DAY(TODAY()),"00")&amp;"/"&amp;TEXT(MONTH(TODAY()),"00")&amp;"/"&amp;TEXT(YEAR(TODAY()),"0000")&amp;" — Support de dialogue avec les familles. Dispositif UGSEL Teste et Améliore ta Forme."</f>
        <v>Document généré automatiquement le 06/10/2026 — Support de dialogue avec les familles. Dispositif UGSEL Teste et Améliore ta Forme.</v>
      </c>
      <c r="B46" s="321"/>
      <c r="C46" s="321"/>
      <c r="D46" s="321"/>
      <c r="E46" s="321"/>
      <c r="F46" s="321"/>
      <c r="G46" s="321"/>
      <c r="H46" s="321"/>
      <c r="I46" s="321"/>
      <c r="J46" s="43"/>
      <c r="K46" t="str">
        <f>IFERROR(INDEX($A$9:$A$16,IF(COUNTIF($G$9:$G$16,"&gt;0")&gt;0,MATCH(_xlfn.MINIFS($G$9:$G$16,$G$9:$G$16,"&gt;0"),$G$9:$G$16,0),MATCH(_xlfn.MINIFS($E$9:$E$16,$E$9:$E$16,"&gt;0"),$E$9:$E$16,0))),"")</f>
        <v/>
      </c>
    </row>
    <row r="47" spans="1:11" ht="14.25" customHeight="1" x14ac:dyDescent="0.3">
      <c r="A47" s="36"/>
      <c r="J47" s="43"/>
    </row>
    <row r="48" spans="1:11" ht="14.25" customHeight="1" x14ac:dyDescent="0.3">
      <c r="A48" s="36"/>
      <c r="J48" s="43"/>
    </row>
    <row r="49" spans="1:10" ht="14.25" customHeight="1" x14ac:dyDescent="0.3">
      <c r="A49" s="36"/>
      <c r="J49" s="43"/>
    </row>
    <row r="50" spans="1:10" ht="14.25" customHeight="1" x14ac:dyDescent="0.3">
      <c r="A50" s="36"/>
      <c r="J50" s="43"/>
    </row>
    <row r="51" spans="1:10" ht="14.25" customHeight="1" x14ac:dyDescent="0.3">
      <c r="A51" s="36"/>
      <c r="J51" s="43"/>
    </row>
    <row r="52" spans="1:10" ht="14.25" customHeight="1" x14ac:dyDescent="0.3">
      <c r="A52" s="53"/>
      <c r="B52" s="54"/>
      <c r="C52" s="54"/>
      <c r="D52" s="54"/>
      <c r="E52" s="54"/>
      <c r="F52" s="54"/>
      <c r="G52" s="54"/>
      <c r="H52" s="54"/>
      <c r="I52" s="54"/>
      <c r="J52" s="55"/>
    </row>
  </sheetData>
  <sheetProtection sheet="1" formatCells="0" formatColumns="0" formatRows="0" sort="0" autoFilter="0"/>
  <mergeCells count="21">
    <mergeCell ref="A18:D18"/>
    <mergeCell ref="A43:I43"/>
    <mergeCell ref="A44:I44"/>
    <mergeCell ref="A46:I46"/>
    <mergeCell ref="A45:I45"/>
    <mergeCell ref="I18:J18"/>
    <mergeCell ref="A1:I1"/>
    <mergeCell ref="A2:I2"/>
    <mergeCell ref="A4:I4"/>
    <mergeCell ref="A5:D5"/>
    <mergeCell ref="E5:I5"/>
    <mergeCell ref="A7:I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conditionalFormatting sqref="E9:E16">
    <cfRule type="cellIs" dxfId="55" priority="2" operator="equal">
      <formula>1</formula>
    </cfRule>
    <cfRule type="cellIs" dxfId="54" priority="3" operator="equal">
      <formula>2</formula>
    </cfRule>
    <cfRule type="cellIs" dxfId="53" priority="4" operator="equal">
      <formula>3</formula>
    </cfRule>
    <cfRule type="cellIs" dxfId="52" priority="5" operator="equal">
      <formula>4</formula>
    </cfRule>
    <cfRule type="cellIs" dxfId="51" priority="6" operator="equal">
      <formula>5</formula>
    </cfRule>
  </conditionalFormatting>
  <conditionalFormatting sqref="G9:G16">
    <cfRule type="cellIs" dxfId="50" priority="7" operator="equal">
      <formula>1</formula>
    </cfRule>
    <cfRule type="cellIs" dxfId="49" priority="8" operator="equal">
      <formula>2</formula>
    </cfRule>
    <cfRule type="cellIs" dxfId="48" priority="9" operator="equal">
      <formula>3</formula>
    </cfRule>
    <cfRule type="cellIs" dxfId="47" priority="10" operator="equal">
      <formula>4</formula>
    </cfRule>
    <cfRule type="cellIs" dxfId="46" priority="11" operator="equal">
      <formula>5</formula>
    </cfRule>
  </conditionalFormatting>
  <printOptions horizontalCentered="1"/>
  <pageMargins left="0.35" right="0.35" top="0.4" bottom="0.4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  <pageSetUpPr fitToPage="1"/>
  </sheetPr>
  <dimension ref="A1:T120"/>
  <sheetViews>
    <sheetView showGridLines="0" zoomScaleNormal="100" workbookViewId="0">
      <pane ySplit="5" topLeftCell="A6" activePane="bottomLeft" state="frozen"/>
      <selection pane="bottomLeft" sqref="A1:G1"/>
    </sheetView>
  </sheetViews>
  <sheetFormatPr baseColWidth="10" defaultColWidth="8.88671875" defaultRowHeight="14.4" x14ac:dyDescent="0.3"/>
  <cols>
    <col min="1" max="1" width="17" customWidth="1"/>
    <col min="2" max="2" width="11" customWidth="1"/>
    <col min="3" max="3" width="13" customWidth="1"/>
    <col min="4" max="4" width="14" customWidth="1"/>
    <col min="5" max="5" width="13" customWidth="1"/>
    <col min="6" max="6" width="14" customWidth="1"/>
    <col min="7" max="7" width="13" customWidth="1"/>
    <col min="8" max="9" width="11" customWidth="1"/>
    <col min="10" max="17" width="13" hidden="1" customWidth="1"/>
    <col min="19" max="20" width="13" hidden="1" customWidth="1"/>
  </cols>
  <sheetData>
    <row r="1" spans="1:19" ht="31.5" customHeight="1" x14ac:dyDescent="0.3">
      <c r="A1" s="279" t="s">
        <v>191</v>
      </c>
      <c r="B1" s="279"/>
      <c r="C1" s="279"/>
      <c r="D1" s="279"/>
      <c r="E1" s="279"/>
      <c r="F1" s="279"/>
      <c r="G1" s="279"/>
      <c r="J1" t="s">
        <v>192</v>
      </c>
      <c r="K1" t="s">
        <v>193</v>
      </c>
      <c r="L1" t="s">
        <v>194</v>
      </c>
      <c r="M1" t="s">
        <v>195</v>
      </c>
      <c r="N1" t="e">
        <f>VLOOKUP($F$4,TABLE_CYCLE,2,0)</f>
        <v>#N/A</v>
      </c>
      <c r="O1" t="s">
        <v>196</v>
      </c>
      <c r="P1" t="s">
        <v>197</v>
      </c>
      <c r="Q1">
        <f>IFERROR(IF(VLOOKUP($F$4,TABLE_CYCLE,2,0)=2,5,8),8)</f>
        <v>8</v>
      </c>
    </row>
    <row r="2" spans="1:19" ht="15.75" customHeight="1" x14ac:dyDescent="0.3">
      <c r="A2" s="325" t="s">
        <v>198</v>
      </c>
      <c r="B2" s="325"/>
      <c r="C2" s="325"/>
      <c r="D2" s="325"/>
      <c r="E2" s="325"/>
      <c r="F2" s="325"/>
      <c r="G2" s="325"/>
      <c r="R2" s="154" t="str">
        <f>HYPERLINK("#ACCUEIL!A1","← ACCUEIL")</f>
        <v>← ACCUEIL</v>
      </c>
    </row>
    <row r="3" spans="1:19" ht="13.5" customHeight="1" x14ac:dyDescent="0.3">
      <c r="B3" s="27"/>
      <c r="C3" s="281" t="s">
        <v>152</v>
      </c>
      <c r="D3" s="281"/>
      <c r="E3" s="27"/>
      <c r="F3" s="281" t="s">
        <v>153</v>
      </c>
      <c r="G3" s="281"/>
    </row>
    <row r="4" spans="1:19" ht="25.5" customHeight="1" x14ac:dyDescent="0.3">
      <c r="B4" s="28"/>
      <c r="C4" s="272" t="str">
        <f>ANNEE_ACTIVE</f>
        <v>2025-2026</v>
      </c>
      <c r="D4" s="272"/>
      <c r="E4" s="11"/>
      <c r="F4" s="272"/>
      <c r="G4" s="272"/>
    </row>
    <row r="5" spans="1:19" ht="7.5" customHeight="1" x14ac:dyDescent="0.3">
      <c r="B5" s="11"/>
      <c r="C5" s="11"/>
      <c r="D5" s="11"/>
      <c r="E5" s="11"/>
      <c r="F5" s="11"/>
      <c r="G5" s="11"/>
    </row>
    <row r="6" spans="1:19" ht="21.75" customHeight="1" x14ac:dyDescent="0.3">
      <c r="A6" s="228" t="s">
        <v>199</v>
      </c>
      <c r="B6" s="228"/>
      <c r="C6" s="228"/>
      <c r="D6" s="228"/>
      <c r="E6" s="228"/>
      <c r="F6" s="228"/>
      <c r="G6" s="228"/>
      <c r="H6" s="326"/>
      <c r="I6" s="326"/>
    </row>
    <row r="7" spans="1:19" ht="15.75" customHeight="1" x14ac:dyDescent="0.3">
      <c r="A7" s="56" t="s">
        <v>44</v>
      </c>
      <c r="B7" s="56" t="s">
        <v>179</v>
      </c>
      <c r="C7" s="56" t="s">
        <v>200</v>
      </c>
      <c r="D7" s="56" t="s">
        <v>201</v>
      </c>
      <c r="E7" s="56" t="s">
        <v>202</v>
      </c>
      <c r="F7" s="56" t="s">
        <v>203</v>
      </c>
      <c r="G7" s="56" t="s">
        <v>165</v>
      </c>
    </row>
    <row r="8" spans="1:19" ht="15" customHeight="1" x14ac:dyDescent="0.3">
      <c r="A8" s="156" t="s">
        <v>2</v>
      </c>
      <c r="B8" s="62" t="s">
        <v>185</v>
      </c>
      <c r="C8" s="63">
        <f>COUNTIFS(D_ANNEE,$C$4,D_NIVEAU,$F$4,D_SESSION,"S1",D_EQ_NIV,"&gt;0")</f>
        <v>0</v>
      </c>
      <c r="D8" s="63" t="str">
        <f>IFERROR(ROUND(AVERAGEIFS(D_EQ_PERF,D_ANNEE,$C$4,D_NIVEAU,$F$4,D_SESSION,"S1",D_EQ_NIV,"&gt;0"),2),"Non réalisée")</f>
        <v>Non réalisée</v>
      </c>
      <c r="E8" s="63">
        <f>COUNTIFS(D_ANNEE,$C$4,D_NIVEAU,$F$4,D_SESSION,"S2",D_EQ_NIV,"&gt;0")</f>
        <v>0</v>
      </c>
      <c r="F8" s="63" t="str">
        <f>IFERROR(ROUND(AVERAGEIFS(D_EQ_PERF,D_ANNEE,$C$4,D_NIVEAU,$F$4,D_SESSION,"S2",D_EQ_NIV,"&gt;0"),2),"Non réalisée")</f>
        <v>Non réalisée</v>
      </c>
      <c r="G8" s="63" t="str">
        <f t="shared" ref="G8:G15" si="0">IF(OR(D8="Non réalisée",F8="Non réalisée"),"Non réalisée",IF(F8&gt;D8,"▲ +"&amp;ROUND(F8-D8,2),IF(F8&lt;D8,"▼ "&amp;ROUND(F8-D8,2),"➜ stable")))</f>
        <v>Non réalisée</v>
      </c>
      <c r="J8" t="e">
        <f t="shared" ref="J8:J15" si="1">IF(D8="Non réalisée",NA(),D8)</f>
        <v>#N/A</v>
      </c>
      <c r="K8" t="e">
        <f t="shared" ref="K8:K15" si="2">IF(F8="Non réalisée",NA(),F8)</f>
        <v>#N/A</v>
      </c>
      <c r="L8" t="e">
        <f t="shared" ref="L8:L15" si="3">IF(D19="Non réalisée",NA(),D19)</f>
        <v>#N/A</v>
      </c>
      <c r="M8" t="e">
        <f t="shared" ref="M8:M15" si="4">IF(F19="Non réalisée",NA(),F19)</f>
        <v>#N/A</v>
      </c>
      <c r="O8" t="e">
        <f>IF(D8="Non réalisée",NA(),D8/PARAMETRES!$G$29)</f>
        <v>#N/A</v>
      </c>
      <c r="P8" t="e">
        <f>IF(F8="Non réalisée",NA(),F8/PARAMETRES!$G$29)</f>
        <v>#N/A</v>
      </c>
      <c r="S8">
        <v>5</v>
      </c>
    </row>
    <row r="9" spans="1:19" ht="15" customHeight="1" x14ac:dyDescent="0.3">
      <c r="A9" s="157" t="s">
        <v>3</v>
      </c>
      <c r="B9" s="65" t="s">
        <v>186</v>
      </c>
      <c r="C9" s="66">
        <f>COUNTIFS(D_ANNEE,$C$4,D_NIVEAU,$F$4,D_SESSION,"S1",D_SO_NIV,"&gt;0")</f>
        <v>0</v>
      </c>
      <c r="D9" s="66" t="str">
        <f>IFERROR(ROUND(AVERAGEIFS(D_SO_PERF,D_ANNEE,$C$4,D_NIVEAU,$F$4,D_SESSION,"S1",D_SO_NIV,"&gt;0"),2),"Non réalisée")</f>
        <v>Non réalisée</v>
      </c>
      <c r="E9" s="66">
        <f>COUNTIFS(D_ANNEE,$C$4,D_NIVEAU,$F$4,D_SESSION,"S2",D_SO_NIV,"&gt;0")</f>
        <v>0</v>
      </c>
      <c r="F9" s="66" t="str">
        <f>IFERROR(ROUND(AVERAGEIFS(D_SO_PERF,D_ANNEE,$C$4,D_NIVEAU,$F$4,D_SESSION,"S2",D_SO_NIV,"&gt;0"),2),"Non réalisée")</f>
        <v>Non réalisée</v>
      </c>
      <c r="G9" s="66" t="str">
        <f t="shared" si="0"/>
        <v>Non réalisée</v>
      </c>
      <c r="J9" t="e">
        <f t="shared" si="1"/>
        <v>#N/A</v>
      </c>
      <c r="K9" t="e">
        <f t="shared" si="2"/>
        <v>#N/A</v>
      </c>
      <c r="L9" t="e">
        <f t="shared" si="3"/>
        <v>#N/A</v>
      </c>
      <c r="M9" t="e">
        <f t="shared" si="4"/>
        <v>#N/A</v>
      </c>
      <c r="O9" t="e">
        <f>IF(D9="Non réalisée",NA(),D9/PARAMETRES!$G$30)</f>
        <v>#N/A</v>
      </c>
      <c r="P9" t="e">
        <f>IF(F9="Non réalisée",NA(),F9/PARAMETRES!$G$30)</f>
        <v>#N/A</v>
      </c>
      <c r="S9">
        <v>5</v>
      </c>
    </row>
    <row r="10" spans="1:19" ht="15" customHeight="1" x14ac:dyDescent="0.3">
      <c r="A10" s="158" t="s">
        <v>4</v>
      </c>
      <c r="B10" s="62" t="s">
        <v>187</v>
      </c>
      <c r="C10" s="63">
        <f>COUNTIFS(D_ANNEE,$C$4,D_NIVEAU,$F$4,D_SESSION,"S1",D_VI_NIV,"&gt;0")</f>
        <v>0</v>
      </c>
      <c r="D10" s="63" t="str">
        <f>IFERROR(ROUND(AVERAGEIFS(D_VI_PERF,D_ANNEE,$C$4,D_NIVEAU,$F$4,D_SESSION,"S1",D_VI_NIV,"&gt;0"),2),"Non réalisée")</f>
        <v>Non réalisée</v>
      </c>
      <c r="E10" s="63">
        <f>COUNTIFS(D_ANNEE,$C$4,D_NIVEAU,$F$4,D_SESSION,"S2",D_VI_NIV,"&gt;0")</f>
        <v>0</v>
      </c>
      <c r="F10" s="63" t="str">
        <f>IFERROR(ROUND(AVERAGEIFS(D_VI_PERF,D_ANNEE,$C$4,D_NIVEAU,$F$4,D_SESSION,"S2",D_VI_NIV,"&gt;0"),2),"Non réalisée")</f>
        <v>Non réalisée</v>
      </c>
      <c r="G10" s="63" t="str">
        <f t="shared" si="0"/>
        <v>Non réalisée</v>
      </c>
      <c r="J10" t="e">
        <f t="shared" si="1"/>
        <v>#N/A</v>
      </c>
      <c r="K10" t="e">
        <f t="shared" si="2"/>
        <v>#N/A</v>
      </c>
      <c r="L10" t="e">
        <f t="shared" si="3"/>
        <v>#N/A</v>
      </c>
      <c r="M10" t="e">
        <f t="shared" si="4"/>
        <v>#N/A</v>
      </c>
      <c r="O10" t="e">
        <f>IF(D10="Non réalisée",NA(),D10/IF($N$1=2,PARAMETRES!$G$31,PARAMETRES!$G$32))</f>
        <v>#N/A</v>
      </c>
      <c r="P10" t="e">
        <f>IF(F10="Non réalisée",NA(),F10/IF($N$1=2,PARAMETRES!$G$31,PARAMETRES!$G$32))</f>
        <v>#N/A</v>
      </c>
      <c r="S10">
        <v>5</v>
      </c>
    </row>
    <row r="11" spans="1:19" ht="15" customHeight="1" x14ac:dyDescent="0.3">
      <c r="A11" s="159" t="s">
        <v>5</v>
      </c>
      <c r="B11" s="65" t="s">
        <v>188</v>
      </c>
      <c r="C11" s="66">
        <f>COUNTIFS(D_ANNEE,$C$4,D_NIVEAU,$F$4,D_SESSION,"S1",D_EN_NIV,"&gt;0")</f>
        <v>0</v>
      </c>
      <c r="D11" s="66" t="str">
        <f>IFERROR(ROUND(AVERAGEIFS(D_EN_PERF,D_ANNEE,$C$4,D_NIVEAU,$F$4,D_SESSION,"S1",D_EN_NIV,"&gt;0"),2),"Non réalisée")</f>
        <v>Non réalisée</v>
      </c>
      <c r="E11" s="66">
        <f>COUNTIFS(D_ANNEE,$C$4,D_NIVEAU,$F$4,D_SESSION,"S2",D_EN_NIV,"&gt;0")</f>
        <v>0</v>
      </c>
      <c r="F11" s="66" t="str">
        <f>IFERROR(ROUND(AVERAGEIFS(D_EN_PERF,D_ANNEE,$C$4,D_NIVEAU,$F$4,D_SESSION,"S2",D_EN_NIV,"&gt;0"),2),"Non réalisée")</f>
        <v>Non réalisée</v>
      </c>
      <c r="G11" s="66" t="str">
        <f t="shared" si="0"/>
        <v>Non réalisée</v>
      </c>
      <c r="J11" t="e">
        <f t="shared" si="1"/>
        <v>#N/A</v>
      </c>
      <c r="K11" t="e">
        <f t="shared" si="2"/>
        <v>#N/A</v>
      </c>
      <c r="L11" t="e">
        <f t="shared" si="3"/>
        <v>#N/A</v>
      </c>
      <c r="M11" t="e">
        <f t="shared" si="4"/>
        <v>#N/A</v>
      </c>
      <c r="O11" t="e">
        <f>IF(D11="Non réalisée",NA(),D11/PARAMETRES!$G$33)</f>
        <v>#N/A</v>
      </c>
      <c r="P11" t="e">
        <f>IF(F11="Non réalisée",NA(),F11/PARAMETRES!$G$33)</f>
        <v>#N/A</v>
      </c>
      <c r="S11">
        <v>5</v>
      </c>
    </row>
    <row r="12" spans="1:19" ht="15" customHeight="1" x14ac:dyDescent="0.3">
      <c r="A12" s="160" t="s">
        <v>6</v>
      </c>
      <c r="B12" s="62" t="s">
        <v>189</v>
      </c>
      <c r="C12" s="63">
        <f>COUNTIFS(D_ANNEE,$C$4,D_NIVEAU,$F$4,D_SESSION,"S1",D_CO_NIV,"&gt;0")</f>
        <v>0</v>
      </c>
      <c r="D12" s="63" t="str">
        <f>IFERROR(ROUND(AVERAGEIFS(D_CO_PERF,D_ANNEE,$C$4,D_NIVEAU,$F$4,D_SESSION,"S1",D_CO_NIV,"&gt;0"),2),"Non réalisée")</f>
        <v>Non réalisée</v>
      </c>
      <c r="E12" s="63">
        <f>COUNTIFS(D_ANNEE,$C$4,D_NIVEAU,$F$4,D_SESSION,"S2",D_CO_NIV,"&gt;0")</f>
        <v>0</v>
      </c>
      <c r="F12" s="63" t="str">
        <f>IFERROR(ROUND(AVERAGEIFS(D_CO_PERF,D_ANNEE,$C$4,D_NIVEAU,$F$4,D_SESSION,"S2",D_CO_NIV,"&gt;0"),2),"Non réalisée")</f>
        <v>Non réalisée</v>
      </c>
      <c r="G12" s="63" t="str">
        <f t="shared" si="0"/>
        <v>Non réalisée</v>
      </c>
      <c r="J12" t="e">
        <f t="shared" si="1"/>
        <v>#N/A</v>
      </c>
      <c r="K12" t="e">
        <f t="shared" si="2"/>
        <v>#N/A</v>
      </c>
      <c r="L12" t="e">
        <f t="shared" si="3"/>
        <v>#N/A</v>
      </c>
      <c r="M12" t="e">
        <f t="shared" si="4"/>
        <v>#N/A</v>
      </c>
      <c r="O12" t="e">
        <f>IF(D12="Non réalisée",NA(),D12/PARAMETRES!$G$34)</f>
        <v>#N/A</v>
      </c>
      <c r="P12" t="e">
        <f>IF(F12="Non réalisée",NA(),F12/PARAMETRES!$G$34)</f>
        <v>#N/A</v>
      </c>
      <c r="S12">
        <v>5</v>
      </c>
    </row>
    <row r="13" spans="1:19" ht="15" customHeight="1" x14ac:dyDescent="0.3">
      <c r="A13" s="161" t="s">
        <v>7</v>
      </c>
      <c r="B13" s="65" t="s">
        <v>185</v>
      </c>
      <c r="C13" s="66">
        <f>COUNTIFS(D_ANNEE,$C$4,D_NIVEAU,$F$4,D_SESSION,"S1",D_GA_NIV,"&gt;0")</f>
        <v>0</v>
      </c>
      <c r="D13" s="66" t="str">
        <f>IFERROR(ROUND(AVERAGEIFS(D_GA_PERF,D_ANNEE,$C$4,D_NIVEAU,$F$4,D_SESSION,"S1",D_GA_NIV,"&gt;0"),2),"Non réalisée")</f>
        <v>Non réalisée</v>
      </c>
      <c r="E13" s="66">
        <f>COUNTIFS(D_ANNEE,$C$4,D_NIVEAU,$F$4,D_SESSION,"S2",D_GA_NIV,"&gt;0")</f>
        <v>0</v>
      </c>
      <c r="F13" s="66" t="str">
        <f>IFERROR(ROUND(AVERAGEIFS(D_GA_PERF,D_ANNEE,$C$4,D_NIVEAU,$F$4,D_SESSION,"S2",D_GA_NIV,"&gt;0"),2),"Non réalisée")</f>
        <v>Non réalisée</v>
      </c>
      <c r="G13" s="66" t="str">
        <f t="shared" si="0"/>
        <v>Non réalisée</v>
      </c>
      <c r="J13" t="e">
        <f t="shared" si="1"/>
        <v>#N/A</v>
      </c>
      <c r="K13" t="e">
        <f t="shared" si="2"/>
        <v>#N/A</v>
      </c>
      <c r="L13" t="e">
        <f t="shared" si="3"/>
        <v>#N/A</v>
      </c>
      <c r="M13" t="e">
        <f t="shared" si="4"/>
        <v>#N/A</v>
      </c>
      <c r="O13" t="e">
        <f>IF(D13="Non réalisée",NA(),D13/PARAMETRES!$G$35)</f>
        <v>#N/A</v>
      </c>
      <c r="P13" t="e">
        <f>IF(F13="Non réalisée",NA(),F13/PARAMETRES!$G$35)</f>
        <v>#N/A</v>
      </c>
      <c r="S13">
        <v>5</v>
      </c>
    </row>
    <row r="14" spans="1:19" ht="15" customHeight="1" x14ac:dyDescent="0.3">
      <c r="A14" s="162" t="s">
        <v>8</v>
      </c>
      <c r="B14" s="62" t="s">
        <v>190</v>
      </c>
      <c r="C14" s="63">
        <f>COUNTIFS(D_ANNEE,$C$4,D_NIVEAU,$F$4,D_SESSION,"S1",D_AD_NIV,"&gt;0")</f>
        <v>0</v>
      </c>
      <c r="D14" s="63" t="str">
        <f>IFERROR(ROUND(AVERAGEIFS(D_AD_PERF,D_ANNEE,$C$4,D_NIVEAU,$F$4,D_SESSION,"S1",D_AD_NIV,"&gt;0"),2),"Non réalisée")</f>
        <v>Non réalisée</v>
      </c>
      <c r="E14" s="63">
        <f>COUNTIFS(D_ANNEE,$C$4,D_NIVEAU,$F$4,D_SESSION,"S2",D_AD_NIV,"&gt;0")</f>
        <v>0</v>
      </c>
      <c r="F14" s="63" t="str">
        <f>IFERROR(ROUND(AVERAGEIFS(D_AD_PERF,D_ANNEE,$C$4,D_NIVEAU,$F$4,D_SESSION,"S2",D_AD_NIV,"&gt;0"),2),"Non réalisée")</f>
        <v>Non réalisée</v>
      </c>
      <c r="G14" s="63" t="str">
        <f t="shared" si="0"/>
        <v>Non réalisée</v>
      </c>
      <c r="J14" t="e">
        <f t="shared" si="1"/>
        <v>#N/A</v>
      </c>
      <c r="K14" t="e">
        <f t="shared" si="2"/>
        <v>#N/A</v>
      </c>
      <c r="L14" t="e">
        <f t="shared" si="3"/>
        <v>#N/A</v>
      </c>
      <c r="M14" t="e">
        <f t="shared" si="4"/>
        <v>#N/A</v>
      </c>
      <c r="O14" t="e">
        <f>IF(D14="Non réalisée",NA(),D14/PARAMETRES!$G$36)</f>
        <v>#N/A</v>
      </c>
      <c r="P14" t="e">
        <f>IF(F14="Non réalisée",NA(),F14/PARAMETRES!$G$36)</f>
        <v>#N/A</v>
      </c>
      <c r="S14">
        <v>5</v>
      </c>
    </row>
    <row r="15" spans="1:19" ht="15" customHeight="1" x14ac:dyDescent="0.3">
      <c r="A15" s="163" t="s">
        <v>9</v>
      </c>
      <c r="B15" s="65" t="s">
        <v>187</v>
      </c>
      <c r="C15" s="66">
        <f>COUNTIFS(D_ANNEE,$C$4,D_NIVEAU,$F$4,D_SESSION,"S1",D_FO_NIV,"&gt;0")</f>
        <v>0</v>
      </c>
      <c r="D15" s="66" t="str">
        <f>IFERROR(ROUND(AVERAGEIFS(D_FO_PERF,D_ANNEE,$C$4,D_NIVEAU,$F$4,D_SESSION,"S1",D_FO_NIV,"&gt;0"),2),"Non réalisée")</f>
        <v>Non réalisée</v>
      </c>
      <c r="E15" s="66">
        <f>COUNTIFS(D_ANNEE,$C$4,D_NIVEAU,$F$4,D_SESSION,"S2",D_FO_NIV,"&gt;0")</f>
        <v>0</v>
      </c>
      <c r="F15" s="66" t="str">
        <f>IFERROR(ROUND(AVERAGEIFS(D_FO_PERF,D_ANNEE,$C$4,D_NIVEAU,$F$4,D_SESSION,"S2",D_FO_NIV,"&gt;0"),2),"Non réalisée")</f>
        <v>Non réalisée</v>
      </c>
      <c r="G15" s="66" t="str">
        <f t="shared" si="0"/>
        <v>Non réalisée</v>
      </c>
      <c r="J15" t="e">
        <f t="shared" si="1"/>
        <v>#N/A</v>
      </c>
      <c r="K15" t="e">
        <f t="shared" si="2"/>
        <v>#N/A</v>
      </c>
      <c r="L15" t="e">
        <f t="shared" si="3"/>
        <v>#N/A</v>
      </c>
      <c r="M15" t="e">
        <f t="shared" si="4"/>
        <v>#N/A</v>
      </c>
      <c r="O15" t="e">
        <f>IF(D15="Non réalisée",NA(),D15/PARAMETRES!$G$37)</f>
        <v>#N/A</v>
      </c>
      <c r="P15" t="e">
        <f>IF(F15="Non réalisée",NA(),F15/PARAMETRES!$G$37)</f>
        <v>#N/A</v>
      </c>
      <c r="S15">
        <v>5</v>
      </c>
    </row>
    <row r="17" spans="1:20" ht="21.75" customHeight="1" x14ac:dyDescent="0.3">
      <c r="A17" s="228" t="s">
        <v>204</v>
      </c>
      <c r="B17" s="228"/>
      <c r="C17" s="228"/>
      <c r="D17" s="228"/>
      <c r="E17" s="228"/>
      <c r="F17" s="228"/>
      <c r="G17" s="228"/>
      <c r="H17" s="326"/>
      <c r="I17" s="326"/>
    </row>
    <row r="18" spans="1:20" ht="15.75" customHeight="1" x14ac:dyDescent="0.3">
      <c r="A18" s="260" t="s">
        <v>44</v>
      </c>
      <c r="B18" s="260"/>
      <c r="C18" s="56" t="s">
        <v>200</v>
      </c>
      <c r="D18" s="56" t="s">
        <v>205</v>
      </c>
      <c r="E18" s="56" t="s">
        <v>202</v>
      </c>
      <c r="F18" s="56" t="s">
        <v>206</v>
      </c>
      <c r="G18" s="56" t="s">
        <v>165</v>
      </c>
      <c r="H18" s="56" t="s">
        <v>207</v>
      </c>
      <c r="I18" s="56" t="s">
        <v>208</v>
      </c>
    </row>
    <row r="19" spans="1:20" ht="15" customHeight="1" x14ac:dyDescent="0.3">
      <c r="A19" s="327" t="s">
        <v>2</v>
      </c>
      <c r="B19" s="328"/>
      <c r="C19" s="63">
        <f>COUNTIFS(D_ANNEE,$C$4,D_NIVEAU,$F$4,D_SESSION,"S1",D_EQ_NIV,"&gt;0")</f>
        <v>0</v>
      </c>
      <c r="D19" s="63" t="str">
        <f>IFERROR(ROUND(AVERAGEIFS(D_EQ_NIV,D_ANNEE,$C$4,D_NIVEAU,$F$4,D_SESSION,"S1",D_EQ_NIV,"&gt;0"),2),"Non réalisée")</f>
        <v>Non réalisée</v>
      </c>
      <c r="E19" s="63">
        <f>COUNTIFS(D_ANNEE,$C$4,D_NIVEAU,$F$4,D_SESSION,"S2",D_EQ_NIV,"&gt;0")</f>
        <v>0</v>
      </c>
      <c r="F19" s="63" t="str">
        <f>IFERROR(ROUND(AVERAGEIFS(D_EQ_NIV,D_ANNEE,$C$4,D_NIVEAU,$F$4,D_SESSION,"S2",D_EQ_NIV,"&gt;0"),2),"Non réalisée")</f>
        <v>Non réalisée</v>
      </c>
      <c r="G19" s="63" t="str">
        <f t="shared" ref="G19:G26" si="5">IF(OR(D19="Non réalisée",F19="Non réalisée"),"Non réalisée",IF(F19&gt;D19,"▲ +"&amp;ROUND(F19-D19,2),IF(F19&lt;D19,"▼ "&amp;ROUND(F19-D19,2),"➜ stable")))</f>
        <v>Non réalisée</v>
      </c>
      <c r="H19" s="63" t="str">
        <f t="array" ref="H19">IFERROR(ROUND(MEDIAN(IF((D_ANNEE=$C$4)*(D_NIVEAU=$F$4)*(D_SESSION="S1")*ISNUMBER(D_EQ_NIV)*(D_EQ_NIV&gt;0),D_EQ_NIV)),1),"—")</f>
        <v>—</v>
      </c>
      <c r="I19" s="63" t="str">
        <f t="array" ref="I19">IFERROR(ROUND(MEDIAN(IF((D_ANNEE=$C$4)*(D_NIVEAU=$F$4)*(D_SESSION="S2")*ISNUMBER(D_EQ_NIV)*(D_EQ_NIV&gt;0),D_EQ_NIV)),1),"—")</f>
        <v>—</v>
      </c>
    </row>
    <row r="20" spans="1:20" ht="15" customHeight="1" x14ac:dyDescent="0.3">
      <c r="A20" s="329" t="s">
        <v>3</v>
      </c>
      <c r="B20" s="330"/>
      <c r="C20" s="66">
        <f>COUNTIFS(D_ANNEE,$C$4,D_NIVEAU,$F$4,D_SESSION,"S1",D_SO_NIV,"&gt;0")</f>
        <v>0</v>
      </c>
      <c r="D20" s="66" t="str">
        <f>IFERROR(ROUND(AVERAGEIFS(D_SO_NIV,D_ANNEE,$C$4,D_NIVEAU,$F$4,D_SESSION,"S1",D_SO_NIV,"&gt;0"),2),"Non réalisée")</f>
        <v>Non réalisée</v>
      </c>
      <c r="E20" s="66">
        <f>COUNTIFS(D_ANNEE,$C$4,D_NIVEAU,$F$4,D_SESSION,"S2",D_SO_NIV,"&gt;0")</f>
        <v>0</v>
      </c>
      <c r="F20" s="66" t="str">
        <f>IFERROR(ROUND(AVERAGEIFS(D_SO_NIV,D_ANNEE,$C$4,D_NIVEAU,$F$4,D_SESSION,"S2",D_SO_NIV,"&gt;0"),2),"Non réalisée")</f>
        <v>Non réalisée</v>
      </c>
      <c r="G20" s="66" t="str">
        <f t="shared" si="5"/>
        <v>Non réalisée</v>
      </c>
      <c r="H20" s="66" t="str">
        <f t="array" ref="H20">IFERROR(ROUND(MEDIAN(IF((D_ANNEE=$C$4)*(D_NIVEAU=$F$4)*(D_SESSION="S1")*ISNUMBER(D_SO_NIV)*(D_SO_NIV&gt;0),D_SO_NIV)),1),"—")</f>
        <v>—</v>
      </c>
      <c r="I20" s="66" t="str">
        <f t="array" ref="I20">IFERROR(ROUND(MEDIAN(IF((D_ANNEE=$C$4)*(D_NIVEAU=$F$4)*(D_SESSION="S2")*ISNUMBER(D_SO_NIV)*(D_SO_NIV&gt;0),D_SO_NIV)),1),"—")</f>
        <v>—</v>
      </c>
    </row>
    <row r="21" spans="1:20" ht="15" customHeight="1" x14ac:dyDescent="0.3">
      <c r="A21" s="331" t="s">
        <v>4</v>
      </c>
      <c r="B21" s="328"/>
      <c r="C21" s="63">
        <f>COUNTIFS(D_ANNEE,$C$4,D_NIVEAU,$F$4,D_SESSION,"S1",D_VI_NIV,"&gt;0")</f>
        <v>0</v>
      </c>
      <c r="D21" s="63" t="str">
        <f>IFERROR(ROUND(AVERAGEIFS(D_VI_NIV,D_ANNEE,$C$4,D_NIVEAU,$F$4,D_SESSION,"S1",D_VI_NIV,"&gt;0"),2),"Non réalisée")</f>
        <v>Non réalisée</v>
      </c>
      <c r="E21" s="63">
        <f>COUNTIFS(D_ANNEE,$C$4,D_NIVEAU,$F$4,D_SESSION,"S2",D_VI_NIV,"&gt;0")</f>
        <v>0</v>
      </c>
      <c r="F21" s="63" t="str">
        <f>IFERROR(ROUND(AVERAGEIFS(D_VI_NIV,D_ANNEE,$C$4,D_NIVEAU,$F$4,D_SESSION,"S2",D_VI_NIV,"&gt;0"),2),"Non réalisée")</f>
        <v>Non réalisée</v>
      </c>
      <c r="G21" s="63" t="str">
        <f t="shared" si="5"/>
        <v>Non réalisée</v>
      </c>
      <c r="H21" s="63" t="str">
        <f t="array" ref="H21">IFERROR(ROUND(MEDIAN(IF((D_ANNEE=$C$4)*(D_NIVEAU=$F$4)*(D_SESSION="S1")*ISNUMBER(D_VI_NIV)*(D_VI_NIV&gt;0),D_VI_NIV)),1),"—")</f>
        <v>—</v>
      </c>
      <c r="I21" s="63" t="str">
        <f t="array" ref="I21">IFERROR(ROUND(MEDIAN(IF((D_ANNEE=$C$4)*(D_NIVEAU=$F$4)*(D_SESSION="S2")*ISNUMBER(D_VI_NIV)*(D_VI_NIV&gt;0),D_VI_NIV)),1),"—")</f>
        <v>—</v>
      </c>
    </row>
    <row r="22" spans="1:20" ht="15" customHeight="1" x14ac:dyDescent="0.3">
      <c r="A22" s="332" t="s">
        <v>5</v>
      </c>
      <c r="B22" s="330"/>
      <c r="C22" s="66">
        <f>COUNTIFS(D_ANNEE,$C$4,D_NIVEAU,$F$4,D_SESSION,"S1",D_EN_NIV,"&gt;0")</f>
        <v>0</v>
      </c>
      <c r="D22" s="66" t="str">
        <f>IFERROR(ROUND(AVERAGEIFS(D_EN_NIV,D_ANNEE,$C$4,D_NIVEAU,$F$4,D_SESSION,"S1",D_EN_NIV,"&gt;0"),2),"Non réalisée")</f>
        <v>Non réalisée</v>
      </c>
      <c r="E22" s="66">
        <f>COUNTIFS(D_ANNEE,$C$4,D_NIVEAU,$F$4,D_SESSION,"S2",D_EN_NIV,"&gt;0")</f>
        <v>0</v>
      </c>
      <c r="F22" s="66" t="str">
        <f>IFERROR(ROUND(AVERAGEIFS(D_EN_NIV,D_ANNEE,$C$4,D_NIVEAU,$F$4,D_SESSION,"S2",D_EN_NIV,"&gt;0"),2),"Non réalisée")</f>
        <v>Non réalisée</v>
      </c>
      <c r="G22" s="66" t="str">
        <f t="shared" si="5"/>
        <v>Non réalisée</v>
      </c>
      <c r="H22" s="66" t="str">
        <f t="array" ref="H22">IFERROR(ROUND(MEDIAN(IF((D_ANNEE=$C$4)*(D_NIVEAU=$F$4)*(D_SESSION="S1")*ISNUMBER(D_EN_NIV)*(D_EN_NIV&gt;0),D_EN_NIV)),1),"—")</f>
        <v>—</v>
      </c>
      <c r="I22" s="66" t="str">
        <f t="array" ref="I22">IFERROR(ROUND(MEDIAN(IF((D_ANNEE=$C$4)*(D_NIVEAU=$F$4)*(D_SESSION="S2")*ISNUMBER(D_EN_NIV)*(D_EN_NIV&gt;0),D_EN_NIV)),1),"—")</f>
        <v>—</v>
      </c>
    </row>
    <row r="23" spans="1:20" ht="15" customHeight="1" x14ac:dyDescent="0.3">
      <c r="A23" s="333" t="s">
        <v>6</v>
      </c>
      <c r="B23" s="328"/>
      <c r="C23" s="63">
        <f>COUNTIFS(D_ANNEE,$C$4,D_NIVEAU,$F$4,D_SESSION,"S1",D_CO_NIV,"&gt;0")</f>
        <v>0</v>
      </c>
      <c r="D23" s="63" t="str">
        <f>IFERROR(ROUND(AVERAGEIFS(D_CO_NIV,D_ANNEE,$C$4,D_NIVEAU,$F$4,D_SESSION,"S1",D_CO_NIV,"&gt;0"),2),"Non réalisée")</f>
        <v>Non réalisée</v>
      </c>
      <c r="E23" s="63">
        <f>COUNTIFS(D_ANNEE,$C$4,D_NIVEAU,$F$4,D_SESSION,"S2",D_CO_NIV,"&gt;0")</f>
        <v>0</v>
      </c>
      <c r="F23" s="63" t="str">
        <f>IFERROR(ROUND(AVERAGEIFS(D_CO_NIV,D_ANNEE,$C$4,D_NIVEAU,$F$4,D_SESSION,"S2",D_CO_NIV,"&gt;0"),2),"Non réalisée")</f>
        <v>Non réalisée</v>
      </c>
      <c r="G23" s="63" t="str">
        <f t="shared" si="5"/>
        <v>Non réalisée</v>
      </c>
      <c r="H23" s="63" t="str">
        <f t="array" ref="H23">IFERROR(ROUND(MEDIAN(IF((D_ANNEE=$C$4)*(D_NIVEAU=$F$4)*(D_SESSION="S1")*ISNUMBER(D_CO_NIV)*(D_CO_NIV&gt;0),D_CO_NIV)),1),"—")</f>
        <v>—</v>
      </c>
      <c r="I23" s="63" t="str">
        <f t="array" ref="I23">IFERROR(ROUND(MEDIAN(IF((D_ANNEE=$C$4)*(D_NIVEAU=$F$4)*(D_SESSION="S2")*ISNUMBER(D_CO_NIV)*(D_CO_NIV&gt;0),D_CO_NIV)),1),"—")</f>
        <v>—</v>
      </c>
    </row>
    <row r="24" spans="1:20" ht="15" customHeight="1" x14ac:dyDescent="0.3">
      <c r="A24" s="334" t="s">
        <v>7</v>
      </c>
      <c r="B24" s="330"/>
      <c r="C24" s="66">
        <f>COUNTIFS(D_ANNEE,$C$4,D_NIVEAU,$F$4,D_SESSION,"S1",D_GA_NIV,"&gt;0")</f>
        <v>0</v>
      </c>
      <c r="D24" s="66" t="str">
        <f>IFERROR(ROUND(AVERAGEIFS(D_GA_NIV,D_ANNEE,$C$4,D_NIVEAU,$F$4,D_SESSION,"S1",D_GA_NIV,"&gt;0"),2),"Non réalisée")</f>
        <v>Non réalisée</v>
      </c>
      <c r="E24" s="66">
        <f>COUNTIFS(D_ANNEE,$C$4,D_NIVEAU,$F$4,D_SESSION,"S2",D_GA_NIV,"&gt;0")</f>
        <v>0</v>
      </c>
      <c r="F24" s="66" t="str">
        <f>IFERROR(ROUND(AVERAGEIFS(D_GA_NIV,D_ANNEE,$C$4,D_NIVEAU,$F$4,D_SESSION,"S2",D_GA_NIV,"&gt;0"),2),"Non réalisée")</f>
        <v>Non réalisée</v>
      </c>
      <c r="G24" s="66" t="str">
        <f t="shared" si="5"/>
        <v>Non réalisée</v>
      </c>
      <c r="H24" s="66" t="str">
        <f t="array" ref="H24">IFERROR(ROUND(MEDIAN(IF((D_ANNEE=$C$4)*(D_NIVEAU=$F$4)*(D_SESSION="S1")*ISNUMBER(D_GA_NIV)*(D_GA_NIV&gt;0),D_GA_NIV)),1),"—")</f>
        <v>—</v>
      </c>
      <c r="I24" s="66" t="str">
        <f t="array" ref="I24">IFERROR(ROUND(MEDIAN(IF((D_ANNEE=$C$4)*(D_NIVEAU=$F$4)*(D_SESSION="S2")*ISNUMBER(D_GA_NIV)*(D_GA_NIV&gt;0),D_GA_NIV)),1),"—")</f>
        <v>—</v>
      </c>
    </row>
    <row r="25" spans="1:20" ht="15" customHeight="1" x14ac:dyDescent="0.3">
      <c r="A25" s="335" t="s">
        <v>8</v>
      </c>
      <c r="B25" s="328"/>
      <c r="C25" s="63">
        <f>COUNTIFS(D_ANNEE,$C$4,D_NIVEAU,$F$4,D_SESSION,"S1",D_AD_NIV,"&gt;0")</f>
        <v>0</v>
      </c>
      <c r="D25" s="63" t="str">
        <f>IFERROR(ROUND(AVERAGEIFS(D_AD_NIV,D_ANNEE,$C$4,D_NIVEAU,$F$4,D_SESSION,"S1",D_AD_NIV,"&gt;0"),2),"Non réalisée")</f>
        <v>Non réalisée</v>
      </c>
      <c r="E25" s="63">
        <f>COUNTIFS(D_ANNEE,$C$4,D_NIVEAU,$F$4,D_SESSION,"S2",D_AD_NIV,"&gt;0")</f>
        <v>0</v>
      </c>
      <c r="F25" s="63" t="str">
        <f>IFERROR(ROUND(AVERAGEIFS(D_AD_NIV,D_ANNEE,$C$4,D_NIVEAU,$F$4,D_SESSION,"S2",D_AD_NIV,"&gt;0"),2),"Non réalisée")</f>
        <v>Non réalisée</v>
      </c>
      <c r="G25" s="63" t="str">
        <f t="shared" si="5"/>
        <v>Non réalisée</v>
      </c>
      <c r="H25" s="63" t="str">
        <f t="array" ref="H25">IFERROR(ROUND(MEDIAN(IF((D_ANNEE=$C$4)*(D_NIVEAU=$F$4)*(D_SESSION="S1")*ISNUMBER(D_AD_NIV)*(D_AD_NIV&gt;0),D_AD_NIV)),1),"—")</f>
        <v>—</v>
      </c>
      <c r="I25" s="63" t="str">
        <f t="array" ref="I25">IFERROR(ROUND(MEDIAN(IF((D_ANNEE=$C$4)*(D_NIVEAU=$F$4)*(D_SESSION="S2")*ISNUMBER(D_AD_NIV)*(D_AD_NIV&gt;0),D_AD_NIV)),1),"—")</f>
        <v>—</v>
      </c>
    </row>
    <row r="26" spans="1:20" ht="15" customHeight="1" x14ac:dyDescent="0.3">
      <c r="A26" s="336" t="s">
        <v>9</v>
      </c>
      <c r="B26" s="330"/>
      <c r="C26" s="66">
        <f>COUNTIFS(D_ANNEE,$C$4,D_NIVEAU,$F$4,D_SESSION,"S1",D_FO_NIV,"&gt;0")</f>
        <v>0</v>
      </c>
      <c r="D26" s="66" t="str">
        <f>IFERROR(ROUND(AVERAGEIFS(D_FO_NIV,D_ANNEE,$C$4,D_NIVEAU,$F$4,D_SESSION,"S1",D_FO_NIV,"&gt;0"),2),"Non réalisée")</f>
        <v>Non réalisée</v>
      </c>
      <c r="E26" s="66">
        <f>COUNTIFS(D_ANNEE,$C$4,D_NIVEAU,$F$4,D_SESSION,"S2",D_FO_NIV,"&gt;0")</f>
        <v>0</v>
      </c>
      <c r="F26" s="66" t="str">
        <f>IFERROR(ROUND(AVERAGEIFS(D_FO_NIV,D_ANNEE,$C$4,D_NIVEAU,$F$4,D_SESSION,"S2",D_FO_NIV,"&gt;0"),2),"Non réalisée")</f>
        <v>Non réalisée</v>
      </c>
      <c r="G26" s="66" t="str">
        <f t="shared" si="5"/>
        <v>Non réalisée</v>
      </c>
      <c r="H26" s="66" t="str">
        <f t="array" ref="H26">IFERROR(ROUND(MEDIAN(IF((D_ANNEE=$C$4)*(D_NIVEAU=$F$4)*(D_SESSION="S1")*ISNUMBER(D_FO_NIV)*(D_FO_NIV&gt;0),D_FO_NIV)),1),"—")</f>
        <v>—</v>
      </c>
      <c r="I26" s="66" t="str">
        <f t="array" ref="I26">IFERROR(ROUND(MEDIAN(IF((D_ANNEE=$C$4)*(D_NIVEAU=$F$4)*(D_SESSION="S2")*ISNUMBER(D_FO_NIV)*(D_FO_NIV&gt;0),D_FO_NIV)),1),"—")</f>
        <v>—</v>
      </c>
    </row>
    <row r="27" spans="1:20" x14ac:dyDescent="0.3">
      <c r="A27" s="74" t="s">
        <v>443</v>
      </c>
    </row>
    <row r="28" spans="1:20" ht="21.75" customHeight="1" x14ac:dyDescent="0.3">
      <c r="A28" s="228" t="s">
        <v>209</v>
      </c>
      <c r="B28" s="228"/>
      <c r="C28" s="228"/>
      <c r="D28" s="228"/>
      <c r="E28" s="228"/>
      <c r="F28" s="228"/>
      <c r="G28" s="228"/>
    </row>
    <row r="29" spans="1:20" ht="15.75" customHeight="1" x14ac:dyDescent="0.3">
      <c r="A29" s="56" t="s">
        <v>33</v>
      </c>
      <c r="B29" s="56" t="s">
        <v>210</v>
      </c>
      <c r="C29" s="56" t="s">
        <v>211</v>
      </c>
      <c r="D29" s="56" t="s">
        <v>212</v>
      </c>
      <c r="E29" s="56" t="s">
        <v>444</v>
      </c>
      <c r="F29" s="56" t="s">
        <v>445</v>
      </c>
    </row>
    <row r="30" spans="1:20" ht="15.75" customHeight="1" x14ac:dyDescent="0.3">
      <c r="A30" s="68">
        <v>1</v>
      </c>
      <c r="B30" s="69" t="s">
        <v>213</v>
      </c>
      <c r="C30" s="52">
        <f>COUNTIFS(D_ANNEE,$C$4,D_NIVEAU,$F$4,D_SESSION,"S1",D_EQ_NIV,1)+COUNTIFS(D_ANNEE,$C$4,D_NIVEAU,$F$4,D_SESSION,"S1",D_SO_NIV,1)+COUNTIFS(D_ANNEE,$C$4,D_NIVEAU,$F$4,D_SESSION,"S1",D_VI_NIV,1)+COUNTIFS(D_ANNEE,$C$4,D_NIVEAU,$F$4,D_SESSION,"S1",D_EN_NIV,1)+COUNTIFS(D_ANNEE,$C$4,D_NIVEAU,$F$4,D_SESSION,"S1",D_CO_NIV,1)+COUNTIFS(D_ANNEE,$C$4,D_NIVEAU,$F$4,D_SESSION,"S1",D_GA_NIV,1)+COUNTIFS(D_ANNEE,$C$4,D_NIVEAU,$F$4,D_SESSION,"S1",D_AD_NIV,1)+COUNTIFS(D_ANNEE,$C$4,D_NIVEAU,$F$4,D_SESSION,"S1",D_FO_NIV,1)</f>
        <v>0</v>
      </c>
      <c r="D30" s="52">
        <f>COUNTIFS(D_ANNEE,$C$4,D_NIVEAU,$F$4,D_SESSION,"S2",D_EQ_NIV,1)+COUNTIFS(D_ANNEE,$C$4,D_NIVEAU,$F$4,D_SESSION,"S2",D_SO_NIV,1)+COUNTIFS(D_ANNEE,$C$4,D_NIVEAU,$F$4,D_SESSION,"S2",D_VI_NIV,1)+COUNTIFS(D_ANNEE,$C$4,D_NIVEAU,$F$4,D_SESSION,"S2",D_EN_NIV,1)+COUNTIFS(D_ANNEE,$C$4,D_NIVEAU,$F$4,D_SESSION,"S2",D_CO_NIV,1)+COUNTIFS(D_ANNEE,$C$4,D_NIVEAU,$F$4,D_SESSION,"S2",D_GA_NIV,1)+COUNTIFS(D_ANNEE,$C$4,D_NIVEAU,$F$4,D_SESSION,"S2",D_AD_NIV,1)+COUNTIFS(D_ANNEE,$C$4,D_NIVEAU,$F$4,D_SESSION,"S2",D_FO_NIV,1)</f>
        <v>0</v>
      </c>
      <c r="E30" s="155">
        <f>IFERROR(C30/SUM($C$30:$C$34),0)</f>
        <v>0</v>
      </c>
      <c r="F30" s="155">
        <f>IFERROR(D30/SUM($D$30:$D$34),0)</f>
        <v>0</v>
      </c>
      <c r="T30" t="s">
        <v>163</v>
      </c>
    </row>
    <row r="31" spans="1:20" ht="15.75" customHeight="1" x14ac:dyDescent="0.3">
      <c r="A31" s="70">
        <v>2</v>
      </c>
      <c r="B31" s="69" t="s">
        <v>214</v>
      </c>
      <c r="C31" s="52">
        <f>COUNTIFS(D_ANNEE,$C$4,D_NIVEAU,$F$4,D_SESSION,"S1",D_EQ_NIV,2)+COUNTIFS(D_ANNEE,$C$4,D_NIVEAU,$F$4,D_SESSION,"S1",D_SO_NIV,2)+COUNTIFS(D_ANNEE,$C$4,D_NIVEAU,$F$4,D_SESSION,"S1",D_VI_NIV,2)+COUNTIFS(D_ANNEE,$C$4,D_NIVEAU,$F$4,D_SESSION,"S1",D_EN_NIV,2)+COUNTIFS(D_ANNEE,$C$4,D_NIVEAU,$F$4,D_SESSION,"S1",D_CO_NIV,2)+COUNTIFS(D_ANNEE,$C$4,D_NIVEAU,$F$4,D_SESSION,"S1",D_GA_NIV,2)+COUNTIFS(D_ANNEE,$C$4,D_NIVEAU,$F$4,D_SESSION,"S1",D_AD_NIV,2)+COUNTIFS(D_ANNEE,$C$4,D_NIVEAU,$F$4,D_SESSION,"S1",D_FO_NIV,2)</f>
        <v>0</v>
      </c>
      <c r="D31" s="52">
        <f>COUNTIFS(D_ANNEE,$C$4,D_NIVEAU,$F$4,D_SESSION,"S2",D_EQ_NIV,2)+COUNTIFS(D_ANNEE,$C$4,D_NIVEAU,$F$4,D_SESSION,"S2",D_SO_NIV,2)+COUNTIFS(D_ANNEE,$C$4,D_NIVEAU,$F$4,D_SESSION,"S2",D_VI_NIV,2)+COUNTIFS(D_ANNEE,$C$4,D_NIVEAU,$F$4,D_SESSION,"S2",D_EN_NIV,2)+COUNTIFS(D_ANNEE,$C$4,D_NIVEAU,$F$4,D_SESSION,"S2",D_CO_NIV,2)+COUNTIFS(D_ANNEE,$C$4,D_NIVEAU,$F$4,D_SESSION,"S2",D_GA_NIV,2)+COUNTIFS(D_ANNEE,$C$4,D_NIVEAU,$F$4,D_SESSION,"S2",D_AD_NIV,2)+COUNTIFS(D_ANNEE,$C$4,D_NIVEAU,$F$4,D_SESSION,"S2",D_FO_NIV,2)</f>
        <v>0</v>
      </c>
      <c r="E31" s="155">
        <f>IFERROR(C31/SUM($C$30:$C$34),0)</f>
        <v>0</v>
      </c>
      <c r="F31" s="155">
        <f>IFERROR(D31/SUM($D$30:$D$34),0)</f>
        <v>0</v>
      </c>
      <c r="T31" t="s">
        <v>164</v>
      </c>
    </row>
    <row r="32" spans="1:20" ht="15.75" customHeight="1" x14ac:dyDescent="0.3">
      <c r="A32" s="71">
        <v>3</v>
      </c>
      <c r="B32" s="69" t="s">
        <v>215</v>
      </c>
      <c r="C32" s="52">
        <f>COUNTIFS(D_ANNEE,$C$4,D_NIVEAU,$F$4,D_SESSION,"S1",D_EQ_NIV,3)+COUNTIFS(D_ANNEE,$C$4,D_NIVEAU,$F$4,D_SESSION,"S1",D_SO_NIV,3)+COUNTIFS(D_ANNEE,$C$4,D_NIVEAU,$F$4,D_SESSION,"S1",D_VI_NIV,3)+COUNTIFS(D_ANNEE,$C$4,D_NIVEAU,$F$4,D_SESSION,"S1",D_EN_NIV,3)+COUNTIFS(D_ANNEE,$C$4,D_NIVEAU,$F$4,D_SESSION,"S1",D_CO_NIV,3)+COUNTIFS(D_ANNEE,$C$4,D_NIVEAU,$F$4,D_SESSION,"S1",D_GA_NIV,3)+COUNTIFS(D_ANNEE,$C$4,D_NIVEAU,$F$4,D_SESSION,"S1",D_AD_NIV,3)+COUNTIFS(D_ANNEE,$C$4,D_NIVEAU,$F$4,D_SESSION,"S1",D_FO_NIV,3)</f>
        <v>0</v>
      </c>
      <c r="D32" s="52">
        <f>COUNTIFS(D_ANNEE,$C$4,D_NIVEAU,$F$4,D_SESSION,"S2",D_EQ_NIV,3)+COUNTIFS(D_ANNEE,$C$4,D_NIVEAU,$F$4,D_SESSION,"S2",D_SO_NIV,3)+COUNTIFS(D_ANNEE,$C$4,D_NIVEAU,$F$4,D_SESSION,"S2",D_VI_NIV,3)+COUNTIFS(D_ANNEE,$C$4,D_NIVEAU,$F$4,D_SESSION,"S2",D_EN_NIV,3)+COUNTIFS(D_ANNEE,$C$4,D_NIVEAU,$F$4,D_SESSION,"S2",D_CO_NIV,3)+COUNTIFS(D_ANNEE,$C$4,D_NIVEAU,$F$4,D_SESSION,"S2",D_GA_NIV,3)+COUNTIFS(D_ANNEE,$C$4,D_NIVEAU,$F$4,D_SESSION,"S2",D_AD_NIV,3)+COUNTIFS(D_ANNEE,$C$4,D_NIVEAU,$F$4,D_SESSION,"S2",D_FO_NIV,3)</f>
        <v>0</v>
      </c>
      <c r="E32" s="155">
        <f>IFERROR(C32/SUM($C$30:$C$34),0)</f>
        <v>0</v>
      </c>
      <c r="F32" s="155">
        <f>IFERROR(D32/SUM($D$30:$D$34),0)</f>
        <v>0</v>
      </c>
    </row>
    <row r="33" spans="1:7" ht="15.75" customHeight="1" x14ac:dyDescent="0.3">
      <c r="A33" s="72">
        <v>4</v>
      </c>
      <c r="B33" s="69" t="s">
        <v>216</v>
      </c>
      <c r="C33" s="52">
        <f>COUNTIFS(D_ANNEE,$C$4,D_NIVEAU,$F$4,D_SESSION,"S1",D_EQ_NIV,4)+COUNTIFS(D_ANNEE,$C$4,D_NIVEAU,$F$4,D_SESSION,"S1",D_SO_NIV,4)+COUNTIFS(D_ANNEE,$C$4,D_NIVEAU,$F$4,D_SESSION,"S1",D_VI_NIV,4)+COUNTIFS(D_ANNEE,$C$4,D_NIVEAU,$F$4,D_SESSION,"S1",D_EN_NIV,4)+COUNTIFS(D_ANNEE,$C$4,D_NIVEAU,$F$4,D_SESSION,"S1",D_CO_NIV,4)+COUNTIFS(D_ANNEE,$C$4,D_NIVEAU,$F$4,D_SESSION,"S1",D_GA_NIV,4)+COUNTIFS(D_ANNEE,$C$4,D_NIVEAU,$F$4,D_SESSION,"S1",D_AD_NIV,4)+COUNTIFS(D_ANNEE,$C$4,D_NIVEAU,$F$4,D_SESSION,"S1",D_FO_NIV,4)</f>
        <v>0</v>
      </c>
      <c r="D33" s="52">
        <f>COUNTIFS(D_ANNEE,$C$4,D_NIVEAU,$F$4,D_SESSION,"S2",D_EQ_NIV,4)+COUNTIFS(D_ANNEE,$C$4,D_NIVEAU,$F$4,D_SESSION,"S2",D_SO_NIV,4)+COUNTIFS(D_ANNEE,$C$4,D_NIVEAU,$F$4,D_SESSION,"S2",D_VI_NIV,4)+COUNTIFS(D_ANNEE,$C$4,D_NIVEAU,$F$4,D_SESSION,"S2",D_EN_NIV,4)+COUNTIFS(D_ANNEE,$C$4,D_NIVEAU,$F$4,D_SESSION,"S2",D_CO_NIV,4)+COUNTIFS(D_ANNEE,$C$4,D_NIVEAU,$F$4,D_SESSION,"S2",D_GA_NIV,4)+COUNTIFS(D_ANNEE,$C$4,D_NIVEAU,$F$4,D_SESSION,"S2",D_AD_NIV,4)+COUNTIFS(D_ANNEE,$C$4,D_NIVEAU,$F$4,D_SESSION,"S2",D_FO_NIV,4)</f>
        <v>0</v>
      </c>
      <c r="E33" s="155">
        <f>IFERROR(C33/SUM($C$30:$C$34),0)</f>
        <v>0</v>
      </c>
      <c r="F33" s="155">
        <f>IFERROR(D33/SUM($D$30:$D$34),0)</f>
        <v>0</v>
      </c>
    </row>
    <row r="34" spans="1:7" ht="15.75" customHeight="1" x14ac:dyDescent="0.3">
      <c r="A34" s="73">
        <v>5</v>
      </c>
      <c r="B34" s="69" t="s">
        <v>217</v>
      </c>
      <c r="C34" s="52">
        <f>COUNTIFS(D_ANNEE,$C$4,D_NIVEAU,$F$4,D_SESSION,"S1",D_EQ_NIV,5)+COUNTIFS(D_ANNEE,$C$4,D_NIVEAU,$F$4,D_SESSION,"S1",D_SO_NIV,5)+COUNTIFS(D_ANNEE,$C$4,D_NIVEAU,$F$4,D_SESSION,"S1",D_VI_NIV,5)+COUNTIFS(D_ANNEE,$C$4,D_NIVEAU,$F$4,D_SESSION,"S1",D_EN_NIV,5)+COUNTIFS(D_ANNEE,$C$4,D_NIVEAU,$F$4,D_SESSION,"S1",D_CO_NIV,5)+COUNTIFS(D_ANNEE,$C$4,D_NIVEAU,$F$4,D_SESSION,"S1",D_GA_NIV,5)+COUNTIFS(D_ANNEE,$C$4,D_NIVEAU,$F$4,D_SESSION,"S1",D_AD_NIV,5)+COUNTIFS(D_ANNEE,$C$4,D_NIVEAU,$F$4,D_SESSION,"S1",D_FO_NIV,5)</f>
        <v>0</v>
      </c>
      <c r="D34" s="52">
        <f>COUNTIFS(D_ANNEE,$C$4,D_NIVEAU,$F$4,D_SESSION,"S2",D_EQ_NIV,5)+COUNTIFS(D_ANNEE,$C$4,D_NIVEAU,$F$4,D_SESSION,"S2",D_SO_NIV,5)+COUNTIFS(D_ANNEE,$C$4,D_NIVEAU,$F$4,D_SESSION,"S2",D_VI_NIV,5)+COUNTIFS(D_ANNEE,$C$4,D_NIVEAU,$F$4,D_SESSION,"S2",D_EN_NIV,5)+COUNTIFS(D_ANNEE,$C$4,D_NIVEAU,$F$4,D_SESSION,"S2",D_CO_NIV,5)+COUNTIFS(D_ANNEE,$C$4,D_NIVEAU,$F$4,D_SESSION,"S2",D_GA_NIV,5)+COUNTIFS(D_ANNEE,$C$4,D_NIVEAU,$F$4,D_SESSION,"S2",D_AD_NIV,5)+COUNTIFS(D_ANNEE,$C$4,D_NIVEAU,$F$4,D_SESSION,"S2",D_FO_NIV,5)</f>
        <v>0</v>
      </c>
      <c r="E34" s="155">
        <f>IFERROR(C34/SUM($C$30:$C$34),0)</f>
        <v>0</v>
      </c>
      <c r="F34" s="155">
        <f>IFERROR(D34/SUM($D$30:$D$34),0)</f>
        <v>0</v>
      </c>
    </row>
    <row r="36" spans="1:7" ht="19.5" customHeight="1" x14ac:dyDescent="0.3">
      <c r="A36" s="250" t="s">
        <v>218</v>
      </c>
      <c r="B36" s="250"/>
      <c r="C36" s="250"/>
      <c r="D36" s="250"/>
      <c r="E36" s="250"/>
      <c r="F36" s="250"/>
    </row>
    <row r="37" spans="1:7" ht="21.75" customHeight="1" x14ac:dyDescent="0.3">
      <c r="A37" s="337" t="str">
        <f>IF(SUMIFS(D_NB_PROG,D_ANNEE,$C$4,D_NIVEAU,$F$4)+SUMIFS(D_NB_STAB,D_ANNEE,$C$4,D_NIVEAU,$F$4)+SUMIFS(D_NB_REG,D_ANNEE,$C$4,D_NIVEAU,$F$4)=0,"Non réalisée",ROUND(SUMIFS(D_NB_PROG,D_ANNEE,$C$4,D_NIVEAU,$F$4)/(SUMIFS(D_NB_PROG,D_ANNEE,$C$4,D_NIVEAU,$F$4)+SUMIFS(D_NB_STAB,D_ANNEE,$C$4,D_NIVEAU,$F$4)+SUMIFS(D_NB_REG,D_ANNEE,$C$4,D_NIVEAU,$F$4))*100,0)&amp;"% "&amp;"EN PROGRESSION")</f>
        <v>Non réalisée</v>
      </c>
      <c r="B37" s="337"/>
      <c r="C37" s="338" t="str">
        <f>IF(SUMIFS(D_NB_PROG,D_ANNEE,$C$4,D_NIVEAU,$F$4)+SUMIFS(D_NB_STAB,D_ANNEE,$C$4,D_NIVEAU,$F$4)+SUMIFS(D_NB_REG,D_ANNEE,$C$4,D_NIVEAU,$F$4)=0,"Non réalisée",ROUND(SUMIFS(D_NB_STAB,D_ANNEE,$C$4,D_NIVEAU,$F$4)/(SUMIFS(D_NB_PROG,D_ANNEE,$C$4,D_NIVEAU,$F$4)+SUMIFS(D_NB_STAB,D_ANNEE,$C$4,D_NIVEAU,$F$4)+SUMIFS(D_NB_REG,D_ANNEE,$C$4,D_NIVEAU,$F$4))*100,0)&amp;"% "&amp;"STABLES")</f>
        <v>Non réalisée</v>
      </c>
      <c r="D37" s="338"/>
      <c r="E37" s="339" t="str">
        <f>IF(SUMIFS(D_NB_PROG,D_ANNEE,$C$4,D_NIVEAU,$F$4)+SUMIFS(D_NB_STAB,D_ANNEE,$C$4,D_NIVEAU,$F$4)+SUMIFS(D_NB_REG,D_ANNEE,$C$4,D_NIVEAU,$F$4)=0,"Non réalisée",ROUND(SUMIFS(D_NB_REG,D_ANNEE,$C$4,D_NIVEAU,$F$4)/(SUMIFS(D_NB_PROG,D_ANNEE,$C$4,D_NIVEAU,$F$4)+SUMIFS(D_NB_STAB,D_ANNEE,$C$4,D_NIVEAU,$F$4)+SUMIFS(D_NB_REG,D_ANNEE,$C$4,D_NIVEAU,$F$4))*100,0)&amp;"% "&amp;"EN RÉGRESSION")</f>
        <v>Non réalisée</v>
      </c>
      <c r="F37" s="339"/>
    </row>
    <row r="38" spans="1:7" ht="14.25" customHeight="1" x14ac:dyDescent="0.3">
      <c r="A38" s="259" t="str">
        <f>"Basé sur "&amp;(SUMIFS(D_NB_PROG,D_ANNEE,$C$4,D_NIVEAU,$F$4)+SUMIFS(D_NB_STAB,D_ANNEE,$C$4,D_NIVEAU,$F$4)+SUMIFS(D_NB_REG,D_ANNEE,$C$4,D_NIVEAU,$F$4))&amp;" mesures comparables (test réalisé en S1 et en S2 par le même élève)."</f>
        <v>Basé sur 0 mesures comparables (test réalisé en S1 et en S2 par le même élève).</v>
      </c>
      <c r="B38" s="259"/>
      <c r="C38" s="259"/>
      <c r="D38" s="259"/>
      <c r="E38" s="259"/>
      <c r="F38" s="259"/>
    </row>
    <row r="40" spans="1:7" ht="15" customHeight="1" x14ac:dyDescent="0.3">
      <c r="A40" s="340" t="s">
        <v>219</v>
      </c>
      <c r="B40" s="340"/>
      <c r="C40" s="340"/>
      <c r="D40" s="340"/>
      <c r="E40" s="340"/>
      <c r="F40" s="340"/>
      <c r="G40" s="340"/>
    </row>
    <row r="41" spans="1:7" ht="27.75" customHeight="1" x14ac:dyDescent="0.3">
      <c r="A41" s="75" t="s">
        <v>44</v>
      </c>
      <c r="B41" s="75" t="s">
        <v>220</v>
      </c>
      <c r="C41" s="75" t="s">
        <v>221</v>
      </c>
      <c r="D41" s="75" t="s">
        <v>222</v>
      </c>
      <c r="E41" s="75" t="s">
        <v>223</v>
      </c>
      <c r="F41" s="75" t="s">
        <v>224</v>
      </c>
      <c r="G41" s="75" t="s">
        <v>225</v>
      </c>
    </row>
    <row r="42" spans="1:7" ht="14.25" customHeight="1" x14ac:dyDescent="0.3">
      <c r="A42" s="164" t="s">
        <v>2</v>
      </c>
      <c r="B42" s="67" t="str">
        <f>IFERROR(ROUND(AVERAGEIFS(D_EQ_NIV,D_ANNEE,$C$4,D_NIVEAU,$F$4,D_SESSION,"S1",D_SEXE,"F",D_EQ_NIV,"&gt;0"),1),"—")</f>
        <v>—</v>
      </c>
      <c r="C42" s="67" t="str">
        <f>IFERROR(ROUND(AVERAGEIFS(D_EQ_NIV,D_ANNEE,$C$4,D_NIVEAU,$F$4,D_SESSION,"S1",D_SEXE,"M",D_EQ_NIV,"&gt;0"),1),"—")</f>
        <v>—</v>
      </c>
      <c r="D42" s="67" t="str">
        <f>IFERROR(ROUND(AVERAGEIFS(D_EQ_NIV,D_ANNEE,$C$4,D_NIVEAU,$F$4,D_SESSION,"S2",D_SEXE,"F",D_EQ_NIV,"&gt;0"),1),"—")</f>
        <v>—</v>
      </c>
      <c r="E42" s="67" t="str">
        <f>IFERROR(ROUND(AVERAGEIFS(D_EQ_NIV,D_ANNEE,$C$4,D_NIVEAU,$F$4,D_SESSION,"S2",D_SEXE,"M",D_EQ_NIV,"&gt;0"),1),"—")</f>
        <v>—</v>
      </c>
      <c r="F42" s="67" t="str">
        <f t="shared" ref="F42:F49" si="6">IF(OR(B42="—",C42="—"),"",ROUND(B42-C42,1))</f>
        <v/>
      </c>
      <c r="G42" s="67" t="str">
        <f t="shared" ref="G42:G49" si="7">IF(OR(D42="—",E42="—"),"",ROUND(D42-E42,1))</f>
        <v/>
      </c>
    </row>
    <row r="43" spans="1:7" ht="14.25" customHeight="1" x14ac:dyDescent="0.3">
      <c r="A43" s="165" t="s">
        <v>3</v>
      </c>
      <c r="B43" s="67" t="str">
        <f>IFERROR(ROUND(AVERAGEIFS(D_SO_NIV,D_ANNEE,$C$4,D_NIVEAU,$F$4,D_SESSION,"S1",D_SEXE,"F",D_SO_NIV,"&gt;0"),1),"—")</f>
        <v>—</v>
      </c>
      <c r="C43" s="67" t="str">
        <f>IFERROR(ROUND(AVERAGEIFS(D_SO_NIV,D_ANNEE,$C$4,D_NIVEAU,$F$4,D_SESSION,"S1",D_SEXE,"M",D_SO_NIV,"&gt;0"),1),"—")</f>
        <v>—</v>
      </c>
      <c r="D43" s="67" t="str">
        <f>IFERROR(ROUND(AVERAGEIFS(D_SO_NIV,D_ANNEE,$C$4,D_NIVEAU,$F$4,D_SESSION,"S2",D_SEXE,"F",D_SO_NIV,"&gt;0"),1),"—")</f>
        <v>—</v>
      </c>
      <c r="E43" s="67" t="str">
        <f>IFERROR(ROUND(AVERAGEIFS(D_SO_NIV,D_ANNEE,$C$4,D_NIVEAU,$F$4,D_SESSION,"S2",D_SEXE,"M",D_SO_NIV,"&gt;0"),1),"—")</f>
        <v>—</v>
      </c>
      <c r="F43" s="67" t="str">
        <f t="shared" si="6"/>
        <v/>
      </c>
      <c r="G43" s="67" t="str">
        <f t="shared" si="7"/>
        <v/>
      </c>
    </row>
    <row r="44" spans="1:7" ht="14.25" customHeight="1" x14ac:dyDescent="0.3">
      <c r="A44" s="166" t="s">
        <v>4</v>
      </c>
      <c r="B44" s="67" t="str">
        <f>IFERROR(ROUND(AVERAGEIFS(D_VI_NIV,D_ANNEE,$C$4,D_NIVEAU,$F$4,D_SESSION,"S1",D_SEXE,"F",D_VI_NIV,"&gt;0"),1),"—")</f>
        <v>—</v>
      </c>
      <c r="C44" s="67" t="str">
        <f>IFERROR(ROUND(AVERAGEIFS(D_VI_NIV,D_ANNEE,$C$4,D_NIVEAU,$F$4,D_SESSION,"S1",D_SEXE,"M",D_VI_NIV,"&gt;0"),1),"—")</f>
        <v>—</v>
      </c>
      <c r="D44" s="67" t="str">
        <f>IFERROR(ROUND(AVERAGEIFS(D_VI_NIV,D_ANNEE,$C$4,D_NIVEAU,$F$4,D_SESSION,"S2",D_SEXE,"F",D_VI_NIV,"&gt;0"),1),"—")</f>
        <v>—</v>
      </c>
      <c r="E44" s="67" t="str">
        <f>IFERROR(ROUND(AVERAGEIFS(D_VI_NIV,D_ANNEE,$C$4,D_NIVEAU,$F$4,D_SESSION,"S2",D_SEXE,"M",D_VI_NIV,"&gt;0"),1),"—")</f>
        <v>—</v>
      </c>
      <c r="F44" s="67" t="str">
        <f t="shared" si="6"/>
        <v/>
      </c>
      <c r="G44" s="67" t="str">
        <f t="shared" si="7"/>
        <v/>
      </c>
    </row>
    <row r="45" spans="1:7" ht="14.25" customHeight="1" x14ac:dyDescent="0.3">
      <c r="A45" s="167" t="s">
        <v>5</v>
      </c>
      <c r="B45" s="67" t="str">
        <f>IFERROR(ROUND(AVERAGEIFS(D_EN_NIV,D_ANNEE,$C$4,D_NIVEAU,$F$4,D_SESSION,"S1",D_SEXE,"F",D_EN_NIV,"&gt;0"),1),"—")</f>
        <v>—</v>
      </c>
      <c r="C45" s="67" t="str">
        <f>IFERROR(ROUND(AVERAGEIFS(D_EN_NIV,D_ANNEE,$C$4,D_NIVEAU,$F$4,D_SESSION,"S1",D_SEXE,"M",D_EN_NIV,"&gt;0"),1),"—")</f>
        <v>—</v>
      </c>
      <c r="D45" s="67" t="str">
        <f>IFERROR(ROUND(AVERAGEIFS(D_EN_NIV,D_ANNEE,$C$4,D_NIVEAU,$F$4,D_SESSION,"S2",D_SEXE,"F",D_EN_NIV,"&gt;0"),1),"—")</f>
        <v>—</v>
      </c>
      <c r="E45" s="67" t="str">
        <f>IFERROR(ROUND(AVERAGEIFS(D_EN_NIV,D_ANNEE,$C$4,D_NIVEAU,$F$4,D_SESSION,"S2",D_SEXE,"M",D_EN_NIV,"&gt;0"),1),"—")</f>
        <v>—</v>
      </c>
      <c r="F45" s="67" t="str">
        <f t="shared" si="6"/>
        <v/>
      </c>
      <c r="G45" s="67" t="str">
        <f t="shared" si="7"/>
        <v/>
      </c>
    </row>
    <row r="46" spans="1:7" ht="14.25" customHeight="1" x14ac:dyDescent="0.3">
      <c r="A46" s="168" t="s">
        <v>6</v>
      </c>
      <c r="B46" s="67" t="str">
        <f>IFERROR(ROUND(AVERAGEIFS(D_CO_NIV,D_ANNEE,$C$4,D_NIVEAU,$F$4,D_SESSION,"S1",D_SEXE,"F",D_CO_NIV,"&gt;0"),1),"—")</f>
        <v>—</v>
      </c>
      <c r="C46" s="67" t="str">
        <f>IFERROR(ROUND(AVERAGEIFS(D_CO_NIV,D_ANNEE,$C$4,D_NIVEAU,$F$4,D_SESSION,"S1",D_SEXE,"M",D_CO_NIV,"&gt;0"),1),"—")</f>
        <v>—</v>
      </c>
      <c r="D46" s="67" t="str">
        <f>IFERROR(ROUND(AVERAGEIFS(D_CO_NIV,D_ANNEE,$C$4,D_NIVEAU,$F$4,D_SESSION,"S2",D_SEXE,"F",D_CO_NIV,"&gt;0"),1),"—")</f>
        <v>—</v>
      </c>
      <c r="E46" s="67" t="str">
        <f>IFERROR(ROUND(AVERAGEIFS(D_CO_NIV,D_ANNEE,$C$4,D_NIVEAU,$F$4,D_SESSION,"S2",D_SEXE,"M",D_CO_NIV,"&gt;0"),1),"—")</f>
        <v>—</v>
      </c>
      <c r="F46" s="67" t="str">
        <f t="shared" si="6"/>
        <v/>
      </c>
      <c r="G46" s="67" t="str">
        <f t="shared" si="7"/>
        <v/>
      </c>
    </row>
    <row r="47" spans="1:7" ht="14.25" customHeight="1" x14ac:dyDescent="0.3">
      <c r="A47" s="169" t="s">
        <v>7</v>
      </c>
      <c r="B47" s="67" t="str">
        <f>IFERROR(ROUND(AVERAGEIFS(D_GA_NIV,D_ANNEE,$C$4,D_NIVEAU,$F$4,D_SESSION,"S1",D_SEXE,"F",D_GA_NIV,"&gt;0"),1),"—")</f>
        <v>—</v>
      </c>
      <c r="C47" s="67" t="str">
        <f>IFERROR(ROUND(AVERAGEIFS(D_GA_NIV,D_ANNEE,$C$4,D_NIVEAU,$F$4,D_SESSION,"S1",D_SEXE,"M",D_GA_NIV,"&gt;0"),1),"—")</f>
        <v>—</v>
      </c>
      <c r="D47" s="67" t="str">
        <f>IFERROR(ROUND(AVERAGEIFS(D_GA_NIV,D_ANNEE,$C$4,D_NIVEAU,$F$4,D_SESSION,"S2",D_SEXE,"F",D_GA_NIV,"&gt;0"),1),"—")</f>
        <v>—</v>
      </c>
      <c r="E47" s="67" t="str">
        <f>IFERROR(ROUND(AVERAGEIFS(D_GA_NIV,D_ANNEE,$C$4,D_NIVEAU,$F$4,D_SESSION,"S2",D_SEXE,"M",D_GA_NIV,"&gt;0"),1),"—")</f>
        <v>—</v>
      </c>
      <c r="F47" s="67" t="str">
        <f t="shared" si="6"/>
        <v/>
      </c>
      <c r="G47" s="67" t="str">
        <f t="shared" si="7"/>
        <v/>
      </c>
    </row>
    <row r="48" spans="1:7" ht="14.25" customHeight="1" x14ac:dyDescent="0.3">
      <c r="A48" s="170" t="s">
        <v>8</v>
      </c>
      <c r="B48" s="67" t="str">
        <f>IFERROR(ROUND(AVERAGEIFS(D_AD_NIV,D_ANNEE,$C$4,D_NIVEAU,$F$4,D_SESSION,"S1",D_SEXE,"F",D_AD_NIV,"&gt;0"),1),"—")</f>
        <v>—</v>
      </c>
      <c r="C48" s="67" t="str">
        <f>IFERROR(ROUND(AVERAGEIFS(D_AD_NIV,D_ANNEE,$C$4,D_NIVEAU,$F$4,D_SESSION,"S1",D_SEXE,"M",D_AD_NIV,"&gt;0"),1),"—")</f>
        <v>—</v>
      </c>
      <c r="D48" s="67" t="str">
        <f>IFERROR(ROUND(AVERAGEIFS(D_AD_NIV,D_ANNEE,$C$4,D_NIVEAU,$F$4,D_SESSION,"S2",D_SEXE,"F",D_AD_NIV,"&gt;0"),1),"—")</f>
        <v>—</v>
      </c>
      <c r="E48" s="67" t="str">
        <f>IFERROR(ROUND(AVERAGEIFS(D_AD_NIV,D_ANNEE,$C$4,D_NIVEAU,$F$4,D_SESSION,"S2",D_SEXE,"M",D_AD_NIV,"&gt;0"),1),"—")</f>
        <v>—</v>
      </c>
      <c r="F48" s="67" t="str">
        <f t="shared" si="6"/>
        <v/>
      </c>
      <c r="G48" s="67" t="str">
        <f t="shared" si="7"/>
        <v/>
      </c>
    </row>
    <row r="49" spans="1:7" ht="14.25" customHeight="1" x14ac:dyDescent="0.3">
      <c r="A49" s="171" t="s">
        <v>9</v>
      </c>
      <c r="B49" s="67" t="str">
        <f>IFERROR(ROUND(AVERAGEIFS(D_FO_NIV,D_ANNEE,$C$4,D_NIVEAU,$F$4,D_SESSION,"S1",D_SEXE,"F",D_FO_NIV,"&gt;0"),1),"—")</f>
        <v>—</v>
      </c>
      <c r="C49" s="67" t="str">
        <f>IFERROR(ROUND(AVERAGEIFS(D_FO_NIV,D_ANNEE,$C$4,D_NIVEAU,$F$4,D_SESSION,"S1",D_SEXE,"M",D_FO_NIV,"&gt;0"),1),"—")</f>
        <v>—</v>
      </c>
      <c r="D49" s="67" t="str">
        <f>IFERROR(ROUND(AVERAGEIFS(D_FO_NIV,D_ANNEE,$C$4,D_NIVEAU,$F$4,D_SESSION,"S2",D_SEXE,"F",D_FO_NIV,"&gt;0"),1),"—")</f>
        <v>—</v>
      </c>
      <c r="E49" s="67" t="str">
        <f>IFERROR(ROUND(AVERAGEIFS(D_FO_NIV,D_ANNEE,$C$4,D_NIVEAU,$F$4,D_SESSION,"S2",D_SEXE,"M",D_FO_NIV,"&gt;0"),1),"—")</f>
        <v>—</v>
      </c>
      <c r="F49" s="67" t="str">
        <f t="shared" si="6"/>
        <v/>
      </c>
      <c r="G49" s="67" t="str">
        <f t="shared" si="7"/>
        <v/>
      </c>
    </row>
    <row r="51" spans="1:7" ht="14.25" customHeight="1" x14ac:dyDescent="0.3">
      <c r="A51" s="341" t="str">
        <f>IF(COUNTIFS(D_ANNEE,$C$4,D_NIVEAU,$F$4,D_SESSION,"S1")=0,"Taux de retest S1→S2 : aucune donnée S1","Taux de retest S1→S2 : "&amp;COUNTIFS(D_ANNEE,$C$4,D_NIVEAU,$F$4,D_SESSION,"S1",D_S2ROW,"&gt;0")&amp;" élève(s) sur "&amp;COUNTIFS(D_ANNEE,$C$4,D_NIVEAU,$F$4,D_SESSION,"S1")&amp;" retrouvé(s) en S2 ("&amp;TEXT(COUNTIFS(D_ANNEE,$C$4,D_NIVEAU,$F$4,D_SESSION,"S1",D_S2ROW,"&gt;0")/COUNTIFS(D_ANNEE,$C$4,D_NIVEAU,$F$4,D_SESSION,"S1"),"0%")&amp;")")</f>
        <v>Taux de retest S1→S2 : aucune donnée S1</v>
      </c>
      <c r="B51" s="341"/>
      <c r="C51" s="341"/>
      <c r="D51" s="341"/>
      <c r="E51" s="341"/>
      <c r="F51" s="341"/>
      <c r="G51" s="341"/>
    </row>
    <row r="52" spans="1:7" ht="19.95" customHeight="1" x14ac:dyDescent="0.3"/>
    <row r="53" spans="1:7" ht="19.95" customHeight="1" x14ac:dyDescent="0.3"/>
    <row r="54" spans="1:7" ht="19.95" customHeight="1" x14ac:dyDescent="0.3"/>
    <row r="55" spans="1:7" ht="19.95" customHeight="1" x14ac:dyDescent="0.3"/>
    <row r="56" spans="1:7" ht="19.95" customHeight="1" x14ac:dyDescent="0.3"/>
    <row r="57" spans="1:7" ht="19.95" customHeight="1" x14ac:dyDescent="0.3"/>
    <row r="58" spans="1:7" ht="19.95" customHeight="1" x14ac:dyDescent="0.3"/>
    <row r="59" spans="1:7" ht="19.95" customHeight="1" x14ac:dyDescent="0.3"/>
    <row r="60" spans="1:7" ht="19.95" customHeight="1" x14ac:dyDescent="0.3"/>
    <row r="61" spans="1:7" ht="19.95" customHeight="1" x14ac:dyDescent="0.3"/>
    <row r="62" spans="1:7" ht="19.95" customHeight="1" x14ac:dyDescent="0.3"/>
    <row r="63" spans="1:7" ht="19.95" customHeight="1" x14ac:dyDescent="0.3"/>
    <row r="64" spans="1:7" ht="19.95" customHeight="1" x14ac:dyDescent="0.3"/>
    <row r="65" spans="1:15" ht="19.95" customHeight="1" x14ac:dyDescent="0.3"/>
    <row r="66" spans="1:15" ht="19.95" customHeight="1" x14ac:dyDescent="0.3"/>
    <row r="68" spans="1:15" ht="21.75" customHeight="1" x14ac:dyDescent="0.3">
      <c r="A68" s="228" t="s">
        <v>226</v>
      </c>
      <c r="B68" s="228"/>
      <c r="C68" s="228"/>
      <c r="D68" s="228"/>
      <c r="E68" s="228"/>
      <c r="F68" s="228"/>
      <c r="G68" s="228"/>
      <c r="H68" s="228"/>
      <c r="I68" s="228"/>
      <c r="J68" s="228"/>
      <c r="K68" s="228"/>
      <c r="L68" s="228"/>
      <c r="M68" s="228"/>
      <c r="N68" s="228"/>
      <c r="O68" s="228"/>
    </row>
    <row r="69" spans="1:15" ht="12" customHeight="1" x14ac:dyDescent="0.3">
      <c r="E69" s="76" t="s">
        <v>163</v>
      </c>
      <c r="G69" s="76" t="s">
        <v>164</v>
      </c>
      <c r="H69" s="77" t="s">
        <v>165</v>
      </c>
    </row>
    <row r="70" spans="1:15" ht="21.75" customHeight="1" x14ac:dyDescent="0.3">
      <c r="B70" s="78"/>
      <c r="C70" s="342" t="str">
        <f t="shared" ref="C70:C77" si="8">A8</f>
        <v>Équilibre</v>
      </c>
      <c r="D70" s="342"/>
      <c r="E70" s="79" t="str">
        <f t="shared" ref="E70:E77" si="9">D8</f>
        <v>Non réalisée</v>
      </c>
      <c r="F70" s="80" t="s">
        <v>227</v>
      </c>
      <c r="G70" s="81" t="str">
        <f t="shared" ref="G70:G77" si="10">F8</f>
        <v>Non réalisée</v>
      </c>
      <c r="H70" s="82" t="str">
        <f t="shared" ref="H70:H77" si="11">IF(OR(ISTEXT(F8),ISTEXT(D8),F8="",D8="",D8=0),"",IF(F8&gt;D8,"▲ +"&amp;ROUND((F8-D8)/D8*100,0)&amp;"%",IF(F8&lt;D8,"▼ "&amp;ROUND((F8-D8)/D8*100,0)&amp;"%","→ stable")))</f>
        <v/>
      </c>
    </row>
    <row r="71" spans="1:15" ht="21.75" customHeight="1" x14ac:dyDescent="0.3">
      <c r="B71" s="83"/>
      <c r="C71" s="343" t="str">
        <f t="shared" si="8"/>
        <v>Souplesse</v>
      </c>
      <c r="D71" s="343"/>
      <c r="E71" s="84" t="str">
        <f t="shared" si="9"/>
        <v>Non réalisée</v>
      </c>
      <c r="F71" s="80" t="s">
        <v>227</v>
      </c>
      <c r="G71" s="85" t="str">
        <f t="shared" si="10"/>
        <v>Non réalisée</v>
      </c>
      <c r="H71" s="82" t="str">
        <f t="shared" si="11"/>
        <v/>
      </c>
    </row>
    <row r="72" spans="1:15" ht="21.75" customHeight="1" x14ac:dyDescent="0.3">
      <c r="B72" s="86"/>
      <c r="C72" s="344" t="str">
        <f t="shared" si="8"/>
        <v>Vitesse</v>
      </c>
      <c r="D72" s="344"/>
      <c r="E72" s="87" t="str">
        <f t="shared" si="9"/>
        <v>Non réalisée</v>
      </c>
      <c r="F72" s="80" t="s">
        <v>227</v>
      </c>
      <c r="G72" s="88" t="str">
        <f t="shared" si="10"/>
        <v>Non réalisée</v>
      </c>
      <c r="H72" s="82" t="str">
        <f t="shared" si="11"/>
        <v/>
      </c>
    </row>
    <row r="73" spans="1:15" ht="21.75" customHeight="1" x14ac:dyDescent="0.3">
      <c r="B73" s="89"/>
      <c r="C73" s="345" t="str">
        <f t="shared" si="8"/>
        <v>Endurance</v>
      </c>
      <c r="D73" s="345"/>
      <c r="E73" s="90" t="str">
        <f t="shared" si="9"/>
        <v>Non réalisée</v>
      </c>
      <c r="F73" s="80" t="s">
        <v>227</v>
      </c>
      <c r="G73" s="91" t="str">
        <f t="shared" si="10"/>
        <v>Non réalisée</v>
      </c>
      <c r="H73" s="82" t="str">
        <f t="shared" si="11"/>
        <v/>
      </c>
    </row>
    <row r="74" spans="1:15" ht="21.75" customHeight="1" x14ac:dyDescent="0.3">
      <c r="B74" s="92"/>
      <c r="C74" s="346" t="str">
        <f t="shared" si="8"/>
        <v>Coordination</v>
      </c>
      <c r="D74" s="346"/>
      <c r="E74" s="93" t="str">
        <f t="shared" si="9"/>
        <v>Non réalisée</v>
      </c>
      <c r="F74" s="80" t="s">
        <v>227</v>
      </c>
      <c r="G74" s="94" t="str">
        <f t="shared" si="10"/>
        <v>Non réalisée</v>
      </c>
      <c r="H74" s="82" t="str">
        <f t="shared" si="11"/>
        <v/>
      </c>
    </row>
    <row r="75" spans="1:15" ht="21.75" customHeight="1" x14ac:dyDescent="0.3">
      <c r="B75" s="95"/>
      <c r="C75" s="347" t="str">
        <f t="shared" si="8"/>
        <v>Gainage</v>
      </c>
      <c r="D75" s="347"/>
      <c r="E75" s="79" t="str">
        <f t="shared" si="9"/>
        <v>Non réalisée</v>
      </c>
      <c r="F75" s="80" t="s">
        <v>227</v>
      </c>
      <c r="G75" s="96" t="str">
        <f t="shared" si="10"/>
        <v>Non réalisée</v>
      </c>
      <c r="H75" s="82" t="str">
        <f t="shared" si="11"/>
        <v/>
      </c>
    </row>
    <row r="76" spans="1:15" ht="21.75" customHeight="1" x14ac:dyDescent="0.3">
      <c r="B76" s="97"/>
      <c r="C76" s="348" t="str">
        <f t="shared" si="8"/>
        <v>Adresse</v>
      </c>
      <c r="D76" s="348"/>
      <c r="E76" s="98" t="str">
        <f t="shared" si="9"/>
        <v>Non réalisée</v>
      </c>
      <c r="F76" s="80" t="s">
        <v>227</v>
      </c>
      <c r="G76" s="99" t="str">
        <f t="shared" si="10"/>
        <v>Non réalisée</v>
      </c>
      <c r="H76" s="82" t="str">
        <f t="shared" si="11"/>
        <v/>
      </c>
    </row>
    <row r="77" spans="1:15" ht="21.75" customHeight="1" x14ac:dyDescent="0.3">
      <c r="B77" s="100"/>
      <c r="C77" s="349" t="str">
        <f t="shared" si="8"/>
        <v>Force des jambes</v>
      </c>
      <c r="D77" s="349"/>
      <c r="E77" s="87" t="str">
        <f t="shared" si="9"/>
        <v>Non réalisée</v>
      </c>
      <c r="F77" s="80" t="s">
        <v>227</v>
      </c>
      <c r="G77" s="101" t="str">
        <f t="shared" si="10"/>
        <v>Non réalisée</v>
      </c>
      <c r="H77" s="82" t="str">
        <f t="shared" si="11"/>
        <v/>
      </c>
    </row>
    <row r="80" spans="1:15" ht="19.5" customHeight="1" x14ac:dyDescent="0.3">
      <c r="A80" s="250" t="s">
        <v>446</v>
      </c>
      <c r="B80" s="250"/>
      <c r="C80" s="250"/>
      <c r="D80" s="250"/>
      <c r="E80" s="250"/>
      <c r="F80" s="250"/>
    </row>
    <row r="81" spans="1:6" x14ac:dyDescent="0.3">
      <c r="A81" s="56" t="s">
        <v>44</v>
      </c>
      <c r="B81" s="56" t="s">
        <v>447</v>
      </c>
      <c r="C81" s="56" t="s">
        <v>448</v>
      </c>
      <c r="D81" s="56" t="s">
        <v>449</v>
      </c>
      <c r="E81" s="56" t="s">
        <v>450</v>
      </c>
      <c r="F81" s="56" t="s">
        <v>451</v>
      </c>
    </row>
    <row r="82" spans="1:6" x14ac:dyDescent="0.3">
      <c r="A82" s="172" t="s">
        <v>2</v>
      </c>
      <c r="B82" s="52">
        <f t="shared" ref="B82:B89" si="12">C82+D82+E82</f>
        <v>0</v>
      </c>
      <c r="C82" s="52">
        <f>COUNTIFS(D_PROG_EQ,1,D_ANNEE,$C$4,D_NIVEAU,$F$4)</f>
        <v>0</v>
      </c>
      <c r="D82" s="52">
        <f>COUNTIFS(D_PROG_EQ,0,D_ANNEE,$C$4,D_NIVEAU,$F$4)</f>
        <v>0</v>
      </c>
      <c r="E82" s="52">
        <f>COUNTIFS(D_PROG_EQ,-1,D_ANNEE,$C$4,D_NIVEAU,$F$4)</f>
        <v>0</v>
      </c>
      <c r="F82" s="52" t="str">
        <f t="shared" ref="F82:F89" si="13">IF(B82=0,"—",ROUND(C82/B82*100,0)&amp;" %")</f>
        <v>—</v>
      </c>
    </row>
    <row r="83" spans="1:6" x14ac:dyDescent="0.3">
      <c r="A83" s="173" t="s">
        <v>3</v>
      </c>
      <c r="B83" s="52">
        <f t="shared" si="12"/>
        <v>0</v>
      </c>
      <c r="C83" s="52">
        <f>COUNTIFS(D_PROG_SO,1,D_ANNEE,$C$4,D_NIVEAU,$F$4)</f>
        <v>0</v>
      </c>
      <c r="D83" s="52">
        <f>COUNTIFS(D_PROG_SO,0,D_ANNEE,$C$4,D_NIVEAU,$F$4)</f>
        <v>0</v>
      </c>
      <c r="E83" s="52">
        <f>COUNTIFS(D_PROG_SO,-1,D_ANNEE,$C$4,D_NIVEAU,$F$4)</f>
        <v>0</v>
      </c>
      <c r="F83" s="52" t="str">
        <f t="shared" si="13"/>
        <v>—</v>
      </c>
    </row>
    <row r="84" spans="1:6" x14ac:dyDescent="0.3">
      <c r="A84" s="174" t="s">
        <v>4</v>
      </c>
      <c r="B84" s="52">
        <f t="shared" si="12"/>
        <v>0</v>
      </c>
      <c r="C84" s="52">
        <f>COUNTIFS(D_PROG_VI,1,D_ANNEE,$C$4,D_NIVEAU,$F$4)</f>
        <v>0</v>
      </c>
      <c r="D84" s="52">
        <f>COUNTIFS(D_PROG_VI,0,D_ANNEE,$C$4,D_NIVEAU,$F$4)</f>
        <v>0</v>
      </c>
      <c r="E84" s="52">
        <f>COUNTIFS(D_PROG_VI,-1,D_ANNEE,$C$4,D_NIVEAU,$F$4)</f>
        <v>0</v>
      </c>
      <c r="F84" s="52" t="str">
        <f t="shared" si="13"/>
        <v>—</v>
      </c>
    </row>
    <row r="85" spans="1:6" x14ac:dyDescent="0.3">
      <c r="A85" s="175" t="s">
        <v>5</v>
      </c>
      <c r="B85" s="52">
        <f t="shared" si="12"/>
        <v>0</v>
      </c>
      <c r="C85" s="52">
        <f>COUNTIFS(D_PROG_EN,1,D_ANNEE,$C$4,D_NIVEAU,$F$4)</f>
        <v>0</v>
      </c>
      <c r="D85" s="52">
        <f>COUNTIFS(D_PROG_EN,0,D_ANNEE,$C$4,D_NIVEAU,$F$4)</f>
        <v>0</v>
      </c>
      <c r="E85" s="52">
        <f>COUNTIFS(D_PROG_EN,-1,D_ANNEE,$C$4,D_NIVEAU,$F$4)</f>
        <v>0</v>
      </c>
      <c r="F85" s="52" t="str">
        <f t="shared" si="13"/>
        <v>—</v>
      </c>
    </row>
    <row r="86" spans="1:6" x14ac:dyDescent="0.3">
      <c r="A86" s="176" t="s">
        <v>6</v>
      </c>
      <c r="B86" s="52">
        <f t="shared" si="12"/>
        <v>0</v>
      </c>
      <c r="C86" s="52">
        <f>COUNTIFS(D_PROG_CO,1,D_ANNEE,$C$4,D_NIVEAU,$F$4)</f>
        <v>0</v>
      </c>
      <c r="D86" s="52">
        <f>COUNTIFS(D_PROG_CO,0,D_ANNEE,$C$4,D_NIVEAU,$F$4)</f>
        <v>0</v>
      </c>
      <c r="E86" s="52">
        <f>COUNTIFS(D_PROG_CO,-1,D_ANNEE,$C$4,D_NIVEAU,$F$4)</f>
        <v>0</v>
      </c>
      <c r="F86" s="52" t="str">
        <f t="shared" si="13"/>
        <v>—</v>
      </c>
    </row>
    <row r="87" spans="1:6" x14ac:dyDescent="0.3">
      <c r="A87" s="177" t="s">
        <v>7</v>
      </c>
      <c r="B87" s="52">
        <f t="shared" si="12"/>
        <v>0</v>
      </c>
      <c r="C87" s="52">
        <f>COUNTIFS(D_PROG_GA,1,D_ANNEE,$C$4,D_NIVEAU,$F$4)</f>
        <v>0</v>
      </c>
      <c r="D87" s="52">
        <f>COUNTIFS(D_PROG_GA,0,D_ANNEE,$C$4,D_NIVEAU,$F$4)</f>
        <v>0</v>
      </c>
      <c r="E87" s="52">
        <f>COUNTIFS(D_PROG_GA,-1,D_ANNEE,$C$4,D_NIVEAU,$F$4)</f>
        <v>0</v>
      </c>
      <c r="F87" s="52" t="str">
        <f t="shared" si="13"/>
        <v>—</v>
      </c>
    </row>
    <row r="88" spans="1:6" x14ac:dyDescent="0.3">
      <c r="A88" s="178" t="s">
        <v>8</v>
      </c>
      <c r="B88" s="52">
        <f t="shared" si="12"/>
        <v>0</v>
      </c>
      <c r="C88" s="52">
        <f>COUNTIFS(D_PROG_AD,1,D_ANNEE,$C$4,D_NIVEAU,$F$4)</f>
        <v>0</v>
      </c>
      <c r="D88" s="52">
        <f>COUNTIFS(D_PROG_AD,0,D_ANNEE,$C$4,D_NIVEAU,$F$4)</f>
        <v>0</v>
      </c>
      <c r="E88" s="52">
        <f>COUNTIFS(D_PROG_AD,-1,D_ANNEE,$C$4,D_NIVEAU,$F$4)</f>
        <v>0</v>
      </c>
      <c r="F88" s="52" t="str">
        <f t="shared" si="13"/>
        <v>—</v>
      </c>
    </row>
    <row r="89" spans="1:6" x14ac:dyDescent="0.3">
      <c r="A89" s="179" t="s">
        <v>9</v>
      </c>
      <c r="B89" s="52">
        <f t="shared" si="12"/>
        <v>0</v>
      </c>
      <c r="C89" s="52">
        <f>COUNTIFS(D_PROG_FO,1,D_ANNEE,$C$4,D_NIVEAU,$F$4)</f>
        <v>0</v>
      </c>
      <c r="D89" s="52">
        <f>COUNTIFS(D_PROG_FO,0,D_ANNEE,$C$4,D_NIVEAU,$F$4)</f>
        <v>0</v>
      </c>
      <c r="E89" s="52">
        <f>COUNTIFS(D_PROG_FO,-1,D_ANNEE,$C$4,D_NIVEAU,$F$4)</f>
        <v>0</v>
      </c>
      <c r="F89" s="52" t="str">
        <f t="shared" si="13"/>
        <v>—</v>
      </c>
    </row>
    <row r="90" spans="1:6" x14ac:dyDescent="0.3">
      <c r="A90" s="74" t="s">
        <v>452</v>
      </c>
    </row>
    <row r="92" spans="1:6" ht="19.5" customHeight="1" x14ac:dyDescent="0.3">
      <c r="A92" s="250" t="s">
        <v>453</v>
      </c>
      <c r="B92" s="250"/>
      <c r="C92" s="250"/>
      <c r="D92" s="250"/>
      <c r="E92" s="250"/>
    </row>
    <row r="93" spans="1:6" x14ac:dyDescent="0.3">
      <c r="A93" s="56" t="s">
        <v>111</v>
      </c>
      <c r="B93" s="56" t="s">
        <v>454</v>
      </c>
      <c r="C93" s="56" t="s">
        <v>455</v>
      </c>
      <c r="D93" s="56" t="s">
        <v>456</v>
      </c>
      <c r="E93" s="56" t="s">
        <v>457</v>
      </c>
    </row>
    <row r="94" spans="1:6" x14ac:dyDescent="0.3">
      <c r="A94" s="180" t="s">
        <v>163</v>
      </c>
      <c r="B94" s="52">
        <f>COUNTIFS(D_ANNEE,$C$4,D_NIVEAU,$F$4,D_SESSION,"S1")</f>
        <v>0</v>
      </c>
      <c r="C94" s="52">
        <f>COUNTIFS(D_ANNEE,$C$4,D_NIVEAU,$F$4,D_SESSION,"S1",D_COMPLET,1)</f>
        <v>0</v>
      </c>
      <c r="D94" s="52" t="str">
        <f>IFERROR(ROUND(AVERAGEIFS(D_MOYNIV,D_ANNEE,$C$4,D_NIVEAU,$F$4,D_SESSION,"S1",D_COMPLET,1),2),"—")</f>
        <v>—</v>
      </c>
      <c r="E94" s="52" t="str">
        <f>IFERROR(ROUND(AVERAGEIFS(D_MOYNIV,D_ANNEE,$C$4,D_NIVEAU,$F$4,D_SESSION,"S1"),2),"—")</f>
        <v>—</v>
      </c>
    </row>
    <row r="95" spans="1:6" x14ac:dyDescent="0.3">
      <c r="A95" s="180" t="s">
        <v>164</v>
      </c>
      <c r="B95" s="52">
        <f>COUNTIFS(D_ANNEE,$C$4,D_NIVEAU,$F$4,D_SESSION,"S2")</f>
        <v>0</v>
      </c>
      <c r="C95" s="52">
        <f>COUNTIFS(D_ANNEE,$C$4,D_NIVEAU,$F$4,D_SESSION,"S2",D_COMPLET,1)</f>
        <v>0</v>
      </c>
      <c r="D95" s="52" t="str">
        <f>IFERROR(ROUND(AVERAGEIFS(D_MOYNIV,D_ANNEE,$C$4,D_NIVEAU,$F$4,D_SESSION,"S2",D_COMPLET,1),2),"—")</f>
        <v>—</v>
      </c>
      <c r="E95" s="52" t="str">
        <f>IFERROR(ROUND(AVERAGEIFS(D_MOYNIV,D_ANNEE,$C$4,D_NIVEAU,$F$4,D_SESSION,"S2"),2),"—")</f>
        <v>—</v>
      </c>
    </row>
    <row r="96" spans="1:6" x14ac:dyDescent="0.3">
      <c r="A96" s="74" t="s">
        <v>458</v>
      </c>
    </row>
    <row r="98" spans="1:9" ht="21.75" customHeight="1" x14ac:dyDescent="0.3">
      <c r="A98" s="228" t="s">
        <v>399</v>
      </c>
      <c r="B98" s="228"/>
      <c r="C98" s="228"/>
      <c r="D98" s="228"/>
      <c r="E98" s="228"/>
      <c r="F98" s="228"/>
      <c r="G98" s="228"/>
      <c r="H98" s="228"/>
      <c r="I98" s="228"/>
    </row>
    <row r="100" spans="1:9" ht="15.75" customHeight="1" x14ac:dyDescent="0.3">
      <c r="A100" s="56" t="s">
        <v>400</v>
      </c>
      <c r="B100" s="44" t="s">
        <v>171</v>
      </c>
      <c r="C100" s="45" t="s">
        <v>172</v>
      </c>
      <c r="D100" s="46" t="s">
        <v>173</v>
      </c>
      <c r="E100" s="47" t="s">
        <v>174</v>
      </c>
      <c r="F100" s="48" t="s">
        <v>175</v>
      </c>
    </row>
    <row r="101" spans="1:9" ht="15.75" customHeight="1" x14ac:dyDescent="0.3">
      <c r="A101" s="172" t="str">
        <f t="shared" ref="A101:A108" si="14">A8</f>
        <v>Équilibre</v>
      </c>
      <c r="B101" s="52" t="str">
        <f>IF($C8=0,"—",COUNTIFS(D_ANNEE,$C$4,D_NIVEAU,$F$4,D_SESSION,"S1",D_EQ_NIV,1))</f>
        <v>—</v>
      </c>
      <c r="C101" s="52" t="str">
        <f>IF($C8=0,"—",COUNTIFS(D_ANNEE,$C$4,D_NIVEAU,$F$4,D_SESSION,"S1",D_EQ_NIV,2))</f>
        <v>—</v>
      </c>
      <c r="D101" s="52" t="str">
        <f>IF($C8=0,"—",COUNTIFS(D_ANNEE,$C$4,D_NIVEAU,$F$4,D_SESSION,"S1",D_EQ_NIV,3))</f>
        <v>—</v>
      </c>
      <c r="E101" s="52" t="str">
        <f>IF($C8=0,"—",COUNTIFS(D_ANNEE,$C$4,D_NIVEAU,$F$4,D_SESSION,"S1",D_EQ_NIV,4))</f>
        <v>—</v>
      </c>
      <c r="F101" s="52" t="str">
        <f>IF($C8=0,"—",COUNTIFS(D_ANNEE,$C$4,D_NIVEAU,$F$4,D_SESSION,"S1",D_EQ_NIV,5))</f>
        <v>—</v>
      </c>
    </row>
    <row r="102" spans="1:9" ht="15.75" customHeight="1" x14ac:dyDescent="0.3">
      <c r="A102" s="173" t="str">
        <f t="shared" si="14"/>
        <v>Souplesse</v>
      </c>
      <c r="B102" s="52" t="str">
        <f>IF($C9=0,"—",COUNTIFS(D_ANNEE,$C$4,D_NIVEAU,$F$4,D_SESSION,"S1",D_SO_NIV,1))</f>
        <v>—</v>
      </c>
      <c r="C102" s="52" t="str">
        <f>IF($C9=0,"—",COUNTIFS(D_ANNEE,$C$4,D_NIVEAU,$F$4,D_SESSION,"S1",D_SO_NIV,2))</f>
        <v>—</v>
      </c>
      <c r="D102" s="52" t="str">
        <f>IF($C9=0,"—",COUNTIFS(D_ANNEE,$C$4,D_NIVEAU,$F$4,D_SESSION,"S1",D_SO_NIV,3))</f>
        <v>—</v>
      </c>
      <c r="E102" s="52" t="str">
        <f>IF($C9=0,"—",COUNTIFS(D_ANNEE,$C$4,D_NIVEAU,$F$4,D_SESSION,"S1",D_SO_NIV,4))</f>
        <v>—</v>
      </c>
      <c r="F102" s="52" t="str">
        <f>IF($C9=0,"—",COUNTIFS(D_ANNEE,$C$4,D_NIVEAU,$F$4,D_SESSION,"S1",D_SO_NIV,5))</f>
        <v>—</v>
      </c>
    </row>
    <row r="103" spans="1:9" ht="15.75" customHeight="1" x14ac:dyDescent="0.3">
      <c r="A103" s="174" t="str">
        <f t="shared" si="14"/>
        <v>Vitesse</v>
      </c>
      <c r="B103" s="52" t="str">
        <f>IF($C10=0,"—",COUNTIFS(D_ANNEE,$C$4,D_NIVEAU,$F$4,D_SESSION,"S1",D_VI_NIV,1))</f>
        <v>—</v>
      </c>
      <c r="C103" s="52" t="str">
        <f>IF($C10=0,"—",COUNTIFS(D_ANNEE,$C$4,D_NIVEAU,$F$4,D_SESSION,"S1",D_VI_NIV,2))</f>
        <v>—</v>
      </c>
      <c r="D103" s="52" t="str">
        <f>IF($C10=0,"—",COUNTIFS(D_ANNEE,$C$4,D_NIVEAU,$F$4,D_SESSION,"S1",D_VI_NIV,3))</f>
        <v>—</v>
      </c>
      <c r="E103" s="52" t="str">
        <f>IF($C10=0,"—",COUNTIFS(D_ANNEE,$C$4,D_NIVEAU,$F$4,D_SESSION,"S1",D_VI_NIV,4))</f>
        <v>—</v>
      </c>
      <c r="F103" s="52" t="str">
        <f>IF($C10=0,"—",COUNTIFS(D_ANNEE,$C$4,D_NIVEAU,$F$4,D_SESSION,"S1",D_VI_NIV,5))</f>
        <v>—</v>
      </c>
    </row>
    <row r="104" spans="1:9" ht="15.75" customHeight="1" x14ac:dyDescent="0.3">
      <c r="A104" s="175" t="str">
        <f t="shared" si="14"/>
        <v>Endurance</v>
      </c>
      <c r="B104" s="52" t="str">
        <f>IF($C11=0,"—",COUNTIFS(D_ANNEE,$C$4,D_NIVEAU,$F$4,D_SESSION,"S1",D_EN_NIV,1))</f>
        <v>—</v>
      </c>
      <c r="C104" s="52" t="str">
        <f>IF($C11=0,"—",COUNTIFS(D_ANNEE,$C$4,D_NIVEAU,$F$4,D_SESSION,"S1",D_EN_NIV,2))</f>
        <v>—</v>
      </c>
      <c r="D104" s="52" t="str">
        <f>IF($C11=0,"—",COUNTIFS(D_ANNEE,$C$4,D_NIVEAU,$F$4,D_SESSION,"S1",D_EN_NIV,3))</f>
        <v>—</v>
      </c>
      <c r="E104" s="52" t="str">
        <f>IF($C11=0,"—",COUNTIFS(D_ANNEE,$C$4,D_NIVEAU,$F$4,D_SESSION,"S1",D_EN_NIV,4))</f>
        <v>—</v>
      </c>
      <c r="F104" s="52" t="str">
        <f>IF($C11=0,"—",COUNTIFS(D_ANNEE,$C$4,D_NIVEAU,$F$4,D_SESSION,"S1",D_EN_NIV,5))</f>
        <v>—</v>
      </c>
    </row>
    <row r="105" spans="1:9" ht="15.75" customHeight="1" x14ac:dyDescent="0.3">
      <c r="A105" s="176" t="str">
        <f t="shared" si="14"/>
        <v>Coordination</v>
      </c>
      <c r="B105" s="52" t="str">
        <f>IF($C12=0,"—",COUNTIFS(D_ANNEE,$C$4,D_NIVEAU,$F$4,D_SESSION,"S1",D_CO_NIV,1))</f>
        <v>—</v>
      </c>
      <c r="C105" s="52" t="str">
        <f>IF($C12=0,"—",COUNTIFS(D_ANNEE,$C$4,D_NIVEAU,$F$4,D_SESSION,"S1",D_CO_NIV,2))</f>
        <v>—</v>
      </c>
      <c r="D105" s="52" t="str">
        <f>IF($C12=0,"—",COUNTIFS(D_ANNEE,$C$4,D_NIVEAU,$F$4,D_SESSION,"S1",D_CO_NIV,3))</f>
        <v>—</v>
      </c>
      <c r="E105" s="52" t="str">
        <f>IF($C12=0,"—",COUNTIFS(D_ANNEE,$C$4,D_NIVEAU,$F$4,D_SESSION,"S1",D_CO_NIV,4))</f>
        <v>—</v>
      </c>
      <c r="F105" s="52" t="str">
        <f>IF($C12=0,"—",COUNTIFS(D_ANNEE,$C$4,D_NIVEAU,$F$4,D_SESSION,"S1",D_CO_NIV,5))</f>
        <v>—</v>
      </c>
    </row>
    <row r="106" spans="1:9" ht="15.75" customHeight="1" x14ac:dyDescent="0.3">
      <c r="A106" s="177" t="str">
        <f t="shared" si="14"/>
        <v>Gainage</v>
      </c>
      <c r="B106" s="52" t="str">
        <f>IF($C13=0,"—",COUNTIFS(D_ANNEE,$C$4,D_NIVEAU,$F$4,D_SESSION,"S1",D_GA_NIV,1))</f>
        <v>—</v>
      </c>
      <c r="C106" s="52" t="str">
        <f>IF($C13=0,"—",COUNTIFS(D_ANNEE,$C$4,D_NIVEAU,$F$4,D_SESSION,"S1",D_GA_NIV,2))</f>
        <v>—</v>
      </c>
      <c r="D106" s="52" t="str">
        <f>IF($C13=0,"—",COUNTIFS(D_ANNEE,$C$4,D_NIVEAU,$F$4,D_SESSION,"S1",D_GA_NIV,3))</f>
        <v>—</v>
      </c>
      <c r="E106" s="52" t="str">
        <f>IF($C13=0,"—",COUNTIFS(D_ANNEE,$C$4,D_NIVEAU,$F$4,D_SESSION,"S1",D_GA_NIV,4))</f>
        <v>—</v>
      </c>
      <c r="F106" s="52" t="str">
        <f>IF($C13=0,"—",COUNTIFS(D_ANNEE,$C$4,D_NIVEAU,$F$4,D_SESSION,"S1",D_GA_NIV,5))</f>
        <v>—</v>
      </c>
    </row>
    <row r="107" spans="1:9" ht="15.75" customHeight="1" x14ac:dyDescent="0.3">
      <c r="A107" s="178" t="str">
        <f t="shared" si="14"/>
        <v>Adresse</v>
      </c>
      <c r="B107" s="52" t="str">
        <f>IF($C14=0,"—",COUNTIFS(D_ANNEE,$C$4,D_NIVEAU,$F$4,D_SESSION,"S1",D_AD_NIV,1))</f>
        <v>—</v>
      </c>
      <c r="C107" s="52" t="str">
        <f>IF($C14=0,"—",COUNTIFS(D_ANNEE,$C$4,D_NIVEAU,$F$4,D_SESSION,"S1",D_AD_NIV,2))</f>
        <v>—</v>
      </c>
      <c r="D107" s="52" t="str">
        <f>IF($C14=0,"—",COUNTIFS(D_ANNEE,$C$4,D_NIVEAU,$F$4,D_SESSION,"S1",D_AD_NIV,3))</f>
        <v>—</v>
      </c>
      <c r="E107" s="52" t="str">
        <f>IF($C14=0,"—",COUNTIFS(D_ANNEE,$C$4,D_NIVEAU,$F$4,D_SESSION,"S1",D_AD_NIV,4))</f>
        <v>—</v>
      </c>
      <c r="F107" s="52" t="str">
        <f>IF($C14=0,"—",COUNTIFS(D_ANNEE,$C$4,D_NIVEAU,$F$4,D_SESSION,"S1",D_AD_NIV,5))</f>
        <v>—</v>
      </c>
    </row>
    <row r="108" spans="1:9" ht="15.75" customHeight="1" x14ac:dyDescent="0.3">
      <c r="A108" s="179" t="str">
        <f t="shared" si="14"/>
        <v>Force des jambes</v>
      </c>
      <c r="B108" s="52" t="str">
        <f>IF($C15=0,"—",COUNTIFS(D_ANNEE,$C$4,D_NIVEAU,$F$4,D_SESSION,"S1",D_FO_NIV,1))</f>
        <v>—</v>
      </c>
      <c r="C108" s="52" t="str">
        <f>IF($C15=0,"—",COUNTIFS(D_ANNEE,$C$4,D_NIVEAU,$F$4,D_SESSION,"S1",D_FO_NIV,2))</f>
        <v>—</v>
      </c>
      <c r="D108" s="52" t="str">
        <f>IF($C15=0,"—",COUNTIFS(D_ANNEE,$C$4,D_NIVEAU,$F$4,D_SESSION,"S1",D_FO_NIV,3))</f>
        <v>—</v>
      </c>
      <c r="E108" s="52" t="str">
        <f>IF($C15=0,"—",COUNTIFS(D_ANNEE,$C$4,D_NIVEAU,$F$4,D_SESSION,"S1",D_FO_NIV,4))</f>
        <v>—</v>
      </c>
      <c r="F108" s="52" t="str">
        <f>IF($C15=0,"—",COUNTIFS(D_ANNEE,$C$4,D_NIVEAU,$F$4,D_SESSION,"S1",D_FO_NIV,5))</f>
        <v>—</v>
      </c>
    </row>
    <row r="110" spans="1:9" ht="15.75" customHeight="1" x14ac:dyDescent="0.3">
      <c r="A110" s="56" t="s">
        <v>401</v>
      </c>
      <c r="B110" s="44" t="s">
        <v>171</v>
      </c>
      <c r="C110" s="45" t="s">
        <v>172</v>
      </c>
      <c r="D110" s="46" t="s">
        <v>173</v>
      </c>
      <c r="E110" s="47" t="s">
        <v>174</v>
      </c>
      <c r="F110" s="48" t="s">
        <v>175</v>
      </c>
    </row>
    <row r="111" spans="1:9" ht="15.75" customHeight="1" x14ac:dyDescent="0.3">
      <c r="A111" s="172" t="str">
        <f t="shared" ref="A111:A118" si="15">A8</f>
        <v>Équilibre</v>
      </c>
      <c r="B111" s="52" t="str">
        <f>IF($E8=0,"—",COUNTIFS(D_ANNEE,$C$4,D_NIVEAU,$F$4,D_SESSION,"S2",D_EQ_NIV,1))</f>
        <v>—</v>
      </c>
      <c r="C111" s="52" t="str">
        <f>IF($E8=0,"—",COUNTIFS(D_ANNEE,$C$4,D_NIVEAU,$F$4,D_SESSION,"S2",D_EQ_NIV,2))</f>
        <v>—</v>
      </c>
      <c r="D111" s="52" t="str">
        <f>IF($E8=0,"—",COUNTIFS(D_ANNEE,$C$4,D_NIVEAU,$F$4,D_SESSION,"S2",D_EQ_NIV,3))</f>
        <v>—</v>
      </c>
      <c r="E111" s="52" t="str">
        <f>IF($E8=0,"—",COUNTIFS(D_ANNEE,$C$4,D_NIVEAU,$F$4,D_SESSION,"S2",D_EQ_NIV,4))</f>
        <v>—</v>
      </c>
      <c r="F111" s="52" t="str">
        <f>IF($E8=0,"—",COUNTIFS(D_ANNEE,$C$4,D_NIVEAU,$F$4,D_SESSION,"S2",D_EQ_NIV,5))</f>
        <v>—</v>
      </c>
    </row>
    <row r="112" spans="1:9" ht="15.75" customHeight="1" x14ac:dyDescent="0.3">
      <c r="A112" s="173" t="str">
        <f t="shared" si="15"/>
        <v>Souplesse</v>
      </c>
      <c r="B112" s="52" t="str">
        <f>IF($E9=0,"—",COUNTIFS(D_ANNEE,$C$4,D_NIVEAU,$F$4,D_SESSION,"S2",D_SO_NIV,1))</f>
        <v>—</v>
      </c>
      <c r="C112" s="52" t="str">
        <f>IF($E9=0,"—",COUNTIFS(D_ANNEE,$C$4,D_NIVEAU,$F$4,D_SESSION,"S2",D_SO_NIV,2))</f>
        <v>—</v>
      </c>
      <c r="D112" s="52" t="str">
        <f>IF($E9=0,"—",COUNTIFS(D_ANNEE,$C$4,D_NIVEAU,$F$4,D_SESSION,"S2",D_SO_NIV,3))</f>
        <v>—</v>
      </c>
      <c r="E112" s="52" t="str">
        <f>IF($E9=0,"—",COUNTIFS(D_ANNEE,$C$4,D_NIVEAU,$F$4,D_SESSION,"S2",D_SO_NIV,4))</f>
        <v>—</v>
      </c>
      <c r="F112" s="52" t="str">
        <f>IF($E9=0,"—",COUNTIFS(D_ANNEE,$C$4,D_NIVEAU,$F$4,D_SESSION,"S2",D_SO_NIV,5))</f>
        <v>—</v>
      </c>
    </row>
    <row r="113" spans="1:9" ht="15.75" customHeight="1" x14ac:dyDescent="0.3">
      <c r="A113" s="174" t="str">
        <f t="shared" si="15"/>
        <v>Vitesse</v>
      </c>
      <c r="B113" s="52" t="str">
        <f>IF($E10=0,"—",COUNTIFS(D_ANNEE,$C$4,D_NIVEAU,$F$4,D_SESSION,"S2",D_VI_NIV,1))</f>
        <v>—</v>
      </c>
      <c r="C113" s="52" t="str">
        <f>IF($E10=0,"—",COUNTIFS(D_ANNEE,$C$4,D_NIVEAU,$F$4,D_SESSION,"S2",D_VI_NIV,2))</f>
        <v>—</v>
      </c>
      <c r="D113" s="52" t="str">
        <f>IF($E10=0,"—",COUNTIFS(D_ANNEE,$C$4,D_NIVEAU,$F$4,D_SESSION,"S2",D_VI_NIV,3))</f>
        <v>—</v>
      </c>
      <c r="E113" s="52" t="str">
        <f>IF($E10=0,"—",COUNTIFS(D_ANNEE,$C$4,D_NIVEAU,$F$4,D_SESSION,"S2",D_VI_NIV,4))</f>
        <v>—</v>
      </c>
      <c r="F113" s="52" t="str">
        <f>IF($E10=0,"—",COUNTIFS(D_ANNEE,$C$4,D_NIVEAU,$F$4,D_SESSION,"S2",D_VI_NIV,5))</f>
        <v>—</v>
      </c>
    </row>
    <row r="114" spans="1:9" ht="15.75" customHeight="1" x14ac:dyDescent="0.3">
      <c r="A114" s="175" t="str">
        <f t="shared" si="15"/>
        <v>Endurance</v>
      </c>
      <c r="B114" s="52" t="str">
        <f>IF($E11=0,"—",COUNTIFS(D_ANNEE,$C$4,D_NIVEAU,$F$4,D_SESSION,"S2",D_EN_NIV,1))</f>
        <v>—</v>
      </c>
      <c r="C114" s="52" t="str">
        <f>IF($E11=0,"—",COUNTIFS(D_ANNEE,$C$4,D_NIVEAU,$F$4,D_SESSION,"S2",D_EN_NIV,2))</f>
        <v>—</v>
      </c>
      <c r="D114" s="52" t="str">
        <f>IF($E11=0,"—",COUNTIFS(D_ANNEE,$C$4,D_NIVEAU,$F$4,D_SESSION,"S2",D_EN_NIV,3))</f>
        <v>—</v>
      </c>
      <c r="E114" s="52" t="str">
        <f>IF($E11=0,"—",COUNTIFS(D_ANNEE,$C$4,D_NIVEAU,$F$4,D_SESSION,"S2",D_EN_NIV,4))</f>
        <v>—</v>
      </c>
      <c r="F114" s="52" t="str">
        <f>IF($E11=0,"—",COUNTIFS(D_ANNEE,$C$4,D_NIVEAU,$F$4,D_SESSION,"S2",D_EN_NIV,5))</f>
        <v>—</v>
      </c>
    </row>
    <row r="115" spans="1:9" ht="15.75" customHeight="1" x14ac:dyDescent="0.3">
      <c r="A115" s="176" t="str">
        <f t="shared" si="15"/>
        <v>Coordination</v>
      </c>
      <c r="B115" s="52" t="str">
        <f>IF($E12=0,"—",COUNTIFS(D_ANNEE,$C$4,D_NIVEAU,$F$4,D_SESSION,"S2",D_CO_NIV,1))</f>
        <v>—</v>
      </c>
      <c r="C115" s="52" t="str">
        <f>IF($E12=0,"—",COUNTIFS(D_ANNEE,$C$4,D_NIVEAU,$F$4,D_SESSION,"S2",D_CO_NIV,2))</f>
        <v>—</v>
      </c>
      <c r="D115" s="52" t="str">
        <f>IF($E12=0,"—",COUNTIFS(D_ANNEE,$C$4,D_NIVEAU,$F$4,D_SESSION,"S2",D_CO_NIV,3))</f>
        <v>—</v>
      </c>
      <c r="E115" s="52" t="str">
        <f>IF($E12=0,"—",COUNTIFS(D_ANNEE,$C$4,D_NIVEAU,$F$4,D_SESSION,"S2",D_CO_NIV,4))</f>
        <v>—</v>
      </c>
      <c r="F115" s="52" t="str">
        <f>IF($E12=0,"—",COUNTIFS(D_ANNEE,$C$4,D_NIVEAU,$F$4,D_SESSION,"S2",D_CO_NIV,5))</f>
        <v>—</v>
      </c>
    </row>
    <row r="116" spans="1:9" ht="15.75" customHeight="1" x14ac:dyDescent="0.3">
      <c r="A116" s="177" t="str">
        <f t="shared" si="15"/>
        <v>Gainage</v>
      </c>
      <c r="B116" s="52" t="str">
        <f>IF($E13=0,"—",COUNTIFS(D_ANNEE,$C$4,D_NIVEAU,$F$4,D_SESSION,"S2",D_GA_NIV,1))</f>
        <v>—</v>
      </c>
      <c r="C116" s="52" t="str">
        <f>IF($E13=0,"—",COUNTIFS(D_ANNEE,$C$4,D_NIVEAU,$F$4,D_SESSION,"S2",D_GA_NIV,2))</f>
        <v>—</v>
      </c>
      <c r="D116" s="52" t="str">
        <f>IF($E13=0,"—",COUNTIFS(D_ANNEE,$C$4,D_NIVEAU,$F$4,D_SESSION,"S2",D_GA_NIV,3))</f>
        <v>—</v>
      </c>
      <c r="E116" s="52" t="str">
        <f>IF($E13=0,"—",COUNTIFS(D_ANNEE,$C$4,D_NIVEAU,$F$4,D_SESSION,"S2",D_GA_NIV,4))</f>
        <v>—</v>
      </c>
      <c r="F116" s="52" t="str">
        <f>IF($E13=0,"—",COUNTIFS(D_ANNEE,$C$4,D_NIVEAU,$F$4,D_SESSION,"S2",D_GA_NIV,5))</f>
        <v>—</v>
      </c>
    </row>
    <row r="117" spans="1:9" ht="15.75" customHeight="1" x14ac:dyDescent="0.3">
      <c r="A117" s="178" t="str">
        <f t="shared" si="15"/>
        <v>Adresse</v>
      </c>
      <c r="B117" s="52" t="str">
        <f>IF($E14=0,"—",COUNTIFS(D_ANNEE,$C$4,D_NIVEAU,$F$4,D_SESSION,"S2",D_AD_NIV,1))</f>
        <v>—</v>
      </c>
      <c r="C117" s="52" t="str">
        <f>IF($E14=0,"—",COUNTIFS(D_ANNEE,$C$4,D_NIVEAU,$F$4,D_SESSION,"S2",D_AD_NIV,2))</f>
        <v>—</v>
      </c>
      <c r="D117" s="52" t="str">
        <f>IF($E14=0,"—",COUNTIFS(D_ANNEE,$C$4,D_NIVEAU,$F$4,D_SESSION,"S2",D_AD_NIV,3))</f>
        <v>—</v>
      </c>
      <c r="E117" s="52" t="str">
        <f>IF($E14=0,"—",COUNTIFS(D_ANNEE,$C$4,D_NIVEAU,$F$4,D_SESSION,"S2",D_AD_NIV,4))</f>
        <v>—</v>
      </c>
      <c r="F117" s="52" t="str">
        <f>IF($E14=0,"—",COUNTIFS(D_ANNEE,$C$4,D_NIVEAU,$F$4,D_SESSION,"S2",D_AD_NIV,5))</f>
        <v>—</v>
      </c>
    </row>
    <row r="118" spans="1:9" ht="15.75" customHeight="1" x14ac:dyDescent="0.3">
      <c r="A118" s="179" t="str">
        <f t="shared" si="15"/>
        <v>Force des jambes</v>
      </c>
      <c r="B118" s="52" t="str">
        <f>IF($E15=0,"—",COUNTIFS(D_ANNEE,$C$4,D_NIVEAU,$F$4,D_SESSION,"S2",D_FO_NIV,1))</f>
        <v>—</v>
      </c>
      <c r="C118" s="52" t="str">
        <f>IF($E15=0,"—",COUNTIFS(D_ANNEE,$C$4,D_NIVEAU,$F$4,D_SESSION,"S2",D_FO_NIV,2))</f>
        <v>—</v>
      </c>
      <c r="D118" s="52" t="str">
        <f>IF($E15=0,"—",COUNTIFS(D_ANNEE,$C$4,D_NIVEAU,$F$4,D_SESSION,"S2",D_FO_NIV,3))</f>
        <v>—</v>
      </c>
      <c r="E118" s="52" t="str">
        <f>IF($E15=0,"—",COUNTIFS(D_ANNEE,$C$4,D_NIVEAU,$F$4,D_SESSION,"S2",D_FO_NIV,4))</f>
        <v>—</v>
      </c>
      <c r="F118" s="52" t="str">
        <f>IF($E15=0,"—",COUNTIFS(D_ANNEE,$C$4,D_NIVEAU,$F$4,D_SESSION,"S2",D_FO_NIV,5))</f>
        <v>—</v>
      </c>
    </row>
    <row r="120" spans="1:9" ht="13.5" customHeight="1" x14ac:dyDescent="0.3">
      <c r="A120" s="259" t="s">
        <v>402</v>
      </c>
      <c r="B120" s="259"/>
      <c r="C120" s="259"/>
      <c r="D120" s="259"/>
      <c r="E120" s="259"/>
      <c r="F120" s="259"/>
      <c r="G120" s="259"/>
      <c r="H120" s="259"/>
      <c r="I120" s="259"/>
    </row>
  </sheetData>
  <sheetProtection sheet="1" formatCells="0" formatColumns="0" formatRows="0" sort="0" autoFilter="0"/>
  <mergeCells count="38">
    <mergeCell ref="A120:I120"/>
    <mergeCell ref="C76:D76"/>
    <mergeCell ref="C77:D77"/>
    <mergeCell ref="A80:F80"/>
    <mergeCell ref="A92:E92"/>
    <mergeCell ref="A98:I98"/>
    <mergeCell ref="C71:D71"/>
    <mergeCell ref="C72:D72"/>
    <mergeCell ref="C73:D73"/>
    <mergeCell ref="C74:D74"/>
    <mergeCell ref="C75:D75"/>
    <mergeCell ref="A38:F38"/>
    <mergeCell ref="A40:G40"/>
    <mergeCell ref="A51:G51"/>
    <mergeCell ref="A68:O68"/>
    <mergeCell ref="C70:D70"/>
    <mergeCell ref="A26:B26"/>
    <mergeCell ref="A28:G28"/>
    <mergeCell ref="A36:F36"/>
    <mergeCell ref="A37:B37"/>
    <mergeCell ref="C37:D37"/>
    <mergeCell ref="E37:F37"/>
    <mergeCell ref="A21:B21"/>
    <mergeCell ref="A22:B22"/>
    <mergeCell ref="A23:B23"/>
    <mergeCell ref="A24:B24"/>
    <mergeCell ref="A25:B25"/>
    <mergeCell ref="A6:I6"/>
    <mergeCell ref="A17:I17"/>
    <mergeCell ref="A18:B18"/>
    <mergeCell ref="A19:B19"/>
    <mergeCell ref="A20:B20"/>
    <mergeCell ref="A1:G1"/>
    <mergeCell ref="A2:G2"/>
    <mergeCell ref="C3:D3"/>
    <mergeCell ref="F3:G3"/>
    <mergeCell ref="C4:D4"/>
    <mergeCell ref="F4:G4"/>
  </mergeCells>
  <conditionalFormatting sqref="E70 G70">
    <cfRule type="dataBar" priority="4">
      <dataBar>
        <cfvo type="num" val="0"/>
        <cfvo type="max"/>
        <color rgb="FFF20C70"/>
      </dataBar>
      <extLst>
        <ext xmlns:x14="http://schemas.microsoft.com/office/spreadsheetml/2009/9/main" uri="{B025F937-C7B1-47D3-B67F-A62EFF666E3E}">
          <x14:id>{C31949B9-1B10-4145-83DB-33FAF9561317}</x14:id>
        </ext>
      </extLst>
    </cfRule>
  </conditionalFormatting>
  <conditionalFormatting sqref="E71 G71">
    <cfRule type="dataBar" priority="7">
      <dataBar>
        <cfvo type="num" val="0"/>
        <cfvo type="max"/>
        <color rgb="FFFF7600"/>
      </dataBar>
      <extLst>
        <ext xmlns:x14="http://schemas.microsoft.com/office/spreadsheetml/2009/9/main" uri="{B025F937-C7B1-47D3-B67F-A62EFF666E3E}">
          <x14:id>{A9A320C6-90C2-4F52-81E7-8B558F88BC1C}</x14:id>
        </ext>
      </extLst>
    </cfRule>
  </conditionalFormatting>
  <conditionalFormatting sqref="E72 G72">
    <cfRule type="dataBar" priority="8">
      <dataBar>
        <cfvo type="num" val="0"/>
        <cfvo type="max"/>
        <color rgb="FF73AC20"/>
      </dataBar>
      <extLst>
        <ext xmlns:x14="http://schemas.microsoft.com/office/spreadsheetml/2009/9/main" uri="{B025F937-C7B1-47D3-B67F-A62EFF666E3E}">
          <x14:id>{5FBC6BCA-818B-45C9-8FF6-F6DF34F65470}</x14:id>
        </ext>
      </extLst>
    </cfRule>
  </conditionalFormatting>
  <conditionalFormatting sqref="E73 G73">
    <cfRule type="dataBar" priority="9">
      <dataBar>
        <cfvo type="num" val="0"/>
        <cfvo type="max"/>
        <color rgb="FF00B3D4"/>
      </dataBar>
      <extLst>
        <ext xmlns:x14="http://schemas.microsoft.com/office/spreadsheetml/2009/9/main" uri="{B025F937-C7B1-47D3-B67F-A62EFF666E3E}">
          <x14:id>{D0CD787F-58C1-46F1-B61C-A62EC1513933}</x14:id>
        </ext>
      </extLst>
    </cfRule>
  </conditionalFormatting>
  <conditionalFormatting sqref="E74 G74">
    <cfRule type="dataBar" priority="12">
      <dataBar>
        <cfvo type="num" val="0"/>
        <cfvo type="max"/>
        <color rgb="FFA1259A"/>
      </dataBar>
      <extLst>
        <ext xmlns:x14="http://schemas.microsoft.com/office/spreadsheetml/2009/9/main" uri="{B025F937-C7B1-47D3-B67F-A62EFF666E3E}">
          <x14:id>{8DCAEAEC-6BF5-407A-96AF-95F423FAD866}</x14:id>
        </ext>
      </extLst>
    </cfRule>
  </conditionalFormatting>
  <conditionalFormatting sqref="E75 G75">
    <cfRule type="dataBar" priority="13">
      <dataBar>
        <cfvo type="num" val="0"/>
        <cfvo type="max"/>
        <color rgb="FFFFB902"/>
      </dataBar>
      <extLst>
        <ext xmlns:x14="http://schemas.microsoft.com/office/spreadsheetml/2009/9/main" uri="{B025F937-C7B1-47D3-B67F-A62EFF666E3E}">
          <x14:id>{D13278F7-82EE-4670-B180-81F055FEB052}</x14:id>
        </ext>
      </extLst>
    </cfRule>
  </conditionalFormatting>
  <conditionalFormatting sqref="E76 G76">
    <cfRule type="dataBar" priority="14">
      <dataBar>
        <cfvo type="num" val="0"/>
        <cfvo type="max"/>
        <color rgb="FF0890E4"/>
      </dataBar>
      <extLst>
        <ext xmlns:x14="http://schemas.microsoft.com/office/spreadsheetml/2009/9/main" uri="{B025F937-C7B1-47D3-B67F-A62EFF666E3E}">
          <x14:id>{91E1F042-303E-40B3-983C-EB9D98617036}</x14:id>
        </ext>
      </extLst>
    </cfRule>
  </conditionalFormatting>
  <conditionalFormatting sqref="E77 G77">
    <cfRule type="dataBar" priority="15">
      <dataBar>
        <cfvo type="num" val="0"/>
        <cfvo type="max"/>
        <color rgb="FFE0117F"/>
      </dataBar>
      <extLst>
        <ext xmlns:x14="http://schemas.microsoft.com/office/spreadsheetml/2009/9/main" uri="{B025F937-C7B1-47D3-B67F-A62EFF666E3E}">
          <x14:id>{3922BBD9-C5E9-41BF-BC6B-A8B78FD64D94}</x14:id>
        </ext>
      </extLst>
    </cfRule>
  </conditionalFormatting>
  <conditionalFormatting sqref="G8:G15">
    <cfRule type="expression" dxfId="45" priority="2">
      <formula>LEFT(G8,1)="▲"</formula>
    </cfRule>
    <cfRule type="expression" dxfId="44" priority="3">
      <formula>LEFT(G8,1)="▼"</formula>
    </cfRule>
  </conditionalFormatting>
  <conditionalFormatting sqref="G19:G26">
    <cfRule type="expression" dxfId="43" priority="10">
      <formula>LEFT(G19,1)="▲"</formula>
    </cfRule>
    <cfRule type="expression" dxfId="42" priority="11">
      <formula>LEFT(G19,1)="▼"</formula>
    </cfRule>
  </conditionalFormatting>
  <conditionalFormatting sqref="H70:H77">
    <cfRule type="expression" dxfId="41" priority="5">
      <formula>LEFT(H70,1)="▼"</formula>
    </cfRule>
    <cfRule type="expression" dxfId="40" priority="6">
      <formula>LEFT(H70,1)="→"</formula>
    </cfRule>
  </conditionalFormatting>
  <dataValidations count="2">
    <dataValidation type="list" allowBlank="1" showErrorMessage="1" errorTitle="Année invalide" error="Sélectionnez une année scolaire dans la liste déroulante (ex : 2025-2026). Vérifiez la saisie." sqref="C4" xr:uid="{00000000-0002-0000-0500-000000000000}">
      <formula1>LISTE_ANNEES</formula1>
      <formula2>0</formula2>
    </dataValidation>
    <dataValidation type="list" allowBlank="1" showErrorMessage="1" errorTitle="Niveau invalide" error="Sélectionnez un niveau scolaire dans la liste déroulante (CP, CE1, CE2, CM1 ou CM2). Vérifiez la saisie." sqref="F4" xr:uid="{00000000-0002-0000-0500-000001000000}">
      <formula1>LISTE_NIVEAUX</formula1>
      <formula2>0</formula2>
    </dataValidation>
  </dataValidations>
  <pageMargins left="0.75" right="0.75" top="0.5" bottom="0.5" header="0.511811023622047" footer="0.511811023622047"/>
  <pageSetup paperSize="9" orientation="landscape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31949B9-1B10-4145-83DB-33FAF9561317}">
            <x14:dataBar axisPosition="none">
              <x14:cfvo type="num">
                <xm:f>0</xm:f>
              </x14:cfvo>
              <x14:cfvo type="max"/>
              <x14:negativeFillColor rgb="FFF20C70"/>
            </x14:dataBar>
          </x14:cfRule>
          <xm:sqref>E70 G70</xm:sqref>
        </x14:conditionalFormatting>
        <x14:conditionalFormatting xmlns:xm="http://schemas.microsoft.com/office/excel/2006/main">
          <x14:cfRule type="dataBar" id="{A9A320C6-90C2-4F52-81E7-8B558F88BC1C}">
            <x14:dataBar axisPosition="none">
              <x14:cfvo type="num">
                <xm:f>0</xm:f>
              </x14:cfvo>
              <x14:cfvo type="max"/>
              <x14:negativeFillColor rgb="FFFF7600"/>
            </x14:dataBar>
          </x14:cfRule>
          <xm:sqref>E71 G71</xm:sqref>
        </x14:conditionalFormatting>
        <x14:conditionalFormatting xmlns:xm="http://schemas.microsoft.com/office/excel/2006/main">
          <x14:cfRule type="dataBar" id="{5FBC6BCA-818B-45C9-8FF6-F6DF34F65470}">
            <x14:dataBar axisPosition="none">
              <x14:cfvo type="num">
                <xm:f>0</xm:f>
              </x14:cfvo>
              <x14:cfvo type="max"/>
              <x14:negativeFillColor rgb="FF73AC20"/>
            </x14:dataBar>
          </x14:cfRule>
          <xm:sqref>E72 G72</xm:sqref>
        </x14:conditionalFormatting>
        <x14:conditionalFormatting xmlns:xm="http://schemas.microsoft.com/office/excel/2006/main">
          <x14:cfRule type="dataBar" id="{D0CD787F-58C1-46F1-B61C-A62EC1513933}">
            <x14:dataBar axisPosition="none">
              <x14:cfvo type="num">
                <xm:f>0</xm:f>
              </x14:cfvo>
              <x14:cfvo type="max"/>
              <x14:negativeFillColor rgb="FF00B3D4"/>
            </x14:dataBar>
          </x14:cfRule>
          <xm:sqref>E73 G73</xm:sqref>
        </x14:conditionalFormatting>
        <x14:conditionalFormatting xmlns:xm="http://schemas.microsoft.com/office/excel/2006/main">
          <x14:cfRule type="dataBar" id="{8DCAEAEC-6BF5-407A-96AF-95F423FAD866}">
            <x14:dataBar axisPosition="none">
              <x14:cfvo type="num">
                <xm:f>0</xm:f>
              </x14:cfvo>
              <x14:cfvo type="max"/>
              <x14:negativeFillColor rgb="FFA1259A"/>
            </x14:dataBar>
          </x14:cfRule>
          <xm:sqref>E74 G74</xm:sqref>
        </x14:conditionalFormatting>
        <x14:conditionalFormatting xmlns:xm="http://schemas.microsoft.com/office/excel/2006/main">
          <x14:cfRule type="dataBar" id="{D13278F7-82EE-4670-B180-81F055FEB052}">
            <x14:dataBar axisPosition="none">
              <x14:cfvo type="num">
                <xm:f>0</xm:f>
              </x14:cfvo>
              <x14:cfvo type="max"/>
              <x14:negativeFillColor rgb="FFFFB902"/>
            </x14:dataBar>
          </x14:cfRule>
          <xm:sqref>E75 G75</xm:sqref>
        </x14:conditionalFormatting>
        <x14:conditionalFormatting xmlns:xm="http://schemas.microsoft.com/office/excel/2006/main">
          <x14:cfRule type="dataBar" id="{91E1F042-303E-40B3-983C-EB9D98617036}">
            <x14:dataBar axisPosition="none">
              <x14:cfvo type="num">
                <xm:f>0</xm:f>
              </x14:cfvo>
              <x14:cfvo type="max"/>
              <x14:negativeFillColor rgb="FF0890E4"/>
            </x14:dataBar>
          </x14:cfRule>
          <xm:sqref>E76 G76</xm:sqref>
        </x14:conditionalFormatting>
        <x14:conditionalFormatting xmlns:xm="http://schemas.microsoft.com/office/excel/2006/main">
          <x14:cfRule type="dataBar" id="{3922BBD9-C5E9-41BF-BC6B-A8B78FD64D94}">
            <x14:dataBar axisPosition="none">
              <x14:cfvo type="num">
                <xm:f>0</xm:f>
              </x14:cfvo>
              <x14:cfvo type="max"/>
              <x14:negativeFillColor rgb="FFE0117F"/>
            </x14:dataBar>
          </x14:cfRule>
          <xm:sqref>E77 G77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  <pageSetUpPr fitToPage="1"/>
  </sheetPr>
  <dimension ref="A1:Q145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8.88671875" defaultRowHeight="14.4" x14ac:dyDescent="0.3"/>
  <cols>
    <col min="1" max="1" width="17" customWidth="1"/>
    <col min="2" max="2" width="11" customWidth="1"/>
    <col min="3" max="3" width="13" customWidth="1"/>
    <col min="4" max="4" width="14" customWidth="1"/>
    <col min="5" max="5" width="13" customWidth="1"/>
    <col min="6" max="6" width="14" customWidth="1"/>
    <col min="7" max="7" width="13" customWidth="1"/>
    <col min="8" max="8" width="2" customWidth="1"/>
    <col min="10" max="15" width="13" hidden="1" customWidth="1"/>
  </cols>
  <sheetData>
    <row r="1" spans="1:17" ht="31.5" customHeight="1" x14ac:dyDescent="0.3">
      <c r="A1" s="279" t="s">
        <v>228</v>
      </c>
      <c r="B1" s="279"/>
      <c r="C1" s="279"/>
      <c r="D1" s="279"/>
      <c r="E1" s="279"/>
      <c r="F1" s="279"/>
      <c r="G1" s="279"/>
      <c r="J1" t="s">
        <v>196</v>
      </c>
      <c r="K1" t="s">
        <v>197</v>
      </c>
      <c r="L1" t="s">
        <v>194</v>
      </c>
      <c r="M1" t="s">
        <v>195</v>
      </c>
    </row>
    <row r="2" spans="1:17" ht="15.75" customHeight="1" x14ac:dyDescent="0.3">
      <c r="A2" s="325" t="s">
        <v>229</v>
      </c>
      <c r="B2" s="325"/>
      <c r="C2" s="325"/>
      <c r="D2" s="325"/>
      <c r="E2" s="325"/>
      <c r="F2" s="325"/>
      <c r="G2" s="325"/>
      <c r="Q2" s="154" t="str">
        <f>HYPERLINK("#ACCUEIL!A1","← ACCUEIL")</f>
        <v>← ACCUEIL</v>
      </c>
    </row>
    <row r="3" spans="1:17" ht="13.5" customHeight="1" x14ac:dyDescent="0.3">
      <c r="B3" s="27"/>
      <c r="C3" s="281" t="s">
        <v>152</v>
      </c>
      <c r="D3" s="281"/>
    </row>
    <row r="4" spans="1:17" ht="25.5" customHeight="1" x14ac:dyDescent="0.3">
      <c r="B4" s="28"/>
      <c r="C4" s="272" t="str">
        <f>ANNEE_ACTIVE</f>
        <v>2025-2026</v>
      </c>
      <c r="D4" s="272"/>
    </row>
    <row r="5" spans="1:17" ht="7.5" customHeight="1" x14ac:dyDescent="0.3">
      <c r="B5" s="11"/>
      <c r="C5" s="11"/>
      <c r="D5" s="11"/>
    </row>
    <row r="6" spans="1:17" ht="24" customHeight="1" x14ac:dyDescent="0.3">
      <c r="A6" s="350" t="s">
        <v>230</v>
      </c>
      <c r="B6" s="350"/>
      <c r="C6" s="350" t="s">
        <v>231</v>
      </c>
      <c r="D6" s="350"/>
      <c r="E6" s="350" t="s">
        <v>232</v>
      </c>
      <c r="F6" s="350"/>
      <c r="G6" s="350" t="s">
        <v>233</v>
      </c>
      <c r="H6" s="350"/>
    </row>
    <row r="7" spans="1:17" ht="27.75" customHeight="1" x14ac:dyDescent="0.3">
      <c r="A7" s="351">
        <f>COUNTIFS(D_ANNEE,$C$4,D_SESSION,"S1")</f>
        <v>0</v>
      </c>
      <c r="B7" s="351"/>
      <c r="C7" s="351" t="str">
        <f>IFERROR(ROUND(AVERAGEIFS(D_MOYNIV,D_ANNEE,$C$4,D_SESSION,"S1"),2),"Non réalisée")</f>
        <v>Non réalisée</v>
      </c>
      <c r="D7" s="351"/>
      <c r="E7" s="351" t="str">
        <f>IFERROR(ROUND(AVERAGEIFS(D_MOYNIV,D_ANNEE,$C$4,D_SESSION,"S2"),2),"Non réalisée")</f>
        <v>Non réalisée</v>
      </c>
      <c r="F7" s="351"/>
      <c r="G7" s="351" t="str">
        <f>IF(OR(C7="Non réalisée",E7="Non réalisée"),"Non réalisée",IF(E7-C7&gt;0,"+"&amp;ROUND(E7-C7,2),ROUND(E7-C7,2)))</f>
        <v>Non réalisée</v>
      </c>
      <c r="H7" s="351"/>
    </row>
    <row r="8" spans="1:17" ht="12.75" customHeight="1" x14ac:dyDescent="0.3">
      <c r="A8" s="352" t="s">
        <v>234</v>
      </c>
      <c r="B8" s="352"/>
      <c r="C8" s="352" t="s">
        <v>235</v>
      </c>
      <c r="D8" s="352"/>
      <c r="E8" s="352" t="s">
        <v>235</v>
      </c>
      <c r="F8" s="352"/>
      <c r="G8" s="352" t="s">
        <v>236</v>
      </c>
      <c r="H8" s="352"/>
    </row>
    <row r="10" spans="1:17" ht="21.75" customHeight="1" x14ac:dyDescent="0.3">
      <c r="A10" s="228" t="s">
        <v>237</v>
      </c>
      <c r="B10" s="228"/>
      <c r="C10" s="228"/>
      <c r="D10" s="228"/>
      <c r="E10" s="228"/>
      <c r="F10" s="228"/>
      <c r="G10" s="228"/>
    </row>
    <row r="11" spans="1:17" ht="15.75" customHeight="1" x14ac:dyDescent="0.3">
      <c r="A11" s="56" t="s">
        <v>33</v>
      </c>
      <c r="B11" s="56" t="s">
        <v>238</v>
      </c>
      <c r="C11" s="56" t="s">
        <v>200</v>
      </c>
      <c r="D11" s="56" t="s">
        <v>202</v>
      </c>
      <c r="E11" s="56" t="s">
        <v>239</v>
      </c>
      <c r="F11" s="56" t="s">
        <v>240</v>
      </c>
      <c r="G11" s="56" t="s">
        <v>165</v>
      </c>
    </row>
    <row r="12" spans="1:17" ht="15" customHeight="1" x14ac:dyDescent="0.3">
      <c r="A12" s="61" t="s">
        <v>39</v>
      </c>
      <c r="B12" s="62" t="s">
        <v>241</v>
      </c>
      <c r="C12" s="63">
        <f>COUNTIFS(D_ANNEE,$C$4,D_NIVEAU,"CP",D_SESSION,"S1")</f>
        <v>0</v>
      </c>
      <c r="D12" s="63">
        <f>COUNTIFS(D_ANNEE,$C$4,D_NIVEAU,"CP",D_SESSION,"S2")</f>
        <v>0</v>
      </c>
      <c r="E12" s="63" t="str">
        <f>IFERROR(ROUND(AVERAGEIFS(D_MOYNIV,D_ANNEE,$C$4,D_NIVEAU,"CP",D_SESSION,"S1"),2),"Non réalisée")</f>
        <v>Non réalisée</v>
      </c>
      <c r="F12" s="63" t="str">
        <f>IFERROR(ROUND(AVERAGEIFS(D_MOYNIV,D_ANNEE,$C$4,D_NIVEAU,"CP",D_SESSION,"S2"),2),"Non réalisée")</f>
        <v>Non réalisée</v>
      </c>
      <c r="G12" s="63" t="str">
        <f>IF(OR(E12="Non réalisée",F12="Non réalisée"),"Non réalisée",IF(F12&gt;E12,"▲ +"&amp;ROUND(F12-E12,2),IF(F12&lt;E12,"▼ "&amp;ROUND(F12-E12,2),"➜ stable")))</f>
        <v>Non réalisée</v>
      </c>
    </row>
    <row r="13" spans="1:17" ht="15" customHeight="1" x14ac:dyDescent="0.3">
      <c r="A13" s="64" t="s">
        <v>40</v>
      </c>
      <c r="B13" s="65" t="s">
        <v>241</v>
      </c>
      <c r="C13" s="66">
        <f>COUNTIFS(D_ANNEE,$C$4,D_NIVEAU,"CE1",D_SESSION,"S1")</f>
        <v>0</v>
      </c>
      <c r="D13" s="66">
        <f>COUNTIFS(D_ANNEE,$C$4,D_NIVEAU,"CE1",D_SESSION,"S2")</f>
        <v>0</v>
      </c>
      <c r="E13" s="66" t="str">
        <f>IFERROR(ROUND(AVERAGEIFS(D_MOYNIV,D_ANNEE,$C$4,D_NIVEAU,"CE1",D_SESSION,"S1"),2),"Non réalisée")</f>
        <v>Non réalisée</v>
      </c>
      <c r="F13" s="66" t="str">
        <f>IFERROR(ROUND(AVERAGEIFS(D_MOYNIV,D_ANNEE,$C$4,D_NIVEAU,"CE1",D_SESSION,"S2"),2),"Non réalisée")</f>
        <v>Non réalisée</v>
      </c>
      <c r="G13" s="66" t="str">
        <f>IF(OR(E13="Non réalisée",F13="Non réalisée"),"Non réalisée",IF(F13&gt;E13,"▲ +"&amp;ROUND(F13-E13,2),IF(F13&lt;E13,"▼ "&amp;ROUND(F13-E13,2),"➜ stable")))</f>
        <v>Non réalisée</v>
      </c>
    </row>
    <row r="14" spans="1:17" ht="15" customHeight="1" x14ac:dyDescent="0.3">
      <c r="A14" s="61" t="s">
        <v>41</v>
      </c>
      <c r="B14" s="62" t="s">
        <v>241</v>
      </c>
      <c r="C14" s="63">
        <f>COUNTIFS(D_ANNEE,$C$4,D_NIVEAU,"CE2",D_SESSION,"S1")</f>
        <v>0</v>
      </c>
      <c r="D14" s="63">
        <f>COUNTIFS(D_ANNEE,$C$4,D_NIVEAU,"CE2",D_SESSION,"S2")</f>
        <v>0</v>
      </c>
      <c r="E14" s="63" t="str">
        <f>IFERROR(ROUND(AVERAGEIFS(D_MOYNIV,D_ANNEE,$C$4,D_NIVEAU,"CE2",D_SESSION,"S1"),2),"Non réalisée")</f>
        <v>Non réalisée</v>
      </c>
      <c r="F14" s="63" t="str">
        <f>IFERROR(ROUND(AVERAGEIFS(D_MOYNIV,D_ANNEE,$C$4,D_NIVEAU,"CE2",D_SESSION,"S2"),2),"Non réalisée")</f>
        <v>Non réalisée</v>
      </c>
      <c r="G14" s="63" t="str">
        <f>IF(OR(E14="Non réalisée",F14="Non réalisée"),"Non réalisée",IF(F14&gt;E14,"▲ +"&amp;ROUND(F14-E14,2),IF(F14&lt;E14,"▼ "&amp;ROUND(F14-E14,2),"➜ stable")))</f>
        <v>Non réalisée</v>
      </c>
    </row>
    <row r="15" spans="1:17" ht="15" customHeight="1" x14ac:dyDescent="0.3">
      <c r="A15" s="64" t="s">
        <v>42</v>
      </c>
      <c r="B15" s="65" t="s">
        <v>242</v>
      </c>
      <c r="C15" s="66">
        <f>COUNTIFS(D_ANNEE,$C$4,D_NIVEAU,"CM1",D_SESSION,"S1")</f>
        <v>0</v>
      </c>
      <c r="D15" s="66">
        <f>COUNTIFS(D_ANNEE,$C$4,D_NIVEAU,"CM1",D_SESSION,"S2")</f>
        <v>0</v>
      </c>
      <c r="E15" s="66" t="str">
        <f>IFERROR(ROUND(AVERAGEIFS(D_MOYNIV,D_ANNEE,$C$4,D_NIVEAU,"CM1",D_SESSION,"S1"),2),"Non réalisée")</f>
        <v>Non réalisée</v>
      </c>
      <c r="F15" s="66" t="str">
        <f>IFERROR(ROUND(AVERAGEIFS(D_MOYNIV,D_ANNEE,$C$4,D_NIVEAU,"CM1",D_SESSION,"S2"),2),"Non réalisée")</f>
        <v>Non réalisée</v>
      </c>
      <c r="G15" s="66" t="str">
        <f>IF(OR(E15="Non réalisée",F15="Non réalisée"),"Non réalisée",IF(F15&gt;E15,"▲ +"&amp;ROUND(F15-E15,2),IF(F15&lt;E15,"▼ "&amp;ROUND(F15-E15,2),"➜ stable")))</f>
        <v>Non réalisée</v>
      </c>
    </row>
    <row r="16" spans="1:17" ht="15" customHeight="1" x14ac:dyDescent="0.3">
      <c r="A16" s="61" t="s">
        <v>43</v>
      </c>
      <c r="B16" s="62" t="s">
        <v>242</v>
      </c>
      <c r="C16" s="63">
        <f>COUNTIFS(D_ANNEE,$C$4,D_NIVEAU,"CM2",D_SESSION,"S1")</f>
        <v>0</v>
      </c>
      <c r="D16" s="63">
        <f>COUNTIFS(D_ANNEE,$C$4,D_NIVEAU,"CM2",D_SESSION,"S2")</f>
        <v>0</v>
      </c>
      <c r="E16" s="63" t="str">
        <f>IFERROR(ROUND(AVERAGEIFS(D_MOYNIV,D_ANNEE,$C$4,D_NIVEAU,"CM2",D_SESSION,"S1"),2),"Non réalisée")</f>
        <v>Non réalisée</v>
      </c>
      <c r="F16" s="63" t="str">
        <f>IFERROR(ROUND(AVERAGEIFS(D_MOYNIV,D_ANNEE,$C$4,D_NIVEAU,"CM2",D_SESSION,"S2"),2),"Non réalisée")</f>
        <v>Non réalisée</v>
      </c>
      <c r="G16" s="63" t="str">
        <f>IF(OR(E16="Non réalisée",F16="Non réalisée"),"Non réalisée",IF(F16&gt;E16,"▲ +"&amp;ROUND(F16-E16,2),IF(F16&lt;E16,"▼ "&amp;ROUND(F16-E16,2),"➜ stable")))</f>
        <v>Non réalisée</v>
      </c>
    </row>
    <row r="18" spans="1:14" ht="21.75" customHeight="1" x14ac:dyDescent="0.3">
      <c r="A18" s="228" t="s">
        <v>243</v>
      </c>
      <c r="B18" s="228"/>
      <c r="C18" s="228"/>
      <c r="D18" s="228"/>
      <c r="E18" s="228"/>
      <c r="F18" s="228"/>
      <c r="G18" s="228"/>
    </row>
    <row r="19" spans="1:14" ht="15.75" customHeight="1" x14ac:dyDescent="0.3">
      <c r="A19" s="56" t="s">
        <v>44</v>
      </c>
      <c r="B19" s="56" t="s">
        <v>179</v>
      </c>
      <c r="C19" s="56" t="s">
        <v>200</v>
      </c>
      <c r="D19" s="56" t="s">
        <v>201</v>
      </c>
      <c r="E19" s="56" t="s">
        <v>202</v>
      </c>
      <c r="F19" s="56" t="s">
        <v>203</v>
      </c>
      <c r="G19" s="56" t="s">
        <v>165</v>
      </c>
    </row>
    <row r="20" spans="1:14" ht="15" customHeight="1" x14ac:dyDescent="0.3">
      <c r="A20" s="156" t="s">
        <v>2</v>
      </c>
      <c r="B20" s="62" t="s">
        <v>185</v>
      </c>
      <c r="C20" s="63">
        <f>COUNTIFS(D_ANNEE,$C$4,D_SESSION,"S1",D_EQ_NIV,"&gt;0")</f>
        <v>0</v>
      </c>
      <c r="D20" s="63" t="str">
        <f>IFERROR(ROUND(AVERAGEIFS(D_EQ_PERF,D_ANNEE,$C$4,D_SESSION,"S1",D_EQ_NIV,"&gt;0"),2),"Non réalisée")</f>
        <v>Non réalisée</v>
      </c>
      <c r="E20" s="63">
        <f>COUNTIFS(D_ANNEE,$C$4,D_SESSION,"S2",D_EQ_NIV,"&gt;0")</f>
        <v>0</v>
      </c>
      <c r="F20" s="63" t="str">
        <f>IFERROR(ROUND(AVERAGEIFS(D_EQ_PERF,D_ANNEE,$C$4,D_SESSION,"S2",D_EQ_NIV,"&gt;0"),2),"Non réalisée")</f>
        <v>Non réalisée</v>
      </c>
      <c r="G20" s="63" t="str">
        <f t="shared" ref="G20:G27" si="0">IF(OR(D20="Non réalisée",F20="Non réalisée"),"Non réalisée",IF(F20&gt;D20,"▲ +"&amp;ROUND(F20-D20,2),IF(F20&lt;D20,"▼ "&amp;ROUND(F20-D20,2),"➜ stable")))</f>
        <v>Non réalisée</v>
      </c>
      <c r="J20" t="e">
        <f>IF(D20="Non réalisée",NA(),D20/PARAMETRES!$G$29)</f>
        <v>#N/A</v>
      </c>
      <c r="K20" t="e">
        <f>IF(F20="Non réalisée",NA(),F20/PARAMETRES!$G$29)</f>
        <v>#N/A</v>
      </c>
      <c r="L20" t="e">
        <f t="shared" ref="L20:L27" si="1">IF(D31="Non réalisée",NA(),D31)</f>
        <v>#N/A</v>
      </c>
      <c r="M20" t="e">
        <f t="shared" ref="M20:M27" si="2">IF(F31="Non réalisée",NA(),F31)</f>
        <v>#N/A</v>
      </c>
      <c r="N20">
        <v>5</v>
      </c>
    </row>
    <row r="21" spans="1:14" ht="15" customHeight="1" x14ac:dyDescent="0.3">
      <c r="A21" s="157" t="s">
        <v>3</v>
      </c>
      <c r="B21" s="65" t="s">
        <v>186</v>
      </c>
      <c r="C21" s="66">
        <f>COUNTIFS(D_ANNEE,$C$4,D_SESSION,"S1",D_SO_NIV,"&gt;0")</f>
        <v>0</v>
      </c>
      <c r="D21" s="66" t="str">
        <f>IFERROR(ROUND(AVERAGEIFS(D_SO_PERF,D_ANNEE,$C$4,D_SESSION,"S1",D_SO_NIV,"&gt;0"),2),"Non réalisée")</f>
        <v>Non réalisée</v>
      </c>
      <c r="E21" s="66">
        <f>COUNTIFS(D_ANNEE,$C$4,D_SESSION,"S2",D_SO_NIV,"&gt;0")</f>
        <v>0</v>
      </c>
      <c r="F21" s="66" t="str">
        <f>IFERROR(ROUND(AVERAGEIFS(D_SO_PERF,D_ANNEE,$C$4,D_SESSION,"S2",D_SO_NIV,"&gt;0"),2),"Non réalisée")</f>
        <v>Non réalisée</v>
      </c>
      <c r="G21" s="66" t="str">
        <f t="shared" si="0"/>
        <v>Non réalisée</v>
      </c>
      <c r="J21" t="e">
        <f>IF(D21="Non réalisée",NA(),D21/PARAMETRES!$G$30)</f>
        <v>#N/A</v>
      </c>
      <c r="K21" t="e">
        <f>IF(F21="Non réalisée",NA(),F21/PARAMETRES!$G$30)</f>
        <v>#N/A</v>
      </c>
      <c r="L21" t="e">
        <f t="shared" si="1"/>
        <v>#N/A</v>
      </c>
      <c r="M21" t="e">
        <f t="shared" si="2"/>
        <v>#N/A</v>
      </c>
      <c r="N21">
        <v>5</v>
      </c>
    </row>
    <row r="22" spans="1:14" ht="15" customHeight="1" x14ac:dyDescent="0.3">
      <c r="A22" s="158" t="s">
        <v>4</v>
      </c>
      <c r="B22" s="62" t="s">
        <v>187</v>
      </c>
      <c r="C22" s="63">
        <f>COUNTIFS(D_ANNEE,$C$4,D_SESSION,"S1",D_VI_NIV,"&gt;0")</f>
        <v>0</v>
      </c>
      <c r="D22" s="63" t="str">
        <f>IFERROR(ROUND(AVERAGEIFS(D_VI_PERF,D_ANNEE,$C$4,D_SESSION,"S1",D_VI_NIV,"&gt;0"),2),"Non réalisée")</f>
        <v>Non réalisée</v>
      </c>
      <c r="E22" s="63">
        <f>COUNTIFS(D_ANNEE,$C$4,D_SESSION,"S2",D_VI_NIV,"&gt;0")</f>
        <v>0</v>
      </c>
      <c r="F22" s="63" t="str">
        <f>IFERROR(ROUND(AVERAGEIFS(D_VI_PERF,D_ANNEE,$C$4,D_SESSION,"S2",D_VI_NIV,"&gt;0"),2),"Non réalisée")</f>
        <v>Non réalisée</v>
      </c>
      <c r="G22" s="63" t="str">
        <f t="shared" si="0"/>
        <v>Non réalisée</v>
      </c>
      <c r="J22" t="e">
        <f>IF(D22="Non réalisée",NA(),D22/PARAMETRES!$G$32)</f>
        <v>#N/A</v>
      </c>
      <c r="K22" t="e">
        <f>IF(F22="Non réalisée",NA(),F22/PARAMETRES!$G$32)</f>
        <v>#N/A</v>
      </c>
      <c r="L22" t="e">
        <f t="shared" si="1"/>
        <v>#N/A</v>
      </c>
      <c r="M22" t="e">
        <f t="shared" si="2"/>
        <v>#N/A</v>
      </c>
      <c r="N22">
        <v>5</v>
      </c>
    </row>
    <row r="23" spans="1:14" ht="15" customHeight="1" x14ac:dyDescent="0.3">
      <c r="A23" s="159" t="s">
        <v>5</v>
      </c>
      <c r="B23" s="65" t="s">
        <v>188</v>
      </c>
      <c r="C23" s="66">
        <f>COUNTIFS(D_ANNEE,$C$4,D_SESSION,"S1",D_EN_NIV,"&gt;0")</f>
        <v>0</v>
      </c>
      <c r="D23" s="66" t="str">
        <f>IFERROR(ROUND(AVERAGEIFS(D_EN_PERF,D_ANNEE,$C$4,D_SESSION,"S1",D_EN_NIV,"&gt;0"),2),"Non réalisée")</f>
        <v>Non réalisée</v>
      </c>
      <c r="E23" s="66">
        <f>COUNTIFS(D_ANNEE,$C$4,D_SESSION,"S2",D_EN_NIV,"&gt;0")</f>
        <v>0</v>
      </c>
      <c r="F23" s="66" t="str">
        <f>IFERROR(ROUND(AVERAGEIFS(D_EN_PERF,D_ANNEE,$C$4,D_SESSION,"S2",D_EN_NIV,"&gt;0"),2),"Non réalisée")</f>
        <v>Non réalisée</v>
      </c>
      <c r="G23" s="66" t="str">
        <f t="shared" si="0"/>
        <v>Non réalisée</v>
      </c>
      <c r="J23" t="e">
        <f>IF(D23="Non réalisée",NA(),D23/PARAMETRES!$G$33)</f>
        <v>#N/A</v>
      </c>
      <c r="K23" t="e">
        <f>IF(F23="Non réalisée",NA(),F23/PARAMETRES!$G$33)</f>
        <v>#N/A</v>
      </c>
      <c r="L23" t="e">
        <f t="shared" si="1"/>
        <v>#N/A</v>
      </c>
      <c r="M23" t="e">
        <f t="shared" si="2"/>
        <v>#N/A</v>
      </c>
      <c r="N23">
        <v>5</v>
      </c>
    </row>
    <row r="24" spans="1:14" ht="15" customHeight="1" x14ac:dyDescent="0.3">
      <c r="A24" s="160" t="s">
        <v>6</v>
      </c>
      <c r="B24" s="62" t="s">
        <v>189</v>
      </c>
      <c r="C24" s="63">
        <f>COUNTIFS(D_ANNEE,$C$4,D_SESSION,"S1",D_CO_NIV,"&gt;0")</f>
        <v>0</v>
      </c>
      <c r="D24" s="63" t="str">
        <f>IFERROR(ROUND(AVERAGEIFS(D_CO_PERF,D_ANNEE,$C$4,D_SESSION,"S1",D_CO_NIV,"&gt;0"),2),"Non réalisée")</f>
        <v>Non réalisée</v>
      </c>
      <c r="E24" s="63">
        <f>COUNTIFS(D_ANNEE,$C$4,D_SESSION,"S2",D_CO_NIV,"&gt;0")</f>
        <v>0</v>
      </c>
      <c r="F24" s="63" t="str">
        <f>IFERROR(ROUND(AVERAGEIFS(D_CO_PERF,D_ANNEE,$C$4,D_SESSION,"S2",D_CO_NIV,"&gt;0"),2),"Non réalisée")</f>
        <v>Non réalisée</v>
      </c>
      <c r="G24" s="63" t="str">
        <f t="shared" si="0"/>
        <v>Non réalisée</v>
      </c>
      <c r="J24" t="e">
        <f>IF(D24="Non réalisée",NA(),D24/PARAMETRES!$G$34)</f>
        <v>#N/A</v>
      </c>
      <c r="K24" t="e">
        <f>IF(F24="Non réalisée",NA(),F24/PARAMETRES!$G$34)</f>
        <v>#N/A</v>
      </c>
      <c r="L24" t="e">
        <f t="shared" si="1"/>
        <v>#N/A</v>
      </c>
      <c r="M24" t="e">
        <f t="shared" si="2"/>
        <v>#N/A</v>
      </c>
      <c r="N24">
        <v>5</v>
      </c>
    </row>
    <row r="25" spans="1:14" ht="15" customHeight="1" x14ac:dyDescent="0.3">
      <c r="A25" s="161" t="s">
        <v>7</v>
      </c>
      <c r="B25" s="65" t="s">
        <v>185</v>
      </c>
      <c r="C25" s="66">
        <f>COUNTIFS(D_ANNEE,$C$4,D_SESSION,"S1",D_GA_NIV,"&gt;0")</f>
        <v>0</v>
      </c>
      <c r="D25" s="66" t="str">
        <f>IFERROR(ROUND(AVERAGEIFS(D_GA_PERF,D_ANNEE,$C$4,D_SESSION,"S1",D_GA_NIV,"&gt;0"),2),"Non réalisée")</f>
        <v>Non réalisée</v>
      </c>
      <c r="E25" s="66">
        <f>COUNTIFS(D_ANNEE,$C$4,D_SESSION,"S2",D_GA_NIV,"&gt;0")</f>
        <v>0</v>
      </c>
      <c r="F25" s="66" t="str">
        <f>IFERROR(ROUND(AVERAGEIFS(D_GA_PERF,D_ANNEE,$C$4,D_SESSION,"S2",D_GA_NIV,"&gt;0"),2),"Non réalisée")</f>
        <v>Non réalisée</v>
      </c>
      <c r="G25" s="66" t="str">
        <f t="shared" si="0"/>
        <v>Non réalisée</v>
      </c>
      <c r="J25" t="e">
        <f>IF(D25="Non réalisée",NA(),D25/PARAMETRES!$G$35)</f>
        <v>#N/A</v>
      </c>
      <c r="K25" t="e">
        <f>IF(F25="Non réalisée",NA(),F25/PARAMETRES!$G$35)</f>
        <v>#N/A</v>
      </c>
      <c r="L25" t="e">
        <f t="shared" si="1"/>
        <v>#N/A</v>
      </c>
      <c r="M25" t="e">
        <f t="shared" si="2"/>
        <v>#N/A</v>
      </c>
      <c r="N25">
        <v>5</v>
      </c>
    </row>
    <row r="26" spans="1:14" ht="15" customHeight="1" x14ac:dyDescent="0.3">
      <c r="A26" s="162" t="s">
        <v>8</v>
      </c>
      <c r="B26" s="62" t="s">
        <v>190</v>
      </c>
      <c r="C26" s="63">
        <f>COUNTIFS(D_ANNEE,$C$4,D_SESSION,"S1",D_AD_NIV,"&gt;0")</f>
        <v>0</v>
      </c>
      <c r="D26" s="63" t="str">
        <f>IFERROR(ROUND(AVERAGEIFS(D_AD_PERF,D_ANNEE,$C$4,D_SESSION,"S1",D_AD_NIV,"&gt;0"),2),"Non réalisée")</f>
        <v>Non réalisée</v>
      </c>
      <c r="E26" s="63">
        <f>COUNTIFS(D_ANNEE,$C$4,D_SESSION,"S2",D_AD_NIV,"&gt;0")</f>
        <v>0</v>
      </c>
      <c r="F26" s="63" t="str">
        <f>IFERROR(ROUND(AVERAGEIFS(D_AD_PERF,D_ANNEE,$C$4,D_SESSION,"S2",D_AD_NIV,"&gt;0"),2),"Non réalisée")</f>
        <v>Non réalisée</v>
      </c>
      <c r="G26" s="63" t="str">
        <f t="shared" si="0"/>
        <v>Non réalisée</v>
      </c>
      <c r="J26" t="e">
        <f>IF(D26="Non réalisée",NA(),D26/PARAMETRES!$G$36)</f>
        <v>#N/A</v>
      </c>
      <c r="K26" t="e">
        <f>IF(F26="Non réalisée",NA(),F26/PARAMETRES!$G$36)</f>
        <v>#N/A</v>
      </c>
      <c r="L26" t="e">
        <f t="shared" si="1"/>
        <v>#N/A</v>
      </c>
      <c r="M26" t="e">
        <f t="shared" si="2"/>
        <v>#N/A</v>
      </c>
      <c r="N26">
        <v>5</v>
      </c>
    </row>
    <row r="27" spans="1:14" ht="15" customHeight="1" x14ac:dyDescent="0.3">
      <c r="A27" s="163" t="s">
        <v>9</v>
      </c>
      <c r="B27" s="65" t="s">
        <v>187</v>
      </c>
      <c r="C27" s="66">
        <f>COUNTIFS(D_ANNEE,$C$4,D_SESSION,"S1",D_FO_NIV,"&gt;0")</f>
        <v>0</v>
      </c>
      <c r="D27" s="66" t="str">
        <f>IFERROR(ROUND(AVERAGEIFS(D_FO_PERF,D_ANNEE,$C$4,D_SESSION,"S1",D_FO_NIV,"&gt;0"),2),"Non réalisée")</f>
        <v>Non réalisée</v>
      </c>
      <c r="E27" s="66">
        <f>COUNTIFS(D_ANNEE,$C$4,D_SESSION,"S2",D_FO_NIV,"&gt;0")</f>
        <v>0</v>
      </c>
      <c r="F27" s="66" t="str">
        <f>IFERROR(ROUND(AVERAGEIFS(D_FO_PERF,D_ANNEE,$C$4,D_SESSION,"S2",D_FO_NIV,"&gt;0"),2),"Non réalisée")</f>
        <v>Non réalisée</v>
      </c>
      <c r="G27" s="66" t="str">
        <f t="shared" si="0"/>
        <v>Non réalisée</v>
      </c>
      <c r="J27" t="e">
        <f>IF(D27="Non réalisée",NA(),D27/PARAMETRES!$G$37)</f>
        <v>#N/A</v>
      </c>
      <c r="K27" t="e">
        <f>IF(F27="Non réalisée",NA(),F27/PARAMETRES!$G$37)</f>
        <v>#N/A</v>
      </c>
      <c r="L27" t="e">
        <f t="shared" si="1"/>
        <v>#N/A</v>
      </c>
      <c r="M27" t="e">
        <f t="shared" si="2"/>
        <v>#N/A</v>
      </c>
      <c r="N27">
        <v>5</v>
      </c>
    </row>
    <row r="29" spans="1:14" ht="21.75" customHeight="1" x14ac:dyDescent="0.3">
      <c r="A29" s="228" t="s">
        <v>244</v>
      </c>
      <c r="B29" s="228"/>
      <c r="C29" s="228"/>
      <c r="D29" s="228"/>
      <c r="E29" s="228"/>
      <c r="F29" s="228"/>
      <c r="G29" s="228"/>
    </row>
    <row r="30" spans="1:14" ht="15.75" customHeight="1" x14ac:dyDescent="0.3">
      <c r="A30" s="260" t="s">
        <v>44</v>
      </c>
      <c r="B30" s="260"/>
      <c r="C30" s="56" t="s">
        <v>200</v>
      </c>
      <c r="D30" s="56" t="s">
        <v>205</v>
      </c>
      <c r="E30" s="56" t="s">
        <v>202</v>
      </c>
      <c r="F30" s="56" t="s">
        <v>206</v>
      </c>
      <c r="G30" s="56" t="s">
        <v>165</v>
      </c>
    </row>
    <row r="31" spans="1:14" ht="15" customHeight="1" x14ac:dyDescent="0.3">
      <c r="A31" s="327" t="s">
        <v>2</v>
      </c>
      <c r="B31" s="328"/>
      <c r="C31" s="63">
        <f>COUNTIFS(D_ANNEE,$C$4,D_SESSION,"S1",D_EQ_NIV,"&gt;0")</f>
        <v>0</v>
      </c>
      <c r="D31" s="63" t="str">
        <f>IFERROR(ROUND(AVERAGEIFS(D_EQ_NIV,D_ANNEE,$C$4,D_SESSION,"S1",D_EQ_NIV,"&gt;0"),2),"Non réalisée")</f>
        <v>Non réalisée</v>
      </c>
      <c r="E31" s="63">
        <f>COUNTIFS(D_ANNEE,$C$4,D_SESSION,"S2",D_EQ_NIV,"&gt;0")</f>
        <v>0</v>
      </c>
      <c r="F31" s="63" t="str">
        <f>IFERROR(ROUND(AVERAGEIFS(D_EQ_NIV,D_ANNEE,$C$4,D_SESSION,"S2",D_EQ_NIV,"&gt;0"),2),"Non réalisée")</f>
        <v>Non réalisée</v>
      </c>
      <c r="G31" s="63" t="str">
        <f t="shared" ref="G31:G38" si="3">IF(OR(D31="Non réalisée",F31="Non réalisée"),"Non réalisée",IF(F31&gt;D31,"▲ +"&amp;ROUND(F31-D31,2),IF(F31&lt;D31,"▼ "&amp;ROUND(F31-D31,2),"➜ stable")))</f>
        <v>Non réalisée</v>
      </c>
    </row>
    <row r="32" spans="1:14" ht="15" customHeight="1" x14ac:dyDescent="0.3">
      <c r="A32" s="329" t="s">
        <v>3</v>
      </c>
      <c r="B32" s="330"/>
      <c r="C32" s="66">
        <f>COUNTIFS(D_ANNEE,$C$4,D_SESSION,"S1",D_SO_NIV,"&gt;0")</f>
        <v>0</v>
      </c>
      <c r="D32" s="66" t="str">
        <f>IFERROR(ROUND(AVERAGEIFS(D_SO_NIV,D_ANNEE,$C$4,D_SESSION,"S1",D_SO_NIV,"&gt;0"),2),"Non réalisée")</f>
        <v>Non réalisée</v>
      </c>
      <c r="E32" s="66">
        <f>COUNTIFS(D_ANNEE,$C$4,D_SESSION,"S2",D_SO_NIV,"&gt;0")</f>
        <v>0</v>
      </c>
      <c r="F32" s="66" t="str">
        <f>IFERROR(ROUND(AVERAGEIFS(D_SO_NIV,D_ANNEE,$C$4,D_SESSION,"S2",D_SO_NIV,"&gt;0"),2),"Non réalisée")</f>
        <v>Non réalisée</v>
      </c>
      <c r="G32" s="66" t="str">
        <f t="shared" si="3"/>
        <v>Non réalisée</v>
      </c>
    </row>
    <row r="33" spans="1:15" ht="15" customHeight="1" x14ac:dyDescent="0.3">
      <c r="A33" s="331" t="s">
        <v>4</v>
      </c>
      <c r="B33" s="328"/>
      <c r="C33" s="63">
        <f>COUNTIFS(D_ANNEE,$C$4,D_SESSION,"S1",D_VI_NIV,"&gt;0")</f>
        <v>0</v>
      </c>
      <c r="D33" s="63" t="str">
        <f>IFERROR(ROUND(AVERAGEIFS(D_VI_NIV,D_ANNEE,$C$4,D_SESSION,"S1",D_VI_NIV,"&gt;0"),2),"Non réalisée")</f>
        <v>Non réalisée</v>
      </c>
      <c r="E33" s="63">
        <f>COUNTIFS(D_ANNEE,$C$4,D_SESSION,"S2",D_VI_NIV,"&gt;0")</f>
        <v>0</v>
      </c>
      <c r="F33" s="63" t="str">
        <f>IFERROR(ROUND(AVERAGEIFS(D_VI_NIV,D_ANNEE,$C$4,D_SESSION,"S2",D_VI_NIV,"&gt;0"),2),"Non réalisée")</f>
        <v>Non réalisée</v>
      </c>
      <c r="G33" s="63" t="str">
        <f t="shared" si="3"/>
        <v>Non réalisée</v>
      </c>
    </row>
    <row r="34" spans="1:15" ht="15" customHeight="1" x14ac:dyDescent="0.3">
      <c r="A34" s="332" t="s">
        <v>5</v>
      </c>
      <c r="B34" s="330"/>
      <c r="C34" s="66">
        <f>COUNTIFS(D_ANNEE,$C$4,D_SESSION,"S1",D_EN_NIV,"&gt;0")</f>
        <v>0</v>
      </c>
      <c r="D34" s="66" t="str">
        <f>IFERROR(ROUND(AVERAGEIFS(D_EN_NIV,D_ANNEE,$C$4,D_SESSION,"S1",D_EN_NIV,"&gt;0"),2),"Non réalisée")</f>
        <v>Non réalisée</v>
      </c>
      <c r="E34" s="66">
        <f>COUNTIFS(D_ANNEE,$C$4,D_SESSION,"S2",D_EN_NIV,"&gt;0")</f>
        <v>0</v>
      </c>
      <c r="F34" s="66" t="str">
        <f>IFERROR(ROUND(AVERAGEIFS(D_EN_NIV,D_ANNEE,$C$4,D_SESSION,"S2",D_EN_NIV,"&gt;0"),2),"Non réalisée")</f>
        <v>Non réalisée</v>
      </c>
      <c r="G34" s="66" t="str">
        <f t="shared" si="3"/>
        <v>Non réalisée</v>
      </c>
    </row>
    <row r="35" spans="1:15" ht="15" customHeight="1" x14ac:dyDescent="0.3">
      <c r="A35" s="333" t="s">
        <v>6</v>
      </c>
      <c r="B35" s="328"/>
      <c r="C35" s="63">
        <f>COUNTIFS(D_ANNEE,$C$4,D_SESSION,"S1",D_CO_NIV,"&gt;0")</f>
        <v>0</v>
      </c>
      <c r="D35" s="63" t="str">
        <f>IFERROR(ROUND(AVERAGEIFS(D_CO_NIV,D_ANNEE,$C$4,D_SESSION,"S1",D_CO_NIV,"&gt;0"),2),"Non réalisée")</f>
        <v>Non réalisée</v>
      </c>
      <c r="E35" s="63">
        <f>COUNTIFS(D_ANNEE,$C$4,D_SESSION,"S2",D_CO_NIV,"&gt;0")</f>
        <v>0</v>
      </c>
      <c r="F35" s="63" t="str">
        <f>IFERROR(ROUND(AVERAGEIFS(D_CO_NIV,D_ANNEE,$C$4,D_SESSION,"S2",D_CO_NIV,"&gt;0"),2),"Non réalisée")</f>
        <v>Non réalisée</v>
      </c>
      <c r="G35" s="63" t="str">
        <f t="shared" si="3"/>
        <v>Non réalisée</v>
      </c>
    </row>
    <row r="36" spans="1:15" ht="15" customHeight="1" x14ac:dyDescent="0.3">
      <c r="A36" s="334" t="s">
        <v>7</v>
      </c>
      <c r="B36" s="330"/>
      <c r="C36" s="66">
        <f>COUNTIFS(D_ANNEE,$C$4,D_SESSION,"S1",D_GA_NIV,"&gt;0")</f>
        <v>0</v>
      </c>
      <c r="D36" s="66" t="str">
        <f>IFERROR(ROUND(AVERAGEIFS(D_GA_NIV,D_ANNEE,$C$4,D_SESSION,"S1",D_GA_NIV,"&gt;0"),2),"Non réalisée")</f>
        <v>Non réalisée</v>
      </c>
      <c r="E36" s="66">
        <f>COUNTIFS(D_ANNEE,$C$4,D_SESSION,"S2",D_GA_NIV,"&gt;0")</f>
        <v>0</v>
      </c>
      <c r="F36" s="66" t="str">
        <f>IFERROR(ROUND(AVERAGEIFS(D_GA_NIV,D_ANNEE,$C$4,D_SESSION,"S2",D_GA_NIV,"&gt;0"),2),"Non réalisée")</f>
        <v>Non réalisée</v>
      </c>
      <c r="G36" s="66" t="str">
        <f t="shared" si="3"/>
        <v>Non réalisée</v>
      </c>
    </row>
    <row r="37" spans="1:15" ht="15" customHeight="1" x14ac:dyDescent="0.3">
      <c r="A37" s="335" t="s">
        <v>8</v>
      </c>
      <c r="B37" s="328"/>
      <c r="C37" s="63">
        <f>COUNTIFS(D_ANNEE,$C$4,D_SESSION,"S1",D_AD_NIV,"&gt;0")</f>
        <v>0</v>
      </c>
      <c r="D37" s="63" t="str">
        <f>IFERROR(ROUND(AVERAGEIFS(D_AD_NIV,D_ANNEE,$C$4,D_SESSION,"S1",D_AD_NIV,"&gt;0"),2),"Non réalisée")</f>
        <v>Non réalisée</v>
      </c>
      <c r="E37" s="63">
        <f>COUNTIFS(D_ANNEE,$C$4,D_SESSION,"S2",D_AD_NIV,"&gt;0")</f>
        <v>0</v>
      </c>
      <c r="F37" s="63" t="str">
        <f>IFERROR(ROUND(AVERAGEIFS(D_AD_NIV,D_ANNEE,$C$4,D_SESSION,"S2",D_AD_NIV,"&gt;0"),2),"Non réalisée")</f>
        <v>Non réalisée</v>
      </c>
      <c r="G37" s="63" t="str">
        <f t="shared" si="3"/>
        <v>Non réalisée</v>
      </c>
    </row>
    <row r="38" spans="1:15" ht="15" customHeight="1" x14ac:dyDescent="0.3">
      <c r="A38" s="336" t="s">
        <v>9</v>
      </c>
      <c r="B38" s="330"/>
      <c r="C38" s="66">
        <f>COUNTIFS(D_ANNEE,$C$4,D_SESSION,"S1",D_FO_NIV,"&gt;0")</f>
        <v>0</v>
      </c>
      <c r="D38" s="66" t="str">
        <f>IFERROR(ROUND(AVERAGEIFS(D_FO_NIV,D_ANNEE,$C$4,D_SESSION,"S1",D_FO_NIV,"&gt;0"),2),"Non réalisée")</f>
        <v>Non réalisée</v>
      </c>
      <c r="E38" s="66">
        <f>COUNTIFS(D_ANNEE,$C$4,D_SESSION,"S2",D_FO_NIV,"&gt;0")</f>
        <v>0</v>
      </c>
      <c r="F38" s="66" t="str">
        <f>IFERROR(ROUND(AVERAGEIFS(D_FO_NIV,D_ANNEE,$C$4,D_SESSION,"S2",D_FO_NIV,"&gt;0"),2),"Non réalisée")</f>
        <v>Non réalisée</v>
      </c>
      <c r="G38" s="66" t="str">
        <f t="shared" si="3"/>
        <v>Non réalisée</v>
      </c>
    </row>
    <row r="40" spans="1:15" ht="21.75" customHeight="1" x14ac:dyDescent="0.3">
      <c r="A40" s="228" t="s">
        <v>245</v>
      </c>
      <c r="B40" s="228"/>
      <c r="C40" s="228"/>
      <c r="D40" s="228"/>
      <c r="E40" s="228"/>
      <c r="F40" s="228"/>
      <c r="G40" s="228"/>
    </row>
    <row r="41" spans="1:15" ht="15.75" customHeight="1" x14ac:dyDescent="0.3">
      <c r="A41" s="56" t="s">
        <v>246</v>
      </c>
      <c r="B41" s="56" t="s">
        <v>211</v>
      </c>
      <c r="C41" s="56" t="s">
        <v>247</v>
      </c>
      <c r="D41" s="56" t="s">
        <v>248</v>
      </c>
      <c r="N41" t="s">
        <v>249</v>
      </c>
      <c r="O41" t="s">
        <v>250</v>
      </c>
    </row>
    <row r="42" spans="1:15" ht="15" customHeight="1" x14ac:dyDescent="0.3">
      <c r="A42" s="61" t="str">
        <f>INDEX(LISTE_ANNEES,1)</f>
        <v>2025-2026</v>
      </c>
      <c r="B42" s="63">
        <f t="shared" ref="B42:B49" si="4">COUNTIFS(D_ANNEE,$A42,D_SESSION,"S1")</f>
        <v>0</v>
      </c>
      <c r="C42" s="63" t="str">
        <f t="shared" ref="C42:C49" si="5">IFERROR(ROUND(AVERAGEIFS(D_MOYNIV,D_ANNEE,$A42,D_SESSION,"S1"),2),"À venir")</f>
        <v>À venir</v>
      </c>
      <c r="D42" s="63" t="str">
        <f t="shared" ref="D42:D49" si="6">IFERROR(ROUND(AVERAGEIFS(D_MOYNIV,D_ANNEE,$A42,D_SESSION,"S2"),2),"À venir")</f>
        <v>À venir</v>
      </c>
      <c r="N42" t="e">
        <f t="shared" ref="N42:O49" si="7">IF(C42="À venir",NA(),C42)</f>
        <v>#N/A</v>
      </c>
      <c r="O42" t="e">
        <f t="shared" si="7"/>
        <v>#N/A</v>
      </c>
    </row>
    <row r="43" spans="1:15" ht="15" customHeight="1" x14ac:dyDescent="0.3">
      <c r="A43" s="64" t="str">
        <f>INDEX(LISTE_ANNEES,2)</f>
        <v>2026-2027</v>
      </c>
      <c r="B43" s="66">
        <f t="shared" si="4"/>
        <v>0</v>
      </c>
      <c r="C43" s="66" t="str">
        <f t="shared" si="5"/>
        <v>À venir</v>
      </c>
      <c r="D43" s="66" t="str">
        <f t="shared" si="6"/>
        <v>À venir</v>
      </c>
      <c r="N43" t="e">
        <f t="shared" si="7"/>
        <v>#N/A</v>
      </c>
      <c r="O43" t="e">
        <f t="shared" si="7"/>
        <v>#N/A</v>
      </c>
    </row>
    <row r="44" spans="1:15" ht="15" customHeight="1" x14ac:dyDescent="0.3">
      <c r="A44" s="61" t="str">
        <f>INDEX(LISTE_ANNEES,3)</f>
        <v>2027-2028</v>
      </c>
      <c r="B44" s="63">
        <f t="shared" si="4"/>
        <v>0</v>
      </c>
      <c r="C44" s="63" t="str">
        <f t="shared" si="5"/>
        <v>À venir</v>
      </c>
      <c r="D44" s="63" t="str">
        <f t="shared" si="6"/>
        <v>À venir</v>
      </c>
      <c r="N44" t="e">
        <f t="shared" si="7"/>
        <v>#N/A</v>
      </c>
      <c r="O44" t="e">
        <f t="shared" si="7"/>
        <v>#N/A</v>
      </c>
    </row>
    <row r="45" spans="1:15" ht="15" customHeight="1" x14ac:dyDescent="0.3">
      <c r="A45" s="64" t="str">
        <f>INDEX(LISTE_ANNEES,4)</f>
        <v>2028-2029</v>
      </c>
      <c r="B45" s="66">
        <f t="shared" si="4"/>
        <v>0</v>
      </c>
      <c r="C45" s="66" t="str">
        <f t="shared" si="5"/>
        <v>À venir</v>
      </c>
      <c r="D45" s="66" t="str">
        <f t="shared" si="6"/>
        <v>À venir</v>
      </c>
      <c r="N45" t="e">
        <f t="shared" si="7"/>
        <v>#N/A</v>
      </c>
      <c r="O45" t="e">
        <f t="shared" si="7"/>
        <v>#N/A</v>
      </c>
    </row>
    <row r="46" spans="1:15" ht="15" customHeight="1" x14ac:dyDescent="0.3">
      <c r="A46" s="61" t="str">
        <f>INDEX(LISTE_ANNEES,5)</f>
        <v>2029-2030</v>
      </c>
      <c r="B46" s="63">
        <f t="shared" si="4"/>
        <v>0</v>
      </c>
      <c r="C46" s="63" t="str">
        <f t="shared" si="5"/>
        <v>À venir</v>
      </c>
      <c r="D46" s="63" t="str">
        <f t="shared" si="6"/>
        <v>À venir</v>
      </c>
      <c r="N46" t="e">
        <f t="shared" si="7"/>
        <v>#N/A</v>
      </c>
      <c r="O46" t="e">
        <f t="shared" si="7"/>
        <v>#N/A</v>
      </c>
    </row>
    <row r="47" spans="1:15" ht="15" customHeight="1" x14ac:dyDescent="0.3">
      <c r="A47" s="64" t="str">
        <f>INDEX(LISTE_ANNEES,6)</f>
        <v>2030-2031</v>
      </c>
      <c r="B47" s="66">
        <f t="shared" si="4"/>
        <v>0</v>
      </c>
      <c r="C47" s="66" t="str">
        <f t="shared" si="5"/>
        <v>À venir</v>
      </c>
      <c r="D47" s="66" t="str">
        <f t="shared" si="6"/>
        <v>À venir</v>
      </c>
      <c r="N47" t="e">
        <f t="shared" si="7"/>
        <v>#N/A</v>
      </c>
      <c r="O47" t="e">
        <f t="shared" si="7"/>
        <v>#N/A</v>
      </c>
    </row>
    <row r="48" spans="1:15" ht="15" customHeight="1" x14ac:dyDescent="0.3">
      <c r="A48" s="61" t="str">
        <f>INDEX(LISTE_ANNEES,7)</f>
        <v>2031-2032</v>
      </c>
      <c r="B48" s="63">
        <f t="shared" si="4"/>
        <v>0</v>
      </c>
      <c r="C48" s="63" t="str">
        <f t="shared" si="5"/>
        <v>À venir</v>
      </c>
      <c r="D48" s="63" t="str">
        <f t="shared" si="6"/>
        <v>À venir</v>
      </c>
      <c r="N48" t="e">
        <f t="shared" si="7"/>
        <v>#N/A</v>
      </c>
      <c r="O48" t="e">
        <f t="shared" si="7"/>
        <v>#N/A</v>
      </c>
    </row>
    <row r="49" spans="1:15" ht="15" customHeight="1" x14ac:dyDescent="0.3">
      <c r="A49" s="64" t="str">
        <f>INDEX(LISTE_ANNEES,8)</f>
        <v>2032-2033</v>
      </c>
      <c r="B49" s="66">
        <f t="shared" si="4"/>
        <v>0</v>
      </c>
      <c r="C49" s="66" t="str">
        <f t="shared" si="5"/>
        <v>À venir</v>
      </c>
      <c r="D49" s="66" t="str">
        <f t="shared" si="6"/>
        <v>À venir</v>
      </c>
      <c r="N49" t="e">
        <f t="shared" si="7"/>
        <v>#N/A</v>
      </c>
      <c r="O49" t="e">
        <f t="shared" si="7"/>
        <v>#N/A</v>
      </c>
    </row>
    <row r="51" spans="1:15" ht="19.5" customHeight="1" x14ac:dyDescent="0.3">
      <c r="A51" s="250" t="s">
        <v>251</v>
      </c>
      <c r="B51" s="250"/>
      <c r="C51" s="250"/>
      <c r="D51" s="250"/>
      <c r="E51" s="250"/>
      <c r="F51" s="250"/>
    </row>
    <row r="52" spans="1:15" ht="21.75" customHeight="1" x14ac:dyDescent="0.3">
      <c r="A52" s="337" t="str">
        <f>IF(SUMIFS(D_NB_PROG,D_ANNEE,$C$4)+SUMIFS(D_NB_STAB,D_ANNEE,$C$4)+SUMIFS(D_NB_REG,D_ANNEE,$C$4)=0,"Non réalisée",ROUND(SUMIFS(D_NB_PROG,D_ANNEE,$C$4)/(SUMIFS(D_NB_PROG,D_ANNEE,$C$4)+SUMIFS(D_NB_STAB,D_ANNEE,$C$4)+SUMIFS(D_NB_REG,D_ANNEE,$C$4))*100,0)&amp;"% "&amp;"EN PROGRESSION")</f>
        <v>Non réalisée</v>
      </c>
      <c r="B52" s="337"/>
      <c r="C52" s="338" t="str">
        <f>IF(SUMIFS(D_NB_PROG,D_ANNEE,$C$4)+SUMIFS(D_NB_STAB,D_ANNEE,$C$4)+SUMIFS(D_NB_REG,D_ANNEE,$C$4)=0,"Non réalisée",ROUND(SUMIFS(D_NB_STAB,D_ANNEE,$C$4)/(SUMIFS(D_NB_PROG,D_ANNEE,$C$4)+SUMIFS(D_NB_STAB,D_ANNEE,$C$4)+SUMIFS(D_NB_REG,D_ANNEE,$C$4))*100,0)&amp;"% "&amp;"STABLES")</f>
        <v>Non réalisée</v>
      </c>
      <c r="D52" s="338"/>
      <c r="E52" s="339" t="str">
        <f>IF(SUMIFS(D_NB_PROG,D_ANNEE,$C$4)+SUMIFS(D_NB_STAB,D_ANNEE,$C$4)+SUMIFS(D_NB_REG,D_ANNEE,$C$4)=0,"Non réalisée",ROUND(SUMIFS(D_NB_REG,D_ANNEE,$C$4)/(SUMIFS(D_NB_PROG,D_ANNEE,$C$4)+SUMIFS(D_NB_STAB,D_ANNEE,$C$4)+SUMIFS(D_NB_REG,D_ANNEE,$C$4))*100,0)&amp;"% "&amp;"EN RÉGRESSION")</f>
        <v>Non réalisée</v>
      </c>
      <c r="F52" s="339"/>
    </row>
    <row r="53" spans="1:15" ht="14.25" customHeight="1" x14ac:dyDescent="0.3">
      <c r="A53" s="259" t="str">
        <f>"Basé sur "&amp;(SUMIFS(D_NB_PROG,D_ANNEE,$C$4)+SUMIFS(D_NB_STAB,D_ANNEE,$C$4)+SUMIFS(D_NB_REG,D_ANNEE,$C$4))&amp;" mesures comparables (test réalisé en S1 et en S2 par le même élève), toute l'école confondue."</f>
        <v>Basé sur 0 mesures comparables (test réalisé en S1 et en S2 par le même élève), toute l'école confondue.</v>
      </c>
      <c r="B53" s="259"/>
      <c r="C53" s="259"/>
      <c r="D53" s="259"/>
      <c r="E53" s="259"/>
      <c r="F53" s="259"/>
    </row>
    <row r="55" spans="1:15" ht="19.5" customHeight="1" x14ac:dyDescent="0.3">
      <c r="A55" s="228" t="s">
        <v>252</v>
      </c>
      <c r="B55" s="228"/>
      <c r="C55" s="228"/>
      <c r="D55" s="228"/>
      <c r="E55" s="228"/>
      <c r="F55" s="228"/>
    </row>
    <row r="56" spans="1:15" ht="14.25" customHeight="1" x14ac:dyDescent="0.3">
      <c r="A56" s="102" t="s">
        <v>33</v>
      </c>
      <c r="B56" s="102" t="s">
        <v>210</v>
      </c>
      <c r="C56" s="102" t="s">
        <v>211</v>
      </c>
      <c r="D56" s="102" t="s">
        <v>212</v>
      </c>
      <c r="E56" s="102" t="s">
        <v>444</v>
      </c>
      <c r="F56" s="102" t="s">
        <v>445</v>
      </c>
    </row>
    <row r="57" spans="1:15" ht="14.25" customHeight="1" x14ac:dyDescent="0.3">
      <c r="A57" s="103">
        <v>1</v>
      </c>
      <c r="B57" s="23" t="s">
        <v>213</v>
      </c>
      <c r="C57" s="23">
        <f>COUNTIFS(D_ANNEE,$C$4,D_SESSION,"S1",D_EQ_NIV,1)+COUNTIFS(D_ANNEE,$C$4,D_SESSION,"S1",D_SO_NIV,1)+COUNTIFS(D_ANNEE,$C$4,D_SESSION,"S1",D_VI_NIV,1)+COUNTIFS(D_ANNEE,$C$4,D_SESSION,"S1",D_EN_NIV,1)+COUNTIFS(D_ANNEE,$C$4,D_SESSION,"S1",D_CO_NIV,1)+COUNTIFS(D_ANNEE,$C$4,D_SESSION,"S1",D_GA_NIV,1)+COUNTIFS(D_ANNEE,$C$4,D_SESSION,"S1",D_AD_NIV,1)+COUNTIFS(D_ANNEE,$C$4,D_SESSION,"S1",D_FO_NIV,1)</f>
        <v>0</v>
      </c>
      <c r="D57" s="23">
        <f>COUNTIFS(D_ANNEE,$C$4,D_SESSION,"S2",D_EQ_NIV,1)+COUNTIFS(D_ANNEE,$C$4,D_SESSION,"S2",D_SO_NIV,1)+COUNTIFS(D_ANNEE,$C$4,D_SESSION,"S2",D_VI_NIV,1)+COUNTIFS(D_ANNEE,$C$4,D_SESSION,"S2",D_EN_NIV,1)+COUNTIFS(D_ANNEE,$C$4,D_SESSION,"S2",D_CO_NIV,1)+COUNTIFS(D_ANNEE,$C$4,D_SESSION,"S2",D_GA_NIV,1)+COUNTIFS(D_ANNEE,$C$4,D_SESSION,"S2",D_AD_NIV,1)+COUNTIFS(D_ANNEE,$C$4,D_SESSION,"S2",D_FO_NIV,1)</f>
        <v>0</v>
      </c>
      <c r="E57" s="155">
        <f>IFERROR(C57/SUM($C$57:$C$61),0)</f>
        <v>0</v>
      </c>
      <c r="F57" s="155">
        <f>IFERROR(D57/SUM($D$57:$D$61),0)</f>
        <v>0</v>
      </c>
    </row>
    <row r="58" spans="1:15" ht="14.25" customHeight="1" x14ac:dyDescent="0.3">
      <c r="A58" s="104">
        <v>2</v>
      </c>
      <c r="B58" s="23" t="s">
        <v>214</v>
      </c>
      <c r="C58" s="23">
        <f>COUNTIFS(D_ANNEE,$C$4,D_SESSION,"S1",D_EQ_NIV,2)+COUNTIFS(D_ANNEE,$C$4,D_SESSION,"S1",D_SO_NIV,2)+COUNTIFS(D_ANNEE,$C$4,D_SESSION,"S1",D_VI_NIV,2)+COUNTIFS(D_ANNEE,$C$4,D_SESSION,"S1",D_EN_NIV,2)+COUNTIFS(D_ANNEE,$C$4,D_SESSION,"S1",D_CO_NIV,2)+COUNTIFS(D_ANNEE,$C$4,D_SESSION,"S1",D_GA_NIV,2)+COUNTIFS(D_ANNEE,$C$4,D_SESSION,"S1",D_AD_NIV,2)+COUNTIFS(D_ANNEE,$C$4,D_SESSION,"S1",D_FO_NIV,2)</f>
        <v>0</v>
      </c>
      <c r="D58" s="23">
        <f>COUNTIFS(D_ANNEE,$C$4,D_SESSION,"S2",D_EQ_NIV,2)+COUNTIFS(D_ANNEE,$C$4,D_SESSION,"S2",D_SO_NIV,2)+COUNTIFS(D_ANNEE,$C$4,D_SESSION,"S2",D_VI_NIV,2)+COUNTIFS(D_ANNEE,$C$4,D_SESSION,"S2",D_EN_NIV,2)+COUNTIFS(D_ANNEE,$C$4,D_SESSION,"S2",D_CO_NIV,2)+COUNTIFS(D_ANNEE,$C$4,D_SESSION,"S2",D_GA_NIV,2)+COUNTIFS(D_ANNEE,$C$4,D_SESSION,"S2",D_AD_NIV,2)+COUNTIFS(D_ANNEE,$C$4,D_SESSION,"S2",D_FO_NIV,2)</f>
        <v>0</v>
      </c>
      <c r="E58" s="155">
        <f>IFERROR(C58/SUM($C$57:$C$61),0)</f>
        <v>0</v>
      </c>
      <c r="F58" s="155">
        <f>IFERROR(D58/SUM($D$57:$D$61),0)</f>
        <v>0</v>
      </c>
    </row>
    <row r="59" spans="1:15" ht="14.25" customHeight="1" x14ac:dyDescent="0.3">
      <c r="A59" s="105">
        <v>3</v>
      </c>
      <c r="B59" s="23" t="s">
        <v>215</v>
      </c>
      <c r="C59" s="23">
        <f>COUNTIFS(D_ANNEE,$C$4,D_SESSION,"S1",D_EQ_NIV,3)+COUNTIFS(D_ANNEE,$C$4,D_SESSION,"S1",D_SO_NIV,3)+COUNTIFS(D_ANNEE,$C$4,D_SESSION,"S1",D_VI_NIV,3)+COUNTIFS(D_ANNEE,$C$4,D_SESSION,"S1",D_EN_NIV,3)+COUNTIFS(D_ANNEE,$C$4,D_SESSION,"S1",D_CO_NIV,3)+COUNTIFS(D_ANNEE,$C$4,D_SESSION,"S1",D_GA_NIV,3)+COUNTIFS(D_ANNEE,$C$4,D_SESSION,"S1",D_AD_NIV,3)+COUNTIFS(D_ANNEE,$C$4,D_SESSION,"S1",D_FO_NIV,3)</f>
        <v>0</v>
      </c>
      <c r="D59" s="23">
        <f>COUNTIFS(D_ANNEE,$C$4,D_SESSION,"S2",D_EQ_NIV,3)+COUNTIFS(D_ANNEE,$C$4,D_SESSION,"S2",D_SO_NIV,3)+COUNTIFS(D_ANNEE,$C$4,D_SESSION,"S2",D_VI_NIV,3)+COUNTIFS(D_ANNEE,$C$4,D_SESSION,"S2",D_EN_NIV,3)+COUNTIFS(D_ANNEE,$C$4,D_SESSION,"S2",D_CO_NIV,3)+COUNTIFS(D_ANNEE,$C$4,D_SESSION,"S2",D_GA_NIV,3)+COUNTIFS(D_ANNEE,$C$4,D_SESSION,"S2",D_AD_NIV,3)+COUNTIFS(D_ANNEE,$C$4,D_SESSION,"S2",D_FO_NIV,3)</f>
        <v>0</v>
      </c>
      <c r="E59" s="155">
        <f>IFERROR(C59/SUM($C$57:$C$61),0)</f>
        <v>0</v>
      </c>
      <c r="F59" s="155">
        <f>IFERROR(D59/SUM($D$57:$D$61),0)</f>
        <v>0</v>
      </c>
    </row>
    <row r="60" spans="1:15" ht="14.25" customHeight="1" x14ac:dyDescent="0.3">
      <c r="A60" s="106">
        <v>4</v>
      </c>
      <c r="B60" s="23" t="s">
        <v>216</v>
      </c>
      <c r="C60" s="23">
        <f>COUNTIFS(D_ANNEE,$C$4,D_SESSION,"S1",D_EQ_NIV,4)+COUNTIFS(D_ANNEE,$C$4,D_SESSION,"S1",D_SO_NIV,4)+COUNTIFS(D_ANNEE,$C$4,D_SESSION,"S1",D_VI_NIV,4)+COUNTIFS(D_ANNEE,$C$4,D_SESSION,"S1",D_EN_NIV,4)+COUNTIFS(D_ANNEE,$C$4,D_SESSION,"S1",D_CO_NIV,4)+COUNTIFS(D_ANNEE,$C$4,D_SESSION,"S1",D_GA_NIV,4)+COUNTIFS(D_ANNEE,$C$4,D_SESSION,"S1",D_AD_NIV,4)+COUNTIFS(D_ANNEE,$C$4,D_SESSION,"S1",D_FO_NIV,4)</f>
        <v>0</v>
      </c>
      <c r="D60" s="23">
        <f>COUNTIFS(D_ANNEE,$C$4,D_SESSION,"S2",D_EQ_NIV,4)+COUNTIFS(D_ANNEE,$C$4,D_SESSION,"S2",D_SO_NIV,4)+COUNTIFS(D_ANNEE,$C$4,D_SESSION,"S2",D_VI_NIV,4)+COUNTIFS(D_ANNEE,$C$4,D_SESSION,"S2",D_EN_NIV,4)+COUNTIFS(D_ANNEE,$C$4,D_SESSION,"S2",D_CO_NIV,4)+COUNTIFS(D_ANNEE,$C$4,D_SESSION,"S2",D_GA_NIV,4)+COUNTIFS(D_ANNEE,$C$4,D_SESSION,"S2",D_AD_NIV,4)+COUNTIFS(D_ANNEE,$C$4,D_SESSION,"S2",D_FO_NIV,4)</f>
        <v>0</v>
      </c>
      <c r="E60" s="155">
        <f>IFERROR(C60/SUM($C$57:$C$61),0)</f>
        <v>0</v>
      </c>
      <c r="F60" s="155">
        <f>IFERROR(D60/SUM($D$57:$D$61),0)</f>
        <v>0</v>
      </c>
    </row>
    <row r="61" spans="1:15" ht="14.25" customHeight="1" x14ac:dyDescent="0.3">
      <c r="A61" s="107">
        <v>5</v>
      </c>
      <c r="B61" s="23" t="s">
        <v>217</v>
      </c>
      <c r="C61" s="23">
        <f>COUNTIFS(D_ANNEE,$C$4,D_SESSION,"S1",D_EQ_NIV,5)+COUNTIFS(D_ANNEE,$C$4,D_SESSION,"S1",D_SO_NIV,5)+COUNTIFS(D_ANNEE,$C$4,D_SESSION,"S1",D_VI_NIV,5)+COUNTIFS(D_ANNEE,$C$4,D_SESSION,"S1",D_EN_NIV,5)+COUNTIFS(D_ANNEE,$C$4,D_SESSION,"S1",D_CO_NIV,5)+COUNTIFS(D_ANNEE,$C$4,D_SESSION,"S1",D_GA_NIV,5)+COUNTIFS(D_ANNEE,$C$4,D_SESSION,"S1",D_AD_NIV,5)+COUNTIFS(D_ANNEE,$C$4,D_SESSION,"S1",D_FO_NIV,5)</f>
        <v>0</v>
      </c>
      <c r="D61" s="23">
        <f>COUNTIFS(D_ANNEE,$C$4,D_SESSION,"S2",D_EQ_NIV,5)+COUNTIFS(D_ANNEE,$C$4,D_SESSION,"S2",D_SO_NIV,5)+COUNTIFS(D_ANNEE,$C$4,D_SESSION,"S2",D_VI_NIV,5)+COUNTIFS(D_ANNEE,$C$4,D_SESSION,"S2",D_EN_NIV,5)+COUNTIFS(D_ANNEE,$C$4,D_SESSION,"S2",D_CO_NIV,5)+COUNTIFS(D_ANNEE,$C$4,D_SESSION,"S2",D_GA_NIV,5)+COUNTIFS(D_ANNEE,$C$4,D_SESSION,"S2",D_AD_NIV,5)+COUNTIFS(D_ANNEE,$C$4,D_SESSION,"S2",D_FO_NIV,5)</f>
        <v>0</v>
      </c>
      <c r="E61" s="155">
        <f>IFERROR(C61/SUM($C$57:$C$61),0)</f>
        <v>0</v>
      </c>
      <c r="F61" s="155">
        <f>IFERROR(D61/SUM($D$57:$D$61),0)</f>
        <v>0</v>
      </c>
    </row>
    <row r="102" spans="1:1" ht="21.75" customHeight="1" x14ac:dyDescent="0.3">
      <c r="A102" s="108"/>
    </row>
    <row r="103" spans="1:1" hidden="1" x14ac:dyDescent="0.3"/>
    <row r="104" spans="1:1" hidden="1" x14ac:dyDescent="0.3"/>
    <row r="105" spans="1:1" hidden="1" x14ac:dyDescent="0.3"/>
    <row r="106" spans="1:1" hidden="1" x14ac:dyDescent="0.3"/>
    <row r="107" spans="1:1" hidden="1" x14ac:dyDescent="0.3"/>
    <row r="108" spans="1:1" hidden="1" x14ac:dyDescent="0.3"/>
    <row r="109" spans="1:1" hidden="1" x14ac:dyDescent="0.3"/>
    <row r="110" spans="1:1" hidden="1" x14ac:dyDescent="0.3"/>
    <row r="111" spans="1:1" hidden="1" x14ac:dyDescent="0.3"/>
    <row r="112" spans="1:1" hidden="1" x14ac:dyDescent="0.3"/>
    <row r="113" spans="1:15" hidden="1" x14ac:dyDescent="0.3"/>
    <row r="114" spans="1:15" hidden="1" x14ac:dyDescent="0.3"/>
    <row r="115" spans="1:15" hidden="1" x14ac:dyDescent="0.3"/>
    <row r="117" spans="1:15" ht="21.75" customHeight="1" x14ac:dyDescent="0.3">
      <c r="A117" s="228" t="s">
        <v>226</v>
      </c>
      <c r="B117" s="228"/>
      <c r="C117" s="228"/>
      <c r="D117" s="228"/>
      <c r="E117" s="228"/>
      <c r="F117" s="228"/>
      <c r="G117" s="228"/>
      <c r="H117" s="228"/>
      <c r="I117" s="228"/>
      <c r="J117" s="228"/>
      <c r="K117" s="228"/>
      <c r="L117" s="228"/>
      <c r="M117" s="228"/>
      <c r="N117" s="228"/>
      <c r="O117" s="228"/>
    </row>
    <row r="118" spans="1:15" ht="12" customHeight="1" x14ac:dyDescent="0.3">
      <c r="E118" s="76" t="s">
        <v>163</v>
      </c>
      <c r="G118" s="76" t="s">
        <v>164</v>
      </c>
      <c r="H118" s="77" t="s">
        <v>165</v>
      </c>
    </row>
    <row r="119" spans="1:15" ht="21.75" customHeight="1" x14ac:dyDescent="0.3">
      <c r="B119" s="78"/>
      <c r="C119" s="342" t="str">
        <f t="shared" ref="C119:C126" si="8">A20</f>
        <v>Équilibre</v>
      </c>
      <c r="D119" s="342"/>
      <c r="E119" s="79" t="str">
        <f t="shared" ref="E119:E126" si="9">D20</f>
        <v>Non réalisée</v>
      </c>
      <c r="F119" s="80" t="s">
        <v>227</v>
      </c>
      <c r="G119" s="81" t="str">
        <f t="shared" ref="G119:G126" si="10">F20</f>
        <v>Non réalisée</v>
      </c>
      <c r="H119" s="82" t="str">
        <f t="shared" ref="H119:H126" si="11">IF(OR(ISTEXT(F20),ISTEXT(D20),F20="",D20="",D20=0),"",IF(F20&gt;D20,"▲ +"&amp;ROUND((F20-D20)/D20*100,0)&amp;"%",IF(F20&lt;D20,"▼ "&amp;ROUND((F20-D20)/D20*100,0)&amp;"%","→ stable")))</f>
        <v/>
      </c>
    </row>
    <row r="120" spans="1:15" ht="21.75" customHeight="1" x14ac:dyDescent="0.3">
      <c r="B120" s="83"/>
      <c r="C120" s="343" t="str">
        <f t="shared" si="8"/>
        <v>Souplesse</v>
      </c>
      <c r="D120" s="343"/>
      <c r="E120" s="84" t="str">
        <f t="shared" si="9"/>
        <v>Non réalisée</v>
      </c>
      <c r="F120" s="80" t="s">
        <v>227</v>
      </c>
      <c r="G120" s="85" t="str">
        <f t="shared" si="10"/>
        <v>Non réalisée</v>
      </c>
      <c r="H120" s="82" t="str">
        <f t="shared" si="11"/>
        <v/>
      </c>
    </row>
    <row r="121" spans="1:15" ht="21.75" customHeight="1" x14ac:dyDescent="0.3">
      <c r="B121" s="86"/>
      <c r="C121" s="344" t="str">
        <f t="shared" si="8"/>
        <v>Vitesse</v>
      </c>
      <c r="D121" s="344"/>
      <c r="E121" s="87" t="str">
        <f t="shared" si="9"/>
        <v>Non réalisée</v>
      </c>
      <c r="F121" s="80" t="s">
        <v>227</v>
      </c>
      <c r="G121" s="88" t="str">
        <f t="shared" si="10"/>
        <v>Non réalisée</v>
      </c>
      <c r="H121" s="82" t="str">
        <f t="shared" si="11"/>
        <v/>
      </c>
    </row>
    <row r="122" spans="1:15" ht="21.75" customHeight="1" x14ac:dyDescent="0.3">
      <c r="B122" s="89"/>
      <c r="C122" s="345" t="str">
        <f t="shared" si="8"/>
        <v>Endurance</v>
      </c>
      <c r="D122" s="345"/>
      <c r="E122" s="90" t="str">
        <f t="shared" si="9"/>
        <v>Non réalisée</v>
      </c>
      <c r="F122" s="80" t="s">
        <v>227</v>
      </c>
      <c r="G122" s="91" t="str">
        <f t="shared" si="10"/>
        <v>Non réalisée</v>
      </c>
      <c r="H122" s="82" t="str">
        <f t="shared" si="11"/>
        <v/>
      </c>
    </row>
    <row r="123" spans="1:15" ht="21.75" customHeight="1" x14ac:dyDescent="0.3">
      <c r="B123" s="92"/>
      <c r="C123" s="346" t="str">
        <f t="shared" si="8"/>
        <v>Coordination</v>
      </c>
      <c r="D123" s="346"/>
      <c r="E123" s="93" t="str">
        <f t="shared" si="9"/>
        <v>Non réalisée</v>
      </c>
      <c r="F123" s="80" t="s">
        <v>227</v>
      </c>
      <c r="G123" s="94" t="str">
        <f t="shared" si="10"/>
        <v>Non réalisée</v>
      </c>
      <c r="H123" s="82" t="str">
        <f t="shared" si="11"/>
        <v/>
      </c>
    </row>
    <row r="124" spans="1:15" ht="21.75" customHeight="1" x14ac:dyDescent="0.3">
      <c r="B124" s="95"/>
      <c r="C124" s="347" t="str">
        <f t="shared" si="8"/>
        <v>Gainage</v>
      </c>
      <c r="D124" s="347"/>
      <c r="E124" s="79" t="str">
        <f t="shared" si="9"/>
        <v>Non réalisée</v>
      </c>
      <c r="F124" s="80" t="s">
        <v>227</v>
      </c>
      <c r="G124" s="96" t="str">
        <f t="shared" si="10"/>
        <v>Non réalisée</v>
      </c>
      <c r="H124" s="82" t="str">
        <f t="shared" si="11"/>
        <v/>
      </c>
    </row>
    <row r="125" spans="1:15" ht="21.75" customHeight="1" x14ac:dyDescent="0.3">
      <c r="B125" s="97"/>
      <c r="C125" s="348" t="str">
        <f t="shared" si="8"/>
        <v>Adresse</v>
      </c>
      <c r="D125" s="348"/>
      <c r="E125" s="98" t="str">
        <f t="shared" si="9"/>
        <v>Non réalisée</v>
      </c>
      <c r="F125" s="80" t="s">
        <v>227</v>
      </c>
      <c r="G125" s="99" t="str">
        <f t="shared" si="10"/>
        <v>Non réalisée</v>
      </c>
      <c r="H125" s="82" t="str">
        <f t="shared" si="11"/>
        <v/>
      </c>
    </row>
    <row r="126" spans="1:15" ht="21.75" customHeight="1" x14ac:dyDescent="0.3">
      <c r="B126" s="100"/>
      <c r="C126" s="349" t="str">
        <f t="shared" si="8"/>
        <v>Force des jambes</v>
      </c>
      <c r="D126" s="349"/>
      <c r="E126" s="87" t="str">
        <f t="shared" si="9"/>
        <v>Non réalisée</v>
      </c>
      <c r="F126" s="80" t="s">
        <v>227</v>
      </c>
      <c r="G126" s="101" t="str">
        <f t="shared" si="10"/>
        <v>Non réalisée</v>
      </c>
      <c r="H126" s="82" t="str">
        <f t="shared" si="11"/>
        <v/>
      </c>
    </row>
    <row r="129" spans="1:6" ht="19.5" customHeight="1" x14ac:dyDescent="0.3">
      <c r="A129" s="250" t="s">
        <v>459</v>
      </c>
      <c r="B129" s="250"/>
      <c r="C129" s="250"/>
      <c r="D129" s="250"/>
      <c r="E129" s="250"/>
      <c r="F129" s="250"/>
    </row>
    <row r="130" spans="1:6" x14ac:dyDescent="0.3">
      <c r="A130" s="102" t="s">
        <v>44</v>
      </c>
      <c r="B130" s="102" t="s">
        <v>447</v>
      </c>
      <c r="C130" s="102" t="s">
        <v>448</v>
      </c>
      <c r="D130" s="102" t="s">
        <v>449</v>
      </c>
      <c r="E130" s="102" t="s">
        <v>450</v>
      </c>
      <c r="F130" s="102" t="s">
        <v>451</v>
      </c>
    </row>
    <row r="131" spans="1:6" x14ac:dyDescent="0.3">
      <c r="A131" s="181" t="s">
        <v>2</v>
      </c>
      <c r="B131" s="23">
        <f t="shared" ref="B131:B138" si="12">C131+D131+E131</f>
        <v>0</v>
      </c>
      <c r="C131" s="23">
        <f>COUNTIFS(D_PROG_EQ,1,D_ANNEE,$C$4)</f>
        <v>0</v>
      </c>
      <c r="D131" s="23">
        <f>COUNTIFS(D_PROG_EQ,0,D_ANNEE,$C$4)</f>
        <v>0</v>
      </c>
      <c r="E131" s="23">
        <f>COUNTIFS(D_PROG_EQ,-1,D_ANNEE,$C$4)</f>
        <v>0</v>
      </c>
      <c r="F131" s="23" t="str">
        <f t="shared" ref="F131:F138" si="13">IF(B131=0,"—",ROUND(C131/B131*100,0)&amp;" %")</f>
        <v>—</v>
      </c>
    </row>
    <row r="132" spans="1:6" x14ac:dyDescent="0.3">
      <c r="A132" s="182" t="s">
        <v>3</v>
      </c>
      <c r="B132" s="23">
        <f t="shared" si="12"/>
        <v>0</v>
      </c>
      <c r="C132" s="23">
        <f>COUNTIFS(D_PROG_SO,1,D_ANNEE,$C$4)</f>
        <v>0</v>
      </c>
      <c r="D132" s="23">
        <f>COUNTIFS(D_PROG_SO,0,D_ANNEE,$C$4)</f>
        <v>0</v>
      </c>
      <c r="E132" s="23">
        <f>COUNTIFS(D_PROG_SO,-1,D_ANNEE,$C$4)</f>
        <v>0</v>
      </c>
      <c r="F132" s="23" t="str">
        <f t="shared" si="13"/>
        <v>—</v>
      </c>
    </row>
    <row r="133" spans="1:6" x14ac:dyDescent="0.3">
      <c r="A133" s="183" t="s">
        <v>4</v>
      </c>
      <c r="B133" s="23">
        <f t="shared" si="12"/>
        <v>0</v>
      </c>
      <c r="C133" s="23">
        <f>COUNTIFS(D_PROG_VI,1,D_ANNEE,$C$4)</f>
        <v>0</v>
      </c>
      <c r="D133" s="23">
        <f>COUNTIFS(D_PROG_VI,0,D_ANNEE,$C$4)</f>
        <v>0</v>
      </c>
      <c r="E133" s="23">
        <f>COUNTIFS(D_PROG_VI,-1,D_ANNEE,$C$4)</f>
        <v>0</v>
      </c>
      <c r="F133" s="23" t="str">
        <f t="shared" si="13"/>
        <v>—</v>
      </c>
    </row>
    <row r="134" spans="1:6" x14ac:dyDescent="0.3">
      <c r="A134" s="184" t="s">
        <v>5</v>
      </c>
      <c r="B134" s="23">
        <f t="shared" si="12"/>
        <v>0</v>
      </c>
      <c r="C134" s="23">
        <f>COUNTIFS(D_PROG_EN,1,D_ANNEE,$C$4)</f>
        <v>0</v>
      </c>
      <c r="D134" s="23">
        <f>COUNTIFS(D_PROG_EN,0,D_ANNEE,$C$4)</f>
        <v>0</v>
      </c>
      <c r="E134" s="23">
        <f>COUNTIFS(D_PROG_EN,-1,D_ANNEE,$C$4)</f>
        <v>0</v>
      </c>
      <c r="F134" s="23" t="str">
        <f t="shared" si="13"/>
        <v>—</v>
      </c>
    </row>
    <row r="135" spans="1:6" x14ac:dyDescent="0.3">
      <c r="A135" s="185" t="s">
        <v>6</v>
      </c>
      <c r="B135" s="23">
        <f t="shared" si="12"/>
        <v>0</v>
      </c>
      <c r="C135" s="23">
        <f>COUNTIFS(D_PROG_CO,1,D_ANNEE,$C$4)</f>
        <v>0</v>
      </c>
      <c r="D135" s="23">
        <f>COUNTIFS(D_PROG_CO,0,D_ANNEE,$C$4)</f>
        <v>0</v>
      </c>
      <c r="E135" s="23">
        <f>COUNTIFS(D_PROG_CO,-1,D_ANNEE,$C$4)</f>
        <v>0</v>
      </c>
      <c r="F135" s="23" t="str">
        <f t="shared" si="13"/>
        <v>—</v>
      </c>
    </row>
    <row r="136" spans="1:6" x14ac:dyDescent="0.3">
      <c r="A136" s="186" t="s">
        <v>7</v>
      </c>
      <c r="B136" s="23">
        <f t="shared" si="12"/>
        <v>0</v>
      </c>
      <c r="C136" s="23">
        <f>COUNTIFS(D_PROG_GA,1,D_ANNEE,$C$4)</f>
        <v>0</v>
      </c>
      <c r="D136" s="23">
        <f>COUNTIFS(D_PROG_GA,0,D_ANNEE,$C$4)</f>
        <v>0</v>
      </c>
      <c r="E136" s="23">
        <f>COUNTIFS(D_PROG_GA,-1,D_ANNEE,$C$4)</f>
        <v>0</v>
      </c>
      <c r="F136" s="23" t="str">
        <f t="shared" si="13"/>
        <v>—</v>
      </c>
    </row>
    <row r="137" spans="1:6" x14ac:dyDescent="0.3">
      <c r="A137" s="187" t="s">
        <v>8</v>
      </c>
      <c r="B137" s="23">
        <f t="shared" si="12"/>
        <v>0</v>
      </c>
      <c r="C137" s="23">
        <f>COUNTIFS(D_PROG_AD,1,D_ANNEE,$C$4)</f>
        <v>0</v>
      </c>
      <c r="D137" s="23">
        <f>COUNTIFS(D_PROG_AD,0,D_ANNEE,$C$4)</f>
        <v>0</v>
      </c>
      <c r="E137" s="23">
        <f>COUNTIFS(D_PROG_AD,-1,D_ANNEE,$C$4)</f>
        <v>0</v>
      </c>
      <c r="F137" s="23" t="str">
        <f t="shared" si="13"/>
        <v>—</v>
      </c>
    </row>
    <row r="138" spans="1:6" x14ac:dyDescent="0.3">
      <c r="A138" s="188" t="s">
        <v>9</v>
      </c>
      <c r="B138" s="23">
        <f t="shared" si="12"/>
        <v>0</v>
      </c>
      <c r="C138" s="23">
        <f>COUNTIFS(D_PROG_FO,1,D_ANNEE,$C$4)</f>
        <v>0</v>
      </c>
      <c r="D138" s="23">
        <f>COUNTIFS(D_PROG_FO,0,D_ANNEE,$C$4)</f>
        <v>0</v>
      </c>
      <c r="E138" s="23">
        <f>COUNTIFS(D_PROG_FO,-1,D_ANNEE,$C$4)</f>
        <v>0</v>
      </c>
      <c r="F138" s="23" t="str">
        <f t="shared" si="13"/>
        <v>—</v>
      </c>
    </row>
    <row r="139" spans="1:6" x14ac:dyDescent="0.3">
      <c r="A139" s="74" t="s">
        <v>460</v>
      </c>
    </row>
    <row r="141" spans="1:6" ht="19.5" customHeight="1" x14ac:dyDescent="0.3">
      <c r="A141" s="250" t="s">
        <v>461</v>
      </c>
      <c r="B141" s="250"/>
      <c r="C141" s="250"/>
      <c r="D141" s="250"/>
      <c r="E141" s="250"/>
    </row>
    <row r="142" spans="1:6" x14ac:dyDescent="0.3">
      <c r="A142" s="102" t="s">
        <v>111</v>
      </c>
      <c r="B142" s="102" t="s">
        <v>454</v>
      </c>
      <c r="C142" s="102" t="s">
        <v>455</v>
      </c>
      <c r="D142" s="102" t="s">
        <v>456</v>
      </c>
      <c r="E142" s="102" t="s">
        <v>457</v>
      </c>
    </row>
    <row r="143" spans="1:6" x14ac:dyDescent="0.3">
      <c r="A143" s="102" t="s">
        <v>163</v>
      </c>
      <c r="B143" s="23">
        <f>COUNTIFS(D_ANNEE,$C$4,D_SESSION,"S1")</f>
        <v>0</v>
      </c>
      <c r="C143" s="23">
        <f>COUNTIFS(D_ANNEE,$C$4,D_SESSION,"S1",D_COMPLET,1)</f>
        <v>0</v>
      </c>
      <c r="D143" s="23" t="str">
        <f>IFERROR(ROUND(AVERAGEIFS(D_MOYNIV,D_ANNEE,$C$4,D_SESSION,"S1",D_COMPLET,1),2),"—")</f>
        <v>—</v>
      </c>
      <c r="E143" s="23" t="str">
        <f>IFERROR(ROUND(AVERAGEIFS(D_MOYNIV,D_ANNEE,$C$4,D_SESSION,"S1"),2),"—")</f>
        <v>—</v>
      </c>
    </row>
    <row r="144" spans="1:6" x14ac:dyDescent="0.3">
      <c r="A144" s="102" t="s">
        <v>164</v>
      </c>
      <c r="B144" s="23">
        <f>COUNTIFS(D_ANNEE,$C$4,D_SESSION,"S2")</f>
        <v>0</v>
      </c>
      <c r="C144" s="23">
        <f>COUNTIFS(D_ANNEE,$C$4,D_SESSION,"S2",D_COMPLET,1)</f>
        <v>0</v>
      </c>
      <c r="D144" s="23" t="str">
        <f>IFERROR(ROUND(AVERAGEIFS(D_MOYNIV,D_ANNEE,$C$4,D_SESSION,"S2",D_COMPLET,1),2),"—")</f>
        <v>—</v>
      </c>
      <c r="E144" s="23" t="str">
        <f>IFERROR(ROUND(AVERAGEIFS(D_MOYNIV,D_ANNEE,$C$4,D_SESSION,"S2"),2),"—")</f>
        <v>—</v>
      </c>
    </row>
    <row r="145" spans="1:1" x14ac:dyDescent="0.3">
      <c r="A145" s="74" t="s">
        <v>458</v>
      </c>
    </row>
  </sheetData>
  <sheetProtection sheet="1" formatCells="0" formatColumns="0" formatRows="0" sort="0" autoFilter="0"/>
  <mergeCells count="46">
    <mergeCell ref="C126:D126"/>
    <mergeCell ref="A129:F129"/>
    <mergeCell ref="A141:E141"/>
    <mergeCell ref="C121:D121"/>
    <mergeCell ref="C122:D122"/>
    <mergeCell ref="C123:D123"/>
    <mergeCell ref="C124:D124"/>
    <mergeCell ref="C125:D125"/>
    <mergeCell ref="A53:F53"/>
    <mergeCell ref="A55:F55"/>
    <mergeCell ref="A117:O117"/>
    <mergeCell ref="C119:D119"/>
    <mergeCell ref="C120:D120"/>
    <mergeCell ref="A37:B37"/>
    <mergeCell ref="A38:B38"/>
    <mergeCell ref="A40:G40"/>
    <mergeCell ref="A51:F51"/>
    <mergeCell ref="A52:B52"/>
    <mergeCell ref="C52:D52"/>
    <mergeCell ref="E52:F52"/>
    <mergeCell ref="A32:B32"/>
    <mergeCell ref="A33:B33"/>
    <mergeCell ref="A34:B34"/>
    <mergeCell ref="A35:B35"/>
    <mergeCell ref="A36:B36"/>
    <mergeCell ref="A10:G10"/>
    <mergeCell ref="A18:G18"/>
    <mergeCell ref="A29:G29"/>
    <mergeCell ref="A30:B30"/>
    <mergeCell ref="A31:B31"/>
    <mergeCell ref="A7:B7"/>
    <mergeCell ref="C7:D7"/>
    <mergeCell ref="E7:F7"/>
    <mergeCell ref="G7:H7"/>
    <mergeCell ref="A8:B8"/>
    <mergeCell ref="C8:D8"/>
    <mergeCell ref="E8:F8"/>
    <mergeCell ref="G8:H8"/>
    <mergeCell ref="A1:G1"/>
    <mergeCell ref="A2:G2"/>
    <mergeCell ref="C3:D3"/>
    <mergeCell ref="C4:D4"/>
    <mergeCell ref="A6:B6"/>
    <mergeCell ref="C6:D6"/>
    <mergeCell ref="E6:F6"/>
    <mergeCell ref="G6:H6"/>
  </mergeCells>
  <conditionalFormatting sqref="E119 G119">
    <cfRule type="dataBar" priority="4">
      <dataBar>
        <cfvo type="num" val="0"/>
        <cfvo type="max"/>
        <color rgb="FFF20C70"/>
      </dataBar>
      <extLst>
        <ext xmlns:x14="http://schemas.microsoft.com/office/spreadsheetml/2009/9/main" uri="{B025F937-C7B1-47D3-B67F-A62EFF666E3E}">
          <x14:id>{2F607BD6-B8D9-4C94-AAE9-9BDF44179273}</x14:id>
        </ext>
      </extLst>
    </cfRule>
  </conditionalFormatting>
  <conditionalFormatting sqref="E120 G120">
    <cfRule type="dataBar" priority="7">
      <dataBar>
        <cfvo type="num" val="0"/>
        <cfvo type="max"/>
        <color rgb="FFFF7600"/>
      </dataBar>
      <extLst>
        <ext xmlns:x14="http://schemas.microsoft.com/office/spreadsheetml/2009/9/main" uri="{B025F937-C7B1-47D3-B67F-A62EFF666E3E}">
          <x14:id>{B453D919-BEAF-46C4-AF42-F0287AF0D451}</x14:id>
        </ext>
      </extLst>
    </cfRule>
  </conditionalFormatting>
  <conditionalFormatting sqref="E121 G121">
    <cfRule type="dataBar" priority="10">
      <dataBar>
        <cfvo type="num" val="0"/>
        <cfvo type="max"/>
        <color rgb="FF73AC20"/>
      </dataBar>
      <extLst>
        <ext xmlns:x14="http://schemas.microsoft.com/office/spreadsheetml/2009/9/main" uri="{B025F937-C7B1-47D3-B67F-A62EFF666E3E}">
          <x14:id>{ABEE7F7B-84D4-4CE6-A0D8-D59F7368CC4D}</x14:id>
        </ext>
      </extLst>
    </cfRule>
  </conditionalFormatting>
  <conditionalFormatting sqref="E122 G122">
    <cfRule type="dataBar" priority="11">
      <dataBar>
        <cfvo type="num" val="0"/>
        <cfvo type="max"/>
        <color rgb="FF00B3D4"/>
      </dataBar>
      <extLst>
        <ext xmlns:x14="http://schemas.microsoft.com/office/spreadsheetml/2009/9/main" uri="{B025F937-C7B1-47D3-B67F-A62EFF666E3E}">
          <x14:id>{66F9D952-2CF7-4B61-9D59-CBF3C34E37D3}</x14:id>
        </ext>
      </extLst>
    </cfRule>
  </conditionalFormatting>
  <conditionalFormatting sqref="E123 G123">
    <cfRule type="dataBar" priority="12">
      <dataBar>
        <cfvo type="num" val="0"/>
        <cfvo type="max"/>
        <color rgb="FFA1259A"/>
      </dataBar>
      <extLst>
        <ext xmlns:x14="http://schemas.microsoft.com/office/spreadsheetml/2009/9/main" uri="{B025F937-C7B1-47D3-B67F-A62EFF666E3E}">
          <x14:id>{7C6E56C2-7EAD-48C0-AC96-C430CC625582}</x14:id>
        </ext>
      </extLst>
    </cfRule>
  </conditionalFormatting>
  <conditionalFormatting sqref="E124 G124">
    <cfRule type="dataBar" priority="13">
      <dataBar>
        <cfvo type="num" val="0"/>
        <cfvo type="max"/>
        <color rgb="FFFFB902"/>
      </dataBar>
      <extLst>
        <ext xmlns:x14="http://schemas.microsoft.com/office/spreadsheetml/2009/9/main" uri="{B025F937-C7B1-47D3-B67F-A62EFF666E3E}">
          <x14:id>{FC705F32-31A2-4550-8E19-4F608A19B12B}</x14:id>
        </ext>
      </extLst>
    </cfRule>
  </conditionalFormatting>
  <conditionalFormatting sqref="E125 G125">
    <cfRule type="dataBar" priority="14">
      <dataBar>
        <cfvo type="num" val="0"/>
        <cfvo type="max"/>
        <color rgb="FF0890E4"/>
      </dataBar>
      <extLst>
        <ext xmlns:x14="http://schemas.microsoft.com/office/spreadsheetml/2009/9/main" uri="{B025F937-C7B1-47D3-B67F-A62EFF666E3E}">
          <x14:id>{BB768960-8117-4074-9250-DF8C3EC24617}</x14:id>
        </ext>
      </extLst>
    </cfRule>
  </conditionalFormatting>
  <conditionalFormatting sqref="E126 G126">
    <cfRule type="dataBar" priority="17">
      <dataBar>
        <cfvo type="num" val="0"/>
        <cfvo type="max"/>
        <color rgb="FFE0117F"/>
      </dataBar>
      <extLst>
        <ext xmlns:x14="http://schemas.microsoft.com/office/spreadsheetml/2009/9/main" uri="{B025F937-C7B1-47D3-B67F-A62EFF666E3E}">
          <x14:id>{F089EB6E-23A0-4EC1-A480-149097206F5F}</x14:id>
        </ext>
      </extLst>
    </cfRule>
  </conditionalFormatting>
  <conditionalFormatting sqref="G12:G16">
    <cfRule type="expression" dxfId="39" priority="2">
      <formula>LEFT(G12,1)="▲"</formula>
    </cfRule>
    <cfRule type="expression" dxfId="38" priority="3">
      <formula>LEFT(G12,1)="▼"</formula>
    </cfRule>
  </conditionalFormatting>
  <conditionalFormatting sqref="G20:G27">
    <cfRule type="expression" dxfId="37" priority="8">
      <formula>LEFT(G20,1)="▲"</formula>
    </cfRule>
    <cfRule type="expression" dxfId="36" priority="9">
      <formula>LEFT(G20,1)="▼"</formula>
    </cfRule>
  </conditionalFormatting>
  <conditionalFormatting sqref="G31:G38">
    <cfRule type="expression" dxfId="35" priority="15">
      <formula>LEFT(G31,1)="▲"</formula>
    </cfRule>
    <cfRule type="expression" dxfId="34" priority="16">
      <formula>LEFT(G31,1)="▼"</formula>
    </cfRule>
  </conditionalFormatting>
  <conditionalFormatting sqref="H119:H126">
    <cfRule type="expression" dxfId="33" priority="5">
      <formula>LEFT(H119,1)="▼"</formula>
    </cfRule>
    <cfRule type="expression" dxfId="32" priority="6">
      <formula>LEFT(H119,1)="→"</formula>
    </cfRule>
  </conditionalFormatting>
  <dataValidations count="1">
    <dataValidation type="list" allowBlank="1" showErrorMessage="1" errorTitle="Année invalide" error="Sélectionnez une année scolaire dans la liste déroulante (ex : 2025-2026). Vérifiez la saisie." sqref="C4" xr:uid="{00000000-0002-0000-0600-000000000000}">
      <formula1>LISTE_ANNEES</formula1>
      <formula2>0</formula2>
    </dataValidation>
  </dataValidations>
  <pageMargins left="0.75" right="0.75" top="0.5" bottom="0.5" header="0.511811023622047" footer="0.511811023622047"/>
  <pageSetup paperSize="9" orientation="landscape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F607BD6-B8D9-4C94-AAE9-9BDF44179273}">
            <x14:dataBar axisPosition="none">
              <x14:cfvo type="num">
                <xm:f>0</xm:f>
              </x14:cfvo>
              <x14:cfvo type="max"/>
              <x14:negativeFillColor rgb="FFF20C70"/>
            </x14:dataBar>
          </x14:cfRule>
          <xm:sqref>E119 G119</xm:sqref>
        </x14:conditionalFormatting>
        <x14:conditionalFormatting xmlns:xm="http://schemas.microsoft.com/office/excel/2006/main">
          <x14:cfRule type="dataBar" id="{B453D919-BEAF-46C4-AF42-F0287AF0D451}">
            <x14:dataBar axisPosition="none">
              <x14:cfvo type="num">
                <xm:f>0</xm:f>
              </x14:cfvo>
              <x14:cfvo type="max"/>
              <x14:negativeFillColor rgb="FFFF7600"/>
            </x14:dataBar>
          </x14:cfRule>
          <xm:sqref>E120 G120</xm:sqref>
        </x14:conditionalFormatting>
        <x14:conditionalFormatting xmlns:xm="http://schemas.microsoft.com/office/excel/2006/main">
          <x14:cfRule type="dataBar" id="{ABEE7F7B-84D4-4CE6-A0D8-D59F7368CC4D}">
            <x14:dataBar axisPosition="none">
              <x14:cfvo type="num">
                <xm:f>0</xm:f>
              </x14:cfvo>
              <x14:cfvo type="max"/>
              <x14:negativeFillColor rgb="FF73AC20"/>
            </x14:dataBar>
          </x14:cfRule>
          <xm:sqref>E121 G121</xm:sqref>
        </x14:conditionalFormatting>
        <x14:conditionalFormatting xmlns:xm="http://schemas.microsoft.com/office/excel/2006/main">
          <x14:cfRule type="dataBar" id="{66F9D952-2CF7-4B61-9D59-CBF3C34E37D3}">
            <x14:dataBar axisPosition="none">
              <x14:cfvo type="num">
                <xm:f>0</xm:f>
              </x14:cfvo>
              <x14:cfvo type="max"/>
              <x14:negativeFillColor rgb="FF00B3D4"/>
            </x14:dataBar>
          </x14:cfRule>
          <xm:sqref>E122 G122</xm:sqref>
        </x14:conditionalFormatting>
        <x14:conditionalFormatting xmlns:xm="http://schemas.microsoft.com/office/excel/2006/main">
          <x14:cfRule type="dataBar" id="{7C6E56C2-7EAD-48C0-AC96-C430CC625582}">
            <x14:dataBar axisPosition="none">
              <x14:cfvo type="num">
                <xm:f>0</xm:f>
              </x14:cfvo>
              <x14:cfvo type="max"/>
              <x14:negativeFillColor rgb="FFA1259A"/>
            </x14:dataBar>
          </x14:cfRule>
          <xm:sqref>E123 G123</xm:sqref>
        </x14:conditionalFormatting>
        <x14:conditionalFormatting xmlns:xm="http://schemas.microsoft.com/office/excel/2006/main">
          <x14:cfRule type="dataBar" id="{FC705F32-31A2-4550-8E19-4F608A19B12B}">
            <x14:dataBar axisPosition="none">
              <x14:cfvo type="num">
                <xm:f>0</xm:f>
              </x14:cfvo>
              <x14:cfvo type="max"/>
              <x14:negativeFillColor rgb="FFFFB902"/>
            </x14:dataBar>
          </x14:cfRule>
          <xm:sqref>E124 G124</xm:sqref>
        </x14:conditionalFormatting>
        <x14:conditionalFormatting xmlns:xm="http://schemas.microsoft.com/office/excel/2006/main">
          <x14:cfRule type="dataBar" id="{BB768960-8117-4074-9250-DF8C3EC24617}">
            <x14:dataBar axisPosition="none">
              <x14:cfvo type="num">
                <xm:f>0</xm:f>
              </x14:cfvo>
              <x14:cfvo type="max"/>
              <x14:negativeFillColor rgb="FF0890E4"/>
            </x14:dataBar>
          </x14:cfRule>
          <xm:sqref>E125 G125</xm:sqref>
        </x14:conditionalFormatting>
        <x14:conditionalFormatting xmlns:xm="http://schemas.microsoft.com/office/excel/2006/main">
          <x14:cfRule type="dataBar" id="{F089EB6E-23A0-4EC1-A480-149097206F5F}">
            <x14:dataBar axisPosition="none">
              <x14:cfvo type="num">
                <xm:f>0</xm:f>
              </x14:cfvo>
              <x14:cfvo type="max"/>
              <x14:negativeFillColor rgb="FFE0117F"/>
            </x14:dataBar>
          </x14:cfRule>
          <xm:sqref>E126 G126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30A0"/>
    <pageSetUpPr fitToPage="1"/>
  </sheetPr>
  <dimension ref="A1:T1201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8.88671875" defaultRowHeight="14.4" x14ac:dyDescent="0.3"/>
  <cols>
    <col min="1" max="1" width="2.21875" customWidth="1"/>
    <col min="2" max="2" width="14" customWidth="1"/>
    <col min="3" max="3" width="12" customWidth="1"/>
    <col min="4" max="4" width="16" customWidth="1"/>
    <col min="5" max="7" width="10" customWidth="1"/>
    <col min="8" max="9" width="12" customWidth="1"/>
    <col min="10" max="11" width="9" hidden="1" customWidth="1"/>
    <col min="12" max="12" width="11" hidden="1" customWidth="1"/>
    <col min="13" max="15" width="9" hidden="1" customWidth="1"/>
    <col min="16" max="16" width="13" hidden="1" customWidth="1"/>
    <col min="19" max="20" width="13" hidden="1" customWidth="1"/>
  </cols>
  <sheetData>
    <row r="1" spans="1:20" ht="31.5" customHeight="1" x14ac:dyDescent="0.3">
      <c r="A1" s="279" t="s">
        <v>253</v>
      </c>
      <c r="B1" s="279"/>
      <c r="C1" s="279"/>
      <c r="D1" s="279"/>
      <c r="E1" s="279"/>
      <c r="F1" s="279"/>
      <c r="G1" s="279"/>
      <c r="H1" s="279"/>
      <c r="I1" s="279"/>
      <c r="Q1" s="154" t="str">
        <f>HYPERLINK("#ACCUEIL!A1","← ACCUEIL")</f>
        <v>← ACCUEIL</v>
      </c>
    </row>
    <row r="2" spans="1:20" ht="18" customHeight="1" x14ac:dyDescent="0.3">
      <c r="A2" s="280" t="s">
        <v>254</v>
      </c>
      <c r="B2" s="280"/>
      <c r="C2" s="280"/>
      <c r="D2" s="280"/>
      <c r="E2" s="280"/>
      <c r="F2" s="280"/>
      <c r="G2" s="280"/>
      <c r="H2" s="280"/>
      <c r="I2" s="280"/>
      <c r="S2" t="str">
        <f t="shared" ref="S2:S65" si="0">IFERROR(INDEX(D_IDUNIQUE,MATCH(ROW()-1,D_RANG_SUIVI,0)),"")</f>
        <v/>
      </c>
      <c r="T2" t="str">
        <f t="shared" ref="T2:T65" si="1">IF($S2="","",UPPER(INDEX(D_NOM,MATCH($S2,D_ID,0)))&amp;" "&amp;INDEX(D_PRENOM,MATCH($S2,D_ID,0))&amp;" — "&amp;INDEX(D_NIVEAU_ACTUEL,MATCH($S2,D_ID,0)))</f>
        <v/>
      </c>
    </row>
    <row r="3" spans="1:20" ht="13.5" customHeight="1" x14ac:dyDescent="0.3">
      <c r="B3" s="27"/>
      <c r="C3" s="281" t="s">
        <v>151</v>
      </c>
      <c r="D3" s="281"/>
      <c r="E3" s="281"/>
      <c r="F3" s="27"/>
      <c r="G3" s="281" t="s">
        <v>255</v>
      </c>
      <c r="H3" s="281"/>
      <c r="I3" s="27"/>
      <c r="J3" s="27"/>
      <c r="K3" s="27"/>
      <c r="L3" s="27"/>
      <c r="M3" s="27"/>
      <c r="N3" s="27"/>
      <c r="O3" s="27"/>
      <c r="P3" s="27"/>
      <c r="Q3" s="281" t="s">
        <v>153</v>
      </c>
      <c r="R3" s="281"/>
      <c r="S3" t="str">
        <f t="shared" si="0"/>
        <v/>
      </c>
      <c r="T3" t="str">
        <f t="shared" si="1"/>
        <v/>
      </c>
    </row>
    <row r="4" spans="1:20" ht="25.5" customHeight="1" x14ac:dyDescent="0.3">
      <c r="B4" s="28"/>
      <c r="C4" s="272"/>
      <c r="D4" s="272"/>
      <c r="E4" s="272"/>
      <c r="F4" s="11"/>
      <c r="G4" s="272"/>
      <c r="H4" s="272"/>
      <c r="I4" s="29"/>
      <c r="J4" s="29" t="str">
        <f>IFERROR(INDEX($S$2:$S$1201,MATCH($C$4,$T$2:$T$1201,0)),"")</f>
        <v/>
      </c>
      <c r="K4" s="109">
        <f>IF($J$4="",0,IFERROR(MATCH($J$4,D_ID,0),0))</f>
        <v>0</v>
      </c>
      <c r="L4" s="29" t="str">
        <f>IFERROR(INDEX($C$200:$C$207,MATCH($G$4,$B$200:$B$207,0)),"EQ")</f>
        <v>EQ</v>
      </c>
      <c r="M4" s="29" t="str">
        <f>IFERROR(INDEX($D$200:$D$207,MATCH($G$4,$B$200:$B$207,0)),"")</f>
        <v/>
      </c>
      <c r="N4" s="29">
        <f>IFERROR(MATCH($G$4,$B$200:$B$207,0),1)</f>
        <v>1</v>
      </c>
      <c r="O4" s="29"/>
      <c r="P4" s="28"/>
      <c r="Q4" s="272" t="s">
        <v>154</v>
      </c>
      <c r="R4" s="272"/>
      <c r="S4" t="str">
        <f t="shared" si="0"/>
        <v/>
      </c>
      <c r="T4" t="str">
        <f t="shared" si="1"/>
        <v/>
      </c>
    </row>
    <row r="5" spans="1:20" ht="7.5" customHeight="1" x14ac:dyDescent="0.3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t="str">
        <f t="shared" si="0"/>
        <v/>
      </c>
      <c r="T5" t="str">
        <f t="shared" si="1"/>
        <v/>
      </c>
    </row>
    <row r="6" spans="1:20" ht="18" customHeight="1" x14ac:dyDescent="0.3">
      <c r="B6" s="30" t="s">
        <v>155</v>
      </c>
      <c r="C6" s="282" t="str">
        <f>IF($K$4=0,"Aucun élève sélectionné",INDEX(D_NOM,$K$4))</f>
        <v>Aucun élève sélectionné</v>
      </c>
      <c r="D6" s="282"/>
      <c r="E6" s="30" t="s">
        <v>156</v>
      </c>
      <c r="F6" s="282" t="str">
        <f>IF($K$4=0,"Aucun élève sélectionné",INDEX(D_PRENOM,$K$4))</f>
        <v>Aucun élève sélectionné</v>
      </c>
      <c r="G6" s="282"/>
      <c r="H6" s="282"/>
      <c r="S6" t="str">
        <f t="shared" si="0"/>
        <v/>
      </c>
      <c r="T6" t="str">
        <f t="shared" si="1"/>
        <v/>
      </c>
    </row>
    <row r="7" spans="1:20" ht="15.75" customHeight="1" x14ac:dyDescent="0.3">
      <c r="A7" s="353" t="str">
        <f>"Test sélectionné : "&amp;$G$4&amp;"  (unité : "&amp;$M$4&amp;")"</f>
        <v>Test sélectionné :   (unité : )</v>
      </c>
      <c r="B7" s="353"/>
      <c r="C7" s="353"/>
      <c r="D7" s="353"/>
      <c r="E7" s="353"/>
      <c r="F7" s="353"/>
      <c r="G7" s="353"/>
      <c r="H7" s="353"/>
      <c r="I7" s="353"/>
      <c r="S7" t="str">
        <f t="shared" si="0"/>
        <v/>
      </c>
      <c r="T7" t="str">
        <f t="shared" si="1"/>
        <v/>
      </c>
    </row>
    <row r="8" spans="1:20" ht="7.5" customHeight="1" x14ac:dyDescent="0.3">
      <c r="S8" t="str">
        <f t="shared" si="0"/>
        <v/>
      </c>
      <c r="T8" t="str">
        <f t="shared" si="1"/>
        <v/>
      </c>
    </row>
    <row r="9" spans="1:20" ht="21.75" customHeight="1" x14ac:dyDescent="0.3">
      <c r="A9" s="228" t="s">
        <v>256</v>
      </c>
      <c r="B9" s="228"/>
      <c r="C9" s="228"/>
      <c r="D9" s="228"/>
      <c r="E9" s="228"/>
      <c r="F9" s="228"/>
      <c r="G9" s="228"/>
      <c r="H9" s="228"/>
      <c r="I9" s="228"/>
      <c r="S9" t="str">
        <f t="shared" si="0"/>
        <v/>
      </c>
      <c r="T9" t="str">
        <f t="shared" si="1"/>
        <v/>
      </c>
    </row>
    <row r="10" spans="1:20" ht="15.75" customHeight="1" x14ac:dyDescent="0.3">
      <c r="B10" s="56" t="s">
        <v>246</v>
      </c>
      <c r="C10" s="56" t="s">
        <v>257</v>
      </c>
      <c r="D10" s="56" t="s">
        <v>180</v>
      </c>
      <c r="E10" s="56" t="s">
        <v>181</v>
      </c>
      <c r="F10" s="56" t="s">
        <v>182</v>
      </c>
      <c r="G10" s="56" t="s">
        <v>183</v>
      </c>
      <c r="H10" s="56" t="s">
        <v>165</v>
      </c>
      <c r="I10" s="56" t="s">
        <v>184</v>
      </c>
      <c r="L10" t="s">
        <v>192</v>
      </c>
      <c r="M10" t="s">
        <v>193</v>
      </c>
      <c r="N10" t="s">
        <v>194</v>
      </c>
      <c r="O10" t="s">
        <v>195</v>
      </c>
      <c r="S10" t="str">
        <f t="shared" si="0"/>
        <v/>
      </c>
      <c r="T10" t="str">
        <f t="shared" si="1"/>
        <v/>
      </c>
    </row>
    <row r="11" spans="1:20" ht="15" customHeight="1" x14ac:dyDescent="0.3">
      <c r="B11" s="110" t="str">
        <f>INDEX(LISTE_ANNEES,1)</f>
        <v>2025-2026</v>
      </c>
      <c r="C11" s="63" t="str">
        <f t="shared" ref="C11:C18" si="2">IF(AND(J11=0,K11=0),"",IF(J11&lt;&gt;0,INDEX(D_NIVEAU,J11),INDEX(D_NIVEAU,K11)))</f>
        <v/>
      </c>
      <c r="D11" s="63" t="str">
        <f t="shared" ref="D11:D18" si="3">IF(J11=0,"",INDEX(CHOOSE($N$4,D_EQ_PERF,D_SO_PERF,D_VI_PERF,D_EN_PERF,D_CO_PERF,D_GA_PERF,D_AD_PERF,D_FO_PERF),J11))</f>
        <v/>
      </c>
      <c r="E11" s="63" t="str">
        <f t="shared" ref="E11:E18" si="4">IF(J11=0,"",INDEX(CHOOSE($N$4,D_EQ_NIV,D_SO_NIV,D_VI_NIV,D_EN_NIV,D_CO_NIV,D_GA_NIV,D_AD_NIV,D_FO_NIV),J11))</f>
        <v/>
      </c>
      <c r="F11" s="63" t="str">
        <f t="shared" ref="F11:F18" si="5">IF(K11=0,"",INDEX(CHOOSE($N$4,D_EQ_PERF,D_SO_PERF,D_VI_PERF,D_EN_PERF,D_CO_PERF,D_GA_PERF,D_AD_PERF,D_FO_PERF),K11))</f>
        <v/>
      </c>
      <c r="G11" s="63" t="str">
        <f t="shared" ref="G11:G18" si="6">IF(K11=0,"",INDEX(CHOOSE($N$4,D_EQ_NIV,D_SO_NIV,D_VI_NIV,D_EN_NIV,D_CO_NIV,D_GA_NIV,D_AD_NIV,D_FO_NIV),K11))</f>
        <v/>
      </c>
      <c r="H11" s="63" t="str">
        <f t="shared" ref="H11:H18" si="7">IF(OR(E11="",G11=""),"Non testé",IF(G11-E11&gt;0,"▲ +"&amp;(G11-E11)&amp;" niv.",IF(G11-E11&lt;0,"▼ "&amp;(G11-E11)&amp;" niv.","➜ stable")))</f>
        <v>Non testé</v>
      </c>
      <c r="I11" s="42" t="str">
        <f t="shared" ref="I11:I18" si="8">IFERROR(ROUND(AVERAGEIFS(CHOOSE($N$4,D_EQ_NIV,D_SO_NIV,D_VI_NIV,D_EN_NIV,D_CO_NIV,D_GA_NIV,D_AD_NIV,D_FO_NIV),D_ANNEE,B11,D_NIVEAU,C11,CHOOSE($N$4,D_EQ_NIV,D_SO_NIV,D_VI_NIV,D_EN_NIV,D_CO_NIV,D_GA_NIV,D_AD_NIV,D_FO_NIV),"&gt;0"),1),"Non réalisée")</f>
        <v>Non réalisée</v>
      </c>
      <c r="J11">
        <f t="shared" ref="J11:J18" si="9">IFERROR(MATCH($J$4&amp;"|"&amp;$B11&amp;"|"&amp;"S1",D_KEY,0),0)</f>
        <v>0</v>
      </c>
      <c r="K11">
        <f t="shared" ref="K11:K18" si="10">IFERROR(MATCH($J$4&amp;"|"&amp;$B11&amp;"|"&amp;"S2",D_KEY,0),0)</f>
        <v>0</v>
      </c>
      <c r="L11" t="e">
        <f t="shared" ref="L11:L18" si="11">IF(D11="",NA(),D11)</f>
        <v>#N/A</v>
      </c>
      <c r="M11" t="e">
        <f t="shared" ref="M11:M18" si="12">IF(F11="",NA(),F11)</f>
        <v>#N/A</v>
      </c>
      <c r="N11" t="e">
        <f t="shared" ref="N11:N18" si="13">IF(E11="",NA(),E11)</f>
        <v>#N/A</v>
      </c>
      <c r="O11" t="e">
        <f t="shared" ref="O11:O18" si="14">IF(G11="",NA(),G11)</f>
        <v>#N/A</v>
      </c>
      <c r="P11">
        <f t="array" ref="P11">IFERROR(SMALL(IF((ISNUMBER($L$11:$L$18)+ISNUMBER($M$11:$M$18))&gt;0,ROW($L$11:$L$18)-10),1),1)</f>
        <v>1</v>
      </c>
      <c r="S11" t="str">
        <f t="shared" si="0"/>
        <v/>
      </c>
      <c r="T11" t="str">
        <f t="shared" si="1"/>
        <v/>
      </c>
    </row>
    <row r="12" spans="1:20" ht="15" customHeight="1" x14ac:dyDescent="0.3">
      <c r="B12" s="111" t="str">
        <f>INDEX(LISTE_ANNEES,2)</f>
        <v>2026-2027</v>
      </c>
      <c r="C12" s="66" t="str">
        <f t="shared" si="2"/>
        <v/>
      </c>
      <c r="D12" s="66" t="str">
        <f t="shared" si="3"/>
        <v/>
      </c>
      <c r="E12" s="66" t="str">
        <f t="shared" si="4"/>
        <v/>
      </c>
      <c r="F12" s="66" t="str">
        <f t="shared" si="5"/>
        <v/>
      </c>
      <c r="G12" s="66" t="str">
        <f t="shared" si="6"/>
        <v/>
      </c>
      <c r="H12" s="66" t="str">
        <f t="shared" si="7"/>
        <v>Non testé</v>
      </c>
      <c r="I12" s="42" t="str">
        <f t="shared" si="8"/>
        <v>Non réalisée</v>
      </c>
      <c r="J12">
        <f t="shared" si="9"/>
        <v>0</v>
      </c>
      <c r="K12">
        <f t="shared" si="10"/>
        <v>0</v>
      </c>
      <c r="L12" t="e">
        <f t="shared" si="11"/>
        <v>#N/A</v>
      </c>
      <c r="M12" t="e">
        <f t="shared" si="12"/>
        <v>#N/A</v>
      </c>
      <c r="N12" t="e">
        <f t="shared" si="13"/>
        <v>#N/A</v>
      </c>
      <c r="O12" t="e">
        <f t="shared" si="14"/>
        <v>#N/A</v>
      </c>
      <c r="P12">
        <f>MAX(1,SUMPRODUCT(--((ISNUMBER($L$11:$L$18)+ISNUMBER($M$11:$M$18))&gt;0)))</f>
        <v>1</v>
      </c>
      <c r="S12" t="str">
        <f t="shared" si="0"/>
        <v/>
      </c>
      <c r="T12" t="str">
        <f t="shared" si="1"/>
        <v/>
      </c>
    </row>
    <row r="13" spans="1:20" ht="15" customHeight="1" x14ac:dyDescent="0.3">
      <c r="B13" s="110" t="str">
        <f>INDEX(LISTE_ANNEES,3)</f>
        <v>2027-2028</v>
      </c>
      <c r="C13" s="63" t="str">
        <f t="shared" si="2"/>
        <v/>
      </c>
      <c r="D13" s="63" t="str">
        <f t="shared" si="3"/>
        <v/>
      </c>
      <c r="E13" s="63" t="str">
        <f t="shared" si="4"/>
        <v/>
      </c>
      <c r="F13" s="63" t="str">
        <f t="shared" si="5"/>
        <v/>
      </c>
      <c r="G13" s="63" t="str">
        <f t="shared" si="6"/>
        <v/>
      </c>
      <c r="H13" s="63" t="str">
        <f t="shared" si="7"/>
        <v>Non testé</v>
      </c>
      <c r="I13" s="42" t="str">
        <f t="shared" si="8"/>
        <v>Non réalisée</v>
      </c>
      <c r="J13">
        <f t="shared" si="9"/>
        <v>0</v>
      </c>
      <c r="K13">
        <f t="shared" si="10"/>
        <v>0</v>
      </c>
      <c r="L13" t="e">
        <f t="shared" si="11"/>
        <v>#N/A</v>
      </c>
      <c r="M13" t="e">
        <f t="shared" si="12"/>
        <v>#N/A</v>
      </c>
      <c r="N13" t="e">
        <f t="shared" si="13"/>
        <v>#N/A</v>
      </c>
      <c r="O13" t="e">
        <f t="shared" si="14"/>
        <v>#N/A</v>
      </c>
      <c r="S13" t="str">
        <f t="shared" si="0"/>
        <v/>
      </c>
      <c r="T13" t="str">
        <f t="shared" si="1"/>
        <v/>
      </c>
    </row>
    <row r="14" spans="1:20" ht="15" customHeight="1" x14ac:dyDescent="0.3">
      <c r="B14" s="111" t="str">
        <f>INDEX(LISTE_ANNEES,4)</f>
        <v>2028-2029</v>
      </c>
      <c r="C14" s="66" t="str">
        <f t="shared" si="2"/>
        <v/>
      </c>
      <c r="D14" s="66" t="str">
        <f t="shared" si="3"/>
        <v/>
      </c>
      <c r="E14" s="66" t="str">
        <f t="shared" si="4"/>
        <v/>
      </c>
      <c r="F14" s="66" t="str">
        <f t="shared" si="5"/>
        <v/>
      </c>
      <c r="G14" s="66" t="str">
        <f t="shared" si="6"/>
        <v/>
      </c>
      <c r="H14" s="66" t="str">
        <f t="shared" si="7"/>
        <v>Non testé</v>
      </c>
      <c r="I14" s="42" t="str">
        <f t="shared" si="8"/>
        <v>Non réalisée</v>
      </c>
      <c r="J14">
        <f t="shared" si="9"/>
        <v>0</v>
      </c>
      <c r="K14">
        <f t="shared" si="10"/>
        <v>0</v>
      </c>
      <c r="L14" t="e">
        <f t="shared" si="11"/>
        <v>#N/A</v>
      </c>
      <c r="M14" t="e">
        <f t="shared" si="12"/>
        <v>#N/A</v>
      </c>
      <c r="N14" t="e">
        <f t="shared" si="13"/>
        <v>#N/A</v>
      </c>
      <c r="O14" t="e">
        <f t="shared" si="14"/>
        <v>#N/A</v>
      </c>
      <c r="S14" t="str">
        <f t="shared" si="0"/>
        <v/>
      </c>
      <c r="T14" t="str">
        <f t="shared" si="1"/>
        <v/>
      </c>
    </row>
    <row r="15" spans="1:20" ht="15" customHeight="1" x14ac:dyDescent="0.3">
      <c r="B15" s="110" t="str">
        <f>INDEX(LISTE_ANNEES,5)</f>
        <v>2029-2030</v>
      </c>
      <c r="C15" s="63" t="str">
        <f t="shared" si="2"/>
        <v/>
      </c>
      <c r="D15" s="63" t="str">
        <f t="shared" si="3"/>
        <v/>
      </c>
      <c r="E15" s="63" t="str">
        <f t="shared" si="4"/>
        <v/>
      </c>
      <c r="F15" s="63" t="str">
        <f t="shared" si="5"/>
        <v/>
      </c>
      <c r="G15" s="63" t="str">
        <f t="shared" si="6"/>
        <v/>
      </c>
      <c r="H15" s="63" t="str">
        <f t="shared" si="7"/>
        <v>Non testé</v>
      </c>
      <c r="I15" s="42" t="str">
        <f t="shared" si="8"/>
        <v>Non réalisée</v>
      </c>
      <c r="J15">
        <f t="shared" si="9"/>
        <v>0</v>
      </c>
      <c r="K15">
        <f t="shared" si="10"/>
        <v>0</v>
      </c>
      <c r="L15" t="e">
        <f t="shared" si="11"/>
        <v>#N/A</v>
      </c>
      <c r="M15" t="e">
        <f t="shared" si="12"/>
        <v>#N/A</v>
      </c>
      <c r="N15" t="e">
        <f t="shared" si="13"/>
        <v>#N/A</v>
      </c>
      <c r="O15" t="e">
        <f t="shared" si="14"/>
        <v>#N/A</v>
      </c>
      <c r="S15" t="str">
        <f t="shared" si="0"/>
        <v/>
      </c>
      <c r="T15" t="str">
        <f t="shared" si="1"/>
        <v/>
      </c>
    </row>
    <row r="16" spans="1:20" ht="15" customHeight="1" x14ac:dyDescent="0.3">
      <c r="B16" s="111" t="str">
        <f>INDEX(LISTE_ANNEES,6)</f>
        <v>2030-2031</v>
      </c>
      <c r="C16" s="66" t="str">
        <f t="shared" si="2"/>
        <v/>
      </c>
      <c r="D16" s="66" t="str">
        <f t="shared" si="3"/>
        <v/>
      </c>
      <c r="E16" s="66" t="str">
        <f t="shared" si="4"/>
        <v/>
      </c>
      <c r="F16" s="66" t="str">
        <f t="shared" si="5"/>
        <v/>
      </c>
      <c r="G16" s="66" t="str">
        <f t="shared" si="6"/>
        <v/>
      </c>
      <c r="H16" s="66" t="str">
        <f t="shared" si="7"/>
        <v>Non testé</v>
      </c>
      <c r="I16" s="42" t="str">
        <f t="shared" si="8"/>
        <v>Non réalisée</v>
      </c>
      <c r="J16">
        <f t="shared" si="9"/>
        <v>0</v>
      </c>
      <c r="K16">
        <f t="shared" si="10"/>
        <v>0</v>
      </c>
      <c r="L16" t="e">
        <f t="shared" si="11"/>
        <v>#N/A</v>
      </c>
      <c r="M16" t="e">
        <f t="shared" si="12"/>
        <v>#N/A</v>
      </c>
      <c r="N16" t="e">
        <f t="shared" si="13"/>
        <v>#N/A</v>
      </c>
      <c r="O16" t="e">
        <f t="shared" si="14"/>
        <v>#N/A</v>
      </c>
      <c r="S16" t="str">
        <f t="shared" si="0"/>
        <v/>
      </c>
      <c r="T16" t="str">
        <f t="shared" si="1"/>
        <v/>
      </c>
    </row>
    <row r="17" spans="2:20" ht="15" customHeight="1" x14ac:dyDescent="0.3">
      <c r="B17" s="110" t="str">
        <f>INDEX(LISTE_ANNEES,7)</f>
        <v>2031-2032</v>
      </c>
      <c r="C17" s="63" t="str">
        <f t="shared" si="2"/>
        <v/>
      </c>
      <c r="D17" s="63" t="str">
        <f t="shared" si="3"/>
        <v/>
      </c>
      <c r="E17" s="63" t="str">
        <f t="shared" si="4"/>
        <v/>
      </c>
      <c r="F17" s="63" t="str">
        <f t="shared" si="5"/>
        <v/>
      </c>
      <c r="G17" s="63" t="str">
        <f t="shared" si="6"/>
        <v/>
      </c>
      <c r="H17" s="63" t="str">
        <f t="shared" si="7"/>
        <v>Non testé</v>
      </c>
      <c r="I17" s="42" t="str">
        <f t="shared" si="8"/>
        <v>Non réalisée</v>
      </c>
      <c r="J17">
        <f t="shared" si="9"/>
        <v>0</v>
      </c>
      <c r="K17">
        <f t="shared" si="10"/>
        <v>0</v>
      </c>
      <c r="L17" t="e">
        <f t="shared" si="11"/>
        <v>#N/A</v>
      </c>
      <c r="M17" t="e">
        <f t="shared" si="12"/>
        <v>#N/A</v>
      </c>
      <c r="N17" t="e">
        <f t="shared" si="13"/>
        <v>#N/A</v>
      </c>
      <c r="O17" t="e">
        <f t="shared" si="14"/>
        <v>#N/A</v>
      </c>
      <c r="S17" t="str">
        <f t="shared" si="0"/>
        <v/>
      </c>
      <c r="T17" t="str">
        <f t="shared" si="1"/>
        <v/>
      </c>
    </row>
    <row r="18" spans="2:20" ht="15" customHeight="1" x14ac:dyDescent="0.3">
      <c r="B18" s="111" t="str">
        <f>INDEX(LISTE_ANNEES,8)</f>
        <v>2032-2033</v>
      </c>
      <c r="C18" s="66" t="str">
        <f t="shared" si="2"/>
        <v/>
      </c>
      <c r="D18" s="66" t="str">
        <f t="shared" si="3"/>
        <v/>
      </c>
      <c r="E18" s="66" t="str">
        <f t="shared" si="4"/>
        <v/>
      </c>
      <c r="F18" s="66" t="str">
        <f t="shared" si="5"/>
        <v/>
      </c>
      <c r="G18" s="66" t="str">
        <f t="shared" si="6"/>
        <v/>
      </c>
      <c r="H18" s="66" t="str">
        <f t="shared" si="7"/>
        <v>Non testé</v>
      </c>
      <c r="I18" s="42" t="str">
        <f t="shared" si="8"/>
        <v>Non réalisée</v>
      </c>
      <c r="J18">
        <f t="shared" si="9"/>
        <v>0</v>
      </c>
      <c r="K18">
        <f t="shared" si="10"/>
        <v>0</v>
      </c>
      <c r="L18" t="e">
        <f t="shared" si="11"/>
        <v>#N/A</v>
      </c>
      <c r="M18" t="e">
        <f t="shared" si="12"/>
        <v>#N/A</v>
      </c>
      <c r="N18" t="e">
        <f t="shared" si="13"/>
        <v>#N/A</v>
      </c>
      <c r="O18" t="e">
        <f t="shared" si="14"/>
        <v>#N/A</v>
      </c>
      <c r="S18" t="str">
        <f t="shared" si="0"/>
        <v/>
      </c>
      <c r="T18" t="str">
        <f t="shared" si="1"/>
        <v/>
      </c>
    </row>
    <row r="19" spans="2:20" ht="14.25" customHeight="1" x14ac:dyDescent="0.3">
      <c r="S19" t="str">
        <f t="shared" si="0"/>
        <v/>
      </c>
      <c r="T19" t="str">
        <f t="shared" si="1"/>
        <v/>
      </c>
    </row>
    <row r="20" spans="2:20" ht="14.25" customHeight="1" x14ac:dyDescent="0.3">
      <c r="S20" t="str">
        <f t="shared" si="0"/>
        <v/>
      </c>
      <c r="T20" t="str">
        <f t="shared" si="1"/>
        <v/>
      </c>
    </row>
    <row r="21" spans="2:20" ht="14.25" customHeight="1" x14ac:dyDescent="0.3">
      <c r="S21" t="str">
        <f t="shared" si="0"/>
        <v/>
      </c>
      <c r="T21" t="str">
        <f t="shared" si="1"/>
        <v/>
      </c>
    </row>
    <row r="22" spans="2:20" ht="14.25" customHeight="1" x14ac:dyDescent="0.3">
      <c r="S22" t="str">
        <f t="shared" si="0"/>
        <v/>
      </c>
      <c r="T22" t="str">
        <f t="shared" si="1"/>
        <v/>
      </c>
    </row>
    <row r="23" spans="2:20" ht="14.25" customHeight="1" x14ac:dyDescent="0.3">
      <c r="S23" t="str">
        <f t="shared" si="0"/>
        <v/>
      </c>
      <c r="T23" t="str">
        <f t="shared" si="1"/>
        <v/>
      </c>
    </row>
    <row r="24" spans="2:20" ht="14.25" customHeight="1" x14ac:dyDescent="0.3">
      <c r="S24" t="str">
        <f t="shared" si="0"/>
        <v/>
      </c>
      <c r="T24" t="str">
        <f t="shared" si="1"/>
        <v/>
      </c>
    </row>
    <row r="25" spans="2:20" ht="14.25" customHeight="1" x14ac:dyDescent="0.3">
      <c r="S25" t="str">
        <f t="shared" si="0"/>
        <v/>
      </c>
      <c r="T25" t="str">
        <f t="shared" si="1"/>
        <v/>
      </c>
    </row>
    <row r="26" spans="2:20" ht="14.25" customHeight="1" x14ac:dyDescent="0.3">
      <c r="S26" t="str">
        <f t="shared" si="0"/>
        <v/>
      </c>
      <c r="T26" t="str">
        <f t="shared" si="1"/>
        <v/>
      </c>
    </row>
    <row r="27" spans="2:20" ht="14.25" customHeight="1" x14ac:dyDescent="0.3">
      <c r="S27" t="str">
        <f t="shared" si="0"/>
        <v/>
      </c>
      <c r="T27" t="str">
        <f t="shared" si="1"/>
        <v/>
      </c>
    </row>
    <row r="28" spans="2:20" ht="14.25" customHeight="1" x14ac:dyDescent="0.3">
      <c r="S28" t="str">
        <f t="shared" si="0"/>
        <v/>
      </c>
      <c r="T28" t="str">
        <f t="shared" si="1"/>
        <v/>
      </c>
    </row>
    <row r="29" spans="2:20" ht="14.25" customHeight="1" x14ac:dyDescent="0.3">
      <c r="S29" t="str">
        <f t="shared" si="0"/>
        <v/>
      </c>
      <c r="T29" t="str">
        <f t="shared" si="1"/>
        <v/>
      </c>
    </row>
    <row r="30" spans="2:20" ht="14.25" customHeight="1" x14ac:dyDescent="0.3">
      <c r="S30" t="str">
        <f t="shared" si="0"/>
        <v/>
      </c>
      <c r="T30" t="str">
        <f t="shared" si="1"/>
        <v/>
      </c>
    </row>
    <row r="31" spans="2:20" ht="14.25" customHeight="1" x14ac:dyDescent="0.3">
      <c r="S31" t="str">
        <f t="shared" si="0"/>
        <v/>
      </c>
      <c r="T31" t="str">
        <f t="shared" si="1"/>
        <v/>
      </c>
    </row>
    <row r="32" spans="2:20" ht="14.25" customHeight="1" x14ac:dyDescent="0.3">
      <c r="S32" t="str">
        <f t="shared" si="0"/>
        <v/>
      </c>
      <c r="T32" t="str">
        <f t="shared" si="1"/>
        <v/>
      </c>
    </row>
    <row r="33" spans="19:20" ht="14.25" customHeight="1" x14ac:dyDescent="0.3">
      <c r="S33" t="str">
        <f t="shared" si="0"/>
        <v/>
      </c>
      <c r="T33" t="str">
        <f t="shared" si="1"/>
        <v/>
      </c>
    </row>
    <row r="34" spans="19:20" ht="14.25" customHeight="1" x14ac:dyDescent="0.3">
      <c r="S34" t="str">
        <f t="shared" si="0"/>
        <v/>
      </c>
      <c r="T34" t="str">
        <f t="shared" si="1"/>
        <v/>
      </c>
    </row>
    <row r="35" spans="19:20" ht="14.25" customHeight="1" x14ac:dyDescent="0.3">
      <c r="S35" t="str">
        <f t="shared" si="0"/>
        <v/>
      </c>
      <c r="T35" t="str">
        <f t="shared" si="1"/>
        <v/>
      </c>
    </row>
    <row r="36" spans="19:20" ht="14.25" customHeight="1" x14ac:dyDescent="0.3">
      <c r="S36" t="str">
        <f t="shared" si="0"/>
        <v/>
      </c>
      <c r="T36" t="str">
        <f t="shared" si="1"/>
        <v/>
      </c>
    </row>
    <row r="37" spans="19:20" ht="14.25" customHeight="1" x14ac:dyDescent="0.3">
      <c r="S37" t="str">
        <f t="shared" si="0"/>
        <v/>
      </c>
      <c r="T37" t="str">
        <f t="shared" si="1"/>
        <v/>
      </c>
    </row>
    <row r="38" spans="19:20" ht="14.25" customHeight="1" x14ac:dyDescent="0.3">
      <c r="S38" t="str">
        <f t="shared" si="0"/>
        <v/>
      </c>
      <c r="T38" t="str">
        <f t="shared" si="1"/>
        <v/>
      </c>
    </row>
    <row r="39" spans="19:20" ht="14.25" customHeight="1" x14ac:dyDescent="0.3">
      <c r="S39" t="str">
        <f t="shared" si="0"/>
        <v/>
      </c>
      <c r="T39" t="str">
        <f t="shared" si="1"/>
        <v/>
      </c>
    </row>
    <row r="40" spans="19:20" ht="14.25" customHeight="1" x14ac:dyDescent="0.3">
      <c r="S40" t="str">
        <f t="shared" si="0"/>
        <v/>
      </c>
      <c r="T40" t="str">
        <f t="shared" si="1"/>
        <v/>
      </c>
    </row>
    <row r="41" spans="19:20" ht="14.25" customHeight="1" x14ac:dyDescent="0.3">
      <c r="S41" t="str">
        <f t="shared" si="0"/>
        <v/>
      </c>
      <c r="T41" t="str">
        <f t="shared" si="1"/>
        <v/>
      </c>
    </row>
    <row r="42" spans="19:20" ht="14.25" customHeight="1" x14ac:dyDescent="0.3">
      <c r="S42" t="str">
        <f t="shared" si="0"/>
        <v/>
      </c>
      <c r="T42" t="str">
        <f t="shared" si="1"/>
        <v/>
      </c>
    </row>
    <row r="43" spans="19:20" ht="14.25" customHeight="1" x14ac:dyDescent="0.3">
      <c r="S43" t="str">
        <f t="shared" si="0"/>
        <v/>
      </c>
      <c r="T43" t="str">
        <f t="shared" si="1"/>
        <v/>
      </c>
    </row>
    <row r="44" spans="19:20" ht="14.25" customHeight="1" x14ac:dyDescent="0.3">
      <c r="S44" t="str">
        <f t="shared" si="0"/>
        <v/>
      </c>
      <c r="T44" t="str">
        <f t="shared" si="1"/>
        <v/>
      </c>
    </row>
    <row r="45" spans="19:20" ht="14.25" customHeight="1" x14ac:dyDescent="0.3">
      <c r="S45" t="str">
        <f t="shared" si="0"/>
        <v/>
      </c>
      <c r="T45" t="str">
        <f t="shared" si="1"/>
        <v/>
      </c>
    </row>
    <row r="46" spans="19:20" ht="14.25" customHeight="1" x14ac:dyDescent="0.3">
      <c r="S46" t="str">
        <f t="shared" si="0"/>
        <v/>
      </c>
      <c r="T46" t="str">
        <f t="shared" si="1"/>
        <v/>
      </c>
    </row>
    <row r="47" spans="19:20" ht="14.25" customHeight="1" x14ac:dyDescent="0.3">
      <c r="S47" t="str">
        <f t="shared" si="0"/>
        <v/>
      </c>
      <c r="T47" t="str">
        <f t="shared" si="1"/>
        <v/>
      </c>
    </row>
    <row r="48" spans="19:20" ht="14.25" customHeight="1" x14ac:dyDescent="0.3">
      <c r="S48" t="str">
        <f t="shared" si="0"/>
        <v/>
      </c>
      <c r="T48" t="str">
        <f t="shared" si="1"/>
        <v/>
      </c>
    </row>
    <row r="49" spans="1:20" ht="14.25" customHeight="1" x14ac:dyDescent="0.3">
      <c r="S49" t="str">
        <f t="shared" si="0"/>
        <v/>
      </c>
      <c r="T49" t="str">
        <f t="shared" si="1"/>
        <v/>
      </c>
    </row>
    <row r="50" spans="1:20" ht="14.25" customHeight="1" x14ac:dyDescent="0.3">
      <c r="S50" t="str">
        <f t="shared" si="0"/>
        <v/>
      </c>
      <c r="T50" t="str">
        <f t="shared" si="1"/>
        <v/>
      </c>
    </row>
    <row r="51" spans="1:20" ht="14.25" customHeight="1" x14ac:dyDescent="0.3">
      <c r="S51" t="str">
        <f t="shared" si="0"/>
        <v/>
      </c>
      <c r="T51" t="str">
        <f t="shared" si="1"/>
        <v/>
      </c>
    </row>
    <row r="52" spans="1:20" ht="14.25" customHeight="1" x14ac:dyDescent="0.3">
      <c r="S52" t="str">
        <f t="shared" si="0"/>
        <v/>
      </c>
      <c r="T52" t="str">
        <f t="shared" si="1"/>
        <v/>
      </c>
    </row>
    <row r="53" spans="1:20" ht="14.25" customHeight="1" x14ac:dyDescent="0.3">
      <c r="S53" t="str">
        <f t="shared" si="0"/>
        <v/>
      </c>
      <c r="T53" t="str">
        <f t="shared" si="1"/>
        <v/>
      </c>
    </row>
    <row r="54" spans="1:20" ht="14.25" customHeight="1" x14ac:dyDescent="0.3">
      <c r="S54" t="str">
        <f t="shared" si="0"/>
        <v/>
      </c>
      <c r="T54" t="str">
        <f t="shared" si="1"/>
        <v/>
      </c>
    </row>
    <row r="55" spans="1:20" ht="14.25" customHeight="1" x14ac:dyDescent="0.3">
      <c r="S55" t="str">
        <f t="shared" si="0"/>
        <v/>
      </c>
      <c r="T55" t="str">
        <f t="shared" si="1"/>
        <v/>
      </c>
    </row>
    <row r="56" spans="1:20" ht="14.25" customHeight="1" x14ac:dyDescent="0.3">
      <c r="S56" t="str">
        <f t="shared" si="0"/>
        <v/>
      </c>
      <c r="T56" t="str">
        <f t="shared" si="1"/>
        <v/>
      </c>
    </row>
    <row r="57" spans="1:20" ht="14.25" customHeight="1" x14ac:dyDescent="0.3">
      <c r="S57" t="str">
        <f t="shared" si="0"/>
        <v/>
      </c>
      <c r="T57" t="str">
        <f t="shared" si="1"/>
        <v/>
      </c>
    </row>
    <row r="58" spans="1:20" ht="21.75" customHeight="1" x14ac:dyDescent="0.3">
      <c r="A58" s="228" t="s">
        <v>258</v>
      </c>
      <c r="B58" s="228"/>
      <c r="C58" s="228"/>
      <c r="D58" s="228"/>
      <c r="E58" s="228"/>
      <c r="F58" s="228"/>
      <c r="G58" s="228"/>
      <c r="H58" s="228"/>
      <c r="I58" s="228"/>
      <c r="S58" t="str">
        <f t="shared" si="0"/>
        <v/>
      </c>
      <c r="T58" t="str">
        <f t="shared" si="1"/>
        <v/>
      </c>
    </row>
    <row r="59" spans="1:20" ht="15" customHeight="1" x14ac:dyDescent="0.3">
      <c r="A59" s="354" t="s">
        <v>259</v>
      </c>
      <c r="B59" s="354"/>
      <c r="C59" s="354"/>
      <c r="D59" s="354"/>
      <c r="E59" s="354"/>
      <c r="F59" s="354"/>
      <c r="G59" s="354"/>
      <c r="H59" s="354"/>
      <c r="I59" s="354"/>
      <c r="S59" t="str">
        <f t="shared" si="0"/>
        <v/>
      </c>
      <c r="T59" t="str">
        <f t="shared" si="1"/>
        <v/>
      </c>
    </row>
    <row r="60" spans="1:20" ht="15.75" customHeight="1" x14ac:dyDescent="0.3">
      <c r="B60" s="56" t="s">
        <v>246</v>
      </c>
      <c r="C60" s="56" t="s">
        <v>257</v>
      </c>
      <c r="D60" s="56" t="s">
        <v>44</v>
      </c>
      <c r="E60" s="56" t="s">
        <v>180</v>
      </c>
      <c r="F60" s="56" t="s">
        <v>181</v>
      </c>
      <c r="G60" s="56" t="s">
        <v>182</v>
      </c>
      <c r="H60" s="56" t="s">
        <v>183</v>
      </c>
      <c r="I60" s="56" t="s">
        <v>165</v>
      </c>
      <c r="L60" s="56" t="s">
        <v>184</v>
      </c>
      <c r="S60" t="str">
        <f t="shared" si="0"/>
        <v/>
      </c>
      <c r="T60" t="str">
        <f t="shared" si="1"/>
        <v/>
      </c>
    </row>
    <row r="61" spans="1:20" ht="14.25" customHeight="1" x14ac:dyDescent="0.3">
      <c r="B61" s="355" t="str">
        <f>INDEX(LISTE_ANNEES,1)</f>
        <v>2025-2026</v>
      </c>
      <c r="C61" s="356" t="str">
        <f>IF(AND($J$61=0,$K$61=0),"",IF($J$61&lt;&gt;0,INDEX(D_NIVEAU,$J$61),INDEX(D_NIVEAU,$K$61)))</f>
        <v/>
      </c>
      <c r="D61" s="213" t="s">
        <v>2</v>
      </c>
      <c r="E61" s="63" t="str">
        <f>IF($J$61=0,"",INDEX(D_EQ_PERF,$J$61))</f>
        <v/>
      </c>
      <c r="F61" s="63" t="str">
        <f>IF($J$61=0,"",INDEX(D_EQ_NIV,$J$61))</f>
        <v/>
      </c>
      <c r="G61" s="63" t="str">
        <f>IF($K$61=0,"",INDEX(D_EQ_PERF,$K$61))</f>
        <v/>
      </c>
      <c r="H61" s="63" t="str">
        <f>IF($K$61=0,"",INDEX(D_EQ_NIV,$K$61))</f>
        <v/>
      </c>
      <c r="I61" s="63" t="str">
        <f t="shared" ref="I61:I92" si="15">IF(OR(F61="",H61=""),"Non testé",IF(H61-F61&gt;0,"▲ +"&amp;(H61-F61),IF(H61-F61&lt;0,"▼ "&amp;(H61-F61),"➜ stable")))</f>
        <v>Non testé</v>
      </c>
      <c r="J61">
        <f>IFERROR(MATCH($J$4&amp;"|"&amp;$B$61&amp;"|"&amp;"S1",D_KEY,0),0)</f>
        <v>0</v>
      </c>
      <c r="K61">
        <f>IFERROR(MATCH($J$4&amp;"|"&amp;$B$61&amp;"|"&amp;"S2",D_KEY,0),0)</f>
        <v>0</v>
      </c>
      <c r="L61" s="116" t="str">
        <f>IFERROR(ROUND(AVERAGEIFS(D_EQ_NIV,D_ANNEE,B61,D_NIVEAU,C61,D_EQ_NIV,"&gt;0"),1),"Non réalisée")</f>
        <v>Non réalisée</v>
      </c>
      <c r="S61" t="str">
        <f t="shared" si="0"/>
        <v/>
      </c>
      <c r="T61" t="str">
        <f t="shared" si="1"/>
        <v/>
      </c>
    </row>
    <row r="62" spans="1:20" ht="14.25" customHeight="1" x14ac:dyDescent="0.3">
      <c r="B62" s="355"/>
      <c r="C62" s="355"/>
      <c r="D62" s="115" t="s">
        <v>3</v>
      </c>
      <c r="E62" s="63" t="str">
        <f>IF($J$61=0,"",INDEX(D_SO_PERF,$J$61))</f>
        <v/>
      </c>
      <c r="F62" s="63" t="str">
        <f>IF($J$61=0,"",INDEX(D_SO_NIV,$J$61))</f>
        <v/>
      </c>
      <c r="G62" s="63" t="str">
        <f>IF($K$61=0,"",INDEX(D_SO_PERF,$K$61))</f>
        <v/>
      </c>
      <c r="H62" s="63" t="str">
        <f>IF($K$61=0,"",INDEX(D_SO_NIV,$K$61))</f>
        <v/>
      </c>
      <c r="I62" s="63" t="str">
        <f t="shared" si="15"/>
        <v>Non testé</v>
      </c>
      <c r="L62" s="116" t="str">
        <f>IFERROR(ROUND(AVERAGEIFS(D_SO_NIV,D_ANNEE,B61,D_NIVEAU,C61,D_SO_NIV,"&gt;0"),1),"Non réalisée")</f>
        <v>Non réalisée</v>
      </c>
      <c r="S62" t="str">
        <f t="shared" si="0"/>
        <v/>
      </c>
      <c r="T62" t="str">
        <f t="shared" si="1"/>
        <v/>
      </c>
    </row>
    <row r="63" spans="1:20" ht="14.25" customHeight="1" x14ac:dyDescent="0.3">
      <c r="B63" s="355"/>
      <c r="C63" s="355"/>
      <c r="D63" s="115" t="s">
        <v>4</v>
      </c>
      <c r="E63" s="63" t="str">
        <f>IF($J$61=0,"",INDEX(D_VI_PERF,$J$61))</f>
        <v/>
      </c>
      <c r="F63" s="63" t="str">
        <f>IF($J$61=0,"",INDEX(D_VI_NIV,$J$61))</f>
        <v/>
      </c>
      <c r="G63" s="63" t="str">
        <f>IF($K$61=0,"",INDEX(D_VI_PERF,$K$61))</f>
        <v/>
      </c>
      <c r="H63" s="63" t="str">
        <f>IF($K$61=0,"",INDEX(D_VI_NIV,$K$61))</f>
        <v/>
      </c>
      <c r="I63" s="63" t="str">
        <f t="shared" si="15"/>
        <v>Non testé</v>
      </c>
      <c r="L63" s="116" t="str">
        <f>IFERROR(ROUND(AVERAGEIFS(D_VI_NIV,D_ANNEE,B61,D_NIVEAU,C61,D_VI_NIV,"&gt;0"),1),"Non réalisée")</f>
        <v>Non réalisée</v>
      </c>
      <c r="S63" t="str">
        <f t="shared" si="0"/>
        <v/>
      </c>
      <c r="T63" t="str">
        <f t="shared" si="1"/>
        <v/>
      </c>
    </row>
    <row r="64" spans="1:20" ht="14.25" customHeight="1" x14ac:dyDescent="0.3">
      <c r="B64" s="355"/>
      <c r="C64" s="355"/>
      <c r="D64" s="115" t="s">
        <v>5</v>
      </c>
      <c r="E64" s="63" t="str">
        <f>IF($J$61=0,"",INDEX(D_EN_PERF,$J$61))</f>
        <v/>
      </c>
      <c r="F64" s="63" t="str">
        <f>IF($J$61=0,"",INDEX(D_EN_NIV,$J$61))</f>
        <v/>
      </c>
      <c r="G64" s="63" t="str">
        <f>IF($K$61=0,"",INDEX(D_EN_PERF,$K$61))</f>
        <v/>
      </c>
      <c r="H64" s="63" t="str">
        <f>IF($K$61=0,"",INDEX(D_EN_NIV,$K$61))</f>
        <v/>
      </c>
      <c r="I64" s="63" t="str">
        <f t="shared" si="15"/>
        <v>Non testé</v>
      </c>
      <c r="L64" s="116" t="str">
        <f>IFERROR(ROUND(AVERAGEIFS(D_EN_NIV,D_ANNEE,B61,D_NIVEAU,C61,D_EN_NIV,"&gt;0"),1),"Non réalisée")</f>
        <v>Non réalisée</v>
      </c>
      <c r="S64" t="str">
        <f t="shared" si="0"/>
        <v/>
      </c>
      <c r="T64" t="str">
        <f t="shared" si="1"/>
        <v/>
      </c>
    </row>
    <row r="65" spans="2:20" ht="14.25" customHeight="1" x14ac:dyDescent="0.3">
      <c r="B65" s="355"/>
      <c r="C65" s="355"/>
      <c r="D65" s="115" t="s">
        <v>6</v>
      </c>
      <c r="E65" s="63" t="str">
        <f>IF($J$61=0,"",INDEX(D_CO_PERF,$J$61))</f>
        <v/>
      </c>
      <c r="F65" s="63" t="str">
        <f>IF($J$61=0,"",INDEX(D_CO_NIV,$J$61))</f>
        <v/>
      </c>
      <c r="G65" s="63" t="str">
        <f>IF($K$61=0,"",INDEX(D_CO_PERF,$K$61))</f>
        <v/>
      </c>
      <c r="H65" s="63" t="str">
        <f>IF($K$61=0,"",INDEX(D_CO_NIV,$K$61))</f>
        <v/>
      </c>
      <c r="I65" s="63" t="str">
        <f t="shared" si="15"/>
        <v>Non testé</v>
      </c>
      <c r="L65" s="116" t="str">
        <f>IFERROR(ROUND(AVERAGEIFS(D_CO_NIV,D_ANNEE,B61,D_NIVEAU,C61,D_CO_NIV,"&gt;0"),1),"Non réalisée")</f>
        <v>Non réalisée</v>
      </c>
      <c r="S65" t="str">
        <f t="shared" si="0"/>
        <v/>
      </c>
      <c r="T65" t="str">
        <f t="shared" si="1"/>
        <v/>
      </c>
    </row>
    <row r="66" spans="2:20" ht="14.25" customHeight="1" x14ac:dyDescent="0.3">
      <c r="B66" s="355"/>
      <c r="C66" s="355"/>
      <c r="D66" s="115" t="s">
        <v>7</v>
      </c>
      <c r="E66" s="63" t="str">
        <f>IF($J$61=0,"",INDEX(D_GA_PERF,$J$61))</f>
        <v/>
      </c>
      <c r="F66" s="63" t="str">
        <f>IF($J$61=0,"",INDEX(D_GA_NIV,$J$61))</f>
        <v/>
      </c>
      <c r="G66" s="63" t="str">
        <f>IF($K$61=0,"",INDEX(D_GA_PERF,$K$61))</f>
        <v/>
      </c>
      <c r="H66" s="63" t="str">
        <f>IF($K$61=0,"",INDEX(D_GA_NIV,$K$61))</f>
        <v/>
      </c>
      <c r="I66" s="63" t="str">
        <f t="shared" si="15"/>
        <v>Non testé</v>
      </c>
      <c r="L66" s="116" t="str">
        <f>IFERROR(ROUND(AVERAGEIFS(D_GA_NIV,D_ANNEE,B61,D_NIVEAU,C61,D_GA_NIV,"&gt;0"),1),"Non réalisée")</f>
        <v>Non réalisée</v>
      </c>
      <c r="S66" t="str">
        <f t="shared" ref="S66:S129" si="16">IFERROR(INDEX(D_IDUNIQUE,MATCH(ROW()-1,D_RANG_SUIVI,0)),"")</f>
        <v/>
      </c>
      <c r="T66" t="str">
        <f t="shared" ref="T66:T129" si="17">IF($S66="","",UPPER(INDEX(D_NOM,MATCH($S66,D_ID,0)))&amp;" "&amp;INDEX(D_PRENOM,MATCH($S66,D_ID,0))&amp;" — "&amp;INDEX(D_NIVEAU_ACTUEL,MATCH($S66,D_ID,0)))</f>
        <v/>
      </c>
    </row>
    <row r="67" spans="2:20" ht="14.25" customHeight="1" x14ac:dyDescent="0.3">
      <c r="B67" s="355"/>
      <c r="C67" s="355"/>
      <c r="D67" s="115" t="s">
        <v>8</v>
      </c>
      <c r="E67" s="63" t="str">
        <f>IF($J$61=0,"",INDEX(D_AD_PERF,$J$61))</f>
        <v/>
      </c>
      <c r="F67" s="63" t="str">
        <f>IF($J$61=0,"",INDEX(D_AD_NIV,$J$61))</f>
        <v/>
      </c>
      <c r="G67" s="63" t="str">
        <f>IF($K$61=0,"",INDEX(D_AD_PERF,$K$61))</f>
        <v/>
      </c>
      <c r="H67" s="63" t="str">
        <f>IF($K$61=0,"",INDEX(D_AD_NIV,$K$61))</f>
        <v/>
      </c>
      <c r="I67" s="63" t="str">
        <f t="shared" si="15"/>
        <v>Non testé</v>
      </c>
      <c r="L67" s="116" t="str">
        <f>IFERROR(ROUND(AVERAGEIFS(D_AD_NIV,D_ANNEE,B61,D_NIVEAU,C61,D_AD_NIV,"&gt;0"),1),"Non réalisée")</f>
        <v>Non réalisée</v>
      </c>
      <c r="S67" t="str">
        <f t="shared" si="16"/>
        <v/>
      </c>
      <c r="T67" t="str">
        <f t="shared" si="17"/>
        <v/>
      </c>
    </row>
    <row r="68" spans="2:20" ht="14.25" customHeight="1" x14ac:dyDescent="0.3">
      <c r="B68" s="355"/>
      <c r="C68" s="355"/>
      <c r="D68" s="115" t="s">
        <v>9</v>
      </c>
      <c r="E68" s="63" t="str">
        <f>IF($J$61=0,"",INDEX(D_FO_PERF,$J$61))</f>
        <v/>
      </c>
      <c r="F68" s="63" t="str">
        <f>IF($J$61=0,"",INDEX(D_FO_NIV,$J$61))</f>
        <v/>
      </c>
      <c r="G68" s="63" t="str">
        <f>IF($K$61=0,"",INDEX(D_FO_PERF,$K$61))</f>
        <v/>
      </c>
      <c r="H68" s="63" t="str">
        <f>IF($K$61=0,"",INDEX(D_FO_NIV,$K$61))</f>
        <v/>
      </c>
      <c r="I68" s="63" t="str">
        <f t="shared" si="15"/>
        <v>Non testé</v>
      </c>
      <c r="L68" s="116" t="str">
        <f>IFERROR(ROUND(AVERAGEIFS(D_FO_NIV,D_ANNEE,B61,D_NIVEAU,C61,D_FO_NIV,"&gt;0"),1),"Non réalisée")</f>
        <v>Non réalisée</v>
      </c>
      <c r="S68" t="str">
        <f t="shared" si="16"/>
        <v/>
      </c>
      <c r="T68" t="str">
        <f t="shared" si="17"/>
        <v/>
      </c>
    </row>
    <row r="69" spans="2:20" ht="14.25" customHeight="1" x14ac:dyDescent="0.3">
      <c r="B69" s="357" t="str">
        <f>INDEX(LISTE_ANNEES,2)</f>
        <v>2026-2027</v>
      </c>
      <c r="C69" s="358" t="str">
        <f>IF(AND($J$69=0,$K$69=0),"",IF($J$69&lt;&gt;0,INDEX(D_NIVEAU,$J$69),INDEX(D_NIVEAU,$K$69)))</f>
        <v/>
      </c>
      <c r="D69" s="213" t="s">
        <v>2</v>
      </c>
      <c r="E69" s="66" t="str">
        <f>IF($J$69=0,"",INDEX(D_EQ_PERF,$J$69))</f>
        <v/>
      </c>
      <c r="F69" s="66" t="str">
        <f>IF($J$69=0,"",INDEX(D_EQ_NIV,$J$69))</f>
        <v/>
      </c>
      <c r="G69" s="66" t="str">
        <f>IF($K$69=0,"",INDEX(D_EQ_PERF,$K$69))</f>
        <v/>
      </c>
      <c r="H69" s="66" t="str">
        <f>IF($K$69=0,"",INDEX(D_EQ_NIV,$K$69))</f>
        <v/>
      </c>
      <c r="I69" s="66" t="str">
        <f t="shared" si="15"/>
        <v>Non testé</v>
      </c>
      <c r="J69">
        <f>IFERROR(MATCH($J$4&amp;"|"&amp;$B$69&amp;"|"&amp;"S1",D_KEY,0),0)</f>
        <v>0</v>
      </c>
      <c r="K69">
        <f>IFERROR(MATCH($J$4&amp;"|"&amp;$B$69&amp;"|"&amp;"S2",D_KEY,0),0)</f>
        <v>0</v>
      </c>
      <c r="L69" s="116" t="str">
        <f>IFERROR(ROUND(AVERAGEIFS(D_EQ_NIV,D_ANNEE,B69,D_NIVEAU,C69,D_EQ_NIV,"&gt;0"),1),"Non réalisée")</f>
        <v>Non réalisée</v>
      </c>
      <c r="S69" t="str">
        <f t="shared" si="16"/>
        <v/>
      </c>
      <c r="T69" t="str">
        <f t="shared" si="17"/>
        <v/>
      </c>
    </row>
    <row r="70" spans="2:20" ht="14.25" customHeight="1" x14ac:dyDescent="0.3">
      <c r="B70" s="357"/>
      <c r="C70" s="357"/>
      <c r="D70" s="119" t="s">
        <v>3</v>
      </c>
      <c r="E70" s="66" t="str">
        <f>IF($J$69=0,"",INDEX(D_SO_PERF,$J$69))</f>
        <v/>
      </c>
      <c r="F70" s="66" t="str">
        <f>IF($J$69=0,"",INDEX(D_SO_NIV,$J$69))</f>
        <v/>
      </c>
      <c r="G70" s="66" t="str">
        <f>IF($K$69=0,"",INDEX(D_SO_PERF,$K$69))</f>
        <v/>
      </c>
      <c r="H70" s="66" t="str">
        <f>IF($K$69=0,"",INDEX(D_SO_NIV,$K$69))</f>
        <v/>
      </c>
      <c r="I70" s="66" t="str">
        <f t="shared" si="15"/>
        <v>Non testé</v>
      </c>
      <c r="L70" s="116" t="str">
        <f>IFERROR(ROUND(AVERAGEIFS(D_SO_NIV,D_ANNEE,B69,D_NIVEAU,C69,D_SO_NIV,"&gt;0"),1),"Non réalisée")</f>
        <v>Non réalisée</v>
      </c>
      <c r="S70" t="str">
        <f t="shared" si="16"/>
        <v/>
      </c>
      <c r="T70" t="str">
        <f t="shared" si="17"/>
        <v/>
      </c>
    </row>
    <row r="71" spans="2:20" ht="14.25" customHeight="1" x14ac:dyDescent="0.3">
      <c r="B71" s="357"/>
      <c r="C71" s="357"/>
      <c r="D71" s="119" t="s">
        <v>4</v>
      </c>
      <c r="E71" s="66" t="str">
        <f>IF($J$69=0,"",INDEX(D_VI_PERF,$J$69))</f>
        <v/>
      </c>
      <c r="F71" s="66" t="str">
        <f>IF($J$69=0,"",INDEX(D_VI_NIV,$J$69))</f>
        <v/>
      </c>
      <c r="G71" s="66" t="str">
        <f>IF($K$69=0,"",INDEX(D_VI_PERF,$K$69))</f>
        <v/>
      </c>
      <c r="H71" s="66" t="str">
        <f>IF($K$69=0,"",INDEX(D_VI_NIV,$K$69))</f>
        <v/>
      </c>
      <c r="I71" s="66" t="str">
        <f t="shared" si="15"/>
        <v>Non testé</v>
      </c>
      <c r="L71" s="116" t="str">
        <f>IFERROR(ROUND(AVERAGEIFS(D_VI_NIV,D_ANNEE,B69,D_NIVEAU,C69,D_VI_NIV,"&gt;0"),1),"Non réalisée")</f>
        <v>Non réalisée</v>
      </c>
      <c r="S71" t="str">
        <f t="shared" si="16"/>
        <v/>
      </c>
      <c r="T71" t="str">
        <f t="shared" si="17"/>
        <v/>
      </c>
    </row>
    <row r="72" spans="2:20" ht="14.25" customHeight="1" x14ac:dyDescent="0.3">
      <c r="B72" s="357"/>
      <c r="C72" s="357"/>
      <c r="D72" s="119" t="s">
        <v>5</v>
      </c>
      <c r="E72" s="66" t="str">
        <f>IF($J$69=0,"",INDEX(D_EN_PERF,$J$69))</f>
        <v/>
      </c>
      <c r="F72" s="66" t="str">
        <f>IF($J$69=0,"",INDEX(D_EN_NIV,$J$69))</f>
        <v/>
      </c>
      <c r="G72" s="66" t="str">
        <f>IF($K$69=0,"",INDEX(D_EN_PERF,$K$69))</f>
        <v/>
      </c>
      <c r="H72" s="66" t="str">
        <f>IF($K$69=0,"",INDEX(D_EN_NIV,$K$69))</f>
        <v/>
      </c>
      <c r="I72" s="66" t="str">
        <f t="shared" si="15"/>
        <v>Non testé</v>
      </c>
      <c r="L72" s="116" t="str">
        <f>IFERROR(ROUND(AVERAGEIFS(D_EN_NIV,D_ANNEE,B69,D_NIVEAU,C69,D_EN_NIV,"&gt;0"),1),"Non réalisée")</f>
        <v>Non réalisée</v>
      </c>
      <c r="S72" t="str">
        <f t="shared" si="16"/>
        <v/>
      </c>
      <c r="T72" t="str">
        <f t="shared" si="17"/>
        <v/>
      </c>
    </row>
    <row r="73" spans="2:20" ht="14.25" customHeight="1" x14ac:dyDescent="0.3">
      <c r="B73" s="357"/>
      <c r="C73" s="357"/>
      <c r="D73" s="119" t="s">
        <v>6</v>
      </c>
      <c r="E73" s="66" t="str">
        <f>IF($J$69=0,"",INDEX(D_CO_PERF,$J$69))</f>
        <v/>
      </c>
      <c r="F73" s="66" t="str">
        <f>IF($J$69=0,"",INDEX(D_CO_NIV,$J$69))</f>
        <v/>
      </c>
      <c r="G73" s="66" t="str">
        <f>IF($K$69=0,"",INDEX(D_CO_PERF,$K$69))</f>
        <v/>
      </c>
      <c r="H73" s="66" t="str">
        <f>IF($K$69=0,"",INDEX(D_CO_NIV,$K$69))</f>
        <v/>
      </c>
      <c r="I73" s="66" t="str">
        <f t="shared" si="15"/>
        <v>Non testé</v>
      </c>
      <c r="L73" s="116" t="str">
        <f>IFERROR(ROUND(AVERAGEIFS(D_CO_NIV,D_ANNEE,B69,D_NIVEAU,C69,D_CO_NIV,"&gt;0"),1),"Non réalisée")</f>
        <v>Non réalisée</v>
      </c>
      <c r="S73" t="str">
        <f t="shared" si="16"/>
        <v/>
      </c>
      <c r="T73" t="str">
        <f t="shared" si="17"/>
        <v/>
      </c>
    </row>
    <row r="74" spans="2:20" ht="14.25" customHeight="1" x14ac:dyDescent="0.3">
      <c r="B74" s="357"/>
      <c r="C74" s="357"/>
      <c r="D74" s="119" t="s">
        <v>7</v>
      </c>
      <c r="E74" s="66" t="str">
        <f>IF($J$69=0,"",INDEX(D_GA_PERF,$J$69))</f>
        <v/>
      </c>
      <c r="F74" s="66" t="str">
        <f>IF($J$69=0,"",INDEX(D_GA_NIV,$J$69))</f>
        <v/>
      </c>
      <c r="G74" s="66" t="str">
        <f>IF($K$69=0,"",INDEX(D_GA_PERF,$K$69))</f>
        <v/>
      </c>
      <c r="H74" s="66" t="str">
        <f>IF($K$69=0,"",INDEX(D_GA_NIV,$K$69))</f>
        <v/>
      </c>
      <c r="I74" s="66" t="str">
        <f t="shared" si="15"/>
        <v>Non testé</v>
      </c>
      <c r="L74" s="116" t="str">
        <f>IFERROR(ROUND(AVERAGEIFS(D_GA_NIV,D_ANNEE,B69,D_NIVEAU,C69,D_GA_NIV,"&gt;0"),1),"Non réalisée")</f>
        <v>Non réalisée</v>
      </c>
      <c r="S74" t="str">
        <f t="shared" si="16"/>
        <v/>
      </c>
      <c r="T74" t="str">
        <f t="shared" si="17"/>
        <v/>
      </c>
    </row>
    <row r="75" spans="2:20" ht="14.25" customHeight="1" x14ac:dyDescent="0.3">
      <c r="B75" s="357"/>
      <c r="C75" s="357"/>
      <c r="D75" s="119" t="s">
        <v>8</v>
      </c>
      <c r="E75" s="66" t="str">
        <f>IF($J$69=0,"",INDEX(D_AD_PERF,$J$69))</f>
        <v/>
      </c>
      <c r="F75" s="66" t="str">
        <f>IF($J$69=0,"",INDEX(D_AD_NIV,$J$69))</f>
        <v/>
      </c>
      <c r="G75" s="66" t="str">
        <f>IF($K$69=0,"",INDEX(D_AD_PERF,$K$69))</f>
        <v/>
      </c>
      <c r="H75" s="66" t="str">
        <f>IF($K$69=0,"",INDEX(D_AD_NIV,$K$69))</f>
        <v/>
      </c>
      <c r="I75" s="66" t="str">
        <f t="shared" si="15"/>
        <v>Non testé</v>
      </c>
      <c r="L75" s="116" t="str">
        <f>IFERROR(ROUND(AVERAGEIFS(D_AD_NIV,D_ANNEE,B69,D_NIVEAU,C69,D_AD_NIV,"&gt;0"),1),"Non réalisée")</f>
        <v>Non réalisée</v>
      </c>
      <c r="S75" t="str">
        <f t="shared" si="16"/>
        <v/>
      </c>
      <c r="T75" t="str">
        <f t="shared" si="17"/>
        <v/>
      </c>
    </row>
    <row r="76" spans="2:20" ht="14.25" customHeight="1" x14ac:dyDescent="0.3">
      <c r="B76" s="357"/>
      <c r="C76" s="357"/>
      <c r="D76" s="119" t="s">
        <v>9</v>
      </c>
      <c r="E76" s="66" t="str">
        <f>IF($J$69=0,"",INDEX(D_FO_PERF,$J$69))</f>
        <v/>
      </c>
      <c r="F76" s="66" t="str">
        <f>IF($J$69=0,"",INDEX(D_FO_NIV,$J$69))</f>
        <v/>
      </c>
      <c r="G76" s="66" t="str">
        <f>IF($K$69=0,"",INDEX(D_FO_PERF,$K$69))</f>
        <v/>
      </c>
      <c r="H76" s="66" t="str">
        <f>IF($K$69=0,"",INDEX(D_FO_NIV,$K$69))</f>
        <v/>
      </c>
      <c r="I76" s="66" t="str">
        <f t="shared" si="15"/>
        <v>Non testé</v>
      </c>
      <c r="L76" s="116" t="str">
        <f>IFERROR(ROUND(AVERAGEIFS(D_FO_NIV,D_ANNEE,B69,D_NIVEAU,C69,D_FO_NIV,"&gt;0"),1),"Non réalisée")</f>
        <v>Non réalisée</v>
      </c>
      <c r="S76" t="str">
        <f t="shared" si="16"/>
        <v/>
      </c>
      <c r="T76" t="str">
        <f t="shared" si="17"/>
        <v/>
      </c>
    </row>
    <row r="77" spans="2:20" ht="14.25" customHeight="1" x14ac:dyDescent="0.3">
      <c r="B77" s="355" t="str">
        <f>INDEX(LISTE_ANNEES,3)</f>
        <v>2027-2028</v>
      </c>
      <c r="C77" s="356" t="str">
        <f>IF(AND($J$77=0,$K$77=0),"",IF($J$77&lt;&gt;0,INDEX(D_NIVEAU,$J$77),INDEX(D_NIVEAU,$K$77)))</f>
        <v/>
      </c>
      <c r="D77" s="213" t="s">
        <v>2</v>
      </c>
      <c r="E77" s="63" t="str">
        <f>IF($J$77=0,"",INDEX(D_EQ_PERF,$J$77))</f>
        <v/>
      </c>
      <c r="F77" s="63" t="str">
        <f>IF($J$77=0,"",INDEX(D_EQ_NIV,$J$77))</f>
        <v/>
      </c>
      <c r="G77" s="63" t="str">
        <f>IF($K$77=0,"",INDEX(D_EQ_PERF,$K$77))</f>
        <v/>
      </c>
      <c r="H77" s="63" t="str">
        <f>IF($K$77=0,"",INDEX(D_EQ_NIV,$K$77))</f>
        <v/>
      </c>
      <c r="I77" s="63" t="str">
        <f t="shared" si="15"/>
        <v>Non testé</v>
      </c>
      <c r="J77">
        <f>IFERROR(MATCH($J$4&amp;"|"&amp;$B$77&amp;"|"&amp;"S1",D_KEY,0),0)</f>
        <v>0</v>
      </c>
      <c r="K77">
        <f>IFERROR(MATCH($J$4&amp;"|"&amp;$B$77&amp;"|"&amp;"S2",D_KEY,0),0)</f>
        <v>0</v>
      </c>
      <c r="L77" s="116" t="str">
        <f>IFERROR(ROUND(AVERAGEIFS(D_EQ_NIV,D_ANNEE,B77,D_NIVEAU,C77,D_EQ_NIV,"&gt;0"),1),"Non réalisée")</f>
        <v>Non réalisée</v>
      </c>
      <c r="S77" t="str">
        <f t="shared" si="16"/>
        <v/>
      </c>
      <c r="T77" t="str">
        <f t="shared" si="17"/>
        <v/>
      </c>
    </row>
    <row r="78" spans="2:20" ht="14.25" customHeight="1" x14ac:dyDescent="0.3">
      <c r="B78" s="355"/>
      <c r="C78" s="355"/>
      <c r="D78" s="115" t="s">
        <v>3</v>
      </c>
      <c r="E78" s="63" t="str">
        <f>IF($J$77=0,"",INDEX(D_SO_PERF,$J$77))</f>
        <v/>
      </c>
      <c r="F78" s="63" t="str">
        <f>IF($J$77=0,"",INDEX(D_SO_NIV,$J$77))</f>
        <v/>
      </c>
      <c r="G78" s="63" t="str">
        <f>IF($K$77=0,"",INDEX(D_SO_PERF,$K$77))</f>
        <v/>
      </c>
      <c r="H78" s="63" t="str">
        <f>IF($K$77=0,"",INDEX(D_SO_NIV,$K$77))</f>
        <v/>
      </c>
      <c r="I78" s="63" t="str">
        <f t="shared" si="15"/>
        <v>Non testé</v>
      </c>
      <c r="L78" s="116" t="str">
        <f>IFERROR(ROUND(AVERAGEIFS(D_SO_NIV,D_ANNEE,B77,D_NIVEAU,C77,D_SO_NIV,"&gt;0"),1),"Non réalisée")</f>
        <v>Non réalisée</v>
      </c>
      <c r="S78" t="str">
        <f t="shared" si="16"/>
        <v/>
      </c>
      <c r="T78" t="str">
        <f t="shared" si="17"/>
        <v/>
      </c>
    </row>
    <row r="79" spans="2:20" ht="14.25" customHeight="1" x14ac:dyDescent="0.3">
      <c r="B79" s="355"/>
      <c r="C79" s="355"/>
      <c r="D79" s="115" t="s">
        <v>4</v>
      </c>
      <c r="E79" s="63" t="str">
        <f>IF($J$77=0,"",INDEX(D_VI_PERF,$J$77))</f>
        <v/>
      </c>
      <c r="F79" s="63" t="str">
        <f>IF($J$77=0,"",INDEX(D_VI_NIV,$J$77))</f>
        <v/>
      </c>
      <c r="G79" s="63" t="str">
        <f>IF($K$77=0,"",INDEX(D_VI_PERF,$K$77))</f>
        <v/>
      </c>
      <c r="H79" s="63" t="str">
        <f>IF($K$77=0,"",INDEX(D_VI_NIV,$K$77))</f>
        <v/>
      </c>
      <c r="I79" s="63" t="str">
        <f t="shared" si="15"/>
        <v>Non testé</v>
      </c>
      <c r="L79" s="116" t="str">
        <f>IFERROR(ROUND(AVERAGEIFS(D_VI_NIV,D_ANNEE,B77,D_NIVEAU,C77,D_VI_NIV,"&gt;0"),1),"Non réalisée")</f>
        <v>Non réalisée</v>
      </c>
      <c r="S79" t="str">
        <f t="shared" si="16"/>
        <v/>
      </c>
      <c r="T79" t="str">
        <f t="shared" si="17"/>
        <v/>
      </c>
    </row>
    <row r="80" spans="2:20" ht="14.25" customHeight="1" x14ac:dyDescent="0.3">
      <c r="B80" s="355"/>
      <c r="C80" s="355"/>
      <c r="D80" s="115" t="s">
        <v>5</v>
      </c>
      <c r="E80" s="63" t="str">
        <f>IF($J$77=0,"",INDEX(D_EN_PERF,$J$77))</f>
        <v/>
      </c>
      <c r="F80" s="63" t="str">
        <f>IF($J$77=0,"",INDEX(D_EN_NIV,$J$77))</f>
        <v/>
      </c>
      <c r="G80" s="63" t="str">
        <f>IF($K$77=0,"",INDEX(D_EN_PERF,$K$77))</f>
        <v/>
      </c>
      <c r="H80" s="63" t="str">
        <f>IF($K$77=0,"",INDEX(D_EN_NIV,$K$77))</f>
        <v/>
      </c>
      <c r="I80" s="63" t="str">
        <f t="shared" si="15"/>
        <v>Non testé</v>
      </c>
      <c r="L80" s="116" t="str">
        <f>IFERROR(ROUND(AVERAGEIFS(D_EN_NIV,D_ANNEE,B77,D_NIVEAU,C77,D_EN_NIV,"&gt;0"),1),"Non réalisée")</f>
        <v>Non réalisée</v>
      </c>
      <c r="S80" t="str">
        <f t="shared" si="16"/>
        <v/>
      </c>
      <c r="T80" t="str">
        <f t="shared" si="17"/>
        <v/>
      </c>
    </row>
    <row r="81" spans="2:20" ht="14.25" customHeight="1" x14ac:dyDescent="0.3">
      <c r="B81" s="355"/>
      <c r="C81" s="355"/>
      <c r="D81" s="115" t="s">
        <v>6</v>
      </c>
      <c r="E81" s="63" t="str">
        <f>IF($J$77=0,"",INDEX(D_CO_PERF,$J$77))</f>
        <v/>
      </c>
      <c r="F81" s="63" t="str">
        <f>IF($J$77=0,"",INDEX(D_CO_NIV,$J$77))</f>
        <v/>
      </c>
      <c r="G81" s="63" t="str">
        <f>IF($K$77=0,"",INDEX(D_CO_PERF,$K$77))</f>
        <v/>
      </c>
      <c r="H81" s="63" t="str">
        <f>IF($K$77=0,"",INDEX(D_CO_NIV,$K$77))</f>
        <v/>
      </c>
      <c r="I81" s="63" t="str">
        <f t="shared" si="15"/>
        <v>Non testé</v>
      </c>
      <c r="L81" s="116" t="str">
        <f>IFERROR(ROUND(AVERAGEIFS(D_CO_NIV,D_ANNEE,B77,D_NIVEAU,C77,D_CO_NIV,"&gt;0"),1),"Non réalisée")</f>
        <v>Non réalisée</v>
      </c>
      <c r="S81" t="str">
        <f t="shared" si="16"/>
        <v/>
      </c>
      <c r="T81" t="str">
        <f t="shared" si="17"/>
        <v/>
      </c>
    </row>
    <row r="82" spans="2:20" ht="14.25" customHeight="1" x14ac:dyDescent="0.3">
      <c r="B82" s="355"/>
      <c r="C82" s="355"/>
      <c r="D82" s="115" t="s">
        <v>7</v>
      </c>
      <c r="E82" s="63" t="str">
        <f>IF($J$77=0,"",INDEX(D_GA_PERF,$J$77))</f>
        <v/>
      </c>
      <c r="F82" s="63" t="str">
        <f>IF($J$77=0,"",INDEX(D_GA_NIV,$J$77))</f>
        <v/>
      </c>
      <c r="G82" s="63" t="str">
        <f>IF($K$77=0,"",INDEX(D_GA_PERF,$K$77))</f>
        <v/>
      </c>
      <c r="H82" s="63" t="str">
        <f>IF($K$77=0,"",INDEX(D_GA_NIV,$K$77))</f>
        <v/>
      </c>
      <c r="I82" s="63" t="str">
        <f t="shared" si="15"/>
        <v>Non testé</v>
      </c>
      <c r="L82" s="116" t="str">
        <f>IFERROR(ROUND(AVERAGEIFS(D_GA_NIV,D_ANNEE,B77,D_NIVEAU,C77,D_GA_NIV,"&gt;0"),1),"Non réalisée")</f>
        <v>Non réalisée</v>
      </c>
      <c r="S82" t="str">
        <f t="shared" si="16"/>
        <v/>
      </c>
      <c r="T82" t="str">
        <f t="shared" si="17"/>
        <v/>
      </c>
    </row>
    <row r="83" spans="2:20" ht="14.25" customHeight="1" x14ac:dyDescent="0.3">
      <c r="B83" s="355"/>
      <c r="C83" s="355"/>
      <c r="D83" s="115" t="s">
        <v>8</v>
      </c>
      <c r="E83" s="63" t="str">
        <f>IF($J$77=0,"",INDEX(D_AD_PERF,$J$77))</f>
        <v/>
      </c>
      <c r="F83" s="63" t="str">
        <f>IF($J$77=0,"",INDEX(D_AD_NIV,$J$77))</f>
        <v/>
      </c>
      <c r="G83" s="63" t="str">
        <f>IF($K$77=0,"",INDEX(D_AD_PERF,$K$77))</f>
        <v/>
      </c>
      <c r="H83" s="63" t="str">
        <f>IF($K$77=0,"",INDEX(D_AD_NIV,$K$77))</f>
        <v/>
      </c>
      <c r="I83" s="63" t="str">
        <f t="shared" si="15"/>
        <v>Non testé</v>
      </c>
      <c r="L83" s="116" t="str">
        <f>IFERROR(ROUND(AVERAGEIFS(D_AD_NIV,D_ANNEE,B77,D_NIVEAU,C77,D_AD_NIV,"&gt;0"),1),"Non réalisée")</f>
        <v>Non réalisée</v>
      </c>
      <c r="S83" t="str">
        <f t="shared" si="16"/>
        <v/>
      </c>
      <c r="T83" t="str">
        <f t="shared" si="17"/>
        <v/>
      </c>
    </row>
    <row r="84" spans="2:20" ht="14.25" customHeight="1" x14ac:dyDescent="0.3">
      <c r="B84" s="355"/>
      <c r="C84" s="355"/>
      <c r="D84" s="115" t="s">
        <v>9</v>
      </c>
      <c r="E84" s="63" t="str">
        <f>IF($J$77=0,"",INDEX(D_FO_PERF,$J$77))</f>
        <v/>
      </c>
      <c r="F84" s="63" t="str">
        <f>IF($J$77=0,"",INDEX(D_FO_NIV,$J$77))</f>
        <v/>
      </c>
      <c r="G84" s="63" t="str">
        <f>IF($K$77=0,"",INDEX(D_FO_PERF,$K$77))</f>
        <v/>
      </c>
      <c r="H84" s="63" t="str">
        <f>IF($K$77=0,"",INDEX(D_FO_NIV,$K$77))</f>
        <v/>
      </c>
      <c r="I84" s="63" t="str">
        <f t="shared" si="15"/>
        <v>Non testé</v>
      </c>
      <c r="L84" s="116" t="str">
        <f>IFERROR(ROUND(AVERAGEIFS(D_FO_NIV,D_ANNEE,B77,D_NIVEAU,C77,D_FO_NIV,"&gt;0"),1),"Non réalisée")</f>
        <v>Non réalisée</v>
      </c>
      <c r="S84" t="str">
        <f t="shared" si="16"/>
        <v/>
      </c>
      <c r="T84" t="str">
        <f t="shared" si="17"/>
        <v/>
      </c>
    </row>
    <row r="85" spans="2:20" ht="14.25" customHeight="1" x14ac:dyDescent="0.3">
      <c r="B85" s="357" t="str">
        <f>INDEX(LISTE_ANNEES,4)</f>
        <v>2028-2029</v>
      </c>
      <c r="C85" s="358" t="str">
        <f>IF(AND($J$85=0,$K$85=0),"",IF($J$85&lt;&gt;0,INDEX(D_NIVEAU,$J$85),INDEX(D_NIVEAU,$K$85)))</f>
        <v/>
      </c>
      <c r="D85" s="213" t="s">
        <v>2</v>
      </c>
      <c r="E85" s="66" t="str">
        <f>IF($J$85=0,"",INDEX(D_EQ_PERF,$J$85))</f>
        <v/>
      </c>
      <c r="F85" s="66" t="str">
        <f>IF($J$85=0,"",INDEX(D_EQ_NIV,$J$85))</f>
        <v/>
      </c>
      <c r="G85" s="66" t="str">
        <f>IF($K$85=0,"",INDEX(D_EQ_PERF,$K$85))</f>
        <v/>
      </c>
      <c r="H85" s="66" t="str">
        <f>IF($K$85=0,"",INDEX(D_EQ_NIV,$K$85))</f>
        <v/>
      </c>
      <c r="I85" s="66" t="str">
        <f t="shared" si="15"/>
        <v>Non testé</v>
      </c>
      <c r="J85">
        <f>IFERROR(MATCH($J$4&amp;"|"&amp;$B$85&amp;"|"&amp;"S1",D_KEY,0),0)</f>
        <v>0</v>
      </c>
      <c r="K85">
        <f>IFERROR(MATCH($J$4&amp;"|"&amp;$B$85&amp;"|"&amp;"S2",D_KEY,0),0)</f>
        <v>0</v>
      </c>
      <c r="L85" s="116" t="str">
        <f>IFERROR(ROUND(AVERAGEIFS(D_EQ_NIV,D_ANNEE,B85,D_NIVEAU,C85,D_EQ_NIV,"&gt;0"),1),"Non réalisée")</f>
        <v>Non réalisée</v>
      </c>
      <c r="S85" t="str">
        <f t="shared" si="16"/>
        <v/>
      </c>
      <c r="T85" t="str">
        <f t="shared" si="17"/>
        <v/>
      </c>
    </row>
    <row r="86" spans="2:20" ht="14.25" customHeight="1" x14ac:dyDescent="0.3">
      <c r="B86" s="357"/>
      <c r="C86" s="357"/>
      <c r="D86" s="119" t="s">
        <v>3</v>
      </c>
      <c r="E86" s="66" t="str">
        <f>IF($J$85=0,"",INDEX(D_SO_PERF,$J$85))</f>
        <v/>
      </c>
      <c r="F86" s="66" t="str">
        <f>IF($J$85=0,"",INDEX(D_SO_NIV,$J$85))</f>
        <v/>
      </c>
      <c r="G86" s="66" t="str">
        <f>IF($K$85=0,"",INDEX(D_SO_PERF,$K$85))</f>
        <v/>
      </c>
      <c r="H86" s="66" t="str">
        <f>IF($K$85=0,"",INDEX(D_SO_NIV,$K$85))</f>
        <v/>
      </c>
      <c r="I86" s="66" t="str">
        <f t="shared" si="15"/>
        <v>Non testé</v>
      </c>
      <c r="L86" s="116" t="str">
        <f>IFERROR(ROUND(AVERAGEIFS(D_SO_NIV,D_ANNEE,B85,D_NIVEAU,C85,D_SO_NIV,"&gt;0"),1),"Non réalisée")</f>
        <v>Non réalisée</v>
      </c>
      <c r="S86" t="str">
        <f t="shared" si="16"/>
        <v/>
      </c>
      <c r="T86" t="str">
        <f t="shared" si="17"/>
        <v/>
      </c>
    </row>
    <row r="87" spans="2:20" ht="14.25" customHeight="1" x14ac:dyDescent="0.3">
      <c r="B87" s="357"/>
      <c r="C87" s="357"/>
      <c r="D87" s="119" t="s">
        <v>4</v>
      </c>
      <c r="E87" s="66" t="str">
        <f>IF($J$85=0,"",INDEX(D_VI_PERF,$J$85))</f>
        <v/>
      </c>
      <c r="F87" s="66" t="str">
        <f>IF($J$85=0,"",INDEX(D_VI_NIV,$J$85))</f>
        <v/>
      </c>
      <c r="G87" s="66" t="str">
        <f>IF($K$85=0,"",INDEX(D_VI_PERF,$K$85))</f>
        <v/>
      </c>
      <c r="H87" s="66" t="str">
        <f>IF($K$85=0,"",INDEX(D_VI_NIV,$K$85))</f>
        <v/>
      </c>
      <c r="I87" s="66" t="str">
        <f t="shared" si="15"/>
        <v>Non testé</v>
      </c>
      <c r="L87" s="116" t="str">
        <f>IFERROR(ROUND(AVERAGEIFS(D_VI_NIV,D_ANNEE,B85,D_NIVEAU,C85,D_VI_NIV,"&gt;0"),1),"Non réalisée")</f>
        <v>Non réalisée</v>
      </c>
      <c r="S87" t="str">
        <f t="shared" si="16"/>
        <v/>
      </c>
      <c r="T87" t="str">
        <f t="shared" si="17"/>
        <v/>
      </c>
    </row>
    <row r="88" spans="2:20" ht="14.25" customHeight="1" x14ac:dyDescent="0.3">
      <c r="B88" s="357"/>
      <c r="C88" s="357"/>
      <c r="D88" s="119" t="s">
        <v>5</v>
      </c>
      <c r="E88" s="66" t="str">
        <f>IF($J$85=0,"",INDEX(D_EN_PERF,$J$85))</f>
        <v/>
      </c>
      <c r="F88" s="66" t="str">
        <f>IF($J$85=0,"",INDEX(D_EN_NIV,$J$85))</f>
        <v/>
      </c>
      <c r="G88" s="66" t="str">
        <f>IF($K$85=0,"",INDEX(D_EN_PERF,$K$85))</f>
        <v/>
      </c>
      <c r="H88" s="66" t="str">
        <f>IF($K$85=0,"",INDEX(D_EN_NIV,$K$85))</f>
        <v/>
      </c>
      <c r="I88" s="66" t="str">
        <f t="shared" si="15"/>
        <v>Non testé</v>
      </c>
      <c r="L88" s="116" t="str">
        <f>IFERROR(ROUND(AVERAGEIFS(D_EN_NIV,D_ANNEE,B85,D_NIVEAU,C85,D_EN_NIV,"&gt;0"),1),"Non réalisée")</f>
        <v>Non réalisée</v>
      </c>
      <c r="S88" t="str">
        <f t="shared" si="16"/>
        <v/>
      </c>
      <c r="T88" t="str">
        <f t="shared" si="17"/>
        <v/>
      </c>
    </row>
    <row r="89" spans="2:20" ht="14.25" customHeight="1" x14ac:dyDescent="0.3">
      <c r="B89" s="357"/>
      <c r="C89" s="357"/>
      <c r="D89" s="119" t="s">
        <v>6</v>
      </c>
      <c r="E89" s="66" t="str">
        <f>IF($J$85=0,"",INDEX(D_CO_PERF,$J$85))</f>
        <v/>
      </c>
      <c r="F89" s="66" t="str">
        <f>IF($J$85=0,"",INDEX(D_CO_NIV,$J$85))</f>
        <v/>
      </c>
      <c r="G89" s="66" t="str">
        <f>IF($K$85=0,"",INDEX(D_CO_PERF,$K$85))</f>
        <v/>
      </c>
      <c r="H89" s="66" t="str">
        <f>IF($K$85=0,"",INDEX(D_CO_NIV,$K$85))</f>
        <v/>
      </c>
      <c r="I89" s="66" t="str">
        <f t="shared" si="15"/>
        <v>Non testé</v>
      </c>
      <c r="L89" s="116" t="str">
        <f>IFERROR(ROUND(AVERAGEIFS(D_CO_NIV,D_ANNEE,B85,D_NIVEAU,C85,D_CO_NIV,"&gt;0"),1),"Non réalisée")</f>
        <v>Non réalisée</v>
      </c>
      <c r="S89" t="str">
        <f t="shared" si="16"/>
        <v/>
      </c>
      <c r="T89" t="str">
        <f t="shared" si="17"/>
        <v/>
      </c>
    </row>
    <row r="90" spans="2:20" ht="14.25" customHeight="1" x14ac:dyDescent="0.3">
      <c r="B90" s="357"/>
      <c r="C90" s="357"/>
      <c r="D90" s="119" t="s">
        <v>7</v>
      </c>
      <c r="E90" s="66" t="str">
        <f>IF($J$85=0,"",INDEX(D_GA_PERF,$J$85))</f>
        <v/>
      </c>
      <c r="F90" s="66" t="str">
        <f>IF($J$85=0,"",INDEX(D_GA_NIV,$J$85))</f>
        <v/>
      </c>
      <c r="G90" s="66" t="str">
        <f>IF($K$85=0,"",INDEX(D_GA_PERF,$K$85))</f>
        <v/>
      </c>
      <c r="H90" s="66" t="str">
        <f>IF($K$85=0,"",INDEX(D_GA_NIV,$K$85))</f>
        <v/>
      </c>
      <c r="I90" s="66" t="str">
        <f t="shared" si="15"/>
        <v>Non testé</v>
      </c>
      <c r="L90" s="116" t="str">
        <f>IFERROR(ROUND(AVERAGEIFS(D_GA_NIV,D_ANNEE,B85,D_NIVEAU,C85,D_GA_NIV,"&gt;0"),1),"Non réalisée")</f>
        <v>Non réalisée</v>
      </c>
      <c r="S90" t="str">
        <f t="shared" si="16"/>
        <v/>
      </c>
      <c r="T90" t="str">
        <f t="shared" si="17"/>
        <v/>
      </c>
    </row>
    <row r="91" spans="2:20" ht="14.25" customHeight="1" x14ac:dyDescent="0.3">
      <c r="B91" s="357"/>
      <c r="C91" s="357"/>
      <c r="D91" s="119" t="s">
        <v>8</v>
      </c>
      <c r="E91" s="66" t="str">
        <f>IF($J$85=0,"",INDEX(D_AD_PERF,$J$85))</f>
        <v/>
      </c>
      <c r="F91" s="66" t="str">
        <f>IF($J$85=0,"",INDEX(D_AD_NIV,$J$85))</f>
        <v/>
      </c>
      <c r="G91" s="66" t="str">
        <f>IF($K$85=0,"",INDEX(D_AD_PERF,$K$85))</f>
        <v/>
      </c>
      <c r="H91" s="66" t="str">
        <f>IF($K$85=0,"",INDEX(D_AD_NIV,$K$85))</f>
        <v/>
      </c>
      <c r="I91" s="66" t="str">
        <f t="shared" si="15"/>
        <v>Non testé</v>
      </c>
      <c r="L91" s="116" t="str">
        <f>IFERROR(ROUND(AVERAGEIFS(D_AD_NIV,D_ANNEE,B85,D_NIVEAU,C85,D_AD_NIV,"&gt;0"),1),"Non réalisée")</f>
        <v>Non réalisée</v>
      </c>
      <c r="S91" t="str">
        <f t="shared" si="16"/>
        <v/>
      </c>
      <c r="T91" t="str">
        <f t="shared" si="17"/>
        <v/>
      </c>
    </row>
    <row r="92" spans="2:20" ht="14.25" customHeight="1" x14ac:dyDescent="0.3">
      <c r="B92" s="357"/>
      <c r="C92" s="357"/>
      <c r="D92" s="119" t="s">
        <v>9</v>
      </c>
      <c r="E92" s="66" t="str">
        <f>IF($J$85=0,"",INDEX(D_FO_PERF,$J$85))</f>
        <v/>
      </c>
      <c r="F92" s="66" t="str">
        <f>IF($J$85=0,"",INDEX(D_FO_NIV,$J$85))</f>
        <v/>
      </c>
      <c r="G92" s="66" t="str">
        <f>IF($K$85=0,"",INDEX(D_FO_PERF,$K$85))</f>
        <v/>
      </c>
      <c r="H92" s="66" t="str">
        <f>IF($K$85=0,"",INDEX(D_FO_NIV,$K$85))</f>
        <v/>
      </c>
      <c r="I92" s="66" t="str">
        <f t="shared" si="15"/>
        <v>Non testé</v>
      </c>
      <c r="L92" s="116" t="str">
        <f>IFERROR(ROUND(AVERAGEIFS(D_FO_NIV,D_ANNEE,B85,D_NIVEAU,C85,D_FO_NIV,"&gt;0"),1),"Non réalisée")</f>
        <v>Non réalisée</v>
      </c>
      <c r="S92" t="str">
        <f t="shared" si="16"/>
        <v/>
      </c>
      <c r="T92" t="str">
        <f t="shared" si="17"/>
        <v/>
      </c>
    </row>
    <row r="93" spans="2:20" ht="14.25" customHeight="1" x14ac:dyDescent="0.3">
      <c r="B93" s="355" t="str">
        <f>INDEX(LISTE_ANNEES,5)</f>
        <v>2029-2030</v>
      </c>
      <c r="C93" s="356" t="str">
        <f>IF(AND($J$93=0,$K$93=0),"",IF($J$93&lt;&gt;0,INDEX(D_NIVEAU,$J$93),INDEX(D_NIVEAU,$K$93)))</f>
        <v/>
      </c>
      <c r="D93" s="213" t="s">
        <v>2</v>
      </c>
      <c r="E93" s="63" t="str">
        <f>IF($J$93=0,"",INDEX(D_EQ_PERF,$J$93))</f>
        <v/>
      </c>
      <c r="F93" s="63" t="str">
        <f>IF($J$93=0,"",INDEX(D_EQ_NIV,$J$93))</f>
        <v/>
      </c>
      <c r="G93" s="63" t="str">
        <f>IF($K$93=0,"",INDEX(D_EQ_PERF,$K$93))</f>
        <v/>
      </c>
      <c r="H93" s="63" t="str">
        <f>IF($K$93=0,"",INDEX(D_EQ_NIV,$K$93))</f>
        <v/>
      </c>
      <c r="I93" s="63" t="str">
        <f t="shared" ref="I93:I124" si="18">IF(OR(F93="",H93=""),"Non testé",IF(H93-F93&gt;0,"▲ +"&amp;(H93-F93),IF(H93-F93&lt;0,"▼ "&amp;(H93-F93),"➜ stable")))</f>
        <v>Non testé</v>
      </c>
      <c r="J93">
        <f>IFERROR(MATCH($J$4&amp;"|"&amp;$B$93&amp;"|"&amp;"S1",D_KEY,0),0)</f>
        <v>0</v>
      </c>
      <c r="K93">
        <f>IFERROR(MATCH($J$4&amp;"|"&amp;$B$93&amp;"|"&amp;"S2",D_KEY,0),0)</f>
        <v>0</v>
      </c>
      <c r="L93" s="116" t="str">
        <f>IFERROR(ROUND(AVERAGEIFS(D_EQ_NIV,D_ANNEE,B93,D_NIVEAU,C93,D_EQ_NIV,"&gt;0"),1),"Non réalisée")</f>
        <v>Non réalisée</v>
      </c>
      <c r="S93" t="str">
        <f t="shared" si="16"/>
        <v/>
      </c>
      <c r="T93" t="str">
        <f t="shared" si="17"/>
        <v/>
      </c>
    </row>
    <row r="94" spans="2:20" ht="14.25" customHeight="1" x14ac:dyDescent="0.3">
      <c r="B94" s="355"/>
      <c r="C94" s="355"/>
      <c r="D94" s="115" t="s">
        <v>3</v>
      </c>
      <c r="E94" s="63" t="str">
        <f>IF($J$93=0,"",INDEX(D_SO_PERF,$J$93))</f>
        <v/>
      </c>
      <c r="F94" s="63" t="str">
        <f>IF($J$93=0,"",INDEX(D_SO_NIV,$J$93))</f>
        <v/>
      </c>
      <c r="G94" s="63" t="str">
        <f>IF($K$93=0,"",INDEX(D_SO_PERF,$K$93))</f>
        <v/>
      </c>
      <c r="H94" s="63" t="str">
        <f>IF($K$93=0,"",INDEX(D_SO_NIV,$K$93))</f>
        <v/>
      </c>
      <c r="I94" s="63" t="str">
        <f t="shared" si="18"/>
        <v>Non testé</v>
      </c>
      <c r="L94" s="116" t="str">
        <f>IFERROR(ROUND(AVERAGEIFS(D_SO_NIV,D_ANNEE,B93,D_NIVEAU,C93,D_SO_NIV,"&gt;0"),1),"Non réalisée")</f>
        <v>Non réalisée</v>
      </c>
      <c r="S94" t="str">
        <f t="shared" si="16"/>
        <v/>
      </c>
      <c r="T94" t="str">
        <f t="shared" si="17"/>
        <v/>
      </c>
    </row>
    <row r="95" spans="2:20" ht="14.25" customHeight="1" x14ac:dyDescent="0.3">
      <c r="B95" s="355"/>
      <c r="C95" s="355"/>
      <c r="D95" s="115" t="s">
        <v>4</v>
      </c>
      <c r="E95" s="63" t="str">
        <f>IF($J$93=0,"",INDEX(D_VI_PERF,$J$93))</f>
        <v/>
      </c>
      <c r="F95" s="63" t="str">
        <f>IF($J$93=0,"",INDEX(D_VI_NIV,$J$93))</f>
        <v/>
      </c>
      <c r="G95" s="63" t="str">
        <f>IF($K$93=0,"",INDEX(D_VI_PERF,$K$93))</f>
        <v/>
      </c>
      <c r="H95" s="63" t="str">
        <f>IF($K$93=0,"",INDEX(D_VI_NIV,$K$93))</f>
        <v/>
      </c>
      <c r="I95" s="63" t="str">
        <f t="shared" si="18"/>
        <v>Non testé</v>
      </c>
      <c r="L95" s="116" t="str">
        <f>IFERROR(ROUND(AVERAGEIFS(D_VI_NIV,D_ANNEE,B93,D_NIVEAU,C93,D_VI_NIV,"&gt;0"),1),"Non réalisée")</f>
        <v>Non réalisée</v>
      </c>
      <c r="S95" t="str">
        <f t="shared" si="16"/>
        <v/>
      </c>
      <c r="T95" t="str">
        <f t="shared" si="17"/>
        <v/>
      </c>
    </row>
    <row r="96" spans="2:20" ht="14.25" customHeight="1" x14ac:dyDescent="0.3">
      <c r="B96" s="355"/>
      <c r="C96" s="355"/>
      <c r="D96" s="115" t="s">
        <v>5</v>
      </c>
      <c r="E96" s="63" t="str">
        <f>IF($J$93=0,"",INDEX(D_EN_PERF,$J$93))</f>
        <v/>
      </c>
      <c r="F96" s="63" t="str">
        <f>IF($J$93=0,"",INDEX(D_EN_NIV,$J$93))</f>
        <v/>
      </c>
      <c r="G96" s="63" t="str">
        <f>IF($K$93=0,"",INDEX(D_EN_PERF,$K$93))</f>
        <v/>
      </c>
      <c r="H96" s="63" t="str">
        <f>IF($K$93=0,"",INDEX(D_EN_NIV,$K$93))</f>
        <v/>
      </c>
      <c r="I96" s="63" t="str">
        <f t="shared" si="18"/>
        <v>Non testé</v>
      </c>
      <c r="L96" s="116" t="str">
        <f>IFERROR(ROUND(AVERAGEIFS(D_EN_NIV,D_ANNEE,B93,D_NIVEAU,C93,D_EN_NIV,"&gt;0"),1),"Non réalisée")</f>
        <v>Non réalisée</v>
      </c>
      <c r="S96" t="str">
        <f t="shared" si="16"/>
        <v/>
      </c>
      <c r="T96" t="str">
        <f t="shared" si="17"/>
        <v/>
      </c>
    </row>
    <row r="97" spans="2:20" ht="14.25" customHeight="1" x14ac:dyDescent="0.3">
      <c r="B97" s="355"/>
      <c r="C97" s="355"/>
      <c r="D97" s="115" t="s">
        <v>6</v>
      </c>
      <c r="E97" s="63" t="str">
        <f>IF($J$93=0,"",INDEX(D_CO_PERF,$J$93))</f>
        <v/>
      </c>
      <c r="F97" s="63" t="str">
        <f>IF($J$93=0,"",INDEX(D_CO_NIV,$J$93))</f>
        <v/>
      </c>
      <c r="G97" s="63" t="str">
        <f>IF($K$93=0,"",INDEX(D_CO_PERF,$K$93))</f>
        <v/>
      </c>
      <c r="H97" s="63" t="str">
        <f>IF($K$93=0,"",INDEX(D_CO_NIV,$K$93))</f>
        <v/>
      </c>
      <c r="I97" s="63" t="str">
        <f t="shared" si="18"/>
        <v>Non testé</v>
      </c>
      <c r="L97" s="116" t="str">
        <f>IFERROR(ROUND(AVERAGEIFS(D_CO_NIV,D_ANNEE,B93,D_NIVEAU,C93,D_CO_NIV,"&gt;0"),1),"Non réalisée")</f>
        <v>Non réalisée</v>
      </c>
      <c r="S97" t="str">
        <f t="shared" si="16"/>
        <v/>
      </c>
      <c r="T97" t="str">
        <f t="shared" si="17"/>
        <v/>
      </c>
    </row>
    <row r="98" spans="2:20" ht="14.25" customHeight="1" x14ac:dyDescent="0.3">
      <c r="B98" s="355"/>
      <c r="C98" s="355"/>
      <c r="D98" s="115" t="s">
        <v>7</v>
      </c>
      <c r="E98" s="63" t="str">
        <f>IF($J$93=0,"",INDEX(D_GA_PERF,$J$93))</f>
        <v/>
      </c>
      <c r="F98" s="63" t="str">
        <f>IF($J$93=0,"",INDEX(D_GA_NIV,$J$93))</f>
        <v/>
      </c>
      <c r="G98" s="63" t="str">
        <f>IF($K$93=0,"",INDEX(D_GA_PERF,$K$93))</f>
        <v/>
      </c>
      <c r="H98" s="63" t="str">
        <f>IF($K$93=0,"",INDEX(D_GA_NIV,$K$93))</f>
        <v/>
      </c>
      <c r="I98" s="63" t="str">
        <f t="shared" si="18"/>
        <v>Non testé</v>
      </c>
      <c r="L98" s="116" t="str">
        <f>IFERROR(ROUND(AVERAGEIFS(D_GA_NIV,D_ANNEE,B93,D_NIVEAU,C93,D_GA_NIV,"&gt;0"),1),"Non réalisée")</f>
        <v>Non réalisée</v>
      </c>
      <c r="S98" t="str">
        <f t="shared" si="16"/>
        <v/>
      </c>
      <c r="T98" t="str">
        <f t="shared" si="17"/>
        <v/>
      </c>
    </row>
    <row r="99" spans="2:20" ht="14.25" customHeight="1" x14ac:dyDescent="0.3">
      <c r="B99" s="355"/>
      <c r="C99" s="355"/>
      <c r="D99" s="115" t="s">
        <v>8</v>
      </c>
      <c r="E99" s="63" t="str">
        <f>IF($J$93=0,"",INDEX(D_AD_PERF,$J$93))</f>
        <v/>
      </c>
      <c r="F99" s="63" t="str">
        <f>IF($J$93=0,"",INDEX(D_AD_NIV,$J$93))</f>
        <v/>
      </c>
      <c r="G99" s="63" t="str">
        <f>IF($K$93=0,"",INDEX(D_AD_PERF,$K$93))</f>
        <v/>
      </c>
      <c r="H99" s="63" t="str">
        <f>IF($K$93=0,"",INDEX(D_AD_NIV,$K$93))</f>
        <v/>
      </c>
      <c r="I99" s="63" t="str">
        <f t="shared" si="18"/>
        <v>Non testé</v>
      </c>
      <c r="L99" s="116" t="str">
        <f>IFERROR(ROUND(AVERAGEIFS(D_AD_NIV,D_ANNEE,B93,D_NIVEAU,C93,D_AD_NIV,"&gt;0"),1),"Non réalisée")</f>
        <v>Non réalisée</v>
      </c>
      <c r="S99" t="str">
        <f t="shared" si="16"/>
        <v/>
      </c>
      <c r="T99" t="str">
        <f t="shared" si="17"/>
        <v/>
      </c>
    </row>
    <row r="100" spans="2:20" ht="14.25" customHeight="1" x14ac:dyDescent="0.3">
      <c r="B100" s="355"/>
      <c r="C100" s="355"/>
      <c r="D100" s="115" t="s">
        <v>9</v>
      </c>
      <c r="E100" s="63" t="str">
        <f>IF($J$93=0,"",INDEX(D_FO_PERF,$J$93))</f>
        <v/>
      </c>
      <c r="F100" s="63" t="str">
        <f>IF($J$93=0,"",INDEX(D_FO_NIV,$J$93))</f>
        <v/>
      </c>
      <c r="G100" s="63" t="str">
        <f>IF($K$93=0,"",INDEX(D_FO_PERF,$K$93))</f>
        <v/>
      </c>
      <c r="H100" s="63" t="str">
        <f>IF($K$93=0,"",INDEX(D_FO_NIV,$K$93))</f>
        <v/>
      </c>
      <c r="I100" s="63" t="str">
        <f t="shared" si="18"/>
        <v>Non testé</v>
      </c>
      <c r="L100" s="116" t="str">
        <f>IFERROR(ROUND(AVERAGEIFS(D_FO_NIV,D_ANNEE,B93,D_NIVEAU,C93,D_FO_NIV,"&gt;0"),1),"Non réalisée")</f>
        <v>Non réalisée</v>
      </c>
      <c r="S100" t="str">
        <f t="shared" si="16"/>
        <v/>
      </c>
      <c r="T100" t="str">
        <f t="shared" si="17"/>
        <v/>
      </c>
    </row>
    <row r="101" spans="2:20" ht="14.25" customHeight="1" x14ac:dyDescent="0.3">
      <c r="B101" s="357" t="str">
        <f>INDEX(LISTE_ANNEES,6)</f>
        <v>2030-2031</v>
      </c>
      <c r="C101" s="358" t="str">
        <f>IF(AND($J$101=0,$K$101=0),"",IF($J$101&lt;&gt;0,INDEX(D_NIVEAU,$J$101),INDEX(D_NIVEAU,$K$101)))</f>
        <v/>
      </c>
      <c r="D101" s="213" t="s">
        <v>2</v>
      </c>
      <c r="E101" s="66" t="str">
        <f>IF($J$101=0,"",INDEX(D_EQ_PERF,$J$101))</f>
        <v/>
      </c>
      <c r="F101" s="66" t="str">
        <f>IF($J$101=0,"",INDEX(D_EQ_NIV,$J$101))</f>
        <v/>
      </c>
      <c r="G101" s="66" t="str">
        <f>IF($K$101=0,"",INDEX(D_EQ_PERF,$K$101))</f>
        <v/>
      </c>
      <c r="H101" s="66" t="str">
        <f>IF($K$101=0,"",INDEX(D_EQ_NIV,$K$101))</f>
        <v/>
      </c>
      <c r="I101" s="66" t="str">
        <f t="shared" si="18"/>
        <v>Non testé</v>
      </c>
      <c r="J101">
        <f>IFERROR(MATCH($J$4&amp;"|"&amp;$B$101&amp;"|"&amp;"S1",D_KEY,0),0)</f>
        <v>0</v>
      </c>
      <c r="K101">
        <f>IFERROR(MATCH($J$4&amp;"|"&amp;$B$101&amp;"|"&amp;"S2",D_KEY,0),0)</f>
        <v>0</v>
      </c>
      <c r="L101" s="116" t="str">
        <f>IFERROR(ROUND(AVERAGEIFS(D_EQ_NIV,D_ANNEE,B101,D_NIVEAU,C101,D_EQ_NIV,"&gt;0"),1),"Non réalisée")</f>
        <v>Non réalisée</v>
      </c>
      <c r="S101" t="str">
        <f t="shared" si="16"/>
        <v/>
      </c>
      <c r="T101" t="str">
        <f t="shared" si="17"/>
        <v/>
      </c>
    </row>
    <row r="102" spans="2:20" ht="14.25" customHeight="1" x14ac:dyDescent="0.3">
      <c r="B102" s="357"/>
      <c r="C102" s="357"/>
      <c r="D102" s="119" t="s">
        <v>3</v>
      </c>
      <c r="E102" s="66" t="str">
        <f>IF($J$101=0,"",INDEX(D_SO_PERF,$J$101))</f>
        <v/>
      </c>
      <c r="F102" s="66" t="str">
        <f>IF($J$101=0,"",INDEX(D_SO_NIV,$J$101))</f>
        <v/>
      </c>
      <c r="G102" s="66" t="str">
        <f>IF($K$101=0,"",INDEX(D_SO_PERF,$K$101))</f>
        <v/>
      </c>
      <c r="H102" s="66" t="str">
        <f>IF($K$101=0,"",INDEX(D_SO_NIV,$K$101))</f>
        <v/>
      </c>
      <c r="I102" s="66" t="str">
        <f t="shared" si="18"/>
        <v>Non testé</v>
      </c>
      <c r="L102" s="116" t="str">
        <f>IFERROR(ROUND(AVERAGEIFS(D_SO_NIV,D_ANNEE,B101,D_NIVEAU,C101,D_SO_NIV,"&gt;0"),1),"Non réalisée")</f>
        <v>Non réalisée</v>
      </c>
      <c r="S102" t="str">
        <f t="shared" si="16"/>
        <v/>
      </c>
      <c r="T102" t="str">
        <f t="shared" si="17"/>
        <v/>
      </c>
    </row>
    <row r="103" spans="2:20" ht="14.25" customHeight="1" x14ac:dyDescent="0.3">
      <c r="B103" s="357"/>
      <c r="C103" s="357"/>
      <c r="D103" s="119" t="s">
        <v>4</v>
      </c>
      <c r="E103" s="66" t="str">
        <f>IF($J$101=0,"",INDEX(D_VI_PERF,$J$101))</f>
        <v/>
      </c>
      <c r="F103" s="66" t="str">
        <f>IF($J$101=0,"",INDEX(D_VI_NIV,$J$101))</f>
        <v/>
      </c>
      <c r="G103" s="66" t="str">
        <f>IF($K$101=0,"",INDEX(D_VI_PERF,$K$101))</f>
        <v/>
      </c>
      <c r="H103" s="66" t="str">
        <f>IF($K$101=0,"",INDEX(D_VI_NIV,$K$101))</f>
        <v/>
      </c>
      <c r="I103" s="66" t="str">
        <f t="shared" si="18"/>
        <v>Non testé</v>
      </c>
      <c r="L103" s="116" t="str">
        <f>IFERROR(ROUND(AVERAGEIFS(D_VI_NIV,D_ANNEE,B101,D_NIVEAU,C101,D_VI_NIV,"&gt;0"),1),"Non réalisée")</f>
        <v>Non réalisée</v>
      </c>
      <c r="S103" t="str">
        <f t="shared" si="16"/>
        <v/>
      </c>
      <c r="T103" t="str">
        <f t="shared" si="17"/>
        <v/>
      </c>
    </row>
    <row r="104" spans="2:20" ht="14.25" customHeight="1" x14ac:dyDescent="0.3">
      <c r="B104" s="357"/>
      <c r="C104" s="357"/>
      <c r="D104" s="119" t="s">
        <v>5</v>
      </c>
      <c r="E104" s="66" t="str">
        <f>IF($J$101=0,"",INDEX(D_EN_PERF,$J$101))</f>
        <v/>
      </c>
      <c r="F104" s="66" t="str">
        <f>IF($J$101=0,"",INDEX(D_EN_NIV,$J$101))</f>
        <v/>
      </c>
      <c r="G104" s="66" t="str">
        <f>IF($K$101=0,"",INDEX(D_EN_PERF,$K$101))</f>
        <v/>
      </c>
      <c r="H104" s="66" t="str">
        <f>IF($K$101=0,"",INDEX(D_EN_NIV,$K$101))</f>
        <v/>
      </c>
      <c r="I104" s="66" t="str">
        <f t="shared" si="18"/>
        <v>Non testé</v>
      </c>
      <c r="L104" s="116" t="str">
        <f>IFERROR(ROUND(AVERAGEIFS(D_EN_NIV,D_ANNEE,B101,D_NIVEAU,C101,D_EN_NIV,"&gt;0"),1),"Non réalisée")</f>
        <v>Non réalisée</v>
      </c>
      <c r="S104" t="str">
        <f t="shared" si="16"/>
        <v/>
      </c>
      <c r="T104" t="str">
        <f t="shared" si="17"/>
        <v/>
      </c>
    </row>
    <row r="105" spans="2:20" ht="14.25" customHeight="1" x14ac:dyDescent="0.3">
      <c r="B105" s="357"/>
      <c r="C105" s="357"/>
      <c r="D105" s="119" t="s">
        <v>6</v>
      </c>
      <c r="E105" s="66" t="str">
        <f>IF($J$101=0,"",INDEX(D_CO_PERF,$J$101))</f>
        <v/>
      </c>
      <c r="F105" s="66" t="str">
        <f>IF($J$101=0,"",INDEX(D_CO_NIV,$J$101))</f>
        <v/>
      </c>
      <c r="G105" s="66" t="str">
        <f>IF($K$101=0,"",INDEX(D_CO_PERF,$K$101))</f>
        <v/>
      </c>
      <c r="H105" s="66" t="str">
        <f>IF($K$101=0,"",INDEX(D_CO_NIV,$K$101))</f>
        <v/>
      </c>
      <c r="I105" s="66" t="str">
        <f t="shared" si="18"/>
        <v>Non testé</v>
      </c>
      <c r="L105" s="116" t="str">
        <f>IFERROR(ROUND(AVERAGEIFS(D_CO_NIV,D_ANNEE,B101,D_NIVEAU,C101,D_CO_NIV,"&gt;0"),1),"Non réalisée")</f>
        <v>Non réalisée</v>
      </c>
      <c r="S105" t="str">
        <f t="shared" si="16"/>
        <v/>
      </c>
      <c r="T105" t="str">
        <f t="shared" si="17"/>
        <v/>
      </c>
    </row>
    <row r="106" spans="2:20" ht="14.25" customHeight="1" x14ac:dyDescent="0.3">
      <c r="B106" s="357"/>
      <c r="C106" s="357"/>
      <c r="D106" s="119" t="s">
        <v>7</v>
      </c>
      <c r="E106" s="66" t="str">
        <f>IF($J$101=0,"",INDEX(D_GA_PERF,$J$101))</f>
        <v/>
      </c>
      <c r="F106" s="66" t="str">
        <f>IF($J$101=0,"",INDEX(D_GA_NIV,$J$101))</f>
        <v/>
      </c>
      <c r="G106" s="66" t="str">
        <f>IF($K$101=0,"",INDEX(D_GA_PERF,$K$101))</f>
        <v/>
      </c>
      <c r="H106" s="66" t="str">
        <f>IF($K$101=0,"",INDEX(D_GA_NIV,$K$101))</f>
        <v/>
      </c>
      <c r="I106" s="66" t="str">
        <f t="shared" si="18"/>
        <v>Non testé</v>
      </c>
      <c r="L106" s="116" t="str">
        <f>IFERROR(ROUND(AVERAGEIFS(D_GA_NIV,D_ANNEE,B101,D_NIVEAU,C101,D_GA_NIV,"&gt;0"),1),"Non réalisée")</f>
        <v>Non réalisée</v>
      </c>
      <c r="S106" t="str">
        <f t="shared" si="16"/>
        <v/>
      </c>
      <c r="T106" t="str">
        <f t="shared" si="17"/>
        <v/>
      </c>
    </row>
    <row r="107" spans="2:20" ht="14.25" customHeight="1" x14ac:dyDescent="0.3">
      <c r="B107" s="357"/>
      <c r="C107" s="357"/>
      <c r="D107" s="119" t="s">
        <v>8</v>
      </c>
      <c r="E107" s="66" t="str">
        <f>IF($J$101=0,"",INDEX(D_AD_PERF,$J$101))</f>
        <v/>
      </c>
      <c r="F107" s="66" t="str">
        <f>IF($J$101=0,"",INDEX(D_AD_NIV,$J$101))</f>
        <v/>
      </c>
      <c r="G107" s="66" t="str">
        <f>IF($K$101=0,"",INDEX(D_AD_PERF,$K$101))</f>
        <v/>
      </c>
      <c r="H107" s="66" t="str">
        <f>IF($K$101=0,"",INDEX(D_AD_NIV,$K$101))</f>
        <v/>
      </c>
      <c r="I107" s="66" t="str">
        <f t="shared" si="18"/>
        <v>Non testé</v>
      </c>
      <c r="L107" s="116" t="str">
        <f>IFERROR(ROUND(AVERAGEIFS(D_AD_NIV,D_ANNEE,B101,D_NIVEAU,C101,D_AD_NIV,"&gt;0"),1),"Non réalisée")</f>
        <v>Non réalisée</v>
      </c>
      <c r="S107" t="str">
        <f t="shared" si="16"/>
        <v/>
      </c>
      <c r="T107" t="str">
        <f t="shared" si="17"/>
        <v/>
      </c>
    </row>
    <row r="108" spans="2:20" ht="14.25" customHeight="1" x14ac:dyDescent="0.3">
      <c r="B108" s="357"/>
      <c r="C108" s="357"/>
      <c r="D108" s="119" t="s">
        <v>9</v>
      </c>
      <c r="E108" s="66" t="str">
        <f>IF($J$101=0,"",INDEX(D_FO_PERF,$J$101))</f>
        <v/>
      </c>
      <c r="F108" s="66" t="str">
        <f>IF($J$101=0,"",INDEX(D_FO_NIV,$J$101))</f>
        <v/>
      </c>
      <c r="G108" s="66" t="str">
        <f>IF($K$101=0,"",INDEX(D_FO_PERF,$K$101))</f>
        <v/>
      </c>
      <c r="H108" s="66" t="str">
        <f>IF($K$101=0,"",INDEX(D_FO_NIV,$K$101))</f>
        <v/>
      </c>
      <c r="I108" s="66" t="str">
        <f t="shared" si="18"/>
        <v>Non testé</v>
      </c>
      <c r="L108" s="116" t="str">
        <f>IFERROR(ROUND(AVERAGEIFS(D_FO_NIV,D_ANNEE,B101,D_NIVEAU,C101,D_FO_NIV,"&gt;0"),1),"Non réalisée")</f>
        <v>Non réalisée</v>
      </c>
      <c r="S108" t="str">
        <f t="shared" si="16"/>
        <v/>
      </c>
      <c r="T108" t="str">
        <f t="shared" si="17"/>
        <v/>
      </c>
    </row>
    <row r="109" spans="2:20" ht="14.25" customHeight="1" x14ac:dyDescent="0.3">
      <c r="B109" s="355" t="str">
        <f>INDEX(LISTE_ANNEES,7)</f>
        <v>2031-2032</v>
      </c>
      <c r="C109" s="356" t="str">
        <f>IF(AND($J$109=0,$K$109=0),"",IF($J$109&lt;&gt;0,INDEX(D_NIVEAU,$J$109),INDEX(D_NIVEAU,$K$109)))</f>
        <v/>
      </c>
      <c r="D109" s="213" t="s">
        <v>2</v>
      </c>
      <c r="E109" s="63" t="str">
        <f>IF($J$109=0,"",INDEX(D_EQ_PERF,$J$109))</f>
        <v/>
      </c>
      <c r="F109" s="63" t="str">
        <f>IF($J$109=0,"",INDEX(D_EQ_NIV,$J$109))</f>
        <v/>
      </c>
      <c r="G109" s="63" t="str">
        <f>IF($K$109=0,"",INDEX(D_EQ_PERF,$K$109))</f>
        <v/>
      </c>
      <c r="H109" s="63" t="str">
        <f>IF($K$109=0,"",INDEX(D_EQ_NIV,$K$109))</f>
        <v/>
      </c>
      <c r="I109" s="63" t="str">
        <f t="shared" si="18"/>
        <v>Non testé</v>
      </c>
      <c r="J109">
        <f>IFERROR(MATCH($J$4&amp;"|"&amp;$B$109&amp;"|"&amp;"S1",D_KEY,0),0)</f>
        <v>0</v>
      </c>
      <c r="K109">
        <f>IFERROR(MATCH($J$4&amp;"|"&amp;$B$109&amp;"|"&amp;"S2",D_KEY,0),0)</f>
        <v>0</v>
      </c>
      <c r="L109" s="116" t="str">
        <f>IFERROR(ROUND(AVERAGEIFS(D_EQ_NIV,D_ANNEE,B109,D_NIVEAU,C109,D_EQ_NIV,"&gt;0"),1),"Non réalisée")</f>
        <v>Non réalisée</v>
      </c>
      <c r="S109" t="str">
        <f t="shared" si="16"/>
        <v/>
      </c>
      <c r="T109" t="str">
        <f t="shared" si="17"/>
        <v/>
      </c>
    </row>
    <row r="110" spans="2:20" ht="14.25" customHeight="1" x14ac:dyDescent="0.3">
      <c r="B110" s="355"/>
      <c r="C110" s="355"/>
      <c r="D110" s="115" t="s">
        <v>3</v>
      </c>
      <c r="E110" s="63" t="str">
        <f>IF($J$109=0,"",INDEX(D_SO_PERF,$J$109))</f>
        <v/>
      </c>
      <c r="F110" s="63" t="str">
        <f>IF($J$109=0,"",INDEX(D_SO_NIV,$J$109))</f>
        <v/>
      </c>
      <c r="G110" s="63" t="str">
        <f>IF($K$109=0,"",INDEX(D_SO_PERF,$K$109))</f>
        <v/>
      </c>
      <c r="H110" s="63" t="str">
        <f>IF($K$109=0,"",INDEX(D_SO_NIV,$K$109))</f>
        <v/>
      </c>
      <c r="I110" s="63" t="str">
        <f t="shared" si="18"/>
        <v>Non testé</v>
      </c>
      <c r="L110" s="116" t="str">
        <f>IFERROR(ROUND(AVERAGEIFS(D_SO_NIV,D_ANNEE,B109,D_NIVEAU,C109,D_SO_NIV,"&gt;0"),1),"Non réalisée")</f>
        <v>Non réalisée</v>
      </c>
      <c r="S110" t="str">
        <f t="shared" si="16"/>
        <v/>
      </c>
      <c r="T110" t="str">
        <f t="shared" si="17"/>
        <v/>
      </c>
    </row>
    <row r="111" spans="2:20" ht="14.25" customHeight="1" x14ac:dyDescent="0.3">
      <c r="B111" s="355"/>
      <c r="C111" s="355"/>
      <c r="D111" s="115" t="s">
        <v>4</v>
      </c>
      <c r="E111" s="63" t="str">
        <f>IF($J$109=0,"",INDEX(D_VI_PERF,$J$109))</f>
        <v/>
      </c>
      <c r="F111" s="63" t="str">
        <f>IF($J$109=0,"",INDEX(D_VI_NIV,$J$109))</f>
        <v/>
      </c>
      <c r="G111" s="63" t="str">
        <f>IF($K$109=0,"",INDEX(D_VI_PERF,$K$109))</f>
        <v/>
      </c>
      <c r="H111" s="63" t="str">
        <f>IF($K$109=0,"",INDEX(D_VI_NIV,$K$109))</f>
        <v/>
      </c>
      <c r="I111" s="63" t="str">
        <f t="shared" si="18"/>
        <v>Non testé</v>
      </c>
      <c r="L111" s="116" t="str">
        <f>IFERROR(ROUND(AVERAGEIFS(D_VI_NIV,D_ANNEE,B109,D_NIVEAU,C109,D_VI_NIV,"&gt;0"),1),"Non réalisée")</f>
        <v>Non réalisée</v>
      </c>
      <c r="S111" t="str">
        <f t="shared" si="16"/>
        <v/>
      </c>
      <c r="T111" t="str">
        <f t="shared" si="17"/>
        <v/>
      </c>
    </row>
    <row r="112" spans="2:20" ht="14.25" customHeight="1" x14ac:dyDescent="0.3">
      <c r="B112" s="355"/>
      <c r="C112" s="355"/>
      <c r="D112" s="115" t="s">
        <v>5</v>
      </c>
      <c r="E112" s="63" t="str">
        <f>IF($J$109=0,"",INDEX(D_EN_PERF,$J$109))</f>
        <v/>
      </c>
      <c r="F112" s="63" t="str">
        <f>IF($J$109=0,"",INDEX(D_EN_NIV,$J$109))</f>
        <v/>
      </c>
      <c r="G112" s="63" t="str">
        <f>IF($K$109=0,"",INDEX(D_EN_PERF,$K$109))</f>
        <v/>
      </c>
      <c r="H112" s="63" t="str">
        <f>IF($K$109=0,"",INDEX(D_EN_NIV,$K$109))</f>
        <v/>
      </c>
      <c r="I112" s="63" t="str">
        <f t="shared" si="18"/>
        <v>Non testé</v>
      </c>
      <c r="L112" s="116" t="str">
        <f>IFERROR(ROUND(AVERAGEIFS(D_EN_NIV,D_ANNEE,B109,D_NIVEAU,C109,D_EN_NIV,"&gt;0"),1),"Non réalisée")</f>
        <v>Non réalisée</v>
      </c>
      <c r="S112" t="str">
        <f t="shared" si="16"/>
        <v/>
      </c>
      <c r="T112" t="str">
        <f t="shared" si="17"/>
        <v/>
      </c>
    </row>
    <row r="113" spans="2:20" ht="14.25" customHeight="1" x14ac:dyDescent="0.3">
      <c r="B113" s="355"/>
      <c r="C113" s="355"/>
      <c r="D113" s="115" t="s">
        <v>6</v>
      </c>
      <c r="E113" s="63" t="str">
        <f>IF($J$109=0,"",INDEX(D_CO_PERF,$J$109))</f>
        <v/>
      </c>
      <c r="F113" s="63" t="str">
        <f>IF($J$109=0,"",INDEX(D_CO_NIV,$J$109))</f>
        <v/>
      </c>
      <c r="G113" s="63" t="str">
        <f>IF($K$109=0,"",INDEX(D_CO_PERF,$K$109))</f>
        <v/>
      </c>
      <c r="H113" s="63" t="str">
        <f>IF($K$109=0,"",INDEX(D_CO_NIV,$K$109))</f>
        <v/>
      </c>
      <c r="I113" s="63" t="str">
        <f t="shared" si="18"/>
        <v>Non testé</v>
      </c>
      <c r="L113" s="116" t="str">
        <f>IFERROR(ROUND(AVERAGEIFS(D_CO_NIV,D_ANNEE,B109,D_NIVEAU,C109,D_CO_NIV,"&gt;0"),1),"Non réalisée")</f>
        <v>Non réalisée</v>
      </c>
      <c r="S113" t="str">
        <f t="shared" si="16"/>
        <v/>
      </c>
      <c r="T113" t="str">
        <f t="shared" si="17"/>
        <v/>
      </c>
    </row>
    <row r="114" spans="2:20" ht="14.25" customHeight="1" x14ac:dyDescent="0.3">
      <c r="B114" s="355"/>
      <c r="C114" s="355"/>
      <c r="D114" s="115" t="s">
        <v>7</v>
      </c>
      <c r="E114" s="63" t="str">
        <f>IF($J$109=0,"",INDEX(D_GA_PERF,$J$109))</f>
        <v/>
      </c>
      <c r="F114" s="63" t="str">
        <f>IF($J$109=0,"",INDEX(D_GA_NIV,$J$109))</f>
        <v/>
      </c>
      <c r="G114" s="63" t="str">
        <f>IF($K$109=0,"",INDEX(D_GA_PERF,$K$109))</f>
        <v/>
      </c>
      <c r="H114" s="63" t="str">
        <f>IF($K$109=0,"",INDEX(D_GA_NIV,$K$109))</f>
        <v/>
      </c>
      <c r="I114" s="63" t="str">
        <f t="shared" si="18"/>
        <v>Non testé</v>
      </c>
      <c r="L114" s="116" t="str">
        <f>IFERROR(ROUND(AVERAGEIFS(D_GA_NIV,D_ANNEE,B109,D_NIVEAU,C109,D_GA_NIV,"&gt;0"),1),"Non réalisée")</f>
        <v>Non réalisée</v>
      </c>
      <c r="S114" t="str">
        <f t="shared" si="16"/>
        <v/>
      </c>
      <c r="T114" t="str">
        <f t="shared" si="17"/>
        <v/>
      </c>
    </row>
    <row r="115" spans="2:20" ht="14.25" customHeight="1" x14ac:dyDescent="0.3">
      <c r="B115" s="355"/>
      <c r="C115" s="355"/>
      <c r="D115" s="115" t="s">
        <v>8</v>
      </c>
      <c r="E115" s="63" t="str">
        <f>IF($J$109=0,"",INDEX(D_AD_PERF,$J$109))</f>
        <v/>
      </c>
      <c r="F115" s="63" t="str">
        <f>IF($J$109=0,"",INDEX(D_AD_NIV,$J$109))</f>
        <v/>
      </c>
      <c r="G115" s="63" t="str">
        <f>IF($K$109=0,"",INDEX(D_AD_PERF,$K$109))</f>
        <v/>
      </c>
      <c r="H115" s="63" t="str">
        <f>IF($K$109=0,"",INDEX(D_AD_NIV,$K$109))</f>
        <v/>
      </c>
      <c r="I115" s="63" t="str">
        <f t="shared" si="18"/>
        <v>Non testé</v>
      </c>
      <c r="L115" s="116" t="str">
        <f>IFERROR(ROUND(AVERAGEIFS(D_AD_NIV,D_ANNEE,B109,D_NIVEAU,C109,D_AD_NIV,"&gt;0"),1),"Non réalisée")</f>
        <v>Non réalisée</v>
      </c>
      <c r="S115" t="str">
        <f t="shared" si="16"/>
        <v/>
      </c>
      <c r="T115" t="str">
        <f t="shared" si="17"/>
        <v/>
      </c>
    </row>
    <row r="116" spans="2:20" ht="14.25" customHeight="1" x14ac:dyDescent="0.3">
      <c r="B116" s="355"/>
      <c r="C116" s="355"/>
      <c r="D116" s="115" t="s">
        <v>9</v>
      </c>
      <c r="E116" s="63" t="str">
        <f>IF($J$109=0,"",INDEX(D_FO_PERF,$J$109))</f>
        <v/>
      </c>
      <c r="F116" s="63" t="str">
        <f>IF($J$109=0,"",INDEX(D_FO_NIV,$J$109))</f>
        <v/>
      </c>
      <c r="G116" s="63" t="str">
        <f>IF($K$109=0,"",INDEX(D_FO_PERF,$K$109))</f>
        <v/>
      </c>
      <c r="H116" s="63" t="str">
        <f>IF($K$109=0,"",INDEX(D_FO_NIV,$K$109))</f>
        <v/>
      </c>
      <c r="I116" s="63" t="str">
        <f t="shared" si="18"/>
        <v>Non testé</v>
      </c>
      <c r="L116" s="116" t="str">
        <f>IFERROR(ROUND(AVERAGEIFS(D_FO_NIV,D_ANNEE,B109,D_NIVEAU,C109,D_FO_NIV,"&gt;0"),1),"Non réalisée")</f>
        <v>Non réalisée</v>
      </c>
      <c r="S116" t="str">
        <f t="shared" si="16"/>
        <v/>
      </c>
      <c r="T116" t="str">
        <f t="shared" si="17"/>
        <v/>
      </c>
    </row>
    <row r="117" spans="2:20" ht="14.25" customHeight="1" x14ac:dyDescent="0.3">
      <c r="B117" s="357" t="str">
        <f>INDEX(LISTE_ANNEES,8)</f>
        <v>2032-2033</v>
      </c>
      <c r="C117" s="358" t="str">
        <f>IF(AND($J$117=0,$K$117=0),"",IF($J$117&lt;&gt;0,INDEX(D_NIVEAU,$J$117),INDEX(D_NIVEAU,$K$117)))</f>
        <v/>
      </c>
      <c r="D117" s="213" t="s">
        <v>2</v>
      </c>
      <c r="E117" s="66" t="str">
        <f>IF($J$117=0,"",INDEX(D_EQ_PERF,$J$117))</f>
        <v/>
      </c>
      <c r="F117" s="66" t="str">
        <f>IF($J$117=0,"",INDEX(D_EQ_NIV,$J$117))</f>
        <v/>
      </c>
      <c r="G117" s="66" t="str">
        <f>IF($K$117=0,"",INDEX(D_EQ_PERF,$K$117))</f>
        <v/>
      </c>
      <c r="H117" s="66" t="str">
        <f>IF($K$117=0,"",INDEX(D_EQ_NIV,$K$117))</f>
        <v/>
      </c>
      <c r="I117" s="66" t="str">
        <f t="shared" si="18"/>
        <v>Non testé</v>
      </c>
      <c r="J117">
        <f>IFERROR(MATCH($J$4&amp;"|"&amp;$B$117&amp;"|"&amp;"S1",D_KEY,0),0)</f>
        <v>0</v>
      </c>
      <c r="K117">
        <f>IFERROR(MATCH($J$4&amp;"|"&amp;$B$117&amp;"|"&amp;"S2",D_KEY,0),0)</f>
        <v>0</v>
      </c>
      <c r="L117" s="116" t="str">
        <f>IFERROR(ROUND(AVERAGEIFS(D_EQ_NIV,D_ANNEE,B117,D_NIVEAU,C117,D_EQ_NIV,"&gt;0"),1),"Non réalisée")</f>
        <v>Non réalisée</v>
      </c>
      <c r="S117" t="str">
        <f t="shared" si="16"/>
        <v/>
      </c>
      <c r="T117" t="str">
        <f t="shared" si="17"/>
        <v/>
      </c>
    </row>
    <row r="118" spans="2:20" ht="14.25" customHeight="1" x14ac:dyDescent="0.3">
      <c r="B118" s="357"/>
      <c r="C118" s="357"/>
      <c r="D118" s="119" t="s">
        <v>3</v>
      </c>
      <c r="E118" s="66" t="str">
        <f>IF($J$117=0,"",INDEX(D_SO_PERF,$J$117))</f>
        <v/>
      </c>
      <c r="F118" s="66" t="str">
        <f>IF($J$117=0,"",INDEX(D_SO_NIV,$J$117))</f>
        <v/>
      </c>
      <c r="G118" s="66" t="str">
        <f>IF($K$117=0,"",INDEX(D_SO_PERF,$K$117))</f>
        <v/>
      </c>
      <c r="H118" s="66" t="str">
        <f>IF($K$117=0,"",INDEX(D_SO_NIV,$K$117))</f>
        <v/>
      </c>
      <c r="I118" s="66" t="str">
        <f t="shared" si="18"/>
        <v>Non testé</v>
      </c>
      <c r="L118" s="116" t="str">
        <f>IFERROR(ROUND(AVERAGEIFS(D_SO_NIV,D_ANNEE,B117,D_NIVEAU,C117,D_SO_NIV,"&gt;0"),1),"Non réalisée")</f>
        <v>Non réalisée</v>
      </c>
      <c r="S118" t="str">
        <f t="shared" si="16"/>
        <v/>
      </c>
      <c r="T118" t="str">
        <f t="shared" si="17"/>
        <v/>
      </c>
    </row>
    <row r="119" spans="2:20" ht="14.25" customHeight="1" x14ac:dyDescent="0.3">
      <c r="B119" s="357"/>
      <c r="C119" s="357"/>
      <c r="D119" s="119" t="s">
        <v>4</v>
      </c>
      <c r="E119" s="66" t="str">
        <f>IF($J$117=0,"",INDEX(D_VI_PERF,$J$117))</f>
        <v/>
      </c>
      <c r="F119" s="66" t="str">
        <f>IF($J$117=0,"",INDEX(D_VI_NIV,$J$117))</f>
        <v/>
      </c>
      <c r="G119" s="66" t="str">
        <f>IF($K$117=0,"",INDEX(D_VI_PERF,$K$117))</f>
        <v/>
      </c>
      <c r="H119" s="66" t="str">
        <f>IF($K$117=0,"",INDEX(D_VI_NIV,$K$117))</f>
        <v/>
      </c>
      <c r="I119" s="66" t="str">
        <f t="shared" si="18"/>
        <v>Non testé</v>
      </c>
      <c r="L119" s="116" t="str">
        <f>IFERROR(ROUND(AVERAGEIFS(D_VI_NIV,D_ANNEE,B117,D_NIVEAU,C117,D_VI_NIV,"&gt;0"),1),"Non réalisée")</f>
        <v>Non réalisée</v>
      </c>
      <c r="S119" t="str">
        <f t="shared" si="16"/>
        <v/>
      </c>
      <c r="T119" t="str">
        <f t="shared" si="17"/>
        <v/>
      </c>
    </row>
    <row r="120" spans="2:20" ht="14.25" customHeight="1" x14ac:dyDescent="0.3">
      <c r="B120" s="357"/>
      <c r="C120" s="357"/>
      <c r="D120" s="119" t="s">
        <v>5</v>
      </c>
      <c r="E120" s="66" t="str">
        <f>IF($J$117=0,"",INDEX(D_EN_PERF,$J$117))</f>
        <v/>
      </c>
      <c r="F120" s="66" t="str">
        <f>IF($J$117=0,"",INDEX(D_EN_NIV,$J$117))</f>
        <v/>
      </c>
      <c r="G120" s="66" t="str">
        <f>IF($K$117=0,"",INDEX(D_EN_PERF,$K$117))</f>
        <v/>
      </c>
      <c r="H120" s="66" t="str">
        <f>IF($K$117=0,"",INDEX(D_EN_NIV,$K$117))</f>
        <v/>
      </c>
      <c r="I120" s="66" t="str">
        <f t="shared" si="18"/>
        <v>Non testé</v>
      </c>
      <c r="L120" s="116" t="str">
        <f>IFERROR(ROUND(AVERAGEIFS(D_EN_NIV,D_ANNEE,B117,D_NIVEAU,C117,D_EN_NIV,"&gt;0"),1),"Non réalisée")</f>
        <v>Non réalisée</v>
      </c>
      <c r="S120" t="str">
        <f t="shared" si="16"/>
        <v/>
      </c>
      <c r="T120" t="str">
        <f t="shared" si="17"/>
        <v/>
      </c>
    </row>
    <row r="121" spans="2:20" ht="14.25" customHeight="1" x14ac:dyDescent="0.3">
      <c r="B121" s="357"/>
      <c r="C121" s="357"/>
      <c r="D121" s="119" t="s">
        <v>6</v>
      </c>
      <c r="E121" s="66" t="str">
        <f>IF($J$117=0,"",INDEX(D_CO_PERF,$J$117))</f>
        <v/>
      </c>
      <c r="F121" s="66" t="str">
        <f>IF($J$117=0,"",INDEX(D_CO_NIV,$J$117))</f>
        <v/>
      </c>
      <c r="G121" s="66" t="str">
        <f>IF($K$117=0,"",INDEX(D_CO_PERF,$K$117))</f>
        <v/>
      </c>
      <c r="H121" s="66" t="str">
        <f>IF($K$117=0,"",INDEX(D_CO_NIV,$K$117))</f>
        <v/>
      </c>
      <c r="I121" s="66" t="str">
        <f t="shared" si="18"/>
        <v>Non testé</v>
      </c>
      <c r="L121" s="116" t="str">
        <f>IFERROR(ROUND(AVERAGEIFS(D_CO_NIV,D_ANNEE,B117,D_NIVEAU,C117,D_CO_NIV,"&gt;0"),1),"Non réalisée")</f>
        <v>Non réalisée</v>
      </c>
      <c r="S121" t="str">
        <f t="shared" si="16"/>
        <v/>
      </c>
      <c r="T121" t="str">
        <f t="shared" si="17"/>
        <v/>
      </c>
    </row>
    <row r="122" spans="2:20" ht="14.25" customHeight="1" x14ac:dyDescent="0.3">
      <c r="B122" s="357"/>
      <c r="C122" s="357"/>
      <c r="D122" s="119" t="s">
        <v>7</v>
      </c>
      <c r="E122" s="66" t="str">
        <f>IF($J$117=0,"",INDEX(D_GA_PERF,$J$117))</f>
        <v/>
      </c>
      <c r="F122" s="66" t="str">
        <f>IF($J$117=0,"",INDEX(D_GA_NIV,$J$117))</f>
        <v/>
      </c>
      <c r="G122" s="66" t="str">
        <f>IF($K$117=0,"",INDEX(D_GA_PERF,$K$117))</f>
        <v/>
      </c>
      <c r="H122" s="66" t="str">
        <f>IF($K$117=0,"",INDEX(D_GA_NIV,$K$117))</f>
        <v/>
      </c>
      <c r="I122" s="66" t="str">
        <f t="shared" si="18"/>
        <v>Non testé</v>
      </c>
      <c r="L122" s="116" t="str">
        <f>IFERROR(ROUND(AVERAGEIFS(D_GA_NIV,D_ANNEE,B117,D_NIVEAU,C117,D_GA_NIV,"&gt;0"),1),"Non réalisée")</f>
        <v>Non réalisée</v>
      </c>
      <c r="S122" t="str">
        <f t="shared" si="16"/>
        <v/>
      </c>
      <c r="T122" t="str">
        <f t="shared" si="17"/>
        <v/>
      </c>
    </row>
    <row r="123" spans="2:20" ht="14.25" customHeight="1" x14ac:dyDescent="0.3">
      <c r="B123" s="357"/>
      <c r="C123" s="357"/>
      <c r="D123" s="119" t="s">
        <v>8</v>
      </c>
      <c r="E123" s="66" t="str">
        <f>IF($J$117=0,"",INDEX(D_AD_PERF,$J$117))</f>
        <v/>
      </c>
      <c r="F123" s="66" t="str">
        <f>IF($J$117=0,"",INDEX(D_AD_NIV,$J$117))</f>
        <v/>
      </c>
      <c r="G123" s="66" t="str">
        <f>IF($K$117=0,"",INDEX(D_AD_PERF,$K$117))</f>
        <v/>
      </c>
      <c r="H123" s="66" t="str">
        <f>IF($K$117=0,"",INDEX(D_AD_NIV,$K$117))</f>
        <v/>
      </c>
      <c r="I123" s="66" t="str">
        <f t="shared" si="18"/>
        <v>Non testé</v>
      </c>
      <c r="L123" s="116" t="str">
        <f>IFERROR(ROUND(AVERAGEIFS(D_AD_NIV,D_ANNEE,B117,D_NIVEAU,C117,D_AD_NIV,"&gt;0"),1),"Non réalisée")</f>
        <v>Non réalisée</v>
      </c>
      <c r="S123" t="str">
        <f t="shared" si="16"/>
        <v/>
      </c>
      <c r="T123" t="str">
        <f t="shared" si="17"/>
        <v/>
      </c>
    </row>
    <row r="124" spans="2:20" ht="14.25" customHeight="1" x14ac:dyDescent="0.3">
      <c r="B124" s="357"/>
      <c r="C124" s="357"/>
      <c r="D124" s="119" t="s">
        <v>9</v>
      </c>
      <c r="E124" s="66" t="str">
        <f>IF($J$117=0,"",INDEX(D_FO_PERF,$J$117))</f>
        <v/>
      </c>
      <c r="F124" s="66" t="str">
        <f>IF($J$117=0,"",INDEX(D_FO_NIV,$J$117))</f>
        <v/>
      </c>
      <c r="G124" s="66" t="str">
        <f>IF($K$117=0,"",INDEX(D_FO_PERF,$K$117))</f>
        <v/>
      </c>
      <c r="H124" s="66" t="str">
        <f>IF($K$117=0,"",INDEX(D_FO_NIV,$K$117))</f>
        <v/>
      </c>
      <c r="I124" s="66" t="str">
        <f t="shared" si="18"/>
        <v>Non testé</v>
      </c>
      <c r="L124" s="116" t="str">
        <f>IFERROR(ROUND(AVERAGEIFS(D_FO_NIV,D_ANNEE,B117,D_NIVEAU,C117,D_FO_NIV,"&gt;0"),1),"Non réalisée")</f>
        <v>Non réalisée</v>
      </c>
      <c r="S124" t="str">
        <f t="shared" si="16"/>
        <v/>
      </c>
      <c r="T124" t="str">
        <f t="shared" si="17"/>
        <v/>
      </c>
    </row>
    <row r="125" spans="2:20" ht="14.25" customHeight="1" x14ac:dyDescent="0.3">
      <c r="S125" t="str">
        <f t="shared" si="16"/>
        <v/>
      </c>
      <c r="T125" t="str">
        <f t="shared" si="17"/>
        <v/>
      </c>
    </row>
    <row r="126" spans="2:20" ht="14.25" customHeight="1" x14ac:dyDescent="0.3">
      <c r="S126" t="str">
        <f t="shared" si="16"/>
        <v/>
      </c>
      <c r="T126" t="str">
        <f t="shared" si="17"/>
        <v/>
      </c>
    </row>
    <row r="127" spans="2:20" ht="14.25" customHeight="1" x14ac:dyDescent="0.3">
      <c r="S127" t="str">
        <f t="shared" si="16"/>
        <v/>
      </c>
      <c r="T127" t="str">
        <f t="shared" si="17"/>
        <v/>
      </c>
    </row>
    <row r="128" spans="2:20" ht="14.25" customHeight="1" x14ac:dyDescent="0.3">
      <c r="S128" t="str">
        <f t="shared" si="16"/>
        <v/>
      </c>
      <c r="T128" t="str">
        <f t="shared" si="17"/>
        <v/>
      </c>
    </row>
    <row r="129" spans="19:20" ht="14.25" customHeight="1" x14ac:dyDescent="0.3">
      <c r="S129" t="str">
        <f t="shared" si="16"/>
        <v/>
      </c>
      <c r="T129" t="str">
        <f t="shared" si="17"/>
        <v/>
      </c>
    </row>
    <row r="130" spans="19:20" ht="14.25" customHeight="1" x14ac:dyDescent="0.3">
      <c r="S130" t="str">
        <f t="shared" ref="S130:S193" si="19">IFERROR(INDEX(D_IDUNIQUE,MATCH(ROW()-1,D_RANG_SUIVI,0)),"")</f>
        <v/>
      </c>
      <c r="T130" t="str">
        <f t="shared" ref="T130:T193" si="20">IF($S130="","",UPPER(INDEX(D_NOM,MATCH($S130,D_ID,0)))&amp;" "&amp;INDEX(D_PRENOM,MATCH($S130,D_ID,0))&amp;" — "&amp;INDEX(D_NIVEAU_ACTUEL,MATCH($S130,D_ID,0)))</f>
        <v/>
      </c>
    </row>
    <row r="131" spans="19:20" ht="14.25" customHeight="1" x14ac:dyDescent="0.3">
      <c r="S131" t="str">
        <f t="shared" si="19"/>
        <v/>
      </c>
      <c r="T131" t="str">
        <f t="shared" si="20"/>
        <v/>
      </c>
    </row>
    <row r="132" spans="19:20" ht="14.25" customHeight="1" x14ac:dyDescent="0.3">
      <c r="S132" t="str">
        <f t="shared" si="19"/>
        <v/>
      </c>
      <c r="T132" t="str">
        <f t="shared" si="20"/>
        <v/>
      </c>
    </row>
    <row r="133" spans="19:20" ht="14.25" customHeight="1" x14ac:dyDescent="0.3">
      <c r="S133" t="str">
        <f t="shared" si="19"/>
        <v/>
      </c>
      <c r="T133" t="str">
        <f t="shared" si="20"/>
        <v/>
      </c>
    </row>
    <row r="134" spans="19:20" ht="14.25" customHeight="1" x14ac:dyDescent="0.3">
      <c r="S134" t="str">
        <f t="shared" si="19"/>
        <v/>
      </c>
      <c r="T134" t="str">
        <f t="shared" si="20"/>
        <v/>
      </c>
    </row>
    <row r="135" spans="19:20" ht="14.25" customHeight="1" x14ac:dyDescent="0.3">
      <c r="S135" t="str">
        <f t="shared" si="19"/>
        <v/>
      </c>
      <c r="T135" t="str">
        <f t="shared" si="20"/>
        <v/>
      </c>
    </row>
    <row r="136" spans="19:20" ht="14.25" customHeight="1" x14ac:dyDescent="0.3">
      <c r="S136" t="str">
        <f t="shared" si="19"/>
        <v/>
      </c>
      <c r="T136" t="str">
        <f t="shared" si="20"/>
        <v/>
      </c>
    </row>
    <row r="137" spans="19:20" ht="14.25" customHeight="1" x14ac:dyDescent="0.3">
      <c r="S137" t="str">
        <f t="shared" si="19"/>
        <v/>
      </c>
      <c r="T137" t="str">
        <f t="shared" si="20"/>
        <v/>
      </c>
    </row>
    <row r="138" spans="19:20" ht="14.25" customHeight="1" x14ac:dyDescent="0.3">
      <c r="S138" t="str">
        <f t="shared" si="19"/>
        <v/>
      </c>
      <c r="T138" t="str">
        <f t="shared" si="20"/>
        <v/>
      </c>
    </row>
    <row r="139" spans="19:20" ht="14.25" customHeight="1" x14ac:dyDescent="0.3">
      <c r="S139" t="str">
        <f t="shared" si="19"/>
        <v/>
      </c>
      <c r="T139" t="str">
        <f t="shared" si="20"/>
        <v/>
      </c>
    </row>
    <row r="140" spans="19:20" ht="14.25" customHeight="1" x14ac:dyDescent="0.3">
      <c r="S140" t="str">
        <f t="shared" si="19"/>
        <v/>
      </c>
      <c r="T140" t="str">
        <f t="shared" si="20"/>
        <v/>
      </c>
    </row>
    <row r="141" spans="19:20" ht="14.25" customHeight="1" x14ac:dyDescent="0.3">
      <c r="S141" t="str">
        <f t="shared" si="19"/>
        <v/>
      </c>
      <c r="T141" t="str">
        <f t="shared" si="20"/>
        <v/>
      </c>
    </row>
    <row r="142" spans="19:20" ht="14.25" customHeight="1" x14ac:dyDescent="0.3">
      <c r="S142" t="str">
        <f t="shared" si="19"/>
        <v/>
      </c>
      <c r="T142" t="str">
        <f t="shared" si="20"/>
        <v/>
      </c>
    </row>
    <row r="143" spans="19:20" ht="14.25" customHeight="1" x14ac:dyDescent="0.3">
      <c r="S143" t="str">
        <f t="shared" si="19"/>
        <v/>
      </c>
      <c r="T143" t="str">
        <f t="shared" si="20"/>
        <v/>
      </c>
    </row>
    <row r="144" spans="19:20" ht="14.25" customHeight="1" x14ac:dyDescent="0.3">
      <c r="S144" t="str">
        <f t="shared" si="19"/>
        <v/>
      </c>
      <c r="T144" t="str">
        <f t="shared" si="20"/>
        <v/>
      </c>
    </row>
    <row r="145" spans="19:20" ht="14.25" customHeight="1" x14ac:dyDescent="0.3">
      <c r="S145" t="str">
        <f t="shared" si="19"/>
        <v/>
      </c>
      <c r="T145" t="str">
        <f t="shared" si="20"/>
        <v/>
      </c>
    </row>
    <row r="146" spans="19:20" ht="14.25" customHeight="1" x14ac:dyDescent="0.3">
      <c r="S146" t="str">
        <f t="shared" si="19"/>
        <v/>
      </c>
      <c r="T146" t="str">
        <f t="shared" si="20"/>
        <v/>
      </c>
    </row>
    <row r="147" spans="19:20" ht="14.25" customHeight="1" x14ac:dyDescent="0.3">
      <c r="S147" t="str">
        <f t="shared" si="19"/>
        <v/>
      </c>
      <c r="T147" t="str">
        <f t="shared" si="20"/>
        <v/>
      </c>
    </row>
    <row r="148" spans="19:20" ht="14.25" customHeight="1" x14ac:dyDescent="0.3">
      <c r="S148" t="str">
        <f t="shared" si="19"/>
        <v/>
      </c>
      <c r="T148" t="str">
        <f t="shared" si="20"/>
        <v/>
      </c>
    </row>
    <row r="149" spans="19:20" ht="14.25" customHeight="1" x14ac:dyDescent="0.3">
      <c r="S149" t="str">
        <f t="shared" si="19"/>
        <v/>
      </c>
      <c r="T149" t="str">
        <f t="shared" si="20"/>
        <v/>
      </c>
    </row>
    <row r="150" spans="19:20" ht="14.25" customHeight="1" x14ac:dyDescent="0.3">
      <c r="S150" t="str">
        <f t="shared" si="19"/>
        <v/>
      </c>
      <c r="T150" t="str">
        <f t="shared" si="20"/>
        <v/>
      </c>
    </row>
    <row r="151" spans="19:20" ht="14.25" customHeight="1" x14ac:dyDescent="0.3">
      <c r="S151" t="str">
        <f t="shared" si="19"/>
        <v/>
      </c>
      <c r="T151" t="str">
        <f t="shared" si="20"/>
        <v/>
      </c>
    </row>
    <row r="152" spans="19:20" ht="14.25" customHeight="1" x14ac:dyDescent="0.3">
      <c r="S152" t="str">
        <f t="shared" si="19"/>
        <v/>
      </c>
      <c r="T152" t="str">
        <f t="shared" si="20"/>
        <v/>
      </c>
    </row>
    <row r="153" spans="19:20" ht="14.25" customHeight="1" x14ac:dyDescent="0.3">
      <c r="S153" t="str">
        <f t="shared" si="19"/>
        <v/>
      </c>
      <c r="T153" t="str">
        <f t="shared" si="20"/>
        <v/>
      </c>
    </row>
    <row r="154" spans="19:20" ht="14.25" customHeight="1" x14ac:dyDescent="0.3">
      <c r="S154" t="str">
        <f t="shared" si="19"/>
        <v/>
      </c>
      <c r="T154" t="str">
        <f t="shared" si="20"/>
        <v/>
      </c>
    </row>
    <row r="155" spans="19:20" ht="14.25" customHeight="1" x14ac:dyDescent="0.3">
      <c r="S155" t="str">
        <f t="shared" si="19"/>
        <v/>
      </c>
      <c r="T155" t="str">
        <f t="shared" si="20"/>
        <v/>
      </c>
    </row>
    <row r="156" spans="19:20" ht="14.25" customHeight="1" x14ac:dyDescent="0.3">
      <c r="S156" t="str">
        <f t="shared" si="19"/>
        <v/>
      </c>
      <c r="T156" t="str">
        <f t="shared" si="20"/>
        <v/>
      </c>
    </row>
    <row r="157" spans="19:20" ht="14.25" customHeight="1" x14ac:dyDescent="0.3">
      <c r="S157" t="str">
        <f t="shared" si="19"/>
        <v/>
      </c>
      <c r="T157" t="str">
        <f t="shared" si="20"/>
        <v/>
      </c>
    </row>
    <row r="158" spans="19:20" ht="14.25" customHeight="1" x14ac:dyDescent="0.3">
      <c r="S158" t="str">
        <f t="shared" si="19"/>
        <v/>
      </c>
      <c r="T158" t="str">
        <f t="shared" si="20"/>
        <v/>
      </c>
    </row>
    <row r="159" spans="19:20" ht="14.25" customHeight="1" x14ac:dyDescent="0.3">
      <c r="S159" t="str">
        <f t="shared" si="19"/>
        <v/>
      </c>
      <c r="T159" t="str">
        <f t="shared" si="20"/>
        <v/>
      </c>
    </row>
    <row r="160" spans="19:20" ht="14.25" customHeight="1" x14ac:dyDescent="0.3">
      <c r="S160" t="str">
        <f t="shared" si="19"/>
        <v/>
      </c>
      <c r="T160" t="str">
        <f t="shared" si="20"/>
        <v/>
      </c>
    </row>
    <row r="161" spans="19:20" ht="14.25" customHeight="1" x14ac:dyDescent="0.3">
      <c r="S161" t="str">
        <f t="shared" si="19"/>
        <v/>
      </c>
      <c r="T161" t="str">
        <f t="shared" si="20"/>
        <v/>
      </c>
    </row>
    <row r="162" spans="19:20" ht="14.25" customHeight="1" x14ac:dyDescent="0.3">
      <c r="S162" t="str">
        <f t="shared" si="19"/>
        <v/>
      </c>
      <c r="T162" t="str">
        <f t="shared" si="20"/>
        <v/>
      </c>
    </row>
    <row r="163" spans="19:20" ht="14.25" customHeight="1" x14ac:dyDescent="0.3">
      <c r="S163" t="str">
        <f t="shared" si="19"/>
        <v/>
      </c>
      <c r="T163" t="str">
        <f t="shared" si="20"/>
        <v/>
      </c>
    </row>
    <row r="164" spans="19:20" ht="14.25" customHeight="1" x14ac:dyDescent="0.3">
      <c r="S164" t="str">
        <f t="shared" si="19"/>
        <v/>
      </c>
      <c r="T164" t="str">
        <f t="shared" si="20"/>
        <v/>
      </c>
    </row>
    <row r="165" spans="19:20" ht="14.25" customHeight="1" x14ac:dyDescent="0.3">
      <c r="S165" t="str">
        <f t="shared" si="19"/>
        <v/>
      </c>
      <c r="T165" t="str">
        <f t="shared" si="20"/>
        <v/>
      </c>
    </row>
    <row r="166" spans="19:20" ht="14.25" customHeight="1" x14ac:dyDescent="0.3">
      <c r="S166" t="str">
        <f t="shared" si="19"/>
        <v/>
      </c>
      <c r="T166" t="str">
        <f t="shared" si="20"/>
        <v/>
      </c>
    </row>
    <row r="167" spans="19:20" ht="14.25" customHeight="1" x14ac:dyDescent="0.3">
      <c r="S167" t="str">
        <f t="shared" si="19"/>
        <v/>
      </c>
      <c r="T167" t="str">
        <f t="shared" si="20"/>
        <v/>
      </c>
    </row>
    <row r="168" spans="19:20" ht="14.25" customHeight="1" x14ac:dyDescent="0.3">
      <c r="S168" t="str">
        <f t="shared" si="19"/>
        <v/>
      </c>
      <c r="T168" t="str">
        <f t="shared" si="20"/>
        <v/>
      </c>
    </row>
    <row r="169" spans="19:20" ht="14.25" customHeight="1" x14ac:dyDescent="0.3">
      <c r="S169" t="str">
        <f t="shared" si="19"/>
        <v/>
      </c>
      <c r="T169" t="str">
        <f t="shared" si="20"/>
        <v/>
      </c>
    </row>
    <row r="170" spans="19:20" ht="14.25" customHeight="1" x14ac:dyDescent="0.3">
      <c r="S170" t="str">
        <f t="shared" si="19"/>
        <v/>
      </c>
      <c r="T170" t="str">
        <f t="shared" si="20"/>
        <v/>
      </c>
    </row>
    <row r="171" spans="19:20" ht="14.25" customHeight="1" x14ac:dyDescent="0.3">
      <c r="S171" t="str">
        <f t="shared" si="19"/>
        <v/>
      </c>
      <c r="T171" t="str">
        <f t="shared" si="20"/>
        <v/>
      </c>
    </row>
    <row r="172" spans="19:20" ht="14.25" customHeight="1" x14ac:dyDescent="0.3">
      <c r="S172" t="str">
        <f t="shared" si="19"/>
        <v/>
      </c>
      <c r="T172" t="str">
        <f t="shared" si="20"/>
        <v/>
      </c>
    </row>
    <row r="173" spans="19:20" ht="14.25" customHeight="1" x14ac:dyDescent="0.3">
      <c r="S173" t="str">
        <f t="shared" si="19"/>
        <v/>
      </c>
      <c r="T173" t="str">
        <f t="shared" si="20"/>
        <v/>
      </c>
    </row>
    <row r="174" spans="19:20" ht="14.25" customHeight="1" x14ac:dyDescent="0.3">
      <c r="S174" t="str">
        <f t="shared" si="19"/>
        <v/>
      </c>
      <c r="T174" t="str">
        <f t="shared" si="20"/>
        <v/>
      </c>
    </row>
    <row r="175" spans="19:20" ht="14.25" customHeight="1" x14ac:dyDescent="0.3">
      <c r="S175" t="str">
        <f t="shared" si="19"/>
        <v/>
      </c>
      <c r="T175" t="str">
        <f t="shared" si="20"/>
        <v/>
      </c>
    </row>
    <row r="176" spans="19:20" ht="14.25" customHeight="1" x14ac:dyDescent="0.3">
      <c r="S176" t="str">
        <f t="shared" si="19"/>
        <v/>
      </c>
      <c r="T176" t="str">
        <f t="shared" si="20"/>
        <v/>
      </c>
    </row>
    <row r="177" spans="19:20" ht="14.25" customHeight="1" x14ac:dyDescent="0.3">
      <c r="S177" t="str">
        <f t="shared" si="19"/>
        <v/>
      </c>
      <c r="T177" t="str">
        <f t="shared" si="20"/>
        <v/>
      </c>
    </row>
    <row r="178" spans="19:20" ht="14.25" customHeight="1" x14ac:dyDescent="0.3">
      <c r="S178" t="str">
        <f t="shared" si="19"/>
        <v/>
      </c>
      <c r="T178" t="str">
        <f t="shared" si="20"/>
        <v/>
      </c>
    </row>
    <row r="179" spans="19:20" ht="14.25" customHeight="1" x14ac:dyDescent="0.3">
      <c r="S179" t="str">
        <f t="shared" si="19"/>
        <v/>
      </c>
      <c r="T179" t="str">
        <f t="shared" si="20"/>
        <v/>
      </c>
    </row>
    <row r="180" spans="19:20" ht="14.25" customHeight="1" x14ac:dyDescent="0.3">
      <c r="S180" t="str">
        <f t="shared" si="19"/>
        <v/>
      </c>
      <c r="T180" t="str">
        <f t="shared" si="20"/>
        <v/>
      </c>
    </row>
    <row r="181" spans="19:20" ht="14.25" customHeight="1" x14ac:dyDescent="0.3">
      <c r="S181" t="str">
        <f t="shared" si="19"/>
        <v/>
      </c>
      <c r="T181" t="str">
        <f t="shared" si="20"/>
        <v/>
      </c>
    </row>
    <row r="182" spans="19:20" ht="14.25" customHeight="1" x14ac:dyDescent="0.3">
      <c r="S182" t="str">
        <f t="shared" si="19"/>
        <v/>
      </c>
      <c r="T182" t="str">
        <f t="shared" si="20"/>
        <v/>
      </c>
    </row>
    <row r="183" spans="19:20" ht="14.25" customHeight="1" x14ac:dyDescent="0.3">
      <c r="S183" t="str">
        <f t="shared" si="19"/>
        <v/>
      </c>
      <c r="T183" t="str">
        <f t="shared" si="20"/>
        <v/>
      </c>
    </row>
    <row r="184" spans="19:20" ht="14.25" customHeight="1" x14ac:dyDescent="0.3">
      <c r="S184" t="str">
        <f t="shared" si="19"/>
        <v/>
      </c>
      <c r="T184" t="str">
        <f t="shared" si="20"/>
        <v/>
      </c>
    </row>
    <row r="185" spans="19:20" ht="14.25" customHeight="1" x14ac:dyDescent="0.3">
      <c r="S185" t="str">
        <f t="shared" si="19"/>
        <v/>
      </c>
      <c r="T185" t="str">
        <f t="shared" si="20"/>
        <v/>
      </c>
    </row>
    <row r="186" spans="19:20" ht="14.25" customHeight="1" x14ac:dyDescent="0.3">
      <c r="S186" t="str">
        <f t="shared" si="19"/>
        <v/>
      </c>
      <c r="T186" t="str">
        <f t="shared" si="20"/>
        <v/>
      </c>
    </row>
    <row r="187" spans="19:20" ht="14.25" customHeight="1" x14ac:dyDescent="0.3">
      <c r="S187" t="str">
        <f t="shared" si="19"/>
        <v/>
      </c>
      <c r="T187" t="str">
        <f t="shared" si="20"/>
        <v/>
      </c>
    </row>
    <row r="188" spans="19:20" ht="14.25" customHeight="1" x14ac:dyDescent="0.3">
      <c r="S188" t="str">
        <f t="shared" si="19"/>
        <v/>
      </c>
      <c r="T188" t="str">
        <f t="shared" si="20"/>
        <v/>
      </c>
    </row>
    <row r="189" spans="19:20" ht="14.25" customHeight="1" x14ac:dyDescent="0.3">
      <c r="S189" t="str">
        <f t="shared" si="19"/>
        <v/>
      </c>
      <c r="T189" t="str">
        <f t="shared" si="20"/>
        <v/>
      </c>
    </row>
    <row r="190" spans="19:20" ht="14.25" customHeight="1" x14ac:dyDescent="0.3">
      <c r="S190" t="str">
        <f t="shared" si="19"/>
        <v/>
      </c>
      <c r="T190" t="str">
        <f t="shared" si="20"/>
        <v/>
      </c>
    </row>
    <row r="191" spans="19:20" ht="14.25" customHeight="1" x14ac:dyDescent="0.3">
      <c r="S191" t="str">
        <f t="shared" si="19"/>
        <v/>
      </c>
      <c r="T191" t="str">
        <f t="shared" si="20"/>
        <v/>
      </c>
    </row>
    <row r="192" spans="19:20" ht="14.25" customHeight="1" x14ac:dyDescent="0.3">
      <c r="S192" t="str">
        <f t="shared" si="19"/>
        <v/>
      </c>
      <c r="T192" t="str">
        <f t="shared" si="20"/>
        <v/>
      </c>
    </row>
    <row r="193" spans="2:20" ht="14.25" customHeight="1" x14ac:dyDescent="0.3">
      <c r="S193" t="str">
        <f t="shared" si="19"/>
        <v/>
      </c>
      <c r="T193" t="str">
        <f t="shared" si="20"/>
        <v/>
      </c>
    </row>
    <row r="194" spans="2:20" ht="14.25" customHeight="1" x14ac:dyDescent="0.3">
      <c r="S194" t="str">
        <f t="shared" ref="S194:S257" si="21">IFERROR(INDEX(D_IDUNIQUE,MATCH(ROW()-1,D_RANG_SUIVI,0)),"")</f>
        <v/>
      </c>
      <c r="T194" t="str">
        <f t="shared" ref="T194:T257" si="22">IF($S194="","",UPPER(INDEX(D_NOM,MATCH($S194,D_ID,0)))&amp;" "&amp;INDEX(D_PRENOM,MATCH($S194,D_ID,0))&amp;" — "&amp;INDEX(D_NIVEAU_ACTUEL,MATCH($S194,D_ID,0)))</f>
        <v/>
      </c>
    </row>
    <row r="195" spans="2:20" ht="14.25" customHeight="1" x14ac:dyDescent="0.3">
      <c r="S195" t="str">
        <f t="shared" si="21"/>
        <v/>
      </c>
      <c r="T195" t="str">
        <f t="shared" si="22"/>
        <v/>
      </c>
    </row>
    <row r="196" spans="2:20" ht="14.25" customHeight="1" x14ac:dyDescent="0.3">
      <c r="S196" t="str">
        <f t="shared" si="21"/>
        <v/>
      </c>
      <c r="T196" t="str">
        <f t="shared" si="22"/>
        <v/>
      </c>
    </row>
    <row r="197" spans="2:20" ht="14.25" customHeight="1" x14ac:dyDescent="0.3">
      <c r="S197" t="str">
        <f t="shared" si="21"/>
        <v/>
      </c>
      <c r="T197" t="str">
        <f t="shared" si="22"/>
        <v/>
      </c>
    </row>
    <row r="198" spans="2:20" ht="14.25" customHeight="1" x14ac:dyDescent="0.3">
      <c r="S198" t="str">
        <f t="shared" si="21"/>
        <v/>
      </c>
      <c r="T198" t="str">
        <f t="shared" si="22"/>
        <v/>
      </c>
    </row>
    <row r="199" spans="2:20" ht="14.25" customHeight="1" x14ac:dyDescent="0.3">
      <c r="S199" t="str">
        <f t="shared" si="21"/>
        <v/>
      </c>
      <c r="T199" t="str">
        <f t="shared" si="22"/>
        <v/>
      </c>
    </row>
    <row r="200" spans="2:20" ht="14.25" hidden="1" customHeight="1" x14ac:dyDescent="0.3">
      <c r="B200" t="s">
        <v>2</v>
      </c>
      <c r="C200" t="s">
        <v>260</v>
      </c>
      <c r="D200" t="s">
        <v>158</v>
      </c>
      <c r="S200" t="str">
        <f t="shared" si="21"/>
        <v/>
      </c>
      <c r="T200" t="str">
        <f t="shared" si="22"/>
        <v/>
      </c>
    </row>
    <row r="201" spans="2:20" ht="14.25" hidden="1" customHeight="1" x14ac:dyDescent="0.3">
      <c r="B201" t="s">
        <v>3</v>
      </c>
      <c r="C201" t="s">
        <v>261</v>
      </c>
      <c r="D201" t="s">
        <v>159</v>
      </c>
      <c r="S201" t="str">
        <f t="shared" si="21"/>
        <v/>
      </c>
      <c r="T201" t="str">
        <f t="shared" si="22"/>
        <v/>
      </c>
    </row>
    <row r="202" spans="2:20" ht="14.25" hidden="1" customHeight="1" x14ac:dyDescent="0.3">
      <c r="B202" t="s">
        <v>4</v>
      </c>
      <c r="C202" t="s">
        <v>262</v>
      </c>
      <c r="D202" t="s">
        <v>160</v>
      </c>
      <c r="S202" t="str">
        <f t="shared" si="21"/>
        <v/>
      </c>
      <c r="T202" t="str">
        <f t="shared" si="22"/>
        <v/>
      </c>
    </row>
    <row r="203" spans="2:20" ht="14.25" hidden="1" customHeight="1" x14ac:dyDescent="0.3">
      <c r="B203" t="s">
        <v>5</v>
      </c>
      <c r="C203" t="s">
        <v>263</v>
      </c>
      <c r="D203" t="s">
        <v>161</v>
      </c>
      <c r="S203" t="str">
        <f t="shared" si="21"/>
        <v/>
      </c>
      <c r="T203" t="str">
        <f t="shared" si="22"/>
        <v/>
      </c>
    </row>
    <row r="204" spans="2:20" ht="14.25" hidden="1" customHeight="1" x14ac:dyDescent="0.3">
      <c r="B204" t="s">
        <v>6</v>
      </c>
      <c r="C204" t="s">
        <v>264</v>
      </c>
      <c r="D204" t="s">
        <v>166</v>
      </c>
      <c r="S204" t="str">
        <f t="shared" si="21"/>
        <v/>
      </c>
      <c r="T204" t="str">
        <f t="shared" si="22"/>
        <v/>
      </c>
    </row>
    <row r="205" spans="2:20" ht="14.25" hidden="1" customHeight="1" x14ac:dyDescent="0.3">
      <c r="B205" t="s">
        <v>7</v>
      </c>
      <c r="C205" t="s">
        <v>265</v>
      </c>
      <c r="D205" t="s">
        <v>158</v>
      </c>
      <c r="S205" t="str">
        <f t="shared" si="21"/>
        <v/>
      </c>
      <c r="T205" t="str">
        <f t="shared" si="22"/>
        <v/>
      </c>
    </row>
    <row r="206" spans="2:20" ht="14.25" hidden="1" customHeight="1" x14ac:dyDescent="0.3">
      <c r="B206" t="s">
        <v>8</v>
      </c>
      <c r="C206" t="s">
        <v>266</v>
      </c>
      <c r="D206" t="s">
        <v>167</v>
      </c>
      <c r="S206" t="str">
        <f t="shared" si="21"/>
        <v/>
      </c>
      <c r="T206" t="str">
        <f t="shared" si="22"/>
        <v/>
      </c>
    </row>
    <row r="207" spans="2:20" ht="14.25" hidden="1" customHeight="1" x14ac:dyDescent="0.3">
      <c r="B207" t="s">
        <v>9</v>
      </c>
      <c r="C207" t="s">
        <v>267</v>
      </c>
      <c r="D207" t="s">
        <v>168</v>
      </c>
      <c r="S207" t="str">
        <f t="shared" si="21"/>
        <v/>
      </c>
      <c r="T207" t="str">
        <f t="shared" si="22"/>
        <v/>
      </c>
    </row>
    <row r="208" spans="2:20" ht="14.25" customHeight="1" x14ac:dyDescent="0.3">
      <c r="S208" t="str">
        <f t="shared" si="21"/>
        <v/>
      </c>
      <c r="T208" t="str">
        <f t="shared" si="22"/>
        <v/>
      </c>
    </row>
    <row r="209" spans="19:20" ht="14.25" customHeight="1" x14ac:dyDescent="0.3">
      <c r="S209" t="str">
        <f t="shared" si="21"/>
        <v/>
      </c>
      <c r="T209" t="str">
        <f t="shared" si="22"/>
        <v/>
      </c>
    </row>
    <row r="210" spans="19:20" ht="14.25" customHeight="1" x14ac:dyDescent="0.3">
      <c r="S210" t="str">
        <f t="shared" si="21"/>
        <v/>
      </c>
      <c r="T210" t="str">
        <f t="shared" si="22"/>
        <v/>
      </c>
    </row>
    <row r="211" spans="19:20" ht="14.25" customHeight="1" x14ac:dyDescent="0.3">
      <c r="S211" t="str">
        <f t="shared" si="21"/>
        <v/>
      </c>
      <c r="T211" t="str">
        <f t="shared" si="22"/>
        <v/>
      </c>
    </row>
    <row r="212" spans="19:20" ht="14.25" customHeight="1" x14ac:dyDescent="0.3">
      <c r="S212" t="str">
        <f t="shared" si="21"/>
        <v/>
      </c>
      <c r="T212" t="str">
        <f t="shared" si="22"/>
        <v/>
      </c>
    </row>
    <row r="213" spans="19:20" ht="14.25" customHeight="1" x14ac:dyDescent="0.3">
      <c r="S213" t="str">
        <f t="shared" si="21"/>
        <v/>
      </c>
      <c r="T213" t="str">
        <f t="shared" si="22"/>
        <v/>
      </c>
    </row>
    <row r="214" spans="19:20" ht="14.25" customHeight="1" x14ac:dyDescent="0.3">
      <c r="S214" t="str">
        <f t="shared" si="21"/>
        <v/>
      </c>
      <c r="T214" t="str">
        <f t="shared" si="22"/>
        <v/>
      </c>
    </row>
    <row r="215" spans="19:20" ht="14.25" customHeight="1" x14ac:dyDescent="0.3">
      <c r="S215" t="str">
        <f t="shared" si="21"/>
        <v/>
      </c>
      <c r="T215" t="str">
        <f t="shared" si="22"/>
        <v/>
      </c>
    </row>
    <row r="216" spans="19:20" ht="14.25" customHeight="1" x14ac:dyDescent="0.3">
      <c r="S216" t="str">
        <f t="shared" si="21"/>
        <v/>
      </c>
      <c r="T216" t="str">
        <f t="shared" si="22"/>
        <v/>
      </c>
    </row>
    <row r="217" spans="19:20" ht="14.25" customHeight="1" x14ac:dyDescent="0.3">
      <c r="S217" t="str">
        <f t="shared" si="21"/>
        <v/>
      </c>
      <c r="T217" t="str">
        <f t="shared" si="22"/>
        <v/>
      </c>
    </row>
    <row r="218" spans="19:20" ht="14.25" customHeight="1" x14ac:dyDescent="0.3">
      <c r="S218" t="str">
        <f t="shared" si="21"/>
        <v/>
      </c>
      <c r="T218" t="str">
        <f t="shared" si="22"/>
        <v/>
      </c>
    </row>
    <row r="219" spans="19:20" ht="14.25" customHeight="1" x14ac:dyDescent="0.3">
      <c r="S219" t="str">
        <f t="shared" si="21"/>
        <v/>
      </c>
      <c r="T219" t="str">
        <f t="shared" si="22"/>
        <v/>
      </c>
    </row>
    <row r="220" spans="19:20" ht="14.25" customHeight="1" x14ac:dyDescent="0.3">
      <c r="S220" t="str">
        <f t="shared" si="21"/>
        <v/>
      </c>
      <c r="T220" t="str">
        <f t="shared" si="22"/>
        <v/>
      </c>
    </row>
    <row r="221" spans="19:20" ht="14.25" customHeight="1" x14ac:dyDescent="0.3">
      <c r="S221" t="str">
        <f t="shared" si="21"/>
        <v/>
      </c>
      <c r="T221" t="str">
        <f t="shared" si="22"/>
        <v/>
      </c>
    </row>
    <row r="222" spans="19:20" ht="14.25" customHeight="1" x14ac:dyDescent="0.3">
      <c r="S222" t="str">
        <f t="shared" si="21"/>
        <v/>
      </c>
      <c r="T222" t="str">
        <f t="shared" si="22"/>
        <v/>
      </c>
    </row>
    <row r="223" spans="19:20" ht="14.25" customHeight="1" x14ac:dyDescent="0.3">
      <c r="S223" t="str">
        <f t="shared" si="21"/>
        <v/>
      </c>
      <c r="T223" t="str">
        <f t="shared" si="22"/>
        <v/>
      </c>
    </row>
    <row r="224" spans="19:20" ht="14.25" customHeight="1" x14ac:dyDescent="0.3">
      <c r="S224" t="str">
        <f t="shared" si="21"/>
        <v/>
      </c>
      <c r="T224" t="str">
        <f t="shared" si="22"/>
        <v/>
      </c>
    </row>
    <row r="225" spans="19:20" ht="14.25" customHeight="1" x14ac:dyDescent="0.3">
      <c r="S225" t="str">
        <f t="shared" si="21"/>
        <v/>
      </c>
      <c r="T225" t="str">
        <f t="shared" si="22"/>
        <v/>
      </c>
    </row>
    <row r="226" spans="19:20" ht="14.25" customHeight="1" x14ac:dyDescent="0.3">
      <c r="S226" t="str">
        <f t="shared" si="21"/>
        <v/>
      </c>
      <c r="T226" t="str">
        <f t="shared" si="22"/>
        <v/>
      </c>
    </row>
    <row r="227" spans="19:20" ht="14.25" customHeight="1" x14ac:dyDescent="0.3">
      <c r="S227" t="str">
        <f t="shared" si="21"/>
        <v/>
      </c>
      <c r="T227" t="str">
        <f t="shared" si="22"/>
        <v/>
      </c>
    </row>
    <row r="228" spans="19:20" ht="14.25" customHeight="1" x14ac:dyDescent="0.3">
      <c r="S228" t="str">
        <f t="shared" si="21"/>
        <v/>
      </c>
      <c r="T228" t="str">
        <f t="shared" si="22"/>
        <v/>
      </c>
    </row>
    <row r="229" spans="19:20" ht="14.25" customHeight="1" x14ac:dyDescent="0.3">
      <c r="S229" t="str">
        <f t="shared" si="21"/>
        <v/>
      </c>
      <c r="T229" t="str">
        <f t="shared" si="22"/>
        <v/>
      </c>
    </row>
    <row r="230" spans="19:20" ht="14.25" customHeight="1" x14ac:dyDescent="0.3">
      <c r="S230" t="str">
        <f t="shared" si="21"/>
        <v/>
      </c>
      <c r="T230" t="str">
        <f t="shared" si="22"/>
        <v/>
      </c>
    </row>
    <row r="231" spans="19:20" ht="14.25" customHeight="1" x14ac:dyDescent="0.3">
      <c r="S231" t="str">
        <f t="shared" si="21"/>
        <v/>
      </c>
      <c r="T231" t="str">
        <f t="shared" si="22"/>
        <v/>
      </c>
    </row>
    <row r="232" spans="19:20" ht="14.25" customHeight="1" x14ac:dyDescent="0.3">
      <c r="S232" t="str">
        <f t="shared" si="21"/>
        <v/>
      </c>
      <c r="T232" t="str">
        <f t="shared" si="22"/>
        <v/>
      </c>
    </row>
    <row r="233" spans="19:20" ht="14.25" customHeight="1" x14ac:dyDescent="0.3">
      <c r="S233" t="str">
        <f t="shared" si="21"/>
        <v/>
      </c>
      <c r="T233" t="str">
        <f t="shared" si="22"/>
        <v/>
      </c>
    </row>
    <row r="234" spans="19:20" ht="14.25" customHeight="1" x14ac:dyDescent="0.3">
      <c r="S234" t="str">
        <f t="shared" si="21"/>
        <v/>
      </c>
      <c r="T234" t="str">
        <f t="shared" si="22"/>
        <v/>
      </c>
    </row>
    <row r="235" spans="19:20" ht="14.25" customHeight="1" x14ac:dyDescent="0.3">
      <c r="S235" t="str">
        <f t="shared" si="21"/>
        <v/>
      </c>
      <c r="T235" t="str">
        <f t="shared" si="22"/>
        <v/>
      </c>
    </row>
    <row r="236" spans="19:20" ht="14.25" customHeight="1" x14ac:dyDescent="0.3">
      <c r="S236" t="str">
        <f t="shared" si="21"/>
        <v/>
      </c>
      <c r="T236" t="str">
        <f t="shared" si="22"/>
        <v/>
      </c>
    </row>
    <row r="237" spans="19:20" ht="14.25" customHeight="1" x14ac:dyDescent="0.3">
      <c r="S237" t="str">
        <f t="shared" si="21"/>
        <v/>
      </c>
      <c r="T237" t="str">
        <f t="shared" si="22"/>
        <v/>
      </c>
    </row>
    <row r="238" spans="19:20" ht="14.25" customHeight="1" x14ac:dyDescent="0.3">
      <c r="S238" t="str">
        <f t="shared" si="21"/>
        <v/>
      </c>
      <c r="T238" t="str">
        <f t="shared" si="22"/>
        <v/>
      </c>
    </row>
    <row r="239" spans="19:20" ht="14.25" customHeight="1" x14ac:dyDescent="0.3">
      <c r="S239" t="str">
        <f t="shared" si="21"/>
        <v/>
      </c>
      <c r="T239" t="str">
        <f t="shared" si="22"/>
        <v/>
      </c>
    </row>
    <row r="240" spans="19:20" ht="14.25" customHeight="1" x14ac:dyDescent="0.3">
      <c r="S240" t="str">
        <f t="shared" si="21"/>
        <v/>
      </c>
      <c r="T240" t="str">
        <f t="shared" si="22"/>
        <v/>
      </c>
    </row>
    <row r="241" spans="19:20" ht="14.25" customHeight="1" x14ac:dyDescent="0.3">
      <c r="S241" t="str">
        <f t="shared" si="21"/>
        <v/>
      </c>
      <c r="T241" t="str">
        <f t="shared" si="22"/>
        <v/>
      </c>
    </row>
    <row r="242" spans="19:20" ht="14.25" customHeight="1" x14ac:dyDescent="0.3">
      <c r="S242" t="str">
        <f t="shared" si="21"/>
        <v/>
      </c>
      <c r="T242" t="str">
        <f t="shared" si="22"/>
        <v/>
      </c>
    </row>
    <row r="243" spans="19:20" ht="14.25" customHeight="1" x14ac:dyDescent="0.3">
      <c r="S243" t="str">
        <f t="shared" si="21"/>
        <v/>
      </c>
      <c r="T243" t="str">
        <f t="shared" si="22"/>
        <v/>
      </c>
    </row>
    <row r="244" spans="19:20" ht="14.25" customHeight="1" x14ac:dyDescent="0.3">
      <c r="S244" t="str">
        <f t="shared" si="21"/>
        <v/>
      </c>
      <c r="T244" t="str">
        <f t="shared" si="22"/>
        <v/>
      </c>
    </row>
    <row r="245" spans="19:20" ht="14.25" customHeight="1" x14ac:dyDescent="0.3">
      <c r="S245" t="str">
        <f t="shared" si="21"/>
        <v/>
      </c>
      <c r="T245" t="str">
        <f t="shared" si="22"/>
        <v/>
      </c>
    </row>
    <row r="246" spans="19:20" ht="14.25" customHeight="1" x14ac:dyDescent="0.3">
      <c r="S246" t="str">
        <f t="shared" si="21"/>
        <v/>
      </c>
      <c r="T246" t="str">
        <f t="shared" si="22"/>
        <v/>
      </c>
    </row>
    <row r="247" spans="19:20" ht="14.25" customHeight="1" x14ac:dyDescent="0.3">
      <c r="S247" t="str">
        <f t="shared" si="21"/>
        <v/>
      </c>
      <c r="T247" t="str">
        <f t="shared" si="22"/>
        <v/>
      </c>
    </row>
    <row r="248" spans="19:20" ht="14.25" customHeight="1" x14ac:dyDescent="0.3">
      <c r="S248" t="str">
        <f t="shared" si="21"/>
        <v/>
      </c>
      <c r="T248" t="str">
        <f t="shared" si="22"/>
        <v/>
      </c>
    </row>
    <row r="249" spans="19:20" ht="14.25" customHeight="1" x14ac:dyDescent="0.3">
      <c r="S249" t="str">
        <f t="shared" si="21"/>
        <v/>
      </c>
      <c r="T249" t="str">
        <f t="shared" si="22"/>
        <v/>
      </c>
    </row>
    <row r="250" spans="19:20" ht="14.25" customHeight="1" x14ac:dyDescent="0.3">
      <c r="S250" t="str">
        <f t="shared" si="21"/>
        <v/>
      </c>
      <c r="T250" t="str">
        <f t="shared" si="22"/>
        <v/>
      </c>
    </row>
    <row r="251" spans="19:20" ht="14.25" customHeight="1" x14ac:dyDescent="0.3">
      <c r="S251" t="str">
        <f t="shared" si="21"/>
        <v/>
      </c>
      <c r="T251" t="str">
        <f t="shared" si="22"/>
        <v/>
      </c>
    </row>
    <row r="252" spans="19:20" ht="14.25" customHeight="1" x14ac:dyDescent="0.3">
      <c r="S252" t="str">
        <f t="shared" si="21"/>
        <v/>
      </c>
      <c r="T252" t="str">
        <f t="shared" si="22"/>
        <v/>
      </c>
    </row>
    <row r="253" spans="19:20" ht="14.25" customHeight="1" x14ac:dyDescent="0.3">
      <c r="S253" t="str">
        <f t="shared" si="21"/>
        <v/>
      </c>
      <c r="T253" t="str">
        <f t="shared" si="22"/>
        <v/>
      </c>
    </row>
    <row r="254" spans="19:20" ht="14.25" customHeight="1" x14ac:dyDescent="0.3">
      <c r="S254" t="str">
        <f t="shared" si="21"/>
        <v/>
      </c>
      <c r="T254" t="str">
        <f t="shared" si="22"/>
        <v/>
      </c>
    </row>
    <row r="255" spans="19:20" ht="14.25" customHeight="1" x14ac:dyDescent="0.3">
      <c r="S255" t="str">
        <f t="shared" si="21"/>
        <v/>
      </c>
      <c r="T255" t="str">
        <f t="shared" si="22"/>
        <v/>
      </c>
    </row>
    <row r="256" spans="19:20" ht="14.25" customHeight="1" x14ac:dyDescent="0.3">
      <c r="S256" t="str">
        <f t="shared" si="21"/>
        <v/>
      </c>
      <c r="T256" t="str">
        <f t="shared" si="22"/>
        <v/>
      </c>
    </row>
    <row r="257" spans="19:20" ht="14.25" customHeight="1" x14ac:dyDescent="0.3">
      <c r="S257" t="str">
        <f t="shared" si="21"/>
        <v/>
      </c>
      <c r="T257" t="str">
        <f t="shared" si="22"/>
        <v/>
      </c>
    </row>
    <row r="258" spans="19:20" ht="14.25" customHeight="1" x14ac:dyDescent="0.3">
      <c r="S258" t="str">
        <f t="shared" ref="S258:S321" si="23">IFERROR(INDEX(D_IDUNIQUE,MATCH(ROW()-1,D_RANG_SUIVI,0)),"")</f>
        <v/>
      </c>
      <c r="T258" t="str">
        <f t="shared" ref="T258:T321" si="24">IF($S258="","",UPPER(INDEX(D_NOM,MATCH($S258,D_ID,0)))&amp;" "&amp;INDEX(D_PRENOM,MATCH($S258,D_ID,0))&amp;" — "&amp;INDEX(D_NIVEAU_ACTUEL,MATCH($S258,D_ID,0)))</f>
        <v/>
      </c>
    </row>
    <row r="259" spans="19:20" ht="14.25" customHeight="1" x14ac:dyDescent="0.3">
      <c r="S259" t="str">
        <f t="shared" si="23"/>
        <v/>
      </c>
      <c r="T259" t="str">
        <f t="shared" si="24"/>
        <v/>
      </c>
    </row>
    <row r="260" spans="19:20" ht="14.25" customHeight="1" x14ac:dyDescent="0.3">
      <c r="S260" t="str">
        <f t="shared" si="23"/>
        <v/>
      </c>
      <c r="T260" t="str">
        <f t="shared" si="24"/>
        <v/>
      </c>
    </row>
    <row r="261" spans="19:20" ht="14.25" customHeight="1" x14ac:dyDescent="0.3">
      <c r="S261" t="str">
        <f t="shared" si="23"/>
        <v/>
      </c>
      <c r="T261" t="str">
        <f t="shared" si="24"/>
        <v/>
      </c>
    </row>
    <row r="262" spans="19:20" ht="14.25" customHeight="1" x14ac:dyDescent="0.3">
      <c r="S262" t="str">
        <f t="shared" si="23"/>
        <v/>
      </c>
      <c r="T262" t="str">
        <f t="shared" si="24"/>
        <v/>
      </c>
    </row>
    <row r="263" spans="19:20" ht="14.25" customHeight="1" x14ac:dyDescent="0.3">
      <c r="S263" t="str">
        <f t="shared" si="23"/>
        <v/>
      </c>
      <c r="T263" t="str">
        <f t="shared" si="24"/>
        <v/>
      </c>
    </row>
    <row r="264" spans="19:20" ht="14.25" customHeight="1" x14ac:dyDescent="0.3">
      <c r="S264" t="str">
        <f t="shared" si="23"/>
        <v/>
      </c>
      <c r="T264" t="str">
        <f t="shared" si="24"/>
        <v/>
      </c>
    </row>
    <row r="265" spans="19:20" ht="14.25" customHeight="1" x14ac:dyDescent="0.3">
      <c r="S265" t="str">
        <f t="shared" si="23"/>
        <v/>
      </c>
      <c r="T265" t="str">
        <f t="shared" si="24"/>
        <v/>
      </c>
    </row>
    <row r="266" spans="19:20" ht="14.25" customHeight="1" x14ac:dyDescent="0.3">
      <c r="S266" t="str">
        <f t="shared" si="23"/>
        <v/>
      </c>
      <c r="T266" t="str">
        <f t="shared" si="24"/>
        <v/>
      </c>
    </row>
    <row r="267" spans="19:20" ht="14.25" customHeight="1" x14ac:dyDescent="0.3">
      <c r="S267" t="str">
        <f t="shared" si="23"/>
        <v/>
      </c>
      <c r="T267" t="str">
        <f t="shared" si="24"/>
        <v/>
      </c>
    </row>
    <row r="268" spans="19:20" ht="14.25" customHeight="1" x14ac:dyDescent="0.3">
      <c r="S268" t="str">
        <f t="shared" si="23"/>
        <v/>
      </c>
      <c r="T268" t="str">
        <f t="shared" si="24"/>
        <v/>
      </c>
    </row>
    <row r="269" spans="19:20" ht="14.25" customHeight="1" x14ac:dyDescent="0.3">
      <c r="S269" t="str">
        <f t="shared" si="23"/>
        <v/>
      </c>
      <c r="T269" t="str">
        <f t="shared" si="24"/>
        <v/>
      </c>
    </row>
    <row r="270" spans="19:20" ht="14.25" customHeight="1" x14ac:dyDescent="0.3">
      <c r="S270" t="str">
        <f t="shared" si="23"/>
        <v/>
      </c>
      <c r="T270" t="str">
        <f t="shared" si="24"/>
        <v/>
      </c>
    </row>
    <row r="271" spans="19:20" ht="14.25" customHeight="1" x14ac:dyDescent="0.3">
      <c r="S271" t="str">
        <f t="shared" si="23"/>
        <v/>
      </c>
      <c r="T271" t="str">
        <f t="shared" si="24"/>
        <v/>
      </c>
    </row>
    <row r="272" spans="19:20" ht="14.25" customHeight="1" x14ac:dyDescent="0.3">
      <c r="S272" t="str">
        <f t="shared" si="23"/>
        <v/>
      </c>
      <c r="T272" t="str">
        <f t="shared" si="24"/>
        <v/>
      </c>
    </row>
    <row r="273" spans="19:20" ht="14.25" customHeight="1" x14ac:dyDescent="0.3">
      <c r="S273" t="str">
        <f t="shared" si="23"/>
        <v/>
      </c>
      <c r="T273" t="str">
        <f t="shared" si="24"/>
        <v/>
      </c>
    </row>
    <row r="274" spans="19:20" ht="14.25" customHeight="1" x14ac:dyDescent="0.3">
      <c r="S274" t="str">
        <f t="shared" si="23"/>
        <v/>
      </c>
      <c r="T274" t="str">
        <f t="shared" si="24"/>
        <v/>
      </c>
    </row>
    <row r="275" spans="19:20" ht="14.25" customHeight="1" x14ac:dyDescent="0.3">
      <c r="S275" t="str">
        <f t="shared" si="23"/>
        <v/>
      </c>
      <c r="T275" t="str">
        <f t="shared" si="24"/>
        <v/>
      </c>
    </row>
    <row r="276" spans="19:20" ht="14.25" customHeight="1" x14ac:dyDescent="0.3">
      <c r="S276" t="str">
        <f t="shared" si="23"/>
        <v/>
      </c>
      <c r="T276" t="str">
        <f t="shared" si="24"/>
        <v/>
      </c>
    </row>
    <row r="277" spans="19:20" ht="14.25" customHeight="1" x14ac:dyDescent="0.3">
      <c r="S277" t="str">
        <f t="shared" si="23"/>
        <v/>
      </c>
      <c r="T277" t="str">
        <f t="shared" si="24"/>
        <v/>
      </c>
    </row>
    <row r="278" spans="19:20" ht="14.25" customHeight="1" x14ac:dyDescent="0.3">
      <c r="S278" t="str">
        <f t="shared" si="23"/>
        <v/>
      </c>
      <c r="T278" t="str">
        <f t="shared" si="24"/>
        <v/>
      </c>
    </row>
    <row r="279" spans="19:20" ht="14.25" customHeight="1" x14ac:dyDescent="0.3">
      <c r="S279" t="str">
        <f t="shared" si="23"/>
        <v/>
      </c>
      <c r="T279" t="str">
        <f t="shared" si="24"/>
        <v/>
      </c>
    </row>
    <row r="280" spans="19:20" ht="14.25" customHeight="1" x14ac:dyDescent="0.3">
      <c r="S280" t="str">
        <f t="shared" si="23"/>
        <v/>
      </c>
      <c r="T280" t="str">
        <f t="shared" si="24"/>
        <v/>
      </c>
    </row>
    <row r="281" spans="19:20" ht="14.25" customHeight="1" x14ac:dyDescent="0.3">
      <c r="S281" t="str">
        <f t="shared" si="23"/>
        <v/>
      </c>
      <c r="T281" t="str">
        <f t="shared" si="24"/>
        <v/>
      </c>
    </row>
    <row r="282" spans="19:20" ht="14.25" customHeight="1" x14ac:dyDescent="0.3">
      <c r="S282" t="str">
        <f t="shared" si="23"/>
        <v/>
      </c>
      <c r="T282" t="str">
        <f t="shared" si="24"/>
        <v/>
      </c>
    </row>
    <row r="283" spans="19:20" ht="14.25" customHeight="1" x14ac:dyDescent="0.3">
      <c r="S283" t="str">
        <f t="shared" si="23"/>
        <v/>
      </c>
      <c r="T283" t="str">
        <f t="shared" si="24"/>
        <v/>
      </c>
    </row>
    <row r="284" spans="19:20" ht="14.25" customHeight="1" x14ac:dyDescent="0.3">
      <c r="S284" t="str">
        <f t="shared" si="23"/>
        <v/>
      </c>
      <c r="T284" t="str">
        <f t="shared" si="24"/>
        <v/>
      </c>
    </row>
    <row r="285" spans="19:20" ht="14.25" customHeight="1" x14ac:dyDescent="0.3">
      <c r="S285" t="str">
        <f t="shared" si="23"/>
        <v/>
      </c>
      <c r="T285" t="str">
        <f t="shared" si="24"/>
        <v/>
      </c>
    </row>
    <row r="286" spans="19:20" ht="14.25" customHeight="1" x14ac:dyDescent="0.3">
      <c r="S286" t="str">
        <f t="shared" si="23"/>
        <v/>
      </c>
      <c r="T286" t="str">
        <f t="shared" si="24"/>
        <v/>
      </c>
    </row>
    <row r="287" spans="19:20" ht="14.25" customHeight="1" x14ac:dyDescent="0.3">
      <c r="S287" t="str">
        <f t="shared" si="23"/>
        <v/>
      </c>
      <c r="T287" t="str">
        <f t="shared" si="24"/>
        <v/>
      </c>
    </row>
    <row r="288" spans="19:20" ht="14.25" customHeight="1" x14ac:dyDescent="0.3">
      <c r="S288" t="str">
        <f t="shared" si="23"/>
        <v/>
      </c>
      <c r="T288" t="str">
        <f t="shared" si="24"/>
        <v/>
      </c>
    </row>
    <row r="289" spans="19:20" ht="14.25" customHeight="1" x14ac:dyDescent="0.3">
      <c r="S289" t="str">
        <f t="shared" si="23"/>
        <v/>
      </c>
      <c r="T289" t="str">
        <f t="shared" si="24"/>
        <v/>
      </c>
    </row>
    <row r="290" spans="19:20" ht="14.25" customHeight="1" x14ac:dyDescent="0.3">
      <c r="S290" t="str">
        <f t="shared" si="23"/>
        <v/>
      </c>
      <c r="T290" t="str">
        <f t="shared" si="24"/>
        <v/>
      </c>
    </row>
    <row r="291" spans="19:20" ht="14.25" customHeight="1" x14ac:dyDescent="0.3">
      <c r="S291" t="str">
        <f t="shared" si="23"/>
        <v/>
      </c>
      <c r="T291" t="str">
        <f t="shared" si="24"/>
        <v/>
      </c>
    </row>
    <row r="292" spans="19:20" ht="14.25" customHeight="1" x14ac:dyDescent="0.3">
      <c r="S292" t="str">
        <f t="shared" si="23"/>
        <v/>
      </c>
      <c r="T292" t="str">
        <f t="shared" si="24"/>
        <v/>
      </c>
    </row>
    <row r="293" spans="19:20" ht="14.25" customHeight="1" x14ac:dyDescent="0.3">
      <c r="S293" t="str">
        <f t="shared" si="23"/>
        <v/>
      </c>
      <c r="T293" t="str">
        <f t="shared" si="24"/>
        <v/>
      </c>
    </row>
    <row r="294" spans="19:20" ht="14.25" customHeight="1" x14ac:dyDescent="0.3">
      <c r="S294" t="str">
        <f t="shared" si="23"/>
        <v/>
      </c>
      <c r="T294" t="str">
        <f t="shared" si="24"/>
        <v/>
      </c>
    </row>
    <row r="295" spans="19:20" ht="14.25" customHeight="1" x14ac:dyDescent="0.3">
      <c r="S295" t="str">
        <f t="shared" si="23"/>
        <v/>
      </c>
      <c r="T295" t="str">
        <f t="shared" si="24"/>
        <v/>
      </c>
    </row>
    <row r="296" spans="19:20" ht="14.25" customHeight="1" x14ac:dyDescent="0.3">
      <c r="S296" t="str">
        <f t="shared" si="23"/>
        <v/>
      </c>
      <c r="T296" t="str">
        <f t="shared" si="24"/>
        <v/>
      </c>
    </row>
    <row r="297" spans="19:20" ht="14.25" customHeight="1" x14ac:dyDescent="0.3">
      <c r="S297" t="str">
        <f t="shared" si="23"/>
        <v/>
      </c>
      <c r="T297" t="str">
        <f t="shared" si="24"/>
        <v/>
      </c>
    </row>
    <row r="298" spans="19:20" ht="14.25" customHeight="1" x14ac:dyDescent="0.3">
      <c r="S298" t="str">
        <f t="shared" si="23"/>
        <v/>
      </c>
      <c r="T298" t="str">
        <f t="shared" si="24"/>
        <v/>
      </c>
    </row>
    <row r="299" spans="19:20" ht="14.25" customHeight="1" x14ac:dyDescent="0.3">
      <c r="S299" t="str">
        <f t="shared" si="23"/>
        <v/>
      </c>
      <c r="T299" t="str">
        <f t="shared" si="24"/>
        <v/>
      </c>
    </row>
    <row r="300" spans="19:20" ht="14.25" customHeight="1" x14ac:dyDescent="0.3">
      <c r="S300" t="str">
        <f t="shared" si="23"/>
        <v/>
      </c>
      <c r="T300" t="str">
        <f t="shared" si="24"/>
        <v/>
      </c>
    </row>
    <row r="301" spans="19:20" ht="14.25" customHeight="1" x14ac:dyDescent="0.3">
      <c r="S301" t="str">
        <f t="shared" si="23"/>
        <v/>
      </c>
      <c r="T301" t="str">
        <f t="shared" si="24"/>
        <v/>
      </c>
    </row>
    <row r="302" spans="19:20" ht="14.25" customHeight="1" x14ac:dyDescent="0.3">
      <c r="S302" t="str">
        <f t="shared" si="23"/>
        <v/>
      </c>
      <c r="T302" t="str">
        <f t="shared" si="24"/>
        <v/>
      </c>
    </row>
    <row r="303" spans="19:20" ht="14.25" customHeight="1" x14ac:dyDescent="0.3">
      <c r="S303" t="str">
        <f t="shared" si="23"/>
        <v/>
      </c>
      <c r="T303" t="str">
        <f t="shared" si="24"/>
        <v/>
      </c>
    </row>
    <row r="304" spans="19:20" ht="14.25" customHeight="1" x14ac:dyDescent="0.3">
      <c r="S304" t="str">
        <f t="shared" si="23"/>
        <v/>
      </c>
      <c r="T304" t="str">
        <f t="shared" si="24"/>
        <v/>
      </c>
    </row>
    <row r="305" spans="19:20" ht="14.25" customHeight="1" x14ac:dyDescent="0.3">
      <c r="S305" t="str">
        <f t="shared" si="23"/>
        <v/>
      </c>
      <c r="T305" t="str">
        <f t="shared" si="24"/>
        <v/>
      </c>
    </row>
    <row r="306" spans="19:20" ht="14.25" customHeight="1" x14ac:dyDescent="0.3">
      <c r="S306" t="str">
        <f t="shared" si="23"/>
        <v/>
      </c>
      <c r="T306" t="str">
        <f t="shared" si="24"/>
        <v/>
      </c>
    </row>
    <row r="307" spans="19:20" ht="14.25" customHeight="1" x14ac:dyDescent="0.3">
      <c r="S307" t="str">
        <f t="shared" si="23"/>
        <v/>
      </c>
      <c r="T307" t="str">
        <f t="shared" si="24"/>
        <v/>
      </c>
    </row>
    <row r="308" spans="19:20" ht="14.25" customHeight="1" x14ac:dyDescent="0.3">
      <c r="S308" t="str">
        <f t="shared" si="23"/>
        <v/>
      </c>
      <c r="T308" t="str">
        <f t="shared" si="24"/>
        <v/>
      </c>
    </row>
    <row r="309" spans="19:20" ht="14.25" customHeight="1" x14ac:dyDescent="0.3">
      <c r="S309" t="str">
        <f t="shared" si="23"/>
        <v/>
      </c>
      <c r="T309" t="str">
        <f t="shared" si="24"/>
        <v/>
      </c>
    </row>
    <row r="310" spans="19:20" ht="14.25" customHeight="1" x14ac:dyDescent="0.3">
      <c r="S310" t="str">
        <f t="shared" si="23"/>
        <v/>
      </c>
      <c r="T310" t="str">
        <f t="shared" si="24"/>
        <v/>
      </c>
    </row>
    <row r="311" spans="19:20" ht="14.25" customHeight="1" x14ac:dyDescent="0.3">
      <c r="S311" t="str">
        <f t="shared" si="23"/>
        <v/>
      </c>
      <c r="T311" t="str">
        <f t="shared" si="24"/>
        <v/>
      </c>
    </row>
    <row r="312" spans="19:20" ht="14.25" customHeight="1" x14ac:dyDescent="0.3">
      <c r="S312" t="str">
        <f t="shared" si="23"/>
        <v/>
      </c>
      <c r="T312" t="str">
        <f t="shared" si="24"/>
        <v/>
      </c>
    </row>
    <row r="313" spans="19:20" ht="14.25" customHeight="1" x14ac:dyDescent="0.3">
      <c r="S313" t="str">
        <f t="shared" si="23"/>
        <v/>
      </c>
      <c r="T313" t="str">
        <f t="shared" si="24"/>
        <v/>
      </c>
    </row>
    <row r="314" spans="19:20" ht="14.25" customHeight="1" x14ac:dyDescent="0.3">
      <c r="S314" t="str">
        <f t="shared" si="23"/>
        <v/>
      </c>
      <c r="T314" t="str">
        <f t="shared" si="24"/>
        <v/>
      </c>
    </row>
    <row r="315" spans="19:20" ht="14.25" customHeight="1" x14ac:dyDescent="0.3">
      <c r="S315" t="str">
        <f t="shared" si="23"/>
        <v/>
      </c>
      <c r="T315" t="str">
        <f t="shared" si="24"/>
        <v/>
      </c>
    </row>
    <row r="316" spans="19:20" ht="14.25" customHeight="1" x14ac:dyDescent="0.3">
      <c r="S316" t="str">
        <f t="shared" si="23"/>
        <v/>
      </c>
      <c r="T316" t="str">
        <f t="shared" si="24"/>
        <v/>
      </c>
    </row>
    <row r="317" spans="19:20" ht="14.25" customHeight="1" x14ac:dyDescent="0.3">
      <c r="S317" t="str">
        <f t="shared" si="23"/>
        <v/>
      </c>
      <c r="T317" t="str">
        <f t="shared" si="24"/>
        <v/>
      </c>
    </row>
    <row r="318" spans="19:20" ht="14.25" customHeight="1" x14ac:dyDescent="0.3">
      <c r="S318" t="str">
        <f t="shared" si="23"/>
        <v/>
      </c>
      <c r="T318" t="str">
        <f t="shared" si="24"/>
        <v/>
      </c>
    </row>
    <row r="319" spans="19:20" ht="14.25" customHeight="1" x14ac:dyDescent="0.3">
      <c r="S319" t="str">
        <f t="shared" si="23"/>
        <v/>
      </c>
      <c r="T319" t="str">
        <f t="shared" si="24"/>
        <v/>
      </c>
    </row>
    <row r="320" spans="19:20" ht="14.25" customHeight="1" x14ac:dyDescent="0.3">
      <c r="S320" t="str">
        <f t="shared" si="23"/>
        <v/>
      </c>
      <c r="T320" t="str">
        <f t="shared" si="24"/>
        <v/>
      </c>
    </row>
    <row r="321" spans="19:20" ht="14.25" customHeight="1" x14ac:dyDescent="0.3">
      <c r="S321" t="str">
        <f t="shared" si="23"/>
        <v/>
      </c>
      <c r="T321" t="str">
        <f t="shared" si="24"/>
        <v/>
      </c>
    </row>
    <row r="322" spans="19:20" ht="14.25" customHeight="1" x14ac:dyDescent="0.3">
      <c r="S322" t="str">
        <f t="shared" ref="S322:S385" si="25">IFERROR(INDEX(D_IDUNIQUE,MATCH(ROW()-1,D_RANG_SUIVI,0)),"")</f>
        <v/>
      </c>
      <c r="T322" t="str">
        <f t="shared" ref="T322:T385" si="26">IF($S322="","",UPPER(INDEX(D_NOM,MATCH($S322,D_ID,0)))&amp;" "&amp;INDEX(D_PRENOM,MATCH($S322,D_ID,0))&amp;" — "&amp;INDEX(D_NIVEAU_ACTUEL,MATCH($S322,D_ID,0)))</f>
        <v/>
      </c>
    </row>
    <row r="323" spans="19:20" ht="14.25" customHeight="1" x14ac:dyDescent="0.3">
      <c r="S323" t="str">
        <f t="shared" si="25"/>
        <v/>
      </c>
      <c r="T323" t="str">
        <f t="shared" si="26"/>
        <v/>
      </c>
    </row>
    <row r="324" spans="19:20" ht="14.25" customHeight="1" x14ac:dyDescent="0.3">
      <c r="S324" t="str">
        <f t="shared" si="25"/>
        <v/>
      </c>
      <c r="T324" t="str">
        <f t="shared" si="26"/>
        <v/>
      </c>
    </row>
    <row r="325" spans="19:20" ht="14.25" customHeight="1" x14ac:dyDescent="0.3">
      <c r="S325" t="str">
        <f t="shared" si="25"/>
        <v/>
      </c>
      <c r="T325" t="str">
        <f t="shared" si="26"/>
        <v/>
      </c>
    </row>
    <row r="326" spans="19:20" ht="14.25" customHeight="1" x14ac:dyDescent="0.3">
      <c r="S326" t="str">
        <f t="shared" si="25"/>
        <v/>
      </c>
      <c r="T326" t="str">
        <f t="shared" si="26"/>
        <v/>
      </c>
    </row>
    <row r="327" spans="19:20" ht="14.25" customHeight="1" x14ac:dyDescent="0.3">
      <c r="S327" t="str">
        <f t="shared" si="25"/>
        <v/>
      </c>
      <c r="T327" t="str">
        <f t="shared" si="26"/>
        <v/>
      </c>
    </row>
    <row r="328" spans="19:20" ht="14.25" customHeight="1" x14ac:dyDescent="0.3">
      <c r="S328" t="str">
        <f t="shared" si="25"/>
        <v/>
      </c>
      <c r="T328" t="str">
        <f t="shared" si="26"/>
        <v/>
      </c>
    </row>
    <row r="329" spans="19:20" ht="14.25" customHeight="1" x14ac:dyDescent="0.3">
      <c r="S329" t="str">
        <f t="shared" si="25"/>
        <v/>
      </c>
      <c r="T329" t="str">
        <f t="shared" si="26"/>
        <v/>
      </c>
    </row>
    <row r="330" spans="19:20" ht="14.25" customHeight="1" x14ac:dyDescent="0.3">
      <c r="S330" t="str">
        <f t="shared" si="25"/>
        <v/>
      </c>
      <c r="T330" t="str">
        <f t="shared" si="26"/>
        <v/>
      </c>
    </row>
    <row r="331" spans="19:20" ht="14.25" customHeight="1" x14ac:dyDescent="0.3">
      <c r="S331" t="str">
        <f t="shared" si="25"/>
        <v/>
      </c>
      <c r="T331" t="str">
        <f t="shared" si="26"/>
        <v/>
      </c>
    </row>
    <row r="332" spans="19:20" ht="14.25" customHeight="1" x14ac:dyDescent="0.3">
      <c r="S332" t="str">
        <f t="shared" si="25"/>
        <v/>
      </c>
      <c r="T332" t="str">
        <f t="shared" si="26"/>
        <v/>
      </c>
    </row>
    <row r="333" spans="19:20" ht="14.25" customHeight="1" x14ac:dyDescent="0.3">
      <c r="S333" t="str">
        <f t="shared" si="25"/>
        <v/>
      </c>
      <c r="T333" t="str">
        <f t="shared" si="26"/>
        <v/>
      </c>
    </row>
    <row r="334" spans="19:20" ht="14.25" customHeight="1" x14ac:dyDescent="0.3">
      <c r="S334" t="str">
        <f t="shared" si="25"/>
        <v/>
      </c>
      <c r="T334" t="str">
        <f t="shared" si="26"/>
        <v/>
      </c>
    </row>
    <row r="335" spans="19:20" ht="14.25" customHeight="1" x14ac:dyDescent="0.3">
      <c r="S335" t="str">
        <f t="shared" si="25"/>
        <v/>
      </c>
      <c r="T335" t="str">
        <f t="shared" si="26"/>
        <v/>
      </c>
    </row>
    <row r="336" spans="19:20" ht="14.25" customHeight="1" x14ac:dyDescent="0.3">
      <c r="S336" t="str">
        <f t="shared" si="25"/>
        <v/>
      </c>
      <c r="T336" t="str">
        <f t="shared" si="26"/>
        <v/>
      </c>
    </row>
    <row r="337" spans="19:20" ht="14.25" customHeight="1" x14ac:dyDescent="0.3">
      <c r="S337" t="str">
        <f t="shared" si="25"/>
        <v/>
      </c>
      <c r="T337" t="str">
        <f t="shared" si="26"/>
        <v/>
      </c>
    </row>
    <row r="338" spans="19:20" ht="14.25" customHeight="1" x14ac:dyDescent="0.3">
      <c r="S338" t="str">
        <f t="shared" si="25"/>
        <v/>
      </c>
      <c r="T338" t="str">
        <f t="shared" si="26"/>
        <v/>
      </c>
    </row>
    <row r="339" spans="19:20" ht="14.25" customHeight="1" x14ac:dyDescent="0.3">
      <c r="S339" t="str">
        <f t="shared" si="25"/>
        <v/>
      </c>
      <c r="T339" t="str">
        <f t="shared" si="26"/>
        <v/>
      </c>
    </row>
    <row r="340" spans="19:20" ht="14.25" customHeight="1" x14ac:dyDescent="0.3">
      <c r="S340" t="str">
        <f t="shared" si="25"/>
        <v/>
      </c>
      <c r="T340" t="str">
        <f t="shared" si="26"/>
        <v/>
      </c>
    </row>
    <row r="341" spans="19:20" ht="14.25" customHeight="1" x14ac:dyDescent="0.3">
      <c r="S341" t="str">
        <f t="shared" si="25"/>
        <v/>
      </c>
      <c r="T341" t="str">
        <f t="shared" si="26"/>
        <v/>
      </c>
    </row>
    <row r="342" spans="19:20" ht="14.25" customHeight="1" x14ac:dyDescent="0.3">
      <c r="S342" t="str">
        <f t="shared" si="25"/>
        <v/>
      </c>
      <c r="T342" t="str">
        <f t="shared" si="26"/>
        <v/>
      </c>
    </row>
    <row r="343" spans="19:20" ht="14.25" customHeight="1" x14ac:dyDescent="0.3">
      <c r="S343" t="str">
        <f t="shared" si="25"/>
        <v/>
      </c>
      <c r="T343" t="str">
        <f t="shared" si="26"/>
        <v/>
      </c>
    </row>
    <row r="344" spans="19:20" ht="14.25" customHeight="1" x14ac:dyDescent="0.3">
      <c r="S344" t="str">
        <f t="shared" si="25"/>
        <v/>
      </c>
      <c r="T344" t="str">
        <f t="shared" si="26"/>
        <v/>
      </c>
    </row>
    <row r="345" spans="19:20" ht="14.25" customHeight="1" x14ac:dyDescent="0.3">
      <c r="S345" t="str">
        <f t="shared" si="25"/>
        <v/>
      </c>
      <c r="T345" t="str">
        <f t="shared" si="26"/>
        <v/>
      </c>
    </row>
    <row r="346" spans="19:20" ht="14.25" customHeight="1" x14ac:dyDescent="0.3">
      <c r="S346" t="str">
        <f t="shared" si="25"/>
        <v/>
      </c>
      <c r="T346" t="str">
        <f t="shared" si="26"/>
        <v/>
      </c>
    </row>
    <row r="347" spans="19:20" ht="14.25" customHeight="1" x14ac:dyDescent="0.3">
      <c r="S347" t="str">
        <f t="shared" si="25"/>
        <v/>
      </c>
      <c r="T347" t="str">
        <f t="shared" si="26"/>
        <v/>
      </c>
    </row>
    <row r="348" spans="19:20" ht="14.25" customHeight="1" x14ac:dyDescent="0.3">
      <c r="S348" t="str">
        <f t="shared" si="25"/>
        <v/>
      </c>
      <c r="T348" t="str">
        <f t="shared" si="26"/>
        <v/>
      </c>
    </row>
    <row r="349" spans="19:20" ht="14.25" customHeight="1" x14ac:dyDescent="0.3">
      <c r="S349" t="str">
        <f t="shared" si="25"/>
        <v/>
      </c>
      <c r="T349" t="str">
        <f t="shared" si="26"/>
        <v/>
      </c>
    </row>
    <row r="350" spans="19:20" ht="14.25" customHeight="1" x14ac:dyDescent="0.3">
      <c r="S350" t="str">
        <f t="shared" si="25"/>
        <v/>
      </c>
      <c r="T350" t="str">
        <f t="shared" si="26"/>
        <v/>
      </c>
    </row>
    <row r="351" spans="19:20" ht="14.25" customHeight="1" x14ac:dyDescent="0.3">
      <c r="S351" t="str">
        <f t="shared" si="25"/>
        <v/>
      </c>
      <c r="T351" t="str">
        <f t="shared" si="26"/>
        <v/>
      </c>
    </row>
    <row r="352" spans="19:20" ht="14.25" customHeight="1" x14ac:dyDescent="0.3">
      <c r="S352" t="str">
        <f t="shared" si="25"/>
        <v/>
      </c>
      <c r="T352" t="str">
        <f t="shared" si="26"/>
        <v/>
      </c>
    </row>
    <row r="353" spans="19:20" ht="14.25" customHeight="1" x14ac:dyDescent="0.3">
      <c r="S353" t="str">
        <f t="shared" si="25"/>
        <v/>
      </c>
      <c r="T353" t="str">
        <f t="shared" si="26"/>
        <v/>
      </c>
    </row>
    <row r="354" spans="19:20" ht="14.25" customHeight="1" x14ac:dyDescent="0.3">
      <c r="S354" t="str">
        <f t="shared" si="25"/>
        <v/>
      </c>
      <c r="T354" t="str">
        <f t="shared" si="26"/>
        <v/>
      </c>
    </row>
    <row r="355" spans="19:20" ht="14.25" customHeight="1" x14ac:dyDescent="0.3">
      <c r="S355" t="str">
        <f t="shared" si="25"/>
        <v/>
      </c>
      <c r="T355" t="str">
        <f t="shared" si="26"/>
        <v/>
      </c>
    </row>
    <row r="356" spans="19:20" ht="14.25" customHeight="1" x14ac:dyDescent="0.3">
      <c r="S356" t="str">
        <f t="shared" si="25"/>
        <v/>
      </c>
      <c r="T356" t="str">
        <f t="shared" si="26"/>
        <v/>
      </c>
    </row>
    <row r="357" spans="19:20" ht="14.25" customHeight="1" x14ac:dyDescent="0.3">
      <c r="S357" t="str">
        <f t="shared" si="25"/>
        <v/>
      </c>
      <c r="T357" t="str">
        <f t="shared" si="26"/>
        <v/>
      </c>
    </row>
    <row r="358" spans="19:20" ht="14.25" customHeight="1" x14ac:dyDescent="0.3">
      <c r="S358" t="str">
        <f t="shared" si="25"/>
        <v/>
      </c>
      <c r="T358" t="str">
        <f t="shared" si="26"/>
        <v/>
      </c>
    </row>
    <row r="359" spans="19:20" ht="14.25" customHeight="1" x14ac:dyDescent="0.3">
      <c r="S359" t="str">
        <f t="shared" si="25"/>
        <v/>
      </c>
      <c r="T359" t="str">
        <f t="shared" si="26"/>
        <v/>
      </c>
    </row>
    <row r="360" spans="19:20" ht="14.25" customHeight="1" x14ac:dyDescent="0.3">
      <c r="S360" t="str">
        <f t="shared" si="25"/>
        <v/>
      </c>
      <c r="T360" t="str">
        <f t="shared" si="26"/>
        <v/>
      </c>
    </row>
    <row r="361" spans="19:20" ht="14.25" customHeight="1" x14ac:dyDescent="0.3">
      <c r="S361" t="str">
        <f t="shared" si="25"/>
        <v/>
      </c>
      <c r="T361" t="str">
        <f t="shared" si="26"/>
        <v/>
      </c>
    </row>
    <row r="362" spans="19:20" ht="14.25" customHeight="1" x14ac:dyDescent="0.3">
      <c r="S362" t="str">
        <f t="shared" si="25"/>
        <v/>
      </c>
      <c r="T362" t="str">
        <f t="shared" si="26"/>
        <v/>
      </c>
    </row>
    <row r="363" spans="19:20" ht="14.25" customHeight="1" x14ac:dyDescent="0.3">
      <c r="S363" t="str">
        <f t="shared" si="25"/>
        <v/>
      </c>
      <c r="T363" t="str">
        <f t="shared" si="26"/>
        <v/>
      </c>
    </row>
    <row r="364" spans="19:20" ht="14.25" customHeight="1" x14ac:dyDescent="0.3">
      <c r="S364" t="str">
        <f t="shared" si="25"/>
        <v/>
      </c>
      <c r="T364" t="str">
        <f t="shared" si="26"/>
        <v/>
      </c>
    </row>
    <row r="365" spans="19:20" ht="14.25" customHeight="1" x14ac:dyDescent="0.3">
      <c r="S365" t="str">
        <f t="shared" si="25"/>
        <v/>
      </c>
      <c r="T365" t="str">
        <f t="shared" si="26"/>
        <v/>
      </c>
    </row>
    <row r="366" spans="19:20" ht="14.25" customHeight="1" x14ac:dyDescent="0.3">
      <c r="S366" t="str">
        <f t="shared" si="25"/>
        <v/>
      </c>
      <c r="T366" t="str">
        <f t="shared" si="26"/>
        <v/>
      </c>
    </row>
    <row r="367" spans="19:20" ht="14.25" customHeight="1" x14ac:dyDescent="0.3">
      <c r="S367" t="str">
        <f t="shared" si="25"/>
        <v/>
      </c>
      <c r="T367" t="str">
        <f t="shared" si="26"/>
        <v/>
      </c>
    </row>
    <row r="368" spans="19:20" ht="14.25" customHeight="1" x14ac:dyDescent="0.3">
      <c r="S368" t="str">
        <f t="shared" si="25"/>
        <v/>
      </c>
      <c r="T368" t="str">
        <f t="shared" si="26"/>
        <v/>
      </c>
    </row>
    <row r="369" spans="19:20" ht="14.25" customHeight="1" x14ac:dyDescent="0.3">
      <c r="S369" t="str">
        <f t="shared" si="25"/>
        <v/>
      </c>
      <c r="T369" t="str">
        <f t="shared" si="26"/>
        <v/>
      </c>
    </row>
    <row r="370" spans="19:20" ht="14.25" customHeight="1" x14ac:dyDescent="0.3">
      <c r="S370" t="str">
        <f t="shared" si="25"/>
        <v/>
      </c>
      <c r="T370" t="str">
        <f t="shared" si="26"/>
        <v/>
      </c>
    </row>
    <row r="371" spans="19:20" ht="14.25" customHeight="1" x14ac:dyDescent="0.3">
      <c r="S371" t="str">
        <f t="shared" si="25"/>
        <v/>
      </c>
      <c r="T371" t="str">
        <f t="shared" si="26"/>
        <v/>
      </c>
    </row>
    <row r="372" spans="19:20" ht="14.25" customHeight="1" x14ac:dyDescent="0.3">
      <c r="S372" t="str">
        <f t="shared" si="25"/>
        <v/>
      </c>
      <c r="T372" t="str">
        <f t="shared" si="26"/>
        <v/>
      </c>
    </row>
    <row r="373" spans="19:20" ht="14.25" customHeight="1" x14ac:dyDescent="0.3">
      <c r="S373" t="str">
        <f t="shared" si="25"/>
        <v/>
      </c>
      <c r="T373" t="str">
        <f t="shared" si="26"/>
        <v/>
      </c>
    </row>
    <row r="374" spans="19:20" ht="14.25" customHeight="1" x14ac:dyDescent="0.3">
      <c r="S374" t="str">
        <f t="shared" si="25"/>
        <v/>
      </c>
      <c r="T374" t="str">
        <f t="shared" si="26"/>
        <v/>
      </c>
    </row>
    <row r="375" spans="19:20" ht="14.25" customHeight="1" x14ac:dyDescent="0.3">
      <c r="S375" t="str">
        <f t="shared" si="25"/>
        <v/>
      </c>
      <c r="T375" t="str">
        <f t="shared" si="26"/>
        <v/>
      </c>
    </row>
    <row r="376" spans="19:20" ht="14.25" customHeight="1" x14ac:dyDescent="0.3">
      <c r="S376" t="str">
        <f t="shared" si="25"/>
        <v/>
      </c>
      <c r="T376" t="str">
        <f t="shared" si="26"/>
        <v/>
      </c>
    </row>
    <row r="377" spans="19:20" ht="14.25" customHeight="1" x14ac:dyDescent="0.3">
      <c r="S377" t="str">
        <f t="shared" si="25"/>
        <v/>
      </c>
      <c r="T377" t="str">
        <f t="shared" si="26"/>
        <v/>
      </c>
    </row>
    <row r="378" spans="19:20" ht="14.25" customHeight="1" x14ac:dyDescent="0.3">
      <c r="S378" t="str">
        <f t="shared" si="25"/>
        <v/>
      </c>
      <c r="T378" t="str">
        <f t="shared" si="26"/>
        <v/>
      </c>
    </row>
    <row r="379" spans="19:20" ht="14.25" customHeight="1" x14ac:dyDescent="0.3">
      <c r="S379" t="str">
        <f t="shared" si="25"/>
        <v/>
      </c>
      <c r="T379" t="str">
        <f t="shared" si="26"/>
        <v/>
      </c>
    </row>
    <row r="380" spans="19:20" ht="14.25" customHeight="1" x14ac:dyDescent="0.3">
      <c r="S380" t="str">
        <f t="shared" si="25"/>
        <v/>
      </c>
      <c r="T380" t="str">
        <f t="shared" si="26"/>
        <v/>
      </c>
    </row>
    <row r="381" spans="19:20" ht="14.25" customHeight="1" x14ac:dyDescent="0.3">
      <c r="S381" t="str">
        <f t="shared" si="25"/>
        <v/>
      </c>
      <c r="T381" t="str">
        <f t="shared" si="26"/>
        <v/>
      </c>
    </row>
    <row r="382" spans="19:20" ht="14.25" customHeight="1" x14ac:dyDescent="0.3">
      <c r="S382" t="str">
        <f t="shared" si="25"/>
        <v/>
      </c>
      <c r="T382" t="str">
        <f t="shared" si="26"/>
        <v/>
      </c>
    </row>
    <row r="383" spans="19:20" ht="14.25" customHeight="1" x14ac:dyDescent="0.3">
      <c r="S383" t="str">
        <f t="shared" si="25"/>
        <v/>
      </c>
      <c r="T383" t="str">
        <f t="shared" si="26"/>
        <v/>
      </c>
    </row>
    <row r="384" spans="19:20" ht="14.25" customHeight="1" x14ac:dyDescent="0.3">
      <c r="S384" t="str">
        <f t="shared" si="25"/>
        <v/>
      </c>
      <c r="T384" t="str">
        <f t="shared" si="26"/>
        <v/>
      </c>
    </row>
    <row r="385" spans="19:20" ht="14.25" customHeight="1" x14ac:dyDescent="0.3">
      <c r="S385" t="str">
        <f t="shared" si="25"/>
        <v/>
      </c>
      <c r="T385" t="str">
        <f t="shared" si="26"/>
        <v/>
      </c>
    </row>
    <row r="386" spans="19:20" ht="14.25" customHeight="1" x14ac:dyDescent="0.3">
      <c r="S386" t="str">
        <f t="shared" ref="S386:S449" si="27">IFERROR(INDEX(D_IDUNIQUE,MATCH(ROW()-1,D_RANG_SUIVI,0)),"")</f>
        <v/>
      </c>
      <c r="T386" t="str">
        <f t="shared" ref="T386:T449" si="28">IF($S386="","",UPPER(INDEX(D_NOM,MATCH($S386,D_ID,0)))&amp;" "&amp;INDEX(D_PRENOM,MATCH($S386,D_ID,0))&amp;" — "&amp;INDEX(D_NIVEAU_ACTUEL,MATCH($S386,D_ID,0)))</f>
        <v/>
      </c>
    </row>
    <row r="387" spans="19:20" ht="14.25" customHeight="1" x14ac:dyDescent="0.3">
      <c r="S387" t="str">
        <f t="shared" si="27"/>
        <v/>
      </c>
      <c r="T387" t="str">
        <f t="shared" si="28"/>
        <v/>
      </c>
    </row>
    <row r="388" spans="19:20" ht="14.25" customHeight="1" x14ac:dyDescent="0.3">
      <c r="S388" t="str">
        <f t="shared" si="27"/>
        <v/>
      </c>
      <c r="T388" t="str">
        <f t="shared" si="28"/>
        <v/>
      </c>
    </row>
    <row r="389" spans="19:20" ht="14.25" customHeight="1" x14ac:dyDescent="0.3">
      <c r="S389" t="str">
        <f t="shared" si="27"/>
        <v/>
      </c>
      <c r="T389" t="str">
        <f t="shared" si="28"/>
        <v/>
      </c>
    </row>
    <row r="390" spans="19:20" ht="14.25" customHeight="1" x14ac:dyDescent="0.3">
      <c r="S390" t="str">
        <f t="shared" si="27"/>
        <v/>
      </c>
      <c r="T390" t="str">
        <f t="shared" si="28"/>
        <v/>
      </c>
    </row>
    <row r="391" spans="19:20" ht="14.25" customHeight="1" x14ac:dyDescent="0.3">
      <c r="S391" t="str">
        <f t="shared" si="27"/>
        <v/>
      </c>
      <c r="T391" t="str">
        <f t="shared" si="28"/>
        <v/>
      </c>
    </row>
    <row r="392" spans="19:20" ht="14.25" customHeight="1" x14ac:dyDescent="0.3">
      <c r="S392" t="str">
        <f t="shared" si="27"/>
        <v/>
      </c>
      <c r="T392" t="str">
        <f t="shared" si="28"/>
        <v/>
      </c>
    </row>
    <row r="393" spans="19:20" ht="14.25" customHeight="1" x14ac:dyDescent="0.3">
      <c r="S393" t="str">
        <f t="shared" si="27"/>
        <v/>
      </c>
      <c r="T393" t="str">
        <f t="shared" si="28"/>
        <v/>
      </c>
    </row>
    <row r="394" spans="19:20" ht="14.25" customHeight="1" x14ac:dyDescent="0.3">
      <c r="S394" t="str">
        <f t="shared" si="27"/>
        <v/>
      </c>
      <c r="T394" t="str">
        <f t="shared" si="28"/>
        <v/>
      </c>
    </row>
    <row r="395" spans="19:20" ht="14.25" customHeight="1" x14ac:dyDescent="0.3">
      <c r="S395" t="str">
        <f t="shared" si="27"/>
        <v/>
      </c>
      <c r="T395" t="str">
        <f t="shared" si="28"/>
        <v/>
      </c>
    </row>
    <row r="396" spans="19:20" ht="14.25" customHeight="1" x14ac:dyDescent="0.3">
      <c r="S396" t="str">
        <f t="shared" si="27"/>
        <v/>
      </c>
      <c r="T396" t="str">
        <f t="shared" si="28"/>
        <v/>
      </c>
    </row>
    <row r="397" spans="19:20" ht="14.25" customHeight="1" x14ac:dyDescent="0.3">
      <c r="S397" t="str">
        <f t="shared" si="27"/>
        <v/>
      </c>
      <c r="T397" t="str">
        <f t="shared" si="28"/>
        <v/>
      </c>
    </row>
    <row r="398" spans="19:20" ht="14.25" customHeight="1" x14ac:dyDescent="0.3">
      <c r="S398" t="str">
        <f t="shared" si="27"/>
        <v/>
      </c>
      <c r="T398" t="str">
        <f t="shared" si="28"/>
        <v/>
      </c>
    </row>
    <row r="399" spans="19:20" ht="14.25" customHeight="1" x14ac:dyDescent="0.3">
      <c r="S399" t="str">
        <f t="shared" si="27"/>
        <v/>
      </c>
      <c r="T399" t="str">
        <f t="shared" si="28"/>
        <v/>
      </c>
    </row>
    <row r="400" spans="19:20" ht="14.25" customHeight="1" x14ac:dyDescent="0.3">
      <c r="S400" t="str">
        <f t="shared" si="27"/>
        <v/>
      </c>
      <c r="T400" t="str">
        <f t="shared" si="28"/>
        <v/>
      </c>
    </row>
    <row r="401" spans="19:20" ht="14.25" customHeight="1" x14ac:dyDescent="0.3">
      <c r="S401" t="str">
        <f t="shared" si="27"/>
        <v/>
      </c>
      <c r="T401" t="str">
        <f t="shared" si="28"/>
        <v/>
      </c>
    </row>
    <row r="402" spans="19:20" ht="14.25" customHeight="1" x14ac:dyDescent="0.3">
      <c r="S402" t="str">
        <f t="shared" si="27"/>
        <v/>
      </c>
      <c r="T402" t="str">
        <f t="shared" si="28"/>
        <v/>
      </c>
    </row>
    <row r="403" spans="19:20" ht="14.25" customHeight="1" x14ac:dyDescent="0.3">
      <c r="S403" t="str">
        <f t="shared" si="27"/>
        <v/>
      </c>
      <c r="T403" t="str">
        <f t="shared" si="28"/>
        <v/>
      </c>
    </row>
    <row r="404" spans="19:20" ht="14.25" customHeight="1" x14ac:dyDescent="0.3">
      <c r="S404" t="str">
        <f t="shared" si="27"/>
        <v/>
      </c>
      <c r="T404" t="str">
        <f t="shared" si="28"/>
        <v/>
      </c>
    </row>
    <row r="405" spans="19:20" ht="14.25" customHeight="1" x14ac:dyDescent="0.3">
      <c r="S405" t="str">
        <f t="shared" si="27"/>
        <v/>
      </c>
      <c r="T405" t="str">
        <f t="shared" si="28"/>
        <v/>
      </c>
    </row>
    <row r="406" spans="19:20" ht="14.25" customHeight="1" x14ac:dyDescent="0.3">
      <c r="S406" t="str">
        <f t="shared" si="27"/>
        <v/>
      </c>
      <c r="T406" t="str">
        <f t="shared" si="28"/>
        <v/>
      </c>
    </row>
    <row r="407" spans="19:20" ht="14.25" customHeight="1" x14ac:dyDescent="0.3">
      <c r="S407" t="str">
        <f t="shared" si="27"/>
        <v/>
      </c>
      <c r="T407" t="str">
        <f t="shared" si="28"/>
        <v/>
      </c>
    </row>
    <row r="408" spans="19:20" ht="14.25" customHeight="1" x14ac:dyDescent="0.3">
      <c r="S408" t="str">
        <f t="shared" si="27"/>
        <v/>
      </c>
      <c r="T408" t="str">
        <f t="shared" si="28"/>
        <v/>
      </c>
    </row>
    <row r="409" spans="19:20" ht="14.25" customHeight="1" x14ac:dyDescent="0.3">
      <c r="S409" t="str">
        <f t="shared" si="27"/>
        <v/>
      </c>
      <c r="T409" t="str">
        <f t="shared" si="28"/>
        <v/>
      </c>
    </row>
    <row r="410" spans="19:20" ht="14.25" customHeight="1" x14ac:dyDescent="0.3">
      <c r="S410" t="str">
        <f t="shared" si="27"/>
        <v/>
      </c>
      <c r="T410" t="str">
        <f t="shared" si="28"/>
        <v/>
      </c>
    </row>
    <row r="411" spans="19:20" ht="14.25" customHeight="1" x14ac:dyDescent="0.3">
      <c r="S411" t="str">
        <f t="shared" si="27"/>
        <v/>
      </c>
      <c r="T411" t="str">
        <f t="shared" si="28"/>
        <v/>
      </c>
    </row>
    <row r="412" spans="19:20" ht="14.25" customHeight="1" x14ac:dyDescent="0.3">
      <c r="S412" t="str">
        <f t="shared" si="27"/>
        <v/>
      </c>
      <c r="T412" t="str">
        <f t="shared" si="28"/>
        <v/>
      </c>
    </row>
    <row r="413" spans="19:20" ht="14.25" customHeight="1" x14ac:dyDescent="0.3">
      <c r="S413" t="str">
        <f t="shared" si="27"/>
        <v/>
      </c>
      <c r="T413" t="str">
        <f t="shared" si="28"/>
        <v/>
      </c>
    </row>
    <row r="414" spans="19:20" ht="14.25" customHeight="1" x14ac:dyDescent="0.3">
      <c r="S414" t="str">
        <f t="shared" si="27"/>
        <v/>
      </c>
      <c r="T414" t="str">
        <f t="shared" si="28"/>
        <v/>
      </c>
    </row>
    <row r="415" spans="19:20" ht="14.25" customHeight="1" x14ac:dyDescent="0.3">
      <c r="S415" t="str">
        <f t="shared" si="27"/>
        <v/>
      </c>
      <c r="T415" t="str">
        <f t="shared" si="28"/>
        <v/>
      </c>
    </row>
    <row r="416" spans="19:20" ht="14.25" customHeight="1" x14ac:dyDescent="0.3">
      <c r="S416" t="str">
        <f t="shared" si="27"/>
        <v/>
      </c>
      <c r="T416" t="str">
        <f t="shared" si="28"/>
        <v/>
      </c>
    </row>
    <row r="417" spans="19:20" ht="14.25" customHeight="1" x14ac:dyDescent="0.3">
      <c r="S417" t="str">
        <f t="shared" si="27"/>
        <v/>
      </c>
      <c r="T417" t="str">
        <f t="shared" si="28"/>
        <v/>
      </c>
    </row>
    <row r="418" spans="19:20" ht="14.25" customHeight="1" x14ac:dyDescent="0.3">
      <c r="S418" t="str">
        <f t="shared" si="27"/>
        <v/>
      </c>
      <c r="T418" t="str">
        <f t="shared" si="28"/>
        <v/>
      </c>
    </row>
    <row r="419" spans="19:20" ht="14.25" customHeight="1" x14ac:dyDescent="0.3">
      <c r="S419" t="str">
        <f t="shared" si="27"/>
        <v/>
      </c>
      <c r="T419" t="str">
        <f t="shared" si="28"/>
        <v/>
      </c>
    </row>
    <row r="420" spans="19:20" ht="14.25" customHeight="1" x14ac:dyDescent="0.3">
      <c r="S420" t="str">
        <f t="shared" si="27"/>
        <v/>
      </c>
      <c r="T420" t="str">
        <f t="shared" si="28"/>
        <v/>
      </c>
    </row>
    <row r="421" spans="19:20" ht="14.25" customHeight="1" x14ac:dyDescent="0.3">
      <c r="S421" t="str">
        <f t="shared" si="27"/>
        <v/>
      </c>
      <c r="T421" t="str">
        <f t="shared" si="28"/>
        <v/>
      </c>
    </row>
    <row r="422" spans="19:20" ht="14.25" customHeight="1" x14ac:dyDescent="0.3">
      <c r="S422" t="str">
        <f t="shared" si="27"/>
        <v/>
      </c>
      <c r="T422" t="str">
        <f t="shared" si="28"/>
        <v/>
      </c>
    </row>
    <row r="423" spans="19:20" ht="14.25" customHeight="1" x14ac:dyDescent="0.3">
      <c r="S423" t="str">
        <f t="shared" si="27"/>
        <v/>
      </c>
      <c r="T423" t="str">
        <f t="shared" si="28"/>
        <v/>
      </c>
    </row>
    <row r="424" spans="19:20" ht="14.25" customHeight="1" x14ac:dyDescent="0.3">
      <c r="S424" t="str">
        <f t="shared" si="27"/>
        <v/>
      </c>
      <c r="T424" t="str">
        <f t="shared" si="28"/>
        <v/>
      </c>
    </row>
    <row r="425" spans="19:20" ht="14.25" customHeight="1" x14ac:dyDescent="0.3">
      <c r="S425" t="str">
        <f t="shared" si="27"/>
        <v/>
      </c>
      <c r="T425" t="str">
        <f t="shared" si="28"/>
        <v/>
      </c>
    </row>
    <row r="426" spans="19:20" ht="14.25" customHeight="1" x14ac:dyDescent="0.3">
      <c r="S426" t="str">
        <f t="shared" si="27"/>
        <v/>
      </c>
      <c r="T426" t="str">
        <f t="shared" si="28"/>
        <v/>
      </c>
    </row>
    <row r="427" spans="19:20" ht="14.25" customHeight="1" x14ac:dyDescent="0.3">
      <c r="S427" t="str">
        <f t="shared" si="27"/>
        <v/>
      </c>
      <c r="T427" t="str">
        <f t="shared" si="28"/>
        <v/>
      </c>
    </row>
    <row r="428" spans="19:20" ht="14.25" customHeight="1" x14ac:dyDescent="0.3">
      <c r="S428" t="str">
        <f t="shared" si="27"/>
        <v/>
      </c>
      <c r="T428" t="str">
        <f t="shared" si="28"/>
        <v/>
      </c>
    </row>
    <row r="429" spans="19:20" ht="14.25" customHeight="1" x14ac:dyDescent="0.3">
      <c r="S429" t="str">
        <f t="shared" si="27"/>
        <v/>
      </c>
      <c r="T429" t="str">
        <f t="shared" si="28"/>
        <v/>
      </c>
    </row>
    <row r="430" spans="19:20" ht="14.25" customHeight="1" x14ac:dyDescent="0.3">
      <c r="S430" t="str">
        <f t="shared" si="27"/>
        <v/>
      </c>
      <c r="T430" t="str">
        <f t="shared" si="28"/>
        <v/>
      </c>
    </row>
    <row r="431" spans="19:20" ht="14.25" customHeight="1" x14ac:dyDescent="0.3">
      <c r="S431" t="str">
        <f t="shared" si="27"/>
        <v/>
      </c>
      <c r="T431" t="str">
        <f t="shared" si="28"/>
        <v/>
      </c>
    </row>
    <row r="432" spans="19:20" ht="14.25" customHeight="1" x14ac:dyDescent="0.3">
      <c r="S432" t="str">
        <f t="shared" si="27"/>
        <v/>
      </c>
      <c r="T432" t="str">
        <f t="shared" si="28"/>
        <v/>
      </c>
    </row>
    <row r="433" spans="19:20" ht="14.25" customHeight="1" x14ac:dyDescent="0.3">
      <c r="S433" t="str">
        <f t="shared" si="27"/>
        <v/>
      </c>
      <c r="T433" t="str">
        <f t="shared" si="28"/>
        <v/>
      </c>
    </row>
    <row r="434" spans="19:20" ht="14.25" customHeight="1" x14ac:dyDescent="0.3">
      <c r="S434" t="str">
        <f t="shared" si="27"/>
        <v/>
      </c>
      <c r="T434" t="str">
        <f t="shared" si="28"/>
        <v/>
      </c>
    </row>
    <row r="435" spans="19:20" ht="14.25" customHeight="1" x14ac:dyDescent="0.3">
      <c r="S435" t="str">
        <f t="shared" si="27"/>
        <v/>
      </c>
      <c r="T435" t="str">
        <f t="shared" si="28"/>
        <v/>
      </c>
    </row>
    <row r="436" spans="19:20" ht="14.25" customHeight="1" x14ac:dyDescent="0.3">
      <c r="S436" t="str">
        <f t="shared" si="27"/>
        <v/>
      </c>
      <c r="T436" t="str">
        <f t="shared" si="28"/>
        <v/>
      </c>
    </row>
    <row r="437" spans="19:20" ht="14.25" customHeight="1" x14ac:dyDescent="0.3">
      <c r="S437" t="str">
        <f t="shared" si="27"/>
        <v/>
      </c>
      <c r="T437" t="str">
        <f t="shared" si="28"/>
        <v/>
      </c>
    </row>
    <row r="438" spans="19:20" ht="14.25" customHeight="1" x14ac:dyDescent="0.3">
      <c r="S438" t="str">
        <f t="shared" si="27"/>
        <v/>
      </c>
      <c r="T438" t="str">
        <f t="shared" si="28"/>
        <v/>
      </c>
    </row>
    <row r="439" spans="19:20" ht="14.25" customHeight="1" x14ac:dyDescent="0.3">
      <c r="S439" t="str">
        <f t="shared" si="27"/>
        <v/>
      </c>
      <c r="T439" t="str">
        <f t="shared" si="28"/>
        <v/>
      </c>
    </row>
    <row r="440" spans="19:20" ht="14.25" customHeight="1" x14ac:dyDescent="0.3">
      <c r="S440" t="str">
        <f t="shared" si="27"/>
        <v/>
      </c>
      <c r="T440" t="str">
        <f t="shared" si="28"/>
        <v/>
      </c>
    </row>
    <row r="441" spans="19:20" ht="14.25" customHeight="1" x14ac:dyDescent="0.3">
      <c r="S441" t="str">
        <f t="shared" si="27"/>
        <v/>
      </c>
      <c r="T441" t="str">
        <f t="shared" si="28"/>
        <v/>
      </c>
    </row>
    <row r="442" spans="19:20" ht="14.25" customHeight="1" x14ac:dyDescent="0.3">
      <c r="S442" t="str">
        <f t="shared" si="27"/>
        <v/>
      </c>
      <c r="T442" t="str">
        <f t="shared" si="28"/>
        <v/>
      </c>
    </row>
    <row r="443" spans="19:20" ht="14.25" customHeight="1" x14ac:dyDescent="0.3">
      <c r="S443" t="str">
        <f t="shared" si="27"/>
        <v/>
      </c>
      <c r="T443" t="str">
        <f t="shared" si="28"/>
        <v/>
      </c>
    </row>
    <row r="444" spans="19:20" ht="14.25" customHeight="1" x14ac:dyDescent="0.3">
      <c r="S444" t="str">
        <f t="shared" si="27"/>
        <v/>
      </c>
      <c r="T444" t="str">
        <f t="shared" si="28"/>
        <v/>
      </c>
    </row>
    <row r="445" spans="19:20" ht="14.25" customHeight="1" x14ac:dyDescent="0.3">
      <c r="S445" t="str">
        <f t="shared" si="27"/>
        <v/>
      </c>
      <c r="T445" t="str">
        <f t="shared" si="28"/>
        <v/>
      </c>
    </row>
    <row r="446" spans="19:20" ht="14.25" customHeight="1" x14ac:dyDescent="0.3">
      <c r="S446" t="str">
        <f t="shared" si="27"/>
        <v/>
      </c>
      <c r="T446" t="str">
        <f t="shared" si="28"/>
        <v/>
      </c>
    </row>
    <row r="447" spans="19:20" ht="14.25" customHeight="1" x14ac:dyDescent="0.3">
      <c r="S447" t="str">
        <f t="shared" si="27"/>
        <v/>
      </c>
      <c r="T447" t="str">
        <f t="shared" si="28"/>
        <v/>
      </c>
    </row>
    <row r="448" spans="19:20" ht="14.25" customHeight="1" x14ac:dyDescent="0.3">
      <c r="S448" t="str">
        <f t="shared" si="27"/>
        <v/>
      </c>
      <c r="T448" t="str">
        <f t="shared" si="28"/>
        <v/>
      </c>
    </row>
    <row r="449" spans="19:20" ht="14.25" customHeight="1" x14ac:dyDescent="0.3">
      <c r="S449" t="str">
        <f t="shared" si="27"/>
        <v/>
      </c>
      <c r="T449" t="str">
        <f t="shared" si="28"/>
        <v/>
      </c>
    </row>
    <row r="450" spans="19:20" ht="14.25" customHeight="1" x14ac:dyDescent="0.3">
      <c r="S450" t="str">
        <f t="shared" ref="S450:S513" si="29">IFERROR(INDEX(D_IDUNIQUE,MATCH(ROW()-1,D_RANG_SUIVI,0)),"")</f>
        <v/>
      </c>
      <c r="T450" t="str">
        <f t="shared" ref="T450:T513" si="30">IF($S450="","",UPPER(INDEX(D_NOM,MATCH($S450,D_ID,0)))&amp;" "&amp;INDEX(D_PRENOM,MATCH($S450,D_ID,0))&amp;" — "&amp;INDEX(D_NIVEAU_ACTUEL,MATCH($S450,D_ID,0)))</f>
        <v/>
      </c>
    </row>
    <row r="451" spans="19:20" ht="14.25" customHeight="1" x14ac:dyDescent="0.3">
      <c r="S451" t="str">
        <f t="shared" si="29"/>
        <v/>
      </c>
      <c r="T451" t="str">
        <f t="shared" si="30"/>
        <v/>
      </c>
    </row>
    <row r="452" spans="19:20" ht="14.25" customHeight="1" x14ac:dyDescent="0.3">
      <c r="S452" t="str">
        <f t="shared" si="29"/>
        <v/>
      </c>
      <c r="T452" t="str">
        <f t="shared" si="30"/>
        <v/>
      </c>
    </row>
    <row r="453" spans="19:20" ht="14.25" customHeight="1" x14ac:dyDescent="0.3">
      <c r="S453" t="str">
        <f t="shared" si="29"/>
        <v/>
      </c>
      <c r="T453" t="str">
        <f t="shared" si="30"/>
        <v/>
      </c>
    </row>
    <row r="454" spans="19:20" ht="14.25" customHeight="1" x14ac:dyDescent="0.3">
      <c r="S454" t="str">
        <f t="shared" si="29"/>
        <v/>
      </c>
      <c r="T454" t="str">
        <f t="shared" si="30"/>
        <v/>
      </c>
    </row>
    <row r="455" spans="19:20" ht="14.25" customHeight="1" x14ac:dyDescent="0.3">
      <c r="S455" t="str">
        <f t="shared" si="29"/>
        <v/>
      </c>
      <c r="T455" t="str">
        <f t="shared" si="30"/>
        <v/>
      </c>
    </row>
    <row r="456" spans="19:20" ht="14.25" customHeight="1" x14ac:dyDescent="0.3">
      <c r="S456" t="str">
        <f t="shared" si="29"/>
        <v/>
      </c>
      <c r="T456" t="str">
        <f t="shared" si="30"/>
        <v/>
      </c>
    </row>
    <row r="457" spans="19:20" ht="14.25" customHeight="1" x14ac:dyDescent="0.3">
      <c r="S457" t="str">
        <f t="shared" si="29"/>
        <v/>
      </c>
      <c r="T457" t="str">
        <f t="shared" si="30"/>
        <v/>
      </c>
    </row>
    <row r="458" spans="19:20" ht="14.25" customHeight="1" x14ac:dyDescent="0.3">
      <c r="S458" t="str">
        <f t="shared" si="29"/>
        <v/>
      </c>
      <c r="T458" t="str">
        <f t="shared" si="30"/>
        <v/>
      </c>
    </row>
    <row r="459" spans="19:20" ht="14.25" customHeight="1" x14ac:dyDescent="0.3">
      <c r="S459" t="str">
        <f t="shared" si="29"/>
        <v/>
      </c>
      <c r="T459" t="str">
        <f t="shared" si="30"/>
        <v/>
      </c>
    </row>
    <row r="460" spans="19:20" ht="14.25" customHeight="1" x14ac:dyDescent="0.3">
      <c r="S460" t="str">
        <f t="shared" si="29"/>
        <v/>
      </c>
      <c r="T460" t="str">
        <f t="shared" si="30"/>
        <v/>
      </c>
    </row>
    <row r="461" spans="19:20" ht="14.25" customHeight="1" x14ac:dyDescent="0.3">
      <c r="S461" t="str">
        <f t="shared" si="29"/>
        <v/>
      </c>
      <c r="T461" t="str">
        <f t="shared" si="30"/>
        <v/>
      </c>
    </row>
    <row r="462" spans="19:20" ht="14.25" customHeight="1" x14ac:dyDescent="0.3">
      <c r="S462" t="str">
        <f t="shared" si="29"/>
        <v/>
      </c>
      <c r="T462" t="str">
        <f t="shared" si="30"/>
        <v/>
      </c>
    </row>
    <row r="463" spans="19:20" ht="14.25" customHeight="1" x14ac:dyDescent="0.3">
      <c r="S463" t="str">
        <f t="shared" si="29"/>
        <v/>
      </c>
      <c r="T463" t="str">
        <f t="shared" si="30"/>
        <v/>
      </c>
    </row>
    <row r="464" spans="19:20" ht="14.25" customHeight="1" x14ac:dyDescent="0.3">
      <c r="S464" t="str">
        <f t="shared" si="29"/>
        <v/>
      </c>
      <c r="T464" t="str">
        <f t="shared" si="30"/>
        <v/>
      </c>
    </row>
    <row r="465" spans="19:20" ht="14.25" customHeight="1" x14ac:dyDescent="0.3">
      <c r="S465" t="str">
        <f t="shared" si="29"/>
        <v/>
      </c>
      <c r="T465" t="str">
        <f t="shared" si="30"/>
        <v/>
      </c>
    </row>
    <row r="466" spans="19:20" ht="14.25" customHeight="1" x14ac:dyDescent="0.3">
      <c r="S466" t="str">
        <f t="shared" si="29"/>
        <v/>
      </c>
      <c r="T466" t="str">
        <f t="shared" si="30"/>
        <v/>
      </c>
    </row>
    <row r="467" spans="19:20" ht="14.25" customHeight="1" x14ac:dyDescent="0.3">
      <c r="S467" t="str">
        <f t="shared" si="29"/>
        <v/>
      </c>
      <c r="T467" t="str">
        <f t="shared" si="30"/>
        <v/>
      </c>
    </row>
    <row r="468" spans="19:20" ht="14.25" customHeight="1" x14ac:dyDescent="0.3">
      <c r="S468" t="str">
        <f t="shared" si="29"/>
        <v/>
      </c>
      <c r="T468" t="str">
        <f t="shared" si="30"/>
        <v/>
      </c>
    </row>
    <row r="469" spans="19:20" ht="14.25" customHeight="1" x14ac:dyDescent="0.3">
      <c r="S469" t="str">
        <f t="shared" si="29"/>
        <v/>
      </c>
      <c r="T469" t="str">
        <f t="shared" si="30"/>
        <v/>
      </c>
    </row>
    <row r="470" spans="19:20" ht="14.25" customHeight="1" x14ac:dyDescent="0.3">
      <c r="S470" t="str">
        <f t="shared" si="29"/>
        <v/>
      </c>
      <c r="T470" t="str">
        <f t="shared" si="30"/>
        <v/>
      </c>
    </row>
    <row r="471" spans="19:20" ht="14.25" customHeight="1" x14ac:dyDescent="0.3">
      <c r="S471" t="str">
        <f t="shared" si="29"/>
        <v/>
      </c>
      <c r="T471" t="str">
        <f t="shared" si="30"/>
        <v/>
      </c>
    </row>
    <row r="472" spans="19:20" ht="14.25" customHeight="1" x14ac:dyDescent="0.3">
      <c r="S472" t="str">
        <f t="shared" si="29"/>
        <v/>
      </c>
      <c r="T472" t="str">
        <f t="shared" si="30"/>
        <v/>
      </c>
    </row>
    <row r="473" spans="19:20" ht="14.25" customHeight="1" x14ac:dyDescent="0.3">
      <c r="S473" t="str">
        <f t="shared" si="29"/>
        <v/>
      </c>
      <c r="T473" t="str">
        <f t="shared" si="30"/>
        <v/>
      </c>
    </row>
    <row r="474" spans="19:20" ht="14.25" customHeight="1" x14ac:dyDescent="0.3">
      <c r="S474" t="str">
        <f t="shared" si="29"/>
        <v/>
      </c>
      <c r="T474" t="str">
        <f t="shared" si="30"/>
        <v/>
      </c>
    </row>
    <row r="475" spans="19:20" ht="14.25" customHeight="1" x14ac:dyDescent="0.3">
      <c r="S475" t="str">
        <f t="shared" si="29"/>
        <v/>
      </c>
      <c r="T475" t="str">
        <f t="shared" si="30"/>
        <v/>
      </c>
    </row>
    <row r="476" spans="19:20" ht="14.25" customHeight="1" x14ac:dyDescent="0.3">
      <c r="S476" t="str">
        <f t="shared" si="29"/>
        <v/>
      </c>
      <c r="T476" t="str">
        <f t="shared" si="30"/>
        <v/>
      </c>
    </row>
    <row r="477" spans="19:20" ht="14.25" customHeight="1" x14ac:dyDescent="0.3">
      <c r="S477" t="str">
        <f t="shared" si="29"/>
        <v/>
      </c>
      <c r="T477" t="str">
        <f t="shared" si="30"/>
        <v/>
      </c>
    </row>
    <row r="478" spans="19:20" ht="14.25" customHeight="1" x14ac:dyDescent="0.3">
      <c r="S478" t="str">
        <f t="shared" si="29"/>
        <v/>
      </c>
      <c r="T478" t="str">
        <f t="shared" si="30"/>
        <v/>
      </c>
    </row>
    <row r="479" spans="19:20" ht="14.25" customHeight="1" x14ac:dyDescent="0.3">
      <c r="S479" t="str">
        <f t="shared" si="29"/>
        <v/>
      </c>
      <c r="T479" t="str">
        <f t="shared" si="30"/>
        <v/>
      </c>
    </row>
    <row r="480" spans="19:20" ht="14.25" customHeight="1" x14ac:dyDescent="0.3">
      <c r="S480" t="str">
        <f t="shared" si="29"/>
        <v/>
      </c>
      <c r="T480" t="str">
        <f t="shared" si="30"/>
        <v/>
      </c>
    </row>
    <row r="481" spans="19:20" ht="14.25" customHeight="1" x14ac:dyDescent="0.3">
      <c r="S481" t="str">
        <f t="shared" si="29"/>
        <v/>
      </c>
      <c r="T481" t="str">
        <f t="shared" si="30"/>
        <v/>
      </c>
    </row>
    <row r="482" spans="19:20" ht="14.25" customHeight="1" x14ac:dyDescent="0.3">
      <c r="S482" t="str">
        <f t="shared" si="29"/>
        <v/>
      </c>
      <c r="T482" t="str">
        <f t="shared" si="30"/>
        <v/>
      </c>
    </row>
    <row r="483" spans="19:20" ht="14.25" customHeight="1" x14ac:dyDescent="0.3">
      <c r="S483" t="str">
        <f t="shared" si="29"/>
        <v/>
      </c>
      <c r="T483" t="str">
        <f t="shared" si="30"/>
        <v/>
      </c>
    </row>
    <row r="484" spans="19:20" ht="14.25" customHeight="1" x14ac:dyDescent="0.3">
      <c r="S484" t="str">
        <f t="shared" si="29"/>
        <v/>
      </c>
      <c r="T484" t="str">
        <f t="shared" si="30"/>
        <v/>
      </c>
    </row>
    <row r="485" spans="19:20" ht="14.25" customHeight="1" x14ac:dyDescent="0.3">
      <c r="S485" t="str">
        <f t="shared" si="29"/>
        <v/>
      </c>
      <c r="T485" t="str">
        <f t="shared" si="30"/>
        <v/>
      </c>
    </row>
    <row r="486" spans="19:20" ht="14.25" customHeight="1" x14ac:dyDescent="0.3">
      <c r="S486" t="str">
        <f t="shared" si="29"/>
        <v/>
      </c>
      <c r="T486" t="str">
        <f t="shared" si="30"/>
        <v/>
      </c>
    </row>
    <row r="487" spans="19:20" ht="14.25" customHeight="1" x14ac:dyDescent="0.3">
      <c r="S487" t="str">
        <f t="shared" si="29"/>
        <v/>
      </c>
      <c r="T487" t="str">
        <f t="shared" si="30"/>
        <v/>
      </c>
    </row>
    <row r="488" spans="19:20" ht="14.25" customHeight="1" x14ac:dyDescent="0.3">
      <c r="S488" t="str">
        <f t="shared" si="29"/>
        <v/>
      </c>
      <c r="T488" t="str">
        <f t="shared" si="30"/>
        <v/>
      </c>
    </row>
    <row r="489" spans="19:20" ht="14.25" customHeight="1" x14ac:dyDescent="0.3">
      <c r="S489" t="str">
        <f t="shared" si="29"/>
        <v/>
      </c>
      <c r="T489" t="str">
        <f t="shared" si="30"/>
        <v/>
      </c>
    </row>
    <row r="490" spans="19:20" ht="14.25" customHeight="1" x14ac:dyDescent="0.3">
      <c r="S490" t="str">
        <f t="shared" si="29"/>
        <v/>
      </c>
      <c r="T490" t="str">
        <f t="shared" si="30"/>
        <v/>
      </c>
    </row>
    <row r="491" spans="19:20" ht="14.25" customHeight="1" x14ac:dyDescent="0.3">
      <c r="S491" t="str">
        <f t="shared" si="29"/>
        <v/>
      </c>
      <c r="T491" t="str">
        <f t="shared" si="30"/>
        <v/>
      </c>
    </row>
    <row r="492" spans="19:20" ht="14.25" customHeight="1" x14ac:dyDescent="0.3">
      <c r="S492" t="str">
        <f t="shared" si="29"/>
        <v/>
      </c>
      <c r="T492" t="str">
        <f t="shared" si="30"/>
        <v/>
      </c>
    </row>
    <row r="493" spans="19:20" ht="14.25" customHeight="1" x14ac:dyDescent="0.3">
      <c r="S493" t="str">
        <f t="shared" si="29"/>
        <v/>
      </c>
      <c r="T493" t="str">
        <f t="shared" si="30"/>
        <v/>
      </c>
    </row>
    <row r="494" spans="19:20" ht="14.25" customHeight="1" x14ac:dyDescent="0.3">
      <c r="S494" t="str">
        <f t="shared" si="29"/>
        <v/>
      </c>
      <c r="T494" t="str">
        <f t="shared" si="30"/>
        <v/>
      </c>
    </row>
    <row r="495" spans="19:20" ht="14.25" customHeight="1" x14ac:dyDescent="0.3">
      <c r="S495" t="str">
        <f t="shared" si="29"/>
        <v/>
      </c>
      <c r="T495" t="str">
        <f t="shared" si="30"/>
        <v/>
      </c>
    </row>
    <row r="496" spans="19:20" ht="14.25" customHeight="1" x14ac:dyDescent="0.3">
      <c r="S496" t="str">
        <f t="shared" si="29"/>
        <v/>
      </c>
      <c r="T496" t="str">
        <f t="shared" si="30"/>
        <v/>
      </c>
    </row>
    <row r="497" spans="19:20" ht="14.25" customHeight="1" x14ac:dyDescent="0.3">
      <c r="S497" t="str">
        <f t="shared" si="29"/>
        <v/>
      </c>
      <c r="T497" t="str">
        <f t="shared" si="30"/>
        <v/>
      </c>
    </row>
    <row r="498" spans="19:20" ht="14.25" customHeight="1" x14ac:dyDescent="0.3">
      <c r="S498" t="str">
        <f t="shared" si="29"/>
        <v/>
      </c>
      <c r="T498" t="str">
        <f t="shared" si="30"/>
        <v/>
      </c>
    </row>
    <row r="499" spans="19:20" ht="14.25" customHeight="1" x14ac:dyDescent="0.3">
      <c r="S499" t="str">
        <f t="shared" si="29"/>
        <v/>
      </c>
      <c r="T499" t="str">
        <f t="shared" si="30"/>
        <v/>
      </c>
    </row>
    <row r="500" spans="19:20" ht="14.25" customHeight="1" x14ac:dyDescent="0.3">
      <c r="S500" t="str">
        <f t="shared" si="29"/>
        <v/>
      </c>
      <c r="T500" t="str">
        <f t="shared" si="30"/>
        <v/>
      </c>
    </row>
    <row r="501" spans="19:20" ht="14.25" customHeight="1" x14ac:dyDescent="0.3">
      <c r="S501" t="str">
        <f t="shared" si="29"/>
        <v/>
      </c>
      <c r="T501" t="str">
        <f t="shared" si="30"/>
        <v/>
      </c>
    </row>
    <row r="502" spans="19:20" ht="14.25" customHeight="1" x14ac:dyDescent="0.3">
      <c r="S502" t="str">
        <f t="shared" si="29"/>
        <v/>
      </c>
      <c r="T502" t="str">
        <f t="shared" si="30"/>
        <v/>
      </c>
    </row>
    <row r="503" spans="19:20" ht="14.25" customHeight="1" x14ac:dyDescent="0.3">
      <c r="S503" t="str">
        <f t="shared" si="29"/>
        <v/>
      </c>
      <c r="T503" t="str">
        <f t="shared" si="30"/>
        <v/>
      </c>
    </row>
    <row r="504" spans="19:20" ht="14.25" customHeight="1" x14ac:dyDescent="0.3">
      <c r="S504" t="str">
        <f t="shared" si="29"/>
        <v/>
      </c>
      <c r="T504" t="str">
        <f t="shared" si="30"/>
        <v/>
      </c>
    </row>
    <row r="505" spans="19:20" ht="14.25" customHeight="1" x14ac:dyDescent="0.3">
      <c r="S505" t="str">
        <f t="shared" si="29"/>
        <v/>
      </c>
      <c r="T505" t="str">
        <f t="shared" si="30"/>
        <v/>
      </c>
    </row>
    <row r="506" spans="19:20" ht="14.25" customHeight="1" x14ac:dyDescent="0.3">
      <c r="S506" t="str">
        <f t="shared" si="29"/>
        <v/>
      </c>
      <c r="T506" t="str">
        <f t="shared" si="30"/>
        <v/>
      </c>
    </row>
    <row r="507" spans="19:20" ht="14.25" customHeight="1" x14ac:dyDescent="0.3">
      <c r="S507" t="str">
        <f t="shared" si="29"/>
        <v/>
      </c>
      <c r="T507" t="str">
        <f t="shared" si="30"/>
        <v/>
      </c>
    </row>
    <row r="508" spans="19:20" ht="14.25" customHeight="1" x14ac:dyDescent="0.3">
      <c r="S508" t="str">
        <f t="shared" si="29"/>
        <v/>
      </c>
      <c r="T508" t="str">
        <f t="shared" si="30"/>
        <v/>
      </c>
    </row>
    <row r="509" spans="19:20" ht="14.25" customHeight="1" x14ac:dyDescent="0.3">
      <c r="S509" t="str">
        <f t="shared" si="29"/>
        <v/>
      </c>
      <c r="T509" t="str">
        <f t="shared" si="30"/>
        <v/>
      </c>
    </row>
    <row r="510" spans="19:20" ht="14.25" customHeight="1" x14ac:dyDescent="0.3">
      <c r="S510" t="str">
        <f t="shared" si="29"/>
        <v/>
      </c>
      <c r="T510" t="str">
        <f t="shared" si="30"/>
        <v/>
      </c>
    </row>
    <row r="511" spans="19:20" ht="14.25" customHeight="1" x14ac:dyDescent="0.3">
      <c r="S511" t="str">
        <f t="shared" si="29"/>
        <v/>
      </c>
      <c r="T511" t="str">
        <f t="shared" si="30"/>
        <v/>
      </c>
    </row>
    <row r="512" spans="19:20" ht="14.25" customHeight="1" x14ac:dyDescent="0.3">
      <c r="S512" t="str">
        <f t="shared" si="29"/>
        <v/>
      </c>
      <c r="T512" t="str">
        <f t="shared" si="30"/>
        <v/>
      </c>
    </row>
    <row r="513" spans="19:20" ht="14.25" customHeight="1" x14ac:dyDescent="0.3">
      <c r="S513" t="str">
        <f t="shared" si="29"/>
        <v/>
      </c>
      <c r="T513" t="str">
        <f t="shared" si="30"/>
        <v/>
      </c>
    </row>
    <row r="514" spans="19:20" ht="14.25" customHeight="1" x14ac:dyDescent="0.3">
      <c r="S514" t="str">
        <f t="shared" ref="S514:S577" si="31">IFERROR(INDEX(D_IDUNIQUE,MATCH(ROW()-1,D_RANG_SUIVI,0)),"")</f>
        <v/>
      </c>
      <c r="T514" t="str">
        <f t="shared" ref="T514:T577" si="32">IF($S514="","",UPPER(INDEX(D_NOM,MATCH($S514,D_ID,0)))&amp;" "&amp;INDEX(D_PRENOM,MATCH($S514,D_ID,0))&amp;" — "&amp;INDEX(D_NIVEAU_ACTUEL,MATCH($S514,D_ID,0)))</f>
        <v/>
      </c>
    </row>
    <row r="515" spans="19:20" ht="14.25" customHeight="1" x14ac:dyDescent="0.3">
      <c r="S515" t="str">
        <f t="shared" si="31"/>
        <v/>
      </c>
      <c r="T515" t="str">
        <f t="shared" si="32"/>
        <v/>
      </c>
    </row>
    <row r="516" spans="19:20" ht="14.25" customHeight="1" x14ac:dyDescent="0.3">
      <c r="S516" t="str">
        <f t="shared" si="31"/>
        <v/>
      </c>
      <c r="T516" t="str">
        <f t="shared" si="32"/>
        <v/>
      </c>
    </row>
    <row r="517" spans="19:20" ht="14.25" customHeight="1" x14ac:dyDescent="0.3">
      <c r="S517" t="str">
        <f t="shared" si="31"/>
        <v/>
      </c>
      <c r="T517" t="str">
        <f t="shared" si="32"/>
        <v/>
      </c>
    </row>
    <row r="518" spans="19:20" ht="14.25" customHeight="1" x14ac:dyDescent="0.3">
      <c r="S518" t="str">
        <f t="shared" si="31"/>
        <v/>
      </c>
      <c r="T518" t="str">
        <f t="shared" si="32"/>
        <v/>
      </c>
    </row>
    <row r="519" spans="19:20" ht="14.25" customHeight="1" x14ac:dyDescent="0.3">
      <c r="S519" t="str">
        <f t="shared" si="31"/>
        <v/>
      </c>
      <c r="T519" t="str">
        <f t="shared" si="32"/>
        <v/>
      </c>
    </row>
    <row r="520" spans="19:20" ht="14.25" customHeight="1" x14ac:dyDescent="0.3">
      <c r="S520" t="str">
        <f t="shared" si="31"/>
        <v/>
      </c>
      <c r="T520" t="str">
        <f t="shared" si="32"/>
        <v/>
      </c>
    </row>
    <row r="521" spans="19:20" ht="14.25" customHeight="1" x14ac:dyDescent="0.3">
      <c r="S521" t="str">
        <f t="shared" si="31"/>
        <v/>
      </c>
      <c r="T521" t="str">
        <f t="shared" si="32"/>
        <v/>
      </c>
    </row>
    <row r="522" spans="19:20" ht="14.25" customHeight="1" x14ac:dyDescent="0.3">
      <c r="S522" t="str">
        <f t="shared" si="31"/>
        <v/>
      </c>
      <c r="T522" t="str">
        <f t="shared" si="32"/>
        <v/>
      </c>
    </row>
    <row r="523" spans="19:20" ht="14.25" customHeight="1" x14ac:dyDescent="0.3">
      <c r="S523" t="str">
        <f t="shared" si="31"/>
        <v/>
      </c>
      <c r="T523" t="str">
        <f t="shared" si="32"/>
        <v/>
      </c>
    </row>
    <row r="524" spans="19:20" ht="14.25" customHeight="1" x14ac:dyDescent="0.3">
      <c r="S524" t="str">
        <f t="shared" si="31"/>
        <v/>
      </c>
      <c r="T524" t="str">
        <f t="shared" si="32"/>
        <v/>
      </c>
    </row>
    <row r="525" spans="19:20" ht="14.25" customHeight="1" x14ac:dyDescent="0.3">
      <c r="S525" t="str">
        <f t="shared" si="31"/>
        <v/>
      </c>
      <c r="T525" t="str">
        <f t="shared" si="32"/>
        <v/>
      </c>
    </row>
    <row r="526" spans="19:20" ht="14.25" customHeight="1" x14ac:dyDescent="0.3">
      <c r="S526" t="str">
        <f t="shared" si="31"/>
        <v/>
      </c>
      <c r="T526" t="str">
        <f t="shared" si="32"/>
        <v/>
      </c>
    </row>
    <row r="527" spans="19:20" ht="14.25" customHeight="1" x14ac:dyDescent="0.3">
      <c r="S527" t="str">
        <f t="shared" si="31"/>
        <v/>
      </c>
      <c r="T527" t="str">
        <f t="shared" si="32"/>
        <v/>
      </c>
    </row>
    <row r="528" spans="19:20" ht="14.25" customHeight="1" x14ac:dyDescent="0.3">
      <c r="S528" t="str">
        <f t="shared" si="31"/>
        <v/>
      </c>
      <c r="T528" t="str">
        <f t="shared" si="32"/>
        <v/>
      </c>
    </row>
    <row r="529" spans="19:20" ht="14.25" customHeight="1" x14ac:dyDescent="0.3">
      <c r="S529" t="str">
        <f t="shared" si="31"/>
        <v/>
      </c>
      <c r="T529" t="str">
        <f t="shared" si="32"/>
        <v/>
      </c>
    </row>
    <row r="530" spans="19:20" ht="14.25" customHeight="1" x14ac:dyDescent="0.3">
      <c r="S530" t="str">
        <f t="shared" si="31"/>
        <v/>
      </c>
      <c r="T530" t="str">
        <f t="shared" si="32"/>
        <v/>
      </c>
    </row>
    <row r="531" spans="19:20" ht="14.25" customHeight="1" x14ac:dyDescent="0.3">
      <c r="S531" t="str">
        <f t="shared" si="31"/>
        <v/>
      </c>
      <c r="T531" t="str">
        <f t="shared" si="32"/>
        <v/>
      </c>
    </row>
    <row r="532" spans="19:20" ht="14.25" customHeight="1" x14ac:dyDescent="0.3">
      <c r="S532" t="str">
        <f t="shared" si="31"/>
        <v/>
      </c>
      <c r="T532" t="str">
        <f t="shared" si="32"/>
        <v/>
      </c>
    </row>
    <row r="533" spans="19:20" ht="14.25" customHeight="1" x14ac:dyDescent="0.3">
      <c r="S533" t="str">
        <f t="shared" si="31"/>
        <v/>
      </c>
      <c r="T533" t="str">
        <f t="shared" si="32"/>
        <v/>
      </c>
    </row>
    <row r="534" spans="19:20" ht="14.25" customHeight="1" x14ac:dyDescent="0.3">
      <c r="S534" t="str">
        <f t="shared" si="31"/>
        <v/>
      </c>
      <c r="T534" t="str">
        <f t="shared" si="32"/>
        <v/>
      </c>
    </row>
    <row r="535" spans="19:20" ht="14.25" customHeight="1" x14ac:dyDescent="0.3">
      <c r="S535" t="str">
        <f t="shared" si="31"/>
        <v/>
      </c>
      <c r="T535" t="str">
        <f t="shared" si="32"/>
        <v/>
      </c>
    </row>
    <row r="536" spans="19:20" ht="14.25" customHeight="1" x14ac:dyDescent="0.3">
      <c r="S536" t="str">
        <f t="shared" si="31"/>
        <v/>
      </c>
      <c r="T536" t="str">
        <f t="shared" si="32"/>
        <v/>
      </c>
    </row>
    <row r="537" spans="19:20" ht="14.25" customHeight="1" x14ac:dyDescent="0.3">
      <c r="S537" t="str">
        <f t="shared" si="31"/>
        <v/>
      </c>
      <c r="T537" t="str">
        <f t="shared" si="32"/>
        <v/>
      </c>
    </row>
    <row r="538" spans="19:20" ht="14.25" customHeight="1" x14ac:dyDescent="0.3">
      <c r="S538" t="str">
        <f t="shared" si="31"/>
        <v/>
      </c>
      <c r="T538" t="str">
        <f t="shared" si="32"/>
        <v/>
      </c>
    </row>
    <row r="539" spans="19:20" ht="14.25" customHeight="1" x14ac:dyDescent="0.3">
      <c r="S539" t="str">
        <f t="shared" si="31"/>
        <v/>
      </c>
      <c r="T539" t="str">
        <f t="shared" si="32"/>
        <v/>
      </c>
    </row>
    <row r="540" spans="19:20" ht="14.25" customHeight="1" x14ac:dyDescent="0.3">
      <c r="S540" t="str">
        <f t="shared" si="31"/>
        <v/>
      </c>
      <c r="T540" t="str">
        <f t="shared" si="32"/>
        <v/>
      </c>
    </row>
    <row r="541" spans="19:20" ht="14.25" customHeight="1" x14ac:dyDescent="0.3">
      <c r="S541" t="str">
        <f t="shared" si="31"/>
        <v/>
      </c>
      <c r="T541" t="str">
        <f t="shared" si="32"/>
        <v/>
      </c>
    </row>
    <row r="542" spans="19:20" ht="14.25" customHeight="1" x14ac:dyDescent="0.3">
      <c r="S542" t="str">
        <f t="shared" si="31"/>
        <v/>
      </c>
      <c r="T542" t="str">
        <f t="shared" si="32"/>
        <v/>
      </c>
    </row>
    <row r="543" spans="19:20" ht="14.25" customHeight="1" x14ac:dyDescent="0.3">
      <c r="S543" t="str">
        <f t="shared" si="31"/>
        <v/>
      </c>
      <c r="T543" t="str">
        <f t="shared" si="32"/>
        <v/>
      </c>
    </row>
    <row r="544" spans="19:20" ht="14.25" customHeight="1" x14ac:dyDescent="0.3">
      <c r="S544" t="str">
        <f t="shared" si="31"/>
        <v/>
      </c>
      <c r="T544" t="str">
        <f t="shared" si="32"/>
        <v/>
      </c>
    </row>
    <row r="545" spans="19:20" ht="14.25" customHeight="1" x14ac:dyDescent="0.3">
      <c r="S545" t="str">
        <f t="shared" si="31"/>
        <v/>
      </c>
      <c r="T545" t="str">
        <f t="shared" si="32"/>
        <v/>
      </c>
    </row>
    <row r="546" spans="19:20" ht="14.25" customHeight="1" x14ac:dyDescent="0.3">
      <c r="S546" t="str">
        <f t="shared" si="31"/>
        <v/>
      </c>
      <c r="T546" t="str">
        <f t="shared" si="32"/>
        <v/>
      </c>
    </row>
    <row r="547" spans="19:20" ht="14.25" customHeight="1" x14ac:dyDescent="0.3">
      <c r="S547" t="str">
        <f t="shared" si="31"/>
        <v/>
      </c>
      <c r="T547" t="str">
        <f t="shared" si="32"/>
        <v/>
      </c>
    </row>
    <row r="548" spans="19:20" ht="14.25" customHeight="1" x14ac:dyDescent="0.3">
      <c r="S548" t="str">
        <f t="shared" si="31"/>
        <v/>
      </c>
      <c r="T548" t="str">
        <f t="shared" si="32"/>
        <v/>
      </c>
    </row>
    <row r="549" spans="19:20" ht="14.25" customHeight="1" x14ac:dyDescent="0.3">
      <c r="S549" t="str">
        <f t="shared" si="31"/>
        <v/>
      </c>
      <c r="T549" t="str">
        <f t="shared" si="32"/>
        <v/>
      </c>
    </row>
    <row r="550" spans="19:20" ht="14.25" customHeight="1" x14ac:dyDescent="0.3">
      <c r="S550" t="str">
        <f t="shared" si="31"/>
        <v/>
      </c>
      <c r="T550" t="str">
        <f t="shared" si="32"/>
        <v/>
      </c>
    </row>
    <row r="551" spans="19:20" ht="14.25" customHeight="1" x14ac:dyDescent="0.3">
      <c r="S551" t="str">
        <f t="shared" si="31"/>
        <v/>
      </c>
      <c r="T551" t="str">
        <f t="shared" si="32"/>
        <v/>
      </c>
    </row>
    <row r="552" spans="19:20" ht="14.25" customHeight="1" x14ac:dyDescent="0.3">
      <c r="S552" t="str">
        <f t="shared" si="31"/>
        <v/>
      </c>
      <c r="T552" t="str">
        <f t="shared" si="32"/>
        <v/>
      </c>
    </row>
    <row r="553" spans="19:20" ht="14.25" customHeight="1" x14ac:dyDescent="0.3">
      <c r="S553" t="str">
        <f t="shared" si="31"/>
        <v/>
      </c>
      <c r="T553" t="str">
        <f t="shared" si="32"/>
        <v/>
      </c>
    </row>
    <row r="554" spans="19:20" ht="14.25" customHeight="1" x14ac:dyDescent="0.3">
      <c r="S554" t="str">
        <f t="shared" si="31"/>
        <v/>
      </c>
      <c r="T554" t="str">
        <f t="shared" si="32"/>
        <v/>
      </c>
    </row>
    <row r="555" spans="19:20" ht="14.25" customHeight="1" x14ac:dyDescent="0.3">
      <c r="S555" t="str">
        <f t="shared" si="31"/>
        <v/>
      </c>
      <c r="T555" t="str">
        <f t="shared" si="32"/>
        <v/>
      </c>
    </row>
    <row r="556" spans="19:20" ht="14.25" customHeight="1" x14ac:dyDescent="0.3">
      <c r="S556" t="str">
        <f t="shared" si="31"/>
        <v/>
      </c>
      <c r="T556" t="str">
        <f t="shared" si="32"/>
        <v/>
      </c>
    </row>
    <row r="557" spans="19:20" ht="14.25" customHeight="1" x14ac:dyDescent="0.3">
      <c r="S557" t="str">
        <f t="shared" si="31"/>
        <v/>
      </c>
      <c r="T557" t="str">
        <f t="shared" si="32"/>
        <v/>
      </c>
    </row>
    <row r="558" spans="19:20" ht="14.25" customHeight="1" x14ac:dyDescent="0.3">
      <c r="S558" t="str">
        <f t="shared" si="31"/>
        <v/>
      </c>
      <c r="T558" t="str">
        <f t="shared" si="32"/>
        <v/>
      </c>
    </row>
    <row r="559" spans="19:20" ht="14.25" customHeight="1" x14ac:dyDescent="0.3">
      <c r="S559" t="str">
        <f t="shared" si="31"/>
        <v/>
      </c>
      <c r="T559" t="str">
        <f t="shared" si="32"/>
        <v/>
      </c>
    </row>
    <row r="560" spans="19:20" ht="14.25" customHeight="1" x14ac:dyDescent="0.3">
      <c r="S560" t="str">
        <f t="shared" si="31"/>
        <v/>
      </c>
      <c r="T560" t="str">
        <f t="shared" si="32"/>
        <v/>
      </c>
    </row>
    <row r="561" spans="19:20" ht="14.25" customHeight="1" x14ac:dyDescent="0.3">
      <c r="S561" t="str">
        <f t="shared" si="31"/>
        <v/>
      </c>
      <c r="T561" t="str">
        <f t="shared" si="32"/>
        <v/>
      </c>
    </row>
    <row r="562" spans="19:20" ht="14.25" customHeight="1" x14ac:dyDescent="0.3">
      <c r="S562" t="str">
        <f t="shared" si="31"/>
        <v/>
      </c>
      <c r="T562" t="str">
        <f t="shared" si="32"/>
        <v/>
      </c>
    </row>
    <row r="563" spans="19:20" ht="14.25" customHeight="1" x14ac:dyDescent="0.3">
      <c r="S563" t="str">
        <f t="shared" si="31"/>
        <v/>
      </c>
      <c r="T563" t="str">
        <f t="shared" si="32"/>
        <v/>
      </c>
    </row>
    <row r="564" spans="19:20" ht="14.25" customHeight="1" x14ac:dyDescent="0.3">
      <c r="S564" t="str">
        <f t="shared" si="31"/>
        <v/>
      </c>
      <c r="T564" t="str">
        <f t="shared" si="32"/>
        <v/>
      </c>
    </row>
    <row r="565" spans="19:20" ht="14.25" customHeight="1" x14ac:dyDescent="0.3">
      <c r="S565" t="str">
        <f t="shared" si="31"/>
        <v/>
      </c>
      <c r="T565" t="str">
        <f t="shared" si="32"/>
        <v/>
      </c>
    </row>
    <row r="566" spans="19:20" ht="14.25" customHeight="1" x14ac:dyDescent="0.3">
      <c r="S566" t="str">
        <f t="shared" si="31"/>
        <v/>
      </c>
      <c r="T566" t="str">
        <f t="shared" si="32"/>
        <v/>
      </c>
    </row>
    <row r="567" spans="19:20" ht="14.25" customHeight="1" x14ac:dyDescent="0.3">
      <c r="S567" t="str">
        <f t="shared" si="31"/>
        <v/>
      </c>
      <c r="T567" t="str">
        <f t="shared" si="32"/>
        <v/>
      </c>
    </row>
    <row r="568" spans="19:20" ht="14.25" customHeight="1" x14ac:dyDescent="0.3">
      <c r="S568" t="str">
        <f t="shared" si="31"/>
        <v/>
      </c>
      <c r="T568" t="str">
        <f t="shared" si="32"/>
        <v/>
      </c>
    </row>
    <row r="569" spans="19:20" ht="14.25" customHeight="1" x14ac:dyDescent="0.3">
      <c r="S569" t="str">
        <f t="shared" si="31"/>
        <v/>
      </c>
      <c r="T569" t="str">
        <f t="shared" si="32"/>
        <v/>
      </c>
    </row>
    <row r="570" spans="19:20" ht="14.25" customHeight="1" x14ac:dyDescent="0.3">
      <c r="S570" t="str">
        <f t="shared" si="31"/>
        <v/>
      </c>
      <c r="T570" t="str">
        <f t="shared" si="32"/>
        <v/>
      </c>
    </row>
    <row r="571" spans="19:20" ht="14.25" customHeight="1" x14ac:dyDescent="0.3">
      <c r="S571" t="str">
        <f t="shared" si="31"/>
        <v/>
      </c>
      <c r="T571" t="str">
        <f t="shared" si="32"/>
        <v/>
      </c>
    </row>
    <row r="572" spans="19:20" ht="14.25" customHeight="1" x14ac:dyDescent="0.3">
      <c r="S572" t="str">
        <f t="shared" si="31"/>
        <v/>
      </c>
      <c r="T572" t="str">
        <f t="shared" si="32"/>
        <v/>
      </c>
    </row>
    <row r="573" spans="19:20" ht="14.25" customHeight="1" x14ac:dyDescent="0.3">
      <c r="S573" t="str">
        <f t="shared" si="31"/>
        <v/>
      </c>
      <c r="T573" t="str">
        <f t="shared" si="32"/>
        <v/>
      </c>
    </row>
    <row r="574" spans="19:20" ht="14.25" customHeight="1" x14ac:dyDescent="0.3">
      <c r="S574" t="str">
        <f t="shared" si="31"/>
        <v/>
      </c>
      <c r="T574" t="str">
        <f t="shared" si="32"/>
        <v/>
      </c>
    </row>
    <row r="575" spans="19:20" ht="14.25" customHeight="1" x14ac:dyDescent="0.3">
      <c r="S575" t="str">
        <f t="shared" si="31"/>
        <v/>
      </c>
      <c r="T575" t="str">
        <f t="shared" si="32"/>
        <v/>
      </c>
    </row>
    <row r="576" spans="19:20" ht="14.25" customHeight="1" x14ac:dyDescent="0.3">
      <c r="S576" t="str">
        <f t="shared" si="31"/>
        <v/>
      </c>
      <c r="T576" t="str">
        <f t="shared" si="32"/>
        <v/>
      </c>
    </row>
    <row r="577" spans="19:20" ht="14.25" customHeight="1" x14ac:dyDescent="0.3">
      <c r="S577" t="str">
        <f t="shared" si="31"/>
        <v/>
      </c>
      <c r="T577" t="str">
        <f t="shared" si="32"/>
        <v/>
      </c>
    </row>
    <row r="578" spans="19:20" ht="14.25" customHeight="1" x14ac:dyDescent="0.3">
      <c r="S578" t="str">
        <f t="shared" ref="S578:S641" si="33">IFERROR(INDEX(D_IDUNIQUE,MATCH(ROW()-1,D_RANG_SUIVI,0)),"")</f>
        <v/>
      </c>
      <c r="T578" t="str">
        <f t="shared" ref="T578:T641" si="34">IF($S578="","",UPPER(INDEX(D_NOM,MATCH($S578,D_ID,0)))&amp;" "&amp;INDEX(D_PRENOM,MATCH($S578,D_ID,0))&amp;" — "&amp;INDEX(D_NIVEAU_ACTUEL,MATCH($S578,D_ID,0)))</f>
        <v/>
      </c>
    </row>
    <row r="579" spans="19:20" ht="14.25" customHeight="1" x14ac:dyDescent="0.3">
      <c r="S579" t="str">
        <f t="shared" si="33"/>
        <v/>
      </c>
      <c r="T579" t="str">
        <f t="shared" si="34"/>
        <v/>
      </c>
    </row>
    <row r="580" spans="19:20" ht="14.25" customHeight="1" x14ac:dyDescent="0.3">
      <c r="S580" t="str">
        <f t="shared" si="33"/>
        <v/>
      </c>
      <c r="T580" t="str">
        <f t="shared" si="34"/>
        <v/>
      </c>
    </row>
    <row r="581" spans="19:20" ht="14.25" customHeight="1" x14ac:dyDescent="0.3">
      <c r="S581" t="str">
        <f t="shared" si="33"/>
        <v/>
      </c>
      <c r="T581" t="str">
        <f t="shared" si="34"/>
        <v/>
      </c>
    </row>
    <row r="582" spans="19:20" ht="14.25" customHeight="1" x14ac:dyDescent="0.3">
      <c r="S582" t="str">
        <f t="shared" si="33"/>
        <v/>
      </c>
      <c r="T582" t="str">
        <f t="shared" si="34"/>
        <v/>
      </c>
    </row>
    <row r="583" spans="19:20" ht="14.25" customHeight="1" x14ac:dyDescent="0.3">
      <c r="S583" t="str">
        <f t="shared" si="33"/>
        <v/>
      </c>
      <c r="T583" t="str">
        <f t="shared" si="34"/>
        <v/>
      </c>
    </row>
    <row r="584" spans="19:20" ht="14.25" customHeight="1" x14ac:dyDescent="0.3">
      <c r="S584" t="str">
        <f t="shared" si="33"/>
        <v/>
      </c>
      <c r="T584" t="str">
        <f t="shared" si="34"/>
        <v/>
      </c>
    </row>
    <row r="585" spans="19:20" ht="14.25" customHeight="1" x14ac:dyDescent="0.3">
      <c r="S585" t="str">
        <f t="shared" si="33"/>
        <v/>
      </c>
      <c r="T585" t="str">
        <f t="shared" si="34"/>
        <v/>
      </c>
    </row>
    <row r="586" spans="19:20" ht="14.25" customHeight="1" x14ac:dyDescent="0.3">
      <c r="S586" t="str">
        <f t="shared" si="33"/>
        <v/>
      </c>
      <c r="T586" t="str">
        <f t="shared" si="34"/>
        <v/>
      </c>
    </row>
    <row r="587" spans="19:20" ht="14.25" customHeight="1" x14ac:dyDescent="0.3">
      <c r="S587" t="str">
        <f t="shared" si="33"/>
        <v/>
      </c>
      <c r="T587" t="str">
        <f t="shared" si="34"/>
        <v/>
      </c>
    </row>
    <row r="588" spans="19:20" ht="14.25" customHeight="1" x14ac:dyDescent="0.3">
      <c r="S588" t="str">
        <f t="shared" si="33"/>
        <v/>
      </c>
      <c r="T588" t="str">
        <f t="shared" si="34"/>
        <v/>
      </c>
    </row>
    <row r="589" spans="19:20" ht="14.25" customHeight="1" x14ac:dyDescent="0.3">
      <c r="S589" t="str">
        <f t="shared" si="33"/>
        <v/>
      </c>
      <c r="T589" t="str">
        <f t="shared" si="34"/>
        <v/>
      </c>
    </row>
    <row r="590" spans="19:20" ht="14.25" customHeight="1" x14ac:dyDescent="0.3">
      <c r="S590" t="str">
        <f t="shared" si="33"/>
        <v/>
      </c>
      <c r="T590" t="str">
        <f t="shared" si="34"/>
        <v/>
      </c>
    </row>
    <row r="591" spans="19:20" ht="14.25" customHeight="1" x14ac:dyDescent="0.3">
      <c r="S591" t="str">
        <f t="shared" si="33"/>
        <v/>
      </c>
      <c r="T591" t="str">
        <f t="shared" si="34"/>
        <v/>
      </c>
    </row>
    <row r="592" spans="19:20" ht="14.25" customHeight="1" x14ac:dyDescent="0.3">
      <c r="S592" t="str">
        <f t="shared" si="33"/>
        <v/>
      </c>
      <c r="T592" t="str">
        <f t="shared" si="34"/>
        <v/>
      </c>
    </row>
    <row r="593" spans="19:20" ht="14.25" customHeight="1" x14ac:dyDescent="0.3">
      <c r="S593" t="str">
        <f t="shared" si="33"/>
        <v/>
      </c>
      <c r="T593" t="str">
        <f t="shared" si="34"/>
        <v/>
      </c>
    </row>
    <row r="594" spans="19:20" ht="14.25" customHeight="1" x14ac:dyDescent="0.3">
      <c r="S594" t="str">
        <f t="shared" si="33"/>
        <v/>
      </c>
      <c r="T594" t="str">
        <f t="shared" si="34"/>
        <v/>
      </c>
    </row>
    <row r="595" spans="19:20" ht="14.25" customHeight="1" x14ac:dyDescent="0.3">
      <c r="S595" t="str">
        <f t="shared" si="33"/>
        <v/>
      </c>
      <c r="T595" t="str">
        <f t="shared" si="34"/>
        <v/>
      </c>
    </row>
    <row r="596" spans="19:20" ht="14.25" customHeight="1" x14ac:dyDescent="0.3">
      <c r="S596" t="str">
        <f t="shared" si="33"/>
        <v/>
      </c>
      <c r="T596" t="str">
        <f t="shared" si="34"/>
        <v/>
      </c>
    </row>
    <row r="597" spans="19:20" ht="14.25" customHeight="1" x14ac:dyDescent="0.3">
      <c r="S597" t="str">
        <f t="shared" si="33"/>
        <v/>
      </c>
      <c r="T597" t="str">
        <f t="shared" si="34"/>
        <v/>
      </c>
    </row>
    <row r="598" spans="19:20" ht="14.25" customHeight="1" x14ac:dyDescent="0.3">
      <c r="S598" t="str">
        <f t="shared" si="33"/>
        <v/>
      </c>
      <c r="T598" t="str">
        <f t="shared" si="34"/>
        <v/>
      </c>
    </row>
    <row r="599" spans="19:20" ht="14.25" customHeight="1" x14ac:dyDescent="0.3">
      <c r="S599" t="str">
        <f t="shared" si="33"/>
        <v/>
      </c>
      <c r="T599" t="str">
        <f t="shared" si="34"/>
        <v/>
      </c>
    </row>
    <row r="600" spans="19:20" ht="14.25" customHeight="1" x14ac:dyDescent="0.3">
      <c r="S600" t="str">
        <f t="shared" si="33"/>
        <v/>
      </c>
      <c r="T600" t="str">
        <f t="shared" si="34"/>
        <v/>
      </c>
    </row>
    <row r="601" spans="19:20" ht="14.25" customHeight="1" x14ac:dyDescent="0.3">
      <c r="S601" t="str">
        <f t="shared" si="33"/>
        <v/>
      </c>
      <c r="T601" t="str">
        <f t="shared" si="34"/>
        <v/>
      </c>
    </row>
    <row r="602" spans="19:20" ht="14.25" customHeight="1" x14ac:dyDescent="0.3">
      <c r="S602" t="str">
        <f t="shared" si="33"/>
        <v/>
      </c>
      <c r="T602" t="str">
        <f t="shared" si="34"/>
        <v/>
      </c>
    </row>
    <row r="603" spans="19:20" ht="14.25" customHeight="1" x14ac:dyDescent="0.3">
      <c r="S603" t="str">
        <f t="shared" si="33"/>
        <v/>
      </c>
      <c r="T603" t="str">
        <f t="shared" si="34"/>
        <v/>
      </c>
    </row>
    <row r="604" spans="19:20" ht="14.25" customHeight="1" x14ac:dyDescent="0.3">
      <c r="S604" t="str">
        <f t="shared" si="33"/>
        <v/>
      </c>
      <c r="T604" t="str">
        <f t="shared" si="34"/>
        <v/>
      </c>
    </row>
    <row r="605" spans="19:20" ht="14.25" customHeight="1" x14ac:dyDescent="0.3">
      <c r="S605" t="str">
        <f t="shared" si="33"/>
        <v/>
      </c>
      <c r="T605" t="str">
        <f t="shared" si="34"/>
        <v/>
      </c>
    </row>
    <row r="606" spans="19:20" ht="14.25" customHeight="1" x14ac:dyDescent="0.3">
      <c r="S606" t="str">
        <f t="shared" si="33"/>
        <v/>
      </c>
      <c r="T606" t="str">
        <f t="shared" si="34"/>
        <v/>
      </c>
    </row>
    <row r="607" spans="19:20" ht="14.25" customHeight="1" x14ac:dyDescent="0.3">
      <c r="S607" t="str">
        <f t="shared" si="33"/>
        <v/>
      </c>
      <c r="T607" t="str">
        <f t="shared" si="34"/>
        <v/>
      </c>
    </row>
    <row r="608" spans="19:20" ht="14.25" customHeight="1" x14ac:dyDescent="0.3">
      <c r="S608" t="str">
        <f t="shared" si="33"/>
        <v/>
      </c>
      <c r="T608" t="str">
        <f t="shared" si="34"/>
        <v/>
      </c>
    </row>
    <row r="609" spans="19:20" ht="14.25" customHeight="1" x14ac:dyDescent="0.3">
      <c r="S609" t="str">
        <f t="shared" si="33"/>
        <v/>
      </c>
      <c r="T609" t="str">
        <f t="shared" si="34"/>
        <v/>
      </c>
    </row>
    <row r="610" spans="19:20" ht="14.25" customHeight="1" x14ac:dyDescent="0.3">
      <c r="S610" t="str">
        <f t="shared" si="33"/>
        <v/>
      </c>
      <c r="T610" t="str">
        <f t="shared" si="34"/>
        <v/>
      </c>
    </row>
    <row r="611" spans="19:20" ht="14.25" customHeight="1" x14ac:dyDescent="0.3">
      <c r="S611" t="str">
        <f t="shared" si="33"/>
        <v/>
      </c>
      <c r="T611" t="str">
        <f t="shared" si="34"/>
        <v/>
      </c>
    </row>
    <row r="612" spans="19:20" ht="14.25" customHeight="1" x14ac:dyDescent="0.3">
      <c r="S612" t="str">
        <f t="shared" si="33"/>
        <v/>
      </c>
      <c r="T612" t="str">
        <f t="shared" si="34"/>
        <v/>
      </c>
    </row>
    <row r="613" spans="19:20" ht="14.25" customHeight="1" x14ac:dyDescent="0.3">
      <c r="S613" t="str">
        <f t="shared" si="33"/>
        <v/>
      </c>
      <c r="T613" t="str">
        <f t="shared" si="34"/>
        <v/>
      </c>
    </row>
    <row r="614" spans="19:20" ht="14.25" customHeight="1" x14ac:dyDescent="0.3">
      <c r="S614" t="str">
        <f t="shared" si="33"/>
        <v/>
      </c>
      <c r="T614" t="str">
        <f t="shared" si="34"/>
        <v/>
      </c>
    </row>
    <row r="615" spans="19:20" ht="14.25" customHeight="1" x14ac:dyDescent="0.3">
      <c r="S615" t="str">
        <f t="shared" si="33"/>
        <v/>
      </c>
      <c r="T615" t="str">
        <f t="shared" si="34"/>
        <v/>
      </c>
    </row>
    <row r="616" spans="19:20" ht="14.25" customHeight="1" x14ac:dyDescent="0.3">
      <c r="S616" t="str">
        <f t="shared" si="33"/>
        <v/>
      </c>
      <c r="T616" t="str">
        <f t="shared" si="34"/>
        <v/>
      </c>
    </row>
    <row r="617" spans="19:20" ht="14.25" customHeight="1" x14ac:dyDescent="0.3">
      <c r="S617" t="str">
        <f t="shared" si="33"/>
        <v/>
      </c>
      <c r="T617" t="str">
        <f t="shared" si="34"/>
        <v/>
      </c>
    </row>
    <row r="618" spans="19:20" ht="14.25" customHeight="1" x14ac:dyDescent="0.3">
      <c r="S618" t="str">
        <f t="shared" si="33"/>
        <v/>
      </c>
      <c r="T618" t="str">
        <f t="shared" si="34"/>
        <v/>
      </c>
    </row>
    <row r="619" spans="19:20" ht="14.25" customHeight="1" x14ac:dyDescent="0.3">
      <c r="S619" t="str">
        <f t="shared" si="33"/>
        <v/>
      </c>
      <c r="T619" t="str">
        <f t="shared" si="34"/>
        <v/>
      </c>
    </row>
    <row r="620" spans="19:20" ht="14.25" customHeight="1" x14ac:dyDescent="0.3">
      <c r="S620" t="str">
        <f t="shared" si="33"/>
        <v/>
      </c>
      <c r="T620" t="str">
        <f t="shared" si="34"/>
        <v/>
      </c>
    </row>
    <row r="621" spans="19:20" ht="14.25" customHeight="1" x14ac:dyDescent="0.3">
      <c r="S621" t="str">
        <f t="shared" si="33"/>
        <v/>
      </c>
      <c r="T621" t="str">
        <f t="shared" si="34"/>
        <v/>
      </c>
    </row>
    <row r="622" spans="19:20" ht="14.25" customHeight="1" x14ac:dyDescent="0.3">
      <c r="S622" t="str">
        <f t="shared" si="33"/>
        <v/>
      </c>
      <c r="T622" t="str">
        <f t="shared" si="34"/>
        <v/>
      </c>
    </row>
    <row r="623" spans="19:20" ht="14.25" customHeight="1" x14ac:dyDescent="0.3">
      <c r="S623" t="str">
        <f t="shared" si="33"/>
        <v/>
      </c>
      <c r="T623" t="str">
        <f t="shared" si="34"/>
        <v/>
      </c>
    </row>
    <row r="624" spans="19:20" ht="14.25" customHeight="1" x14ac:dyDescent="0.3">
      <c r="S624" t="str">
        <f t="shared" si="33"/>
        <v/>
      </c>
      <c r="T624" t="str">
        <f t="shared" si="34"/>
        <v/>
      </c>
    </row>
    <row r="625" spans="19:20" ht="14.25" customHeight="1" x14ac:dyDescent="0.3">
      <c r="S625" t="str">
        <f t="shared" si="33"/>
        <v/>
      </c>
      <c r="T625" t="str">
        <f t="shared" si="34"/>
        <v/>
      </c>
    </row>
    <row r="626" spans="19:20" ht="14.25" customHeight="1" x14ac:dyDescent="0.3">
      <c r="S626" t="str">
        <f t="shared" si="33"/>
        <v/>
      </c>
      <c r="T626" t="str">
        <f t="shared" si="34"/>
        <v/>
      </c>
    </row>
    <row r="627" spans="19:20" ht="14.25" customHeight="1" x14ac:dyDescent="0.3">
      <c r="S627" t="str">
        <f t="shared" si="33"/>
        <v/>
      </c>
      <c r="T627" t="str">
        <f t="shared" si="34"/>
        <v/>
      </c>
    </row>
    <row r="628" spans="19:20" ht="14.25" customHeight="1" x14ac:dyDescent="0.3">
      <c r="S628" t="str">
        <f t="shared" si="33"/>
        <v/>
      </c>
      <c r="T628" t="str">
        <f t="shared" si="34"/>
        <v/>
      </c>
    </row>
    <row r="629" spans="19:20" ht="14.25" customHeight="1" x14ac:dyDescent="0.3">
      <c r="S629" t="str">
        <f t="shared" si="33"/>
        <v/>
      </c>
      <c r="T629" t="str">
        <f t="shared" si="34"/>
        <v/>
      </c>
    </row>
    <row r="630" spans="19:20" ht="14.25" customHeight="1" x14ac:dyDescent="0.3">
      <c r="S630" t="str">
        <f t="shared" si="33"/>
        <v/>
      </c>
      <c r="T630" t="str">
        <f t="shared" si="34"/>
        <v/>
      </c>
    </row>
    <row r="631" spans="19:20" ht="14.25" customHeight="1" x14ac:dyDescent="0.3">
      <c r="S631" t="str">
        <f t="shared" si="33"/>
        <v/>
      </c>
      <c r="T631" t="str">
        <f t="shared" si="34"/>
        <v/>
      </c>
    </row>
    <row r="632" spans="19:20" ht="14.25" customHeight="1" x14ac:dyDescent="0.3">
      <c r="S632" t="str">
        <f t="shared" si="33"/>
        <v/>
      </c>
      <c r="T632" t="str">
        <f t="shared" si="34"/>
        <v/>
      </c>
    </row>
    <row r="633" spans="19:20" ht="14.25" customHeight="1" x14ac:dyDescent="0.3">
      <c r="S633" t="str">
        <f t="shared" si="33"/>
        <v/>
      </c>
      <c r="T633" t="str">
        <f t="shared" si="34"/>
        <v/>
      </c>
    </row>
    <row r="634" spans="19:20" ht="14.25" customHeight="1" x14ac:dyDescent="0.3">
      <c r="S634" t="str">
        <f t="shared" si="33"/>
        <v/>
      </c>
      <c r="T634" t="str">
        <f t="shared" si="34"/>
        <v/>
      </c>
    </row>
    <row r="635" spans="19:20" ht="14.25" customHeight="1" x14ac:dyDescent="0.3">
      <c r="S635" t="str">
        <f t="shared" si="33"/>
        <v/>
      </c>
      <c r="T635" t="str">
        <f t="shared" si="34"/>
        <v/>
      </c>
    </row>
    <row r="636" spans="19:20" ht="14.25" customHeight="1" x14ac:dyDescent="0.3">
      <c r="S636" t="str">
        <f t="shared" si="33"/>
        <v/>
      </c>
      <c r="T636" t="str">
        <f t="shared" si="34"/>
        <v/>
      </c>
    </row>
    <row r="637" spans="19:20" ht="14.25" customHeight="1" x14ac:dyDescent="0.3">
      <c r="S637" t="str">
        <f t="shared" si="33"/>
        <v/>
      </c>
      <c r="T637" t="str">
        <f t="shared" si="34"/>
        <v/>
      </c>
    </row>
    <row r="638" spans="19:20" ht="14.25" customHeight="1" x14ac:dyDescent="0.3">
      <c r="S638" t="str">
        <f t="shared" si="33"/>
        <v/>
      </c>
      <c r="T638" t="str">
        <f t="shared" si="34"/>
        <v/>
      </c>
    </row>
    <row r="639" spans="19:20" ht="14.25" customHeight="1" x14ac:dyDescent="0.3">
      <c r="S639" t="str">
        <f t="shared" si="33"/>
        <v/>
      </c>
      <c r="T639" t="str">
        <f t="shared" si="34"/>
        <v/>
      </c>
    </row>
    <row r="640" spans="19:20" ht="14.25" customHeight="1" x14ac:dyDescent="0.3">
      <c r="S640" t="str">
        <f t="shared" si="33"/>
        <v/>
      </c>
      <c r="T640" t="str">
        <f t="shared" si="34"/>
        <v/>
      </c>
    </row>
    <row r="641" spans="19:20" ht="14.25" customHeight="1" x14ac:dyDescent="0.3">
      <c r="S641" t="str">
        <f t="shared" si="33"/>
        <v/>
      </c>
      <c r="T641" t="str">
        <f t="shared" si="34"/>
        <v/>
      </c>
    </row>
    <row r="642" spans="19:20" ht="14.25" customHeight="1" x14ac:dyDescent="0.3">
      <c r="S642" t="str">
        <f t="shared" ref="S642:S705" si="35">IFERROR(INDEX(D_IDUNIQUE,MATCH(ROW()-1,D_RANG_SUIVI,0)),"")</f>
        <v/>
      </c>
      <c r="T642" t="str">
        <f t="shared" ref="T642:T705" si="36">IF($S642="","",UPPER(INDEX(D_NOM,MATCH($S642,D_ID,0)))&amp;" "&amp;INDEX(D_PRENOM,MATCH($S642,D_ID,0))&amp;" — "&amp;INDEX(D_NIVEAU_ACTUEL,MATCH($S642,D_ID,0)))</f>
        <v/>
      </c>
    </row>
    <row r="643" spans="19:20" ht="14.25" customHeight="1" x14ac:dyDescent="0.3">
      <c r="S643" t="str">
        <f t="shared" si="35"/>
        <v/>
      </c>
      <c r="T643" t="str">
        <f t="shared" si="36"/>
        <v/>
      </c>
    </row>
    <row r="644" spans="19:20" ht="14.25" customHeight="1" x14ac:dyDescent="0.3">
      <c r="S644" t="str">
        <f t="shared" si="35"/>
        <v/>
      </c>
      <c r="T644" t="str">
        <f t="shared" si="36"/>
        <v/>
      </c>
    </row>
    <row r="645" spans="19:20" ht="14.25" customHeight="1" x14ac:dyDescent="0.3">
      <c r="S645" t="str">
        <f t="shared" si="35"/>
        <v/>
      </c>
      <c r="T645" t="str">
        <f t="shared" si="36"/>
        <v/>
      </c>
    </row>
    <row r="646" spans="19:20" ht="14.25" customHeight="1" x14ac:dyDescent="0.3">
      <c r="S646" t="str">
        <f t="shared" si="35"/>
        <v/>
      </c>
      <c r="T646" t="str">
        <f t="shared" si="36"/>
        <v/>
      </c>
    </row>
    <row r="647" spans="19:20" ht="14.25" customHeight="1" x14ac:dyDescent="0.3">
      <c r="S647" t="str">
        <f t="shared" si="35"/>
        <v/>
      </c>
      <c r="T647" t="str">
        <f t="shared" si="36"/>
        <v/>
      </c>
    </row>
    <row r="648" spans="19:20" ht="14.25" customHeight="1" x14ac:dyDescent="0.3">
      <c r="S648" t="str">
        <f t="shared" si="35"/>
        <v/>
      </c>
      <c r="T648" t="str">
        <f t="shared" si="36"/>
        <v/>
      </c>
    </row>
    <row r="649" spans="19:20" ht="14.25" customHeight="1" x14ac:dyDescent="0.3">
      <c r="S649" t="str">
        <f t="shared" si="35"/>
        <v/>
      </c>
      <c r="T649" t="str">
        <f t="shared" si="36"/>
        <v/>
      </c>
    </row>
    <row r="650" spans="19:20" ht="14.25" customHeight="1" x14ac:dyDescent="0.3">
      <c r="S650" t="str">
        <f t="shared" si="35"/>
        <v/>
      </c>
      <c r="T650" t="str">
        <f t="shared" si="36"/>
        <v/>
      </c>
    </row>
    <row r="651" spans="19:20" ht="14.25" customHeight="1" x14ac:dyDescent="0.3">
      <c r="S651" t="str">
        <f t="shared" si="35"/>
        <v/>
      </c>
      <c r="T651" t="str">
        <f t="shared" si="36"/>
        <v/>
      </c>
    </row>
    <row r="652" spans="19:20" ht="14.25" customHeight="1" x14ac:dyDescent="0.3">
      <c r="S652" t="str">
        <f t="shared" si="35"/>
        <v/>
      </c>
      <c r="T652" t="str">
        <f t="shared" si="36"/>
        <v/>
      </c>
    </row>
    <row r="653" spans="19:20" ht="14.25" customHeight="1" x14ac:dyDescent="0.3">
      <c r="S653" t="str">
        <f t="shared" si="35"/>
        <v/>
      </c>
      <c r="T653" t="str">
        <f t="shared" si="36"/>
        <v/>
      </c>
    </row>
    <row r="654" spans="19:20" ht="14.25" customHeight="1" x14ac:dyDescent="0.3">
      <c r="S654" t="str">
        <f t="shared" si="35"/>
        <v/>
      </c>
      <c r="T654" t="str">
        <f t="shared" si="36"/>
        <v/>
      </c>
    </row>
    <row r="655" spans="19:20" ht="14.25" customHeight="1" x14ac:dyDescent="0.3">
      <c r="S655" t="str">
        <f t="shared" si="35"/>
        <v/>
      </c>
      <c r="T655" t="str">
        <f t="shared" si="36"/>
        <v/>
      </c>
    </row>
    <row r="656" spans="19:20" ht="14.25" customHeight="1" x14ac:dyDescent="0.3">
      <c r="S656" t="str">
        <f t="shared" si="35"/>
        <v/>
      </c>
      <c r="T656" t="str">
        <f t="shared" si="36"/>
        <v/>
      </c>
    </row>
    <row r="657" spans="19:20" ht="14.25" customHeight="1" x14ac:dyDescent="0.3">
      <c r="S657" t="str">
        <f t="shared" si="35"/>
        <v/>
      </c>
      <c r="T657" t="str">
        <f t="shared" si="36"/>
        <v/>
      </c>
    </row>
    <row r="658" spans="19:20" ht="14.25" customHeight="1" x14ac:dyDescent="0.3">
      <c r="S658" t="str">
        <f t="shared" si="35"/>
        <v/>
      </c>
      <c r="T658" t="str">
        <f t="shared" si="36"/>
        <v/>
      </c>
    </row>
    <row r="659" spans="19:20" ht="14.25" customHeight="1" x14ac:dyDescent="0.3">
      <c r="S659" t="str">
        <f t="shared" si="35"/>
        <v/>
      </c>
      <c r="T659" t="str">
        <f t="shared" si="36"/>
        <v/>
      </c>
    </row>
    <row r="660" spans="19:20" ht="14.25" customHeight="1" x14ac:dyDescent="0.3">
      <c r="S660" t="str">
        <f t="shared" si="35"/>
        <v/>
      </c>
      <c r="T660" t="str">
        <f t="shared" si="36"/>
        <v/>
      </c>
    </row>
    <row r="661" spans="19:20" ht="14.25" customHeight="1" x14ac:dyDescent="0.3">
      <c r="S661" t="str">
        <f t="shared" si="35"/>
        <v/>
      </c>
      <c r="T661" t="str">
        <f t="shared" si="36"/>
        <v/>
      </c>
    </row>
    <row r="662" spans="19:20" ht="14.25" customHeight="1" x14ac:dyDescent="0.3">
      <c r="S662" t="str">
        <f t="shared" si="35"/>
        <v/>
      </c>
      <c r="T662" t="str">
        <f t="shared" si="36"/>
        <v/>
      </c>
    </row>
    <row r="663" spans="19:20" ht="14.25" customHeight="1" x14ac:dyDescent="0.3">
      <c r="S663" t="str">
        <f t="shared" si="35"/>
        <v/>
      </c>
      <c r="T663" t="str">
        <f t="shared" si="36"/>
        <v/>
      </c>
    </row>
    <row r="664" spans="19:20" ht="14.25" customHeight="1" x14ac:dyDescent="0.3">
      <c r="S664" t="str">
        <f t="shared" si="35"/>
        <v/>
      </c>
      <c r="T664" t="str">
        <f t="shared" si="36"/>
        <v/>
      </c>
    </row>
    <row r="665" spans="19:20" ht="14.25" customHeight="1" x14ac:dyDescent="0.3">
      <c r="S665" t="str">
        <f t="shared" si="35"/>
        <v/>
      </c>
      <c r="T665" t="str">
        <f t="shared" si="36"/>
        <v/>
      </c>
    </row>
    <row r="666" spans="19:20" ht="14.25" customHeight="1" x14ac:dyDescent="0.3">
      <c r="S666" t="str">
        <f t="shared" si="35"/>
        <v/>
      </c>
      <c r="T666" t="str">
        <f t="shared" si="36"/>
        <v/>
      </c>
    </row>
    <row r="667" spans="19:20" ht="14.25" customHeight="1" x14ac:dyDescent="0.3">
      <c r="S667" t="str">
        <f t="shared" si="35"/>
        <v/>
      </c>
      <c r="T667" t="str">
        <f t="shared" si="36"/>
        <v/>
      </c>
    </row>
    <row r="668" spans="19:20" ht="14.25" customHeight="1" x14ac:dyDescent="0.3">
      <c r="S668" t="str">
        <f t="shared" si="35"/>
        <v/>
      </c>
      <c r="T668" t="str">
        <f t="shared" si="36"/>
        <v/>
      </c>
    </row>
    <row r="669" spans="19:20" ht="14.25" customHeight="1" x14ac:dyDescent="0.3">
      <c r="S669" t="str">
        <f t="shared" si="35"/>
        <v/>
      </c>
      <c r="T669" t="str">
        <f t="shared" si="36"/>
        <v/>
      </c>
    </row>
    <row r="670" spans="19:20" ht="14.25" customHeight="1" x14ac:dyDescent="0.3">
      <c r="S670" t="str">
        <f t="shared" si="35"/>
        <v/>
      </c>
      <c r="T670" t="str">
        <f t="shared" si="36"/>
        <v/>
      </c>
    </row>
    <row r="671" spans="19:20" ht="14.25" customHeight="1" x14ac:dyDescent="0.3">
      <c r="S671" t="str">
        <f t="shared" si="35"/>
        <v/>
      </c>
      <c r="T671" t="str">
        <f t="shared" si="36"/>
        <v/>
      </c>
    </row>
    <row r="672" spans="19:20" ht="14.25" customHeight="1" x14ac:dyDescent="0.3">
      <c r="S672" t="str">
        <f t="shared" si="35"/>
        <v/>
      </c>
      <c r="T672" t="str">
        <f t="shared" si="36"/>
        <v/>
      </c>
    </row>
    <row r="673" spans="19:20" ht="14.25" customHeight="1" x14ac:dyDescent="0.3">
      <c r="S673" t="str">
        <f t="shared" si="35"/>
        <v/>
      </c>
      <c r="T673" t="str">
        <f t="shared" si="36"/>
        <v/>
      </c>
    </row>
    <row r="674" spans="19:20" ht="14.25" customHeight="1" x14ac:dyDescent="0.3">
      <c r="S674" t="str">
        <f t="shared" si="35"/>
        <v/>
      </c>
      <c r="T674" t="str">
        <f t="shared" si="36"/>
        <v/>
      </c>
    </row>
    <row r="675" spans="19:20" ht="14.25" customHeight="1" x14ac:dyDescent="0.3">
      <c r="S675" t="str">
        <f t="shared" si="35"/>
        <v/>
      </c>
      <c r="T675" t="str">
        <f t="shared" si="36"/>
        <v/>
      </c>
    </row>
    <row r="676" spans="19:20" ht="14.25" customHeight="1" x14ac:dyDescent="0.3">
      <c r="S676" t="str">
        <f t="shared" si="35"/>
        <v/>
      </c>
      <c r="T676" t="str">
        <f t="shared" si="36"/>
        <v/>
      </c>
    </row>
    <row r="677" spans="19:20" ht="14.25" customHeight="1" x14ac:dyDescent="0.3">
      <c r="S677" t="str">
        <f t="shared" si="35"/>
        <v/>
      </c>
      <c r="T677" t="str">
        <f t="shared" si="36"/>
        <v/>
      </c>
    </row>
    <row r="678" spans="19:20" ht="14.25" customHeight="1" x14ac:dyDescent="0.3">
      <c r="S678" t="str">
        <f t="shared" si="35"/>
        <v/>
      </c>
      <c r="T678" t="str">
        <f t="shared" si="36"/>
        <v/>
      </c>
    </row>
    <row r="679" spans="19:20" ht="14.25" customHeight="1" x14ac:dyDescent="0.3">
      <c r="S679" t="str">
        <f t="shared" si="35"/>
        <v/>
      </c>
      <c r="T679" t="str">
        <f t="shared" si="36"/>
        <v/>
      </c>
    </row>
    <row r="680" spans="19:20" ht="14.25" customHeight="1" x14ac:dyDescent="0.3">
      <c r="S680" t="str">
        <f t="shared" si="35"/>
        <v/>
      </c>
      <c r="T680" t="str">
        <f t="shared" si="36"/>
        <v/>
      </c>
    </row>
    <row r="681" spans="19:20" ht="14.25" customHeight="1" x14ac:dyDescent="0.3">
      <c r="S681" t="str">
        <f t="shared" si="35"/>
        <v/>
      </c>
      <c r="T681" t="str">
        <f t="shared" si="36"/>
        <v/>
      </c>
    </row>
    <row r="682" spans="19:20" ht="14.25" customHeight="1" x14ac:dyDescent="0.3">
      <c r="S682" t="str">
        <f t="shared" si="35"/>
        <v/>
      </c>
      <c r="T682" t="str">
        <f t="shared" si="36"/>
        <v/>
      </c>
    </row>
    <row r="683" spans="19:20" ht="14.25" customHeight="1" x14ac:dyDescent="0.3">
      <c r="S683" t="str">
        <f t="shared" si="35"/>
        <v/>
      </c>
      <c r="T683" t="str">
        <f t="shared" si="36"/>
        <v/>
      </c>
    </row>
    <row r="684" spans="19:20" ht="14.25" customHeight="1" x14ac:dyDescent="0.3">
      <c r="S684" t="str">
        <f t="shared" si="35"/>
        <v/>
      </c>
      <c r="T684" t="str">
        <f t="shared" si="36"/>
        <v/>
      </c>
    </row>
    <row r="685" spans="19:20" ht="14.25" customHeight="1" x14ac:dyDescent="0.3">
      <c r="S685" t="str">
        <f t="shared" si="35"/>
        <v/>
      </c>
      <c r="T685" t="str">
        <f t="shared" si="36"/>
        <v/>
      </c>
    </row>
    <row r="686" spans="19:20" ht="14.25" customHeight="1" x14ac:dyDescent="0.3">
      <c r="S686" t="str">
        <f t="shared" si="35"/>
        <v/>
      </c>
      <c r="T686" t="str">
        <f t="shared" si="36"/>
        <v/>
      </c>
    </row>
    <row r="687" spans="19:20" ht="14.25" customHeight="1" x14ac:dyDescent="0.3">
      <c r="S687" t="str">
        <f t="shared" si="35"/>
        <v/>
      </c>
      <c r="T687" t="str">
        <f t="shared" si="36"/>
        <v/>
      </c>
    </row>
    <row r="688" spans="19:20" ht="14.25" customHeight="1" x14ac:dyDescent="0.3">
      <c r="S688" t="str">
        <f t="shared" si="35"/>
        <v/>
      </c>
      <c r="T688" t="str">
        <f t="shared" si="36"/>
        <v/>
      </c>
    </row>
    <row r="689" spans="19:20" ht="14.25" customHeight="1" x14ac:dyDescent="0.3">
      <c r="S689" t="str">
        <f t="shared" si="35"/>
        <v/>
      </c>
      <c r="T689" t="str">
        <f t="shared" si="36"/>
        <v/>
      </c>
    </row>
    <row r="690" spans="19:20" ht="14.25" customHeight="1" x14ac:dyDescent="0.3">
      <c r="S690" t="str">
        <f t="shared" si="35"/>
        <v/>
      </c>
      <c r="T690" t="str">
        <f t="shared" si="36"/>
        <v/>
      </c>
    </row>
    <row r="691" spans="19:20" ht="14.25" customHeight="1" x14ac:dyDescent="0.3">
      <c r="S691" t="str">
        <f t="shared" si="35"/>
        <v/>
      </c>
      <c r="T691" t="str">
        <f t="shared" si="36"/>
        <v/>
      </c>
    </row>
    <row r="692" spans="19:20" ht="14.25" customHeight="1" x14ac:dyDescent="0.3">
      <c r="S692" t="str">
        <f t="shared" si="35"/>
        <v/>
      </c>
      <c r="T692" t="str">
        <f t="shared" si="36"/>
        <v/>
      </c>
    </row>
    <row r="693" spans="19:20" ht="14.25" customHeight="1" x14ac:dyDescent="0.3">
      <c r="S693" t="str">
        <f t="shared" si="35"/>
        <v/>
      </c>
      <c r="T693" t="str">
        <f t="shared" si="36"/>
        <v/>
      </c>
    </row>
    <row r="694" spans="19:20" ht="14.25" customHeight="1" x14ac:dyDescent="0.3">
      <c r="S694" t="str">
        <f t="shared" si="35"/>
        <v/>
      </c>
      <c r="T694" t="str">
        <f t="shared" si="36"/>
        <v/>
      </c>
    </row>
    <row r="695" spans="19:20" ht="14.25" customHeight="1" x14ac:dyDescent="0.3">
      <c r="S695" t="str">
        <f t="shared" si="35"/>
        <v/>
      </c>
      <c r="T695" t="str">
        <f t="shared" si="36"/>
        <v/>
      </c>
    </row>
    <row r="696" spans="19:20" ht="14.25" customHeight="1" x14ac:dyDescent="0.3">
      <c r="S696" t="str">
        <f t="shared" si="35"/>
        <v/>
      </c>
      <c r="T696" t="str">
        <f t="shared" si="36"/>
        <v/>
      </c>
    </row>
    <row r="697" spans="19:20" ht="14.25" customHeight="1" x14ac:dyDescent="0.3">
      <c r="S697" t="str">
        <f t="shared" si="35"/>
        <v/>
      </c>
      <c r="T697" t="str">
        <f t="shared" si="36"/>
        <v/>
      </c>
    </row>
    <row r="698" spans="19:20" ht="14.25" customHeight="1" x14ac:dyDescent="0.3">
      <c r="S698" t="str">
        <f t="shared" si="35"/>
        <v/>
      </c>
      <c r="T698" t="str">
        <f t="shared" si="36"/>
        <v/>
      </c>
    </row>
    <row r="699" spans="19:20" ht="14.25" customHeight="1" x14ac:dyDescent="0.3">
      <c r="S699" t="str">
        <f t="shared" si="35"/>
        <v/>
      </c>
      <c r="T699" t="str">
        <f t="shared" si="36"/>
        <v/>
      </c>
    </row>
    <row r="700" spans="19:20" ht="14.25" customHeight="1" x14ac:dyDescent="0.3">
      <c r="S700" t="str">
        <f t="shared" si="35"/>
        <v/>
      </c>
      <c r="T700" t="str">
        <f t="shared" si="36"/>
        <v/>
      </c>
    </row>
    <row r="701" spans="19:20" ht="14.25" customHeight="1" x14ac:dyDescent="0.3">
      <c r="S701" t="str">
        <f t="shared" si="35"/>
        <v/>
      </c>
      <c r="T701" t="str">
        <f t="shared" si="36"/>
        <v/>
      </c>
    </row>
    <row r="702" spans="19:20" ht="14.25" customHeight="1" x14ac:dyDescent="0.3">
      <c r="S702" t="str">
        <f t="shared" si="35"/>
        <v/>
      </c>
      <c r="T702" t="str">
        <f t="shared" si="36"/>
        <v/>
      </c>
    </row>
    <row r="703" spans="19:20" ht="14.25" customHeight="1" x14ac:dyDescent="0.3">
      <c r="S703" t="str">
        <f t="shared" si="35"/>
        <v/>
      </c>
      <c r="T703" t="str">
        <f t="shared" si="36"/>
        <v/>
      </c>
    </row>
    <row r="704" spans="19:20" ht="14.25" customHeight="1" x14ac:dyDescent="0.3">
      <c r="S704" t="str">
        <f t="shared" si="35"/>
        <v/>
      </c>
      <c r="T704" t="str">
        <f t="shared" si="36"/>
        <v/>
      </c>
    </row>
    <row r="705" spans="19:20" ht="14.25" customHeight="1" x14ac:dyDescent="0.3">
      <c r="S705" t="str">
        <f t="shared" si="35"/>
        <v/>
      </c>
      <c r="T705" t="str">
        <f t="shared" si="36"/>
        <v/>
      </c>
    </row>
    <row r="706" spans="19:20" ht="14.25" customHeight="1" x14ac:dyDescent="0.3">
      <c r="S706" t="str">
        <f t="shared" ref="S706:S769" si="37">IFERROR(INDEX(D_IDUNIQUE,MATCH(ROW()-1,D_RANG_SUIVI,0)),"")</f>
        <v/>
      </c>
      <c r="T706" t="str">
        <f t="shared" ref="T706:T769" si="38">IF($S706="","",UPPER(INDEX(D_NOM,MATCH($S706,D_ID,0)))&amp;" "&amp;INDEX(D_PRENOM,MATCH($S706,D_ID,0))&amp;" — "&amp;INDEX(D_NIVEAU_ACTUEL,MATCH($S706,D_ID,0)))</f>
        <v/>
      </c>
    </row>
    <row r="707" spans="19:20" ht="14.25" customHeight="1" x14ac:dyDescent="0.3">
      <c r="S707" t="str">
        <f t="shared" si="37"/>
        <v/>
      </c>
      <c r="T707" t="str">
        <f t="shared" si="38"/>
        <v/>
      </c>
    </row>
    <row r="708" spans="19:20" ht="14.25" customHeight="1" x14ac:dyDescent="0.3">
      <c r="S708" t="str">
        <f t="shared" si="37"/>
        <v/>
      </c>
      <c r="T708" t="str">
        <f t="shared" si="38"/>
        <v/>
      </c>
    </row>
    <row r="709" spans="19:20" ht="14.25" customHeight="1" x14ac:dyDescent="0.3">
      <c r="S709" t="str">
        <f t="shared" si="37"/>
        <v/>
      </c>
      <c r="T709" t="str">
        <f t="shared" si="38"/>
        <v/>
      </c>
    </row>
    <row r="710" spans="19:20" ht="14.25" customHeight="1" x14ac:dyDescent="0.3">
      <c r="S710" t="str">
        <f t="shared" si="37"/>
        <v/>
      </c>
      <c r="T710" t="str">
        <f t="shared" si="38"/>
        <v/>
      </c>
    </row>
    <row r="711" spans="19:20" ht="14.25" customHeight="1" x14ac:dyDescent="0.3">
      <c r="S711" t="str">
        <f t="shared" si="37"/>
        <v/>
      </c>
      <c r="T711" t="str">
        <f t="shared" si="38"/>
        <v/>
      </c>
    </row>
    <row r="712" spans="19:20" ht="14.25" customHeight="1" x14ac:dyDescent="0.3">
      <c r="S712" t="str">
        <f t="shared" si="37"/>
        <v/>
      </c>
      <c r="T712" t="str">
        <f t="shared" si="38"/>
        <v/>
      </c>
    </row>
    <row r="713" spans="19:20" ht="14.25" customHeight="1" x14ac:dyDescent="0.3">
      <c r="S713" t="str">
        <f t="shared" si="37"/>
        <v/>
      </c>
      <c r="T713" t="str">
        <f t="shared" si="38"/>
        <v/>
      </c>
    </row>
    <row r="714" spans="19:20" ht="14.25" customHeight="1" x14ac:dyDescent="0.3">
      <c r="S714" t="str">
        <f t="shared" si="37"/>
        <v/>
      </c>
      <c r="T714" t="str">
        <f t="shared" si="38"/>
        <v/>
      </c>
    </row>
    <row r="715" spans="19:20" ht="14.25" customHeight="1" x14ac:dyDescent="0.3">
      <c r="S715" t="str">
        <f t="shared" si="37"/>
        <v/>
      </c>
      <c r="T715" t="str">
        <f t="shared" si="38"/>
        <v/>
      </c>
    </row>
    <row r="716" spans="19:20" ht="14.25" customHeight="1" x14ac:dyDescent="0.3">
      <c r="S716" t="str">
        <f t="shared" si="37"/>
        <v/>
      </c>
      <c r="T716" t="str">
        <f t="shared" si="38"/>
        <v/>
      </c>
    </row>
    <row r="717" spans="19:20" ht="14.25" customHeight="1" x14ac:dyDescent="0.3">
      <c r="S717" t="str">
        <f t="shared" si="37"/>
        <v/>
      </c>
      <c r="T717" t="str">
        <f t="shared" si="38"/>
        <v/>
      </c>
    </row>
    <row r="718" spans="19:20" ht="14.25" customHeight="1" x14ac:dyDescent="0.3">
      <c r="S718" t="str">
        <f t="shared" si="37"/>
        <v/>
      </c>
      <c r="T718" t="str">
        <f t="shared" si="38"/>
        <v/>
      </c>
    </row>
    <row r="719" spans="19:20" ht="14.25" customHeight="1" x14ac:dyDescent="0.3">
      <c r="S719" t="str">
        <f t="shared" si="37"/>
        <v/>
      </c>
      <c r="T719" t="str">
        <f t="shared" si="38"/>
        <v/>
      </c>
    </row>
    <row r="720" spans="19:20" ht="14.25" customHeight="1" x14ac:dyDescent="0.3">
      <c r="S720" t="str">
        <f t="shared" si="37"/>
        <v/>
      </c>
      <c r="T720" t="str">
        <f t="shared" si="38"/>
        <v/>
      </c>
    </row>
    <row r="721" spans="19:20" ht="14.25" customHeight="1" x14ac:dyDescent="0.3">
      <c r="S721" t="str">
        <f t="shared" si="37"/>
        <v/>
      </c>
      <c r="T721" t="str">
        <f t="shared" si="38"/>
        <v/>
      </c>
    </row>
    <row r="722" spans="19:20" ht="14.25" customHeight="1" x14ac:dyDescent="0.3">
      <c r="S722" t="str">
        <f t="shared" si="37"/>
        <v/>
      </c>
      <c r="T722" t="str">
        <f t="shared" si="38"/>
        <v/>
      </c>
    </row>
    <row r="723" spans="19:20" ht="14.25" customHeight="1" x14ac:dyDescent="0.3">
      <c r="S723" t="str">
        <f t="shared" si="37"/>
        <v/>
      </c>
      <c r="T723" t="str">
        <f t="shared" si="38"/>
        <v/>
      </c>
    </row>
    <row r="724" spans="19:20" ht="14.25" customHeight="1" x14ac:dyDescent="0.3">
      <c r="S724" t="str">
        <f t="shared" si="37"/>
        <v/>
      </c>
      <c r="T724" t="str">
        <f t="shared" si="38"/>
        <v/>
      </c>
    </row>
    <row r="725" spans="19:20" ht="14.25" customHeight="1" x14ac:dyDescent="0.3">
      <c r="S725" t="str">
        <f t="shared" si="37"/>
        <v/>
      </c>
      <c r="T725" t="str">
        <f t="shared" si="38"/>
        <v/>
      </c>
    </row>
    <row r="726" spans="19:20" ht="14.25" customHeight="1" x14ac:dyDescent="0.3">
      <c r="S726" t="str">
        <f t="shared" si="37"/>
        <v/>
      </c>
      <c r="T726" t="str">
        <f t="shared" si="38"/>
        <v/>
      </c>
    </row>
    <row r="727" spans="19:20" ht="14.25" customHeight="1" x14ac:dyDescent="0.3">
      <c r="S727" t="str">
        <f t="shared" si="37"/>
        <v/>
      </c>
      <c r="T727" t="str">
        <f t="shared" si="38"/>
        <v/>
      </c>
    </row>
    <row r="728" spans="19:20" ht="14.25" customHeight="1" x14ac:dyDescent="0.3">
      <c r="S728" t="str">
        <f t="shared" si="37"/>
        <v/>
      </c>
      <c r="T728" t="str">
        <f t="shared" si="38"/>
        <v/>
      </c>
    </row>
    <row r="729" spans="19:20" ht="14.25" customHeight="1" x14ac:dyDescent="0.3">
      <c r="S729" t="str">
        <f t="shared" si="37"/>
        <v/>
      </c>
      <c r="T729" t="str">
        <f t="shared" si="38"/>
        <v/>
      </c>
    </row>
    <row r="730" spans="19:20" ht="14.25" customHeight="1" x14ac:dyDescent="0.3">
      <c r="S730" t="str">
        <f t="shared" si="37"/>
        <v/>
      </c>
      <c r="T730" t="str">
        <f t="shared" si="38"/>
        <v/>
      </c>
    </row>
    <row r="731" spans="19:20" ht="14.25" customHeight="1" x14ac:dyDescent="0.3">
      <c r="S731" t="str">
        <f t="shared" si="37"/>
        <v/>
      </c>
      <c r="T731" t="str">
        <f t="shared" si="38"/>
        <v/>
      </c>
    </row>
    <row r="732" spans="19:20" ht="14.25" customHeight="1" x14ac:dyDescent="0.3">
      <c r="S732" t="str">
        <f t="shared" si="37"/>
        <v/>
      </c>
      <c r="T732" t="str">
        <f t="shared" si="38"/>
        <v/>
      </c>
    </row>
    <row r="733" spans="19:20" ht="14.25" customHeight="1" x14ac:dyDescent="0.3">
      <c r="S733" t="str">
        <f t="shared" si="37"/>
        <v/>
      </c>
      <c r="T733" t="str">
        <f t="shared" si="38"/>
        <v/>
      </c>
    </row>
    <row r="734" spans="19:20" ht="14.25" customHeight="1" x14ac:dyDescent="0.3">
      <c r="S734" t="str">
        <f t="shared" si="37"/>
        <v/>
      </c>
      <c r="T734" t="str">
        <f t="shared" si="38"/>
        <v/>
      </c>
    </row>
    <row r="735" spans="19:20" ht="14.25" customHeight="1" x14ac:dyDescent="0.3">
      <c r="S735" t="str">
        <f t="shared" si="37"/>
        <v/>
      </c>
      <c r="T735" t="str">
        <f t="shared" si="38"/>
        <v/>
      </c>
    </row>
    <row r="736" spans="19:20" ht="14.25" customHeight="1" x14ac:dyDescent="0.3">
      <c r="S736" t="str">
        <f t="shared" si="37"/>
        <v/>
      </c>
      <c r="T736" t="str">
        <f t="shared" si="38"/>
        <v/>
      </c>
    </row>
    <row r="737" spans="19:20" ht="14.25" customHeight="1" x14ac:dyDescent="0.3">
      <c r="S737" t="str">
        <f t="shared" si="37"/>
        <v/>
      </c>
      <c r="T737" t="str">
        <f t="shared" si="38"/>
        <v/>
      </c>
    </row>
    <row r="738" spans="19:20" ht="14.25" customHeight="1" x14ac:dyDescent="0.3">
      <c r="S738" t="str">
        <f t="shared" si="37"/>
        <v/>
      </c>
      <c r="T738" t="str">
        <f t="shared" si="38"/>
        <v/>
      </c>
    </row>
    <row r="739" spans="19:20" ht="14.25" customHeight="1" x14ac:dyDescent="0.3">
      <c r="S739" t="str">
        <f t="shared" si="37"/>
        <v/>
      </c>
      <c r="T739" t="str">
        <f t="shared" si="38"/>
        <v/>
      </c>
    </row>
    <row r="740" spans="19:20" ht="14.25" customHeight="1" x14ac:dyDescent="0.3">
      <c r="S740" t="str">
        <f t="shared" si="37"/>
        <v/>
      </c>
      <c r="T740" t="str">
        <f t="shared" si="38"/>
        <v/>
      </c>
    </row>
    <row r="741" spans="19:20" ht="14.25" customHeight="1" x14ac:dyDescent="0.3">
      <c r="S741" t="str">
        <f t="shared" si="37"/>
        <v/>
      </c>
      <c r="T741" t="str">
        <f t="shared" si="38"/>
        <v/>
      </c>
    </row>
    <row r="742" spans="19:20" ht="14.25" customHeight="1" x14ac:dyDescent="0.3">
      <c r="S742" t="str">
        <f t="shared" si="37"/>
        <v/>
      </c>
      <c r="T742" t="str">
        <f t="shared" si="38"/>
        <v/>
      </c>
    </row>
    <row r="743" spans="19:20" ht="14.25" customHeight="1" x14ac:dyDescent="0.3">
      <c r="S743" t="str">
        <f t="shared" si="37"/>
        <v/>
      </c>
      <c r="T743" t="str">
        <f t="shared" si="38"/>
        <v/>
      </c>
    </row>
    <row r="744" spans="19:20" ht="14.25" customHeight="1" x14ac:dyDescent="0.3">
      <c r="S744" t="str">
        <f t="shared" si="37"/>
        <v/>
      </c>
      <c r="T744" t="str">
        <f t="shared" si="38"/>
        <v/>
      </c>
    </row>
    <row r="745" spans="19:20" ht="14.25" customHeight="1" x14ac:dyDescent="0.3">
      <c r="S745" t="str">
        <f t="shared" si="37"/>
        <v/>
      </c>
      <c r="T745" t="str">
        <f t="shared" si="38"/>
        <v/>
      </c>
    </row>
    <row r="746" spans="19:20" ht="14.25" customHeight="1" x14ac:dyDescent="0.3">
      <c r="S746" t="str">
        <f t="shared" si="37"/>
        <v/>
      </c>
      <c r="T746" t="str">
        <f t="shared" si="38"/>
        <v/>
      </c>
    </row>
    <row r="747" spans="19:20" ht="14.25" customHeight="1" x14ac:dyDescent="0.3">
      <c r="S747" t="str">
        <f t="shared" si="37"/>
        <v/>
      </c>
      <c r="T747" t="str">
        <f t="shared" si="38"/>
        <v/>
      </c>
    </row>
    <row r="748" spans="19:20" ht="14.25" customHeight="1" x14ac:dyDescent="0.3">
      <c r="S748" t="str">
        <f t="shared" si="37"/>
        <v/>
      </c>
      <c r="T748" t="str">
        <f t="shared" si="38"/>
        <v/>
      </c>
    </row>
    <row r="749" spans="19:20" ht="14.25" customHeight="1" x14ac:dyDescent="0.3">
      <c r="S749" t="str">
        <f t="shared" si="37"/>
        <v/>
      </c>
      <c r="T749" t="str">
        <f t="shared" si="38"/>
        <v/>
      </c>
    </row>
    <row r="750" spans="19:20" ht="14.25" customHeight="1" x14ac:dyDescent="0.3">
      <c r="S750" t="str">
        <f t="shared" si="37"/>
        <v/>
      </c>
      <c r="T750" t="str">
        <f t="shared" si="38"/>
        <v/>
      </c>
    </row>
    <row r="751" spans="19:20" ht="14.25" customHeight="1" x14ac:dyDescent="0.3">
      <c r="S751" t="str">
        <f t="shared" si="37"/>
        <v/>
      </c>
      <c r="T751" t="str">
        <f t="shared" si="38"/>
        <v/>
      </c>
    </row>
    <row r="752" spans="19:20" ht="14.25" customHeight="1" x14ac:dyDescent="0.3">
      <c r="S752" t="str">
        <f t="shared" si="37"/>
        <v/>
      </c>
      <c r="T752" t="str">
        <f t="shared" si="38"/>
        <v/>
      </c>
    </row>
    <row r="753" spans="19:20" ht="14.25" customHeight="1" x14ac:dyDescent="0.3">
      <c r="S753" t="str">
        <f t="shared" si="37"/>
        <v/>
      </c>
      <c r="T753" t="str">
        <f t="shared" si="38"/>
        <v/>
      </c>
    </row>
    <row r="754" spans="19:20" ht="14.25" customHeight="1" x14ac:dyDescent="0.3">
      <c r="S754" t="str">
        <f t="shared" si="37"/>
        <v/>
      </c>
      <c r="T754" t="str">
        <f t="shared" si="38"/>
        <v/>
      </c>
    </row>
    <row r="755" spans="19:20" ht="14.25" customHeight="1" x14ac:dyDescent="0.3">
      <c r="S755" t="str">
        <f t="shared" si="37"/>
        <v/>
      </c>
      <c r="T755" t="str">
        <f t="shared" si="38"/>
        <v/>
      </c>
    </row>
    <row r="756" spans="19:20" ht="14.25" customHeight="1" x14ac:dyDescent="0.3">
      <c r="S756" t="str">
        <f t="shared" si="37"/>
        <v/>
      </c>
      <c r="T756" t="str">
        <f t="shared" si="38"/>
        <v/>
      </c>
    </row>
    <row r="757" spans="19:20" ht="14.25" customHeight="1" x14ac:dyDescent="0.3">
      <c r="S757" t="str">
        <f t="shared" si="37"/>
        <v/>
      </c>
      <c r="T757" t="str">
        <f t="shared" si="38"/>
        <v/>
      </c>
    </row>
    <row r="758" spans="19:20" ht="14.25" customHeight="1" x14ac:dyDescent="0.3">
      <c r="S758" t="str">
        <f t="shared" si="37"/>
        <v/>
      </c>
      <c r="T758" t="str">
        <f t="shared" si="38"/>
        <v/>
      </c>
    </row>
    <row r="759" spans="19:20" ht="14.25" customHeight="1" x14ac:dyDescent="0.3">
      <c r="S759" t="str">
        <f t="shared" si="37"/>
        <v/>
      </c>
      <c r="T759" t="str">
        <f t="shared" si="38"/>
        <v/>
      </c>
    </row>
    <row r="760" spans="19:20" ht="14.25" customHeight="1" x14ac:dyDescent="0.3">
      <c r="S760" t="str">
        <f t="shared" si="37"/>
        <v/>
      </c>
      <c r="T760" t="str">
        <f t="shared" si="38"/>
        <v/>
      </c>
    </row>
    <row r="761" spans="19:20" ht="14.25" customHeight="1" x14ac:dyDescent="0.3">
      <c r="S761" t="str">
        <f t="shared" si="37"/>
        <v/>
      </c>
      <c r="T761" t="str">
        <f t="shared" si="38"/>
        <v/>
      </c>
    </row>
    <row r="762" spans="19:20" ht="14.25" customHeight="1" x14ac:dyDescent="0.3">
      <c r="S762" t="str">
        <f t="shared" si="37"/>
        <v/>
      </c>
      <c r="T762" t="str">
        <f t="shared" si="38"/>
        <v/>
      </c>
    </row>
    <row r="763" spans="19:20" ht="14.25" customHeight="1" x14ac:dyDescent="0.3">
      <c r="S763" t="str">
        <f t="shared" si="37"/>
        <v/>
      </c>
      <c r="T763" t="str">
        <f t="shared" si="38"/>
        <v/>
      </c>
    </row>
    <row r="764" spans="19:20" ht="14.25" customHeight="1" x14ac:dyDescent="0.3">
      <c r="S764" t="str">
        <f t="shared" si="37"/>
        <v/>
      </c>
      <c r="T764" t="str">
        <f t="shared" si="38"/>
        <v/>
      </c>
    </row>
    <row r="765" spans="19:20" ht="14.25" customHeight="1" x14ac:dyDescent="0.3">
      <c r="S765" t="str">
        <f t="shared" si="37"/>
        <v/>
      </c>
      <c r="T765" t="str">
        <f t="shared" si="38"/>
        <v/>
      </c>
    </row>
    <row r="766" spans="19:20" ht="14.25" customHeight="1" x14ac:dyDescent="0.3">
      <c r="S766" t="str">
        <f t="shared" si="37"/>
        <v/>
      </c>
      <c r="T766" t="str">
        <f t="shared" si="38"/>
        <v/>
      </c>
    </row>
    <row r="767" spans="19:20" ht="14.25" customHeight="1" x14ac:dyDescent="0.3">
      <c r="S767" t="str">
        <f t="shared" si="37"/>
        <v/>
      </c>
      <c r="T767" t="str">
        <f t="shared" si="38"/>
        <v/>
      </c>
    </row>
    <row r="768" spans="19:20" ht="14.25" customHeight="1" x14ac:dyDescent="0.3">
      <c r="S768" t="str">
        <f t="shared" si="37"/>
        <v/>
      </c>
      <c r="T768" t="str">
        <f t="shared" si="38"/>
        <v/>
      </c>
    </row>
    <row r="769" spans="19:20" ht="14.25" customHeight="1" x14ac:dyDescent="0.3">
      <c r="S769" t="str">
        <f t="shared" si="37"/>
        <v/>
      </c>
      <c r="T769" t="str">
        <f t="shared" si="38"/>
        <v/>
      </c>
    </row>
    <row r="770" spans="19:20" ht="14.25" customHeight="1" x14ac:dyDescent="0.3">
      <c r="S770" t="str">
        <f t="shared" ref="S770:S833" si="39">IFERROR(INDEX(D_IDUNIQUE,MATCH(ROW()-1,D_RANG_SUIVI,0)),"")</f>
        <v/>
      </c>
      <c r="T770" t="str">
        <f t="shared" ref="T770:T833" si="40">IF($S770="","",UPPER(INDEX(D_NOM,MATCH($S770,D_ID,0)))&amp;" "&amp;INDEX(D_PRENOM,MATCH($S770,D_ID,0))&amp;" — "&amp;INDEX(D_NIVEAU_ACTUEL,MATCH($S770,D_ID,0)))</f>
        <v/>
      </c>
    </row>
    <row r="771" spans="19:20" ht="14.25" customHeight="1" x14ac:dyDescent="0.3">
      <c r="S771" t="str">
        <f t="shared" si="39"/>
        <v/>
      </c>
      <c r="T771" t="str">
        <f t="shared" si="40"/>
        <v/>
      </c>
    </row>
    <row r="772" spans="19:20" ht="14.25" customHeight="1" x14ac:dyDescent="0.3">
      <c r="S772" t="str">
        <f t="shared" si="39"/>
        <v/>
      </c>
      <c r="T772" t="str">
        <f t="shared" si="40"/>
        <v/>
      </c>
    </row>
    <row r="773" spans="19:20" ht="14.25" customHeight="1" x14ac:dyDescent="0.3">
      <c r="S773" t="str">
        <f t="shared" si="39"/>
        <v/>
      </c>
      <c r="T773" t="str">
        <f t="shared" si="40"/>
        <v/>
      </c>
    </row>
    <row r="774" spans="19:20" ht="14.25" customHeight="1" x14ac:dyDescent="0.3">
      <c r="S774" t="str">
        <f t="shared" si="39"/>
        <v/>
      </c>
      <c r="T774" t="str">
        <f t="shared" si="40"/>
        <v/>
      </c>
    </row>
    <row r="775" spans="19:20" ht="14.25" customHeight="1" x14ac:dyDescent="0.3">
      <c r="S775" t="str">
        <f t="shared" si="39"/>
        <v/>
      </c>
      <c r="T775" t="str">
        <f t="shared" si="40"/>
        <v/>
      </c>
    </row>
    <row r="776" spans="19:20" ht="14.25" customHeight="1" x14ac:dyDescent="0.3">
      <c r="S776" t="str">
        <f t="shared" si="39"/>
        <v/>
      </c>
      <c r="T776" t="str">
        <f t="shared" si="40"/>
        <v/>
      </c>
    </row>
    <row r="777" spans="19:20" ht="14.25" customHeight="1" x14ac:dyDescent="0.3">
      <c r="S777" t="str">
        <f t="shared" si="39"/>
        <v/>
      </c>
      <c r="T777" t="str">
        <f t="shared" si="40"/>
        <v/>
      </c>
    </row>
    <row r="778" spans="19:20" ht="14.25" customHeight="1" x14ac:dyDescent="0.3">
      <c r="S778" t="str">
        <f t="shared" si="39"/>
        <v/>
      </c>
      <c r="T778" t="str">
        <f t="shared" si="40"/>
        <v/>
      </c>
    </row>
    <row r="779" spans="19:20" ht="14.25" customHeight="1" x14ac:dyDescent="0.3">
      <c r="S779" t="str">
        <f t="shared" si="39"/>
        <v/>
      </c>
      <c r="T779" t="str">
        <f t="shared" si="40"/>
        <v/>
      </c>
    </row>
    <row r="780" spans="19:20" ht="14.25" customHeight="1" x14ac:dyDescent="0.3">
      <c r="S780" t="str">
        <f t="shared" si="39"/>
        <v/>
      </c>
      <c r="T780" t="str">
        <f t="shared" si="40"/>
        <v/>
      </c>
    </row>
    <row r="781" spans="19:20" ht="14.25" customHeight="1" x14ac:dyDescent="0.3">
      <c r="S781" t="str">
        <f t="shared" si="39"/>
        <v/>
      </c>
      <c r="T781" t="str">
        <f t="shared" si="40"/>
        <v/>
      </c>
    </row>
    <row r="782" spans="19:20" ht="14.25" customHeight="1" x14ac:dyDescent="0.3">
      <c r="S782" t="str">
        <f t="shared" si="39"/>
        <v/>
      </c>
      <c r="T782" t="str">
        <f t="shared" si="40"/>
        <v/>
      </c>
    </row>
    <row r="783" spans="19:20" ht="14.25" customHeight="1" x14ac:dyDescent="0.3">
      <c r="S783" t="str">
        <f t="shared" si="39"/>
        <v/>
      </c>
      <c r="T783" t="str">
        <f t="shared" si="40"/>
        <v/>
      </c>
    </row>
    <row r="784" spans="19:20" ht="14.25" customHeight="1" x14ac:dyDescent="0.3">
      <c r="S784" t="str">
        <f t="shared" si="39"/>
        <v/>
      </c>
      <c r="T784" t="str">
        <f t="shared" si="40"/>
        <v/>
      </c>
    </row>
    <row r="785" spans="19:20" ht="14.25" customHeight="1" x14ac:dyDescent="0.3">
      <c r="S785" t="str">
        <f t="shared" si="39"/>
        <v/>
      </c>
      <c r="T785" t="str">
        <f t="shared" si="40"/>
        <v/>
      </c>
    </row>
    <row r="786" spans="19:20" ht="14.25" customHeight="1" x14ac:dyDescent="0.3">
      <c r="S786" t="str">
        <f t="shared" si="39"/>
        <v/>
      </c>
      <c r="T786" t="str">
        <f t="shared" si="40"/>
        <v/>
      </c>
    </row>
    <row r="787" spans="19:20" ht="14.25" customHeight="1" x14ac:dyDescent="0.3">
      <c r="S787" t="str">
        <f t="shared" si="39"/>
        <v/>
      </c>
      <c r="T787" t="str">
        <f t="shared" si="40"/>
        <v/>
      </c>
    </row>
    <row r="788" spans="19:20" ht="14.25" customHeight="1" x14ac:dyDescent="0.3">
      <c r="S788" t="str">
        <f t="shared" si="39"/>
        <v/>
      </c>
      <c r="T788" t="str">
        <f t="shared" si="40"/>
        <v/>
      </c>
    </row>
    <row r="789" spans="19:20" ht="14.25" customHeight="1" x14ac:dyDescent="0.3">
      <c r="S789" t="str">
        <f t="shared" si="39"/>
        <v/>
      </c>
      <c r="T789" t="str">
        <f t="shared" si="40"/>
        <v/>
      </c>
    </row>
    <row r="790" spans="19:20" ht="14.25" customHeight="1" x14ac:dyDescent="0.3">
      <c r="S790" t="str">
        <f t="shared" si="39"/>
        <v/>
      </c>
      <c r="T790" t="str">
        <f t="shared" si="40"/>
        <v/>
      </c>
    </row>
    <row r="791" spans="19:20" ht="14.25" customHeight="1" x14ac:dyDescent="0.3">
      <c r="S791" t="str">
        <f t="shared" si="39"/>
        <v/>
      </c>
      <c r="T791" t="str">
        <f t="shared" si="40"/>
        <v/>
      </c>
    </row>
    <row r="792" spans="19:20" ht="14.25" customHeight="1" x14ac:dyDescent="0.3">
      <c r="S792" t="str">
        <f t="shared" si="39"/>
        <v/>
      </c>
      <c r="T792" t="str">
        <f t="shared" si="40"/>
        <v/>
      </c>
    </row>
    <row r="793" spans="19:20" ht="14.25" customHeight="1" x14ac:dyDescent="0.3">
      <c r="S793" t="str">
        <f t="shared" si="39"/>
        <v/>
      </c>
      <c r="T793" t="str">
        <f t="shared" si="40"/>
        <v/>
      </c>
    </row>
    <row r="794" spans="19:20" ht="14.25" customHeight="1" x14ac:dyDescent="0.3">
      <c r="S794" t="str">
        <f t="shared" si="39"/>
        <v/>
      </c>
      <c r="T794" t="str">
        <f t="shared" si="40"/>
        <v/>
      </c>
    </row>
    <row r="795" spans="19:20" ht="14.25" customHeight="1" x14ac:dyDescent="0.3">
      <c r="S795" t="str">
        <f t="shared" si="39"/>
        <v/>
      </c>
      <c r="T795" t="str">
        <f t="shared" si="40"/>
        <v/>
      </c>
    </row>
    <row r="796" spans="19:20" ht="14.25" customHeight="1" x14ac:dyDescent="0.3">
      <c r="S796" t="str">
        <f t="shared" si="39"/>
        <v/>
      </c>
      <c r="T796" t="str">
        <f t="shared" si="40"/>
        <v/>
      </c>
    </row>
    <row r="797" spans="19:20" ht="14.25" customHeight="1" x14ac:dyDescent="0.3">
      <c r="S797" t="str">
        <f t="shared" si="39"/>
        <v/>
      </c>
      <c r="T797" t="str">
        <f t="shared" si="40"/>
        <v/>
      </c>
    </row>
    <row r="798" spans="19:20" ht="14.25" customHeight="1" x14ac:dyDescent="0.3">
      <c r="S798" t="str">
        <f t="shared" si="39"/>
        <v/>
      </c>
      <c r="T798" t="str">
        <f t="shared" si="40"/>
        <v/>
      </c>
    </row>
    <row r="799" spans="19:20" ht="14.25" customHeight="1" x14ac:dyDescent="0.3">
      <c r="S799" t="str">
        <f t="shared" si="39"/>
        <v/>
      </c>
      <c r="T799" t="str">
        <f t="shared" si="40"/>
        <v/>
      </c>
    </row>
    <row r="800" spans="19:20" ht="14.25" customHeight="1" x14ac:dyDescent="0.3">
      <c r="S800" t="str">
        <f t="shared" si="39"/>
        <v/>
      </c>
      <c r="T800" t="str">
        <f t="shared" si="40"/>
        <v/>
      </c>
    </row>
    <row r="801" spans="19:20" ht="14.25" customHeight="1" x14ac:dyDescent="0.3">
      <c r="S801" t="str">
        <f t="shared" si="39"/>
        <v/>
      </c>
      <c r="T801" t="str">
        <f t="shared" si="40"/>
        <v/>
      </c>
    </row>
    <row r="802" spans="19:20" ht="14.25" customHeight="1" x14ac:dyDescent="0.3">
      <c r="S802" t="str">
        <f t="shared" si="39"/>
        <v/>
      </c>
      <c r="T802" t="str">
        <f t="shared" si="40"/>
        <v/>
      </c>
    </row>
    <row r="803" spans="19:20" ht="14.25" customHeight="1" x14ac:dyDescent="0.3">
      <c r="S803" t="str">
        <f t="shared" si="39"/>
        <v/>
      </c>
      <c r="T803" t="str">
        <f t="shared" si="40"/>
        <v/>
      </c>
    </row>
    <row r="804" spans="19:20" ht="14.25" customHeight="1" x14ac:dyDescent="0.3">
      <c r="S804" t="str">
        <f t="shared" si="39"/>
        <v/>
      </c>
      <c r="T804" t="str">
        <f t="shared" si="40"/>
        <v/>
      </c>
    </row>
    <row r="805" spans="19:20" ht="14.25" customHeight="1" x14ac:dyDescent="0.3">
      <c r="S805" t="str">
        <f t="shared" si="39"/>
        <v/>
      </c>
      <c r="T805" t="str">
        <f t="shared" si="40"/>
        <v/>
      </c>
    </row>
    <row r="806" spans="19:20" ht="14.25" customHeight="1" x14ac:dyDescent="0.3">
      <c r="S806" t="str">
        <f t="shared" si="39"/>
        <v/>
      </c>
      <c r="T806" t="str">
        <f t="shared" si="40"/>
        <v/>
      </c>
    </row>
    <row r="807" spans="19:20" ht="14.25" customHeight="1" x14ac:dyDescent="0.3">
      <c r="S807" t="str">
        <f t="shared" si="39"/>
        <v/>
      </c>
      <c r="T807" t="str">
        <f t="shared" si="40"/>
        <v/>
      </c>
    </row>
    <row r="808" spans="19:20" ht="14.25" customHeight="1" x14ac:dyDescent="0.3">
      <c r="S808" t="str">
        <f t="shared" si="39"/>
        <v/>
      </c>
      <c r="T808" t="str">
        <f t="shared" si="40"/>
        <v/>
      </c>
    </row>
    <row r="809" spans="19:20" ht="14.25" customHeight="1" x14ac:dyDescent="0.3">
      <c r="S809" t="str">
        <f t="shared" si="39"/>
        <v/>
      </c>
      <c r="T809" t="str">
        <f t="shared" si="40"/>
        <v/>
      </c>
    </row>
    <row r="810" spans="19:20" ht="14.25" customHeight="1" x14ac:dyDescent="0.3">
      <c r="S810" t="str">
        <f t="shared" si="39"/>
        <v/>
      </c>
      <c r="T810" t="str">
        <f t="shared" si="40"/>
        <v/>
      </c>
    </row>
    <row r="811" spans="19:20" ht="14.25" customHeight="1" x14ac:dyDescent="0.3">
      <c r="S811" t="str">
        <f t="shared" si="39"/>
        <v/>
      </c>
      <c r="T811" t="str">
        <f t="shared" si="40"/>
        <v/>
      </c>
    </row>
    <row r="812" spans="19:20" ht="14.25" customHeight="1" x14ac:dyDescent="0.3">
      <c r="S812" t="str">
        <f t="shared" si="39"/>
        <v/>
      </c>
      <c r="T812" t="str">
        <f t="shared" si="40"/>
        <v/>
      </c>
    </row>
    <row r="813" spans="19:20" ht="14.25" customHeight="1" x14ac:dyDescent="0.3">
      <c r="S813" t="str">
        <f t="shared" si="39"/>
        <v/>
      </c>
      <c r="T813" t="str">
        <f t="shared" si="40"/>
        <v/>
      </c>
    </row>
    <row r="814" spans="19:20" ht="14.25" customHeight="1" x14ac:dyDescent="0.3">
      <c r="S814" t="str">
        <f t="shared" si="39"/>
        <v/>
      </c>
      <c r="T814" t="str">
        <f t="shared" si="40"/>
        <v/>
      </c>
    </row>
    <row r="815" spans="19:20" ht="14.25" customHeight="1" x14ac:dyDescent="0.3">
      <c r="S815" t="str">
        <f t="shared" si="39"/>
        <v/>
      </c>
      <c r="T815" t="str">
        <f t="shared" si="40"/>
        <v/>
      </c>
    </row>
    <row r="816" spans="19:20" ht="14.25" customHeight="1" x14ac:dyDescent="0.3">
      <c r="S816" t="str">
        <f t="shared" si="39"/>
        <v/>
      </c>
      <c r="T816" t="str">
        <f t="shared" si="40"/>
        <v/>
      </c>
    </row>
    <row r="817" spans="19:20" ht="14.25" customHeight="1" x14ac:dyDescent="0.3">
      <c r="S817" t="str">
        <f t="shared" si="39"/>
        <v/>
      </c>
      <c r="T817" t="str">
        <f t="shared" si="40"/>
        <v/>
      </c>
    </row>
    <row r="818" spans="19:20" ht="14.25" customHeight="1" x14ac:dyDescent="0.3">
      <c r="S818" t="str">
        <f t="shared" si="39"/>
        <v/>
      </c>
      <c r="T818" t="str">
        <f t="shared" si="40"/>
        <v/>
      </c>
    </row>
    <row r="819" spans="19:20" ht="14.25" customHeight="1" x14ac:dyDescent="0.3">
      <c r="S819" t="str">
        <f t="shared" si="39"/>
        <v/>
      </c>
      <c r="T819" t="str">
        <f t="shared" si="40"/>
        <v/>
      </c>
    </row>
    <row r="820" spans="19:20" ht="14.25" customHeight="1" x14ac:dyDescent="0.3">
      <c r="S820" t="str">
        <f t="shared" si="39"/>
        <v/>
      </c>
      <c r="T820" t="str">
        <f t="shared" si="40"/>
        <v/>
      </c>
    </row>
    <row r="821" spans="19:20" ht="14.25" customHeight="1" x14ac:dyDescent="0.3">
      <c r="S821" t="str">
        <f t="shared" si="39"/>
        <v/>
      </c>
      <c r="T821" t="str">
        <f t="shared" si="40"/>
        <v/>
      </c>
    </row>
    <row r="822" spans="19:20" ht="14.25" customHeight="1" x14ac:dyDescent="0.3">
      <c r="S822" t="str">
        <f t="shared" si="39"/>
        <v/>
      </c>
      <c r="T822" t="str">
        <f t="shared" si="40"/>
        <v/>
      </c>
    </row>
    <row r="823" spans="19:20" ht="14.25" customHeight="1" x14ac:dyDescent="0.3">
      <c r="S823" t="str">
        <f t="shared" si="39"/>
        <v/>
      </c>
      <c r="T823" t="str">
        <f t="shared" si="40"/>
        <v/>
      </c>
    </row>
    <row r="824" spans="19:20" ht="14.25" customHeight="1" x14ac:dyDescent="0.3">
      <c r="S824" t="str">
        <f t="shared" si="39"/>
        <v/>
      </c>
      <c r="T824" t="str">
        <f t="shared" si="40"/>
        <v/>
      </c>
    </row>
    <row r="825" spans="19:20" ht="14.25" customHeight="1" x14ac:dyDescent="0.3">
      <c r="S825" t="str">
        <f t="shared" si="39"/>
        <v/>
      </c>
      <c r="T825" t="str">
        <f t="shared" si="40"/>
        <v/>
      </c>
    </row>
    <row r="826" spans="19:20" ht="14.25" customHeight="1" x14ac:dyDescent="0.3">
      <c r="S826" t="str">
        <f t="shared" si="39"/>
        <v/>
      </c>
      <c r="T826" t="str">
        <f t="shared" si="40"/>
        <v/>
      </c>
    </row>
    <row r="827" spans="19:20" ht="14.25" customHeight="1" x14ac:dyDescent="0.3">
      <c r="S827" t="str">
        <f t="shared" si="39"/>
        <v/>
      </c>
      <c r="T827" t="str">
        <f t="shared" si="40"/>
        <v/>
      </c>
    </row>
    <row r="828" spans="19:20" ht="14.25" customHeight="1" x14ac:dyDescent="0.3">
      <c r="S828" t="str">
        <f t="shared" si="39"/>
        <v/>
      </c>
      <c r="T828" t="str">
        <f t="shared" si="40"/>
        <v/>
      </c>
    </row>
    <row r="829" spans="19:20" ht="14.25" customHeight="1" x14ac:dyDescent="0.3">
      <c r="S829" t="str">
        <f t="shared" si="39"/>
        <v/>
      </c>
      <c r="T829" t="str">
        <f t="shared" si="40"/>
        <v/>
      </c>
    </row>
    <row r="830" spans="19:20" ht="14.25" customHeight="1" x14ac:dyDescent="0.3">
      <c r="S830" t="str">
        <f t="shared" si="39"/>
        <v/>
      </c>
      <c r="T830" t="str">
        <f t="shared" si="40"/>
        <v/>
      </c>
    </row>
    <row r="831" spans="19:20" ht="14.25" customHeight="1" x14ac:dyDescent="0.3">
      <c r="S831" t="str">
        <f t="shared" si="39"/>
        <v/>
      </c>
      <c r="T831" t="str">
        <f t="shared" si="40"/>
        <v/>
      </c>
    </row>
    <row r="832" spans="19:20" ht="14.25" customHeight="1" x14ac:dyDescent="0.3">
      <c r="S832" t="str">
        <f t="shared" si="39"/>
        <v/>
      </c>
      <c r="T832" t="str">
        <f t="shared" si="40"/>
        <v/>
      </c>
    </row>
    <row r="833" spans="19:20" ht="14.25" customHeight="1" x14ac:dyDescent="0.3">
      <c r="S833" t="str">
        <f t="shared" si="39"/>
        <v/>
      </c>
      <c r="T833" t="str">
        <f t="shared" si="40"/>
        <v/>
      </c>
    </row>
    <row r="834" spans="19:20" ht="14.25" customHeight="1" x14ac:dyDescent="0.3">
      <c r="S834" t="str">
        <f t="shared" ref="S834:S897" si="41">IFERROR(INDEX(D_IDUNIQUE,MATCH(ROW()-1,D_RANG_SUIVI,0)),"")</f>
        <v/>
      </c>
      <c r="T834" t="str">
        <f t="shared" ref="T834:T897" si="42">IF($S834="","",UPPER(INDEX(D_NOM,MATCH($S834,D_ID,0)))&amp;" "&amp;INDEX(D_PRENOM,MATCH($S834,D_ID,0))&amp;" — "&amp;INDEX(D_NIVEAU_ACTUEL,MATCH($S834,D_ID,0)))</f>
        <v/>
      </c>
    </row>
    <row r="835" spans="19:20" ht="14.25" customHeight="1" x14ac:dyDescent="0.3">
      <c r="S835" t="str">
        <f t="shared" si="41"/>
        <v/>
      </c>
      <c r="T835" t="str">
        <f t="shared" si="42"/>
        <v/>
      </c>
    </row>
    <row r="836" spans="19:20" ht="14.25" customHeight="1" x14ac:dyDescent="0.3">
      <c r="S836" t="str">
        <f t="shared" si="41"/>
        <v/>
      </c>
      <c r="T836" t="str">
        <f t="shared" si="42"/>
        <v/>
      </c>
    </row>
    <row r="837" spans="19:20" ht="14.25" customHeight="1" x14ac:dyDescent="0.3">
      <c r="S837" t="str">
        <f t="shared" si="41"/>
        <v/>
      </c>
      <c r="T837" t="str">
        <f t="shared" si="42"/>
        <v/>
      </c>
    </row>
    <row r="838" spans="19:20" ht="14.25" customHeight="1" x14ac:dyDescent="0.3">
      <c r="S838" t="str">
        <f t="shared" si="41"/>
        <v/>
      </c>
      <c r="T838" t="str">
        <f t="shared" si="42"/>
        <v/>
      </c>
    </row>
    <row r="839" spans="19:20" ht="14.25" customHeight="1" x14ac:dyDescent="0.3">
      <c r="S839" t="str">
        <f t="shared" si="41"/>
        <v/>
      </c>
      <c r="T839" t="str">
        <f t="shared" si="42"/>
        <v/>
      </c>
    </row>
    <row r="840" spans="19:20" ht="14.25" customHeight="1" x14ac:dyDescent="0.3">
      <c r="S840" t="str">
        <f t="shared" si="41"/>
        <v/>
      </c>
      <c r="T840" t="str">
        <f t="shared" si="42"/>
        <v/>
      </c>
    </row>
    <row r="841" spans="19:20" ht="14.25" customHeight="1" x14ac:dyDescent="0.3">
      <c r="S841" t="str">
        <f t="shared" si="41"/>
        <v/>
      </c>
      <c r="T841" t="str">
        <f t="shared" si="42"/>
        <v/>
      </c>
    </row>
    <row r="842" spans="19:20" ht="14.25" customHeight="1" x14ac:dyDescent="0.3">
      <c r="S842" t="str">
        <f t="shared" si="41"/>
        <v/>
      </c>
      <c r="T842" t="str">
        <f t="shared" si="42"/>
        <v/>
      </c>
    </row>
    <row r="843" spans="19:20" ht="14.25" customHeight="1" x14ac:dyDescent="0.3">
      <c r="S843" t="str">
        <f t="shared" si="41"/>
        <v/>
      </c>
      <c r="T843" t="str">
        <f t="shared" si="42"/>
        <v/>
      </c>
    </row>
    <row r="844" spans="19:20" ht="14.25" customHeight="1" x14ac:dyDescent="0.3">
      <c r="S844" t="str">
        <f t="shared" si="41"/>
        <v/>
      </c>
      <c r="T844" t="str">
        <f t="shared" si="42"/>
        <v/>
      </c>
    </row>
    <row r="845" spans="19:20" ht="14.25" customHeight="1" x14ac:dyDescent="0.3">
      <c r="S845" t="str">
        <f t="shared" si="41"/>
        <v/>
      </c>
      <c r="T845" t="str">
        <f t="shared" si="42"/>
        <v/>
      </c>
    </row>
    <row r="846" spans="19:20" ht="14.25" customHeight="1" x14ac:dyDescent="0.3">
      <c r="S846" t="str">
        <f t="shared" si="41"/>
        <v/>
      </c>
      <c r="T846" t="str">
        <f t="shared" si="42"/>
        <v/>
      </c>
    </row>
    <row r="847" spans="19:20" ht="14.25" customHeight="1" x14ac:dyDescent="0.3">
      <c r="S847" t="str">
        <f t="shared" si="41"/>
        <v/>
      </c>
      <c r="T847" t="str">
        <f t="shared" si="42"/>
        <v/>
      </c>
    </row>
    <row r="848" spans="19:20" ht="14.25" customHeight="1" x14ac:dyDescent="0.3">
      <c r="S848" t="str">
        <f t="shared" si="41"/>
        <v/>
      </c>
      <c r="T848" t="str">
        <f t="shared" si="42"/>
        <v/>
      </c>
    </row>
    <row r="849" spans="19:20" ht="14.25" customHeight="1" x14ac:dyDescent="0.3">
      <c r="S849" t="str">
        <f t="shared" si="41"/>
        <v/>
      </c>
      <c r="T849" t="str">
        <f t="shared" si="42"/>
        <v/>
      </c>
    </row>
    <row r="850" spans="19:20" ht="14.25" customHeight="1" x14ac:dyDescent="0.3">
      <c r="S850" t="str">
        <f t="shared" si="41"/>
        <v/>
      </c>
      <c r="T850" t="str">
        <f t="shared" si="42"/>
        <v/>
      </c>
    </row>
    <row r="851" spans="19:20" ht="14.25" customHeight="1" x14ac:dyDescent="0.3">
      <c r="S851" t="str">
        <f t="shared" si="41"/>
        <v/>
      </c>
      <c r="T851" t="str">
        <f t="shared" si="42"/>
        <v/>
      </c>
    </row>
    <row r="852" spans="19:20" ht="14.25" customHeight="1" x14ac:dyDescent="0.3">
      <c r="S852" t="str">
        <f t="shared" si="41"/>
        <v/>
      </c>
      <c r="T852" t="str">
        <f t="shared" si="42"/>
        <v/>
      </c>
    </row>
    <row r="853" spans="19:20" ht="14.25" customHeight="1" x14ac:dyDescent="0.3">
      <c r="S853" t="str">
        <f t="shared" si="41"/>
        <v/>
      </c>
      <c r="T853" t="str">
        <f t="shared" si="42"/>
        <v/>
      </c>
    </row>
    <row r="854" spans="19:20" ht="14.25" customHeight="1" x14ac:dyDescent="0.3">
      <c r="S854" t="str">
        <f t="shared" si="41"/>
        <v/>
      </c>
      <c r="T854" t="str">
        <f t="shared" si="42"/>
        <v/>
      </c>
    </row>
    <row r="855" spans="19:20" ht="14.25" customHeight="1" x14ac:dyDescent="0.3">
      <c r="S855" t="str">
        <f t="shared" si="41"/>
        <v/>
      </c>
      <c r="T855" t="str">
        <f t="shared" si="42"/>
        <v/>
      </c>
    </row>
    <row r="856" spans="19:20" ht="14.25" customHeight="1" x14ac:dyDescent="0.3">
      <c r="S856" t="str">
        <f t="shared" si="41"/>
        <v/>
      </c>
      <c r="T856" t="str">
        <f t="shared" si="42"/>
        <v/>
      </c>
    </row>
    <row r="857" spans="19:20" ht="14.25" customHeight="1" x14ac:dyDescent="0.3">
      <c r="S857" t="str">
        <f t="shared" si="41"/>
        <v/>
      </c>
      <c r="T857" t="str">
        <f t="shared" si="42"/>
        <v/>
      </c>
    </row>
    <row r="858" spans="19:20" ht="14.25" customHeight="1" x14ac:dyDescent="0.3">
      <c r="S858" t="str">
        <f t="shared" si="41"/>
        <v/>
      </c>
      <c r="T858" t="str">
        <f t="shared" si="42"/>
        <v/>
      </c>
    </row>
    <row r="859" spans="19:20" ht="14.25" customHeight="1" x14ac:dyDescent="0.3">
      <c r="S859" t="str">
        <f t="shared" si="41"/>
        <v/>
      </c>
      <c r="T859" t="str">
        <f t="shared" si="42"/>
        <v/>
      </c>
    </row>
    <row r="860" spans="19:20" ht="14.25" customHeight="1" x14ac:dyDescent="0.3">
      <c r="S860" t="str">
        <f t="shared" si="41"/>
        <v/>
      </c>
      <c r="T860" t="str">
        <f t="shared" si="42"/>
        <v/>
      </c>
    </row>
    <row r="861" spans="19:20" ht="14.25" customHeight="1" x14ac:dyDescent="0.3">
      <c r="S861" t="str">
        <f t="shared" si="41"/>
        <v/>
      </c>
      <c r="T861" t="str">
        <f t="shared" si="42"/>
        <v/>
      </c>
    </row>
    <row r="862" spans="19:20" ht="14.25" customHeight="1" x14ac:dyDescent="0.3">
      <c r="S862" t="str">
        <f t="shared" si="41"/>
        <v/>
      </c>
      <c r="T862" t="str">
        <f t="shared" si="42"/>
        <v/>
      </c>
    </row>
    <row r="863" spans="19:20" ht="14.25" customHeight="1" x14ac:dyDescent="0.3">
      <c r="S863" t="str">
        <f t="shared" si="41"/>
        <v/>
      </c>
      <c r="T863" t="str">
        <f t="shared" si="42"/>
        <v/>
      </c>
    </row>
    <row r="864" spans="19:20" ht="14.25" customHeight="1" x14ac:dyDescent="0.3">
      <c r="S864" t="str">
        <f t="shared" si="41"/>
        <v/>
      </c>
      <c r="T864" t="str">
        <f t="shared" si="42"/>
        <v/>
      </c>
    </row>
    <row r="865" spans="19:20" ht="14.25" customHeight="1" x14ac:dyDescent="0.3">
      <c r="S865" t="str">
        <f t="shared" si="41"/>
        <v/>
      </c>
      <c r="T865" t="str">
        <f t="shared" si="42"/>
        <v/>
      </c>
    </row>
    <row r="866" spans="19:20" ht="14.25" customHeight="1" x14ac:dyDescent="0.3">
      <c r="S866" t="str">
        <f t="shared" si="41"/>
        <v/>
      </c>
      <c r="T866" t="str">
        <f t="shared" si="42"/>
        <v/>
      </c>
    </row>
    <row r="867" spans="19:20" ht="14.25" customHeight="1" x14ac:dyDescent="0.3">
      <c r="S867" t="str">
        <f t="shared" si="41"/>
        <v/>
      </c>
      <c r="T867" t="str">
        <f t="shared" si="42"/>
        <v/>
      </c>
    </row>
    <row r="868" spans="19:20" ht="14.25" customHeight="1" x14ac:dyDescent="0.3">
      <c r="S868" t="str">
        <f t="shared" si="41"/>
        <v/>
      </c>
      <c r="T868" t="str">
        <f t="shared" si="42"/>
        <v/>
      </c>
    </row>
    <row r="869" spans="19:20" ht="14.25" customHeight="1" x14ac:dyDescent="0.3">
      <c r="S869" t="str">
        <f t="shared" si="41"/>
        <v/>
      </c>
      <c r="T869" t="str">
        <f t="shared" si="42"/>
        <v/>
      </c>
    </row>
    <row r="870" spans="19:20" ht="14.25" customHeight="1" x14ac:dyDescent="0.3">
      <c r="S870" t="str">
        <f t="shared" si="41"/>
        <v/>
      </c>
      <c r="T870" t="str">
        <f t="shared" si="42"/>
        <v/>
      </c>
    </row>
    <row r="871" spans="19:20" ht="14.25" customHeight="1" x14ac:dyDescent="0.3">
      <c r="S871" t="str">
        <f t="shared" si="41"/>
        <v/>
      </c>
      <c r="T871" t="str">
        <f t="shared" si="42"/>
        <v/>
      </c>
    </row>
    <row r="872" spans="19:20" ht="14.25" customHeight="1" x14ac:dyDescent="0.3">
      <c r="S872" t="str">
        <f t="shared" si="41"/>
        <v/>
      </c>
      <c r="T872" t="str">
        <f t="shared" si="42"/>
        <v/>
      </c>
    </row>
    <row r="873" spans="19:20" ht="14.25" customHeight="1" x14ac:dyDescent="0.3">
      <c r="S873" t="str">
        <f t="shared" si="41"/>
        <v/>
      </c>
      <c r="T873" t="str">
        <f t="shared" si="42"/>
        <v/>
      </c>
    </row>
    <row r="874" spans="19:20" ht="14.25" customHeight="1" x14ac:dyDescent="0.3">
      <c r="S874" t="str">
        <f t="shared" si="41"/>
        <v/>
      </c>
      <c r="T874" t="str">
        <f t="shared" si="42"/>
        <v/>
      </c>
    </row>
    <row r="875" spans="19:20" ht="14.25" customHeight="1" x14ac:dyDescent="0.3">
      <c r="S875" t="str">
        <f t="shared" si="41"/>
        <v/>
      </c>
      <c r="T875" t="str">
        <f t="shared" si="42"/>
        <v/>
      </c>
    </row>
    <row r="876" spans="19:20" ht="14.25" customHeight="1" x14ac:dyDescent="0.3">
      <c r="S876" t="str">
        <f t="shared" si="41"/>
        <v/>
      </c>
      <c r="T876" t="str">
        <f t="shared" si="42"/>
        <v/>
      </c>
    </row>
    <row r="877" spans="19:20" ht="14.25" customHeight="1" x14ac:dyDescent="0.3">
      <c r="S877" t="str">
        <f t="shared" si="41"/>
        <v/>
      </c>
      <c r="T877" t="str">
        <f t="shared" si="42"/>
        <v/>
      </c>
    </row>
    <row r="878" spans="19:20" ht="14.25" customHeight="1" x14ac:dyDescent="0.3">
      <c r="S878" t="str">
        <f t="shared" si="41"/>
        <v/>
      </c>
      <c r="T878" t="str">
        <f t="shared" si="42"/>
        <v/>
      </c>
    </row>
    <row r="879" spans="19:20" ht="14.25" customHeight="1" x14ac:dyDescent="0.3">
      <c r="S879" t="str">
        <f t="shared" si="41"/>
        <v/>
      </c>
      <c r="T879" t="str">
        <f t="shared" si="42"/>
        <v/>
      </c>
    </row>
    <row r="880" spans="19:20" ht="14.25" customHeight="1" x14ac:dyDescent="0.3">
      <c r="S880" t="str">
        <f t="shared" si="41"/>
        <v/>
      </c>
      <c r="T880" t="str">
        <f t="shared" si="42"/>
        <v/>
      </c>
    </row>
    <row r="881" spans="19:20" ht="14.25" customHeight="1" x14ac:dyDescent="0.3">
      <c r="S881" t="str">
        <f t="shared" si="41"/>
        <v/>
      </c>
      <c r="T881" t="str">
        <f t="shared" si="42"/>
        <v/>
      </c>
    </row>
    <row r="882" spans="19:20" ht="14.25" customHeight="1" x14ac:dyDescent="0.3">
      <c r="S882" t="str">
        <f t="shared" si="41"/>
        <v/>
      </c>
      <c r="T882" t="str">
        <f t="shared" si="42"/>
        <v/>
      </c>
    </row>
    <row r="883" spans="19:20" ht="14.25" customHeight="1" x14ac:dyDescent="0.3">
      <c r="S883" t="str">
        <f t="shared" si="41"/>
        <v/>
      </c>
      <c r="T883" t="str">
        <f t="shared" si="42"/>
        <v/>
      </c>
    </row>
    <row r="884" spans="19:20" ht="14.25" customHeight="1" x14ac:dyDescent="0.3">
      <c r="S884" t="str">
        <f t="shared" si="41"/>
        <v/>
      </c>
      <c r="T884" t="str">
        <f t="shared" si="42"/>
        <v/>
      </c>
    </row>
    <row r="885" spans="19:20" ht="14.25" customHeight="1" x14ac:dyDescent="0.3">
      <c r="S885" t="str">
        <f t="shared" si="41"/>
        <v/>
      </c>
      <c r="T885" t="str">
        <f t="shared" si="42"/>
        <v/>
      </c>
    </row>
    <row r="886" spans="19:20" ht="14.25" customHeight="1" x14ac:dyDescent="0.3">
      <c r="S886" t="str">
        <f t="shared" si="41"/>
        <v/>
      </c>
      <c r="T886" t="str">
        <f t="shared" si="42"/>
        <v/>
      </c>
    </row>
    <row r="887" spans="19:20" ht="14.25" customHeight="1" x14ac:dyDescent="0.3">
      <c r="S887" t="str">
        <f t="shared" si="41"/>
        <v/>
      </c>
      <c r="T887" t="str">
        <f t="shared" si="42"/>
        <v/>
      </c>
    </row>
    <row r="888" spans="19:20" ht="14.25" customHeight="1" x14ac:dyDescent="0.3">
      <c r="S888" t="str">
        <f t="shared" si="41"/>
        <v/>
      </c>
      <c r="T888" t="str">
        <f t="shared" si="42"/>
        <v/>
      </c>
    </row>
    <row r="889" spans="19:20" ht="14.25" customHeight="1" x14ac:dyDescent="0.3">
      <c r="S889" t="str">
        <f t="shared" si="41"/>
        <v/>
      </c>
      <c r="T889" t="str">
        <f t="shared" si="42"/>
        <v/>
      </c>
    </row>
    <row r="890" spans="19:20" ht="14.25" customHeight="1" x14ac:dyDescent="0.3">
      <c r="S890" t="str">
        <f t="shared" si="41"/>
        <v/>
      </c>
      <c r="T890" t="str">
        <f t="shared" si="42"/>
        <v/>
      </c>
    </row>
    <row r="891" spans="19:20" ht="14.25" customHeight="1" x14ac:dyDescent="0.3">
      <c r="S891" t="str">
        <f t="shared" si="41"/>
        <v/>
      </c>
      <c r="T891" t="str">
        <f t="shared" si="42"/>
        <v/>
      </c>
    </row>
    <row r="892" spans="19:20" ht="14.25" customHeight="1" x14ac:dyDescent="0.3">
      <c r="S892" t="str">
        <f t="shared" si="41"/>
        <v/>
      </c>
      <c r="T892" t="str">
        <f t="shared" si="42"/>
        <v/>
      </c>
    </row>
    <row r="893" spans="19:20" ht="14.25" customHeight="1" x14ac:dyDescent="0.3">
      <c r="S893" t="str">
        <f t="shared" si="41"/>
        <v/>
      </c>
      <c r="T893" t="str">
        <f t="shared" si="42"/>
        <v/>
      </c>
    </row>
    <row r="894" spans="19:20" ht="14.25" customHeight="1" x14ac:dyDescent="0.3">
      <c r="S894" t="str">
        <f t="shared" si="41"/>
        <v/>
      </c>
      <c r="T894" t="str">
        <f t="shared" si="42"/>
        <v/>
      </c>
    </row>
    <row r="895" spans="19:20" ht="14.25" customHeight="1" x14ac:dyDescent="0.3">
      <c r="S895" t="str">
        <f t="shared" si="41"/>
        <v/>
      </c>
      <c r="T895" t="str">
        <f t="shared" si="42"/>
        <v/>
      </c>
    </row>
    <row r="896" spans="19:20" ht="14.25" customHeight="1" x14ac:dyDescent="0.3">
      <c r="S896" t="str">
        <f t="shared" si="41"/>
        <v/>
      </c>
      <c r="T896" t="str">
        <f t="shared" si="42"/>
        <v/>
      </c>
    </row>
    <row r="897" spans="19:20" ht="14.25" customHeight="1" x14ac:dyDescent="0.3">
      <c r="S897" t="str">
        <f t="shared" si="41"/>
        <v/>
      </c>
      <c r="T897" t="str">
        <f t="shared" si="42"/>
        <v/>
      </c>
    </row>
    <row r="898" spans="19:20" ht="14.25" customHeight="1" x14ac:dyDescent="0.3">
      <c r="S898" t="str">
        <f t="shared" ref="S898:S961" si="43">IFERROR(INDEX(D_IDUNIQUE,MATCH(ROW()-1,D_RANG_SUIVI,0)),"")</f>
        <v/>
      </c>
      <c r="T898" t="str">
        <f t="shared" ref="T898:T961" si="44">IF($S898="","",UPPER(INDEX(D_NOM,MATCH($S898,D_ID,0)))&amp;" "&amp;INDEX(D_PRENOM,MATCH($S898,D_ID,0))&amp;" — "&amp;INDEX(D_NIVEAU_ACTUEL,MATCH($S898,D_ID,0)))</f>
        <v/>
      </c>
    </row>
    <row r="899" spans="19:20" ht="14.25" customHeight="1" x14ac:dyDescent="0.3">
      <c r="S899" t="str">
        <f t="shared" si="43"/>
        <v/>
      </c>
      <c r="T899" t="str">
        <f t="shared" si="44"/>
        <v/>
      </c>
    </row>
    <row r="900" spans="19:20" ht="14.25" customHeight="1" x14ac:dyDescent="0.3">
      <c r="S900" t="str">
        <f t="shared" si="43"/>
        <v/>
      </c>
      <c r="T900" t="str">
        <f t="shared" si="44"/>
        <v/>
      </c>
    </row>
    <row r="901" spans="19:20" ht="14.25" customHeight="1" x14ac:dyDescent="0.3">
      <c r="S901" t="str">
        <f t="shared" si="43"/>
        <v/>
      </c>
      <c r="T901" t="str">
        <f t="shared" si="44"/>
        <v/>
      </c>
    </row>
    <row r="902" spans="19:20" ht="14.25" customHeight="1" x14ac:dyDescent="0.3">
      <c r="S902" t="str">
        <f t="shared" si="43"/>
        <v/>
      </c>
      <c r="T902" t="str">
        <f t="shared" si="44"/>
        <v/>
      </c>
    </row>
    <row r="903" spans="19:20" ht="14.25" customHeight="1" x14ac:dyDescent="0.3">
      <c r="S903" t="str">
        <f t="shared" si="43"/>
        <v/>
      </c>
      <c r="T903" t="str">
        <f t="shared" si="44"/>
        <v/>
      </c>
    </row>
    <row r="904" spans="19:20" ht="14.25" customHeight="1" x14ac:dyDescent="0.3">
      <c r="S904" t="str">
        <f t="shared" si="43"/>
        <v/>
      </c>
      <c r="T904" t="str">
        <f t="shared" si="44"/>
        <v/>
      </c>
    </row>
    <row r="905" spans="19:20" ht="14.25" customHeight="1" x14ac:dyDescent="0.3">
      <c r="S905" t="str">
        <f t="shared" si="43"/>
        <v/>
      </c>
      <c r="T905" t="str">
        <f t="shared" si="44"/>
        <v/>
      </c>
    </row>
    <row r="906" spans="19:20" ht="14.25" customHeight="1" x14ac:dyDescent="0.3">
      <c r="S906" t="str">
        <f t="shared" si="43"/>
        <v/>
      </c>
      <c r="T906" t="str">
        <f t="shared" si="44"/>
        <v/>
      </c>
    </row>
    <row r="907" spans="19:20" ht="14.25" customHeight="1" x14ac:dyDescent="0.3">
      <c r="S907" t="str">
        <f t="shared" si="43"/>
        <v/>
      </c>
      <c r="T907" t="str">
        <f t="shared" si="44"/>
        <v/>
      </c>
    </row>
    <row r="908" spans="19:20" ht="14.25" customHeight="1" x14ac:dyDescent="0.3">
      <c r="S908" t="str">
        <f t="shared" si="43"/>
        <v/>
      </c>
      <c r="T908" t="str">
        <f t="shared" si="44"/>
        <v/>
      </c>
    </row>
    <row r="909" spans="19:20" ht="14.25" customHeight="1" x14ac:dyDescent="0.3">
      <c r="S909" t="str">
        <f t="shared" si="43"/>
        <v/>
      </c>
      <c r="T909" t="str">
        <f t="shared" si="44"/>
        <v/>
      </c>
    </row>
    <row r="910" spans="19:20" ht="14.25" customHeight="1" x14ac:dyDescent="0.3">
      <c r="S910" t="str">
        <f t="shared" si="43"/>
        <v/>
      </c>
      <c r="T910" t="str">
        <f t="shared" si="44"/>
        <v/>
      </c>
    </row>
    <row r="911" spans="19:20" ht="14.25" customHeight="1" x14ac:dyDescent="0.3">
      <c r="S911" t="str">
        <f t="shared" si="43"/>
        <v/>
      </c>
      <c r="T911" t="str">
        <f t="shared" si="44"/>
        <v/>
      </c>
    </row>
    <row r="912" spans="19:20" ht="14.25" customHeight="1" x14ac:dyDescent="0.3">
      <c r="S912" t="str">
        <f t="shared" si="43"/>
        <v/>
      </c>
      <c r="T912" t="str">
        <f t="shared" si="44"/>
        <v/>
      </c>
    </row>
    <row r="913" spans="19:20" ht="14.25" customHeight="1" x14ac:dyDescent="0.3">
      <c r="S913" t="str">
        <f t="shared" si="43"/>
        <v/>
      </c>
      <c r="T913" t="str">
        <f t="shared" si="44"/>
        <v/>
      </c>
    </row>
    <row r="914" spans="19:20" ht="14.25" customHeight="1" x14ac:dyDescent="0.3">
      <c r="S914" t="str">
        <f t="shared" si="43"/>
        <v/>
      </c>
      <c r="T914" t="str">
        <f t="shared" si="44"/>
        <v/>
      </c>
    </row>
    <row r="915" spans="19:20" ht="14.25" customHeight="1" x14ac:dyDescent="0.3">
      <c r="S915" t="str">
        <f t="shared" si="43"/>
        <v/>
      </c>
      <c r="T915" t="str">
        <f t="shared" si="44"/>
        <v/>
      </c>
    </row>
    <row r="916" spans="19:20" ht="14.25" customHeight="1" x14ac:dyDescent="0.3">
      <c r="S916" t="str">
        <f t="shared" si="43"/>
        <v/>
      </c>
      <c r="T916" t="str">
        <f t="shared" si="44"/>
        <v/>
      </c>
    </row>
    <row r="917" spans="19:20" ht="14.25" customHeight="1" x14ac:dyDescent="0.3">
      <c r="S917" t="str">
        <f t="shared" si="43"/>
        <v/>
      </c>
      <c r="T917" t="str">
        <f t="shared" si="44"/>
        <v/>
      </c>
    </row>
    <row r="918" spans="19:20" ht="14.25" customHeight="1" x14ac:dyDescent="0.3">
      <c r="S918" t="str">
        <f t="shared" si="43"/>
        <v/>
      </c>
      <c r="T918" t="str">
        <f t="shared" si="44"/>
        <v/>
      </c>
    </row>
    <row r="919" spans="19:20" ht="14.25" customHeight="1" x14ac:dyDescent="0.3">
      <c r="S919" t="str">
        <f t="shared" si="43"/>
        <v/>
      </c>
      <c r="T919" t="str">
        <f t="shared" si="44"/>
        <v/>
      </c>
    </row>
    <row r="920" spans="19:20" ht="14.25" customHeight="1" x14ac:dyDescent="0.3">
      <c r="S920" t="str">
        <f t="shared" si="43"/>
        <v/>
      </c>
      <c r="T920" t="str">
        <f t="shared" si="44"/>
        <v/>
      </c>
    </row>
    <row r="921" spans="19:20" ht="14.25" customHeight="1" x14ac:dyDescent="0.3">
      <c r="S921" t="str">
        <f t="shared" si="43"/>
        <v/>
      </c>
      <c r="T921" t="str">
        <f t="shared" si="44"/>
        <v/>
      </c>
    </row>
    <row r="922" spans="19:20" ht="14.25" customHeight="1" x14ac:dyDescent="0.3">
      <c r="S922" t="str">
        <f t="shared" si="43"/>
        <v/>
      </c>
      <c r="T922" t="str">
        <f t="shared" si="44"/>
        <v/>
      </c>
    </row>
    <row r="923" spans="19:20" ht="14.25" customHeight="1" x14ac:dyDescent="0.3">
      <c r="S923" t="str">
        <f t="shared" si="43"/>
        <v/>
      </c>
      <c r="T923" t="str">
        <f t="shared" si="44"/>
        <v/>
      </c>
    </row>
    <row r="924" spans="19:20" ht="14.25" customHeight="1" x14ac:dyDescent="0.3">
      <c r="S924" t="str">
        <f t="shared" si="43"/>
        <v/>
      </c>
      <c r="T924" t="str">
        <f t="shared" si="44"/>
        <v/>
      </c>
    </row>
    <row r="925" spans="19:20" ht="14.25" customHeight="1" x14ac:dyDescent="0.3">
      <c r="S925" t="str">
        <f t="shared" si="43"/>
        <v/>
      </c>
      <c r="T925" t="str">
        <f t="shared" si="44"/>
        <v/>
      </c>
    </row>
    <row r="926" spans="19:20" ht="14.25" customHeight="1" x14ac:dyDescent="0.3">
      <c r="S926" t="str">
        <f t="shared" si="43"/>
        <v/>
      </c>
      <c r="T926" t="str">
        <f t="shared" si="44"/>
        <v/>
      </c>
    </row>
    <row r="927" spans="19:20" ht="14.25" customHeight="1" x14ac:dyDescent="0.3">
      <c r="S927" t="str">
        <f t="shared" si="43"/>
        <v/>
      </c>
      <c r="T927" t="str">
        <f t="shared" si="44"/>
        <v/>
      </c>
    </row>
    <row r="928" spans="19:20" ht="14.25" customHeight="1" x14ac:dyDescent="0.3">
      <c r="S928" t="str">
        <f t="shared" si="43"/>
        <v/>
      </c>
      <c r="T928" t="str">
        <f t="shared" si="44"/>
        <v/>
      </c>
    </row>
    <row r="929" spans="19:20" ht="14.25" customHeight="1" x14ac:dyDescent="0.3">
      <c r="S929" t="str">
        <f t="shared" si="43"/>
        <v/>
      </c>
      <c r="T929" t="str">
        <f t="shared" si="44"/>
        <v/>
      </c>
    </row>
    <row r="930" spans="19:20" ht="14.25" customHeight="1" x14ac:dyDescent="0.3">
      <c r="S930" t="str">
        <f t="shared" si="43"/>
        <v/>
      </c>
      <c r="T930" t="str">
        <f t="shared" si="44"/>
        <v/>
      </c>
    </row>
    <row r="931" spans="19:20" ht="14.25" customHeight="1" x14ac:dyDescent="0.3">
      <c r="S931" t="str">
        <f t="shared" si="43"/>
        <v/>
      </c>
      <c r="T931" t="str">
        <f t="shared" si="44"/>
        <v/>
      </c>
    </row>
    <row r="932" spans="19:20" ht="14.25" customHeight="1" x14ac:dyDescent="0.3">
      <c r="S932" t="str">
        <f t="shared" si="43"/>
        <v/>
      </c>
      <c r="T932" t="str">
        <f t="shared" si="44"/>
        <v/>
      </c>
    </row>
    <row r="933" spans="19:20" ht="14.25" customHeight="1" x14ac:dyDescent="0.3">
      <c r="S933" t="str">
        <f t="shared" si="43"/>
        <v/>
      </c>
      <c r="T933" t="str">
        <f t="shared" si="44"/>
        <v/>
      </c>
    </row>
    <row r="934" spans="19:20" ht="14.25" customHeight="1" x14ac:dyDescent="0.3">
      <c r="S934" t="str">
        <f t="shared" si="43"/>
        <v/>
      </c>
      <c r="T934" t="str">
        <f t="shared" si="44"/>
        <v/>
      </c>
    </row>
    <row r="935" spans="19:20" ht="14.25" customHeight="1" x14ac:dyDescent="0.3">
      <c r="S935" t="str">
        <f t="shared" si="43"/>
        <v/>
      </c>
      <c r="T935" t="str">
        <f t="shared" si="44"/>
        <v/>
      </c>
    </row>
    <row r="936" spans="19:20" ht="14.25" customHeight="1" x14ac:dyDescent="0.3">
      <c r="S936" t="str">
        <f t="shared" si="43"/>
        <v/>
      </c>
      <c r="T936" t="str">
        <f t="shared" si="44"/>
        <v/>
      </c>
    </row>
    <row r="937" spans="19:20" ht="14.25" customHeight="1" x14ac:dyDescent="0.3">
      <c r="S937" t="str">
        <f t="shared" si="43"/>
        <v/>
      </c>
      <c r="T937" t="str">
        <f t="shared" si="44"/>
        <v/>
      </c>
    </row>
    <row r="938" spans="19:20" ht="14.25" customHeight="1" x14ac:dyDescent="0.3">
      <c r="S938" t="str">
        <f t="shared" si="43"/>
        <v/>
      </c>
      <c r="T938" t="str">
        <f t="shared" si="44"/>
        <v/>
      </c>
    </row>
    <row r="939" spans="19:20" ht="14.25" customHeight="1" x14ac:dyDescent="0.3">
      <c r="S939" t="str">
        <f t="shared" si="43"/>
        <v/>
      </c>
      <c r="T939" t="str">
        <f t="shared" si="44"/>
        <v/>
      </c>
    </row>
    <row r="940" spans="19:20" ht="14.25" customHeight="1" x14ac:dyDescent="0.3">
      <c r="S940" t="str">
        <f t="shared" si="43"/>
        <v/>
      </c>
      <c r="T940" t="str">
        <f t="shared" si="44"/>
        <v/>
      </c>
    </row>
    <row r="941" spans="19:20" ht="14.25" customHeight="1" x14ac:dyDescent="0.3">
      <c r="S941" t="str">
        <f t="shared" si="43"/>
        <v/>
      </c>
      <c r="T941" t="str">
        <f t="shared" si="44"/>
        <v/>
      </c>
    </row>
    <row r="942" spans="19:20" ht="14.25" customHeight="1" x14ac:dyDescent="0.3">
      <c r="S942" t="str">
        <f t="shared" si="43"/>
        <v/>
      </c>
      <c r="T942" t="str">
        <f t="shared" si="44"/>
        <v/>
      </c>
    </row>
    <row r="943" spans="19:20" ht="14.25" customHeight="1" x14ac:dyDescent="0.3">
      <c r="S943" t="str">
        <f t="shared" si="43"/>
        <v/>
      </c>
      <c r="T943" t="str">
        <f t="shared" si="44"/>
        <v/>
      </c>
    </row>
    <row r="944" spans="19:20" ht="14.25" customHeight="1" x14ac:dyDescent="0.3">
      <c r="S944" t="str">
        <f t="shared" si="43"/>
        <v/>
      </c>
      <c r="T944" t="str">
        <f t="shared" si="44"/>
        <v/>
      </c>
    </row>
    <row r="945" spans="19:20" ht="14.25" customHeight="1" x14ac:dyDescent="0.3">
      <c r="S945" t="str">
        <f t="shared" si="43"/>
        <v/>
      </c>
      <c r="T945" t="str">
        <f t="shared" si="44"/>
        <v/>
      </c>
    </row>
    <row r="946" spans="19:20" ht="14.25" customHeight="1" x14ac:dyDescent="0.3">
      <c r="S946" t="str">
        <f t="shared" si="43"/>
        <v/>
      </c>
      <c r="T946" t="str">
        <f t="shared" si="44"/>
        <v/>
      </c>
    </row>
    <row r="947" spans="19:20" ht="14.25" customHeight="1" x14ac:dyDescent="0.3">
      <c r="S947" t="str">
        <f t="shared" si="43"/>
        <v/>
      </c>
      <c r="T947" t="str">
        <f t="shared" si="44"/>
        <v/>
      </c>
    </row>
    <row r="948" spans="19:20" ht="14.25" customHeight="1" x14ac:dyDescent="0.3">
      <c r="S948" t="str">
        <f t="shared" si="43"/>
        <v/>
      </c>
      <c r="T948" t="str">
        <f t="shared" si="44"/>
        <v/>
      </c>
    </row>
    <row r="949" spans="19:20" ht="14.25" customHeight="1" x14ac:dyDescent="0.3">
      <c r="S949" t="str">
        <f t="shared" si="43"/>
        <v/>
      </c>
      <c r="T949" t="str">
        <f t="shared" si="44"/>
        <v/>
      </c>
    </row>
    <row r="950" spans="19:20" ht="14.25" customHeight="1" x14ac:dyDescent="0.3">
      <c r="S950" t="str">
        <f t="shared" si="43"/>
        <v/>
      </c>
      <c r="T950" t="str">
        <f t="shared" si="44"/>
        <v/>
      </c>
    </row>
    <row r="951" spans="19:20" ht="14.25" customHeight="1" x14ac:dyDescent="0.3">
      <c r="S951" t="str">
        <f t="shared" si="43"/>
        <v/>
      </c>
      <c r="T951" t="str">
        <f t="shared" si="44"/>
        <v/>
      </c>
    </row>
    <row r="952" spans="19:20" ht="14.25" customHeight="1" x14ac:dyDescent="0.3">
      <c r="S952" t="str">
        <f t="shared" si="43"/>
        <v/>
      </c>
      <c r="T952" t="str">
        <f t="shared" si="44"/>
        <v/>
      </c>
    </row>
    <row r="953" spans="19:20" ht="14.25" customHeight="1" x14ac:dyDescent="0.3">
      <c r="S953" t="str">
        <f t="shared" si="43"/>
        <v/>
      </c>
      <c r="T953" t="str">
        <f t="shared" si="44"/>
        <v/>
      </c>
    </row>
    <row r="954" spans="19:20" ht="14.25" customHeight="1" x14ac:dyDescent="0.3">
      <c r="S954" t="str">
        <f t="shared" si="43"/>
        <v/>
      </c>
      <c r="T954" t="str">
        <f t="shared" si="44"/>
        <v/>
      </c>
    </row>
    <row r="955" spans="19:20" ht="14.25" customHeight="1" x14ac:dyDescent="0.3">
      <c r="S955" t="str">
        <f t="shared" si="43"/>
        <v/>
      </c>
      <c r="T955" t="str">
        <f t="shared" si="44"/>
        <v/>
      </c>
    </row>
    <row r="956" spans="19:20" ht="14.25" customHeight="1" x14ac:dyDescent="0.3">
      <c r="S956" t="str">
        <f t="shared" si="43"/>
        <v/>
      </c>
      <c r="T956" t="str">
        <f t="shared" si="44"/>
        <v/>
      </c>
    </row>
    <row r="957" spans="19:20" ht="14.25" customHeight="1" x14ac:dyDescent="0.3">
      <c r="S957" t="str">
        <f t="shared" si="43"/>
        <v/>
      </c>
      <c r="T957" t="str">
        <f t="shared" si="44"/>
        <v/>
      </c>
    </row>
    <row r="958" spans="19:20" ht="14.25" customHeight="1" x14ac:dyDescent="0.3">
      <c r="S958" t="str">
        <f t="shared" si="43"/>
        <v/>
      </c>
      <c r="T958" t="str">
        <f t="shared" si="44"/>
        <v/>
      </c>
    </row>
    <row r="959" spans="19:20" ht="14.25" customHeight="1" x14ac:dyDescent="0.3">
      <c r="S959" t="str">
        <f t="shared" si="43"/>
        <v/>
      </c>
      <c r="T959" t="str">
        <f t="shared" si="44"/>
        <v/>
      </c>
    </row>
    <row r="960" spans="19:20" ht="14.25" customHeight="1" x14ac:dyDescent="0.3">
      <c r="S960" t="str">
        <f t="shared" si="43"/>
        <v/>
      </c>
      <c r="T960" t="str">
        <f t="shared" si="44"/>
        <v/>
      </c>
    </row>
    <row r="961" spans="19:20" ht="14.25" customHeight="1" x14ac:dyDescent="0.3">
      <c r="S961" t="str">
        <f t="shared" si="43"/>
        <v/>
      </c>
      <c r="T961" t="str">
        <f t="shared" si="44"/>
        <v/>
      </c>
    </row>
    <row r="962" spans="19:20" ht="14.25" customHeight="1" x14ac:dyDescent="0.3">
      <c r="S962" t="str">
        <f t="shared" ref="S962:S1025" si="45">IFERROR(INDEX(D_IDUNIQUE,MATCH(ROW()-1,D_RANG_SUIVI,0)),"")</f>
        <v/>
      </c>
      <c r="T962" t="str">
        <f t="shared" ref="T962:T1025" si="46">IF($S962="","",UPPER(INDEX(D_NOM,MATCH($S962,D_ID,0)))&amp;" "&amp;INDEX(D_PRENOM,MATCH($S962,D_ID,0))&amp;" — "&amp;INDEX(D_NIVEAU_ACTUEL,MATCH($S962,D_ID,0)))</f>
        <v/>
      </c>
    </row>
    <row r="963" spans="19:20" ht="14.25" customHeight="1" x14ac:dyDescent="0.3">
      <c r="S963" t="str">
        <f t="shared" si="45"/>
        <v/>
      </c>
      <c r="T963" t="str">
        <f t="shared" si="46"/>
        <v/>
      </c>
    </row>
    <row r="964" spans="19:20" ht="14.25" customHeight="1" x14ac:dyDescent="0.3">
      <c r="S964" t="str">
        <f t="shared" si="45"/>
        <v/>
      </c>
      <c r="T964" t="str">
        <f t="shared" si="46"/>
        <v/>
      </c>
    </row>
    <row r="965" spans="19:20" ht="14.25" customHeight="1" x14ac:dyDescent="0.3">
      <c r="S965" t="str">
        <f t="shared" si="45"/>
        <v/>
      </c>
      <c r="T965" t="str">
        <f t="shared" si="46"/>
        <v/>
      </c>
    </row>
    <row r="966" spans="19:20" ht="14.25" customHeight="1" x14ac:dyDescent="0.3">
      <c r="S966" t="str">
        <f t="shared" si="45"/>
        <v/>
      </c>
      <c r="T966" t="str">
        <f t="shared" si="46"/>
        <v/>
      </c>
    </row>
    <row r="967" spans="19:20" ht="14.25" customHeight="1" x14ac:dyDescent="0.3">
      <c r="S967" t="str">
        <f t="shared" si="45"/>
        <v/>
      </c>
      <c r="T967" t="str">
        <f t="shared" si="46"/>
        <v/>
      </c>
    </row>
    <row r="968" spans="19:20" ht="14.25" customHeight="1" x14ac:dyDescent="0.3">
      <c r="S968" t="str">
        <f t="shared" si="45"/>
        <v/>
      </c>
      <c r="T968" t="str">
        <f t="shared" si="46"/>
        <v/>
      </c>
    </row>
    <row r="969" spans="19:20" ht="14.25" customHeight="1" x14ac:dyDescent="0.3">
      <c r="S969" t="str">
        <f t="shared" si="45"/>
        <v/>
      </c>
      <c r="T969" t="str">
        <f t="shared" si="46"/>
        <v/>
      </c>
    </row>
    <row r="970" spans="19:20" ht="14.25" customHeight="1" x14ac:dyDescent="0.3">
      <c r="S970" t="str">
        <f t="shared" si="45"/>
        <v/>
      </c>
      <c r="T970" t="str">
        <f t="shared" si="46"/>
        <v/>
      </c>
    </row>
    <row r="971" spans="19:20" ht="14.25" customHeight="1" x14ac:dyDescent="0.3">
      <c r="S971" t="str">
        <f t="shared" si="45"/>
        <v/>
      </c>
      <c r="T971" t="str">
        <f t="shared" si="46"/>
        <v/>
      </c>
    </row>
    <row r="972" spans="19:20" ht="14.25" customHeight="1" x14ac:dyDescent="0.3">
      <c r="S972" t="str">
        <f t="shared" si="45"/>
        <v/>
      </c>
      <c r="T972" t="str">
        <f t="shared" si="46"/>
        <v/>
      </c>
    </row>
    <row r="973" spans="19:20" ht="14.25" customHeight="1" x14ac:dyDescent="0.3">
      <c r="S973" t="str">
        <f t="shared" si="45"/>
        <v/>
      </c>
      <c r="T973" t="str">
        <f t="shared" si="46"/>
        <v/>
      </c>
    </row>
    <row r="974" spans="19:20" ht="14.25" customHeight="1" x14ac:dyDescent="0.3">
      <c r="S974" t="str">
        <f t="shared" si="45"/>
        <v/>
      </c>
      <c r="T974" t="str">
        <f t="shared" si="46"/>
        <v/>
      </c>
    </row>
    <row r="975" spans="19:20" ht="14.25" customHeight="1" x14ac:dyDescent="0.3">
      <c r="S975" t="str">
        <f t="shared" si="45"/>
        <v/>
      </c>
      <c r="T975" t="str">
        <f t="shared" si="46"/>
        <v/>
      </c>
    </row>
    <row r="976" spans="19:20" ht="14.25" customHeight="1" x14ac:dyDescent="0.3">
      <c r="S976" t="str">
        <f t="shared" si="45"/>
        <v/>
      </c>
      <c r="T976" t="str">
        <f t="shared" si="46"/>
        <v/>
      </c>
    </row>
    <row r="977" spans="19:20" ht="14.25" customHeight="1" x14ac:dyDescent="0.3">
      <c r="S977" t="str">
        <f t="shared" si="45"/>
        <v/>
      </c>
      <c r="T977" t="str">
        <f t="shared" si="46"/>
        <v/>
      </c>
    </row>
    <row r="978" spans="19:20" ht="14.25" customHeight="1" x14ac:dyDescent="0.3">
      <c r="S978" t="str">
        <f t="shared" si="45"/>
        <v/>
      </c>
      <c r="T978" t="str">
        <f t="shared" si="46"/>
        <v/>
      </c>
    </row>
    <row r="979" spans="19:20" ht="14.25" customHeight="1" x14ac:dyDescent="0.3">
      <c r="S979" t="str">
        <f t="shared" si="45"/>
        <v/>
      </c>
      <c r="T979" t="str">
        <f t="shared" si="46"/>
        <v/>
      </c>
    </row>
    <row r="980" spans="19:20" ht="14.25" customHeight="1" x14ac:dyDescent="0.3">
      <c r="S980" t="str">
        <f t="shared" si="45"/>
        <v/>
      </c>
      <c r="T980" t="str">
        <f t="shared" si="46"/>
        <v/>
      </c>
    </row>
    <row r="981" spans="19:20" ht="14.25" customHeight="1" x14ac:dyDescent="0.3">
      <c r="S981" t="str">
        <f t="shared" si="45"/>
        <v/>
      </c>
      <c r="T981" t="str">
        <f t="shared" si="46"/>
        <v/>
      </c>
    </row>
    <row r="982" spans="19:20" ht="14.25" customHeight="1" x14ac:dyDescent="0.3">
      <c r="S982" t="str">
        <f t="shared" si="45"/>
        <v/>
      </c>
      <c r="T982" t="str">
        <f t="shared" si="46"/>
        <v/>
      </c>
    </row>
    <row r="983" spans="19:20" ht="14.25" customHeight="1" x14ac:dyDescent="0.3">
      <c r="S983" t="str">
        <f t="shared" si="45"/>
        <v/>
      </c>
      <c r="T983" t="str">
        <f t="shared" si="46"/>
        <v/>
      </c>
    </row>
    <row r="984" spans="19:20" ht="14.25" customHeight="1" x14ac:dyDescent="0.3">
      <c r="S984" t="str">
        <f t="shared" si="45"/>
        <v/>
      </c>
      <c r="T984" t="str">
        <f t="shared" si="46"/>
        <v/>
      </c>
    </row>
    <row r="985" spans="19:20" ht="14.25" customHeight="1" x14ac:dyDescent="0.3">
      <c r="S985" t="str">
        <f t="shared" si="45"/>
        <v/>
      </c>
      <c r="T985" t="str">
        <f t="shared" si="46"/>
        <v/>
      </c>
    </row>
    <row r="986" spans="19:20" ht="14.25" customHeight="1" x14ac:dyDescent="0.3">
      <c r="S986" t="str">
        <f t="shared" si="45"/>
        <v/>
      </c>
      <c r="T986" t="str">
        <f t="shared" si="46"/>
        <v/>
      </c>
    </row>
    <row r="987" spans="19:20" ht="14.25" customHeight="1" x14ac:dyDescent="0.3">
      <c r="S987" t="str">
        <f t="shared" si="45"/>
        <v/>
      </c>
      <c r="T987" t="str">
        <f t="shared" si="46"/>
        <v/>
      </c>
    </row>
    <row r="988" spans="19:20" ht="14.25" customHeight="1" x14ac:dyDescent="0.3">
      <c r="S988" t="str">
        <f t="shared" si="45"/>
        <v/>
      </c>
      <c r="T988" t="str">
        <f t="shared" si="46"/>
        <v/>
      </c>
    </row>
    <row r="989" spans="19:20" ht="14.25" customHeight="1" x14ac:dyDescent="0.3">
      <c r="S989" t="str">
        <f t="shared" si="45"/>
        <v/>
      </c>
      <c r="T989" t="str">
        <f t="shared" si="46"/>
        <v/>
      </c>
    </row>
    <row r="990" spans="19:20" ht="14.25" customHeight="1" x14ac:dyDescent="0.3">
      <c r="S990" t="str">
        <f t="shared" si="45"/>
        <v/>
      </c>
      <c r="T990" t="str">
        <f t="shared" si="46"/>
        <v/>
      </c>
    </row>
    <row r="991" spans="19:20" ht="14.25" customHeight="1" x14ac:dyDescent="0.3">
      <c r="S991" t="str">
        <f t="shared" si="45"/>
        <v/>
      </c>
      <c r="T991" t="str">
        <f t="shared" si="46"/>
        <v/>
      </c>
    </row>
    <row r="992" spans="19:20" ht="14.25" customHeight="1" x14ac:dyDescent="0.3">
      <c r="S992" t="str">
        <f t="shared" si="45"/>
        <v/>
      </c>
      <c r="T992" t="str">
        <f t="shared" si="46"/>
        <v/>
      </c>
    </row>
    <row r="993" spans="19:20" ht="14.25" customHeight="1" x14ac:dyDescent="0.3">
      <c r="S993" t="str">
        <f t="shared" si="45"/>
        <v/>
      </c>
      <c r="T993" t="str">
        <f t="shared" si="46"/>
        <v/>
      </c>
    </row>
    <row r="994" spans="19:20" ht="14.25" customHeight="1" x14ac:dyDescent="0.3">
      <c r="S994" t="str">
        <f t="shared" si="45"/>
        <v/>
      </c>
      <c r="T994" t="str">
        <f t="shared" si="46"/>
        <v/>
      </c>
    </row>
    <row r="995" spans="19:20" ht="14.25" customHeight="1" x14ac:dyDescent="0.3">
      <c r="S995" t="str">
        <f t="shared" si="45"/>
        <v/>
      </c>
      <c r="T995" t="str">
        <f t="shared" si="46"/>
        <v/>
      </c>
    </row>
    <row r="996" spans="19:20" ht="14.25" customHeight="1" x14ac:dyDescent="0.3">
      <c r="S996" t="str">
        <f t="shared" si="45"/>
        <v/>
      </c>
      <c r="T996" t="str">
        <f t="shared" si="46"/>
        <v/>
      </c>
    </row>
    <row r="997" spans="19:20" ht="14.25" customHeight="1" x14ac:dyDescent="0.3">
      <c r="S997" t="str">
        <f t="shared" si="45"/>
        <v/>
      </c>
      <c r="T997" t="str">
        <f t="shared" si="46"/>
        <v/>
      </c>
    </row>
    <row r="998" spans="19:20" ht="14.25" customHeight="1" x14ac:dyDescent="0.3">
      <c r="S998" t="str">
        <f t="shared" si="45"/>
        <v/>
      </c>
      <c r="T998" t="str">
        <f t="shared" si="46"/>
        <v/>
      </c>
    </row>
    <row r="999" spans="19:20" ht="14.25" customHeight="1" x14ac:dyDescent="0.3">
      <c r="S999" t="str">
        <f t="shared" si="45"/>
        <v/>
      </c>
      <c r="T999" t="str">
        <f t="shared" si="46"/>
        <v/>
      </c>
    </row>
    <row r="1000" spans="19:20" ht="14.25" customHeight="1" x14ac:dyDescent="0.3">
      <c r="S1000" t="str">
        <f t="shared" si="45"/>
        <v/>
      </c>
      <c r="T1000" t="str">
        <f t="shared" si="46"/>
        <v/>
      </c>
    </row>
    <row r="1001" spans="19:20" ht="14.25" customHeight="1" x14ac:dyDescent="0.3">
      <c r="S1001" t="str">
        <f t="shared" si="45"/>
        <v/>
      </c>
      <c r="T1001" t="str">
        <f t="shared" si="46"/>
        <v/>
      </c>
    </row>
    <row r="1002" spans="19:20" ht="14.25" customHeight="1" x14ac:dyDescent="0.3">
      <c r="S1002" t="str">
        <f t="shared" si="45"/>
        <v/>
      </c>
      <c r="T1002" t="str">
        <f t="shared" si="46"/>
        <v/>
      </c>
    </row>
    <row r="1003" spans="19:20" ht="14.25" customHeight="1" x14ac:dyDescent="0.3">
      <c r="S1003" t="str">
        <f t="shared" si="45"/>
        <v/>
      </c>
      <c r="T1003" t="str">
        <f t="shared" si="46"/>
        <v/>
      </c>
    </row>
    <row r="1004" spans="19:20" ht="14.25" customHeight="1" x14ac:dyDescent="0.3">
      <c r="S1004" t="str">
        <f t="shared" si="45"/>
        <v/>
      </c>
      <c r="T1004" t="str">
        <f t="shared" si="46"/>
        <v/>
      </c>
    </row>
    <row r="1005" spans="19:20" ht="14.25" customHeight="1" x14ac:dyDescent="0.3">
      <c r="S1005" t="str">
        <f t="shared" si="45"/>
        <v/>
      </c>
      <c r="T1005" t="str">
        <f t="shared" si="46"/>
        <v/>
      </c>
    </row>
    <row r="1006" spans="19:20" ht="14.25" customHeight="1" x14ac:dyDescent="0.3">
      <c r="S1006" t="str">
        <f t="shared" si="45"/>
        <v/>
      </c>
      <c r="T1006" t="str">
        <f t="shared" si="46"/>
        <v/>
      </c>
    </row>
    <row r="1007" spans="19:20" ht="14.25" customHeight="1" x14ac:dyDescent="0.3">
      <c r="S1007" t="str">
        <f t="shared" si="45"/>
        <v/>
      </c>
      <c r="T1007" t="str">
        <f t="shared" si="46"/>
        <v/>
      </c>
    </row>
    <row r="1008" spans="19:20" ht="14.25" customHeight="1" x14ac:dyDescent="0.3">
      <c r="S1008" t="str">
        <f t="shared" si="45"/>
        <v/>
      </c>
      <c r="T1008" t="str">
        <f t="shared" si="46"/>
        <v/>
      </c>
    </row>
    <row r="1009" spans="19:20" ht="14.25" customHeight="1" x14ac:dyDescent="0.3">
      <c r="S1009" t="str">
        <f t="shared" si="45"/>
        <v/>
      </c>
      <c r="T1009" t="str">
        <f t="shared" si="46"/>
        <v/>
      </c>
    </row>
    <row r="1010" spans="19:20" ht="14.25" customHeight="1" x14ac:dyDescent="0.3">
      <c r="S1010" t="str">
        <f t="shared" si="45"/>
        <v/>
      </c>
      <c r="T1010" t="str">
        <f t="shared" si="46"/>
        <v/>
      </c>
    </row>
    <row r="1011" spans="19:20" ht="14.25" customHeight="1" x14ac:dyDescent="0.3">
      <c r="S1011" t="str">
        <f t="shared" si="45"/>
        <v/>
      </c>
      <c r="T1011" t="str">
        <f t="shared" si="46"/>
        <v/>
      </c>
    </row>
    <row r="1012" spans="19:20" ht="14.25" customHeight="1" x14ac:dyDescent="0.3">
      <c r="S1012" t="str">
        <f t="shared" si="45"/>
        <v/>
      </c>
      <c r="T1012" t="str">
        <f t="shared" si="46"/>
        <v/>
      </c>
    </row>
    <row r="1013" spans="19:20" ht="14.25" customHeight="1" x14ac:dyDescent="0.3">
      <c r="S1013" t="str">
        <f t="shared" si="45"/>
        <v/>
      </c>
      <c r="T1013" t="str">
        <f t="shared" si="46"/>
        <v/>
      </c>
    </row>
    <row r="1014" spans="19:20" ht="14.25" customHeight="1" x14ac:dyDescent="0.3">
      <c r="S1014" t="str">
        <f t="shared" si="45"/>
        <v/>
      </c>
      <c r="T1014" t="str">
        <f t="shared" si="46"/>
        <v/>
      </c>
    </row>
    <row r="1015" spans="19:20" ht="14.25" customHeight="1" x14ac:dyDescent="0.3">
      <c r="S1015" t="str">
        <f t="shared" si="45"/>
        <v/>
      </c>
      <c r="T1015" t="str">
        <f t="shared" si="46"/>
        <v/>
      </c>
    </row>
    <row r="1016" spans="19:20" ht="14.25" customHeight="1" x14ac:dyDescent="0.3">
      <c r="S1016" t="str">
        <f t="shared" si="45"/>
        <v/>
      </c>
      <c r="T1016" t="str">
        <f t="shared" si="46"/>
        <v/>
      </c>
    </row>
    <row r="1017" spans="19:20" ht="14.25" customHeight="1" x14ac:dyDescent="0.3">
      <c r="S1017" t="str">
        <f t="shared" si="45"/>
        <v/>
      </c>
      <c r="T1017" t="str">
        <f t="shared" si="46"/>
        <v/>
      </c>
    </row>
    <row r="1018" spans="19:20" ht="14.25" customHeight="1" x14ac:dyDescent="0.3">
      <c r="S1018" t="str">
        <f t="shared" si="45"/>
        <v/>
      </c>
      <c r="T1018" t="str">
        <f t="shared" si="46"/>
        <v/>
      </c>
    </row>
    <row r="1019" spans="19:20" ht="14.25" customHeight="1" x14ac:dyDescent="0.3">
      <c r="S1019" t="str">
        <f t="shared" si="45"/>
        <v/>
      </c>
      <c r="T1019" t="str">
        <f t="shared" si="46"/>
        <v/>
      </c>
    </row>
    <row r="1020" spans="19:20" ht="14.25" customHeight="1" x14ac:dyDescent="0.3">
      <c r="S1020" t="str">
        <f t="shared" si="45"/>
        <v/>
      </c>
      <c r="T1020" t="str">
        <f t="shared" si="46"/>
        <v/>
      </c>
    </row>
    <row r="1021" spans="19:20" ht="14.25" customHeight="1" x14ac:dyDescent="0.3">
      <c r="S1021" t="str">
        <f t="shared" si="45"/>
        <v/>
      </c>
      <c r="T1021" t="str">
        <f t="shared" si="46"/>
        <v/>
      </c>
    </row>
    <row r="1022" spans="19:20" ht="14.25" customHeight="1" x14ac:dyDescent="0.3">
      <c r="S1022" t="str">
        <f t="shared" si="45"/>
        <v/>
      </c>
      <c r="T1022" t="str">
        <f t="shared" si="46"/>
        <v/>
      </c>
    </row>
    <row r="1023" spans="19:20" ht="14.25" customHeight="1" x14ac:dyDescent="0.3">
      <c r="S1023" t="str">
        <f t="shared" si="45"/>
        <v/>
      </c>
      <c r="T1023" t="str">
        <f t="shared" si="46"/>
        <v/>
      </c>
    </row>
    <row r="1024" spans="19:20" ht="14.25" customHeight="1" x14ac:dyDescent="0.3">
      <c r="S1024" t="str">
        <f t="shared" si="45"/>
        <v/>
      </c>
      <c r="T1024" t="str">
        <f t="shared" si="46"/>
        <v/>
      </c>
    </row>
    <row r="1025" spans="19:20" ht="14.25" customHeight="1" x14ac:dyDescent="0.3">
      <c r="S1025" t="str">
        <f t="shared" si="45"/>
        <v/>
      </c>
      <c r="T1025" t="str">
        <f t="shared" si="46"/>
        <v/>
      </c>
    </row>
    <row r="1026" spans="19:20" ht="14.25" customHeight="1" x14ac:dyDescent="0.3">
      <c r="S1026" t="str">
        <f t="shared" ref="S1026:S1089" si="47">IFERROR(INDEX(D_IDUNIQUE,MATCH(ROW()-1,D_RANG_SUIVI,0)),"")</f>
        <v/>
      </c>
      <c r="T1026" t="str">
        <f t="shared" ref="T1026:T1089" si="48">IF($S1026="","",UPPER(INDEX(D_NOM,MATCH($S1026,D_ID,0)))&amp;" "&amp;INDEX(D_PRENOM,MATCH($S1026,D_ID,0))&amp;" — "&amp;INDEX(D_NIVEAU_ACTUEL,MATCH($S1026,D_ID,0)))</f>
        <v/>
      </c>
    </row>
    <row r="1027" spans="19:20" ht="14.25" customHeight="1" x14ac:dyDescent="0.3">
      <c r="S1027" t="str">
        <f t="shared" si="47"/>
        <v/>
      </c>
      <c r="T1027" t="str">
        <f t="shared" si="48"/>
        <v/>
      </c>
    </row>
    <row r="1028" spans="19:20" ht="14.25" customHeight="1" x14ac:dyDescent="0.3">
      <c r="S1028" t="str">
        <f t="shared" si="47"/>
        <v/>
      </c>
      <c r="T1028" t="str">
        <f t="shared" si="48"/>
        <v/>
      </c>
    </row>
    <row r="1029" spans="19:20" ht="14.25" customHeight="1" x14ac:dyDescent="0.3">
      <c r="S1029" t="str">
        <f t="shared" si="47"/>
        <v/>
      </c>
      <c r="T1029" t="str">
        <f t="shared" si="48"/>
        <v/>
      </c>
    </row>
    <row r="1030" spans="19:20" ht="14.25" customHeight="1" x14ac:dyDescent="0.3">
      <c r="S1030" t="str">
        <f t="shared" si="47"/>
        <v/>
      </c>
      <c r="T1030" t="str">
        <f t="shared" si="48"/>
        <v/>
      </c>
    </row>
    <row r="1031" spans="19:20" ht="14.25" customHeight="1" x14ac:dyDescent="0.3">
      <c r="S1031" t="str">
        <f t="shared" si="47"/>
        <v/>
      </c>
      <c r="T1031" t="str">
        <f t="shared" si="48"/>
        <v/>
      </c>
    </row>
    <row r="1032" spans="19:20" ht="14.25" customHeight="1" x14ac:dyDescent="0.3">
      <c r="S1032" t="str">
        <f t="shared" si="47"/>
        <v/>
      </c>
      <c r="T1032" t="str">
        <f t="shared" si="48"/>
        <v/>
      </c>
    </row>
    <row r="1033" spans="19:20" ht="14.25" customHeight="1" x14ac:dyDescent="0.3">
      <c r="S1033" t="str">
        <f t="shared" si="47"/>
        <v/>
      </c>
      <c r="T1033" t="str">
        <f t="shared" si="48"/>
        <v/>
      </c>
    </row>
    <row r="1034" spans="19:20" ht="14.25" customHeight="1" x14ac:dyDescent="0.3">
      <c r="S1034" t="str">
        <f t="shared" si="47"/>
        <v/>
      </c>
      <c r="T1034" t="str">
        <f t="shared" si="48"/>
        <v/>
      </c>
    </row>
    <row r="1035" spans="19:20" ht="14.25" customHeight="1" x14ac:dyDescent="0.3">
      <c r="S1035" t="str">
        <f t="shared" si="47"/>
        <v/>
      </c>
      <c r="T1035" t="str">
        <f t="shared" si="48"/>
        <v/>
      </c>
    </row>
    <row r="1036" spans="19:20" ht="14.25" customHeight="1" x14ac:dyDescent="0.3">
      <c r="S1036" t="str">
        <f t="shared" si="47"/>
        <v/>
      </c>
      <c r="T1036" t="str">
        <f t="shared" si="48"/>
        <v/>
      </c>
    </row>
    <row r="1037" spans="19:20" ht="14.25" customHeight="1" x14ac:dyDescent="0.3">
      <c r="S1037" t="str">
        <f t="shared" si="47"/>
        <v/>
      </c>
      <c r="T1037" t="str">
        <f t="shared" si="48"/>
        <v/>
      </c>
    </row>
    <row r="1038" spans="19:20" ht="14.25" customHeight="1" x14ac:dyDescent="0.3">
      <c r="S1038" t="str">
        <f t="shared" si="47"/>
        <v/>
      </c>
      <c r="T1038" t="str">
        <f t="shared" si="48"/>
        <v/>
      </c>
    </row>
    <row r="1039" spans="19:20" ht="14.25" customHeight="1" x14ac:dyDescent="0.3">
      <c r="S1039" t="str">
        <f t="shared" si="47"/>
        <v/>
      </c>
      <c r="T1039" t="str">
        <f t="shared" si="48"/>
        <v/>
      </c>
    </row>
    <row r="1040" spans="19:20" ht="14.25" customHeight="1" x14ac:dyDescent="0.3">
      <c r="S1040" t="str">
        <f t="shared" si="47"/>
        <v/>
      </c>
      <c r="T1040" t="str">
        <f t="shared" si="48"/>
        <v/>
      </c>
    </row>
    <row r="1041" spans="19:20" ht="14.25" customHeight="1" x14ac:dyDescent="0.3">
      <c r="S1041" t="str">
        <f t="shared" si="47"/>
        <v/>
      </c>
      <c r="T1041" t="str">
        <f t="shared" si="48"/>
        <v/>
      </c>
    </row>
    <row r="1042" spans="19:20" ht="14.25" customHeight="1" x14ac:dyDescent="0.3">
      <c r="S1042" t="str">
        <f t="shared" si="47"/>
        <v/>
      </c>
      <c r="T1042" t="str">
        <f t="shared" si="48"/>
        <v/>
      </c>
    </row>
    <row r="1043" spans="19:20" ht="14.25" customHeight="1" x14ac:dyDescent="0.3">
      <c r="S1043" t="str">
        <f t="shared" si="47"/>
        <v/>
      </c>
      <c r="T1043" t="str">
        <f t="shared" si="48"/>
        <v/>
      </c>
    </row>
    <row r="1044" spans="19:20" ht="14.25" customHeight="1" x14ac:dyDescent="0.3">
      <c r="S1044" t="str">
        <f t="shared" si="47"/>
        <v/>
      </c>
      <c r="T1044" t="str">
        <f t="shared" si="48"/>
        <v/>
      </c>
    </row>
    <row r="1045" spans="19:20" ht="14.25" customHeight="1" x14ac:dyDescent="0.3">
      <c r="S1045" t="str">
        <f t="shared" si="47"/>
        <v/>
      </c>
      <c r="T1045" t="str">
        <f t="shared" si="48"/>
        <v/>
      </c>
    </row>
    <row r="1046" spans="19:20" ht="14.25" customHeight="1" x14ac:dyDescent="0.3">
      <c r="S1046" t="str">
        <f t="shared" si="47"/>
        <v/>
      </c>
      <c r="T1046" t="str">
        <f t="shared" si="48"/>
        <v/>
      </c>
    </row>
    <row r="1047" spans="19:20" ht="14.25" customHeight="1" x14ac:dyDescent="0.3">
      <c r="S1047" t="str">
        <f t="shared" si="47"/>
        <v/>
      </c>
      <c r="T1047" t="str">
        <f t="shared" si="48"/>
        <v/>
      </c>
    </row>
    <row r="1048" spans="19:20" ht="14.25" customHeight="1" x14ac:dyDescent="0.3">
      <c r="S1048" t="str">
        <f t="shared" si="47"/>
        <v/>
      </c>
      <c r="T1048" t="str">
        <f t="shared" si="48"/>
        <v/>
      </c>
    </row>
    <row r="1049" spans="19:20" ht="14.25" customHeight="1" x14ac:dyDescent="0.3">
      <c r="S1049" t="str">
        <f t="shared" si="47"/>
        <v/>
      </c>
      <c r="T1049" t="str">
        <f t="shared" si="48"/>
        <v/>
      </c>
    </row>
    <row r="1050" spans="19:20" ht="14.25" customHeight="1" x14ac:dyDescent="0.3">
      <c r="S1050" t="str">
        <f t="shared" si="47"/>
        <v/>
      </c>
      <c r="T1050" t="str">
        <f t="shared" si="48"/>
        <v/>
      </c>
    </row>
    <row r="1051" spans="19:20" ht="14.25" customHeight="1" x14ac:dyDescent="0.3">
      <c r="S1051" t="str">
        <f t="shared" si="47"/>
        <v/>
      </c>
      <c r="T1051" t="str">
        <f t="shared" si="48"/>
        <v/>
      </c>
    </row>
    <row r="1052" spans="19:20" ht="14.25" customHeight="1" x14ac:dyDescent="0.3">
      <c r="S1052" t="str">
        <f t="shared" si="47"/>
        <v/>
      </c>
      <c r="T1052" t="str">
        <f t="shared" si="48"/>
        <v/>
      </c>
    </row>
    <row r="1053" spans="19:20" ht="14.25" customHeight="1" x14ac:dyDescent="0.3">
      <c r="S1053" t="str">
        <f t="shared" si="47"/>
        <v/>
      </c>
      <c r="T1053" t="str">
        <f t="shared" si="48"/>
        <v/>
      </c>
    </row>
    <row r="1054" spans="19:20" ht="14.25" customHeight="1" x14ac:dyDescent="0.3">
      <c r="S1054" t="str">
        <f t="shared" si="47"/>
        <v/>
      </c>
      <c r="T1054" t="str">
        <f t="shared" si="48"/>
        <v/>
      </c>
    </row>
    <row r="1055" spans="19:20" ht="14.25" customHeight="1" x14ac:dyDescent="0.3">
      <c r="S1055" t="str">
        <f t="shared" si="47"/>
        <v/>
      </c>
      <c r="T1055" t="str">
        <f t="shared" si="48"/>
        <v/>
      </c>
    </row>
    <row r="1056" spans="19:20" ht="14.25" customHeight="1" x14ac:dyDescent="0.3">
      <c r="S1056" t="str">
        <f t="shared" si="47"/>
        <v/>
      </c>
      <c r="T1056" t="str">
        <f t="shared" si="48"/>
        <v/>
      </c>
    </row>
    <row r="1057" spans="19:20" ht="14.25" customHeight="1" x14ac:dyDescent="0.3">
      <c r="S1057" t="str">
        <f t="shared" si="47"/>
        <v/>
      </c>
      <c r="T1057" t="str">
        <f t="shared" si="48"/>
        <v/>
      </c>
    </row>
    <row r="1058" spans="19:20" ht="14.25" customHeight="1" x14ac:dyDescent="0.3">
      <c r="S1058" t="str">
        <f t="shared" si="47"/>
        <v/>
      </c>
      <c r="T1058" t="str">
        <f t="shared" si="48"/>
        <v/>
      </c>
    </row>
    <row r="1059" spans="19:20" ht="14.25" customHeight="1" x14ac:dyDescent="0.3">
      <c r="S1059" t="str">
        <f t="shared" si="47"/>
        <v/>
      </c>
      <c r="T1059" t="str">
        <f t="shared" si="48"/>
        <v/>
      </c>
    </row>
    <row r="1060" spans="19:20" ht="14.25" customHeight="1" x14ac:dyDescent="0.3">
      <c r="S1060" t="str">
        <f t="shared" si="47"/>
        <v/>
      </c>
      <c r="T1060" t="str">
        <f t="shared" si="48"/>
        <v/>
      </c>
    </row>
    <row r="1061" spans="19:20" ht="14.25" customHeight="1" x14ac:dyDescent="0.3">
      <c r="S1061" t="str">
        <f t="shared" si="47"/>
        <v/>
      </c>
      <c r="T1061" t="str">
        <f t="shared" si="48"/>
        <v/>
      </c>
    </row>
    <row r="1062" spans="19:20" ht="14.25" customHeight="1" x14ac:dyDescent="0.3">
      <c r="S1062" t="str">
        <f t="shared" si="47"/>
        <v/>
      </c>
      <c r="T1062" t="str">
        <f t="shared" si="48"/>
        <v/>
      </c>
    </row>
    <row r="1063" spans="19:20" ht="14.25" customHeight="1" x14ac:dyDescent="0.3">
      <c r="S1063" t="str">
        <f t="shared" si="47"/>
        <v/>
      </c>
      <c r="T1063" t="str">
        <f t="shared" si="48"/>
        <v/>
      </c>
    </row>
    <row r="1064" spans="19:20" ht="14.25" customHeight="1" x14ac:dyDescent="0.3">
      <c r="S1064" t="str">
        <f t="shared" si="47"/>
        <v/>
      </c>
      <c r="T1064" t="str">
        <f t="shared" si="48"/>
        <v/>
      </c>
    </row>
    <row r="1065" spans="19:20" ht="14.25" customHeight="1" x14ac:dyDescent="0.3">
      <c r="S1065" t="str">
        <f t="shared" si="47"/>
        <v/>
      </c>
      <c r="T1065" t="str">
        <f t="shared" si="48"/>
        <v/>
      </c>
    </row>
    <row r="1066" spans="19:20" ht="14.25" customHeight="1" x14ac:dyDescent="0.3">
      <c r="S1066" t="str">
        <f t="shared" si="47"/>
        <v/>
      </c>
      <c r="T1066" t="str">
        <f t="shared" si="48"/>
        <v/>
      </c>
    </row>
    <row r="1067" spans="19:20" ht="14.25" customHeight="1" x14ac:dyDescent="0.3">
      <c r="S1067" t="str">
        <f t="shared" si="47"/>
        <v/>
      </c>
      <c r="T1067" t="str">
        <f t="shared" si="48"/>
        <v/>
      </c>
    </row>
    <row r="1068" spans="19:20" ht="14.25" customHeight="1" x14ac:dyDescent="0.3">
      <c r="S1068" t="str">
        <f t="shared" si="47"/>
        <v/>
      </c>
      <c r="T1068" t="str">
        <f t="shared" si="48"/>
        <v/>
      </c>
    </row>
    <row r="1069" spans="19:20" ht="14.25" customHeight="1" x14ac:dyDescent="0.3">
      <c r="S1069" t="str">
        <f t="shared" si="47"/>
        <v/>
      </c>
      <c r="T1069" t="str">
        <f t="shared" si="48"/>
        <v/>
      </c>
    </row>
    <row r="1070" spans="19:20" ht="14.25" customHeight="1" x14ac:dyDescent="0.3">
      <c r="S1070" t="str">
        <f t="shared" si="47"/>
        <v/>
      </c>
      <c r="T1070" t="str">
        <f t="shared" si="48"/>
        <v/>
      </c>
    </row>
    <row r="1071" spans="19:20" ht="14.25" customHeight="1" x14ac:dyDescent="0.3">
      <c r="S1071" t="str">
        <f t="shared" si="47"/>
        <v/>
      </c>
      <c r="T1071" t="str">
        <f t="shared" si="48"/>
        <v/>
      </c>
    </row>
    <row r="1072" spans="19:20" ht="14.25" customHeight="1" x14ac:dyDescent="0.3">
      <c r="S1072" t="str">
        <f t="shared" si="47"/>
        <v/>
      </c>
      <c r="T1072" t="str">
        <f t="shared" si="48"/>
        <v/>
      </c>
    </row>
    <row r="1073" spans="19:20" ht="14.25" customHeight="1" x14ac:dyDescent="0.3">
      <c r="S1073" t="str">
        <f t="shared" si="47"/>
        <v/>
      </c>
      <c r="T1073" t="str">
        <f t="shared" si="48"/>
        <v/>
      </c>
    </row>
    <row r="1074" spans="19:20" ht="14.25" customHeight="1" x14ac:dyDescent="0.3">
      <c r="S1074" t="str">
        <f t="shared" si="47"/>
        <v/>
      </c>
      <c r="T1074" t="str">
        <f t="shared" si="48"/>
        <v/>
      </c>
    </row>
    <row r="1075" spans="19:20" ht="14.25" customHeight="1" x14ac:dyDescent="0.3">
      <c r="S1075" t="str">
        <f t="shared" si="47"/>
        <v/>
      </c>
      <c r="T1075" t="str">
        <f t="shared" si="48"/>
        <v/>
      </c>
    </row>
    <row r="1076" spans="19:20" ht="14.25" customHeight="1" x14ac:dyDescent="0.3">
      <c r="S1076" t="str">
        <f t="shared" si="47"/>
        <v/>
      </c>
      <c r="T1076" t="str">
        <f t="shared" si="48"/>
        <v/>
      </c>
    </row>
    <row r="1077" spans="19:20" ht="14.25" customHeight="1" x14ac:dyDescent="0.3">
      <c r="S1077" t="str">
        <f t="shared" si="47"/>
        <v/>
      </c>
      <c r="T1077" t="str">
        <f t="shared" si="48"/>
        <v/>
      </c>
    </row>
    <row r="1078" spans="19:20" ht="14.25" customHeight="1" x14ac:dyDescent="0.3">
      <c r="S1078" t="str">
        <f t="shared" si="47"/>
        <v/>
      </c>
      <c r="T1078" t="str">
        <f t="shared" si="48"/>
        <v/>
      </c>
    </row>
    <row r="1079" spans="19:20" ht="14.25" customHeight="1" x14ac:dyDescent="0.3">
      <c r="S1079" t="str">
        <f t="shared" si="47"/>
        <v/>
      </c>
      <c r="T1079" t="str">
        <f t="shared" si="48"/>
        <v/>
      </c>
    </row>
    <row r="1080" spans="19:20" ht="14.25" customHeight="1" x14ac:dyDescent="0.3">
      <c r="S1080" t="str">
        <f t="shared" si="47"/>
        <v/>
      </c>
      <c r="T1080" t="str">
        <f t="shared" si="48"/>
        <v/>
      </c>
    </row>
    <row r="1081" spans="19:20" ht="14.25" customHeight="1" x14ac:dyDescent="0.3">
      <c r="S1081" t="str">
        <f t="shared" si="47"/>
        <v/>
      </c>
      <c r="T1081" t="str">
        <f t="shared" si="48"/>
        <v/>
      </c>
    </row>
    <row r="1082" spans="19:20" ht="14.25" customHeight="1" x14ac:dyDescent="0.3">
      <c r="S1082" t="str">
        <f t="shared" si="47"/>
        <v/>
      </c>
      <c r="T1082" t="str">
        <f t="shared" si="48"/>
        <v/>
      </c>
    </row>
    <row r="1083" spans="19:20" ht="14.25" customHeight="1" x14ac:dyDescent="0.3">
      <c r="S1083" t="str">
        <f t="shared" si="47"/>
        <v/>
      </c>
      <c r="T1083" t="str">
        <f t="shared" si="48"/>
        <v/>
      </c>
    </row>
    <row r="1084" spans="19:20" ht="14.25" customHeight="1" x14ac:dyDescent="0.3">
      <c r="S1084" t="str">
        <f t="shared" si="47"/>
        <v/>
      </c>
      <c r="T1084" t="str">
        <f t="shared" si="48"/>
        <v/>
      </c>
    </row>
    <row r="1085" spans="19:20" ht="14.25" customHeight="1" x14ac:dyDescent="0.3">
      <c r="S1085" t="str">
        <f t="shared" si="47"/>
        <v/>
      </c>
      <c r="T1085" t="str">
        <f t="shared" si="48"/>
        <v/>
      </c>
    </row>
    <row r="1086" spans="19:20" ht="14.25" customHeight="1" x14ac:dyDescent="0.3">
      <c r="S1086" t="str">
        <f t="shared" si="47"/>
        <v/>
      </c>
      <c r="T1086" t="str">
        <f t="shared" si="48"/>
        <v/>
      </c>
    </row>
    <row r="1087" spans="19:20" ht="14.25" customHeight="1" x14ac:dyDescent="0.3">
      <c r="S1087" t="str">
        <f t="shared" si="47"/>
        <v/>
      </c>
      <c r="T1087" t="str">
        <f t="shared" si="48"/>
        <v/>
      </c>
    </row>
    <row r="1088" spans="19:20" ht="14.25" customHeight="1" x14ac:dyDescent="0.3">
      <c r="S1088" t="str">
        <f t="shared" si="47"/>
        <v/>
      </c>
      <c r="T1088" t="str">
        <f t="shared" si="48"/>
        <v/>
      </c>
    </row>
    <row r="1089" spans="19:20" ht="14.25" customHeight="1" x14ac:dyDescent="0.3">
      <c r="S1089" t="str">
        <f t="shared" si="47"/>
        <v/>
      </c>
      <c r="T1089" t="str">
        <f t="shared" si="48"/>
        <v/>
      </c>
    </row>
    <row r="1090" spans="19:20" ht="14.25" customHeight="1" x14ac:dyDescent="0.3">
      <c r="S1090" t="str">
        <f t="shared" ref="S1090:S1153" si="49">IFERROR(INDEX(D_IDUNIQUE,MATCH(ROW()-1,D_RANG_SUIVI,0)),"")</f>
        <v/>
      </c>
      <c r="T1090" t="str">
        <f t="shared" ref="T1090:T1153" si="50">IF($S1090="","",UPPER(INDEX(D_NOM,MATCH($S1090,D_ID,0)))&amp;" "&amp;INDEX(D_PRENOM,MATCH($S1090,D_ID,0))&amp;" — "&amp;INDEX(D_NIVEAU_ACTUEL,MATCH($S1090,D_ID,0)))</f>
        <v/>
      </c>
    </row>
    <row r="1091" spans="19:20" ht="14.25" customHeight="1" x14ac:dyDescent="0.3">
      <c r="S1091" t="str">
        <f t="shared" si="49"/>
        <v/>
      </c>
      <c r="T1091" t="str">
        <f t="shared" si="50"/>
        <v/>
      </c>
    </row>
    <row r="1092" spans="19:20" ht="14.25" customHeight="1" x14ac:dyDescent="0.3">
      <c r="S1092" t="str">
        <f t="shared" si="49"/>
        <v/>
      </c>
      <c r="T1092" t="str">
        <f t="shared" si="50"/>
        <v/>
      </c>
    </row>
    <row r="1093" spans="19:20" ht="14.25" customHeight="1" x14ac:dyDescent="0.3">
      <c r="S1093" t="str">
        <f t="shared" si="49"/>
        <v/>
      </c>
      <c r="T1093" t="str">
        <f t="shared" si="50"/>
        <v/>
      </c>
    </row>
    <row r="1094" spans="19:20" ht="14.25" customHeight="1" x14ac:dyDescent="0.3">
      <c r="S1094" t="str">
        <f t="shared" si="49"/>
        <v/>
      </c>
      <c r="T1094" t="str">
        <f t="shared" si="50"/>
        <v/>
      </c>
    </row>
    <row r="1095" spans="19:20" ht="14.25" customHeight="1" x14ac:dyDescent="0.3">
      <c r="S1095" t="str">
        <f t="shared" si="49"/>
        <v/>
      </c>
      <c r="T1095" t="str">
        <f t="shared" si="50"/>
        <v/>
      </c>
    </row>
    <row r="1096" spans="19:20" ht="14.25" customHeight="1" x14ac:dyDescent="0.3">
      <c r="S1096" t="str">
        <f t="shared" si="49"/>
        <v/>
      </c>
      <c r="T1096" t="str">
        <f t="shared" si="50"/>
        <v/>
      </c>
    </row>
    <row r="1097" spans="19:20" ht="14.25" customHeight="1" x14ac:dyDescent="0.3">
      <c r="S1097" t="str">
        <f t="shared" si="49"/>
        <v/>
      </c>
      <c r="T1097" t="str">
        <f t="shared" si="50"/>
        <v/>
      </c>
    </row>
    <row r="1098" spans="19:20" ht="14.25" customHeight="1" x14ac:dyDescent="0.3">
      <c r="S1098" t="str">
        <f t="shared" si="49"/>
        <v/>
      </c>
      <c r="T1098" t="str">
        <f t="shared" si="50"/>
        <v/>
      </c>
    </row>
    <row r="1099" spans="19:20" ht="14.25" customHeight="1" x14ac:dyDescent="0.3">
      <c r="S1099" t="str">
        <f t="shared" si="49"/>
        <v/>
      </c>
      <c r="T1099" t="str">
        <f t="shared" si="50"/>
        <v/>
      </c>
    </row>
    <row r="1100" spans="19:20" ht="14.25" customHeight="1" x14ac:dyDescent="0.3">
      <c r="S1100" t="str">
        <f t="shared" si="49"/>
        <v/>
      </c>
      <c r="T1100" t="str">
        <f t="shared" si="50"/>
        <v/>
      </c>
    </row>
    <row r="1101" spans="19:20" ht="14.25" customHeight="1" x14ac:dyDescent="0.3">
      <c r="S1101" t="str">
        <f t="shared" si="49"/>
        <v/>
      </c>
      <c r="T1101" t="str">
        <f t="shared" si="50"/>
        <v/>
      </c>
    </row>
    <row r="1102" spans="19:20" ht="14.25" customHeight="1" x14ac:dyDescent="0.3">
      <c r="S1102" t="str">
        <f t="shared" si="49"/>
        <v/>
      </c>
      <c r="T1102" t="str">
        <f t="shared" si="50"/>
        <v/>
      </c>
    </row>
    <row r="1103" spans="19:20" ht="14.25" customHeight="1" x14ac:dyDescent="0.3">
      <c r="S1103" t="str">
        <f t="shared" si="49"/>
        <v/>
      </c>
      <c r="T1103" t="str">
        <f t="shared" si="50"/>
        <v/>
      </c>
    </row>
    <row r="1104" spans="19:20" ht="14.25" customHeight="1" x14ac:dyDescent="0.3">
      <c r="S1104" t="str">
        <f t="shared" si="49"/>
        <v/>
      </c>
      <c r="T1104" t="str">
        <f t="shared" si="50"/>
        <v/>
      </c>
    </row>
    <row r="1105" spans="19:20" ht="14.25" customHeight="1" x14ac:dyDescent="0.3">
      <c r="S1105" t="str">
        <f t="shared" si="49"/>
        <v/>
      </c>
      <c r="T1105" t="str">
        <f t="shared" si="50"/>
        <v/>
      </c>
    </row>
    <row r="1106" spans="19:20" ht="14.25" customHeight="1" x14ac:dyDescent="0.3">
      <c r="S1106" t="str">
        <f t="shared" si="49"/>
        <v/>
      </c>
      <c r="T1106" t="str">
        <f t="shared" si="50"/>
        <v/>
      </c>
    </row>
    <row r="1107" spans="19:20" ht="14.25" customHeight="1" x14ac:dyDescent="0.3">
      <c r="S1107" t="str">
        <f t="shared" si="49"/>
        <v/>
      </c>
      <c r="T1107" t="str">
        <f t="shared" si="50"/>
        <v/>
      </c>
    </row>
    <row r="1108" spans="19:20" ht="14.25" customHeight="1" x14ac:dyDescent="0.3">
      <c r="S1108" t="str">
        <f t="shared" si="49"/>
        <v/>
      </c>
      <c r="T1108" t="str">
        <f t="shared" si="50"/>
        <v/>
      </c>
    </row>
    <row r="1109" spans="19:20" ht="14.25" customHeight="1" x14ac:dyDescent="0.3">
      <c r="S1109" t="str">
        <f t="shared" si="49"/>
        <v/>
      </c>
      <c r="T1109" t="str">
        <f t="shared" si="50"/>
        <v/>
      </c>
    </row>
    <row r="1110" spans="19:20" ht="14.25" customHeight="1" x14ac:dyDescent="0.3">
      <c r="S1110" t="str">
        <f t="shared" si="49"/>
        <v/>
      </c>
      <c r="T1110" t="str">
        <f t="shared" si="50"/>
        <v/>
      </c>
    </row>
    <row r="1111" spans="19:20" ht="14.25" customHeight="1" x14ac:dyDescent="0.3">
      <c r="S1111" t="str">
        <f t="shared" si="49"/>
        <v/>
      </c>
      <c r="T1111" t="str">
        <f t="shared" si="50"/>
        <v/>
      </c>
    </row>
    <row r="1112" spans="19:20" ht="14.25" customHeight="1" x14ac:dyDescent="0.3">
      <c r="S1112" t="str">
        <f t="shared" si="49"/>
        <v/>
      </c>
      <c r="T1112" t="str">
        <f t="shared" si="50"/>
        <v/>
      </c>
    </row>
    <row r="1113" spans="19:20" ht="14.25" customHeight="1" x14ac:dyDescent="0.3">
      <c r="S1113" t="str">
        <f t="shared" si="49"/>
        <v/>
      </c>
      <c r="T1113" t="str">
        <f t="shared" si="50"/>
        <v/>
      </c>
    </row>
    <row r="1114" spans="19:20" ht="14.25" customHeight="1" x14ac:dyDescent="0.3">
      <c r="S1114" t="str">
        <f t="shared" si="49"/>
        <v/>
      </c>
      <c r="T1114" t="str">
        <f t="shared" si="50"/>
        <v/>
      </c>
    </row>
    <row r="1115" spans="19:20" ht="14.25" customHeight="1" x14ac:dyDescent="0.3">
      <c r="S1115" t="str">
        <f t="shared" si="49"/>
        <v/>
      </c>
      <c r="T1115" t="str">
        <f t="shared" si="50"/>
        <v/>
      </c>
    </row>
    <row r="1116" spans="19:20" ht="14.25" customHeight="1" x14ac:dyDescent="0.3">
      <c r="S1116" t="str">
        <f t="shared" si="49"/>
        <v/>
      </c>
      <c r="T1116" t="str">
        <f t="shared" si="50"/>
        <v/>
      </c>
    </row>
    <row r="1117" spans="19:20" ht="14.25" customHeight="1" x14ac:dyDescent="0.3">
      <c r="S1117" t="str">
        <f t="shared" si="49"/>
        <v/>
      </c>
      <c r="T1117" t="str">
        <f t="shared" si="50"/>
        <v/>
      </c>
    </row>
    <row r="1118" spans="19:20" ht="14.25" customHeight="1" x14ac:dyDescent="0.3">
      <c r="S1118" t="str">
        <f t="shared" si="49"/>
        <v/>
      </c>
      <c r="T1118" t="str">
        <f t="shared" si="50"/>
        <v/>
      </c>
    </row>
    <row r="1119" spans="19:20" ht="14.25" customHeight="1" x14ac:dyDescent="0.3">
      <c r="S1119" t="str">
        <f t="shared" si="49"/>
        <v/>
      </c>
      <c r="T1119" t="str">
        <f t="shared" si="50"/>
        <v/>
      </c>
    </row>
    <row r="1120" spans="19:20" ht="14.25" customHeight="1" x14ac:dyDescent="0.3">
      <c r="S1120" t="str">
        <f t="shared" si="49"/>
        <v/>
      </c>
      <c r="T1120" t="str">
        <f t="shared" si="50"/>
        <v/>
      </c>
    </row>
    <row r="1121" spans="19:20" ht="14.25" customHeight="1" x14ac:dyDescent="0.3">
      <c r="S1121" t="str">
        <f t="shared" si="49"/>
        <v/>
      </c>
      <c r="T1121" t="str">
        <f t="shared" si="50"/>
        <v/>
      </c>
    </row>
    <row r="1122" spans="19:20" ht="14.25" customHeight="1" x14ac:dyDescent="0.3">
      <c r="S1122" t="str">
        <f t="shared" si="49"/>
        <v/>
      </c>
      <c r="T1122" t="str">
        <f t="shared" si="50"/>
        <v/>
      </c>
    </row>
    <row r="1123" spans="19:20" ht="14.25" customHeight="1" x14ac:dyDescent="0.3">
      <c r="S1123" t="str">
        <f t="shared" si="49"/>
        <v/>
      </c>
      <c r="T1123" t="str">
        <f t="shared" si="50"/>
        <v/>
      </c>
    </row>
    <row r="1124" spans="19:20" ht="14.25" customHeight="1" x14ac:dyDescent="0.3">
      <c r="S1124" t="str">
        <f t="shared" si="49"/>
        <v/>
      </c>
      <c r="T1124" t="str">
        <f t="shared" si="50"/>
        <v/>
      </c>
    </row>
    <row r="1125" spans="19:20" ht="14.25" customHeight="1" x14ac:dyDescent="0.3">
      <c r="S1125" t="str">
        <f t="shared" si="49"/>
        <v/>
      </c>
      <c r="T1125" t="str">
        <f t="shared" si="50"/>
        <v/>
      </c>
    </row>
    <row r="1126" spans="19:20" ht="14.25" customHeight="1" x14ac:dyDescent="0.3">
      <c r="S1126" t="str">
        <f t="shared" si="49"/>
        <v/>
      </c>
      <c r="T1126" t="str">
        <f t="shared" si="50"/>
        <v/>
      </c>
    </row>
    <row r="1127" spans="19:20" ht="14.25" customHeight="1" x14ac:dyDescent="0.3">
      <c r="S1127" t="str">
        <f t="shared" si="49"/>
        <v/>
      </c>
      <c r="T1127" t="str">
        <f t="shared" si="50"/>
        <v/>
      </c>
    </row>
    <row r="1128" spans="19:20" ht="14.25" customHeight="1" x14ac:dyDescent="0.3">
      <c r="S1128" t="str">
        <f t="shared" si="49"/>
        <v/>
      </c>
      <c r="T1128" t="str">
        <f t="shared" si="50"/>
        <v/>
      </c>
    </row>
    <row r="1129" spans="19:20" ht="14.25" customHeight="1" x14ac:dyDescent="0.3">
      <c r="S1129" t="str">
        <f t="shared" si="49"/>
        <v/>
      </c>
      <c r="T1129" t="str">
        <f t="shared" si="50"/>
        <v/>
      </c>
    </row>
    <row r="1130" spans="19:20" ht="14.25" customHeight="1" x14ac:dyDescent="0.3">
      <c r="S1130" t="str">
        <f t="shared" si="49"/>
        <v/>
      </c>
      <c r="T1130" t="str">
        <f t="shared" si="50"/>
        <v/>
      </c>
    </row>
    <row r="1131" spans="19:20" ht="14.25" customHeight="1" x14ac:dyDescent="0.3">
      <c r="S1131" t="str">
        <f t="shared" si="49"/>
        <v/>
      </c>
      <c r="T1131" t="str">
        <f t="shared" si="50"/>
        <v/>
      </c>
    </row>
    <row r="1132" spans="19:20" ht="14.25" customHeight="1" x14ac:dyDescent="0.3">
      <c r="S1132" t="str">
        <f t="shared" si="49"/>
        <v/>
      </c>
      <c r="T1132" t="str">
        <f t="shared" si="50"/>
        <v/>
      </c>
    </row>
    <row r="1133" spans="19:20" ht="14.25" customHeight="1" x14ac:dyDescent="0.3">
      <c r="S1133" t="str">
        <f t="shared" si="49"/>
        <v/>
      </c>
      <c r="T1133" t="str">
        <f t="shared" si="50"/>
        <v/>
      </c>
    </row>
    <row r="1134" spans="19:20" ht="14.25" customHeight="1" x14ac:dyDescent="0.3">
      <c r="S1134" t="str">
        <f t="shared" si="49"/>
        <v/>
      </c>
      <c r="T1134" t="str">
        <f t="shared" si="50"/>
        <v/>
      </c>
    </row>
    <row r="1135" spans="19:20" ht="14.25" customHeight="1" x14ac:dyDescent="0.3">
      <c r="S1135" t="str">
        <f t="shared" si="49"/>
        <v/>
      </c>
      <c r="T1135" t="str">
        <f t="shared" si="50"/>
        <v/>
      </c>
    </row>
    <row r="1136" spans="19:20" ht="14.25" customHeight="1" x14ac:dyDescent="0.3">
      <c r="S1136" t="str">
        <f t="shared" si="49"/>
        <v/>
      </c>
      <c r="T1136" t="str">
        <f t="shared" si="50"/>
        <v/>
      </c>
    </row>
    <row r="1137" spans="19:20" ht="14.25" customHeight="1" x14ac:dyDescent="0.3">
      <c r="S1137" t="str">
        <f t="shared" si="49"/>
        <v/>
      </c>
      <c r="T1137" t="str">
        <f t="shared" si="50"/>
        <v/>
      </c>
    </row>
    <row r="1138" spans="19:20" ht="14.25" customHeight="1" x14ac:dyDescent="0.3">
      <c r="S1138" t="str">
        <f t="shared" si="49"/>
        <v/>
      </c>
      <c r="T1138" t="str">
        <f t="shared" si="50"/>
        <v/>
      </c>
    </row>
    <row r="1139" spans="19:20" ht="14.25" customHeight="1" x14ac:dyDescent="0.3">
      <c r="S1139" t="str">
        <f t="shared" si="49"/>
        <v/>
      </c>
      <c r="T1139" t="str">
        <f t="shared" si="50"/>
        <v/>
      </c>
    </row>
    <row r="1140" spans="19:20" ht="14.25" customHeight="1" x14ac:dyDescent="0.3">
      <c r="S1140" t="str">
        <f t="shared" si="49"/>
        <v/>
      </c>
      <c r="T1140" t="str">
        <f t="shared" si="50"/>
        <v/>
      </c>
    </row>
    <row r="1141" spans="19:20" ht="14.25" customHeight="1" x14ac:dyDescent="0.3">
      <c r="S1141" t="str">
        <f t="shared" si="49"/>
        <v/>
      </c>
      <c r="T1141" t="str">
        <f t="shared" si="50"/>
        <v/>
      </c>
    </row>
    <row r="1142" spans="19:20" ht="14.25" customHeight="1" x14ac:dyDescent="0.3">
      <c r="S1142" t="str">
        <f t="shared" si="49"/>
        <v/>
      </c>
      <c r="T1142" t="str">
        <f t="shared" si="50"/>
        <v/>
      </c>
    </row>
    <row r="1143" spans="19:20" ht="14.25" customHeight="1" x14ac:dyDescent="0.3">
      <c r="S1143" t="str">
        <f t="shared" si="49"/>
        <v/>
      </c>
      <c r="T1143" t="str">
        <f t="shared" si="50"/>
        <v/>
      </c>
    </row>
    <row r="1144" spans="19:20" ht="14.25" customHeight="1" x14ac:dyDescent="0.3">
      <c r="S1144" t="str">
        <f t="shared" si="49"/>
        <v/>
      </c>
      <c r="T1144" t="str">
        <f t="shared" si="50"/>
        <v/>
      </c>
    </row>
    <row r="1145" spans="19:20" ht="14.25" customHeight="1" x14ac:dyDescent="0.3">
      <c r="S1145" t="str">
        <f t="shared" si="49"/>
        <v/>
      </c>
      <c r="T1145" t="str">
        <f t="shared" si="50"/>
        <v/>
      </c>
    </row>
    <row r="1146" spans="19:20" ht="14.25" customHeight="1" x14ac:dyDescent="0.3">
      <c r="S1146" t="str">
        <f t="shared" si="49"/>
        <v/>
      </c>
      <c r="T1146" t="str">
        <f t="shared" si="50"/>
        <v/>
      </c>
    </row>
    <row r="1147" spans="19:20" ht="14.25" customHeight="1" x14ac:dyDescent="0.3">
      <c r="S1147" t="str">
        <f t="shared" si="49"/>
        <v/>
      </c>
      <c r="T1147" t="str">
        <f t="shared" si="50"/>
        <v/>
      </c>
    </row>
    <row r="1148" spans="19:20" ht="14.25" customHeight="1" x14ac:dyDescent="0.3">
      <c r="S1148" t="str">
        <f t="shared" si="49"/>
        <v/>
      </c>
      <c r="T1148" t="str">
        <f t="shared" si="50"/>
        <v/>
      </c>
    </row>
    <row r="1149" spans="19:20" ht="14.25" customHeight="1" x14ac:dyDescent="0.3">
      <c r="S1149" t="str">
        <f t="shared" si="49"/>
        <v/>
      </c>
      <c r="T1149" t="str">
        <f t="shared" si="50"/>
        <v/>
      </c>
    </row>
    <row r="1150" spans="19:20" ht="14.25" customHeight="1" x14ac:dyDescent="0.3">
      <c r="S1150" t="str">
        <f t="shared" si="49"/>
        <v/>
      </c>
      <c r="T1150" t="str">
        <f t="shared" si="50"/>
        <v/>
      </c>
    </row>
    <row r="1151" spans="19:20" ht="14.25" customHeight="1" x14ac:dyDescent="0.3">
      <c r="S1151" t="str">
        <f t="shared" si="49"/>
        <v/>
      </c>
      <c r="T1151" t="str">
        <f t="shared" si="50"/>
        <v/>
      </c>
    </row>
    <row r="1152" spans="19:20" ht="14.25" customHeight="1" x14ac:dyDescent="0.3">
      <c r="S1152" t="str">
        <f t="shared" si="49"/>
        <v/>
      </c>
      <c r="T1152" t="str">
        <f t="shared" si="50"/>
        <v/>
      </c>
    </row>
    <row r="1153" spans="19:20" ht="14.25" customHeight="1" x14ac:dyDescent="0.3">
      <c r="S1153" t="str">
        <f t="shared" si="49"/>
        <v/>
      </c>
      <c r="T1153" t="str">
        <f t="shared" si="50"/>
        <v/>
      </c>
    </row>
    <row r="1154" spans="19:20" ht="14.25" customHeight="1" x14ac:dyDescent="0.3">
      <c r="S1154" t="str">
        <f t="shared" ref="S1154:S1201" si="51">IFERROR(INDEX(D_IDUNIQUE,MATCH(ROW()-1,D_RANG_SUIVI,0)),"")</f>
        <v/>
      </c>
      <c r="T1154" t="str">
        <f t="shared" ref="T1154:T1201" si="52">IF($S1154="","",UPPER(INDEX(D_NOM,MATCH($S1154,D_ID,0)))&amp;" "&amp;INDEX(D_PRENOM,MATCH($S1154,D_ID,0))&amp;" — "&amp;INDEX(D_NIVEAU_ACTUEL,MATCH($S1154,D_ID,0)))</f>
        <v/>
      </c>
    </row>
    <row r="1155" spans="19:20" ht="14.25" customHeight="1" x14ac:dyDescent="0.3">
      <c r="S1155" t="str">
        <f t="shared" si="51"/>
        <v/>
      </c>
      <c r="T1155" t="str">
        <f t="shared" si="52"/>
        <v/>
      </c>
    </row>
    <row r="1156" spans="19:20" ht="14.25" customHeight="1" x14ac:dyDescent="0.3">
      <c r="S1156" t="str">
        <f t="shared" si="51"/>
        <v/>
      </c>
      <c r="T1156" t="str">
        <f t="shared" si="52"/>
        <v/>
      </c>
    </row>
    <row r="1157" spans="19:20" ht="14.25" customHeight="1" x14ac:dyDescent="0.3">
      <c r="S1157" t="str">
        <f t="shared" si="51"/>
        <v/>
      </c>
      <c r="T1157" t="str">
        <f t="shared" si="52"/>
        <v/>
      </c>
    </row>
    <row r="1158" spans="19:20" ht="14.25" customHeight="1" x14ac:dyDescent="0.3">
      <c r="S1158" t="str">
        <f t="shared" si="51"/>
        <v/>
      </c>
      <c r="T1158" t="str">
        <f t="shared" si="52"/>
        <v/>
      </c>
    </row>
    <row r="1159" spans="19:20" ht="14.25" customHeight="1" x14ac:dyDescent="0.3">
      <c r="S1159" t="str">
        <f t="shared" si="51"/>
        <v/>
      </c>
      <c r="T1159" t="str">
        <f t="shared" si="52"/>
        <v/>
      </c>
    </row>
    <row r="1160" spans="19:20" ht="14.25" customHeight="1" x14ac:dyDescent="0.3">
      <c r="S1160" t="str">
        <f t="shared" si="51"/>
        <v/>
      </c>
      <c r="T1160" t="str">
        <f t="shared" si="52"/>
        <v/>
      </c>
    </row>
    <row r="1161" spans="19:20" ht="14.25" customHeight="1" x14ac:dyDescent="0.3">
      <c r="S1161" t="str">
        <f t="shared" si="51"/>
        <v/>
      </c>
      <c r="T1161" t="str">
        <f t="shared" si="52"/>
        <v/>
      </c>
    </row>
    <row r="1162" spans="19:20" ht="14.25" customHeight="1" x14ac:dyDescent="0.3">
      <c r="S1162" t="str">
        <f t="shared" si="51"/>
        <v/>
      </c>
      <c r="T1162" t="str">
        <f t="shared" si="52"/>
        <v/>
      </c>
    </row>
    <row r="1163" spans="19:20" ht="14.25" customHeight="1" x14ac:dyDescent="0.3">
      <c r="S1163" t="str">
        <f t="shared" si="51"/>
        <v/>
      </c>
      <c r="T1163" t="str">
        <f t="shared" si="52"/>
        <v/>
      </c>
    </row>
    <row r="1164" spans="19:20" ht="14.25" customHeight="1" x14ac:dyDescent="0.3">
      <c r="S1164" t="str">
        <f t="shared" si="51"/>
        <v/>
      </c>
      <c r="T1164" t="str">
        <f t="shared" si="52"/>
        <v/>
      </c>
    </row>
    <row r="1165" spans="19:20" ht="14.25" customHeight="1" x14ac:dyDescent="0.3">
      <c r="S1165" t="str">
        <f t="shared" si="51"/>
        <v/>
      </c>
      <c r="T1165" t="str">
        <f t="shared" si="52"/>
        <v/>
      </c>
    </row>
    <row r="1166" spans="19:20" ht="14.25" customHeight="1" x14ac:dyDescent="0.3">
      <c r="S1166" t="str">
        <f t="shared" si="51"/>
        <v/>
      </c>
      <c r="T1166" t="str">
        <f t="shared" si="52"/>
        <v/>
      </c>
    </row>
    <row r="1167" spans="19:20" ht="14.25" customHeight="1" x14ac:dyDescent="0.3">
      <c r="S1167" t="str">
        <f t="shared" si="51"/>
        <v/>
      </c>
      <c r="T1167" t="str">
        <f t="shared" si="52"/>
        <v/>
      </c>
    </row>
    <row r="1168" spans="19:20" ht="14.25" customHeight="1" x14ac:dyDescent="0.3">
      <c r="S1168" t="str">
        <f t="shared" si="51"/>
        <v/>
      </c>
      <c r="T1168" t="str">
        <f t="shared" si="52"/>
        <v/>
      </c>
    </row>
    <row r="1169" spans="19:20" ht="14.25" customHeight="1" x14ac:dyDescent="0.3">
      <c r="S1169" t="str">
        <f t="shared" si="51"/>
        <v/>
      </c>
      <c r="T1169" t="str">
        <f t="shared" si="52"/>
        <v/>
      </c>
    </row>
    <row r="1170" spans="19:20" ht="14.25" customHeight="1" x14ac:dyDescent="0.3">
      <c r="S1170" t="str">
        <f t="shared" si="51"/>
        <v/>
      </c>
      <c r="T1170" t="str">
        <f t="shared" si="52"/>
        <v/>
      </c>
    </row>
    <row r="1171" spans="19:20" ht="14.25" customHeight="1" x14ac:dyDescent="0.3">
      <c r="S1171" t="str">
        <f t="shared" si="51"/>
        <v/>
      </c>
      <c r="T1171" t="str">
        <f t="shared" si="52"/>
        <v/>
      </c>
    </row>
    <row r="1172" spans="19:20" ht="14.25" customHeight="1" x14ac:dyDescent="0.3">
      <c r="S1172" t="str">
        <f t="shared" si="51"/>
        <v/>
      </c>
      <c r="T1172" t="str">
        <f t="shared" si="52"/>
        <v/>
      </c>
    </row>
    <row r="1173" spans="19:20" ht="14.25" customHeight="1" x14ac:dyDescent="0.3">
      <c r="S1173" t="str">
        <f t="shared" si="51"/>
        <v/>
      </c>
      <c r="T1173" t="str">
        <f t="shared" si="52"/>
        <v/>
      </c>
    </row>
    <row r="1174" spans="19:20" ht="14.25" customHeight="1" x14ac:dyDescent="0.3">
      <c r="S1174" t="str">
        <f t="shared" si="51"/>
        <v/>
      </c>
      <c r="T1174" t="str">
        <f t="shared" si="52"/>
        <v/>
      </c>
    </row>
    <row r="1175" spans="19:20" ht="14.25" customHeight="1" x14ac:dyDescent="0.3">
      <c r="S1175" t="str">
        <f t="shared" si="51"/>
        <v/>
      </c>
      <c r="T1175" t="str">
        <f t="shared" si="52"/>
        <v/>
      </c>
    </row>
    <row r="1176" spans="19:20" ht="14.25" customHeight="1" x14ac:dyDescent="0.3">
      <c r="S1176" t="str">
        <f t="shared" si="51"/>
        <v/>
      </c>
      <c r="T1176" t="str">
        <f t="shared" si="52"/>
        <v/>
      </c>
    </row>
    <row r="1177" spans="19:20" ht="14.25" customHeight="1" x14ac:dyDescent="0.3">
      <c r="S1177" t="str">
        <f t="shared" si="51"/>
        <v/>
      </c>
      <c r="T1177" t="str">
        <f t="shared" si="52"/>
        <v/>
      </c>
    </row>
    <row r="1178" spans="19:20" ht="14.25" customHeight="1" x14ac:dyDescent="0.3">
      <c r="S1178" t="str">
        <f t="shared" si="51"/>
        <v/>
      </c>
      <c r="T1178" t="str">
        <f t="shared" si="52"/>
        <v/>
      </c>
    </row>
    <row r="1179" spans="19:20" ht="14.25" customHeight="1" x14ac:dyDescent="0.3">
      <c r="S1179" t="str">
        <f t="shared" si="51"/>
        <v/>
      </c>
      <c r="T1179" t="str">
        <f t="shared" si="52"/>
        <v/>
      </c>
    </row>
    <row r="1180" spans="19:20" ht="14.25" customHeight="1" x14ac:dyDescent="0.3">
      <c r="S1180" t="str">
        <f t="shared" si="51"/>
        <v/>
      </c>
      <c r="T1180" t="str">
        <f t="shared" si="52"/>
        <v/>
      </c>
    </row>
    <row r="1181" spans="19:20" ht="14.25" customHeight="1" x14ac:dyDescent="0.3">
      <c r="S1181" t="str">
        <f t="shared" si="51"/>
        <v/>
      </c>
      <c r="T1181" t="str">
        <f t="shared" si="52"/>
        <v/>
      </c>
    </row>
    <row r="1182" spans="19:20" ht="14.25" customHeight="1" x14ac:dyDescent="0.3">
      <c r="S1182" t="str">
        <f t="shared" si="51"/>
        <v/>
      </c>
      <c r="T1182" t="str">
        <f t="shared" si="52"/>
        <v/>
      </c>
    </row>
    <row r="1183" spans="19:20" ht="14.25" customHeight="1" x14ac:dyDescent="0.3">
      <c r="S1183" t="str">
        <f t="shared" si="51"/>
        <v/>
      </c>
      <c r="T1183" t="str">
        <f t="shared" si="52"/>
        <v/>
      </c>
    </row>
    <row r="1184" spans="19:20" ht="14.25" customHeight="1" x14ac:dyDescent="0.3">
      <c r="S1184" t="str">
        <f t="shared" si="51"/>
        <v/>
      </c>
      <c r="T1184" t="str">
        <f t="shared" si="52"/>
        <v/>
      </c>
    </row>
    <row r="1185" spans="19:20" ht="14.25" customHeight="1" x14ac:dyDescent="0.3">
      <c r="S1185" t="str">
        <f t="shared" si="51"/>
        <v/>
      </c>
      <c r="T1185" t="str">
        <f t="shared" si="52"/>
        <v/>
      </c>
    </row>
    <row r="1186" spans="19:20" ht="14.25" customHeight="1" x14ac:dyDescent="0.3">
      <c r="S1186" t="str">
        <f t="shared" si="51"/>
        <v/>
      </c>
      <c r="T1186" t="str">
        <f t="shared" si="52"/>
        <v/>
      </c>
    </row>
    <row r="1187" spans="19:20" ht="14.25" customHeight="1" x14ac:dyDescent="0.3">
      <c r="S1187" t="str">
        <f t="shared" si="51"/>
        <v/>
      </c>
      <c r="T1187" t="str">
        <f t="shared" si="52"/>
        <v/>
      </c>
    </row>
    <row r="1188" spans="19:20" ht="14.25" customHeight="1" x14ac:dyDescent="0.3">
      <c r="S1188" t="str">
        <f t="shared" si="51"/>
        <v/>
      </c>
      <c r="T1188" t="str">
        <f t="shared" si="52"/>
        <v/>
      </c>
    </row>
    <row r="1189" spans="19:20" ht="14.25" customHeight="1" x14ac:dyDescent="0.3">
      <c r="S1189" t="str">
        <f t="shared" si="51"/>
        <v/>
      </c>
      <c r="T1189" t="str">
        <f t="shared" si="52"/>
        <v/>
      </c>
    </row>
    <row r="1190" spans="19:20" ht="14.25" customHeight="1" x14ac:dyDescent="0.3">
      <c r="S1190" t="str">
        <f t="shared" si="51"/>
        <v/>
      </c>
      <c r="T1190" t="str">
        <f t="shared" si="52"/>
        <v/>
      </c>
    </row>
    <row r="1191" spans="19:20" ht="14.25" customHeight="1" x14ac:dyDescent="0.3">
      <c r="S1191" t="str">
        <f t="shared" si="51"/>
        <v/>
      </c>
      <c r="T1191" t="str">
        <f t="shared" si="52"/>
        <v/>
      </c>
    </row>
    <row r="1192" spans="19:20" ht="14.25" customHeight="1" x14ac:dyDescent="0.3">
      <c r="S1192" t="str">
        <f t="shared" si="51"/>
        <v/>
      </c>
      <c r="T1192" t="str">
        <f t="shared" si="52"/>
        <v/>
      </c>
    </row>
    <row r="1193" spans="19:20" ht="14.25" customHeight="1" x14ac:dyDescent="0.3">
      <c r="S1193" t="str">
        <f t="shared" si="51"/>
        <v/>
      </c>
      <c r="T1193" t="str">
        <f t="shared" si="52"/>
        <v/>
      </c>
    </row>
    <row r="1194" spans="19:20" ht="14.25" customHeight="1" x14ac:dyDescent="0.3">
      <c r="S1194" t="str">
        <f t="shared" si="51"/>
        <v/>
      </c>
      <c r="T1194" t="str">
        <f t="shared" si="52"/>
        <v/>
      </c>
    </row>
    <row r="1195" spans="19:20" ht="14.25" customHeight="1" x14ac:dyDescent="0.3">
      <c r="S1195" t="str">
        <f t="shared" si="51"/>
        <v/>
      </c>
      <c r="T1195" t="str">
        <f t="shared" si="52"/>
        <v/>
      </c>
    </row>
    <row r="1196" spans="19:20" ht="14.25" customHeight="1" x14ac:dyDescent="0.3">
      <c r="S1196" t="str">
        <f t="shared" si="51"/>
        <v/>
      </c>
      <c r="T1196" t="str">
        <f t="shared" si="52"/>
        <v/>
      </c>
    </row>
    <row r="1197" spans="19:20" ht="14.25" customHeight="1" x14ac:dyDescent="0.3">
      <c r="S1197" t="str">
        <f t="shared" si="51"/>
        <v/>
      </c>
      <c r="T1197" t="str">
        <f t="shared" si="52"/>
        <v/>
      </c>
    </row>
    <row r="1198" spans="19:20" ht="14.25" customHeight="1" x14ac:dyDescent="0.3">
      <c r="S1198" t="str">
        <f t="shared" si="51"/>
        <v/>
      </c>
      <c r="T1198" t="str">
        <f t="shared" si="52"/>
        <v/>
      </c>
    </row>
    <row r="1199" spans="19:20" ht="14.25" customHeight="1" x14ac:dyDescent="0.3">
      <c r="S1199" t="str">
        <f t="shared" si="51"/>
        <v/>
      </c>
      <c r="T1199" t="str">
        <f t="shared" si="52"/>
        <v/>
      </c>
    </row>
    <row r="1200" spans="19:20" ht="14.25" customHeight="1" x14ac:dyDescent="0.3">
      <c r="S1200" t="str">
        <f t="shared" si="51"/>
        <v/>
      </c>
      <c r="T1200" t="str">
        <f t="shared" si="52"/>
        <v/>
      </c>
    </row>
    <row r="1201" spans="19:20" ht="14.25" customHeight="1" x14ac:dyDescent="0.3">
      <c r="S1201" t="str">
        <f t="shared" si="51"/>
        <v/>
      </c>
      <c r="T1201" t="str">
        <f t="shared" si="52"/>
        <v/>
      </c>
    </row>
  </sheetData>
  <sheetProtection sheet="1" formatCells="0" formatColumns="0" formatRows="0" sort="0" autoFilter="0"/>
  <mergeCells count="30">
    <mergeCell ref="B117:B124"/>
    <mergeCell ref="C117:C124"/>
    <mergeCell ref="B93:B100"/>
    <mergeCell ref="C93:C100"/>
    <mergeCell ref="B101:B108"/>
    <mergeCell ref="C101:C108"/>
    <mergeCell ref="B109:B116"/>
    <mergeCell ref="C109:C116"/>
    <mergeCell ref="B69:B76"/>
    <mergeCell ref="C69:C76"/>
    <mergeCell ref="B77:B84"/>
    <mergeCell ref="C77:C84"/>
    <mergeCell ref="B85:B92"/>
    <mergeCell ref="C85:C92"/>
    <mergeCell ref="A7:I7"/>
    <mergeCell ref="A9:I9"/>
    <mergeCell ref="A58:I58"/>
    <mergeCell ref="A59:I59"/>
    <mergeCell ref="B61:B68"/>
    <mergeCell ref="C61:C68"/>
    <mergeCell ref="C4:E4"/>
    <mergeCell ref="G4:H4"/>
    <mergeCell ref="Q4:R4"/>
    <mergeCell ref="C6:D6"/>
    <mergeCell ref="F6:H6"/>
    <mergeCell ref="A1:I1"/>
    <mergeCell ref="A2:I2"/>
    <mergeCell ref="C3:E3"/>
    <mergeCell ref="G3:H3"/>
    <mergeCell ref="Q3:R3"/>
  </mergeCells>
  <conditionalFormatting sqref="E11:E18">
    <cfRule type="cellIs" dxfId="31" priority="2" operator="equal">
      <formula>1</formula>
    </cfRule>
    <cfRule type="cellIs" dxfId="30" priority="3" operator="equal">
      <formula>2</formula>
    </cfRule>
    <cfRule type="cellIs" dxfId="29" priority="4" operator="equal">
      <formula>3</formula>
    </cfRule>
    <cfRule type="cellIs" dxfId="28" priority="5" operator="equal">
      <formula>4</formula>
    </cfRule>
    <cfRule type="cellIs" dxfId="27" priority="6" operator="equal">
      <formula>5</formula>
    </cfRule>
  </conditionalFormatting>
  <conditionalFormatting sqref="F61:F124">
    <cfRule type="cellIs" dxfId="26" priority="15" operator="equal">
      <formula>1</formula>
    </cfRule>
    <cfRule type="cellIs" dxfId="25" priority="16" operator="equal">
      <formula>2</formula>
    </cfRule>
    <cfRule type="cellIs" dxfId="24" priority="17" operator="equal">
      <formula>3</formula>
    </cfRule>
    <cfRule type="cellIs" dxfId="23" priority="18" operator="equal">
      <formula>4</formula>
    </cfRule>
    <cfRule type="cellIs" dxfId="22" priority="19" operator="equal">
      <formula>5</formula>
    </cfRule>
  </conditionalFormatting>
  <conditionalFormatting sqref="G11:G18">
    <cfRule type="cellIs" dxfId="21" priority="7" operator="equal">
      <formula>1</formula>
    </cfRule>
    <cfRule type="cellIs" dxfId="20" priority="8" operator="equal">
      <formula>2</formula>
    </cfRule>
    <cfRule type="cellIs" dxfId="19" priority="9" operator="equal">
      <formula>3</formula>
    </cfRule>
    <cfRule type="cellIs" dxfId="18" priority="10" operator="equal">
      <formula>4</formula>
    </cfRule>
    <cfRule type="cellIs" dxfId="17" priority="11" operator="equal">
      <formula>5</formula>
    </cfRule>
  </conditionalFormatting>
  <conditionalFormatting sqref="H11:H18">
    <cfRule type="expression" dxfId="16" priority="12">
      <formula>LEFT(H11,1)="▲"</formula>
    </cfRule>
    <cfRule type="expression" dxfId="15" priority="13">
      <formula>LEFT(H11,1)="▼"</formula>
    </cfRule>
    <cfRule type="expression" dxfId="14" priority="14">
      <formula>LEFT(H11,1)="➜"</formula>
    </cfRule>
  </conditionalFormatting>
  <conditionalFormatting sqref="H61:H124">
    <cfRule type="cellIs" dxfId="13" priority="20" operator="equal">
      <formula>1</formula>
    </cfRule>
    <cfRule type="cellIs" dxfId="12" priority="21" operator="equal">
      <formula>2</formula>
    </cfRule>
    <cfRule type="cellIs" dxfId="11" priority="22" operator="equal">
      <formula>3</formula>
    </cfRule>
    <cfRule type="cellIs" dxfId="10" priority="23" operator="equal">
      <formula>4</formula>
    </cfRule>
    <cfRule type="cellIs" dxfId="9" priority="24" operator="equal">
      <formula>5</formula>
    </cfRule>
  </conditionalFormatting>
  <conditionalFormatting sqref="I61:I124">
    <cfRule type="expression" dxfId="8" priority="25">
      <formula>LEFT(I61,1)="▲"</formula>
    </cfRule>
    <cfRule type="expression" dxfId="7" priority="26">
      <formula>LEFT(I61,1)="▼"</formula>
    </cfRule>
    <cfRule type="expression" dxfId="6" priority="27">
      <formula>LEFT(I61,1)="➜"</formula>
    </cfRule>
  </conditionalFormatting>
  <dataValidations count="3">
    <dataValidation type="list" allowBlank="1" showErrorMessage="1" errorTitle="Test invalide" error="Sélectionnez un test physique dans la liste déroulante." sqref="G4" xr:uid="{00000000-0002-0000-0700-000000000000}">
      <formula1>"Équilibre,Souplesse,Vitesse,Endurance,Coordination,Gainage,Adresse,Force des jambes"</formula1>
      <formula2>0</formula2>
    </dataValidation>
    <dataValidation type="list" showErrorMessage="1" errorTitle="Niveau invalide" error="Sélectionnez (Tous) ou un niveau scolaire dans la liste déroulante." sqref="Q4" xr:uid="{00000000-0002-0000-0700-000001000000}">
      <formula1>"(Tous),CP,CE1,CE2,CM1,CM2"</formula1>
      <formula2>0</formula2>
    </dataValidation>
    <dataValidation type="list" showErrorMessage="1" errorTitle="Élève invalide" error="Sélectionnez un élève existant dans la liste déroulante." sqref="C4" xr:uid="{00000000-0002-0000-0700-000002000000}">
      <formula1>LISTE_ELEVES_SUIVI</formula1>
      <formula2>0</formula2>
    </dataValidation>
  </dataValidations>
  <pageMargins left="0.75" right="0.75" top="1" bottom="1" header="0.511811023622047" footer="0.511811023622047"/>
  <pageSetup paperSize="9" fitToHeight="0"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7030A0"/>
    <pageSetUpPr fitToPage="1"/>
  </sheetPr>
  <dimension ref="A1:I12"/>
  <sheetViews>
    <sheetView showGridLines="0" zoomScaleNormal="100" workbookViewId="0">
      <selection sqref="A1:G1"/>
    </sheetView>
  </sheetViews>
  <sheetFormatPr baseColWidth="10" defaultColWidth="8.6640625" defaultRowHeight="14.4" x14ac:dyDescent="0.3"/>
  <cols>
    <col min="1" max="7" width="16" customWidth="1"/>
  </cols>
  <sheetData>
    <row r="1" spans="1:9" ht="27.75" customHeight="1" x14ac:dyDescent="0.35">
      <c r="A1" s="359" t="s">
        <v>268</v>
      </c>
      <c r="B1" s="359"/>
      <c r="C1" s="359"/>
      <c r="D1" s="359"/>
      <c r="E1" s="359"/>
      <c r="F1" s="359"/>
      <c r="G1" s="359"/>
      <c r="I1" s="154" t="str">
        <f>HYPERLINK("#ACCUEIL!A1","← ACCUEIL")</f>
        <v>← ACCUEIL</v>
      </c>
    </row>
    <row r="2" spans="1:9" ht="31.05" customHeight="1" x14ac:dyDescent="0.3">
      <c r="A2" s="360" t="s">
        <v>269</v>
      </c>
      <c r="B2" s="361"/>
      <c r="C2" s="361"/>
      <c r="D2" s="361"/>
      <c r="E2" s="361"/>
      <c r="F2" s="361"/>
      <c r="G2" s="361"/>
    </row>
    <row r="3" spans="1:9" ht="15" customHeight="1" x14ac:dyDescent="0.3">
      <c r="C3" s="120" t="s">
        <v>270</v>
      </c>
      <c r="E3" s="120" t="s">
        <v>271</v>
      </c>
    </row>
    <row r="4" spans="1:9" ht="15" customHeight="1" x14ac:dyDescent="0.3">
      <c r="C4" s="121" t="str">
        <f>ANNEE_ACTIVE</f>
        <v>2025-2026</v>
      </c>
      <c r="E4" s="121" t="s">
        <v>41</v>
      </c>
    </row>
    <row r="7" spans="1:9" ht="15" customHeight="1" x14ac:dyDescent="0.3">
      <c r="A7" s="122" t="s">
        <v>246</v>
      </c>
      <c r="B7" s="122" t="s">
        <v>257</v>
      </c>
      <c r="C7" s="122" t="s">
        <v>200</v>
      </c>
      <c r="D7" s="122" t="s">
        <v>205</v>
      </c>
      <c r="E7" s="122" t="s">
        <v>202</v>
      </c>
      <c r="F7" s="122" t="s">
        <v>206</v>
      </c>
      <c r="G7" s="122" t="s">
        <v>272</v>
      </c>
    </row>
    <row r="8" spans="1:9" ht="15" customHeight="1" x14ac:dyDescent="0.3">
      <c r="A8" s="67" t="str">
        <f>IFERROR(IF(OR($C$4="",$E$4=""),"",IF(MATCH($C$4,LISTE_ANNEES,0)+0&gt;8,"",INDEX(LISTE_ANNEES,MATCH($C$4,LISTE_ANNEES,0)+0))),"")</f>
        <v>2025-2026</v>
      </c>
      <c r="B8" s="67" t="str">
        <f>IFERROR(IF($A8="","",IF(MATCH($E$4,LISTE_NIVEAUX,0)+0&gt;5,"",INDEX(LISTE_NIVEAUX,MATCH($E$4,LISTE_NIVEAUX,0)+0))),"")</f>
        <v>CE2</v>
      </c>
      <c r="C8" s="67">
        <f>IF(OR($A8="",$B8=""),"",COUNTIFS(D_ANNEE,$A8,D_NIVEAU,$B8,D_SESSION,"S1"))</f>
        <v>0</v>
      </c>
      <c r="D8" s="67" t="str">
        <f>IF(OR($A8="",$B8=""),"",IFERROR(ROUND(AVERAGEIFS(D_MOYNIV,D_ANNEE,$A8,D_NIVEAU,$B8,D_SESSION,"S1",D_MOYNIV,"&gt;0"),2),"À venir"))</f>
        <v>À venir</v>
      </c>
      <c r="E8" s="67">
        <f>IF(OR($A8="",$B8=""),"",COUNTIFS(D_ANNEE,$A8,D_NIVEAU,$B8,D_SESSION,"S2"))</f>
        <v>0</v>
      </c>
      <c r="F8" s="67" t="str">
        <f>IF(OR($A8="",$B8=""),"",IFERROR(ROUND(AVERAGEIFS(D_MOYNIV,D_ANNEE,$A8,D_NIVEAU,$B8,D_SESSION,"S2",D_MOYNIV,"&gt;0"),2),"À venir"))</f>
        <v>À venir</v>
      </c>
      <c r="G8" s="67" t="str">
        <f>IF(OR($A8="",ISTEXT($D8),ISTEXT($F8),$D8="",$F8=""),"",IF($F8-$D8&gt;0,"▲ +"&amp;ROUND($F8-$D8,2),IF($F8-$D8&lt;0,"▼ "&amp;ROUND($F8-$D8,2),"➜ stable")))</f>
        <v/>
      </c>
    </row>
    <row r="9" spans="1:9" ht="15" customHeight="1" x14ac:dyDescent="0.3">
      <c r="A9" s="67" t="str">
        <f>IFERROR(IF(OR($C$4="",$E$4=""),"",IF(MATCH($C$4,LISTE_ANNEES,0)+1&gt;8,"",INDEX(LISTE_ANNEES,MATCH($C$4,LISTE_ANNEES,0)+1))),"")</f>
        <v>2026-2027</v>
      </c>
      <c r="B9" s="67" t="str">
        <f>IFERROR(IF($A9="","",IF(MATCH($E$4,LISTE_NIVEAUX,0)+1&gt;5,"",INDEX(LISTE_NIVEAUX,MATCH($E$4,LISTE_NIVEAUX,0)+1))),"")</f>
        <v>CM1</v>
      </c>
      <c r="C9" s="67">
        <f>IF(OR($A9="",$B9=""),"",COUNTIFS(D_ANNEE,$A9,D_NIVEAU,$B9,D_SESSION,"S1"))</f>
        <v>0</v>
      </c>
      <c r="D9" s="67" t="str">
        <f>IF(OR($A9="",$B9=""),"",IFERROR(ROUND(AVERAGEIFS(D_MOYNIV,D_ANNEE,$A9,D_NIVEAU,$B9,D_SESSION,"S1",D_MOYNIV,"&gt;0"),2),"À venir"))</f>
        <v>À venir</v>
      </c>
      <c r="E9" s="67">
        <f>IF(OR($A9="",$B9=""),"",COUNTIFS(D_ANNEE,$A9,D_NIVEAU,$B9,D_SESSION,"S2"))</f>
        <v>0</v>
      </c>
      <c r="F9" s="67" t="str">
        <f>IF(OR($A9="",$B9=""),"",IFERROR(ROUND(AVERAGEIFS(D_MOYNIV,D_ANNEE,$A9,D_NIVEAU,$B9,D_SESSION,"S2",D_MOYNIV,"&gt;0"),2),"À venir"))</f>
        <v>À venir</v>
      </c>
      <c r="G9" s="67" t="str">
        <f>IF(OR($A9="",ISTEXT($D9),ISTEXT($F9),$D9="",$F9=""),"",IF($F9-$D9&gt;0,"▲ +"&amp;ROUND($F9-$D9,2),IF($F9-$D9&lt;0,"▼ "&amp;ROUND($F9-$D9,2),"➜ stable")))</f>
        <v/>
      </c>
    </row>
    <row r="10" spans="1:9" ht="15" customHeight="1" x14ac:dyDescent="0.3">
      <c r="A10" s="67" t="str">
        <f>IFERROR(IF(OR($C$4="",$E$4=""),"",IF(MATCH($C$4,LISTE_ANNEES,0)+2&gt;8,"",INDEX(LISTE_ANNEES,MATCH($C$4,LISTE_ANNEES,0)+2))),"")</f>
        <v>2027-2028</v>
      </c>
      <c r="B10" s="67" t="str">
        <f>IFERROR(IF($A10="","",IF(MATCH($E$4,LISTE_NIVEAUX,0)+2&gt;5,"",INDEX(LISTE_NIVEAUX,MATCH($E$4,LISTE_NIVEAUX,0)+2))),"")</f>
        <v>CM2</v>
      </c>
      <c r="C10" s="67">
        <f>IF(OR($A10="",$B10=""),"",COUNTIFS(D_ANNEE,$A10,D_NIVEAU,$B10,D_SESSION,"S1"))</f>
        <v>0</v>
      </c>
      <c r="D10" s="67" t="str">
        <f>IF(OR($A10="",$B10=""),"",IFERROR(ROUND(AVERAGEIFS(D_MOYNIV,D_ANNEE,$A10,D_NIVEAU,$B10,D_SESSION,"S1",D_MOYNIV,"&gt;0"),2),"À venir"))</f>
        <v>À venir</v>
      </c>
      <c r="E10" s="67">
        <f>IF(OR($A10="",$B10=""),"",COUNTIFS(D_ANNEE,$A10,D_NIVEAU,$B10,D_SESSION,"S2"))</f>
        <v>0</v>
      </c>
      <c r="F10" s="67" t="str">
        <f>IF(OR($A10="",$B10=""),"",IFERROR(ROUND(AVERAGEIFS(D_MOYNIV,D_ANNEE,$A10,D_NIVEAU,$B10,D_SESSION,"S2",D_MOYNIV,"&gt;0"),2),"À venir"))</f>
        <v>À venir</v>
      </c>
      <c r="G10" s="67" t="str">
        <f>IF(OR($A10="",ISTEXT($D10),ISTEXT($F10),$D10="",$F10=""),"",IF($F10-$D10&gt;0,"▲ +"&amp;ROUND($F10-$D10,2),IF($F10-$D10&lt;0,"▼ "&amp;ROUND($F10-$D10,2),"➜ stable")))</f>
        <v/>
      </c>
    </row>
    <row r="11" spans="1:9" ht="15" customHeight="1" x14ac:dyDescent="0.3">
      <c r="A11" s="67" t="str">
        <f>IFERROR(IF(OR($C$4="",$E$4=""),"",IF(MATCH($C$4,LISTE_ANNEES,0)+3&gt;8,"",INDEX(LISTE_ANNEES,MATCH($C$4,LISTE_ANNEES,0)+3))),"")</f>
        <v>2028-2029</v>
      </c>
      <c r="B11" s="67" t="str">
        <f>IFERROR(IF($A11="","",IF(MATCH($E$4,LISTE_NIVEAUX,0)+3&gt;5,"",INDEX(LISTE_NIVEAUX,MATCH($E$4,LISTE_NIVEAUX,0)+3))),"")</f>
        <v/>
      </c>
      <c r="C11" s="67" t="str">
        <f>IF(OR($A11="",$B11=""),"",COUNTIFS(D_ANNEE,$A11,D_NIVEAU,$B11,D_SESSION,"S1"))</f>
        <v/>
      </c>
      <c r="D11" s="67" t="str">
        <f>IF(OR($A11="",$B11=""),"",IFERROR(ROUND(AVERAGEIFS(D_MOYNIV,D_ANNEE,$A11,D_NIVEAU,$B11,D_SESSION,"S1",D_MOYNIV,"&gt;0"),2),"À venir"))</f>
        <v/>
      </c>
      <c r="E11" s="67" t="str">
        <f>IF(OR($A11="",$B11=""),"",COUNTIFS(D_ANNEE,$A11,D_NIVEAU,$B11,D_SESSION,"S2"))</f>
        <v/>
      </c>
      <c r="F11" s="67" t="str">
        <f>IF(OR($A11="",$B11=""),"",IFERROR(ROUND(AVERAGEIFS(D_MOYNIV,D_ANNEE,$A11,D_NIVEAU,$B11,D_SESSION,"S2",D_MOYNIV,"&gt;0"),2),"À venir"))</f>
        <v/>
      </c>
      <c r="G11" s="67" t="str">
        <f>IF(OR($A11="",ISTEXT($D11),ISTEXT($F11),$D11="",$F11=""),"",IF($F11-$D11&gt;0,"▲ +"&amp;ROUND($F11-$D11,2),IF($F11-$D11&lt;0,"▼ "&amp;ROUND($F11-$D11,2),"➜ stable")))</f>
        <v/>
      </c>
    </row>
    <row r="12" spans="1:9" ht="15" customHeight="1" x14ac:dyDescent="0.3">
      <c r="A12" s="67" t="str">
        <f>IFERROR(IF(OR($C$4="",$E$4=""),"",IF(MATCH($C$4,LISTE_ANNEES,0)+4&gt;8,"",INDEX(LISTE_ANNEES,MATCH($C$4,LISTE_ANNEES,0)+4))),"")</f>
        <v>2029-2030</v>
      </c>
      <c r="B12" s="67" t="str">
        <f>IFERROR(IF($A12="","",IF(MATCH($E$4,LISTE_NIVEAUX,0)+4&gt;5,"",INDEX(LISTE_NIVEAUX,MATCH($E$4,LISTE_NIVEAUX,0)+4))),"")</f>
        <v/>
      </c>
      <c r="C12" s="67" t="str">
        <f>IF(OR($A12="",$B12=""),"",COUNTIFS(D_ANNEE,$A12,D_NIVEAU,$B12,D_SESSION,"S1"))</f>
        <v/>
      </c>
      <c r="D12" s="67" t="str">
        <f>IF(OR($A12="",$B12=""),"",IFERROR(ROUND(AVERAGEIFS(D_MOYNIV,D_ANNEE,$A12,D_NIVEAU,$B12,D_SESSION,"S1",D_MOYNIV,"&gt;0"),2),"À venir"))</f>
        <v/>
      </c>
      <c r="E12" s="67" t="str">
        <f>IF(OR($A12="",$B12=""),"",COUNTIFS(D_ANNEE,$A12,D_NIVEAU,$B12,D_SESSION,"S2"))</f>
        <v/>
      </c>
      <c r="F12" s="67" t="str">
        <f>IF(OR($A12="",$B12=""),"",IFERROR(ROUND(AVERAGEIFS(D_MOYNIV,D_ANNEE,$A12,D_NIVEAU,$B12,D_SESSION,"S2",D_MOYNIV,"&gt;0"),2),"À venir"))</f>
        <v/>
      </c>
      <c r="G12" s="67" t="str">
        <f>IF(OR($A12="",ISTEXT($D12),ISTEXT($F12),$D12="",$F12=""),"",IF($F12-$D12&gt;0,"▲ +"&amp;ROUND($F12-$D12,2),IF($F12-$D12&lt;0,"▼ "&amp;ROUND($F12-$D12,2),"➜ stable")))</f>
        <v/>
      </c>
    </row>
  </sheetData>
  <sheetProtection sheet="1" formatCells="0" formatColumns="0" formatRows="0" sort="0" autoFilter="0"/>
  <mergeCells count="2">
    <mergeCell ref="A1:G1"/>
    <mergeCell ref="A2:G2"/>
  </mergeCells>
  <dataValidations count="2">
    <dataValidation type="list" allowBlank="1" sqref="C4" xr:uid="{00000000-0002-0000-0800-000000000000}">
      <formula1>LISTE_ANNEES</formula1>
      <formula2>0</formula2>
    </dataValidation>
    <dataValidation type="list" allowBlank="1" sqref="E4" xr:uid="{00000000-0002-0000-0800-000001000000}">
      <formula1>LISTE_NIVEAUX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70C0"/>
    <pageSetUpPr fitToPage="1"/>
  </sheetPr>
  <dimension ref="A1:Z19"/>
  <sheetViews>
    <sheetView showGridLines="0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8.88671875" defaultRowHeight="14.4" x14ac:dyDescent="0.3"/>
  <cols>
    <col min="1" max="1" width="2.21875" customWidth="1"/>
    <col min="2" max="2" width="15" customWidth="1"/>
    <col min="3" max="3" width="16" customWidth="1"/>
    <col min="4" max="4" width="14" customWidth="1"/>
    <col min="5" max="5" width="6" customWidth="1"/>
    <col min="6" max="6" width="7" customWidth="1"/>
    <col min="7" max="22" width="8" customWidth="1"/>
    <col min="23" max="23" width="10" customWidth="1"/>
  </cols>
  <sheetData>
    <row r="1" spans="1:26" ht="31.5" customHeight="1" x14ac:dyDescent="0.3">
      <c r="A1" s="279" t="s">
        <v>273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  <c r="U1" s="279"/>
      <c r="V1" s="279"/>
      <c r="W1" s="279"/>
      <c r="X1" s="279"/>
      <c r="Z1" s="154" t="str">
        <f>HYPERLINK("#ACCUEIL!A1","← ACCUEIL")</f>
        <v>← ACCUEIL</v>
      </c>
    </row>
    <row r="2" spans="1:26" ht="18" customHeight="1" x14ac:dyDescent="0.3">
      <c r="A2" s="280" t="str">
        <f>IF(OR(PARAMETRES!$C$4="",PARAMETRES!$C$5=""),"⚠ NOM D'ÉTABLISSEMENT ET VILLE OBLIGATOIRES avant export — complétez l'onglet PARAMETRES (cellules C4 et C5) pour activer les données ci-dessous.","Export départemental agrégé par niveau scolaire — aucune donnée nominative. Une ligne par niveau scolaire et par session.")</f>
        <v>⚠ NOM D'ÉTABLISSEMENT ET VILLE OBLIGATOIRES avant export — complétez l'onglet PARAMETRES (cellules C4 et C5) pour activer les données ci-dessous.</v>
      </c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80"/>
      <c r="W2" s="280"/>
      <c r="X2" s="280"/>
    </row>
    <row r="3" spans="1:26" ht="13.5" customHeight="1" x14ac:dyDescent="0.3">
      <c r="B3" s="123"/>
      <c r="C3" s="362" t="s">
        <v>152</v>
      </c>
      <c r="D3" s="362"/>
      <c r="E3" s="362"/>
    </row>
    <row r="4" spans="1:26" ht="25.5" customHeight="1" x14ac:dyDescent="0.3">
      <c r="B4" s="124"/>
      <c r="C4" s="363" t="str">
        <f>ANNEE_ACTIVE</f>
        <v>2025-2026</v>
      </c>
      <c r="D4" s="363"/>
      <c r="E4" s="363"/>
    </row>
    <row r="5" spans="1:26" ht="9.75" customHeight="1" x14ac:dyDescent="0.3">
      <c r="B5" s="11"/>
      <c r="C5" s="11"/>
      <c r="D5" s="11"/>
      <c r="E5" s="11"/>
    </row>
    <row r="6" spans="1:26" ht="15.75" customHeight="1" x14ac:dyDescent="0.3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6" ht="31.5" customHeight="1" x14ac:dyDescent="0.3">
      <c r="B7" s="125" t="s">
        <v>246</v>
      </c>
      <c r="C7" s="126" t="s">
        <v>274</v>
      </c>
      <c r="D7" s="126" t="s">
        <v>275</v>
      </c>
      <c r="E7" s="126" t="s">
        <v>33</v>
      </c>
      <c r="F7" s="126" t="s">
        <v>111</v>
      </c>
      <c r="G7" s="126" t="s">
        <v>276</v>
      </c>
      <c r="H7" s="189" t="s">
        <v>2</v>
      </c>
      <c r="I7" s="190" t="s">
        <v>3</v>
      </c>
      <c r="J7" s="191" t="s">
        <v>4</v>
      </c>
      <c r="K7" s="192" t="s">
        <v>5</v>
      </c>
      <c r="L7" s="193" t="s">
        <v>6</v>
      </c>
      <c r="M7" s="194" t="s">
        <v>7</v>
      </c>
      <c r="N7" s="195" t="s">
        <v>8</v>
      </c>
      <c r="O7" s="196" t="s">
        <v>9</v>
      </c>
      <c r="P7" s="126" t="s">
        <v>277</v>
      </c>
      <c r="Q7" s="126" t="s">
        <v>278</v>
      </c>
      <c r="R7" s="126" t="s">
        <v>279</v>
      </c>
      <c r="S7" s="126" t="s">
        <v>280</v>
      </c>
      <c r="T7" s="126" t="s">
        <v>281</v>
      </c>
      <c r="U7" s="126" t="s">
        <v>282</v>
      </c>
      <c r="V7" s="127" t="s">
        <v>283</v>
      </c>
    </row>
    <row r="8" spans="1:26" ht="25.5" customHeight="1" x14ac:dyDescent="0.3">
      <c r="B8" s="114" t="str">
        <f t="shared" ref="B8:B17" si="0">$C$4</f>
        <v>2025-2026</v>
      </c>
      <c r="C8" s="114" t="str">
        <f t="shared" ref="C8:C17" si="1">ETABLISSEMENT_NOM</f>
        <v/>
      </c>
      <c r="D8" s="114" t="str">
        <f>IF(PARAMETRES!$C$5="","",PARAMETRES!$C$5)</f>
        <v/>
      </c>
      <c r="E8" s="113" t="s">
        <v>39</v>
      </c>
      <c r="F8" s="114" t="s">
        <v>163</v>
      </c>
      <c r="G8" s="114">
        <f>COUNTIFS(D_ANNEE,$C$4,D_NIVEAU,"CP",D_SESSION,"S1")</f>
        <v>0</v>
      </c>
      <c r="H8" s="128" t="str">
        <f>IFERROR(ROUND(AVERAGEIFS(D_EQ_PERF,D_ANNEE,$C$4,D_NIVEAU,"CP",D_SESSION,"S1",D_EQ_NIV,"&gt;0"),2),"Non réalisée")</f>
        <v>Non réalisée</v>
      </c>
      <c r="I8" s="128" t="str">
        <f>IFERROR(ROUND(AVERAGEIFS(D_SO_PERF,D_ANNEE,$C$4,D_NIVEAU,"CP",D_SESSION,"S1",D_SO_NIV,"&gt;0"),2),"Non réalisée")</f>
        <v>Non réalisée</v>
      </c>
      <c r="J8" s="128" t="str">
        <f>IFERROR(ROUND(AVERAGEIFS(D_VI_PERF,D_ANNEE,$C$4,D_NIVEAU,"CP",D_SESSION,"S1",D_VI_NIV,"&gt;0"),2),"Non réalisée")</f>
        <v>Non réalisée</v>
      </c>
      <c r="K8" s="128" t="str">
        <f>IFERROR(ROUND(AVERAGEIFS(D_EN_PERF,D_ANNEE,$C$4,D_NIVEAU,"CP",D_SESSION,"S1",D_EN_NIV,"&gt;0"),2),"Non réalisée")</f>
        <v>Non réalisée</v>
      </c>
      <c r="L8" s="128" t="str">
        <f>IFERROR(ROUND(AVERAGEIFS(D_CO_PERF,D_ANNEE,$C$4,D_NIVEAU,"CP",D_SESSION,"S1",D_CO_NIV,"&gt;0"),2),"Non réalisée")</f>
        <v>Non réalisée</v>
      </c>
      <c r="M8" s="128" t="str">
        <f>IFERROR(ROUND(AVERAGEIFS(D_GA_PERF,D_ANNEE,$C$4,D_NIVEAU,"CP",D_SESSION,"S1",D_GA_NIV,"&gt;0"),2),"Non réalisée")</f>
        <v>Non réalisée</v>
      </c>
      <c r="N8" s="128" t="str">
        <f>IFERROR(ROUND(AVERAGEIFS(D_AD_PERF,D_ANNEE,$C$4,D_NIVEAU,"CP",D_SESSION,"S1",D_AD_NIV,"&gt;0"),2),"Non réalisée")</f>
        <v>Non réalisée</v>
      </c>
      <c r="O8" s="128" t="str">
        <f>IFERROR(ROUND(AVERAGEIFS(D_FO_PERF,D_ANNEE,$C$4,D_NIVEAU,"CP",D_SESSION,"S1",D_FO_NIV,"&gt;0"),2),"Non réalisée")</f>
        <v>Non réalisée</v>
      </c>
      <c r="P8" s="128" t="str">
        <f>IFERROR(ROUND(AVERAGEIFS(D_MOYNIV,D_ANNEE,$C$4,D_NIVEAU,"CP",D_SESSION,"S1"),2),"Non réalisée")</f>
        <v>Non réalisée</v>
      </c>
      <c r="Q8" s="114">
        <f>COUNTIFS(D_ANNEE,$C$4,D_NIVEAU,"CP",D_SESSION,"S1",D_MOYNIV,"&gt;0",D_MOYNIV,"&lt;"&amp;1.5)</f>
        <v>0</v>
      </c>
      <c r="R8" s="114">
        <f>COUNTIFS(D_ANNEE,$C$4,D_NIVEAU,"CP",D_SESSION,"S1",D_MOYNIV,"&gt;="&amp;1.5,D_MOYNIV,"&lt;"&amp;2.5)</f>
        <v>0</v>
      </c>
      <c r="S8" s="114">
        <f>COUNTIFS(D_ANNEE,$C$4,D_NIVEAU,"CP",D_SESSION,"S1",D_MOYNIV,"&gt;="&amp;2.5,D_MOYNIV,"&lt;"&amp;3.5)</f>
        <v>0</v>
      </c>
      <c r="T8" s="114">
        <f>COUNTIFS(D_ANNEE,$C$4,D_NIVEAU,"CP",D_SESSION,"S1",D_MOYNIV,"&gt;="&amp;3.5,D_MOYNIV,"&lt;"&amp;4.5)</f>
        <v>0</v>
      </c>
      <c r="U8" s="114">
        <f>COUNTIFS(D_ANNEE,$C$4,D_NIVEAU,"CP",D_SESSION,"S1",D_MOYNIV,"&gt;="&amp;4.5,D_MOYNIV,"&lt;"&amp;5.5)</f>
        <v>0</v>
      </c>
      <c r="V8" s="128" t="s">
        <v>284</v>
      </c>
    </row>
    <row r="9" spans="1:26" ht="25.5" customHeight="1" x14ac:dyDescent="0.3">
      <c r="B9" s="129" t="str">
        <f t="shared" si="0"/>
        <v>2025-2026</v>
      </c>
      <c r="C9" s="129" t="str">
        <f t="shared" si="1"/>
        <v/>
      </c>
      <c r="D9" s="129" t="str">
        <f>IF(PARAMETRES!$C$5="","",PARAMETRES!$C$5)</f>
        <v/>
      </c>
      <c r="E9" s="113" t="s">
        <v>39</v>
      </c>
      <c r="F9" s="129" t="s">
        <v>164</v>
      </c>
      <c r="G9" s="129">
        <f>COUNTIFS(D_ANNEE,$C$4,D_NIVEAU,"CP",D_SESSION,"S2")</f>
        <v>0</v>
      </c>
      <c r="H9" s="130" t="str">
        <f>IFERROR(ROUND(AVERAGEIFS(D_EQ_PERF,D_ANNEE,$C$4,D_NIVEAU,"CP",D_SESSION,"S2",D_EQ_NIV,"&gt;0"),2),"Non réalisée")</f>
        <v>Non réalisée</v>
      </c>
      <c r="I9" s="130" t="str">
        <f>IFERROR(ROUND(AVERAGEIFS(D_SO_PERF,D_ANNEE,$C$4,D_NIVEAU,"CP",D_SESSION,"S2",D_SO_NIV,"&gt;0"),2),"Non réalisée")</f>
        <v>Non réalisée</v>
      </c>
      <c r="J9" s="130" t="str">
        <f>IFERROR(ROUND(AVERAGEIFS(D_VI_PERF,D_ANNEE,$C$4,D_NIVEAU,"CP",D_SESSION,"S2",D_VI_NIV,"&gt;0"),2),"Non réalisée")</f>
        <v>Non réalisée</v>
      </c>
      <c r="K9" s="130" t="str">
        <f>IFERROR(ROUND(AVERAGEIFS(D_EN_PERF,D_ANNEE,$C$4,D_NIVEAU,"CP",D_SESSION,"S2",D_EN_NIV,"&gt;0"),2),"Non réalisée")</f>
        <v>Non réalisée</v>
      </c>
      <c r="L9" s="130" t="str">
        <f>IFERROR(ROUND(AVERAGEIFS(D_CO_PERF,D_ANNEE,$C$4,D_NIVEAU,"CP",D_SESSION,"S2",D_CO_NIV,"&gt;0"),2),"Non réalisée")</f>
        <v>Non réalisée</v>
      </c>
      <c r="M9" s="130" t="str">
        <f>IFERROR(ROUND(AVERAGEIFS(D_GA_PERF,D_ANNEE,$C$4,D_NIVEAU,"CP",D_SESSION,"S2",D_GA_NIV,"&gt;0"),2),"Non réalisée")</f>
        <v>Non réalisée</v>
      </c>
      <c r="N9" s="130" t="str">
        <f>IFERROR(ROUND(AVERAGEIFS(D_AD_PERF,D_ANNEE,$C$4,D_NIVEAU,"CP",D_SESSION,"S2",D_AD_NIV,"&gt;0"),2),"Non réalisée")</f>
        <v>Non réalisée</v>
      </c>
      <c r="O9" s="130" t="str">
        <f>IFERROR(ROUND(AVERAGEIFS(D_FO_PERF,D_ANNEE,$C$4,D_NIVEAU,"CP",D_SESSION,"S2",D_FO_NIV,"&gt;0"),2),"Non réalisée")</f>
        <v>Non réalisée</v>
      </c>
      <c r="P9" s="130" t="str">
        <f>IFERROR(ROUND(AVERAGEIFS(D_MOYNIV,D_ANNEE,$C$4,D_NIVEAU,"CP",D_SESSION,"S2"),2),"Non réalisée")</f>
        <v>Non réalisée</v>
      </c>
      <c r="Q9" s="129">
        <f>COUNTIFS(D_ANNEE,$C$4,D_NIVEAU,"CP",D_SESSION,"S2",D_MOYNIV,"&gt;0",D_MOYNIV,"&lt;"&amp;1.5)</f>
        <v>0</v>
      </c>
      <c r="R9" s="129">
        <f>COUNTIFS(D_ANNEE,$C$4,D_NIVEAU,"CP",D_SESSION,"S2",D_MOYNIV,"&gt;="&amp;1.5,D_MOYNIV,"&lt;"&amp;2.5)</f>
        <v>0</v>
      </c>
      <c r="S9" s="129">
        <f>COUNTIFS(D_ANNEE,$C$4,D_NIVEAU,"CP",D_SESSION,"S2",D_MOYNIV,"&gt;="&amp;2.5,D_MOYNIV,"&lt;"&amp;3.5)</f>
        <v>0</v>
      </c>
      <c r="T9" s="129">
        <f>COUNTIFS(D_ANNEE,$C$4,D_NIVEAU,"CP",D_SESSION,"S2",D_MOYNIV,"&gt;="&amp;3.5,D_MOYNIV,"&lt;"&amp;4.5)</f>
        <v>0</v>
      </c>
      <c r="U9" s="129">
        <f>COUNTIFS(D_ANNEE,$C$4,D_NIVEAU,"CP",D_SESSION,"S2",D_MOYNIV,"&gt;="&amp;4.5,D_MOYNIV,"&lt;"&amp;5.5)</f>
        <v>0</v>
      </c>
      <c r="V9" s="130" t="str">
        <f>IF(OR(G9=0,G8=0),"Non réalisée",IFERROR(ROUND(P9-P8,2),"Non réalisée"))</f>
        <v>Non réalisée</v>
      </c>
      <c r="W9" s="131"/>
      <c r="X9" s="131"/>
    </row>
    <row r="10" spans="1:26" ht="25.5" customHeight="1" x14ac:dyDescent="0.3">
      <c r="B10" s="118" t="str">
        <f t="shared" si="0"/>
        <v>2025-2026</v>
      </c>
      <c r="C10" s="118" t="str">
        <f t="shared" si="1"/>
        <v/>
      </c>
      <c r="D10" s="118" t="str">
        <f>IF(PARAMETRES!$C$5="","",PARAMETRES!$C$5)</f>
        <v/>
      </c>
      <c r="E10" s="117" t="s">
        <v>40</v>
      </c>
      <c r="F10" s="118" t="s">
        <v>163</v>
      </c>
      <c r="G10" s="118">
        <f>COUNTIFS(D_ANNEE,$C$4,D_NIVEAU,"CE1",D_SESSION,"S1")</f>
        <v>0</v>
      </c>
      <c r="H10" s="132" t="str">
        <f>IFERROR(ROUND(AVERAGEIFS(D_EQ_PERF,D_ANNEE,$C$4,D_NIVEAU,"CE1",D_SESSION,"S1",D_EQ_NIV,"&gt;0"),2),"Non réalisée")</f>
        <v>Non réalisée</v>
      </c>
      <c r="I10" s="132" t="str">
        <f>IFERROR(ROUND(AVERAGEIFS(D_SO_PERF,D_ANNEE,$C$4,D_NIVEAU,"CE1",D_SESSION,"S1",D_SO_NIV,"&gt;0"),2),"Non réalisée")</f>
        <v>Non réalisée</v>
      </c>
      <c r="J10" s="132" t="str">
        <f>IFERROR(ROUND(AVERAGEIFS(D_VI_PERF,D_ANNEE,$C$4,D_NIVEAU,"CE1",D_SESSION,"S1",D_VI_NIV,"&gt;0"),2),"Non réalisée")</f>
        <v>Non réalisée</v>
      </c>
      <c r="K10" s="132" t="str">
        <f>IFERROR(ROUND(AVERAGEIFS(D_EN_PERF,D_ANNEE,$C$4,D_NIVEAU,"CE1",D_SESSION,"S1",D_EN_NIV,"&gt;0"),2),"Non réalisée")</f>
        <v>Non réalisée</v>
      </c>
      <c r="L10" s="132" t="str">
        <f>IFERROR(ROUND(AVERAGEIFS(D_CO_PERF,D_ANNEE,$C$4,D_NIVEAU,"CE1",D_SESSION,"S1",D_CO_NIV,"&gt;0"),2),"Non réalisée")</f>
        <v>Non réalisée</v>
      </c>
      <c r="M10" s="132" t="str">
        <f>IFERROR(ROUND(AVERAGEIFS(D_GA_PERF,D_ANNEE,$C$4,D_NIVEAU,"CE1",D_SESSION,"S1",D_GA_NIV,"&gt;0"),2),"Non réalisée")</f>
        <v>Non réalisée</v>
      </c>
      <c r="N10" s="132" t="str">
        <f>IFERROR(ROUND(AVERAGEIFS(D_AD_PERF,D_ANNEE,$C$4,D_NIVEAU,"CE1",D_SESSION,"S1",D_AD_NIV,"&gt;0"),2),"Non réalisée")</f>
        <v>Non réalisée</v>
      </c>
      <c r="O10" s="132" t="str">
        <f>IFERROR(ROUND(AVERAGEIFS(D_FO_PERF,D_ANNEE,$C$4,D_NIVEAU,"CE1",D_SESSION,"S1",D_FO_NIV,"&gt;0"),2),"Non réalisée")</f>
        <v>Non réalisée</v>
      </c>
      <c r="P10" s="132" t="str">
        <f>IFERROR(ROUND(AVERAGEIFS(D_MOYNIV,D_ANNEE,$C$4,D_NIVEAU,"CE1",D_SESSION,"S1"),2),"Non réalisée")</f>
        <v>Non réalisée</v>
      </c>
      <c r="Q10" s="118">
        <f>COUNTIFS(D_ANNEE,$C$4,D_NIVEAU,"CE1",D_SESSION,"S1",D_MOYNIV,"&gt;0",D_MOYNIV,"&lt;"&amp;1.5)</f>
        <v>0</v>
      </c>
      <c r="R10" s="118">
        <f>COUNTIFS(D_ANNEE,$C$4,D_NIVEAU,"CE1",D_SESSION,"S1",D_MOYNIV,"&gt;="&amp;1.5,D_MOYNIV,"&lt;"&amp;2.5)</f>
        <v>0</v>
      </c>
      <c r="S10" s="118">
        <f>COUNTIFS(D_ANNEE,$C$4,D_NIVEAU,"CE1",D_SESSION,"S1",D_MOYNIV,"&gt;="&amp;2.5,D_MOYNIV,"&lt;"&amp;3.5)</f>
        <v>0</v>
      </c>
      <c r="T10" s="118">
        <f>COUNTIFS(D_ANNEE,$C$4,D_NIVEAU,"CE1",D_SESSION,"S1",D_MOYNIV,"&gt;="&amp;3.5,D_MOYNIV,"&lt;"&amp;4.5)</f>
        <v>0</v>
      </c>
      <c r="U10" s="118">
        <f>COUNTIFS(D_ANNEE,$C$4,D_NIVEAU,"CE1",D_SESSION,"S1",D_MOYNIV,"&gt;="&amp;4.5,D_MOYNIV,"&lt;"&amp;5.5)</f>
        <v>0</v>
      </c>
      <c r="V10" s="132" t="s">
        <v>284</v>
      </c>
    </row>
    <row r="11" spans="1:26" ht="25.5" customHeight="1" x14ac:dyDescent="0.3">
      <c r="B11" s="133" t="str">
        <f t="shared" si="0"/>
        <v>2025-2026</v>
      </c>
      <c r="C11" s="133" t="str">
        <f t="shared" si="1"/>
        <v/>
      </c>
      <c r="D11" s="133" t="str">
        <f>IF(PARAMETRES!$C$5="","",PARAMETRES!$C$5)</f>
        <v/>
      </c>
      <c r="E11" s="117" t="s">
        <v>40</v>
      </c>
      <c r="F11" s="133" t="s">
        <v>164</v>
      </c>
      <c r="G11" s="133">
        <f>COUNTIFS(D_ANNEE,$C$4,D_NIVEAU,"CE1",D_SESSION,"S2")</f>
        <v>0</v>
      </c>
      <c r="H11" s="134" t="str">
        <f>IFERROR(ROUND(AVERAGEIFS(D_EQ_PERF,D_ANNEE,$C$4,D_NIVEAU,"CE1",D_SESSION,"S2",D_EQ_NIV,"&gt;0"),2),"Non réalisée")</f>
        <v>Non réalisée</v>
      </c>
      <c r="I11" s="134" t="str">
        <f>IFERROR(ROUND(AVERAGEIFS(D_SO_PERF,D_ANNEE,$C$4,D_NIVEAU,"CE1",D_SESSION,"S2",D_SO_NIV,"&gt;0"),2),"Non réalisée")</f>
        <v>Non réalisée</v>
      </c>
      <c r="J11" s="134" t="str">
        <f>IFERROR(ROUND(AVERAGEIFS(D_VI_PERF,D_ANNEE,$C$4,D_NIVEAU,"CE1",D_SESSION,"S2",D_VI_NIV,"&gt;0"),2),"Non réalisée")</f>
        <v>Non réalisée</v>
      </c>
      <c r="K11" s="134" t="str">
        <f>IFERROR(ROUND(AVERAGEIFS(D_EN_PERF,D_ANNEE,$C$4,D_NIVEAU,"CE1",D_SESSION,"S2",D_EN_NIV,"&gt;0"),2),"Non réalisée")</f>
        <v>Non réalisée</v>
      </c>
      <c r="L11" s="134" t="str">
        <f>IFERROR(ROUND(AVERAGEIFS(D_CO_PERF,D_ANNEE,$C$4,D_NIVEAU,"CE1",D_SESSION,"S2",D_CO_NIV,"&gt;0"),2),"Non réalisée")</f>
        <v>Non réalisée</v>
      </c>
      <c r="M11" s="134" t="str">
        <f>IFERROR(ROUND(AVERAGEIFS(D_GA_PERF,D_ANNEE,$C$4,D_NIVEAU,"CE1",D_SESSION,"S2",D_GA_NIV,"&gt;0"),2),"Non réalisée")</f>
        <v>Non réalisée</v>
      </c>
      <c r="N11" s="134" t="str">
        <f>IFERROR(ROUND(AVERAGEIFS(D_AD_PERF,D_ANNEE,$C$4,D_NIVEAU,"CE1",D_SESSION,"S2",D_AD_NIV,"&gt;0"),2),"Non réalisée")</f>
        <v>Non réalisée</v>
      </c>
      <c r="O11" s="134" t="str">
        <f>IFERROR(ROUND(AVERAGEIFS(D_FO_PERF,D_ANNEE,$C$4,D_NIVEAU,"CE1",D_SESSION,"S2",D_FO_NIV,"&gt;0"),2),"Non réalisée")</f>
        <v>Non réalisée</v>
      </c>
      <c r="P11" s="134" t="str">
        <f>IFERROR(ROUND(AVERAGEIFS(D_MOYNIV,D_ANNEE,$C$4,D_NIVEAU,"CE1",D_SESSION,"S2"),2),"Non réalisée")</f>
        <v>Non réalisée</v>
      </c>
      <c r="Q11" s="133">
        <f>COUNTIFS(D_ANNEE,$C$4,D_NIVEAU,"CE1",D_SESSION,"S2",D_MOYNIV,"&gt;0",D_MOYNIV,"&lt;"&amp;1.5)</f>
        <v>0</v>
      </c>
      <c r="R11" s="133">
        <f>COUNTIFS(D_ANNEE,$C$4,D_NIVEAU,"CE1",D_SESSION,"S2",D_MOYNIV,"&gt;="&amp;1.5,D_MOYNIV,"&lt;"&amp;2.5)</f>
        <v>0</v>
      </c>
      <c r="S11" s="133">
        <f>COUNTIFS(D_ANNEE,$C$4,D_NIVEAU,"CE1",D_SESSION,"S2",D_MOYNIV,"&gt;="&amp;2.5,D_MOYNIV,"&lt;"&amp;3.5)</f>
        <v>0</v>
      </c>
      <c r="T11" s="133">
        <f>COUNTIFS(D_ANNEE,$C$4,D_NIVEAU,"CE1",D_SESSION,"S2",D_MOYNIV,"&gt;="&amp;3.5,D_MOYNIV,"&lt;"&amp;4.5)</f>
        <v>0</v>
      </c>
      <c r="U11" s="133">
        <f>COUNTIFS(D_ANNEE,$C$4,D_NIVEAU,"CE1",D_SESSION,"S2",D_MOYNIV,"&gt;="&amp;4.5,D_MOYNIV,"&lt;"&amp;5.5)</f>
        <v>0</v>
      </c>
      <c r="V11" s="134" t="str">
        <f>IF(OR(G11=0,G10=0),"Non réalisée",IFERROR(ROUND(P11-P10,2),"Non réalisée"))</f>
        <v>Non réalisée</v>
      </c>
      <c r="W11" s="131"/>
      <c r="X11" s="131"/>
    </row>
    <row r="12" spans="1:26" ht="25.5" customHeight="1" x14ac:dyDescent="0.3">
      <c r="B12" s="114" t="str">
        <f t="shared" si="0"/>
        <v>2025-2026</v>
      </c>
      <c r="C12" s="114" t="str">
        <f t="shared" si="1"/>
        <v/>
      </c>
      <c r="D12" s="114" t="str">
        <f>IF(PARAMETRES!$C$5="","",PARAMETRES!$C$5)</f>
        <v/>
      </c>
      <c r="E12" s="113" t="s">
        <v>41</v>
      </c>
      <c r="F12" s="114" t="s">
        <v>163</v>
      </c>
      <c r="G12" s="114">
        <f>COUNTIFS(D_ANNEE,$C$4,D_NIVEAU,"CE2",D_SESSION,"S1")</f>
        <v>0</v>
      </c>
      <c r="H12" s="128" t="str">
        <f>IFERROR(ROUND(AVERAGEIFS(D_EQ_PERF,D_ANNEE,$C$4,D_NIVEAU,"CE2",D_SESSION,"S1",D_EQ_NIV,"&gt;0"),2),"Non réalisée")</f>
        <v>Non réalisée</v>
      </c>
      <c r="I12" s="128" t="str">
        <f>IFERROR(ROUND(AVERAGEIFS(D_SO_PERF,D_ANNEE,$C$4,D_NIVEAU,"CE2",D_SESSION,"S1",D_SO_NIV,"&gt;0"),2),"Non réalisée")</f>
        <v>Non réalisée</v>
      </c>
      <c r="J12" s="128" t="str">
        <f>IFERROR(ROUND(AVERAGEIFS(D_VI_PERF,D_ANNEE,$C$4,D_NIVEAU,"CE2",D_SESSION,"S1",D_VI_NIV,"&gt;0"),2),"Non réalisée")</f>
        <v>Non réalisée</v>
      </c>
      <c r="K12" s="128" t="str">
        <f>IFERROR(ROUND(AVERAGEIFS(D_EN_PERF,D_ANNEE,$C$4,D_NIVEAU,"CE2",D_SESSION,"S1",D_EN_NIV,"&gt;0"),2),"Non réalisée")</f>
        <v>Non réalisée</v>
      </c>
      <c r="L12" s="128" t="str">
        <f>IFERROR(ROUND(AVERAGEIFS(D_CO_PERF,D_ANNEE,$C$4,D_NIVEAU,"CE2",D_SESSION,"S1",D_CO_NIV,"&gt;0"),2),"Non réalisée")</f>
        <v>Non réalisée</v>
      </c>
      <c r="M12" s="128" t="str">
        <f>IFERROR(ROUND(AVERAGEIFS(D_GA_PERF,D_ANNEE,$C$4,D_NIVEAU,"CE2",D_SESSION,"S1",D_GA_NIV,"&gt;0"),2),"Non réalisée")</f>
        <v>Non réalisée</v>
      </c>
      <c r="N12" s="128" t="str">
        <f>IFERROR(ROUND(AVERAGEIFS(D_AD_PERF,D_ANNEE,$C$4,D_NIVEAU,"CE2",D_SESSION,"S1",D_AD_NIV,"&gt;0"),2),"Non réalisée")</f>
        <v>Non réalisée</v>
      </c>
      <c r="O12" s="128" t="str">
        <f>IFERROR(ROUND(AVERAGEIFS(D_FO_PERF,D_ANNEE,$C$4,D_NIVEAU,"CE2",D_SESSION,"S1",D_FO_NIV,"&gt;0"),2),"Non réalisée")</f>
        <v>Non réalisée</v>
      </c>
      <c r="P12" s="128" t="str">
        <f>IFERROR(ROUND(AVERAGEIFS(D_MOYNIV,D_ANNEE,$C$4,D_NIVEAU,"CE2",D_SESSION,"S1"),2),"Non réalisée")</f>
        <v>Non réalisée</v>
      </c>
      <c r="Q12" s="114">
        <f>COUNTIFS(D_ANNEE,$C$4,D_NIVEAU,"CE2",D_SESSION,"S1",D_MOYNIV,"&gt;0",D_MOYNIV,"&lt;"&amp;1.5)</f>
        <v>0</v>
      </c>
      <c r="R12" s="114">
        <f>COUNTIFS(D_ANNEE,$C$4,D_NIVEAU,"CE2",D_SESSION,"S1",D_MOYNIV,"&gt;="&amp;1.5,D_MOYNIV,"&lt;"&amp;2.5)</f>
        <v>0</v>
      </c>
      <c r="S12" s="114">
        <f>COUNTIFS(D_ANNEE,$C$4,D_NIVEAU,"CE2",D_SESSION,"S1",D_MOYNIV,"&gt;="&amp;2.5,D_MOYNIV,"&lt;"&amp;3.5)</f>
        <v>0</v>
      </c>
      <c r="T12" s="114">
        <f>COUNTIFS(D_ANNEE,$C$4,D_NIVEAU,"CE2",D_SESSION,"S1",D_MOYNIV,"&gt;="&amp;3.5,D_MOYNIV,"&lt;"&amp;4.5)</f>
        <v>0</v>
      </c>
      <c r="U12" s="114">
        <f>COUNTIFS(D_ANNEE,$C$4,D_NIVEAU,"CE2",D_SESSION,"S1",D_MOYNIV,"&gt;="&amp;4.5,D_MOYNIV,"&lt;"&amp;5.5)</f>
        <v>0</v>
      </c>
      <c r="V12" s="128" t="s">
        <v>284</v>
      </c>
    </row>
    <row r="13" spans="1:26" ht="25.5" customHeight="1" x14ac:dyDescent="0.3">
      <c r="B13" s="129" t="str">
        <f t="shared" si="0"/>
        <v>2025-2026</v>
      </c>
      <c r="C13" s="129" t="str">
        <f t="shared" si="1"/>
        <v/>
      </c>
      <c r="D13" s="129" t="str">
        <f>IF(PARAMETRES!$C$5="","",PARAMETRES!$C$5)</f>
        <v/>
      </c>
      <c r="E13" s="113" t="s">
        <v>41</v>
      </c>
      <c r="F13" s="129" t="s">
        <v>164</v>
      </c>
      <c r="G13" s="129">
        <f>COUNTIFS(D_ANNEE,$C$4,D_NIVEAU,"CE2",D_SESSION,"S2")</f>
        <v>0</v>
      </c>
      <c r="H13" s="130" t="str">
        <f>IFERROR(ROUND(AVERAGEIFS(D_EQ_PERF,D_ANNEE,$C$4,D_NIVEAU,"CE2",D_SESSION,"S2",D_EQ_NIV,"&gt;0"),2),"Non réalisée")</f>
        <v>Non réalisée</v>
      </c>
      <c r="I13" s="130" t="str">
        <f>IFERROR(ROUND(AVERAGEIFS(D_SO_PERF,D_ANNEE,$C$4,D_NIVEAU,"CE2",D_SESSION,"S2",D_SO_NIV,"&gt;0"),2),"Non réalisée")</f>
        <v>Non réalisée</v>
      </c>
      <c r="J13" s="130" t="str">
        <f>IFERROR(ROUND(AVERAGEIFS(D_VI_PERF,D_ANNEE,$C$4,D_NIVEAU,"CE2",D_SESSION,"S2",D_VI_NIV,"&gt;0"),2),"Non réalisée")</f>
        <v>Non réalisée</v>
      </c>
      <c r="K13" s="130" t="str">
        <f>IFERROR(ROUND(AVERAGEIFS(D_EN_PERF,D_ANNEE,$C$4,D_NIVEAU,"CE2",D_SESSION,"S2",D_EN_NIV,"&gt;0"),2),"Non réalisée")</f>
        <v>Non réalisée</v>
      </c>
      <c r="L13" s="130" t="str">
        <f>IFERROR(ROUND(AVERAGEIFS(D_CO_PERF,D_ANNEE,$C$4,D_NIVEAU,"CE2",D_SESSION,"S2",D_CO_NIV,"&gt;0"),2),"Non réalisée")</f>
        <v>Non réalisée</v>
      </c>
      <c r="M13" s="130" t="str">
        <f>IFERROR(ROUND(AVERAGEIFS(D_GA_PERF,D_ANNEE,$C$4,D_NIVEAU,"CE2",D_SESSION,"S2",D_GA_NIV,"&gt;0"),2),"Non réalisée")</f>
        <v>Non réalisée</v>
      </c>
      <c r="N13" s="130" t="str">
        <f>IFERROR(ROUND(AVERAGEIFS(D_AD_PERF,D_ANNEE,$C$4,D_NIVEAU,"CE2",D_SESSION,"S2",D_AD_NIV,"&gt;0"),2),"Non réalisée")</f>
        <v>Non réalisée</v>
      </c>
      <c r="O13" s="130" t="str">
        <f>IFERROR(ROUND(AVERAGEIFS(D_FO_PERF,D_ANNEE,$C$4,D_NIVEAU,"CE2",D_SESSION,"S2",D_FO_NIV,"&gt;0"),2),"Non réalisée")</f>
        <v>Non réalisée</v>
      </c>
      <c r="P13" s="130" t="str">
        <f>IFERROR(ROUND(AVERAGEIFS(D_MOYNIV,D_ANNEE,$C$4,D_NIVEAU,"CE2",D_SESSION,"S2"),2),"Non réalisée")</f>
        <v>Non réalisée</v>
      </c>
      <c r="Q13" s="129">
        <f>COUNTIFS(D_ANNEE,$C$4,D_NIVEAU,"CE2",D_SESSION,"S2",D_MOYNIV,"&gt;0",D_MOYNIV,"&lt;"&amp;1.5)</f>
        <v>0</v>
      </c>
      <c r="R13" s="129">
        <f>COUNTIFS(D_ANNEE,$C$4,D_NIVEAU,"CE2",D_SESSION,"S2",D_MOYNIV,"&gt;="&amp;1.5,D_MOYNIV,"&lt;"&amp;2.5)</f>
        <v>0</v>
      </c>
      <c r="S13" s="129">
        <f>COUNTIFS(D_ANNEE,$C$4,D_NIVEAU,"CE2",D_SESSION,"S2",D_MOYNIV,"&gt;="&amp;2.5,D_MOYNIV,"&lt;"&amp;3.5)</f>
        <v>0</v>
      </c>
      <c r="T13" s="129">
        <f>COUNTIFS(D_ANNEE,$C$4,D_NIVEAU,"CE2",D_SESSION,"S2",D_MOYNIV,"&gt;="&amp;3.5,D_MOYNIV,"&lt;"&amp;4.5)</f>
        <v>0</v>
      </c>
      <c r="U13" s="129">
        <f>COUNTIFS(D_ANNEE,$C$4,D_NIVEAU,"CE2",D_SESSION,"S2",D_MOYNIV,"&gt;="&amp;4.5,D_MOYNIV,"&lt;"&amp;5.5)</f>
        <v>0</v>
      </c>
      <c r="V13" s="130" t="str">
        <f>IF(OR(G13=0,G12=0),"Non réalisée",IFERROR(ROUND(P13-P12,2),"Non réalisée"))</f>
        <v>Non réalisée</v>
      </c>
      <c r="W13" s="131"/>
      <c r="X13" s="131"/>
    </row>
    <row r="14" spans="1:26" ht="25.5" customHeight="1" x14ac:dyDescent="0.3">
      <c r="B14" s="118" t="str">
        <f t="shared" si="0"/>
        <v>2025-2026</v>
      </c>
      <c r="C14" s="118" t="str">
        <f t="shared" si="1"/>
        <v/>
      </c>
      <c r="D14" s="118" t="str">
        <f>IF(PARAMETRES!$C$5="","",PARAMETRES!$C$5)</f>
        <v/>
      </c>
      <c r="E14" s="117" t="s">
        <v>42</v>
      </c>
      <c r="F14" s="118" t="s">
        <v>163</v>
      </c>
      <c r="G14" s="118">
        <f>COUNTIFS(D_ANNEE,$C$4,D_NIVEAU,"CM1",D_SESSION,"S1")</f>
        <v>0</v>
      </c>
      <c r="H14" s="132" t="str">
        <f>IFERROR(ROUND(AVERAGEIFS(D_EQ_PERF,D_ANNEE,$C$4,D_NIVEAU,"CM1",D_SESSION,"S1",D_EQ_NIV,"&gt;0"),2),"Non réalisée")</f>
        <v>Non réalisée</v>
      </c>
      <c r="I14" s="132" t="str">
        <f>IFERROR(ROUND(AVERAGEIFS(D_SO_PERF,D_ANNEE,$C$4,D_NIVEAU,"CM1",D_SESSION,"S1",D_SO_NIV,"&gt;0"),2),"Non réalisée")</f>
        <v>Non réalisée</v>
      </c>
      <c r="J14" s="132" t="str">
        <f>IFERROR(ROUND(AVERAGEIFS(D_VI_PERF,D_ANNEE,$C$4,D_NIVEAU,"CM1",D_SESSION,"S1",D_VI_NIV,"&gt;0"),2),"Non réalisée")</f>
        <v>Non réalisée</v>
      </c>
      <c r="K14" s="132" t="str">
        <f>IFERROR(ROUND(AVERAGEIFS(D_EN_PERF,D_ANNEE,$C$4,D_NIVEAU,"CM1",D_SESSION,"S1",D_EN_NIV,"&gt;0"),2),"Non réalisée")</f>
        <v>Non réalisée</v>
      </c>
      <c r="L14" s="132" t="str">
        <f>IFERROR(ROUND(AVERAGEIFS(D_CO_PERF,D_ANNEE,$C$4,D_NIVEAU,"CM1",D_SESSION,"S1",D_CO_NIV,"&gt;0"),2),"Non réalisée")</f>
        <v>Non réalisée</v>
      </c>
      <c r="M14" s="132" t="str">
        <f>IFERROR(ROUND(AVERAGEIFS(D_GA_PERF,D_ANNEE,$C$4,D_NIVEAU,"CM1",D_SESSION,"S1",D_GA_NIV,"&gt;0"),2),"Non réalisée")</f>
        <v>Non réalisée</v>
      </c>
      <c r="N14" s="132" t="str">
        <f>IFERROR(ROUND(AVERAGEIFS(D_AD_PERF,D_ANNEE,$C$4,D_NIVEAU,"CM1",D_SESSION,"S1",D_AD_NIV,"&gt;0"),2),"Non réalisée")</f>
        <v>Non réalisée</v>
      </c>
      <c r="O14" s="132" t="str">
        <f>IFERROR(ROUND(AVERAGEIFS(D_FO_PERF,D_ANNEE,$C$4,D_NIVEAU,"CM1",D_SESSION,"S1",D_FO_NIV,"&gt;0"),2),"Non réalisée")</f>
        <v>Non réalisée</v>
      </c>
      <c r="P14" s="132" t="str">
        <f>IFERROR(ROUND(AVERAGEIFS(D_MOYNIV,D_ANNEE,$C$4,D_NIVEAU,"CM1",D_SESSION,"S1"),2),"Non réalisée")</f>
        <v>Non réalisée</v>
      </c>
      <c r="Q14" s="118">
        <f>COUNTIFS(D_ANNEE,$C$4,D_NIVEAU,"CM1",D_SESSION,"S1",D_MOYNIV,"&gt;0",D_MOYNIV,"&lt;"&amp;1.5)</f>
        <v>0</v>
      </c>
      <c r="R14" s="118">
        <f>COUNTIFS(D_ANNEE,$C$4,D_NIVEAU,"CM1",D_SESSION,"S1",D_MOYNIV,"&gt;="&amp;1.5,D_MOYNIV,"&lt;"&amp;2.5)</f>
        <v>0</v>
      </c>
      <c r="S14" s="118">
        <f>COUNTIFS(D_ANNEE,$C$4,D_NIVEAU,"CM1",D_SESSION,"S1",D_MOYNIV,"&gt;="&amp;2.5,D_MOYNIV,"&lt;"&amp;3.5)</f>
        <v>0</v>
      </c>
      <c r="T14" s="118">
        <f>COUNTIFS(D_ANNEE,$C$4,D_NIVEAU,"CM1",D_SESSION,"S1",D_MOYNIV,"&gt;="&amp;3.5,D_MOYNIV,"&lt;"&amp;4.5)</f>
        <v>0</v>
      </c>
      <c r="U14" s="118">
        <f>COUNTIFS(D_ANNEE,$C$4,D_NIVEAU,"CM1",D_SESSION,"S1",D_MOYNIV,"&gt;="&amp;4.5,D_MOYNIV,"&lt;"&amp;5.5)</f>
        <v>0</v>
      </c>
      <c r="V14" s="132" t="s">
        <v>284</v>
      </c>
    </row>
    <row r="15" spans="1:26" ht="25.5" customHeight="1" x14ac:dyDescent="0.3">
      <c r="B15" s="133" t="str">
        <f t="shared" si="0"/>
        <v>2025-2026</v>
      </c>
      <c r="C15" s="133" t="str">
        <f t="shared" si="1"/>
        <v/>
      </c>
      <c r="D15" s="133" t="str">
        <f>IF(PARAMETRES!$C$5="","",PARAMETRES!$C$5)</f>
        <v/>
      </c>
      <c r="E15" s="117" t="s">
        <v>42</v>
      </c>
      <c r="F15" s="133" t="s">
        <v>164</v>
      </c>
      <c r="G15" s="133">
        <f>COUNTIFS(D_ANNEE,$C$4,D_NIVEAU,"CM1",D_SESSION,"S2")</f>
        <v>0</v>
      </c>
      <c r="H15" s="134" t="str">
        <f>IFERROR(ROUND(AVERAGEIFS(D_EQ_PERF,D_ANNEE,$C$4,D_NIVEAU,"CM1",D_SESSION,"S2",D_EQ_NIV,"&gt;0"),2),"Non réalisée")</f>
        <v>Non réalisée</v>
      </c>
      <c r="I15" s="134" t="str">
        <f>IFERROR(ROUND(AVERAGEIFS(D_SO_PERF,D_ANNEE,$C$4,D_NIVEAU,"CM1",D_SESSION,"S2",D_SO_NIV,"&gt;0"),2),"Non réalisée")</f>
        <v>Non réalisée</v>
      </c>
      <c r="J15" s="134" t="str">
        <f>IFERROR(ROUND(AVERAGEIFS(D_VI_PERF,D_ANNEE,$C$4,D_NIVEAU,"CM1",D_SESSION,"S2",D_VI_NIV,"&gt;0"),2),"Non réalisée")</f>
        <v>Non réalisée</v>
      </c>
      <c r="K15" s="134" t="str">
        <f>IFERROR(ROUND(AVERAGEIFS(D_EN_PERF,D_ANNEE,$C$4,D_NIVEAU,"CM1",D_SESSION,"S2",D_EN_NIV,"&gt;0"),2),"Non réalisée")</f>
        <v>Non réalisée</v>
      </c>
      <c r="L15" s="134" t="str">
        <f>IFERROR(ROUND(AVERAGEIFS(D_CO_PERF,D_ANNEE,$C$4,D_NIVEAU,"CM1",D_SESSION,"S2",D_CO_NIV,"&gt;0"),2),"Non réalisée")</f>
        <v>Non réalisée</v>
      </c>
      <c r="M15" s="134" t="str">
        <f>IFERROR(ROUND(AVERAGEIFS(D_GA_PERF,D_ANNEE,$C$4,D_NIVEAU,"CM1",D_SESSION,"S2",D_GA_NIV,"&gt;0"),2),"Non réalisée")</f>
        <v>Non réalisée</v>
      </c>
      <c r="N15" s="134" t="str">
        <f>IFERROR(ROUND(AVERAGEIFS(D_AD_PERF,D_ANNEE,$C$4,D_NIVEAU,"CM1",D_SESSION,"S2",D_AD_NIV,"&gt;0"),2),"Non réalisée")</f>
        <v>Non réalisée</v>
      </c>
      <c r="O15" s="134" t="str">
        <f>IFERROR(ROUND(AVERAGEIFS(D_FO_PERF,D_ANNEE,$C$4,D_NIVEAU,"CM1",D_SESSION,"S2",D_FO_NIV,"&gt;0"),2),"Non réalisée")</f>
        <v>Non réalisée</v>
      </c>
      <c r="P15" s="134" t="str">
        <f>IFERROR(ROUND(AVERAGEIFS(D_MOYNIV,D_ANNEE,$C$4,D_NIVEAU,"CM1",D_SESSION,"S2"),2),"Non réalisée")</f>
        <v>Non réalisée</v>
      </c>
      <c r="Q15" s="133">
        <f>COUNTIFS(D_ANNEE,$C$4,D_NIVEAU,"CM1",D_SESSION,"S2",D_MOYNIV,"&gt;0",D_MOYNIV,"&lt;"&amp;1.5)</f>
        <v>0</v>
      </c>
      <c r="R15" s="133">
        <f>COUNTIFS(D_ANNEE,$C$4,D_NIVEAU,"CM1",D_SESSION,"S2",D_MOYNIV,"&gt;="&amp;1.5,D_MOYNIV,"&lt;"&amp;2.5)</f>
        <v>0</v>
      </c>
      <c r="S15" s="133">
        <f>COUNTIFS(D_ANNEE,$C$4,D_NIVEAU,"CM1",D_SESSION,"S2",D_MOYNIV,"&gt;="&amp;2.5,D_MOYNIV,"&lt;"&amp;3.5)</f>
        <v>0</v>
      </c>
      <c r="T15" s="133">
        <f>COUNTIFS(D_ANNEE,$C$4,D_NIVEAU,"CM1",D_SESSION,"S2",D_MOYNIV,"&gt;="&amp;3.5,D_MOYNIV,"&lt;"&amp;4.5)</f>
        <v>0</v>
      </c>
      <c r="U15" s="133">
        <f>COUNTIFS(D_ANNEE,$C$4,D_NIVEAU,"CM1",D_SESSION,"S2",D_MOYNIV,"&gt;="&amp;4.5,D_MOYNIV,"&lt;"&amp;5.5)</f>
        <v>0</v>
      </c>
      <c r="V15" s="134" t="str">
        <f>IF(OR(G15=0,G14=0),"Non réalisée",IFERROR(ROUND(P15-P14,2),"Non réalisée"))</f>
        <v>Non réalisée</v>
      </c>
      <c r="W15" s="131"/>
      <c r="X15" s="131"/>
    </row>
    <row r="16" spans="1:26" ht="25.5" customHeight="1" x14ac:dyDescent="0.3">
      <c r="B16" s="114" t="str">
        <f t="shared" si="0"/>
        <v>2025-2026</v>
      </c>
      <c r="C16" s="114" t="str">
        <f t="shared" si="1"/>
        <v/>
      </c>
      <c r="D16" s="114" t="str">
        <f>IF(PARAMETRES!$C$5="","",PARAMETRES!$C$5)</f>
        <v/>
      </c>
      <c r="E16" s="135" t="s">
        <v>43</v>
      </c>
      <c r="F16" s="114" t="s">
        <v>163</v>
      </c>
      <c r="G16" s="114">
        <f>COUNTIFS(D_ANNEE,$C$4,D_NIVEAU,"CM2",D_SESSION,"S1")</f>
        <v>0</v>
      </c>
      <c r="H16" s="128" t="str">
        <f>IFERROR(ROUND(AVERAGEIFS(D_EQ_PERF,D_ANNEE,$C$4,D_NIVEAU,"CM2",D_SESSION,"S1",D_EQ_NIV,"&gt;0"),2),"Non réalisée")</f>
        <v>Non réalisée</v>
      </c>
      <c r="I16" s="128" t="str">
        <f>IFERROR(ROUND(AVERAGEIFS(D_SO_PERF,D_ANNEE,$C$4,D_NIVEAU,"CM2",D_SESSION,"S1",D_SO_NIV,"&gt;0"),2),"Non réalisée")</f>
        <v>Non réalisée</v>
      </c>
      <c r="J16" s="128" t="str">
        <f>IFERROR(ROUND(AVERAGEIFS(D_VI_PERF,D_ANNEE,$C$4,D_NIVEAU,"CM2",D_SESSION,"S1",D_VI_NIV,"&gt;0"),2),"Non réalisée")</f>
        <v>Non réalisée</v>
      </c>
      <c r="K16" s="128" t="str">
        <f>IFERROR(ROUND(AVERAGEIFS(D_EN_PERF,D_ANNEE,$C$4,D_NIVEAU,"CM2",D_SESSION,"S1",D_EN_NIV,"&gt;0"),2),"Non réalisée")</f>
        <v>Non réalisée</v>
      </c>
      <c r="L16" s="128" t="str">
        <f>IFERROR(ROUND(AVERAGEIFS(D_CO_PERF,D_ANNEE,$C$4,D_NIVEAU,"CM2",D_SESSION,"S1",D_CO_NIV,"&gt;0"),2),"Non réalisée")</f>
        <v>Non réalisée</v>
      </c>
      <c r="M16" s="128" t="str">
        <f>IFERROR(ROUND(AVERAGEIFS(D_GA_PERF,D_ANNEE,$C$4,D_NIVEAU,"CM2",D_SESSION,"S1",D_GA_NIV,"&gt;0"),2),"Non réalisée")</f>
        <v>Non réalisée</v>
      </c>
      <c r="N16" s="128" t="str">
        <f>IFERROR(ROUND(AVERAGEIFS(D_AD_PERF,D_ANNEE,$C$4,D_NIVEAU,"CM2",D_SESSION,"S1",D_AD_NIV,"&gt;0"),2),"Non réalisée")</f>
        <v>Non réalisée</v>
      </c>
      <c r="O16" s="128" t="str">
        <f>IFERROR(ROUND(AVERAGEIFS(D_FO_PERF,D_ANNEE,$C$4,D_NIVEAU,"CM2",D_SESSION,"S1",D_FO_NIV,"&gt;0"),2),"Non réalisée")</f>
        <v>Non réalisée</v>
      </c>
      <c r="P16" s="128" t="str">
        <f>IFERROR(ROUND(AVERAGEIFS(D_MOYNIV,D_ANNEE,$C$4,D_NIVEAU,"CM2",D_SESSION,"S1"),2),"Non réalisée")</f>
        <v>Non réalisée</v>
      </c>
      <c r="Q16" s="114">
        <f>COUNTIFS(D_ANNEE,$C$4,D_NIVEAU,"CM2",D_SESSION,"S1",D_MOYNIV,"&gt;0",D_MOYNIV,"&lt;"&amp;1.5)</f>
        <v>0</v>
      </c>
      <c r="R16" s="114">
        <f>COUNTIFS(D_ANNEE,$C$4,D_NIVEAU,"CM2",D_SESSION,"S1",D_MOYNIV,"&gt;="&amp;1.5,D_MOYNIV,"&lt;"&amp;2.5)</f>
        <v>0</v>
      </c>
      <c r="S16" s="114">
        <f>COUNTIFS(D_ANNEE,$C$4,D_NIVEAU,"CM2",D_SESSION,"S1",D_MOYNIV,"&gt;="&amp;2.5,D_MOYNIV,"&lt;"&amp;3.5)</f>
        <v>0</v>
      </c>
      <c r="T16" s="114">
        <f>COUNTIFS(D_ANNEE,$C$4,D_NIVEAU,"CM2",D_SESSION,"S1",D_MOYNIV,"&gt;="&amp;3.5,D_MOYNIV,"&lt;"&amp;4.5)</f>
        <v>0</v>
      </c>
      <c r="U16" s="114">
        <f>COUNTIFS(D_ANNEE,$C$4,D_NIVEAU,"CM2",D_SESSION,"S1",D_MOYNIV,"&gt;="&amp;4.5,D_MOYNIV,"&lt;"&amp;5.5)</f>
        <v>0</v>
      </c>
      <c r="V16" s="128" t="s">
        <v>284</v>
      </c>
    </row>
    <row r="17" spans="1:24" ht="25.5" customHeight="1" x14ac:dyDescent="0.3">
      <c r="B17" s="129" t="str">
        <f t="shared" si="0"/>
        <v>2025-2026</v>
      </c>
      <c r="C17" s="129" t="str">
        <f t="shared" si="1"/>
        <v/>
      </c>
      <c r="D17" s="129" t="str">
        <f>IF(PARAMETRES!$C$5="","",PARAMETRES!$C$5)</f>
        <v/>
      </c>
      <c r="E17" s="135" t="s">
        <v>43</v>
      </c>
      <c r="F17" s="129" t="s">
        <v>164</v>
      </c>
      <c r="G17" s="129">
        <f>COUNTIFS(D_ANNEE,$C$4,D_NIVEAU,"CM2",D_SESSION,"S2")</f>
        <v>0</v>
      </c>
      <c r="H17" s="130" t="str">
        <f>IFERROR(ROUND(AVERAGEIFS(D_EQ_PERF,D_ANNEE,$C$4,D_NIVEAU,"CM2",D_SESSION,"S2",D_EQ_NIV,"&gt;0"),2),"Non réalisée")</f>
        <v>Non réalisée</v>
      </c>
      <c r="I17" s="130" t="str">
        <f>IFERROR(ROUND(AVERAGEIFS(D_SO_PERF,D_ANNEE,$C$4,D_NIVEAU,"CM2",D_SESSION,"S2",D_SO_NIV,"&gt;0"),2),"Non réalisée")</f>
        <v>Non réalisée</v>
      </c>
      <c r="J17" s="130" t="str">
        <f>IFERROR(ROUND(AVERAGEIFS(D_VI_PERF,D_ANNEE,$C$4,D_NIVEAU,"CM2",D_SESSION,"S2",D_VI_NIV,"&gt;0"),2),"Non réalisée")</f>
        <v>Non réalisée</v>
      </c>
      <c r="K17" s="130" t="str">
        <f>IFERROR(ROUND(AVERAGEIFS(D_EN_PERF,D_ANNEE,$C$4,D_NIVEAU,"CM2",D_SESSION,"S2",D_EN_NIV,"&gt;0"),2),"Non réalisée")</f>
        <v>Non réalisée</v>
      </c>
      <c r="L17" s="130" t="str">
        <f>IFERROR(ROUND(AVERAGEIFS(D_CO_PERF,D_ANNEE,$C$4,D_NIVEAU,"CM2",D_SESSION,"S2",D_CO_NIV,"&gt;0"),2),"Non réalisée")</f>
        <v>Non réalisée</v>
      </c>
      <c r="M17" s="130" t="str">
        <f>IFERROR(ROUND(AVERAGEIFS(D_GA_PERF,D_ANNEE,$C$4,D_NIVEAU,"CM2",D_SESSION,"S2",D_GA_NIV,"&gt;0"),2),"Non réalisée")</f>
        <v>Non réalisée</v>
      </c>
      <c r="N17" s="130" t="str">
        <f>IFERROR(ROUND(AVERAGEIFS(D_AD_PERF,D_ANNEE,$C$4,D_NIVEAU,"CM2",D_SESSION,"S2",D_AD_NIV,"&gt;0"),2),"Non réalisée")</f>
        <v>Non réalisée</v>
      </c>
      <c r="O17" s="130" t="str">
        <f>IFERROR(ROUND(AVERAGEIFS(D_FO_PERF,D_ANNEE,$C$4,D_NIVEAU,"CM2",D_SESSION,"S2",D_FO_NIV,"&gt;0"),2),"Non réalisée")</f>
        <v>Non réalisée</v>
      </c>
      <c r="P17" s="130" t="str">
        <f>IFERROR(ROUND(AVERAGEIFS(D_MOYNIV,D_ANNEE,$C$4,D_NIVEAU,"CM2",D_SESSION,"S2"),2),"Non réalisée")</f>
        <v>Non réalisée</v>
      </c>
      <c r="Q17" s="129">
        <f>COUNTIFS(D_ANNEE,$C$4,D_NIVEAU,"CM2",D_SESSION,"S2",D_MOYNIV,"&gt;0",D_MOYNIV,"&lt;"&amp;1.5)</f>
        <v>0</v>
      </c>
      <c r="R17" s="129">
        <f>COUNTIFS(D_ANNEE,$C$4,D_NIVEAU,"CM2",D_SESSION,"S2",D_MOYNIV,"&gt;="&amp;1.5,D_MOYNIV,"&lt;"&amp;2.5)</f>
        <v>0</v>
      </c>
      <c r="S17" s="129">
        <f>COUNTIFS(D_ANNEE,$C$4,D_NIVEAU,"CM2",D_SESSION,"S2",D_MOYNIV,"&gt;="&amp;2.5,D_MOYNIV,"&lt;"&amp;3.5)</f>
        <v>0</v>
      </c>
      <c r="T17" s="129">
        <f>COUNTIFS(D_ANNEE,$C$4,D_NIVEAU,"CM2",D_SESSION,"S2",D_MOYNIV,"&gt;="&amp;3.5,D_MOYNIV,"&lt;"&amp;4.5)</f>
        <v>0</v>
      </c>
      <c r="U17" s="129">
        <f>COUNTIFS(D_ANNEE,$C$4,D_NIVEAU,"CM2",D_SESSION,"S2",D_MOYNIV,"&gt;="&amp;4.5,D_MOYNIV,"&lt;"&amp;5.5)</f>
        <v>0</v>
      </c>
      <c r="V17" s="130" t="str">
        <f>IF(OR(G17=0,G16=0),"Non réalisée",IFERROR(ROUND(P17-P16,2),"Non réalisée"))</f>
        <v>Non réalisée</v>
      </c>
      <c r="W17" s="131"/>
      <c r="X17" s="131"/>
    </row>
    <row r="19" spans="1:24" ht="15.75" customHeight="1" x14ac:dyDescent="0.3">
      <c r="A19" s="364" t="s">
        <v>285</v>
      </c>
      <c r="B19" s="364"/>
      <c r="C19" s="364"/>
      <c r="D19" s="364"/>
      <c r="E19" s="364"/>
      <c r="F19" s="364"/>
      <c r="G19" s="364"/>
      <c r="H19" s="364"/>
      <c r="I19" s="364"/>
      <c r="J19" s="364"/>
      <c r="K19" s="364"/>
      <c r="L19" s="364"/>
      <c r="M19" s="364"/>
      <c r="N19" s="364"/>
      <c r="O19" s="364"/>
      <c r="P19" s="364"/>
      <c r="Q19" s="364"/>
      <c r="R19" s="364"/>
      <c r="S19" s="364"/>
      <c r="T19" s="364"/>
      <c r="U19" s="364"/>
      <c r="V19" s="364"/>
      <c r="W19" s="364"/>
      <c r="X19" s="364"/>
    </row>
  </sheetData>
  <sheetProtection sheet="1" formatCells="0" formatColumns="0" formatRows="0" sort="0" autoFilter="0"/>
  <mergeCells count="5">
    <mergeCell ref="A1:X1"/>
    <mergeCell ref="A2:X2"/>
    <mergeCell ref="C3:E3"/>
    <mergeCell ref="C4:E4"/>
    <mergeCell ref="A19:X19"/>
  </mergeCells>
  <conditionalFormatting sqref="Q8:Q17">
    <cfRule type="cellIs" dxfId="5" priority="2" operator="equal">
      <formula>1</formula>
    </cfRule>
    <cfRule type="cellIs" dxfId="4" priority="3" operator="equal">
      <formula>2</formula>
    </cfRule>
    <cfRule type="cellIs" dxfId="3" priority="4" operator="equal">
      <formula>3</formula>
    </cfRule>
    <cfRule type="cellIs" dxfId="2" priority="5" operator="equal">
      <formula>4</formula>
    </cfRule>
    <cfRule type="cellIs" dxfId="1" priority="6" operator="equal">
      <formula>5</formula>
    </cfRule>
  </conditionalFormatting>
  <dataValidations count="1">
    <dataValidation type="list" allowBlank="1" showErrorMessage="1" errorTitle="Année invalide" error="Sélectionnez une année scolaire dans la liste déroulante (ex : 2025-2026). Vérifiez la saisie." sqref="C4" xr:uid="{00000000-0002-0000-0900-000000000000}">
      <formula1>LISTE_ANNEES</formula1>
      <formula2>0</formula2>
    </dataValidation>
  </dataValidations>
  <pageMargins left="0.3" right="0.3" top="1" bottom="1" header="0.511811023622047" footer="0.511811023622047"/>
  <pageSetup paperSize="9" fitToHeight="0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70C0"/>
    <pageSetUpPr fitToPage="1"/>
  </sheetPr>
  <dimension ref="A1:AB1201"/>
  <sheetViews>
    <sheetView zoomScaleNormal="100" workbookViewId="0">
      <pane ySplit="1" topLeftCell="A2" activePane="bottomLeft" state="frozen"/>
      <selection pane="bottomLeft"/>
    </sheetView>
  </sheetViews>
  <sheetFormatPr baseColWidth="10" defaultColWidth="8.6640625" defaultRowHeight="14.4" x14ac:dyDescent="0.3"/>
  <cols>
    <col min="1" max="1" width="15" customWidth="1"/>
    <col min="4" max="5" width="14" customWidth="1"/>
  </cols>
  <sheetData>
    <row r="1" spans="1:28" ht="15" customHeight="1" x14ac:dyDescent="0.3">
      <c r="A1" s="136" t="s">
        <v>246</v>
      </c>
      <c r="B1" s="136" t="s">
        <v>33</v>
      </c>
      <c r="C1" s="136" t="s">
        <v>111</v>
      </c>
      <c r="D1" s="136" t="s">
        <v>113</v>
      </c>
      <c r="E1" s="136" t="s">
        <v>114</v>
      </c>
      <c r="F1" s="136" t="s">
        <v>115</v>
      </c>
      <c r="G1" s="136" t="s">
        <v>126</v>
      </c>
      <c r="H1" s="197" t="s">
        <v>286</v>
      </c>
      <c r="I1" s="198" t="s">
        <v>287</v>
      </c>
      <c r="J1" s="199" t="s">
        <v>288</v>
      </c>
      <c r="K1" s="200" t="s">
        <v>289</v>
      </c>
      <c r="L1" s="201" t="s">
        <v>290</v>
      </c>
      <c r="M1" s="202" t="s">
        <v>291</v>
      </c>
      <c r="N1" s="203" t="s">
        <v>292</v>
      </c>
      <c r="O1" s="204" t="s">
        <v>293</v>
      </c>
      <c r="P1" s="197" t="s">
        <v>294</v>
      </c>
      <c r="Q1" s="198" t="s">
        <v>295</v>
      </c>
      <c r="R1" s="199" t="s">
        <v>296</v>
      </c>
      <c r="S1" s="200" t="s">
        <v>297</v>
      </c>
      <c r="T1" s="201" t="s">
        <v>298</v>
      </c>
      <c r="U1" s="202" t="s">
        <v>299</v>
      </c>
      <c r="V1" s="203" t="s">
        <v>300</v>
      </c>
      <c r="W1" s="204" t="s">
        <v>301</v>
      </c>
      <c r="X1" s="136" t="s">
        <v>184</v>
      </c>
      <c r="Y1" s="136" t="s">
        <v>238</v>
      </c>
      <c r="Z1" s="136" t="s">
        <v>128</v>
      </c>
      <c r="AB1" s="154" t="str">
        <f>HYPERLINK("#ACCUEIL!A1","← ACCUEIL")</f>
        <v>← ACCUEIL</v>
      </c>
    </row>
    <row r="2" spans="1:28" ht="15" customHeight="1" x14ac:dyDescent="0.3">
      <c r="A2" t="str">
        <f>IF(DONNEES!$E2="","",DONNEES!A2)</f>
        <v/>
      </c>
      <c r="B2" t="str">
        <f>IF(DONNEES!$E2="","",DONNEES!B2)</f>
        <v/>
      </c>
      <c r="C2" t="str">
        <f>IF(DONNEES!$E2="","",DONNEES!C2)</f>
        <v/>
      </c>
      <c r="D2" t="str">
        <f>IF(DONNEES!$E2="","",DONNEES!E2)</f>
        <v/>
      </c>
      <c r="E2" t="str">
        <f>IF(DONNEES!$E2="","",DONNEES!F2)</f>
        <v/>
      </c>
      <c r="F2" t="str">
        <f>IF(DONNEES!$E2="","",DONNEES!G2)</f>
        <v/>
      </c>
      <c r="G2" t="str">
        <f>IF(DONNEES!$E2="","",DONNEES!H2)</f>
        <v/>
      </c>
      <c r="H2" t="str">
        <f>IF(DONNEES!$E2="","",DONNEES!I2)</f>
        <v/>
      </c>
      <c r="I2" t="str">
        <f>IF(DONNEES!$E2="","",DONNEES!J2)</f>
        <v/>
      </c>
      <c r="J2" t="str">
        <f>IF(DONNEES!$E2="","",DONNEES!K2)</f>
        <v/>
      </c>
      <c r="K2" t="str">
        <f>IF(DONNEES!$E2="","",DONNEES!L2)</f>
        <v/>
      </c>
      <c r="L2" t="str">
        <f>IF(DONNEES!$E2="","",DONNEES!M2)</f>
        <v/>
      </c>
      <c r="M2" t="str">
        <f>IF(DONNEES!$E2="","",DONNEES!N2)</f>
        <v/>
      </c>
      <c r="N2" t="str">
        <f>IF(DONNEES!$E2="","",DONNEES!O2)</f>
        <v/>
      </c>
      <c r="O2" t="str">
        <f>IF(DONNEES!$E2="","",DONNEES!P2)</f>
        <v/>
      </c>
      <c r="P2" t="str">
        <f>IF(DONNEES!$E2="","",DONNEES!Q2)</f>
        <v/>
      </c>
      <c r="Q2" t="str">
        <f>IF(DONNEES!$E2="","",DONNEES!R2)</f>
        <v/>
      </c>
      <c r="R2" t="str">
        <f>IF(DONNEES!$E2="","",DONNEES!S2)</f>
        <v/>
      </c>
      <c r="S2" t="str">
        <f>IF(DONNEES!$E2="","",DONNEES!T2)</f>
        <v/>
      </c>
      <c r="T2" t="str">
        <f>IF(DONNEES!$E2="","",DONNEES!U2)</f>
        <v/>
      </c>
      <c r="U2" t="str">
        <f>IF(DONNEES!$E2="","",DONNEES!V2)</f>
        <v/>
      </c>
      <c r="V2" t="str">
        <f>IF(DONNEES!$E2="","",DONNEES!W2)</f>
        <v/>
      </c>
      <c r="W2" t="str">
        <f>IF(DONNEES!$E2="","",DONNEES!X2)</f>
        <v/>
      </c>
      <c r="X2" t="str">
        <f>IF(DONNEES!$E2="","",DONNEES!Y2)</f>
        <v/>
      </c>
      <c r="Y2" t="str">
        <f>IF(DONNEES!$E2="","",DONNEES!Z2)</f>
        <v/>
      </c>
      <c r="Z2" t="str">
        <f>IF(DONNEES!$E2="","",DONNEES!AQ2)</f>
        <v/>
      </c>
    </row>
    <row r="3" spans="1:28" ht="15" customHeight="1" x14ac:dyDescent="0.3">
      <c r="A3" t="str">
        <f>IF(DONNEES!$E3="","",DONNEES!A3)</f>
        <v/>
      </c>
      <c r="B3" t="str">
        <f>IF(DONNEES!$E3="","",DONNEES!B3)</f>
        <v/>
      </c>
      <c r="C3" t="str">
        <f>IF(DONNEES!$E3="","",DONNEES!C3)</f>
        <v/>
      </c>
      <c r="D3" t="str">
        <f>IF(DONNEES!$E3="","",DONNEES!E3)</f>
        <v/>
      </c>
      <c r="E3" t="str">
        <f>IF(DONNEES!$E3="","",DONNEES!F3)</f>
        <v/>
      </c>
      <c r="F3" t="str">
        <f>IF(DONNEES!$E3="","",DONNEES!G3)</f>
        <v/>
      </c>
      <c r="G3" t="str">
        <f>IF(DONNEES!$E3="","",DONNEES!H3)</f>
        <v/>
      </c>
      <c r="H3" t="str">
        <f>IF(DONNEES!$E3="","",DONNEES!I3)</f>
        <v/>
      </c>
      <c r="I3" t="str">
        <f>IF(DONNEES!$E3="","",DONNEES!J3)</f>
        <v/>
      </c>
      <c r="J3" t="str">
        <f>IF(DONNEES!$E3="","",DONNEES!K3)</f>
        <v/>
      </c>
      <c r="K3" t="str">
        <f>IF(DONNEES!$E3="","",DONNEES!L3)</f>
        <v/>
      </c>
      <c r="L3" t="str">
        <f>IF(DONNEES!$E3="","",DONNEES!M3)</f>
        <v/>
      </c>
      <c r="M3" t="str">
        <f>IF(DONNEES!$E3="","",DONNEES!N3)</f>
        <v/>
      </c>
      <c r="N3" t="str">
        <f>IF(DONNEES!$E3="","",DONNEES!O3)</f>
        <v/>
      </c>
      <c r="O3" t="str">
        <f>IF(DONNEES!$E3="","",DONNEES!P3)</f>
        <v/>
      </c>
      <c r="P3" t="str">
        <f>IF(DONNEES!$E3="","",DONNEES!Q3)</f>
        <v/>
      </c>
      <c r="Q3" t="str">
        <f>IF(DONNEES!$E3="","",DONNEES!R3)</f>
        <v/>
      </c>
      <c r="R3" t="str">
        <f>IF(DONNEES!$E3="","",DONNEES!S3)</f>
        <v/>
      </c>
      <c r="S3" t="str">
        <f>IF(DONNEES!$E3="","",DONNEES!T3)</f>
        <v/>
      </c>
      <c r="T3" t="str">
        <f>IF(DONNEES!$E3="","",DONNEES!U3)</f>
        <v/>
      </c>
      <c r="U3" t="str">
        <f>IF(DONNEES!$E3="","",DONNEES!V3)</f>
        <v/>
      </c>
      <c r="V3" t="str">
        <f>IF(DONNEES!$E3="","",DONNEES!W3)</f>
        <v/>
      </c>
      <c r="W3" t="str">
        <f>IF(DONNEES!$E3="","",DONNEES!X3)</f>
        <v/>
      </c>
      <c r="X3" t="str">
        <f>IF(DONNEES!$E3="","",DONNEES!Y3)</f>
        <v/>
      </c>
      <c r="Y3" t="str">
        <f>IF(DONNEES!$E3="","",DONNEES!Z3)</f>
        <v/>
      </c>
      <c r="Z3" t="str">
        <f>IF(DONNEES!$E3="","",DONNEES!AQ3)</f>
        <v/>
      </c>
    </row>
    <row r="4" spans="1:28" ht="15" customHeight="1" x14ac:dyDescent="0.3">
      <c r="A4" t="str">
        <f>IF(DONNEES!$E4="","",DONNEES!A4)</f>
        <v/>
      </c>
      <c r="B4" t="str">
        <f>IF(DONNEES!$E4="","",DONNEES!B4)</f>
        <v/>
      </c>
      <c r="C4" t="str">
        <f>IF(DONNEES!$E4="","",DONNEES!C4)</f>
        <v/>
      </c>
      <c r="D4" t="str">
        <f>IF(DONNEES!$E4="","",DONNEES!E4)</f>
        <v/>
      </c>
      <c r="E4" t="str">
        <f>IF(DONNEES!$E4="","",DONNEES!F4)</f>
        <v/>
      </c>
      <c r="F4" t="str">
        <f>IF(DONNEES!$E4="","",DONNEES!G4)</f>
        <v/>
      </c>
      <c r="G4" t="str">
        <f>IF(DONNEES!$E4="","",DONNEES!H4)</f>
        <v/>
      </c>
      <c r="H4" t="str">
        <f>IF(DONNEES!$E4="","",DONNEES!I4)</f>
        <v/>
      </c>
      <c r="I4" t="str">
        <f>IF(DONNEES!$E4="","",DONNEES!J4)</f>
        <v/>
      </c>
      <c r="J4" t="str">
        <f>IF(DONNEES!$E4="","",DONNEES!K4)</f>
        <v/>
      </c>
      <c r="K4" t="str">
        <f>IF(DONNEES!$E4="","",DONNEES!L4)</f>
        <v/>
      </c>
      <c r="L4" t="str">
        <f>IF(DONNEES!$E4="","",DONNEES!M4)</f>
        <v/>
      </c>
      <c r="M4" t="str">
        <f>IF(DONNEES!$E4="","",DONNEES!N4)</f>
        <v/>
      </c>
      <c r="N4" t="str">
        <f>IF(DONNEES!$E4="","",DONNEES!O4)</f>
        <v/>
      </c>
      <c r="O4" t="str">
        <f>IF(DONNEES!$E4="","",DONNEES!P4)</f>
        <v/>
      </c>
      <c r="P4" t="str">
        <f>IF(DONNEES!$E4="","",DONNEES!Q4)</f>
        <v/>
      </c>
      <c r="Q4" t="str">
        <f>IF(DONNEES!$E4="","",DONNEES!R4)</f>
        <v/>
      </c>
      <c r="R4" t="str">
        <f>IF(DONNEES!$E4="","",DONNEES!S4)</f>
        <v/>
      </c>
      <c r="S4" t="str">
        <f>IF(DONNEES!$E4="","",DONNEES!T4)</f>
        <v/>
      </c>
      <c r="T4" t="str">
        <f>IF(DONNEES!$E4="","",DONNEES!U4)</f>
        <v/>
      </c>
      <c r="U4" t="str">
        <f>IF(DONNEES!$E4="","",DONNEES!V4)</f>
        <v/>
      </c>
      <c r="V4" t="str">
        <f>IF(DONNEES!$E4="","",DONNEES!W4)</f>
        <v/>
      </c>
      <c r="W4" t="str">
        <f>IF(DONNEES!$E4="","",DONNEES!X4)</f>
        <v/>
      </c>
      <c r="X4" t="str">
        <f>IF(DONNEES!$E4="","",DONNEES!Y4)</f>
        <v/>
      </c>
      <c r="Y4" t="str">
        <f>IF(DONNEES!$E4="","",DONNEES!Z4)</f>
        <v/>
      </c>
      <c r="Z4" t="str">
        <f>IF(DONNEES!$E4="","",DONNEES!AQ4)</f>
        <v/>
      </c>
    </row>
    <row r="5" spans="1:28" ht="15" customHeight="1" x14ac:dyDescent="0.3">
      <c r="A5" t="str">
        <f>IF(DONNEES!$E5="","",DONNEES!A5)</f>
        <v/>
      </c>
      <c r="B5" t="str">
        <f>IF(DONNEES!$E5="","",DONNEES!B5)</f>
        <v/>
      </c>
      <c r="C5" t="str">
        <f>IF(DONNEES!$E5="","",DONNEES!C5)</f>
        <v/>
      </c>
      <c r="D5" t="str">
        <f>IF(DONNEES!$E5="","",DONNEES!E5)</f>
        <v/>
      </c>
      <c r="E5" t="str">
        <f>IF(DONNEES!$E5="","",DONNEES!F5)</f>
        <v/>
      </c>
      <c r="F5" t="str">
        <f>IF(DONNEES!$E5="","",DONNEES!G5)</f>
        <v/>
      </c>
      <c r="G5" t="str">
        <f>IF(DONNEES!$E5="","",DONNEES!H5)</f>
        <v/>
      </c>
      <c r="H5" t="str">
        <f>IF(DONNEES!$E5="","",DONNEES!I5)</f>
        <v/>
      </c>
      <c r="I5" t="str">
        <f>IF(DONNEES!$E5="","",DONNEES!J5)</f>
        <v/>
      </c>
      <c r="J5" t="str">
        <f>IF(DONNEES!$E5="","",DONNEES!K5)</f>
        <v/>
      </c>
      <c r="K5" t="str">
        <f>IF(DONNEES!$E5="","",DONNEES!L5)</f>
        <v/>
      </c>
      <c r="L5" t="str">
        <f>IF(DONNEES!$E5="","",DONNEES!M5)</f>
        <v/>
      </c>
      <c r="M5" t="str">
        <f>IF(DONNEES!$E5="","",DONNEES!N5)</f>
        <v/>
      </c>
      <c r="N5" t="str">
        <f>IF(DONNEES!$E5="","",DONNEES!O5)</f>
        <v/>
      </c>
      <c r="O5" t="str">
        <f>IF(DONNEES!$E5="","",DONNEES!P5)</f>
        <v/>
      </c>
      <c r="P5" t="str">
        <f>IF(DONNEES!$E5="","",DONNEES!Q5)</f>
        <v/>
      </c>
      <c r="Q5" t="str">
        <f>IF(DONNEES!$E5="","",DONNEES!R5)</f>
        <v/>
      </c>
      <c r="R5" t="str">
        <f>IF(DONNEES!$E5="","",DONNEES!S5)</f>
        <v/>
      </c>
      <c r="S5" t="str">
        <f>IF(DONNEES!$E5="","",DONNEES!T5)</f>
        <v/>
      </c>
      <c r="T5" t="str">
        <f>IF(DONNEES!$E5="","",DONNEES!U5)</f>
        <v/>
      </c>
      <c r="U5" t="str">
        <f>IF(DONNEES!$E5="","",DONNEES!V5)</f>
        <v/>
      </c>
      <c r="V5" t="str">
        <f>IF(DONNEES!$E5="","",DONNEES!W5)</f>
        <v/>
      </c>
      <c r="W5" t="str">
        <f>IF(DONNEES!$E5="","",DONNEES!X5)</f>
        <v/>
      </c>
      <c r="X5" t="str">
        <f>IF(DONNEES!$E5="","",DONNEES!Y5)</f>
        <v/>
      </c>
      <c r="Y5" t="str">
        <f>IF(DONNEES!$E5="","",DONNEES!Z5)</f>
        <v/>
      </c>
      <c r="Z5" t="str">
        <f>IF(DONNEES!$E5="","",DONNEES!AQ5)</f>
        <v/>
      </c>
    </row>
    <row r="6" spans="1:28" ht="15" customHeight="1" x14ac:dyDescent="0.3">
      <c r="A6" t="str">
        <f>IF(DONNEES!$E6="","",DONNEES!A6)</f>
        <v/>
      </c>
      <c r="B6" t="str">
        <f>IF(DONNEES!$E6="","",DONNEES!B6)</f>
        <v/>
      </c>
      <c r="C6" t="str">
        <f>IF(DONNEES!$E6="","",DONNEES!C6)</f>
        <v/>
      </c>
      <c r="D6" t="str">
        <f>IF(DONNEES!$E6="","",DONNEES!E6)</f>
        <v/>
      </c>
      <c r="E6" t="str">
        <f>IF(DONNEES!$E6="","",DONNEES!F6)</f>
        <v/>
      </c>
      <c r="F6" t="str">
        <f>IF(DONNEES!$E6="","",DONNEES!G6)</f>
        <v/>
      </c>
      <c r="G6" t="str">
        <f>IF(DONNEES!$E6="","",DONNEES!H6)</f>
        <v/>
      </c>
      <c r="H6" t="str">
        <f>IF(DONNEES!$E6="","",DONNEES!I6)</f>
        <v/>
      </c>
      <c r="I6" t="str">
        <f>IF(DONNEES!$E6="","",DONNEES!J6)</f>
        <v/>
      </c>
      <c r="J6" t="str">
        <f>IF(DONNEES!$E6="","",DONNEES!K6)</f>
        <v/>
      </c>
      <c r="K6" t="str">
        <f>IF(DONNEES!$E6="","",DONNEES!L6)</f>
        <v/>
      </c>
      <c r="L6" t="str">
        <f>IF(DONNEES!$E6="","",DONNEES!M6)</f>
        <v/>
      </c>
      <c r="M6" t="str">
        <f>IF(DONNEES!$E6="","",DONNEES!N6)</f>
        <v/>
      </c>
      <c r="N6" t="str">
        <f>IF(DONNEES!$E6="","",DONNEES!O6)</f>
        <v/>
      </c>
      <c r="O6" t="str">
        <f>IF(DONNEES!$E6="","",DONNEES!P6)</f>
        <v/>
      </c>
      <c r="P6" t="str">
        <f>IF(DONNEES!$E6="","",DONNEES!Q6)</f>
        <v/>
      </c>
      <c r="Q6" t="str">
        <f>IF(DONNEES!$E6="","",DONNEES!R6)</f>
        <v/>
      </c>
      <c r="R6" t="str">
        <f>IF(DONNEES!$E6="","",DONNEES!S6)</f>
        <v/>
      </c>
      <c r="S6" t="str">
        <f>IF(DONNEES!$E6="","",DONNEES!T6)</f>
        <v/>
      </c>
      <c r="T6" t="str">
        <f>IF(DONNEES!$E6="","",DONNEES!U6)</f>
        <v/>
      </c>
      <c r="U6" t="str">
        <f>IF(DONNEES!$E6="","",DONNEES!V6)</f>
        <v/>
      </c>
      <c r="V6" t="str">
        <f>IF(DONNEES!$E6="","",DONNEES!W6)</f>
        <v/>
      </c>
      <c r="W6" t="str">
        <f>IF(DONNEES!$E6="","",DONNEES!X6)</f>
        <v/>
      </c>
      <c r="X6" t="str">
        <f>IF(DONNEES!$E6="","",DONNEES!Y6)</f>
        <v/>
      </c>
      <c r="Y6" t="str">
        <f>IF(DONNEES!$E6="","",DONNEES!Z6)</f>
        <v/>
      </c>
      <c r="Z6" t="str">
        <f>IF(DONNEES!$E6="","",DONNEES!AQ6)</f>
        <v/>
      </c>
    </row>
    <row r="7" spans="1:28" ht="15" customHeight="1" x14ac:dyDescent="0.3">
      <c r="A7" t="str">
        <f>IF(DONNEES!$E7="","",DONNEES!A7)</f>
        <v/>
      </c>
      <c r="B7" t="str">
        <f>IF(DONNEES!$E7="","",DONNEES!B7)</f>
        <v/>
      </c>
      <c r="C7" t="str">
        <f>IF(DONNEES!$E7="","",DONNEES!C7)</f>
        <v/>
      </c>
      <c r="D7" t="str">
        <f>IF(DONNEES!$E7="","",DONNEES!E7)</f>
        <v/>
      </c>
      <c r="E7" t="str">
        <f>IF(DONNEES!$E7="","",DONNEES!F7)</f>
        <v/>
      </c>
      <c r="F7" t="str">
        <f>IF(DONNEES!$E7="","",DONNEES!G7)</f>
        <v/>
      </c>
      <c r="G7" t="str">
        <f>IF(DONNEES!$E7="","",DONNEES!H7)</f>
        <v/>
      </c>
      <c r="H7" t="str">
        <f>IF(DONNEES!$E7="","",DONNEES!I7)</f>
        <v/>
      </c>
      <c r="I7" t="str">
        <f>IF(DONNEES!$E7="","",DONNEES!J7)</f>
        <v/>
      </c>
      <c r="J7" t="str">
        <f>IF(DONNEES!$E7="","",DONNEES!K7)</f>
        <v/>
      </c>
      <c r="K7" t="str">
        <f>IF(DONNEES!$E7="","",DONNEES!L7)</f>
        <v/>
      </c>
      <c r="L7" t="str">
        <f>IF(DONNEES!$E7="","",DONNEES!M7)</f>
        <v/>
      </c>
      <c r="M7" t="str">
        <f>IF(DONNEES!$E7="","",DONNEES!N7)</f>
        <v/>
      </c>
      <c r="N7" t="str">
        <f>IF(DONNEES!$E7="","",DONNEES!O7)</f>
        <v/>
      </c>
      <c r="O7" t="str">
        <f>IF(DONNEES!$E7="","",DONNEES!P7)</f>
        <v/>
      </c>
      <c r="P7" t="str">
        <f>IF(DONNEES!$E7="","",DONNEES!Q7)</f>
        <v/>
      </c>
      <c r="Q7" t="str">
        <f>IF(DONNEES!$E7="","",DONNEES!R7)</f>
        <v/>
      </c>
      <c r="R7" t="str">
        <f>IF(DONNEES!$E7="","",DONNEES!S7)</f>
        <v/>
      </c>
      <c r="S7" t="str">
        <f>IF(DONNEES!$E7="","",DONNEES!T7)</f>
        <v/>
      </c>
      <c r="T7" t="str">
        <f>IF(DONNEES!$E7="","",DONNEES!U7)</f>
        <v/>
      </c>
      <c r="U7" t="str">
        <f>IF(DONNEES!$E7="","",DONNEES!V7)</f>
        <v/>
      </c>
      <c r="V7" t="str">
        <f>IF(DONNEES!$E7="","",DONNEES!W7)</f>
        <v/>
      </c>
      <c r="W7" t="str">
        <f>IF(DONNEES!$E7="","",DONNEES!X7)</f>
        <v/>
      </c>
      <c r="X7" t="str">
        <f>IF(DONNEES!$E7="","",DONNEES!Y7)</f>
        <v/>
      </c>
      <c r="Y7" t="str">
        <f>IF(DONNEES!$E7="","",DONNEES!Z7)</f>
        <v/>
      </c>
      <c r="Z7" t="str">
        <f>IF(DONNEES!$E7="","",DONNEES!AQ7)</f>
        <v/>
      </c>
    </row>
    <row r="8" spans="1:28" ht="15" customHeight="1" x14ac:dyDescent="0.3">
      <c r="A8" t="str">
        <f>IF(DONNEES!$E8="","",DONNEES!A8)</f>
        <v/>
      </c>
      <c r="B8" t="str">
        <f>IF(DONNEES!$E8="","",DONNEES!B8)</f>
        <v/>
      </c>
      <c r="C8" t="str">
        <f>IF(DONNEES!$E8="","",DONNEES!C8)</f>
        <v/>
      </c>
      <c r="D8" t="str">
        <f>IF(DONNEES!$E8="","",DONNEES!E8)</f>
        <v/>
      </c>
      <c r="E8" t="str">
        <f>IF(DONNEES!$E8="","",DONNEES!F8)</f>
        <v/>
      </c>
      <c r="F8" t="str">
        <f>IF(DONNEES!$E8="","",DONNEES!G8)</f>
        <v/>
      </c>
      <c r="G8" t="str">
        <f>IF(DONNEES!$E8="","",DONNEES!H8)</f>
        <v/>
      </c>
      <c r="H8" t="str">
        <f>IF(DONNEES!$E8="","",DONNEES!I8)</f>
        <v/>
      </c>
      <c r="I8" t="str">
        <f>IF(DONNEES!$E8="","",DONNEES!J8)</f>
        <v/>
      </c>
      <c r="J8" t="str">
        <f>IF(DONNEES!$E8="","",DONNEES!K8)</f>
        <v/>
      </c>
      <c r="K8" t="str">
        <f>IF(DONNEES!$E8="","",DONNEES!L8)</f>
        <v/>
      </c>
      <c r="L8" t="str">
        <f>IF(DONNEES!$E8="","",DONNEES!M8)</f>
        <v/>
      </c>
      <c r="M8" t="str">
        <f>IF(DONNEES!$E8="","",DONNEES!N8)</f>
        <v/>
      </c>
      <c r="N8" t="str">
        <f>IF(DONNEES!$E8="","",DONNEES!O8)</f>
        <v/>
      </c>
      <c r="O8" t="str">
        <f>IF(DONNEES!$E8="","",DONNEES!P8)</f>
        <v/>
      </c>
      <c r="P8" t="str">
        <f>IF(DONNEES!$E8="","",DONNEES!Q8)</f>
        <v/>
      </c>
      <c r="Q8" t="str">
        <f>IF(DONNEES!$E8="","",DONNEES!R8)</f>
        <v/>
      </c>
      <c r="R8" t="str">
        <f>IF(DONNEES!$E8="","",DONNEES!S8)</f>
        <v/>
      </c>
      <c r="S8" t="str">
        <f>IF(DONNEES!$E8="","",DONNEES!T8)</f>
        <v/>
      </c>
      <c r="T8" t="str">
        <f>IF(DONNEES!$E8="","",DONNEES!U8)</f>
        <v/>
      </c>
      <c r="U8" t="str">
        <f>IF(DONNEES!$E8="","",DONNEES!V8)</f>
        <v/>
      </c>
      <c r="V8" t="str">
        <f>IF(DONNEES!$E8="","",DONNEES!W8)</f>
        <v/>
      </c>
      <c r="W8" t="str">
        <f>IF(DONNEES!$E8="","",DONNEES!X8)</f>
        <v/>
      </c>
      <c r="X8" t="str">
        <f>IF(DONNEES!$E8="","",DONNEES!Y8)</f>
        <v/>
      </c>
      <c r="Y8" t="str">
        <f>IF(DONNEES!$E8="","",DONNEES!Z8)</f>
        <v/>
      </c>
      <c r="Z8" t="str">
        <f>IF(DONNEES!$E8="","",DONNEES!AQ8)</f>
        <v/>
      </c>
    </row>
    <row r="9" spans="1:28" ht="15" customHeight="1" x14ac:dyDescent="0.3">
      <c r="A9" t="str">
        <f>IF(DONNEES!$E9="","",DONNEES!A9)</f>
        <v/>
      </c>
      <c r="B9" t="str">
        <f>IF(DONNEES!$E9="","",DONNEES!B9)</f>
        <v/>
      </c>
      <c r="C9" t="str">
        <f>IF(DONNEES!$E9="","",DONNEES!C9)</f>
        <v/>
      </c>
      <c r="D9" t="str">
        <f>IF(DONNEES!$E9="","",DONNEES!E9)</f>
        <v/>
      </c>
      <c r="E9" t="str">
        <f>IF(DONNEES!$E9="","",DONNEES!F9)</f>
        <v/>
      </c>
      <c r="F9" t="str">
        <f>IF(DONNEES!$E9="","",DONNEES!G9)</f>
        <v/>
      </c>
      <c r="G9" t="str">
        <f>IF(DONNEES!$E9="","",DONNEES!H9)</f>
        <v/>
      </c>
      <c r="H9" t="str">
        <f>IF(DONNEES!$E9="","",DONNEES!I9)</f>
        <v/>
      </c>
      <c r="I9" t="str">
        <f>IF(DONNEES!$E9="","",DONNEES!J9)</f>
        <v/>
      </c>
      <c r="J9" t="str">
        <f>IF(DONNEES!$E9="","",DONNEES!K9)</f>
        <v/>
      </c>
      <c r="K9" t="str">
        <f>IF(DONNEES!$E9="","",DONNEES!L9)</f>
        <v/>
      </c>
      <c r="L9" t="str">
        <f>IF(DONNEES!$E9="","",DONNEES!M9)</f>
        <v/>
      </c>
      <c r="M9" t="str">
        <f>IF(DONNEES!$E9="","",DONNEES!N9)</f>
        <v/>
      </c>
      <c r="N9" t="str">
        <f>IF(DONNEES!$E9="","",DONNEES!O9)</f>
        <v/>
      </c>
      <c r="O9" t="str">
        <f>IF(DONNEES!$E9="","",DONNEES!P9)</f>
        <v/>
      </c>
      <c r="P9" t="str">
        <f>IF(DONNEES!$E9="","",DONNEES!Q9)</f>
        <v/>
      </c>
      <c r="Q9" t="str">
        <f>IF(DONNEES!$E9="","",DONNEES!R9)</f>
        <v/>
      </c>
      <c r="R9" t="str">
        <f>IF(DONNEES!$E9="","",DONNEES!S9)</f>
        <v/>
      </c>
      <c r="S9" t="str">
        <f>IF(DONNEES!$E9="","",DONNEES!T9)</f>
        <v/>
      </c>
      <c r="T9" t="str">
        <f>IF(DONNEES!$E9="","",DONNEES!U9)</f>
        <v/>
      </c>
      <c r="U9" t="str">
        <f>IF(DONNEES!$E9="","",DONNEES!V9)</f>
        <v/>
      </c>
      <c r="V9" t="str">
        <f>IF(DONNEES!$E9="","",DONNEES!W9)</f>
        <v/>
      </c>
      <c r="W9" t="str">
        <f>IF(DONNEES!$E9="","",DONNEES!X9)</f>
        <v/>
      </c>
      <c r="X9" t="str">
        <f>IF(DONNEES!$E9="","",DONNEES!Y9)</f>
        <v/>
      </c>
      <c r="Y9" t="str">
        <f>IF(DONNEES!$E9="","",DONNEES!Z9)</f>
        <v/>
      </c>
      <c r="Z9" t="str">
        <f>IF(DONNEES!$E9="","",DONNEES!AQ9)</f>
        <v/>
      </c>
    </row>
    <row r="10" spans="1:28" ht="15" customHeight="1" x14ac:dyDescent="0.3">
      <c r="A10" t="str">
        <f>IF(DONNEES!$E10="","",DONNEES!A10)</f>
        <v/>
      </c>
      <c r="B10" t="str">
        <f>IF(DONNEES!$E10="","",DONNEES!B10)</f>
        <v/>
      </c>
      <c r="C10" t="str">
        <f>IF(DONNEES!$E10="","",DONNEES!C10)</f>
        <v/>
      </c>
      <c r="D10" t="str">
        <f>IF(DONNEES!$E10="","",DONNEES!E10)</f>
        <v/>
      </c>
      <c r="E10" t="str">
        <f>IF(DONNEES!$E10="","",DONNEES!F10)</f>
        <v/>
      </c>
      <c r="F10" t="str">
        <f>IF(DONNEES!$E10="","",DONNEES!G10)</f>
        <v/>
      </c>
      <c r="G10" t="str">
        <f>IF(DONNEES!$E10="","",DONNEES!H10)</f>
        <v/>
      </c>
      <c r="H10" t="str">
        <f>IF(DONNEES!$E10="","",DONNEES!I10)</f>
        <v/>
      </c>
      <c r="I10" t="str">
        <f>IF(DONNEES!$E10="","",DONNEES!J10)</f>
        <v/>
      </c>
      <c r="J10" t="str">
        <f>IF(DONNEES!$E10="","",DONNEES!K10)</f>
        <v/>
      </c>
      <c r="K10" t="str">
        <f>IF(DONNEES!$E10="","",DONNEES!L10)</f>
        <v/>
      </c>
      <c r="L10" t="str">
        <f>IF(DONNEES!$E10="","",DONNEES!M10)</f>
        <v/>
      </c>
      <c r="M10" t="str">
        <f>IF(DONNEES!$E10="","",DONNEES!N10)</f>
        <v/>
      </c>
      <c r="N10" t="str">
        <f>IF(DONNEES!$E10="","",DONNEES!O10)</f>
        <v/>
      </c>
      <c r="O10" t="str">
        <f>IF(DONNEES!$E10="","",DONNEES!P10)</f>
        <v/>
      </c>
      <c r="P10" t="str">
        <f>IF(DONNEES!$E10="","",DONNEES!Q10)</f>
        <v/>
      </c>
      <c r="Q10" t="str">
        <f>IF(DONNEES!$E10="","",DONNEES!R10)</f>
        <v/>
      </c>
      <c r="R10" t="str">
        <f>IF(DONNEES!$E10="","",DONNEES!S10)</f>
        <v/>
      </c>
      <c r="S10" t="str">
        <f>IF(DONNEES!$E10="","",DONNEES!T10)</f>
        <v/>
      </c>
      <c r="T10" t="str">
        <f>IF(DONNEES!$E10="","",DONNEES!U10)</f>
        <v/>
      </c>
      <c r="U10" t="str">
        <f>IF(DONNEES!$E10="","",DONNEES!V10)</f>
        <v/>
      </c>
      <c r="V10" t="str">
        <f>IF(DONNEES!$E10="","",DONNEES!W10)</f>
        <v/>
      </c>
      <c r="W10" t="str">
        <f>IF(DONNEES!$E10="","",DONNEES!X10)</f>
        <v/>
      </c>
      <c r="X10" t="str">
        <f>IF(DONNEES!$E10="","",DONNEES!Y10)</f>
        <v/>
      </c>
      <c r="Y10" t="str">
        <f>IF(DONNEES!$E10="","",DONNEES!Z10)</f>
        <v/>
      </c>
      <c r="Z10" t="str">
        <f>IF(DONNEES!$E10="","",DONNEES!AQ10)</f>
        <v/>
      </c>
    </row>
    <row r="11" spans="1:28" ht="15" customHeight="1" x14ac:dyDescent="0.3">
      <c r="A11" t="str">
        <f>IF(DONNEES!$E11="","",DONNEES!A11)</f>
        <v/>
      </c>
      <c r="B11" t="str">
        <f>IF(DONNEES!$E11="","",DONNEES!B11)</f>
        <v/>
      </c>
      <c r="C11" t="str">
        <f>IF(DONNEES!$E11="","",DONNEES!C11)</f>
        <v/>
      </c>
      <c r="D11" t="str">
        <f>IF(DONNEES!$E11="","",DONNEES!E11)</f>
        <v/>
      </c>
      <c r="E11" t="str">
        <f>IF(DONNEES!$E11="","",DONNEES!F11)</f>
        <v/>
      </c>
      <c r="F11" t="str">
        <f>IF(DONNEES!$E11="","",DONNEES!G11)</f>
        <v/>
      </c>
      <c r="G11" t="str">
        <f>IF(DONNEES!$E11="","",DONNEES!H11)</f>
        <v/>
      </c>
      <c r="H11" t="str">
        <f>IF(DONNEES!$E11="","",DONNEES!I11)</f>
        <v/>
      </c>
      <c r="I11" t="str">
        <f>IF(DONNEES!$E11="","",DONNEES!J11)</f>
        <v/>
      </c>
      <c r="J11" t="str">
        <f>IF(DONNEES!$E11="","",DONNEES!K11)</f>
        <v/>
      </c>
      <c r="K11" t="str">
        <f>IF(DONNEES!$E11="","",DONNEES!L11)</f>
        <v/>
      </c>
      <c r="L11" t="str">
        <f>IF(DONNEES!$E11="","",DONNEES!M11)</f>
        <v/>
      </c>
      <c r="M11" t="str">
        <f>IF(DONNEES!$E11="","",DONNEES!N11)</f>
        <v/>
      </c>
      <c r="N11" t="str">
        <f>IF(DONNEES!$E11="","",DONNEES!O11)</f>
        <v/>
      </c>
      <c r="O11" t="str">
        <f>IF(DONNEES!$E11="","",DONNEES!P11)</f>
        <v/>
      </c>
      <c r="P11" t="str">
        <f>IF(DONNEES!$E11="","",DONNEES!Q11)</f>
        <v/>
      </c>
      <c r="Q11" t="str">
        <f>IF(DONNEES!$E11="","",DONNEES!R11)</f>
        <v/>
      </c>
      <c r="R11" t="str">
        <f>IF(DONNEES!$E11="","",DONNEES!S11)</f>
        <v/>
      </c>
      <c r="S11" t="str">
        <f>IF(DONNEES!$E11="","",DONNEES!T11)</f>
        <v/>
      </c>
      <c r="T11" t="str">
        <f>IF(DONNEES!$E11="","",DONNEES!U11)</f>
        <v/>
      </c>
      <c r="U11" t="str">
        <f>IF(DONNEES!$E11="","",DONNEES!V11)</f>
        <v/>
      </c>
      <c r="V11" t="str">
        <f>IF(DONNEES!$E11="","",DONNEES!W11)</f>
        <v/>
      </c>
      <c r="W11" t="str">
        <f>IF(DONNEES!$E11="","",DONNEES!X11)</f>
        <v/>
      </c>
      <c r="X11" t="str">
        <f>IF(DONNEES!$E11="","",DONNEES!Y11)</f>
        <v/>
      </c>
      <c r="Y11" t="str">
        <f>IF(DONNEES!$E11="","",DONNEES!Z11)</f>
        <v/>
      </c>
      <c r="Z11" t="str">
        <f>IF(DONNEES!$E11="","",DONNEES!AQ11)</f>
        <v/>
      </c>
    </row>
    <row r="12" spans="1:28" ht="15" customHeight="1" x14ac:dyDescent="0.3">
      <c r="A12" t="str">
        <f>IF(DONNEES!$E12="","",DONNEES!A12)</f>
        <v/>
      </c>
      <c r="B12" t="str">
        <f>IF(DONNEES!$E12="","",DONNEES!B12)</f>
        <v/>
      </c>
      <c r="C12" t="str">
        <f>IF(DONNEES!$E12="","",DONNEES!C12)</f>
        <v/>
      </c>
      <c r="D12" t="str">
        <f>IF(DONNEES!$E12="","",DONNEES!E12)</f>
        <v/>
      </c>
      <c r="E12" t="str">
        <f>IF(DONNEES!$E12="","",DONNEES!F12)</f>
        <v/>
      </c>
      <c r="F12" t="str">
        <f>IF(DONNEES!$E12="","",DONNEES!G12)</f>
        <v/>
      </c>
      <c r="G12" t="str">
        <f>IF(DONNEES!$E12="","",DONNEES!H12)</f>
        <v/>
      </c>
      <c r="H12" t="str">
        <f>IF(DONNEES!$E12="","",DONNEES!I12)</f>
        <v/>
      </c>
      <c r="I12" t="str">
        <f>IF(DONNEES!$E12="","",DONNEES!J12)</f>
        <v/>
      </c>
      <c r="J12" t="str">
        <f>IF(DONNEES!$E12="","",DONNEES!K12)</f>
        <v/>
      </c>
      <c r="K12" t="str">
        <f>IF(DONNEES!$E12="","",DONNEES!L12)</f>
        <v/>
      </c>
      <c r="L12" t="str">
        <f>IF(DONNEES!$E12="","",DONNEES!M12)</f>
        <v/>
      </c>
      <c r="M12" t="str">
        <f>IF(DONNEES!$E12="","",DONNEES!N12)</f>
        <v/>
      </c>
      <c r="N12" t="str">
        <f>IF(DONNEES!$E12="","",DONNEES!O12)</f>
        <v/>
      </c>
      <c r="O12" t="str">
        <f>IF(DONNEES!$E12="","",DONNEES!P12)</f>
        <v/>
      </c>
      <c r="P12" t="str">
        <f>IF(DONNEES!$E12="","",DONNEES!Q12)</f>
        <v/>
      </c>
      <c r="Q12" t="str">
        <f>IF(DONNEES!$E12="","",DONNEES!R12)</f>
        <v/>
      </c>
      <c r="R12" t="str">
        <f>IF(DONNEES!$E12="","",DONNEES!S12)</f>
        <v/>
      </c>
      <c r="S12" t="str">
        <f>IF(DONNEES!$E12="","",DONNEES!T12)</f>
        <v/>
      </c>
      <c r="T12" t="str">
        <f>IF(DONNEES!$E12="","",DONNEES!U12)</f>
        <v/>
      </c>
      <c r="U12" t="str">
        <f>IF(DONNEES!$E12="","",DONNEES!V12)</f>
        <v/>
      </c>
      <c r="V12" t="str">
        <f>IF(DONNEES!$E12="","",DONNEES!W12)</f>
        <v/>
      </c>
      <c r="W12" t="str">
        <f>IF(DONNEES!$E12="","",DONNEES!X12)</f>
        <v/>
      </c>
      <c r="X12" t="str">
        <f>IF(DONNEES!$E12="","",DONNEES!Y12)</f>
        <v/>
      </c>
      <c r="Y12" t="str">
        <f>IF(DONNEES!$E12="","",DONNEES!Z12)</f>
        <v/>
      </c>
      <c r="Z12" t="str">
        <f>IF(DONNEES!$E12="","",DONNEES!AQ12)</f>
        <v/>
      </c>
    </row>
    <row r="13" spans="1:28" ht="15" customHeight="1" x14ac:dyDescent="0.3">
      <c r="A13" t="str">
        <f>IF(DONNEES!$E13="","",DONNEES!A13)</f>
        <v/>
      </c>
      <c r="B13" t="str">
        <f>IF(DONNEES!$E13="","",DONNEES!B13)</f>
        <v/>
      </c>
      <c r="C13" t="str">
        <f>IF(DONNEES!$E13="","",DONNEES!C13)</f>
        <v/>
      </c>
      <c r="D13" t="str">
        <f>IF(DONNEES!$E13="","",DONNEES!E13)</f>
        <v/>
      </c>
      <c r="E13" t="str">
        <f>IF(DONNEES!$E13="","",DONNEES!F13)</f>
        <v/>
      </c>
      <c r="F13" t="str">
        <f>IF(DONNEES!$E13="","",DONNEES!G13)</f>
        <v/>
      </c>
      <c r="G13" t="str">
        <f>IF(DONNEES!$E13="","",DONNEES!H13)</f>
        <v/>
      </c>
      <c r="H13" t="str">
        <f>IF(DONNEES!$E13="","",DONNEES!I13)</f>
        <v/>
      </c>
      <c r="I13" t="str">
        <f>IF(DONNEES!$E13="","",DONNEES!J13)</f>
        <v/>
      </c>
      <c r="J13" t="str">
        <f>IF(DONNEES!$E13="","",DONNEES!K13)</f>
        <v/>
      </c>
      <c r="K13" t="str">
        <f>IF(DONNEES!$E13="","",DONNEES!L13)</f>
        <v/>
      </c>
      <c r="L13" t="str">
        <f>IF(DONNEES!$E13="","",DONNEES!M13)</f>
        <v/>
      </c>
      <c r="M13" t="str">
        <f>IF(DONNEES!$E13="","",DONNEES!N13)</f>
        <v/>
      </c>
      <c r="N13" t="str">
        <f>IF(DONNEES!$E13="","",DONNEES!O13)</f>
        <v/>
      </c>
      <c r="O13" t="str">
        <f>IF(DONNEES!$E13="","",DONNEES!P13)</f>
        <v/>
      </c>
      <c r="P13" t="str">
        <f>IF(DONNEES!$E13="","",DONNEES!Q13)</f>
        <v/>
      </c>
      <c r="Q13" t="str">
        <f>IF(DONNEES!$E13="","",DONNEES!R13)</f>
        <v/>
      </c>
      <c r="R13" t="str">
        <f>IF(DONNEES!$E13="","",DONNEES!S13)</f>
        <v/>
      </c>
      <c r="S13" t="str">
        <f>IF(DONNEES!$E13="","",DONNEES!T13)</f>
        <v/>
      </c>
      <c r="T13" t="str">
        <f>IF(DONNEES!$E13="","",DONNEES!U13)</f>
        <v/>
      </c>
      <c r="U13" t="str">
        <f>IF(DONNEES!$E13="","",DONNEES!V13)</f>
        <v/>
      </c>
      <c r="V13" t="str">
        <f>IF(DONNEES!$E13="","",DONNEES!W13)</f>
        <v/>
      </c>
      <c r="W13" t="str">
        <f>IF(DONNEES!$E13="","",DONNEES!X13)</f>
        <v/>
      </c>
      <c r="X13" t="str">
        <f>IF(DONNEES!$E13="","",DONNEES!Y13)</f>
        <v/>
      </c>
      <c r="Y13" t="str">
        <f>IF(DONNEES!$E13="","",DONNEES!Z13)</f>
        <v/>
      </c>
      <c r="Z13" t="str">
        <f>IF(DONNEES!$E13="","",DONNEES!AQ13)</f>
        <v/>
      </c>
    </row>
    <row r="14" spans="1:28" ht="15" customHeight="1" x14ac:dyDescent="0.3">
      <c r="A14" t="str">
        <f>IF(DONNEES!$E14="","",DONNEES!A14)</f>
        <v/>
      </c>
      <c r="B14" t="str">
        <f>IF(DONNEES!$E14="","",DONNEES!B14)</f>
        <v/>
      </c>
      <c r="C14" t="str">
        <f>IF(DONNEES!$E14="","",DONNEES!C14)</f>
        <v/>
      </c>
      <c r="D14" t="str">
        <f>IF(DONNEES!$E14="","",DONNEES!E14)</f>
        <v/>
      </c>
      <c r="E14" t="str">
        <f>IF(DONNEES!$E14="","",DONNEES!F14)</f>
        <v/>
      </c>
      <c r="F14" t="str">
        <f>IF(DONNEES!$E14="","",DONNEES!G14)</f>
        <v/>
      </c>
      <c r="G14" t="str">
        <f>IF(DONNEES!$E14="","",DONNEES!H14)</f>
        <v/>
      </c>
      <c r="H14" t="str">
        <f>IF(DONNEES!$E14="","",DONNEES!I14)</f>
        <v/>
      </c>
      <c r="I14" t="str">
        <f>IF(DONNEES!$E14="","",DONNEES!J14)</f>
        <v/>
      </c>
      <c r="J14" t="str">
        <f>IF(DONNEES!$E14="","",DONNEES!K14)</f>
        <v/>
      </c>
      <c r="K14" t="str">
        <f>IF(DONNEES!$E14="","",DONNEES!L14)</f>
        <v/>
      </c>
      <c r="L14" t="str">
        <f>IF(DONNEES!$E14="","",DONNEES!M14)</f>
        <v/>
      </c>
      <c r="M14" t="str">
        <f>IF(DONNEES!$E14="","",DONNEES!N14)</f>
        <v/>
      </c>
      <c r="N14" t="str">
        <f>IF(DONNEES!$E14="","",DONNEES!O14)</f>
        <v/>
      </c>
      <c r="O14" t="str">
        <f>IF(DONNEES!$E14="","",DONNEES!P14)</f>
        <v/>
      </c>
      <c r="P14" t="str">
        <f>IF(DONNEES!$E14="","",DONNEES!Q14)</f>
        <v/>
      </c>
      <c r="Q14" t="str">
        <f>IF(DONNEES!$E14="","",DONNEES!R14)</f>
        <v/>
      </c>
      <c r="R14" t="str">
        <f>IF(DONNEES!$E14="","",DONNEES!S14)</f>
        <v/>
      </c>
      <c r="S14" t="str">
        <f>IF(DONNEES!$E14="","",DONNEES!T14)</f>
        <v/>
      </c>
      <c r="T14" t="str">
        <f>IF(DONNEES!$E14="","",DONNEES!U14)</f>
        <v/>
      </c>
      <c r="U14" t="str">
        <f>IF(DONNEES!$E14="","",DONNEES!V14)</f>
        <v/>
      </c>
      <c r="V14" t="str">
        <f>IF(DONNEES!$E14="","",DONNEES!W14)</f>
        <v/>
      </c>
      <c r="W14" t="str">
        <f>IF(DONNEES!$E14="","",DONNEES!X14)</f>
        <v/>
      </c>
      <c r="X14" t="str">
        <f>IF(DONNEES!$E14="","",DONNEES!Y14)</f>
        <v/>
      </c>
      <c r="Y14" t="str">
        <f>IF(DONNEES!$E14="","",DONNEES!Z14)</f>
        <v/>
      </c>
      <c r="Z14" t="str">
        <f>IF(DONNEES!$E14="","",DONNEES!AQ14)</f>
        <v/>
      </c>
    </row>
    <row r="15" spans="1:28" ht="15" customHeight="1" x14ac:dyDescent="0.3">
      <c r="A15" t="str">
        <f>IF(DONNEES!$E15="","",DONNEES!A15)</f>
        <v/>
      </c>
      <c r="B15" t="str">
        <f>IF(DONNEES!$E15="","",DONNEES!B15)</f>
        <v/>
      </c>
      <c r="C15" t="str">
        <f>IF(DONNEES!$E15="","",DONNEES!C15)</f>
        <v/>
      </c>
      <c r="D15" t="str">
        <f>IF(DONNEES!$E15="","",DONNEES!E15)</f>
        <v/>
      </c>
      <c r="E15" t="str">
        <f>IF(DONNEES!$E15="","",DONNEES!F15)</f>
        <v/>
      </c>
      <c r="F15" t="str">
        <f>IF(DONNEES!$E15="","",DONNEES!G15)</f>
        <v/>
      </c>
      <c r="G15" t="str">
        <f>IF(DONNEES!$E15="","",DONNEES!H15)</f>
        <v/>
      </c>
      <c r="H15" t="str">
        <f>IF(DONNEES!$E15="","",DONNEES!I15)</f>
        <v/>
      </c>
      <c r="I15" t="str">
        <f>IF(DONNEES!$E15="","",DONNEES!J15)</f>
        <v/>
      </c>
      <c r="J15" t="str">
        <f>IF(DONNEES!$E15="","",DONNEES!K15)</f>
        <v/>
      </c>
      <c r="K15" t="str">
        <f>IF(DONNEES!$E15="","",DONNEES!L15)</f>
        <v/>
      </c>
      <c r="L15" t="str">
        <f>IF(DONNEES!$E15="","",DONNEES!M15)</f>
        <v/>
      </c>
      <c r="M15" t="str">
        <f>IF(DONNEES!$E15="","",DONNEES!N15)</f>
        <v/>
      </c>
      <c r="N15" t="str">
        <f>IF(DONNEES!$E15="","",DONNEES!O15)</f>
        <v/>
      </c>
      <c r="O15" t="str">
        <f>IF(DONNEES!$E15="","",DONNEES!P15)</f>
        <v/>
      </c>
      <c r="P15" t="str">
        <f>IF(DONNEES!$E15="","",DONNEES!Q15)</f>
        <v/>
      </c>
      <c r="Q15" t="str">
        <f>IF(DONNEES!$E15="","",DONNEES!R15)</f>
        <v/>
      </c>
      <c r="R15" t="str">
        <f>IF(DONNEES!$E15="","",DONNEES!S15)</f>
        <v/>
      </c>
      <c r="S15" t="str">
        <f>IF(DONNEES!$E15="","",DONNEES!T15)</f>
        <v/>
      </c>
      <c r="T15" t="str">
        <f>IF(DONNEES!$E15="","",DONNEES!U15)</f>
        <v/>
      </c>
      <c r="U15" t="str">
        <f>IF(DONNEES!$E15="","",DONNEES!V15)</f>
        <v/>
      </c>
      <c r="V15" t="str">
        <f>IF(DONNEES!$E15="","",DONNEES!W15)</f>
        <v/>
      </c>
      <c r="W15" t="str">
        <f>IF(DONNEES!$E15="","",DONNEES!X15)</f>
        <v/>
      </c>
      <c r="X15" t="str">
        <f>IF(DONNEES!$E15="","",DONNEES!Y15)</f>
        <v/>
      </c>
      <c r="Y15" t="str">
        <f>IF(DONNEES!$E15="","",DONNEES!Z15)</f>
        <v/>
      </c>
      <c r="Z15" t="str">
        <f>IF(DONNEES!$E15="","",DONNEES!AQ15)</f>
        <v/>
      </c>
    </row>
    <row r="16" spans="1:28" ht="15" customHeight="1" x14ac:dyDescent="0.3">
      <c r="A16" t="str">
        <f>IF(DONNEES!$E16="","",DONNEES!A16)</f>
        <v/>
      </c>
      <c r="B16" t="str">
        <f>IF(DONNEES!$E16="","",DONNEES!B16)</f>
        <v/>
      </c>
      <c r="C16" t="str">
        <f>IF(DONNEES!$E16="","",DONNEES!C16)</f>
        <v/>
      </c>
      <c r="D16" t="str">
        <f>IF(DONNEES!$E16="","",DONNEES!E16)</f>
        <v/>
      </c>
      <c r="E16" t="str">
        <f>IF(DONNEES!$E16="","",DONNEES!F16)</f>
        <v/>
      </c>
      <c r="F16" t="str">
        <f>IF(DONNEES!$E16="","",DONNEES!G16)</f>
        <v/>
      </c>
      <c r="G16" t="str">
        <f>IF(DONNEES!$E16="","",DONNEES!H16)</f>
        <v/>
      </c>
      <c r="H16" t="str">
        <f>IF(DONNEES!$E16="","",DONNEES!I16)</f>
        <v/>
      </c>
      <c r="I16" t="str">
        <f>IF(DONNEES!$E16="","",DONNEES!J16)</f>
        <v/>
      </c>
      <c r="J16" t="str">
        <f>IF(DONNEES!$E16="","",DONNEES!K16)</f>
        <v/>
      </c>
      <c r="K16" t="str">
        <f>IF(DONNEES!$E16="","",DONNEES!L16)</f>
        <v/>
      </c>
      <c r="L16" t="str">
        <f>IF(DONNEES!$E16="","",DONNEES!M16)</f>
        <v/>
      </c>
      <c r="M16" t="str">
        <f>IF(DONNEES!$E16="","",DONNEES!N16)</f>
        <v/>
      </c>
      <c r="N16" t="str">
        <f>IF(DONNEES!$E16="","",DONNEES!O16)</f>
        <v/>
      </c>
      <c r="O16" t="str">
        <f>IF(DONNEES!$E16="","",DONNEES!P16)</f>
        <v/>
      </c>
      <c r="P16" t="str">
        <f>IF(DONNEES!$E16="","",DONNEES!Q16)</f>
        <v/>
      </c>
      <c r="Q16" t="str">
        <f>IF(DONNEES!$E16="","",DONNEES!R16)</f>
        <v/>
      </c>
      <c r="R16" t="str">
        <f>IF(DONNEES!$E16="","",DONNEES!S16)</f>
        <v/>
      </c>
      <c r="S16" t="str">
        <f>IF(DONNEES!$E16="","",DONNEES!T16)</f>
        <v/>
      </c>
      <c r="T16" t="str">
        <f>IF(DONNEES!$E16="","",DONNEES!U16)</f>
        <v/>
      </c>
      <c r="U16" t="str">
        <f>IF(DONNEES!$E16="","",DONNEES!V16)</f>
        <v/>
      </c>
      <c r="V16" t="str">
        <f>IF(DONNEES!$E16="","",DONNEES!W16)</f>
        <v/>
      </c>
      <c r="W16" t="str">
        <f>IF(DONNEES!$E16="","",DONNEES!X16)</f>
        <v/>
      </c>
      <c r="X16" t="str">
        <f>IF(DONNEES!$E16="","",DONNEES!Y16)</f>
        <v/>
      </c>
      <c r="Y16" t="str">
        <f>IF(DONNEES!$E16="","",DONNEES!Z16)</f>
        <v/>
      </c>
      <c r="Z16" t="str">
        <f>IF(DONNEES!$E16="","",DONNEES!AQ16)</f>
        <v/>
      </c>
    </row>
    <row r="17" spans="1:26" ht="15" customHeight="1" x14ac:dyDescent="0.3">
      <c r="A17" t="str">
        <f>IF(DONNEES!$E17="","",DONNEES!A17)</f>
        <v/>
      </c>
      <c r="B17" t="str">
        <f>IF(DONNEES!$E17="","",DONNEES!B17)</f>
        <v/>
      </c>
      <c r="C17" t="str">
        <f>IF(DONNEES!$E17="","",DONNEES!C17)</f>
        <v/>
      </c>
      <c r="D17" t="str">
        <f>IF(DONNEES!$E17="","",DONNEES!E17)</f>
        <v/>
      </c>
      <c r="E17" t="str">
        <f>IF(DONNEES!$E17="","",DONNEES!F17)</f>
        <v/>
      </c>
      <c r="F17" t="str">
        <f>IF(DONNEES!$E17="","",DONNEES!G17)</f>
        <v/>
      </c>
      <c r="G17" t="str">
        <f>IF(DONNEES!$E17="","",DONNEES!H17)</f>
        <v/>
      </c>
      <c r="H17" t="str">
        <f>IF(DONNEES!$E17="","",DONNEES!I17)</f>
        <v/>
      </c>
      <c r="I17" t="str">
        <f>IF(DONNEES!$E17="","",DONNEES!J17)</f>
        <v/>
      </c>
      <c r="J17" t="str">
        <f>IF(DONNEES!$E17="","",DONNEES!K17)</f>
        <v/>
      </c>
      <c r="K17" t="str">
        <f>IF(DONNEES!$E17="","",DONNEES!L17)</f>
        <v/>
      </c>
      <c r="L17" t="str">
        <f>IF(DONNEES!$E17="","",DONNEES!M17)</f>
        <v/>
      </c>
      <c r="M17" t="str">
        <f>IF(DONNEES!$E17="","",DONNEES!N17)</f>
        <v/>
      </c>
      <c r="N17" t="str">
        <f>IF(DONNEES!$E17="","",DONNEES!O17)</f>
        <v/>
      </c>
      <c r="O17" t="str">
        <f>IF(DONNEES!$E17="","",DONNEES!P17)</f>
        <v/>
      </c>
      <c r="P17" t="str">
        <f>IF(DONNEES!$E17="","",DONNEES!Q17)</f>
        <v/>
      </c>
      <c r="Q17" t="str">
        <f>IF(DONNEES!$E17="","",DONNEES!R17)</f>
        <v/>
      </c>
      <c r="R17" t="str">
        <f>IF(DONNEES!$E17="","",DONNEES!S17)</f>
        <v/>
      </c>
      <c r="S17" t="str">
        <f>IF(DONNEES!$E17="","",DONNEES!T17)</f>
        <v/>
      </c>
      <c r="T17" t="str">
        <f>IF(DONNEES!$E17="","",DONNEES!U17)</f>
        <v/>
      </c>
      <c r="U17" t="str">
        <f>IF(DONNEES!$E17="","",DONNEES!V17)</f>
        <v/>
      </c>
      <c r="V17" t="str">
        <f>IF(DONNEES!$E17="","",DONNEES!W17)</f>
        <v/>
      </c>
      <c r="W17" t="str">
        <f>IF(DONNEES!$E17="","",DONNEES!X17)</f>
        <v/>
      </c>
      <c r="X17" t="str">
        <f>IF(DONNEES!$E17="","",DONNEES!Y17)</f>
        <v/>
      </c>
      <c r="Y17" t="str">
        <f>IF(DONNEES!$E17="","",DONNEES!Z17)</f>
        <v/>
      </c>
      <c r="Z17" t="str">
        <f>IF(DONNEES!$E17="","",DONNEES!AQ17)</f>
        <v/>
      </c>
    </row>
    <row r="18" spans="1:26" ht="15" customHeight="1" x14ac:dyDescent="0.3">
      <c r="A18" t="str">
        <f>IF(DONNEES!$E18="","",DONNEES!A18)</f>
        <v/>
      </c>
      <c r="B18" t="str">
        <f>IF(DONNEES!$E18="","",DONNEES!B18)</f>
        <v/>
      </c>
      <c r="C18" t="str">
        <f>IF(DONNEES!$E18="","",DONNEES!C18)</f>
        <v/>
      </c>
      <c r="D18" t="str">
        <f>IF(DONNEES!$E18="","",DONNEES!E18)</f>
        <v/>
      </c>
      <c r="E18" t="str">
        <f>IF(DONNEES!$E18="","",DONNEES!F18)</f>
        <v/>
      </c>
      <c r="F18" t="str">
        <f>IF(DONNEES!$E18="","",DONNEES!G18)</f>
        <v/>
      </c>
      <c r="G18" t="str">
        <f>IF(DONNEES!$E18="","",DONNEES!H18)</f>
        <v/>
      </c>
      <c r="H18" t="str">
        <f>IF(DONNEES!$E18="","",DONNEES!I18)</f>
        <v/>
      </c>
      <c r="I18" t="str">
        <f>IF(DONNEES!$E18="","",DONNEES!J18)</f>
        <v/>
      </c>
      <c r="J18" t="str">
        <f>IF(DONNEES!$E18="","",DONNEES!K18)</f>
        <v/>
      </c>
      <c r="K18" t="str">
        <f>IF(DONNEES!$E18="","",DONNEES!L18)</f>
        <v/>
      </c>
      <c r="L18" t="str">
        <f>IF(DONNEES!$E18="","",DONNEES!M18)</f>
        <v/>
      </c>
      <c r="M18" t="str">
        <f>IF(DONNEES!$E18="","",DONNEES!N18)</f>
        <v/>
      </c>
      <c r="N18" t="str">
        <f>IF(DONNEES!$E18="","",DONNEES!O18)</f>
        <v/>
      </c>
      <c r="O18" t="str">
        <f>IF(DONNEES!$E18="","",DONNEES!P18)</f>
        <v/>
      </c>
      <c r="P18" t="str">
        <f>IF(DONNEES!$E18="","",DONNEES!Q18)</f>
        <v/>
      </c>
      <c r="Q18" t="str">
        <f>IF(DONNEES!$E18="","",DONNEES!R18)</f>
        <v/>
      </c>
      <c r="R18" t="str">
        <f>IF(DONNEES!$E18="","",DONNEES!S18)</f>
        <v/>
      </c>
      <c r="S18" t="str">
        <f>IF(DONNEES!$E18="","",DONNEES!T18)</f>
        <v/>
      </c>
      <c r="T18" t="str">
        <f>IF(DONNEES!$E18="","",DONNEES!U18)</f>
        <v/>
      </c>
      <c r="U18" t="str">
        <f>IF(DONNEES!$E18="","",DONNEES!V18)</f>
        <v/>
      </c>
      <c r="V18" t="str">
        <f>IF(DONNEES!$E18="","",DONNEES!W18)</f>
        <v/>
      </c>
      <c r="W18" t="str">
        <f>IF(DONNEES!$E18="","",DONNEES!X18)</f>
        <v/>
      </c>
      <c r="X18" t="str">
        <f>IF(DONNEES!$E18="","",DONNEES!Y18)</f>
        <v/>
      </c>
      <c r="Y18" t="str">
        <f>IF(DONNEES!$E18="","",DONNEES!Z18)</f>
        <v/>
      </c>
      <c r="Z18" t="str">
        <f>IF(DONNEES!$E18="","",DONNEES!AQ18)</f>
        <v/>
      </c>
    </row>
    <row r="19" spans="1:26" ht="15" customHeight="1" x14ac:dyDescent="0.3">
      <c r="A19" t="str">
        <f>IF(DONNEES!$E19="","",DONNEES!A19)</f>
        <v/>
      </c>
      <c r="B19" t="str">
        <f>IF(DONNEES!$E19="","",DONNEES!B19)</f>
        <v/>
      </c>
      <c r="C19" t="str">
        <f>IF(DONNEES!$E19="","",DONNEES!C19)</f>
        <v/>
      </c>
      <c r="D19" t="str">
        <f>IF(DONNEES!$E19="","",DONNEES!E19)</f>
        <v/>
      </c>
      <c r="E19" t="str">
        <f>IF(DONNEES!$E19="","",DONNEES!F19)</f>
        <v/>
      </c>
      <c r="F19" t="str">
        <f>IF(DONNEES!$E19="","",DONNEES!G19)</f>
        <v/>
      </c>
      <c r="G19" t="str">
        <f>IF(DONNEES!$E19="","",DONNEES!H19)</f>
        <v/>
      </c>
      <c r="H19" t="str">
        <f>IF(DONNEES!$E19="","",DONNEES!I19)</f>
        <v/>
      </c>
      <c r="I19" t="str">
        <f>IF(DONNEES!$E19="","",DONNEES!J19)</f>
        <v/>
      </c>
      <c r="J19" t="str">
        <f>IF(DONNEES!$E19="","",DONNEES!K19)</f>
        <v/>
      </c>
      <c r="K19" t="str">
        <f>IF(DONNEES!$E19="","",DONNEES!L19)</f>
        <v/>
      </c>
      <c r="L19" t="str">
        <f>IF(DONNEES!$E19="","",DONNEES!M19)</f>
        <v/>
      </c>
      <c r="M19" t="str">
        <f>IF(DONNEES!$E19="","",DONNEES!N19)</f>
        <v/>
      </c>
      <c r="N19" t="str">
        <f>IF(DONNEES!$E19="","",DONNEES!O19)</f>
        <v/>
      </c>
      <c r="O19" t="str">
        <f>IF(DONNEES!$E19="","",DONNEES!P19)</f>
        <v/>
      </c>
      <c r="P19" t="str">
        <f>IF(DONNEES!$E19="","",DONNEES!Q19)</f>
        <v/>
      </c>
      <c r="Q19" t="str">
        <f>IF(DONNEES!$E19="","",DONNEES!R19)</f>
        <v/>
      </c>
      <c r="R19" t="str">
        <f>IF(DONNEES!$E19="","",DONNEES!S19)</f>
        <v/>
      </c>
      <c r="S19" t="str">
        <f>IF(DONNEES!$E19="","",DONNEES!T19)</f>
        <v/>
      </c>
      <c r="T19" t="str">
        <f>IF(DONNEES!$E19="","",DONNEES!U19)</f>
        <v/>
      </c>
      <c r="U19" t="str">
        <f>IF(DONNEES!$E19="","",DONNEES!V19)</f>
        <v/>
      </c>
      <c r="V19" t="str">
        <f>IF(DONNEES!$E19="","",DONNEES!W19)</f>
        <v/>
      </c>
      <c r="W19" t="str">
        <f>IF(DONNEES!$E19="","",DONNEES!X19)</f>
        <v/>
      </c>
      <c r="X19" t="str">
        <f>IF(DONNEES!$E19="","",DONNEES!Y19)</f>
        <v/>
      </c>
      <c r="Y19" t="str">
        <f>IF(DONNEES!$E19="","",DONNEES!Z19)</f>
        <v/>
      </c>
      <c r="Z19" t="str">
        <f>IF(DONNEES!$E19="","",DONNEES!AQ19)</f>
        <v/>
      </c>
    </row>
    <row r="20" spans="1:26" ht="15" customHeight="1" x14ac:dyDescent="0.3">
      <c r="A20" t="str">
        <f>IF(DONNEES!$E20="","",DONNEES!A20)</f>
        <v/>
      </c>
      <c r="B20" t="str">
        <f>IF(DONNEES!$E20="","",DONNEES!B20)</f>
        <v/>
      </c>
      <c r="C20" t="str">
        <f>IF(DONNEES!$E20="","",DONNEES!C20)</f>
        <v/>
      </c>
      <c r="D20" t="str">
        <f>IF(DONNEES!$E20="","",DONNEES!E20)</f>
        <v/>
      </c>
      <c r="E20" t="str">
        <f>IF(DONNEES!$E20="","",DONNEES!F20)</f>
        <v/>
      </c>
      <c r="F20" t="str">
        <f>IF(DONNEES!$E20="","",DONNEES!G20)</f>
        <v/>
      </c>
      <c r="G20" t="str">
        <f>IF(DONNEES!$E20="","",DONNEES!H20)</f>
        <v/>
      </c>
      <c r="H20" t="str">
        <f>IF(DONNEES!$E20="","",DONNEES!I20)</f>
        <v/>
      </c>
      <c r="I20" t="str">
        <f>IF(DONNEES!$E20="","",DONNEES!J20)</f>
        <v/>
      </c>
      <c r="J20" t="str">
        <f>IF(DONNEES!$E20="","",DONNEES!K20)</f>
        <v/>
      </c>
      <c r="K20" t="str">
        <f>IF(DONNEES!$E20="","",DONNEES!L20)</f>
        <v/>
      </c>
      <c r="L20" t="str">
        <f>IF(DONNEES!$E20="","",DONNEES!M20)</f>
        <v/>
      </c>
      <c r="M20" t="str">
        <f>IF(DONNEES!$E20="","",DONNEES!N20)</f>
        <v/>
      </c>
      <c r="N20" t="str">
        <f>IF(DONNEES!$E20="","",DONNEES!O20)</f>
        <v/>
      </c>
      <c r="O20" t="str">
        <f>IF(DONNEES!$E20="","",DONNEES!P20)</f>
        <v/>
      </c>
      <c r="P20" t="str">
        <f>IF(DONNEES!$E20="","",DONNEES!Q20)</f>
        <v/>
      </c>
      <c r="Q20" t="str">
        <f>IF(DONNEES!$E20="","",DONNEES!R20)</f>
        <v/>
      </c>
      <c r="R20" t="str">
        <f>IF(DONNEES!$E20="","",DONNEES!S20)</f>
        <v/>
      </c>
      <c r="S20" t="str">
        <f>IF(DONNEES!$E20="","",DONNEES!T20)</f>
        <v/>
      </c>
      <c r="T20" t="str">
        <f>IF(DONNEES!$E20="","",DONNEES!U20)</f>
        <v/>
      </c>
      <c r="U20" t="str">
        <f>IF(DONNEES!$E20="","",DONNEES!V20)</f>
        <v/>
      </c>
      <c r="V20" t="str">
        <f>IF(DONNEES!$E20="","",DONNEES!W20)</f>
        <v/>
      </c>
      <c r="W20" t="str">
        <f>IF(DONNEES!$E20="","",DONNEES!X20)</f>
        <v/>
      </c>
      <c r="X20" t="str">
        <f>IF(DONNEES!$E20="","",DONNEES!Y20)</f>
        <v/>
      </c>
      <c r="Y20" t="str">
        <f>IF(DONNEES!$E20="","",DONNEES!Z20)</f>
        <v/>
      </c>
      <c r="Z20" t="str">
        <f>IF(DONNEES!$E20="","",DONNEES!AQ20)</f>
        <v/>
      </c>
    </row>
    <row r="21" spans="1:26" ht="15" customHeight="1" x14ac:dyDescent="0.3">
      <c r="A21" t="str">
        <f>IF(DONNEES!$E21="","",DONNEES!A21)</f>
        <v/>
      </c>
      <c r="B21" t="str">
        <f>IF(DONNEES!$E21="","",DONNEES!B21)</f>
        <v/>
      </c>
      <c r="C21" t="str">
        <f>IF(DONNEES!$E21="","",DONNEES!C21)</f>
        <v/>
      </c>
      <c r="D21" t="str">
        <f>IF(DONNEES!$E21="","",DONNEES!E21)</f>
        <v/>
      </c>
      <c r="E21" t="str">
        <f>IF(DONNEES!$E21="","",DONNEES!F21)</f>
        <v/>
      </c>
      <c r="F21" t="str">
        <f>IF(DONNEES!$E21="","",DONNEES!G21)</f>
        <v/>
      </c>
      <c r="G21" t="str">
        <f>IF(DONNEES!$E21="","",DONNEES!H21)</f>
        <v/>
      </c>
      <c r="H21" t="str">
        <f>IF(DONNEES!$E21="","",DONNEES!I21)</f>
        <v/>
      </c>
      <c r="I21" t="str">
        <f>IF(DONNEES!$E21="","",DONNEES!J21)</f>
        <v/>
      </c>
      <c r="J21" t="str">
        <f>IF(DONNEES!$E21="","",DONNEES!K21)</f>
        <v/>
      </c>
      <c r="K21" t="str">
        <f>IF(DONNEES!$E21="","",DONNEES!L21)</f>
        <v/>
      </c>
      <c r="L21" t="str">
        <f>IF(DONNEES!$E21="","",DONNEES!M21)</f>
        <v/>
      </c>
      <c r="M21" t="str">
        <f>IF(DONNEES!$E21="","",DONNEES!N21)</f>
        <v/>
      </c>
      <c r="N21" t="str">
        <f>IF(DONNEES!$E21="","",DONNEES!O21)</f>
        <v/>
      </c>
      <c r="O21" t="str">
        <f>IF(DONNEES!$E21="","",DONNEES!P21)</f>
        <v/>
      </c>
      <c r="P21" t="str">
        <f>IF(DONNEES!$E21="","",DONNEES!Q21)</f>
        <v/>
      </c>
      <c r="Q21" t="str">
        <f>IF(DONNEES!$E21="","",DONNEES!R21)</f>
        <v/>
      </c>
      <c r="R21" t="str">
        <f>IF(DONNEES!$E21="","",DONNEES!S21)</f>
        <v/>
      </c>
      <c r="S21" t="str">
        <f>IF(DONNEES!$E21="","",DONNEES!T21)</f>
        <v/>
      </c>
      <c r="T21" t="str">
        <f>IF(DONNEES!$E21="","",DONNEES!U21)</f>
        <v/>
      </c>
      <c r="U21" t="str">
        <f>IF(DONNEES!$E21="","",DONNEES!V21)</f>
        <v/>
      </c>
      <c r="V21" t="str">
        <f>IF(DONNEES!$E21="","",DONNEES!W21)</f>
        <v/>
      </c>
      <c r="W21" t="str">
        <f>IF(DONNEES!$E21="","",DONNEES!X21)</f>
        <v/>
      </c>
      <c r="X21" t="str">
        <f>IF(DONNEES!$E21="","",DONNEES!Y21)</f>
        <v/>
      </c>
      <c r="Y21" t="str">
        <f>IF(DONNEES!$E21="","",DONNEES!Z21)</f>
        <v/>
      </c>
      <c r="Z21" t="str">
        <f>IF(DONNEES!$E21="","",DONNEES!AQ21)</f>
        <v/>
      </c>
    </row>
    <row r="22" spans="1:26" ht="15" customHeight="1" x14ac:dyDescent="0.3">
      <c r="A22" t="str">
        <f>IF(DONNEES!$E22="","",DONNEES!A22)</f>
        <v/>
      </c>
      <c r="B22" t="str">
        <f>IF(DONNEES!$E22="","",DONNEES!B22)</f>
        <v/>
      </c>
      <c r="C22" t="str">
        <f>IF(DONNEES!$E22="","",DONNEES!C22)</f>
        <v/>
      </c>
      <c r="D22" t="str">
        <f>IF(DONNEES!$E22="","",DONNEES!E22)</f>
        <v/>
      </c>
      <c r="E22" t="str">
        <f>IF(DONNEES!$E22="","",DONNEES!F22)</f>
        <v/>
      </c>
      <c r="F22" t="str">
        <f>IF(DONNEES!$E22="","",DONNEES!G22)</f>
        <v/>
      </c>
      <c r="G22" t="str">
        <f>IF(DONNEES!$E22="","",DONNEES!H22)</f>
        <v/>
      </c>
      <c r="H22" t="str">
        <f>IF(DONNEES!$E22="","",DONNEES!I22)</f>
        <v/>
      </c>
      <c r="I22" t="str">
        <f>IF(DONNEES!$E22="","",DONNEES!J22)</f>
        <v/>
      </c>
      <c r="J22" t="str">
        <f>IF(DONNEES!$E22="","",DONNEES!K22)</f>
        <v/>
      </c>
      <c r="K22" t="str">
        <f>IF(DONNEES!$E22="","",DONNEES!L22)</f>
        <v/>
      </c>
      <c r="L22" t="str">
        <f>IF(DONNEES!$E22="","",DONNEES!M22)</f>
        <v/>
      </c>
      <c r="M22" t="str">
        <f>IF(DONNEES!$E22="","",DONNEES!N22)</f>
        <v/>
      </c>
      <c r="N22" t="str">
        <f>IF(DONNEES!$E22="","",DONNEES!O22)</f>
        <v/>
      </c>
      <c r="O22" t="str">
        <f>IF(DONNEES!$E22="","",DONNEES!P22)</f>
        <v/>
      </c>
      <c r="P22" t="str">
        <f>IF(DONNEES!$E22="","",DONNEES!Q22)</f>
        <v/>
      </c>
      <c r="Q22" t="str">
        <f>IF(DONNEES!$E22="","",DONNEES!R22)</f>
        <v/>
      </c>
      <c r="R22" t="str">
        <f>IF(DONNEES!$E22="","",DONNEES!S22)</f>
        <v/>
      </c>
      <c r="S22" t="str">
        <f>IF(DONNEES!$E22="","",DONNEES!T22)</f>
        <v/>
      </c>
      <c r="T22" t="str">
        <f>IF(DONNEES!$E22="","",DONNEES!U22)</f>
        <v/>
      </c>
      <c r="U22" t="str">
        <f>IF(DONNEES!$E22="","",DONNEES!V22)</f>
        <v/>
      </c>
      <c r="V22" t="str">
        <f>IF(DONNEES!$E22="","",DONNEES!W22)</f>
        <v/>
      </c>
      <c r="W22" t="str">
        <f>IF(DONNEES!$E22="","",DONNEES!X22)</f>
        <v/>
      </c>
      <c r="X22" t="str">
        <f>IF(DONNEES!$E22="","",DONNEES!Y22)</f>
        <v/>
      </c>
      <c r="Y22" t="str">
        <f>IF(DONNEES!$E22="","",DONNEES!Z22)</f>
        <v/>
      </c>
      <c r="Z22" t="str">
        <f>IF(DONNEES!$E22="","",DONNEES!AQ22)</f>
        <v/>
      </c>
    </row>
    <row r="23" spans="1:26" ht="15" customHeight="1" x14ac:dyDescent="0.3">
      <c r="A23" t="str">
        <f>IF(DONNEES!$E23="","",DONNEES!A23)</f>
        <v/>
      </c>
      <c r="B23" t="str">
        <f>IF(DONNEES!$E23="","",DONNEES!B23)</f>
        <v/>
      </c>
      <c r="C23" t="str">
        <f>IF(DONNEES!$E23="","",DONNEES!C23)</f>
        <v/>
      </c>
      <c r="D23" t="str">
        <f>IF(DONNEES!$E23="","",DONNEES!E23)</f>
        <v/>
      </c>
      <c r="E23" t="str">
        <f>IF(DONNEES!$E23="","",DONNEES!F23)</f>
        <v/>
      </c>
      <c r="F23" t="str">
        <f>IF(DONNEES!$E23="","",DONNEES!G23)</f>
        <v/>
      </c>
      <c r="G23" t="str">
        <f>IF(DONNEES!$E23="","",DONNEES!H23)</f>
        <v/>
      </c>
      <c r="H23" t="str">
        <f>IF(DONNEES!$E23="","",DONNEES!I23)</f>
        <v/>
      </c>
      <c r="I23" t="str">
        <f>IF(DONNEES!$E23="","",DONNEES!J23)</f>
        <v/>
      </c>
      <c r="J23" t="str">
        <f>IF(DONNEES!$E23="","",DONNEES!K23)</f>
        <v/>
      </c>
      <c r="K23" t="str">
        <f>IF(DONNEES!$E23="","",DONNEES!L23)</f>
        <v/>
      </c>
      <c r="L23" t="str">
        <f>IF(DONNEES!$E23="","",DONNEES!M23)</f>
        <v/>
      </c>
      <c r="M23" t="str">
        <f>IF(DONNEES!$E23="","",DONNEES!N23)</f>
        <v/>
      </c>
      <c r="N23" t="str">
        <f>IF(DONNEES!$E23="","",DONNEES!O23)</f>
        <v/>
      </c>
      <c r="O23" t="str">
        <f>IF(DONNEES!$E23="","",DONNEES!P23)</f>
        <v/>
      </c>
      <c r="P23" t="str">
        <f>IF(DONNEES!$E23="","",DONNEES!Q23)</f>
        <v/>
      </c>
      <c r="Q23" t="str">
        <f>IF(DONNEES!$E23="","",DONNEES!R23)</f>
        <v/>
      </c>
      <c r="R23" t="str">
        <f>IF(DONNEES!$E23="","",DONNEES!S23)</f>
        <v/>
      </c>
      <c r="S23" t="str">
        <f>IF(DONNEES!$E23="","",DONNEES!T23)</f>
        <v/>
      </c>
      <c r="T23" t="str">
        <f>IF(DONNEES!$E23="","",DONNEES!U23)</f>
        <v/>
      </c>
      <c r="U23" t="str">
        <f>IF(DONNEES!$E23="","",DONNEES!V23)</f>
        <v/>
      </c>
      <c r="V23" t="str">
        <f>IF(DONNEES!$E23="","",DONNEES!W23)</f>
        <v/>
      </c>
      <c r="W23" t="str">
        <f>IF(DONNEES!$E23="","",DONNEES!X23)</f>
        <v/>
      </c>
      <c r="X23" t="str">
        <f>IF(DONNEES!$E23="","",DONNEES!Y23)</f>
        <v/>
      </c>
      <c r="Y23" t="str">
        <f>IF(DONNEES!$E23="","",DONNEES!Z23)</f>
        <v/>
      </c>
      <c r="Z23" t="str">
        <f>IF(DONNEES!$E23="","",DONNEES!AQ23)</f>
        <v/>
      </c>
    </row>
    <row r="24" spans="1:26" ht="15" customHeight="1" x14ac:dyDescent="0.3">
      <c r="A24" t="str">
        <f>IF(DONNEES!$E24="","",DONNEES!A24)</f>
        <v/>
      </c>
      <c r="B24" t="str">
        <f>IF(DONNEES!$E24="","",DONNEES!B24)</f>
        <v/>
      </c>
      <c r="C24" t="str">
        <f>IF(DONNEES!$E24="","",DONNEES!C24)</f>
        <v/>
      </c>
      <c r="D24" t="str">
        <f>IF(DONNEES!$E24="","",DONNEES!E24)</f>
        <v/>
      </c>
      <c r="E24" t="str">
        <f>IF(DONNEES!$E24="","",DONNEES!F24)</f>
        <v/>
      </c>
      <c r="F24" t="str">
        <f>IF(DONNEES!$E24="","",DONNEES!G24)</f>
        <v/>
      </c>
      <c r="G24" t="str">
        <f>IF(DONNEES!$E24="","",DONNEES!H24)</f>
        <v/>
      </c>
      <c r="H24" t="str">
        <f>IF(DONNEES!$E24="","",DONNEES!I24)</f>
        <v/>
      </c>
      <c r="I24" t="str">
        <f>IF(DONNEES!$E24="","",DONNEES!J24)</f>
        <v/>
      </c>
      <c r="J24" t="str">
        <f>IF(DONNEES!$E24="","",DONNEES!K24)</f>
        <v/>
      </c>
      <c r="K24" t="str">
        <f>IF(DONNEES!$E24="","",DONNEES!L24)</f>
        <v/>
      </c>
      <c r="L24" t="str">
        <f>IF(DONNEES!$E24="","",DONNEES!M24)</f>
        <v/>
      </c>
      <c r="M24" t="str">
        <f>IF(DONNEES!$E24="","",DONNEES!N24)</f>
        <v/>
      </c>
      <c r="N24" t="str">
        <f>IF(DONNEES!$E24="","",DONNEES!O24)</f>
        <v/>
      </c>
      <c r="O24" t="str">
        <f>IF(DONNEES!$E24="","",DONNEES!P24)</f>
        <v/>
      </c>
      <c r="P24" t="str">
        <f>IF(DONNEES!$E24="","",DONNEES!Q24)</f>
        <v/>
      </c>
      <c r="Q24" t="str">
        <f>IF(DONNEES!$E24="","",DONNEES!R24)</f>
        <v/>
      </c>
      <c r="R24" t="str">
        <f>IF(DONNEES!$E24="","",DONNEES!S24)</f>
        <v/>
      </c>
      <c r="S24" t="str">
        <f>IF(DONNEES!$E24="","",DONNEES!T24)</f>
        <v/>
      </c>
      <c r="T24" t="str">
        <f>IF(DONNEES!$E24="","",DONNEES!U24)</f>
        <v/>
      </c>
      <c r="U24" t="str">
        <f>IF(DONNEES!$E24="","",DONNEES!V24)</f>
        <v/>
      </c>
      <c r="V24" t="str">
        <f>IF(DONNEES!$E24="","",DONNEES!W24)</f>
        <v/>
      </c>
      <c r="W24" t="str">
        <f>IF(DONNEES!$E24="","",DONNEES!X24)</f>
        <v/>
      </c>
      <c r="X24" t="str">
        <f>IF(DONNEES!$E24="","",DONNEES!Y24)</f>
        <v/>
      </c>
      <c r="Y24" t="str">
        <f>IF(DONNEES!$E24="","",DONNEES!Z24)</f>
        <v/>
      </c>
      <c r="Z24" t="str">
        <f>IF(DONNEES!$E24="","",DONNEES!AQ24)</f>
        <v/>
      </c>
    </row>
    <row r="25" spans="1:26" ht="15" customHeight="1" x14ac:dyDescent="0.3">
      <c r="A25" t="str">
        <f>IF(DONNEES!$E25="","",DONNEES!A25)</f>
        <v/>
      </c>
      <c r="B25" t="str">
        <f>IF(DONNEES!$E25="","",DONNEES!B25)</f>
        <v/>
      </c>
      <c r="C25" t="str">
        <f>IF(DONNEES!$E25="","",DONNEES!C25)</f>
        <v/>
      </c>
      <c r="D25" t="str">
        <f>IF(DONNEES!$E25="","",DONNEES!E25)</f>
        <v/>
      </c>
      <c r="E25" t="str">
        <f>IF(DONNEES!$E25="","",DONNEES!F25)</f>
        <v/>
      </c>
      <c r="F25" t="str">
        <f>IF(DONNEES!$E25="","",DONNEES!G25)</f>
        <v/>
      </c>
      <c r="G25" t="str">
        <f>IF(DONNEES!$E25="","",DONNEES!H25)</f>
        <v/>
      </c>
      <c r="H25" t="str">
        <f>IF(DONNEES!$E25="","",DONNEES!I25)</f>
        <v/>
      </c>
      <c r="I25" t="str">
        <f>IF(DONNEES!$E25="","",DONNEES!J25)</f>
        <v/>
      </c>
      <c r="J25" t="str">
        <f>IF(DONNEES!$E25="","",DONNEES!K25)</f>
        <v/>
      </c>
      <c r="K25" t="str">
        <f>IF(DONNEES!$E25="","",DONNEES!L25)</f>
        <v/>
      </c>
      <c r="L25" t="str">
        <f>IF(DONNEES!$E25="","",DONNEES!M25)</f>
        <v/>
      </c>
      <c r="M25" t="str">
        <f>IF(DONNEES!$E25="","",DONNEES!N25)</f>
        <v/>
      </c>
      <c r="N25" t="str">
        <f>IF(DONNEES!$E25="","",DONNEES!O25)</f>
        <v/>
      </c>
      <c r="O25" t="str">
        <f>IF(DONNEES!$E25="","",DONNEES!P25)</f>
        <v/>
      </c>
      <c r="P25" t="str">
        <f>IF(DONNEES!$E25="","",DONNEES!Q25)</f>
        <v/>
      </c>
      <c r="Q25" t="str">
        <f>IF(DONNEES!$E25="","",DONNEES!R25)</f>
        <v/>
      </c>
      <c r="R25" t="str">
        <f>IF(DONNEES!$E25="","",DONNEES!S25)</f>
        <v/>
      </c>
      <c r="S25" t="str">
        <f>IF(DONNEES!$E25="","",DONNEES!T25)</f>
        <v/>
      </c>
      <c r="T25" t="str">
        <f>IF(DONNEES!$E25="","",DONNEES!U25)</f>
        <v/>
      </c>
      <c r="U25" t="str">
        <f>IF(DONNEES!$E25="","",DONNEES!V25)</f>
        <v/>
      </c>
      <c r="V25" t="str">
        <f>IF(DONNEES!$E25="","",DONNEES!W25)</f>
        <v/>
      </c>
      <c r="W25" t="str">
        <f>IF(DONNEES!$E25="","",DONNEES!X25)</f>
        <v/>
      </c>
      <c r="X25" t="str">
        <f>IF(DONNEES!$E25="","",DONNEES!Y25)</f>
        <v/>
      </c>
      <c r="Y25" t="str">
        <f>IF(DONNEES!$E25="","",DONNEES!Z25)</f>
        <v/>
      </c>
      <c r="Z25" t="str">
        <f>IF(DONNEES!$E25="","",DONNEES!AQ25)</f>
        <v/>
      </c>
    </row>
    <row r="26" spans="1:26" ht="15" customHeight="1" x14ac:dyDescent="0.3">
      <c r="A26" t="str">
        <f>IF(DONNEES!$E26="","",DONNEES!A26)</f>
        <v/>
      </c>
      <c r="B26" t="str">
        <f>IF(DONNEES!$E26="","",DONNEES!B26)</f>
        <v/>
      </c>
      <c r="C26" t="str">
        <f>IF(DONNEES!$E26="","",DONNEES!C26)</f>
        <v/>
      </c>
      <c r="D26" t="str">
        <f>IF(DONNEES!$E26="","",DONNEES!E26)</f>
        <v/>
      </c>
      <c r="E26" t="str">
        <f>IF(DONNEES!$E26="","",DONNEES!F26)</f>
        <v/>
      </c>
      <c r="F26" t="str">
        <f>IF(DONNEES!$E26="","",DONNEES!G26)</f>
        <v/>
      </c>
      <c r="G26" t="str">
        <f>IF(DONNEES!$E26="","",DONNEES!H26)</f>
        <v/>
      </c>
      <c r="H26" t="str">
        <f>IF(DONNEES!$E26="","",DONNEES!I26)</f>
        <v/>
      </c>
      <c r="I26" t="str">
        <f>IF(DONNEES!$E26="","",DONNEES!J26)</f>
        <v/>
      </c>
      <c r="J26" t="str">
        <f>IF(DONNEES!$E26="","",DONNEES!K26)</f>
        <v/>
      </c>
      <c r="K26" t="str">
        <f>IF(DONNEES!$E26="","",DONNEES!L26)</f>
        <v/>
      </c>
      <c r="L26" t="str">
        <f>IF(DONNEES!$E26="","",DONNEES!M26)</f>
        <v/>
      </c>
      <c r="M26" t="str">
        <f>IF(DONNEES!$E26="","",DONNEES!N26)</f>
        <v/>
      </c>
      <c r="N26" t="str">
        <f>IF(DONNEES!$E26="","",DONNEES!O26)</f>
        <v/>
      </c>
      <c r="O26" t="str">
        <f>IF(DONNEES!$E26="","",DONNEES!P26)</f>
        <v/>
      </c>
      <c r="P26" t="str">
        <f>IF(DONNEES!$E26="","",DONNEES!Q26)</f>
        <v/>
      </c>
      <c r="Q26" t="str">
        <f>IF(DONNEES!$E26="","",DONNEES!R26)</f>
        <v/>
      </c>
      <c r="R26" t="str">
        <f>IF(DONNEES!$E26="","",DONNEES!S26)</f>
        <v/>
      </c>
      <c r="S26" t="str">
        <f>IF(DONNEES!$E26="","",DONNEES!T26)</f>
        <v/>
      </c>
      <c r="T26" t="str">
        <f>IF(DONNEES!$E26="","",DONNEES!U26)</f>
        <v/>
      </c>
      <c r="U26" t="str">
        <f>IF(DONNEES!$E26="","",DONNEES!V26)</f>
        <v/>
      </c>
      <c r="V26" t="str">
        <f>IF(DONNEES!$E26="","",DONNEES!W26)</f>
        <v/>
      </c>
      <c r="W26" t="str">
        <f>IF(DONNEES!$E26="","",DONNEES!X26)</f>
        <v/>
      </c>
      <c r="X26" t="str">
        <f>IF(DONNEES!$E26="","",DONNEES!Y26)</f>
        <v/>
      </c>
      <c r="Y26" t="str">
        <f>IF(DONNEES!$E26="","",DONNEES!Z26)</f>
        <v/>
      </c>
      <c r="Z26" t="str">
        <f>IF(DONNEES!$E26="","",DONNEES!AQ26)</f>
        <v/>
      </c>
    </row>
    <row r="27" spans="1:26" ht="15" customHeight="1" x14ac:dyDescent="0.3">
      <c r="A27" t="str">
        <f>IF(DONNEES!$E27="","",DONNEES!A27)</f>
        <v/>
      </c>
      <c r="B27" t="str">
        <f>IF(DONNEES!$E27="","",DONNEES!B27)</f>
        <v/>
      </c>
      <c r="C27" t="str">
        <f>IF(DONNEES!$E27="","",DONNEES!C27)</f>
        <v/>
      </c>
      <c r="D27" t="str">
        <f>IF(DONNEES!$E27="","",DONNEES!E27)</f>
        <v/>
      </c>
      <c r="E27" t="str">
        <f>IF(DONNEES!$E27="","",DONNEES!F27)</f>
        <v/>
      </c>
      <c r="F27" t="str">
        <f>IF(DONNEES!$E27="","",DONNEES!G27)</f>
        <v/>
      </c>
      <c r="G27" t="str">
        <f>IF(DONNEES!$E27="","",DONNEES!H27)</f>
        <v/>
      </c>
      <c r="H27" t="str">
        <f>IF(DONNEES!$E27="","",DONNEES!I27)</f>
        <v/>
      </c>
      <c r="I27" t="str">
        <f>IF(DONNEES!$E27="","",DONNEES!J27)</f>
        <v/>
      </c>
      <c r="J27" t="str">
        <f>IF(DONNEES!$E27="","",DONNEES!K27)</f>
        <v/>
      </c>
      <c r="K27" t="str">
        <f>IF(DONNEES!$E27="","",DONNEES!L27)</f>
        <v/>
      </c>
      <c r="L27" t="str">
        <f>IF(DONNEES!$E27="","",DONNEES!M27)</f>
        <v/>
      </c>
      <c r="M27" t="str">
        <f>IF(DONNEES!$E27="","",DONNEES!N27)</f>
        <v/>
      </c>
      <c r="N27" t="str">
        <f>IF(DONNEES!$E27="","",DONNEES!O27)</f>
        <v/>
      </c>
      <c r="O27" t="str">
        <f>IF(DONNEES!$E27="","",DONNEES!P27)</f>
        <v/>
      </c>
      <c r="P27" t="str">
        <f>IF(DONNEES!$E27="","",DONNEES!Q27)</f>
        <v/>
      </c>
      <c r="Q27" t="str">
        <f>IF(DONNEES!$E27="","",DONNEES!R27)</f>
        <v/>
      </c>
      <c r="R27" t="str">
        <f>IF(DONNEES!$E27="","",DONNEES!S27)</f>
        <v/>
      </c>
      <c r="S27" t="str">
        <f>IF(DONNEES!$E27="","",DONNEES!T27)</f>
        <v/>
      </c>
      <c r="T27" t="str">
        <f>IF(DONNEES!$E27="","",DONNEES!U27)</f>
        <v/>
      </c>
      <c r="U27" t="str">
        <f>IF(DONNEES!$E27="","",DONNEES!V27)</f>
        <v/>
      </c>
      <c r="V27" t="str">
        <f>IF(DONNEES!$E27="","",DONNEES!W27)</f>
        <v/>
      </c>
      <c r="W27" t="str">
        <f>IF(DONNEES!$E27="","",DONNEES!X27)</f>
        <v/>
      </c>
      <c r="X27" t="str">
        <f>IF(DONNEES!$E27="","",DONNEES!Y27)</f>
        <v/>
      </c>
      <c r="Y27" t="str">
        <f>IF(DONNEES!$E27="","",DONNEES!Z27)</f>
        <v/>
      </c>
      <c r="Z27" t="str">
        <f>IF(DONNEES!$E27="","",DONNEES!AQ27)</f>
        <v/>
      </c>
    </row>
    <row r="28" spans="1:26" ht="15" customHeight="1" x14ac:dyDescent="0.3">
      <c r="A28" t="str">
        <f>IF(DONNEES!$E28="","",DONNEES!A28)</f>
        <v/>
      </c>
      <c r="B28" t="str">
        <f>IF(DONNEES!$E28="","",DONNEES!B28)</f>
        <v/>
      </c>
      <c r="C28" t="str">
        <f>IF(DONNEES!$E28="","",DONNEES!C28)</f>
        <v/>
      </c>
      <c r="D28" t="str">
        <f>IF(DONNEES!$E28="","",DONNEES!E28)</f>
        <v/>
      </c>
      <c r="E28" t="str">
        <f>IF(DONNEES!$E28="","",DONNEES!F28)</f>
        <v/>
      </c>
      <c r="F28" t="str">
        <f>IF(DONNEES!$E28="","",DONNEES!G28)</f>
        <v/>
      </c>
      <c r="G28" t="str">
        <f>IF(DONNEES!$E28="","",DONNEES!H28)</f>
        <v/>
      </c>
      <c r="H28" t="str">
        <f>IF(DONNEES!$E28="","",DONNEES!I28)</f>
        <v/>
      </c>
      <c r="I28" t="str">
        <f>IF(DONNEES!$E28="","",DONNEES!J28)</f>
        <v/>
      </c>
      <c r="J28" t="str">
        <f>IF(DONNEES!$E28="","",DONNEES!K28)</f>
        <v/>
      </c>
      <c r="K28" t="str">
        <f>IF(DONNEES!$E28="","",DONNEES!L28)</f>
        <v/>
      </c>
      <c r="L28" t="str">
        <f>IF(DONNEES!$E28="","",DONNEES!M28)</f>
        <v/>
      </c>
      <c r="M28" t="str">
        <f>IF(DONNEES!$E28="","",DONNEES!N28)</f>
        <v/>
      </c>
      <c r="N28" t="str">
        <f>IF(DONNEES!$E28="","",DONNEES!O28)</f>
        <v/>
      </c>
      <c r="O28" t="str">
        <f>IF(DONNEES!$E28="","",DONNEES!P28)</f>
        <v/>
      </c>
      <c r="P28" t="str">
        <f>IF(DONNEES!$E28="","",DONNEES!Q28)</f>
        <v/>
      </c>
      <c r="Q28" t="str">
        <f>IF(DONNEES!$E28="","",DONNEES!R28)</f>
        <v/>
      </c>
      <c r="R28" t="str">
        <f>IF(DONNEES!$E28="","",DONNEES!S28)</f>
        <v/>
      </c>
      <c r="S28" t="str">
        <f>IF(DONNEES!$E28="","",DONNEES!T28)</f>
        <v/>
      </c>
      <c r="T28" t="str">
        <f>IF(DONNEES!$E28="","",DONNEES!U28)</f>
        <v/>
      </c>
      <c r="U28" t="str">
        <f>IF(DONNEES!$E28="","",DONNEES!V28)</f>
        <v/>
      </c>
      <c r="V28" t="str">
        <f>IF(DONNEES!$E28="","",DONNEES!W28)</f>
        <v/>
      </c>
      <c r="W28" t="str">
        <f>IF(DONNEES!$E28="","",DONNEES!X28)</f>
        <v/>
      </c>
      <c r="X28" t="str">
        <f>IF(DONNEES!$E28="","",DONNEES!Y28)</f>
        <v/>
      </c>
      <c r="Y28" t="str">
        <f>IF(DONNEES!$E28="","",DONNEES!Z28)</f>
        <v/>
      </c>
      <c r="Z28" t="str">
        <f>IF(DONNEES!$E28="","",DONNEES!AQ28)</f>
        <v/>
      </c>
    </row>
    <row r="29" spans="1:26" ht="15" customHeight="1" x14ac:dyDescent="0.3">
      <c r="A29" t="str">
        <f>IF(DONNEES!$E29="","",DONNEES!A29)</f>
        <v/>
      </c>
      <c r="B29" t="str">
        <f>IF(DONNEES!$E29="","",DONNEES!B29)</f>
        <v/>
      </c>
      <c r="C29" t="str">
        <f>IF(DONNEES!$E29="","",DONNEES!C29)</f>
        <v/>
      </c>
      <c r="D29" t="str">
        <f>IF(DONNEES!$E29="","",DONNEES!E29)</f>
        <v/>
      </c>
      <c r="E29" t="str">
        <f>IF(DONNEES!$E29="","",DONNEES!F29)</f>
        <v/>
      </c>
      <c r="F29" t="str">
        <f>IF(DONNEES!$E29="","",DONNEES!G29)</f>
        <v/>
      </c>
      <c r="G29" t="str">
        <f>IF(DONNEES!$E29="","",DONNEES!H29)</f>
        <v/>
      </c>
      <c r="H29" t="str">
        <f>IF(DONNEES!$E29="","",DONNEES!I29)</f>
        <v/>
      </c>
      <c r="I29" t="str">
        <f>IF(DONNEES!$E29="","",DONNEES!J29)</f>
        <v/>
      </c>
      <c r="J29" t="str">
        <f>IF(DONNEES!$E29="","",DONNEES!K29)</f>
        <v/>
      </c>
      <c r="K29" t="str">
        <f>IF(DONNEES!$E29="","",DONNEES!L29)</f>
        <v/>
      </c>
      <c r="L29" t="str">
        <f>IF(DONNEES!$E29="","",DONNEES!M29)</f>
        <v/>
      </c>
      <c r="M29" t="str">
        <f>IF(DONNEES!$E29="","",DONNEES!N29)</f>
        <v/>
      </c>
      <c r="N29" t="str">
        <f>IF(DONNEES!$E29="","",DONNEES!O29)</f>
        <v/>
      </c>
      <c r="O29" t="str">
        <f>IF(DONNEES!$E29="","",DONNEES!P29)</f>
        <v/>
      </c>
      <c r="P29" t="str">
        <f>IF(DONNEES!$E29="","",DONNEES!Q29)</f>
        <v/>
      </c>
      <c r="Q29" t="str">
        <f>IF(DONNEES!$E29="","",DONNEES!R29)</f>
        <v/>
      </c>
      <c r="R29" t="str">
        <f>IF(DONNEES!$E29="","",DONNEES!S29)</f>
        <v/>
      </c>
      <c r="S29" t="str">
        <f>IF(DONNEES!$E29="","",DONNEES!T29)</f>
        <v/>
      </c>
      <c r="T29" t="str">
        <f>IF(DONNEES!$E29="","",DONNEES!U29)</f>
        <v/>
      </c>
      <c r="U29" t="str">
        <f>IF(DONNEES!$E29="","",DONNEES!V29)</f>
        <v/>
      </c>
      <c r="V29" t="str">
        <f>IF(DONNEES!$E29="","",DONNEES!W29)</f>
        <v/>
      </c>
      <c r="W29" t="str">
        <f>IF(DONNEES!$E29="","",DONNEES!X29)</f>
        <v/>
      </c>
      <c r="X29" t="str">
        <f>IF(DONNEES!$E29="","",DONNEES!Y29)</f>
        <v/>
      </c>
      <c r="Y29" t="str">
        <f>IF(DONNEES!$E29="","",DONNEES!Z29)</f>
        <v/>
      </c>
      <c r="Z29" t="str">
        <f>IF(DONNEES!$E29="","",DONNEES!AQ29)</f>
        <v/>
      </c>
    </row>
    <row r="30" spans="1:26" ht="15" customHeight="1" x14ac:dyDescent="0.3">
      <c r="A30" t="str">
        <f>IF(DONNEES!$E30="","",DONNEES!A30)</f>
        <v/>
      </c>
      <c r="B30" t="str">
        <f>IF(DONNEES!$E30="","",DONNEES!B30)</f>
        <v/>
      </c>
      <c r="C30" t="str">
        <f>IF(DONNEES!$E30="","",DONNEES!C30)</f>
        <v/>
      </c>
      <c r="D30" t="str">
        <f>IF(DONNEES!$E30="","",DONNEES!E30)</f>
        <v/>
      </c>
      <c r="E30" t="str">
        <f>IF(DONNEES!$E30="","",DONNEES!F30)</f>
        <v/>
      </c>
      <c r="F30" t="str">
        <f>IF(DONNEES!$E30="","",DONNEES!G30)</f>
        <v/>
      </c>
      <c r="G30" t="str">
        <f>IF(DONNEES!$E30="","",DONNEES!H30)</f>
        <v/>
      </c>
      <c r="H30" t="str">
        <f>IF(DONNEES!$E30="","",DONNEES!I30)</f>
        <v/>
      </c>
      <c r="I30" t="str">
        <f>IF(DONNEES!$E30="","",DONNEES!J30)</f>
        <v/>
      </c>
      <c r="J30" t="str">
        <f>IF(DONNEES!$E30="","",DONNEES!K30)</f>
        <v/>
      </c>
      <c r="K30" t="str">
        <f>IF(DONNEES!$E30="","",DONNEES!L30)</f>
        <v/>
      </c>
      <c r="L30" t="str">
        <f>IF(DONNEES!$E30="","",DONNEES!M30)</f>
        <v/>
      </c>
      <c r="M30" t="str">
        <f>IF(DONNEES!$E30="","",DONNEES!N30)</f>
        <v/>
      </c>
      <c r="N30" t="str">
        <f>IF(DONNEES!$E30="","",DONNEES!O30)</f>
        <v/>
      </c>
      <c r="O30" t="str">
        <f>IF(DONNEES!$E30="","",DONNEES!P30)</f>
        <v/>
      </c>
      <c r="P30" t="str">
        <f>IF(DONNEES!$E30="","",DONNEES!Q30)</f>
        <v/>
      </c>
      <c r="Q30" t="str">
        <f>IF(DONNEES!$E30="","",DONNEES!R30)</f>
        <v/>
      </c>
      <c r="R30" t="str">
        <f>IF(DONNEES!$E30="","",DONNEES!S30)</f>
        <v/>
      </c>
      <c r="S30" t="str">
        <f>IF(DONNEES!$E30="","",DONNEES!T30)</f>
        <v/>
      </c>
      <c r="T30" t="str">
        <f>IF(DONNEES!$E30="","",DONNEES!U30)</f>
        <v/>
      </c>
      <c r="U30" t="str">
        <f>IF(DONNEES!$E30="","",DONNEES!V30)</f>
        <v/>
      </c>
      <c r="V30" t="str">
        <f>IF(DONNEES!$E30="","",DONNEES!W30)</f>
        <v/>
      </c>
      <c r="W30" t="str">
        <f>IF(DONNEES!$E30="","",DONNEES!X30)</f>
        <v/>
      </c>
      <c r="X30" t="str">
        <f>IF(DONNEES!$E30="","",DONNEES!Y30)</f>
        <v/>
      </c>
      <c r="Y30" t="str">
        <f>IF(DONNEES!$E30="","",DONNEES!Z30)</f>
        <v/>
      </c>
      <c r="Z30" t="str">
        <f>IF(DONNEES!$E30="","",DONNEES!AQ30)</f>
        <v/>
      </c>
    </row>
    <row r="31" spans="1:26" ht="15" customHeight="1" x14ac:dyDescent="0.3">
      <c r="A31" t="str">
        <f>IF(DONNEES!$E31="","",DONNEES!A31)</f>
        <v/>
      </c>
      <c r="B31" t="str">
        <f>IF(DONNEES!$E31="","",DONNEES!B31)</f>
        <v/>
      </c>
      <c r="C31" t="str">
        <f>IF(DONNEES!$E31="","",DONNEES!C31)</f>
        <v/>
      </c>
      <c r="D31" t="str">
        <f>IF(DONNEES!$E31="","",DONNEES!E31)</f>
        <v/>
      </c>
      <c r="E31" t="str">
        <f>IF(DONNEES!$E31="","",DONNEES!F31)</f>
        <v/>
      </c>
      <c r="F31" t="str">
        <f>IF(DONNEES!$E31="","",DONNEES!G31)</f>
        <v/>
      </c>
      <c r="G31" t="str">
        <f>IF(DONNEES!$E31="","",DONNEES!H31)</f>
        <v/>
      </c>
      <c r="H31" t="str">
        <f>IF(DONNEES!$E31="","",DONNEES!I31)</f>
        <v/>
      </c>
      <c r="I31" t="str">
        <f>IF(DONNEES!$E31="","",DONNEES!J31)</f>
        <v/>
      </c>
      <c r="J31" t="str">
        <f>IF(DONNEES!$E31="","",DONNEES!K31)</f>
        <v/>
      </c>
      <c r="K31" t="str">
        <f>IF(DONNEES!$E31="","",DONNEES!L31)</f>
        <v/>
      </c>
      <c r="L31" t="str">
        <f>IF(DONNEES!$E31="","",DONNEES!M31)</f>
        <v/>
      </c>
      <c r="M31" t="str">
        <f>IF(DONNEES!$E31="","",DONNEES!N31)</f>
        <v/>
      </c>
      <c r="N31" t="str">
        <f>IF(DONNEES!$E31="","",DONNEES!O31)</f>
        <v/>
      </c>
      <c r="O31" t="str">
        <f>IF(DONNEES!$E31="","",DONNEES!P31)</f>
        <v/>
      </c>
      <c r="P31" t="str">
        <f>IF(DONNEES!$E31="","",DONNEES!Q31)</f>
        <v/>
      </c>
      <c r="Q31" t="str">
        <f>IF(DONNEES!$E31="","",DONNEES!R31)</f>
        <v/>
      </c>
      <c r="R31" t="str">
        <f>IF(DONNEES!$E31="","",DONNEES!S31)</f>
        <v/>
      </c>
      <c r="S31" t="str">
        <f>IF(DONNEES!$E31="","",DONNEES!T31)</f>
        <v/>
      </c>
      <c r="T31" t="str">
        <f>IF(DONNEES!$E31="","",DONNEES!U31)</f>
        <v/>
      </c>
      <c r="U31" t="str">
        <f>IF(DONNEES!$E31="","",DONNEES!V31)</f>
        <v/>
      </c>
      <c r="V31" t="str">
        <f>IF(DONNEES!$E31="","",DONNEES!W31)</f>
        <v/>
      </c>
      <c r="W31" t="str">
        <f>IF(DONNEES!$E31="","",DONNEES!X31)</f>
        <v/>
      </c>
      <c r="X31" t="str">
        <f>IF(DONNEES!$E31="","",DONNEES!Y31)</f>
        <v/>
      </c>
      <c r="Y31" t="str">
        <f>IF(DONNEES!$E31="","",DONNEES!Z31)</f>
        <v/>
      </c>
      <c r="Z31" t="str">
        <f>IF(DONNEES!$E31="","",DONNEES!AQ31)</f>
        <v/>
      </c>
    </row>
    <row r="32" spans="1:26" ht="15" customHeight="1" x14ac:dyDescent="0.3">
      <c r="A32" t="str">
        <f>IF(DONNEES!$E32="","",DONNEES!A32)</f>
        <v/>
      </c>
      <c r="B32" t="str">
        <f>IF(DONNEES!$E32="","",DONNEES!B32)</f>
        <v/>
      </c>
      <c r="C32" t="str">
        <f>IF(DONNEES!$E32="","",DONNEES!C32)</f>
        <v/>
      </c>
      <c r="D32" t="str">
        <f>IF(DONNEES!$E32="","",DONNEES!E32)</f>
        <v/>
      </c>
      <c r="E32" t="str">
        <f>IF(DONNEES!$E32="","",DONNEES!F32)</f>
        <v/>
      </c>
      <c r="F32" t="str">
        <f>IF(DONNEES!$E32="","",DONNEES!G32)</f>
        <v/>
      </c>
      <c r="G32" t="str">
        <f>IF(DONNEES!$E32="","",DONNEES!H32)</f>
        <v/>
      </c>
      <c r="H32" t="str">
        <f>IF(DONNEES!$E32="","",DONNEES!I32)</f>
        <v/>
      </c>
      <c r="I32" t="str">
        <f>IF(DONNEES!$E32="","",DONNEES!J32)</f>
        <v/>
      </c>
      <c r="J32" t="str">
        <f>IF(DONNEES!$E32="","",DONNEES!K32)</f>
        <v/>
      </c>
      <c r="K32" t="str">
        <f>IF(DONNEES!$E32="","",DONNEES!L32)</f>
        <v/>
      </c>
      <c r="L32" t="str">
        <f>IF(DONNEES!$E32="","",DONNEES!M32)</f>
        <v/>
      </c>
      <c r="M32" t="str">
        <f>IF(DONNEES!$E32="","",DONNEES!N32)</f>
        <v/>
      </c>
      <c r="N32" t="str">
        <f>IF(DONNEES!$E32="","",DONNEES!O32)</f>
        <v/>
      </c>
      <c r="O32" t="str">
        <f>IF(DONNEES!$E32="","",DONNEES!P32)</f>
        <v/>
      </c>
      <c r="P32" t="str">
        <f>IF(DONNEES!$E32="","",DONNEES!Q32)</f>
        <v/>
      </c>
      <c r="Q32" t="str">
        <f>IF(DONNEES!$E32="","",DONNEES!R32)</f>
        <v/>
      </c>
      <c r="R32" t="str">
        <f>IF(DONNEES!$E32="","",DONNEES!S32)</f>
        <v/>
      </c>
      <c r="S32" t="str">
        <f>IF(DONNEES!$E32="","",DONNEES!T32)</f>
        <v/>
      </c>
      <c r="T32" t="str">
        <f>IF(DONNEES!$E32="","",DONNEES!U32)</f>
        <v/>
      </c>
      <c r="U32" t="str">
        <f>IF(DONNEES!$E32="","",DONNEES!V32)</f>
        <v/>
      </c>
      <c r="V32" t="str">
        <f>IF(DONNEES!$E32="","",DONNEES!W32)</f>
        <v/>
      </c>
      <c r="W32" t="str">
        <f>IF(DONNEES!$E32="","",DONNEES!X32)</f>
        <v/>
      </c>
      <c r="X32" t="str">
        <f>IF(DONNEES!$E32="","",DONNEES!Y32)</f>
        <v/>
      </c>
      <c r="Y32" t="str">
        <f>IF(DONNEES!$E32="","",DONNEES!Z32)</f>
        <v/>
      </c>
      <c r="Z32" t="str">
        <f>IF(DONNEES!$E32="","",DONNEES!AQ32)</f>
        <v/>
      </c>
    </row>
    <row r="33" spans="1:26" ht="15" customHeight="1" x14ac:dyDescent="0.3">
      <c r="A33" t="str">
        <f>IF(DONNEES!$E33="","",DONNEES!A33)</f>
        <v/>
      </c>
      <c r="B33" t="str">
        <f>IF(DONNEES!$E33="","",DONNEES!B33)</f>
        <v/>
      </c>
      <c r="C33" t="str">
        <f>IF(DONNEES!$E33="","",DONNEES!C33)</f>
        <v/>
      </c>
      <c r="D33" t="str">
        <f>IF(DONNEES!$E33="","",DONNEES!E33)</f>
        <v/>
      </c>
      <c r="E33" t="str">
        <f>IF(DONNEES!$E33="","",DONNEES!F33)</f>
        <v/>
      </c>
      <c r="F33" t="str">
        <f>IF(DONNEES!$E33="","",DONNEES!G33)</f>
        <v/>
      </c>
      <c r="G33" t="str">
        <f>IF(DONNEES!$E33="","",DONNEES!H33)</f>
        <v/>
      </c>
      <c r="H33" t="str">
        <f>IF(DONNEES!$E33="","",DONNEES!I33)</f>
        <v/>
      </c>
      <c r="I33" t="str">
        <f>IF(DONNEES!$E33="","",DONNEES!J33)</f>
        <v/>
      </c>
      <c r="J33" t="str">
        <f>IF(DONNEES!$E33="","",DONNEES!K33)</f>
        <v/>
      </c>
      <c r="K33" t="str">
        <f>IF(DONNEES!$E33="","",DONNEES!L33)</f>
        <v/>
      </c>
      <c r="L33" t="str">
        <f>IF(DONNEES!$E33="","",DONNEES!M33)</f>
        <v/>
      </c>
      <c r="M33" t="str">
        <f>IF(DONNEES!$E33="","",DONNEES!N33)</f>
        <v/>
      </c>
      <c r="N33" t="str">
        <f>IF(DONNEES!$E33="","",DONNEES!O33)</f>
        <v/>
      </c>
      <c r="O33" t="str">
        <f>IF(DONNEES!$E33="","",DONNEES!P33)</f>
        <v/>
      </c>
      <c r="P33" t="str">
        <f>IF(DONNEES!$E33="","",DONNEES!Q33)</f>
        <v/>
      </c>
      <c r="Q33" t="str">
        <f>IF(DONNEES!$E33="","",DONNEES!R33)</f>
        <v/>
      </c>
      <c r="R33" t="str">
        <f>IF(DONNEES!$E33="","",DONNEES!S33)</f>
        <v/>
      </c>
      <c r="S33" t="str">
        <f>IF(DONNEES!$E33="","",DONNEES!T33)</f>
        <v/>
      </c>
      <c r="T33" t="str">
        <f>IF(DONNEES!$E33="","",DONNEES!U33)</f>
        <v/>
      </c>
      <c r="U33" t="str">
        <f>IF(DONNEES!$E33="","",DONNEES!V33)</f>
        <v/>
      </c>
      <c r="V33" t="str">
        <f>IF(DONNEES!$E33="","",DONNEES!W33)</f>
        <v/>
      </c>
      <c r="W33" t="str">
        <f>IF(DONNEES!$E33="","",DONNEES!X33)</f>
        <v/>
      </c>
      <c r="X33" t="str">
        <f>IF(DONNEES!$E33="","",DONNEES!Y33)</f>
        <v/>
      </c>
      <c r="Y33" t="str">
        <f>IF(DONNEES!$E33="","",DONNEES!Z33)</f>
        <v/>
      </c>
      <c r="Z33" t="str">
        <f>IF(DONNEES!$E33="","",DONNEES!AQ33)</f>
        <v/>
      </c>
    </row>
    <row r="34" spans="1:26" ht="15" customHeight="1" x14ac:dyDescent="0.3">
      <c r="A34" t="str">
        <f>IF(DONNEES!$E34="","",DONNEES!A34)</f>
        <v/>
      </c>
      <c r="B34" t="str">
        <f>IF(DONNEES!$E34="","",DONNEES!B34)</f>
        <v/>
      </c>
      <c r="C34" t="str">
        <f>IF(DONNEES!$E34="","",DONNEES!C34)</f>
        <v/>
      </c>
      <c r="D34" t="str">
        <f>IF(DONNEES!$E34="","",DONNEES!E34)</f>
        <v/>
      </c>
      <c r="E34" t="str">
        <f>IF(DONNEES!$E34="","",DONNEES!F34)</f>
        <v/>
      </c>
      <c r="F34" t="str">
        <f>IF(DONNEES!$E34="","",DONNEES!G34)</f>
        <v/>
      </c>
      <c r="G34" t="str">
        <f>IF(DONNEES!$E34="","",DONNEES!H34)</f>
        <v/>
      </c>
      <c r="H34" t="str">
        <f>IF(DONNEES!$E34="","",DONNEES!I34)</f>
        <v/>
      </c>
      <c r="I34" t="str">
        <f>IF(DONNEES!$E34="","",DONNEES!J34)</f>
        <v/>
      </c>
      <c r="J34" t="str">
        <f>IF(DONNEES!$E34="","",DONNEES!K34)</f>
        <v/>
      </c>
      <c r="K34" t="str">
        <f>IF(DONNEES!$E34="","",DONNEES!L34)</f>
        <v/>
      </c>
      <c r="L34" t="str">
        <f>IF(DONNEES!$E34="","",DONNEES!M34)</f>
        <v/>
      </c>
      <c r="M34" t="str">
        <f>IF(DONNEES!$E34="","",DONNEES!N34)</f>
        <v/>
      </c>
      <c r="N34" t="str">
        <f>IF(DONNEES!$E34="","",DONNEES!O34)</f>
        <v/>
      </c>
      <c r="O34" t="str">
        <f>IF(DONNEES!$E34="","",DONNEES!P34)</f>
        <v/>
      </c>
      <c r="P34" t="str">
        <f>IF(DONNEES!$E34="","",DONNEES!Q34)</f>
        <v/>
      </c>
      <c r="Q34" t="str">
        <f>IF(DONNEES!$E34="","",DONNEES!R34)</f>
        <v/>
      </c>
      <c r="R34" t="str">
        <f>IF(DONNEES!$E34="","",DONNEES!S34)</f>
        <v/>
      </c>
      <c r="S34" t="str">
        <f>IF(DONNEES!$E34="","",DONNEES!T34)</f>
        <v/>
      </c>
      <c r="T34" t="str">
        <f>IF(DONNEES!$E34="","",DONNEES!U34)</f>
        <v/>
      </c>
      <c r="U34" t="str">
        <f>IF(DONNEES!$E34="","",DONNEES!V34)</f>
        <v/>
      </c>
      <c r="V34" t="str">
        <f>IF(DONNEES!$E34="","",DONNEES!W34)</f>
        <v/>
      </c>
      <c r="W34" t="str">
        <f>IF(DONNEES!$E34="","",DONNEES!X34)</f>
        <v/>
      </c>
      <c r="X34" t="str">
        <f>IF(DONNEES!$E34="","",DONNEES!Y34)</f>
        <v/>
      </c>
      <c r="Y34" t="str">
        <f>IF(DONNEES!$E34="","",DONNEES!Z34)</f>
        <v/>
      </c>
      <c r="Z34" t="str">
        <f>IF(DONNEES!$E34="","",DONNEES!AQ34)</f>
        <v/>
      </c>
    </row>
    <row r="35" spans="1:26" ht="15" customHeight="1" x14ac:dyDescent="0.3">
      <c r="A35" t="str">
        <f>IF(DONNEES!$E35="","",DONNEES!A35)</f>
        <v/>
      </c>
      <c r="B35" t="str">
        <f>IF(DONNEES!$E35="","",DONNEES!B35)</f>
        <v/>
      </c>
      <c r="C35" t="str">
        <f>IF(DONNEES!$E35="","",DONNEES!C35)</f>
        <v/>
      </c>
      <c r="D35" t="str">
        <f>IF(DONNEES!$E35="","",DONNEES!E35)</f>
        <v/>
      </c>
      <c r="E35" t="str">
        <f>IF(DONNEES!$E35="","",DONNEES!F35)</f>
        <v/>
      </c>
      <c r="F35" t="str">
        <f>IF(DONNEES!$E35="","",DONNEES!G35)</f>
        <v/>
      </c>
      <c r="G35" t="str">
        <f>IF(DONNEES!$E35="","",DONNEES!H35)</f>
        <v/>
      </c>
      <c r="H35" t="str">
        <f>IF(DONNEES!$E35="","",DONNEES!I35)</f>
        <v/>
      </c>
      <c r="I35" t="str">
        <f>IF(DONNEES!$E35="","",DONNEES!J35)</f>
        <v/>
      </c>
      <c r="J35" t="str">
        <f>IF(DONNEES!$E35="","",DONNEES!K35)</f>
        <v/>
      </c>
      <c r="K35" t="str">
        <f>IF(DONNEES!$E35="","",DONNEES!L35)</f>
        <v/>
      </c>
      <c r="L35" t="str">
        <f>IF(DONNEES!$E35="","",DONNEES!M35)</f>
        <v/>
      </c>
      <c r="M35" t="str">
        <f>IF(DONNEES!$E35="","",DONNEES!N35)</f>
        <v/>
      </c>
      <c r="N35" t="str">
        <f>IF(DONNEES!$E35="","",DONNEES!O35)</f>
        <v/>
      </c>
      <c r="O35" t="str">
        <f>IF(DONNEES!$E35="","",DONNEES!P35)</f>
        <v/>
      </c>
      <c r="P35" t="str">
        <f>IF(DONNEES!$E35="","",DONNEES!Q35)</f>
        <v/>
      </c>
      <c r="Q35" t="str">
        <f>IF(DONNEES!$E35="","",DONNEES!R35)</f>
        <v/>
      </c>
      <c r="R35" t="str">
        <f>IF(DONNEES!$E35="","",DONNEES!S35)</f>
        <v/>
      </c>
      <c r="S35" t="str">
        <f>IF(DONNEES!$E35="","",DONNEES!T35)</f>
        <v/>
      </c>
      <c r="T35" t="str">
        <f>IF(DONNEES!$E35="","",DONNEES!U35)</f>
        <v/>
      </c>
      <c r="U35" t="str">
        <f>IF(DONNEES!$E35="","",DONNEES!V35)</f>
        <v/>
      </c>
      <c r="V35" t="str">
        <f>IF(DONNEES!$E35="","",DONNEES!W35)</f>
        <v/>
      </c>
      <c r="W35" t="str">
        <f>IF(DONNEES!$E35="","",DONNEES!X35)</f>
        <v/>
      </c>
      <c r="X35" t="str">
        <f>IF(DONNEES!$E35="","",DONNEES!Y35)</f>
        <v/>
      </c>
      <c r="Y35" t="str">
        <f>IF(DONNEES!$E35="","",DONNEES!Z35)</f>
        <v/>
      </c>
      <c r="Z35" t="str">
        <f>IF(DONNEES!$E35="","",DONNEES!AQ35)</f>
        <v/>
      </c>
    </row>
    <row r="36" spans="1:26" ht="15" customHeight="1" x14ac:dyDescent="0.3">
      <c r="A36" t="str">
        <f>IF(DONNEES!$E36="","",DONNEES!A36)</f>
        <v/>
      </c>
      <c r="B36" t="str">
        <f>IF(DONNEES!$E36="","",DONNEES!B36)</f>
        <v/>
      </c>
      <c r="C36" t="str">
        <f>IF(DONNEES!$E36="","",DONNEES!C36)</f>
        <v/>
      </c>
      <c r="D36" t="str">
        <f>IF(DONNEES!$E36="","",DONNEES!E36)</f>
        <v/>
      </c>
      <c r="E36" t="str">
        <f>IF(DONNEES!$E36="","",DONNEES!F36)</f>
        <v/>
      </c>
      <c r="F36" t="str">
        <f>IF(DONNEES!$E36="","",DONNEES!G36)</f>
        <v/>
      </c>
      <c r="G36" t="str">
        <f>IF(DONNEES!$E36="","",DONNEES!H36)</f>
        <v/>
      </c>
      <c r="H36" t="str">
        <f>IF(DONNEES!$E36="","",DONNEES!I36)</f>
        <v/>
      </c>
      <c r="I36" t="str">
        <f>IF(DONNEES!$E36="","",DONNEES!J36)</f>
        <v/>
      </c>
      <c r="J36" t="str">
        <f>IF(DONNEES!$E36="","",DONNEES!K36)</f>
        <v/>
      </c>
      <c r="K36" t="str">
        <f>IF(DONNEES!$E36="","",DONNEES!L36)</f>
        <v/>
      </c>
      <c r="L36" t="str">
        <f>IF(DONNEES!$E36="","",DONNEES!M36)</f>
        <v/>
      </c>
      <c r="M36" t="str">
        <f>IF(DONNEES!$E36="","",DONNEES!N36)</f>
        <v/>
      </c>
      <c r="N36" t="str">
        <f>IF(DONNEES!$E36="","",DONNEES!O36)</f>
        <v/>
      </c>
      <c r="O36" t="str">
        <f>IF(DONNEES!$E36="","",DONNEES!P36)</f>
        <v/>
      </c>
      <c r="P36" t="str">
        <f>IF(DONNEES!$E36="","",DONNEES!Q36)</f>
        <v/>
      </c>
      <c r="Q36" t="str">
        <f>IF(DONNEES!$E36="","",DONNEES!R36)</f>
        <v/>
      </c>
      <c r="R36" t="str">
        <f>IF(DONNEES!$E36="","",DONNEES!S36)</f>
        <v/>
      </c>
      <c r="S36" t="str">
        <f>IF(DONNEES!$E36="","",DONNEES!T36)</f>
        <v/>
      </c>
      <c r="T36" t="str">
        <f>IF(DONNEES!$E36="","",DONNEES!U36)</f>
        <v/>
      </c>
      <c r="U36" t="str">
        <f>IF(DONNEES!$E36="","",DONNEES!V36)</f>
        <v/>
      </c>
      <c r="V36" t="str">
        <f>IF(DONNEES!$E36="","",DONNEES!W36)</f>
        <v/>
      </c>
      <c r="W36" t="str">
        <f>IF(DONNEES!$E36="","",DONNEES!X36)</f>
        <v/>
      </c>
      <c r="X36" t="str">
        <f>IF(DONNEES!$E36="","",DONNEES!Y36)</f>
        <v/>
      </c>
      <c r="Y36" t="str">
        <f>IF(DONNEES!$E36="","",DONNEES!Z36)</f>
        <v/>
      </c>
      <c r="Z36" t="str">
        <f>IF(DONNEES!$E36="","",DONNEES!AQ36)</f>
        <v/>
      </c>
    </row>
    <row r="37" spans="1:26" ht="15" customHeight="1" x14ac:dyDescent="0.3">
      <c r="A37" t="str">
        <f>IF(DONNEES!$E37="","",DONNEES!A37)</f>
        <v/>
      </c>
      <c r="B37" t="str">
        <f>IF(DONNEES!$E37="","",DONNEES!B37)</f>
        <v/>
      </c>
      <c r="C37" t="str">
        <f>IF(DONNEES!$E37="","",DONNEES!C37)</f>
        <v/>
      </c>
      <c r="D37" t="str">
        <f>IF(DONNEES!$E37="","",DONNEES!E37)</f>
        <v/>
      </c>
      <c r="E37" t="str">
        <f>IF(DONNEES!$E37="","",DONNEES!F37)</f>
        <v/>
      </c>
      <c r="F37" t="str">
        <f>IF(DONNEES!$E37="","",DONNEES!G37)</f>
        <v/>
      </c>
      <c r="G37" t="str">
        <f>IF(DONNEES!$E37="","",DONNEES!H37)</f>
        <v/>
      </c>
      <c r="H37" t="str">
        <f>IF(DONNEES!$E37="","",DONNEES!I37)</f>
        <v/>
      </c>
      <c r="I37" t="str">
        <f>IF(DONNEES!$E37="","",DONNEES!J37)</f>
        <v/>
      </c>
      <c r="J37" t="str">
        <f>IF(DONNEES!$E37="","",DONNEES!K37)</f>
        <v/>
      </c>
      <c r="K37" t="str">
        <f>IF(DONNEES!$E37="","",DONNEES!L37)</f>
        <v/>
      </c>
      <c r="L37" t="str">
        <f>IF(DONNEES!$E37="","",DONNEES!M37)</f>
        <v/>
      </c>
      <c r="M37" t="str">
        <f>IF(DONNEES!$E37="","",DONNEES!N37)</f>
        <v/>
      </c>
      <c r="N37" t="str">
        <f>IF(DONNEES!$E37="","",DONNEES!O37)</f>
        <v/>
      </c>
      <c r="O37" t="str">
        <f>IF(DONNEES!$E37="","",DONNEES!P37)</f>
        <v/>
      </c>
      <c r="P37" t="str">
        <f>IF(DONNEES!$E37="","",DONNEES!Q37)</f>
        <v/>
      </c>
      <c r="Q37" t="str">
        <f>IF(DONNEES!$E37="","",DONNEES!R37)</f>
        <v/>
      </c>
      <c r="R37" t="str">
        <f>IF(DONNEES!$E37="","",DONNEES!S37)</f>
        <v/>
      </c>
      <c r="S37" t="str">
        <f>IF(DONNEES!$E37="","",DONNEES!T37)</f>
        <v/>
      </c>
      <c r="T37" t="str">
        <f>IF(DONNEES!$E37="","",DONNEES!U37)</f>
        <v/>
      </c>
      <c r="U37" t="str">
        <f>IF(DONNEES!$E37="","",DONNEES!V37)</f>
        <v/>
      </c>
      <c r="V37" t="str">
        <f>IF(DONNEES!$E37="","",DONNEES!W37)</f>
        <v/>
      </c>
      <c r="W37" t="str">
        <f>IF(DONNEES!$E37="","",DONNEES!X37)</f>
        <v/>
      </c>
      <c r="X37" t="str">
        <f>IF(DONNEES!$E37="","",DONNEES!Y37)</f>
        <v/>
      </c>
      <c r="Y37" t="str">
        <f>IF(DONNEES!$E37="","",DONNEES!Z37)</f>
        <v/>
      </c>
      <c r="Z37" t="str">
        <f>IF(DONNEES!$E37="","",DONNEES!AQ37)</f>
        <v/>
      </c>
    </row>
    <row r="38" spans="1:26" ht="15" customHeight="1" x14ac:dyDescent="0.3">
      <c r="A38" t="str">
        <f>IF(DONNEES!$E38="","",DONNEES!A38)</f>
        <v/>
      </c>
      <c r="B38" t="str">
        <f>IF(DONNEES!$E38="","",DONNEES!B38)</f>
        <v/>
      </c>
      <c r="C38" t="str">
        <f>IF(DONNEES!$E38="","",DONNEES!C38)</f>
        <v/>
      </c>
      <c r="D38" t="str">
        <f>IF(DONNEES!$E38="","",DONNEES!E38)</f>
        <v/>
      </c>
      <c r="E38" t="str">
        <f>IF(DONNEES!$E38="","",DONNEES!F38)</f>
        <v/>
      </c>
      <c r="F38" t="str">
        <f>IF(DONNEES!$E38="","",DONNEES!G38)</f>
        <v/>
      </c>
      <c r="G38" t="str">
        <f>IF(DONNEES!$E38="","",DONNEES!H38)</f>
        <v/>
      </c>
      <c r="H38" t="str">
        <f>IF(DONNEES!$E38="","",DONNEES!I38)</f>
        <v/>
      </c>
      <c r="I38" t="str">
        <f>IF(DONNEES!$E38="","",DONNEES!J38)</f>
        <v/>
      </c>
      <c r="J38" t="str">
        <f>IF(DONNEES!$E38="","",DONNEES!K38)</f>
        <v/>
      </c>
      <c r="K38" t="str">
        <f>IF(DONNEES!$E38="","",DONNEES!L38)</f>
        <v/>
      </c>
      <c r="L38" t="str">
        <f>IF(DONNEES!$E38="","",DONNEES!M38)</f>
        <v/>
      </c>
      <c r="M38" t="str">
        <f>IF(DONNEES!$E38="","",DONNEES!N38)</f>
        <v/>
      </c>
      <c r="N38" t="str">
        <f>IF(DONNEES!$E38="","",DONNEES!O38)</f>
        <v/>
      </c>
      <c r="O38" t="str">
        <f>IF(DONNEES!$E38="","",DONNEES!P38)</f>
        <v/>
      </c>
      <c r="P38" t="str">
        <f>IF(DONNEES!$E38="","",DONNEES!Q38)</f>
        <v/>
      </c>
      <c r="Q38" t="str">
        <f>IF(DONNEES!$E38="","",DONNEES!R38)</f>
        <v/>
      </c>
      <c r="R38" t="str">
        <f>IF(DONNEES!$E38="","",DONNEES!S38)</f>
        <v/>
      </c>
      <c r="S38" t="str">
        <f>IF(DONNEES!$E38="","",DONNEES!T38)</f>
        <v/>
      </c>
      <c r="T38" t="str">
        <f>IF(DONNEES!$E38="","",DONNEES!U38)</f>
        <v/>
      </c>
      <c r="U38" t="str">
        <f>IF(DONNEES!$E38="","",DONNEES!V38)</f>
        <v/>
      </c>
      <c r="V38" t="str">
        <f>IF(DONNEES!$E38="","",DONNEES!W38)</f>
        <v/>
      </c>
      <c r="W38" t="str">
        <f>IF(DONNEES!$E38="","",DONNEES!X38)</f>
        <v/>
      </c>
      <c r="X38" t="str">
        <f>IF(DONNEES!$E38="","",DONNEES!Y38)</f>
        <v/>
      </c>
      <c r="Y38" t="str">
        <f>IF(DONNEES!$E38="","",DONNEES!Z38)</f>
        <v/>
      </c>
      <c r="Z38" t="str">
        <f>IF(DONNEES!$E38="","",DONNEES!AQ38)</f>
        <v/>
      </c>
    </row>
    <row r="39" spans="1:26" ht="15" customHeight="1" x14ac:dyDescent="0.3">
      <c r="A39" t="str">
        <f>IF(DONNEES!$E39="","",DONNEES!A39)</f>
        <v/>
      </c>
      <c r="B39" t="str">
        <f>IF(DONNEES!$E39="","",DONNEES!B39)</f>
        <v/>
      </c>
      <c r="C39" t="str">
        <f>IF(DONNEES!$E39="","",DONNEES!C39)</f>
        <v/>
      </c>
      <c r="D39" t="str">
        <f>IF(DONNEES!$E39="","",DONNEES!E39)</f>
        <v/>
      </c>
      <c r="E39" t="str">
        <f>IF(DONNEES!$E39="","",DONNEES!F39)</f>
        <v/>
      </c>
      <c r="F39" t="str">
        <f>IF(DONNEES!$E39="","",DONNEES!G39)</f>
        <v/>
      </c>
      <c r="G39" t="str">
        <f>IF(DONNEES!$E39="","",DONNEES!H39)</f>
        <v/>
      </c>
      <c r="H39" t="str">
        <f>IF(DONNEES!$E39="","",DONNEES!I39)</f>
        <v/>
      </c>
      <c r="I39" t="str">
        <f>IF(DONNEES!$E39="","",DONNEES!J39)</f>
        <v/>
      </c>
      <c r="J39" t="str">
        <f>IF(DONNEES!$E39="","",DONNEES!K39)</f>
        <v/>
      </c>
      <c r="K39" t="str">
        <f>IF(DONNEES!$E39="","",DONNEES!L39)</f>
        <v/>
      </c>
      <c r="L39" t="str">
        <f>IF(DONNEES!$E39="","",DONNEES!M39)</f>
        <v/>
      </c>
      <c r="M39" t="str">
        <f>IF(DONNEES!$E39="","",DONNEES!N39)</f>
        <v/>
      </c>
      <c r="N39" t="str">
        <f>IF(DONNEES!$E39="","",DONNEES!O39)</f>
        <v/>
      </c>
      <c r="O39" t="str">
        <f>IF(DONNEES!$E39="","",DONNEES!P39)</f>
        <v/>
      </c>
      <c r="P39" t="str">
        <f>IF(DONNEES!$E39="","",DONNEES!Q39)</f>
        <v/>
      </c>
      <c r="Q39" t="str">
        <f>IF(DONNEES!$E39="","",DONNEES!R39)</f>
        <v/>
      </c>
      <c r="R39" t="str">
        <f>IF(DONNEES!$E39="","",DONNEES!S39)</f>
        <v/>
      </c>
      <c r="S39" t="str">
        <f>IF(DONNEES!$E39="","",DONNEES!T39)</f>
        <v/>
      </c>
      <c r="T39" t="str">
        <f>IF(DONNEES!$E39="","",DONNEES!U39)</f>
        <v/>
      </c>
      <c r="U39" t="str">
        <f>IF(DONNEES!$E39="","",DONNEES!V39)</f>
        <v/>
      </c>
      <c r="V39" t="str">
        <f>IF(DONNEES!$E39="","",DONNEES!W39)</f>
        <v/>
      </c>
      <c r="W39" t="str">
        <f>IF(DONNEES!$E39="","",DONNEES!X39)</f>
        <v/>
      </c>
      <c r="X39" t="str">
        <f>IF(DONNEES!$E39="","",DONNEES!Y39)</f>
        <v/>
      </c>
      <c r="Y39" t="str">
        <f>IF(DONNEES!$E39="","",DONNEES!Z39)</f>
        <v/>
      </c>
      <c r="Z39" t="str">
        <f>IF(DONNEES!$E39="","",DONNEES!AQ39)</f>
        <v/>
      </c>
    </row>
    <row r="40" spans="1:26" ht="15" customHeight="1" x14ac:dyDescent="0.3">
      <c r="A40" t="str">
        <f>IF(DONNEES!$E40="","",DONNEES!A40)</f>
        <v/>
      </c>
      <c r="B40" t="str">
        <f>IF(DONNEES!$E40="","",DONNEES!B40)</f>
        <v/>
      </c>
      <c r="C40" t="str">
        <f>IF(DONNEES!$E40="","",DONNEES!C40)</f>
        <v/>
      </c>
      <c r="D40" t="str">
        <f>IF(DONNEES!$E40="","",DONNEES!E40)</f>
        <v/>
      </c>
      <c r="E40" t="str">
        <f>IF(DONNEES!$E40="","",DONNEES!F40)</f>
        <v/>
      </c>
      <c r="F40" t="str">
        <f>IF(DONNEES!$E40="","",DONNEES!G40)</f>
        <v/>
      </c>
      <c r="G40" t="str">
        <f>IF(DONNEES!$E40="","",DONNEES!H40)</f>
        <v/>
      </c>
      <c r="H40" t="str">
        <f>IF(DONNEES!$E40="","",DONNEES!I40)</f>
        <v/>
      </c>
      <c r="I40" t="str">
        <f>IF(DONNEES!$E40="","",DONNEES!J40)</f>
        <v/>
      </c>
      <c r="J40" t="str">
        <f>IF(DONNEES!$E40="","",DONNEES!K40)</f>
        <v/>
      </c>
      <c r="K40" t="str">
        <f>IF(DONNEES!$E40="","",DONNEES!L40)</f>
        <v/>
      </c>
      <c r="L40" t="str">
        <f>IF(DONNEES!$E40="","",DONNEES!M40)</f>
        <v/>
      </c>
      <c r="M40" t="str">
        <f>IF(DONNEES!$E40="","",DONNEES!N40)</f>
        <v/>
      </c>
      <c r="N40" t="str">
        <f>IF(DONNEES!$E40="","",DONNEES!O40)</f>
        <v/>
      </c>
      <c r="O40" t="str">
        <f>IF(DONNEES!$E40="","",DONNEES!P40)</f>
        <v/>
      </c>
      <c r="P40" t="str">
        <f>IF(DONNEES!$E40="","",DONNEES!Q40)</f>
        <v/>
      </c>
      <c r="Q40" t="str">
        <f>IF(DONNEES!$E40="","",DONNEES!R40)</f>
        <v/>
      </c>
      <c r="R40" t="str">
        <f>IF(DONNEES!$E40="","",DONNEES!S40)</f>
        <v/>
      </c>
      <c r="S40" t="str">
        <f>IF(DONNEES!$E40="","",DONNEES!T40)</f>
        <v/>
      </c>
      <c r="T40" t="str">
        <f>IF(DONNEES!$E40="","",DONNEES!U40)</f>
        <v/>
      </c>
      <c r="U40" t="str">
        <f>IF(DONNEES!$E40="","",DONNEES!V40)</f>
        <v/>
      </c>
      <c r="V40" t="str">
        <f>IF(DONNEES!$E40="","",DONNEES!W40)</f>
        <v/>
      </c>
      <c r="W40" t="str">
        <f>IF(DONNEES!$E40="","",DONNEES!X40)</f>
        <v/>
      </c>
      <c r="X40" t="str">
        <f>IF(DONNEES!$E40="","",DONNEES!Y40)</f>
        <v/>
      </c>
      <c r="Y40" t="str">
        <f>IF(DONNEES!$E40="","",DONNEES!Z40)</f>
        <v/>
      </c>
      <c r="Z40" t="str">
        <f>IF(DONNEES!$E40="","",DONNEES!AQ40)</f>
        <v/>
      </c>
    </row>
    <row r="41" spans="1:26" ht="15" customHeight="1" x14ac:dyDescent="0.3">
      <c r="A41" t="str">
        <f>IF(DONNEES!$E41="","",DONNEES!A41)</f>
        <v/>
      </c>
      <c r="B41" t="str">
        <f>IF(DONNEES!$E41="","",DONNEES!B41)</f>
        <v/>
      </c>
      <c r="C41" t="str">
        <f>IF(DONNEES!$E41="","",DONNEES!C41)</f>
        <v/>
      </c>
      <c r="D41" t="str">
        <f>IF(DONNEES!$E41="","",DONNEES!E41)</f>
        <v/>
      </c>
      <c r="E41" t="str">
        <f>IF(DONNEES!$E41="","",DONNEES!F41)</f>
        <v/>
      </c>
      <c r="F41" t="str">
        <f>IF(DONNEES!$E41="","",DONNEES!G41)</f>
        <v/>
      </c>
      <c r="G41" t="str">
        <f>IF(DONNEES!$E41="","",DONNEES!H41)</f>
        <v/>
      </c>
      <c r="H41" t="str">
        <f>IF(DONNEES!$E41="","",DONNEES!I41)</f>
        <v/>
      </c>
      <c r="I41" t="str">
        <f>IF(DONNEES!$E41="","",DONNEES!J41)</f>
        <v/>
      </c>
      <c r="J41" t="str">
        <f>IF(DONNEES!$E41="","",DONNEES!K41)</f>
        <v/>
      </c>
      <c r="K41" t="str">
        <f>IF(DONNEES!$E41="","",DONNEES!L41)</f>
        <v/>
      </c>
      <c r="L41" t="str">
        <f>IF(DONNEES!$E41="","",DONNEES!M41)</f>
        <v/>
      </c>
      <c r="M41" t="str">
        <f>IF(DONNEES!$E41="","",DONNEES!N41)</f>
        <v/>
      </c>
      <c r="N41" t="str">
        <f>IF(DONNEES!$E41="","",DONNEES!O41)</f>
        <v/>
      </c>
      <c r="O41" t="str">
        <f>IF(DONNEES!$E41="","",DONNEES!P41)</f>
        <v/>
      </c>
      <c r="P41" t="str">
        <f>IF(DONNEES!$E41="","",DONNEES!Q41)</f>
        <v/>
      </c>
      <c r="Q41" t="str">
        <f>IF(DONNEES!$E41="","",DONNEES!R41)</f>
        <v/>
      </c>
      <c r="R41" t="str">
        <f>IF(DONNEES!$E41="","",DONNEES!S41)</f>
        <v/>
      </c>
      <c r="S41" t="str">
        <f>IF(DONNEES!$E41="","",DONNEES!T41)</f>
        <v/>
      </c>
      <c r="T41" t="str">
        <f>IF(DONNEES!$E41="","",DONNEES!U41)</f>
        <v/>
      </c>
      <c r="U41" t="str">
        <f>IF(DONNEES!$E41="","",DONNEES!V41)</f>
        <v/>
      </c>
      <c r="V41" t="str">
        <f>IF(DONNEES!$E41="","",DONNEES!W41)</f>
        <v/>
      </c>
      <c r="W41" t="str">
        <f>IF(DONNEES!$E41="","",DONNEES!X41)</f>
        <v/>
      </c>
      <c r="X41" t="str">
        <f>IF(DONNEES!$E41="","",DONNEES!Y41)</f>
        <v/>
      </c>
      <c r="Y41" t="str">
        <f>IF(DONNEES!$E41="","",DONNEES!Z41)</f>
        <v/>
      </c>
      <c r="Z41" t="str">
        <f>IF(DONNEES!$E41="","",DONNEES!AQ41)</f>
        <v/>
      </c>
    </row>
    <row r="42" spans="1:26" ht="15" customHeight="1" x14ac:dyDescent="0.3">
      <c r="A42" t="str">
        <f>IF(DONNEES!$E42="","",DONNEES!A42)</f>
        <v/>
      </c>
      <c r="B42" t="str">
        <f>IF(DONNEES!$E42="","",DONNEES!B42)</f>
        <v/>
      </c>
      <c r="C42" t="str">
        <f>IF(DONNEES!$E42="","",DONNEES!C42)</f>
        <v/>
      </c>
      <c r="D42" t="str">
        <f>IF(DONNEES!$E42="","",DONNEES!E42)</f>
        <v/>
      </c>
      <c r="E42" t="str">
        <f>IF(DONNEES!$E42="","",DONNEES!F42)</f>
        <v/>
      </c>
      <c r="F42" t="str">
        <f>IF(DONNEES!$E42="","",DONNEES!G42)</f>
        <v/>
      </c>
      <c r="G42" t="str">
        <f>IF(DONNEES!$E42="","",DONNEES!H42)</f>
        <v/>
      </c>
      <c r="H42" t="str">
        <f>IF(DONNEES!$E42="","",DONNEES!I42)</f>
        <v/>
      </c>
      <c r="I42" t="str">
        <f>IF(DONNEES!$E42="","",DONNEES!J42)</f>
        <v/>
      </c>
      <c r="J42" t="str">
        <f>IF(DONNEES!$E42="","",DONNEES!K42)</f>
        <v/>
      </c>
      <c r="K42" t="str">
        <f>IF(DONNEES!$E42="","",DONNEES!L42)</f>
        <v/>
      </c>
      <c r="L42" t="str">
        <f>IF(DONNEES!$E42="","",DONNEES!M42)</f>
        <v/>
      </c>
      <c r="M42" t="str">
        <f>IF(DONNEES!$E42="","",DONNEES!N42)</f>
        <v/>
      </c>
      <c r="N42" t="str">
        <f>IF(DONNEES!$E42="","",DONNEES!O42)</f>
        <v/>
      </c>
      <c r="O42" t="str">
        <f>IF(DONNEES!$E42="","",DONNEES!P42)</f>
        <v/>
      </c>
      <c r="P42" t="str">
        <f>IF(DONNEES!$E42="","",DONNEES!Q42)</f>
        <v/>
      </c>
      <c r="Q42" t="str">
        <f>IF(DONNEES!$E42="","",DONNEES!R42)</f>
        <v/>
      </c>
      <c r="R42" t="str">
        <f>IF(DONNEES!$E42="","",DONNEES!S42)</f>
        <v/>
      </c>
      <c r="S42" t="str">
        <f>IF(DONNEES!$E42="","",DONNEES!T42)</f>
        <v/>
      </c>
      <c r="T42" t="str">
        <f>IF(DONNEES!$E42="","",DONNEES!U42)</f>
        <v/>
      </c>
      <c r="U42" t="str">
        <f>IF(DONNEES!$E42="","",DONNEES!V42)</f>
        <v/>
      </c>
      <c r="V42" t="str">
        <f>IF(DONNEES!$E42="","",DONNEES!W42)</f>
        <v/>
      </c>
      <c r="W42" t="str">
        <f>IF(DONNEES!$E42="","",DONNEES!X42)</f>
        <v/>
      </c>
      <c r="X42" t="str">
        <f>IF(DONNEES!$E42="","",DONNEES!Y42)</f>
        <v/>
      </c>
      <c r="Y42" t="str">
        <f>IF(DONNEES!$E42="","",DONNEES!Z42)</f>
        <v/>
      </c>
      <c r="Z42" t="str">
        <f>IF(DONNEES!$E42="","",DONNEES!AQ42)</f>
        <v/>
      </c>
    </row>
    <row r="43" spans="1:26" ht="15" customHeight="1" x14ac:dyDescent="0.3">
      <c r="A43" t="str">
        <f>IF(DONNEES!$E43="","",DONNEES!A43)</f>
        <v/>
      </c>
      <c r="B43" t="str">
        <f>IF(DONNEES!$E43="","",DONNEES!B43)</f>
        <v/>
      </c>
      <c r="C43" t="str">
        <f>IF(DONNEES!$E43="","",DONNEES!C43)</f>
        <v/>
      </c>
      <c r="D43" t="str">
        <f>IF(DONNEES!$E43="","",DONNEES!E43)</f>
        <v/>
      </c>
      <c r="E43" t="str">
        <f>IF(DONNEES!$E43="","",DONNEES!F43)</f>
        <v/>
      </c>
      <c r="F43" t="str">
        <f>IF(DONNEES!$E43="","",DONNEES!G43)</f>
        <v/>
      </c>
      <c r="G43" t="str">
        <f>IF(DONNEES!$E43="","",DONNEES!H43)</f>
        <v/>
      </c>
      <c r="H43" t="str">
        <f>IF(DONNEES!$E43="","",DONNEES!I43)</f>
        <v/>
      </c>
      <c r="I43" t="str">
        <f>IF(DONNEES!$E43="","",DONNEES!J43)</f>
        <v/>
      </c>
      <c r="J43" t="str">
        <f>IF(DONNEES!$E43="","",DONNEES!K43)</f>
        <v/>
      </c>
      <c r="K43" t="str">
        <f>IF(DONNEES!$E43="","",DONNEES!L43)</f>
        <v/>
      </c>
      <c r="L43" t="str">
        <f>IF(DONNEES!$E43="","",DONNEES!M43)</f>
        <v/>
      </c>
      <c r="M43" t="str">
        <f>IF(DONNEES!$E43="","",DONNEES!N43)</f>
        <v/>
      </c>
      <c r="N43" t="str">
        <f>IF(DONNEES!$E43="","",DONNEES!O43)</f>
        <v/>
      </c>
      <c r="O43" t="str">
        <f>IF(DONNEES!$E43="","",DONNEES!P43)</f>
        <v/>
      </c>
      <c r="P43" t="str">
        <f>IF(DONNEES!$E43="","",DONNEES!Q43)</f>
        <v/>
      </c>
      <c r="Q43" t="str">
        <f>IF(DONNEES!$E43="","",DONNEES!R43)</f>
        <v/>
      </c>
      <c r="R43" t="str">
        <f>IF(DONNEES!$E43="","",DONNEES!S43)</f>
        <v/>
      </c>
      <c r="S43" t="str">
        <f>IF(DONNEES!$E43="","",DONNEES!T43)</f>
        <v/>
      </c>
      <c r="T43" t="str">
        <f>IF(DONNEES!$E43="","",DONNEES!U43)</f>
        <v/>
      </c>
      <c r="U43" t="str">
        <f>IF(DONNEES!$E43="","",DONNEES!V43)</f>
        <v/>
      </c>
      <c r="V43" t="str">
        <f>IF(DONNEES!$E43="","",DONNEES!W43)</f>
        <v/>
      </c>
      <c r="W43" t="str">
        <f>IF(DONNEES!$E43="","",DONNEES!X43)</f>
        <v/>
      </c>
      <c r="X43" t="str">
        <f>IF(DONNEES!$E43="","",DONNEES!Y43)</f>
        <v/>
      </c>
      <c r="Y43" t="str">
        <f>IF(DONNEES!$E43="","",DONNEES!Z43)</f>
        <v/>
      </c>
      <c r="Z43" t="str">
        <f>IF(DONNEES!$E43="","",DONNEES!AQ43)</f>
        <v/>
      </c>
    </row>
    <row r="44" spans="1:26" ht="15" customHeight="1" x14ac:dyDescent="0.3">
      <c r="A44" t="str">
        <f>IF(DONNEES!$E44="","",DONNEES!A44)</f>
        <v/>
      </c>
      <c r="B44" t="str">
        <f>IF(DONNEES!$E44="","",DONNEES!B44)</f>
        <v/>
      </c>
      <c r="C44" t="str">
        <f>IF(DONNEES!$E44="","",DONNEES!C44)</f>
        <v/>
      </c>
      <c r="D44" t="str">
        <f>IF(DONNEES!$E44="","",DONNEES!E44)</f>
        <v/>
      </c>
      <c r="E44" t="str">
        <f>IF(DONNEES!$E44="","",DONNEES!F44)</f>
        <v/>
      </c>
      <c r="F44" t="str">
        <f>IF(DONNEES!$E44="","",DONNEES!G44)</f>
        <v/>
      </c>
      <c r="G44" t="str">
        <f>IF(DONNEES!$E44="","",DONNEES!H44)</f>
        <v/>
      </c>
      <c r="H44" t="str">
        <f>IF(DONNEES!$E44="","",DONNEES!I44)</f>
        <v/>
      </c>
      <c r="I44" t="str">
        <f>IF(DONNEES!$E44="","",DONNEES!J44)</f>
        <v/>
      </c>
      <c r="J44" t="str">
        <f>IF(DONNEES!$E44="","",DONNEES!K44)</f>
        <v/>
      </c>
      <c r="K44" t="str">
        <f>IF(DONNEES!$E44="","",DONNEES!L44)</f>
        <v/>
      </c>
      <c r="L44" t="str">
        <f>IF(DONNEES!$E44="","",DONNEES!M44)</f>
        <v/>
      </c>
      <c r="M44" t="str">
        <f>IF(DONNEES!$E44="","",DONNEES!N44)</f>
        <v/>
      </c>
      <c r="N44" t="str">
        <f>IF(DONNEES!$E44="","",DONNEES!O44)</f>
        <v/>
      </c>
      <c r="O44" t="str">
        <f>IF(DONNEES!$E44="","",DONNEES!P44)</f>
        <v/>
      </c>
      <c r="P44" t="str">
        <f>IF(DONNEES!$E44="","",DONNEES!Q44)</f>
        <v/>
      </c>
      <c r="Q44" t="str">
        <f>IF(DONNEES!$E44="","",DONNEES!R44)</f>
        <v/>
      </c>
      <c r="R44" t="str">
        <f>IF(DONNEES!$E44="","",DONNEES!S44)</f>
        <v/>
      </c>
      <c r="S44" t="str">
        <f>IF(DONNEES!$E44="","",DONNEES!T44)</f>
        <v/>
      </c>
      <c r="T44" t="str">
        <f>IF(DONNEES!$E44="","",DONNEES!U44)</f>
        <v/>
      </c>
      <c r="U44" t="str">
        <f>IF(DONNEES!$E44="","",DONNEES!V44)</f>
        <v/>
      </c>
      <c r="V44" t="str">
        <f>IF(DONNEES!$E44="","",DONNEES!W44)</f>
        <v/>
      </c>
      <c r="W44" t="str">
        <f>IF(DONNEES!$E44="","",DONNEES!X44)</f>
        <v/>
      </c>
      <c r="X44" t="str">
        <f>IF(DONNEES!$E44="","",DONNEES!Y44)</f>
        <v/>
      </c>
      <c r="Y44" t="str">
        <f>IF(DONNEES!$E44="","",DONNEES!Z44)</f>
        <v/>
      </c>
      <c r="Z44" t="str">
        <f>IF(DONNEES!$E44="","",DONNEES!AQ44)</f>
        <v/>
      </c>
    </row>
    <row r="45" spans="1:26" ht="15" customHeight="1" x14ac:dyDescent="0.3">
      <c r="A45" t="str">
        <f>IF(DONNEES!$E45="","",DONNEES!A45)</f>
        <v/>
      </c>
      <c r="B45" t="str">
        <f>IF(DONNEES!$E45="","",DONNEES!B45)</f>
        <v/>
      </c>
      <c r="C45" t="str">
        <f>IF(DONNEES!$E45="","",DONNEES!C45)</f>
        <v/>
      </c>
      <c r="D45" t="str">
        <f>IF(DONNEES!$E45="","",DONNEES!E45)</f>
        <v/>
      </c>
      <c r="E45" t="str">
        <f>IF(DONNEES!$E45="","",DONNEES!F45)</f>
        <v/>
      </c>
      <c r="F45" t="str">
        <f>IF(DONNEES!$E45="","",DONNEES!G45)</f>
        <v/>
      </c>
      <c r="G45" t="str">
        <f>IF(DONNEES!$E45="","",DONNEES!H45)</f>
        <v/>
      </c>
      <c r="H45" t="str">
        <f>IF(DONNEES!$E45="","",DONNEES!I45)</f>
        <v/>
      </c>
      <c r="I45" t="str">
        <f>IF(DONNEES!$E45="","",DONNEES!J45)</f>
        <v/>
      </c>
      <c r="J45" t="str">
        <f>IF(DONNEES!$E45="","",DONNEES!K45)</f>
        <v/>
      </c>
      <c r="K45" t="str">
        <f>IF(DONNEES!$E45="","",DONNEES!L45)</f>
        <v/>
      </c>
      <c r="L45" t="str">
        <f>IF(DONNEES!$E45="","",DONNEES!M45)</f>
        <v/>
      </c>
      <c r="M45" t="str">
        <f>IF(DONNEES!$E45="","",DONNEES!N45)</f>
        <v/>
      </c>
      <c r="N45" t="str">
        <f>IF(DONNEES!$E45="","",DONNEES!O45)</f>
        <v/>
      </c>
      <c r="O45" t="str">
        <f>IF(DONNEES!$E45="","",DONNEES!P45)</f>
        <v/>
      </c>
      <c r="P45" t="str">
        <f>IF(DONNEES!$E45="","",DONNEES!Q45)</f>
        <v/>
      </c>
      <c r="Q45" t="str">
        <f>IF(DONNEES!$E45="","",DONNEES!R45)</f>
        <v/>
      </c>
      <c r="R45" t="str">
        <f>IF(DONNEES!$E45="","",DONNEES!S45)</f>
        <v/>
      </c>
      <c r="S45" t="str">
        <f>IF(DONNEES!$E45="","",DONNEES!T45)</f>
        <v/>
      </c>
      <c r="T45" t="str">
        <f>IF(DONNEES!$E45="","",DONNEES!U45)</f>
        <v/>
      </c>
      <c r="U45" t="str">
        <f>IF(DONNEES!$E45="","",DONNEES!V45)</f>
        <v/>
      </c>
      <c r="V45" t="str">
        <f>IF(DONNEES!$E45="","",DONNEES!W45)</f>
        <v/>
      </c>
      <c r="W45" t="str">
        <f>IF(DONNEES!$E45="","",DONNEES!X45)</f>
        <v/>
      </c>
      <c r="X45" t="str">
        <f>IF(DONNEES!$E45="","",DONNEES!Y45)</f>
        <v/>
      </c>
      <c r="Y45" t="str">
        <f>IF(DONNEES!$E45="","",DONNEES!Z45)</f>
        <v/>
      </c>
      <c r="Z45" t="str">
        <f>IF(DONNEES!$E45="","",DONNEES!AQ45)</f>
        <v/>
      </c>
    </row>
    <row r="46" spans="1:26" ht="15" customHeight="1" x14ac:dyDescent="0.3">
      <c r="A46" t="str">
        <f>IF(DONNEES!$E46="","",DONNEES!A46)</f>
        <v/>
      </c>
      <c r="B46" t="str">
        <f>IF(DONNEES!$E46="","",DONNEES!B46)</f>
        <v/>
      </c>
      <c r="C46" t="str">
        <f>IF(DONNEES!$E46="","",DONNEES!C46)</f>
        <v/>
      </c>
      <c r="D46" t="str">
        <f>IF(DONNEES!$E46="","",DONNEES!E46)</f>
        <v/>
      </c>
      <c r="E46" t="str">
        <f>IF(DONNEES!$E46="","",DONNEES!F46)</f>
        <v/>
      </c>
      <c r="F46" t="str">
        <f>IF(DONNEES!$E46="","",DONNEES!G46)</f>
        <v/>
      </c>
      <c r="G46" t="str">
        <f>IF(DONNEES!$E46="","",DONNEES!H46)</f>
        <v/>
      </c>
      <c r="H46" t="str">
        <f>IF(DONNEES!$E46="","",DONNEES!I46)</f>
        <v/>
      </c>
      <c r="I46" t="str">
        <f>IF(DONNEES!$E46="","",DONNEES!J46)</f>
        <v/>
      </c>
      <c r="J46" t="str">
        <f>IF(DONNEES!$E46="","",DONNEES!K46)</f>
        <v/>
      </c>
      <c r="K46" t="str">
        <f>IF(DONNEES!$E46="","",DONNEES!L46)</f>
        <v/>
      </c>
      <c r="L46" t="str">
        <f>IF(DONNEES!$E46="","",DONNEES!M46)</f>
        <v/>
      </c>
      <c r="M46" t="str">
        <f>IF(DONNEES!$E46="","",DONNEES!N46)</f>
        <v/>
      </c>
      <c r="N46" t="str">
        <f>IF(DONNEES!$E46="","",DONNEES!O46)</f>
        <v/>
      </c>
      <c r="O46" t="str">
        <f>IF(DONNEES!$E46="","",DONNEES!P46)</f>
        <v/>
      </c>
      <c r="P46" t="str">
        <f>IF(DONNEES!$E46="","",DONNEES!Q46)</f>
        <v/>
      </c>
      <c r="Q46" t="str">
        <f>IF(DONNEES!$E46="","",DONNEES!R46)</f>
        <v/>
      </c>
      <c r="R46" t="str">
        <f>IF(DONNEES!$E46="","",DONNEES!S46)</f>
        <v/>
      </c>
      <c r="S46" t="str">
        <f>IF(DONNEES!$E46="","",DONNEES!T46)</f>
        <v/>
      </c>
      <c r="T46" t="str">
        <f>IF(DONNEES!$E46="","",DONNEES!U46)</f>
        <v/>
      </c>
      <c r="U46" t="str">
        <f>IF(DONNEES!$E46="","",DONNEES!V46)</f>
        <v/>
      </c>
      <c r="V46" t="str">
        <f>IF(DONNEES!$E46="","",DONNEES!W46)</f>
        <v/>
      </c>
      <c r="W46" t="str">
        <f>IF(DONNEES!$E46="","",DONNEES!X46)</f>
        <v/>
      </c>
      <c r="X46" t="str">
        <f>IF(DONNEES!$E46="","",DONNEES!Y46)</f>
        <v/>
      </c>
      <c r="Y46" t="str">
        <f>IF(DONNEES!$E46="","",DONNEES!Z46)</f>
        <v/>
      </c>
      <c r="Z46" t="str">
        <f>IF(DONNEES!$E46="","",DONNEES!AQ46)</f>
        <v/>
      </c>
    </row>
    <row r="47" spans="1:26" ht="15" customHeight="1" x14ac:dyDescent="0.3">
      <c r="A47" t="str">
        <f>IF(DONNEES!$E47="","",DONNEES!A47)</f>
        <v/>
      </c>
      <c r="B47" t="str">
        <f>IF(DONNEES!$E47="","",DONNEES!B47)</f>
        <v/>
      </c>
      <c r="C47" t="str">
        <f>IF(DONNEES!$E47="","",DONNEES!C47)</f>
        <v/>
      </c>
      <c r="D47" t="str">
        <f>IF(DONNEES!$E47="","",DONNEES!E47)</f>
        <v/>
      </c>
      <c r="E47" t="str">
        <f>IF(DONNEES!$E47="","",DONNEES!F47)</f>
        <v/>
      </c>
      <c r="F47" t="str">
        <f>IF(DONNEES!$E47="","",DONNEES!G47)</f>
        <v/>
      </c>
      <c r="G47" t="str">
        <f>IF(DONNEES!$E47="","",DONNEES!H47)</f>
        <v/>
      </c>
      <c r="H47" t="str">
        <f>IF(DONNEES!$E47="","",DONNEES!I47)</f>
        <v/>
      </c>
      <c r="I47" t="str">
        <f>IF(DONNEES!$E47="","",DONNEES!J47)</f>
        <v/>
      </c>
      <c r="J47" t="str">
        <f>IF(DONNEES!$E47="","",DONNEES!K47)</f>
        <v/>
      </c>
      <c r="K47" t="str">
        <f>IF(DONNEES!$E47="","",DONNEES!L47)</f>
        <v/>
      </c>
      <c r="L47" t="str">
        <f>IF(DONNEES!$E47="","",DONNEES!M47)</f>
        <v/>
      </c>
      <c r="M47" t="str">
        <f>IF(DONNEES!$E47="","",DONNEES!N47)</f>
        <v/>
      </c>
      <c r="N47" t="str">
        <f>IF(DONNEES!$E47="","",DONNEES!O47)</f>
        <v/>
      </c>
      <c r="O47" t="str">
        <f>IF(DONNEES!$E47="","",DONNEES!P47)</f>
        <v/>
      </c>
      <c r="P47" t="str">
        <f>IF(DONNEES!$E47="","",DONNEES!Q47)</f>
        <v/>
      </c>
      <c r="Q47" t="str">
        <f>IF(DONNEES!$E47="","",DONNEES!R47)</f>
        <v/>
      </c>
      <c r="R47" t="str">
        <f>IF(DONNEES!$E47="","",DONNEES!S47)</f>
        <v/>
      </c>
      <c r="S47" t="str">
        <f>IF(DONNEES!$E47="","",DONNEES!T47)</f>
        <v/>
      </c>
      <c r="T47" t="str">
        <f>IF(DONNEES!$E47="","",DONNEES!U47)</f>
        <v/>
      </c>
      <c r="U47" t="str">
        <f>IF(DONNEES!$E47="","",DONNEES!V47)</f>
        <v/>
      </c>
      <c r="V47" t="str">
        <f>IF(DONNEES!$E47="","",DONNEES!W47)</f>
        <v/>
      </c>
      <c r="W47" t="str">
        <f>IF(DONNEES!$E47="","",DONNEES!X47)</f>
        <v/>
      </c>
      <c r="X47" t="str">
        <f>IF(DONNEES!$E47="","",DONNEES!Y47)</f>
        <v/>
      </c>
      <c r="Y47" t="str">
        <f>IF(DONNEES!$E47="","",DONNEES!Z47)</f>
        <v/>
      </c>
      <c r="Z47" t="str">
        <f>IF(DONNEES!$E47="","",DONNEES!AQ47)</f>
        <v/>
      </c>
    </row>
    <row r="48" spans="1:26" ht="15" customHeight="1" x14ac:dyDescent="0.3">
      <c r="A48" t="str">
        <f>IF(DONNEES!$E48="","",DONNEES!A48)</f>
        <v/>
      </c>
      <c r="B48" t="str">
        <f>IF(DONNEES!$E48="","",DONNEES!B48)</f>
        <v/>
      </c>
      <c r="C48" t="str">
        <f>IF(DONNEES!$E48="","",DONNEES!C48)</f>
        <v/>
      </c>
      <c r="D48" t="str">
        <f>IF(DONNEES!$E48="","",DONNEES!E48)</f>
        <v/>
      </c>
      <c r="E48" t="str">
        <f>IF(DONNEES!$E48="","",DONNEES!F48)</f>
        <v/>
      </c>
      <c r="F48" t="str">
        <f>IF(DONNEES!$E48="","",DONNEES!G48)</f>
        <v/>
      </c>
      <c r="G48" t="str">
        <f>IF(DONNEES!$E48="","",DONNEES!H48)</f>
        <v/>
      </c>
      <c r="H48" t="str">
        <f>IF(DONNEES!$E48="","",DONNEES!I48)</f>
        <v/>
      </c>
      <c r="I48" t="str">
        <f>IF(DONNEES!$E48="","",DONNEES!J48)</f>
        <v/>
      </c>
      <c r="J48" t="str">
        <f>IF(DONNEES!$E48="","",DONNEES!K48)</f>
        <v/>
      </c>
      <c r="K48" t="str">
        <f>IF(DONNEES!$E48="","",DONNEES!L48)</f>
        <v/>
      </c>
      <c r="L48" t="str">
        <f>IF(DONNEES!$E48="","",DONNEES!M48)</f>
        <v/>
      </c>
      <c r="M48" t="str">
        <f>IF(DONNEES!$E48="","",DONNEES!N48)</f>
        <v/>
      </c>
      <c r="N48" t="str">
        <f>IF(DONNEES!$E48="","",DONNEES!O48)</f>
        <v/>
      </c>
      <c r="O48" t="str">
        <f>IF(DONNEES!$E48="","",DONNEES!P48)</f>
        <v/>
      </c>
      <c r="P48" t="str">
        <f>IF(DONNEES!$E48="","",DONNEES!Q48)</f>
        <v/>
      </c>
      <c r="Q48" t="str">
        <f>IF(DONNEES!$E48="","",DONNEES!R48)</f>
        <v/>
      </c>
      <c r="R48" t="str">
        <f>IF(DONNEES!$E48="","",DONNEES!S48)</f>
        <v/>
      </c>
      <c r="S48" t="str">
        <f>IF(DONNEES!$E48="","",DONNEES!T48)</f>
        <v/>
      </c>
      <c r="T48" t="str">
        <f>IF(DONNEES!$E48="","",DONNEES!U48)</f>
        <v/>
      </c>
      <c r="U48" t="str">
        <f>IF(DONNEES!$E48="","",DONNEES!V48)</f>
        <v/>
      </c>
      <c r="V48" t="str">
        <f>IF(DONNEES!$E48="","",DONNEES!W48)</f>
        <v/>
      </c>
      <c r="W48" t="str">
        <f>IF(DONNEES!$E48="","",DONNEES!X48)</f>
        <v/>
      </c>
      <c r="X48" t="str">
        <f>IF(DONNEES!$E48="","",DONNEES!Y48)</f>
        <v/>
      </c>
      <c r="Y48" t="str">
        <f>IF(DONNEES!$E48="","",DONNEES!Z48)</f>
        <v/>
      </c>
      <c r="Z48" t="str">
        <f>IF(DONNEES!$E48="","",DONNEES!AQ48)</f>
        <v/>
      </c>
    </row>
    <row r="49" spans="1:26" ht="15" customHeight="1" x14ac:dyDescent="0.3">
      <c r="A49" t="str">
        <f>IF(DONNEES!$E49="","",DONNEES!A49)</f>
        <v/>
      </c>
      <c r="B49" t="str">
        <f>IF(DONNEES!$E49="","",DONNEES!B49)</f>
        <v/>
      </c>
      <c r="C49" t="str">
        <f>IF(DONNEES!$E49="","",DONNEES!C49)</f>
        <v/>
      </c>
      <c r="D49" t="str">
        <f>IF(DONNEES!$E49="","",DONNEES!E49)</f>
        <v/>
      </c>
      <c r="E49" t="str">
        <f>IF(DONNEES!$E49="","",DONNEES!F49)</f>
        <v/>
      </c>
      <c r="F49" t="str">
        <f>IF(DONNEES!$E49="","",DONNEES!G49)</f>
        <v/>
      </c>
      <c r="G49" t="str">
        <f>IF(DONNEES!$E49="","",DONNEES!H49)</f>
        <v/>
      </c>
      <c r="H49" t="str">
        <f>IF(DONNEES!$E49="","",DONNEES!I49)</f>
        <v/>
      </c>
      <c r="I49" t="str">
        <f>IF(DONNEES!$E49="","",DONNEES!J49)</f>
        <v/>
      </c>
      <c r="J49" t="str">
        <f>IF(DONNEES!$E49="","",DONNEES!K49)</f>
        <v/>
      </c>
      <c r="K49" t="str">
        <f>IF(DONNEES!$E49="","",DONNEES!L49)</f>
        <v/>
      </c>
      <c r="L49" t="str">
        <f>IF(DONNEES!$E49="","",DONNEES!M49)</f>
        <v/>
      </c>
      <c r="M49" t="str">
        <f>IF(DONNEES!$E49="","",DONNEES!N49)</f>
        <v/>
      </c>
      <c r="N49" t="str">
        <f>IF(DONNEES!$E49="","",DONNEES!O49)</f>
        <v/>
      </c>
      <c r="O49" t="str">
        <f>IF(DONNEES!$E49="","",DONNEES!P49)</f>
        <v/>
      </c>
      <c r="P49" t="str">
        <f>IF(DONNEES!$E49="","",DONNEES!Q49)</f>
        <v/>
      </c>
      <c r="Q49" t="str">
        <f>IF(DONNEES!$E49="","",DONNEES!R49)</f>
        <v/>
      </c>
      <c r="R49" t="str">
        <f>IF(DONNEES!$E49="","",DONNEES!S49)</f>
        <v/>
      </c>
      <c r="S49" t="str">
        <f>IF(DONNEES!$E49="","",DONNEES!T49)</f>
        <v/>
      </c>
      <c r="T49" t="str">
        <f>IF(DONNEES!$E49="","",DONNEES!U49)</f>
        <v/>
      </c>
      <c r="U49" t="str">
        <f>IF(DONNEES!$E49="","",DONNEES!V49)</f>
        <v/>
      </c>
      <c r="V49" t="str">
        <f>IF(DONNEES!$E49="","",DONNEES!W49)</f>
        <v/>
      </c>
      <c r="W49" t="str">
        <f>IF(DONNEES!$E49="","",DONNEES!X49)</f>
        <v/>
      </c>
      <c r="X49" t="str">
        <f>IF(DONNEES!$E49="","",DONNEES!Y49)</f>
        <v/>
      </c>
      <c r="Y49" t="str">
        <f>IF(DONNEES!$E49="","",DONNEES!Z49)</f>
        <v/>
      </c>
      <c r="Z49" t="str">
        <f>IF(DONNEES!$E49="","",DONNEES!AQ49)</f>
        <v/>
      </c>
    </row>
    <row r="50" spans="1:26" ht="15" customHeight="1" x14ac:dyDescent="0.3">
      <c r="A50" t="str">
        <f>IF(DONNEES!$E50="","",DONNEES!A50)</f>
        <v/>
      </c>
      <c r="B50" t="str">
        <f>IF(DONNEES!$E50="","",DONNEES!B50)</f>
        <v/>
      </c>
      <c r="C50" t="str">
        <f>IF(DONNEES!$E50="","",DONNEES!C50)</f>
        <v/>
      </c>
      <c r="D50" t="str">
        <f>IF(DONNEES!$E50="","",DONNEES!E50)</f>
        <v/>
      </c>
      <c r="E50" t="str">
        <f>IF(DONNEES!$E50="","",DONNEES!F50)</f>
        <v/>
      </c>
      <c r="F50" t="str">
        <f>IF(DONNEES!$E50="","",DONNEES!G50)</f>
        <v/>
      </c>
      <c r="G50" t="str">
        <f>IF(DONNEES!$E50="","",DONNEES!H50)</f>
        <v/>
      </c>
      <c r="H50" t="str">
        <f>IF(DONNEES!$E50="","",DONNEES!I50)</f>
        <v/>
      </c>
      <c r="I50" t="str">
        <f>IF(DONNEES!$E50="","",DONNEES!J50)</f>
        <v/>
      </c>
      <c r="J50" t="str">
        <f>IF(DONNEES!$E50="","",DONNEES!K50)</f>
        <v/>
      </c>
      <c r="K50" t="str">
        <f>IF(DONNEES!$E50="","",DONNEES!L50)</f>
        <v/>
      </c>
      <c r="L50" t="str">
        <f>IF(DONNEES!$E50="","",DONNEES!M50)</f>
        <v/>
      </c>
      <c r="M50" t="str">
        <f>IF(DONNEES!$E50="","",DONNEES!N50)</f>
        <v/>
      </c>
      <c r="N50" t="str">
        <f>IF(DONNEES!$E50="","",DONNEES!O50)</f>
        <v/>
      </c>
      <c r="O50" t="str">
        <f>IF(DONNEES!$E50="","",DONNEES!P50)</f>
        <v/>
      </c>
      <c r="P50" t="str">
        <f>IF(DONNEES!$E50="","",DONNEES!Q50)</f>
        <v/>
      </c>
      <c r="Q50" t="str">
        <f>IF(DONNEES!$E50="","",DONNEES!R50)</f>
        <v/>
      </c>
      <c r="R50" t="str">
        <f>IF(DONNEES!$E50="","",DONNEES!S50)</f>
        <v/>
      </c>
      <c r="S50" t="str">
        <f>IF(DONNEES!$E50="","",DONNEES!T50)</f>
        <v/>
      </c>
      <c r="T50" t="str">
        <f>IF(DONNEES!$E50="","",DONNEES!U50)</f>
        <v/>
      </c>
      <c r="U50" t="str">
        <f>IF(DONNEES!$E50="","",DONNEES!V50)</f>
        <v/>
      </c>
      <c r="V50" t="str">
        <f>IF(DONNEES!$E50="","",DONNEES!W50)</f>
        <v/>
      </c>
      <c r="W50" t="str">
        <f>IF(DONNEES!$E50="","",DONNEES!X50)</f>
        <v/>
      </c>
      <c r="X50" t="str">
        <f>IF(DONNEES!$E50="","",DONNEES!Y50)</f>
        <v/>
      </c>
      <c r="Y50" t="str">
        <f>IF(DONNEES!$E50="","",DONNEES!Z50)</f>
        <v/>
      </c>
      <c r="Z50" t="str">
        <f>IF(DONNEES!$E50="","",DONNEES!AQ50)</f>
        <v/>
      </c>
    </row>
    <row r="51" spans="1:26" ht="15" customHeight="1" x14ac:dyDescent="0.3">
      <c r="A51" t="str">
        <f>IF(DONNEES!$E51="","",DONNEES!A51)</f>
        <v/>
      </c>
      <c r="B51" t="str">
        <f>IF(DONNEES!$E51="","",DONNEES!B51)</f>
        <v/>
      </c>
      <c r="C51" t="str">
        <f>IF(DONNEES!$E51="","",DONNEES!C51)</f>
        <v/>
      </c>
      <c r="D51" t="str">
        <f>IF(DONNEES!$E51="","",DONNEES!E51)</f>
        <v/>
      </c>
      <c r="E51" t="str">
        <f>IF(DONNEES!$E51="","",DONNEES!F51)</f>
        <v/>
      </c>
      <c r="F51" t="str">
        <f>IF(DONNEES!$E51="","",DONNEES!G51)</f>
        <v/>
      </c>
      <c r="G51" t="str">
        <f>IF(DONNEES!$E51="","",DONNEES!H51)</f>
        <v/>
      </c>
      <c r="H51" t="str">
        <f>IF(DONNEES!$E51="","",DONNEES!I51)</f>
        <v/>
      </c>
      <c r="I51" t="str">
        <f>IF(DONNEES!$E51="","",DONNEES!J51)</f>
        <v/>
      </c>
      <c r="J51" t="str">
        <f>IF(DONNEES!$E51="","",DONNEES!K51)</f>
        <v/>
      </c>
      <c r="K51" t="str">
        <f>IF(DONNEES!$E51="","",DONNEES!L51)</f>
        <v/>
      </c>
      <c r="L51" t="str">
        <f>IF(DONNEES!$E51="","",DONNEES!M51)</f>
        <v/>
      </c>
      <c r="M51" t="str">
        <f>IF(DONNEES!$E51="","",DONNEES!N51)</f>
        <v/>
      </c>
      <c r="N51" t="str">
        <f>IF(DONNEES!$E51="","",DONNEES!O51)</f>
        <v/>
      </c>
      <c r="O51" t="str">
        <f>IF(DONNEES!$E51="","",DONNEES!P51)</f>
        <v/>
      </c>
      <c r="P51" t="str">
        <f>IF(DONNEES!$E51="","",DONNEES!Q51)</f>
        <v/>
      </c>
      <c r="Q51" t="str">
        <f>IF(DONNEES!$E51="","",DONNEES!R51)</f>
        <v/>
      </c>
      <c r="R51" t="str">
        <f>IF(DONNEES!$E51="","",DONNEES!S51)</f>
        <v/>
      </c>
      <c r="S51" t="str">
        <f>IF(DONNEES!$E51="","",DONNEES!T51)</f>
        <v/>
      </c>
      <c r="T51" t="str">
        <f>IF(DONNEES!$E51="","",DONNEES!U51)</f>
        <v/>
      </c>
      <c r="U51" t="str">
        <f>IF(DONNEES!$E51="","",DONNEES!V51)</f>
        <v/>
      </c>
      <c r="V51" t="str">
        <f>IF(DONNEES!$E51="","",DONNEES!W51)</f>
        <v/>
      </c>
      <c r="W51" t="str">
        <f>IF(DONNEES!$E51="","",DONNEES!X51)</f>
        <v/>
      </c>
      <c r="X51" t="str">
        <f>IF(DONNEES!$E51="","",DONNEES!Y51)</f>
        <v/>
      </c>
      <c r="Y51" t="str">
        <f>IF(DONNEES!$E51="","",DONNEES!Z51)</f>
        <v/>
      </c>
      <c r="Z51" t="str">
        <f>IF(DONNEES!$E51="","",DONNEES!AQ51)</f>
        <v/>
      </c>
    </row>
    <row r="52" spans="1:26" ht="15" customHeight="1" x14ac:dyDescent="0.3">
      <c r="A52" t="str">
        <f>IF(DONNEES!$E52="","",DONNEES!A52)</f>
        <v/>
      </c>
      <c r="B52" t="str">
        <f>IF(DONNEES!$E52="","",DONNEES!B52)</f>
        <v/>
      </c>
      <c r="C52" t="str">
        <f>IF(DONNEES!$E52="","",DONNEES!C52)</f>
        <v/>
      </c>
      <c r="D52" t="str">
        <f>IF(DONNEES!$E52="","",DONNEES!E52)</f>
        <v/>
      </c>
      <c r="E52" t="str">
        <f>IF(DONNEES!$E52="","",DONNEES!F52)</f>
        <v/>
      </c>
      <c r="F52" t="str">
        <f>IF(DONNEES!$E52="","",DONNEES!G52)</f>
        <v/>
      </c>
      <c r="G52" t="str">
        <f>IF(DONNEES!$E52="","",DONNEES!H52)</f>
        <v/>
      </c>
      <c r="H52" t="str">
        <f>IF(DONNEES!$E52="","",DONNEES!I52)</f>
        <v/>
      </c>
      <c r="I52" t="str">
        <f>IF(DONNEES!$E52="","",DONNEES!J52)</f>
        <v/>
      </c>
      <c r="J52" t="str">
        <f>IF(DONNEES!$E52="","",DONNEES!K52)</f>
        <v/>
      </c>
      <c r="K52" t="str">
        <f>IF(DONNEES!$E52="","",DONNEES!L52)</f>
        <v/>
      </c>
      <c r="L52" t="str">
        <f>IF(DONNEES!$E52="","",DONNEES!M52)</f>
        <v/>
      </c>
      <c r="M52" t="str">
        <f>IF(DONNEES!$E52="","",DONNEES!N52)</f>
        <v/>
      </c>
      <c r="N52" t="str">
        <f>IF(DONNEES!$E52="","",DONNEES!O52)</f>
        <v/>
      </c>
      <c r="O52" t="str">
        <f>IF(DONNEES!$E52="","",DONNEES!P52)</f>
        <v/>
      </c>
      <c r="P52" t="str">
        <f>IF(DONNEES!$E52="","",DONNEES!Q52)</f>
        <v/>
      </c>
      <c r="Q52" t="str">
        <f>IF(DONNEES!$E52="","",DONNEES!R52)</f>
        <v/>
      </c>
      <c r="R52" t="str">
        <f>IF(DONNEES!$E52="","",DONNEES!S52)</f>
        <v/>
      </c>
      <c r="S52" t="str">
        <f>IF(DONNEES!$E52="","",DONNEES!T52)</f>
        <v/>
      </c>
      <c r="T52" t="str">
        <f>IF(DONNEES!$E52="","",DONNEES!U52)</f>
        <v/>
      </c>
      <c r="U52" t="str">
        <f>IF(DONNEES!$E52="","",DONNEES!V52)</f>
        <v/>
      </c>
      <c r="V52" t="str">
        <f>IF(DONNEES!$E52="","",DONNEES!W52)</f>
        <v/>
      </c>
      <c r="W52" t="str">
        <f>IF(DONNEES!$E52="","",DONNEES!X52)</f>
        <v/>
      </c>
      <c r="X52" t="str">
        <f>IF(DONNEES!$E52="","",DONNEES!Y52)</f>
        <v/>
      </c>
      <c r="Y52" t="str">
        <f>IF(DONNEES!$E52="","",DONNEES!Z52)</f>
        <v/>
      </c>
      <c r="Z52" t="str">
        <f>IF(DONNEES!$E52="","",DONNEES!AQ52)</f>
        <v/>
      </c>
    </row>
    <row r="53" spans="1:26" ht="15" customHeight="1" x14ac:dyDescent="0.3">
      <c r="A53" t="str">
        <f>IF(DONNEES!$E53="","",DONNEES!A53)</f>
        <v/>
      </c>
      <c r="B53" t="str">
        <f>IF(DONNEES!$E53="","",DONNEES!B53)</f>
        <v/>
      </c>
      <c r="C53" t="str">
        <f>IF(DONNEES!$E53="","",DONNEES!C53)</f>
        <v/>
      </c>
      <c r="D53" t="str">
        <f>IF(DONNEES!$E53="","",DONNEES!E53)</f>
        <v/>
      </c>
      <c r="E53" t="str">
        <f>IF(DONNEES!$E53="","",DONNEES!F53)</f>
        <v/>
      </c>
      <c r="F53" t="str">
        <f>IF(DONNEES!$E53="","",DONNEES!G53)</f>
        <v/>
      </c>
      <c r="G53" t="str">
        <f>IF(DONNEES!$E53="","",DONNEES!H53)</f>
        <v/>
      </c>
      <c r="H53" t="str">
        <f>IF(DONNEES!$E53="","",DONNEES!I53)</f>
        <v/>
      </c>
      <c r="I53" t="str">
        <f>IF(DONNEES!$E53="","",DONNEES!J53)</f>
        <v/>
      </c>
      <c r="J53" t="str">
        <f>IF(DONNEES!$E53="","",DONNEES!K53)</f>
        <v/>
      </c>
      <c r="K53" t="str">
        <f>IF(DONNEES!$E53="","",DONNEES!L53)</f>
        <v/>
      </c>
      <c r="L53" t="str">
        <f>IF(DONNEES!$E53="","",DONNEES!M53)</f>
        <v/>
      </c>
      <c r="M53" t="str">
        <f>IF(DONNEES!$E53="","",DONNEES!N53)</f>
        <v/>
      </c>
      <c r="N53" t="str">
        <f>IF(DONNEES!$E53="","",DONNEES!O53)</f>
        <v/>
      </c>
      <c r="O53" t="str">
        <f>IF(DONNEES!$E53="","",DONNEES!P53)</f>
        <v/>
      </c>
      <c r="P53" t="str">
        <f>IF(DONNEES!$E53="","",DONNEES!Q53)</f>
        <v/>
      </c>
      <c r="Q53" t="str">
        <f>IF(DONNEES!$E53="","",DONNEES!R53)</f>
        <v/>
      </c>
      <c r="R53" t="str">
        <f>IF(DONNEES!$E53="","",DONNEES!S53)</f>
        <v/>
      </c>
      <c r="S53" t="str">
        <f>IF(DONNEES!$E53="","",DONNEES!T53)</f>
        <v/>
      </c>
      <c r="T53" t="str">
        <f>IF(DONNEES!$E53="","",DONNEES!U53)</f>
        <v/>
      </c>
      <c r="U53" t="str">
        <f>IF(DONNEES!$E53="","",DONNEES!V53)</f>
        <v/>
      </c>
      <c r="V53" t="str">
        <f>IF(DONNEES!$E53="","",DONNEES!W53)</f>
        <v/>
      </c>
      <c r="W53" t="str">
        <f>IF(DONNEES!$E53="","",DONNEES!X53)</f>
        <v/>
      </c>
      <c r="X53" t="str">
        <f>IF(DONNEES!$E53="","",DONNEES!Y53)</f>
        <v/>
      </c>
      <c r="Y53" t="str">
        <f>IF(DONNEES!$E53="","",DONNEES!Z53)</f>
        <v/>
      </c>
      <c r="Z53" t="str">
        <f>IF(DONNEES!$E53="","",DONNEES!AQ53)</f>
        <v/>
      </c>
    </row>
    <row r="54" spans="1:26" ht="15" customHeight="1" x14ac:dyDescent="0.3">
      <c r="A54" t="str">
        <f>IF(DONNEES!$E54="","",DONNEES!A54)</f>
        <v/>
      </c>
      <c r="B54" t="str">
        <f>IF(DONNEES!$E54="","",DONNEES!B54)</f>
        <v/>
      </c>
      <c r="C54" t="str">
        <f>IF(DONNEES!$E54="","",DONNEES!C54)</f>
        <v/>
      </c>
      <c r="D54" t="str">
        <f>IF(DONNEES!$E54="","",DONNEES!E54)</f>
        <v/>
      </c>
      <c r="E54" t="str">
        <f>IF(DONNEES!$E54="","",DONNEES!F54)</f>
        <v/>
      </c>
      <c r="F54" t="str">
        <f>IF(DONNEES!$E54="","",DONNEES!G54)</f>
        <v/>
      </c>
      <c r="G54" t="str">
        <f>IF(DONNEES!$E54="","",DONNEES!H54)</f>
        <v/>
      </c>
      <c r="H54" t="str">
        <f>IF(DONNEES!$E54="","",DONNEES!I54)</f>
        <v/>
      </c>
      <c r="I54" t="str">
        <f>IF(DONNEES!$E54="","",DONNEES!J54)</f>
        <v/>
      </c>
      <c r="J54" t="str">
        <f>IF(DONNEES!$E54="","",DONNEES!K54)</f>
        <v/>
      </c>
      <c r="K54" t="str">
        <f>IF(DONNEES!$E54="","",DONNEES!L54)</f>
        <v/>
      </c>
      <c r="L54" t="str">
        <f>IF(DONNEES!$E54="","",DONNEES!M54)</f>
        <v/>
      </c>
      <c r="M54" t="str">
        <f>IF(DONNEES!$E54="","",DONNEES!N54)</f>
        <v/>
      </c>
      <c r="N54" t="str">
        <f>IF(DONNEES!$E54="","",DONNEES!O54)</f>
        <v/>
      </c>
      <c r="O54" t="str">
        <f>IF(DONNEES!$E54="","",DONNEES!P54)</f>
        <v/>
      </c>
      <c r="P54" t="str">
        <f>IF(DONNEES!$E54="","",DONNEES!Q54)</f>
        <v/>
      </c>
      <c r="Q54" t="str">
        <f>IF(DONNEES!$E54="","",DONNEES!R54)</f>
        <v/>
      </c>
      <c r="R54" t="str">
        <f>IF(DONNEES!$E54="","",DONNEES!S54)</f>
        <v/>
      </c>
      <c r="S54" t="str">
        <f>IF(DONNEES!$E54="","",DONNEES!T54)</f>
        <v/>
      </c>
      <c r="T54" t="str">
        <f>IF(DONNEES!$E54="","",DONNEES!U54)</f>
        <v/>
      </c>
      <c r="U54" t="str">
        <f>IF(DONNEES!$E54="","",DONNEES!V54)</f>
        <v/>
      </c>
      <c r="V54" t="str">
        <f>IF(DONNEES!$E54="","",DONNEES!W54)</f>
        <v/>
      </c>
      <c r="W54" t="str">
        <f>IF(DONNEES!$E54="","",DONNEES!X54)</f>
        <v/>
      </c>
      <c r="X54" t="str">
        <f>IF(DONNEES!$E54="","",DONNEES!Y54)</f>
        <v/>
      </c>
      <c r="Y54" t="str">
        <f>IF(DONNEES!$E54="","",DONNEES!Z54)</f>
        <v/>
      </c>
      <c r="Z54" t="str">
        <f>IF(DONNEES!$E54="","",DONNEES!AQ54)</f>
        <v/>
      </c>
    </row>
    <row r="55" spans="1:26" ht="15" customHeight="1" x14ac:dyDescent="0.3">
      <c r="A55" t="str">
        <f>IF(DONNEES!$E55="","",DONNEES!A55)</f>
        <v/>
      </c>
      <c r="B55" t="str">
        <f>IF(DONNEES!$E55="","",DONNEES!B55)</f>
        <v/>
      </c>
      <c r="C55" t="str">
        <f>IF(DONNEES!$E55="","",DONNEES!C55)</f>
        <v/>
      </c>
      <c r="D55" t="str">
        <f>IF(DONNEES!$E55="","",DONNEES!E55)</f>
        <v/>
      </c>
      <c r="E55" t="str">
        <f>IF(DONNEES!$E55="","",DONNEES!F55)</f>
        <v/>
      </c>
      <c r="F55" t="str">
        <f>IF(DONNEES!$E55="","",DONNEES!G55)</f>
        <v/>
      </c>
      <c r="G55" t="str">
        <f>IF(DONNEES!$E55="","",DONNEES!H55)</f>
        <v/>
      </c>
      <c r="H55" t="str">
        <f>IF(DONNEES!$E55="","",DONNEES!I55)</f>
        <v/>
      </c>
      <c r="I55" t="str">
        <f>IF(DONNEES!$E55="","",DONNEES!J55)</f>
        <v/>
      </c>
      <c r="J55" t="str">
        <f>IF(DONNEES!$E55="","",DONNEES!K55)</f>
        <v/>
      </c>
      <c r="K55" t="str">
        <f>IF(DONNEES!$E55="","",DONNEES!L55)</f>
        <v/>
      </c>
      <c r="L55" t="str">
        <f>IF(DONNEES!$E55="","",DONNEES!M55)</f>
        <v/>
      </c>
      <c r="M55" t="str">
        <f>IF(DONNEES!$E55="","",DONNEES!N55)</f>
        <v/>
      </c>
      <c r="N55" t="str">
        <f>IF(DONNEES!$E55="","",DONNEES!O55)</f>
        <v/>
      </c>
      <c r="O55" t="str">
        <f>IF(DONNEES!$E55="","",DONNEES!P55)</f>
        <v/>
      </c>
      <c r="P55" t="str">
        <f>IF(DONNEES!$E55="","",DONNEES!Q55)</f>
        <v/>
      </c>
      <c r="Q55" t="str">
        <f>IF(DONNEES!$E55="","",DONNEES!R55)</f>
        <v/>
      </c>
      <c r="R55" t="str">
        <f>IF(DONNEES!$E55="","",DONNEES!S55)</f>
        <v/>
      </c>
      <c r="S55" t="str">
        <f>IF(DONNEES!$E55="","",DONNEES!T55)</f>
        <v/>
      </c>
      <c r="T55" t="str">
        <f>IF(DONNEES!$E55="","",DONNEES!U55)</f>
        <v/>
      </c>
      <c r="U55" t="str">
        <f>IF(DONNEES!$E55="","",DONNEES!V55)</f>
        <v/>
      </c>
      <c r="V55" t="str">
        <f>IF(DONNEES!$E55="","",DONNEES!W55)</f>
        <v/>
      </c>
      <c r="W55" t="str">
        <f>IF(DONNEES!$E55="","",DONNEES!X55)</f>
        <v/>
      </c>
      <c r="X55" t="str">
        <f>IF(DONNEES!$E55="","",DONNEES!Y55)</f>
        <v/>
      </c>
      <c r="Y55" t="str">
        <f>IF(DONNEES!$E55="","",DONNEES!Z55)</f>
        <v/>
      </c>
      <c r="Z55" t="str">
        <f>IF(DONNEES!$E55="","",DONNEES!AQ55)</f>
        <v/>
      </c>
    </row>
    <row r="56" spans="1:26" ht="15" customHeight="1" x14ac:dyDescent="0.3">
      <c r="A56" t="str">
        <f>IF(DONNEES!$E56="","",DONNEES!A56)</f>
        <v/>
      </c>
      <c r="B56" t="str">
        <f>IF(DONNEES!$E56="","",DONNEES!B56)</f>
        <v/>
      </c>
      <c r="C56" t="str">
        <f>IF(DONNEES!$E56="","",DONNEES!C56)</f>
        <v/>
      </c>
      <c r="D56" t="str">
        <f>IF(DONNEES!$E56="","",DONNEES!E56)</f>
        <v/>
      </c>
      <c r="E56" t="str">
        <f>IF(DONNEES!$E56="","",DONNEES!F56)</f>
        <v/>
      </c>
      <c r="F56" t="str">
        <f>IF(DONNEES!$E56="","",DONNEES!G56)</f>
        <v/>
      </c>
      <c r="G56" t="str">
        <f>IF(DONNEES!$E56="","",DONNEES!H56)</f>
        <v/>
      </c>
      <c r="H56" t="str">
        <f>IF(DONNEES!$E56="","",DONNEES!I56)</f>
        <v/>
      </c>
      <c r="I56" t="str">
        <f>IF(DONNEES!$E56="","",DONNEES!J56)</f>
        <v/>
      </c>
      <c r="J56" t="str">
        <f>IF(DONNEES!$E56="","",DONNEES!K56)</f>
        <v/>
      </c>
      <c r="K56" t="str">
        <f>IF(DONNEES!$E56="","",DONNEES!L56)</f>
        <v/>
      </c>
      <c r="L56" t="str">
        <f>IF(DONNEES!$E56="","",DONNEES!M56)</f>
        <v/>
      </c>
      <c r="M56" t="str">
        <f>IF(DONNEES!$E56="","",DONNEES!N56)</f>
        <v/>
      </c>
      <c r="N56" t="str">
        <f>IF(DONNEES!$E56="","",DONNEES!O56)</f>
        <v/>
      </c>
      <c r="O56" t="str">
        <f>IF(DONNEES!$E56="","",DONNEES!P56)</f>
        <v/>
      </c>
      <c r="P56" t="str">
        <f>IF(DONNEES!$E56="","",DONNEES!Q56)</f>
        <v/>
      </c>
      <c r="Q56" t="str">
        <f>IF(DONNEES!$E56="","",DONNEES!R56)</f>
        <v/>
      </c>
      <c r="R56" t="str">
        <f>IF(DONNEES!$E56="","",DONNEES!S56)</f>
        <v/>
      </c>
      <c r="S56" t="str">
        <f>IF(DONNEES!$E56="","",DONNEES!T56)</f>
        <v/>
      </c>
      <c r="T56" t="str">
        <f>IF(DONNEES!$E56="","",DONNEES!U56)</f>
        <v/>
      </c>
      <c r="U56" t="str">
        <f>IF(DONNEES!$E56="","",DONNEES!V56)</f>
        <v/>
      </c>
      <c r="V56" t="str">
        <f>IF(DONNEES!$E56="","",DONNEES!W56)</f>
        <v/>
      </c>
      <c r="W56" t="str">
        <f>IF(DONNEES!$E56="","",DONNEES!X56)</f>
        <v/>
      </c>
      <c r="X56" t="str">
        <f>IF(DONNEES!$E56="","",DONNEES!Y56)</f>
        <v/>
      </c>
      <c r="Y56" t="str">
        <f>IF(DONNEES!$E56="","",DONNEES!Z56)</f>
        <v/>
      </c>
      <c r="Z56" t="str">
        <f>IF(DONNEES!$E56="","",DONNEES!AQ56)</f>
        <v/>
      </c>
    </row>
    <row r="57" spans="1:26" ht="15" customHeight="1" x14ac:dyDescent="0.3">
      <c r="A57" t="str">
        <f>IF(DONNEES!$E57="","",DONNEES!A57)</f>
        <v/>
      </c>
      <c r="B57" t="str">
        <f>IF(DONNEES!$E57="","",DONNEES!B57)</f>
        <v/>
      </c>
      <c r="C57" t="str">
        <f>IF(DONNEES!$E57="","",DONNEES!C57)</f>
        <v/>
      </c>
      <c r="D57" t="str">
        <f>IF(DONNEES!$E57="","",DONNEES!E57)</f>
        <v/>
      </c>
      <c r="E57" t="str">
        <f>IF(DONNEES!$E57="","",DONNEES!F57)</f>
        <v/>
      </c>
      <c r="F57" t="str">
        <f>IF(DONNEES!$E57="","",DONNEES!G57)</f>
        <v/>
      </c>
      <c r="G57" t="str">
        <f>IF(DONNEES!$E57="","",DONNEES!H57)</f>
        <v/>
      </c>
      <c r="H57" t="str">
        <f>IF(DONNEES!$E57="","",DONNEES!I57)</f>
        <v/>
      </c>
      <c r="I57" t="str">
        <f>IF(DONNEES!$E57="","",DONNEES!J57)</f>
        <v/>
      </c>
      <c r="J57" t="str">
        <f>IF(DONNEES!$E57="","",DONNEES!K57)</f>
        <v/>
      </c>
      <c r="K57" t="str">
        <f>IF(DONNEES!$E57="","",DONNEES!L57)</f>
        <v/>
      </c>
      <c r="L57" t="str">
        <f>IF(DONNEES!$E57="","",DONNEES!M57)</f>
        <v/>
      </c>
      <c r="M57" t="str">
        <f>IF(DONNEES!$E57="","",DONNEES!N57)</f>
        <v/>
      </c>
      <c r="N57" t="str">
        <f>IF(DONNEES!$E57="","",DONNEES!O57)</f>
        <v/>
      </c>
      <c r="O57" t="str">
        <f>IF(DONNEES!$E57="","",DONNEES!P57)</f>
        <v/>
      </c>
      <c r="P57" t="str">
        <f>IF(DONNEES!$E57="","",DONNEES!Q57)</f>
        <v/>
      </c>
      <c r="Q57" t="str">
        <f>IF(DONNEES!$E57="","",DONNEES!R57)</f>
        <v/>
      </c>
      <c r="R57" t="str">
        <f>IF(DONNEES!$E57="","",DONNEES!S57)</f>
        <v/>
      </c>
      <c r="S57" t="str">
        <f>IF(DONNEES!$E57="","",DONNEES!T57)</f>
        <v/>
      </c>
      <c r="T57" t="str">
        <f>IF(DONNEES!$E57="","",DONNEES!U57)</f>
        <v/>
      </c>
      <c r="U57" t="str">
        <f>IF(DONNEES!$E57="","",DONNEES!V57)</f>
        <v/>
      </c>
      <c r="V57" t="str">
        <f>IF(DONNEES!$E57="","",DONNEES!W57)</f>
        <v/>
      </c>
      <c r="W57" t="str">
        <f>IF(DONNEES!$E57="","",DONNEES!X57)</f>
        <v/>
      </c>
      <c r="X57" t="str">
        <f>IF(DONNEES!$E57="","",DONNEES!Y57)</f>
        <v/>
      </c>
      <c r="Y57" t="str">
        <f>IF(DONNEES!$E57="","",DONNEES!Z57)</f>
        <v/>
      </c>
      <c r="Z57" t="str">
        <f>IF(DONNEES!$E57="","",DONNEES!AQ57)</f>
        <v/>
      </c>
    </row>
    <row r="58" spans="1:26" ht="15" customHeight="1" x14ac:dyDescent="0.3">
      <c r="A58" t="str">
        <f>IF(DONNEES!$E58="","",DONNEES!A58)</f>
        <v/>
      </c>
      <c r="B58" t="str">
        <f>IF(DONNEES!$E58="","",DONNEES!B58)</f>
        <v/>
      </c>
      <c r="C58" t="str">
        <f>IF(DONNEES!$E58="","",DONNEES!C58)</f>
        <v/>
      </c>
      <c r="D58" t="str">
        <f>IF(DONNEES!$E58="","",DONNEES!E58)</f>
        <v/>
      </c>
      <c r="E58" t="str">
        <f>IF(DONNEES!$E58="","",DONNEES!F58)</f>
        <v/>
      </c>
      <c r="F58" t="str">
        <f>IF(DONNEES!$E58="","",DONNEES!G58)</f>
        <v/>
      </c>
      <c r="G58" t="str">
        <f>IF(DONNEES!$E58="","",DONNEES!H58)</f>
        <v/>
      </c>
      <c r="H58" t="str">
        <f>IF(DONNEES!$E58="","",DONNEES!I58)</f>
        <v/>
      </c>
      <c r="I58" t="str">
        <f>IF(DONNEES!$E58="","",DONNEES!J58)</f>
        <v/>
      </c>
      <c r="J58" t="str">
        <f>IF(DONNEES!$E58="","",DONNEES!K58)</f>
        <v/>
      </c>
      <c r="K58" t="str">
        <f>IF(DONNEES!$E58="","",DONNEES!L58)</f>
        <v/>
      </c>
      <c r="L58" t="str">
        <f>IF(DONNEES!$E58="","",DONNEES!M58)</f>
        <v/>
      </c>
      <c r="M58" t="str">
        <f>IF(DONNEES!$E58="","",DONNEES!N58)</f>
        <v/>
      </c>
      <c r="N58" t="str">
        <f>IF(DONNEES!$E58="","",DONNEES!O58)</f>
        <v/>
      </c>
      <c r="O58" t="str">
        <f>IF(DONNEES!$E58="","",DONNEES!P58)</f>
        <v/>
      </c>
      <c r="P58" t="str">
        <f>IF(DONNEES!$E58="","",DONNEES!Q58)</f>
        <v/>
      </c>
      <c r="Q58" t="str">
        <f>IF(DONNEES!$E58="","",DONNEES!R58)</f>
        <v/>
      </c>
      <c r="R58" t="str">
        <f>IF(DONNEES!$E58="","",DONNEES!S58)</f>
        <v/>
      </c>
      <c r="S58" t="str">
        <f>IF(DONNEES!$E58="","",DONNEES!T58)</f>
        <v/>
      </c>
      <c r="T58" t="str">
        <f>IF(DONNEES!$E58="","",DONNEES!U58)</f>
        <v/>
      </c>
      <c r="U58" t="str">
        <f>IF(DONNEES!$E58="","",DONNEES!V58)</f>
        <v/>
      </c>
      <c r="V58" t="str">
        <f>IF(DONNEES!$E58="","",DONNEES!W58)</f>
        <v/>
      </c>
      <c r="W58" t="str">
        <f>IF(DONNEES!$E58="","",DONNEES!X58)</f>
        <v/>
      </c>
      <c r="X58" t="str">
        <f>IF(DONNEES!$E58="","",DONNEES!Y58)</f>
        <v/>
      </c>
      <c r="Y58" t="str">
        <f>IF(DONNEES!$E58="","",DONNEES!Z58)</f>
        <v/>
      </c>
      <c r="Z58" t="str">
        <f>IF(DONNEES!$E58="","",DONNEES!AQ58)</f>
        <v/>
      </c>
    </row>
    <row r="59" spans="1:26" ht="15" customHeight="1" x14ac:dyDescent="0.3">
      <c r="A59" t="str">
        <f>IF(DONNEES!$E59="","",DONNEES!A59)</f>
        <v/>
      </c>
      <c r="B59" t="str">
        <f>IF(DONNEES!$E59="","",DONNEES!B59)</f>
        <v/>
      </c>
      <c r="C59" t="str">
        <f>IF(DONNEES!$E59="","",DONNEES!C59)</f>
        <v/>
      </c>
      <c r="D59" t="str">
        <f>IF(DONNEES!$E59="","",DONNEES!E59)</f>
        <v/>
      </c>
      <c r="E59" t="str">
        <f>IF(DONNEES!$E59="","",DONNEES!F59)</f>
        <v/>
      </c>
      <c r="F59" t="str">
        <f>IF(DONNEES!$E59="","",DONNEES!G59)</f>
        <v/>
      </c>
      <c r="G59" t="str">
        <f>IF(DONNEES!$E59="","",DONNEES!H59)</f>
        <v/>
      </c>
      <c r="H59" t="str">
        <f>IF(DONNEES!$E59="","",DONNEES!I59)</f>
        <v/>
      </c>
      <c r="I59" t="str">
        <f>IF(DONNEES!$E59="","",DONNEES!J59)</f>
        <v/>
      </c>
      <c r="J59" t="str">
        <f>IF(DONNEES!$E59="","",DONNEES!K59)</f>
        <v/>
      </c>
      <c r="K59" t="str">
        <f>IF(DONNEES!$E59="","",DONNEES!L59)</f>
        <v/>
      </c>
      <c r="L59" t="str">
        <f>IF(DONNEES!$E59="","",DONNEES!M59)</f>
        <v/>
      </c>
      <c r="M59" t="str">
        <f>IF(DONNEES!$E59="","",DONNEES!N59)</f>
        <v/>
      </c>
      <c r="N59" t="str">
        <f>IF(DONNEES!$E59="","",DONNEES!O59)</f>
        <v/>
      </c>
      <c r="O59" t="str">
        <f>IF(DONNEES!$E59="","",DONNEES!P59)</f>
        <v/>
      </c>
      <c r="P59" t="str">
        <f>IF(DONNEES!$E59="","",DONNEES!Q59)</f>
        <v/>
      </c>
      <c r="Q59" t="str">
        <f>IF(DONNEES!$E59="","",DONNEES!R59)</f>
        <v/>
      </c>
      <c r="R59" t="str">
        <f>IF(DONNEES!$E59="","",DONNEES!S59)</f>
        <v/>
      </c>
      <c r="S59" t="str">
        <f>IF(DONNEES!$E59="","",DONNEES!T59)</f>
        <v/>
      </c>
      <c r="T59" t="str">
        <f>IF(DONNEES!$E59="","",DONNEES!U59)</f>
        <v/>
      </c>
      <c r="U59" t="str">
        <f>IF(DONNEES!$E59="","",DONNEES!V59)</f>
        <v/>
      </c>
      <c r="V59" t="str">
        <f>IF(DONNEES!$E59="","",DONNEES!W59)</f>
        <v/>
      </c>
      <c r="W59" t="str">
        <f>IF(DONNEES!$E59="","",DONNEES!X59)</f>
        <v/>
      </c>
      <c r="X59" t="str">
        <f>IF(DONNEES!$E59="","",DONNEES!Y59)</f>
        <v/>
      </c>
      <c r="Y59" t="str">
        <f>IF(DONNEES!$E59="","",DONNEES!Z59)</f>
        <v/>
      </c>
      <c r="Z59" t="str">
        <f>IF(DONNEES!$E59="","",DONNEES!AQ59)</f>
        <v/>
      </c>
    </row>
    <row r="60" spans="1:26" ht="15" customHeight="1" x14ac:dyDescent="0.3">
      <c r="A60" t="str">
        <f>IF(DONNEES!$E60="","",DONNEES!A60)</f>
        <v/>
      </c>
      <c r="B60" t="str">
        <f>IF(DONNEES!$E60="","",DONNEES!B60)</f>
        <v/>
      </c>
      <c r="C60" t="str">
        <f>IF(DONNEES!$E60="","",DONNEES!C60)</f>
        <v/>
      </c>
      <c r="D60" t="str">
        <f>IF(DONNEES!$E60="","",DONNEES!E60)</f>
        <v/>
      </c>
      <c r="E60" t="str">
        <f>IF(DONNEES!$E60="","",DONNEES!F60)</f>
        <v/>
      </c>
      <c r="F60" t="str">
        <f>IF(DONNEES!$E60="","",DONNEES!G60)</f>
        <v/>
      </c>
      <c r="G60" t="str">
        <f>IF(DONNEES!$E60="","",DONNEES!H60)</f>
        <v/>
      </c>
      <c r="H60" t="str">
        <f>IF(DONNEES!$E60="","",DONNEES!I60)</f>
        <v/>
      </c>
      <c r="I60" t="str">
        <f>IF(DONNEES!$E60="","",DONNEES!J60)</f>
        <v/>
      </c>
      <c r="J60" t="str">
        <f>IF(DONNEES!$E60="","",DONNEES!K60)</f>
        <v/>
      </c>
      <c r="K60" t="str">
        <f>IF(DONNEES!$E60="","",DONNEES!L60)</f>
        <v/>
      </c>
      <c r="L60" t="str">
        <f>IF(DONNEES!$E60="","",DONNEES!M60)</f>
        <v/>
      </c>
      <c r="M60" t="str">
        <f>IF(DONNEES!$E60="","",DONNEES!N60)</f>
        <v/>
      </c>
      <c r="N60" t="str">
        <f>IF(DONNEES!$E60="","",DONNEES!O60)</f>
        <v/>
      </c>
      <c r="O60" t="str">
        <f>IF(DONNEES!$E60="","",DONNEES!P60)</f>
        <v/>
      </c>
      <c r="P60" t="str">
        <f>IF(DONNEES!$E60="","",DONNEES!Q60)</f>
        <v/>
      </c>
      <c r="Q60" t="str">
        <f>IF(DONNEES!$E60="","",DONNEES!R60)</f>
        <v/>
      </c>
      <c r="R60" t="str">
        <f>IF(DONNEES!$E60="","",DONNEES!S60)</f>
        <v/>
      </c>
      <c r="S60" t="str">
        <f>IF(DONNEES!$E60="","",DONNEES!T60)</f>
        <v/>
      </c>
      <c r="T60" t="str">
        <f>IF(DONNEES!$E60="","",DONNEES!U60)</f>
        <v/>
      </c>
      <c r="U60" t="str">
        <f>IF(DONNEES!$E60="","",DONNEES!V60)</f>
        <v/>
      </c>
      <c r="V60" t="str">
        <f>IF(DONNEES!$E60="","",DONNEES!W60)</f>
        <v/>
      </c>
      <c r="W60" t="str">
        <f>IF(DONNEES!$E60="","",DONNEES!X60)</f>
        <v/>
      </c>
      <c r="X60" t="str">
        <f>IF(DONNEES!$E60="","",DONNEES!Y60)</f>
        <v/>
      </c>
      <c r="Y60" t="str">
        <f>IF(DONNEES!$E60="","",DONNEES!Z60)</f>
        <v/>
      </c>
      <c r="Z60" t="str">
        <f>IF(DONNEES!$E60="","",DONNEES!AQ60)</f>
        <v/>
      </c>
    </row>
    <row r="61" spans="1:26" ht="15" customHeight="1" x14ac:dyDescent="0.3">
      <c r="A61" t="str">
        <f>IF(DONNEES!$E61="","",DONNEES!A61)</f>
        <v/>
      </c>
      <c r="B61" t="str">
        <f>IF(DONNEES!$E61="","",DONNEES!B61)</f>
        <v/>
      </c>
      <c r="C61" t="str">
        <f>IF(DONNEES!$E61="","",DONNEES!C61)</f>
        <v/>
      </c>
      <c r="D61" t="str">
        <f>IF(DONNEES!$E61="","",DONNEES!E61)</f>
        <v/>
      </c>
      <c r="E61" t="str">
        <f>IF(DONNEES!$E61="","",DONNEES!F61)</f>
        <v/>
      </c>
      <c r="F61" t="str">
        <f>IF(DONNEES!$E61="","",DONNEES!G61)</f>
        <v/>
      </c>
      <c r="G61" t="str">
        <f>IF(DONNEES!$E61="","",DONNEES!H61)</f>
        <v/>
      </c>
      <c r="H61" t="str">
        <f>IF(DONNEES!$E61="","",DONNEES!I61)</f>
        <v/>
      </c>
      <c r="I61" t="str">
        <f>IF(DONNEES!$E61="","",DONNEES!J61)</f>
        <v/>
      </c>
      <c r="J61" t="str">
        <f>IF(DONNEES!$E61="","",DONNEES!K61)</f>
        <v/>
      </c>
      <c r="K61" t="str">
        <f>IF(DONNEES!$E61="","",DONNEES!L61)</f>
        <v/>
      </c>
      <c r="L61" t="str">
        <f>IF(DONNEES!$E61="","",DONNEES!M61)</f>
        <v/>
      </c>
      <c r="M61" t="str">
        <f>IF(DONNEES!$E61="","",DONNEES!N61)</f>
        <v/>
      </c>
      <c r="N61" t="str">
        <f>IF(DONNEES!$E61="","",DONNEES!O61)</f>
        <v/>
      </c>
      <c r="O61" t="str">
        <f>IF(DONNEES!$E61="","",DONNEES!P61)</f>
        <v/>
      </c>
      <c r="P61" t="str">
        <f>IF(DONNEES!$E61="","",DONNEES!Q61)</f>
        <v/>
      </c>
      <c r="Q61" t="str">
        <f>IF(DONNEES!$E61="","",DONNEES!R61)</f>
        <v/>
      </c>
      <c r="R61" t="str">
        <f>IF(DONNEES!$E61="","",DONNEES!S61)</f>
        <v/>
      </c>
      <c r="S61" t="str">
        <f>IF(DONNEES!$E61="","",DONNEES!T61)</f>
        <v/>
      </c>
      <c r="T61" t="str">
        <f>IF(DONNEES!$E61="","",DONNEES!U61)</f>
        <v/>
      </c>
      <c r="U61" t="str">
        <f>IF(DONNEES!$E61="","",DONNEES!V61)</f>
        <v/>
      </c>
      <c r="V61" t="str">
        <f>IF(DONNEES!$E61="","",DONNEES!W61)</f>
        <v/>
      </c>
      <c r="W61" t="str">
        <f>IF(DONNEES!$E61="","",DONNEES!X61)</f>
        <v/>
      </c>
      <c r="X61" t="str">
        <f>IF(DONNEES!$E61="","",DONNEES!Y61)</f>
        <v/>
      </c>
      <c r="Y61" t="str">
        <f>IF(DONNEES!$E61="","",DONNEES!Z61)</f>
        <v/>
      </c>
      <c r="Z61" t="str">
        <f>IF(DONNEES!$E61="","",DONNEES!AQ61)</f>
        <v/>
      </c>
    </row>
    <row r="62" spans="1:26" ht="15" customHeight="1" x14ac:dyDescent="0.3">
      <c r="A62" t="str">
        <f>IF(DONNEES!$E62="","",DONNEES!A62)</f>
        <v/>
      </c>
      <c r="B62" t="str">
        <f>IF(DONNEES!$E62="","",DONNEES!B62)</f>
        <v/>
      </c>
      <c r="C62" t="str">
        <f>IF(DONNEES!$E62="","",DONNEES!C62)</f>
        <v/>
      </c>
      <c r="D62" t="str">
        <f>IF(DONNEES!$E62="","",DONNEES!E62)</f>
        <v/>
      </c>
      <c r="E62" t="str">
        <f>IF(DONNEES!$E62="","",DONNEES!F62)</f>
        <v/>
      </c>
      <c r="F62" t="str">
        <f>IF(DONNEES!$E62="","",DONNEES!G62)</f>
        <v/>
      </c>
      <c r="G62" t="str">
        <f>IF(DONNEES!$E62="","",DONNEES!H62)</f>
        <v/>
      </c>
      <c r="H62" t="str">
        <f>IF(DONNEES!$E62="","",DONNEES!I62)</f>
        <v/>
      </c>
      <c r="I62" t="str">
        <f>IF(DONNEES!$E62="","",DONNEES!J62)</f>
        <v/>
      </c>
      <c r="J62" t="str">
        <f>IF(DONNEES!$E62="","",DONNEES!K62)</f>
        <v/>
      </c>
      <c r="K62" t="str">
        <f>IF(DONNEES!$E62="","",DONNEES!L62)</f>
        <v/>
      </c>
      <c r="L62" t="str">
        <f>IF(DONNEES!$E62="","",DONNEES!M62)</f>
        <v/>
      </c>
      <c r="M62" t="str">
        <f>IF(DONNEES!$E62="","",DONNEES!N62)</f>
        <v/>
      </c>
      <c r="N62" t="str">
        <f>IF(DONNEES!$E62="","",DONNEES!O62)</f>
        <v/>
      </c>
      <c r="O62" t="str">
        <f>IF(DONNEES!$E62="","",DONNEES!P62)</f>
        <v/>
      </c>
      <c r="P62" t="str">
        <f>IF(DONNEES!$E62="","",DONNEES!Q62)</f>
        <v/>
      </c>
      <c r="Q62" t="str">
        <f>IF(DONNEES!$E62="","",DONNEES!R62)</f>
        <v/>
      </c>
      <c r="R62" t="str">
        <f>IF(DONNEES!$E62="","",DONNEES!S62)</f>
        <v/>
      </c>
      <c r="S62" t="str">
        <f>IF(DONNEES!$E62="","",DONNEES!T62)</f>
        <v/>
      </c>
      <c r="T62" t="str">
        <f>IF(DONNEES!$E62="","",DONNEES!U62)</f>
        <v/>
      </c>
      <c r="U62" t="str">
        <f>IF(DONNEES!$E62="","",DONNEES!V62)</f>
        <v/>
      </c>
      <c r="V62" t="str">
        <f>IF(DONNEES!$E62="","",DONNEES!W62)</f>
        <v/>
      </c>
      <c r="W62" t="str">
        <f>IF(DONNEES!$E62="","",DONNEES!X62)</f>
        <v/>
      </c>
      <c r="X62" t="str">
        <f>IF(DONNEES!$E62="","",DONNEES!Y62)</f>
        <v/>
      </c>
      <c r="Y62" t="str">
        <f>IF(DONNEES!$E62="","",DONNEES!Z62)</f>
        <v/>
      </c>
      <c r="Z62" t="str">
        <f>IF(DONNEES!$E62="","",DONNEES!AQ62)</f>
        <v/>
      </c>
    </row>
    <row r="63" spans="1:26" ht="15" customHeight="1" x14ac:dyDescent="0.3">
      <c r="A63" t="str">
        <f>IF(DONNEES!$E63="","",DONNEES!A63)</f>
        <v/>
      </c>
      <c r="B63" t="str">
        <f>IF(DONNEES!$E63="","",DONNEES!B63)</f>
        <v/>
      </c>
      <c r="C63" t="str">
        <f>IF(DONNEES!$E63="","",DONNEES!C63)</f>
        <v/>
      </c>
      <c r="D63" t="str">
        <f>IF(DONNEES!$E63="","",DONNEES!E63)</f>
        <v/>
      </c>
      <c r="E63" t="str">
        <f>IF(DONNEES!$E63="","",DONNEES!F63)</f>
        <v/>
      </c>
      <c r="F63" t="str">
        <f>IF(DONNEES!$E63="","",DONNEES!G63)</f>
        <v/>
      </c>
      <c r="G63" t="str">
        <f>IF(DONNEES!$E63="","",DONNEES!H63)</f>
        <v/>
      </c>
      <c r="H63" t="str">
        <f>IF(DONNEES!$E63="","",DONNEES!I63)</f>
        <v/>
      </c>
      <c r="I63" t="str">
        <f>IF(DONNEES!$E63="","",DONNEES!J63)</f>
        <v/>
      </c>
      <c r="J63" t="str">
        <f>IF(DONNEES!$E63="","",DONNEES!K63)</f>
        <v/>
      </c>
      <c r="K63" t="str">
        <f>IF(DONNEES!$E63="","",DONNEES!L63)</f>
        <v/>
      </c>
      <c r="L63" t="str">
        <f>IF(DONNEES!$E63="","",DONNEES!M63)</f>
        <v/>
      </c>
      <c r="M63" t="str">
        <f>IF(DONNEES!$E63="","",DONNEES!N63)</f>
        <v/>
      </c>
      <c r="N63" t="str">
        <f>IF(DONNEES!$E63="","",DONNEES!O63)</f>
        <v/>
      </c>
      <c r="O63" t="str">
        <f>IF(DONNEES!$E63="","",DONNEES!P63)</f>
        <v/>
      </c>
      <c r="P63" t="str">
        <f>IF(DONNEES!$E63="","",DONNEES!Q63)</f>
        <v/>
      </c>
      <c r="Q63" t="str">
        <f>IF(DONNEES!$E63="","",DONNEES!R63)</f>
        <v/>
      </c>
      <c r="R63" t="str">
        <f>IF(DONNEES!$E63="","",DONNEES!S63)</f>
        <v/>
      </c>
      <c r="S63" t="str">
        <f>IF(DONNEES!$E63="","",DONNEES!T63)</f>
        <v/>
      </c>
      <c r="T63" t="str">
        <f>IF(DONNEES!$E63="","",DONNEES!U63)</f>
        <v/>
      </c>
      <c r="U63" t="str">
        <f>IF(DONNEES!$E63="","",DONNEES!V63)</f>
        <v/>
      </c>
      <c r="V63" t="str">
        <f>IF(DONNEES!$E63="","",DONNEES!W63)</f>
        <v/>
      </c>
      <c r="W63" t="str">
        <f>IF(DONNEES!$E63="","",DONNEES!X63)</f>
        <v/>
      </c>
      <c r="X63" t="str">
        <f>IF(DONNEES!$E63="","",DONNEES!Y63)</f>
        <v/>
      </c>
      <c r="Y63" t="str">
        <f>IF(DONNEES!$E63="","",DONNEES!Z63)</f>
        <v/>
      </c>
      <c r="Z63" t="str">
        <f>IF(DONNEES!$E63="","",DONNEES!AQ63)</f>
        <v/>
      </c>
    </row>
    <row r="64" spans="1:26" ht="15" customHeight="1" x14ac:dyDescent="0.3">
      <c r="A64" t="str">
        <f>IF(DONNEES!$E64="","",DONNEES!A64)</f>
        <v/>
      </c>
      <c r="B64" t="str">
        <f>IF(DONNEES!$E64="","",DONNEES!B64)</f>
        <v/>
      </c>
      <c r="C64" t="str">
        <f>IF(DONNEES!$E64="","",DONNEES!C64)</f>
        <v/>
      </c>
      <c r="D64" t="str">
        <f>IF(DONNEES!$E64="","",DONNEES!E64)</f>
        <v/>
      </c>
      <c r="E64" t="str">
        <f>IF(DONNEES!$E64="","",DONNEES!F64)</f>
        <v/>
      </c>
      <c r="F64" t="str">
        <f>IF(DONNEES!$E64="","",DONNEES!G64)</f>
        <v/>
      </c>
      <c r="G64" t="str">
        <f>IF(DONNEES!$E64="","",DONNEES!H64)</f>
        <v/>
      </c>
      <c r="H64" t="str">
        <f>IF(DONNEES!$E64="","",DONNEES!I64)</f>
        <v/>
      </c>
      <c r="I64" t="str">
        <f>IF(DONNEES!$E64="","",DONNEES!J64)</f>
        <v/>
      </c>
      <c r="J64" t="str">
        <f>IF(DONNEES!$E64="","",DONNEES!K64)</f>
        <v/>
      </c>
      <c r="K64" t="str">
        <f>IF(DONNEES!$E64="","",DONNEES!L64)</f>
        <v/>
      </c>
      <c r="L64" t="str">
        <f>IF(DONNEES!$E64="","",DONNEES!M64)</f>
        <v/>
      </c>
      <c r="M64" t="str">
        <f>IF(DONNEES!$E64="","",DONNEES!N64)</f>
        <v/>
      </c>
      <c r="N64" t="str">
        <f>IF(DONNEES!$E64="","",DONNEES!O64)</f>
        <v/>
      </c>
      <c r="O64" t="str">
        <f>IF(DONNEES!$E64="","",DONNEES!P64)</f>
        <v/>
      </c>
      <c r="P64" t="str">
        <f>IF(DONNEES!$E64="","",DONNEES!Q64)</f>
        <v/>
      </c>
      <c r="Q64" t="str">
        <f>IF(DONNEES!$E64="","",DONNEES!R64)</f>
        <v/>
      </c>
      <c r="R64" t="str">
        <f>IF(DONNEES!$E64="","",DONNEES!S64)</f>
        <v/>
      </c>
      <c r="S64" t="str">
        <f>IF(DONNEES!$E64="","",DONNEES!T64)</f>
        <v/>
      </c>
      <c r="T64" t="str">
        <f>IF(DONNEES!$E64="","",DONNEES!U64)</f>
        <v/>
      </c>
      <c r="U64" t="str">
        <f>IF(DONNEES!$E64="","",DONNEES!V64)</f>
        <v/>
      </c>
      <c r="V64" t="str">
        <f>IF(DONNEES!$E64="","",DONNEES!W64)</f>
        <v/>
      </c>
      <c r="W64" t="str">
        <f>IF(DONNEES!$E64="","",DONNEES!X64)</f>
        <v/>
      </c>
      <c r="X64" t="str">
        <f>IF(DONNEES!$E64="","",DONNEES!Y64)</f>
        <v/>
      </c>
      <c r="Y64" t="str">
        <f>IF(DONNEES!$E64="","",DONNEES!Z64)</f>
        <v/>
      </c>
      <c r="Z64" t="str">
        <f>IF(DONNEES!$E64="","",DONNEES!AQ64)</f>
        <v/>
      </c>
    </row>
    <row r="65" spans="1:26" ht="15" customHeight="1" x14ac:dyDescent="0.3">
      <c r="A65" t="str">
        <f>IF(DONNEES!$E65="","",DONNEES!A65)</f>
        <v/>
      </c>
      <c r="B65" t="str">
        <f>IF(DONNEES!$E65="","",DONNEES!B65)</f>
        <v/>
      </c>
      <c r="C65" t="str">
        <f>IF(DONNEES!$E65="","",DONNEES!C65)</f>
        <v/>
      </c>
      <c r="D65" t="str">
        <f>IF(DONNEES!$E65="","",DONNEES!E65)</f>
        <v/>
      </c>
      <c r="E65" t="str">
        <f>IF(DONNEES!$E65="","",DONNEES!F65)</f>
        <v/>
      </c>
      <c r="F65" t="str">
        <f>IF(DONNEES!$E65="","",DONNEES!G65)</f>
        <v/>
      </c>
      <c r="G65" t="str">
        <f>IF(DONNEES!$E65="","",DONNEES!H65)</f>
        <v/>
      </c>
      <c r="H65" t="str">
        <f>IF(DONNEES!$E65="","",DONNEES!I65)</f>
        <v/>
      </c>
      <c r="I65" t="str">
        <f>IF(DONNEES!$E65="","",DONNEES!J65)</f>
        <v/>
      </c>
      <c r="J65" t="str">
        <f>IF(DONNEES!$E65="","",DONNEES!K65)</f>
        <v/>
      </c>
      <c r="K65" t="str">
        <f>IF(DONNEES!$E65="","",DONNEES!L65)</f>
        <v/>
      </c>
      <c r="L65" t="str">
        <f>IF(DONNEES!$E65="","",DONNEES!M65)</f>
        <v/>
      </c>
      <c r="M65" t="str">
        <f>IF(DONNEES!$E65="","",DONNEES!N65)</f>
        <v/>
      </c>
      <c r="N65" t="str">
        <f>IF(DONNEES!$E65="","",DONNEES!O65)</f>
        <v/>
      </c>
      <c r="O65" t="str">
        <f>IF(DONNEES!$E65="","",DONNEES!P65)</f>
        <v/>
      </c>
      <c r="P65" t="str">
        <f>IF(DONNEES!$E65="","",DONNEES!Q65)</f>
        <v/>
      </c>
      <c r="Q65" t="str">
        <f>IF(DONNEES!$E65="","",DONNEES!R65)</f>
        <v/>
      </c>
      <c r="R65" t="str">
        <f>IF(DONNEES!$E65="","",DONNEES!S65)</f>
        <v/>
      </c>
      <c r="S65" t="str">
        <f>IF(DONNEES!$E65="","",DONNEES!T65)</f>
        <v/>
      </c>
      <c r="T65" t="str">
        <f>IF(DONNEES!$E65="","",DONNEES!U65)</f>
        <v/>
      </c>
      <c r="U65" t="str">
        <f>IF(DONNEES!$E65="","",DONNEES!V65)</f>
        <v/>
      </c>
      <c r="V65" t="str">
        <f>IF(DONNEES!$E65="","",DONNEES!W65)</f>
        <v/>
      </c>
      <c r="W65" t="str">
        <f>IF(DONNEES!$E65="","",DONNEES!X65)</f>
        <v/>
      </c>
      <c r="X65" t="str">
        <f>IF(DONNEES!$E65="","",DONNEES!Y65)</f>
        <v/>
      </c>
      <c r="Y65" t="str">
        <f>IF(DONNEES!$E65="","",DONNEES!Z65)</f>
        <v/>
      </c>
      <c r="Z65" t="str">
        <f>IF(DONNEES!$E65="","",DONNEES!AQ65)</f>
        <v/>
      </c>
    </row>
    <row r="66" spans="1:26" ht="15" customHeight="1" x14ac:dyDescent="0.3">
      <c r="A66" t="str">
        <f>IF(DONNEES!$E66="","",DONNEES!A66)</f>
        <v/>
      </c>
      <c r="B66" t="str">
        <f>IF(DONNEES!$E66="","",DONNEES!B66)</f>
        <v/>
      </c>
      <c r="C66" t="str">
        <f>IF(DONNEES!$E66="","",DONNEES!C66)</f>
        <v/>
      </c>
      <c r="D66" t="str">
        <f>IF(DONNEES!$E66="","",DONNEES!E66)</f>
        <v/>
      </c>
      <c r="E66" t="str">
        <f>IF(DONNEES!$E66="","",DONNEES!F66)</f>
        <v/>
      </c>
      <c r="F66" t="str">
        <f>IF(DONNEES!$E66="","",DONNEES!G66)</f>
        <v/>
      </c>
      <c r="G66" t="str">
        <f>IF(DONNEES!$E66="","",DONNEES!H66)</f>
        <v/>
      </c>
      <c r="H66" t="str">
        <f>IF(DONNEES!$E66="","",DONNEES!I66)</f>
        <v/>
      </c>
      <c r="I66" t="str">
        <f>IF(DONNEES!$E66="","",DONNEES!J66)</f>
        <v/>
      </c>
      <c r="J66" t="str">
        <f>IF(DONNEES!$E66="","",DONNEES!K66)</f>
        <v/>
      </c>
      <c r="K66" t="str">
        <f>IF(DONNEES!$E66="","",DONNEES!L66)</f>
        <v/>
      </c>
      <c r="L66" t="str">
        <f>IF(DONNEES!$E66="","",DONNEES!M66)</f>
        <v/>
      </c>
      <c r="M66" t="str">
        <f>IF(DONNEES!$E66="","",DONNEES!N66)</f>
        <v/>
      </c>
      <c r="N66" t="str">
        <f>IF(DONNEES!$E66="","",DONNEES!O66)</f>
        <v/>
      </c>
      <c r="O66" t="str">
        <f>IF(DONNEES!$E66="","",DONNEES!P66)</f>
        <v/>
      </c>
      <c r="P66" t="str">
        <f>IF(DONNEES!$E66="","",DONNEES!Q66)</f>
        <v/>
      </c>
      <c r="Q66" t="str">
        <f>IF(DONNEES!$E66="","",DONNEES!R66)</f>
        <v/>
      </c>
      <c r="R66" t="str">
        <f>IF(DONNEES!$E66="","",DONNEES!S66)</f>
        <v/>
      </c>
      <c r="S66" t="str">
        <f>IF(DONNEES!$E66="","",DONNEES!T66)</f>
        <v/>
      </c>
      <c r="T66" t="str">
        <f>IF(DONNEES!$E66="","",DONNEES!U66)</f>
        <v/>
      </c>
      <c r="U66" t="str">
        <f>IF(DONNEES!$E66="","",DONNEES!V66)</f>
        <v/>
      </c>
      <c r="V66" t="str">
        <f>IF(DONNEES!$E66="","",DONNEES!W66)</f>
        <v/>
      </c>
      <c r="W66" t="str">
        <f>IF(DONNEES!$E66="","",DONNEES!X66)</f>
        <v/>
      </c>
      <c r="X66" t="str">
        <f>IF(DONNEES!$E66="","",DONNEES!Y66)</f>
        <v/>
      </c>
      <c r="Y66" t="str">
        <f>IF(DONNEES!$E66="","",DONNEES!Z66)</f>
        <v/>
      </c>
      <c r="Z66" t="str">
        <f>IF(DONNEES!$E66="","",DONNEES!AQ66)</f>
        <v/>
      </c>
    </row>
    <row r="67" spans="1:26" ht="15" customHeight="1" x14ac:dyDescent="0.3">
      <c r="A67" t="str">
        <f>IF(DONNEES!$E67="","",DONNEES!A67)</f>
        <v/>
      </c>
      <c r="B67" t="str">
        <f>IF(DONNEES!$E67="","",DONNEES!B67)</f>
        <v/>
      </c>
      <c r="C67" t="str">
        <f>IF(DONNEES!$E67="","",DONNEES!C67)</f>
        <v/>
      </c>
      <c r="D67" t="str">
        <f>IF(DONNEES!$E67="","",DONNEES!E67)</f>
        <v/>
      </c>
      <c r="E67" t="str">
        <f>IF(DONNEES!$E67="","",DONNEES!F67)</f>
        <v/>
      </c>
      <c r="F67" t="str">
        <f>IF(DONNEES!$E67="","",DONNEES!G67)</f>
        <v/>
      </c>
      <c r="G67" t="str">
        <f>IF(DONNEES!$E67="","",DONNEES!H67)</f>
        <v/>
      </c>
      <c r="H67" t="str">
        <f>IF(DONNEES!$E67="","",DONNEES!I67)</f>
        <v/>
      </c>
      <c r="I67" t="str">
        <f>IF(DONNEES!$E67="","",DONNEES!J67)</f>
        <v/>
      </c>
      <c r="J67" t="str">
        <f>IF(DONNEES!$E67="","",DONNEES!K67)</f>
        <v/>
      </c>
      <c r="K67" t="str">
        <f>IF(DONNEES!$E67="","",DONNEES!L67)</f>
        <v/>
      </c>
      <c r="L67" t="str">
        <f>IF(DONNEES!$E67="","",DONNEES!M67)</f>
        <v/>
      </c>
      <c r="M67" t="str">
        <f>IF(DONNEES!$E67="","",DONNEES!N67)</f>
        <v/>
      </c>
      <c r="N67" t="str">
        <f>IF(DONNEES!$E67="","",DONNEES!O67)</f>
        <v/>
      </c>
      <c r="O67" t="str">
        <f>IF(DONNEES!$E67="","",DONNEES!P67)</f>
        <v/>
      </c>
      <c r="P67" t="str">
        <f>IF(DONNEES!$E67="","",DONNEES!Q67)</f>
        <v/>
      </c>
      <c r="Q67" t="str">
        <f>IF(DONNEES!$E67="","",DONNEES!R67)</f>
        <v/>
      </c>
      <c r="R67" t="str">
        <f>IF(DONNEES!$E67="","",DONNEES!S67)</f>
        <v/>
      </c>
      <c r="S67" t="str">
        <f>IF(DONNEES!$E67="","",DONNEES!T67)</f>
        <v/>
      </c>
      <c r="T67" t="str">
        <f>IF(DONNEES!$E67="","",DONNEES!U67)</f>
        <v/>
      </c>
      <c r="U67" t="str">
        <f>IF(DONNEES!$E67="","",DONNEES!V67)</f>
        <v/>
      </c>
      <c r="V67" t="str">
        <f>IF(DONNEES!$E67="","",DONNEES!W67)</f>
        <v/>
      </c>
      <c r="W67" t="str">
        <f>IF(DONNEES!$E67="","",DONNEES!X67)</f>
        <v/>
      </c>
      <c r="X67" t="str">
        <f>IF(DONNEES!$E67="","",DONNEES!Y67)</f>
        <v/>
      </c>
      <c r="Y67" t="str">
        <f>IF(DONNEES!$E67="","",DONNEES!Z67)</f>
        <v/>
      </c>
      <c r="Z67" t="str">
        <f>IF(DONNEES!$E67="","",DONNEES!AQ67)</f>
        <v/>
      </c>
    </row>
    <row r="68" spans="1:26" ht="15" customHeight="1" x14ac:dyDescent="0.3">
      <c r="A68" t="str">
        <f>IF(DONNEES!$E68="","",DONNEES!A68)</f>
        <v/>
      </c>
      <c r="B68" t="str">
        <f>IF(DONNEES!$E68="","",DONNEES!B68)</f>
        <v/>
      </c>
      <c r="C68" t="str">
        <f>IF(DONNEES!$E68="","",DONNEES!C68)</f>
        <v/>
      </c>
      <c r="D68" t="str">
        <f>IF(DONNEES!$E68="","",DONNEES!E68)</f>
        <v/>
      </c>
      <c r="E68" t="str">
        <f>IF(DONNEES!$E68="","",DONNEES!F68)</f>
        <v/>
      </c>
      <c r="F68" t="str">
        <f>IF(DONNEES!$E68="","",DONNEES!G68)</f>
        <v/>
      </c>
      <c r="G68" t="str">
        <f>IF(DONNEES!$E68="","",DONNEES!H68)</f>
        <v/>
      </c>
      <c r="H68" t="str">
        <f>IF(DONNEES!$E68="","",DONNEES!I68)</f>
        <v/>
      </c>
      <c r="I68" t="str">
        <f>IF(DONNEES!$E68="","",DONNEES!J68)</f>
        <v/>
      </c>
      <c r="J68" t="str">
        <f>IF(DONNEES!$E68="","",DONNEES!K68)</f>
        <v/>
      </c>
      <c r="K68" t="str">
        <f>IF(DONNEES!$E68="","",DONNEES!L68)</f>
        <v/>
      </c>
      <c r="L68" t="str">
        <f>IF(DONNEES!$E68="","",DONNEES!M68)</f>
        <v/>
      </c>
      <c r="M68" t="str">
        <f>IF(DONNEES!$E68="","",DONNEES!N68)</f>
        <v/>
      </c>
      <c r="N68" t="str">
        <f>IF(DONNEES!$E68="","",DONNEES!O68)</f>
        <v/>
      </c>
      <c r="O68" t="str">
        <f>IF(DONNEES!$E68="","",DONNEES!P68)</f>
        <v/>
      </c>
      <c r="P68" t="str">
        <f>IF(DONNEES!$E68="","",DONNEES!Q68)</f>
        <v/>
      </c>
      <c r="Q68" t="str">
        <f>IF(DONNEES!$E68="","",DONNEES!R68)</f>
        <v/>
      </c>
      <c r="R68" t="str">
        <f>IF(DONNEES!$E68="","",DONNEES!S68)</f>
        <v/>
      </c>
      <c r="S68" t="str">
        <f>IF(DONNEES!$E68="","",DONNEES!T68)</f>
        <v/>
      </c>
      <c r="T68" t="str">
        <f>IF(DONNEES!$E68="","",DONNEES!U68)</f>
        <v/>
      </c>
      <c r="U68" t="str">
        <f>IF(DONNEES!$E68="","",DONNEES!V68)</f>
        <v/>
      </c>
      <c r="V68" t="str">
        <f>IF(DONNEES!$E68="","",DONNEES!W68)</f>
        <v/>
      </c>
      <c r="W68" t="str">
        <f>IF(DONNEES!$E68="","",DONNEES!X68)</f>
        <v/>
      </c>
      <c r="X68" t="str">
        <f>IF(DONNEES!$E68="","",DONNEES!Y68)</f>
        <v/>
      </c>
      <c r="Y68" t="str">
        <f>IF(DONNEES!$E68="","",DONNEES!Z68)</f>
        <v/>
      </c>
      <c r="Z68" t="str">
        <f>IF(DONNEES!$E68="","",DONNEES!AQ68)</f>
        <v/>
      </c>
    </row>
    <row r="69" spans="1:26" ht="15" customHeight="1" x14ac:dyDescent="0.3">
      <c r="A69" t="str">
        <f>IF(DONNEES!$E69="","",DONNEES!A69)</f>
        <v/>
      </c>
      <c r="B69" t="str">
        <f>IF(DONNEES!$E69="","",DONNEES!B69)</f>
        <v/>
      </c>
      <c r="C69" t="str">
        <f>IF(DONNEES!$E69="","",DONNEES!C69)</f>
        <v/>
      </c>
      <c r="D69" t="str">
        <f>IF(DONNEES!$E69="","",DONNEES!E69)</f>
        <v/>
      </c>
      <c r="E69" t="str">
        <f>IF(DONNEES!$E69="","",DONNEES!F69)</f>
        <v/>
      </c>
      <c r="F69" t="str">
        <f>IF(DONNEES!$E69="","",DONNEES!G69)</f>
        <v/>
      </c>
      <c r="G69" t="str">
        <f>IF(DONNEES!$E69="","",DONNEES!H69)</f>
        <v/>
      </c>
      <c r="H69" t="str">
        <f>IF(DONNEES!$E69="","",DONNEES!I69)</f>
        <v/>
      </c>
      <c r="I69" t="str">
        <f>IF(DONNEES!$E69="","",DONNEES!J69)</f>
        <v/>
      </c>
      <c r="J69" t="str">
        <f>IF(DONNEES!$E69="","",DONNEES!K69)</f>
        <v/>
      </c>
      <c r="K69" t="str">
        <f>IF(DONNEES!$E69="","",DONNEES!L69)</f>
        <v/>
      </c>
      <c r="L69" t="str">
        <f>IF(DONNEES!$E69="","",DONNEES!M69)</f>
        <v/>
      </c>
      <c r="M69" t="str">
        <f>IF(DONNEES!$E69="","",DONNEES!N69)</f>
        <v/>
      </c>
      <c r="N69" t="str">
        <f>IF(DONNEES!$E69="","",DONNEES!O69)</f>
        <v/>
      </c>
      <c r="O69" t="str">
        <f>IF(DONNEES!$E69="","",DONNEES!P69)</f>
        <v/>
      </c>
      <c r="P69" t="str">
        <f>IF(DONNEES!$E69="","",DONNEES!Q69)</f>
        <v/>
      </c>
      <c r="Q69" t="str">
        <f>IF(DONNEES!$E69="","",DONNEES!R69)</f>
        <v/>
      </c>
      <c r="R69" t="str">
        <f>IF(DONNEES!$E69="","",DONNEES!S69)</f>
        <v/>
      </c>
      <c r="S69" t="str">
        <f>IF(DONNEES!$E69="","",DONNEES!T69)</f>
        <v/>
      </c>
      <c r="T69" t="str">
        <f>IF(DONNEES!$E69="","",DONNEES!U69)</f>
        <v/>
      </c>
      <c r="U69" t="str">
        <f>IF(DONNEES!$E69="","",DONNEES!V69)</f>
        <v/>
      </c>
      <c r="V69" t="str">
        <f>IF(DONNEES!$E69="","",DONNEES!W69)</f>
        <v/>
      </c>
      <c r="W69" t="str">
        <f>IF(DONNEES!$E69="","",DONNEES!X69)</f>
        <v/>
      </c>
      <c r="X69" t="str">
        <f>IF(DONNEES!$E69="","",DONNEES!Y69)</f>
        <v/>
      </c>
      <c r="Y69" t="str">
        <f>IF(DONNEES!$E69="","",DONNEES!Z69)</f>
        <v/>
      </c>
      <c r="Z69" t="str">
        <f>IF(DONNEES!$E69="","",DONNEES!AQ69)</f>
        <v/>
      </c>
    </row>
    <row r="70" spans="1:26" ht="15" customHeight="1" x14ac:dyDescent="0.3">
      <c r="A70" t="str">
        <f>IF(DONNEES!$E70="","",DONNEES!A70)</f>
        <v/>
      </c>
      <c r="B70" t="str">
        <f>IF(DONNEES!$E70="","",DONNEES!B70)</f>
        <v/>
      </c>
      <c r="C70" t="str">
        <f>IF(DONNEES!$E70="","",DONNEES!C70)</f>
        <v/>
      </c>
      <c r="D70" t="str">
        <f>IF(DONNEES!$E70="","",DONNEES!E70)</f>
        <v/>
      </c>
      <c r="E70" t="str">
        <f>IF(DONNEES!$E70="","",DONNEES!F70)</f>
        <v/>
      </c>
      <c r="F70" t="str">
        <f>IF(DONNEES!$E70="","",DONNEES!G70)</f>
        <v/>
      </c>
      <c r="G70" t="str">
        <f>IF(DONNEES!$E70="","",DONNEES!H70)</f>
        <v/>
      </c>
      <c r="H70" t="str">
        <f>IF(DONNEES!$E70="","",DONNEES!I70)</f>
        <v/>
      </c>
      <c r="I70" t="str">
        <f>IF(DONNEES!$E70="","",DONNEES!J70)</f>
        <v/>
      </c>
      <c r="J70" t="str">
        <f>IF(DONNEES!$E70="","",DONNEES!K70)</f>
        <v/>
      </c>
      <c r="K70" t="str">
        <f>IF(DONNEES!$E70="","",DONNEES!L70)</f>
        <v/>
      </c>
      <c r="L70" t="str">
        <f>IF(DONNEES!$E70="","",DONNEES!M70)</f>
        <v/>
      </c>
      <c r="M70" t="str">
        <f>IF(DONNEES!$E70="","",DONNEES!N70)</f>
        <v/>
      </c>
      <c r="N70" t="str">
        <f>IF(DONNEES!$E70="","",DONNEES!O70)</f>
        <v/>
      </c>
      <c r="O70" t="str">
        <f>IF(DONNEES!$E70="","",DONNEES!P70)</f>
        <v/>
      </c>
      <c r="P70" t="str">
        <f>IF(DONNEES!$E70="","",DONNEES!Q70)</f>
        <v/>
      </c>
      <c r="Q70" t="str">
        <f>IF(DONNEES!$E70="","",DONNEES!R70)</f>
        <v/>
      </c>
      <c r="R70" t="str">
        <f>IF(DONNEES!$E70="","",DONNEES!S70)</f>
        <v/>
      </c>
      <c r="S70" t="str">
        <f>IF(DONNEES!$E70="","",DONNEES!T70)</f>
        <v/>
      </c>
      <c r="T70" t="str">
        <f>IF(DONNEES!$E70="","",DONNEES!U70)</f>
        <v/>
      </c>
      <c r="U70" t="str">
        <f>IF(DONNEES!$E70="","",DONNEES!V70)</f>
        <v/>
      </c>
      <c r="V70" t="str">
        <f>IF(DONNEES!$E70="","",DONNEES!W70)</f>
        <v/>
      </c>
      <c r="W70" t="str">
        <f>IF(DONNEES!$E70="","",DONNEES!X70)</f>
        <v/>
      </c>
      <c r="X70" t="str">
        <f>IF(DONNEES!$E70="","",DONNEES!Y70)</f>
        <v/>
      </c>
      <c r="Y70" t="str">
        <f>IF(DONNEES!$E70="","",DONNEES!Z70)</f>
        <v/>
      </c>
      <c r="Z70" t="str">
        <f>IF(DONNEES!$E70="","",DONNEES!AQ70)</f>
        <v/>
      </c>
    </row>
    <row r="71" spans="1:26" ht="15" customHeight="1" x14ac:dyDescent="0.3">
      <c r="A71" t="str">
        <f>IF(DONNEES!$E71="","",DONNEES!A71)</f>
        <v/>
      </c>
      <c r="B71" t="str">
        <f>IF(DONNEES!$E71="","",DONNEES!B71)</f>
        <v/>
      </c>
      <c r="C71" t="str">
        <f>IF(DONNEES!$E71="","",DONNEES!C71)</f>
        <v/>
      </c>
      <c r="D71" t="str">
        <f>IF(DONNEES!$E71="","",DONNEES!E71)</f>
        <v/>
      </c>
      <c r="E71" t="str">
        <f>IF(DONNEES!$E71="","",DONNEES!F71)</f>
        <v/>
      </c>
      <c r="F71" t="str">
        <f>IF(DONNEES!$E71="","",DONNEES!G71)</f>
        <v/>
      </c>
      <c r="G71" t="str">
        <f>IF(DONNEES!$E71="","",DONNEES!H71)</f>
        <v/>
      </c>
      <c r="H71" t="str">
        <f>IF(DONNEES!$E71="","",DONNEES!I71)</f>
        <v/>
      </c>
      <c r="I71" t="str">
        <f>IF(DONNEES!$E71="","",DONNEES!J71)</f>
        <v/>
      </c>
      <c r="J71" t="str">
        <f>IF(DONNEES!$E71="","",DONNEES!K71)</f>
        <v/>
      </c>
      <c r="K71" t="str">
        <f>IF(DONNEES!$E71="","",DONNEES!L71)</f>
        <v/>
      </c>
      <c r="L71" t="str">
        <f>IF(DONNEES!$E71="","",DONNEES!M71)</f>
        <v/>
      </c>
      <c r="M71" t="str">
        <f>IF(DONNEES!$E71="","",DONNEES!N71)</f>
        <v/>
      </c>
      <c r="N71" t="str">
        <f>IF(DONNEES!$E71="","",DONNEES!O71)</f>
        <v/>
      </c>
      <c r="O71" t="str">
        <f>IF(DONNEES!$E71="","",DONNEES!P71)</f>
        <v/>
      </c>
      <c r="P71" t="str">
        <f>IF(DONNEES!$E71="","",DONNEES!Q71)</f>
        <v/>
      </c>
      <c r="Q71" t="str">
        <f>IF(DONNEES!$E71="","",DONNEES!R71)</f>
        <v/>
      </c>
      <c r="R71" t="str">
        <f>IF(DONNEES!$E71="","",DONNEES!S71)</f>
        <v/>
      </c>
      <c r="S71" t="str">
        <f>IF(DONNEES!$E71="","",DONNEES!T71)</f>
        <v/>
      </c>
      <c r="T71" t="str">
        <f>IF(DONNEES!$E71="","",DONNEES!U71)</f>
        <v/>
      </c>
      <c r="U71" t="str">
        <f>IF(DONNEES!$E71="","",DONNEES!V71)</f>
        <v/>
      </c>
      <c r="V71" t="str">
        <f>IF(DONNEES!$E71="","",DONNEES!W71)</f>
        <v/>
      </c>
      <c r="W71" t="str">
        <f>IF(DONNEES!$E71="","",DONNEES!X71)</f>
        <v/>
      </c>
      <c r="X71" t="str">
        <f>IF(DONNEES!$E71="","",DONNEES!Y71)</f>
        <v/>
      </c>
      <c r="Y71" t="str">
        <f>IF(DONNEES!$E71="","",DONNEES!Z71)</f>
        <v/>
      </c>
      <c r="Z71" t="str">
        <f>IF(DONNEES!$E71="","",DONNEES!AQ71)</f>
        <v/>
      </c>
    </row>
    <row r="72" spans="1:26" ht="15" customHeight="1" x14ac:dyDescent="0.3">
      <c r="A72" t="str">
        <f>IF(DONNEES!$E72="","",DONNEES!A72)</f>
        <v/>
      </c>
      <c r="B72" t="str">
        <f>IF(DONNEES!$E72="","",DONNEES!B72)</f>
        <v/>
      </c>
      <c r="C72" t="str">
        <f>IF(DONNEES!$E72="","",DONNEES!C72)</f>
        <v/>
      </c>
      <c r="D72" t="str">
        <f>IF(DONNEES!$E72="","",DONNEES!E72)</f>
        <v/>
      </c>
      <c r="E72" t="str">
        <f>IF(DONNEES!$E72="","",DONNEES!F72)</f>
        <v/>
      </c>
      <c r="F72" t="str">
        <f>IF(DONNEES!$E72="","",DONNEES!G72)</f>
        <v/>
      </c>
      <c r="G72" t="str">
        <f>IF(DONNEES!$E72="","",DONNEES!H72)</f>
        <v/>
      </c>
      <c r="H72" t="str">
        <f>IF(DONNEES!$E72="","",DONNEES!I72)</f>
        <v/>
      </c>
      <c r="I72" t="str">
        <f>IF(DONNEES!$E72="","",DONNEES!J72)</f>
        <v/>
      </c>
      <c r="J72" t="str">
        <f>IF(DONNEES!$E72="","",DONNEES!K72)</f>
        <v/>
      </c>
      <c r="K72" t="str">
        <f>IF(DONNEES!$E72="","",DONNEES!L72)</f>
        <v/>
      </c>
      <c r="L72" t="str">
        <f>IF(DONNEES!$E72="","",DONNEES!M72)</f>
        <v/>
      </c>
      <c r="M72" t="str">
        <f>IF(DONNEES!$E72="","",DONNEES!N72)</f>
        <v/>
      </c>
      <c r="N72" t="str">
        <f>IF(DONNEES!$E72="","",DONNEES!O72)</f>
        <v/>
      </c>
      <c r="O72" t="str">
        <f>IF(DONNEES!$E72="","",DONNEES!P72)</f>
        <v/>
      </c>
      <c r="P72" t="str">
        <f>IF(DONNEES!$E72="","",DONNEES!Q72)</f>
        <v/>
      </c>
      <c r="Q72" t="str">
        <f>IF(DONNEES!$E72="","",DONNEES!R72)</f>
        <v/>
      </c>
      <c r="R72" t="str">
        <f>IF(DONNEES!$E72="","",DONNEES!S72)</f>
        <v/>
      </c>
      <c r="S72" t="str">
        <f>IF(DONNEES!$E72="","",DONNEES!T72)</f>
        <v/>
      </c>
      <c r="T72" t="str">
        <f>IF(DONNEES!$E72="","",DONNEES!U72)</f>
        <v/>
      </c>
      <c r="U72" t="str">
        <f>IF(DONNEES!$E72="","",DONNEES!V72)</f>
        <v/>
      </c>
      <c r="V72" t="str">
        <f>IF(DONNEES!$E72="","",DONNEES!W72)</f>
        <v/>
      </c>
      <c r="W72" t="str">
        <f>IF(DONNEES!$E72="","",DONNEES!X72)</f>
        <v/>
      </c>
      <c r="X72" t="str">
        <f>IF(DONNEES!$E72="","",DONNEES!Y72)</f>
        <v/>
      </c>
      <c r="Y72" t="str">
        <f>IF(DONNEES!$E72="","",DONNEES!Z72)</f>
        <v/>
      </c>
      <c r="Z72" t="str">
        <f>IF(DONNEES!$E72="","",DONNEES!AQ72)</f>
        <v/>
      </c>
    </row>
    <row r="73" spans="1:26" ht="15" customHeight="1" x14ac:dyDescent="0.3">
      <c r="A73" t="str">
        <f>IF(DONNEES!$E73="","",DONNEES!A73)</f>
        <v/>
      </c>
      <c r="B73" t="str">
        <f>IF(DONNEES!$E73="","",DONNEES!B73)</f>
        <v/>
      </c>
      <c r="C73" t="str">
        <f>IF(DONNEES!$E73="","",DONNEES!C73)</f>
        <v/>
      </c>
      <c r="D73" t="str">
        <f>IF(DONNEES!$E73="","",DONNEES!E73)</f>
        <v/>
      </c>
      <c r="E73" t="str">
        <f>IF(DONNEES!$E73="","",DONNEES!F73)</f>
        <v/>
      </c>
      <c r="F73" t="str">
        <f>IF(DONNEES!$E73="","",DONNEES!G73)</f>
        <v/>
      </c>
      <c r="G73" t="str">
        <f>IF(DONNEES!$E73="","",DONNEES!H73)</f>
        <v/>
      </c>
      <c r="H73" t="str">
        <f>IF(DONNEES!$E73="","",DONNEES!I73)</f>
        <v/>
      </c>
      <c r="I73" t="str">
        <f>IF(DONNEES!$E73="","",DONNEES!J73)</f>
        <v/>
      </c>
      <c r="J73" t="str">
        <f>IF(DONNEES!$E73="","",DONNEES!K73)</f>
        <v/>
      </c>
      <c r="K73" t="str">
        <f>IF(DONNEES!$E73="","",DONNEES!L73)</f>
        <v/>
      </c>
      <c r="L73" t="str">
        <f>IF(DONNEES!$E73="","",DONNEES!M73)</f>
        <v/>
      </c>
      <c r="M73" t="str">
        <f>IF(DONNEES!$E73="","",DONNEES!N73)</f>
        <v/>
      </c>
      <c r="N73" t="str">
        <f>IF(DONNEES!$E73="","",DONNEES!O73)</f>
        <v/>
      </c>
      <c r="O73" t="str">
        <f>IF(DONNEES!$E73="","",DONNEES!P73)</f>
        <v/>
      </c>
      <c r="P73" t="str">
        <f>IF(DONNEES!$E73="","",DONNEES!Q73)</f>
        <v/>
      </c>
      <c r="Q73" t="str">
        <f>IF(DONNEES!$E73="","",DONNEES!R73)</f>
        <v/>
      </c>
      <c r="R73" t="str">
        <f>IF(DONNEES!$E73="","",DONNEES!S73)</f>
        <v/>
      </c>
      <c r="S73" t="str">
        <f>IF(DONNEES!$E73="","",DONNEES!T73)</f>
        <v/>
      </c>
      <c r="T73" t="str">
        <f>IF(DONNEES!$E73="","",DONNEES!U73)</f>
        <v/>
      </c>
      <c r="U73" t="str">
        <f>IF(DONNEES!$E73="","",DONNEES!V73)</f>
        <v/>
      </c>
      <c r="V73" t="str">
        <f>IF(DONNEES!$E73="","",DONNEES!W73)</f>
        <v/>
      </c>
      <c r="W73" t="str">
        <f>IF(DONNEES!$E73="","",DONNEES!X73)</f>
        <v/>
      </c>
      <c r="X73" t="str">
        <f>IF(DONNEES!$E73="","",DONNEES!Y73)</f>
        <v/>
      </c>
      <c r="Y73" t="str">
        <f>IF(DONNEES!$E73="","",DONNEES!Z73)</f>
        <v/>
      </c>
      <c r="Z73" t="str">
        <f>IF(DONNEES!$E73="","",DONNEES!AQ73)</f>
        <v/>
      </c>
    </row>
    <row r="74" spans="1:26" ht="15" customHeight="1" x14ac:dyDescent="0.3">
      <c r="A74" t="str">
        <f>IF(DONNEES!$E74="","",DONNEES!A74)</f>
        <v/>
      </c>
      <c r="B74" t="str">
        <f>IF(DONNEES!$E74="","",DONNEES!B74)</f>
        <v/>
      </c>
      <c r="C74" t="str">
        <f>IF(DONNEES!$E74="","",DONNEES!C74)</f>
        <v/>
      </c>
      <c r="D74" t="str">
        <f>IF(DONNEES!$E74="","",DONNEES!E74)</f>
        <v/>
      </c>
      <c r="E74" t="str">
        <f>IF(DONNEES!$E74="","",DONNEES!F74)</f>
        <v/>
      </c>
      <c r="F74" t="str">
        <f>IF(DONNEES!$E74="","",DONNEES!G74)</f>
        <v/>
      </c>
      <c r="G74" t="str">
        <f>IF(DONNEES!$E74="","",DONNEES!H74)</f>
        <v/>
      </c>
      <c r="H74" t="str">
        <f>IF(DONNEES!$E74="","",DONNEES!I74)</f>
        <v/>
      </c>
      <c r="I74" t="str">
        <f>IF(DONNEES!$E74="","",DONNEES!J74)</f>
        <v/>
      </c>
      <c r="J74" t="str">
        <f>IF(DONNEES!$E74="","",DONNEES!K74)</f>
        <v/>
      </c>
      <c r="K74" t="str">
        <f>IF(DONNEES!$E74="","",DONNEES!L74)</f>
        <v/>
      </c>
      <c r="L74" t="str">
        <f>IF(DONNEES!$E74="","",DONNEES!M74)</f>
        <v/>
      </c>
      <c r="M74" t="str">
        <f>IF(DONNEES!$E74="","",DONNEES!N74)</f>
        <v/>
      </c>
      <c r="N74" t="str">
        <f>IF(DONNEES!$E74="","",DONNEES!O74)</f>
        <v/>
      </c>
      <c r="O74" t="str">
        <f>IF(DONNEES!$E74="","",DONNEES!P74)</f>
        <v/>
      </c>
      <c r="P74" t="str">
        <f>IF(DONNEES!$E74="","",DONNEES!Q74)</f>
        <v/>
      </c>
      <c r="Q74" t="str">
        <f>IF(DONNEES!$E74="","",DONNEES!R74)</f>
        <v/>
      </c>
      <c r="R74" t="str">
        <f>IF(DONNEES!$E74="","",DONNEES!S74)</f>
        <v/>
      </c>
      <c r="S74" t="str">
        <f>IF(DONNEES!$E74="","",DONNEES!T74)</f>
        <v/>
      </c>
      <c r="T74" t="str">
        <f>IF(DONNEES!$E74="","",DONNEES!U74)</f>
        <v/>
      </c>
      <c r="U74" t="str">
        <f>IF(DONNEES!$E74="","",DONNEES!V74)</f>
        <v/>
      </c>
      <c r="V74" t="str">
        <f>IF(DONNEES!$E74="","",DONNEES!W74)</f>
        <v/>
      </c>
      <c r="W74" t="str">
        <f>IF(DONNEES!$E74="","",DONNEES!X74)</f>
        <v/>
      </c>
      <c r="X74" t="str">
        <f>IF(DONNEES!$E74="","",DONNEES!Y74)</f>
        <v/>
      </c>
      <c r="Y74" t="str">
        <f>IF(DONNEES!$E74="","",DONNEES!Z74)</f>
        <v/>
      </c>
      <c r="Z74" t="str">
        <f>IF(DONNEES!$E74="","",DONNEES!AQ74)</f>
        <v/>
      </c>
    </row>
    <row r="75" spans="1:26" ht="15" customHeight="1" x14ac:dyDescent="0.3">
      <c r="A75" t="str">
        <f>IF(DONNEES!$E75="","",DONNEES!A75)</f>
        <v/>
      </c>
      <c r="B75" t="str">
        <f>IF(DONNEES!$E75="","",DONNEES!B75)</f>
        <v/>
      </c>
      <c r="C75" t="str">
        <f>IF(DONNEES!$E75="","",DONNEES!C75)</f>
        <v/>
      </c>
      <c r="D75" t="str">
        <f>IF(DONNEES!$E75="","",DONNEES!E75)</f>
        <v/>
      </c>
      <c r="E75" t="str">
        <f>IF(DONNEES!$E75="","",DONNEES!F75)</f>
        <v/>
      </c>
      <c r="F75" t="str">
        <f>IF(DONNEES!$E75="","",DONNEES!G75)</f>
        <v/>
      </c>
      <c r="G75" t="str">
        <f>IF(DONNEES!$E75="","",DONNEES!H75)</f>
        <v/>
      </c>
      <c r="H75" t="str">
        <f>IF(DONNEES!$E75="","",DONNEES!I75)</f>
        <v/>
      </c>
      <c r="I75" t="str">
        <f>IF(DONNEES!$E75="","",DONNEES!J75)</f>
        <v/>
      </c>
      <c r="J75" t="str">
        <f>IF(DONNEES!$E75="","",DONNEES!K75)</f>
        <v/>
      </c>
      <c r="K75" t="str">
        <f>IF(DONNEES!$E75="","",DONNEES!L75)</f>
        <v/>
      </c>
      <c r="L75" t="str">
        <f>IF(DONNEES!$E75="","",DONNEES!M75)</f>
        <v/>
      </c>
      <c r="M75" t="str">
        <f>IF(DONNEES!$E75="","",DONNEES!N75)</f>
        <v/>
      </c>
      <c r="N75" t="str">
        <f>IF(DONNEES!$E75="","",DONNEES!O75)</f>
        <v/>
      </c>
      <c r="O75" t="str">
        <f>IF(DONNEES!$E75="","",DONNEES!P75)</f>
        <v/>
      </c>
      <c r="P75" t="str">
        <f>IF(DONNEES!$E75="","",DONNEES!Q75)</f>
        <v/>
      </c>
      <c r="Q75" t="str">
        <f>IF(DONNEES!$E75="","",DONNEES!R75)</f>
        <v/>
      </c>
      <c r="R75" t="str">
        <f>IF(DONNEES!$E75="","",DONNEES!S75)</f>
        <v/>
      </c>
      <c r="S75" t="str">
        <f>IF(DONNEES!$E75="","",DONNEES!T75)</f>
        <v/>
      </c>
      <c r="T75" t="str">
        <f>IF(DONNEES!$E75="","",DONNEES!U75)</f>
        <v/>
      </c>
      <c r="U75" t="str">
        <f>IF(DONNEES!$E75="","",DONNEES!V75)</f>
        <v/>
      </c>
      <c r="V75" t="str">
        <f>IF(DONNEES!$E75="","",DONNEES!W75)</f>
        <v/>
      </c>
      <c r="W75" t="str">
        <f>IF(DONNEES!$E75="","",DONNEES!X75)</f>
        <v/>
      </c>
      <c r="X75" t="str">
        <f>IF(DONNEES!$E75="","",DONNEES!Y75)</f>
        <v/>
      </c>
      <c r="Y75" t="str">
        <f>IF(DONNEES!$E75="","",DONNEES!Z75)</f>
        <v/>
      </c>
      <c r="Z75" t="str">
        <f>IF(DONNEES!$E75="","",DONNEES!AQ75)</f>
        <v/>
      </c>
    </row>
    <row r="76" spans="1:26" ht="15" customHeight="1" x14ac:dyDescent="0.3">
      <c r="A76" t="str">
        <f>IF(DONNEES!$E76="","",DONNEES!A76)</f>
        <v/>
      </c>
      <c r="B76" t="str">
        <f>IF(DONNEES!$E76="","",DONNEES!B76)</f>
        <v/>
      </c>
      <c r="C76" t="str">
        <f>IF(DONNEES!$E76="","",DONNEES!C76)</f>
        <v/>
      </c>
      <c r="D76" t="str">
        <f>IF(DONNEES!$E76="","",DONNEES!E76)</f>
        <v/>
      </c>
      <c r="E76" t="str">
        <f>IF(DONNEES!$E76="","",DONNEES!F76)</f>
        <v/>
      </c>
      <c r="F76" t="str">
        <f>IF(DONNEES!$E76="","",DONNEES!G76)</f>
        <v/>
      </c>
      <c r="G76" t="str">
        <f>IF(DONNEES!$E76="","",DONNEES!H76)</f>
        <v/>
      </c>
      <c r="H76" t="str">
        <f>IF(DONNEES!$E76="","",DONNEES!I76)</f>
        <v/>
      </c>
      <c r="I76" t="str">
        <f>IF(DONNEES!$E76="","",DONNEES!J76)</f>
        <v/>
      </c>
      <c r="J76" t="str">
        <f>IF(DONNEES!$E76="","",DONNEES!K76)</f>
        <v/>
      </c>
      <c r="K76" t="str">
        <f>IF(DONNEES!$E76="","",DONNEES!L76)</f>
        <v/>
      </c>
      <c r="L76" t="str">
        <f>IF(DONNEES!$E76="","",DONNEES!M76)</f>
        <v/>
      </c>
      <c r="M76" t="str">
        <f>IF(DONNEES!$E76="","",DONNEES!N76)</f>
        <v/>
      </c>
      <c r="N76" t="str">
        <f>IF(DONNEES!$E76="","",DONNEES!O76)</f>
        <v/>
      </c>
      <c r="O76" t="str">
        <f>IF(DONNEES!$E76="","",DONNEES!P76)</f>
        <v/>
      </c>
      <c r="P76" t="str">
        <f>IF(DONNEES!$E76="","",DONNEES!Q76)</f>
        <v/>
      </c>
      <c r="Q76" t="str">
        <f>IF(DONNEES!$E76="","",DONNEES!R76)</f>
        <v/>
      </c>
      <c r="R76" t="str">
        <f>IF(DONNEES!$E76="","",DONNEES!S76)</f>
        <v/>
      </c>
      <c r="S76" t="str">
        <f>IF(DONNEES!$E76="","",DONNEES!T76)</f>
        <v/>
      </c>
      <c r="T76" t="str">
        <f>IF(DONNEES!$E76="","",DONNEES!U76)</f>
        <v/>
      </c>
      <c r="U76" t="str">
        <f>IF(DONNEES!$E76="","",DONNEES!V76)</f>
        <v/>
      </c>
      <c r="V76" t="str">
        <f>IF(DONNEES!$E76="","",DONNEES!W76)</f>
        <v/>
      </c>
      <c r="W76" t="str">
        <f>IF(DONNEES!$E76="","",DONNEES!X76)</f>
        <v/>
      </c>
      <c r="X76" t="str">
        <f>IF(DONNEES!$E76="","",DONNEES!Y76)</f>
        <v/>
      </c>
      <c r="Y76" t="str">
        <f>IF(DONNEES!$E76="","",DONNEES!Z76)</f>
        <v/>
      </c>
      <c r="Z76" t="str">
        <f>IF(DONNEES!$E76="","",DONNEES!AQ76)</f>
        <v/>
      </c>
    </row>
    <row r="77" spans="1:26" ht="15" customHeight="1" x14ac:dyDescent="0.3">
      <c r="A77" t="str">
        <f>IF(DONNEES!$E77="","",DONNEES!A77)</f>
        <v/>
      </c>
      <c r="B77" t="str">
        <f>IF(DONNEES!$E77="","",DONNEES!B77)</f>
        <v/>
      </c>
      <c r="C77" t="str">
        <f>IF(DONNEES!$E77="","",DONNEES!C77)</f>
        <v/>
      </c>
      <c r="D77" t="str">
        <f>IF(DONNEES!$E77="","",DONNEES!E77)</f>
        <v/>
      </c>
      <c r="E77" t="str">
        <f>IF(DONNEES!$E77="","",DONNEES!F77)</f>
        <v/>
      </c>
      <c r="F77" t="str">
        <f>IF(DONNEES!$E77="","",DONNEES!G77)</f>
        <v/>
      </c>
      <c r="G77" t="str">
        <f>IF(DONNEES!$E77="","",DONNEES!H77)</f>
        <v/>
      </c>
      <c r="H77" t="str">
        <f>IF(DONNEES!$E77="","",DONNEES!I77)</f>
        <v/>
      </c>
      <c r="I77" t="str">
        <f>IF(DONNEES!$E77="","",DONNEES!J77)</f>
        <v/>
      </c>
      <c r="J77" t="str">
        <f>IF(DONNEES!$E77="","",DONNEES!K77)</f>
        <v/>
      </c>
      <c r="K77" t="str">
        <f>IF(DONNEES!$E77="","",DONNEES!L77)</f>
        <v/>
      </c>
      <c r="L77" t="str">
        <f>IF(DONNEES!$E77="","",DONNEES!M77)</f>
        <v/>
      </c>
      <c r="M77" t="str">
        <f>IF(DONNEES!$E77="","",DONNEES!N77)</f>
        <v/>
      </c>
      <c r="N77" t="str">
        <f>IF(DONNEES!$E77="","",DONNEES!O77)</f>
        <v/>
      </c>
      <c r="O77" t="str">
        <f>IF(DONNEES!$E77="","",DONNEES!P77)</f>
        <v/>
      </c>
      <c r="P77" t="str">
        <f>IF(DONNEES!$E77="","",DONNEES!Q77)</f>
        <v/>
      </c>
      <c r="Q77" t="str">
        <f>IF(DONNEES!$E77="","",DONNEES!R77)</f>
        <v/>
      </c>
      <c r="R77" t="str">
        <f>IF(DONNEES!$E77="","",DONNEES!S77)</f>
        <v/>
      </c>
      <c r="S77" t="str">
        <f>IF(DONNEES!$E77="","",DONNEES!T77)</f>
        <v/>
      </c>
      <c r="T77" t="str">
        <f>IF(DONNEES!$E77="","",DONNEES!U77)</f>
        <v/>
      </c>
      <c r="U77" t="str">
        <f>IF(DONNEES!$E77="","",DONNEES!V77)</f>
        <v/>
      </c>
      <c r="V77" t="str">
        <f>IF(DONNEES!$E77="","",DONNEES!W77)</f>
        <v/>
      </c>
      <c r="W77" t="str">
        <f>IF(DONNEES!$E77="","",DONNEES!X77)</f>
        <v/>
      </c>
      <c r="X77" t="str">
        <f>IF(DONNEES!$E77="","",DONNEES!Y77)</f>
        <v/>
      </c>
      <c r="Y77" t="str">
        <f>IF(DONNEES!$E77="","",DONNEES!Z77)</f>
        <v/>
      </c>
      <c r="Z77" t="str">
        <f>IF(DONNEES!$E77="","",DONNEES!AQ77)</f>
        <v/>
      </c>
    </row>
    <row r="78" spans="1:26" ht="15" customHeight="1" x14ac:dyDescent="0.3">
      <c r="A78" t="str">
        <f>IF(DONNEES!$E78="","",DONNEES!A78)</f>
        <v/>
      </c>
      <c r="B78" t="str">
        <f>IF(DONNEES!$E78="","",DONNEES!B78)</f>
        <v/>
      </c>
      <c r="C78" t="str">
        <f>IF(DONNEES!$E78="","",DONNEES!C78)</f>
        <v/>
      </c>
      <c r="D78" t="str">
        <f>IF(DONNEES!$E78="","",DONNEES!E78)</f>
        <v/>
      </c>
      <c r="E78" t="str">
        <f>IF(DONNEES!$E78="","",DONNEES!F78)</f>
        <v/>
      </c>
      <c r="F78" t="str">
        <f>IF(DONNEES!$E78="","",DONNEES!G78)</f>
        <v/>
      </c>
      <c r="G78" t="str">
        <f>IF(DONNEES!$E78="","",DONNEES!H78)</f>
        <v/>
      </c>
      <c r="H78" t="str">
        <f>IF(DONNEES!$E78="","",DONNEES!I78)</f>
        <v/>
      </c>
      <c r="I78" t="str">
        <f>IF(DONNEES!$E78="","",DONNEES!J78)</f>
        <v/>
      </c>
      <c r="J78" t="str">
        <f>IF(DONNEES!$E78="","",DONNEES!K78)</f>
        <v/>
      </c>
      <c r="K78" t="str">
        <f>IF(DONNEES!$E78="","",DONNEES!L78)</f>
        <v/>
      </c>
      <c r="L78" t="str">
        <f>IF(DONNEES!$E78="","",DONNEES!M78)</f>
        <v/>
      </c>
      <c r="M78" t="str">
        <f>IF(DONNEES!$E78="","",DONNEES!N78)</f>
        <v/>
      </c>
      <c r="N78" t="str">
        <f>IF(DONNEES!$E78="","",DONNEES!O78)</f>
        <v/>
      </c>
      <c r="O78" t="str">
        <f>IF(DONNEES!$E78="","",DONNEES!P78)</f>
        <v/>
      </c>
      <c r="P78" t="str">
        <f>IF(DONNEES!$E78="","",DONNEES!Q78)</f>
        <v/>
      </c>
      <c r="Q78" t="str">
        <f>IF(DONNEES!$E78="","",DONNEES!R78)</f>
        <v/>
      </c>
      <c r="R78" t="str">
        <f>IF(DONNEES!$E78="","",DONNEES!S78)</f>
        <v/>
      </c>
      <c r="S78" t="str">
        <f>IF(DONNEES!$E78="","",DONNEES!T78)</f>
        <v/>
      </c>
      <c r="T78" t="str">
        <f>IF(DONNEES!$E78="","",DONNEES!U78)</f>
        <v/>
      </c>
      <c r="U78" t="str">
        <f>IF(DONNEES!$E78="","",DONNEES!V78)</f>
        <v/>
      </c>
      <c r="V78" t="str">
        <f>IF(DONNEES!$E78="","",DONNEES!W78)</f>
        <v/>
      </c>
      <c r="W78" t="str">
        <f>IF(DONNEES!$E78="","",DONNEES!X78)</f>
        <v/>
      </c>
      <c r="X78" t="str">
        <f>IF(DONNEES!$E78="","",DONNEES!Y78)</f>
        <v/>
      </c>
      <c r="Y78" t="str">
        <f>IF(DONNEES!$E78="","",DONNEES!Z78)</f>
        <v/>
      </c>
      <c r="Z78" t="str">
        <f>IF(DONNEES!$E78="","",DONNEES!AQ78)</f>
        <v/>
      </c>
    </row>
    <row r="79" spans="1:26" ht="15" customHeight="1" x14ac:dyDescent="0.3">
      <c r="A79" t="str">
        <f>IF(DONNEES!$E79="","",DONNEES!A79)</f>
        <v/>
      </c>
      <c r="B79" t="str">
        <f>IF(DONNEES!$E79="","",DONNEES!B79)</f>
        <v/>
      </c>
      <c r="C79" t="str">
        <f>IF(DONNEES!$E79="","",DONNEES!C79)</f>
        <v/>
      </c>
      <c r="D79" t="str">
        <f>IF(DONNEES!$E79="","",DONNEES!E79)</f>
        <v/>
      </c>
      <c r="E79" t="str">
        <f>IF(DONNEES!$E79="","",DONNEES!F79)</f>
        <v/>
      </c>
      <c r="F79" t="str">
        <f>IF(DONNEES!$E79="","",DONNEES!G79)</f>
        <v/>
      </c>
      <c r="G79" t="str">
        <f>IF(DONNEES!$E79="","",DONNEES!H79)</f>
        <v/>
      </c>
      <c r="H79" t="str">
        <f>IF(DONNEES!$E79="","",DONNEES!I79)</f>
        <v/>
      </c>
      <c r="I79" t="str">
        <f>IF(DONNEES!$E79="","",DONNEES!J79)</f>
        <v/>
      </c>
      <c r="J79" t="str">
        <f>IF(DONNEES!$E79="","",DONNEES!K79)</f>
        <v/>
      </c>
      <c r="K79" t="str">
        <f>IF(DONNEES!$E79="","",DONNEES!L79)</f>
        <v/>
      </c>
      <c r="L79" t="str">
        <f>IF(DONNEES!$E79="","",DONNEES!M79)</f>
        <v/>
      </c>
      <c r="M79" t="str">
        <f>IF(DONNEES!$E79="","",DONNEES!N79)</f>
        <v/>
      </c>
      <c r="N79" t="str">
        <f>IF(DONNEES!$E79="","",DONNEES!O79)</f>
        <v/>
      </c>
      <c r="O79" t="str">
        <f>IF(DONNEES!$E79="","",DONNEES!P79)</f>
        <v/>
      </c>
      <c r="P79" t="str">
        <f>IF(DONNEES!$E79="","",DONNEES!Q79)</f>
        <v/>
      </c>
      <c r="Q79" t="str">
        <f>IF(DONNEES!$E79="","",DONNEES!R79)</f>
        <v/>
      </c>
      <c r="R79" t="str">
        <f>IF(DONNEES!$E79="","",DONNEES!S79)</f>
        <v/>
      </c>
      <c r="S79" t="str">
        <f>IF(DONNEES!$E79="","",DONNEES!T79)</f>
        <v/>
      </c>
      <c r="T79" t="str">
        <f>IF(DONNEES!$E79="","",DONNEES!U79)</f>
        <v/>
      </c>
      <c r="U79" t="str">
        <f>IF(DONNEES!$E79="","",DONNEES!V79)</f>
        <v/>
      </c>
      <c r="V79" t="str">
        <f>IF(DONNEES!$E79="","",DONNEES!W79)</f>
        <v/>
      </c>
      <c r="W79" t="str">
        <f>IF(DONNEES!$E79="","",DONNEES!X79)</f>
        <v/>
      </c>
      <c r="X79" t="str">
        <f>IF(DONNEES!$E79="","",DONNEES!Y79)</f>
        <v/>
      </c>
      <c r="Y79" t="str">
        <f>IF(DONNEES!$E79="","",DONNEES!Z79)</f>
        <v/>
      </c>
      <c r="Z79" t="str">
        <f>IF(DONNEES!$E79="","",DONNEES!AQ79)</f>
        <v/>
      </c>
    </row>
    <row r="80" spans="1:26" ht="15" customHeight="1" x14ac:dyDescent="0.3">
      <c r="A80" t="str">
        <f>IF(DONNEES!$E80="","",DONNEES!A80)</f>
        <v/>
      </c>
      <c r="B80" t="str">
        <f>IF(DONNEES!$E80="","",DONNEES!B80)</f>
        <v/>
      </c>
      <c r="C80" t="str">
        <f>IF(DONNEES!$E80="","",DONNEES!C80)</f>
        <v/>
      </c>
      <c r="D80" t="str">
        <f>IF(DONNEES!$E80="","",DONNEES!E80)</f>
        <v/>
      </c>
      <c r="E80" t="str">
        <f>IF(DONNEES!$E80="","",DONNEES!F80)</f>
        <v/>
      </c>
      <c r="F80" t="str">
        <f>IF(DONNEES!$E80="","",DONNEES!G80)</f>
        <v/>
      </c>
      <c r="G80" t="str">
        <f>IF(DONNEES!$E80="","",DONNEES!H80)</f>
        <v/>
      </c>
      <c r="H80" t="str">
        <f>IF(DONNEES!$E80="","",DONNEES!I80)</f>
        <v/>
      </c>
      <c r="I80" t="str">
        <f>IF(DONNEES!$E80="","",DONNEES!J80)</f>
        <v/>
      </c>
      <c r="J80" t="str">
        <f>IF(DONNEES!$E80="","",DONNEES!K80)</f>
        <v/>
      </c>
      <c r="K80" t="str">
        <f>IF(DONNEES!$E80="","",DONNEES!L80)</f>
        <v/>
      </c>
      <c r="L80" t="str">
        <f>IF(DONNEES!$E80="","",DONNEES!M80)</f>
        <v/>
      </c>
      <c r="M80" t="str">
        <f>IF(DONNEES!$E80="","",DONNEES!N80)</f>
        <v/>
      </c>
      <c r="N80" t="str">
        <f>IF(DONNEES!$E80="","",DONNEES!O80)</f>
        <v/>
      </c>
      <c r="O80" t="str">
        <f>IF(DONNEES!$E80="","",DONNEES!P80)</f>
        <v/>
      </c>
      <c r="P80" t="str">
        <f>IF(DONNEES!$E80="","",DONNEES!Q80)</f>
        <v/>
      </c>
      <c r="Q80" t="str">
        <f>IF(DONNEES!$E80="","",DONNEES!R80)</f>
        <v/>
      </c>
      <c r="R80" t="str">
        <f>IF(DONNEES!$E80="","",DONNEES!S80)</f>
        <v/>
      </c>
      <c r="S80" t="str">
        <f>IF(DONNEES!$E80="","",DONNEES!T80)</f>
        <v/>
      </c>
      <c r="T80" t="str">
        <f>IF(DONNEES!$E80="","",DONNEES!U80)</f>
        <v/>
      </c>
      <c r="U80" t="str">
        <f>IF(DONNEES!$E80="","",DONNEES!V80)</f>
        <v/>
      </c>
      <c r="V80" t="str">
        <f>IF(DONNEES!$E80="","",DONNEES!W80)</f>
        <v/>
      </c>
      <c r="W80" t="str">
        <f>IF(DONNEES!$E80="","",DONNEES!X80)</f>
        <v/>
      </c>
      <c r="X80" t="str">
        <f>IF(DONNEES!$E80="","",DONNEES!Y80)</f>
        <v/>
      </c>
      <c r="Y80" t="str">
        <f>IF(DONNEES!$E80="","",DONNEES!Z80)</f>
        <v/>
      </c>
      <c r="Z80" t="str">
        <f>IF(DONNEES!$E80="","",DONNEES!AQ80)</f>
        <v/>
      </c>
    </row>
    <row r="81" spans="1:26" ht="15" customHeight="1" x14ac:dyDescent="0.3">
      <c r="A81" t="str">
        <f>IF(DONNEES!$E81="","",DONNEES!A81)</f>
        <v/>
      </c>
      <c r="B81" t="str">
        <f>IF(DONNEES!$E81="","",DONNEES!B81)</f>
        <v/>
      </c>
      <c r="C81" t="str">
        <f>IF(DONNEES!$E81="","",DONNEES!C81)</f>
        <v/>
      </c>
      <c r="D81" t="str">
        <f>IF(DONNEES!$E81="","",DONNEES!E81)</f>
        <v/>
      </c>
      <c r="E81" t="str">
        <f>IF(DONNEES!$E81="","",DONNEES!F81)</f>
        <v/>
      </c>
      <c r="F81" t="str">
        <f>IF(DONNEES!$E81="","",DONNEES!G81)</f>
        <v/>
      </c>
      <c r="G81" t="str">
        <f>IF(DONNEES!$E81="","",DONNEES!H81)</f>
        <v/>
      </c>
      <c r="H81" t="str">
        <f>IF(DONNEES!$E81="","",DONNEES!I81)</f>
        <v/>
      </c>
      <c r="I81" t="str">
        <f>IF(DONNEES!$E81="","",DONNEES!J81)</f>
        <v/>
      </c>
      <c r="J81" t="str">
        <f>IF(DONNEES!$E81="","",DONNEES!K81)</f>
        <v/>
      </c>
      <c r="K81" t="str">
        <f>IF(DONNEES!$E81="","",DONNEES!L81)</f>
        <v/>
      </c>
      <c r="L81" t="str">
        <f>IF(DONNEES!$E81="","",DONNEES!M81)</f>
        <v/>
      </c>
      <c r="M81" t="str">
        <f>IF(DONNEES!$E81="","",DONNEES!N81)</f>
        <v/>
      </c>
      <c r="N81" t="str">
        <f>IF(DONNEES!$E81="","",DONNEES!O81)</f>
        <v/>
      </c>
      <c r="O81" t="str">
        <f>IF(DONNEES!$E81="","",DONNEES!P81)</f>
        <v/>
      </c>
      <c r="P81" t="str">
        <f>IF(DONNEES!$E81="","",DONNEES!Q81)</f>
        <v/>
      </c>
      <c r="Q81" t="str">
        <f>IF(DONNEES!$E81="","",DONNEES!R81)</f>
        <v/>
      </c>
      <c r="R81" t="str">
        <f>IF(DONNEES!$E81="","",DONNEES!S81)</f>
        <v/>
      </c>
      <c r="S81" t="str">
        <f>IF(DONNEES!$E81="","",DONNEES!T81)</f>
        <v/>
      </c>
      <c r="T81" t="str">
        <f>IF(DONNEES!$E81="","",DONNEES!U81)</f>
        <v/>
      </c>
      <c r="U81" t="str">
        <f>IF(DONNEES!$E81="","",DONNEES!V81)</f>
        <v/>
      </c>
      <c r="V81" t="str">
        <f>IF(DONNEES!$E81="","",DONNEES!W81)</f>
        <v/>
      </c>
      <c r="W81" t="str">
        <f>IF(DONNEES!$E81="","",DONNEES!X81)</f>
        <v/>
      </c>
      <c r="X81" t="str">
        <f>IF(DONNEES!$E81="","",DONNEES!Y81)</f>
        <v/>
      </c>
      <c r="Y81" t="str">
        <f>IF(DONNEES!$E81="","",DONNEES!Z81)</f>
        <v/>
      </c>
      <c r="Z81" t="str">
        <f>IF(DONNEES!$E81="","",DONNEES!AQ81)</f>
        <v/>
      </c>
    </row>
    <row r="82" spans="1:26" ht="15" customHeight="1" x14ac:dyDescent="0.3">
      <c r="A82" t="str">
        <f>IF(DONNEES!$E82="","",DONNEES!A82)</f>
        <v/>
      </c>
      <c r="B82" t="str">
        <f>IF(DONNEES!$E82="","",DONNEES!B82)</f>
        <v/>
      </c>
      <c r="C82" t="str">
        <f>IF(DONNEES!$E82="","",DONNEES!C82)</f>
        <v/>
      </c>
      <c r="D82" t="str">
        <f>IF(DONNEES!$E82="","",DONNEES!E82)</f>
        <v/>
      </c>
      <c r="E82" t="str">
        <f>IF(DONNEES!$E82="","",DONNEES!F82)</f>
        <v/>
      </c>
      <c r="F82" t="str">
        <f>IF(DONNEES!$E82="","",DONNEES!G82)</f>
        <v/>
      </c>
      <c r="G82" t="str">
        <f>IF(DONNEES!$E82="","",DONNEES!H82)</f>
        <v/>
      </c>
      <c r="H82" t="str">
        <f>IF(DONNEES!$E82="","",DONNEES!I82)</f>
        <v/>
      </c>
      <c r="I82" t="str">
        <f>IF(DONNEES!$E82="","",DONNEES!J82)</f>
        <v/>
      </c>
      <c r="J82" t="str">
        <f>IF(DONNEES!$E82="","",DONNEES!K82)</f>
        <v/>
      </c>
      <c r="K82" t="str">
        <f>IF(DONNEES!$E82="","",DONNEES!L82)</f>
        <v/>
      </c>
      <c r="L82" t="str">
        <f>IF(DONNEES!$E82="","",DONNEES!M82)</f>
        <v/>
      </c>
      <c r="M82" t="str">
        <f>IF(DONNEES!$E82="","",DONNEES!N82)</f>
        <v/>
      </c>
      <c r="N82" t="str">
        <f>IF(DONNEES!$E82="","",DONNEES!O82)</f>
        <v/>
      </c>
      <c r="O82" t="str">
        <f>IF(DONNEES!$E82="","",DONNEES!P82)</f>
        <v/>
      </c>
      <c r="P82" t="str">
        <f>IF(DONNEES!$E82="","",DONNEES!Q82)</f>
        <v/>
      </c>
      <c r="Q82" t="str">
        <f>IF(DONNEES!$E82="","",DONNEES!R82)</f>
        <v/>
      </c>
      <c r="R82" t="str">
        <f>IF(DONNEES!$E82="","",DONNEES!S82)</f>
        <v/>
      </c>
      <c r="S82" t="str">
        <f>IF(DONNEES!$E82="","",DONNEES!T82)</f>
        <v/>
      </c>
      <c r="T82" t="str">
        <f>IF(DONNEES!$E82="","",DONNEES!U82)</f>
        <v/>
      </c>
      <c r="U82" t="str">
        <f>IF(DONNEES!$E82="","",DONNEES!V82)</f>
        <v/>
      </c>
      <c r="V82" t="str">
        <f>IF(DONNEES!$E82="","",DONNEES!W82)</f>
        <v/>
      </c>
      <c r="W82" t="str">
        <f>IF(DONNEES!$E82="","",DONNEES!X82)</f>
        <v/>
      </c>
      <c r="X82" t="str">
        <f>IF(DONNEES!$E82="","",DONNEES!Y82)</f>
        <v/>
      </c>
      <c r="Y82" t="str">
        <f>IF(DONNEES!$E82="","",DONNEES!Z82)</f>
        <v/>
      </c>
      <c r="Z82" t="str">
        <f>IF(DONNEES!$E82="","",DONNEES!AQ82)</f>
        <v/>
      </c>
    </row>
    <row r="83" spans="1:26" ht="15" customHeight="1" x14ac:dyDescent="0.3">
      <c r="A83" t="str">
        <f>IF(DONNEES!$E83="","",DONNEES!A83)</f>
        <v/>
      </c>
      <c r="B83" t="str">
        <f>IF(DONNEES!$E83="","",DONNEES!B83)</f>
        <v/>
      </c>
      <c r="C83" t="str">
        <f>IF(DONNEES!$E83="","",DONNEES!C83)</f>
        <v/>
      </c>
      <c r="D83" t="str">
        <f>IF(DONNEES!$E83="","",DONNEES!E83)</f>
        <v/>
      </c>
      <c r="E83" t="str">
        <f>IF(DONNEES!$E83="","",DONNEES!F83)</f>
        <v/>
      </c>
      <c r="F83" t="str">
        <f>IF(DONNEES!$E83="","",DONNEES!G83)</f>
        <v/>
      </c>
      <c r="G83" t="str">
        <f>IF(DONNEES!$E83="","",DONNEES!H83)</f>
        <v/>
      </c>
      <c r="H83" t="str">
        <f>IF(DONNEES!$E83="","",DONNEES!I83)</f>
        <v/>
      </c>
      <c r="I83" t="str">
        <f>IF(DONNEES!$E83="","",DONNEES!J83)</f>
        <v/>
      </c>
      <c r="J83" t="str">
        <f>IF(DONNEES!$E83="","",DONNEES!K83)</f>
        <v/>
      </c>
      <c r="K83" t="str">
        <f>IF(DONNEES!$E83="","",DONNEES!L83)</f>
        <v/>
      </c>
      <c r="L83" t="str">
        <f>IF(DONNEES!$E83="","",DONNEES!M83)</f>
        <v/>
      </c>
      <c r="M83" t="str">
        <f>IF(DONNEES!$E83="","",DONNEES!N83)</f>
        <v/>
      </c>
      <c r="N83" t="str">
        <f>IF(DONNEES!$E83="","",DONNEES!O83)</f>
        <v/>
      </c>
      <c r="O83" t="str">
        <f>IF(DONNEES!$E83="","",DONNEES!P83)</f>
        <v/>
      </c>
      <c r="P83" t="str">
        <f>IF(DONNEES!$E83="","",DONNEES!Q83)</f>
        <v/>
      </c>
      <c r="Q83" t="str">
        <f>IF(DONNEES!$E83="","",DONNEES!R83)</f>
        <v/>
      </c>
      <c r="R83" t="str">
        <f>IF(DONNEES!$E83="","",DONNEES!S83)</f>
        <v/>
      </c>
      <c r="S83" t="str">
        <f>IF(DONNEES!$E83="","",DONNEES!T83)</f>
        <v/>
      </c>
      <c r="T83" t="str">
        <f>IF(DONNEES!$E83="","",DONNEES!U83)</f>
        <v/>
      </c>
      <c r="U83" t="str">
        <f>IF(DONNEES!$E83="","",DONNEES!V83)</f>
        <v/>
      </c>
      <c r="V83" t="str">
        <f>IF(DONNEES!$E83="","",DONNEES!W83)</f>
        <v/>
      </c>
      <c r="W83" t="str">
        <f>IF(DONNEES!$E83="","",DONNEES!X83)</f>
        <v/>
      </c>
      <c r="X83" t="str">
        <f>IF(DONNEES!$E83="","",DONNEES!Y83)</f>
        <v/>
      </c>
      <c r="Y83" t="str">
        <f>IF(DONNEES!$E83="","",DONNEES!Z83)</f>
        <v/>
      </c>
      <c r="Z83" t="str">
        <f>IF(DONNEES!$E83="","",DONNEES!AQ83)</f>
        <v/>
      </c>
    </row>
    <row r="84" spans="1:26" ht="15" customHeight="1" x14ac:dyDescent="0.3">
      <c r="A84" t="str">
        <f>IF(DONNEES!$E84="","",DONNEES!A84)</f>
        <v/>
      </c>
      <c r="B84" t="str">
        <f>IF(DONNEES!$E84="","",DONNEES!B84)</f>
        <v/>
      </c>
      <c r="C84" t="str">
        <f>IF(DONNEES!$E84="","",DONNEES!C84)</f>
        <v/>
      </c>
      <c r="D84" t="str">
        <f>IF(DONNEES!$E84="","",DONNEES!E84)</f>
        <v/>
      </c>
      <c r="E84" t="str">
        <f>IF(DONNEES!$E84="","",DONNEES!F84)</f>
        <v/>
      </c>
      <c r="F84" t="str">
        <f>IF(DONNEES!$E84="","",DONNEES!G84)</f>
        <v/>
      </c>
      <c r="G84" t="str">
        <f>IF(DONNEES!$E84="","",DONNEES!H84)</f>
        <v/>
      </c>
      <c r="H84" t="str">
        <f>IF(DONNEES!$E84="","",DONNEES!I84)</f>
        <v/>
      </c>
      <c r="I84" t="str">
        <f>IF(DONNEES!$E84="","",DONNEES!J84)</f>
        <v/>
      </c>
      <c r="J84" t="str">
        <f>IF(DONNEES!$E84="","",DONNEES!K84)</f>
        <v/>
      </c>
      <c r="K84" t="str">
        <f>IF(DONNEES!$E84="","",DONNEES!L84)</f>
        <v/>
      </c>
      <c r="L84" t="str">
        <f>IF(DONNEES!$E84="","",DONNEES!M84)</f>
        <v/>
      </c>
      <c r="M84" t="str">
        <f>IF(DONNEES!$E84="","",DONNEES!N84)</f>
        <v/>
      </c>
      <c r="N84" t="str">
        <f>IF(DONNEES!$E84="","",DONNEES!O84)</f>
        <v/>
      </c>
      <c r="O84" t="str">
        <f>IF(DONNEES!$E84="","",DONNEES!P84)</f>
        <v/>
      </c>
      <c r="P84" t="str">
        <f>IF(DONNEES!$E84="","",DONNEES!Q84)</f>
        <v/>
      </c>
      <c r="Q84" t="str">
        <f>IF(DONNEES!$E84="","",DONNEES!R84)</f>
        <v/>
      </c>
      <c r="R84" t="str">
        <f>IF(DONNEES!$E84="","",DONNEES!S84)</f>
        <v/>
      </c>
      <c r="S84" t="str">
        <f>IF(DONNEES!$E84="","",DONNEES!T84)</f>
        <v/>
      </c>
      <c r="T84" t="str">
        <f>IF(DONNEES!$E84="","",DONNEES!U84)</f>
        <v/>
      </c>
      <c r="U84" t="str">
        <f>IF(DONNEES!$E84="","",DONNEES!V84)</f>
        <v/>
      </c>
      <c r="V84" t="str">
        <f>IF(DONNEES!$E84="","",DONNEES!W84)</f>
        <v/>
      </c>
      <c r="W84" t="str">
        <f>IF(DONNEES!$E84="","",DONNEES!X84)</f>
        <v/>
      </c>
      <c r="X84" t="str">
        <f>IF(DONNEES!$E84="","",DONNEES!Y84)</f>
        <v/>
      </c>
      <c r="Y84" t="str">
        <f>IF(DONNEES!$E84="","",DONNEES!Z84)</f>
        <v/>
      </c>
      <c r="Z84" t="str">
        <f>IF(DONNEES!$E84="","",DONNEES!AQ84)</f>
        <v/>
      </c>
    </row>
    <row r="85" spans="1:26" ht="15" customHeight="1" x14ac:dyDescent="0.3">
      <c r="A85" t="str">
        <f>IF(DONNEES!$E85="","",DONNEES!A85)</f>
        <v/>
      </c>
      <c r="B85" t="str">
        <f>IF(DONNEES!$E85="","",DONNEES!B85)</f>
        <v/>
      </c>
      <c r="C85" t="str">
        <f>IF(DONNEES!$E85="","",DONNEES!C85)</f>
        <v/>
      </c>
      <c r="D85" t="str">
        <f>IF(DONNEES!$E85="","",DONNEES!E85)</f>
        <v/>
      </c>
      <c r="E85" t="str">
        <f>IF(DONNEES!$E85="","",DONNEES!F85)</f>
        <v/>
      </c>
      <c r="F85" t="str">
        <f>IF(DONNEES!$E85="","",DONNEES!G85)</f>
        <v/>
      </c>
      <c r="G85" t="str">
        <f>IF(DONNEES!$E85="","",DONNEES!H85)</f>
        <v/>
      </c>
      <c r="H85" t="str">
        <f>IF(DONNEES!$E85="","",DONNEES!I85)</f>
        <v/>
      </c>
      <c r="I85" t="str">
        <f>IF(DONNEES!$E85="","",DONNEES!J85)</f>
        <v/>
      </c>
      <c r="J85" t="str">
        <f>IF(DONNEES!$E85="","",DONNEES!K85)</f>
        <v/>
      </c>
      <c r="K85" t="str">
        <f>IF(DONNEES!$E85="","",DONNEES!L85)</f>
        <v/>
      </c>
      <c r="L85" t="str">
        <f>IF(DONNEES!$E85="","",DONNEES!M85)</f>
        <v/>
      </c>
      <c r="M85" t="str">
        <f>IF(DONNEES!$E85="","",DONNEES!N85)</f>
        <v/>
      </c>
      <c r="N85" t="str">
        <f>IF(DONNEES!$E85="","",DONNEES!O85)</f>
        <v/>
      </c>
      <c r="O85" t="str">
        <f>IF(DONNEES!$E85="","",DONNEES!P85)</f>
        <v/>
      </c>
      <c r="P85" t="str">
        <f>IF(DONNEES!$E85="","",DONNEES!Q85)</f>
        <v/>
      </c>
      <c r="Q85" t="str">
        <f>IF(DONNEES!$E85="","",DONNEES!R85)</f>
        <v/>
      </c>
      <c r="R85" t="str">
        <f>IF(DONNEES!$E85="","",DONNEES!S85)</f>
        <v/>
      </c>
      <c r="S85" t="str">
        <f>IF(DONNEES!$E85="","",DONNEES!T85)</f>
        <v/>
      </c>
      <c r="T85" t="str">
        <f>IF(DONNEES!$E85="","",DONNEES!U85)</f>
        <v/>
      </c>
      <c r="U85" t="str">
        <f>IF(DONNEES!$E85="","",DONNEES!V85)</f>
        <v/>
      </c>
      <c r="V85" t="str">
        <f>IF(DONNEES!$E85="","",DONNEES!W85)</f>
        <v/>
      </c>
      <c r="W85" t="str">
        <f>IF(DONNEES!$E85="","",DONNEES!X85)</f>
        <v/>
      </c>
      <c r="X85" t="str">
        <f>IF(DONNEES!$E85="","",DONNEES!Y85)</f>
        <v/>
      </c>
      <c r="Y85" t="str">
        <f>IF(DONNEES!$E85="","",DONNEES!Z85)</f>
        <v/>
      </c>
      <c r="Z85" t="str">
        <f>IF(DONNEES!$E85="","",DONNEES!AQ85)</f>
        <v/>
      </c>
    </row>
    <row r="86" spans="1:26" ht="15" customHeight="1" x14ac:dyDescent="0.3">
      <c r="A86" t="str">
        <f>IF(DONNEES!$E86="","",DONNEES!A86)</f>
        <v/>
      </c>
      <c r="B86" t="str">
        <f>IF(DONNEES!$E86="","",DONNEES!B86)</f>
        <v/>
      </c>
      <c r="C86" t="str">
        <f>IF(DONNEES!$E86="","",DONNEES!C86)</f>
        <v/>
      </c>
      <c r="D86" t="str">
        <f>IF(DONNEES!$E86="","",DONNEES!E86)</f>
        <v/>
      </c>
      <c r="E86" t="str">
        <f>IF(DONNEES!$E86="","",DONNEES!F86)</f>
        <v/>
      </c>
      <c r="F86" t="str">
        <f>IF(DONNEES!$E86="","",DONNEES!G86)</f>
        <v/>
      </c>
      <c r="G86" t="str">
        <f>IF(DONNEES!$E86="","",DONNEES!H86)</f>
        <v/>
      </c>
      <c r="H86" t="str">
        <f>IF(DONNEES!$E86="","",DONNEES!I86)</f>
        <v/>
      </c>
      <c r="I86" t="str">
        <f>IF(DONNEES!$E86="","",DONNEES!J86)</f>
        <v/>
      </c>
      <c r="J86" t="str">
        <f>IF(DONNEES!$E86="","",DONNEES!K86)</f>
        <v/>
      </c>
      <c r="K86" t="str">
        <f>IF(DONNEES!$E86="","",DONNEES!L86)</f>
        <v/>
      </c>
      <c r="L86" t="str">
        <f>IF(DONNEES!$E86="","",DONNEES!M86)</f>
        <v/>
      </c>
      <c r="M86" t="str">
        <f>IF(DONNEES!$E86="","",DONNEES!N86)</f>
        <v/>
      </c>
      <c r="N86" t="str">
        <f>IF(DONNEES!$E86="","",DONNEES!O86)</f>
        <v/>
      </c>
      <c r="O86" t="str">
        <f>IF(DONNEES!$E86="","",DONNEES!P86)</f>
        <v/>
      </c>
      <c r="P86" t="str">
        <f>IF(DONNEES!$E86="","",DONNEES!Q86)</f>
        <v/>
      </c>
      <c r="Q86" t="str">
        <f>IF(DONNEES!$E86="","",DONNEES!R86)</f>
        <v/>
      </c>
      <c r="R86" t="str">
        <f>IF(DONNEES!$E86="","",DONNEES!S86)</f>
        <v/>
      </c>
      <c r="S86" t="str">
        <f>IF(DONNEES!$E86="","",DONNEES!T86)</f>
        <v/>
      </c>
      <c r="T86" t="str">
        <f>IF(DONNEES!$E86="","",DONNEES!U86)</f>
        <v/>
      </c>
      <c r="U86" t="str">
        <f>IF(DONNEES!$E86="","",DONNEES!V86)</f>
        <v/>
      </c>
      <c r="V86" t="str">
        <f>IF(DONNEES!$E86="","",DONNEES!W86)</f>
        <v/>
      </c>
      <c r="W86" t="str">
        <f>IF(DONNEES!$E86="","",DONNEES!X86)</f>
        <v/>
      </c>
      <c r="X86" t="str">
        <f>IF(DONNEES!$E86="","",DONNEES!Y86)</f>
        <v/>
      </c>
      <c r="Y86" t="str">
        <f>IF(DONNEES!$E86="","",DONNEES!Z86)</f>
        <v/>
      </c>
      <c r="Z86" t="str">
        <f>IF(DONNEES!$E86="","",DONNEES!AQ86)</f>
        <v/>
      </c>
    </row>
    <row r="87" spans="1:26" ht="15" customHeight="1" x14ac:dyDescent="0.3">
      <c r="A87" t="str">
        <f>IF(DONNEES!$E87="","",DONNEES!A87)</f>
        <v/>
      </c>
      <c r="B87" t="str">
        <f>IF(DONNEES!$E87="","",DONNEES!B87)</f>
        <v/>
      </c>
      <c r="C87" t="str">
        <f>IF(DONNEES!$E87="","",DONNEES!C87)</f>
        <v/>
      </c>
      <c r="D87" t="str">
        <f>IF(DONNEES!$E87="","",DONNEES!E87)</f>
        <v/>
      </c>
      <c r="E87" t="str">
        <f>IF(DONNEES!$E87="","",DONNEES!F87)</f>
        <v/>
      </c>
      <c r="F87" t="str">
        <f>IF(DONNEES!$E87="","",DONNEES!G87)</f>
        <v/>
      </c>
      <c r="G87" t="str">
        <f>IF(DONNEES!$E87="","",DONNEES!H87)</f>
        <v/>
      </c>
      <c r="H87" t="str">
        <f>IF(DONNEES!$E87="","",DONNEES!I87)</f>
        <v/>
      </c>
      <c r="I87" t="str">
        <f>IF(DONNEES!$E87="","",DONNEES!J87)</f>
        <v/>
      </c>
      <c r="J87" t="str">
        <f>IF(DONNEES!$E87="","",DONNEES!K87)</f>
        <v/>
      </c>
      <c r="K87" t="str">
        <f>IF(DONNEES!$E87="","",DONNEES!L87)</f>
        <v/>
      </c>
      <c r="L87" t="str">
        <f>IF(DONNEES!$E87="","",DONNEES!M87)</f>
        <v/>
      </c>
      <c r="M87" t="str">
        <f>IF(DONNEES!$E87="","",DONNEES!N87)</f>
        <v/>
      </c>
      <c r="N87" t="str">
        <f>IF(DONNEES!$E87="","",DONNEES!O87)</f>
        <v/>
      </c>
      <c r="O87" t="str">
        <f>IF(DONNEES!$E87="","",DONNEES!P87)</f>
        <v/>
      </c>
      <c r="P87" t="str">
        <f>IF(DONNEES!$E87="","",DONNEES!Q87)</f>
        <v/>
      </c>
      <c r="Q87" t="str">
        <f>IF(DONNEES!$E87="","",DONNEES!R87)</f>
        <v/>
      </c>
      <c r="R87" t="str">
        <f>IF(DONNEES!$E87="","",DONNEES!S87)</f>
        <v/>
      </c>
      <c r="S87" t="str">
        <f>IF(DONNEES!$E87="","",DONNEES!T87)</f>
        <v/>
      </c>
      <c r="T87" t="str">
        <f>IF(DONNEES!$E87="","",DONNEES!U87)</f>
        <v/>
      </c>
      <c r="U87" t="str">
        <f>IF(DONNEES!$E87="","",DONNEES!V87)</f>
        <v/>
      </c>
      <c r="V87" t="str">
        <f>IF(DONNEES!$E87="","",DONNEES!W87)</f>
        <v/>
      </c>
      <c r="W87" t="str">
        <f>IF(DONNEES!$E87="","",DONNEES!X87)</f>
        <v/>
      </c>
      <c r="X87" t="str">
        <f>IF(DONNEES!$E87="","",DONNEES!Y87)</f>
        <v/>
      </c>
      <c r="Y87" t="str">
        <f>IF(DONNEES!$E87="","",DONNEES!Z87)</f>
        <v/>
      </c>
      <c r="Z87" t="str">
        <f>IF(DONNEES!$E87="","",DONNEES!AQ87)</f>
        <v/>
      </c>
    </row>
    <row r="88" spans="1:26" ht="15" customHeight="1" x14ac:dyDescent="0.3">
      <c r="A88" t="str">
        <f>IF(DONNEES!$E88="","",DONNEES!A88)</f>
        <v/>
      </c>
      <c r="B88" t="str">
        <f>IF(DONNEES!$E88="","",DONNEES!B88)</f>
        <v/>
      </c>
      <c r="C88" t="str">
        <f>IF(DONNEES!$E88="","",DONNEES!C88)</f>
        <v/>
      </c>
      <c r="D88" t="str">
        <f>IF(DONNEES!$E88="","",DONNEES!E88)</f>
        <v/>
      </c>
      <c r="E88" t="str">
        <f>IF(DONNEES!$E88="","",DONNEES!F88)</f>
        <v/>
      </c>
      <c r="F88" t="str">
        <f>IF(DONNEES!$E88="","",DONNEES!G88)</f>
        <v/>
      </c>
      <c r="G88" t="str">
        <f>IF(DONNEES!$E88="","",DONNEES!H88)</f>
        <v/>
      </c>
      <c r="H88" t="str">
        <f>IF(DONNEES!$E88="","",DONNEES!I88)</f>
        <v/>
      </c>
      <c r="I88" t="str">
        <f>IF(DONNEES!$E88="","",DONNEES!J88)</f>
        <v/>
      </c>
      <c r="J88" t="str">
        <f>IF(DONNEES!$E88="","",DONNEES!K88)</f>
        <v/>
      </c>
      <c r="K88" t="str">
        <f>IF(DONNEES!$E88="","",DONNEES!L88)</f>
        <v/>
      </c>
      <c r="L88" t="str">
        <f>IF(DONNEES!$E88="","",DONNEES!M88)</f>
        <v/>
      </c>
      <c r="M88" t="str">
        <f>IF(DONNEES!$E88="","",DONNEES!N88)</f>
        <v/>
      </c>
      <c r="N88" t="str">
        <f>IF(DONNEES!$E88="","",DONNEES!O88)</f>
        <v/>
      </c>
      <c r="O88" t="str">
        <f>IF(DONNEES!$E88="","",DONNEES!P88)</f>
        <v/>
      </c>
      <c r="P88" t="str">
        <f>IF(DONNEES!$E88="","",DONNEES!Q88)</f>
        <v/>
      </c>
      <c r="Q88" t="str">
        <f>IF(DONNEES!$E88="","",DONNEES!R88)</f>
        <v/>
      </c>
      <c r="R88" t="str">
        <f>IF(DONNEES!$E88="","",DONNEES!S88)</f>
        <v/>
      </c>
      <c r="S88" t="str">
        <f>IF(DONNEES!$E88="","",DONNEES!T88)</f>
        <v/>
      </c>
      <c r="T88" t="str">
        <f>IF(DONNEES!$E88="","",DONNEES!U88)</f>
        <v/>
      </c>
      <c r="U88" t="str">
        <f>IF(DONNEES!$E88="","",DONNEES!V88)</f>
        <v/>
      </c>
      <c r="V88" t="str">
        <f>IF(DONNEES!$E88="","",DONNEES!W88)</f>
        <v/>
      </c>
      <c r="W88" t="str">
        <f>IF(DONNEES!$E88="","",DONNEES!X88)</f>
        <v/>
      </c>
      <c r="X88" t="str">
        <f>IF(DONNEES!$E88="","",DONNEES!Y88)</f>
        <v/>
      </c>
      <c r="Y88" t="str">
        <f>IF(DONNEES!$E88="","",DONNEES!Z88)</f>
        <v/>
      </c>
      <c r="Z88" t="str">
        <f>IF(DONNEES!$E88="","",DONNEES!AQ88)</f>
        <v/>
      </c>
    </row>
    <row r="89" spans="1:26" ht="15" customHeight="1" x14ac:dyDescent="0.3">
      <c r="A89" t="str">
        <f>IF(DONNEES!$E89="","",DONNEES!A89)</f>
        <v/>
      </c>
      <c r="B89" t="str">
        <f>IF(DONNEES!$E89="","",DONNEES!B89)</f>
        <v/>
      </c>
      <c r="C89" t="str">
        <f>IF(DONNEES!$E89="","",DONNEES!C89)</f>
        <v/>
      </c>
      <c r="D89" t="str">
        <f>IF(DONNEES!$E89="","",DONNEES!E89)</f>
        <v/>
      </c>
      <c r="E89" t="str">
        <f>IF(DONNEES!$E89="","",DONNEES!F89)</f>
        <v/>
      </c>
      <c r="F89" t="str">
        <f>IF(DONNEES!$E89="","",DONNEES!G89)</f>
        <v/>
      </c>
      <c r="G89" t="str">
        <f>IF(DONNEES!$E89="","",DONNEES!H89)</f>
        <v/>
      </c>
      <c r="H89" t="str">
        <f>IF(DONNEES!$E89="","",DONNEES!I89)</f>
        <v/>
      </c>
      <c r="I89" t="str">
        <f>IF(DONNEES!$E89="","",DONNEES!J89)</f>
        <v/>
      </c>
      <c r="J89" t="str">
        <f>IF(DONNEES!$E89="","",DONNEES!K89)</f>
        <v/>
      </c>
      <c r="K89" t="str">
        <f>IF(DONNEES!$E89="","",DONNEES!L89)</f>
        <v/>
      </c>
      <c r="L89" t="str">
        <f>IF(DONNEES!$E89="","",DONNEES!M89)</f>
        <v/>
      </c>
      <c r="M89" t="str">
        <f>IF(DONNEES!$E89="","",DONNEES!N89)</f>
        <v/>
      </c>
      <c r="N89" t="str">
        <f>IF(DONNEES!$E89="","",DONNEES!O89)</f>
        <v/>
      </c>
      <c r="O89" t="str">
        <f>IF(DONNEES!$E89="","",DONNEES!P89)</f>
        <v/>
      </c>
      <c r="P89" t="str">
        <f>IF(DONNEES!$E89="","",DONNEES!Q89)</f>
        <v/>
      </c>
      <c r="Q89" t="str">
        <f>IF(DONNEES!$E89="","",DONNEES!R89)</f>
        <v/>
      </c>
      <c r="R89" t="str">
        <f>IF(DONNEES!$E89="","",DONNEES!S89)</f>
        <v/>
      </c>
      <c r="S89" t="str">
        <f>IF(DONNEES!$E89="","",DONNEES!T89)</f>
        <v/>
      </c>
      <c r="T89" t="str">
        <f>IF(DONNEES!$E89="","",DONNEES!U89)</f>
        <v/>
      </c>
      <c r="U89" t="str">
        <f>IF(DONNEES!$E89="","",DONNEES!V89)</f>
        <v/>
      </c>
      <c r="V89" t="str">
        <f>IF(DONNEES!$E89="","",DONNEES!W89)</f>
        <v/>
      </c>
      <c r="W89" t="str">
        <f>IF(DONNEES!$E89="","",DONNEES!X89)</f>
        <v/>
      </c>
      <c r="X89" t="str">
        <f>IF(DONNEES!$E89="","",DONNEES!Y89)</f>
        <v/>
      </c>
      <c r="Y89" t="str">
        <f>IF(DONNEES!$E89="","",DONNEES!Z89)</f>
        <v/>
      </c>
      <c r="Z89" t="str">
        <f>IF(DONNEES!$E89="","",DONNEES!AQ89)</f>
        <v/>
      </c>
    </row>
    <row r="90" spans="1:26" ht="15" customHeight="1" x14ac:dyDescent="0.3">
      <c r="A90" t="str">
        <f>IF(DONNEES!$E90="","",DONNEES!A90)</f>
        <v/>
      </c>
      <c r="B90" t="str">
        <f>IF(DONNEES!$E90="","",DONNEES!B90)</f>
        <v/>
      </c>
      <c r="C90" t="str">
        <f>IF(DONNEES!$E90="","",DONNEES!C90)</f>
        <v/>
      </c>
      <c r="D90" t="str">
        <f>IF(DONNEES!$E90="","",DONNEES!E90)</f>
        <v/>
      </c>
      <c r="E90" t="str">
        <f>IF(DONNEES!$E90="","",DONNEES!F90)</f>
        <v/>
      </c>
      <c r="F90" t="str">
        <f>IF(DONNEES!$E90="","",DONNEES!G90)</f>
        <v/>
      </c>
      <c r="G90" t="str">
        <f>IF(DONNEES!$E90="","",DONNEES!H90)</f>
        <v/>
      </c>
      <c r="H90" t="str">
        <f>IF(DONNEES!$E90="","",DONNEES!I90)</f>
        <v/>
      </c>
      <c r="I90" t="str">
        <f>IF(DONNEES!$E90="","",DONNEES!J90)</f>
        <v/>
      </c>
      <c r="J90" t="str">
        <f>IF(DONNEES!$E90="","",DONNEES!K90)</f>
        <v/>
      </c>
      <c r="K90" t="str">
        <f>IF(DONNEES!$E90="","",DONNEES!L90)</f>
        <v/>
      </c>
      <c r="L90" t="str">
        <f>IF(DONNEES!$E90="","",DONNEES!M90)</f>
        <v/>
      </c>
      <c r="M90" t="str">
        <f>IF(DONNEES!$E90="","",DONNEES!N90)</f>
        <v/>
      </c>
      <c r="N90" t="str">
        <f>IF(DONNEES!$E90="","",DONNEES!O90)</f>
        <v/>
      </c>
      <c r="O90" t="str">
        <f>IF(DONNEES!$E90="","",DONNEES!P90)</f>
        <v/>
      </c>
      <c r="P90" t="str">
        <f>IF(DONNEES!$E90="","",DONNEES!Q90)</f>
        <v/>
      </c>
      <c r="Q90" t="str">
        <f>IF(DONNEES!$E90="","",DONNEES!R90)</f>
        <v/>
      </c>
      <c r="R90" t="str">
        <f>IF(DONNEES!$E90="","",DONNEES!S90)</f>
        <v/>
      </c>
      <c r="S90" t="str">
        <f>IF(DONNEES!$E90="","",DONNEES!T90)</f>
        <v/>
      </c>
      <c r="T90" t="str">
        <f>IF(DONNEES!$E90="","",DONNEES!U90)</f>
        <v/>
      </c>
      <c r="U90" t="str">
        <f>IF(DONNEES!$E90="","",DONNEES!V90)</f>
        <v/>
      </c>
      <c r="V90" t="str">
        <f>IF(DONNEES!$E90="","",DONNEES!W90)</f>
        <v/>
      </c>
      <c r="W90" t="str">
        <f>IF(DONNEES!$E90="","",DONNEES!X90)</f>
        <v/>
      </c>
      <c r="X90" t="str">
        <f>IF(DONNEES!$E90="","",DONNEES!Y90)</f>
        <v/>
      </c>
      <c r="Y90" t="str">
        <f>IF(DONNEES!$E90="","",DONNEES!Z90)</f>
        <v/>
      </c>
      <c r="Z90" t="str">
        <f>IF(DONNEES!$E90="","",DONNEES!AQ90)</f>
        <v/>
      </c>
    </row>
    <row r="91" spans="1:26" ht="15" customHeight="1" x14ac:dyDescent="0.3">
      <c r="A91" t="str">
        <f>IF(DONNEES!$E91="","",DONNEES!A91)</f>
        <v/>
      </c>
      <c r="B91" t="str">
        <f>IF(DONNEES!$E91="","",DONNEES!B91)</f>
        <v/>
      </c>
      <c r="C91" t="str">
        <f>IF(DONNEES!$E91="","",DONNEES!C91)</f>
        <v/>
      </c>
      <c r="D91" t="str">
        <f>IF(DONNEES!$E91="","",DONNEES!E91)</f>
        <v/>
      </c>
      <c r="E91" t="str">
        <f>IF(DONNEES!$E91="","",DONNEES!F91)</f>
        <v/>
      </c>
      <c r="F91" t="str">
        <f>IF(DONNEES!$E91="","",DONNEES!G91)</f>
        <v/>
      </c>
      <c r="G91" t="str">
        <f>IF(DONNEES!$E91="","",DONNEES!H91)</f>
        <v/>
      </c>
      <c r="H91" t="str">
        <f>IF(DONNEES!$E91="","",DONNEES!I91)</f>
        <v/>
      </c>
      <c r="I91" t="str">
        <f>IF(DONNEES!$E91="","",DONNEES!J91)</f>
        <v/>
      </c>
      <c r="J91" t="str">
        <f>IF(DONNEES!$E91="","",DONNEES!K91)</f>
        <v/>
      </c>
      <c r="K91" t="str">
        <f>IF(DONNEES!$E91="","",DONNEES!L91)</f>
        <v/>
      </c>
      <c r="L91" t="str">
        <f>IF(DONNEES!$E91="","",DONNEES!M91)</f>
        <v/>
      </c>
      <c r="M91" t="str">
        <f>IF(DONNEES!$E91="","",DONNEES!N91)</f>
        <v/>
      </c>
      <c r="N91" t="str">
        <f>IF(DONNEES!$E91="","",DONNEES!O91)</f>
        <v/>
      </c>
      <c r="O91" t="str">
        <f>IF(DONNEES!$E91="","",DONNEES!P91)</f>
        <v/>
      </c>
      <c r="P91" t="str">
        <f>IF(DONNEES!$E91="","",DONNEES!Q91)</f>
        <v/>
      </c>
      <c r="Q91" t="str">
        <f>IF(DONNEES!$E91="","",DONNEES!R91)</f>
        <v/>
      </c>
      <c r="R91" t="str">
        <f>IF(DONNEES!$E91="","",DONNEES!S91)</f>
        <v/>
      </c>
      <c r="S91" t="str">
        <f>IF(DONNEES!$E91="","",DONNEES!T91)</f>
        <v/>
      </c>
      <c r="T91" t="str">
        <f>IF(DONNEES!$E91="","",DONNEES!U91)</f>
        <v/>
      </c>
      <c r="U91" t="str">
        <f>IF(DONNEES!$E91="","",DONNEES!V91)</f>
        <v/>
      </c>
      <c r="V91" t="str">
        <f>IF(DONNEES!$E91="","",DONNEES!W91)</f>
        <v/>
      </c>
      <c r="W91" t="str">
        <f>IF(DONNEES!$E91="","",DONNEES!X91)</f>
        <v/>
      </c>
      <c r="X91" t="str">
        <f>IF(DONNEES!$E91="","",DONNEES!Y91)</f>
        <v/>
      </c>
      <c r="Y91" t="str">
        <f>IF(DONNEES!$E91="","",DONNEES!Z91)</f>
        <v/>
      </c>
      <c r="Z91" t="str">
        <f>IF(DONNEES!$E91="","",DONNEES!AQ91)</f>
        <v/>
      </c>
    </row>
    <row r="92" spans="1:26" ht="15" customHeight="1" x14ac:dyDescent="0.3">
      <c r="A92" t="str">
        <f>IF(DONNEES!$E92="","",DONNEES!A92)</f>
        <v/>
      </c>
      <c r="B92" t="str">
        <f>IF(DONNEES!$E92="","",DONNEES!B92)</f>
        <v/>
      </c>
      <c r="C92" t="str">
        <f>IF(DONNEES!$E92="","",DONNEES!C92)</f>
        <v/>
      </c>
      <c r="D92" t="str">
        <f>IF(DONNEES!$E92="","",DONNEES!E92)</f>
        <v/>
      </c>
      <c r="E92" t="str">
        <f>IF(DONNEES!$E92="","",DONNEES!F92)</f>
        <v/>
      </c>
      <c r="F92" t="str">
        <f>IF(DONNEES!$E92="","",DONNEES!G92)</f>
        <v/>
      </c>
      <c r="G92" t="str">
        <f>IF(DONNEES!$E92="","",DONNEES!H92)</f>
        <v/>
      </c>
      <c r="H92" t="str">
        <f>IF(DONNEES!$E92="","",DONNEES!I92)</f>
        <v/>
      </c>
      <c r="I92" t="str">
        <f>IF(DONNEES!$E92="","",DONNEES!J92)</f>
        <v/>
      </c>
      <c r="J92" t="str">
        <f>IF(DONNEES!$E92="","",DONNEES!K92)</f>
        <v/>
      </c>
      <c r="K92" t="str">
        <f>IF(DONNEES!$E92="","",DONNEES!L92)</f>
        <v/>
      </c>
      <c r="L92" t="str">
        <f>IF(DONNEES!$E92="","",DONNEES!M92)</f>
        <v/>
      </c>
      <c r="M92" t="str">
        <f>IF(DONNEES!$E92="","",DONNEES!N92)</f>
        <v/>
      </c>
      <c r="N92" t="str">
        <f>IF(DONNEES!$E92="","",DONNEES!O92)</f>
        <v/>
      </c>
      <c r="O92" t="str">
        <f>IF(DONNEES!$E92="","",DONNEES!P92)</f>
        <v/>
      </c>
      <c r="P92" t="str">
        <f>IF(DONNEES!$E92="","",DONNEES!Q92)</f>
        <v/>
      </c>
      <c r="Q92" t="str">
        <f>IF(DONNEES!$E92="","",DONNEES!R92)</f>
        <v/>
      </c>
      <c r="R92" t="str">
        <f>IF(DONNEES!$E92="","",DONNEES!S92)</f>
        <v/>
      </c>
      <c r="S92" t="str">
        <f>IF(DONNEES!$E92="","",DONNEES!T92)</f>
        <v/>
      </c>
      <c r="T92" t="str">
        <f>IF(DONNEES!$E92="","",DONNEES!U92)</f>
        <v/>
      </c>
      <c r="U92" t="str">
        <f>IF(DONNEES!$E92="","",DONNEES!V92)</f>
        <v/>
      </c>
      <c r="V92" t="str">
        <f>IF(DONNEES!$E92="","",DONNEES!W92)</f>
        <v/>
      </c>
      <c r="W92" t="str">
        <f>IF(DONNEES!$E92="","",DONNEES!X92)</f>
        <v/>
      </c>
      <c r="X92" t="str">
        <f>IF(DONNEES!$E92="","",DONNEES!Y92)</f>
        <v/>
      </c>
      <c r="Y92" t="str">
        <f>IF(DONNEES!$E92="","",DONNEES!Z92)</f>
        <v/>
      </c>
      <c r="Z92" t="str">
        <f>IF(DONNEES!$E92="","",DONNEES!AQ92)</f>
        <v/>
      </c>
    </row>
    <row r="93" spans="1:26" ht="15" customHeight="1" x14ac:dyDescent="0.3">
      <c r="A93" t="str">
        <f>IF(DONNEES!$E93="","",DONNEES!A93)</f>
        <v/>
      </c>
      <c r="B93" t="str">
        <f>IF(DONNEES!$E93="","",DONNEES!B93)</f>
        <v/>
      </c>
      <c r="C93" t="str">
        <f>IF(DONNEES!$E93="","",DONNEES!C93)</f>
        <v/>
      </c>
      <c r="D93" t="str">
        <f>IF(DONNEES!$E93="","",DONNEES!E93)</f>
        <v/>
      </c>
      <c r="E93" t="str">
        <f>IF(DONNEES!$E93="","",DONNEES!F93)</f>
        <v/>
      </c>
      <c r="F93" t="str">
        <f>IF(DONNEES!$E93="","",DONNEES!G93)</f>
        <v/>
      </c>
      <c r="G93" t="str">
        <f>IF(DONNEES!$E93="","",DONNEES!H93)</f>
        <v/>
      </c>
      <c r="H93" t="str">
        <f>IF(DONNEES!$E93="","",DONNEES!I93)</f>
        <v/>
      </c>
      <c r="I93" t="str">
        <f>IF(DONNEES!$E93="","",DONNEES!J93)</f>
        <v/>
      </c>
      <c r="J93" t="str">
        <f>IF(DONNEES!$E93="","",DONNEES!K93)</f>
        <v/>
      </c>
      <c r="K93" t="str">
        <f>IF(DONNEES!$E93="","",DONNEES!L93)</f>
        <v/>
      </c>
      <c r="L93" t="str">
        <f>IF(DONNEES!$E93="","",DONNEES!M93)</f>
        <v/>
      </c>
      <c r="M93" t="str">
        <f>IF(DONNEES!$E93="","",DONNEES!N93)</f>
        <v/>
      </c>
      <c r="N93" t="str">
        <f>IF(DONNEES!$E93="","",DONNEES!O93)</f>
        <v/>
      </c>
      <c r="O93" t="str">
        <f>IF(DONNEES!$E93="","",DONNEES!P93)</f>
        <v/>
      </c>
      <c r="P93" t="str">
        <f>IF(DONNEES!$E93="","",DONNEES!Q93)</f>
        <v/>
      </c>
      <c r="Q93" t="str">
        <f>IF(DONNEES!$E93="","",DONNEES!R93)</f>
        <v/>
      </c>
      <c r="R93" t="str">
        <f>IF(DONNEES!$E93="","",DONNEES!S93)</f>
        <v/>
      </c>
      <c r="S93" t="str">
        <f>IF(DONNEES!$E93="","",DONNEES!T93)</f>
        <v/>
      </c>
      <c r="T93" t="str">
        <f>IF(DONNEES!$E93="","",DONNEES!U93)</f>
        <v/>
      </c>
      <c r="U93" t="str">
        <f>IF(DONNEES!$E93="","",DONNEES!V93)</f>
        <v/>
      </c>
      <c r="V93" t="str">
        <f>IF(DONNEES!$E93="","",DONNEES!W93)</f>
        <v/>
      </c>
      <c r="W93" t="str">
        <f>IF(DONNEES!$E93="","",DONNEES!X93)</f>
        <v/>
      </c>
      <c r="X93" t="str">
        <f>IF(DONNEES!$E93="","",DONNEES!Y93)</f>
        <v/>
      </c>
      <c r="Y93" t="str">
        <f>IF(DONNEES!$E93="","",DONNEES!Z93)</f>
        <v/>
      </c>
      <c r="Z93" t="str">
        <f>IF(DONNEES!$E93="","",DONNEES!AQ93)</f>
        <v/>
      </c>
    </row>
    <row r="94" spans="1:26" ht="15" customHeight="1" x14ac:dyDescent="0.3">
      <c r="A94" t="str">
        <f>IF(DONNEES!$E94="","",DONNEES!A94)</f>
        <v/>
      </c>
      <c r="B94" t="str">
        <f>IF(DONNEES!$E94="","",DONNEES!B94)</f>
        <v/>
      </c>
      <c r="C94" t="str">
        <f>IF(DONNEES!$E94="","",DONNEES!C94)</f>
        <v/>
      </c>
      <c r="D94" t="str">
        <f>IF(DONNEES!$E94="","",DONNEES!E94)</f>
        <v/>
      </c>
      <c r="E94" t="str">
        <f>IF(DONNEES!$E94="","",DONNEES!F94)</f>
        <v/>
      </c>
      <c r="F94" t="str">
        <f>IF(DONNEES!$E94="","",DONNEES!G94)</f>
        <v/>
      </c>
      <c r="G94" t="str">
        <f>IF(DONNEES!$E94="","",DONNEES!H94)</f>
        <v/>
      </c>
      <c r="H94" t="str">
        <f>IF(DONNEES!$E94="","",DONNEES!I94)</f>
        <v/>
      </c>
      <c r="I94" t="str">
        <f>IF(DONNEES!$E94="","",DONNEES!J94)</f>
        <v/>
      </c>
      <c r="J94" t="str">
        <f>IF(DONNEES!$E94="","",DONNEES!K94)</f>
        <v/>
      </c>
      <c r="K94" t="str">
        <f>IF(DONNEES!$E94="","",DONNEES!L94)</f>
        <v/>
      </c>
      <c r="L94" t="str">
        <f>IF(DONNEES!$E94="","",DONNEES!M94)</f>
        <v/>
      </c>
      <c r="M94" t="str">
        <f>IF(DONNEES!$E94="","",DONNEES!N94)</f>
        <v/>
      </c>
      <c r="N94" t="str">
        <f>IF(DONNEES!$E94="","",DONNEES!O94)</f>
        <v/>
      </c>
      <c r="O94" t="str">
        <f>IF(DONNEES!$E94="","",DONNEES!P94)</f>
        <v/>
      </c>
      <c r="P94" t="str">
        <f>IF(DONNEES!$E94="","",DONNEES!Q94)</f>
        <v/>
      </c>
      <c r="Q94" t="str">
        <f>IF(DONNEES!$E94="","",DONNEES!R94)</f>
        <v/>
      </c>
      <c r="R94" t="str">
        <f>IF(DONNEES!$E94="","",DONNEES!S94)</f>
        <v/>
      </c>
      <c r="S94" t="str">
        <f>IF(DONNEES!$E94="","",DONNEES!T94)</f>
        <v/>
      </c>
      <c r="T94" t="str">
        <f>IF(DONNEES!$E94="","",DONNEES!U94)</f>
        <v/>
      </c>
      <c r="U94" t="str">
        <f>IF(DONNEES!$E94="","",DONNEES!V94)</f>
        <v/>
      </c>
      <c r="V94" t="str">
        <f>IF(DONNEES!$E94="","",DONNEES!W94)</f>
        <v/>
      </c>
      <c r="W94" t="str">
        <f>IF(DONNEES!$E94="","",DONNEES!X94)</f>
        <v/>
      </c>
      <c r="X94" t="str">
        <f>IF(DONNEES!$E94="","",DONNEES!Y94)</f>
        <v/>
      </c>
      <c r="Y94" t="str">
        <f>IF(DONNEES!$E94="","",DONNEES!Z94)</f>
        <v/>
      </c>
      <c r="Z94" t="str">
        <f>IF(DONNEES!$E94="","",DONNEES!AQ94)</f>
        <v/>
      </c>
    </row>
    <row r="95" spans="1:26" ht="15" customHeight="1" x14ac:dyDescent="0.3">
      <c r="A95" t="str">
        <f>IF(DONNEES!$E95="","",DONNEES!A95)</f>
        <v/>
      </c>
      <c r="B95" t="str">
        <f>IF(DONNEES!$E95="","",DONNEES!B95)</f>
        <v/>
      </c>
      <c r="C95" t="str">
        <f>IF(DONNEES!$E95="","",DONNEES!C95)</f>
        <v/>
      </c>
      <c r="D95" t="str">
        <f>IF(DONNEES!$E95="","",DONNEES!E95)</f>
        <v/>
      </c>
      <c r="E95" t="str">
        <f>IF(DONNEES!$E95="","",DONNEES!F95)</f>
        <v/>
      </c>
      <c r="F95" t="str">
        <f>IF(DONNEES!$E95="","",DONNEES!G95)</f>
        <v/>
      </c>
      <c r="G95" t="str">
        <f>IF(DONNEES!$E95="","",DONNEES!H95)</f>
        <v/>
      </c>
      <c r="H95" t="str">
        <f>IF(DONNEES!$E95="","",DONNEES!I95)</f>
        <v/>
      </c>
      <c r="I95" t="str">
        <f>IF(DONNEES!$E95="","",DONNEES!J95)</f>
        <v/>
      </c>
      <c r="J95" t="str">
        <f>IF(DONNEES!$E95="","",DONNEES!K95)</f>
        <v/>
      </c>
      <c r="K95" t="str">
        <f>IF(DONNEES!$E95="","",DONNEES!L95)</f>
        <v/>
      </c>
      <c r="L95" t="str">
        <f>IF(DONNEES!$E95="","",DONNEES!M95)</f>
        <v/>
      </c>
      <c r="M95" t="str">
        <f>IF(DONNEES!$E95="","",DONNEES!N95)</f>
        <v/>
      </c>
      <c r="N95" t="str">
        <f>IF(DONNEES!$E95="","",DONNEES!O95)</f>
        <v/>
      </c>
      <c r="O95" t="str">
        <f>IF(DONNEES!$E95="","",DONNEES!P95)</f>
        <v/>
      </c>
      <c r="P95" t="str">
        <f>IF(DONNEES!$E95="","",DONNEES!Q95)</f>
        <v/>
      </c>
      <c r="Q95" t="str">
        <f>IF(DONNEES!$E95="","",DONNEES!R95)</f>
        <v/>
      </c>
      <c r="R95" t="str">
        <f>IF(DONNEES!$E95="","",DONNEES!S95)</f>
        <v/>
      </c>
      <c r="S95" t="str">
        <f>IF(DONNEES!$E95="","",DONNEES!T95)</f>
        <v/>
      </c>
      <c r="T95" t="str">
        <f>IF(DONNEES!$E95="","",DONNEES!U95)</f>
        <v/>
      </c>
      <c r="U95" t="str">
        <f>IF(DONNEES!$E95="","",DONNEES!V95)</f>
        <v/>
      </c>
      <c r="V95" t="str">
        <f>IF(DONNEES!$E95="","",DONNEES!W95)</f>
        <v/>
      </c>
      <c r="W95" t="str">
        <f>IF(DONNEES!$E95="","",DONNEES!X95)</f>
        <v/>
      </c>
      <c r="X95" t="str">
        <f>IF(DONNEES!$E95="","",DONNEES!Y95)</f>
        <v/>
      </c>
      <c r="Y95" t="str">
        <f>IF(DONNEES!$E95="","",DONNEES!Z95)</f>
        <v/>
      </c>
      <c r="Z95" t="str">
        <f>IF(DONNEES!$E95="","",DONNEES!AQ95)</f>
        <v/>
      </c>
    </row>
    <row r="96" spans="1:26" ht="15" customHeight="1" x14ac:dyDescent="0.3">
      <c r="A96" t="str">
        <f>IF(DONNEES!$E96="","",DONNEES!A96)</f>
        <v/>
      </c>
      <c r="B96" t="str">
        <f>IF(DONNEES!$E96="","",DONNEES!B96)</f>
        <v/>
      </c>
      <c r="C96" t="str">
        <f>IF(DONNEES!$E96="","",DONNEES!C96)</f>
        <v/>
      </c>
      <c r="D96" t="str">
        <f>IF(DONNEES!$E96="","",DONNEES!E96)</f>
        <v/>
      </c>
      <c r="E96" t="str">
        <f>IF(DONNEES!$E96="","",DONNEES!F96)</f>
        <v/>
      </c>
      <c r="F96" t="str">
        <f>IF(DONNEES!$E96="","",DONNEES!G96)</f>
        <v/>
      </c>
      <c r="G96" t="str">
        <f>IF(DONNEES!$E96="","",DONNEES!H96)</f>
        <v/>
      </c>
      <c r="H96" t="str">
        <f>IF(DONNEES!$E96="","",DONNEES!I96)</f>
        <v/>
      </c>
      <c r="I96" t="str">
        <f>IF(DONNEES!$E96="","",DONNEES!J96)</f>
        <v/>
      </c>
      <c r="J96" t="str">
        <f>IF(DONNEES!$E96="","",DONNEES!K96)</f>
        <v/>
      </c>
      <c r="K96" t="str">
        <f>IF(DONNEES!$E96="","",DONNEES!L96)</f>
        <v/>
      </c>
      <c r="L96" t="str">
        <f>IF(DONNEES!$E96="","",DONNEES!M96)</f>
        <v/>
      </c>
      <c r="M96" t="str">
        <f>IF(DONNEES!$E96="","",DONNEES!N96)</f>
        <v/>
      </c>
      <c r="N96" t="str">
        <f>IF(DONNEES!$E96="","",DONNEES!O96)</f>
        <v/>
      </c>
      <c r="O96" t="str">
        <f>IF(DONNEES!$E96="","",DONNEES!P96)</f>
        <v/>
      </c>
      <c r="P96" t="str">
        <f>IF(DONNEES!$E96="","",DONNEES!Q96)</f>
        <v/>
      </c>
      <c r="Q96" t="str">
        <f>IF(DONNEES!$E96="","",DONNEES!R96)</f>
        <v/>
      </c>
      <c r="R96" t="str">
        <f>IF(DONNEES!$E96="","",DONNEES!S96)</f>
        <v/>
      </c>
      <c r="S96" t="str">
        <f>IF(DONNEES!$E96="","",DONNEES!T96)</f>
        <v/>
      </c>
      <c r="T96" t="str">
        <f>IF(DONNEES!$E96="","",DONNEES!U96)</f>
        <v/>
      </c>
      <c r="U96" t="str">
        <f>IF(DONNEES!$E96="","",DONNEES!V96)</f>
        <v/>
      </c>
      <c r="V96" t="str">
        <f>IF(DONNEES!$E96="","",DONNEES!W96)</f>
        <v/>
      </c>
      <c r="W96" t="str">
        <f>IF(DONNEES!$E96="","",DONNEES!X96)</f>
        <v/>
      </c>
      <c r="X96" t="str">
        <f>IF(DONNEES!$E96="","",DONNEES!Y96)</f>
        <v/>
      </c>
      <c r="Y96" t="str">
        <f>IF(DONNEES!$E96="","",DONNEES!Z96)</f>
        <v/>
      </c>
      <c r="Z96" t="str">
        <f>IF(DONNEES!$E96="","",DONNEES!AQ96)</f>
        <v/>
      </c>
    </row>
    <row r="97" spans="1:26" ht="15" customHeight="1" x14ac:dyDescent="0.3">
      <c r="A97" t="str">
        <f>IF(DONNEES!$E97="","",DONNEES!A97)</f>
        <v/>
      </c>
      <c r="B97" t="str">
        <f>IF(DONNEES!$E97="","",DONNEES!B97)</f>
        <v/>
      </c>
      <c r="C97" t="str">
        <f>IF(DONNEES!$E97="","",DONNEES!C97)</f>
        <v/>
      </c>
      <c r="D97" t="str">
        <f>IF(DONNEES!$E97="","",DONNEES!E97)</f>
        <v/>
      </c>
      <c r="E97" t="str">
        <f>IF(DONNEES!$E97="","",DONNEES!F97)</f>
        <v/>
      </c>
      <c r="F97" t="str">
        <f>IF(DONNEES!$E97="","",DONNEES!G97)</f>
        <v/>
      </c>
      <c r="G97" t="str">
        <f>IF(DONNEES!$E97="","",DONNEES!H97)</f>
        <v/>
      </c>
      <c r="H97" t="str">
        <f>IF(DONNEES!$E97="","",DONNEES!I97)</f>
        <v/>
      </c>
      <c r="I97" t="str">
        <f>IF(DONNEES!$E97="","",DONNEES!J97)</f>
        <v/>
      </c>
      <c r="J97" t="str">
        <f>IF(DONNEES!$E97="","",DONNEES!K97)</f>
        <v/>
      </c>
      <c r="K97" t="str">
        <f>IF(DONNEES!$E97="","",DONNEES!L97)</f>
        <v/>
      </c>
      <c r="L97" t="str">
        <f>IF(DONNEES!$E97="","",DONNEES!M97)</f>
        <v/>
      </c>
      <c r="M97" t="str">
        <f>IF(DONNEES!$E97="","",DONNEES!N97)</f>
        <v/>
      </c>
      <c r="N97" t="str">
        <f>IF(DONNEES!$E97="","",DONNEES!O97)</f>
        <v/>
      </c>
      <c r="O97" t="str">
        <f>IF(DONNEES!$E97="","",DONNEES!P97)</f>
        <v/>
      </c>
      <c r="P97" t="str">
        <f>IF(DONNEES!$E97="","",DONNEES!Q97)</f>
        <v/>
      </c>
      <c r="Q97" t="str">
        <f>IF(DONNEES!$E97="","",DONNEES!R97)</f>
        <v/>
      </c>
      <c r="R97" t="str">
        <f>IF(DONNEES!$E97="","",DONNEES!S97)</f>
        <v/>
      </c>
      <c r="S97" t="str">
        <f>IF(DONNEES!$E97="","",DONNEES!T97)</f>
        <v/>
      </c>
      <c r="T97" t="str">
        <f>IF(DONNEES!$E97="","",DONNEES!U97)</f>
        <v/>
      </c>
      <c r="U97" t="str">
        <f>IF(DONNEES!$E97="","",DONNEES!V97)</f>
        <v/>
      </c>
      <c r="V97" t="str">
        <f>IF(DONNEES!$E97="","",DONNEES!W97)</f>
        <v/>
      </c>
      <c r="W97" t="str">
        <f>IF(DONNEES!$E97="","",DONNEES!X97)</f>
        <v/>
      </c>
      <c r="X97" t="str">
        <f>IF(DONNEES!$E97="","",DONNEES!Y97)</f>
        <v/>
      </c>
      <c r="Y97" t="str">
        <f>IF(DONNEES!$E97="","",DONNEES!Z97)</f>
        <v/>
      </c>
      <c r="Z97" t="str">
        <f>IF(DONNEES!$E97="","",DONNEES!AQ97)</f>
        <v/>
      </c>
    </row>
    <row r="98" spans="1:26" ht="15" customHeight="1" x14ac:dyDescent="0.3">
      <c r="A98" t="str">
        <f>IF(DONNEES!$E98="","",DONNEES!A98)</f>
        <v/>
      </c>
      <c r="B98" t="str">
        <f>IF(DONNEES!$E98="","",DONNEES!B98)</f>
        <v/>
      </c>
      <c r="C98" t="str">
        <f>IF(DONNEES!$E98="","",DONNEES!C98)</f>
        <v/>
      </c>
      <c r="D98" t="str">
        <f>IF(DONNEES!$E98="","",DONNEES!E98)</f>
        <v/>
      </c>
      <c r="E98" t="str">
        <f>IF(DONNEES!$E98="","",DONNEES!F98)</f>
        <v/>
      </c>
      <c r="F98" t="str">
        <f>IF(DONNEES!$E98="","",DONNEES!G98)</f>
        <v/>
      </c>
      <c r="G98" t="str">
        <f>IF(DONNEES!$E98="","",DONNEES!H98)</f>
        <v/>
      </c>
      <c r="H98" t="str">
        <f>IF(DONNEES!$E98="","",DONNEES!I98)</f>
        <v/>
      </c>
      <c r="I98" t="str">
        <f>IF(DONNEES!$E98="","",DONNEES!J98)</f>
        <v/>
      </c>
      <c r="J98" t="str">
        <f>IF(DONNEES!$E98="","",DONNEES!K98)</f>
        <v/>
      </c>
      <c r="K98" t="str">
        <f>IF(DONNEES!$E98="","",DONNEES!L98)</f>
        <v/>
      </c>
      <c r="L98" t="str">
        <f>IF(DONNEES!$E98="","",DONNEES!M98)</f>
        <v/>
      </c>
      <c r="M98" t="str">
        <f>IF(DONNEES!$E98="","",DONNEES!N98)</f>
        <v/>
      </c>
      <c r="N98" t="str">
        <f>IF(DONNEES!$E98="","",DONNEES!O98)</f>
        <v/>
      </c>
      <c r="O98" t="str">
        <f>IF(DONNEES!$E98="","",DONNEES!P98)</f>
        <v/>
      </c>
      <c r="P98" t="str">
        <f>IF(DONNEES!$E98="","",DONNEES!Q98)</f>
        <v/>
      </c>
      <c r="Q98" t="str">
        <f>IF(DONNEES!$E98="","",DONNEES!R98)</f>
        <v/>
      </c>
      <c r="R98" t="str">
        <f>IF(DONNEES!$E98="","",DONNEES!S98)</f>
        <v/>
      </c>
      <c r="S98" t="str">
        <f>IF(DONNEES!$E98="","",DONNEES!T98)</f>
        <v/>
      </c>
      <c r="T98" t="str">
        <f>IF(DONNEES!$E98="","",DONNEES!U98)</f>
        <v/>
      </c>
      <c r="U98" t="str">
        <f>IF(DONNEES!$E98="","",DONNEES!V98)</f>
        <v/>
      </c>
      <c r="V98" t="str">
        <f>IF(DONNEES!$E98="","",DONNEES!W98)</f>
        <v/>
      </c>
      <c r="W98" t="str">
        <f>IF(DONNEES!$E98="","",DONNEES!X98)</f>
        <v/>
      </c>
      <c r="X98" t="str">
        <f>IF(DONNEES!$E98="","",DONNEES!Y98)</f>
        <v/>
      </c>
      <c r="Y98" t="str">
        <f>IF(DONNEES!$E98="","",DONNEES!Z98)</f>
        <v/>
      </c>
      <c r="Z98" t="str">
        <f>IF(DONNEES!$E98="","",DONNEES!AQ98)</f>
        <v/>
      </c>
    </row>
    <row r="99" spans="1:26" ht="15" customHeight="1" x14ac:dyDescent="0.3">
      <c r="A99" t="str">
        <f>IF(DONNEES!$E99="","",DONNEES!A99)</f>
        <v/>
      </c>
      <c r="B99" t="str">
        <f>IF(DONNEES!$E99="","",DONNEES!B99)</f>
        <v/>
      </c>
      <c r="C99" t="str">
        <f>IF(DONNEES!$E99="","",DONNEES!C99)</f>
        <v/>
      </c>
      <c r="D99" t="str">
        <f>IF(DONNEES!$E99="","",DONNEES!E99)</f>
        <v/>
      </c>
      <c r="E99" t="str">
        <f>IF(DONNEES!$E99="","",DONNEES!F99)</f>
        <v/>
      </c>
      <c r="F99" t="str">
        <f>IF(DONNEES!$E99="","",DONNEES!G99)</f>
        <v/>
      </c>
      <c r="G99" t="str">
        <f>IF(DONNEES!$E99="","",DONNEES!H99)</f>
        <v/>
      </c>
      <c r="H99" t="str">
        <f>IF(DONNEES!$E99="","",DONNEES!I99)</f>
        <v/>
      </c>
      <c r="I99" t="str">
        <f>IF(DONNEES!$E99="","",DONNEES!J99)</f>
        <v/>
      </c>
      <c r="J99" t="str">
        <f>IF(DONNEES!$E99="","",DONNEES!K99)</f>
        <v/>
      </c>
      <c r="K99" t="str">
        <f>IF(DONNEES!$E99="","",DONNEES!L99)</f>
        <v/>
      </c>
      <c r="L99" t="str">
        <f>IF(DONNEES!$E99="","",DONNEES!M99)</f>
        <v/>
      </c>
      <c r="M99" t="str">
        <f>IF(DONNEES!$E99="","",DONNEES!N99)</f>
        <v/>
      </c>
      <c r="N99" t="str">
        <f>IF(DONNEES!$E99="","",DONNEES!O99)</f>
        <v/>
      </c>
      <c r="O99" t="str">
        <f>IF(DONNEES!$E99="","",DONNEES!P99)</f>
        <v/>
      </c>
      <c r="P99" t="str">
        <f>IF(DONNEES!$E99="","",DONNEES!Q99)</f>
        <v/>
      </c>
      <c r="Q99" t="str">
        <f>IF(DONNEES!$E99="","",DONNEES!R99)</f>
        <v/>
      </c>
      <c r="R99" t="str">
        <f>IF(DONNEES!$E99="","",DONNEES!S99)</f>
        <v/>
      </c>
      <c r="S99" t="str">
        <f>IF(DONNEES!$E99="","",DONNEES!T99)</f>
        <v/>
      </c>
      <c r="T99" t="str">
        <f>IF(DONNEES!$E99="","",DONNEES!U99)</f>
        <v/>
      </c>
      <c r="U99" t="str">
        <f>IF(DONNEES!$E99="","",DONNEES!V99)</f>
        <v/>
      </c>
      <c r="V99" t="str">
        <f>IF(DONNEES!$E99="","",DONNEES!W99)</f>
        <v/>
      </c>
      <c r="W99" t="str">
        <f>IF(DONNEES!$E99="","",DONNEES!X99)</f>
        <v/>
      </c>
      <c r="X99" t="str">
        <f>IF(DONNEES!$E99="","",DONNEES!Y99)</f>
        <v/>
      </c>
      <c r="Y99" t="str">
        <f>IF(DONNEES!$E99="","",DONNEES!Z99)</f>
        <v/>
      </c>
      <c r="Z99" t="str">
        <f>IF(DONNEES!$E99="","",DONNEES!AQ99)</f>
        <v/>
      </c>
    </row>
    <row r="100" spans="1:26" ht="15" customHeight="1" x14ac:dyDescent="0.3">
      <c r="A100" t="str">
        <f>IF(DONNEES!$E100="","",DONNEES!A100)</f>
        <v/>
      </c>
      <c r="B100" t="str">
        <f>IF(DONNEES!$E100="","",DONNEES!B100)</f>
        <v/>
      </c>
      <c r="C100" t="str">
        <f>IF(DONNEES!$E100="","",DONNEES!C100)</f>
        <v/>
      </c>
      <c r="D100" t="str">
        <f>IF(DONNEES!$E100="","",DONNEES!E100)</f>
        <v/>
      </c>
      <c r="E100" t="str">
        <f>IF(DONNEES!$E100="","",DONNEES!F100)</f>
        <v/>
      </c>
      <c r="F100" t="str">
        <f>IF(DONNEES!$E100="","",DONNEES!G100)</f>
        <v/>
      </c>
      <c r="G100" t="str">
        <f>IF(DONNEES!$E100="","",DONNEES!H100)</f>
        <v/>
      </c>
      <c r="H100" t="str">
        <f>IF(DONNEES!$E100="","",DONNEES!I100)</f>
        <v/>
      </c>
      <c r="I100" t="str">
        <f>IF(DONNEES!$E100="","",DONNEES!J100)</f>
        <v/>
      </c>
      <c r="J100" t="str">
        <f>IF(DONNEES!$E100="","",DONNEES!K100)</f>
        <v/>
      </c>
      <c r="K100" t="str">
        <f>IF(DONNEES!$E100="","",DONNEES!L100)</f>
        <v/>
      </c>
      <c r="L100" t="str">
        <f>IF(DONNEES!$E100="","",DONNEES!M100)</f>
        <v/>
      </c>
      <c r="M100" t="str">
        <f>IF(DONNEES!$E100="","",DONNEES!N100)</f>
        <v/>
      </c>
      <c r="N100" t="str">
        <f>IF(DONNEES!$E100="","",DONNEES!O100)</f>
        <v/>
      </c>
      <c r="O100" t="str">
        <f>IF(DONNEES!$E100="","",DONNEES!P100)</f>
        <v/>
      </c>
      <c r="P100" t="str">
        <f>IF(DONNEES!$E100="","",DONNEES!Q100)</f>
        <v/>
      </c>
      <c r="Q100" t="str">
        <f>IF(DONNEES!$E100="","",DONNEES!R100)</f>
        <v/>
      </c>
      <c r="R100" t="str">
        <f>IF(DONNEES!$E100="","",DONNEES!S100)</f>
        <v/>
      </c>
      <c r="S100" t="str">
        <f>IF(DONNEES!$E100="","",DONNEES!T100)</f>
        <v/>
      </c>
      <c r="T100" t="str">
        <f>IF(DONNEES!$E100="","",DONNEES!U100)</f>
        <v/>
      </c>
      <c r="U100" t="str">
        <f>IF(DONNEES!$E100="","",DONNEES!V100)</f>
        <v/>
      </c>
      <c r="V100" t="str">
        <f>IF(DONNEES!$E100="","",DONNEES!W100)</f>
        <v/>
      </c>
      <c r="W100" t="str">
        <f>IF(DONNEES!$E100="","",DONNEES!X100)</f>
        <v/>
      </c>
      <c r="X100" t="str">
        <f>IF(DONNEES!$E100="","",DONNEES!Y100)</f>
        <v/>
      </c>
      <c r="Y100" t="str">
        <f>IF(DONNEES!$E100="","",DONNEES!Z100)</f>
        <v/>
      </c>
      <c r="Z100" t="str">
        <f>IF(DONNEES!$E100="","",DONNEES!AQ100)</f>
        <v/>
      </c>
    </row>
    <row r="101" spans="1:26" ht="15" customHeight="1" x14ac:dyDescent="0.3">
      <c r="A101" t="str">
        <f>IF(DONNEES!$E101="","",DONNEES!A101)</f>
        <v/>
      </c>
      <c r="B101" t="str">
        <f>IF(DONNEES!$E101="","",DONNEES!B101)</f>
        <v/>
      </c>
      <c r="C101" t="str">
        <f>IF(DONNEES!$E101="","",DONNEES!C101)</f>
        <v/>
      </c>
      <c r="D101" t="str">
        <f>IF(DONNEES!$E101="","",DONNEES!E101)</f>
        <v/>
      </c>
      <c r="E101" t="str">
        <f>IF(DONNEES!$E101="","",DONNEES!F101)</f>
        <v/>
      </c>
      <c r="F101" t="str">
        <f>IF(DONNEES!$E101="","",DONNEES!G101)</f>
        <v/>
      </c>
      <c r="G101" t="str">
        <f>IF(DONNEES!$E101="","",DONNEES!H101)</f>
        <v/>
      </c>
      <c r="H101" t="str">
        <f>IF(DONNEES!$E101="","",DONNEES!I101)</f>
        <v/>
      </c>
      <c r="I101" t="str">
        <f>IF(DONNEES!$E101="","",DONNEES!J101)</f>
        <v/>
      </c>
      <c r="J101" t="str">
        <f>IF(DONNEES!$E101="","",DONNEES!K101)</f>
        <v/>
      </c>
      <c r="K101" t="str">
        <f>IF(DONNEES!$E101="","",DONNEES!L101)</f>
        <v/>
      </c>
      <c r="L101" t="str">
        <f>IF(DONNEES!$E101="","",DONNEES!M101)</f>
        <v/>
      </c>
      <c r="M101" t="str">
        <f>IF(DONNEES!$E101="","",DONNEES!N101)</f>
        <v/>
      </c>
      <c r="N101" t="str">
        <f>IF(DONNEES!$E101="","",DONNEES!O101)</f>
        <v/>
      </c>
      <c r="O101" t="str">
        <f>IF(DONNEES!$E101="","",DONNEES!P101)</f>
        <v/>
      </c>
      <c r="P101" t="str">
        <f>IF(DONNEES!$E101="","",DONNEES!Q101)</f>
        <v/>
      </c>
      <c r="Q101" t="str">
        <f>IF(DONNEES!$E101="","",DONNEES!R101)</f>
        <v/>
      </c>
      <c r="R101" t="str">
        <f>IF(DONNEES!$E101="","",DONNEES!S101)</f>
        <v/>
      </c>
      <c r="S101" t="str">
        <f>IF(DONNEES!$E101="","",DONNEES!T101)</f>
        <v/>
      </c>
      <c r="T101" t="str">
        <f>IF(DONNEES!$E101="","",DONNEES!U101)</f>
        <v/>
      </c>
      <c r="U101" t="str">
        <f>IF(DONNEES!$E101="","",DONNEES!V101)</f>
        <v/>
      </c>
      <c r="V101" t="str">
        <f>IF(DONNEES!$E101="","",DONNEES!W101)</f>
        <v/>
      </c>
      <c r="W101" t="str">
        <f>IF(DONNEES!$E101="","",DONNEES!X101)</f>
        <v/>
      </c>
      <c r="X101" t="str">
        <f>IF(DONNEES!$E101="","",DONNEES!Y101)</f>
        <v/>
      </c>
      <c r="Y101" t="str">
        <f>IF(DONNEES!$E101="","",DONNEES!Z101)</f>
        <v/>
      </c>
      <c r="Z101" t="str">
        <f>IF(DONNEES!$E101="","",DONNEES!AQ101)</f>
        <v/>
      </c>
    </row>
    <row r="102" spans="1:26" ht="15" customHeight="1" x14ac:dyDescent="0.3">
      <c r="A102" t="str">
        <f>IF(DONNEES!$E102="","",DONNEES!A102)</f>
        <v/>
      </c>
      <c r="B102" t="str">
        <f>IF(DONNEES!$E102="","",DONNEES!B102)</f>
        <v/>
      </c>
      <c r="C102" t="str">
        <f>IF(DONNEES!$E102="","",DONNEES!C102)</f>
        <v/>
      </c>
      <c r="D102" t="str">
        <f>IF(DONNEES!$E102="","",DONNEES!E102)</f>
        <v/>
      </c>
      <c r="E102" t="str">
        <f>IF(DONNEES!$E102="","",DONNEES!F102)</f>
        <v/>
      </c>
      <c r="F102" t="str">
        <f>IF(DONNEES!$E102="","",DONNEES!G102)</f>
        <v/>
      </c>
      <c r="G102" t="str">
        <f>IF(DONNEES!$E102="","",DONNEES!H102)</f>
        <v/>
      </c>
      <c r="H102" t="str">
        <f>IF(DONNEES!$E102="","",DONNEES!I102)</f>
        <v/>
      </c>
      <c r="I102" t="str">
        <f>IF(DONNEES!$E102="","",DONNEES!J102)</f>
        <v/>
      </c>
      <c r="J102" t="str">
        <f>IF(DONNEES!$E102="","",DONNEES!K102)</f>
        <v/>
      </c>
      <c r="K102" t="str">
        <f>IF(DONNEES!$E102="","",DONNEES!L102)</f>
        <v/>
      </c>
      <c r="L102" t="str">
        <f>IF(DONNEES!$E102="","",DONNEES!M102)</f>
        <v/>
      </c>
      <c r="M102" t="str">
        <f>IF(DONNEES!$E102="","",DONNEES!N102)</f>
        <v/>
      </c>
      <c r="N102" t="str">
        <f>IF(DONNEES!$E102="","",DONNEES!O102)</f>
        <v/>
      </c>
      <c r="O102" t="str">
        <f>IF(DONNEES!$E102="","",DONNEES!P102)</f>
        <v/>
      </c>
      <c r="P102" t="str">
        <f>IF(DONNEES!$E102="","",DONNEES!Q102)</f>
        <v/>
      </c>
      <c r="Q102" t="str">
        <f>IF(DONNEES!$E102="","",DONNEES!R102)</f>
        <v/>
      </c>
      <c r="R102" t="str">
        <f>IF(DONNEES!$E102="","",DONNEES!S102)</f>
        <v/>
      </c>
      <c r="S102" t="str">
        <f>IF(DONNEES!$E102="","",DONNEES!T102)</f>
        <v/>
      </c>
      <c r="T102" t="str">
        <f>IF(DONNEES!$E102="","",DONNEES!U102)</f>
        <v/>
      </c>
      <c r="U102" t="str">
        <f>IF(DONNEES!$E102="","",DONNEES!V102)</f>
        <v/>
      </c>
      <c r="V102" t="str">
        <f>IF(DONNEES!$E102="","",DONNEES!W102)</f>
        <v/>
      </c>
      <c r="W102" t="str">
        <f>IF(DONNEES!$E102="","",DONNEES!X102)</f>
        <v/>
      </c>
      <c r="X102" t="str">
        <f>IF(DONNEES!$E102="","",DONNEES!Y102)</f>
        <v/>
      </c>
      <c r="Y102" t="str">
        <f>IF(DONNEES!$E102="","",DONNEES!Z102)</f>
        <v/>
      </c>
      <c r="Z102" t="str">
        <f>IF(DONNEES!$E102="","",DONNEES!AQ102)</f>
        <v/>
      </c>
    </row>
    <row r="103" spans="1:26" ht="15" customHeight="1" x14ac:dyDescent="0.3">
      <c r="A103" t="str">
        <f>IF(DONNEES!$E103="","",DONNEES!A103)</f>
        <v/>
      </c>
      <c r="B103" t="str">
        <f>IF(DONNEES!$E103="","",DONNEES!B103)</f>
        <v/>
      </c>
      <c r="C103" t="str">
        <f>IF(DONNEES!$E103="","",DONNEES!C103)</f>
        <v/>
      </c>
      <c r="D103" t="str">
        <f>IF(DONNEES!$E103="","",DONNEES!E103)</f>
        <v/>
      </c>
      <c r="E103" t="str">
        <f>IF(DONNEES!$E103="","",DONNEES!F103)</f>
        <v/>
      </c>
      <c r="F103" t="str">
        <f>IF(DONNEES!$E103="","",DONNEES!G103)</f>
        <v/>
      </c>
      <c r="G103" t="str">
        <f>IF(DONNEES!$E103="","",DONNEES!H103)</f>
        <v/>
      </c>
      <c r="H103" t="str">
        <f>IF(DONNEES!$E103="","",DONNEES!I103)</f>
        <v/>
      </c>
      <c r="I103" t="str">
        <f>IF(DONNEES!$E103="","",DONNEES!J103)</f>
        <v/>
      </c>
      <c r="J103" t="str">
        <f>IF(DONNEES!$E103="","",DONNEES!K103)</f>
        <v/>
      </c>
      <c r="K103" t="str">
        <f>IF(DONNEES!$E103="","",DONNEES!L103)</f>
        <v/>
      </c>
      <c r="L103" t="str">
        <f>IF(DONNEES!$E103="","",DONNEES!M103)</f>
        <v/>
      </c>
      <c r="M103" t="str">
        <f>IF(DONNEES!$E103="","",DONNEES!N103)</f>
        <v/>
      </c>
      <c r="N103" t="str">
        <f>IF(DONNEES!$E103="","",DONNEES!O103)</f>
        <v/>
      </c>
      <c r="O103" t="str">
        <f>IF(DONNEES!$E103="","",DONNEES!P103)</f>
        <v/>
      </c>
      <c r="P103" t="str">
        <f>IF(DONNEES!$E103="","",DONNEES!Q103)</f>
        <v/>
      </c>
      <c r="Q103" t="str">
        <f>IF(DONNEES!$E103="","",DONNEES!R103)</f>
        <v/>
      </c>
      <c r="R103" t="str">
        <f>IF(DONNEES!$E103="","",DONNEES!S103)</f>
        <v/>
      </c>
      <c r="S103" t="str">
        <f>IF(DONNEES!$E103="","",DONNEES!T103)</f>
        <v/>
      </c>
      <c r="T103" t="str">
        <f>IF(DONNEES!$E103="","",DONNEES!U103)</f>
        <v/>
      </c>
      <c r="U103" t="str">
        <f>IF(DONNEES!$E103="","",DONNEES!V103)</f>
        <v/>
      </c>
      <c r="V103" t="str">
        <f>IF(DONNEES!$E103="","",DONNEES!W103)</f>
        <v/>
      </c>
      <c r="W103" t="str">
        <f>IF(DONNEES!$E103="","",DONNEES!X103)</f>
        <v/>
      </c>
      <c r="X103" t="str">
        <f>IF(DONNEES!$E103="","",DONNEES!Y103)</f>
        <v/>
      </c>
      <c r="Y103" t="str">
        <f>IF(DONNEES!$E103="","",DONNEES!Z103)</f>
        <v/>
      </c>
      <c r="Z103" t="str">
        <f>IF(DONNEES!$E103="","",DONNEES!AQ103)</f>
        <v/>
      </c>
    </row>
    <row r="104" spans="1:26" ht="15" customHeight="1" x14ac:dyDescent="0.3">
      <c r="A104" t="str">
        <f>IF(DONNEES!$E104="","",DONNEES!A104)</f>
        <v/>
      </c>
      <c r="B104" t="str">
        <f>IF(DONNEES!$E104="","",DONNEES!B104)</f>
        <v/>
      </c>
      <c r="C104" t="str">
        <f>IF(DONNEES!$E104="","",DONNEES!C104)</f>
        <v/>
      </c>
      <c r="D104" t="str">
        <f>IF(DONNEES!$E104="","",DONNEES!E104)</f>
        <v/>
      </c>
      <c r="E104" t="str">
        <f>IF(DONNEES!$E104="","",DONNEES!F104)</f>
        <v/>
      </c>
      <c r="F104" t="str">
        <f>IF(DONNEES!$E104="","",DONNEES!G104)</f>
        <v/>
      </c>
      <c r="G104" t="str">
        <f>IF(DONNEES!$E104="","",DONNEES!H104)</f>
        <v/>
      </c>
      <c r="H104" t="str">
        <f>IF(DONNEES!$E104="","",DONNEES!I104)</f>
        <v/>
      </c>
      <c r="I104" t="str">
        <f>IF(DONNEES!$E104="","",DONNEES!J104)</f>
        <v/>
      </c>
      <c r="J104" t="str">
        <f>IF(DONNEES!$E104="","",DONNEES!K104)</f>
        <v/>
      </c>
      <c r="K104" t="str">
        <f>IF(DONNEES!$E104="","",DONNEES!L104)</f>
        <v/>
      </c>
      <c r="L104" t="str">
        <f>IF(DONNEES!$E104="","",DONNEES!M104)</f>
        <v/>
      </c>
      <c r="M104" t="str">
        <f>IF(DONNEES!$E104="","",DONNEES!N104)</f>
        <v/>
      </c>
      <c r="N104" t="str">
        <f>IF(DONNEES!$E104="","",DONNEES!O104)</f>
        <v/>
      </c>
      <c r="O104" t="str">
        <f>IF(DONNEES!$E104="","",DONNEES!P104)</f>
        <v/>
      </c>
      <c r="P104" t="str">
        <f>IF(DONNEES!$E104="","",DONNEES!Q104)</f>
        <v/>
      </c>
      <c r="Q104" t="str">
        <f>IF(DONNEES!$E104="","",DONNEES!R104)</f>
        <v/>
      </c>
      <c r="R104" t="str">
        <f>IF(DONNEES!$E104="","",DONNEES!S104)</f>
        <v/>
      </c>
      <c r="S104" t="str">
        <f>IF(DONNEES!$E104="","",DONNEES!T104)</f>
        <v/>
      </c>
      <c r="T104" t="str">
        <f>IF(DONNEES!$E104="","",DONNEES!U104)</f>
        <v/>
      </c>
      <c r="U104" t="str">
        <f>IF(DONNEES!$E104="","",DONNEES!V104)</f>
        <v/>
      </c>
      <c r="V104" t="str">
        <f>IF(DONNEES!$E104="","",DONNEES!W104)</f>
        <v/>
      </c>
      <c r="W104" t="str">
        <f>IF(DONNEES!$E104="","",DONNEES!X104)</f>
        <v/>
      </c>
      <c r="X104" t="str">
        <f>IF(DONNEES!$E104="","",DONNEES!Y104)</f>
        <v/>
      </c>
      <c r="Y104" t="str">
        <f>IF(DONNEES!$E104="","",DONNEES!Z104)</f>
        <v/>
      </c>
      <c r="Z104" t="str">
        <f>IF(DONNEES!$E104="","",DONNEES!AQ104)</f>
        <v/>
      </c>
    </row>
    <row r="105" spans="1:26" ht="15" customHeight="1" x14ac:dyDescent="0.3">
      <c r="A105" t="str">
        <f>IF(DONNEES!$E105="","",DONNEES!A105)</f>
        <v/>
      </c>
      <c r="B105" t="str">
        <f>IF(DONNEES!$E105="","",DONNEES!B105)</f>
        <v/>
      </c>
      <c r="C105" t="str">
        <f>IF(DONNEES!$E105="","",DONNEES!C105)</f>
        <v/>
      </c>
      <c r="D105" t="str">
        <f>IF(DONNEES!$E105="","",DONNEES!E105)</f>
        <v/>
      </c>
      <c r="E105" t="str">
        <f>IF(DONNEES!$E105="","",DONNEES!F105)</f>
        <v/>
      </c>
      <c r="F105" t="str">
        <f>IF(DONNEES!$E105="","",DONNEES!G105)</f>
        <v/>
      </c>
      <c r="G105" t="str">
        <f>IF(DONNEES!$E105="","",DONNEES!H105)</f>
        <v/>
      </c>
      <c r="H105" t="str">
        <f>IF(DONNEES!$E105="","",DONNEES!I105)</f>
        <v/>
      </c>
      <c r="I105" t="str">
        <f>IF(DONNEES!$E105="","",DONNEES!J105)</f>
        <v/>
      </c>
      <c r="J105" t="str">
        <f>IF(DONNEES!$E105="","",DONNEES!K105)</f>
        <v/>
      </c>
      <c r="K105" t="str">
        <f>IF(DONNEES!$E105="","",DONNEES!L105)</f>
        <v/>
      </c>
      <c r="L105" t="str">
        <f>IF(DONNEES!$E105="","",DONNEES!M105)</f>
        <v/>
      </c>
      <c r="M105" t="str">
        <f>IF(DONNEES!$E105="","",DONNEES!N105)</f>
        <v/>
      </c>
      <c r="N105" t="str">
        <f>IF(DONNEES!$E105="","",DONNEES!O105)</f>
        <v/>
      </c>
      <c r="O105" t="str">
        <f>IF(DONNEES!$E105="","",DONNEES!P105)</f>
        <v/>
      </c>
      <c r="P105" t="str">
        <f>IF(DONNEES!$E105="","",DONNEES!Q105)</f>
        <v/>
      </c>
      <c r="Q105" t="str">
        <f>IF(DONNEES!$E105="","",DONNEES!R105)</f>
        <v/>
      </c>
      <c r="R105" t="str">
        <f>IF(DONNEES!$E105="","",DONNEES!S105)</f>
        <v/>
      </c>
      <c r="S105" t="str">
        <f>IF(DONNEES!$E105="","",DONNEES!T105)</f>
        <v/>
      </c>
      <c r="T105" t="str">
        <f>IF(DONNEES!$E105="","",DONNEES!U105)</f>
        <v/>
      </c>
      <c r="U105" t="str">
        <f>IF(DONNEES!$E105="","",DONNEES!V105)</f>
        <v/>
      </c>
      <c r="V105" t="str">
        <f>IF(DONNEES!$E105="","",DONNEES!W105)</f>
        <v/>
      </c>
      <c r="W105" t="str">
        <f>IF(DONNEES!$E105="","",DONNEES!X105)</f>
        <v/>
      </c>
      <c r="X105" t="str">
        <f>IF(DONNEES!$E105="","",DONNEES!Y105)</f>
        <v/>
      </c>
      <c r="Y105" t="str">
        <f>IF(DONNEES!$E105="","",DONNEES!Z105)</f>
        <v/>
      </c>
      <c r="Z105" t="str">
        <f>IF(DONNEES!$E105="","",DONNEES!AQ105)</f>
        <v/>
      </c>
    </row>
    <row r="106" spans="1:26" ht="15" customHeight="1" x14ac:dyDescent="0.3">
      <c r="A106" t="str">
        <f>IF(DONNEES!$E106="","",DONNEES!A106)</f>
        <v/>
      </c>
      <c r="B106" t="str">
        <f>IF(DONNEES!$E106="","",DONNEES!B106)</f>
        <v/>
      </c>
      <c r="C106" t="str">
        <f>IF(DONNEES!$E106="","",DONNEES!C106)</f>
        <v/>
      </c>
      <c r="D106" t="str">
        <f>IF(DONNEES!$E106="","",DONNEES!E106)</f>
        <v/>
      </c>
      <c r="E106" t="str">
        <f>IF(DONNEES!$E106="","",DONNEES!F106)</f>
        <v/>
      </c>
      <c r="F106" t="str">
        <f>IF(DONNEES!$E106="","",DONNEES!G106)</f>
        <v/>
      </c>
      <c r="G106" t="str">
        <f>IF(DONNEES!$E106="","",DONNEES!H106)</f>
        <v/>
      </c>
      <c r="H106" t="str">
        <f>IF(DONNEES!$E106="","",DONNEES!I106)</f>
        <v/>
      </c>
      <c r="I106" t="str">
        <f>IF(DONNEES!$E106="","",DONNEES!J106)</f>
        <v/>
      </c>
      <c r="J106" t="str">
        <f>IF(DONNEES!$E106="","",DONNEES!K106)</f>
        <v/>
      </c>
      <c r="K106" t="str">
        <f>IF(DONNEES!$E106="","",DONNEES!L106)</f>
        <v/>
      </c>
      <c r="L106" t="str">
        <f>IF(DONNEES!$E106="","",DONNEES!M106)</f>
        <v/>
      </c>
      <c r="M106" t="str">
        <f>IF(DONNEES!$E106="","",DONNEES!N106)</f>
        <v/>
      </c>
      <c r="N106" t="str">
        <f>IF(DONNEES!$E106="","",DONNEES!O106)</f>
        <v/>
      </c>
      <c r="O106" t="str">
        <f>IF(DONNEES!$E106="","",DONNEES!P106)</f>
        <v/>
      </c>
      <c r="P106" t="str">
        <f>IF(DONNEES!$E106="","",DONNEES!Q106)</f>
        <v/>
      </c>
      <c r="Q106" t="str">
        <f>IF(DONNEES!$E106="","",DONNEES!R106)</f>
        <v/>
      </c>
      <c r="R106" t="str">
        <f>IF(DONNEES!$E106="","",DONNEES!S106)</f>
        <v/>
      </c>
      <c r="S106" t="str">
        <f>IF(DONNEES!$E106="","",DONNEES!T106)</f>
        <v/>
      </c>
      <c r="T106" t="str">
        <f>IF(DONNEES!$E106="","",DONNEES!U106)</f>
        <v/>
      </c>
      <c r="U106" t="str">
        <f>IF(DONNEES!$E106="","",DONNEES!V106)</f>
        <v/>
      </c>
      <c r="V106" t="str">
        <f>IF(DONNEES!$E106="","",DONNEES!W106)</f>
        <v/>
      </c>
      <c r="W106" t="str">
        <f>IF(DONNEES!$E106="","",DONNEES!X106)</f>
        <v/>
      </c>
      <c r="X106" t="str">
        <f>IF(DONNEES!$E106="","",DONNEES!Y106)</f>
        <v/>
      </c>
      <c r="Y106" t="str">
        <f>IF(DONNEES!$E106="","",DONNEES!Z106)</f>
        <v/>
      </c>
      <c r="Z106" t="str">
        <f>IF(DONNEES!$E106="","",DONNEES!AQ106)</f>
        <v/>
      </c>
    </row>
    <row r="107" spans="1:26" ht="15" customHeight="1" x14ac:dyDescent="0.3">
      <c r="A107" t="str">
        <f>IF(DONNEES!$E107="","",DONNEES!A107)</f>
        <v/>
      </c>
      <c r="B107" t="str">
        <f>IF(DONNEES!$E107="","",DONNEES!B107)</f>
        <v/>
      </c>
      <c r="C107" t="str">
        <f>IF(DONNEES!$E107="","",DONNEES!C107)</f>
        <v/>
      </c>
      <c r="D107" t="str">
        <f>IF(DONNEES!$E107="","",DONNEES!E107)</f>
        <v/>
      </c>
      <c r="E107" t="str">
        <f>IF(DONNEES!$E107="","",DONNEES!F107)</f>
        <v/>
      </c>
      <c r="F107" t="str">
        <f>IF(DONNEES!$E107="","",DONNEES!G107)</f>
        <v/>
      </c>
      <c r="G107" t="str">
        <f>IF(DONNEES!$E107="","",DONNEES!H107)</f>
        <v/>
      </c>
      <c r="H107" t="str">
        <f>IF(DONNEES!$E107="","",DONNEES!I107)</f>
        <v/>
      </c>
      <c r="I107" t="str">
        <f>IF(DONNEES!$E107="","",DONNEES!J107)</f>
        <v/>
      </c>
      <c r="J107" t="str">
        <f>IF(DONNEES!$E107="","",DONNEES!K107)</f>
        <v/>
      </c>
      <c r="K107" t="str">
        <f>IF(DONNEES!$E107="","",DONNEES!L107)</f>
        <v/>
      </c>
      <c r="L107" t="str">
        <f>IF(DONNEES!$E107="","",DONNEES!M107)</f>
        <v/>
      </c>
      <c r="M107" t="str">
        <f>IF(DONNEES!$E107="","",DONNEES!N107)</f>
        <v/>
      </c>
      <c r="N107" t="str">
        <f>IF(DONNEES!$E107="","",DONNEES!O107)</f>
        <v/>
      </c>
      <c r="O107" t="str">
        <f>IF(DONNEES!$E107="","",DONNEES!P107)</f>
        <v/>
      </c>
      <c r="P107" t="str">
        <f>IF(DONNEES!$E107="","",DONNEES!Q107)</f>
        <v/>
      </c>
      <c r="Q107" t="str">
        <f>IF(DONNEES!$E107="","",DONNEES!R107)</f>
        <v/>
      </c>
      <c r="R107" t="str">
        <f>IF(DONNEES!$E107="","",DONNEES!S107)</f>
        <v/>
      </c>
      <c r="S107" t="str">
        <f>IF(DONNEES!$E107="","",DONNEES!T107)</f>
        <v/>
      </c>
      <c r="T107" t="str">
        <f>IF(DONNEES!$E107="","",DONNEES!U107)</f>
        <v/>
      </c>
      <c r="U107" t="str">
        <f>IF(DONNEES!$E107="","",DONNEES!V107)</f>
        <v/>
      </c>
      <c r="V107" t="str">
        <f>IF(DONNEES!$E107="","",DONNEES!W107)</f>
        <v/>
      </c>
      <c r="W107" t="str">
        <f>IF(DONNEES!$E107="","",DONNEES!X107)</f>
        <v/>
      </c>
      <c r="X107" t="str">
        <f>IF(DONNEES!$E107="","",DONNEES!Y107)</f>
        <v/>
      </c>
      <c r="Y107" t="str">
        <f>IF(DONNEES!$E107="","",DONNEES!Z107)</f>
        <v/>
      </c>
      <c r="Z107" t="str">
        <f>IF(DONNEES!$E107="","",DONNEES!AQ107)</f>
        <v/>
      </c>
    </row>
    <row r="108" spans="1:26" ht="15" customHeight="1" x14ac:dyDescent="0.3">
      <c r="A108" t="str">
        <f>IF(DONNEES!$E108="","",DONNEES!A108)</f>
        <v/>
      </c>
      <c r="B108" t="str">
        <f>IF(DONNEES!$E108="","",DONNEES!B108)</f>
        <v/>
      </c>
      <c r="C108" t="str">
        <f>IF(DONNEES!$E108="","",DONNEES!C108)</f>
        <v/>
      </c>
      <c r="D108" t="str">
        <f>IF(DONNEES!$E108="","",DONNEES!E108)</f>
        <v/>
      </c>
      <c r="E108" t="str">
        <f>IF(DONNEES!$E108="","",DONNEES!F108)</f>
        <v/>
      </c>
      <c r="F108" t="str">
        <f>IF(DONNEES!$E108="","",DONNEES!G108)</f>
        <v/>
      </c>
      <c r="G108" t="str">
        <f>IF(DONNEES!$E108="","",DONNEES!H108)</f>
        <v/>
      </c>
      <c r="H108" t="str">
        <f>IF(DONNEES!$E108="","",DONNEES!I108)</f>
        <v/>
      </c>
      <c r="I108" t="str">
        <f>IF(DONNEES!$E108="","",DONNEES!J108)</f>
        <v/>
      </c>
      <c r="J108" t="str">
        <f>IF(DONNEES!$E108="","",DONNEES!K108)</f>
        <v/>
      </c>
      <c r="K108" t="str">
        <f>IF(DONNEES!$E108="","",DONNEES!L108)</f>
        <v/>
      </c>
      <c r="L108" t="str">
        <f>IF(DONNEES!$E108="","",DONNEES!M108)</f>
        <v/>
      </c>
      <c r="M108" t="str">
        <f>IF(DONNEES!$E108="","",DONNEES!N108)</f>
        <v/>
      </c>
      <c r="N108" t="str">
        <f>IF(DONNEES!$E108="","",DONNEES!O108)</f>
        <v/>
      </c>
      <c r="O108" t="str">
        <f>IF(DONNEES!$E108="","",DONNEES!P108)</f>
        <v/>
      </c>
      <c r="P108" t="str">
        <f>IF(DONNEES!$E108="","",DONNEES!Q108)</f>
        <v/>
      </c>
      <c r="Q108" t="str">
        <f>IF(DONNEES!$E108="","",DONNEES!R108)</f>
        <v/>
      </c>
      <c r="R108" t="str">
        <f>IF(DONNEES!$E108="","",DONNEES!S108)</f>
        <v/>
      </c>
      <c r="S108" t="str">
        <f>IF(DONNEES!$E108="","",DONNEES!T108)</f>
        <v/>
      </c>
      <c r="T108" t="str">
        <f>IF(DONNEES!$E108="","",DONNEES!U108)</f>
        <v/>
      </c>
      <c r="U108" t="str">
        <f>IF(DONNEES!$E108="","",DONNEES!V108)</f>
        <v/>
      </c>
      <c r="V108" t="str">
        <f>IF(DONNEES!$E108="","",DONNEES!W108)</f>
        <v/>
      </c>
      <c r="W108" t="str">
        <f>IF(DONNEES!$E108="","",DONNEES!X108)</f>
        <v/>
      </c>
      <c r="X108" t="str">
        <f>IF(DONNEES!$E108="","",DONNEES!Y108)</f>
        <v/>
      </c>
      <c r="Y108" t="str">
        <f>IF(DONNEES!$E108="","",DONNEES!Z108)</f>
        <v/>
      </c>
      <c r="Z108" t="str">
        <f>IF(DONNEES!$E108="","",DONNEES!AQ108)</f>
        <v/>
      </c>
    </row>
    <row r="109" spans="1:26" ht="15" customHeight="1" x14ac:dyDescent="0.3">
      <c r="A109" t="str">
        <f>IF(DONNEES!$E109="","",DONNEES!A109)</f>
        <v/>
      </c>
      <c r="B109" t="str">
        <f>IF(DONNEES!$E109="","",DONNEES!B109)</f>
        <v/>
      </c>
      <c r="C109" t="str">
        <f>IF(DONNEES!$E109="","",DONNEES!C109)</f>
        <v/>
      </c>
      <c r="D109" t="str">
        <f>IF(DONNEES!$E109="","",DONNEES!E109)</f>
        <v/>
      </c>
      <c r="E109" t="str">
        <f>IF(DONNEES!$E109="","",DONNEES!F109)</f>
        <v/>
      </c>
      <c r="F109" t="str">
        <f>IF(DONNEES!$E109="","",DONNEES!G109)</f>
        <v/>
      </c>
      <c r="G109" t="str">
        <f>IF(DONNEES!$E109="","",DONNEES!H109)</f>
        <v/>
      </c>
      <c r="H109" t="str">
        <f>IF(DONNEES!$E109="","",DONNEES!I109)</f>
        <v/>
      </c>
      <c r="I109" t="str">
        <f>IF(DONNEES!$E109="","",DONNEES!J109)</f>
        <v/>
      </c>
      <c r="J109" t="str">
        <f>IF(DONNEES!$E109="","",DONNEES!K109)</f>
        <v/>
      </c>
      <c r="K109" t="str">
        <f>IF(DONNEES!$E109="","",DONNEES!L109)</f>
        <v/>
      </c>
      <c r="L109" t="str">
        <f>IF(DONNEES!$E109="","",DONNEES!M109)</f>
        <v/>
      </c>
      <c r="M109" t="str">
        <f>IF(DONNEES!$E109="","",DONNEES!N109)</f>
        <v/>
      </c>
      <c r="N109" t="str">
        <f>IF(DONNEES!$E109="","",DONNEES!O109)</f>
        <v/>
      </c>
      <c r="O109" t="str">
        <f>IF(DONNEES!$E109="","",DONNEES!P109)</f>
        <v/>
      </c>
      <c r="P109" t="str">
        <f>IF(DONNEES!$E109="","",DONNEES!Q109)</f>
        <v/>
      </c>
      <c r="Q109" t="str">
        <f>IF(DONNEES!$E109="","",DONNEES!R109)</f>
        <v/>
      </c>
      <c r="R109" t="str">
        <f>IF(DONNEES!$E109="","",DONNEES!S109)</f>
        <v/>
      </c>
      <c r="S109" t="str">
        <f>IF(DONNEES!$E109="","",DONNEES!T109)</f>
        <v/>
      </c>
      <c r="T109" t="str">
        <f>IF(DONNEES!$E109="","",DONNEES!U109)</f>
        <v/>
      </c>
      <c r="U109" t="str">
        <f>IF(DONNEES!$E109="","",DONNEES!V109)</f>
        <v/>
      </c>
      <c r="V109" t="str">
        <f>IF(DONNEES!$E109="","",DONNEES!W109)</f>
        <v/>
      </c>
      <c r="W109" t="str">
        <f>IF(DONNEES!$E109="","",DONNEES!X109)</f>
        <v/>
      </c>
      <c r="X109" t="str">
        <f>IF(DONNEES!$E109="","",DONNEES!Y109)</f>
        <v/>
      </c>
      <c r="Y109" t="str">
        <f>IF(DONNEES!$E109="","",DONNEES!Z109)</f>
        <v/>
      </c>
      <c r="Z109" t="str">
        <f>IF(DONNEES!$E109="","",DONNEES!AQ109)</f>
        <v/>
      </c>
    </row>
    <row r="110" spans="1:26" ht="15" customHeight="1" x14ac:dyDescent="0.3">
      <c r="A110" t="str">
        <f>IF(DONNEES!$E110="","",DONNEES!A110)</f>
        <v/>
      </c>
      <c r="B110" t="str">
        <f>IF(DONNEES!$E110="","",DONNEES!B110)</f>
        <v/>
      </c>
      <c r="C110" t="str">
        <f>IF(DONNEES!$E110="","",DONNEES!C110)</f>
        <v/>
      </c>
      <c r="D110" t="str">
        <f>IF(DONNEES!$E110="","",DONNEES!E110)</f>
        <v/>
      </c>
      <c r="E110" t="str">
        <f>IF(DONNEES!$E110="","",DONNEES!F110)</f>
        <v/>
      </c>
      <c r="F110" t="str">
        <f>IF(DONNEES!$E110="","",DONNEES!G110)</f>
        <v/>
      </c>
      <c r="G110" t="str">
        <f>IF(DONNEES!$E110="","",DONNEES!H110)</f>
        <v/>
      </c>
      <c r="H110" t="str">
        <f>IF(DONNEES!$E110="","",DONNEES!I110)</f>
        <v/>
      </c>
      <c r="I110" t="str">
        <f>IF(DONNEES!$E110="","",DONNEES!J110)</f>
        <v/>
      </c>
      <c r="J110" t="str">
        <f>IF(DONNEES!$E110="","",DONNEES!K110)</f>
        <v/>
      </c>
      <c r="K110" t="str">
        <f>IF(DONNEES!$E110="","",DONNEES!L110)</f>
        <v/>
      </c>
      <c r="L110" t="str">
        <f>IF(DONNEES!$E110="","",DONNEES!M110)</f>
        <v/>
      </c>
      <c r="M110" t="str">
        <f>IF(DONNEES!$E110="","",DONNEES!N110)</f>
        <v/>
      </c>
      <c r="N110" t="str">
        <f>IF(DONNEES!$E110="","",DONNEES!O110)</f>
        <v/>
      </c>
      <c r="O110" t="str">
        <f>IF(DONNEES!$E110="","",DONNEES!P110)</f>
        <v/>
      </c>
      <c r="P110" t="str">
        <f>IF(DONNEES!$E110="","",DONNEES!Q110)</f>
        <v/>
      </c>
      <c r="Q110" t="str">
        <f>IF(DONNEES!$E110="","",DONNEES!R110)</f>
        <v/>
      </c>
      <c r="R110" t="str">
        <f>IF(DONNEES!$E110="","",DONNEES!S110)</f>
        <v/>
      </c>
      <c r="S110" t="str">
        <f>IF(DONNEES!$E110="","",DONNEES!T110)</f>
        <v/>
      </c>
      <c r="T110" t="str">
        <f>IF(DONNEES!$E110="","",DONNEES!U110)</f>
        <v/>
      </c>
      <c r="U110" t="str">
        <f>IF(DONNEES!$E110="","",DONNEES!V110)</f>
        <v/>
      </c>
      <c r="V110" t="str">
        <f>IF(DONNEES!$E110="","",DONNEES!W110)</f>
        <v/>
      </c>
      <c r="W110" t="str">
        <f>IF(DONNEES!$E110="","",DONNEES!X110)</f>
        <v/>
      </c>
      <c r="X110" t="str">
        <f>IF(DONNEES!$E110="","",DONNEES!Y110)</f>
        <v/>
      </c>
      <c r="Y110" t="str">
        <f>IF(DONNEES!$E110="","",DONNEES!Z110)</f>
        <v/>
      </c>
      <c r="Z110" t="str">
        <f>IF(DONNEES!$E110="","",DONNEES!AQ110)</f>
        <v/>
      </c>
    </row>
    <row r="111" spans="1:26" ht="15" customHeight="1" x14ac:dyDescent="0.3">
      <c r="A111" t="str">
        <f>IF(DONNEES!$E111="","",DONNEES!A111)</f>
        <v/>
      </c>
      <c r="B111" t="str">
        <f>IF(DONNEES!$E111="","",DONNEES!B111)</f>
        <v/>
      </c>
      <c r="C111" t="str">
        <f>IF(DONNEES!$E111="","",DONNEES!C111)</f>
        <v/>
      </c>
      <c r="D111" t="str">
        <f>IF(DONNEES!$E111="","",DONNEES!E111)</f>
        <v/>
      </c>
      <c r="E111" t="str">
        <f>IF(DONNEES!$E111="","",DONNEES!F111)</f>
        <v/>
      </c>
      <c r="F111" t="str">
        <f>IF(DONNEES!$E111="","",DONNEES!G111)</f>
        <v/>
      </c>
      <c r="G111" t="str">
        <f>IF(DONNEES!$E111="","",DONNEES!H111)</f>
        <v/>
      </c>
      <c r="H111" t="str">
        <f>IF(DONNEES!$E111="","",DONNEES!I111)</f>
        <v/>
      </c>
      <c r="I111" t="str">
        <f>IF(DONNEES!$E111="","",DONNEES!J111)</f>
        <v/>
      </c>
      <c r="J111" t="str">
        <f>IF(DONNEES!$E111="","",DONNEES!K111)</f>
        <v/>
      </c>
      <c r="K111" t="str">
        <f>IF(DONNEES!$E111="","",DONNEES!L111)</f>
        <v/>
      </c>
      <c r="L111" t="str">
        <f>IF(DONNEES!$E111="","",DONNEES!M111)</f>
        <v/>
      </c>
      <c r="M111" t="str">
        <f>IF(DONNEES!$E111="","",DONNEES!N111)</f>
        <v/>
      </c>
      <c r="N111" t="str">
        <f>IF(DONNEES!$E111="","",DONNEES!O111)</f>
        <v/>
      </c>
      <c r="O111" t="str">
        <f>IF(DONNEES!$E111="","",DONNEES!P111)</f>
        <v/>
      </c>
      <c r="P111" t="str">
        <f>IF(DONNEES!$E111="","",DONNEES!Q111)</f>
        <v/>
      </c>
      <c r="Q111" t="str">
        <f>IF(DONNEES!$E111="","",DONNEES!R111)</f>
        <v/>
      </c>
      <c r="R111" t="str">
        <f>IF(DONNEES!$E111="","",DONNEES!S111)</f>
        <v/>
      </c>
      <c r="S111" t="str">
        <f>IF(DONNEES!$E111="","",DONNEES!T111)</f>
        <v/>
      </c>
      <c r="T111" t="str">
        <f>IF(DONNEES!$E111="","",DONNEES!U111)</f>
        <v/>
      </c>
      <c r="U111" t="str">
        <f>IF(DONNEES!$E111="","",DONNEES!V111)</f>
        <v/>
      </c>
      <c r="V111" t="str">
        <f>IF(DONNEES!$E111="","",DONNEES!W111)</f>
        <v/>
      </c>
      <c r="W111" t="str">
        <f>IF(DONNEES!$E111="","",DONNEES!X111)</f>
        <v/>
      </c>
      <c r="X111" t="str">
        <f>IF(DONNEES!$E111="","",DONNEES!Y111)</f>
        <v/>
      </c>
      <c r="Y111" t="str">
        <f>IF(DONNEES!$E111="","",DONNEES!Z111)</f>
        <v/>
      </c>
      <c r="Z111" t="str">
        <f>IF(DONNEES!$E111="","",DONNEES!AQ111)</f>
        <v/>
      </c>
    </row>
    <row r="112" spans="1:26" ht="15" customHeight="1" x14ac:dyDescent="0.3">
      <c r="A112" t="str">
        <f>IF(DONNEES!$E112="","",DONNEES!A112)</f>
        <v/>
      </c>
      <c r="B112" t="str">
        <f>IF(DONNEES!$E112="","",DONNEES!B112)</f>
        <v/>
      </c>
      <c r="C112" t="str">
        <f>IF(DONNEES!$E112="","",DONNEES!C112)</f>
        <v/>
      </c>
      <c r="D112" t="str">
        <f>IF(DONNEES!$E112="","",DONNEES!E112)</f>
        <v/>
      </c>
      <c r="E112" t="str">
        <f>IF(DONNEES!$E112="","",DONNEES!F112)</f>
        <v/>
      </c>
      <c r="F112" t="str">
        <f>IF(DONNEES!$E112="","",DONNEES!G112)</f>
        <v/>
      </c>
      <c r="G112" t="str">
        <f>IF(DONNEES!$E112="","",DONNEES!H112)</f>
        <v/>
      </c>
      <c r="H112" t="str">
        <f>IF(DONNEES!$E112="","",DONNEES!I112)</f>
        <v/>
      </c>
      <c r="I112" t="str">
        <f>IF(DONNEES!$E112="","",DONNEES!J112)</f>
        <v/>
      </c>
      <c r="J112" t="str">
        <f>IF(DONNEES!$E112="","",DONNEES!K112)</f>
        <v/>
      </c>
      <c r="K112" t="str">
        <f>IF(DONNEES!$E112="","",DONNEES!L112)</f>
        <v/>
      </c>
      <c r="L112" t="str">
        <f>IF(DONNEES!$E112="","",DONNEES!M112)</f>
        <v/>
      </c>
      <c r="M112" t="str">
        <f>IF(DONNEES!$E112="","",DONNEES!N112)</f>
        <v/>
      </c>
      <c r="N112" t="str">
        <f>IF(DONNEES!$E112="","",DONNEES!O112)</f>
        <v/>
      </c>
      <c r="O112" t="str">
        <f>IF(DONNEES!$E112="","",DONNEES!P112)</f>
        <v/>
      </c>
      <c r="P112" t="str">
        <f>IF(DONNEES!$E112="","",DONNEES!Q112)</f>
        <v/>
      </c>
      <c r="Q112" t="str">
        <f>IF(DONNEES!$E112="","",DONNEES!R112)</f>
        <v/>
      </c>
      <c r="R112" t="str">
        <f>IF(DONNEES!$E112="","",DONNEES!S112)</f>
        <v/>
      </c>
      <c r="S112" t="str">
        <f>IF(DONNEES!$E112="","",DONNEES!T112)</f>
        <v/>
      </c>
      <c r="T112" t="str">
        <f>IF(DONNEES!$E112="","",DONNEES!U112)</f>
        <v/>
      </c>
      <c r="U112" t="str">
        <f>IF(DONNEES!$E112="","",DONNEES!V112)</f>
        <v/>
      </c>
      <c r="V112" t="str">
        <f>IF(DONNEES!$E112="","",DONNEES!W112)</f>
        <v/>
      </c>
      <c r="W112" t="str">
        <f>IF(DONNEES!$E112="","",DONNEES!X112)</f>
        <v/>
      </c>
      <c r="X112" t="str">
        <f>IF(DONNEES!$E112="","",DONNEES!Y112)</f>
        <v/>
      </c>
      <c r="Y112" t="str">
        <f>IF(DONNEES!$E112="","",DONNEES!Z112)</f>
        <v/>
      </c>
      <c r="Z112" t="str">
        <f>IF(DONNEES!$E112="","",DONNEES!AQ112)</f>
        <v/>
      </c>
    </row>
    <row r="113" spans="1:26" ht="15" customHeight="1" x14ac:dyDescent="0.3">
      <c r="A113" t="str">
        <f>IF(DONNEES!$E113="","",DONNEES!A113)</f>
        <v/>
      </c>
      <c r="B113" t="str">
        <f>IF(DONNEES!$E113="","",DONNEES!B113)</f>
        <v/>
      </c>
      <c r="C113" t="str">
        <f>IF(DONNEES!$E113="","",DONNEES!C113)</f>
        <v/>
      </c>
      <c r="D113" t="str">
        <f>IF(DONNEES!$E113="","",DONNEES!E113)</f>
        <v/>
      </c>
      <c r="E113" t="str">
        <f>IF(DONNEES!$E113="","",DONNEES!F113)</f>
        <v/>
      </c>
      <c r="F113" t="str">
        <f>IF(DONNEES!$E113="","",DONNEES!G113)</f>
        <v/>
      </c>
      <c r="G113" t="str">
        <f>IF(DONNEES!$E113="","",DONNEES!H113)</f>
        <v/>
      </c>
      <c r="H113" t="str">
        <f>IF(DONNEES!$E113="","",DONNEES!I113)</f>
        <v/>
      </c>
      <c r="I113" t="str">
        <f>IF(DONNEES!$E113="","",DONNEES!J113)</f>
        <v/>
      </c>
      <c r="J113" t="str">
        <f>IF(DONNEES!$E113="","",DONNEES!K113)</f>
        <v/>
      </c>
      <c r="K113" t="str">
        <f>IF(DONNEES!$E113="","",DONNEES!L113)</f>
        <v/>
      </c>
      <c r="L113" t="str">
        <f>IF(DONNEES!$E113="","",DONNEES!M113)</f>
        <v/>
      </c>
      <c r="M113" t="str">
        <f>IF(DONNEES!$E113="","",DONNEES!N113)</f>
        <v/>
      </c>
      <c r="N113" t="str">
        <f>IF(DONNEES!$E113="","",DONNEES!O113)</f>
        <v/>
      </c>
      <c r="O113" t="str">
        <f>IF(DONNEES!$E113="","",DONNEES!P113)</f>
        <v/>
      </c>
      <c r="P113" t="str">
        <f>IF(DONNEES!$E113="","",DONNEES!Q113)</f>
        <v/>
      </c>
      <c r="Q113" t="str">
        <f>IF(DONNEES!$E113="","",DONNEES!R113)</f>
        <v/>
      </c>
      <c r="R113" t="str">
        <f>IF(DONNEES!$E113="","",DONNEES!S113)</f>
        <v/>
      </c>
      <c r="S113" t="str">
        <f>IF(DONNEES!$E113="","",DONNEES!T113)</f>
        <v/>
      </c>
      <c r="T113" t="str">
        <f>IF(DONNEES!$E113="","",DONNEES!U113)</f>
        <v/>
      </c>
      <c r="U113" t="str">
        <f>IF(DONNEES!$E113="","",DONNEES!V113)</f>
        <v/>
      </c>
      <c r="V113" t="str">
        <f>IF(DONNEES!$E113="","",DONNEES!W113)</f>
        <v/>
      </c>
      <c r="W113" t="str">
        <f>IF(DONNEES!$E113="","",DONNEES!X113)</f>
        <v/>
      </c>
      <c r="X113" t="str">
        <f>IF(DONNEES!$E113="","",DONNEES!Y113)</f>
        <v/>
      </c>
      <c r="Y113" t="str">
        <f>IF(DONNEES!$E113="","",DONNEES!Z113)</f>
        <v/>
      </c>
      <c r="Z113" t="str">
        <f>IF(DONNEES!$E113="","",DONNEES!AQ113)</f>
        <v/>
      </c>
    </row>
    <row r="114" spans="1:26" ht="15" customHeight="1" x14ac:dyDescent="0.3">
      <c r="A114" t="str">
        <f>IF(DONNEES!$E114="","",DONNEES!A114)</f>
        <v/>
      </c>
      <c r="B114" t="str">
        <f>IF(DONNEES!$E114="","",DONNEES!B114)</f>
        <v/>
      </c>
      <c r="C114" t="str">
        <f>IF(DONNEES!$E114="","",DONNEES!C114)</f>
        <v/>
      </c>
      <c r="D114" t="str">
        <f>IF(DONNEES!$E114="","",DONNEES!E114)</f>
        <v/>
      </c>
      <c r="E114" t="str">
        <f>IF(DONNEES!$E114="","",DONNEES!F114)</f>
        <v/>
      </c>
      <c r="F114" t="str">
        <f>IF(DONNEES!$E114="","",DONNEES!G114)</f>
        <v/>
      </c>
      <c r="G114" t="str">
        <f>IF(DONNEES!$E114="","",DONNEES!H114)</f>
        <v/>
      </c>
      <c r="H114" t="str">
        <f>IF(DONNEES!$E114="","",DONNEES!I114)</f>
        <v/>
      </c>
      <c r="I114" t="str">
        <f>IF(DONNEES!$E114="","",DONNEES!J114)</f>
        <v/>
      </c>
      <c r="J114" t="str">
        <f>IF(DONNEES!$E114="","",DONNEES!K114)</f>
        <v/>
      </c>
      <c r="K114" t="str">
        <f>IF(DONNEES!$E114="","",DONNEES!L114)</f>
        <v/>
      </c>
      <c r="L114" t="str">
        <f>IF(DONNEES!$E114="","",DONNEES!M114)</f>
        <v/>
      </c>
      <c r="M114" t="str">
        <f>IF(DONNEES!$E114="","",DONNEES!N114)</f>
        <v/>
      </c>
      <c r="N114" t="str">
        <f>IF(DONNEES!$E114="","",DONNEES!O114)</f>
        <v/>
      </c>
      <c r="O114" t="str">
        <f>IF(DONNEES!$E114="","",DONNEES!P114)</f>
        <v/>
      </c>
      <c r="P114" t="str">
        <f>IF(DONNEES!$E114="","",DONNEES!Q114)</f>
        <v/>
      </c>
      <c r="Q114" t="str">
        <f>IF(DONNEES!$E114="","",DONNEES!R114)</f>
        <v/>
      </c>
      <c r="R114" t="str">
        <f>IF(DONNEES!$E114="","",DONNEES!S114)</f>
        <v/>
      </c>
      <c r="S114" t="str">
        <f>IF(DONNEES!$E114="","",DONNEES!T114)</f>
        <v/>
      </c>
      <c r="T114" t="str">
        <f>IF(DONNEES!$E114="","",DONNEES!U114)</f>
        <v/>
      </c>
      <c r="U114" t="str">
        <f>IF(DONNEES!$E114="","",DONNEES!V114)</f>
        <v/>
      </c>
      <c r="V114" t="str">
        <f>IF(DONNEES!$E114="","",DONNEES!W114)</f>
        <v/>
      </c>
      <c r="W114" t="str">
        <f>IF(DONNEES!$E114="","",DONNEES!X114)</f>
        <v/>
      </c>
      <c r="X114" t="str">
        <f>IF(DONNEES!$E114="","",DONNEES!Y114)</f>
        <v/>
      </c>
      <c r="Y114" t="str">
        <f>IF(DONNEES!$E114="","",DONNEES!Z114)</f>
        <v/>
      </c>
      <c r="Z114" t="str">
        <f>IF(DONNEES!$E114="","",DONNEES!AQ114)</f>
        <v/>
      </c>
    </row>
    <row r="115" spans="1:26" ht="15" customHeight="1" x14ac:dyDescent="0.3">
      <c r="A115" t="str">
        <f>IF(DONNEES!$E115="","",DONNEES!A115)</f>
        <v/>
      </c>
      <c r="B115" t="str">
        <f>IF(DONNEES!$E115="","",DONNEES!B115)</f>
        <v/>
      </c>
      <c r="C115" t="str">
        <f>IF(DONNEES!$E115="","",DONNEES!C115)</f>
        <v/>
      </c>
      <c r="D115" t="str">
        <f>IF(DONNEES!$E115="","",DONNEES!E115)</f>
        <v/>
      </c>
      <c r="E115" t="str">
        <f>IF(DONNEES!$E115="","",DONNEES!F115)</f>
        <v/>
      </c>
      <c r="F115" t="str">
        <f>IF(DONNEES!$E115="","",DONNEES!G115)</f>
        <v/>
      </c>
      <c r="G115" t="str">
        <f>IF(DONNEES!$E115="","",DONNEES!H115)</f>
        <v/>
      </c>
      <c r="H115" t="str">
        <f>IF(DONNEES!$E115="","",DONNEES!I115)</f>
        <v/>
      </c>
      <c r="I115" t="str">
        <f>IF(DONNEES!$E115="","",DONNEES!J115)</f>
        <v/>
      </c>
      <c r="J115" t="str">
        <f>IF(DONNEES!$E115="","",DONNEES!K115)</f>
        <v/>
      </c>
      <c r="K115" t="str">
        <f>IF(DONNEES!$E115="","",DONNEES!L115)</f>
        <v/>
      </c>
      <c r="L115" t="str">
        <f>IF(DONNEES!$E115="","",DONNEES!M115)</f>
        <v/>
      </c>
      <c r="M115" t="str">
        <f>IF(DONNEES!$E115="","",DONNEES!N115)</f>
        <v/>
      </c>
      <c r="N115" t="str">
        <f>IF(DONNEES!$E115="","",DONNEES!O115)</f>
        <v/>
      </c>
      <c r="O115" t="str">
        <f>IF(DONNEES!$E115="","",DONNEES!P115)</f>
        <v/>
      </c>
      <c r="P115" t="str">
        <f>IF(DONNEES!$E115="","",DONNEES!Q115)</f>
        <v/>
      </c>
      <c r="Q115" t="str">
        <f>IF(DONNEES!$E115="","",DONNEES!R115)</f>
        <v/>
      </c>
      <c r="R115" t="str">
        <f>IF(DONNEES!$E115="","",DONNEES!S115)</f>
        <v/>
      </c>
      <c r="S115" t="str">
        <f>IF(DONNEES!$E115="","",DONNEES!T115)</f>
        <v/>
      </c>
      <c r="T115" t="str">
        <f>IF(DONNEES!$E115="","",DONNEES!U115)</f>
        <v/>
      </c>
      <c r="U115" t="str">
        <f>IF(DONNEES!$E115="","",DONNEES!V115)</f>
        <v/>
      </c>
      <c r="V115" t="str">
        <f>IF(DONNEES!$E115="","",DONNEES!W115)</f>
        <v/>
      </c>
      <c r="W115" t="str">
        <f>IF(DONNEES!$E115="","",DONNEES!X115)</f>
        <v/>
      </c>
      <c r="X115" t="str">
        <f>IF(DONNEES!$E115="","",DONNEES!Y115)</f>
        <v/>
      </c>
      <c r="Y115" t="str">
        <f>IF(DONNEES!$E115="","",DONNEES!Z115)</f>
        <v/>
      </c>
      <c r="Z115" t="str">
        <f>IF(DONNEES!$E115="","",DONNEES!AQ115)</f>
        <v/>
      </c>
    </row>
    <row r="116" spans="1:26" ht="15" customHeight="1" x14ac:dyDescent="0.3">
      <c r="A116" t="str">
        <f>IF(DONNEES!$E116="","",DONNEES!A116)</f>
        <v/>
      </c>
      <c r="B116" t="str">
        <f>IF(DONNEES!$E116="","",DONNEES!B116)</f>
        <v/>
      </c>
      <c r="C116" t="str">
        <f>IF(DONNEES!$E116="","",DONNEES!C116)</f>
        <v/>
      </c>
      <c r="D116" t="str">
        <f>IF(DONNEES!$E116="","",DONNEES!E116)</f>
        <v/>
      </c>
      <c r="E116" t="str">
        <f>IF(DONNEES!$E116="","",DONNEES!F116)</f>
        <v/>
      </c>
      <c r="F116" t="str">
        <f>IF(DONNEES!$E116="","",DONNEES!G116)</f>
        <v/>
      </c>
      <c r="G116" t="str">
        <f>IF(DONNEES!$E116="","",DONNEES!H116)</f>
        <v/>
      </c>
      <c r="H116" t="str">
        <f>IF(DONNEES!$E116="","",DONNEES!I116)</f>
        <v/>
      </c>
      <c r="I116" t="str">
        <f>IF(DONNEES!$E116="","",DONNEES!J116)</f>
        <v/>
      </c>
      <c r="J116" t="str">
        <f>IF(DONNEES!$E116="","",DONNEES!K116)</f>
        <v/>
      </c>
      <c r="K116" t="str">
        <f>IF(DONNEES!$E116="","",DONNEES!L116)</f>
        <v/>
      </c>
      <c r="L116" t="str">
        <f>IF(DONNEES!$E116="","",DONNEES!M116)</f>
        <v/>
      </c>
      <c r="M116" t="str">
        <f>IF(DONNEES!$E116="","",DONNEES!N116)</f>
        <v/>
      </c>
      <c r="N116" t="str">
        <f>IF(DONNEES!$E116="","",DONNEES!O116)</f>
        <v/>
      </c>
      <c r="O116" t="str">
        <f>IF(DONNEES!$E116="","",DONNEES!P116)</f>
        <v/>
      </c>
      <c r="P116" t="str">
        <f>IF(DONNEES!$E116="","",DONNEES!Q116)</f>
        <v/>
      </c>
      <c r="Q116" t="str">
        <f>IF(DONNEES!$E116="","",DONNEES!R116)</f>
        <v/>
      </c>
      <c r="R116" t="str">
        <f>IF(DONNEES!$E116="","",DONNEES!S116)</f>
        <v/>
      </c>
      <c r="S116" t="str">
        <f>IF(DONNEES!$E116="","",DONNEES!T116)</f>
        <v/>
      </c>
      <c r="T116" t="str">
        <f>IF(DONNEES!$E116="","",DONNEES!U116)</f>
        <v/>
      </c>
      <c r="U116" t="str">
        <f>IF(DONNEES!$E116="","",DONNEES!V116)</f>
        <v/>
      </c>
      <c r="V116" t="str">
        <f>IF(DONNEES!$E116="","",DONNEES!W116)</f>
        <v/>
      </c>
      <c r="W116" t="str">
        <f>IF(DONNEES!$E116="","",DONNEES!X116)</f>
        <v/>
      </c>
      <c r="X116" t="str">
        <f>IF(DONNEES!$E116="","",DONNEES!Y116)</f>
        <v/>
      </c>
      <c r="Y116" t="str">
        <f>IF(DONNEES!$E116="","",DONNEES!Z116)</f>
        <v/>
      </c>
      <c r="Z116" t="str">
        <f>IF(DONNEES!$E116="","",DONNEES!AQ116)</f>
        <v/>
      </c>
    </row>
    <row r="117" spans="1:26" ht="15" customHeight="1" x14ac:dyDescent="0.3">
      <c r="A117" t="str">
        <f>IF(DONNEES!$E117="","",DONNEES!A117)</f>
        <v/>
      </c>
      <c r="B117" t="str">
        <f>IF(DONNEES!$E117="","",DONNEES!B117)</f>
        <v/>
      </c>
      <c r="C117" t="str">
        <f>IF(DONNEES!$E117="","",DONNEES!C117)</f>
        <v/>
      </c>
      <c r="D117" t="str">
        <f>IF(DONNEES!$E117="","",DONNEES!E117)</f>
        <v/>
      </c>
      <c r="E117" t="str">
        <f>IF(DONNEES!$E117="","",DONNEES!F117)</f>
        <v/>
      </c>
      <c r="F117" t="str">
        <f>IF(DONNEES!$E117="","",DONNEES!G117)</f>
        <v/>
      </c>
      <c r="G117" t="str">
        <f>IF(DONNEES!$E117="","",DONNEES!H117)</f>
        <v/>
      </c>
      <c r="H117" t="str">
        <f>IF(DONNEES!$E117="","",DONNEES!I117)</f>
        <v/>
      </c>
      <c r="I117" t="str">
        <f>IF(DONNEES!$E117="","",DONNEES!J117)</f>
        <v/>
      </c>
      <c r="J117" t="str">
        <f>IF(DONNEES!$E117="","",DONNEES!K117)</f>
        <v/>
      </c>
      <c r="K117" t="str">
        <f>IF(DONNEES!$E117="","",DONNEES!L117)</f>
        <v/>
      </c>
      <c r="L117" t="str">
        <f>IF(DONNEES!$E117="","",DONNEES!M117)</f>
        <v/>
      </c>
      <c r="M117" t="str">
        <f>IF(DONNEES!$E117="","",DONNEES!N117)</f>
        <v/>
      </c>
      <c r="N117" t="str">
        <f>IF(DONNEES!$E117="","",DONNEES!O117)</f>
        <v/>
      </c>
      <c r="O117" t="str">
        <f>IF(DONNEES!$E117="","",DONNEES!P117)</f>
        <v/>
      </c>
      <c r="P117" t="str">
        <f>IF(DONNEES!$E117="","",DONNEES!Q117)</f>
        <v/>
      </c>
      <c r="Q117" t="str">
        <f>IF(DONNEES!$E117="","",DONNEES!R117)</f>
        <v/>
      </c>
      <c r="R117" t="str">
        <f>IF(DONNEES!$E117="","",DONNEES!S117)</f>
        <v/>
      </c>
      <c r="S117" t="str">
        <f>IF(DONNEES!$E117="","",DONNEES!T117)</f>
        <v/>
      </c>
      <c r="T117" t="str">
        <f>IF(DONNEES!$E117="","",DONNEES!U117)</f>
        <v/>
      </c>
      <c r="U117" t="str">
        <f>IF(DONNEES!$E117="","",DONNEES!V117)</f>
        <v/>
      </c>
      <c r="V117" t="str">
        <f>IF(DONNEES!$E117="","",DONNEES!W117)</f>
        <v/>
      </c>
      <c r="W117" t="str">
        <f>IF(DONNEES!$E117="","",DONNEES!X117)</f>
        <v/>
      </c>
      <c r="X117" t="str">
        <f>IF(DONNEES!$E117="","",DONNEES!Y117)</f>
        <v/>
      </c>
      <c r="Y117" t="str">
        <f>IF(DONNEES!$E117="","",DONNEES!Z117)</f>
        <v/>
      </c>
      <c r="Z117" t="str">
        <f>IF(DONNEES!$E117="","",DONNEES!AQ117)</f>
        <v/>
      </c>
    </row>
    <row r="118" spans="1:26" ht="15" customHeight="1" x14ac:dyDescent="0.3">
      <c r="A118" t="str">
        <f>IF(DONNEES!$E118="","",DONNEES!A118)</f>
        <v/>
      </c>
      <c r="B118" t="str">
        <f>IF(DONNEES!$E118="","",DONNEES!B118)</f>
        <v/>
      </c>
      <c r="C118" t="str">
        <f>IF(DONNEES!$E118="","",DONNEES!C118)</f>
        <v/>
      </c>
      <c r="D118" t="str">
        <f>IF(DONNEES!$E118="","",DONNEES!E118)</f>
        <v/>
      </c>
      <c r="E118" t="str">
        <f>IF(DONNEES!$E118="","",DONNEES!F118)</f>
        <v/>
      </c>
      <c r="F118" t="str">
        <f>IF(DONNEES!$E118="","",DONNEES!G118)</f>
        <v/>
      </c>
      <c r="G118" t="str">
        <f>IF(DONNEES!$E118="","",DONNEES!H118)</f>
        <v/>
      </c>
      <c r="H118" t="str">
        <f>IF(DONNEES!$E118="","",DONNEES!I118)</f>
        <v/>
      </c>
      <c r="I118" t="str">
        <f>IF(DONNEES!$E118="","",DONNEES!J118)</f>
        <v/>
      </c>
      <c r="J118" t="str">
        <f>IF(DONNEES!$E118="","",DONNEES!K118)</f>
        <v/>
      </c>
      <c r="K118" t="str">
        <f>IF(DONNEES!$E118="","",DONNEES!L118)</f>
        <v/>
      </c>
      <c r="L118" t="str">
        <f>IF(DONNEES!$E118="","",DONNEES!M118)</f>
        <v/>
      </c>
      <c r="M118" t="str">
        <f>IF(DONNEES!$E118="","",DONNEES!N118)</f>
        <v/>
      </c>
      <c r="N118" t="str">
        <f>IF(DONNEES!$E118="","",DONNEES!O118)</f>
        <v/>
      </c>
      <c r="O118" t="str">
        <f>IF(DONNEES!$E118="","",DONNEES!P118)</f>
        <v/>
      </c>
      <c r="P118" t="str">
        <f>IF(DONNEES!$E118="","",DONNEES!Q118)</f>
        <v/>
      </c>
      <c r="Q118" t="str">
        <f>IF(DONNEES!$E118="","",DONNEES!R118)</f>
        <v/>
      </c>
      <c r="R118" t="str">
        <f>IF(DONNEES!$E118="","",DONNEES!S118)</f>
        <v/>
      </c>
      <c r="S118" t="str">
        <f>IF(DONNEES!$E118="","",DONNEES!T118)</f>
        <v/>
      </c>
      <c r="T118" t="str">
        <f>IF(DONNEES!$E118="","",DONNEES!U118)</f>
        <v/>
      </c>
      <c r="U118" t="str">
        <f>IF(DONNEES!$E118="","",DONNEES!V118)</f>
        <v/>
      </c>
      <c r="V118" t="str">
        <f>IF(DONNEES!$E118="","",DONNEES!W118)</f>
        <v/>
      </c>
      <c r="W118" t="str">
        <f>IF(DONNEES!$E118="","",DONNEES!X118)</f>
        <v/>
      </c>
      <c r="X118" t="str">
        <f>IF(DONNEES!$E118="","",DONNEES!Y118)</f>
        <v/>
      </c>
      <c r="Y118" t="str">
        <f>IF(DONNEES!$E118="","",DONNEES!Z118)</f>
        <v/>
      </c>
      <c r="Z118" t="str">
        <f>IF(DONNEES!$E118="","",DONNEES!AQ118)</f>
        <v/>
      </c>
    </row>
    <row r="119" spans="1:26" ht="15" customHeight="1" x14ac:dyDescent="0.3">
      <c r="A119" t="str">
        <f>IF(DONNEES!$E119="","",DONNEES!A119)</f>
        <v/>
      </c>
      <c r="B119" t="str">
        <f>IF(DONNEES!$E119="","",DONNEES!B119)</f>
        <v/>
      </c>
      <c r="C119" t="str">
        <f>IF(DONNEES!$E119="","",DONNEES!C119)</f>
        <v/>
      </c>
      <c r="D119" t="str">
        <f>IF(DONNEES!$E119="","",DONNEES!E119)</f>
        <v/>
      </c>
      <c r="E119" t="str">
        <f>IF(DONNEES!$E119="","",DONNEES!F119)</f>
        <v/>
      </c>
      <c r="F119" t="str">
        <f>IF(DONNEES!$E119="","",DONNEES!G119)</f>
        <v/>
      </c>
      <c r="G119" t="str">
        <f>IF(DONNEES!$E119="","",DONNEES!H119)</f>
        <v/>
      </c>
      <c r="H119" t="str">
        <f>IF(DONNEES!$E119="","",DONNEES!I119)</f>
        <v/>
      </c>
      <c r="I119" t="str">
        <f>IF(DONNEES!$E119="","",DONNEES!J119)</f>
        <v/>
      </c>
      <c r="J119" t="str">
        <f>IF(DONNEES!$E119="","",DONNEES!K119)</f>
        <v/>
      </c>
      <c r="K119" t="str">
        <f>IF(DONNEES!$E119="","",DONNEES!L119)</f>
        <v/>
      </c>
      <c r="L119" t="str">
        <f>IF(DONNEES!$E119="","",DONNEES!M119)</f>
        <v/>
      </c>
      <c r="M119" t="str">
        <f>IF(DONNEES!$E119="","",DONNEES!N119)</f>
        <v/>
      </c>
      <c r="N119" t="str">
        <f>IF(DONNEES!$E119="","",DONNEES!O119)</f>
        <v/>
      </c>
      <c r="O119" t="str">
        <f>IF(DONNEES!$E119="","",DONNEES!P119)</f>
        <v/>
      </c>
      <c r="P119" t="str">
        <f>IF(DONNEES!$E119="","",DONNEES!Q119)</f>
        <v/>
      </c>
      <c r="Q119" t="str">
        <f>IF(DONNEES!$E119="","",DONNEES!R119)</f>
        <v/>
      </c>
      <c r="R119" t="str">
        <f>IF(DONNEES!$E119="","",DONNEES!S119)</f>
        <v/>
      </c>
      <c r="S119" t="str">
        <f>IF(DONNEES!$E119="","",DONNEES!T119)</f>
        <v/>
      </c>
      <c r="T119" t="str">
        <f>IF(DONNEES!$E119="","",DONNEES!U119)</f>
        <v/>
      </c>
      <c r="U119" t="str">
        <f>IF(DONNEES!$E119="","",DONNEES!V119)</f>
        <v/>
      </c>
      <c r="V119" t="str">
        <f>IF(DONNEES!$E119="","",DONNEES!W119)</f>
        <v/>
      </c>
      <c r="W119" t="str">
        <f>IF(DONNEES!$E119="","",DONNEES!X119)</f>
        <v/>
      </c>
      <c r="X119" t="str">
        <f>IF(DONNEES!$E119="","",DONNEES!Y119)</f>
        <v/>
      </c>
      <c r="Y119" t="str">
        <f>IF(DONNEES!$E119="","",DONNEES!Z119)</f>
        <v/>
      </c>
      <c r="Z119" t="str">
        <f>IF(DONNEES!$E119="","",DONNEES!AQ119)</f>
        <v/>
      </c>
    </row>
    <row r="120" spans="1:26" ht="15" customHeight="1" x14ac:dyDescent="0.3">
      <c r="A120" t="str">
        <f>IF(DONNEES!$E120="","",DONNEES!A120)</f>
        <v/>
      </c>
      <c r="B120" t="str">
        <f>IF(DONNEES!$E120="","",DONNEES!B120)</f>
        <v/>
      </c>
      <c r="C120" t="str">
        <f>IF(DONNEES!$E120="","",DONNEES!C120)</f>
        <v/>
      </c>
      <c r="D120" t="str">
        <f>IF(DONNEES!$E120="","",DONNEES!E120)</f>
        <v/>
      </c>
      <c r="E120" t="str">
        <f>IF(DONNEES!$E120="","",DONNEES!F120)</f>
        <v/>
      </c>
      <c r="F120" t="str">
        <f>IF(DONNEES!$E120="","",DONNEES!G120)</f>
        <v/>
      </c>
      <c r="G120" t="str">
        <f>IF(DONNEES!$E120="","",DONNEES!H120)</f>
        <v/>
      </c>
      <c r="H120" t="str">
        <f>IF(DONNEES!$E120="","",DONNEES!I120)</f>
        <v/>
      </c>
      <c r="I120" t="str">
        <f>IF(DONNEES!$E120="","",DONNEES!J120)</f>
        <v/>
      </c>
      <c r="J120" t="str">
        <f>IF(DONNEES!$E120="","",DONNEES!K120)</f>
        <v/>
      </c>
      <c r="K120" t="str">
        <f>IF(DONNEES!$E120="","",DONNEES!L120)</f>
        <v/>
      </c>
      <c r="L120" t="str">
        <f>IF(DONNEES!$E120="","",DONNEES!M120)</f>
        <v/>
      </c>
      <c r="M120" t="str">
        <f>IF(DONNEES!$E120="","",DONNEES!N120)</f>
        <v/>
      </c>
      <c r="N120" t="str">
        <f>IF(DONNEES!$E120="","",DONNEES!O120)</f>
        <v/>
      </c>
      <c r="O120" t="str">
        <f>IF(DONNEES!$E120="","",DONNEES!P120)</f>
        <v/>
      </c>
      <c r="P120" t="str">
        <f>IF(DONNEES!$E120="","",DONNEES!Q120)</f>
        <v/>
      </c>
      <c r="Q120" t="str">
        <f>IF(DONNEES!$E120="","",DONNEES!R120)</f>
        <v/>
      </c>
      <c r="R120" t="str">
        <f>IF(DONNEES!$E120="","",DONNEES!S120)</f>
        <v/>
      </c>
      <c r="S120" t="str">
        <f>IF(DONNEES!$E120="","",DONNEES!T120)</f>
        <v/>
      </c>
      <c r="T120" t="str">
        <f>IF(DONNEES!$E120="","",DONNEES!U120)</f>
        <v/>
      </c>
      <c r="U120" t="str">
        <f>IF(DONNEES!$E120="","",DONNEES!V120)</f>
        <v/>
      </c>
      <c r="V120" t="str">
        <f>IF(DONNEES!$E120="","",DONNEES!W120)</f>
        <v/>
      </c>
      <c r="W120" t="str">
        <f>IF(DONNEES!$E120="","",DONNEES!X120)</f>
        <v/>
      </c>
      <c r="X120" t="str">
        <f>IF(DONNEES!$E120="","",DONNEES!Y120)</f>
        <v/>
      </c>
      <c r="Y120" t="str">
        <f>IF(DONNEES!$E120="","",DONNEES!Z120)</f>
        <v/>
      </c>
      <c r="Z120" t="str">
        <f>IF(DONNEES!$E120="","",DONNEES!AQ120)</f>
        <v/>
      </c>
    </row>
    <row r="121" spans="1:26" ht="15" customHeight="1" x14ac:dyDescent="0.3">
      <c r="A121" t="str">
        <f>IF(DONNEES!$E121="","",DONNEES!A121)</f>
        <v/>
      </c>
      <c r="B121" t="str">
        <f>IF(DONNEES!$E121="","",DONNEES!B121)</f>
        <v/>
      </c>
      <c r="C121" t="str">
        <f>IF(DONNEES!$E121="","",DONNEES!C121)</f>
        <v/>
      </c>
      <c r="D121" t="str">
        <f>IF(DONNEES!$E121="","",DONNEES!E121)</f>
        <v/>
      </c>
      <c r="E121" t="str">
        <f>IF(DONNEES!$E121="","",DONNEES!F121)</f>
        <v/>
      </c>
      <c r="F121" t="str">
        <f>IF(DONNEES!$E121="","",DONNEES!G121)</f>
        <v/>
      </c>
      <c r="G121" t="str">
        <f>IF(DONNEES!$E121="","",DONNEES!H121)</f>
        <v/>
      </c>
      <c r="H121" t="str">
        <f>IF(DONNEES!$E121="","",DONNEES!I121)</f>
        <v/>
      </c>
      <c r="I121" t="str">
        <f>IF(DONNEES!$E121="","",DONNEES!J121)</f>
        <v/>
      </c>
      <c r="J121" t="str">
        <f>IF(DONNEES!$E121="","",DONNEES!K121)</f>
        <v/>
      </c>
      <c r="K121" t="str">
        <f>IF(DONNEES!$E121="","",DONNEES!L121)</f>
        <v/>
      </c>
      <c r="L121" t="str">
        <f>IF(DONNEES!$E121="","",DONNEES!M121)</f>
        <v/>
      </c>
      <c r="M121" t="str">
        <f>IF(DONNEES!$E121="","",DONNEES!N121)</f>
        <v/>
      </c>
      <c r="N121" t="str">
        <f>IF(DONNEES!$E121="","",DONNEES!O121)</f>
        <v/>
      </c>
      <c r="O121" t="str">
        <f>IF(DONNEES!$E121="","",DONNEES!P121)</f>
        <v/>
      </c>
      <c r="P121" t="str">
        <f>IF(DONNEES!$E121="","",DONNEES!Q121)</f>
        <v/>
      </c>
      <c r="Q121" t="str">
        <f>IF(DONNEES!$E121="","",DONNEES!R121)</f>
        <v/>
      </c>
      <c r="R121" t="str">
        <f>IF(DONNEES!$E121="","",DONNEES!S121)</f>
        <v/>
      </c>
      <c r="S121" t="str">
        <f>IF(DONNEES!$E121="","",DONNEES!T121)</f>
        <v/>
      </c>
      <c r="T121" t="str">
        <f>IF(DONNEES!$E121="","",DONNEES!U121)</f>
        <v/>
      </c>
      <c r="U121" t="str">
        <f>IF(DONNEES!$E121="","",DONNEES!V121)</f>
        <v/>
      </c>
      <c r="V121" t="str">
        <f>IF(DONNEES!$E121="","",DONNEES!W121)</f>
        <v/>
      </c>
      <c r="W121" t="str">
        <f>IF(DONNEES!$E121="","",DONNEES!X121)</f>
        <v/>
      </c>
      <c r="X121" t="str">
        <f>IF(DONNEES!$E121="","",DONNEES!Y121)</f>
        <v/>
      </c>
      <c r="Y121" t="str">
        <f>IF(DONNEES!$E121="","",DONNEES!Z121)</f>
        <v/>
      </c>
      <c r="Z121" t="str">
        <f>IF(DONNEES!$E121="","",DONNEES!AQ121)</f>
        <v/>
      </c>
    </row>
    <row r="122" spans="1:26" ht="15" customHeight="1" x14ac:dyDescent="0.3">
      <c r="A122" t="str">
        <f>IF(DONNEES!$E122="","",DONNEES!A122)</f>
        <v/>
      </c>
      <c r="B122" t="str">
        <f>IF(DONNEES!$E122="","",DONNEES!B122)</f>
        <v/>
      </c>
      <c r="C122" t="str">
        <f>IF(DONNEES!$E122="","",DONNEES!C122)</f>
        <v/>
      </c>
      <c r="D122" t="str">
        <f>IF(DONNEES!$E122="","",DONNEES!E122)</f>
        <v/>
      </c>
      <c r="E122" t="str">
        <f>IF(DONNEES!$E122="","",DONNEES!F122)</f>
        <v/>
      </c>
      <c r="F122" t="str">
        <f>IF(DONNEES!$E122="","",DONNEES!G122)</f>
        <v/>
      </c>
      <c r="G122" t="str">
        <f>IF(DONNEES!$E122="","",DONNEES!H122)</f>
        <v/>
      </c>
      <c r="H122" t="str">
        <f>IF(DONNEES!$E122="","",DONNEES!I122)</f>
        <v/>
      </c>
      <c r="I122" t="str">
        <f>IF(DONNEES!$E122="","",DONNEES!J122)</f>
        <v/>
      </c>
      <c r="J122" t="str">
        <f>IF(DONNEES!$E122="","",DONNEES!K122)</f>
        <v/>
      </c>
      <c r="K122" t="str">
        <f>IF(DONNEES!$E122="","",DONNEES!L122)</f>
        <v/>
      </c>
      <c r="L122" t="str">
        <f>IF(DONNEES!$E122="","",DONNEES!M122)</f>
        <v/>
      </c>
      <c r="M122" t="str">
        <f>IF(DONNEES!$E122="","",DONNEES!N122)</f>
        <v/>
      </c>
      <c r="N122" t="str">
        <f>IF(DONNEES!$E122="","",DONNEES!O122)</f>
        <v/>
      </c>
      <c r="O122" t="str">
        <f>IF(DONNEES!$E122="","",DONNEES!P122)</f>
        <v/>
      </c>
      <c r="P122" t="str">
        <f>IF(DONNEES!$E122="","",DONNEES!Q122)</f>
        <v/>
      </c>
      <c r="Q122" t="str">
        <f>IF(DONNEES!$E122="","",DONNEES!R122)</f>
        <v/>
      </c>
      <c r="R122" t="str">
        <f>IF(DONNEES!$E122="","",DONNEES!S122)</f>
        <v/>
      </c>
      <c r="S122" t="str">
        <f>IF(DONNEES!$E122="","",DONNEES!T122)</f>
        <v/>
      </c>
      <c r="T122" t="str">
        <f>IF(DONNEES!$E122="","",DONNEES!U122)</f>
        <v/>
      </c>
      <c r="U122" t="str">
        <f>IF(DONNEES!$E122="","",DONNEES!V122)</f>
        <v/>
      </c>
      <c r="V122" t="str">
        <f>IF(DONNEES!$E122="","",DONNEES!W122)</f>
        <v/>
      </c>
      <c r="W122" t="str">
        <f>IF(DONNEES!$E122="","",DONNEES!X122)</f>
        <v/>
      </c>
      <c r="X122" t="str">
        <f>IF(DONNEES!$E122="","",DONNEES!Y122)</f>
        <v/>
      </c>
      <c r="Y122" t="str">
        <f>IF(DONNEES!$E122="","",DONNEES!Z122)</f>
        <v/>
      </c>
      <c r="Z122" t="str">
        <f>IF(DONNEES!$E122="","",DONNEES!AQ122)</f>
        <v/>
      </c>
    </row>
    <row r="123" spans="1:26" ht="15" customHeight="1" x14ac:dyDescent="0.3">
      <c r="A123" t="str">
        <f>IF(DONNEES!$E123="","",DONNEES!A123)</f>
        <v/>
      </c>
      <c r="B123" t="str">
        <f>IF(DONNEES!$E123="","",DONNEES!B123)</f>
        <v/>
      </c>
      <c r="C123" t="str">
        <f>IF(DONNEES!$E123="","",DONNEES!C123)</f>
        <v/>
      </c>
      <c r="D123" t="str">
        <f>IF(DONNEES!$E123="","",DONNEES!E123)</f>
        <v/>
      </c>
      <c r="E123" t="str">
        <f>IF(DONNEES!$E123="","",DONNEES!F123)</f>
        <v/>
      </c>
      <c r="F123" t="str">
        <f>IF(DONNEES!$E123="","",DONNEES!G123)</f>
        <v/>
      </c>
      <c r="G123" t="str">
        <f>IF(DONNEES!$E123="","",DONNEES!H123)</f>
        <v/>
      </c>
      <c r="H123" t="str">
        <f>IF(DONNEES!$E123="","",DONNEES!I123)</f>
        <v/>
      </c>
      <c r="I123" t="str">
        <f>IF(DONNEES!$E123="","",DONNEES!J123)</f>
        <v/>
      </c>
      <c r="J123" t="str">
        <f>IF(DONNEES!$E123="","",DONNEES!K123)</f>
        <v/>
      </c>
      <c r="K123" t="str">
        <f>IF(DONNEES!$E123="","",DONNEES!L123)</f>
        <v/>
      </c>
      <c r="L123" t="str">
        <f>IF(DONNEES!$E123="","",DONNEES!M123)</f>
        <v/>
      </c>
      <c r="M123" t="str">
        <f>IF(DONNEES!$E123="","",DONNEES!N123)</f>
        <v/>
      </c>
      <c r="N123" t="str">
        <f>IF(DONNEES!$E123="","",DONNEES!O123)</f>
        <v/>
      </c>
      <c r="O123" t="str">
        <f>IF(DONNEES!$E123="","",DONNEES!P123)</f>
        <v/>
      </c>
      <c r="P123" t="str">
        <f>IF(DONNEES!$E123="","",DONNEES!Q123)</f>
        <v/>
      </c>
      <c r="Q123" t="str">
        <f>IF(DONNEES!$E123="","",DONNEES!R123)</f>
        <v/>
      </c>
      <c r="R123" t="str">
        <f>IF(DONNEES!$E123="","",DONNEES!S123)</f>
        <v/>
      </c>
      <c r="S123" t="str">
        <f>IF(DONNEES!$E123="","",DONNEES!T123)</f>
        <v/>
      </c>
      <c r="T123" t="str">
        <f>IF(DONNEES!$E123="","",DONNEES!U123)</f>
        <v/>
      </c>
      <c r="U123" t="str">
        <f>IF(DONNEES!$E123="","",DONNEES!V123)</f>
        <v/>
      </c>
      <c r="V123" t="str">
        <f>IF(DONNEES!$E123="","",DONNEES!W123)</f>
        <v/>
      </c>
      <c r="W123" t="str">
        <f>IF(DONNEES!$E123="","",DONNEES!X123)</f>
        <v/>
      </c>
      <c r="X123" t="str">
        <f>IF(DONNEES!$E123="","",DONNEES!Y123)</f>
        <v/>
      </c>
      <c r="Y123" t="str">
        <f>IF(DONNEES!$E123="","",DONNEES!Z123)</f>
        <v/>
      </c>
      <c r="Z123" t="str">
        <f>IF(DONNEES!$E123="","",DONNEES!AQ123)</f>
        <v/>
      </c>
    </row>
    <row r="124" spans="1:26" ht="15" customHeight="1" x14ac:dyDescent="0.3">
      <c r="A124" t="str">
        <f>IF(DONNEES!$E124="","",DONNEES!A124)</f>
        <v/>
      </c>
      <c r="B124" t="str">
        <f>IF(DONNEES!$E124="","",DONNEES!B124)</f>
        <v/>
      </c>
      <c r="C124" t="str">
        <f>IF(DONNEES!$E124="","",DONNEES!C124)</f>
        <v/>
      </c>
      <c r="D124" t="str">
        <f>IF(DONNEES!$E124="","",DONNEES!E124)</f>
        <v/>
      </c>
      <c r="E124" t="str">
        <f>IF(DONNEES!$E124="","",DONNEES!F124)</f>
        <v/>
      </c>
      <c r="F124" t="str">
        <f>IF(DONNEES!$E124="","",DONNEES!G124)</f>
        <v/>
      </c>
      <c r="G124" t="str">
        <f>IF(DONNEES!$E124="","",DONNEES!H124)</f>
        <v/>
      </c>
      <c r="H124" t="str">
        <f>IF(DONNEES!$E124="","",DONNEES!I124)</f>
        <v/>
      </c>
      <c r="I124" t="str">
        <f>IF(DONNEES!$E124="","",DONNEES!J124)</f>
        <v/>
      </c>
      <c r="J124" t="str">
        <f>IF(DONNEES!$E124="","",DONNEES!K124)</f>
        <v/>
      </c>
      <c r="K124" t="str">
        <f>IF(DONNEES!$E124="","",DONNEES!L124)</f>
        <v/>
      </c>
      <c r="L124" t="str">
        <f>IF(DONNEES!$E124="","",DONNEES!M124)</f>
        <v/>
      </c>
      <c r="M124" t="str">
        <f>IF(DONNEES!$E124="","",DONNEES!N124)</f>
        <v/>
      </c>
      <c r="N124" t="str">
        <f>IF(DONNEES!$E124="","",DONNEES!O124)</f>
        <v/>
      </c>
      <c r="O124" t="str">
        <f>IF(DONNEES!$E124="","",DONNEES!P124)</f>
        <v/>
      </c>
      <c r="P124" t="str">
        <f>IF(DONNEES!$E124="","",DONNEES!Q124)</f>
        <v/>
      </c>
      <c r="Q124" t="str">
        <f>IF(DONNEES!$E124="","",DONNEES!R124)</f>
        <v/>
      </c>
      <c r="R124" t="str">
        <f>IF(DONNEES!$E124="","",DONNEES!S124)</f>
        <v/>
      </c>
      <c r="S124" t="str">
        <f>IF(DONNEES!$E124="","",DONNEES!T124)</f>
        <v/>
      </c>
      <c r="T124" t="str">
        <f>IF(DONNEES!$E124="","",DONNEES!U124)</f>
        <v/>
      </c>
      <c r="U124" t="str">
        <f>IF(DONNEES!$E124="","",DONNEES!V124)</f>
        <v/>
      </c>
      <c r="V124" t="str">
        <f>IF(DONNEES!$E124="","",DONNEES!W124)</f>
        <v/>
      </c>
      <c r="W124" t="str">
        <f>IF(DONNEES!$E124="","",DONNEES!X124)</f>
        <v/>
      </c>
      <c r="X124" t="str">
        <f>IF(DONNEES!$E124="","",DONNEES!Y124)</f>
        <v/>
      </c>
      <c r="Y124" t="str">
        <f>IF(DONNEES!$E124="","",DONNEES!Z124)</f>
        <v/>
      </c>
      <c r="Z124" t="str">
        <f>IF(DONNEES!$E124="","",DONNEES!AQ124)</f>
        <v/>
      </c>
    </row>
    <row r="125" spans="1:26" ht="15" customHeight="1" x14ac:dyDescent="0.3">
      <c r="A125" t="str">
        <f>IF(DONNEES!$E125="","",DONNEES!A125)</f>
        <v/>
      </c>
      <c r="B125" t="str">
        <f>IF(DONNEES!$E125="","",DONNEES!B125)</f>
        <v/>
      </c>
      <c r="C125" t="str">
        <f>IF(DONNEES!$E125="","",DONNEES!C125)</f>
        <v/>
      </c>
      <c r="D125" t="str">
        <f>IF(DONNEES!$E125="","",DONNEES!E125)</f>
        <v/>
      </c>
      <c r="E125" t="str">
        <f>IF(DONNEES!$E125="","",DONNEES!F125)</f>
        <v/>
      </c>
      <c r="F125" t="str">
        <f>IF(DONNEES!$E125="","",DONNEES!G125)</f>
        <v/>
      </c>
      <c r="G125" t="str">
        <f>IF(DONNEES!$E125="","",DONNEES!H125)</f>
        <v/>
      </c>
      <c r="H125" t="str">
        <f>IF(DONNEES!$E125="","",DONNEES!I125)</f>
        <v/>
      </c>
      <c r="I125" t="str">
        <f>IF(DONNEES!$E125="","",DONNEES!J125)</f>
        <v/>
      </c>
      <c r="J125" t="str">
        <f>IF(DONNEES!$E125="","",DONNEES!K125)</f>
        <v/>
      </c>
      <c r="K125" t="str">
        <f>IF(DONNEES!$E125="","",DONNEES!L125)</f>
        <v/>
      </c>
      <c r="L125" t="str">
        <f>IF(DONNEES!$E125="","",DONNEES!M125)</f>
        <v/>
      </c>
      <c r="M125" t="str">
        <f>IF(DONNEES!$E125="","",DONNEES!N125)</f>
        <v/>
      </c>
      <c r="N125" t="str">
        <f>IF(DONNEES!$E125="","",DONNEES!O125)</f>
        <v/>
      </c>
      <c r="O125" t="str">
        <f>IF(DONNEES!$E125="","",DONNEES!P125)</f>
        <v/>
      </c>
      <c r="P125" t="str">
        <f>IF(DONNEES!$E125="","",DONNEES!Q125)</f>
        <v/>
      </c>
      <c r="Q125" t="str">
        <f>IF(DONNEES!$E125="","",DONNEES!R125)</f>
        <v/>
      </c>
      <c r="R125" t="str">
        <f>IF(DONNEES!$E125="","",DONNEES!S125)</f>
        <v/>
      </c>
      <c r="S125" t="str">
        <f>IF(DONNEES!$E125="","",DONNEES!T125)</f>
        <v/>
      </c>
      <c r="T125" t="str">
        <f>IF(DONNEES!$E125="","",DONNEES!U125)</f>
        <v/>
      </c>
      <c r="U125" t="str">
        <f>IF(DONNEES!$E125="","",DONNEES!V125)</f>
        <v/>
      </c>
      <c r="V125" t="str">
        <f>IF(DONNEES!$E125="","",DONNEES!W125)</f>
        <v/>
      </c>
      <c r="W125" t="str">
        <f>IF(DONNEES!$E125="","",DONNEES!X125)</f>
        <v/>
      </c>
      <c r="X125" t="str">
        <f>IF(DONNEES!$E125="","",DONNEES!Y125)</f>
        <v/>
      </c>
      <c r="Y125" t="str">
        <f>IF(DONNEES!$E125="","",DONNEES!Z125)</f>
        <v/>
      </c>
      <c r="Z125" t="str">
        <f>IF(DONNEES!$E125="","",DONNEES!AQ125)</f>
        <v/>
      </c>
    </row>
    <row r="126" spans="1:26" ht="15" customHeight="1" x14ac:dyDescent="0.3">
      <c r="A126" t="str">
        <f>IF(DONNEES!$E126="","",DONNEES!A126)</f>
        <v/>
      </c>
      <c r="B126" t="str">
        <f>IF(DONNEES!$E126="","",DONNEES!B126)</f>
        <v/>
      </c>
      <c r="C126" t="str">
        <f>IF(DONNEES!$E126="","",DONNEES!C126)</f>
        <v/>
      </c>
      <c r="D126" t="str">
        <f>IF(DONNEES!$E126="","",DONNEES!E126)</f>
        <v/>
      </c>
      <c r="E126" t="str">
        <f>IF(DONNEES!$E126="","",DONNEES!F126)</f>
        <v/>
      </c>
      <c r="F126" t="str">
        <f>IF(DONNEES!$E126="","",DONNEES!G126)</f>
        <v/>
      </c>
      <c r="G126" t="str">
        <f>IF(DONNEES!$E126="","",DONNEES!H126)</f>
        <v/>
      </c>
      <c r="H126" t="str">
        <f>IF(DONNEES!$E126="","",DONNEES!I126)</f>
        <v/>
      </c>
      <c r="I126" t="str">
        <f>IF(DONNEES!$E126="","",DONNEES!J126)</f>
        <v/>
      </c>
      <c r="J126" t="str">
        <f>IF(DONNEES!$E126="","",DONNEES!K126)</f>
        <v/>
      </c>
      <c r="K126" t="str">
        <f>IF(DONNEES!$E126="","",DONNEES!L126)</f>
        <v/>
      </c>
      <c r="L126" t="str">
        <f>IF(DONNEES!$E126="","",DONNEES!M126)</f>
        <v/>
      </c>
      <c r="M126" t="str">
        <f>IF(DONNEES!$E126="","",DONNEES!N126)</f>
        <v/>
      </c>
      <c r="N126" t="str">
        <f>IF(DONNEES!$E126="","",DONNEES!O126)</f>
        <v/>
      </c>
      <c r="O126" t="str">
        <f>IF(DONNEES!$E126="","",DONNEES!P126)</f>
        <v/>
      </c>
      <c r="P126" t="str">
        <f>IF(DONNEES!$E126="","",DONNEES!Q126)</f>
        <v/>
      </c>
      <c r="Q126" t="str">
        <f>IF(DONNEES!$E126="","",DONNEES!R126)</f>
        <v/>
      </c>
      <c r="R126" t="str">
        <f>IF(DONNEES!$E126="","",DONNEES!S126)</f>
        <v/>
      </c>
      <c r="S126" t="str">
        <f>IF(DONNEES!$E126="","",DONNEES!T126)</f>
        <v/>
      </c>
      <c r="T126" t="str">
        <f>IF(DONNEES!$E126="","",DONNEES!U126)</f>
        <v/>
      </c>
      <c r="U126" t="str">
        <f>IF(DONNEES!$E126="","",DONNEES!V126)</f>
        <v/>
      </c>
      <c r="V126" t="str">
        <f>IF(DONNEES!$E126="","",DONNEES!W126)</f>
        <v/>
      </c>
      <c r="W126" t="str">
        <f>IF(DONNEES!$E126="","",DONNEES!X126)</f>
        <v/>
      </c>
      <c r="X126" t="str">
        <f>IF(DONNEES!$E126="","",DONNEES!Y126)</f>
        <v/>
      </c>
      <c r="Y126" t="str">
        <f>IF(DONNEES!$E126="","",DONNEES!Z126)</f>
        <v/>
      </c>
      <c r="Z126" t="str">
        <f>IF(DONNEES!$E126="","",DONNEES!AQ126)</f>
        <v/>
      </c>
    </row>
    <row r="127" spans="1:26" ht="15" customHeight="1" x14ac:dyDescent="0.3">
      <c r="A127" t="str">
        <f>IF(DONNEES!$E127="","",DONNEES!A127)</f>
        <v/>
      </c>
      <c r="B127" t="str">
        <f>IF(DONNEES!$E127="","",DONNEES!B127)</f>
        <v/>
      </c>
      <c r="C127" t="str">
        <f>IF(DONNEES!$E127="","",DONNEES!C127)</f>
        <v/>
      </c>
      <c r="D127" t="str">
        <f>IF(DONNEES!$E127="","",DONNEES!E127)</f>
        <v/>
      </c>
      <c r="E127" t="str">
        <f>IF(DONNEES!$E127="","",DONNEES!F127)</f>
        <v/>
      </c>
      <c r="F127" t="str">
        <f>IF(DONNEES!$E127="","",DONNEES!G127)</f>
        <v/>
      </c>
      <c r="G127" t="str">
        <f>IF(DONNEES!$E127="","",DONNEES!H127)</f>
        <v/>
      </c>
      <c r="H127" t="str">
        <f>IF(DONNEES!$E127="","",DONNEES!I127)</f>
        <v/>
      </c>
      <c r="I127" t="str">
        <f>IF(DONNEES!$E127="","",DONNEES!J127)</f>
        <v/>
      </c>
      <c r="J127" t="str">
        <f>IF(DONNEES!$E127="","",DONNEES!K127)</f>
        <v/>
      </c>
      <c r="K127" t="str">
        <f>IF(DONNEES!$E127="","",DONNEES!L127)</f>
        <v/>
      </c>
      <c r="L127" t="str">
        <f>IF(DONNEES!$E127="","",DONNEES!M127)</f>
        <v/>
      </c>
      <c r="M127" t="str">
        <f>IF(DONNEES!$E127="","",DONNEES!N127)</f>
        <v/>
      </c>
      <c r="N127" t="str">
        <f>IF(DONNEES!$E127="","",DONNEES!O127)</f>
        <v/>
      </c>
      <c r="O127" t="str">
        <f>IF(DONNEES!$E127="","",DONNEES!P127)</f>
        <v/>
      </c>
      <c r="P127" t="str">
        <f>IF(DONNEES!$E127="","",DONNEES!Q127)</f>
        <v/>
      </c>
      <c r="Q127" t="str">
        <f>IF(DONNEES!$E127="","",DONNEES!R127)</f>
        <v/>
      </c>
      <c r="R127" t="str">
        <f>IF(DONNEES!$E127="","",DONNEES!S127)</f>
        <v/>
      </c>
      <c r="S127" t="str">
        <f>IF(DONNEES!$E127="","",DONNEES!T127)</f>
        <v/>
      </c>
      <c r="T127" t="str">
        <f>IF(DONNEES!$E127="","",DONNEES!U127)</f>
        <v/>
      </c>
      <c r="U127" t="str">
        <f>IF(DONNEES!$E127="","",DONNEES!V127)</f>
        <v/>
      </c>
      <c r="V127" t="str">
        <f>IF(DONNEES!$E127="","",DONNEES!W127)</f>
        <v/>
      </c>
      <c r="W127" t="str">
        <f>IF(DONNEES!$E127="","",DONNEES!X127)</f>
        <v/>
      </c>
      <c r="X127" t="str">
        <f>IF(DONNEES!$E127="","",DONNEES!Y127)</f>
        <v/>
      </c>
      <c r="Y127" t="str">
        <f>IF(DONNEES!$E127="","",DONNEES!Z127)</f>
        <v/>
      </c>
      <c r="Z127" t="str">
        <f>IF(DONNEES!$E127="","",DONNEES!AQ127)</f>
        <v/>
      </c>
    </row>
    <row r="128" spans="1:26" ht="15" customHeight="1" x14ac:dyDescent="0.3">
      <c r="A128" t="str">
        <f>IF(DONNEES!$E128="","",DONNEES!A128)</f>
        <v/>
      </c>
      <c r="B128" t="str">
        <f>IF(DONNEES!$E128="","",DONNEES!B128)</f>
        <v/>
      </c>
      <c r="C128" t="str">
        <f>IF(DONNEES!$E128="","",DONNEES!C128)</f>
        <v/>
      </c>
      <c r="D128" t="str">
        <f>IF(DONNEES!$E128="","",DONNEES!E128)</f>
        <v/>
      </c>
      <c r="E128" t="str">
        <f>IF(DONNEES!$E128="","",DONNEES!F128)</f>
        <v/>
      </c>
      <c r="F128" t="str">
        <f>IF(DONNEES!$E128="","",DONNEES!G128)</f>
        <v/>
      </c>
      <c r="G128" t="str">
        <f>IF(DONNEES!$E128="","",DONNEES!H128)</f>
        <v/>
      </c>
      <c r="H128" t="str">
        <f>IF(DONNEES!$E128="","",DONNEES!I128)</f>
        <v/>
      </c>
      <c r="I128" t="str">
        <f>IF(DONNEES!$E128="","",DONNEES!J128)</f>
        <v/>
      </c>
      <c r="J128" t="str">
        <f>IF(DONNEES!$E128="","",DONNEES!K128)</f>
        <v/>
      </c>
      <c r="K128" t="str">
        <f>IF(DONNEES!$E128="","",DONNEES!L128)</f>
        <v/>
      </c>
      <c r="L128" t="str">
        <f>IF(DONNEES!$E128="","",DONNEES!M128)</f>
        <v/>
      </c>
      <c r="M128" t="str">
        <f>IF(DONNEES!$E128="","",DONNEES!N128)</f>
        <v/>
      </c>
      <c r="N128" t="str">
        <f>IF(DONNEES!$E128="","",DONNEES!O128)</f>
        <v/>
      </c>
      <c r="O128" t="str">
        <f>IF(DONNEES!$E128="","",DONNEES!P128)</f>
        <v/>
      </c>
      <c r="P128" t="str">
        <f>IF(DONNEES!$E128="","",DONNEES!Q128)</f>
        <v/>
      </c>
      <c r="Q128" t="str">
        <f>IF(DONNEES!$E128="","",DONNEES!R128)</f>
        <v/>
      </c>
      <c r="R128" t="str">
        <f>IF(DONNEES!$E128="","",DONNEES!S128)</f>
        <v/>
      </c>
      <c r="S128" t="str">
        <f>IF(DONNEES!$E128="","",DONNEES!T128)</f>
        <v/>
      </c>
      <c r="T128" t="str">
        <f>IF(DONNEES!$E128="","",DONNEES!U128)</f>
        <v/>
      </c>
      <c r="U128" t="str">
        <f>IF(DONNEES!$E128="","",DONNEES!V128)</f>
        <v/>
      </c>
      <c r="V128" t="str">
        <f>IF(DONNEES!$E128="","",DONNEES!W128)</f>
        <v/>
      </c>
      <c r="W128" t="str">
        <f>IF(DONNEES!$E128="","",DONNEES!X128)</f>
        <v/>
      </c>
      <c r="X128" t="str">
        <f>IF(DONNEES!$E128="","",DONNEES!Y128)</f>
        <v/>
      </c>
      <c r="Y128" t="str">
        <f>IF(DONNEES!$E128="","",DONNEES!Z128)</f>
        <v/>
      </c>
      <c r="Z128" t="str">
        <f>IF(DONNEES!$E128="","",DONNEES!AQ128)</f>
        <v/>
      </c>
    </row>
    <row r="129" spans="1:26" ht="15" customHeight="1" x14ac:dyDescent="0.3">
      <c r="A129" t="str">
        <f>IF(DONNEES!$E129="","",DONNEES!A129)</f>
        <v/>
      </c>
      <c r="B129" t="str">
        <f>IF(DONNEES!$E129="","",DONNEES!B129)</f>
        <v/>
      </c>
      <c r="C129" t="str">
        <f>IF(DONNEES!$E129="","",DONNEES!C129)</f>
        <v/>
      </c>
      <c r="D129" t="str">
        <f>IF(DONNEES!$E129="","",DONNEES!E129)</f>
        <v/>
      </c>
      <c r="E129" t="str">
        <f>IF(DONNEES!$E129="","",DONNEES!F129)</f>
        <v/>
      </c>
      <c r="F129" t="str">
        <f>IF(DONNEES!$E129="","",DONNEES!G129)</f>
        <v/>
      </c>
      <c r="G129" t="str">
        <f>IF(DONNEES!$E129="","",DONNEES!H129)</f>
        <v/>
      </c>
      <c r="H129" t="str">
        <f>IF(DONNEES!$E129="","",DONNEES!I129)</f>
        <v/>
      </c>
      <c r="I129" t="str">
        <f>IF(DONNEES!$E129="","",DONNEES!J129)</f>
        <v/>
      </c>
      <c r="J129" t="str">
        <f>IF(DONNEES!$E129="","",DONNEES!K129)</f>
        <v/>
      </c>
      <c r="K129" t="str">
        <f>IF(DONNEES!$E129="","",DONNEES!L129)</f>
        <v/>
      </c>
      <c r="L129" t="str">
        <f>IF(DONNEES!$E129="","",DONNEES!M129)</f>
        <v/>
      </c>
      <c r="M129" t="str">
        <f>IF(DONNEES!$E129="","",DONNEES!N129)</f>
        <v/>
      </c>
      <c r="N129" t="str">
        <f>IF(DONNEES!$E129="","",DONNEES!O129)</f>
        <v/>
      </c>
      <c r="O129" t="str">
        <f>IF(DONNEES!$E129="","",DONNEES!P129)</f>
        <v/>
      </c>
      <c r="P129" t="str">
        <f>IF(DONNEES!$E129="","",DONNEES!Q129)</f>
        <v/>
      </c>
      <c r="Q129" t="str">
        <f>IF(DONNEES!$E129="","",DONNEES!R129)</f>
        <v/>
      </c>
      <c r="R129" t="str">
        <f>IF(DONNEES!$E129="","",DONNEES!S129)</f>
        <v/>
      </c>
      <c r="S129" t="str">
        <f>IF(DONNEES!$E129="","",DONNEES!T129)</f>
        <v/>
      </c>
      <c r="T129" t="str">
        <f>IF(DONNEES!$E129="","",DONNEES!U129)</f>
        <v/>
      </c>
      <c r="U129" t="str">
        <f>IF(DONNEES!$E129="","",DONNEES!V129)</f>
        <v/>
      </c>
      <c r="V129" t="str">
        <f>IF(DONNEES!$E129="","",DONNEES!W129)</f>
        <v/>
      </c>
      <c r="W129" t="str">
        <f>IF(DONNEES!$E129="","",DONNEES!X129)</f>
        <v/>
      </c>
      <c r="X129" t="str">
        <f>IF(DONNEES!$E129="","",DONNEES!Y129)</f>
        <v/>
      </c>
      <c r="Y129" t="str">
        <f>IF(DONNEES!$E129="","",DONNEES!Z129)</f>
        <v/>
      </c>
      <c r="Z129" t="str">
        <f>IF(DONNEES!$E129="","",DONNEES!AQ129)</f>
        <v/>
      </c>
    </row>
    <row r="130" spans="1:26" ht="15" customHeight="1" x14ac:dyDescent="0.3">
      <c r="A130" t="str">
        <f>IF(DONNEES!$E130="","",DONNEES!A130)</f>
        <v/>
      </c>
      <c r="B130" t="str">
        <f>IF(DONNEES!$E130="","",DONNEES!B130)</f>
        <v/>
      </c>
      <c r="C130" t="str">
        <f>IF(DONNEES!$E130="","",DONNEES!C130)</f>
        <v/>
      </c>
      <c r="D130" t="str">
        <f>IF(DONNEES!$E130="","",DONNEES!E130)</f>
        <v/>
      </c>
      <c r="E130" t="str">
        <f>IF(DONNEES!$E130="","",DONNEES!F130)</f>
        <v/>
      </c>
      <c r="F130" t="str">
        <f>IF(DONNEES!$E130="","",DONNEES!G130)</f>
        <v/>
      </c>
      <c r="G130" t="str">
        <f>IF(DONNEES!$E130="","",DONNEES!H130)</f>
        <v/>
      </c>
      <c r="H130" t="str">
        <f>IF(DONNEES!$E130="","",DONNEES!I130)</f>
        <v/>
      </c>
      <c r="I130" t="str">
        <f>IF(DONNEES!$E130="","",DONNEES!J130)</f>
        <v/>
      </c>
      <c r="J130" t="str">
        <f>IF(DONNEES!$E130="","",DONNEES!K130)</f>
        <v/>
      </c>
      <c r="K130" t="str">
        <f>IF(DONNEES!$E130="","",DONNEES!L130)</f>
        <v/>
      </c>
      <c r="L130" t="str">
        <f>IF(DONNEES!$E130="","",DONNEES!M130)</f>
        <v/>
      </c>
      <c r="M130" t="str">
        <f>IF(DONNEES!$E130="","",DONNEES!N130)</f>
        <v/>
      </c>
      <c r="N130" t="str">
        <f>IF(DONNEES!$E130="","",DONNEES!O130)</f>
        <v/>
      </c>
      <c r="O130" t="str">
        <f>IF(DONNEES!$E130="","",DONNEES!P130)</f>
        <v/>
      </c>
      <c r="P130" t="str">
        <f>IF(DONNEES!$E130="","",DONNEES!Q130)</f>
        <v/>
      </c>
      <c r="Q130" t="str">
        <f>IF(DONNEES!$E130="","",DONNEES!R130)</f>
        <v/>
      </c>
      <c r="R130" t="str">
        <f>IF(DONNEES!$E130="","",DONNEES!S130)</f>
        <v/>
      </c>
      <c r="S130" t="str">
        <f>IF(DONNEES!$E130="","",DONNEES!T130)</f>
        <v/>
      </c>
      <c r="T130" t="str">
        <f>IF(DONNEES!$E130="","",DONNEES!U130)</f>
        <v/>
      </c>
      <c r="U130" t="str">
        <f>IF(DONNEES!$E130="","",DONNEES!V130)</f>
        <v/>
      </c>
      <c r="V130" t="str">
        <f>IF(DONNEES!$E130="","",DONNEES!W130)</f>
        <v/>
      </c>
      <c r="W130" t="str">
        <f>IF(DONNEES!$E130="","",DONNEES!X130)</f>
        <v/>
      </c>
      <c r="X130" t="str">
        <f>IF(DONNEES!$E130="","",DONNEES!Y130)</f>
        <v/>
      </c>
      <c r="Y130" t="str">
        <f>IF(DONNEES!$E130="","",DONNEES!Z130)</f>
        <v/>
      </c>
      <c r="Z130" t="str">
        <f>IF(DONNEES!$E130="","",DONNEES!AQ130)</f>
        <v/>
      </c>
    </row>
    <row r="131" spans="1:26" ht="15" customHeight="1" x14ac:dyDescent="0.3">
      <c r="A131" t="str">
        <f>IF(DONNEES!$E131="","",DONNEES!A131)</f>
        <v/>
      </c>
      <c r="B131" t="str">
        <f>IF(DONNEES!$E131="","",DONNEES!B131)</f>
        <v/>
      </c>
      <c r="C131" t="str">
        <f>IF(DONNEES!$E131="","",DONNEES!C131)</f>
        <v/>
      </c>
      <c r="D131" t="str">
        <f>IF(DONNEES!$E131="","",DONNEES!E131)</f>
        <v/>
      </c>
      <c r="E131" t="str">
        <f>IF(DONNEES!$E131="","",DONNEES!F131)</f>
        <v/>
      </c>
      <c r="F131" t="str">
        <f>IF(DONNEES!$E131="","",DONNEES!G131)</f>
        <v/>
      </c>
      <c r="G131" t="str">
        <f>IF(DONNEES!$E131="","",DONNEES!H131)</f>
        <v/>
      </c>
      <c r="H131" t="str">
        <f>IF(DONNEES!$E131="","",DONNEES!I131)</f>
        <v/>
      </c>
      <c r="I131" t="str">
        <f>IF(DONNEES!$E131="","",DONNEES!J131)</f>
        <v/>
      </c>
      <c r="J131" t="str">
        <f>IF(DONNEES!$E131="","",DONNEES!K131)</f>
        <v/>
      </c>
      <c r="K131" t="str">
        <f>IF(DONNEES!$E131="","",DONNEES!L131)</f>
        <v/>
      </c>
      <c r="L131" t="str">
        <f>IF(DONNEES!$E131="","",DONNEES!M131)</f>
        <v/>
      </c>
      <c r="M131" t="str">
        <f>IF(DONNEES!$E131="","",DONNEES!N131)</f>
        <v/>
      </c>
      <c r="N131" t="str">
        <f>IF(DONNEES!$E131="","",DONNEES!O131)</f>
        <v/>
      </c>
      <c r="O131" t="str">
        <f>IF(DONNEES!$E131="","",DONNEES!P131)</f>
        <v/>
      </c>
      <c r="P131" t="str">
        <f>IF(DONNEES!$E131="","",DONNEES!Q131)</f>
        <v/>
      </c>
      <c r="Q131" t="str">
        <f>IF(DONNEES!$E131="","",DONNEES!R131)</f>
        <v/>
      </c>
      <c r="R131" t="str">
        <f>IF(DONNEES!$E131="","",DONNEES!S131)</f>
        <v/>
      </c>
      <c r="S131" t="str">
        <f>IF(DONNEES!$E131="","",DONNEES!T131)</f>
        <v/>
      </c>
      <c r="T131" t="str">
        <f>IF(DONNEES!$E131="","",DONNEES!U131)</f>
        <v/>
      </c>
      <c r="U131" t="str">
        <f>IF(DONNEES!$E131="","",DONNEES!V131)</f>
        <v/>
      </c>
      <c r="V131" t="str">
        <f>IF(DONNEES!$E131="","",DONNEES!W131)</f>
        <v/>
      </c>
      <c r="W131" t="str">
        <f>IF(DONNEES!$E131="","",DONNEES!X131)</f>
        <v/>
      </c>
      <c r="X131" t="str">
        <f>IF(DONNEES!$E131="","",DONNEES!Y131)</f>
        <v/>
      </c>
      <c r="Y131" t="str">
        <f>IF(DONNEES!$E131="","",DONNEES!Z131)</f>
        <v/>
      </c>
      <c r="Z131" t="str">
        <f>IF(DONNEES!$E131="","",DONNEES!AQ131)</f>
        <v/>
      </c>
    </row>
    <row r="132" spans="1:26" ht="15" customHeight="1" x14ac:dyDescent="0.3">
      <c r="A132" t="str">
        <f>IF(DONNEES!$E132="","",DONNEES!A132)</f>
        <v/>
      </c>
      <c r="B132" t="str">
        <f>IF(DONNEES!$E132="","",DONNEES!B132)</f>
        <v/>
      </c>
      <c r="C132" t="str">
        <f>IF(DONNEES!$E132="","",DONNEES!C132)</f>
        <v/>
      </c>
      <c r="D132" t="str">
        <f>IF(DONNEES!$E132="","",DONNEES!E132)</f>
        <v/>
      </c>
      <c r="E132" t="str">
        <f>IF(DONNEES!$E132="","",DONNEES!F132)</f>
        <v/>
      </c>
      <c r="F132" t="str">
        <f>IF(DONNEES!$E132="","",DONNEES!G132)</f>
        <v/>
      </c>
      <c r="G132" t="str">
        <f>IF(DONNEES!$E132="","",DONNEES!H132)</f>
        <v/>
      </c>
      <c r="H132" t="str">
        <f>IF(DONNEES!$E132="","",DONNEES!I132)</f>
        <v/>
      </c>
      <c r="I132" t="str">
        <f>IF(DONNEES!$E132="","",DONNEES!J132)</f>
        <v/>
      </c>
      <c r="J132" t="str">
        <f>IF(DONNEES!$E132="","",DONNEES!K132)</f>
        <v/>
      </c>
      <c r="K132" t="str">
        <f>IF(DONNEES!$E132="","",DONNEES!L132)</f>
        <v/>
      </c>
      <c r="L132" t="str">
        <f>IF(DONNEES!$E132="","",DONNEES!M132)</f>
        <v/>
      </c>
      <c r="M132" t="str">
        <f>IF(DONNEES!$E132="","",DONNEES!N132)</f>
        <v/>
      </c>
      <c r="N132" t="str">
        <f>IF(DONNEES!$E132="","",DONNEES!O132)</f>
        <v/>
      </c>
      <c r="O132" t="str">
        <f>IF(DONNEES!$E132="","",DONNEES!P132)</f>
        <v/>
      </c>
      <c r="P132" t="str">
        <f>IF(DONNEES!$E132="","",DONNEES!Q132)</f>
        <v/>
      </c>
      <c r="Q132" t="str">
        <f>IF(DONNEES!$E132="","",DONNEES!R132)</f>
        <v/>
      </c>
      <c r="R132" t="str">
        <f>IF(DONNEES!$E132="","",DONNEES!S132)</f>
        <v/>
      </c>
      <c r="S132" t="str">
        <f>IF(DONNEES!$E132="","",DONNEES!T132)</f>
        <v/>
      </c>
      <c r="T132" t="str">
        <f>IF(DONNEES!$E132="","",DONNEES!U132)</f>
        <v/>
      </c>
      <c r="U132" t="str">
        <f>IF(DONNEES!$E132="","",DONNEES!V132)</f>
        <v/>
      </c>
      <c r="V132" t="str">
        <f>IF(DONNEES!$E132="","",DONNEES!W132)</f>
        <v/>
      </c>
      <c r="W132" t="str">
        <f>IF(DONNEES!$E132="","",DONNEES!X132)</f>
        <v/>
      </c>
      <c r="X132" t="str">
        <f>IF(DONNEES!$E132="","",DONNEES!Y132)</f>
        <v/>
      </c>
      <c r="Y132" t="str">
        <f>IF(DONNEES!$E132="","",DONNEES!Z132)</f>
        <v/>
      </c>
      <c r="Z132" t="str">
        <f>IF(DONNEES!$E132="","",DONNEES!AQ132)</f>
        <v/>
      </c>
    </row>
    <row r="133" spans="1:26" ht="15" customHeight="1" x14ac:dyDescent="0.3">
      <c r="A133" t="str">
        <f>IF(DONNEES!$E133="","",DONNEES!A133)</f>
        <v/>
      </c>
      <c r="B133" t="str">
        <f>IF(DONNEES!$E133="","",DONNEES!B133)</f>
        <v/>
      </c>
      <c r="C133" t="str">
        <f>IF(DONNEES!$E133="","",DONNEES!C133)</f>
        <v/>
      </c>
      <c r="D133" t="str">
        <f>IF(DONNEES!$E133="","",DONNEES!E133)</f>
        <v/>
      </c>
      <c r="E133" t="str">
        <f>IF(DONNEES!$E133="","",DONNEES!F133)</f>
        <v/>
      </c>
      <c r="F133" t="str">
        <f>IF(DONNEES!$E133="","",DONNEES!G133)</f>
        <v/>
      </c>
      <c r="G133" t="str">
        <f>IF(DONNEES!$E133="","",DONNEES!H133)</f>
        <v/>
      </c>
      <c r="H133" t="str">
        <f>IF(DONNEES!$E133="","",DONNEES!I133)</f>
        <v/>
      </c>
      <c r="I133" t="str">
        <f>IF(DONNEES!$E133="","",DONNEES!J133)</f>
        <v/>
      </c>
      <c r="J133" t="str">
        <f>IF(DONNEES!$E133="","",DONNEES!K133)</f>
        <v/>
      </c>
      <c r="K133" t="str">
        <f>IF(DONNEES!$E133="","",DONNEES!L133)</f>
        <v/>
      </c>
      <c r="L133" t="str">
        <f>IF(DONNEES!$E133="","",DONNEES!M133)</f>
        <v/>
      </c>
      <c r="M133" t="str">
        <f>IF(DONNEES!$E133="","",DONNEES!N133)</f>
        <v/>
      </c>
      <c r="N133" t="str">
        <f>IF(DONNEES!$E133="","",DONNEES!O133)</f>
        <v/>
      </c>
      <c r="O133" t="str">
        <f>IF(DONNEES!$E133="","",DONNEES!P133)</f>
        <v/>
      </c>
      <c r="P133" t="str">
        <f>IF(DONNEES!$E133="","",DONNEES!Q133)</f>
        <v/>
      </c>
      <c r="Q133" t="str">
        <f>IF(DONNEES!$E133="","",DONNEES!R133)</f>
        <v/>
      </c>
      <c r="R133" t="str">
        <f>IF(DONNEES!$E133="","",DONNEES!S133)</f>
        <v/>
      </c>
      <c r="S133" t="str">
        <f>IF(DONNEES!$E133="","",DONNEES!T133)</f>
        <v/>
      </c>
      <c r="T133" t="str">
        <f>IF(DONNEES!$E133="","",DONNEES!U133)</f>
        <v/>
      </c>
      <c r="U133" t="str">
        <f>IF(DONNEES!$E133="","",DONNEES!V133)</f>
        <v/>
      </c>
      <c r="V133" t="str">
        <f>IF(DONNEES!$E133="","",DONNEES!W133)</f>
        <v/>
      </c>
      <c r="W133" t="str">
        <f>IF(DONNEES!$E133="","",DONNEES!X133)</f>
        <v/>
      </c>
      <c r="X133" t="str">
        <f>IF(DONNEES!$E133="","",DONNEES!Y133)</f>
        <v/>
      </c>
      <c r="Y133" t="str">
        <f>IF(DONNEES!$E133="","",DONNEES!Z133)</f>
        <v/>
      </c>
      <c r="Z133" t="str">
        <f>IF(DONNEES!$E133="","",DONNEES!AQ133)</f>
        <v/>
      </c>
    </row>
    <row r="134" spans="1:26" ht="15" customHeight="1" x14ac:dyDescent="0.3">
      <c r="A134" t="str">
        <f>IF(DONNEES!$E134="","",DONNEES!A134)</f>
        <v/>
      </c>
      <c r="B134" t="str">
        <f>IF(DONNEES!$E134="","",DONNEES!B134)</f>
        <v/>
      </c>
      <c r="C134" t="str">
        <f>IF(DONNEES!$E134="","",DONNEES!C134)</f>
        <v/>
      </c>
      <c r="D134" t="str">
        <f>IF(DONNEES!$E134="","",DONNEES!E134)</f>
        <v/>
      </c>
      <c r="E134" t="str">
        <f>IF(DONNEES!$E134="","",DONNEES!F134)</f>
        <v/>
      </c>
      <c r="F134" t="str">
        <f>IF(DONNEES!$E134="","",DONNEES!G134)</f>
        <v/>
      </c>
      <c r="G134" t="str">
        <f>IF(DONNEES!$E134="","",DONNEES!H134)</f>
        <v/>
      </c>
      <c r="H134" t="str">
        <f>IF(DONNEES!$E134="","",DONNEES!I134)</f>
        <v/>
      </c>
      <c r="I134" t="str">
        <f>IF(DONNEES!$E134="","",DONNEES!J134)</f>
        <v/>
      </c>
      <c r="J134" t="str">
        <f>IF(DONNEES!$E134="","",DONNEES!K134)</f>
        <v/>
      </c>
      <c r="K134" t="str">
        <f>IF(DONNEES!$E134="","",DONNEES!L134)</f>
        <v/>
      </c>
      <c r="L134" t="str">
        <f>IF(DONNEES!$E134="","",DONNEES!M134)</f>
        <v/>
      </c>
      <c r="M134" t="str">
        <f>IF(DONNEES!$E134="","",DONNEES!N134)</f>
        <v/>
      </c>
      <c r="N134" t="str">
        <f>IF(DONNEES!$E134="","",DONNEES!O134)</f>
        <v/>
      </c>
      <c r="O134" t="str">
        <f>IF(DONNEES!$E134="","",DONNEES!P134)</f>
        <v/>
      </c>
      <c r="P134" t="str">
        <f>IF(DONNEES!$E134="","",DONNEES!Q134)</f>
        <v/>
      </c>
      <c r="Q134" t="str">
        <f>IF(DONNEES!$E134="","",DONNEES!R134)</f>
        <v/>
      </c>
      <c r="R134" t="str">
        <f>IF(DONNEES!$E134="","",DONNEES!S134)</f>
        <v/>
      </c>
      <c r="S134" t="str">
        <f>IF(DONNEES!$E134="","",DONNEES!T134)</f>
        <v/>
      </c>
      <c r="T134" t="str">
        <f>IF(DONNEES!$E134="","",DONNEES!U134)</f>
        <v/>
      </c>
      <c r="U134" t="str">
        <f>IF(DONNEES!$E134="","",DONNEES!V134)</f>
        <v/>
      </c>
      <c r="V134" t="str">
        <f>IF(DONNEES!$E134="","",DONNEES!W134)</f>
        <v/>
      </c>
      <c r="W134" t="str">
        <f>IF(DONNEES!$E134="","",DONNEES!X134)</f>
        <v/>
      </c>
      <c r="X134" t="str">
        <f>IF(DONNEES!$E134="","",DONNEES!Y134)</f>
        <v/>
      </c>
      <c r="Y134" t="str">
        <f>IF(DONNEES!$E134="","",DONNEES!Z134)</f>
        <v/>
      </c>
      <c r="Z134" t="str">
        <f>IF(DONNEES!$E134="","",DONNEES!AQ134)</f>
        <v/>
      </c>
    </row>
    <row r="135" spans="1:26" ht="15" customHeight="1" x14ac:dyDescent="0.3">
      <c r="A135" t="str">
        <f>IF(DONNEES!$E135="","",DONNEES!A135)</f>
        <v/>
      </c>
      <c r="B135" t="str">
        <f>IF(DONNEES!$E135="","",DONNEES!B135)</f>
        <v/>
      </c>
      <c r="C135" t="str">
        <f>IF(DONNEES!$E135="","",DONNEES!C135)</f>
        <v/>
      </c>
      <c r="D135" t="str">
        <f>IF(DONNEES!$E135="","",DONNEES!E135)</f>
        <v/>
      </c>
      <c r="E135" t="str">
        <f>IF(DONNEES!$E135="","",DONNEES!F135)</f>
        <v/>
      </c>
      <c r="F135" t="str">
        <f>IF(DONNEES!$E135="","",DONNEES!G135)</f>
        <v/>
      </c>
      <c r="G135" t="str">
        <f>IF(DONNEES!$E135="","",DONNEES!H135)</f>
        <v/>
      </c>
      <c r="H135" t="str">
        <f>IF(DONNEES!$E135="","",DONNEES!I135)</f>
        <v/>
      </c>
      <c r="I135" t="str">
        <f>IF(DONNEES!$E135="","",DONNEES!J135)</f>
        <v/>
      </c>
      <c r="J135" t="str">
        <f>IF(DONNEES!$E135="","",DONNEES!K135)</f>
        <v/>
      </c>
      <c r="K135" t="str">
        <f>IF(DONNEES!$E135="","",DONNEES!L135)</f>
        <v/>
      </c>
      <c r="L135" t="str">
        <f>IF(DONNEES!$E135="","",DONNEES!M135)</f>
        <v/>
      </c>
      <c r="M135" t="str">
        <f>IF(DONNEES!$E135="","",DONNEES!N135)</f>
        <v/>
      </c>
      <c r="N135" t="str">
        <f>IF(DONNEES!$E135="","",DONNEES!O135)</f>
        <v/>
      </c>
      <c r="O135" t="str">
        <f>IF(DONNEES!$E135="","",DONNEES!P135)</f>
        <v/>
      </c>
      <c r="P135" t="str">
        <f>IF(DONNEES!$E135="","",DONNEES!Q135)</f>
        <v/>
      </c>
      <c r="Q135" t="str">
        <f>IF(DONNEES!$E135="","",DONNEES!R135)</f>
        <v/>
      </c>
      <c r="R135" t="str">
        <f>IF(DONNEES!$E135="","",DONNEES!S135)</f>
        <v/>
      </c>
      <c r="S135" t="str">
        <f>IF(DONNEES!$E135="","",DONNEES!T135)</f>
        <v/>
      </c>
      <c r="T135" t="str">
        <f>IF(DONNEES!$E135="","",DONNEES!U135)</f>
        <v/>
      </c>
      <c r="U135" t="str">
        <f>IF(DONNEES!$E135="","",DONNEES!V135)</f>
        <v/>
      </c>
      <c r="V135" t="str">
        <f>IF(DONNEES!$E135="","",DONNEES!W135)</f>
        <v/>
      </c>
      <c r="W135" t="str">
        <f>IF(DONNEES!$E135="","",DONNEES!X135)</f>
        <v/>
      </c>
      <c r="X135" t="str">
        <f>IF(DONNEES!$E135="","",DONNEES!Y135)</f>
        <v/>
      </c>
      <c r="Y135" t="str">
        <f>IF(DONNEES!$E135="","",DONNEES!Z135)</f>
        <v/>
      </c>
      <c r="Z135" t="str">
        <f>IF(DONNEES!$E135="","",DONNEES!AQ135)</f>
        <v/>
      </c>
    </row>
    <row r="136" spans="1:26" ht="15" customHeight="1" x14ac:dyDescent="0.3">
      <c r="A136" t="str">
        <f>IF(DONNEES!$E136="","",DONNEES!A136)</f>
        <v/>
      </c>
      <c r="B136" t="str">
        <f>IF(DONNEES!$E136="","",DONNEES!B136)</f>
        <v/>
      </c>
      <c r="C136" t="str">
        <f>IF(DONNEES!$E136="","",DONNEES!C136)</f>
        <v/>
      </c>
      <c r="D136" t="str">
        <f>IF(DONNEES!$E136="","",DONNEES!E136)</f>
        <v/>
      </c>
      <c r="E136" t="str">
        <f>IF(DONNEES!$E136="","",DONNEES!F136)</f>
        <v/>
      </c>
      <c r="F136" t="str">
        <f>IF(DONNEES!$E136="","",DONNEES!G136)</f>
        <v/>
      </c>
      <c r="G136" t="str">
        <f>IF(DONNEES!$E136="","",DONNEES!H136)</f>
        <v/>
      </c>
      <c r="H136" t="str">
        <f>IF(DONNEES!$E136="","",DONNEES!I136)</f>
        <v/>
      </c>
      <c r="I136" t="str">
        <f>IF(DONNEES!$E136="","",DONNEES!J136)</f>
        <v/>
      </c>
      <c r="J136" t="str">
        <f>IF(DONNEES!$E136="","",DONNEES!K136)</f>
        <v/>
      </c>
      <c r="K136" t="str">
        <f>IF(DONNEES!$E136="","",DONNEES!L136)</f>
        <v/>
      </c>
      <c r="L136" t="str">
        <f>IF(DONNEES!$E136="","",DONNEES!M136)</f>
        <v/>
      </c>
      <c r="M136" t="str">
        <f>IF(DONNEES!$E136="","",DONNEES!N136)</f>
        <v/>
      </c>
      <c r="N136" t="str">
        <f>IF(DONNEES!$E136="","",DONNEES!O136)</f>
        <v/>
      </c>
      <c r="O136" t="str">
        <f>IF(DONNEES!$E136="","",DONNEES!P136)</f>
        <v/>
      </c>
      <c r="P136" t="str">
        <f>IF(DONNEES!$E136="","",DONNEES!Q136)</f>
        <v/>
      </c>
      <c r="Q136" t="str">
        <f>IF(DONNEES!$E136="","",DONNEES!R136)</f>
        <v/>
      </c>
      <c r="R136" t="str">
        <f>IF(DONNEES!$E136="","",DONNEES!S136)</f>
        <v/>
      </c>
      <c r="S136" t="str">
        <f>IF(DONNEES!$E136="","",DONNEES!T136)</f>
        <v/>
      </c>
      <c r="T136" t="str">
        <f>IF(DONNEES!$E136="","",DONNEES!U136)</f>
        <v/>
      </c>
      <c r="U136" t="str">
        <f>IF(DONNEES!$E136="","",DONNEES!V136)</f>
        <v/>
      </c>
      <c r="V136" t="str">
        <f>IF(DONNEES!$E136="","",DONNEES!W136)</f>
        <v/>
      </c>
      <c r="W136" t="str">
        <f>IF(DONNEES!$E136="","",DONNEES!X136)</f>
        <v/>
      </c>
      <c r="X136" t="str">
        <f>IF(DONNEES!$E136="","",DONNEES!Y136)</f>
        <v/>
      </c>
      <c r="Y136" t="str">
        <f>IF(DONNEES!$E136="","",DONNEES!Z136)</f>
        <v/>
      </c>
      <c r="Z136" t="str">
        <f>IF(DONNEES!$E136="","",DONNEES!AQ136)</f>
        <v/>
      </c>
    </row>
    <row r="137" spans="1:26" ht="15" customHeight="1" x14ac:dyDescent="0.3">
      <c r="A137" t="str">
        <f>IF(DONNEES!$E137="","",DONNEES!A137)</f>
        <v/>
      </c>
      <c r="B137" t="str">
        <f>IF(DONNEES!$E137="","",DONNEES!B137)</f>
        <v/>
      </c>
      <c r="C137" t="str">
        <f>IF(DONNEES!$E137="","",DONNEES!C137)</f>
        <v/>
      </c>
      <c r="D137" t="str">
        <f>IF(DONNEES!$E137="","",DONNEES!E137)</f>
        <v/>
      </c>
      <c r="E137" t="str">
        <f>IF(DONNEES!$E137="","",DONNEES!F137)</f>
        <v/>
      </c>
      <c r="F137" t="str">
        <f>IF(DONNEES!$E137="","",DONNEES!G137)</f>
        <v/>
      </c>
      <c r="G137" t="str">
        <f>IF(DONNEES!$E137="","",DONNEES!H137)</f>
        <v/>
      </c>
      <c r="H137" t="str">
        <f>IF(DONNEES!$E137="","",DONNEES!I137)</f>
        <v/>
      </c>
      <c r="I137" t="str">
        <f>IF(DONNEES!$E137="","",DONNEES!J137)</f>
        <v/>
      </c>
      <c r="J137" t="str">
        <f>IF(DONNEES!$E137="","",DONNEES!K137)</f>
        <v/>
      </c>
      <c r="K137" t="str">
        <f>IF(DONNEES!$E137="","",DONNEES!L137)</f>
        <v/>
      </c>
      <c r="L137" t="str">
        <f>IF(DONNEES!$E137="","",DONNEES!M137)</f>
        <v/>
      </c>
      <c r="M137" t="str">
        <f>IF(DONNEES!$E137="","",DONNEES!N137)</f>
        <v/>
      </c>
      <c r="N137" t="str">
        <f>IF(DONNEES!$E137="","",DONNEES!O137)</f>
        <v/>
      </c>
      <c r="O137" t="str">
        <f>IF(DONNEES!$E137="","",DONNEES!P137)</f>
        <v/>
      </c>
      <c r="P137" t="str">
        <f>IF(DONNEES!$E137="","",DONNEES!Q137)</f>
        <v/>
      </c>
      <c r="Q137" t="str">
        <f>IF(DONNEES!$E137="","",DONNEES!R137)</f>
        <v/>
      </c>
      <c r="R137" t="str">
        <f>IF(DONNEES!$E137="","",DONNEES!S137)</f>
        <v/>
      </c>
      <c r="S137" t="str">
        <f>IF(DONNEES!$E137="","",DONNEES!T137)</f>
        <v/>
      </c>
      <c r="T137" t="str">
        <f>IF(DONNEES!$E137="","",DONNEES!U137)</f>
        <v/>
      </c>
      <c r="U137" t="str">
        <f>IF(DONNEES!$E137="","",DONNEES!V137)</f>
        <v/>
      </c>
      <c r="V137" t="str">
        <f>IF(DONNEES!$E137="","",DONNEES!W137)</f>
        <v/>
      </c>
      <c r="W137" t="str">
        <f>IF(DONNEES!$E137="","",DONNEES!X137)</f>
        <v/>
      </c>
      <c r="X137" t="str">
        <f>IF(DONNEES!$E137="","",DONNEES!Y137)</f>
        <v/>
      </c>
      <c r="Y137" t="str">
        <f>IF(DONNEES!$E137="","",DONNEES!Z137)</f>
        <v/>
      </c>
      <c r="Z137" t="str">
        <f>IF(DONNEES!$E137="","",DONNEES!AQ137)</f>
        <v/>
      </c>
    </row>
    <row r="138" spans="1:26" ht="15" customHeight="1" x14ac:dyDescent="0.3">
      <c r="A138" t="str">
        <f>IF(DONNEES!$E138="","",DONNEES!A138)</f>
        <v/>
      </c>
      <c r="B138" t="str">
        <f>IF(DONNEES!$E138="","",DONNEES!B138)</f>
        <v/>
      </c>
      <c r="C138" t="str">
        <f>IF(DONNEES!$E138="","",DONNEES!C138)</f>
        <v/>
      </c>
      <c r="D138" t="str">
        <f>IF(DONNEES!$E138="","",DONNEES!E138)</f>
        <v/>
      </c>
      <c r="E138" t="str">
        <f>IF(DONNEES!$E138="","",DONNEES!F138)</f>
        <v/>
      </c>
      <c r="F138" t="str">
        <f>IF(DONNEES!$E138="","",DONNEES!G138)</f>
        <v/>
      </c>
      <c r="G138" t="str">
        <f>IF(DONNEES!$E138="","",DONNEES!H138)</f>
        <v/>
      </c>
      <c r="H138" t="str">
        <f>IF(DONNEES!$E138="","",DONNEES!I138)</f>
        <v/>
      </c>
      <c r="I138" t="str">
        <f>IF(DONNEES!$E138="","",DONNEES!J138)</f>
        <v/>
      </c>
      <c r="J138" t="str">
        <f>IF(DONNEES!$E138="","",DONNEES!K138)</f>
        <v/>
      </c>
      <c r="K138" t="str">
        <f>IF(DONNEES!$E138="","",DONNEES!L138)</f>
        <v/>
      </c>
      <c r="L138" t="str">
        <f>IF(DONNEES!$E138="","",DONNEES!M138)</f>
        <v/>
      </c>
      <c r="M138" t="str">
        <f>IF(DONNEES!$E138="","",DONNEES!N138)</f>
        <v/>
      </c>
      <c r="N138" t="str">
        <f>IF(DONNEES!$E138="","",DONNEES!O138)</f>
        <v/>
      </c>
      <c r="O138" t="str">
        <f>IF(DONNEES!$E138="","",DONNEES!P138)</f>
        <v/>
      </c>
      <c r="P138" t="str">
        <f>IF(DONNEES!$E138="","",DONNEES!Q138)</f>
        <v/>
      </c>
      <c r="Q138" t="str">
        <f>IF(DONNEES!$E138="","",DONNEES!R138)</f>
        <v/>
      </c>
      <c r="R138" t="str">
        <f>IF(DONNEES!$E138="","",DONNEES!S138)</f>
        <v/>
      </c>
      <c r="S138" t="str">
        <f>IF(DONNEES!$E138="","",DONNEES!T138)</f>
        <v/>
      </c>
      <c r="T138" t="str">
        <f>IF(DONNEES!$E138="","",DONNEES!U138)</f>
        <v/>
      </c>
      <c r="U138" t="str">
        <f>IF(DONNEES!$E138="","",DONNEES!V138)</f>
        <v/>
      </c>
      <c r="V138" t="str">
        <f>IF(DONNEES!$E138="","",DONNEES!W138)</f>
        <v/>
      </c>
      <c r="W138" t="str">
        <f>IF(DONNEES!$E138="","",DONNEES!X138)</f>
        <v/>
      </c>
      <c r="X138" t="str">
        <f>IF(DONNEES!$E138="","",DONNEES!Y138)</f>
        <v/>
      </c>
      <c r="Y138" t="str">
        <f>IF(DONNEES!$E138="","",DONNEES!Z138)</f>
        <v/>
      </c>
      <c r="Z138" t="str">
        <f>IF(DONNEES!$E138="","",DONNEES!AQ138)</f>
        <v/>
      </c>
    </row>
    <row r="139" spans="1:26" ht="15" customHeight="1" x14ac:dyDescent="0.3">
      <c r="A139" t="str">
        <f>IF(DONNEES!$E139="","",DONNEES!A139)</f>
        <v/>
      </c>
      <c r="B139" t="str">
        <f>IF(DONNEES!$E139="","",DONNEES!B139)</f>
        <v/>
      </c>
      <c r="C139" t="str">
        <f>IF(DONNEES!$E139="","",DONNEES!C139)</f>
        <v/>
      </c>
      <c r="D139" t="str">
        <f>IF(DONNEES!$E139="","",DONNEES!E139)</f>
        <v/>
      </c>
      <c r="E139" t="str">
        <f>IF(DONNEES!$E139="","",DONNEES!F139)</f>
        <v/>
      </c>
      <c r="F139" t="str">
        <f>IF(DONNEES!$E139="","",DONNEES!G139)</f>
        <v/>
      </c>
      <c r="G139" t="str">
        <f>IF(DONNEES!$E139="","",DONNEES!H139)</f>
        <v/>
      </c>
      <c r="H139" t="str">
        <f>IF(DONNEES!$E139="","",DONNEES!I139)</f>
        <v/>
      </c>
      <c r="I139" t="str">
        <f>IF(DONNEES!$E139="","",DONNEES!J139)</f>
        <v/>
      </c>
      <c r="J139" t="str">
        <f>IF(DONNEES!$E139="","",DONNEES!K139)</f>
        <v/>
      </c>
      <c r="K139" t="str">
        <f>IF(DONNEES!$E139="","",DONNEES!L139)</f>
        <v/>
      </c>
      <c r="L139" t="str">
        <f>IF(DONNEES!$E139="","",DONNEES!M139)</f>
        <v/>
      </c>
      <c r="M139" t="str">
        <f>IF(DONNEES!$E139="","",DONNEES!N139)</f>
        <v/>
      </c>
      <c r="N139" t="str">
        <f>IF(DONNEES!$E139="","",DONNEES!O139)</f>
        <v/>
      </c>
      <c r="O139" t="str">
        <f>IF(DONNEES!$E139="","",DONNEES!P139)</f>
        <v/>
      </c>
      <c r="P139" t="str">
        <f>IF(DONNEES!$E139="","",DONNEES!Q139)</f>
        <v/>
      </c>
      <c r="Q139" t="str">
        <f>IF(DONNEES!$E139="","",DONNEES!R139)</f>
        <v/>
      </c>
      <c r="R139" t="str">
        <f>IF(DONNEES!$E139="","",DONNEES!S139)</f>
        <v/>
      </c>
      <c r="S139" t="str">
        <f>IF(DONNEES!$E139="","",DONNEES!T139)</f>
        <v/>
      </c>
      <c r="T139" t="str">
        <f>IF(DONNEES!$E139="","",DONNEES!U139)</f>
        <v/>
      </c>
      <c r="U139" t="str">
        <f>IF(DONNEES!$E139="","",DONNEES!V139)</f>
        <v/>
      </c>
      <c r="V139" t="str">
        <f>IF(DONNEES!$E139="","",DONNEES!W139)</f>
        <v/>
      </c>
      <c r="W139" t="str">
        <f>IF(DONNEES!$E139="","",DONNEES!X139)</f>
        <v/>
      </c>
      <c r="X139" t="str">
        <f>IF(DONNEES!$E139="","",DONNEES!Y139)</f>
        <v/>
      </c>
      <c r="Y139" t="str">
        <f>IF(DONNEES!$E139="","",DONNEES!Z139)</f>
        <v/>
      </c>
      <c r="Z139" t="str">
        <f>IF(DONNEES!$E139="","",DONNEES!AQ139)</f>
        <v/>
      </c>
    </row>
    <row r="140" spans="1:26" ht="15" customHeight="1" x14ac:dyDescent="0.3">
      <c r="A140" t="str">
        <f>IF(DONNEES!$E140="","",DONNEES!A140)</f>
        <v/>
      </c>
      <c r="B140" t="str">
        <f>IF(DONNEES!$E140="","",DONNEES!B140)</f>
        <v/>
      </c>
      <c r="C140" t="str">
        <f>IF(DONNEES!$E140="","",DONNEES!C140)</f>
        <v/>
      </c>
      <c r="D140" t="str">
        <f>IF(DONNEES!$E140="","",DONNEES!E140)</f>
        <v/>
      </c>
      <c r="E140" t="str">
        <f>IF(DONNEES!$E140="","",DONNEES!F140)</f>
        <v/>
      </c>
      <c r="F140" t="str">
        <f>IF(DONNEES!$E140="","",DONNEES!G140)</f>
        <v/>
      </c>
      <c r="G140" t="str">
        <f>IF(DONNEES!$E140="","",DONNEES!H140)</f>
        <v/>
      </c>
      <c r="H140" t="str">
        <f>IF(DONNEES!$E140="","",DONNEES!I140)</f>
        <v/>
      </c>
      <c r="I140" t="str">
        <f>IF(DONNEES!$E140="","",DONNEES!J140)</f>
        <v/>
      </c>
      <c r="J140" t="str">
        <f>IF(DONNEES!$E140="","",DONNEES!K140)</f>
        <v/>
      </c>
      <c r="K140" t="str">
        <f>IF(DONNEES!$E140="","",DONNEES!L140)</f>
        <v/>
      </c>
      <c r="L140" t="str">
        <f>IF(DONNEES!$E140="","",DONNEES!M140)</f>
        <v/>
      </c>
      <c r="M140" t="str">
        <f>IF(DONNEES!$E140="","",DONNEES!N140)</f>
        <v/>
      </c>
      <c r="N140" t="str">
        <f>IF(DONNEES!$E140="","",DONNEES!O140)</f>
        <v/>
      </c>
      <c r="O140" t="str">
        <f>IF(DONNEES!$E140="","",DONNEES!P140)</f>
        <v/>
      </c>
      <c r="P140" t="str">
        <f>IF(DONNEES!$E140="","",DONNEES!Q140)</f>
        <v/>
      </c>
      <c r="Q140" t="str">
        <f>IF(DONNEES!$E140="","",DONNEES!R140)</f>
        <v/>
      </c>
      <c r="R140" t="str">
        <f>IF(DONNEES!$E140="","",DONNEES!S140)</f>
        <v/>
      </c>
      <c r="S140" t="str">
        <f>IF(DONNEES!$E140="","",DONNEES!T140)</f>
        <v/>
      </c>
      <c r="T140" t="str">
        <f>IF(DONNEES!$E140="","",DONNEES!U140)</f>
        <v/>
      </c>
      <c r="U140" t="str">
        <f>IF(DONNEES!$E140="","",DONNEES!V140)</f>
        <v/>
      </c>
      <c r="V140" t="str">
        <f>IF(DONNEES!$E140="","",DONNEES!W140)</f>
        <v/>
      </c>
      <c r="W140" t="str">
        <f>IF(DONNEES!$E140="","",DONNEES!X140)</f>
        <v/>
      </c>
      <c r="X140" t="str">
        <f>IF(DONNEES!$E140="","",DONNEES!Y140)</f>
        <v/>
      </c>
      <c r="Y140" t="str">
        <f>IF(DONNEES!$E140="","",DONNEES!Z140)</f>
        <v/>
      </c>
      <c r="Z140" t="str">
        <f>IF(DONNEES!$E140="","",DONNEES!AQ140)</f>
        <v/>
      </c>
    </row>
    <row r="141" spans="1:26" ht="15" customHeight="1" x14ac:dyDescent="0.3">
      <c r="A141" t="str">
        <f>IF(DONNEES!$E141="","",DONNEES!A141)</f>
        <v/>
      </c>
      <c r="B141" t="str">
        <f>IF(DONNEES!$E141="","",DONNEES!B141)</f>
        <v/>
      </c>
      <c r="C141" t="str">
        <f>IF(DONNEES!$E141="","",DONNEES!C141)</f>
        <v/>
      </c>
      <c r="D141" t="str">
        <f>IF(DONNEES!$E141="","",DONNEES!E141)</f>
        <v/>
      </c>
      <c r="E141" t="str">
        <f>IF(DONNEES!$E141="","",DONNEES!F141)</f>
        <v/>
      </c>
      <c r="F141" t="str">
        <f>IF(DONNEES!$E141="","",DONNEES!G141)</f>
        <v/>
      </c>
      <c r="G141" t="str">
        <f>IF(DONNEES!$E141="","",DONNEES!H141)</f>
        <v/>
      </c>
      <c r="H141" t="str">
        <f>IF(DONNEES!$E141="","",DONNEES!I141)</f>
        <v/>
      </c>
      <c r="I141" t="str">
        <f>IF(DONNEES!$E141="","",DONNEES!J141)</f>
        <v/>
      </c>
      <c r="J141" t="str">
        <f>IF(DONNEES!$E141="","",DONNEES!K141)</f>
        <v/>
      </c>
      <c r="K141" t="str">
        <f>IF(DONNEES!$E141="","",DONNEES!L141)</f>
        <v/>
      </c>
      <c r="L141" t="str">
        <f>IF(DONNEES!$E141="","",DONNEES!M141)</f>
        <v/>
      </c>
      <c r="M141" t="str">
        <f>IF(DONNEES!$E141="","",DONNEES!N141)</f>
        <v/>
      </c>
      <c r="N141" t="str">
        <f>IF(DONNEES!$E141="","",DONNEES!O141)</f>
        <v/>
      </c>
      <c r="O141" t="str">
        <f>IF(DONNEES!$E141="","",DONNEES!P141)</f>
        <v/>
      </c>
      <c r="P141" t="str">
        <f>IF(DONNEES!$E141="","",DONNEES!Q141)</f>
        <v/>
      </c>
      <c r="Q141" t="str">
        <f>IF(DONNEES!$E141="","",DONNEES!R141)</f>
        <v/>
      </c>
      <c r="R141" t="str">
        <f>IF(DONNEES!$E141="","",DONNEES!S141)</f>
        <v/>
      </c>
      <c r="S141" t="str">
        <f>IF(DONNEES!$E141="","",DONNEES!T141)</f>
        <v/>
      </c>
      <c r="T141" t="str">
        <f>IF(DONNEES!$E141="","",DONNEES!U141)</f>
        <v/>
      </c>
      <c r="U141" t="str">
        <f>IF(DONNEES!$E141="","",DONNEES!V141)</f>
        <v/>
      </c>
      <c r="V141" t="str">
        <f>IF(DONNEES!$E141="","",DONNEES!W141)</f>
        <v/>
      </c>
      <c r="W141" t="str">
        <f>IF(DONNEES!$E141="","",DONNEES!X141)</f>
        <v/>
      </c>
      <c r="X141" t="str">
        <f>IF(DONNEES!$E141="","",DONNEES!Y141)</f>
        <v/>
      </c>
      <c r="Y141" t="str">
        <f>IF(DONNEES!$E141="","",DONNEES!Z141)</f>
        <v/>
      </c>
      <c r="Z141" t="str">
        <f>IF(DONNEES!$E141="","",DONNEES!AQ141)</f>
        <v/>
      </c>
    </row>
    <row r="142" spans="1:26" ht="15" customHeight="1" x14ac:dyDescent="0.3">
      <c r="A142" t="str">
        <f>IF(DONNEES!$E142="","",DONNEES!A142)</f>
        <v/>
      </c>
      <c r="B142" t="str">
        <f>IF(DONNEES!$E142="","",DONNEES!B142)</f>
        <v/>
      </c>
      <c r="C142" t="str">
        <f>IF(DONNEES!$E142="","",DONNEES!C142)</f>
        <v/>
      </c>
      <c r="D142" t="str">
        <f>IF(DONNEES!$E142="","",DONNEES!E142)</f>
        <v/>
      </c>
      <c r="E142" t="str">
        <f>IF(DONNEES!$E142="","",DONNEES!F142)</f>
        <v/>
      </c>
      <c r="F142" t="str">
        <f>IF(DONNEES!$E142="","",DONNEES!G142)</f>
        <v/>
      </c>
      <c r="G142" t="str">
        <f>IF(DONNEES!$E142="","",DONNEES!H142)</f>
        <v/>
      </c>
      <c r="H142" t="str">
        <f>IF(DONNEES!$E142="","",DONNEES!I142)</f>
        <v/>
      </c>
      <c r="I142" t="str">
        <f>IF(DONNEES!$E142="","",DONNEES!J142)</f>
        <v/>
      </c>
      <c r="J142" t="str">
        <f>IF(DONNEES!$E142="","",DONNEES!K142)</f>
        <v/>
      </c>
      <c r="K142" t="str">
        <f>IF(DONNEES!$E142="","",DONNEES!L142)</f>
        <v/>
      </c>
      <c r="L142" t="str">
        <f>IF(DONNEES!$E142="","",DONNEES!M142)</f>
        <v/>
      </c>
      <c r="M142" t="str">
        <f>IF(DONNEES!$E142="","",DONNEES!N142)</f>
        <v/>
      </c>
      <c r="N142" t="str">
        <f>IF(DONNEES!$E142="","",DONNEES!O142)</f>
        <v/>
      </c>
      <c r="O142" t="str">
        <f>IF(DONNEES!$E142="","",DONNEES!P142)</f>
        <v/>
      </c>
      <c r="P142" t="str">
        <f>IF(DONNEES!$E142="","",DONNEES!Q142)</f>
        <v/>
      </c>
      <c r="Q142" t="str">
        <f>IF(DONNEES!$E142="","",DONNEES!R142)</f>
        <v/>
      </c>
      <c r="R142" t="str">
        <f>IF(DONNEES!$E142="","",DONNEES!S142)</f>
        <v/>
      </c>
      <c r="S142" t="str">
        <f>IF(DONNEES!$E142="","",DONNEES!T142)</f>
        <v/>
      </c>
      <c r="T142" t="str">
        <f>IF(DONNEES!$E142="","",DONNEES!U142)</f>
        <v/>
      </c>
      <c r="U142" t="str">
        <f>IF(DONNEES!$E142="","",DONNEES!V142)</f>
        <v/>
      </c>
      <c r="V142" t="str">
        <f>IF(DONNEES!$E142="","",DONNEES!W142)</f>
        <v/>
      </c>
      <c r="W142" t="str">
        <f>IF(DONNEES!$E142="","",DONNEES!X142)</f>
        <v/>
      </c>
      <c r="X142" t="str">
        <f>IF(DONNEES!$E142="","",DONNEES!Y142)</f>
        <v/>
      </c>
      <c r="Y142" t="str">
        <f>IF(DONNEES!$E142="","",DONNEES!Z142)</f>
        <v/>
      </c>
      <c r="Z142" t="str">
        <f>IF(DONNEES!$E142="","",DONNEES!AQ142)</f>
        <v/>
      </c>
    </row>
    <row r="143" spans="1:26" ht="15" customHeight="1" x14ac:dyDescent="0.3">
      <c r="A143" t="str">
        <f>IF(DONNEES!$E143="","",DONNEES!A143)</f>
        <v/>
      </c>
      <c r="B143" t="str">
        <f>IF(DONNEES!$E143="","",DONNEES!B143)</f>
        <v/>
      </c>
      <c r="C143" t="str">
        <f>IF(DONNEES!$E143="","",DONNEES!C143)</f>
        <v/>
      </c>
      <c r="D143" t="str">
        <f>IF(DONNEES!$E143="","",DONNEES!E143)</f>
        <v/>
      </c>
      <c r="E143" t="str">
        <f>IF(DONNEES!$E143="","",DONNEES!F143)</f>
        <v/>
      </c>
      <c r="F143" t="str">
        <f>IF(DONNEES!$E143="","",DONNEES!G143)</f>
        <v/>
      </c>
      <c r="G143" t="str">
        <f>IF(DONNEES!$E143="","",DONNEES!H143)</f>
        <v/>
      </c>
      <c r="H143" t="str">
        <f>IF(DONNEES!$E143="","",DONNEES!I143)</f>
        <v/>
      </c>
      <c r="I143" t="str">
        <f>IF(DONNEES!$E143="","",DONNEES!J143)</f>
        <v/>
      </c>
      <c r="J143" t="str">
        <f>IF(DONNEES!$E143="","",DONNEES!K143)</f>
        <v/>
      </c>
      <c r="K143" t="str">
        <f>IF(DONNEES!$E143="","",DONNEES!L143)</f>
        <v/>
      </c>
      <c r="L143" t="str">
        <f>IF(DONNEES!$E143="","",DONNEES!M143)</f>
        <v/>
      </c>
      <c r="M143" t="str">
        <f>IF(DONNEES!$E143="","",DONNEES!N143)</f>
        <v/>
      </c>
      <c r="N143" t="str">
        <f>IF(DONNEES!$E143="","",DONNEES!O143)</f>
        <v/>
      </c>
      <c r="O143" t="str">
        <f>IF(DONNEES!$E143="","",DONNEES!P143)</f>
        <v/>
      </c>
      <c r="P143" t="str">
        <f>IF(DONNEES!$E143="","",DONNEES!Q143)</f>
        <v/>
      </c>
      <c r="Q143" t="str">
        <f>IF(DONNEES!$E143="","",DONNEES!R143)</f>
        <v/>
      </c>
      <c r="R143" t="str">
        <f>IF(DONNEES!$E143="","",DONNEES!S143)</f>
        <v/>
      </c>
      <c r="S143" t="str">
        <f>IF(DONNEES!$E143="","",DONNEES!T143)</f>
        <v/>
      </c>
      <c r="T143" t="str">
        <f>IF(DONNEES!$E143="","",DONNEES!U143)</f>
        <v/>
      </c>
      <c r="U143" t="str">
        <f>IF(DONNEES!$E143="","",DONNEES!V143)</f>
        <v/>
      </c>
      <c r="V143" t="str">
        <f>IF(DONNEES!$E143="","",DONNEES!W143)</f>
        <v/>
      </c>
      <c r="W143" t="str">
        <f>IF(DONNEES!$E143="","",DONNEES!X143)</f>
        <v/>
      </c>
      <c r="X143" t="str">
        <f>IF(DONNEES!$E143="","",DONNEES!Y143)</f>
        <v/>
      </c>
      <c r="Y143" t="str">
        <f>IF(DONNEES!$E143="","",DONNEES!Z143)</f>
        <v/>
      </c>
      <c r="Z143" t="str">
        <f>IF(DONNEES!$E143="","",DONNEES!AQ143)</f>
        <v/>
      </c>
    </row>
    <row r="144" spans="1:26" ht="15" customHeight="1" x14ac:dyDescent="0.3">
      <c r="A144" t="str">
        <f>IF(DONNEES!$E144="","",DONNEES!A144)</f>
        <v/>
      </c>
      <c r="B144" t="str">
        <f>IF(DONNEES!$E144="","",DONNEES!B144)</f>
        <v/>
      </c>
      <c r="C144" t="str">
        <f>IF(DONNEES!$E144="","",DONNEES!C144)</f>
        <v/>
      </c>
      <c r="D144" t="str">
        <f>IF(DONNEES!$E144="","",DONNEES!E144)</f>
        <v/>
      </c>
      <c r="E144" t="str">
        <f>IF(DONNEES!$E144="","",DONNEES!F144)</f>
        <v/>
      </c>
      <c r="F144" t="str">
        <f>IF(DONNEES!$E144="","",DONNEES!G144)</f>
        <v/>
      </c>
      <c r="G144" t="str">
        <f>IF(DONNEES!$E144="","",DONNEES!H144)</f>
        <v/>
      </c>
      <c r="H144" t="str">
        <f>IF(DONNEES!$E144="","",DONNEES!I144)</f>
        <v/>
      </c>
      <c r="I144" t="str">
        <f>IF(DONNEES!$E144="","",DONNEES!J144)</f>
        <v/>
      </c>
      <c r="J144" t="str">
        <f>IF(DONNEES!$E144="","",DONNEES!K144)</f>
        <v/>
      </c>
      <c r="K144" t="str">
        <f>IF(DONNEES!$E144="","",DONNEES!L144)</f>
        <v/>
      </c>
      <c r="L144" t="str">
        <f>IF(DONNEES!$E144="","",DONNEES!M144)</f>
        <v/>
      </c>
      <c r="M144" t="str">
        <f>IF(DONNEES!$E144="","",DONNEES!N144)</f>
        <v/>
      </c>
      <c r="N144" t="str">
        <f>IF(DONNEES!$E144="","",DONNEES!O144)</f>
        <v/>
      </c>
      <c r="O144" t="str">
        <f>IF(DONNEES!$E144="","",DONNEES!P144)</f>
        <v/>
      </c>
      <c r="P144" t="str">
        <f>IF(DONNEES!$E144="","",DONNEES!Q144)</f>
        <v/>
      </c>
      <c r="Q144" t="str">
        <f>IF(DONNEES!$E144="","",DONNEES!R144)</f>
        <v/>
      </c>
      <c r="R144" t="str">
        <f>IF(DONNEES!$E144="","",DONNEES!S144)</f>
        <v/>
      </c>
      <c r="S144" t="str">
        <f>IF(DONNEES!$E144="","",DONNEES!T144)</f>
        <v/>
      </c>
      <c r="T144" t="str">
        <f>IF(DONNEES!$E144="","",DONNEES!U144)</f>
        <v/>
      </c>
      <c r="U144" t="str">
        <f>IF(DONNEES!$E144="","",DONNEES!V144)</f>
        <v/>
      </c>
      <c r="V144" t="str">
        <f>IF(DONNEES!$E144="","",DONNEES!W144)</f>
        <v/>
      </c>
      <c r="W144" t="str">
        <f>IF(DONNEES!$E144="","",DONNEES!X144)</f>
        <v/>
      </c>
      <c r="X144" t="str">
        <f>IF(DONNEES!$E144="","",DONNEES!Y144)</f>
        <v/>
      </c>
      <c r="Y144" t="str">
        <f>IF(DONNEES!$E144="","",DONNEES!Z144)</f>
        <v/>
      </c>
      <c r="Z144" t="str">
        <f>IF(DONNEES!$E144="","",DONNEES!AQ144)</f>
        <v/>
      </c>
    </row>
    <row r="145" spans="1:26" ht="15" customHeight="1" x14ac:dyDescent="0.3">
      <c r="A145" t="str">
        <f>IF(DONNEES!$E145="","",DONNEES!A145)</f>
        <v/>
      </c>
      <c r="B145" t="str">
        <f>IF(DONNEES!$E145="","",DONNEES!B145)</f>
        <v/>
      </c>
      <c r="C145" t="str">
        <f>IF(DONNEES!$E145="","",DONNEES!C145)</f>
        <v/>
      </c>
      <c r="D145" t="str">
        <f>IF(DONNEES!$E145="","",DONNEES!E145)</f>
        <v/>
      </c>
      <c r="E145" t="str">
        <f>IF(DONNEES!$E145="","",DONNEES!F145)</f>
        <v/>
      </c>
      <c r="F145" t="str">
        <f>IF(DONNEES!$E145="","",DONNEES!G145)</f>
        <v/>
      </c>
      <c r="G145" t="str">
        <f>IF(DONNEES!$E145="","",DONNEES!H145)</f>
        <v/>
      </c>
      <c r="H145" t="str">
        <f>IF(DONNEES!$E145="","",DONNEES!I145)</f>
        <v/>
      </c>
      <c r="I145" t="str">
        <f>IF(DONNEES!$E145="","",DONNEES!J145)</f>
        <v/>
      </c>
      <c r="J145" t="str">
        <f>IF(DONNEES!$E145="","",DONNEES!K145)</f>
        <v/>
      </c>
      <c r="K145" t="str">
        <f>IF(DONNEES!$E145="","",DONNEES!L145)</f>
        <v/>
      </c>
      <c r="L145" t="str">
        <f>IF(DONNEES!$E145="","",DONNEES!M145)</f>
        <v/>
      </c>
      <c r="M145" t="str">
        <f>IF(DONNEES!$E145="","",DONNEES!N145)</f>
        <v/>
      </c>
      <c r="N145" t="str">
        <f>IF(DONNEES!$E145="","",DONNEES!O145)</f>
        <v/>
      </c>
      <c r="O145" t="str">
        <f>IF(DONNEES!$E145="","",DONNEES!P145)</f>
        <v/>
      </c>
      <c r="P145" t="str">
        <f>IF(DONNEES!$E145="","",DONNEES!Q145)</f>
        <v/>
      </c>
      <c r="Q145" t="str">
        <f>IF(DONNEES!$E145="","",DONNEES!R145)</f>
        <v/>
      </c>
      <c r="R145" t="str">
        <f>IF(DONNEES!$E145="","",DONNEES!S145)</f>
        <v/>
      </c>
      <c r="S145" t="str">
        <f>IF(DONNEES!$E145="","",DONNEES!T145)</f>
        <v/>
      </c>
      <c r="T145" t="str">
        <f>IF(DONNEES!$E145="","",DONNEES!U145)</f>
        <v/>
      </c>
      <c r="U145" t="str">
        <f>IF(DONNEES!$E145="","",DONNEES!V145)</f>
        <v/>
      </c>
      <c r="V145" t="str">
        <f>IF(DONNEES!$E145="","",DONNEES!W145)</f>
        <v/>
      </c>
      <c r="W145" t="str">
        <f>IF(DONNEES!$E145="","",DONNEES!X145)</f>
        <v/>
      </c>
      <c r="X145" t="str">
        <f>IF(DONNEES!$E145="","",DONNEES!Y145)</f>
        <v/>
      </c>
      <c r="Y145" t="str">
        <f>IF(DONNEES!$E145="","",DONNEES!Z145)</f>
        <v/>
      </c>
      <c r="Z145" t="str">
        <f>IF(DONNEES!$E145="","",DONNEES!AQ145)</f>
        <v/>
      </c>
    </row>
    <row r="146" spans="1:26" ht="15" customHeight="1" x14ac:dyDescent="0.3">
      <c r="A146" t="str">
        <f>IF(DONNEES!$E146="","",DONNEES!A146)</f>
        <v/>
      </c>
      <c r="B146" t="str">
        <f>IF(DONNEES!$E146="","",DONNEES!B146)</f>
        <v/>
      </c>
      <c r="C146" t="str">
        <f>IF(DONNEES!$E146="","",DONNEES!C146)</f>
        <v/>
      </c>
      <c r="D146" t="str">
        <f>IF(DONNEES!$E146="","",DONNEES!E146)</f>
        <v/>
      </c>
      <c r="E146" t="str">
        <f>IF(DONNEES!$E146="","",DONNEES!F146)</f>
        <v/>
      </c>
      <c r="F146" t="str">
        <f>IF(DONNEES!$E146="","",DONNEES!G146)</f>
        <v/>
      </c>
      <c r="G146" t="str">
        <f>IF(DONNEES!$E146="","",DONNEES!H146)</f>
        <v/>
      </c>
      <c r="H146" t="str">
        <f>IF(DONNEES!$E146="","",DONNEES!I146)</f>
        <v/>
      </c>
      <c r="I146" t="str">
        <f>IF(DONNEES!$E146="","",DONNEES!J146)</f>
        <v/>
      </c>
      <c r="J146" t="str">
        <f>IF(DONNEES!$E146="","",DONNEES!K146)</f>
        <v/>
      </c>
      <c r="K146" t="str">
        <f>IF(DONNEES!$E146="","",DONNEES!L146)</f>
        <v/>
      </c>
      <c r="L146" t="str">
        <f>IF(DONNEES!$E146="","",DONNEES!M146)</f>
        <v/>
      </c>
      <c r="M146" t="str">
        <f>IF(DONNEES!$E146="","",DONNEES!N146)</f>
        <v/>
      </c>
      <c r="N146" t="str">
        <f>IF(DONNEES!$E146="","",DONNEES!O146)</f>
        <v/>
      </c>
      <c r="O146" t="str">
        <f>IF(DONNEES!$E146="","",DONNEES!P146)</f>
        <v/>
      </c>
      <c r="P146" t="str">
        <f>IF(DONNEES!$E146="","",DONNEES!Q146)</f>
        <v/>
      </c>
      <c r="Q146" t="str">
        <f>IF(DONNEES!$E146="","",DONNEES!R146)</f>
        <v/>
      </c>
      <c r="R146" t="str">
        <f>IF(DONNEES!$E146="","",DONNEES!S146)</f>
        <v/>
      </c>
      <c r="S146" t="str">
        <f>IF(DONNEES!$E146="","",DONNEES!T146)</f>
        <v/>
      </c>
      <c r="T146" t="str">
        <f>IF(DONNEES!$E146="","",DONNEES!U146)</f>
        <v/>
      </c>
      <c r="U146" t="str">
        <f>IF(DONNEES!$E146="","",DONNEES!V146)</f>
        <v/>
      </c>
      <c r="V146" t="str">
        <f>IF(DONNEES!$E146="","",DONNEES!W146)</f>
        <v/>
      </c>
      <c r="W146" t="str">
        <f>IF(DONNEES!$E146="","",DONNEES!X146)</f>
        <v/>
      </c>
      <c r="X146" t="str">
        <f>IF(DONNEES!$E146="","",DONNEES!Y146)</f>
        <v/>
      </c>
      <c r="Y146" t="str">
        <f>IF(DONNEES!$E146="","",DONNEES!Z146)</f>
        <v/>
      </c>
      <c r="Z146" t="str">
        <f>IF(DONNEES!$E146="","",DONNEES!AQ146)</f>
        <v/>
      </c>
    </row>
    <row r="147" spans="1:26" ht="15" customHeight="1" x14ac:dyDescent="0.3">
      <c r="A147" t="str">
        <f>IF(DONNEES!$E147="","",DONNEES!A147)</f>
        <v/>
      </c>
      <c r="B147" t="str">
        <f>IF(DONNEES!$E147="","",DONNEES!B147)</f>
        <v/>
      </c>
      <c r="C147" t="str">
        <f>IF(DONNEES!$E147="","",DONNEES!C147)</f>
        <v/>
      </c>
      <c r="D147" t="str">
        <f>IF(DONNEES!$E147="","",DONNEES!E147)</f>
        <v/>
      </c>
      <c r="E147" t="str">
        <f>IF(DONNEES!$E147="","",DONNEES!F147)</f>
        <v/>
      </c>
      <c r="F147" t="str">
        <f>IF(DONNEES!$E147="","",DONNEES!G147)</f>
        <v/>
      </c>
      <c r="G147" t="str">
        <f>IF(DONNEES!$E147="","",DONNEES!H147)</f>
        <v/>
      </c>
      <c r="H147" t="str">
        <f>IF(DONNEES!$E147="","",DONNEES!I147)</f>
        <v/>
      </c>
      <c r="I147" t="str">
        <f>IF(DONNEES!$E147="","",DONNEES!J147)</f>
        <v/>
      </c>
      <c r="J147" t="str">
        <f>IF(DONNEES!$E147="","",DONNEES!K147)</f>
        <v/>
      </c>
      <c r="K147" t="str">
        <f>IF(DONNEES!$E147="","",DONNEES!L147)</f>
        <v/>
      </c>
      <c r="L147" t="str">
        <f>IF(DONNEES!$E147="","",DONNEES!M147)</f>
        <v/>
      </c>
      <c r="M147" t="str">
        <f>IF(DONNEES!$E147="","",DONNEES!N147)</f>
        <v/>
      </c>
      <c r="N147" t="str">
        <f>IF(DONNEES!$E147="","",DONNEES!O147)</f>
        <v/>
      </c>
      <c r="O147" t="str">
        <f>IF(DONNEES!$E147="","",DONNEES!P147)</f>
        <v/>
      </c>
      <c r="P147" t="str">
        <f>IF(DONNEES!$E147="","",DONNEES!Q147)</f>
        <v/>
      </c>
      <c r="Q147" t="str">
        <f>IF(DONNEES!$E147="","",DONNEES!R147)</f>
        <v/>
      </c>
      <c r="R147" t="str">
        <f>IF(DONNEES!$E147="","",DONNEES!S147)</f>
        <v/>
      </c>
      <c r="S147" t="str">
        <f>IF(DONNEES!$E147="","",DONNEES!T147)</f>
        <v/>
      </c>
      <c r="T147" t="str">
        <f>IF(DONNEES!$E147="","",DONNEES!U147)</f>
        <v/>
      </c>
      <c r="U147" t="str">
        <f>IF(DONNEES!$E147="","",DONNEES!V147)</f>
        <v/>
      </c>
      <c r="V147" t="str">
        <f>IF(DONNEES!$E147="","",DONNEES!W147)</f>
        <v/>
      </c>
      <c r="W147" t="str">
        <f>IF(DONNEES!$E147="","",DONNEES!X147)</f>
        <v/>
      </c>
      <c r="X147" t="str">
        <f>IF(DONNEES!$E147="","",DONNEES!Y147)</f>
        <v/>
      </c>
      <c r="Y147" t="str">
        <f>IF(DONNEES!$E147="","",DONNEES!Z147)</f>
        <v/>
      </c>
      <c r="Z147" t="str">
        <f>IF(DONNEES!$E147="","",DONNEES!AQ147)</f>
        <v/>
      </c>
    </row>
    <row r="148" spans="1:26" ht="15" customHeight="1" x14ac:dyDescent="0.3">
      <c r="A148" t="str">
        <f>IF(DONNEES!$E148="","",DONNEES!A148)</f>
        <v/>
      </c>
      <c r="B148" t="str">
        <f>IF(DONNEES!$E148="","",DONNEES!B148)</f>
        <v/>
      </c>
      <c r="C148" t="str">
        <f>IF(DONNEES!$E148="","",DONNEES!C148)</f>
        <v/>
      </c>
      <c r="D148" t="str">
        <f>IF(DONNEES!$E148="","",DONNEES!E148)</f>
        <v/>
      </c>
      <c r="E148" t="str">
        <f>IF(DONNEES!$E148="","",DONNEES!F148)</f>
        <v/>
      </c>
      <c r="F148" t="str">
        <f>IF(DONNEES!$E148="","",DONNEES!G148)</f>
        <v/>
      </c>
      <c r="G148" t="str">
        <f>IF(DONNEES!$E148="","",DONNEES!H148)</f>
        <v/>
      </c>
      <c r="H148" t="str">
        <f>IF(DONNEES!$E148="","",DONNEES!I148)</f>
        <v/>
      </c>
      <c r="I148" t="str">
        <f>IF(DONNEES!$E148="","",DONNEES!J148)</f>
        <v/>
      </c>
      <c r="J148" t="str">
        <f>IF(DONNEES!$E148="","",DONNEES!K148)</f>
        <v/>
      </c>
      <c r="K148" t="str">
        <f>IF(DONNEES!$E148="","",DONNEES!L148)</f>
        <v/>
      </c>
      <c r="L148" t="str">
        <f>IF(DONNEES!$E148="","",DONNEES!M148)</f>
        <v/>
      </c>
      <c r="M148" t="str">
        <f>IF(DONNEES!$E148="","",DONNEES!N148)</f>
        <v/>
      </c>
      <c r="N148" t="str">
        <f>IF(DONNEES!$E148="","",DONNEES!O148)</f>
        <v/>
      </c>
      <c r="O148" t="str">
        <f>IF(DONNEES!$E148="","",DONNEES!P148)</f>
        <v/>
      </c>
      <c r="P148" t="str">
        <f>IF(DONNEES!$E148="","",DONNEES!Q148)</f>
        <v/>
      </c>
      <c r="Q148" t="str">
        <f>IF(DONNEES!$E148="","",DONNEES!R148)</f>
        <v/>
      </c>
      <c r="R148" t="str">
        <f>IF(DONNEES!$E148="","",DONNEES!S148)</f>
        <v/>
      </c>
      <c r="S148" t="str">
        <f>IF(DONNEES!$E148="","",DONNEES!T148)</f>
        <v/>
      </c>
      <c r="T148" t="str">
        <f>IF(DONNEES!$E148="","",DONNEES!U148)</f>
        <v/>
      </c>
      <c r="U148" t="str">
        <f>IF(DONNEES!$E148="","",DONNEES!V148)</f>
        <v/>
      </c>
      <c r="V148" t="str">
        <f>IF(DONNEES!$E148="","",DONNEES!W148)</f>
        <v/>
      </c>
      <c r="W148" t="str">
        <f>IF(DONNEES!$E148="","",DONNEES!X148)</f>
        <v/>
      </c>
      <c r="X148" t="str">
        <f>IF(DONNEES!$E148="","",DONNEES!Y148)</f>
        <v/>
      </c>
      <c r="Y148" t="str">
        <f>IF(DONNEES!$E148="","",DONNEES!Z148)</f>
        <v/>
      </c>
      <c r="Z148" t="str">
        <f>IF(DONNEES!$E148="","",DONNEES!AQ148)</f>
        <v/>
      </c>
    </row>
    <row r="149" spans="1:26" ht="15" customHeight="1" x14ac:dyDescent="0.3">
      <c r="A149" t="str">
        <f>IF(DONNEES!$E149="","",DONNEES!A149)</f>
        <v/>
      </c>
      <c r="B149" t="str">
        <f>IF(DONNEES!$E149="","",DONNEES!B149)</f>
        <v/>
      </c>
      <c r="C149" t="str">
        <f>IF(DONNEES!$E149="","",DONNEES!C149)</f>
        <v/>
      </c>
      <c r="D149" t="str">
        <f>IF(DONNEES!$E149="","",DONNEES!E149)</f>
        <v/>
      </c>
      <c r="E149" t="str">
        <f>IF(DONNEES!$E149="","",DONNEES!F149)</f>
        <v/>
      </c>
      <c r="F149" t="str">
        <f>IF(DONNEES!$E149="","",DONNEES!G149)</f>
        <v/>
      </c>
      <c r="G149" t="str">
        <f>IF(DONNEES!$E149="","",DONNEES!H149)</f>
        <v/>
      </c>
      <c r="H149" t="str">
        <f>IF(DONNEES!$E149="","",DONNEES!I149)</f>
        <v/>
      </c>
      <c r="I149" t="str">
        <f>IF(DONNEES!$E149="","",DONNEES!J149)</f>
        <v/>
      </c>
      <c r="J149" t="str">
        <f>IF(DONNEES!$E149="","",DONNEES!K149)</f>
        <v/>
      </c>
      <c r="K149" t="str">
        <f>IF(DONNEES!$E149="","",DONNEES!L149)</f>
        <v/>
      </c>
      <c r="L149" t="str">
        <f>IF(DONNEES!$E149="","",DONNEES!M149)</f>
        <v/>
      </c>
      <c r="M149" t="str">
        <f>IF(DONNEES!$E149="","",DONNEES!N149)</f>
        <v/>
      </c>
      <c r="N149" t="str">
        <f>IF(DONNEES!$E149="","",DONNEES!O149)</f>
        <v/>
      </c>
      <c r="O149" t="str">
        <f>IF(DONNEES!$E149="","",DONNEES!P149)</f>
        <v/>
      </c>
      <c r="P149" t="str">
        <f>IF(DONNEES!$E149="","",DONNEES!Q149)</f>
        <v/>
      </c>
      <c r="Q149" t="str">
        <f>IF(DONNEES!$E149="","",DONNEES!R149)</f>
        <v/>
      </c>
      <c r="R149" t="str">
        <f>IF(DONNEES!$E149="","",DONNEES!S149)</f>
        <v/>
      </c>
      <c r="S149" t="str">
        <f>IF(DONNEES!$E149="","",DONNEES!T149)</f>
        <v/>
      </c>
      <c r="T149" t="str">
        <f>IF(DONNEES!$E149="","",DONNEES!U149)</f>
        <v/>
      </c>
      <c r="U149" t="str">
        <f>IF(DONNEES!$E149="","",DONNEES!V149)</f>
        <v/>
      </c>
      <c r="V149" t="str">
        <f>IF(DONNEES!$E149="","",DONNEES!W149)</f>
        <v/>
      </c>
      <c r="W149" t="str">
        <f>IF(DONNEES!$E149="","",DONNEES!X149)</f>
        <v/>
      </c>
      <c r="X149" t="str">
        <f>IF(DONNEES!$E149="","",DONNEES!Y149)</f>
        <v/>
      </c>
      <c r="Y149" t="str">
        <f>IF(DONNEES!$E149="","",DONNEES!Z149)</f>
        <v/>
      </c>
      <c r="Z149" t="str">
        <f>IF(DONNEES!$E149="","",DONNEES!AQ149)</f>
        <v/>
      </c>
    </row>
    <row r="150" spans="1:26" ht="15" customHeight="1" x14ac:dyDescent="0.3">
      <c r="A150" t="str">
        <f>IF(DONNEES!$E150="","",DONNEES!A150)</f>
        <v/>
      </c>
      <c r="B150" t="str">
        <f>IF(DONNEES!$E150="","",DONNEES!B150)</f>
        <v/>
      </c>
      <c r="C150" t="str">
        <f>IF(DONNEES!$E150="","",DONNEES!C150)</f>
        <v/>
      </c>
      <c r="D150" t="str">
        <f>IF(DONNEES!$E150="","",DONNEES!E150)</f>
        <v/>
      </c>
      <c r="E150" t="str">
        <f>IF(DONNEES!$E150="","",DONNEES!F150)</f>
        <v/>
      </c>
      <c r="F150" t="str">
        <f>IF(DONNEES!$E150="","",DONNEES!G150)</f>
        <v/>
      </c>
      <c r="G150" t="str">
        <f>IF(DONNEES!$E150="","",DONNEES!H150)</f>
        <v/>
      </c>
      <c r="H150" t="str">
        <f>IF(DONNEES!$E150="","",DONNEES!I150)</f>
        <v/>
      </c>
      <c r="I150" t="str">
        <f>IF(DONNEES!$E150="","",DONNEES!J150)</f>
        <v/>
      </c>
      <c r="J150" t="str">
        <f>IF(DONNEES!$E150="","",DONNEES!K150)</f>
        <v/>
      </c>
      <c r="K150" t="str">
        <f>IF(DONNEES!$E150="","",DONNEES!L150)</f>
        <v/>
      </c>
      <c r="L150" t="str">
        <f>IF(DONNEES!$E150="","",DONNEES!M150)</f>
        <v/>
      </c>
      <c r="M150" t="str">
        <f>IF(DONNEES!$E150="","",DONNEES!N150)</f>
        <v/>
      </c>
      <c r="N150" t="str">
        <f>IF(DONNEES!$E150="","",DONNEES!O150)</f>
        <v/>
      </c>
      <c r="O150" t="str">
        <f>IF(DONNEES!$E150="","",DONNEES!P150)</f>
        <v/>
      </c>
      <c r="P150" t="str">
        <f>IF(DONNEES!$E150="","",DONNEES!Q150)</f>
        <v/>
      </c>
      <c r="Q150" t="str">
        <f>IF(DONNEES!$E150="","",DONNEES!R150)</f>
        <v/>
      </c>
      <c r="R150" t="str">
        <f>IF(DONNEES!$E150="","",DONNEES!S150)</f>
        <v/>
      </c>
      <c r="S150" t="str">
        <f>IF(DONNEES!$E150="","",DONNEES!T150)</f>
        <v/>
      </c>
      <c r="T150" t="str">
        <f>IF(DONNEES!$E150="","",DONNEES!U150)</f>
        <v/>
      </c>
      <c r="U150" t="str">
        <f>IF(DONNEES!$E150="","",DONNEES!V150)</f>
        <v/>
      </c>
      <c r="V150" t="str">
        <f>IF(DONNEES!$E150="","",DONNEES!W150)</f>
        <v/>
      </c>
      <c r="W150" t="str">
        <f>IF(DONNEES!$E150="","",DONNEES!X150)</f>
        <v/>
      </c>
      <c r="X150" t="str">
        <f>IF(DONNEES!$E150="","",DONNEES!Y150)</f>
        <v/>
      </c>
      <c r="Y150" t="str">
        <f>IF(DONNEES!$E150="","",DONNEES!Z150)</f>
        <v/>
      </c>
      <c r="Z150" t="str">
        <f>IF(DONNEES!$E150="","",DONNEES!AQ150)</f>
        <v/>
      </c>
    </row>
    <row r="151" spans="1:26" ht="15" customHeight="1" x14ac:dyDescent="0.3">
      <c r="A151" t="str">
        <f>IF(DONNEES!$E151="","",DONNEES!A151)</f>
        <v/>
      </c>
      <c r="B151" t="str">
        <f>IF(DONNEES!$E151="","",DONNEES!B151)</f>
        <v/>
      </c>
      <c r="C151" t="str">
        <f>IF(DONNEES!$E151="","",DONNEES!C151)</f>
        <v/>
      </c>
      <c r="D151" t="str">
        <f>IF(DONNEES!$E151="","",DONNEES!E151)</f>
        <v/>
      </c>
      <c r="E151" t="str">
        <f>IF(DONNEES!$E151="","",DONNEES!F151)</f>
        <v/>
      </c>
      <c r="F151" t="str">
        <f>IF(DONNEES!$E151="","",DONNEES!G151)</f>
        <v/>
      </c>
      <c r="G151" t="str">
        <f>IF(DONNEES!$E151="","",DONNEES!H151)</f>
        <v/>
      </c>
      <c r="H151" t="str">
        <f>IF(DONNEES!$E151="","",DONNEES!I151)</f>
        <v/>
      </c>
      <c r="I151" t="str">
        <f>IF(DONNEES!$E151="","",DONNEES!J151)</f>
        <v/>
      </c>
      <c r="J151" t="str">
        <f>IF(DONNEES!$E151="","",DONNEES!K151)</f>
        <v/>
      </c>
      <c r="K151" t="str">
        <f>IF(DONNEES!$E151="","",DONNEES!L151)</f>
        <v/>
      </c>
      <c r="L151" t="str">
        <f>IF(DONNEES!$E151="","",DONNEES!M151)</f>
        <v/>
      </c>
      <c r="M151" t="str">
        <f>IF(DONNEES!$E151="","",DONNEES!N151)</f>
        <v/>
      </c>
      <c r="N151" t="str">
        <f>IF(DONNEES!$E151="","",DONNEES!O151)</f>
        <v/>
      </c>
      <c r="O151" t="str">
        <f>IF(DONNEES!$E151="","",DONNEES!P151)</f>
        <v/>
      </c>
      <c r="P151" t="str">
        <f>IF(DONNEES!$E151="","",DONNEES!Q151)</f>
        <v/>
      </c>
      <c r="Q151" t="str">
        <f>IF(DONNEES!$E151="","",DONNEES!R151)</f>
        <v/>
      </c>
      <c r="R151" t="str">
        <f>IF(DONNEES!$E151="","",DONNEES!S151)</f>
        <v/>
      </c>
      <c r="S151" t="str">
        <f>IF(DONNEES!$E151="","",DONNEES!T151)</f>
        <v/>
      </c>
      <c r="T151" t="str">
        <f>IF(DONNEES!$E151="","",DONNEES!U151)</f>
        <v/>
      </c>
      <c r="U151" t="str">
        <f>IF(DONNEES!$E151="","",DONNEES!V151)</f>
        <v/>
      </c>
      <c r="V151" t="str">
        <f>IF(DONNEES!$E151="","",DONNEES!W151)</f>
        <v/>
      </c>
      <c r="W151" t="str">
        <f>IF(DONNEES!$E151="","",DONNEES!X151)</f>
        <v/>
      </c>
      <c r="X151" t="str">
        <f>IF(DONNEES!$E151="","",DONNEES!Y151)</f>
        <v/>
      </c>
      <c r="Y151" t="str">
        <f>IF(DONNEES!$E151="","",DONNEES!Z151)</f>
        <v/>
      </c>
      <c r="Z151" t="str">
        <f>IF(DONNEES!$E151="","",DONNEES!AQ151)</f>
        <v/>
      </c>
    </row>
    <row r="152" spans="1:26" ht="15" customHeight="1" x14ac:dyDescent="0.3">
      <c r="A152" t="str">
        <f>IF(DONNEES!$E152="","",DONNEES!A152)</f>
        <v/>
      </c>
      <c r="B152" t="str">
        <f>IF(DONNEES!$E152="","",DONNEES!B152)</f>
        <v/>
      </c>
      <c r="C152" t="str">
        <f>IF(DONNEES!$E152="","",DONNEES!C152)</f>
        <v/>
      </c>
      <c r="D152" t="str">
        <f>IF(DONNEES!$E152="","",DONNEES!E152)</f>
        <v/>
      </c>
      <c r="E152" t="str">
        <f>IF(DONNEES!$E152="","",DONNEES!F152)</f>
        <v/>
      </c>
      <c r="F152" t="str">
        <f>IF(DONNEES!$E152="","",DONNEES!G152)</f>
        <v/>
      </c>
      <c r="G152" t="str">
        <f>IF(DONNEES!$E152="","",DONNEES!H152)</f>
        <v/>
      </c>
      <c r="H152" t="str">
        <f>IF(DONNEES!$E152="","",DONNEES!I152)</f>
        <v/>
      </c>
      <c r="I152" t="str">
        <f>IF(DONNEES!$E152="","",DONNEES!J152)</f>
        <v/>
      </c>
      <c r="J152" t="str">
        <f>IF(DONNEES!$E152="","",DONNEES!K152)</f>
        <v/>
      </c>
      <c r="K152" t="str">
        <f>IF(DONNEES!$E152="","",DONNEES!L152)</f>
        <v/>
      </c>
      <c r="L152" t="str">
        <f>IF(DONNEES!$E152="","",DONNEES!M152)</f>
        <v/>
      </c>
      <c r="M152" t="str">
        <f>IF(DONNEES!$E152="","",DONNEES!N152)</f>
        <v/>
      </c>
      <c r="N152" t="str">
        <f>IF(DONNEES!$E152="","",DONNEES!O152)</f>
        <v/>
      </c>
      <c r="O152" t="str">
        <f>IF(DONNEES!$E152="","",DONNEES!P152)</f>
        <v/>
      </c>
      <c r="P152" t="str">
        <f>IF(DONNEES!$E152="","",DONNEES!Q152)</f>
        <v/>
      </c>
      <c r="Q152" t="str">
        <f>IF(DONNEES!$E152="","",DONNEES!R152)</f>
        <v/>
      </c>
      <c r="R152" t="str">
        <f>IF(DONNEES!$E152="","",DONNEES!S152)</f>
        <v/>
      </c>
      <c r="S152" t="str">
        <f>IF(DONNEES!$E152="","",DONNEES!T152)</f>
        <v/>
      </c>
      <c r="T152" t="str">
        <f>IF(DONNEES!$E152="","",DONNEES!U152)</f>
        <v/>
      </c>
      <c r="U152" t="str">
        <f>IF(DONNEES!$E152="","",DONNEES!V152)</f>
        <v/>
      </c>
      <c r="V152" t="str">
        <f>IF(DONNEES!$E152="","",DONNEES!W152)</f>
        <v/>
      </c>
      <c r="W152" t="str">
        <f>IF(DONNEES!$E152="","",DONNEES!X152)</f>
        <v/>
      </c>
      <c r="X152" t="str">
        <f>IF(DONNEES!$E152="","",DONNEES!Y152)</f>
        <v/>
      </c>
      <c r="Y152" t="str">
        <f>IF(DONNEES!$E152="","",DONNEES!Z152)</f>
        <v/>
      </c>
      <c r="Z152" t="str">
        <f>IF(DONNEES!$E152="","",DONNEES!AQ152)</f>
        <v/>
      </c>
    </row>
    <row r="153" spans="1:26" ht="15" customHeight="1" x14ac:dyDescent="0.3">
      <c r="A153" t="str">
        <f>IF(DONNEES!$E153="","",DONNEES!A153)</f>
        <v/>
      </c>
      <c r="B153" t="str">
        <f>IF(DONNEES!$E153="","",DONNEES!B153)</f>
        <v/>
      </c>
      <c r="C153" t="str">
        <f>IF(DONNEES!$E153="","",DONNEES!C153)</f>
        <v/>
      </c>
      <c r="D153" t="str">
        <f>IF(DONNEES!$E153="","",DONNEES!E153)</f>
        <v/>
      </c>
      <c r="E153" t="str">
        <f>IF(DONNEES!$E153="","",DONNEES!F153)</f>
        <v/>
      </c>
      <c r="F153" t="str">
        <f>IF(DONNEES!$E153="","",DONNEES!G153)</f>
        <v/>
      </c>
      <c r="G153" t="str">
        <f>IF(DONNEES!$E153="","",DONNEES!H153)</f>
        <v/>
      </c>
      <c r="H153" t="str">
        <f>IF(DONNEES!$E153="","",DONNEES!I153)</f>
        <v/>
      </c>
      <c r="I153" t="str">
        <f>IF(DONNEES!$E153="","",DONNEES!J153)</f>
        <v/>
      </c>
      <c r="J153" t="str">
        <f>IF(DONNEES!$E153="","",DONNEES!K153)</f>
        <v/>
      </c>
      <c r="K153" t="str">
        <f>IF(DONNEES!$E153="","",DONNEES!L153)</f>
        <v/>
      </c>
      <c r="L153" t="str">
        <f>IF(DONNEES!$E153="","",DONNEES!M153)</f>
        <v/>
      </c>
      <c r="M153" t="str">
        <f>IF(DONNEES!$E153="","",DONNEES!N153)</f>
        <v/>
      </c>
      <c r="N153" t="str">
        <f>IF(DONNEES!$E153="","",DONNEES!O153)</f>
        <v/>
      </c>
      <c r="O153" t="str">
        <f>IF(DONNEES!$E153="","",DONNEES!P153)</f>
        <v/>
      </c>
      <c r="P153" t="str">
        <f>IF(DONNEES!$E153="","",DONNEES!Q153)</f>
        <v/>
      </c>
      <c r="Q153" t="str">
        <f>IF(DONNEES!$E153="","",DONNEES!R153)</f>
        <v/>
      </c>
      <c r="R153" t="str">
        <f>IF(DONNEES!$E153="","",DONNEES!S153)</f>
        <v/>
      </c>
      <c r="S153" t="str">
        <f>IF(DONNEES!$E153="","",DONNEES!T153)</f>
        <v/>
      </c>
      <c r="T153" t="str">
        <f>IF(DONNEES!$E153="","",DONNEES!U153)</f>
        <v/>
      </c>
      <c r="U153" t="str">
        <f>IF(DONNEES!$E153="","",DONNEES!V153)</f>
        <v/>
      </c>
      <c r="V153" t="str">
        <f>IF(DONNEES!$E153="","",DONNEES!W153)</f>
        <v/>
      </c>
      <c r="W153" t="str">
        <f>IF(DONNEES!$E153="","",DONNEES!X153)</f>
        <v/>
      </c>
      <c r="X153" t="str">
        <f>IF(DONNEES!$E153="","",DONNEES!Y153)</f>
        <v/>
      </c>
      <c r="Y153" t="str">
        <f>IF(DONNEES!$E153="","",DONNEES!Z153)</f>
        <v/>
      </c>
      <c r="Z153" t="str">
        <f>IF(DONNEES!$E153="","",DONNEES!AQ153)</f>
        <v/>
      </c>
    </row>
    <row r="154" spans="1:26" ht="15" customHeight="1" x14ac:dyDescent="0.3">
      <c r="A154" t="str">
        <f>IF(DONNEES!$E154="","",DONNEES!A154)</f>
        <v/>
      </c>
      <c r="B154" t="str">
        <f>IF(DONNEES!$E154="","",DONNEES!B154)</f>
        <v/>
      </c>
      <c r="C154" t="str">
        <f>IF(DONNEES!$E154="","",DONNEES!C154)</f>
        <v/>
      </c>
      <c r="D154" t="str">
        <f>IF(DONNEES!$E154="","",DONNEES!E154)</f>
        <v/>
      </c>
      <c r="E154" t="str">
        <f>IF(DONNEES!$E154="","",DONNEES!F154)</f>
        <v/>
      </c>
      <c r="F154" t="str">
        <f>IF(DONNEES!$E154="","",DONNEES!G154)</f>
        <v/>
      </c>
      <c r="G154" t="str">
        <f>IF(DONNEES!$E154="","",DONNEES!H154)</f>
        <v/>
      </c>
      <c r="H154" t="str">
        <f>IF(DONNEES!$E154="","",DONNEES!I154)</f>
        <v/>
      </c>
      <c r="I154" t="str">
        <f>IF(DONNEES!$E154="","",DONNEES!J154)</f>
        <v/>
      </c>
      <c r="J154" t="str">
        <f>IF(DONNEES!$E154="","",DONNEES!K154)</f>
        <v/>
      </c>
      <c r="K154" t="str">
        <f>IF(DONNEES!$E154="","",DONNEES!L154)</f>
        <v/>
      </c>
      <c r="L154" t="str">
        <f>IF(DONNEES!$E154="","",DONNEES!M154)</f>
        <v/>
      </c>
      <c r="M154" t="str">
        <f>IF(DONNEES!$E154="","",DONNEES!N154)</f>
        <v/>
      </c>
      <c r="N154" t="str">
        <f>IF(DONNEES!$E154="","",DONNEES!O154)</f>
        <v/>
      </c>
      <c r="O154" t="str">
        <f>IF(DONNEES!$E154="","",DONNEES!P154)</f>
        <v/>
      </c>
      <c r="P154" t="str">
        <f>IF(DONNEES!$E154="","",DONNEES!Q154)</f>
        <v/>
      </c>
      <c r="Q154" t="str">
        <f>IF(DONNEES!$E154="","",DONNEES!R154)</f>
        <v/>
      </c>
      <c r="R154" t="str">
        <f>IF(DONNEES!$E154="","",DONNEES!S154)</f>
        <v/>
      </c>
      <c r="S154" t="str">
        <f>IF(DONNEES!$E154="","",DONNEES!T154)</f>
        <v/>
      </c>
      <c r="T154" t="str">
        <f>IF(DONNEES!$E154="","",DONNEES!U154)</f>
        <v/>
      </c>
      <c r="U154" t="str">
        <f>IF(DONNEES!$E154="","",DONNEES!V154)</f>
        <v/>
      </c>
      <c r="V154" t="str">
        <f>IF(DONNEES!$E154="","",DONNEES!W154)</f>
        <v/>
      </c>
      <c r="W154" t="str">
        <f>IF(DONNEES!$E154="","",DONNEES!X154)</f>
        <v/>
      </c>
      <c r="X154" t="str">
        <f>IF(DONNEES!$E154="","",DONNEES!Y154)</f>
        <v/>
      </c>
      <c r="Y154" t="str">
        <f>IF(DONNEES!$E154="","",DONNEES!Z154)</f>
        <v/>
      </c>
      <c r="Z154" t="str">
        <f>IF(DONNEES!$E154="","",DONNEES!AQ154)</f>
        <v/>
      </c>
    </row>
    <row r="155" spans="1:26" ht="15" customHeight="1" x14ac:dyDescent="0.3">
      <c r="A155" t="str">
        <f>IF(DONNEES!$E155="","",DONNEES!A155)</f>
        <v/>
      </c>
      <c r="B155" t="str">
        <f>IF(DONNEES!$E155="","",DONNEES!B155)</f>
        <v/>
      </c>
      <c r="C155" t="str">
        <f>IF(DONNEES!$E155="","",DONNEES!C155)</f>
        <v/>
      </c>
      <c r="D155" t="str">
        <f>IF(DONNEES!$E155="","",DONNEES!E155)</f>
        <v/>
      </c>
      <c r="E155" t="str">
        <f>IF(DONNEES!$E155="","",DONNEES!F155)</f>
        <v/>
      </c>
      <c r="F155" t="str">
        <f>IF(DONNEES!$E155="","",DONNEES!G155)</f>
        <v/>
      </c>
      <c r="G155" t="str">
        <f>IF(DONNEES!$E155="","",DONNEES!H155)</f>
        <v/>
      </c>
      <c r="H155" t="str">
        <f>IF(DONNEES!$E155="","",DONNEES!I155)</f>
        <v/>
      </c>
      <c r="I155" t="str">
        <f>IF(DONNEES!$E155="","",DONNEES!J155)</f>
        <v/>
      </c>
      <c r="J155" t="str">
        <f>IF(DONNEES!$E155="","",DONNEES!K155)</f>
        <v/>
      </c>
      <c r="K155" t="str">
        <f>IF(DONNEES!$E155="","",DONNEES!L155)</f>
        <v/>
      </c>
      <c r="L155" t="str">
        <f>IF(DONNEES!$E155="","",DONNEES!M155)</f>
        <v/>
      </c>
      <c r="M155" t="str">
        <f>IF(DONNEES!$E155="","",DONNEES!N155)</f>
        <v/>
      </c>
      <c r="N155" t="str">
        <f>IF(DONNEES!$E155="","",DONNEES!O155)</f>
        <v/>
      </c>
      <c r="O155" t="str">
        <f>IF(DONNEES!$E155="","",DONNEES!P155)</f>
        <v/>
      </c>
      <c r="P155" t="str">
        <f>IF(DONNEES!$E155="","",DONNEES!Q155)</f>
        <v/>
      </c>
      <c r="Q155" t="str">
        <f>IF(DONNEES!$E155="","",DONNEES!R155)</f>
        <v/>
      </c>
      <c r="R155" t="str">
        <f>IF(DONNEES!$E155="","",DONNEES!S155)</f>
        <v/>
      </c>
      <c r="S155" t="str">
        <f>IF(DONNEES!$E155="","",DONNEES!T155)</f>
        <v/>
      </c>
      <c r="T155" t="str">
        <f>IF(DONNEES!$E155="","",DONNEES!U155)</f>
        <v/>
      </c>
      <c r="U155" t="str">
        <f>IF(DONNEES!$E155="","",DONNEES!V155)</f>
        <v/>
      </c>
      <c r="V155" t="str">
        <f>IF(DONNEES!$E155="","",DONNEES!W155)</f>
        <v/>
      </c>
      <c r="W155" t="str">
        <f>IF(DONNEES!$E155="","",DONNEES!X155)</f>
        <v/>
      </c>
      <c r="X155" t="str">
        <f>IF(DONNEES!$E155="","",DONNEES!Y155)</f>
        <v/>
      </c>
      <c r="Y155" t="str">
        <f>IF(DONNEES!$E155="","",DONNEES!Z155)</f>
        <v/>
      </c>
      <c r="Z155" t="str">
        <f>IF(DONNEES!$E155="","",DONNEES!AQ155)</f>
        <v/>
      </c>
    </row>
    <row r="156" spans="1:26" ht="15" customHeight="1" x14ac:dyDescent="0.3">
      <c r="A156" t="str">
        <f>IF(DONNEES!$E156="","",DONNEES!A156)</f>
        <v/>
      </c>
      <c r="B156" t="str">
        <f>IF(DONNEES!$E156="","",DONNEES!B156)</f>
        <v/>
      </c>
      <c r="C156" t="str">
        <f>IF(DONNEES!$E156="","",DONNEES!C156)</f>
        <v/>
      </c>
      <c r="D156" t="str">
        <f>IF(DONNEES!$E156="","",DONNEES!E156)</f>
        <v/>
      </c>
      <c r="E156" t="str">
        <f>IF(DONNEES!$E156="","",DONNEES!F156)</f>
        <v/>
      </c>
      <c r="F156" t="str">
        <f>IF(DONNEES!$E156="","",DONNEES!G156)</f>
        <v/>
      </c>
      <c r="G156" t="str">
        <f>IF(DONNEES!$E156="","",DONNEES!H156)</f>
        <v/>
      </c>
      <c r="H156" t="str">
        <f>IF(DONNEES!$E156="","",DONNEES!I156)</f>
        <v/>
      </c>
      <c r="I156" t="str">
        <f>IF(DONNEES!$E156="","",DONNEES!J156)</f>
        <v/>
      </c>
      <c r="J156" t="str">
        <f>IF(DONNEES!$E156="","",DONNEES!K156)</f>
        <v/>
      </c>
      <c r="K156" t="str">
        <f>IF(DONNEES!$E156="","",DONNEES!L156)</f>
        <v/>
      </c>
      <c r="L156" t="str">
        <f>IF(DONNEES!$E156="","",DONNEES!M156)</f>
        <v/>
      </c>
      <c r="M156" t="str">
        <f>IF(DONNEES!$E156="","",DONNEES!N156)</f>
        <v/>
      </c>
      <c r="N156" t="str">
        <f>IF(DONNEES!$E156="","",DONNEES!O156)</f>
        <v/>
      </c>
      <c r="O156" t="str">
        <f>IF(DONNEES!$E156="","",DONNEES!P156)</f>
        <v/>
      </c>
      <c r="P156" t="str">
        <f>IF(DONNEES!$E156="","",DONNEES!Q156)</f>
        <v/>
      </c>
      <c r="Q156" t="str">
        <f>IF(DONNEES!$E156="","",DONNEES!R156)</f>
        <v/>
      </c>
      <c r="R156" t="str">
        <f>IF(DONNEES!$E156="","",DONNEES!S156)</f>
        <v/>
      </c>
      <c r="S156" t="str">
        <f>IF(DONNEES!$E156="","",DONNEES!T156)</f>
        <v/>
      </c>
      <c r="T156" t="str">
        <f>IF(DONNEES!$E156="","",DONNEES!U156)</f>
        <v/>
      </c>
      <c r="U156" t="str">
        <f>IF(DONNEES!$E156="","",DONNEES!V156)</f>
        <v/>
      </c>
      <c r="V156" t="str">
        <f>IF(DONNEES!$E156="","",DONNEES!W156)</f>
        <v/>
      </c>
      <c r="W156" t="str">
        <f>IF(DONNEES!$E156="","",DONNEES!X156)</f>
        <v/>
      </c>
      <c r="X156" t="str">
        <f>IF(DONNEES!$E156="","",DONNEES!Y156)</f>
        <v/>
      </c>
      <c r="Y156" t="str">
        <f>IF(DONNEES!$E156="","",DONNEES!Z156)</f>
        <v/>
      </c>
      <c r="Z156" t="str">
        <f>IF(DONNEES!$E156="","",DONNEES!AQ156)</f>
        <v/>
      </c>
    </row>
    <row r="157" spans="1:26" ht="15" customHeight="1" x14ac:dyDescent="0.3">
      <c r="A157" t="str">
        <f>IF(DONNEES!$E157="","",DONNEES!A157)</f>
        <v/>
      </c>
      <c r="B157" t="str">
        <f>IF(DONNEES!$E157="","",DONNEES!B157)</f>
        <v/>
      </c>
      <c r="C157" t="str">
        <f>IF(DONNEES!$E157="","",DONNEES!C157)</f>
        <v/>
      </c>
      <c r="D157" t="str">
        <f>IF(DONNEES!$E157="","",DONNEES!E157)</f>
        <v/>
      </c>
      <c r="E157" t="str">
        <f>IF(DONNEES!$E157="","",DONNEES!F157)</f>
        <v/>
      </c>
      <c r="F157" t="str">
        <f>IF(DONNEES!$E157="","",DONNEES!G157)</f>
        <v/>
      </c>
      <c r="G157" t="str">
        <f>IF(DONNEES!$E157="","",DONNEES!H157)</f>
        <v/>
      </c>
      <c r="H157" t="str">
        <f>IF(DONNEES!$E157="","",DONNEES!I157)</f>
        <v/>
      </c>
      <c r="I157" t="str">
        <f>IF(DONNEES!$E157="","",DONNEES!J157)</f>
        <v/>
      </c>
      <c r="J157" t="str">
        <f>IF(DONNEES!$E157="","",DONNEES!K157)</f>
        <v/>
      </c>
      <c r="K157" t="str">
        <f>IF(DONNEES!$E157="","",DONNEES!L157)</f>
        <v/>
      </c>
      <c r="L157" t="str">
        <f>IF(DONNEES!$E157="","",DONNEES!M157)</f>
        <v/>
      </c>
      <c r="M157" t="str">
        <f>IF(DONNEES!$E157="","",DONNEES!N157)</f>
        <v/>
      </c>
      <c r="N157" t="str">
        <f>IF(DONNEES!$E157="","",DONNEES!O157)</f>
        <v/>
      </c>
      <c r="O157" t="str">
        <f>IF(DONNEES!$E157="","",DONNEES!P157)</f>
        <v/>
      </c>
      <c r="P157" t="str">
        <f>IF(DONNEES!$E157="","",DONNEES!Q157)</f>
        <v/>
      </c>
      <c r="Q157" t="str">
        <f>IF(DONNEES!$E157="","",DONNEES!R157)</f>
        <v/>
      </c>
      <c r="R157" t="str">
        <f>IF(DONNEES!$E157="","",DONNEES!S157)</f>
        <v/>
      </c>
      <c r="S157" t="str">
        <f>IF(DONNEES!$E157="","",DONNEES!T157)</f>
        <v/>
      </c>
      <c r="T157" t="str">
        <f>IF(DONNEES!$E157="","",DONNEES!U157)</f>
        <v/>
      </c>
      <c r="U157" t="str">
        <f>IF(DONNEES!$E157="","",DONNEES!V157)</f>
        <v/>
      </c>
      <c r="V157" t="str">
        <f>IF(DONNEES!$E157="","",DONNEES!W157)</f>
        <v/>
      </c>
      <c r="W157" t="str">
        <f>IF(DONNEES!$E157="","",DONNEES!X157)</f>
        <v/>
      </c>
      <c r="X157" t="str">
        <f>IF(DONNEES!$E157="","",DONNEES!Y157)</f>
        <v/>
      </c>
      <c r="Y157" t="str">
        <f>IF(DONNEES!$E157="","",DONNEES!Z157)</f>
        <v/>
      </c>
      <c r="Z157" t="str">
        <f>IF(DONNEES!$E157="","",DONNEES!AQ157)</f>
        <v/>
      </c>
    </row>
    <row r="158" spans="1:26" ht="15" customHeight="1" x14ac:dyDescent="0.3">
      <c r="A158" t="str">
        <f>IF(DONNEES!$E158="","",DONNEES!A158)</f>
        <v/>
      </c>
      <c r="B158" t="str">
        <f>IF(DONNEES!$E158="","",DONNEES!B158)</f>
        <v/>
      </c>
      <c r="C158" t="str">
        <f>IF(DONNEES!$E158="","",DONNEES!C158)</f>
        <v/>
      </c>
      <c r="D158" t="str">
        <f>IF(DONNEES!$E158="","",DONNEES!E158)</f>
        <v/>
      </c>
      <c r="E158" t="str">
        <f>IF(DONNEES!$E158="","",DONNEES!F158)</f>
        <v/>
      </c>
      <c r="F158" t="str">
        <f>IF(DONNEES!$E158="","",DONNEES!G158)</f>
        <v/>
      </c>
      <c r="G158" t="str">
        <f>IF(DONNEES!$E158="","",DONNEES!H158)</f>
        <v/>
      </c>
      <c r="H158" t="str">
        <f>IF(DONNEES!$E158="","",DONNEES!I158)</f>
        <v/>
      </c>
      <c r="I158" t="str">
        <f>IF(DONNEES!$E158="","",DONNEES!J158)</f>
        <v/>
      </c>
      <c r="J158" t="str">
        <f>IF(DONNEES!$E158="","",DONNEES!K158)</f>
        <v/>
      </c>
      <c r="K158" t="str">
        <f>IF(DONNEES!$E158="","",DONNEES!L158)</f>
        <v/>
      </c>
      <c r="L158" t="str">
        <f>IF(DONNEES!$E158="","",DONNEES!M158)</f>
        <v/>
      </c>
      <c r="M158" t="str">
        <f>IF(DONNEES!$E158="","",DONNEES!N158)</f>
        <v/>
      </c>
      <c r="N158" t="str">
        <f>IF(DONNEES!$E158="","",DONNEES!O158)</f>
        <v/>
      </c>
      <c r="O158" t="str">
        <f>IF(DONNEES!$E158="","",DONNEES!P158)</f>
        <v/>
      </c>
      <c r="P158" t="str">
        <f>IF(DONNEES!$E158="","",DONNEES!Q158)</f>
        <v/>
      </c>
      <c r="Q158" t="str">
        <f>IF(DONNEES!$E158="","",DONNEES!R158)</f>
        <v/>
      </c>
      <c r="R158" t="str">
        <f>IF(DONNEES!$E158="","",DONNEES!S158)</f>
        <v/>
      </c>
      <c r="S158" t="str">
        <f>IF(DONNEES!$E158="","",DONNEES!T158)</f>
        <v/>
      </c>
      <c r="T158" t="str">
        <f>IF(DONNEES!$E158="","",DONNEES!U158)</f>
        <v/>
      </c>
      <c r="U158" t="str">
        <f>IF(DONNEES!$E158="","",DONNEES!V158)</f>
        <v/>
      </c>
      <c r="V158" t="str">
        <f>IF(DONNEES!$E158="","",DONNEES!W158)</f>
        <v/>
      </c>
      <c r="W158" t="str">
        <f>IF(DONNEES!$E158="","",DONNEES!X158)</f>
        <v/>
      </c>
      <c r="X158" t="str">
        <f>IF(DONNEES!$E158="","",DONNEES!Y158)</f>
        <v/>
      </c>
      <c r="Y158" t="str">
        <f>IF(DONNEES!$E158="","",DONNEES!Z158)</f>
        <v/>
      </c>
      <c r="Z158" t="str">
        <f>IF(DONNEES!$E158="","",DONNEES!AQ158)</f>
        <v/>
      </c>
    </row>
    <row r="159" spans="1:26" ht="15" customHeight="1" x14ac:dyDescent="0.3">
      <c r="A159" t="str">
        <f>IF(DONNEES!$E159="","",DONNEES!A159)</f>
        <v/>
      </c>
      <c r="B159" t="str">
        <f>IF(DONNEES!$E159="","",DONNEES!B159)</f>
        <v/>
      </c>
      <c r="C159" t="str">
        <f>IF(DONNEES!$E159="","",DONNEES!C159)</f>
        <v/>
      </c>
      <c r="D159" t="str">
        <f>IF(DONNEES!$E159="","",DONNEES!E159)</f>
        <v/>
      </c>
      <c r="E159" t="str">
        <f>IF(DONNEES!$E159="","",DONNEES!F159)</f>
        <v/>
      </c>
      <c r="F159" t="str">
        <f>IF(DONNEES!$E159="","",DONNEES!G159)</f>
        <v/>
      </c>
      <c r="G159" t="str">
        <f>IF(DONNEES!$E159="","",DONNEES!H159)</f>
        <v/>
      </c>
      <c r="H159" t="str">
        <f>IF(DONNEES!$E159="","",DONNEES!I159)</f>
        <v/>
      </c>
      <c r="I159" t="str">
        <f>IF(DONNEES!$E159="","",DONNEES!J159)</f>
        <v/>
      </c>
      <c r="J159" t="str">
        <f>IF(DONNEES!$E159="","",DONNEES!K159)</f>
        <v/>
      </c>
      <c r="K159" t="str">
        <f>IF(DONNEES!$E159="","",DONNEES!L159)</f>
        <v/>
      </c>
      <c r="L159" t="str">
        <f>IF(DONNEES!$E159="","",DONNEES!M159)</f>
        <v/>
      </c>
      <c r="M159" t="str">
        <f>IF(DONNEES!$E159="","",DONNEES!N159)</f>
        <v/>
      </c>
      <c r="N159" t="str">
        <f>IF(DONNEES!$E159="","",DONNEES!O159)</f>
        <v/>
      </c>
      <c r="O159" t="str">
        <f>IF(DONNEES!$E159="","",DONNEES!P159)</f>
        <v/>
      </c>
      <c r="P159" t="str">
        <f>IF(DONNEES!$E159="","",DONNEES!Q159)</f>
        <v/>
      </c>
      <c r="Q159" t="str">
        <f>IF(DONNEES!$E159="","",DONNEES!R159)</f>
        <v/>
      </c>
      <c r="R159" t="str">
        <f>IF(DONNEES!$E159="","",DONNEES!S159)</f>
        <v/>
      </c>
      <c r="S159" t="str">
        <f>IF(DONNEES!$E159="","",DONNEES!T159)</f>
        <v/>
      </c>
      <c r="T159" t="str">
        <f>IF(DONNEES!$E159="","",DONNEES!U159)</f>
        <v/>
      </c>
      <c r="U159" t="str">
        <f>IF(DONNEES!$E159="","",DONNEES!V159)</f>
        <v/>
      </c>
      <c r="V159" t="str">
        <f>IF(DONNEES!$E159="","",DONNEES!W159)</f>
        <v/>
      </c>
      <c r="W159" t="str">
        <f>IF(DONNEES!$E159="","",DONNEES!X159)</f>
        <v/>
      </c>
      <c r="X159" t="str">
        <f>IF(DONNEES!$E159="","",DONNEES!Y159)</f>
        <v/>
      </c>
      <c r="Y159" t="str">
        <f>IF(DONNEES!$E159="","",DONNEES!Z159)</f>
        <v/>
      </c>
      <c r="Z159" t="str">
        <f>IF(DONNEES!$E159="","",DONNEES!AQ159)</f>
        <v/>
      </c>
    </row>
    <row r="160" spans="1:26" ht="15" customHeight="1" x14ac:dyDescent="0.3">
      <c r="A160" t="str">
        <f>IF(DONNEES!$E160="","",DONNEES!A160)</f>
        <v/>
      </c>
      <c r="B160" t="str">
        <f>IF(DONNEES!$E160="","",DONNEES!B160)</f>
        <v/>
      </c>
      <c r="C160" t="str">
        <f>IF(DONNEES!$E160="","",DONNEES!C160)</f>
        <v/>
      </c>
      <c r="D160" t="str">
        <f>IF(DONNEES!$E160="","",DONNEES!E160)</f>
        <v/>
      </c>
      <c r="E160" t="str">
        <f>IF(DONNEES!$E160="","",DONNEES!F160)</f>
        <v/>
      </c>
      <c r="F160" t="str">
        <f>IF(DONNEES!$E160="","",DONNEES!G160)</f>
        <v/>
      </c>
      <c r="G160" t="str">
        <f>IF(DONNEES!$E160="","",DONNEES!H160)</f>
        <v/>
      </c>
      <c r="H160" t="str">
        <f>IF(DONNEES!$E160="","",DONNEES!I160)</f>
        <v/>
      </c>
      <c r="I160" t="str">
        <f>IF(DONNEES!$E160="","",DONNEES!J160)</f>
        <v/>
      </c>
      <c r="J160" t="str">
        <f>IF(DONNEES!$E160="","",DONNEES!K160)</f>
        <v/>
      </c>
      <c r="K160" t="str">
        <f>IF(DONNEES!$E160="","",DONNEES!L160)</f>
        <v/>
      </c>
      <c r="L160" t="str">
        <f>IF(DONNEES!$E160="","",DONNEES!M160)</f>
        <v/>
      </c>
      <c r="M160" t="str">
        <f>IF(DONNEES!$E160="","",DONNEES!N160)</f>
        <v/>
      </c>
      <c r="N160" t="str">
        <f>IF(DONNEES!$E160="","",DONNEES!O160)</f>
        <v/>
      </c>
      <c r="O160" t="str">
        <f>IF(DONNEES!$E160="","",DONNEES!P160)</f>
        <v/>
      </c>
      <c r="P160" t="str">
        <f>IF(DONNEES!$E160="","",DONNEES!Q160)</f>
        <v/>
      </c>
      <c r="Q160" t="str">
        <f>IF(DONNEES!$E160="","",DONNEES!R160)</f>
        <v/>
      </c>
      <c r="R160" t="str">
        <f>IF(DONNEES!$E160="","",DONNEES!S160)</f>
        <v/>
      </c>
      <c r="S160" t="str">
        <f>IF(DONNEES!$E160="","",DONNEES!T160)</f>
        <v/>
      </c>
      <c r="T160" t="str">
        <f>IF(DONNEES!$E160="","",DONNEES!U160)</f>
        <v/>
      </c>
      <c r="U160" t="str">
        <f>IF(DONNEES!$E160="","",DONNEES!V160)</f>
        <v/>
      </c>
      <c r="V160" t="str">
        <f>IF(DONNEES!$E160="","",DONNEES!W160)</f>
        <v/>
      </c>
      <c r="W160" t="str">
        <f>IF(DONNEES!$E160="","",DONNEES!X160)</f>
        <v/>
      </c>
      <c r="X160" t="str">
        <f>IF(DONNEES!$E160="","",DONNEES!Y160)</f>
        <v/>
      </c>
      <c r="Y160" t="str">
        <f>IF(DONNEES!$E160="","",DONNEES!Z160)</f>
        <v/>
      </c>
      <c r="Z160" t="str">
        <f>IF(DONNEES!$E160="","",DONNEES!AQ160)</f>
        <v/>
      </c>
    </row>
    <row r="161" spans="1:26" ht="15" customHeight="1" x14ac:dyDescent="0.3">
      <c r="A161" t="str">
        <f>IF(DONNEES!$E161="","",DONNEES!A161)</f>
        <v/>
      </c>
      <c r="B161" t="str">
        <f>IF(DONNEES!$E161="","",DONNEES!B161)</f>
        <v/>
      </c>
      <c r="C161" t="str">
        <f>IF(DONNEES!$E161="","",DONNEES!C161)</f>
        <v/>
      </c>
      <c r="D161" t="str">
        <f>IF(DONNEES!$E161="","",DONNEES!E161)</f>
        <v/>
      </c>
      <c r="E161" t="str">
        <f>IF(DONNEES!$E161="","",DONNEES!F161)</f>
        <v/>
      </c>
      <c r="F161" t="str">
        <f>IF(DONNEES!$E161="","",DONNEES!G161)</f>
        <v/>
      </c>
      <c r="G161" t="str">
        <f>IF(DONNEES!$E161="","",DONNEES!H161)</f>
        <v/>
      </c>
      <c r="H161" t="str">
        <f>IF(DONNEES!$E161="","",DONNEES!I161)</f>
        <v/>
      </c>
      <c r="I161" t="str">
        <f>IF(DONNEES!$E161="","",DONNEES!J161)</f>
        <v/>
      </c>
      <c r="J161" t="str">
        <f>IF(DONNEES!$E161="","",DONNEES!K161)</f>
        <v/>
      </c>
      <c r="K161" t="str">
        <f>IF(DONNEES!$E161="","",DONNEES!L161)</f>
        <v/>
      </c>
      <c r="L161" t="str">
        <f>IF(DONNEES!$E161="","",DONNEES!M161)</f>
        <v/>
      </c>
      <c r="M161" t="str">
        <f>IF(DONNEES!$E161="","",DONNEES!N161)</f>
        <v/>
      </c>
      <c r="N161" t="str">
        <f>IF(DONNEES!$E161="","",DONNEES!O161)</f>
        <v/>
      </c>
      <c r="O161" t="str">
        <f>IF(DONNEES!$E161="","",DONNEES!P161)</f>
        <v/>
      </c>
      <c r="P161" t="str">
        <f>IF(DONNEES!$E161="","",DONNEES!Q161)</f>
        <v/>
      </c>
      <c r="Q161" t="str">
        <f>IF(DONNEES!$E161="","",DONNEES!R161)</f>
        <v/>
      </c>
      <c r="R161" t="str">
        <f>IF(DONNEES!$E161="","",DONNEES!S161)</f>
        <v/>
      </c>
      <c r="S161" t="str">
        <f>IF(DONNEES!$E161="","",DONNEES!T161)</f>
        <v/>
      </c>
      <c r="T161" t="str">
        <f>IF(DONNEES!$E161="","",DONNEES!U161)</f>
        <v/>
      </c>
      <c r="U161" t="str">
        <f>IF(DONNEES!$E161="","",DONNEES!V161)</f>
        <v/>
      </c>
      <c r="V161" t="str">
        <f>IF(DONNEES!$E161="","",DONNEES!W161)</f>
        <v/>
      </c>
      <c r="W161" t="str">
        <f>IF(DONNEES!$E161="","",DONNEES!X161)</f>
        <v/>
      </c>
      <c r="X161" t="str">
        <f>IF(DONNEES!$E161="","",DONNEES!Y161)</f>
        <v/>
      </c>
      <c r="Y161" t="str">
        <f>IF(DONNEES!$E161="","",DONNEES!Z161)</f>
        <v/>
      </c>
      <c r="Z161" t="str">
        <f>IF(DONNEES!$E161="","",DONNEES!AQ161)</f>
        <v/>
      </c>
    </row>
    <row r="162" spans="1:26" ht="15" customHeight="1" x14ac:dyDescent="0.3">
      <c r="A162" t="str">
        <f>IF(DONNEES!$E162="","",DONNEES!A162)</f>
        <v/>
      </c>
      <c r="B162" t="str">
        <f>IF(DONNEES!$E162="","",DONNEES!B162)</f>
        <v/>
      </c>
      <c r="C162" t="str">
        <f>IF(DONNEES!$E162="","",DONNEES!C162)</f>
        <v/>
      </c>
      <c r="D162" t="str">
        <f>IF(DONNEES!$E162="","",DONNEES!E162)</f>
        <v/>
      </c>
      <c r="E162" t="str">
        <f>IF(DONNEES!$E162="","",DONNEES!F162)</f>
        <v/>
      </c>
      <c r="F162" t="str">
        <f>IF(DONNEES!$E162="","",DONNEES!G162)</f>
        <v/>
      </c>
      <c r="G162" t="str">
        <f>IF(DONNEES!$E162="","",DONNEES!H162)</f>
        <v/>
      </c>
      <c r="H162" t="str">
        <f>IF(DONNEES!$E162="","",DONNEES!I162)</f>
        <v/>
      </c>
      <c r="I162" t="str">
        <f>IF(DONNEES!$E162="","",DONNEES!J162)</f>
        <v/>
      </c>
      <c r="J162" t="str">
        <f>IF(DONNEES!$E162="","",DONNEES!K162)</f>
        <v/>
      </c>
      <c r="K162" t="str">
        <f>IF(DONNEES!$E162="","",DONNEES!L162)</f>
        <v/>
      </c>
      <c r="L162" t="str">
        <f>IF(DONNEES!$E162="","",DONNEES!M162)</f>
        <v/>
      </c>
      <c r="M162" t="str">
        <f>IF(DONNEES!$E162="","",DONNEES!N162)</f>
        <v/>
      </c>
      <c r="N162" t="str">
        <f>IF(DONNEES!$E162="","",DONNEES!O162)</f>
        <v/>
      </c>
      <c r="O162" t="str">
        <f>IF(DONNEES!$E162="","",DONNEES!P162)</f>
        <v/>
      </c>
      <c r="P162" t="str">
        <f>IF(DONNEES!$E162="","",DONNEES!Q162)</f>
        <v/>
      </c>
      <c r="Q162" t="str">
        <f>IF(DONNEES!$E162="","",DONNEES!R162)</f>
        <v/>
      </c>
      <c r="R162" t="str">
        <f>IF(DONNEES!$E162="","",DONNEES!S162)</f>
        <v/>
      </c>
      <c r="S162" t="str">
        <f>IF(DONNEES!$E162="","",DONNEES!T162)</f>
        <v/>
      </c>
      <c r="T162" t="str">
        <f>IF(DONNEES!$E162="","",DONNEES!U162)</f>
        <v/>
      </c>
      <c r="U162" t="str">
        <f>IF(DONNEES!$E162="","",DONNEES!V162)</f>
        <v/>
      </c>
      <c r="V162" t="str">
        <f>IF(DONNEES!$E162="","",DONNEES!W162)</f>
        <v/>
      </c>
      <c r="W162" t="str">
        <f>IF(DONNEES!$E162="","",DONNEES!X162)</f>
        <v/>
      </c>
      <c r="X162" t="str">
        <f>IF(DONNEES!$E162="","",DONNEES!Y162)</f>
        <v/>
      </c>
      <c r="Y162" t="str">
        <f>IF(DONNEES!$E162="","",DONNEES!Z162)</f>
        <v/>
      </c>
      <c r="Z162" t="str">
        <f>IF(DONNEES!$E162="","",DONNEES!AQ162)</f>
        <v/>
      </c>
    </row>
    <row r="163" spans="1:26" ht="15" customHeight="1" x14ac:dyDescent="0.3">
      <c r="A163" t="str">
        <f>IF(DONNEES!$E163="","",DONNEES!A163)</f>
        <v/>
      </c>
      <c r="B163" t="str">
        <f>IF(DONNEES!$E163="","",DONNEES!B163)</f>
        <v/>
      </c>
      <c r="C163" t="str">
        <f>IF(DONNEES!$E163="","",DONNEES!C163)</f>
        <v/>
      </c>
      <c r="D163" t="str">
        <f>IF(DONNEES!$E163="","",DONNEES!E163)</f>
        <v/>
      </c>
      <c r="E163" t="str">
        <f>IF(DONNEES!$E163="","",DONNEES!F163)</f>
        <v/>
      </c>
      <c r="F163" t="str">
        <f>IF(DONNEES!$E163="","",DONNEES!G163)</f>
        <v/>
      </c>
      <c r="G163" t="str">
        <f>IF(DONNEES!$E163="","",DONNEES!H163)</f>
        <v/>
      </c>
      <c r="H163" t="str">
        <f>IF(DONNEES!$E163="","",DONNEES!I163)</f>
        <v/>
      </c>
      <c r="I163" t="str">
        <f>IF(DONNEES!$E163="","",DONNEES!J163)</f>
        <v/>
      </c>
      <c r="J163" t="str">
        <f>IF(DONNEES!$E163="","",DONNEES!K163)</f>
        <v/>
      </c>
      <c r="K163" t="str">
        <f>IF(DONNEES!$E163="","",DONNEES!L163)</f>
        <v/>
      </c>
      <c r="L163" t="str">
        <f>IF(DONNEES!$E163="","",DONNEES!M163)</f>
        <v/>
      </c>
      <c r="M163" t="str">
        <f>IF(DONNEES!$E163="","",DONNEES!N163)</f>
        <v/>
      </c>
      <c r="N163" t="str">
        <f>IF(DONNEES!$E163="","",DONNEES!O163)</f>
        <v/>
      </c>
      <c r="O163" t="str">
        <f>IF(DONNEES!$E163="","",DONNEES!P163)</f>
        <v/>
      </c>
      <c r="P163" t="str">
        <f>IF(DONNEES!$E163="","",DONNEES!Q163)</f>
        <v/>
      </c>
      <c r="Q163" t="str">
        <f>IF(DONNEES!$E163="","",DONNEES!R163)</f>
        <v/>
      </c>
      <c r="R163" t="str">
        <f>IF(DONNEES!$E163="","",DONNEES!S163)</f>
        <v/>
      </c>
      <c r="S163" t="str">
        <f>IF(DONNEES!$E163="","",DONNEES!T163)</f>
        <v/>
      </c>
      <c r="T163" t="str">
        <f>IF(DONNEES!$E163="","",DONNEES!U163)</f>
        <v/>
      </c>
      <c r="U163" t="str">
        <f>IF(DONNEES!$E163="","",DONNEES!V163)</f>
        <v/>
      </c>
      <c r="V163" t="str">
        <f>IF(DONNEES!$E163="","",DONNEES!W163)</f>
        <v/>
      </c>
      <c r="W163" t="str">
        <f>IF(DONNEES!$E163="","",DONNEES!X163)</f>
        <v/>
      </c>
      <c r="X163" t="str">
        <f>IF(DONNEES!$E163="","",DONNEES!Y163)</f>
        <v/>
      </c>
      <c r="Y163" t="str">
        <f>IF(DONNEES!$E163="","",DONNEES!Z163)</f>
        <v/>
      </c>
      <c r="Z163" t="str">
        <f>IF(DONNEES!$E163="","",DONNEES!AQ163)</f>
        <v/>
      </c>
    </row>
    <row r="164" spans="1:26" ht="15" customHeight="1" x14ac:dyDescent="0.3">
      <c r="A164" t="str">
        <f>IF(DONNEES!$E164="","",DONNEES!A164)</f>
        <v/>
      </c>
      <c r="B164" t="str">
        <f>IF(DONNEES!$E164="","",DONNEES!B164)</f>
        <v/>
      </c>
      <c r="C164" t="str">
        <f>IF(DONNEES!$E164="","",DONNEES!C164)</f>
        <v/>
      </c>
      <c r="D164" t="str">
        <f>IF(DONNEES!$E164="","",DONNEES!E164)</f>
        <v/>
      </c>
      <c r="E164" t="str">
        <f>IF(DONNEES!$E164="","",DONNEES!F164)</f>
        <v/>
      </c>
      <c r="F164" t="str">
        <f>IF(DONNEES!$E164="","",DONNEES!G164)</f>
        <v/>
      </c>
      <c r="G164" t="str">
        <f>IF(DONNEES!$E164="","",DONNEES!H164)</f>
        <v/>
      </c>
      <c r="H164" t="str">
        <f>IF(DONNEES!$E164="","",DONNEES!I164)</f>
        <v/>
      </c>
      <c r="I164" t="str">
        <f>IF(DONNEES!$E164="","",DONNEES!J164)</f>
        <v/>
      </c>
      <c r="J164" t="str">
        <f>IF(DONNEES!$E164="","",DONNEES!K164)</f>
        <v/>
      </c>
      <c r="K164" t="str">
        <f>IF(DONNEES!$E164="","",DONNEES!L164)</f>
        <v/>
      </c>
      <c r="L164" t="str">
        <f>IF(DONNEES!$E164="","",DONNEES!M164)</f>
        <v/>
      </c>
      <c r="M164" t="str">
        <f>IF(DONNEES!$E164="","",DONNEES!N164)</f>
        <v/>
      </c>
      <c r="N164" t="str">
        <f>IF(DONNEES!$E164="","",DONNEES!O164)</f>
        <v/>
      </c>
      <c r="O164" t="str">
        <f>IF(DONNEES!$E164="","",DONNEES!P164)</f>
        <v/>
      </c>
      <c r="P164" t="str">
        <f>IF(DONNEES!$E164="","",DONNEES!Q164)</f>
        <v/>
      </c>
      <c r="Q164" t="str">
        <f>IF(DONNEES!$E164="","",DONNEES!R164)</f>
        <v/>
      </c>
      <c r="R164" t="str">
        <f>IF(DONNEES!$E164="","",DONNEES!S164)</f>
        <v/>
      </c>
      <c r="S164" t="str">
        <f>IF(DONNEES!$E164="","",DONNEES!T164)</f>
        <v/>
      </c>
      <c r="T164" t="str">
        <f>IF(DONNEES!$E164="","",DONNEES!U164)</f>
        <v/>
      </c>
      <c r="U164" t="str">
        <f>IF(DONNEES!$E164="","",DONNEES!V164)</f>
        <v/>
      </c>
      <c r="V164" t="str">
        <f>IF(DONNEES!$E164="","",DONNEES!W164)</f>
        <v/>
      </c>
      <c r="W164" t="str">
        <f>IF(DONNEES!$E164="","",DONNEES!X164)</f>
        <v/>
      </c>
      <c r="X164" t="str">
        <f>IF(DONNEES!$E164="","",DONNEES!Y164)</f>
        <v/>
      </c>
      <c r="Y164" t="str">
        <f>IF(DONNEES!$E164="","",DONNEES!Z164)</f>
        <v/>
      </c>
      <c r="Z164" t="str">
        <f>IF(DONNEES!$E164="","",DONNEES!AQ164)</f>
        <v/>
      </c>
    </row>
    <row r="165" spans="1:26" ht="15" customHeight="1" x14ac:dyDescent="0.3">
      <c r="A165" t="str">
        <f>IF(DONNEES!$E165="","",DONNEES!A165)</f>
        <v/>
      </c>
      <c r="B165" t="str">
        <f>IF(DONNEES!$E165="","",DONNEES!B165)</f>
        <v/>
      </c>
      <c r="C165" t="str">
        <f>IF(DONNEES!$E165="","",DONNEES!C165)</f>
        <v/>
      </c>
      <c r="D165" t="str">
        <f>IF(DONNEES!$E165="","",DONNEES!E165)</f>
        <v/>
      </c>
      <c r="E165" t="str">
        <f>IF(DONNEES!$E165="","",DONNEES!F165)</f>
        <v/>
      </c>
      <c r="F165" t="str">
        <f>IF(DONNEES!$E165="","",DONNEES!G165)</f>
        <v/>
      </c>
      <c r="G165" t="str">
        <f>IF(DONNEES!$E165="","",DONNEES!H165)</f>
        <v/>
      </c>
      <c r="H165" t="str">
        <f>IF(DONNEES!$E165="","",DONNEES!I165)</f>
        <v/>
      </c>
      <c r="I165" t="str">
        <f>IF(DONNEES!$E165="","",DONNEES!J165)</f>
        <v/>
      </c>
      <c r="J165" t="str">
        <f>IF(DONNEES!$E165="","",DONNEES!K165)</f>
        <v/>
      </c>
      <c r="K165" t="str">
        <f>IF(DONNEES!$E165="","",DONNEES!L165)</f>
        <v/>
      </c>
      <c r="L165" t="str">
        <f>IF(DONNEES!$E165="","",DONNEES!M165)</f>
        <v/>
      </c>
      <c r="M165" t="str">
        <f>IF(DONNEES!$E165="","",DONNEES!N165)</f>
        <v/>
      </c>
      <c r="N165" t="str">
        <f>IF(DONNEES!$E165="","",DONNEES!O165)</f>
        <v/>
      </c>
      <c r="O165" t="str">
        <f>IF(DONNEES!$E165="","",DONNEES!P165)</f>
        <v/>
      </c>
      <c r="P165" t="str">
        <f>IF(DONNEES!$E165="","",DONNEES!Q165)</f>
        <v/>
      </c>
      <c r="Q165" t="str">
        <f>IF(DONNEES!$E165="","",DONNEES!R165)</f>
        <v/>
      </c>
      <c r="R165" t="str">
        <f>IF(DONNEES!$E165="","",DONNEES!S165)</f>
        <v/>
      </c>
      <c r="S165" t="str">
        <f>IF(DONNEES!$E165="","",DONNEES!T165)</f>
        <v/>
      </c>
      <c r="T165" t="str">
        <f>IF(DONNEES!$E165="","",DONNEES!U165)</f>
        <v/>
      </c>
      <c r="U165" t="str">
        <f>IF(DONNEES!$E165="","",DONNEES!V165)</f>
        <v/>
      </c>
      <c r="V165" t="str">
        <f>IF(DONNEES!$E165="","",DONNEES!W165)</f>
        <v/>
      </c>
      <c r="W165" t="str">
        <f>IF(DONNEES!$E165="","",DONNEES!X165)</f>
        <v/>
      </c>
      <c r="X165" t="str">
        <f>IF(DONNEES!$E165="","",DONNEES!Y165)</f>
        <v/>
      </c>
      <c r="Y165" t="str">
        <f>IF(DONNEES!$E165="","",DONNEES!Z165)</f>
        <v/>
      </c>
      <c r="Z165" t="str">
        <f>IF(DONNEES!$E165="","",DONNEES!AQ165)</f>
        <v/>
      </c>
    </row>
    <row r="166" spans="1:26" ht="15" customHeight="1" x14ac:dyDescent="0.3">
      <c r="A166" t="str">
        <f>IF(DONNEES!$E166="","",DONNEES!A166)</f>
        <v/>
      </c>
      <c r="B166" t="str">
        <f>IF(DONNEES!$E166="","",DONNEES!B166)</f>
        <v/>
      </c>
      <c r="C166" t="str">
        <f>IF(DONNEES!$E166="","",DONNEES!C166)</f>
        <v/>
      </c>
      <c r="D166" t="str">
        <f>IF(DONNEES!$E166="","",DONNEES!E166)</f>
        <v/>
      </c>
      <c r="E166" t="str">
        <f>IF(DONNEES!$E166="","",DONNEES!F166)</f>
        <v/>
      </c>
      <c r="F166" t="str">
        <f>IF(DONNEES!$E166="","",DONNEES!G166)</f>
        <v/>
      </c>
      <c r="G166" t="str">
        <f>IF(DONNEES!$E166="","",DONNEES!H166)</f>
        <v/>
      </c>
      <c r="H166" t="str">
        <f>IF(DONNEES!$E166="","",DONNEES!I166)</f>
        <v/>
      </c>
      <c r="I166" t="str">
        <f>IF(DONNEES!$E166="","",DONNEES!J166)</f>
        <v/>
      </c>
      <c r="J166" t="str">
        <f>IF(DONNEES!$E166="","",DONNEES!K166)</f>
        <v/>
      </c>
      <c r="K166" t="str">
        <f>IF(DONNEES!$E166="","",DONNEES!L166)</f>
        <v/>
      </c>
      <c r="L166" t="str">
        <f>IF(DONNEES!$E166="","",DONNEES!M166)</f>
        <v/>
      </c>
      <c r="M166" t="str">
        <f>IF(DONNEES!$E166="","",DONNEES!N166)</f>
        <v/>
      </c>
      <c r="N166" t="str">
        <f>IF(DONNEES!$E166="","",DONNEES!O166)</f>
        <v/>
      </c>
      <c r="O166" t="str">
        <f>IF(DONNEES!$E166="","",DONNEES!P166)</f>
        <v/>
      </c>
      <c r="P166" t="str">
        <f>IF(DONNEES!$E166="","",DONNEES!Q166)</f>
        <v/>
      </c>
      <c r="Q166" t="str">
        <f>IF(DONNEES!$E166="","",DONNEES!R166)</f>
        <v/>
      </c>
      <c r="R166" t="str">
        <f>IF(DONNEES!$E166="","",DONNEES!S166)</f>
        <v/>
      </c>
      <c r="S166" t="str">
        <f>IF(DONNEES!$E166="","",DONNEES!T166)</f>
        <v/>
      </c>
      <c r="T166" t="str">
        <f>IF(DONNEES!$E166="","",DONNEES!U166)</f>
        <v/>
      </c>
      <c r="U166" t="str">
        <f>IF(DONNEES!$E166="","",DONNEES!V166)</f>
        <v/>
      </c>
      <c r="V166" t="str">
        <f>IF(DONNEES!$E166="","",DONNEES!W166)</f>
        <v/>
      </c>
      <c r="W166" t="str">
        <f>IF(DONNEES!$E166="","",DONNEES!X166)</f>
        <v/>
      </c>
      <c r="X166" t="str">
        <f>IF(DONNEES!$E166="","",DONNEES!Y166)</f>
        <v/>
      </c>
      <c r="Y166" t="str">
        <f>IF(DONNEES!$E166="","",DONNEES!Z166)</f>
        <v/>
      </c>
      <c r="Z166" t="str">
        <f>IF(DONNEES!$E166="","",DONNEES!AQ166)</f>
        <v/>
      </c>
    </row>
    <row r="167" spans="1:26" ht="15" customHeight="1" x14ac:dyDescent="0.3">
      <c r="A167" t="str">
        <f>IF(DONNEES!$E167="","",DONNEES!A167)</f>
        <v/>
      </c>
      <c r="B167" t="str">
        <f>IF(DONNEES!$E167="","",DONNEES!B167)</f>
        <v/>
      </c>
      <c r="C167" t="str">
        <f>IF(DONNEES!$E167="","",DONNEES!C167)</f>
        <v/>
      </c>
      <c r="D167" t="str">
        <f>IF(DONNEES!$E167="","",DONNEES!E167)</f>
        <v/>
      </c>
      <c r="E167" t="str">
        <f>IF(DONNEES!$E167="","",DONNEES!F167)</f>
        <v/>
      </c>
      <c r="F167" t="str">
        <f>IF(DONNEES!$E167="","",DONNEES!G167)</f>
        <v/>
      </c>
      <c r="G167" t="str">
        <f>IF(DONNEES!$E167="","",DONNEES!H167)</f>
        <v/>
      </c>
      <c r="H167" t="str">
        <f>IF(DONNEES!$E167="","",DONNEES!I167)</f>
        <v/>
      </c>
      <c r="I167" t="str">
        <f>IF(DONNEES!$E167="","",DONNEES!J167)</f>
        <v/>
      </c>
      <c r="J167" t="str">
        <f>IF(DONNEES!$E167="","",DONNEES!K167)</f>
        <v/>
      </c>
      <c r="K167" t="str">
        <f>IF(DONNEES!$E167="","",DONNEES!L167)</f>
        <v/>
      </c>
      <c r="L167" t="str">
        <f>IF(DONNEES!$E167="","",DONNEES!M167)</f>
        <v/>
      </c>
      <c r="M167" t="str">
        <f>IF(DONNEES!$E167="","",DONNEES!N167)</f>
        <v/>
      </c>
      <c r="N167" t="str">
        <f>IF(DONNEES!$E167="","",DONNEES!O167)</f>
        <v/>
      </c>
      <c r="O167" t="str">
        <f>IF(DONNEES!$E167="","",DONNEES!P167)</f>
        <v/>
      </c>
      <c r="P167" t="str">
        <f>IF(DONNEES!$E167="","",DONNEES!Q167)</f>
        <v/>
      </c>
      <c r="Q167" t="str">
        <f>IF(DONNEES!$E167="","",DONNEES!R167)</f>
        <v/>
      </c>
      <c r="R167" t="str">
        <f>IF(DONNEES!$E167="","",DONNEES!S167)</f>
        <v/>
      </c>
      <c r="S167" t="str">
        <f>IF(DONNEES!$E167="","",DONNEES!T167)</f>
        <v/>
      </c>
      <c r="T167" t="str">
        <f>IF(DONNEES!$E167="","",DONNEES!U167)</f>
        <v/>
      </c>
      <c r="U167" t="str">
        <f>IF(DONNEES!$E167="","",DONNEES!V167)</f>
        <v/>
      </c>
      <c r="V167" t="str">
        <f>IF(DONNEES!$E167="","",DONNEES!W167)</f>
        <v/>
      </c>
      <c r="W167" t="str">
        <f>IF(DONNEES!$E167="","",DONNEES!X167)</f>
        <v/>
      </c>
      <c r="X167" t="str">
        <f>IF(DONNEES!$E167="","",DONNEES!Y167)</f>
        <v/>
      </c>
      <c r="Y167" t="str">
        <f>IF(DONNEES!$E167="","",DONNEES!Z167)</f>
        <v/>
      </c>
      <c r="Z167" t="str">
        <f>IF(DONNEES!$E167="","",DONNEES!AQ167)</f>
        <v/>
      </c>
    </row>
    <row r="168" spans="1:26" ht="15" customHeight="1" x14ac:dyDescent="0.3">
      <c r="A168" t="str">
        <f>IF(DONNEES!$E168="","",DONNEES!A168)</f>
        <v/>
      </c>
      <c r="B168" t="str">
        <f>IF(DONNEES!$E168="","",DONNEES!B168)</f>
        <v/>
      </c>
      <c r="C168" t="str">
        <f>IF(DONNEES!$E168="","",DONNEES!C168)</f>
        <v/>
      </c>
      <c r="D168" t="str">
        <f>IF(DONNEES!$E168="","",DONNEES!E168)</f>
        <v/>
      </c>
      <c r="E168" t="str">
        <f>IF(DONNEES!$E168="","",DONNEES!F168)</f>
        <v/>
      </c>
      <c r="F168" t="str">
        <f>IF(DONNEES!$E168="","",DONNEES!G168)</f>
        <v/>
      </c>
      <c r="G168" t="str">
        <f>IF(DONNEES!$E168="","",DONNEES!H168)</f>
        <v/>
      </c>
      <c r="H168" t="str">
        <f>IF(DONNEES!$E168="","",DONNEES!I168)</f>
        <v/>
      </c>
      <c r="I168" t="str">
        <f>IF(DONNEES!$E168="","",DONNEES!J168)</f>
        <v/>
      </c>
      <c r="J168" t="str">
        <f>IF(DONNEES!$E168="","",DONNEES!K168)</f>
        <v/>
      </c>
      <c r="K168" t="str">
        <f>IF(DONNEES!$E168="","",DONNEES!L168)</f>
        <v/>
      </c>
      <c r="L168" t="str">
        <f>IF(DONNEES!$E168="","",DONNEES!M168)</f>
        <v/>
      </c>
      <c r="M168" t="str">
        <f>IF(DONNEES!$E168="","",DONNEES!N168)</f>
        <v/>
      </c>
      <c r="N168" t="str">
        <f>IF(DONNEES!$E168="","",DONNEES!O168)</f>
        <v/>
      </c>
      <c r="O168" t="str">
        <f>IF(DONNEES!$E168="","",DONNEES!P168)</f>
        <v/>
      </c>
      <c r="P168" t="str">
        <f>IF(DONNEES!$E168="","",DONNEES!Q168)</f>
        <v/>
      </c>
      <c r="Q168" t="str">
        <f>IF(DONNEES!$E168="","",DONNEES!R168)</f>
        <v/>
      </c>
      <c r="R168" t="str">
        <f>IF(DONNEES!$E168="","",DONNEES!S168)</f>
        <v/>
      </c>
      <c r="S168" t="str">
        <f>IF(DONNEES!$E168="","",DONNEES!T168)</f>
        <v/>
      </c>
      <c r="T168" t="str">
        <f>IF(DONNEES!$E168="","",DONNEES!U168)</f>
        <v/>
      </c>
      <c r="U168" t="str">
        <f>IF(DONNEES!$E168="","",DONNEES!V168)</f>
        <v/>
      </c>
      <c r="V168" t="str">
        <f>IF(DONNEES!$E168="","",DONNEES!W168)</f>
        <v/>
      </c>
      <c r="W168" t="str">
        <f>IF(DONNEES!$E168="","",DONNEES!X168)</f>
        <v/>
      </c>
      <c r="X168" t="str">
        <f>IF(DONNEES!$E168="","",DONNEES!Y168)</f>
        <v/>
      </c>
      <c r="Y168" t="str">
        <f>IF(DONNEES!$E168="","",DONNEES!Z168)</f>
        <v/>
      </c>
      <c r="Z168" t="str">
        <f>IF(DONNEES!$E168="","",DONNEES!AQ168)</f>
        <v/>
      </c>
    </row>
    <row r="169" spans="1:26" ht="15" customHeight="1" x14ac:dyDescent="0.3">
      <c r="A169" t="str">
        <f>IF(DONNEES!$E169="","",DONNEES!A169)</f>
        <v/>
      </c>
      <c r="B169" t="str">
        <f>IF(DONNEES!$E169="","",DONNEES!B169)</f>
        <v/>
      </c>
      <c r="C169" t="str">
        <f>IF(DONNEES!$E169="","",DONNEES!C169)</f>
        <v/>
      </c>
      <c r="D169" t="str">
        <f>IF(DONNEES!$E169="","",DONNEES!E169)</f>
        <v/>
      </c>
      <c r="E169" t="str">
        <f>IF(DONNEES!$E169="","",DONNEES!F169)</f>
        <v/>
      </c>
      <c r="F169" t="str">
        <f>IF(DONNEES!$E169="","",DONNEES!G169)</f>
        <v/>
      </c>
      <c r="G169" t="str">
        <f>IF(DONNEES!$E169="","",DONNEES!H169)</f>
        <v/>
      </c>
      <c r="H169" t="str">
        <f>IF(DONNEES!$E169="","",DONNEES!I169)</f>
        <v/>
      </c>
      <c r="I169" t="str">
        <f>IF(DONNEES!$E169="","",DONNEES!J169)</f>
        <v/>
      </c>
      <c r="J169" t="str">
        <f>IF(DONNEES!$E169="","",DONNEES!K169)</f>
        <v/>
      </c>
      <c r="K169" t="str">
        <f>IF(DONNEES!$E169="","",DONNEES!L169)</f>
        <v/>
      </c>
      <c r="L169" t="str">
        <f>IF(DONNEES!$E169="","",DONNEES!M169)</f>
        <v/>
      </c>
      <c r="M169" t="str">
        <f>IF(DONNEES!$E169="","",DONNEES!N169)</f>
        <v/>
      </c>
      <c r="N169" t="str">
        <f>IF(DONNEES!$E169="","",DONNEES!O169)</f>
        <v/>
      </c>
      <c r="O169" t="str">
        <f>IF(DONNEES!$E169="","",DONNEES!P169)</f>
        <v/>
      </c>
      <c r="P169" t="str">
        <f>IF(DONNEES!$E169="","",DONNEES!Q169)</f>
        <v/>
      </c>
      <c r="Q169" t="str">
        <f>IF(DONNEES!$E169="","",DONNEES!R169)</f>
        <v/>
      </c>
      <c r="R169" t="str">
        <f>IF(DONNEES!$E169="","",DONNEES!S169)</f>
        <v/>
      </c>
      <c r="S169" t="str">
        <f>IF(DONNEES!$E169="","",DONNEES!T169)</f>
        <v/>
      </c>
      <c r="T169" t="str">
        <f>IF(DONNEES!$E169="","",DONNEES!U169)</f>
        <v/>
      </c>
      <c r="U169" t="str">
        <f>IF(DONNEES!$E169="","",DONNEES!V169)</f>
        <v/>
      </c>
      <c r="V169" t="str">
        <f>IF(DONNEES!$E169="","",DONNEES!W169)</f>
        <v/>
      </c>
      <c r="W169" t="str">
        <f>IF(DONNEES!$E169="","",DONNEES!X169)</f>
        <v/>
      </c>
      <c r="X169" t="str">
        <f>IF(DONNEES!$E169="","",DONNEES!Y169)</f>
        <v/>
      </c>
      <c r="Y169" t="str">
        <f>IF(DONNEES!$E169="","",DONNEES!Z169)</f>
        <v/>
      </c>
      <c r="Z169" t="str">
        <f>IF(DONNEES!$E169="","",DONNEES!AQ169)</f>
        <v/>
      </c>
    </row>
    <row r="170" spans="1:26" ht="15" customHeight="1" x14ac:dyDescent="0.3">
      <c r="A170" t="str">
        <f>IF(DONNEES!$E170="","",DONNEES!A170)</f>
        <v/>
      </c>
      <c r="B170" t="str">
        <f>IF(DONNEES!$E170="","",DONNEES!B170)</f>
        <v/>
      </c>
      <c r="C170" t="str">
        <f>IF(DONNEES!$E170="","",DONNEES!C170)</f>
        <v/>
      </c>
      <c r="D170" t="str">
        <f>IF(DONNEES!$E170="","",DONNEES!E170)</f>
        <v/>
      </c>
      <c r="E170" t="str">
        <f>IF(DONNEES!$E170="","",DONNEES!F170)</f>
        <v/>
      </c>
      <c r="F170" t="str">
        <f>IF(DONNEES!$E170="","",DONNEES!G170)</f>
        <v/>
      </c>
      <c r="G170" t="str">
        <f>IF(DONNEES!$E170="","",DONNEES!H170)</f>
        <v/>
      </c>
      <c r="H170" t="str">
        <f>IF(DONNEES!$E170="","",DONNEES!I170)</f>
        <v/>
      </c>
      <c r="I170" t="str">
        <f>IF(DONNEES!$E170="","",DONNEES!J170)</f>
        <v/>
      </c>
      <c r="J170" t="str">
        <f>IF(DONNEES!$E170="","",DONNEES!K170)</f>
        <v/>
      </c>
      <c r="K170" t="str">
        <f>IF(DONNEES!$E170="","",DONNEES!L170)</f>
        <v/>
      </c>
      <c r="L170" t="str">
        <f>IF(DONNEES!$E170="","",DONNEES!M170)</f>
        <v/>
      </c>
      <c r="M170" t="str">
        <f>IF(DONNEES!$E170="","",DONNEES!N170)</f>
        <v/>
      </c>
      <c r="N170" t="str">
        <f>IF(DONNEES!$E170="","",DONNEES!O170)</f>
        <v/>
      </c>
      <c r="O170" t="str">
        <f>IF(DONNEES!$E170="","",DONNEES!P170)</f>
        <v/>
      </c>
      <c r="P170" t="str">
        <f>IF(DONNEES!$E170="","",DONNEES!Q170)</f>
        <v/>
      </c>
      <c r="Q170" t="str">
        <f>IF(DONNEES!$E170="","",DONNEES!R170)</f>
        <v/>
      </c>
      <c r="R170" t="str">
        <f>IF(DONNEES!$E170="","",DONNEES!S170)</f>
        <v/>
      </c>
      <c r="S170" t="str">
        <f>IF(DONNEES!$E170="","",DONNEES!T170)</f>
        <v/>
      </c>
      <c r="T170" t="str">
        <f>IF(DONNEES!$E170="","",DONNEES!U170)</f>
        <v/>
      </c>
      <c r="U170" t="str">
        <f>IF(DONNEES!$E170="","",DONNEES!V170)</f>
        <v/>
      </c>
      <c r="V170" t="str">
        <f>IF(DONNEES!$E170="","",DONNEES!W170)</f>
        <v/>
      </c>
      <c r="W170" t="str">
        <f>IF(DONNEES!$E170="","",DONNEES!X170)</f>
        <v/>
      </c>
      <c r="X170" t="str">
        <f>IF(DONNEES!$E170="","",DONNEES!Y170)</f>
        <v/>
      </c>
      <c r="Y170" t="str">
        <f>IF(DONNEES!$E170="","",DONNEES!Z170)</f>
        <v/>
      </c>
      <c r="Z170" t="str">
        <f>IF(DONNEES!$E170="","",DONNEES!AQ170)</f>
        <v/>
      </c>
    </row>
    <row r="171" spans="1:26" ht="15" customHeight="1" x14ac:dyDescent="0.3">
      <c r="A171" t="str">
        <f>IF(DONNEES!$E171="","",DONNEES!A171)</f>
        <v/>
      </c>
      <c r="B171" t="str">
        <f>IF(DONNEES!$E171="","",DONNEES!B171)</f>
        <v/>
      </c>
      <c r="C171" t="str">
        <f>IF(DONNEES!$E171="","",DONNEES!C171)</f>
        <v/>
      </c>
      <c r="D171" t="str">
        <f>IF(DONNEES!$E171="","",DONNEES!E171)</f>
        <v/>
      </c>
      <c r="E171" t="str">
        <f>IF(DONNEES!$E171="","",DONNEES!F171)</f>
        <v/>
      </c>
      <c r="F171" t="str">
        <f>IF(DONNEES!$E171="","",DONNEES!G171)</f>
        <v/>
      </c>
      <c r="G171" t="str">
        <f>IF(DONNEES!$E171="","",DONNEES!H171)</f>
        <v/>
      </c>
      <c r="H171" t="str">
        <f>IF(DONNEES!$E171="","",DONNEES!I171)</f>
        <v/>
      </c>
      <c r="I171" t="str">
        <f>IF(DONNEES!$E171="","",DONNEES!J171)</f>
        <v/>
      </c>
      <c r="J171" t="str">
        <f>IF(DONNEES!$E171="","",DONNEES!K171)</f>
        <v/>
      </c>
      <c r="K171" t="str">
        <f>IF(DONNEES!$E171="","",DONNEES!L171)</f>
        <v/>
      </c>
      <c r="L171" t="str">
        <f>IF(DONNEES!$E171="","",DONNEES!M171)</f>
        <v/>
      </c>
      <c r="M171" t="str">
        <f>IF(DONNEES!$E171="","",DONNEES!N171)</f>
        <v/>
      </c>
      <c r="N171" t="str">
        <f>IF(DONNEES!$E171="","",DONNEES!O171)</f>
        <v/>
      </c>
      <c r="O171" t="str">
        <f>IF(DONNEES!$E171="","",DONNEES!P171)</f>
        <v/>
      </c>
      <c r="P171" t="str">
        <f>IF(DONNEES!$E171="","",DONNEES!Q171)</f>
        <v/>
      </c>
      <c r="Q171" t="str">
        <f>IF(DONNEES!$E171="","",DONNEES!R171)</f>
        <v/>
      </c>
      <c r="R171" t="str">
        <f>IF(DONNEES!$E171="","",DONNEES!S171)</f>
        <v/>
      </c>
      <c r="S171" t="str">
        <f>IF(DONNEES!$E171="","",DONNEES!T171)</f>
        <v/>
      </c>
      <c r="T171" t="str">
        <f>IF(DONNEES!$E171="","",DONNEES!U171)</f>
        <v/>
      </c>
      <c r="U171" t="str">
        <f>IF(DONNEES!$E171="","",DONNEES!V171)</f>
        <v/>
      </c>
      <c r="V171" t="str">
        <f>IF(DONNEES!$E171="","",DONNEES!W171)</f>
        <v/>
      </c>
      <c r="W171" t="str">
        <f>IF(DONNEES!$E171="","",DONNEES!X171)</f>
        <v/>
      </c>
      <c r="X171" t="str">
        <f>IF(DONNEES!$E171="","",DONNEES!Y171)</f>
        <v/>
      </c>
      <c r="Y171" t="str">
        <f>IF(DONNEES!$E171="","",DONNEES!Z171)</f>
        <v/>
      </c>
      <c r="Z171" t="str">
        <f>IF(DONNEES!$E171="","",DONNEES!AQ171)</f>
        <v/>
      </c>
    </row>
    <row r="172" spans="1:26" ht="15" customHeight="1" x14ac:dyDescent="0.3">
      <c r="A172" t="str">
        <f>IF(DONNEES!$E172="","",DONNEES!A172)</f>
        <v/>
      </c>
      <c r="B172" t="str">
        <f>IF(DONNEES!$E172="","",DONNEES!B172)</f>
        <v/>
      </c>
      <c r="C172" t="str">
        <f>IF(DONNEES!$E172="","",DONNEES!C172)</f>
        <v/>
      </c>
      <c r="D172" t="str">
        <f>IF(DONNEES!$E172="","",DONNEES!E172)</f>
        <v/>
      </c>
      <c r="E172" t="str">
        <f>IF(DONNEES!$E172="","",DONNEES!F172)</f>
        <v/>
      </c>
      <c r="F172" t="str">
        <f>IF(DONNEES!$E172="","",DONNEES!G172)</f>
        <v/>
      </c>
      <c r="G172" t="str">
        <f>IF(DONNEES!$E172="","",DONNEES!H172)</f>
        <v/>
      </c>
      <c r="H172" t="str">
        <f>IF(DONNEES!$E172="","",DONNEES!I172)</f>
        <v/>
      </c>
      <c r="I172" t="str">
        <f>IF(DONNEES!$E172="","",DONNEES!J172)</f>
        <v/>
      </c>
      <c r="J172" t="str">
        <f>IF(DONNEES!$E172="","",DONNEES!K172)</f>
        <v/>
      </c>
      <c r="K172" t="str">
        <f>IF(DONNEES!$E172="","",DONNEES!L172)</f>
        <v/>
      </c>
      <c r="L172" t="str">
        <f>IF(DONNEES!$E172="","",DONNEES!M172)</f>
        <v/>
      </c>
      <c r="M172" t="str">
        <f>IF(DONNEES!$E172="","",DONNEES!N172)</f>
        <v/>
      </c>
      <c r="N172" t="str">
        <f>IF(DONNEES!$E172="","",DONNEES!O172)</f>
        <v/>
      </c>
      <c r="O172" t="str">
        <f>IF(DONNEES!$E172="","",DONNEES!P172)</f>
        <v/>
      </c>
      <c r="P172" t="str">
        <f>IF(DONNEES!$E172="","",DONNEES!Q172)</f>
        <v/>
      </c>
      <c r="Q172" t="str">
        <f>IF(DONNEES!$E172="","",DONNEES!R172)</f>
        <v/>
      </c>
      <c r="R172" t="str">
        <f>IF(DONNEES!$E172="","",DONNEES!S172)</f>
        <v/>
      </c>
      <c r="S172" t="str">
        <f>IF(DONNEES!$E172="","",DONNEES!T172)</f>
        <v/>
      </c>
      <c r="T172" t="str">
        <f>IF(DONNEES!$E172="","",DONNEES!U172)</f>
        <v/>
      </c>
      <c r="U172" t="str">
        <f>IF(DONNEES!$E172="","",DONNEES!V172)</f>
        <v/>
      </c>
      <c r="V172" t="str">
        <f>IF(DONNEES!$E172="","",DONNEES!W172)</f>
        <v/>
      </c>
      <c r="W172" t="str">
        <f>IF(DONNEES!$E172="","",DONNEES!X172)</f>
        <v/>
      </c>
      <c r="X172" t="str">
        <f>IF(DONNEES!$E172="","",DONNEES!Y172)</f>
        <v/>
      </c>
      <c r="Y172" t="str">
        <f>IF(DONNEES!$E172="","",DONNEES!Z172)</f>
        <v/>
      </c>
      <c r="Z172" t="str">
        <f>IF(DONNEES!$E172="","",DONNEES!AQ172)</f>
        <v/>
      </c>
    </row>
    <row r="173" spans="1:26" ht="15" customHeight="1" x14ac:dyDescent="0.3">
      <c r="A173" t="str">
        <f>IF(DONNEES!$E173="","",DONNEES!A173)</f>
        <v/>
      </c>
      <c r="B173" t="str">
        <f>IF(DONNEES!$E173="","",DONNEES!B173)</f>
        <v/>
      </c>
      <c r="C173" t="str">
        <f>IF(DONNEES!$E173="","",DONNEES!C173)</f>
        <v/>
      </c>
      <c r="D173" t="str">
        <f>IF(DONNEES!$E173="","",DONNEES!E173)</f>
        <v/>
      </c>
      <c r="E173" t="str">
        <f>IF(DONNEES!$E173="","",DONNEES!F173)</f>
        <v/>
      </c>
      <c r="F173" t="str">
        <f>IF(DONNEES!$E173="","",DONNEES!G173)</f>
        <v/>
      </c>
      <c r="G173" t="str">
        <f>IF(DONNEES!$E173="","",DONNEES!H173)</f>
        <v/>
      </c>
      <c r="H173" t="str">
        <f>IF(DONNEES!$E173="","",DONNEES!I173)</f>
        <v/>
      </c>
      <c r="I173" t="str">
        <f>IF(DONNEES!$E173="","",DONNEES!J173)</f>
        <v/>
      </c>
      <c r="J173" t="str">
        <f>IF(DONNEES!$E173="","",DONNEES!K173)</f>
        <v/>
      </c>
      <c r="K173" t="str">
        <f>IF(DONNEES!$E173="","",DONNEES!L173)</f>
        <v/>
      </c>
      <c r="L173" t="str">
        <f>IF(DONNEES!$E173="","",DONNEES!M173)</f>
        <v/>
      </c>
      <c r="M173" t="str">
        <f>IF(DONNEES!$E173="","",DONNEES!N173)</f>
        <v/>
      </c>
      <c r="N173" t="str">
        <f>IF(DONNEES!$E173="","",DONNEES!O173)</f>
        <v/>
      </c>
      <c r="O173" t="str">
        <f>IF(DONNEES!$E173="","",DONNEES!P173)</f>
        <v/>
      </c>
      <c r="P173" t="str">
        <f>IF(DONNEES!$E173="","",DONNEES!Q173)</f>
        <v/>
      </c>
      <c r="Q173" t="str">
        <f>IF(DONNEES!$E173="","",DONNEES!R173)</f>
        <v/>
      </c>
      <c r="R173" t="str">
        <f>IF(DONNEES!$E173="","",DONNEES!S173)</f>
        <v/>
      </c>
      <c r="S173" t="str">
        <f>IF(DONNEES!$E173="","",DONNEES!T173)</f>
        <v/>
      </c>
      <c r="T173" t="str">
        <f>IF(DONNEES!$E173="","",DONNEES!U173)</f>
        <v/>
      </c>
      <c r="U173" t="str">
        <f>IF(DONNEES!$E173="","",DONNEES!V173)</f>
        <v/>
      </c>
      <c r="V173" t="str">
        <f>IF(DONNEES!$E173="","",DONNEES!W173)</f>
        <v/>
      </c>
      <c r="W173" t="str">
        <f>IF(DONNEES!$E173="","",DONNEES!X173)</f>
        <v/>
      </c>
      <c r="X173" t="str">
        <f>IF(DONNEES!$E173="","",DONNEES!Y173)</f>
        <v/>
      </c>
      <c r="Y173" t="str">
        <f>IF(DONNEES!$E173="","",DONNEES!Z173)</f>
        <v/>
      </c>
      <c r="Z173" t="str">
        <f>IF(DONNEES!$E173="","",DONNEES!AQ173)</f>
        <v/>
      </c>
    </row>
    <row r="174" spans="1:26" ht="15" customHeight="1" x14ac:dyDescent="0.3">
      <c r="A174" t="str">
        <f>IF(DONNEES!$E174="","",DONNEES!A174)</f>
        <v/>
      </c>
      <c r="B174" t="str">
        <f>IF(DONNEES!$E174="","",DONNEES!B174)</f>
        <v/>
      </c>
      <c r="C174" t="str">
        <f>IF(DONNEES!$E174="","",DONNEES!C174)</f>
        <v/>
      </c>
      <c r="D174" t="str">
        <f>IF(DONNEES!$E174="","",DONNEES!E174)</f>
        <v/>
      </c>
      <c r="E174" t="str">
        <f>IF(DONNEES!$E174="","",DONNEES!F174)</f>
        <v/>
      </c>
      <c r="F174" t="str">
        <f>IF(DONNEES!$E174="","",DONNEES!G174)</f>
        <v/>
      </c>
      <c r="G174" t="str">
        <f>IF(DONNEES!$E174="","",DONNEES!H174)</f>
        <v/>
      </c>
      <c r="H174" t="str">
        <f>IF(DONNEES!$E174="","",DONNEES!I174)</f>
        <v/>
      </c>
      <c r="I174" t="str">
        <f>IF(DONNEES!$E174="","",DONNEES!J174)</f>
        <v/>
      </c>
      <c r="J174" t="str">
        <f>IF(DONNEES!$E174="","",DONNEES!K174)</f>
        <v/>
      </c>
      <c r="K174" t="str">
        <f>IF(DONNEES!$E174="","",DONNEES!L174)</f>
        <v/>
      </c>
      <c r="L174" t="str">
        <f>IF(DONNEES!$E174="","",DONNEES!M174)</f>
        <v/>
      </c>
      <c r="M174" t="str">
        <f>IF(DONNEES!$E174="","",DONNEES!N174)</f>
        <v/>
      </c>
      <c r="N174" t="str">
        <f>IF(DONNEES!$E174="","",DONNEES!O174)</f>
        <v/>
      </c>
      <c r="O174" t="str">
        <f>IF(DONNEES!$E174="","",DONNEES!P174)</f>
        <v/>
      </c>
      <c r="P174" t="str">
        <f>IF(DONNEES!$E174="","",DONNEES!Q174)</f>
        <v/>
      </c>
      <c r="Q174" t="str">
        <f>IF(DONNEES!$E174="","",DONNEES!R174)</f>
        <v/>
      </c>
      <c r="R174" t="str">
        <f>IF(DONNEES!$E174="","",DONNEES!S174)</f>
        <v/>
      </c>
      <c r="S174" t="str">
        <f>IF(DONNEES!$E174="","",DONNEES!T174)</f>
        <v/>
      </c>
      <c r="T174" t="str">
        <f>IF(DONNEES!$E174="","",DONNEES!U174)</f>
        <v/>
      </c>
      <c r="U174" t="str">
        <f>IF(DONNEES!$E174="","",DONNEES!V174)</f>
        <v/>
      </c>
      <c r="V174" t="str">
        <f>IF(DONNEES!$E174="","",DONNEES!W174)</f>
        <v/>
      </c>
      <c r="W174" t="str">
        <f>IF(DONNEES!$E174="","",DONNEES!X174)</f>
        <v/>
      </c>
      <c r="X174" t="str">
        <f>IF(DONNEES!$E174="","",DONNEES!Y174)</f>
        <v/>
      </c>
      <c r="Y174" t="str">
        <f>IF(DONNEES!$E174="","",DONNEES!Z174)</f>
        <v/>
      </c>
      <c r="Z174" t="str">
        <f>IF(DONNEES!$E174="","",DONNEES!AQ174)</f>
        <v/>
      </c>
    </row>
    <row r="175" spans="1:26" ht="15" customHeight="1" x14ac:dyDescent="0.3">
      <c r="A175" t="str">
        <f>IF(DONNEES!$E175="","",DONNEES!A175)</f>
        <v/>
      </c>
      <c r="B175" t="str">
        <f>IF(DONNEES!$E175="","",DONNEES!B175)</f>
        <v/>
      </c>
      <c r="C175" t="str">
        <f>IF(DONNEES!$E175="","",DONNEES!C175)</f>
        <v/>
      </c>
      <c r="D175" t="str">
        <f>IF(DONNEES!$E175="","",DONNEES!E175)</f>
        <v/>
      </c>
      <c r="E175" t="str">
        <f>IF(DONNEES!$E175="","",DONNEES!F175)</f>
        <v/>
      </c>
      <c r="F175" t="str">
        <f>IF(DONNEES!$E175="","",DONNEES!G175)</f>
        <v/>
      </c>
      <c r="G175" t="str">
        <f>IF(DONNEES!$E175="","",DONNEES!H175)</f>
        <v/>
      </c>
      <c r="H175" t="str">
        <f>IF(DONNEES!$E175="","",DONNEES!I175)</f>
        <v/>
      </c>
      <c r="I175" t="str">
        <f>IF(DONNEES!$E175="","",DONNEES!J175)</f>
        <v/>
      </c>
      <c r="J175" t="str">
        <f>IF(DONNEES!$E175="","",DONNEES!K175)</f>
        <v/>
      </c>
      <c r="K175" t="str">
        <f>IF(DONNEES!$E175="","",DONNEES!L175)</f>
        <v/>
      </c>
      <c r="L175" t="str">
        <f>IF(DONNEES!$E175="","",DONNEES!M175)</f>
        <v/>
      </c>
      <c r="M175" t="str">
        <f>IF(DONNEES!$E175="","",DONNEES!N175)</f>
        <v/>
      </c>
      <c r="N175" t="str">
        <f>IF(DONNEES!$E175="","",DONNEES!O175)</f>
        <v/>
      </c>
      <c r="O175" t="str">
        <f>IF(DONNEES!$E175="","",DONNEES!P175)</f>
        <v/>
      </c>
      <c r="P175" t="str">
        <f>IF(DONNEES!$E175="","",DONNEES!Q175)</f>
        <v/>
      </c>
      <c r="Q175" t="str">
        <f>IF(DONNEES!$E175="","",DONNEES!R175)</f>
        <v/>
      </c>
      <c r="R175" t="str">
        <f>IF(DONNEES!$E175="","",DONNEES!S175)</f>
        <v/>
      </c>
      <c r="S175" t="str">
        <f>IF(DONNEES!$E175="","",DONNEES!T175)</f>
        <v/>
      </c>
      <c r="T175" t="str">
        <f>IF(DONNEES!$E175="","",DONNEES!U175)</f>
        <v/>
      </c>
      <c r="U175" t="str">
        <f>IF(DONNEES!$E175="","",DONNEES!V175)</f>
        <v/>
      </c>
      <c r="V175" t="str">
        <f>IF(DONNEES!$E175="","",DONNEES!W175)</f>
        <v/>
      </c>
      <c r="W175" t="str">
        <f>IF(DONNEES!$E175="","",DONNEES!X175)</f>
        <v/>
      </c>
      <c r="X175" t="str">
        <f>IF(DONNEES!$E175="","",DONNEES!Y175)</f>
        <v/>
      </c>
      <c r="Y175" t="str">
        <f>IF(DONNEES!$E175="","",DONNEES!Z175)</f>
        <v/>
      </c>
      <c r="Z175" t="str">
        <f>IF(DONNEES!$E175="","",DONNEES!AQ175)</f>
        <v/>
      </c>
    </row>
    <row r="176" spans="1:26" ht="15" customHeight="1" x14ac:dyDescent="0.3">
      <c r="A176" t="str">
        <f>IF(DONNEES!$E176="","",DONNEES!A176)</f>
        <v/>
      </c>
      <c r="B176" t="str">
        <f>IF(DONNEES!$E176="","",DONNEES!B176)</f>
        <v/>
      </c>
      <c r="C176" t="str">
        <f>IF(DONNEES!$E176="","",DONNEES!C176)</f>
        <v/>
      </c>
      <c r="D176" t="str">
        <f>IF(DONNEES!$E176="","",DONNEES!E176)</f>
        <v/>
      </c>
      <c r="E176" t="str">
        <f>IF(DONNEES!$E176="","",DONNEES!F176)</f>
        <v/>
      </c>
      <c r="F176" t="str">
        <f>IF(DONNEES!$E176="","",DONNEES!G176)</f>
        <v/>
      </c>
      <c r="G176" t="str">
        <f>IF(DONNEES!$E176="","",DONNEES!H176)</f>
        <v/>
      </c>
      <c r="H176" t="str">
        <f>IF(DONNEES!$E176="","",DONNEES!I176)</f>
        <v/>
      </c>
      <c r="I176" t="str">
        <f>IF(DONNEES!$E176="","",DONNEES!J176)</f>
        <v/>
      </c>
      <c r="J176" t="str">
        <f>IF(DONNEES!$E176="","",DONNEES!K176)</f>
        <v/>
      </c>
      <c r="K176" t="str">
        <f>IF(DONNEES!$E176="","",DONNEES!L176)</f>
        <v/>
      </c>
      <c r="L176" t="str">
        <f>IF(DONNEES!$E176="","",DONNEES!M176)</f>
        <v/>
      </c>
      <c r="M176" t="str">
        <f>IF(DONNEES!$E176="","",DONNEES!N176)</f>
        <v/>
      </c>
      <c r="N176" t="str">
        <f>IF(DONNEES!$E176="","",DONNEES!O176)</f>
        <v/>
      </c>
      <c r="O176" t="str">
        <f>IF(DONNEES!$E176="","",DONNEES!P176)</f>
        <v/>
      </c>
      <c r="P176" t="str">
        <f>IF(DONNEES!$E176="","",DONNEES!Q176)</f>
        <v/>
      </c>
      <c r="Q176" t="str">
        <f>IF(DONNEES!$E176="","",DONNEES!R176)</f>
        <v/>
      </c>
      <c r="R176" t="str">
        <f>IF(DONNEES!$E176="","",DONNEES!S176)</f>
        <v/>
      </c>
      <c r="S176" t="str">
        <f>IF(DONNEES!$E176="","",DONNEES!T176)</f>
        <v/>
      </c>
      <c r="T176" t="str">
        <f>IF(DONNEES!$E176="","",DONNEES!U176)</f>
        <v/>
      </c>
      <c r="U176" t="str">
        <f>IF(DONNEES!$E176="","",DONNEES!V176)</f>
        <v/>
      </c>
      <c r="V176" t="str">
        <f>IF(DONNEES!$E176="","",DONNEES!W176)</f>
        <v/>
      </c>
      <c r="W176" t="str">
        <f>IF(DONNEES!$E176="","",DONNEES!X176)</f>
        <v/>
      </c>
      <c r="X176" t="str">
        <f>IF(DONNEES!$E176="","",DONNEES!Y176)</f>
        <v/>
      </c>
      <c r="Y176" t="str">
        <f>IF(DONNEES!$E176="","",DONNEES!Z176)</f>
        <v/>
      </c>
      <c r="Z176" t="str">
        <f>IF(DONNEES!$E176="","",DONNEES!AQ176)</f>
        <v/>
      </c>
    </row>
    <row r="177" spans="1:26" ht="15" customHeight="1" x14ac:dyDescent="0.3">
      <c r="A177" t="str">
        <f>IF(DONNEES!$E177="","",DONNEES!A177)</f>
        <v/>
      </c>
      <c r="B177" t="str">
        <f>IF(DONNEES!$E177="","",DONNEES!B177)</f>
        <v/>
      </c>
      <c r="C177" t="str">
        <f>IF(DONNEES!$E177="","",DONNEES!C177)</f>
        <v/>
      </c>
      <c r="D177" t="str">
        <f>IF(DONNEES!$E177="","",DONNEES!E177)</f>
        <v/>
      </c>
      <c r="E177" t="str">
        <f>IF(DONNEES!$E177="","",DONNEES!F177)</f>
        <v/>
      </c>
      <c r="F177" t="str">
        <f>IF(DONNEES!$E177="","",DONNEES!G177)</f>
        <v/>
      </c>
      <c r="G177" t="str">
        <f>IF(DONNEES!$E177="","",DONNEES!H177)</f>
        <v/>
      </c>
      <c r="H177" t="str">
        <f>IF(DONNEES!$E177="","",DONNEES!I177)</f>
        <v/>
      </c>
      <c r="I177" t="str">
        <f>IF(DONNEES!$E177="","",DONNEES!J177)</f>
        <v/>
      </c>
      <c r="J177" t="str">
        <f>IF(DONNEES!$E177="","",DONNEES!K177)</f>
        <v/>
      </c>
      <c r="K177" t="str">
        <f>IF(DONNEES!$E177="","",DONNEES!L177)</f>
        <v/>
      </c>
      <c r="L177" t="str">
        <f>IF(DONNEES!$E177="","",DONNEES!M177)</f>
        <v/>
      </c>
      <c r="M177" t="str">
        <f>IF(DONNEES!$E177="","",DONNEES!N177)</f>
        <v/>
      </c>
      <c r="N177" t="str">
        <f>IF(DONNEES!$E177="","",DONNEES!O177)</f>
        <v/>
      </c>
      <c r="O177" t="str">
        <f>IF(DONNEES!$E177="","",DONNEES!P177)</f>
        <v/>
      </c>
      <c r="P177" t="str">
        <f>IF(DONNEES!$E177="","",DONNEES!Q177)</f>
        <v/>
      </c>
      <c r="Q177" t="str">
        <f>IF(DONNEES!$E177="","",DONNEES!R177)</f>
        <v/>
      </c>
      <c r="R177" t="str">
        <f>IF(DONNEES!$E177="","",DONNEES!S177)</f>
        <v/>
      </c>
      <c r="S177" t="str">
        <f>IF(DONNEES!$E177="","",DONNEES!T177)</f>
        <v/>
      </c>
      <c r="T177" t="str">
        <f>IF(DONNEES!$E177="","",DONNEES!U177)</f>
        <v/>
      </c>
      <c r="U177" t="str">
        <f>IF(DONNEES!$E177="","",DONNEES!V177)</f>
        <v/>
      </c>
      <c r="V177" t="str">
        <f>IF(DONNEES!$E177="","",DONNEES!W177)</f>
        <v/>
      </c>
      <c r="W177" t="str">
        <f>IF(DONNEES!$E177="","",DONNEES!X177)</f>
        <v/>
      </c>
      <c r="X177" t="str">
        <f>IF(DONNEES!$E177="","",DONNEES!Y177)</f>
        <v/>
      </c>
      <c r="Y177" t="str">
        <f>IF(DONNEES!$E177="","",DONNEES!Z177)</f>
        <v/>
      </c>
      <c r="Z177" t="str">
        <f>IF(DONNEES!$E177="","",DONNEES!AQ177)</f>
        <v/>
      </c>
    </row>
    <row r="178" spans="1:26" ht="15" customHeight="1" x14ac:dyDescent="0.3">
      <c r="A178" t="str">
        <f>IF(DONNEES!$E178="","",DONNEES!A178)</f>
        <v/>
      </c>
      <c r="B178" t="str">
        <f>IF(DONNEES!$E178="","",DONNEES!B178)</f>
        <v/>
      </c>
      <c r="C178" t="str">
        <f>IF(DONNEES!$E178="","",DONNEES!C178)</f>
        <v/>
      </c>
      <c r="D178" t="str">
        <f>IF(DONNEES!$E178="","",DONNEES!E178)</f>
        <v/>
      </c>
      <c r="E178" t="str">
        <f>IF(DONNEES!$E178="","",DONNEES!F178)</f>
        <v/>
      </c>
      <c r="F178" t="str">
        <f>IF(DONNEES!$E178="","",DONNEES!G178)</f>
        <v/>
      </c>
      <c r="G178" t="str">
        <f>IF(DONNEES!$E178="","",DONNEES!H178)</f>
        <v/>
      </c>
      <c r="H178" t="str">
        <f>IF(DONNEES!$E178="","",DONNEES!I178)</f>
        <v/>
      </c>
      <c r="I178" t="str">
        <f>IF(DONNEES!$E178="","",DONNEES!J178)</f>
        <v/>
      </c>
      <c r="J178" t="str">
        <f>IF(DONNEES!$E178="","",DONNEES!K178)</f>
        <v/>
      </c>
      <c r="K178" t="str">
        <f>IF(DONNEES!$E178="","",DONNEES!L178)</f>
        <v/>
      </c>
      <c r="L178" t="str">
        <f>IF(DONNEES!$E178="","",DONNEES!M178)</f>
        <v/>
      </c>
      <c r="M178" t="str">
        <f>IF(DONNEES!$E178="","",DONNEES!N178)</f>
        <v/>
      </c>
      <c r="N178" t="str">
        <f>IF(DONNEES!$E178="","",DONNEES!O178)</f>
        <v/>
      </c>
      <c r="O178" t="str">
        <f>IF(DONNEES!$E178="","",DONNEES!P178)</f>
        <v/>
      </c>
      <c r="P178" t="str">
        <f>IF(DONNEES!$E178="","",DONNEES!Q178)</f>
        <v/>
      </c>
      <c r="Q178" t="str">
        <f>IF(DONNEES!$E178="","",DONNEES!R178)</f>
        <v/>
      </c>
      <c r="R178" t="str">
        <f>IF(DONNEES!$E178="","",DONNEES!S178)</f>
        <v/>
      </c>
      <c r="S178" t="str">
        <f>IF(DONNEES!$E178="","",DONNEES!T178)</f>
        <v/>
      </c>
      <c r="T178" t="str">
        <f>IF(DONNEES!$E178="","",DONNEES!U178)</f>
        <v/>
      </c>
      <c r="U178" t="str">
        <f>IF(DONNEES!$E178="","",DONNEES!V178)</f>
        <v/>
      </c>
      <c r="V178" t="str">
        <f>IF(DONNEES!$E178="","",DONNEES!W178)</f>
        <v/>
      </c>
      <c r="W178" t="str">
        <f>IF(DONNEES!$E178="","",DONNEES!X178)</f>
        <v/>
      </c>
      <c r="X178" t="str">
        <f>IF(DONNEES!$E178="","",DONNEES!Y178)</f>
        <v/>
      </c>
      <c r="Y178" t="str">
        <f>IF(DONNEES!$E178="","",DONNEES!Z178)</f>
        <v/>
      </c>
      <c r="Z178" t="str">
        <f>IF(DONNEES!$E178="","",DONNEES!AQ178)</f>
        <v/>
      </c>
    </row>
    <row r="179" spans="1:26" ht="15" customHeight="1" x14ac:dyDescent="0.3">
      <c r="A179" t="str">
        <f>IF(DONNEES!$E179="","",DONNEES!A179)</f>
        <v/>
      </c>
      <c r="B179" t="str">
        <f>IF(DONNEES!$E179="","",DONNEES!B179)</f>
        <v/>
      </c>
      <c r="C179" t="str">
        <f>IF(DONNEES!$E179="","",DONNEES!C179)</f>
        <v/>
      </c>
      <c r="D179" t="str">
        <f>IF(DONNEES!$E179="","",DONNEES!E179)</f>
        <v/>
      </c>
      <c r="E179" t="str">
        <f>IF(DONNEES!$E179="","",DONNEES!F179)</f>
        <v/>
      </c>
      <c r="F179" t="str">
        <f>IF(DONNEES!$E179="","",DONNEES!G179)</f>
        <v/>
      </c>
      <c r="G179" t="str">
        <f>IF(DONNEES!$E179="","",DONNEES!H179)</f>
        <v/>
      </c>
      <c r="H179" t="str">
        <f>IF(DONNEES!$E179="","",DONNEES!I179)</f>
        <v/>
      </c>
      <c r="I179" t="str">
        <f>IF(DONNEES!$E179="","",DONNEES!J179)</f>
        <v/>
      </c>
      <c r="J179" t="str">
        <f>IF(DONNEES!$E179="","",DONNEES!K179)</f>
        <v/>
      </c>
      <c r="K179" t="str">
        <f>IF(DONNEES!$E179="","",DONNEES!L179)</f>
        <v/>
      </c>
      <c r="L179" t="str">
        <f>IF(DONNEES!$E179="","",DONNEES!M179)</f>
        <v/>
      </c>
      <c r="M179" t="str">
        <f>IF(DONNEES!$E179="","",DONNEES!N179)</f>
        <v/>
      </c>
      <c r="N179" t="str">
        <f>IF(DONNEES!$E179="","",DONNEES!O179)</f>
        <v/>
      </c>
      <c r="O179" t="str">
        <f>IF(DONNEES!$E179="","",DONNEES!P179)</f>
        <v/>
      </c>
      <c r="P179" t="str">
        <f>IF(DONNEES!$E179="","",DONNEES!Q179)</f>
        <v/>
      </c>
      <c r="Q179" t="str">
        <f>IF(DONNEES!$E179="","",DONNEES!R179)</f>
        <v/>
      </c>
      <c r="R179" t="str">
        <f>IF(DONNEES!$E179="","",DONNEES!S179)</f>
        <v/>
      </c>
      <c r="S179" t="str">
        <f>IF(DONNEES!$E179="","",DONNEES!T179)</f>
        <v/>
      </c>
      <c r="T179" t="str">
        <f>IF(DONNEES!$E179="","",DONNEES!U179)</f>
        <v/>
      </c>
      <c r="U179" t="str">
        <f>IF(DONNEES!$E179="","",DONNEES!V179)</f>
        <v/>
      </c>
      <c r="V179" t="str">
        <f>IF(DONNEES!$E179="","",DONNEES!W179)</f>
        <v/>
      </c>
      <c r="W179" t="str">
        <f>IF(DONNEES!$E179="","",DONNEES!X179)</f>
        <v/>
      </c>
      <c r="X179" t="str">
        <f>IF(DONNEES!$E179="","",DONNEES!Y179)</f>
        <v/>
      </c>
      <c r="Y179" t="str">
        <f>IF(DONNEES!$E179="","",DONNEES!Z179)</f>
        <v/>
      </c>
      <c r="Z179" t="str">
        <f>IF(DONNEES!$E179="","",DONNEES!AQ179)</f>
        <v/>
      </c>
    </row>
    <row r="180" spans="1:26" ht="15" customHeight="1" x14ac:dyDescent="0.3">
      <c r="A180" t="str">
        <f>IF(DONNEES!$E180="","",DONNEES!A180)</f>
        <v/>
      </c>
      <c r="B180" t="str">
        <f>IF(DONNEES!$E180="","",DONNEES!B180)</f>
        <v/>
      </c>
      <c r="C180" t="str">
        <f>IF(DONNEES!$E180="","",DONNEES!C180)</f>
        <v/>
      </c>
      <c r="D180" t="str">
        <f>IF(DONNEES!$E180="","",DONNEES!E180)</f>
        <v/>
      </c>
      <c r="E180" t="str">
        <f>IF(DONNEES!$E180="","",DONNEES!F180)</f>
        <v/>
      </c>
      <c r="F180" t="str">
        <f>IF(DONNEES!$E180="","",DONNEES!G180)</f>
        <v/>
      </c>
      <c r="G180" t="str">
        <f>IF(DONNEES!$E180="","",DONNEES!H180)</f>
        <v/>
      </c>
      <c r="H180" t="str">
        <f>IF(DONNEES!$E180="","",DONNEES!I180)</f>
        <v/>
      </c>
      <c r="I180" t="str">
        <f>IF(DONNEES!$E180="","",DONNEES!J180)</f>
        <v/>
      </c>
      <c r="J180" t="str">
        <f>IF(DONNEES!$E180="","",DONNEES!K180)</f>
        <v/>
      </c>
      <c r="K180" t="str">
        <f>IF(DONNEES!$E180="","",DONNEES!L180)</f>
        <v/>
      </c>
      <c r="L180" t="str">
        <f>IF(DONNEES!$E180="","",DONNEES!M180)</f>
        <v/>
      </c>
      <c r="M180" t="str">
        <f>IF(DONNEES!$E180="","",DONNEES!N180)</f>
        <v/>
      </c>
      <c r="N180" t="str">
        <f>IF(DONNEES!$E180="","",DONNEES!O180)</f>
        <v/>
      </c>
      <c r="O180" t="str">
        <f>IF(DONNEES!$E180="","",DONNEES!P180)</f>
        <v/>
      </c>
      <c r="P180" t="str">
        <f>IF(DONNEES!$E180="","",DONNEES!Q180)</f>
        <v/>
      </c>
      <c r="Q180" t="str">
        <f>IF(DONNEES!$E180="","",DONNEES!R180)</f>
        <v/>
      </c>
      <c r="R180" t="str">
        <f>IF(DONNEES!$E180="","",DONNEES!S180)</f>
        <v/>
      </c>
      <c r="S180" t="str">
        <f>IF(DONNEES!$E180="","",DONNEES!T180)</f>
        <v/>
      </c>
      <c r="T180" t="str">
        <f>IF(DONNEES!$E180="","",DONNEES!U180)</f>
        <v/>
      </c>
      <c r="U180" t="str">
        <f>IF(DONNEES!$E180="","",DONNEES!V180)</f>
        <v/>
      </c>
      <c r="V180" t="str">
        <f>IF(DONNEES!$E180="","",DONNEES!W180)</f>
        <v/>
      </c>
      <c r="W180" t="str">
        <f>IF(DONNEES!$E180="","",DONNEES!X180)</f>
        <v/>
      </c>
      <c r="X180" t="str">
        <f>IF(DONNEES!$E180="","",DONNEES!Y180)</f>
        <v/>
      </c>
      <c r="Y180" t="str">
        <f>IF(DONNEES!$E180="","",DONNEES!Z180)</f>
        <v/>
      </c>
      <c r="Z180" t="str">
        <f>IF(DONNEES!$E180="","",DONNEES!AQ180)</f>
        <v/>
      </c>
    </row>
    <row r="181" spans="1:26" ht="15" customHeight="1" x14ac:dyDescent="0.3">
      <c r="A181" t="str">
        <f>IF(DONNEES!$E181="","",DONNEES!A181)</f>
        <v/>
      </c>
      <c r="B181" t="str">
        <f>IF(DONNEES!$E181="","",DONNEES!B181)</f>
        <v/>
      </c>
      <c r="C181" t="str">
        <f>IF(DONNEES!$E181="","",DONNEES!C181)</f>
        <v/>
      </c>
      <c r="D181" t="str">
        <f>IF(DONNEES!$E181="","",DONNEES!E181)</f>
        <v/>
      </c>
      <c r="E181" t="str">
        <f>IF(DONNEES!$E181="","",DONNEES!F181)</f>
        <v/>
      </c>
      <c r="F181" t="str">
        <f>IF(DONNEES!$E181="","",DONNEES!G181)</f>
        <v/>
      </c>
      <c r="G181" t="str">
        <f>IF(DONNEES!$E181="","",DONNEES!H181)</f>
        <v/>
      </c>
      <c r="H181" t="str">
        <f>IF(DONNEES!$E181="","",DONNEES!I181)</f>
        <v/>
      </c>
      <c r="I181" t="str">
        <f>IF(DONNEES!$E181="","",DONNEES!J181)</f>
        <v/>
      </c>
      <c r="J181" t="str">
        <f>IF(DONNEES!$E181="","",DONNEES!K181)</f>
        <v/>
      </c>
      <c r="K181" t="str">
        <f>IF(DONNEES!$E181="","",DONNEES!L181)</f>
        <v/>
      </c>
      <c r="L181" t="str">
        <f>IF(DONNEES!$E181="","",DONNEES!M181)</f>
        <v/>
      </c>
      <c r="M181" t="str">
        <f>IF(DONNEES!$E181="","",DONNEES!N181)</f>
        <v/>
      </c>
      <c r="N181" t="str">
        <f>IF(DONNEES!$E181="","",DONNEES!O181)</f>
        <v/>
      </c>
      <c r="O181" t="str">
        <f>IF(DONNEES!$E181="","",DONNEES!P181)</f>
        <v/>
      </c>
      <c r="P181" t="str">
        <f>IF(DONNEES!$E181="","",DONNEES!Q181)</f>
        <v/>
      </c>
      <c r="Q181" t="str">
        <f>IF(DONNEES!$E181="","",DONNEES!R181)</f>
        <v/>
      </c>
      <c r="R181" t="str">
        <f>IF(DONNEES!$E181="","",DONNEES!S181)</f>
        <v/>
      </c>
      <c r="S181" t="str">
        <f>IF(DONNEES!$E181="","",DONNEES!T181)</f>
        <v/>
      </c>
      <c r="T181" t="str">
        <f>IF(DONNEES!$E181="","",DONNEES!U181)</f>
        <v/>
      </c>
      <c r="U181" t="str">
        <f>IF(DONNEES!$E181="","",DONNEES!V181)</f>
        <v/>
      </c>
      <c r="V181" t="str">
        <f>IF(DONNEES!$E181="","",DONNEES!W181)</f>
        <v/>
      </c>
      <c r="W181" t="str">
        <f>IF(DONNEES!$E181="","",DONNEES!X181)</f>
        <v/>
      </c>
      <c r="X181" t="str">
        <f>IF(DONNEES!$E181="","",DONNEES!Y181)</f>
        <v/>
      </c>
      <c r="Y181" t="str">
        <f>IF(DONNEES!$E181="","",DONNEES!Z181)</f>
        <v/>
      </c>
      <c r="Z181" t="str">
        <f>IF(DONNEES!$E181="","",DONNEES!AQ181)</f>
        <v/>
      </c>
    </row>
    <row r="182" spans="1:26" ht="15" customHeight="1" x14ac:dyDescent="0.3">
      <c r="A182" t="str">
        <f>IF(DONNEES!$E182="","",DONNEES!A182)</f>
        <v/>
      </c>
      <c r="B182" t="str">
        <f>IF(DONNEES!$E182="","",DONNEES!B182)</f>
        <v/>
      </c>
      <c r="C182" t="str">
        <f>IF(DONNEES!$E182="","",DONNEES!C182)</f>
        <v/>
      </c>
      <c r="D182" t="str">
        <f>IF(DONNEES!$E182="","",DONNEES!E182)</f>
        <v/>
      </c>
      <c r="E182" t="str">
        <f>IF(DONNEES!$E182="","",DONNEES!F182)</f>
        <v/>
      </c>
      <c r="F182" t="str">
        <f>IF(DONNEES!$E182="","",DONNEES!G182)</f>
        <v/>
      </c>
      <c r="G182" t="str">
        <f>IF(DONNEES!$E182="","",DONNEES!H182)</f>
        <v/>
      </c>
      <c r="H182" t="str">
        <f>IF(DONNEES!$E182="","",DONNEES!I182)</f>
        <v/>
      </c>
      <c r="I182" t="str">
        <f>IF(DONNEES!$E182="","",DONNEES!J182)</f>
        <v/>
      </c>
      <c r="J182" t="str">
        <f>IF(DONNEES!$E182="","",DONNEES!K182)</f>
        <v/>
      </c>
      <c r="K182" t="str">
        <f>IF(DONNEES!$E182="","",DONNEES!L182)</f>
        <v/>
      </c>
      <c r="L182" t="str">
        <f>IF(DONNEES!$E182="","",DONNEES!M182)</f>
        <v/>
      </c>
      <c r="M182" t="str">
        <f>IF(DONNEES!$E182="","",DONNEES!N182)</f>
        <v/>
      </c>
      <c r="N182" t="str">
        <f>IF(DONNEES!$E182="","",DONNEES!O182)</f>
        <v/>
      </c>
      <c r="O182" t="str">
        <f>IF(DONNEES!$E182="","",DONNEES!P182)</f>
        <v/>
      </c>
      <c r="P182" t="str">
        <f>IF(DONNEES!$E182="","",DONNEES!Q182)</f>
        <v/>
      </c>
      <c r="Q182" t="str">
        <f>IF(DONNEES!$E182="","",DONNEES!R182)</f>
        <v/>
      </c>
      <c r="R182" t="str">
        <f>IF(DONNEES!$E182="","",DONNEES!S182)</f>
        <v/>
      </c>
      <c r="S182" t="str">
        <f>IF(DONNEES!$E182="","",DONNEES!T182)</f>
        <v/>
      </c>
      <c r="T182" t="str">
        <f>IF(DONNEES!$E182="","",DONNEES!U182)</f>
        <v/>
      </c>
      <c r="U182" t="str">
        <f>IF(DONNEES!$E182="","",DONNEES!V182)</f>
        <v/>
      </c>
      <c r="V182" t="str">
        <f>IF(DONNEES!$E182="","",DONNEES!W182)</f>
        <v/>
      </c>
      <c r="W182" t="str">
        <f>IF(DONNEES!$E182="","",DONNEES!X182)</f>
        <v/>
      </c>
      <c r="X182" t="str">
        <f>IF(DONNEES!$E182="","",DONNEES!Y182)</f>
        <v/>
      </c>
      <c r="Y182" t="str">
        <f>IF(DONNEES!$E182="","",DONNEES!Z182)</f>
        <v/>
      </c>
      <c r="Z182" t="str">
        <f>IF(DONNEES!$E182="","",DONNEES!AQ182)</f>
        <v/>
      </c>
    </row>
    <row r="183" spans="1:26" ht="15" customHeight="1" x14ac:dyDescent="0.3">
      <c r="A183" t="str">
        <f>IF(DONNEES!$E183="","",DONNEES!A183)</f>
        <v/>
      </c>
      <c r="B183" t="str">
        <f>IF(DONNEES!$E183="","",DONNEES!B183)</f>
        <v/>
      </c>
      <c r="C183" t="str">
        <f>IF(DONNEES!$E183="","",DONNEES!C183)</f>
        <v/>
      </c>
      <c r="D183" t="str">
        <f>IF(DONNEES!$E183="","",DONNEES!E183)</f>
        <v/>
      </c>
      <c r="E183" t="str">
        <f>IF(DONNEES!$E183="","",DONNEES!F183)</f>
        <v/>
      </c>
      <c r="F183" t="str">
        <f>IF(DONNEES!$E183="","",DONNEES!G183)</f>
        <v/>
      </c>
      <c r="G183" t="str">
        <f>IF(DONNEES!$E183="","",DONNEES!H183)</f>
        <v/>
      </c>
      <c r="H183" t="str">
        <f>IF(DONNEES!$E183="","",DONNEES!I183)</f>
        <v/>
      </c>
      <c r="I183" t="str">
        <f>IF(DONNEES!$E183="","",DONNEES!J183)</f>
        <v/>
      </c>
      <c r="J183" t="str">
        <f>IF(DONNEES!$E183="","",DONNEES!K183)</f>
        <v/>
      </c>
      <c r="K183" t="str">
        <f>IF(DONNEES!$E183="","",DONNEES!L183)</f>
        <v/>
      </c>
      <c r="L183" t="str">
        <f>IF(DONNEES!$E183="","",DONNEES!M183)</f>
        <v/>
      </c>
      <c r="M183" t="str">
        <f>IF(DONNEES!$E183="","",DONNEES!N183)</f>
        <v/>
      </c>
      <c r="N183" t="str">
        <f>IF(DONNEES!$E183="","",DONNEES!O183)</f>
        <v/>
      </c>
      <c r="O183" t="str">
        <f>IF(DONNEES!$E183="","",DONNEES!P183)</f>
        <v/>
      </c>
      <c r="P183" t="str">
        <f>IF(DONNEES!$E183="","",DONNEES!Q183)</f>
        <v/>
      </c>
      <c r="Q183" t="str">
        <f>IF(DONNEES!$E183="","",DONNEES!R183)</f>
        <v/>
      </c>
      <c r="R183" t="str">
        <f>IF(DONNEES!$E183="","",DONNEES!S183)</f>
        <v/>
      </c>
      <c r="S183" t="str">
        <f>IF(DONNEES!$E183="","",DONNEES!T183)</f>
        <v/>
      </c>
      <c r="T183" t="str">
        <f>IF(DONNEES!$E183="","",DONNEES!U183)</f>
        <v/>
      </c>
      <c r="U183" t="str">
        <f>IF(DONNEES!$E183="","",DONNEES!V183)</f>
        <v/>
      </c>
      <c r="V183" t="str">
        <f>IF(DONNEES!$E183="","",DONNEES!W183)</f>
        <v/>
      </c>
      <c r="W183" t="str">
        <f>IF(DONNEES!$E183="","",DONNEES!X183)</f>
        <v/>
      </c>
      <c r="X183" t="str">
        <f>IF(DONNEES!$E183="","",DONNEES!Y183)</f>
        <v/>
      </c>
      <c r="Y183" t="str">
        <f>IF(DONNEES!$E183="","",DONNEES!Z183)</f>
        <v/>
      </c>
      <c r="Z183" t="str">
        <f>IF(DONNEES!$E183="","",DONNEES!AQ183)</f>
        <v/>
      </c>
    </row>
    <row r="184" spans="1:26" ht="15" customHeight="1" x14ac:dyDescent="0.3">
      <c r="A184" t="str">
        <f>IF(DONNEES!$E184="","",DONNEES!A184)</f>
        <v/>
      </c>
      <c r="B184" t="str">
        <f>IF(DONNEES!$E184="","",DONNEES!B184)</f>
        <v/>
      </c>
      <c r="C184" t="str">
        <f>IF(DONNEES!$E184="","",DONNEES!C184)</f>
        <v/>
      </c>
      <c r="D184" t="str">
        <f>IF(DONNEES!$E184="","",DONNEES!E184)</f>
        <v/>
      </c>
      <c r="E184" t="str">
        <f>IF(DONNEES!$E184="","",DONNEES!F184)</f>
        <v/>
      </c>
      <c r="F184" t="str">
        <f>IF(DONNEES!$E184="","",DONNEES!G184)</f>
        <v/>
      </c>
      <c r="G184" t="str">
        <f>IF(DONNEES!$E184="","",DONNEES!H184)</f>
        <v/>
      </c>
      <c r="H184" t="str">
        <f>IF(DONNEES!$E184="","",DONNEES!I184)</f>
        <v/>
      </c>
      <c r="I184" t="str">
        <f>IF(DONNEES!$E184="","",DONNEES!J184)</f>
        <v/>
      </c>
      <c r="J184" t="str">
        <f>IF(DONNEES!$E184="","",DONNEES!K184)</f>
        <v/>
      </c>
      <c r="K184" t="str">
        <f>IF(DONNEES!$E184="","",DONNEES!L184)</f>
        <v/>
      </c>
      <c r="L184" t="str">
        <f>IF(DONNEES!$E184="","",DONNEES!M184)</f>
        <v/>
      </c>
      <c r="M184" t="str">
        <f>IF(DONNEES!$E184="","",DONNEES!N184)</f>
        <v/>
      </c>
      <c r="N184" t="str">
        <f>IF(DONNEES!$E184="","",DONNEES!O184)</f>
        <v/>
      </c>
      <c r="O184" t="str">
        <f>IF(DONNEES!$E184="","",DONNEES!P184)</f>
        <v/>
      </c>
      <c r="P184" t="str">
        <f>IF(DONNEES!$E184="","",DONNEES!Q184)</f>
        <v/>
      </c>
      <c r="Q184" t="str">
        <f>IF(DONNEES!$E184="","",DONNEES!R184)</f>
        <v/>
      </c>
      <c r="R184" t="str">
        <f>IF(DONNEES!$E184="","",DONNEES!S184)</f>
        <v/>
      </c>
      <c r="S184" t="str">
        <f>IF(DONNEES!$E184="","",DONNEES!T184)</f>
        <v/>
      </c>
      <c r="T184" t="str">
        <f>IF(DONNEES!$E184="","",DONNEES!U184)</f>
        <v/>
      </c>
      <c r="U184" t="str">
        <f>IF(DONNEES!$E184="","",DONNEES!V184)</f>
        <v/>
      </c>
      <c r="V184" t="str">
        <f>IF(DONNEES!$E184="","",DONNEES!W184)</f>
        <v/>
      </c>
      <c r="W184" t="str">
        <f>IF(DONNEES!$E184="","",DONNEES!X184)</f>
        <v/>
      </c>
      <c r="X184" t="str">
        <f>IF(DONNEES!$E184="","",DONNEES!Y184)</f>
        <v/>
      </c>
      <c r="Y184" t="str">
        <f>IF(DONNEES!$E184="","",DONNEES!Z184)</f>
        <v/>
      </c>
      <c r="Z184" t="str">
        <f>IF(DONNEES!$E184="","",DONNEES!AQ184)</f>
        <v/>
      </c>
    </row>
    <row r="185" spans="1:26" ht="15" customHeight="1" x14ac:dyDescent="0.3">
      <c r="A185" t="str">
        <f>IF(DONNEES!$E185="","",DONNEES!A185)</f>
        <v/>
      </c>
      <c r="B185" t="str">
        <f>IF(DONNEES!$E185="","",DONNEES!B185)</f>
        <v/>
      </c>
      <c r="C185" t="str">
        <f>IF(DONNEES!$E185="","",DONNEES!C185)</f>
        <v/>
      </c>
      <c r="D185" t="str">
        <f>IF(DONNEES!$E185="","",DONNEES!E185)</f>
        <v/>
      </c>
      <c r="E185" t="str">
        <f>IF(DONNEES!$E185="","",DONNEES!F185)</f>
        <v/>
      </c>
      <c r="F185" t="str">
        <f>IF(DONNEES!$E185="","",DONNEES!G185)</f>
        <v/>
      </c>
      <c r="G185" t="str">
        <f>IF(DONNEES!$E185="","",DONNEES!H185)</f>
        <v/>
      </c>
      <c r="H185" t="str">
        <f>IF(DONNEES!$E185="","",DONNEES!I185)</f>
        <v/>
      </c>
      <c r="I185" t="str">
        <f>IF(DONNEES!$E185="","",DONNEES!J185)</f>
        <v/>
      </c>
      <c r="J185" t="str">
        <f>IF(DONNEES!$E185="","",DONNEES!K185)</f>
        <v/>
      </c>
      <c r="K185" t="str">
        <f>IF(DONNEES!$E185="","",DONNEES!L185)</f>
        <v/>
      </c>
      <c r="L185" t="str">
        <f>IF(DONNEES!$E185="","",DONNEES!M185)</f>
        <v/>
      </c>
      <c r="M185" t="str">
        <f>IF(DONNEES!$E185="","",DONNEES!N185)</f>
        <v/>
      </c>
      <c r="N185" t="str">
        <f>IF(DONNEES!$E185="","",DONNEES!O185)</f>
        <v/>
      </c>
      <c r="O185" t="str">
        <f>IF(DONNEES!$E185="","",DONNEES!P185)</f>
        <v/>
      </c>
      <c r="P185" t="str">
        <f>IF(DONNEES!$E185="","",DONNEES!Q185)</f>
        <v/>
      </c>
      <c r="Q185" t="str">
        <f>IF(DONNEES!$E185="","",DONNEES!R185)</f>
        <v/>
      </c>
      <c r="R185" t="str">
        <f>IF(DONNEES!$E185="","",DONNEES!S185)</f>
        <v/>
      </c>
      <c r="S185" t="str">
        <f>IF(DONNEES!$E185="","",DONNEES!T185)</f>
        <v/>
      </c>
      <c r="T185" t="str">
        <f>IF(DONNEES!$E185="","",DONNEES!U185)</f>
        <v/>
      </c>
      <c r="U185" t="str">
        <f>IF(DONNEES!$E185="","",DONNEES!V185)</f>
        <v/>
      </c>
      <c r="V185" t="str">
        <f>IF(DONNEES!$E185="","",DONNEES!W185)</f>
        <v/>
      </c>
      <c r="W185" t="str">
        <f>IF(DONNEES!$E185="","",DONNEES!X185)</f>
        <v/>
      </c>
      <c r="X185" t="str">
        <f>IF(DONNEES!$E185="","",DONNEES!Y185)</f>
        <v/>
      </c>
      <c r="Y185" t="str">
        <f>IF(DONNEES!$E185="","",DONNEES!Z185)</f>
        <v/>
      </c>
      <c r="Z185" t="str">
        <f>IF(DONNEES!$E185="","",DONNEES!AQ185)</f>
        <v/>
      </c>
    </row>
    <row r="186" spans="1:26" ht="15" customHeight="1" x14ac:dyDescent="0.3">
      <c r="A186" t="str">
        <f>IF(DONNEES!$E186="","",DONNEES!A186)</f>
        <v/>
      </c>
      <c r="B186" t="str">
        <f>IF(DONNEES!$E186="","",DONNEES!B186)</f>
        <v/>
      </c>
      <c r="C186" t="str">
        <f>IF(DONNEES!$E186="","",DONNEES!C186)</f>
        <v/>
      </c>
      <c r="D186" t="str">
        <f>IF(DONNEES!$E186="","",DONNEES!E186)</f>
        <v/>
      </c>
      <c r="E186" t="str">
        <f>IF(DONNEES!$E186="","",DONNEES!F186)</f>
        <v/>
      </c>
      <c r="F186" t="str">
        <f>IF(DONNEES!$E186="","",DONNEES!G186)</f>
        <v/>
      </c>
      <c r="G186" t="str">
        <f>IF(DONNEES!$E186="","",DONNEES!H186)</f>
        <v/>
      </c>
      <c r="H186" t="str">
        <f>IF(DONNEES!$E186="","",DONNEES!I186)</f>
        <v/>
      </c>
      <c r="I186" t="str">
        <f>IF(DONNEES!$E186="","",DONNEES!J186)</f>
        <v/>
      </c>
      <c r="J186" t="str">
        <f>IF(DONNEES!$E186="","",DONNEES!K186)</f>
        <v/>
      </c>
      <c r="K186" t="str">
        <f>IF(DONNEES!$E186="","",DONNEES!L186)</f>
        <v/>
      </c>
      <c r="L186" t="str">
        <f>IF(DONNEES!$E186="","",DONNEES!M186)</f>
        <v/>
      </c>
      <c r="M186" t="str">
        <f>IF(DONNEES!$E186="","",DONNEES!N186)</f>
        <v/>
      </c>
      <c r="N186" t="str">
        <f>IF(DONNEES!$E186="","",DONNEES!O186)</f>
        <v/>
      </c>
      <c r="O186" t="str">
        <f>IF(DONNEES!$E186="","",DONNEES!P186)</f>
        <v/>
      </c>
      <c r="P186" t="str">
        <f>IF(DONNEES!$E186="","",DONNEES!Q186)</f>
        <v/>
      </c>
      <c r="Q186" t="str">
        <f>IF(DONNEES!$E186="","",DONNEES!R186)</f>
        <v/>
      </c>
      <c r="R186" t="str">
        <f>IF(DONNEES!$E186="","",DONNEES!S186)</f>
        <v/>
      </c>
      <c r="S186" t="str">
        <f>IF(DONNEES!$E186="","",DONNEES!T186)</f>
        <v/>
      </c>
      <c r="T186" t="str">
        <f>IF(DONNEES!$E186="","",DONNEES!U186)</f>
        <v/>
      </c>
      <c r="U186" t="str">
        <f>IF(DONNEES!$E186="","",DONNEES!V186)</f>
        <v/>
      </c>
      <c r="V186" t="str">
        <f>IF(DONNEES!$E186="","",DONNEES!W186)</f>
        <v/>
      </c>
      <c r="W186" t="str">
        <f>IF(DONNEES!$E186="","",DONNEES!X186)</f>
        <v/>
      </c>
      <c r="X186" t="str">
        <f>IF(DONNEES!$E186="","",DONNEES!Y186)</f>
        <v/>
      </c>
      <c r="Y186" t="str">
        <f>IF(DONNEES!$E186="","",DONNEES!Z186)</f>
        <v/>
      </c>
      <c r="Z186" t="str">
        <f>IF(DONNEES!$E186="","",DONNEES!AQ186)</f>
        <v/>
      </c>
    </row>
    <row r="187" spans="1:26" ht="15" customHeight="1" x14ac:dyDescent="0.3">
      <c r="A187" t="str">
        <f>IF(DONNEES!$E187="","",DONNEES!A187)</f>
        <v/>
      </c>
      <c r="B187" t="str">
        <f>IF(DONNEES!$E187="","",DONNEES!B187)</f>
        <v/>
      </c>
      <c r="C187" t="str">
        <f>IF(DONNEES!$E187="","",DONNEES!C187)</f>
        <v/>
      </c>
      <c r="D187" t="str">
        <f>IF(DONNEES!$E187="","",DONNEES!E187)</f>
        <v/>
      </c>
      <c r="E187" t="str">
        <f>IF(DONNEES!$E187="","",DONNEES!F187)</f>
        <v/>
      </c>
      <c r="F187" t="str">
        <f>IF(DONNEES!$E187="","",DONNEES!G187)</f>
        <v/>
      </c>
      <c r="G187" t="str">
        <f>IF(DONNEES!$E187="","",DONNEES!H187)</f>
        <v/>
      </c>
      <c r="H187" t="str">
        <f>IF(DONNEES!$E187="","",DONNEES!I187)</f>
        <v/>
      </c>
      <c r="I187" t="str">
        <f>IF(DONNEES!$E187="","",DONNEES!J187)</f>
        <v/>
      </c>
      <c r="J187" t="str">
        <f>IF(DONNEES!$E187="","",DONNEES!K187)</f>
        <v/>
      </c>
      <c r="K187" t="str">
        <f>IF(DONNEES!$E187="","",DONNEES!L187)</f>
        <v/>
      </c>
      <c r="L187" t="str">
        <f>IF(DONNEES!$E187="","",DONNEES!M187)</f>
        <v/>
      </c>
      <c r="M187" t="str">
        <f>IF(DONNEES!$E187="","",DONNEES!N187)</f>
        <v/>
      </c>
      <c r="N187" t="str">
        <f>IF(DONNEES!$E187="","",DONNEES!O187)</f>
        <v/>
      </c>
      <c r="O187" t="str">
        <f>IF(DONNEES!$E187="","",DONNEES!P187)</f>
        <v/>
      </c>
      <c r="P187" t="str">
        <f>IF(DONNEES!$E187="","",DONNEES!Q187)</f>
        <v/>
      </c>
      <c r="Q187" t="str">
        <f>IF(DONNEES!$E187="","",DONNEES!R187)</f>
        <v/>
      </c>
      <c r="R187" t="str">
        <f>IF(DONNEES!$E187="","",DONNEES!S187)</f>
        <v/>
      </c>
      <c r="S187" t="str">
        <f>IF(DONNEES!$E187="","",DONNEES!T187)</f>
        <v/>
      </c>
      <c r="T187" t="str">
        <f>IF(DONNEES!$E187="","",DONNEES!U187)</f>
        <v/>
      </c>
      <c r="U187" t="str">
        <f>IF(DONNEES!$E187="","",DONNEES!V187)</f>
        <v/>
      </c>
      <c r="V187" t="str">
        <f>IF(DONNEES!$E187="","",DONNEES!W187)</f>
        <v/>
      </c>
      <c r="W187" t="str">
        <f>IF(DONNEES!$E187="","",DONNEES!X187)</f>
        <v/>
      </c>
      <c r="X187" t="str">
        <f>IF(DONNEES!$E187="","",DONNEES!Y187)</f>
        <v/>
      </c>
      <c r="Y187" t="str">
        <f>IF(DONNEES!$E187="","",DONNEES!Z187)</f>
        <v/>
      </c>
      <c r="Z187" t="str">
        <f>IF(DONNEES!$E187="","",DONNEES!AQ187)</f>
        <v/>
      </c>
    </row>
    <row r="188" spans="1:26" ht="15" customHeight="1" x14ac:dyDescent="0.3">
      <c r="A188" t="str">
        <f>IF(DONNEES!$E188="","",DONNEES!A188)</f>
        <v/>
      </c>
      <c r="B188" t="str">
        <f>IF(DONNEES!$E188="","",DONNEES!B188)</f>
        <v/>
      </c>
      <c r="C188" t="str">
        <f>IF(DONNEES!$E188="","",DONNEES!C188)</f>
        <v/>
      </c>
      <c r="D188" t="str">
        <f>IF(DONNEES!$E188="","",DONNEES!E188)</f>
        <v/>
      </c>
      <c r="E188" t="str">
        <f>IF(DONNEES!$E188="","",DONNEES!F188)</f>
        <v/>
      </c>
      <c r="F188" t="str">
        <f>IF(DONNEES!$E188="","",DONNEES!G188)</f>
        <v/>
      </c>
      <c r="G188" t="str">
        <f>IF(DONNEES!$E188="","",DONNEES!H188)</f>
        <v/>
      </c>
      <c r="H188" t="str">
        <f>IF(DONNEES!$E188="","",DONNEES!I188)</f>
        <v/>
      </c>
      <c r="I188" t="str">
        <f>IF(DONNEES!$E188="","",DONNEES!J188)</f>
        <v/>
      </c>
      <c r="J188" t="str">
        <f>IF(DONNEES!$E188="","",DONNEES!K188)</f>
        <v/>
      </c>
      <c r="K188" t="str">
        <f>IF(DONNEES!$E188="","",DONNEES!L188)</f>
        <v/>
      </c>
      <c r="L188" t="str">
        <f>IF(DONNEES!$E188="","",DONNEES!M188)</f>
        <v/>
      </c>
      <c r="M188" t="str">
        <f>IF(DONNEES!$E188="","",DONNEES!N188)</f>
        <v/>
      </c>
      <c r="N188" t="str">
        <f>IF(DONNEES!$E188="","",DONNEES!O188)</f>
        <v/>
      </c>
      <c r="O188" t="str">
        <f>IF(DONNEES!$E188="","",DONNEES!P188)</f>
        <v/>
      </c>
      <c r="P188" t="str">
        <f>IF(DONNEES!$E188="","",DONNEES!Q188)</f>
        <v/>
      </c>
      <c r="Q188" t="str">
        <f>IF(DONNEES!$E188="","",DONNEES!R188)</f>
        <v/>
      </c>
      <c r="R188" t="str">
        <f>IF(DONNEES!$E188="","",DONNEES!S188)</f>
        <v/>
      </c>
      <c r="S188" t="str">
        <f>IF(DONNEES!$E188="","",DONNEES!T188)</f>
        <v/>
      </c>
      <c r="T188" t="str">
        <f>IF(DONNEES!$E188="","",DONNEES!U188)</f>
        <v/>
      </c>
      <c r="U188" t="str">
        <f>IF(DONNEES!$E188="","",DONNEES!V188)</f>
        <v/>
      </c>
      <c r="V188" t="str">
        <f>IF(DONNEES!$E188="","",DONNEES!W188)</f>
        <v/>
      </c>
      <c r="W188" t="str">
        <f>IF(DONNEES!$E188="","",DONNEES!X188)</f>
        <v/>
      </c>
      <c r="X188" t="str">
        <f>IF(DONNEES!$E188="","",DONNEES!Y188)</f>
        <v/>
      </c>
      <c r="Y188" t="str">
        <f>IF(DONNEES!$E188="","",DONNEES!Z188)</f>
        <v/>
      </c>
      <c r="Z188" t="str">
        <f>IF(DONNEES!$E188="","",DONNEES!AQ188)</f>
        <v/>
      </c>
    </row>
    <row r="189" spans="1:26" ht="15" customHeight="1" x14ac:dyDescent="0.3">
      <c r="A189" t="str">
        <f>IF(DONNEES!$E189="","",DONNEES!A189)</f>
        <v/>
      </c>
      <c r="B189" t="str">
        <f>IF(DONNEES!$E189="","",DONNEES!B189)</f>
        <v/>
      </c>
      <c r="C189" t="str">
        <f>IF(DONNEES!$E189="","",DONNEES!C189)</f>
        <v/>
      </c>
      <c r="D189" t="str">
        <f>IF(DONNEES!$E189="","",DONNEES!E189)</f>
        <v/>
      </c>
      <c r="E189" t="str">
        <f>IF(DONNEES!$E189="","",DONNEES!F189)</f>
        <v/>
      </c>
      <c r="F189" t="str">
        <f>IF(DONNEES!$E189="","",DONNEES!G189)</f>
        <v/>
      </c>
      <c r="G189" t="str">
        <f>IF(DONNEES!$E189="","",DONNEES!H189)</f>
        <v/>
      </c>
      <c r="H189" t="str">
        <f>IF(DONNEES!$E189="","",DONNEES!I189)</f>
        <v/>
      </c>
      <c r="I189" t="str">
        <f>IF(DONNEES!$E189="","",DONNEES!J189)</f>
        <v/>
      </c>
      <c r="J189" t="str">
        <f>IF(DONNEES!$E189="","",DONNEES!K189)</f>
        <v/>
      </c>
      <c r="K189" t="str">
        <f>IF(DONNEES!$E189="","",DONNEES!L189)</f>
        <v/>
      </c>
      <c r="L189" t="str">
        <f>IF(DONNEES!$E189="","",DONNEES!M189)</f>
        <v/>
      </c>
      <c r="M189" t="str">
        <f>IF(DONNEES!$E189="","",DONNEES!N189)</f>
        <v/>
      </c>
      <c r="N189" t="str">
        <f>IF(DONNEES!$E189="","",DONNEES!O189)</f>
        <v/>
      </c>
      <c r="O189" t="str">
        <f>IF(DONNEES!$E189="","",DONNEES!P189)</f>
        <v/>
      </c>
      <c r="P189" t="str">
        <f>IF(DONNEES!$E189="","",DONNEES!Q189)</f>
        <v/>
      </c>
      <c r="Q189" t="str">
        <f>IF(DONNEES!$E189="","",DONNEES!R189)</f>
        <v/>
      </c>
      <c r="R189" t="str">
        <f>IF(DONNEES!$E189="","",DONNEES!S189)</f>
        <v/>
      </c>
      <c r="S189" t="str">
        <f>IF(DONNEES!$E189="","",DONNEES!T189)</f>
        <v/>
      </c>
      <c r="T189" t="str">
        <f>IF(DONNEES!$E189="","",DONNEES!U189)</f>
        <v/>
      </c>
      <c r="U189" t="str">
        <f>IF(DONNEES!$E189="","",DONNEES!V189)</f>
        <v/>
      </c>
      <c r="V189" t="str">
        <f>IF(DONNEES!$E189="","",DONNEES!W189)</f>
        <v/>
      </c>
      <c r="W189" t="str">
        <f>IF(DONNEES!$E189="","",DONNEES!X189)</f>
        <v/>
      </c>
      <c r="X189" t="str">
        <f>IF(DONNEES!$E189="","",DONNEES!Y189)</f>
        <v/>
      </c>
      <c r="Y189" t="str">
        <f>IF(DONNEES!$E189="","",DONNEES!Z189)</f>
        <v/>
      </c>
      <c r="Z189" t="str">
        <f>IF(DONNEES!$E189="","",DONNEES!AQ189)</f>
        <v/>
      </c>
    </row>
    <row r="190" spans="1:26" ht="15" customHeight="1" x14ac:dyDescent="0.3">
      <c r="A190" t="str">
        <f>IF(DONNEES!$E190="","",DONNEES!A190)</f>
        <v/>
      </c>
      <c r="B190" t="str">
        <f>IF(DONNEES!$E190="","",DONNEES!B190)</f>
        <v/>
      </c>
      <c r="C190" t="str">
        <f>IF(DONNEES!$E190="","",DONNEES!C190)</f>
        <v/>
      </c>
      <c r="D190" t="str">
        <f>IF(DONNEES!$E190="","",DONNEES!E190)</f>
        <v/>
      </c>
      <c r="E190" t="str">
        <f>IF(DONNEES!$E190="","",DONNEES!F190)</f>
        <v/>
      </c>
      <c r="F190" t="str">
        <f>IF(DONNEES!$E190="","",DONNEES!G190)</f>
        <v/>
      </c>
      <c r="G190" t="str">
        <f>IF(DONNEES!$E190="","",DONNEES!H190)</f>
        <v/>
      </c>
      <c r="H190" t="str">
        <f>IF(DONNEES!$E190="","",DONNEES!I190)</f>
        <v/>
      </c>
      <c r="I190" t="str">
        <f>IF(DONNEES!$E190="","",DONNEES!J190)</f>
        <v/>
      </c>
      <c r="J190" t="str">
        <f>IF(DONNEES!$E190="","",DONNEES!K190)</f>
        <v/>
      </c>
      <c r="K190" t="str">
        <f>IF(DONNEES!$E190="","",DONNEES!L190)</f>
        <v/>
      </c>
      <c r="L190" t="str">
        <f>IF(DONNEES!$E190="","",DONNEES!M190)</f>
        <v/>
      </c>
      <c r="M190" t="str">
        <f>IF(DONNEES!$E190="","",DONNEES!N190)</f>
        <v/>
      </c>
      <c r="N190" t="str">
        <f>IF(DONNEES!$E190="","",DONNEES!O190)</f>
        <v/>
      </c>
      <c r="O190" t="str">
        <f>IF(DONNEES!$E190="","",DONNEES!P190)</f>
        <v/>
      </c>
      <c r="P190" t="str">
        <f>IF(DONNEES!$E190="","",DONNEES!Q190)</f>
        <v/>
      </c>
      <c r="Q190" t="str">
        <f>IF(DONNEES!$E190="","",DONNEES!R190)</f>
        <v/>
      </c>
      <c r="R190" t="str">
        <f>IF(DONNEES!$E190="","",DONNEES!S190)</f>
        <v/>
      </c>
      <c r="S190" t="str">
        <f>IF(DONNEES!$E190="","",DONNEES!T190)</f>
        <v/>
      </c>
      <c r="T190" t="str">
        <f>IF(DONNEES!$E190="","",DONNEES!U190)</f>
        <v/>
      </c>
      <c r="U190" t="str">
        <f>IF(DONNEES!$E190="","",DONNEES!V190)</f>
        <v/>
      </c>
      <c r="V190" t="str">
        <f>IF(DONNEES!$E190="","",DONNEES!W190)</f>
        <v/>
      </c>
      <c r="W190" t="str">
        <f>IF(DONNEES!$E190="","",DONNEES!X190)</f>
        <v/>
      </c>
      <c r="X190" t="str">
        <f>IF(DONNEES!$E190="","",DONNEES!Y190)</f>
        <v/>
      </c>
      <c r="Y190" t="str">
        <f>IF(DONNEES!$E190="","",DONNEES!Z190)</f>
        <v/>
      </c>
      <c r="Z190" t="str">
        <f>IF(DONNEES!$E190="","",DONNEES!AQ190)</f>
        <v/>
      </c>
    </row>
    <row r="191" spans="1:26" ht="15" customHeight="1" x14ac:dyDescent="0.3">
      <c r="A191" t="str">
        <f>IF(DONNEES!$E191="","",DONNEES!A191)</f>
        <v/>
      </c>
      <c r="B191" t="str">
        <f>IF(DONNEES!$E191="","",DONNEES!B191)</f>
        <v/>
      </c>
      <c r="C191" t="str">
        <f>IF(DONNEES!$E191="","",DONNEES!C191)</f>
        <v/>
      </c>
      <c r="D191" t="str">
        <f>IF(DONNEES!$E191="","",DONNEES!E191)</f>
        <v/>
      </c>
      <c r="E191" t="str">
        <f>IF(DONNEES!$E191="","",DONNEES!F191)</f>
        <v/>
      </c>
      <c r="F191" t="str">
        <f>IF(DONNEES!$E191="","",DONNEES!G191)</f>
        <v/>
      </c>
      <c r="G191" t="str">
        <f>IF(DONNEES!$E191="","",DONNEES!H191)</f>
        <v/>
      </c>
      <c r="H191" t="str">
        <f>IF(DONNEES!$E191="","",DONNEES!I191)</f>
        <v/>
      </c>
      <c r="I191" t="str">
        <f>IF(DONNEES!$E191="","",DONNEES!J191)</f>
        <v/>
      </c>
      <c r="J191" t="str">
        <f>IF(DONNEES!$E191="","",DONNEES!K191)</f>
        <v/>
      </c>
      <c r="K191" t="str">
        <f>IF(DONNEES!$E191="","",DONNEES!L191)</f>
        <v/>
      </c>
      <c r="L191" t="str">
        <f>IF(DONNEES!$E191="","",DONNEES!M191)</f>
        <v/>
      </c>
      <c r="M191" t="str">
        <f>IF(DONNEES!$E191="","",DONNEES!N191)</f>
        <v/>
      </c>
      <c r="N191" t="str">
        <f>IF(DONNEES!$E191="","",DONNEES!O191)</f>
        <v/>
      </c>
      <c r="O191" t="str">
        <f>IF(DONNEES!$E191="","",DONNEES!P191)</f>
        <v/>
      </c>
      <c r="P191" t="str">
        <f>IF(DONNEES!$E191="","",DONNEES!Q191)</f>
        <v/>
      </c>
      <c r="Q191" t="str">
        <f>IF(DONNEES!$E191="","",DONNEES!R191)</f>
        <v/>
      </c>
      <c r="R191" t="str">
        <f>IF(DONNEES!$E191="","",DONNEES!S191)</f>
        <v/>
      </c>
      <c r="S191" t="str">
        <f>IF(DONNEES!$E191="","",DONNEES!T191)</f>
        <v/>
      </c>
      <c r="T191" t="str">
        <f>IF(DONNEES!$E191="","",DONNEES!U191)</f>
        <v/>
      </c>
      <c r="U191" t="str">
        <f>IF(DONNEES!$E191="","",DONNEES!V191)</f>
        <v/>
      </c>
      <c r="V191" t="str">
        <f>IF(DONNEES!$E191="","",DONNEES!W191)</f>
        <v/>
      </c>
      <c r="W191" t="str">
        <f>IF(DONNEES!$E191="","",DONNEES!X191)</f>
        <v/>
      </c>
      <c r="X191" t="str">
        <f>IF(DONNEES!$E191="","",DONNEES!Y191)</f>
        <v/>
      </c>
      <c r="Y191" t="str">
        <f>IF(DONNEES!$E191="","",DONNEES!Z191)</f>
        <v/>
      </c>
      <c r="Z191" t="str">
        <f>IF(DONNEES!$E191="","",DONNEES!AQ191)</f>
        <v/>
      </c>
    </row>
    <row r="192" spans="1:26" ht="15" customHeight="1" x14ac:dyDescent="0.3">
      <c r="A192" t="str">
        <f>IF(DONNEES!$E192="","",DONNEES!A192)</f>
        <v/>
      </c>
      <c r="B192" t="str">
        <f>IF(DONNEES!$E192="","",DONNEES!B192)</f>
        <v/>
      </c>
      <c r="C192" t="str">
        <f>IF(DONNEES!$E192="","",DONNEES!C192)</f>
        <v/>
      </c>
      <c r="D192" t="str">
        <f>IF(DONNEES!$E192="","",DONNEES!E192)</f>
        <v/>
      </c>
      <c r="E192" t="str">
        <f>IF(DONNEES!$E192="","",DONNEES!F192)</f>
        <v/>
      </c>
      <c r="F192" t="str">
        <f>IF(DONNEES!$E192="","",DONNEES!G192)</f>
        <v/>
      </c>
      <c r="G192" t="str">
        <f>IF(DONNEES!$E192="","",DONNEES!H192)</f>
        <v/>
      </c>
      <c r="H192" t="str">
        <f>IF(DONNEES!$E192="","",DONNEES!I192)</f>
        <v/>
      </c>
      <c r="I192" t="str">
        <f>IF(DONNEES!$E192="","",DONNEES!J192)</f>
        <v/>
      </c>
      <c r="J192" t="str">
        <f>IF(DONNEES!$E192="","",DONNEES!K192)</f>
        <v/>
      </c>
      <c r="K192" t="str">
        <f>IF(DONNEES!$E192="","",DONNEES!L192)</f>
        <v/>
      </c>
      <c r="L192" t="str">
        <f>IF(DONNEES!$E192="","",DONNEES!M192)</f>
        <v/>
      </c>
      <c r="M192" t="str">
        <f>IF(DONNEES!$E192="","",DONNEES!N192)</f>
        <v/>
      </c>
      <c r="N192" t="str">
        <f>IF(DONNEES!$E192="","",DONNEES!O192)</f>
        <v/>
      </c>
      <c r="O192" t="str">
        <f>IF(DONNEES!$E192="","",DONNEES!P192)</f>
        <v/>
      </c>
      <c r="P192" t="str">
        <f>IF(DONNEES!$E192="","",DONNEES!Q192)</f>
        <v/>
      </c>
      <c r="Q192" t="str">
        <f>IF(DONNEES!$E192="","",DONNEES!R192)</f>
        <v/>
      </c>
      <c r="R192" t="str">
        <f>IF(DONNEES!$E192="","",DONNEES!S192)</f>
        <v/>
      </c>
      <c r="S192" t="str">
        <f>IF(DONNEES!$E192="","",DONNEES!T192)</f>
        <v/>
      </c>
      <c r="T192" t="str">
        <f>IF(DONNEES!$E192="","",DONNEES!U192)</f>
        <v/>
      </c>
      <c r="U192" t="str">
        <f>IF(DONNEES!$E192="","",DONNEES!V192)</f>
        <v/>
      </c>
      <c r="V192" t="str">
        <f>IF(DONNEES!$E192="","",DONNEES!W192)</f>
        <v/>
      </c>
      <c r="W192" t="str">
        <f>IF(DONNEES!$E192="","",DONNEES!X192)</f>
        <v/>
      </c>
      <c r="X192" t="str">
        <f>IF(DONNEES!$E192="","",DONNEES!Y192)</f>
        <v/>
      </c>
      <c r="Y192" t="str">
        <f>IF(DONNEES!$E192="","",DONNEES!Z192)</f>
        <v/>
      </c>
      <c r="Z192" t="str">
        <f>IF(DONNEES!$E192="","",DONNEES!AQ192)</f>
        <v/>
      </c>
    </row>
    <row r="193" spans="1:26" ht="15" customHeight="1" x14ac:dyDescent="0.3">
      <c r="A193" t="str">
        <f>IF(DONNEES!$E193="","",DONNEES!A193)</f>
        <v/>
      </c>
      <c r="B193" t="str">
        <f>IF(DONNEES!$E193="","",DONNEES!B193)</f>
        <v/>
      </c>
      <c r="C193" t="str">
        <f>IF(DONNEES!$E193="","",DONNEES!C193)</f>
        <v/>
      </c>
      <c r="D193" t="str">
        <f>IF(DONNEES!$E193="","",DONNEES!E193)</f>
        <v/>
      </c>
      <c r="E193" t="str">
        <f>IF(DONNEES!$E193="","",DONNEES!F193)</f>
        <v/>
      </c>
      <c r="F193" t="str">
        <f>IF(DONNEES!$E193="","",DONNEES!G193)</f>
        <v/>
      </c>
      <c r="G193" t="str">
        <f>IF(DONNEES!$E193="","",DONNEES!H193)</f>
        <v/>
      </c>
      <c r="H193" t="str">
        <f>IF(DONNEES!$E193="","",DONNEES!I193)</f>
        <v/>
      </c>
      <c r="I193" t="str">
        <f>IF(DONNEES!$E193="","",DONNEES!J193)</f>
        <v/>
      </c>
      <c r="J193" t="str">
        <f>IF(DONNEES!$E193="","",DONNEES!K193)</f>
        <v/>
      </c>
      <c r="K193" t="str">
        <f>IF(DONNEES!$E193="","",DONNEES!L193)</f>
        <v/>
      </c>
      <c r="L193" t="str">
        <f>IF(DONNEES!$E193="","",DONNEES!M193)</f>
        <v/>
      </c>
      <c r="M193" t="str">
        <f>IF(DONNEES!$E193="","",DONNEES!N193)</f>
        <v/>
      </c>
      <c r="N193" t="str">
        <f>IF(DONNEES!$E193="","",DONNEES!O193)</f>
        <v/>
      </c>
      <c r="O193" t="str">
        <f>IF(DONNEES!$E193="","",DONNEES!P193)</f>
        <v/>
      </c>
      <c r="P193" t="str">
        <f>IF(DONNEES!$E193="","",DONNEES!Q193)</f>
        <v/>
      </c>
      <c r="Q193" t="str">
        <f>IF(DONNEES!$E193="","",DONNEES!R193)</f>
        <v/>
      </c>
      <c r="R193" t="str">
        <f>IF(DONNEES!$E193="","",DONNEES!S193)</f>
        <v/>
      </c>
      <c r="S193" t="str">
        <f>IF(DONNEES!$E193="","",DONNEES!T193)</f>
        <v/>
      </c>
      <c r="T193" t="str">
        <f>IF(DONNEES!$E193="","",DONNEES!U193)</f>
        <v/>
      </c>
      <c r="U193" t="str">
        <f>IF(DONNEES!$E193="","",DONNEES!V193)</f>
        <v/>
      </c>
      <c r="V193" t="str">
        <f>IF(DONNEES!$E193="","",DONNEES!W193)</f>
        <v/>
      </c>
      <c r="W193" t="str">
        <f>IF(DONNEES!$E193="","",DONNEES!X193)</f>
        <v/>
      </c>
      <c r="X193" t="str">
        <f>IF(DONNEES!$E193="","",DONNEES!Y193)</f>
        <v/>
      </c>
      <c r="Y193" t="str">
        <f>IF(DONNEES!$E193="","",DONNEES!Z193)</f>
        <v/>
      </c>
      <c r="Z193" t="str">
        <f>IF(DONNEES!$E193="","",DONNEES!AQ193)</f>
        <v/>
      </c>
    </row>
    <row r="194" spans="1:26" ht="15" customHeight="1" x14ac:dyDescent="0.3">
      <c r="A194" t="str">
        <f>IF(DONNEES!$E194="","",DONNEES!A194)</f>
        <v/>
      </c>
      <c r="B194" t="str">
        <f>IF(DONNEES!$E194="","",DONNEES!B194)</f>
        <v/>
      </c>
      <c r="C194" t="str">
        <f>IF(DONNEES!$E194="","",DONNEES!C194)</f>
        <v/>
      </c>
      <c r="D194" t="str">
        <f>IF(DONNEES!$E194="","",DONNEES!E194)</f>
        <v/>
      </c>
      <c r="E194" t="str">
        <f>IF(DONNEES!$E194="","",DONNEES!F194)</f>
        <v/>
      </c>
      <c r="F194" t="str">
        <f>IF(DONNEES!$E194="","",DONNEES!G194)</f>
        <v/>
      </c>
      <c r="G194" t="str">
        <f>IF(DONNEES!$E194="","",DONNEES!H194)</f>
        <v/>
      </c>
      <c r="H194" t="str">
        <f>IF(DONNEES!$E194="","",DONNEES!I194)</f>
        <v/>
      </c>
      <c r="I194" t="str">
        <f>IF(DONNEES!$E194="","",DONNEES!J194)</f>
        <v/>
      </c>
      <c r="J194" t="str">
        <f>IF(DONNEES!$E194="","",DONNEES!K194)</f>
        <v/>
      </c>
      <c r="K194" t="str">
        <f>IF(DONNEES!$E194="","",DONNEES!L194)</f>
        <v/>
      </c>
      <c r="L194" t="str">
        <f>IF(DONNEES!$E194="","",DONNEES!M194)</f>
        <v/>
      </c>
      <c r="M194" t="str">
        <f>IF(DONNEES!$E194="","",DONNEES!N194)</f>
        <v/>
      </c>
      <c r="N194" t="str">
        <f>IF(DONNEES!$E194="","",DONNEES!O194)</f>
        <v/>
      </c>
      <c r="O194" t="str">
        <f>IF(DONNEES!$E194="","",DONNEES!P194)</f>
        <v/>
      </c>
      <c r="P194" t="str">
        <f>IF(DONNEES!$E194="","",DONNEES!Q194)</f>
        <v/>
      </c>
      <c r="Q194" t="str">
        <f>IF(DONNEES!$E194="","",DONNEES!R194)</f>
        <v/>
      </c>
      <c r="R194" t="str">
        <f>IF(DONNEES!$E194="","",DONNEES!S194)</f>
        <v/>
      </c>
      <c r="S194" t="str">
        <f>IF(DONNEES!$E194="","",DONNEES!T194)</f>
        <v/>
      </c>
      <c r="T194" t="str">
        <f>IF(DONNEES!$E194="","",DONNEES!U194)</f>
        <v/>
      </c>
      <c r="U194" t="str">
        <f>IF(DONNEES!$E194="","",DONNEES!V194)</f>
        <v/>
      </c>
      <c r="V194" t="str">
        <f>IF(DONNEES!$E194="","",DONNEES!W194)</f>
        <v/>
      </c>
      <c r="W194" t="str">
        <f>IF(DONNEES!$E194="","",DONNEES!X194)</f>
        <v/>
      </c>
      <c r="X194" t="str">
        <f>IF(DONNEES!$E194="","",DONNEES!Y194)</f>
        <v/>
      </c>
      <c r="Y194" t="str">
        <f>IF(DONNEES!$E194="","",DONNEES!Z194)</f>
        <v/>
      </c>
      <c r="Z194" t="str">
        <f>IF(DONNEES!$E194="","",DONNEES!AQ194)</f>
        <v/>
      </c>
    </row>
    <row r="195" spans="1:26" ht="15" customHeight="1" x14ac:dyDescent="0.3">
      <c r="A195" t="str">
        <f>IF(DONNEES!$E195="","",DONNEES!A195)</f>
        <v/>
      </c>
      <c r="B195" t="str">
        <f>IF(DONNEES!$E195="","",DONNEES!B195)</f>
        <v/>
      </c>
      <c r="C195" t="str">
        <f>IF(DONNEES!$E195="","",DONNEES!C195)</f>
        <v/>
      </c>
      <c r="D195" t="str">
        <f>IF(DONNEES!$E195="","",DONNEES!E195)</f>
        <v/>
      </c>
      <c r="E195" t="str">
        <f>IF(DONNEES!$E195="","",DONNEES!F195)</f>
        <v/>
      </c>
      <c r="F195" t="str">
        <f>IF(DONNEES!$E195="","",DONNEES!G195)</f>
        <v/>
      </c>
      <c r="G195" t="str">
        <f>IF(DONNEES!$E195="","",DONNEES!H195)</f>
        <v/>
      </c>
      <c r="H195" t="str">
        <f>IF(DONNEES!$E195="","",DONNEES!I195)</f>
        <v/>
      </c>
      <c r="I195" t="str">
        <f>IF(DONNEES!$E195="","",DONNEES!J195)</f>
        <v/>
      </c>
      <c r="J195" t="str">
        <f>IF(DONNEES!$E195="","",DONNEES!K195)</f>
        <v/>
      </c>
      <c r="K195" t="str">
        <f>IF(DONNEES!$E195="","",DONNEES!L195)</f>
        <v/>
      </c>
      <c r="L195" t="str">
        <f>IF(DONNEES!$E195="","",DONNEES!M195)</f>
        <v/>
      </c>
      <c r="M195" t="str">
        <f>IF(DONNEES!$E195="","",DONNEES!N195)</f>
        <v/>
      </c>
      <c r="N195" t="str">
        <f>IF(DONNEES!$E195="","",DONNEES!O195)</f>
        <v/>
      </c>
      <c r="O195" t="str">
        <f>IF(DONNEES!$E195="","",DONNEES!P195)</f>
        <v/>
      </c>
      <c r="P195" t="str">
        <f>IF(DONNEES!$E195="","",DONNEES!Q195)</f>
        <v/>
      </c>
      <c r="Q195" t="str">
        <f>IF(DONNEES!$E195="","",DONNEES!R195)</f>
        <v/>
      </c>
      <c r="R195" t="str">
        <f>IF(DONNEES!$E195="","",DONNEES!S195)</f>
        <v/>
      </c>
      <c r="S195" t="str">
        <f>IF(DONNEES!$E195="","",DONNEES!T195)</f>
        <v/>
      </c>
      <c r="T195" t="str">
        <f>IF(DONNEES!$E195="","",DONNEES!U195)</f>
        <v/>
      </c>
      <c r="U195" t="str">
        <f>IF(DONNEES!$E195="","",DONNEES!V195)</f>
        <v/>
      </c>
      <c r="V195" t="str">
        <f>IF(DONNEES!$E195="","",DONNEES!W195)</f>
        <v/>
      </c>
      <c r="W195" t="str">
        <f>IF(DONNEES!$E195="","",DONNEES!X195)</f>
        <v/>
      </c>
      <c r="X195" t="str">
        <f>IF(DONNEES!$E195="","",DONNEES!Y195)</f>
        <v/>
      </c>
      <c r="Y195" t="str">
        <f>IF(DONNEES!$E195="","",DONNEES!Z195)</f>
        <v/>
      </c>
      <c r="Z195" t="str">
        <f>IF(DONNEES!$E195="","",DONNEES!AQ195)</f>
        <v/>
      </c>
    </row>
    <row r="196" spans="1:26" ht="15" customHeight="1" x14ac:dyDescent="0.3">
      <c r="A196" t="str">
        <f>IF(DONNEES!$E196="","",DONNEES!A196)</f>
        <v/>
      </c>
      <c r="B196" t="str">
        <f>IF(DONNEES!$E196="","",DONNEES!B196)</f>
        <v/>
      </c>
      <c r="C196" t="str">
        <f>IF(DONNEES!$E196="","",DONNEES!C196)</f>
        <v/>
      </c>
      <c r="D196" t="str">
        <f>IF(DONNEES!$E196="","",DONNEES!E196)</f>
        <v/>
      </c>
      <c r="E196" t="str">
        <f>IF(DONNEES!$E196="","",DONNEES!F196)</f>
        <v/>
      </c>
      <c r="F196" t="str">
        <f>IF(DONNEES!$E196="","",DONNEES!G196)</f>
        <v/>
      </c>
      <c r="G196" t="str">
        <f>IF(DONNEES!$E196="","",DONNEES!H196)</f>
        <v/>
      </c>
      <c r="H196" t="str">
        <f>IF(DONNEES!$E196="","",DONNEES!I196)</f>
        <v/>
      </c>
      <c r="I196" t="str">
        <f>IF(DONNEES!$E196="","",DONNEES!J196)</f>
        <v/>
      </c>
      <c r="J196" t="str">
        <f>IF(DONNEES!$E196="","",DONNEES!K196)</f>
        <v/>
      </c>
      <c r="K196" t="str">
        <f>IF(DONNEES!$E196="","",DONNEES!L196)</f>
        <v/>
      </c>
      <c r="L196" t="str">
        <f>IF(DONNEES!$E196="","",DONNEES!M196)</f>
        <v/>
      </c>
      <c r="M196" t="str">
        <f>IF(DONNEES!$E196="","",DONNEES!N196)</f>
        <v/>
      </c>
      <c r="N196" t="str">
        <f>IF(DONNEES!$E196="","",DONNEES!O196)</f>
        <v/>
      </c>
      <c r="O196" t="str">
        <f>IF(DONNEES!$E196="","",DONNEES!P196)</f>
        <v/>
      </c>
      <c r="P196" t="str">
        <f>IF(DONNEES!$E196="","",DONNEES!Q196)</f>
        <v/>
      </c>
      <c r="Q196" t="str">
        <f>IF(DONNEES!$E196="","",DONNEES!R196)</f>
        <v/>
      </c>
      <c r="R196" t="str">
        <f>IF(DONNEES!$E196="","",DONNEES!S196)</f>
        <v/>
      </c>
      <c r="S196" t="str">
        <f>IF(DONNEES!$E196="","",DONNEES!T196)</f>
        <v/>
      </c>
      <c r="T196" t="str">
        <f>IF(DONNEES!$E196="","",DONNEES!U196)</f>
        <v/>
      </c>
      <c r="U196" t="str">
        <f>IF(DONNEES!$E196="","",DONNEES!V196)</f>
        <v/>
      </c>
      <c r="V196" t="str">
        <f>IF(DONNEES!$E196="","",DONNEES!W196)</f>
        <v/>
      </c>
      <c r="W196" t="str">
        <f>IF(DONNEES!$E196="","",DONNEES!X196)</f>
        <v/>
      </c>
      <c r="X196" t="str">
        <f>IF(DONNEES!$E196="","",DONNEES!Y196)</f>
        <v/>
      </c>
      <c r="Y196" t="str">
        <f>IF(DONNEES!$E196="","",DONNEES!Z196)</f>
        <v/>
      </c>
      <c r="Z196" t="str">
        <f>IF(DONNEES!$E196="","",DONNEES!AQ196)</f>
        <v/>
      </c>
    </row>
    <row r="197" spans="1:26" ht="15" customHeight="1" x14ac:dyDescent="0.3">
      <c r="A197" t="str">
        <f>IF(DONNEES!$E197="","",DONNEES!A197)</f>
        <v/>
      </c>
      <c r="B197" t="str">
        <f>IF(DONNEES!$E197="","",DONNEES!B197)</f>
        <v/>
      </c>
      <c r="C197" t="str">
        <f>IF(DONNEES!$E197="","",DONNEES!C197)</f>
        <v/>
      </c>
      <c r="D197" t="str">
        <f>IF(DONNEES!$E197="","",DONNEES!E197)</f>
        <v/>
      </c>
      <c r="E197" t="str">
        <f>IF(DONNEES!$E197="","",DONNEES!F197)</f>
        <v/>
      </c>
      <c r="F197" t="str">
        <f>IF(DONNEES!$E197="","",DONNEES!G197)</f>
        <v/>
      </c>
      <c r="G197" t="str">
        <f>IF(DONNEES!$E197="","",DONNEES!H197)</f>
        <v/>
      </c>
      <c r="H197" t="str">
        <f>IF(DONNEES!$E197="","",DONNEES!I197)</f>
        <v/>
      </c>
      <c r="I197" t="str">
        <f>IF(DONNEES!$E197="","",DONNEES!J197)</f>
        <v/>
      </c>
      <c r="J197" t="str">
        <f>IF(DONNEES!$E197="","",DONNEES!K197)</f>
        <v/>
      </c>
      <c r="K197" t="str">
        <f>IF(DONNEES!$E197="","",DONNEES!L197)</f>
        <v/>
      </c>
      <c r="L197" t="str">
        <f>IF(DONNEES!$E197="","",DONNEES!M197)</f>
        <v/>
      </c>
      <c r="M197" t="str">
        <f>IF(DONNEES!$E197="","",DONNEES!N197)</f>
        <v/>
      </c>
      <c r="N197" t="str">
        <f>IF(DONNEES!$E197="","",DONNEES!O197)</f>
        <v/>
      </c>
      <c r="O197" t="str">
        <f>IF(DONNEES!$E197="","",DONNEES!P197)</f>
        <v/>
      </c>
      <c r="P197" t="str">
        <f>IF(DONNEES!$E197="","",DONNEES!Q197)</f>
        <v/>
      </c>
      <c r="Q197" t="str">
        <f>IF(DONNEES!$E197="","",DONNEES!R197)</f>
        <v/>
      </c>
      <c r="R197" t="str">
        <f>IF(DONNEES!$E197="","",DONNEES!S197)</f>
        <v/>
      </c>
      <c r="S197" t="str">
        <f>IF(DONNEES!$E197="","",DONNEES!T197)</f>
        <v/>
      </c>
      <c r="T197" t="str">
        <f>IF(DONNEES!$E197="","",DONNEES!U197)</f>
        <v/>
      </c>
      <c r="U197" t="str">
        <f>IF(DONNEES!$E197="","",DONNEES!V197)</f>
        <v/>
      </c>
      <c r="V197" t="str">
        <f>IF(DONNEES!$E197="","",DONNEES!W197)</f>
        <v/>
      </c>
      <c r="W197" t="str">
        <f>IF(DONNEES!$E197="","",DONNEES!X197)</f>
        <v/>
      </c>
      <c r="X197" t="str">
        <f>IF(DONNEES!$E197="","",DONNEES!Y197)</f>
        <v/>
      </c>
      <c r="Y197" t="str">
        <f>IF(DONNEES!$E197="","",DONNEES!Z197)</f>
        <v/>
      </c>
      <c r="Z197" t="str">
        <f>IF(DONNEES!$E197="","",DONNEES!AQ197)</f>
        <v/>
      </c>
    </row>
    <row r="198" spans="1:26" ht="15" customHeight="1" x14ac:dyDescent="0.3">
      <c r="A198" t="str">
        <f>IF(DONNEES!$E198="","",DONNEES!A198)</f>
        <v/>
      </c>
      <c r="B198" t="str">
        <f>IF(DONNEES!$E198="","",DONNEES!B198)</f>
        <v/>
      </c>
      <c r="C198" t="str">
        <f>IF(DONNEES!$E198="","",DONNEES!C198)</f>
        <v/>
      </c>
      <c r="D198" t="str">
        <f>IF(DONNEES!$E198="","",DONNEES!E198)</f>
        <v/>
      </c>
      <c r="E198" t="str">
        <f>IF(DONNEES!$E198="","",DONNEES!F198)</f>
        <v/>
      </c>
      <c r="F198" t="str">
        <f>IF(DONNEES!$E198="","",DONNEES!G198)</f>
        <v/>
      </c>
      <c r="G198" t="str">
        <f>IF(DONNEES!$E198="","",DONNEES!H198)</f>
        <v/>
      </c>
      <c r="H198" t="str">
        <f>IF(DONNEES!$E198="","",DONNEES!I198)</f>
        <v/>
      </c>
      <c r="I198" t="str">
        <f>IF(DONNEES!$E198="","",DONNEES!J198)</f>
        <v/>
      </c>
      <c r="J198" t="str">
        <f>IF(DONNEES!$E198="","",DONNEES!K198)</f>
        <v/>
      </c>
      <c r="K198" t="str">
        <f>IF(DONNEES!$E198="","",DONNEES!L198)</f>
        <v/>
      </c>
      <c r="L198" t="str">
        <f>IF(DONNEES!$E198="","",DONNEES!M198)</f>
        <v/>
      </c>
      <c r="M198" t="str">
        <f>IF(DONNEES!$E198="","",DONNEES!N198)</f>
        <v/>
      </c>
      <c r="N198" t="str">
        <f>IF(DONNEES!$E198="","",DONNEES!O198)</f>
        <v/>
      </c>
      <c r="O198" t="str">
        <f>IF(DONNEES!$E198="","",DONNEES!P198)</f>
        <v/>
      </c>
      <c r="P198" t="str">
        <f>IF(DONNEES!$E198="","",DONNEES!Q198)</f>
        <v/>
      </c>
      <c r="Q198" t="str">
        <f>IF(DONNEES!$E198="","",DONNEES!R198)</f>
        <v/>
      </c>
      <c r="R198" t="str">
        <f>IF(DONNEES!$E198="","",DONNEES!S198)</f>
        <v/>
      </c>
      <c r="S198" t="str">
        <f>IF(DONNEES!$E198="","",DONNEES!T198)</f>
        <v/>
      </c>
      <c r="T198" t="str">
        <f>IF(DONNEES!$E198="","",DONNEES!U198)</f>
        <v/>
      </c>
      <c r="U198" t="str">
        <f>IF(DONNEES!$E198="","",DONNEES!V198)</f>
        <v/>
      </c>
      <c r="V198" t="str">
        <f>IF(DONNEES!$E198="","",DONNEES!W198)</f>
        <v/>
      </c>
      <c r="W198" t="str">
        <f>IF(DONNEES!$E198="","",DONNEES!X198)</f>
        <v/>
      </c>
      <c r="X198" t="str">
        <f>IF(DONNEES!$E198="","",DONNEES!Y198)</f>
        <v/>
      </c>
      <c r="Y198" t="str">
        <f>IF(DONNEES!$E198="","",DONNEES!Z198)</f>
        <v/>
      </c>
      <c r="Z198" t="str">
        <f>IF(DONNEES!$E198="","",DONNEES!AQ198)</f>
        <v/>
      </c>
    </row>
    <row r="199" spans="1:26" ht="15" customHeight="1" x14ac:dyDescent="0.3">
      <c r="A199" t="str">
        <f>IF(DONNEES!$E199="","",DONNEES!A199)</f>
        <v/>
      </c>
      <c r="B199" t="str">
        <f>IF(DONNEES!$E199="","",DONNEES!B199)</f>
        <v/>
      </c>
      <c r="C199" t="str">
        <f>IF(DONNEES!$E199="","",DONNEES!C199)</f>
        <v/>
      </c>
      <c r="D199" t="str">
        <f>IF(DONNEES!$E199="","",DONNEES!E199)</f>
        <v/>
      </c>
      <c r="E199" t="str">
        <f>IF(DONNEES!$E199="","",DONNEES!F199)</f>
        <v/>
      </c>
      <c r="F199" t="str">
        <f>IF(DONNEES!$E199="","",DONNEES!G199)</f>
        <v/>
      </c>
      <c r="G199" t="str">
        <f>IF(DONNEES!$E199="","",DONNEES!H199)</f>
        <v/>
      </c>
      <c r="H199" t="str">
        <f>IF(DONNEES!$E199="","",DONNEES!I199)</f>
        <v/>
      </c>
      <c r="I199" t="str">
        <f>IF(DONNEES!$E199="","",DONNEES!J199)</f>
        <v/>
      </c>
      <c r="J199" t="str">
        <f>IF(DONNEES!$E199="","",DONNEES!K199)</f>
        <v/>
      </c>
      <c r="K199" t="str">
        <f>IF(DONNEES!$E199="","",DONNEES!L199)</f>
        <v/>
      </c>
      <c r="L199" t="str">
        <f>IF(DONNEES!$E199="","",DONNEES!M199)</f>
        <v/>
      </c>
      <c r="M199" t="str">
        <f>IF(DONNEES!$E199="","",DONNEES!N199)</f>
        <v/>
      </c>
      <c r="N199" t="str">
        <f>IF(DONNEES!$E199="","",DONNEES!O199)</f>
        <v/>
      </c>
      <c r="O199" t="str">
        <f>IF(DONNEES!$E199="","",DONNEES!P199)</f>
        <v/>
      </c>
      <c r="P199" t="str">
        <f>IF(DONNEES!$E199="","",DONNEES!Q199)</f>
        <v/>
      </c>
      <c r="Q199" t="str">
        <f>IF(DONNEES!$E199="","",DONNEES!R199)</f>
        <v/>
      </c>
      <c r="R199" t="str">
        <f>IF(DONNEES!$E199="","",DONNEES!S199)</f>
        <v/>
      </c>
      <c r="S199" t="str">
        <f>IF(DONNEES!$E199="","",DONNEES!T199)</f>
        <v/>
      </c>
      <c r="T199" t="str">
        <f>IF(DONNEES!$E199="","",DONNEES!U199)</f>
        <v/>
      </c>
      <c r="U199" t="str">
        <f>IF(DONNEES!$E199="","",DONNEES!V199)</f>
        <v/>
      </c>
      <c r="V199" t="str">
        <f>IF(DONNEES!$E199="","",DONNEES!W199)</f>
        <v/>
      </c>
      <c r="W199" t="str">
        <f>IF(DONNEES!$E199="","",DONNEES!X199)</f>
        <v/>
      </c>
      <c r="X199" t="str">
        <f>IF(DONNEES!$E199="","",DONNEES!Y199)</f>
        <v/>
      </c>
      <c r="Y199" t="str">
        <f>IF(DONNEES!$E199="","",DONNEES!Z199)</f>
        <v/>
      </c>
      <c r="Z199" t="str">
        <f>IF(DONNEES!$E199="","",DONNEES!AQ199)</f>
        <v/>
      </c>
    </row>
    <row r="200" spans="1:26" ht="15" customHeight="1" x14ac:dyDescent="0.3">
      <c r="A200" t="str">
        <f>IF(DONNEES!$E200="","",DONNEES!A200)</f>
        <v/>
      </c>
      <c r="B200" t="str">
        <f>IF(DONNEES!$E200="","",DONNEES!B200)</f>
        <v/>
      </c>
      <c r="C200" t="str">
        <f>IF(DONNEES!$E200="","",DONNEES!C200)</f>
        <v/>
      </c>
      <c r="D200" t="str">
        <f>IF(DONNEES!$E200="","",DONNEES!E200)</f>
        <v/>
      </c>
      <c r="E200" t="str">
        <f>IF(DONNEES!$E200="","",DONNEES!F200)</f>
        <v/>
      </c>
      <c r="F200" t="str">
        <f>IF(DONNEES!$E200="","",DONNEES!G200)</f>
        <v/>
      </c>
      <c r="G200" t="str">
        <f>IF(DONNEES!$E200="","",DONNEES!H200)</f>
        <v/>
      </c>
      <c r="H200" t="str">
        <f>IF(DONNEES!$E200="","",DONNEES!I200)</f>
        <v/>
      </c>
      <c r="I200" t="str">
        <f>IF(DONNEES!$E200="","",DONNEES!J200)</f>
        <v/>
      </c>
      <c r="J200" t="str">
        <f>IF(DONNEES!$E200="","",DONNEES!K200)</f>
        <v/>
      </c>
      <c r="K200" t="str">
        <f>IF(DONNEES!$E200="","",DONNEES!L200)</f>
        <v/>
      </c>
      <c r="L200" t="str">
        <f>IF(DONNEES!$E200="","",DONNEES!M200)</f>
        <v/>
      </c>
      <c r="M200" t="str">
        <f>IF(DONNEES!$E200="","",DONNEES!N200)</f>
        <v/>
      </c>
      <c r="N200" t="str">
        <f>IF(DONNEES!$E200="","",DONNEES!O200)</f>
        <v/>
      </c>
      <c r="O200" t="str">
        <f>IF(DONNEES!$E200="","",DONNEES!P200)</f>
        <v/>
      </c>
      <c r="P200" t="str">
        <f>IF(DONNEES!$E200="","",DONNEES!Q200)</f>
        <v/>
      </c>
      <c r="Q200" t="str">
        <f>IF(DONNEES!$E200="","",DONNEES!R200)</f>
        <v/>
      </c>
      <c r="R200" t="str">
        <f>IF(DONNEES!$E200="","",DONNEES!S200)</f>
        <v/>
      </c>
      <c r="S200" t="str">
        <f>IF(DONNEES!$E200="","",DONNEES!T200)</f>
        <v/>
      </c>
      <c r="T200" t="str">
        <f>IF(DONNEES!$E200="","",DONNEES!U200)</f>
        <v/>
      </c>
      <c r="U200" t="str">
        <f>IF(DONNEES!$E200="","",DONNEES!V200)</f>
        <v/>
      </c>
      <c r="V200" t="str">
        <f>IF(DONNEES!$E200="","",DONNEES!W200)</f>
        <v/>
      </c>
      <c r="W200" t="str">
        <f>IF(DONNEES!$E200="","",DONNEES!X200)</f>
        <v/>
      </c>
      <c r="X200" t="str">
        <f>IF(DONNEES!$E200="","",DONNEES!Y200)</f>
        <v/>
      </c>
      <c r="Y200" t="str">
        <f>IF(DONNEES!$E200="","",DONNEES!Z200)</f>
        <v/>
      </c>
      <c r="Z200" t="str">
        <f>IF(DONNEES!$E200="","",DONNEES!AQ200)</f>
        <v/>
      </c>
    </row>
    <row r="201" spans="1:26" ht="15" customHeight="1" x14ac:dyDescent="0.3">
      <c r="A201" t="str">
        <f>IF(DONNEES!$E201="","",DONNEES!A201)</f>
        <v/>
      </c>
      <c r="B201" t="str">
        <f>IF(DONNEES!$E201="","",DONNEES!B201)</f>
        <v/>
      </c>
      <c r="C201" t="str">
        <f>IF(DONNEES!$E201="","",DONNEES!C201)</f>
        <v/>
      </c>
      <c r="D201" t="str">
        <f>IF(DONNEES!$E201="","",DONNEES!E201)</f>
        <v/>
      </c>
      <c r="E201" t="str">
        <f>IF(DONNEES!$E201="","",DONNEES!F201)</f>
        <v/>
      </c>
      <c r="F201" t="str">
        <f>IF(DONNEES!$E201="","",DONNEES!G201)</f>
        <v/>
      </c>
      <c r="G201" t="str">
        <f>IF(DONNEES!$E201="","",DONNEES!H201)</f>
        <v/>
      </c>
      <c r="H201" t="str">
        <f>IF(DONNEES!$E201="","",DONNEES!I201)</f>
        <v/>
      </c>
      <c r="I201" t="str">
        <f>IF(DONNEES!$E201="","",DONNEES!J201)</f>
        <v/>
      </c>
      <c r="J201" t="str">
        <f>IF(DONNEES!$E201="","",DONNEES!K201)</f>
        <v/>
      </c>
      <c r="K201" t="str">
        <f>IF(DONNEES!$E201="","",DONNEES!L201)</f>
        <v/>
      </c>
      <c r="L201" t="str">
        <f>IF(DONNEES!$E201="","",DONNEES!M201)</f>
        <v/>
      </c>
      <c r="M201" t="str">
        <f>IF(DONNEES!$E201="","",DONNEES!N201)</f>
        <v/>
      </c>
      <c r="N201" t="str">
        <f>IF(DONNEES!$E201="","",DONNEES!O201)</f>
        <v/>
      </c>
      <c r="O201" t="str">
        <f>IF(DONNEES!$E201="","",DONNEES!P201)</f>
        <v/>
      </c>
      <c r="P201" t="str">
        <f>IF(DONNEES!$E201="","",DONNEES!Q201)</f>
        <v/>
      </c>
      <c r="Q201" t="str">
        <f>IF(DONNEES!$E201="","",DONNEES!R201)</f>
        <v/>
      </c>
      <c r="R201" t="str">
        <f>IF(DONNEES!$E201="","",DONNEES!S201)</f>
        <v/>
      </c>
      <c r="S201" t="str">
        <f>IF(DONNEES!$E201="","",DONNEES!T201)</f>
        <v/>
      </c>
      <c r="T201" t="str">
        <f>IF(DONNEES!$E201="","",DONNEES!U201)</f>
        <v/>
      </c>
      <c r="U201" t="str">
        <f>IF(DONNEES!$E201="","",DONNEES!V201)</f>
        <v/>
      </c>
      <c r="V201" t="str">
        <f>IF(DONNEES!$E201="","",DONNEES!W201)</f>
        <v/>
      </c>
      <c r="W201" t="str">
        <f>IF(DONNEES!$E201="","",DONNEES!X201)</f>
        <v/>
      </c>
      <c r="X201" t="str">
        <f>IF(DONNEES!$E201="","",DONNEES!Y201)</f>
        <v/>
      </c>
      <c r="Y201" t="str">
        <f>IF(DONNEES!$E201="","",DONNEES!Z201)</f>
        <v/>
      </c>
      <c r="Z201" t="str">
        <f>IF(DONNEES!$E201="","",DONNEES!AQ201)</f>
        <v/>
      </c>
    </row>
    <row r="202" spans="1:26" ht="15" customHeight="1" x14ac:dyDescent="0.3">
      <c r="A202" t="str">
        <f>IF(DONNEES!$E202="","",DONNEES!A202)</f>
        <v/>
      </c>
      <c r="B202" t="str">
        <f>IF(DONNEES!$E202="","",DONNEES!B202)</f>
        <v/>
      </c>
      <c r="C202" t="str">
        <f>IF(DONNEES!$E202="","",DONNEES!C202)</f>
        <v/>
      </c>
      <c r="D202" t="str">
        <f>IF(DONNEES!$E202="","",DONNEES!E202)</f>
        <v/>
      </c>
      <c r="E202" t="str">
        <f>IF(DONNEES!$E202="","",DONNEES!F202)</f>
        <v/>
      </c>
      <c r="F202" t="str">
        <f>IF(DONNEES!$E202="","",DONNEES!G202)</f>
        <v/>
      </c>
      <c r="G202" t="str">
        <f>IF(DONNEES!$E202="","",DONNEES!H202)</f>
        <v/>
      </c>
      <c r="H202" t="str">
        <f>IF(DONNEES!$E202="","",DONNEES!I202)</f>
        <v/>
      </c>
      <c r="I202" t="str">
        <f>IF(DONNEES!$E202="","",DONNEES!J202)</f>
        <v/>
      </c>
      <c r="J202" t="str">
        <f>IF(DONNEES!$E202="","",DONNEES!K202)</f>
        <v/>
      </c>
      <c r="K202" t="str">
        <f>IF(DONNEES!$E202="","",DONNEES!L202)</f>
        <v/>
      </c>
      <c r="L202" t="str">
        <f>IF(DONNEES!$E202="","",DONNEES!M202)</f>
        <v/>
      </c>
      <c r="M202" t="str">
        <f>IF(DONNEES!$E202="","",DONNEES!N202)</f>
        <v/>
      </c>
      <c r="N202" t="str">
        <f>IF(DONNEES!$E202="","",DONNEES!O202)</f>
        <v/>
      </c>
      <c r="O202" t="str">
        <f>IF(DONNEES!$E202="","",DONNEES!P202)</f>
        <v/>
      </c>
      <c r="P202" t="str">
        <f>IF(DONNEES!$E202="","",DONNEES!Q202)</f>
        <v/>
      </c>
      <c r="Q202" t="str">
        <f>IF(DONNEES!$E202="","",DONNEES!R202)</f>
        <v/>
      </c>
      <c r="R202" t="str">
        <f>IF(DONNEES!$E202="","",DONNEES!S202)</f>
        <v/>
      </c>
      <c r="S202" t="str">
        <f>IF(DONNEES!$E202="","",DONNEES!T202)</f>
        <v/>
      </c>
      <c r="T202" t="str">
        <f>IF(DONNEES!$E202="","",DONNEES!U202)</f>
        <v/>
      </c>
      <c r="U202" t="str">
        <f>IF(DONNEES!$E202="","",DONNEES!V202)</f>
        <v/>
      </c>
      <c r="V202" t="str">
        <f>IF(DONNEES!$E202="","",DONNEES!W202)</f>
        <v/>
      </c>
      <c r="W202" t="str">
        <f>IF(DONNEES!$E202="","",DONNEES!X202)</f>
        <v/>
      </c>
      <c r="X202" t="str">
        <f>IF(DONNEES!$E202="","",DONNEES!Y202)</f>
        <v/>
      </c>
      <c r="Y202" t="str">
        <f>IF(DONNEES!$E202="","",DONNEES!Z202)</f>
        <v/>
      </c>
      <c r="Z202" t="str">
        <f>IF(DONNEES!$E202="","",DONNEES!AQ202)</f>
        <v/>
      </c>
    </row>
    <row r="203" spans="1:26" ht="15" customHeight="1" x14ac:dyDescent="0.3">
      <c r="A203" t="str">
        <f>IF(DONNEES!$E203="","",DONNEES!A203)</f>
        <v/>
      </c>
      <c r="B203" t="str">
        <f>IF(DONNEES!$E203="","",DONNEES!B203)</f>
        <v/>
      </c>
      <c r="C203" t="str">
        <f>IF(DONNEES!$E203="","",DONNEES!C203)</f>
        <v/>
      </c>
      <c r="D203" t="str">
        <f>IF(DONNEES!$E203="","",DONNEES!E203)</f>
        <v/>
      </c>
      <c r="E203" t="str">
        <f>IF(DONNEES!$E203="","",DONNEES!F203)</f>
        <v/>
      </c>
      <c r="F203" t="str">
        <f>IF(DONNEES!$E203="","",DONNEES!G203)</f>
        <v/>
      </c>
      <c r="G203" t="str">
        <f>IF(DONNEES!$E203="","",DONNEES!H203)</f>
        <v/>
      </c>
      <c r="H203" t="str">
        <f>IF(DONNEES!$E203="","",DONNEES!I203)</f>
        <v/>
      </c>
      <c r="I203" t="str">
        <f>IF(DONNEES!$E203="","",DONNEES!J203)</f>
        <v/>
      </c>
      <c r="J203" t="str">
        <f>IF(DONNEES!$E203="","",DONNEES!K203)</f>
        <v/>
      </c>
      <c r="K203" t="str">
        <f>IF(DONNEES!$E203="","",DONNEES!L203)</f>
        <v/>
      </c>
      <c r="L203" t="str">
        <f>IF(DONNEES!$E203="","",DONNEES!M203)</f>
        <v/>
      </c>
      <c r="M203" t="str">
        <f>IF(DONNEES!$E203="","",DONNEES!N203)</f>
        <v/>
      </c>
      <c r="N203" t="str">
        <f>IF(DONNEES!$E203="","",DONNEES!O203)</f>
        <v/>
      </c>
      <c r="O203" t="str">
        <f>IF(DONNEES!$E203="","",DONNEES!P203)</f>
        <v/>
      </c>
      <c r="P203" t="str">
        <f>IF(DONNEES!$E203="","",DONNEES!Q203)</f>
        <v/>
      </c>
      <c r="Q203" t="str">
        <f>IF(DONNEES!$E203="","",DONNEES!R203)</f>
        <v/>
      </c>
      <c r="R203" t="str">
        <f>IF(DONNEES!$E203="","",DONNEES!S203)</f>
        <v/>
      </c>
      <c r="S203" t="str">
        <f>IF(DONNEES!$E203="","",DONNEES!T203)</f>
        <v/>
      </c>
      <c r="T203" t="str">
        <f>IF(DONNEES!$E203="","",DONNEES!U203)</f>
        <v/>
      </c>
      <c r="U203" t="str">
        <f>IF(DONNEES!$E203="","",DONNEES!V203)</f>
        <v/>
      </c>
      <c r="V203" t="str">
        <f>IF(DONNEES!$E203="","",DONNEES!W203)</f>
        <v/>
      </c>
      <c r="W203" t="str">
        <f>IF(DONNEES!$E203="","",DONNEES!X203)</f>
        <v/>
      </c>
      <c r="X203" t="str">
        <f>IF(DONNEES!$E203="","",DONNEES!Y203)</f>
        <v/>
      </c>
      <c r="Y203" t="str">
        <f>IF(DONNEES!$E203="","",DONNEES!Z203)</f>
        <v/>
      </c>
      <c r="Z203" t="str">
        <f>IF(DONNEES!$E203="","",DONNEES!AQ203)</f>
        <v/>
      </c>
    </row>
    <row r="204" spans="1:26" ht="15" customHeight="1" x14ac:dyDescent="0.3">
      <c r="A204" t="str">
        <f>IF(DONNEES!$E204="","",DONNEES!A204)</f>
        <v/>
      </c>
      <c r="B204" t="str">
        <f>IF(DONNEES!$E204="","",DONNEES!B204)</f>
        <v/>
      </c>
      <c r="C204" t="str">
        <f>IF(DONNEES!$E204="","",DONNEES!C204)</f>
        <v/>
      </c>
      <c r="D204" t="str">
        <f>IF(DONNEES!$E204="","",DONNEES!E204)</f>
        <v/>
      </c>
      <c r="E204" t="str">
        <f>IF(DONNEES!$E204="","",DONNEES!F204)</f>
        <v/>
      </c>
      <c r="F204" t="str">
        <f>IF(DONNEES!$E204="","",DONNEES!G204)</f>
        <v/>
      </c>
      <c r="G204" t="str">
        <f>IF(DONNEES!$E204="","",DONNEES!H204)</f>
        <v/>
      </c>
      <c r="H204" t="str">
        <f>IF(DONNEES!$E204="","",DONNEES!I204)</f>
        <v/>
      </c>
      <c r="I204" t="str">
        <f>IF(DONNEES!$E204="","",DONNEES!J204)</f>
        <v/>
      </c>
      <c r="J204" t="str">
        <f>IF(DONNEES!$E204="","",DONNEES!K204)</f>
        <v/>
      </c>
      <c r="K204" t="str">
        <f>IF(DONNEES!$E204="","",DONNEES!L204)</f>
        <v/>
      </c>
      <c r="L204" t="str">
        <f>IF(DONNEES!$E204="","",DONNEES!M204)</f>
        <v/>
      </c>
      <c r="M204" t="str">
        <f>IF(DONNEES!$E204="","",DONNEES!N204)</f>
        <v/>
      </c>
      <c r="N204" t="str">
        <f>IF(DONNEES!$E204="","",DONNEES!O204)</f>
        <v/>
      </c>
      <c r="O204" t="str">
        <f>IF(DONNEES!$E204="","",DONNEES!P204)</f>
        <v/>
      </c>
      <c r="P204" t="str">
        <f>IF(DONNEES!$E204="","",DONNEES!Q204)</f>
        <v/>
      </c>
      <c r="Q204" t="str">
        <f>IF(DONNEES!$E204="","",DONNEES!R204)</f>
        <v/>
      </c>
      <c r="R204" t="str">
        <f>IF(DONNEES!$E204="","",DONNEES!S204)</f>
        <v/>
      </c>
      <c r="S204" t="str">
        <f>IF(DONNEES!$E204="","",DONNEES!T204)</f>
        <v/>
      </c>
      <c r="T204" t="str">
        <f>IF(DONNEES!$E204="","",DONNEES!U204)</f>
        <v/>
      </c>
      <c r="U204" t="str">
        <f>IF(DONNEES!$E204="","",DONNEES!V204)</f>
        <v/>
      </c>
      <c r="V204" t="str">
        <f>IF(DONNEES!$E204="","",DONNEES!W204)</f>
        <v/>
      </c>
      <c r="W204" t="str">
        <f>IF(DONNEES!$E204="","",DONNEES!X204)</f>
        <v/>
      </c>
      <c r="X204" t="str">
        <f>IF(DONNEES!$E204="","",DONNEES!Y204)</f>
        <v/>
      </c>
      <c r="Y204" t="str">
        <f>IF(DONNEES!$E204="","",DONNEES!Z204)</f>
        <v/>
      </c>
      <c r="Z204" t="str">
        <f>IF(DONNEES!$E204="","",DONNEES!AQ204)</f>
        <v/>
      </c>
    </row>
    <row r="205" spans="1:26" ht="15" customHeight="1" x14ac:dyDescent="0.3">
      <c r="A205" t="str">
        <f>IF(DONNEES!$E205="","",DONNEES!A205)</f>
        <v/>
      </c>
      <c r="B205" t="str">
        <f>IF(DONNEES!$E205="","",DONNEES!B205)</f>
        <v/>
      </c>
      <c r="C205" t="str">
        <f>IF(DONNEES!$E205="","",DONNEES!C205)</f>
        <v/>
      </c>
      <c r="D205" t="str">
        <f>IF(DONNEES!$E205="","",DONNEES!E205)</f>
        <v/>
      </c>
      <c r="E205" t="str">
        <f>IF(DONNEES!$E205="","",DONNEES!F205)</f>
        <v/>
      </c>
      <c r="F205" t="str">
        <f>IF(DONNEES!$E205="","",DONNEES!G205)</f>
        <v/>
      </c>
      <c r="G205" t="str">
        <f>IF(DONNEES!$E205="","",DONNEES!H205)</f>
        <v/>
      </c>
      <c r="H205" t="str">
        <f>IF(DONNEES!$E205="","",DONNEES!I205)</f>
        <v/>
      </c>
      <c r="I205" t="str">
        <f>IF(DONNEES!$E205="","",DONNEES!J205)</f>
        <v/>
      </c>
      <c r="J205" t="str">
        <f>IF(DONNEES!$E205="","",DONNEES!K205)</f>
        <v/>
      </c>
      <c r="K205" t="str">
        <f>IF(DONNEES!$E205="","",DONNEES!L205)</f>
        <v/>
      </c>
      <c r="L205" t="str">
        <f>IF(DONNEES!$E205="","",DONNEES!M205)</f>
        <v/>
      </c>
      <c r="M205" t="str">
        <f>IF(DONNEES!$E205="","",DONNEES!N205)</f>
        <v/>
      </c>
      <c r="N205" t="str">
        <f>IF(DONNEES!$E205="","",DONNEES!O205)</f>
        <v/>
      </c>
      <c r="O205" t="str">
        <f>IF(DONNEES!$E205="","",DONNEES!P205)</f>
        <v/>
      </c>
      <c r="P205" t="str">
        <f>IF(DONNEES!$E205="","",DONNEES!Q205)</f>
        <v/>
      </c>
      <c r="Q205" t="str">
        <f>IF(DONNEES!$E205="","",DONNEES!R205)</f>
        <v/>
      </c>
      <c r="R205" t="str">
        <f>IF(DONNEES!$E205="","",DONNEES!S205)</f>
        <v/>
      </c>
      <c r="S205" t="str">
        <f>IF(DONNEES!$E205="","",DONNEES!T205)</f>
        <v/>
      </c>
      <c r="T205" t="str">
        <f>IF(DONNEES!$E205="","",DONNEES!U205)</f>
        <v/>
      </c>
      <c r="U205" t="str">
        <f>IF(DONNEES!$E205="","",DONNEES!V205)</f>
        <v/>
      </c>
      <c r="V205" t="str">
        <f>IF(DONNEES!$E205="","",DONNEES!W205)</f>
        <v/>
      </c>
      <c r="W205" t="str">
        <f>IF(DONNEES!$E205="","",DONNEES!X205)</f>
        <v/>
      </c>
      <c r="X205" t="str">
        <f>IF(DONNEES!$E205="","",DONNEES!Y205)</f>
        <v/>
      </c>
      <c r="Y205" t="str">
        <f>IF(DONNEES!$E205="","",DONNEES!Z205)</f>
        <v/>
      </c>
      <c r="Z205" t="str">
        <f>IF(DONNEES!$E205="","",DONNEES!AQ205)</f>
        <v/>
      </c>
    </row>
    <row r="206" spans="1:26" ht="15" customHeight="1" x14ac:dyDescent="0.3">
      <c r="A206" t="str">
        <f>IF(DONNEES!$E206="","",DONNEES!A206)</f>
        <v/>
      </c>
      <c r="B206" t="str">
        <f>IF(DONNEES!$E206="","",DONNEES!B206)</f>
        <v/>
      </c>
      <c r="C206" t="str">
        <f>IF(DONNEES!$E206="","",DONNEES!C206)</f>
        <v/>
      </c>
      <c r="D206" t="str">
        <f>IF(DONNEES!$E206="","",DONNEES!E206)</f>
        <v/>
      </c>
      <c r="E206" t="str">
        <f>IF(DONNEES!$E206="","",DONNEES!F206)</f>
        <v/>
      </c>
      <c r="F206" t="str">
        <f>IF(DONNEES!$E206="","",DONNEES!G206)</f>
        <v/>
      </c>
      <c r="G206" t="str">
        <f>IF(DONNEES!$E206="","",DONNEES!H206)</f>
        <v/>
      </c>
      <c r="H206" t="str">
        <f>IF(DONNEES!$E206="","",DONNEES!I206)</f>
        <v/>
      </c>
      <c r="I206" t="str">
        <f>IF(DONNEES!$E206="","",DONNEES!J206)</f>
        <v/>
      </c>
      <c r="J206" t="str">
        <f>IF(DONNEES!$E206="","",DONNEES!K206)</f>
        <v/>
      </c>
      <c r="K206" t="str">
        <f>IF(DONNEES!$E206="","",DONNEES!L206)</f>
        <v/>
      </c>
      <c r="L206" t="str">
        <f>IF(DONNEES!$E206="","",DONNEES!M206)</f>
        <v/>
      </c>
      <c r="M206" t="str">
        <f>IF(DONNEES!$E206="","",DONNEES!N206)</f>
        <v/>
      </c>
      <c r="N206" t="str">
        <f>IF(DONNEES!$E206="","",DONNEES!O206)</f>
        <v/>
      </c>
      <c r="O206" t="str">
        <f>IF(DONNEES!$E206="","",DONNEES!P206)</f>
        <v/>
      </c>
      <c r="P206" t="str">
        <f>IF(DONNEES!$E206="","",DONNEES!Q206)</f>
        <v/>
      </c>
      <c r="Q206" t="str">
        <f>IF(DONNEES!$E206="","",DONNEES!R206)</f>
        <v/>
      </c>
      <c r="R206" t="str">
        <f>IF(DONNEES!$E206="","",DONNEES!S206)</f>
        <v/>
      </c>
      <c r="S206" t="str">
        <f>IF(DONNEES!$E206="","",DONNEES!T206)</f>
        <v/>
      </c>
      <c r="T206" t="str">
        <f>IF(DONNEES!$E206="","",DONNEES!U206)</f>
        <v/>
      </c>
      <c r="U206" t="str">
        <f>IF(DONNEES!$E206="","",DONNEES!V206)</f>
        <v/>
      </c>
      <c r="V206" t="str">
        <f>IF(DONNEES!$E206="","",DONNEES!W206)</f>
        <v/>
      </c>
      <c r="W206" t="str">
        <f>IF(DONNEES!$E206="","",DONNEES!X206)</f>
        <v/>
      </c>
      <c r="X206" t="str">
        <f>IF(DONNEES!$E206="","",DONNEES!Y206)</f>
        <v/>
      </c>
      <c r="Y206" t="str">
        <f>IF(DONNEES!$E206="","",DONNEES!Z206)</f>
        <v/>
      </c>
      <c r="Z206" t="str">
        <f>IF(DONNEES!$E206="","",DONNEES!AQ206)</f>
        <v/>
      </c>
    </row>
    <row r="207" spans="1:26" ht="15" customHeight="1" x14ac:dyDescent="0.3">
      <c r="A207" t="str">
        <f>IF(DONNEES!$E207="","",DONNEES!A207)</f>
        <v/>
      </c>
      <c r="B207" t="str">
        <f>IF(DONNEES!$E207="","",DONNEES!B207)</f>
        <v/>
      </c>
      <c r="C207" t="str">
        <f>IF(DONNEES!$E207="","",DONNEES!C207)</f>
        <v/>
      </c>
      <c r="D207" t="str">
        <f>IF(DONNEES!$E207="","",DONNEES!E207)</f>
        <v/>
      </c>
      <c r="E207" t="str">
        <f>IF(DONNEES!$E207="","",DONNEES!F207)</f>
        <v/>
      </c>
      <c r="F207" t="str">
        <f>IF(DONNEES!$E207="","",DONNEES!G207)</f>
        <v/>
      </c>
      <c r="G207" t="str">
        <f>IF(DONNEES!$E207="","",DONNEES!H207)</f>
        <v/>
      </c>
      <c r="H207" t="str">
        <f>IF(DONNEES!$E207="","",DONNEES!I207)</f>
        <v/>
      </c>
      <c r="I207" t="str">
        <f>IF(DONNEES!$E207="","",DONNEES!J207)</f>
        <v/>
      </c>
      <c r="J207" t="str">
        <f>IF(DONNEES!$E207="","",DONNEES!K207)</f>
        <v/>
      </c>
      <c r="K207" t="str">
        <f>IF(DONNEES!$E207="","",DONNEES!L207)</f>
        <v/>
      </c>
      <c r="L207" t="str">
        <f>IF(DONNEES!$E207="","",DONNEES!M207)</f>
        <v/>
      </c>
      <c r="M207" t="str">
        <f>IF(DONNEES!$E207="","",DONNEES!N207)</f>
        <v/>
      </c>
      <c r="N207" t="str">
        <f>IF(DONNEES!$E207="","",DONNEES!O207)</f>
        <v/>
      </c>
      <c r="O207" t="str">
        <f>IF(DONNEES!$E207="","",DONNEES!P207)</f>
        <v/>
      </c>
      <c r="P207" t="str">
        <f>IF(DONNEES!$E207="","",DONNEES!Q207)</f>
        <v/>
      </c>
      <c r="Q207" t="str">
        <f>IF(DONNEES!$E207="","",DONNEES!R207)</f>
        <v/>
      </c>
      <c r="R207" t="str">
        <f>IF(DONNEES!$E207="","",DONNEES!S207)</f>
        <v/>
      </c>
      <c r="S207" t="str">
        <f>IF(DONNEES!$E207="","",DONNEES!T207)</f>
        <v/>
      </c>
      <c r="T207" t="str">
        <f>IF(DONNEES!$E207="","",DONNEES!U207)</f>
        <v/>
      </c>
      <c r="U207" t="str">
        <f>IF(DONNEES!$E207="","",DONNEES!V207)</f>
        <v/>
      </c>
      <c r="V207" t="str">
        <f>IF(DONNEES!$E207="","",DONNEES!W207)</f>
        <v/>
      </c>
      <c r="W207" t="str">
        <f>IF(DONNEES!$E207="","",DONNEES!X207)</f>
        <v/>
      </c>
      <c r="X207" t="str">
        <f>IF(DONNEES!$E207="","",DONNEES!Y207)</f>
        <v/>
      </c>
      <c r="Y207" t="str">
        <f>IF(DONNEES!$E207="","",DONNEES!Z207)</f>
        <v/>
      </c>
      <c r="Z207" t="str">
        <f>IF(DONNEES!$E207="","",DONNEES!AQ207)</f>
        <v/>
      </c>
    </row>
    <row r="208" spans="1:26" ht="15" customHeight="1" x14ac:dyDescent="0.3">
      <c r="A208" t="str">
        <f>IF(DONNEES!$E208="","",DONNEES!A208)</f>
        <v/>
      </c>
      <c r="B208" t="str">
        <f>IF(DONNEES!$E208="","",DONNEES!B208)</f>
        <v/>
      </c>
      <c r="C208" t="str">
        <f>IF(DONNEES!$E208="","",DONNEES!C208)</f>
        <v/>
      </c>
      <c r="D208" t="str">
        <f>IF(DONNEES!$E208="","",DONNEES!E208)</f>
        <v/>
      </c>
      <c r="E208" t="str">
        <f>IF(DONNEES!$E208="","",DONNEES!F208)</f>
        <v/>
      </c>
      <c r="F208" t="str">
        <f>IF(DONNEES!$E208="","",DONNEES!G208)</f>
        <v/>
      </c>
      <c r="G208" t="str">
        <f>IF(DONNEES!$E208="","",DONNEES!H208)</f>
        <v/>
      </c>
      <c r="H208" t="str">
        <f>IF(DONNEES!$E208="","",DONNEES!I208)</f>
        <v/>
      </c>
      <c r="I208" t="str">
        <f>IF(DONNEES!$E208="","",DONNEES!J208)</f>
        <v/>
      </c>
      <c r="J208" t="str">
        <f>IF(DONNEES!$E208="","",DONNEES!K208)</f>
        <v/>
      </c>
      <c r="K208" t="str">
        <f>IF(DONNEES!$E208="","",DONNEES!L208)</f>
        <v/>
      </c>
      <c r="L208" t="str">
        <f>IF(DONNEES!$E208="","",DONNEES!M208)</f>
        <v/>
      </c>
      <c r="M208" t="str">
        <f>IF(DONNEES!$E208="","",DONNEES!N208)</f>
        <v/>
      </c>
      <c r="N208" t="str">
        <f>IF(DONNEES!$E208="","",DONNEES!O208)</f>
        <v/>
      </c>
      <c r="O208" t="str">
        <f>IF(DONNEES!$E208="","",DONNEES!P208)</f>
        <v/>
      </c>
      <c r="P208" t="str">
        <f>IF(DONNEES!$E208="","",DONNEES!Q208)</f>
        <v/>
      </c>
      <c r="Q208" t="str">
        <f>IF(DONNEES!$E208="","",DONNEES!R208)</f>
        <v/>
      </c>
      <c r="R208" t="str">
        <f>IF(DONNEES!$E208="","",DONNEES!S208)</f>
        <v/>
      </c>
      <c r="S208" t="str">
        <f>IF(DONNEES!$E208="","",DONNEES!T208)</f>
        <v/>
      </c>
      <c r="T208" t="str">
        <f>IF(DONNEES!$E208="","",DONNEES!U208)</f>
        <v/>
      </c>
      <c r="U208" t="str">
        <f>IF(DONNEES!$E208="","",DONNEES!V208)</f>
        <v/>
      </c>
      <c r="V208" t="str">
        <f>IF(DONNEES!$E208="","",DONNEES!W208)</f>
        <v/>
      </c>
      <c r="W208" t="str">
        <f>IF(DONNEES!$E208="","",DONNEES!X208)</f>
        <v/>
      </c>
      <c r="X208" t="str">
        <f>IF(DONNEES!$E208="","",DONNEES!Y208)</f>
        <v/>
      </c>
      <c r="Y208" t="str">
        <f>IF(DONNEES!$E208="","",DONNEES!Z208)</f>
        <v/>
      </c>
      <c r="Z208" t="str">
        <f>IF(DONNEES!$E208="","",DONNEES!AQ208)</f>
        <v/>
      </c>
    </row>
    <row r="209" spans="1:26" ht="15" customHeight="1" x14ac:dyDescent="0.3">
      <c r="A209" t="str">
        <f>IF(DONNEES!$E209="","",DONNEES!A209)</f>
        <v/>
      </c>
      <c r="B209" t="str">
        <f>IF(DONNEES!$E209="","",DONNEES!B209)</f>
        <v/>
      </c>
      <c r="C209" t="str">
        <f>IF(DONNEES!$E209="","",DONNEES!C209)</f>
        <v/>
      </c>
      <c r="D209" t="str">
        <f>IF(DONNEES!$E209="","",DONNEES!E209)</f>
        <v/>
      </c>
      <c r="E209" t="str">
        <f>IF(DONNEES!$E209="","",DONNEES!F209)</f>
        <v/>
      </c>
      <c r="F209" t="str">
        <f>IF(DONNEES!$E209="","",DONNEES!G209)</f>
        <v/>
      </c>
      <c r="G209" t="str">
        <f>IF(DONNEES!$E209="","",DONNEES!H209)</f>
        <v/>
      </c>
      <c r="H209" t="str">
        <f>IF(DONNEES!$E209="","",DONNEES!I209)</f>
        <v/>
      </c>
      <c r="I209" t="str">
        <f>IF(DONNEES!$E209="","",DONNEES!J209)</f>
        <v/>
      </c>
      <c r="J209" t="str">
        <f>IF(DONNEES!$E209="","",DONNEES!K209)</f>
        <v/>
      </c>
      <c r="K209" t="str">
        <f>IF(DONNEES!$E209="","",DONNEES!L209)</f>
        <v/>
      </c>
      <c r="L209" t="str">
        <f>IF(DONNEES!$E209="","",DONNEES!M209)</f>
        <v/>
      </c>
      <c r="M209" t="str">
        <f>IF(DONNEES!$E209="","",DONNEES!N209)</f>
        <v/>
      </c>
      <c r="N209" t="str">
        <f>IF(DONNEES!$E209="","",DONNEES!O209)</f>
        <v/>
      </c>
      <c r="O209" t="str">
        <f>IF(DONNEES!$E209="","",DONNEES!P209)</f>
        <v/>
      </c>
      <c r="P209" t="str">
        <f>IF(DONNEES!$E209="","",DONNEES!Q209)</f>
        <v/>
      </c>
      <c r="Q209" t="str">
        <f>IF(DONNEES!$E209="","",DONNEES!R209)</f>
        <v/>
      </c>
      <c r="R209" t="str">
        <f>IF(DONNEES!$E209="","",DONNEES!S209)</f>
        <v/>
      </c>
      <c r="S209" t="str">
        <f>IF(DONNEES!$E209="","",DONNEES!T209)</f>
        <v/>
      </c>
      <c r="T209" t="str">
        <f>IF(DONNEES!$E209="","",DONNEES!U209)</f>
        <v/>
      </c>
      <c r="U209" t="str">
        <f>IF(DONNEES!$E209="","",DONNEES!V209)</f>
        <v/>
      </c>
      <c r="V209" t="str">
        <f>IF(DONNEES!$E209="","",DONNEES!W209)</f>
        <v/>
      </c>
      <c r="W209" t="str">
        <f>IF(DONNEES!$E209="","",DONNEES!X209)</f>
        <v/>
      </c>
      <c r="X209" t="str">
        <f>IF(DONNEES!$E209="","",DONNEES!Y209)</f>
        <v/>
      </c>
      <c r="Y209" t="str">
        <f>IF(DONNEES!$E209="","",DONNEES!Z209)</f>
        <v/>
      </c>
      <c r="Z209" t="str">
        <f>IF(DONNEES!$E209="","",DONNEES!AQ209)</f>
        <v/>
      </c>
    </row>
    <row r="210" spans="1:26" ht="15" customHeight="1" x14ac:dyDescent="0.3">
      <c r="A210" t="str">
        <f>IF(DONNEES!$E210="","",DONNEES!A210)</f>
        <v/>
      </c>
      <c r="B210" t="str">
        <f>IF(DONNEES!$E210="","",DONNEES!B210)</f>
        <v/>
      </c>
      <c r="C210" t="str">
        <f>IF(DONNEES!$E210="","",DONNEES!C210)</f>
        <v/>
      </c>
      <c r="D210" t="str">
        <f>IF(DONNEES!$E210="","",DONNEES!E210)</f>
        <v/>
      </c>
      <c r="E210" t="str">
        <f>IF(DONNEES!$E210="","",DONNEES!F210)</f>
        <v/>
      </c>
      <c r="F210" t="str">
        <f>IF(DONNEES!$E210="","",DONNEES!G210)</f>
        <v/>
      </c>
      <c r="G210" t="str">
        <f>IF(DONNEES!$E210="","",DONNEES!H210)</f>
        <v/>
      </c>
      <c r="H210" t="str">
        <f>IF(DONNEES!$E210="","",DONNEES!I210)</f>
        <v/>
      </c>
      <c r="I210" t="str">
        <f>IF(DONNEES!$E210="","",DONNEES!J210)</f>
        <v/>
      </c>
      <c r="J210" t="str">
        <f>IF(DONNEES!$E210="","",DONNEES!K210)</f>
        <v/>
      </c>
      <c r="K210" t="str">
        <f>IF(DONNEES!$E210="","",DONNEES!L210)</f>
        <v/>
      </c>
      <c r="L210" t="str">
        <f>IF(DONNEES!$E210="","",DONNEES!M210)</f>
        <v/>
      </c>
      <c r="M210" t="str">
        <f>IF(DONNEES!$E210="","",DONNEES!N210)</f>
        <v/>
      </c>
      <c r="N210" t="str">
        <f>IF(DONNEES!$E210="","",DONNEES!O210)</f>
        <v/>
      </c>
      <c r="O210" t="str">
        <f>IF(DONNEES!$E210="","",DONNEES!P210)</f>
        <v/>
      </c>
      <c r="P210" t="str">
        <f>IF(DONNEES!$E210="","",DONNEES!Q210)</f>
        <v/>
      </c>
      <c r="Q210" t="str">
        <f>IF(DONNEES!$E210="","",DONNEES!R210)</f>
        <v/>
      </c>
      <c r="R210" t="str">
        <f>IF(DONNEES!$E210="","",DONNEES!S210)</f>
        <v/>
      </c>
      <c r="S210" t="str">
        <f>IF(DONNEES!$E210="","",DONNEES!T210)</f>
        <v/>
      </c>
      <c r="T210" t="str">
        <f>IF(DONNEES!$E210="","",DONNEES!U210)</f>
        <v/>
      </c>
      <c r="U210" t="str">
        <f>IF(DONNEES!$E210="","",DONNEES!V210)</f>
        <v/>
      </c>
      <c r="V210" t="str">
        <f>IF(DONNEES!$E210="","",DONNEES!W210)</f>
        <v/>
      </c>
      <c r="W210" t="str">
        <f>IF(DONNEES!$E210="","",DONNEES!X210)</f>
        <v/>
      </c>
      <c r="X210" t="str">
        <f>IF(DONNEES!$E210="","",DONNEES!Y210)</f>
        <v/>
      </c>
      <c r="Y210" t="str">
        <f>IF(DONNEES!$E210="","",DONNEES!Z210)</f>
        <v/>
      </c>
      <c r="Z210" t="str">
        <f>IF(DONNEES!$E210="","",DONNEES!AQ210)</f>
        <v/>
      </c>
    </row>
    <row r="211" spans="1:26" ht="15" customHeight="1" x14ac:dyDescent="0.3">
      <c r="A211" t="str">
        <f>IF(DONNEES!$E211="","",DONNEES!A211)</f>
        <v/>
      </c>
      <c r="B211" t="str">
        <f>IF(DONNEES!$E211="","",DONNEES!B211)</f>
        <v/>
      </c>
      <c r="C211" t="str">
        <f>IF(DONNEES!$E211="","",DONNEES!C211)</f>
        <v/>
      </c>
      <c r="D211" t="str">
        <f>IF(DONNEES!$E211="","",DONNEES!E211)</f>
        <v/>
      </c>
      <c r="E211" t="str">
        <f>IF(DONNEES!$E211="","",DONNEES!F211)</f>
        <v/>
      </c>
      <c r="F211" t="str">
        <f>IF(DONNEES!$E211="","",DONNEES!G211)</f>
        <v/>
      </c>
      <c r="G211" t="str">
        <f>IF(DONNEES!$E211="","",DONNEES!H211)</f>
        <v/>
      </c>
      <c r="H211" t="str">
        <f>IF(DONNEES!$E211="","",DONNEES!I211)</f>
        <v/>
      </c>
      <c r="I211" t="str">
        <f>IF(DONNEES!$E211="","",DONNEES!J211)</f>
        <v/>
      </c>
      <c r="J211" t="str">
        <f>IF(DONNEES!$E211="","",DONNEES!K211)</f>
        <v/>
      </c>
      <c r="K211" t="str">
        <f>IF(DONNEES!$E211="","",DONNEES!L211)</f>
        <v/>
      </c>
      <c r="L211" t="str">
        <f>IF(DONNEES!$E211="","",DONNEES!M211)</f>
        <v/>
      </c>
      <c r="M211" t="str">
        <f>IF(DONNEES!$E211="","",DONNEES!N211)</f>
        <v/>
      </c>
      <c r="N211" t="str">
        <f>IF(DONNEES!$E211="","",DONNEES!O211)</f>
        <v/>
      </c>
      <c r="O211" t="str">
        <f>IF(DONNEES!$E211="","",DONNEES!P211)</f>
        <v/>
      </c>
      <c r="P211" t="str">
        <f>IF(DONNEES!$E211="","",DONNEES!Q211)</f>
        <v/>
      </c>
      <c r="Q211" t="str">
        <f>IF(DONNEES!$E211="","",DONNEES!R211)</f>
        <v/>
      </c>
      <c r="R211" t="str">
        <f>IF(DONNEES!$E211="","",DONNEES!S211)</f>
        <v/>
      </c>
      <c r="S211" t="str">
        <f>IF(DONNEES!$E211="","",DONNEES!T211)</f>
        <v/>
      </c>
      <c r="T211" t="str">
        <f>IF(DONNEES!$E211="","",DONNEES!U211)</f>
        <v/>
      </c>
      <c r="U211" t="str">
        <f>IF(DONNEES!$E211="","",DONNEES!V211)</f>
        <v/>
      </c>
      <c r="V211" t="str">
        <f>IF(DONNEES!$E211="","",DONNEES!W211)</f>
        <v/>
      </c>
      <c r="W211" t="str">
        <f>IF(DONNEES!$E211="","",DONNEES!X211)</f>
        <v/>
      </c>
      <c r="X211" t="str">
        <f>IF(DONNEES!$E211="","",DONNEES!Y211)</f>
        <v/>
      </c>
      <c r="Y211" t="str">
        <f>IF(DONNEES!$E211="","",DONNEES!Z211)</f>
        <v/>
      </c>
      <c r="Z211" t="str">
        <f>IF(DONNEES!$E211="","",DONNEES!AQ211)</f>
        <v/>
      </c>
    </row>
    <row r="212" spans="1:26" ht="15" customHeight="1" x14ac:dyDescent="0.3">
      <c r="A212" t="str">
        <f>IF(DONNEES!$E212="","",DONNEES!A212)</f>
        <v/>
      </c>
      <c r="B212" t="str">
        <f>IF(DONNEES!$E212="","",DONNEES!B212)</f>
        <v/>
      </c>
      <c r="C212" t="str">
        <f>IF(DONNEES!$E212="","",DONNEES!C212)</f>
        <v/>
      </c>
      <c r="D212" t="str">
        <f>IF(DONNEES!$E212="","",DONNEES!E212)</f>
        <v/>
      </c>
      <c r="E212" t="str">
        <f>IF(DONNEES!$E212="","",DONNEES!F212)</f>
        <v/>
      </c>
      <c r="F212" t="str">
        <f>IF(DONNEES!$E212="","",DONNEES!G212)</f>
        <v/>
      </c>
      <c r="G212" t="str">
        <f>IF(DONNEES!$E212="","",DONNEES!H212)</f>
        <v/>
      </c>
      <c r="H212" t="str">
        <f>IF(DONNEES!$E212="","",DONNEES!I212)</f>
        <v/>
      </c>
      <c r="I212" t="str">
        <f>IF(DONNEES!$E212="","",DONNEES!J212)</f>
        <v/>
      </c>
      <c r="J212" t="str">
        <f>IF(DONNEES!$E212="","",DONNEES!K212)</f>
        <v/>
      </c>
      <c r="K212" t="str">
        <f>IF(DONNEES!$E212="","",DONNEES!L212)</f>
        <v/>
      </c>
      <c r="L212" t="str">
        <f>IF(DONNEES!$E212="","",DONNEES!M212)</f>
        <v/>
      </c>
      <c r="M212" t="str">
        <f>IF(DONNEES!$E212="","",DONNEES!N212)</f>
        <v/>
      </c>
      <c r="N212" t="str">
        <f>IF(DONNEES!$E212="","",DONNEES!O212)</f>
        <v/>
      </c>
      <c r="O212" t="str">
        <f>IF(DONNEES!$E212="","",DONNEES!P212)</f>
        <v/>
      </c>
      <c r="P212" t="str">
        <f>IF(DONNEES!$E212="","",DONNEES!Q212)</f>
        <v/>
      </c>
      <c r="Q212" t="str">
        <f>IF(DONNEES!$E212="","",DONNEES!R212)</f>
        <v/>
      </c>
      <c r="R212" t="str">
        <f>IF(DONNEES!$E212="","",DONNEES!S212)</f>
        <v/>
      </c>
      <c r="S212" t="str">
        <f>IF(DONNEES!$E212="","",DONNEES!T212)</f>
        <v/>
      </c>
      <c r="T212" t="str">
        <f>IF(DONNEES!$E212="","",DONNEES!U212)</f>
        <v/>
      </c>
      <c r="U212" t="str">
        <f>IF(DONNEES!$E212="","",DONNEES!V212)</f>
        <v/>
      </c>
      <c r="V212" t="str">
        <f>IF(DONNEES!$E212="","",DONNEES!W212)</f>
        <v/>
      </c>
      <c r="W212" t="str">
        <f>IF(DONNEES!$E212="","",DONNEES!X212)</f>
        <v/>
      </c>
      <c r="X212" t="str">
        <f>IF(DONNEES!$E212="","",DONNEES!Y212)</f>
        <v/>
      </c>
      <c r="Y212" t="str">
        <f>IF(DONNEES!$E212="","",DONNEES!Z212)</f>
        <v/>
      </c>
      <c r="Z212" t="str">
        <f>IF(DONNEES!$E212="","",DONNEES!AQ212)</f>
        <v/>
      </c>
    </row>
    <row r="213" spans="1:26" ht="15" customHeight="1" x14ac:dyDescent="0.3">
      <c r="A213" t="str">
        <f>IF(DONNEES!$E213="","",DONNEES!A213)</f>
        <v/>
      </c>
      <c r="B213" t="str">
        <f>IF(DONNEES!$E213="","",DONNEES!B213)</f>
        <v/>
      </c>
      <c r="C213" t="str">
        <f>IF(DONNEES!$E213="","",DONNEES!C213)</f>
        <v/>
      </c>
      <c r="D213" t="str">
        <f>IF(DONNEES!$E213="","",DONNEES!E213)</f>
        <v/>
      </c>
      <c r="E213" t="str">
        <f>IF(DONNEES!$E213="","",DONNEES!F213)</f>
        <v/>
      </c>
      <c r="F213" t="str">
        <f>IF(DONNEES!$E213="","",DONNEES!G213)</f>
        <v/>
      </c>
      <c r="G213" t="str">
        <f>IF(DONNEES!$E213="","",DONNEES!H213)</f>
        <v/>
      </c>
      <c r="H213" t="str">
        <f>IF(DONNEES!$E213="","",DONNEES!I213)</f>
        <v/>
      </c>
      <c r="I213" t="str">
        <f>IF(DONNEES!$E213="","",DONNEES!J213)</f>
        <v/>
      </c>
      <c r="J213" t="str">
        <f>IF(DONNEES!$E213="","",DONNEES!K213)</f>
        <v/>
      </c>
      <c r="K213" t="str">
        <f>IF(DONNEES!$E213="","",DONNEES!L213)</f>
        <v/>
      </c>
      <c r="L213" t="str">
        <f>IF(DONNEES!$E213="","",DONNEES!M213)</f>
        <v/>
      </c>
      <c r="M213" t="str">
        <f>IF(DONNEES!$E213="","",DONNEES!N213)</f>
        <v/>
      </c>
      <c r="N213" t="str">
        <f>IF(DONNEES!$E213="","",DONNEES!O213)</f>
        <v/>
      </c>
      <c r="O213" t="str">
        <f>IF(DONNEES!$E213="","",DONNEES!P213)</f>
        <v/>
      </c>
      <c r="P213" t="str">
        <f>IF(DONNEES!$E213="","",DONNEES!Q213)</f>
        <v/>
      </c>
      <c r="Q213" t="str">
        <f>IF(DONNEES!$E213="","",DONNEES!R213)</f>
        <v/>
      </c>
      <c r="R213" t="str">
        <f>IF(DONNEES!$E213="","",DONNEES!S213)</f>
        <v/>
      </c>
      <c r="S213" t="str">
        <f>IF(DONNEES!$E213="","",DONNEES!T213)</f>
        <v/>
      </c>
      <c r="T213" t="str">
        <f>IF(DONNEES!$E213="","",DONNEES!U213)</f>
        <v/>
      </c>
      <c r="U213" t="str">
        <f>IF(DONNEES!$E213="","",DONNEES!V213)</f>
        <v/>
      </c>
      <c r="V213" t="str">
        <f>IF(DONNEES!$E213="","",DONNEES!W213)</f>
        <v/>
      </c>
      <c r="W213" t="str">
        <f>IF(DONNEES!$E213="","",DONNEES!X213)</f>
        <v/>
      </c>
      <c r="X213" t="str">
        <f>IF(DONNEES!$E213="","",DONNEES!Y213)</f>
        <v/>
      </c>
      <c r="Y213" t="str">
        <f>IF(DONNEES!$E213="","",DONNEES!Z213)</f>
        <v/>
      </c>
      <c r="Z213" t="str">
        <f>IF(DONNEES!$E213="","",DONNEES!AQ213)</f>
        <v/>
      </c>
    </row>
    <row r="214" spans="1:26" ht="15" customHeight="1" x14ac:dyDescent="0.3">
      <c r="A214" t="str">
        <f>IF(DONNEES!$E214="","",DONNEES!A214)</f>
        <v/>
      </c>
      <c r="B214" t="str">
        <f>IF(DONNEES!$E214="","",DONNEES!B214)</f>
        <v/>
      </c>
      <c r="C214" t="str">
        <f>IF(DONNEES!$E214="","",DONNEES!C214)</f>
        <v/>
      </c>
      <c r="D214" t="str">
        <f>IF(DONNEES!$E214="","",DONNEES!E214)</f>
        <v/>
      </c>
      <c r="E214" t="str">
        <f>IF(DONNEES!$E214="","",DONNEES!F214)</f>
        <v/>
      </c>
      <c r="F214" t="str">
        <f>IF(DONNEES!$E214="","",DONNEES!G214)</f>
        <v/>
      </c>
      <c r="G214" t="str">
        <f>IF(DONNEES!$E214="","",DONNEES!H214)</f>
        <v/>
      </c>
      <c r="H214" t="str">
        <f>IF(DONNEES!$E214="","",DONNEES!I214)</f>
        <v/>
      </c>
      <c r="I214" t="str">
        <f>IF(DONNEES!$E214="","",DONNEES!J214)</f>
        <v/>
      </c>
      <c r="J214" t="str">
        <f>IF(DONNEES!$E214="","",DONNEES!K214)</f>
        <v/>
      </c>
      <c r="K214" t="str">
        <f>IF(DONNEES!$E214="","",DONNEES!L214)</f>
        <v/>
      </c>
      <c r="L214" t="str">
        <f>IF(DONNEES!$E214="","",DONNEES!M214)</f>
        <v/>
      </c>
      <c r="M214" t="str">
        <f>IF(DONNEES!$E214="","",DONNEES!N214)</f>
        <v/>
      </c>
      <c r="N214" t="str">
        <f>IF(DONNEES!$E214="","",DONNEES!O214)</f>
        <v/>
      </c>
      <c r="O214" t="str">
        <f>IF(DONNEES!$E214="","",DONNEES!P214)</f>
        <v/>
      </c>
      <c r="P214" t="str">
        <f>IF(DONNEES!$E214="","",DONNEES!Q214)</f>
        <v/>
      </c>
      <c r="Q214" t="str">
        <f>IF(DONNEES!$E214="","",DONNEES!R214)</f>
        <v/>
      </c>
      <c r="R214" t="str">
        <f>IF(DONNEES!$E214="","",DONNEES!S214)</f>
        <v/>
      </c>
      <c r="S214" t="str">
        <f>IF(DONNEES!$E214="","",DONNEES!T214)</f>
        <v/>
      </c>
      <c r="T214" t="str">
        <f>IF(DONNEES!$E214="","",DONNEES!U214)</f>
        <v/>
      </c>
      <c r="U214" t="str">
        <f>IF(DONNEES!$E214="","",DONNEES!V214)</f>
        <v/>
      </c>
      <c r="V214" t="str">
        <f>IF(DONNEES!$E214="","",DONNEES!W214)</f>
        <v/>
      </c>
      <c r="W214" t="str">
        <f>IF(DONNEES!$E214="","",DONNEES!X214)</f>
        <v/>
      </c>
      <c r="X214" t="str">
        <f>IF(DONNEES!$E214="","",DONNEES!Y214)</f>
        <v/>
      </c>
      <c r="Y214" t="str">
        <f>IF(DONNEES!$E214="","",DONNEES!Z214)</f>
        <v/>
      </c>
      <c r="Z214" t="str">
        <f>IF(DONNEES!$E214="","",DONNEES!AQ214)</f>
        <v/>
      </c>
    </row>
    <row r="215" spans="1:26" ht="15" customHeight="1" x14ac:dyDescent="0.3">
      <c r="A215" t="str">
        <f>IF(DONNEES!$E215="","",DONNEES!A215)</f>
        <v/>
      </c>
      <c r="B215" t="str">
        <f>IF(DONNEES!$E215="","",DONNEES!B215)</f>
        <v/>
      </c>
      <c r="C215" t="str">
        <f>IF(DONNEES!$E215="","",DONNEES!C215)</f>
        <v/>
      </c>
      <c r="D215" t="str">
        <f>IF(DONNEES!$E215="","",DONNEES!E215)</f>
        <v/>
      </c>
      <c r="E215" t="str">
        <f>IF(DONNEES!$E215="","",DONNEES!F215)</f>
        <v/>
      </c>
      <c r="F215" t="str">
        <f>IF(DONNEES!$E215="","",DONNEES!G215)</f>
        <v/>
      </c>
      <c r="G215" t="str">
        <f>IF(DONNEES!$E215="","",DONNEES!H215)</f>
        <v/>
      </c>
      <c r="H215" t="str">
        <f>IF(DONNEES!$E215="","",DONNEES!I215)</f>
        <v/>
      </c>
      <c r="I215" t="str">
        <f>IF(DONNEES!$E215="","",DONNEES!J215)</f>
        <v/>
      </c>
      <c r="J215" t="str">
        <f>IF(DONNEES!$E215="","",DONNEES!K215)</f>
        <v/>
      </c>
      <c r="K215" t="str">
        <f>IF(DONNEES!$E215="","",DONNEES!L215)</f>
        <v/>
      </c>
      <c r="L215" t="str">
        <f>IF(DONNEES!$E215="","",DONNEES!M215)</f>
        <v/>
      </c>
      <c r="M215" t="str">
        <f>IF(DONNEES!$E215="","",DONNEES!N215)</f>
        <v/>
      </c>
      <c r="N215" t="str">
        <f>IF(DONNEES!$E215="","",DONNEES!O215)</f>
        <v/>
      </c>
      <c r="O215" t="str">
        <f>IF(DONNEES!$E215="","",DONNEES!P215)</f>
        <v/>
      </c>
      <c r="P215" t="str">
        <f>IF(DONNEES!$E215="","",DONNEES!Q215)</f>
        <v/>
      </c>
      <c r="Q215" t="str">
        <f>IF(DONNEES!$E215="","",DONNEES!R215)</f>
        <v/>
      </c>
      <c r="R215" t="str">
        <f>IF(DONNEES!$E215="","",DONNEES!S215)</f>
        <v/>
      </c>
      <c r="S215" t="str">
        <f>IF(DONNEES!$E215="","",DONNEES!T215)</f>
        <v/>
      </c>
      <c r="T215" t="str">
        <f>IF(DONNEES!$E215="","",DONNEES!U215)</f>
        <v/>
      </c>
      <c r="U215" t="str">
        <f>IF(DONNEES!$E215="","",DONNEES!V215)</f>
        <v/>
      </c>
      <c r="V215" t="str">
        <f>IF(DONNEES!$E215="","",DONNEES!W215)</f>
        <v/>
      </c>
      <c r="W215" t="str">
        <f>IF(DONNEES!$E215="","",DONNEES!X215)</f>
        <v/>
      </c>
      <c r="X215" t="str">
        <f>IF(DONNEES!$E215="","",DONNEES!Y215)</f>
        <v/>
      </c>
      <c r="Y215" t="str">
        <f>IF(DONNEES!$E215="","",DONNEES!Z215)</f>
        <v/>
      </c>
      <c r="Z215" t="str">
        <f>IF(DONNEES!$E215="","",DONNEES!AQ215)</f>
        <v/>
      </c>
    </row>
    <row r="216" spans="1:26" ht="15" customHeight="1" x14ac:dyDescent="0.3">
      <c r="A216" t="str">
        <f>IF(DONNEES!$E216="","",DONNEES!A216)</f>
        <v/>
      </c>
      <c r="B216" t="str">
        <f>IF(DONNEES!$E216="","",DONNEES!B216)</f>
        <v/>
      </c>
      <c r="C216" t="str">
        <f>IF(DONNEES!$E216="","",DONNEES!C216)</f>
        <v/>
      </c>
      <c r="D216" t="str">
        <f>IF(DONNEES!$E216="","",DONNEES!E216)</f>
        <v/>
      </c>
      <c r="E216" t="str">
        <f>IF(DONNEES!$E216="","",DONNEES!F216)</f>
        <v/>
      </c>
      <c r="F216" t="str">
        <f>IF(DONNEES!$E216="","",DONNEES!G216)</f>
        <v/>
      </c>
      <c r="G216" t="str">
        <f>IF(DONNEES!$E216="","",DONNEES!H216)</f>
        <v/>
      </c>
      <c r="H216" t="str">
        <f>IF(DONNEES!$E216="","",DONNEES!I216)</f>
        <v/>
      </c>
      <c r="I216" t="str">
        <f>IF(DONNEES!$E216="","",DONNEES!J216)</f>
        <v/>
      </c>
      <c r="J216" t="str">
        <f>IF(DONNEES!$E216="","",DONNEES!K216)</f>
        <v/>
      </c>
      <c r="K216" t="str">
        <f>IF(DONNEES!$E216="","",DONNEES!L216)</f>
        <v/>
      </c>
      <c r="L216" t="str">
        <f>IF(DONNEES!$E216="","",DONNEES!M216)</f>
        <v/>
      </c>
      <c r="M216" t="str">
        <f>IF(DONNEES!$E216="","",DONNEES!N216)</f>
        <v/>
      </c>
      <c r="N216" t="str">
        <f>IF(DONNEES!$E216="","",DONNEES!O216)</f>
        <v/>
      </c>
      <c r="O216" t="str">
        <f>IF(DONNEES!$E216="","",DONNEES!P216)</f>
        <v/>
      </c>
      <c r="P216" t="str">
        <f>IF(DONNEES!$E216="","",DONNEES!Q216)</f>
        <v/>
      </c>
      <c r="Q216" t="str">
        <f>IF(DONNEES!$E216="","",DONNEES!R216)</f>
        <v/>
      </c>
      <c r="R216" t="str">
        <f>IF(DONNEES!$E216="","",DONNEES!S216)</f>
        <v/>
      </c>
      <c r="S216" t="str">
        <f>IF(DONNEES!$E216="","",DONNEES!T216)</f>
        <v/>
      </c>
      <c r="T216" t="str">
        <f>IF(DONNEES!$E216="","",DONNEES!U216)</f>
        <v/>
      </c>
      <c r="U216" t="str">
        <f>IF(DONNEES!$E216="","",DONNEES!V216)</f>
        <v/>
      </c>
      <c r="V216" t="str">
        <f>IF(DONNEES!$E216="","",DONNEES!W216)</f>
        <v/>
      </c>
      <c r="W216" t="str">
        <f>IF(DONNEES!$E216="","",DONNEES!X216)</f>
        <v/>
      </c>
      <c r="X216" t="str">
        <f>IF(DONNEES!$E216="","",DONNEES!Y216)</f>
        <v/>
      </c>
      <c r="Y216" t="str">
        <f>IF(DONNEES!$E216="","",DONNEES!Z216)</f>
        <v/>
      </c>
      <c r="Z216" t="str">
        <f>IF(DONNEES!$E216="","",DONNEES!AQ216)</f>
        <v/>
      </c>
    </row>
    <row r="217" spans="1:26" ht="15" customHeight="1" x14ac:dyDescent="0.3">
      <c r="A217" t="str">
        <f>IF(DONNEES!$E217="","",DONNEES!A217)</f>
        <v/>
      </c>
      <c r="B217" t="str">
        <f>IF(DONNEES!$E217="","",DONNEES!B217)</f>
        <v/>
      </c>
      <c r="C217" t="str">
        <f>IF(DONNEES!$E217="","",DONNEES!C217)</f>
        <v/>
      </c>
      <c r="D217" t="str">
        <f>IF(DONNEES!$E217="","",DONNEES!E217)</f>
        <v/>
      </c>
      <c r="E217" t="str">
        <f>IF(DONNEES!$E217="","",DONNEES!F217)</f>
        <v/>
      </c>
      <c r="F217" t="str">
        <f>IF(DONNEES!$E217="","",DONNEES!G217)</f>
        <v/>
      </c>
      <c r="G217" t="str">
        <f>IF(DONNEES!$E217="","",DONNEES!H217)</f>
        <v/>
      </c>
      <c r="H217" t="str">
        <f>IF(DONNEES!$E217="","",DONNEES!I217)</f>
        <v/>
      </c>
      <c r="I217" t="str">
        <f>IF(DONNEES!$E217="","",DONNEES!J217)</f>
        <v/>
      </c>
      <c r="J217" t="str">
        <f>IF(DONNEES!$E217="","",DONNEES!K217)</f>
        <v/>
      </c>
      <c r="K217" t="str">
        <f>IF(DONNEES!$E217="","",DONNEES!L217)</f>
        <v/>
      </c>
      <c r="L217" t="str">
        <f>IF(DONNEES!$E217="","",DONNEES!M217)</f>
        <v/>
      </c>
      <c r="M217" t="str">
        <f>IF(DONNEES!$E217="","",DONNEES!N217)</f>
        <v/>
      </c>
      <c r="N217" t="str">
        <f>IF(DONNEES!$E217="","",DONNEES!O217)</f>
        <v/>
      </c>
      <c r="O217" t="str">
        <f>IF(DONNEES!$E217="","",DONNEES!P217)</f>
        <v/>
      </c>
      <c r="P217" t="str">
        <f>IF(DONNEES!$E217="","",DONNEES!Q217)</f>
        <v/>
      </c>
      <c r="Q217" t="str">
        <f>IF(DONNEES!$E217="","",DONNEES!R217)</f>
        <v/>
      </c>
      <c r="R217" t="str">
        <f>IF(DONNEES!$E217="","",DONNEES!S217)</f>
        <v/>
      </c>
      <c r="S217" t="str">
        <f>IF(DONNEES!$E217="","",DONNEES!T217)</f>
        <v/>
      </c>
      <c r="T217" t="str">
        <f>IF(DONNEES!$E217="","",DONNEES!U217)</f>
        <v/>
      </c>
      <c r="U217" t="str">
        <f>IF(DONNEES!$E217="","",DONNEES!V217)</f>
        <v/>
      </c>
      <c r="V217" t="str">
        <f>IF(DONNEES!$E217="","",DONNEES!W217)</f>
        <v/>
      </c>
      <c r="W217" t="str">
        <f>IF(DONNEES!$E217="","",DONNEES!X217)</f>
        <v/>
      </c>
      <c r="X217" t="str">
        <f>IF(DONNEES!$E217="","",DONNEES!Y217)</f>
        <v/>
      </c>
      <c r="Y217" t="str">
        <f>IF(DONNEES!$E217="","",DONNEES!Z217)</f>
        <v/>
      </c>
      <c r="Z217" t="str">
        <f>IF(DONNEES!$E217="","",DONNEES!AQ217)</f>
        <v/>
      </c>
    </row>
    <row r="218" spans="1:26" ht="15" customHeight="1" x14ac:dyDescent="0.3">
      <c r="A218" t="str">
        <f>IF(DONNEES!$E218="","",DONNEES!A218)</f>
        <v/>
      </c>
      <c r="B218" t="str">
        <f>IF(DONNEES!$E218="","",DONNEES!B218)</f>
        <v/>
      </c>
      <c r="C218" t="str">
        <f>IF(DONNEES!$E218="","",DONNEES!C218)</f>
        <v/>
      </c>
      <c r="D218" t="str">
        <f>IF(DONNEES!$E218="","",DONNEES!E218)</f>
        <v/>
      </c>
      <c r="E218" t="str">
        <f>IF(DONNEES!$E218="","",DONNEES!F218)</f>
        <v/>
      </c>
      <c r="F218" t="str">
        <f>IF(DONNEES!$E218="","",DONNEES!G218)</f>
        <v/>
      </c>
      <c r="G218" t="str">
        <f>IF(DONNEES!$E218="","",DONNEES!H218)</f>
        <v/>
      </c>
      <c r="H218" t="str">
        <f>IF(DONNEES!$E218="","",DONNEES!I218)</f>
        <v/>
      </c>
      <c r="I218" t="str">
        <f>IF(DONNEES!$E218="","",DONNEES!J218)</f>
        <v/>
      </c>
      <c r="J218" t="str">
        <f>IF(DONNEES!$E218="","",DONNEES!K218)</f>
        <v/>
      </c>
      <c r="K218" t="str">
        <f>IF(DONNEES!$E218="","",DONNEES!L218)</f>
        <v/>
      </c>
      <c r="L218" t="str">
        <f>IF(DONNEES!$E218="","",DONNEES!M218)</f>
        <v/>
      </c>
      <c r="M218" t="str">
        <f>IF(DONNEES!$E218="","",DONNEES!N218)</f>
        <v/>
      </c>
      <c r="N218" t="str">
        <f>IF(DONNEES!$E218="","",DONNEES!O218)</f>
        <v/>
      </c>
      <c r="O218" t="str">
        <f>IF(DONNEES!$E218="","",DONNEES!P218)</f>
        <v/>
      </c>
      <c r="P218" t="str">
        <f>IF(DONNEES!$E218="","",DONNEES!Q218)</f>
        <v/>
      </c>
      <c r="Q218" t="str">
        <f>IF(DONNEES!$E218="","",DONNEES!R218)</f>
        <v/>
      </c>
      <c r="R218" t="str">
        <f>IF(DONNEES!$E218="","",DONNEES!S218)</f>
        <v/>
      </c>
      <c r="S218" t="str">
        <f>IF(DONNEES!$E218="","",DONNEES!T218)</f>
        <v/>
      </c>
      <c r="T218" t="str">
        <f>IF(DONNEES!$E218="","",DONNEES!U218)</f>
        <v/>
      </c>
      <c r="U218" t="str">
        <f>IF(DONNEES!$E218="","",DONNEES!V218)</f>
        <v/>
      </c>
      <c r="V218" t="str">
        <f>IF(DONNEES!$E218="","",DONNEES!W218)</f>
        <v/>
      </c>
      <c r="W218" t="str">
        <f>IF(DONNEES!$E218="","",DONNEES!X218)</f>
        <v/>
      </c>
      <c r="X218" t="str">
        <f>IF(DONNEES!$E218="","",DONNEES!Y218)</f>
        <v/>
      </c>
      <c r="Y218" t="str">
        <f>IF(DONNEES!$E218="","",DONNEES!Z218)</f>
        <v/>
      </c>
      <c r="Z218" t="str">
        <f>IF(DONNEES!$E218="","",DONNEES!AQ218)</f>
        <v/>
      </c>
    </row>
    <row r="219" spans="1:26" ht="15" customHeight="1" x14ac:dyDescent="0.3">
      <c r="A219" t="str">
        <f>IF(DONNEES!$E219="","",DONNEES!A219)</f>
        <v/>
      </c>
      <c r="B219" t="str">
        <f>IF(DONNEES!$E219="","",DONNEES!B219)</f>
        <v/>
      </c>
      <c r="C219" t="str">
        <f>IF(DONNEES!$E219="","",DONNEES!C219)</f>
        <v/>
      </c>
      <c r="D219" t="str">
        <f>IF(DONNEES!$E219="","",DONNEES!E219)</f>
        <v/>
      </c>
      <c r="E219" t="str">
        <f>IF(DONNEES!$E219="","",DONNEES!F219)</f>
        <v/>
      </c>
      <c r="F219" t="str">
        <f>IF(DONNEES!$E219="","",DONNEES!G219)</f>
        <v/>
      </c>
      <c r="G219" t="str">
        <f>IF(DONNEES!$E219="","",DONNEES!H219)</f>
        <v/>
      </c>
      <c r="H219" t="str">
        <f>IF(DONNEES!$E219="","",DONNEES!I219)</f>
        <v/>
      </c>
      <c r="I219" t="str">
        <f>IF(DONNEES!$E219="","",DONNEES!J219)</f>
        <v/>
      </c>
      <c r="J219" t="str">
        <f>IF(DONNEES!$E219="","",DONNEES!K219)</f>
        <v/>
      </c>
      <c r="K219" t="str">
        <f>IF(DONNEES!$E219="","",DONNEES!L219)</f>
        <v/>
      </c>
      <c r="L219" t="str">
        <f>IF(DONNEES!$E219="","",DONNEES!M219)</f>
        <v/>
      </c>
      <c r="M219" t="str">
        <f>IF(DONNEES!$E219="","",DONNEES!N219)</f>
        <v/>
      </c>
      <c r="N219" t="str">
        <f>IF(DONNEES!$E219="","",DONNEES!O219)</f>
        <v/>
      </c>
      <c r="O219" t="str">
        <f>IF(DONNEES!$E219="","",DONNEES!P219)</f>
        <v/>
      </c>
      <c r="P219" t="str">
        <f>IF(DONNEES!$E219="","",DONNEES!Q219)</f>
        <v/>
      </c>
      <c r="Q219" t="str">
        <f>IF(DONNEES!$E219="","",DONNEES!R219)</f>
        <v/>
      </c>
      <c r="R219" t="str">
        <f>IF(DONNEES!$E219="","",DONNEES!S219)</f>
        <v/>
      </c>
      <c r="S219" t="str">
        <f>IF(DONNEES!$E219="","",DONNEES!T219)</f>
        <v/>
      </c>
      <c r="T219" t="str">
        <f>IF(DONNEES!$E219="","",DONNEES!U219)</f>
        <v/>
      </c>
      <c r="U219" t="str">
        <f>IF(DONNEES!$E219="","",DONNEES!V219)</f>
        <v/>
      </c>
      <c r="V219" t="str">
        <f>IF(DONNEES!$E219="","",DONNEES!W219)</f>
        <v/>
      </c>
      <c r="W219" t="str">
        <f>IF(DONNEES!$E219="","",DONNEES!X219)</f>
        <v/>
      </c>
      <c r="X219" t="str">
        <f>IF(DONNEES!$E219="","",DONNEES!Y219)</f>
        <v/>
      </c>
      <c r="Y219" t="str">
        <f>IF(DONNEES!$E219="","",DONNEES!Z219)</f>
        <v/>
      </c>
      <c r="Z219" t="str">
        <f>IF(DONNEES!$E219="","",DONNEES!AQ219)</f>
        <v/>
      </c>
    </row>
    <row r="220" spans="1:26" ht="15" customHeight="1" x14ac:dyDescent="0.3">
      <c r="A220" t="str">
        <f>IF(DONNEES!$E220="","",DONNEES!A220)</f>
        <v/>
      </c>
      <c r="B220" t="str">
        <f>IF(DONNEES!$E220="","",DONNEES!B220)</f>
        <v/>
      </c>
      <c r="C220" t="str">
        <f>IF(DONNEES!$E220="","",DONNEES!C220)</f>
        <v/>
      </c>
      <c r="D220" t="str">
        <f>IF(DONNEES!$E220="","",DONNEES!E220)</f>
        <v/>
      </c>
      <c r="E220" t="str">
        <f>IF(DONNEES!$E220="","",DONNEES!F220)</f>
        <v/>
      </c>
      <c r="F220" t="str">
        <f>IF(DONNEES!$E220="","",DONNEES!G220)</f>
        <v/>
      </c>
      <c r="G220" t="str">
        <f>IF(DONNEES!$E220="","",DONNEES!H220)</f>
        <v/>
      </c>
      <c r="H220" t="str">
        <f>IF(DONNEES!$E220="","",DONNEES!I220)</f>
        <v/>
      </c>
      <c r="I220" t="str">
        <f>IF(DONNEES!$E220="","",DONNEES!J220)</f>
        <v/>
      </c>
      <c r="J220" t="str">
        <f>IF(DONNEES!$E220="","",DONNEES!K220)</f>
        <v/>
      </c>
      <c r="K220" t="str">
        <f>IF(DONNEES!$E220="","",DONNEES!L220)</f>
        <v/>
      </c>
      <c r="L220" t="str">
        <f>IF(DONNEES!$E220="","",DONNEES!M220)</f>
        <v/>
      </c>
      <c r="M220" t="str">
        <f>IF(DONNEES!$E220="","",DONNEES!N220)</f>
        <v/>
      </c>
      <c r="N220" t="str">
        <f>IF(DONNEES!$E220="","",DONNEES!O220)</f>
        <v/>
      </c>
      <c r="O220" t="str">
        <f>IF(DONNEES!$E220="","",DONNEES!P220)</f>
        <v/>
      </c>
      <c r="P220" t="str">
        <f>IF(DONNEES!$E220="","",DONNEES!Q220)</f>
        <v/>
      </c>
      <c r="Q220" t="str">
        <f>IF(DONNEES!$E220="","",DONNEES!R220)</f>
        <v/>
      </c>
      <c r="R220" t="str">
        <f>IF(DONNEES!$E220="","",DONNEES!S220)</f>
        <v/>
      </c>
      <c r="S220" t="str">
        <f>IF(DONNEES!$E220="","",DONNEES!T220)</f>
        <v/>
      </c>
      <c r="T220" t="str">
        <f>IF(DONNEES!$E220="","",DONNEES!U220)</f>
        <v/>
      </c>
      <c r="U220" t="str">
        <f>IF(DONNEES!$E220="","",DONNEES!V220)</f>
        <v/>
      </c>
      <c r="V220" t="str">
        <f>IF(DONNEES!$E220="","",DONNEES!W220)</f>
        <v/>
      </c>
      <c r="W220" t="str">
        <f>IF(DONNEES!$E220="","",DONNEES!X220)</f>
        <v/>
      </c>
      <c r="X220" t="str">
        <f>IF(DONNEES!$E220="","",DONNEES!Y220)</f>
        <v/>
      </c>
      <c r="Y220" t="str">
        <f>IF(DONNEES!$E220="","",DONNEES!Z220)</f>
        <v/>
      </c>
      <c r="Z220" t="str">
        <f>IF(DONNEES!$E220="","",DONNEES!AQ220)</f>
        <v/>
      </c>
    </row>
    <row r="221" spans="1:26" ht="15" customHeight="1" x14ac:dyDescent="0.3">
      <c r="A221" t="str">
        <f>IF(DONNEES!$E221="","",DONNEES!A221)</f>
        <v/>
      </c>
      <c r="B221" t="str">
        <f>IF(DONNEES!$E221="","",DONNEES!B221)</f>
        <v/>
      </c>
      <c r="C221" t="str">
        <f>IF(DONNEES!$E221="","",DONNEES!C221)</f>
        <v/>
      </c>
      <c r="D221" t="str">
        <f>IF(DONNEES!$E221="","",DONNEES!E221)</f>
        <v/>
      </c>
      <c r="E221" t="str">
        <f>IF(DONNEES!$E221="","",DONNEES!F221)</f>
        <v/>
      </c>
      <c r="F221" t="str">
        <f>IF(DONNEES!$E221="","",DONNEES!G221)</f>
        <v/>
      </c>
      <c r="G221" t="str">
        <f>IF(DONNEES!$E221="","",DONNEES!H221)</f>
        <v/>
      </c>
      <c r="H221" t="str">
        <f>IF(DONNEES!$E221="","",DONNEES!I221)</f>
        <v/>
      </c>
      <c r="I221" t="str">
        <f>IF(DONNEES!$E221="","",DONNEES!J221)</f>
        <v/>
      </c>
      <c r="J221" t="str">
        <f>IF(DONNEES!$E221="","",DONNEES!K221)</f>
        <v/>
      </c>
      <c r="K221" t="str">
        <f>IF(DONNEES!$E221="","",DONNEES!L221)</f>
        <v/>
      </c>
      <c r="L221" t="str">
        <f>IF(DONNEES!$E221="","",DONNEES!M221)</f>
        <v/>
      </c>
      <c r="M221" t="str">
        <f>IF(DONNEES!$E221="","",DONNEES!N221)</f>
        <v/>
      </c>
      <c r="N221" t="str">
        <f>IF(DONNEES!$E221="","",DONNEES!O221)</f>
        <v/>
      </c>
      <c r="O221" t="str">
        <f>IF(DONNEES!$E221="","",DONNEES!P221)</f>
        <v/>
      </c>
      <c r="P221" t="str">
        <f>IF(DONNEES!$E221="","",DONNEES!Q221)</f>
        <v/>
      </c>
      <c r="Q221" t="str">
        <f>IF(DONNEES!$E221="","",DONNEES!R221)</f>
        <v/>
      </c>
      <c r="R221" t="str">
        <f>IF(DONNEES!$E221="","",DONNEES!S221)</f>
        <v/>
      </c>
      <c r="S221" t="str">
        <f>IF(DONNEES!$E221="","",DONNEES!T221)</f>
        <v/>
      </c>
      <c r="T221" t="str">
        <f>IF(DONNEES!$E221="","",DONNEES!U221)</f>
        <v/>
      </c>
      <c r="U221" t="str">
        <f>IF(DONNEES!$E221="","",DONNEES!V221)</f>
        <v/>
      </c>
      <c r="V221" t="str">
        <f>IF(DONNEES!$E221="","",DONNEES!W221)</f>
        <v/>
      </c>
      <c r="W221" t="str">
        <f>IF(DONNEES!$E221="","",DONNEES!X221)</f>
        <v/>
      </c>
      <c r="X221" t="str">
        <f>IF(DONNEES!$E221="","",DONNEES!Y221)</f>
        <v/>
      </c>
      <c r="Y221" t="str">
        <f>IF(DONNEES!$E221="","",DONNEES!Z221)</f>
        <v/>
      </c>
      <c r="Z221" t="str">
        <f>IF(DONNEES!$E221="","",DONNEES!AQ221)</f>
        <v/>
      </c>
    </row>
    <row r="222" spans="1:26" ht="15" customHeight="1" x14ac:dyDescent="0.3">
      <c r="A222" t="str">
        <f>IF(DONNEES!$E222="","",DONNEES!A222)</f>
        <v/>
      </c>
      <c r="B222" t="str">
        <f>IF(DONNEES!$E222="","",DONNEES!B222)</f>
        <v/>
      </c>
      <c r="C222" t="str">
        <f>IF(DONNEES!$E222="","",DONNEES!C222)</f>
        <v/>
      </c>
      <c r="D222" t="str">
        <f>IF(DONNEES!$E222="","",DONNEES!E222)</f>
        <v/>
      </c>
      <c r="E222" t="str">
        <f>IF(DONNEES!$E222="","",DONNEES!F222)</f>
        <v/>
      </c>
      <c r="F222" t="str">
        <f>IF(DONNEES!$E222="","",DONNEES!G222)</f>
        <v/>
      </c>
      <c r="G222" t="str">
        <f>IF(DONNEES!$E222="","",DONNEES!H222)</f>
        <v/>
      </c>
      <c r="H222" t="str">
        <f>IF(DONNEES!$E222="","",DONNEES!I222)</f>
        <v/>
      </c>
      <c r="I222" t="str">
        <f>IF(DONNEES!$E222="","",DONNEES!J222)</f>
        <v/>
      </c>
      <c r="J222" t="str">
        <f>IF(DONNEES!$E222="","",DONNEES!K222)</f>
        <v/>
      </c>
      <c r="K222" t="str">
        <f>IF(DONNEES!$E222="","",DONNEES!L222)</f>
        <v/>
      </c>
      <c r="L222" t="str">
        <f>IF(DONNEES!$E222="","",DONNEES!M222)</f>
        <v/>
      </c>
      <c r="M222" t="str">
        <f>IF(DONNEES!$E222="","",DONNEES!N222)</f>
        <v/>
      </c>
      <c r="N222" t="str">
        <f>IF(DONNEES!$E222="","",DONNEES!O222)</f>
        <v/>
      </c>
      <c r="O222" t="str">
        <f>IF(DONNEES!$E222="","",DONNEES!P222)</f>
        <v/>
      </c>
      <c r="P222" t="str">
        <f>IF(DONNEES!$E222="","",DONNEES!Q222)</f>
        <v/>
      </c>
      <c r="Q222" t="str">
        <f>IF(DONNEES!$E222="","",DONNEES!R222)</f>
        <v/>
      </c>
      <c r="R222" t="str">
        <f>IF(DONNEES!$E222="","",DONNEES!S222)</f>
        <v/>
      </c>
      <c r="S222" t="str">
        <f>IF(DONNEES!$E222="","",DONNEES!T222)</f>
        <v/>
      </c>
      <c r="T222" t="str">
        <f>IF(DONNEES!$E222="","",DONNEES!U222)</f>
        <v/>
      </c>
      <c r="U222" t="str">
        <f>IF(DONNEES!$E222="","",DONNEES!V222)</f>
        <v/>
      </c>
      <c r="V222" t="str">
        <f>IF(DONNEES!$E222="","",DONNEES!W222)</f>
        <v/>
      </c>
      <c r="W222" t="str">
        <f>IF(DONNEES!$E222="","",DONNEES!X222)</f>
        <v/>
      </c>
      <c r="X222" t="str">
        <f>IF(DONNEES!$E222="","",DONNEES!Y222)</f>
        <v/>
      </c>
      <c r="Y222" t="str">
        <f>IF(DONNEES!$E222="","",DONNEES!Z222)</f>
        <v/>
      </c>
      <c r="Z222" t="str">
        <f>IF(DONNEES!$E222="","",DONNEES!AQ222)</f>
        <v/>
      </c>
    </row>
    <row r="223" spans="1:26" ht="15" customHeight="1" x14ac:dyDescent="0.3">
      <c r="A223" t="str">
        <f>IF(DONNEES!$E223="","",DONNEES!A223)</f>
        <v/>
      </c>
      <c r="B223" t="str">
        <f>IF(DONNEES!$E223="","",DONNEES!B223)</f>
        <v/>
      </c>
      <c r="C223" t="str">
        <f>IF(DONNEES!$E223="","",DONNEES!C223)</f>
        <v/>
      </c>
      <c r="D223" t="str">
        <f>IF(DONNEES!$E223="","",DONNEES!E223)</f>
        <v/>
      </c>
      <c r="E223" t="str">
        <f>IF(DONNEES!$E223="","",DONNEES!F223)</f>
        <v/>
      </c>
      <c r="F223" t="str">
        <f>IF(DONNEES!$E223="","",DONNEES!G223)</f>
        <v/>
      </c>
      <c r="G223" t="str">
        <f>IF(DONNEES!$E223="","",DONNEES!H223)</f>
        <v/>
      </c>
      <c r="H223" t="str">
        <f>IF(DONNEES!$E223="","",DONNEES!I223)</f>
        <v/>
      </c>
      <c r="I223" t="str">
        <f>IF(DONNEES!$E223="","",DONNEES!J223)</f>
        <v/>
      </c>
      <c r="J223" t="str">
        <f>IF(DONNEES!$E223="","",DONNEES!K223)</f>
        <v/>
      </c>
      <c r="K223" t="str">
        <f>IF(DONNEES!$E223="","",DONNEES!L223)</f>
        <v/>
      </c>
      <c r="L223" t="str">
        <f>IF(DONNEES!$E223="","",DONNEES!M223)</f>
        <v/>
      </c>
      <c r="M223" t="str">
        <f>IF(DONNEES!$E223="","",DONNEES!N223)</f>
        <v/>
      </c>
      <c r="N223" t="str">
        <f>IF(DONNEES!$E223="","",DONNEES!O223)</f>
        <v/>
      </c>
      <c r="O223" t="str">
        <f>IF(DONNEES!$E223="","",DONNEES!P223)</f>
        <v/>
      </c>
      <c r="P223" t="str">
        <f>IF(DONNEES!$E223="","",DONNEES!Q223)</f>
        <v/>
      </c>
      <c r="Q223" t="str">
        <f>IF(DONNEES!$E223="","",DONNEES!R223)</f>
        <v/>
      </c>
      <c r="R223" t="str">
        <f>IF(DONNEES!$E223="","",DONNEES!S223)</f>
        <v/>
      </c>
      <c r="S223" t="str">
        <f>IF(DONNEES!$E223="","",DONNEES!T223)</f>
        <v/>
      </c>
      <c r="T223" t="str">
        <f>IF(DONNEES!$E223="","",DONNEES!U223)</f>
        <v/>
      </c>
      <c r="U223" t="str">
        <f>IF(DONNEES!$E223="","",DONNEES!V223)</f>
        <v/>
      </c>
      <c r="V223" t="str">
        <f>IF(DONNEES!$E223="","",DONNEES!W223)</f>
        <v/>
      </c>
      <c r="W223" t="str">
        <f>IF(DONNEES!$E223="","",DONNEES!X223)</f>
        <v/>
      </c>
      <c r="X223" t="str">
        <f>IF(DONNEES!$E223="","",DONNEES!Y223)</f>
        <v/>
      </c>
      <c r="Y223" t="str">
        <f>IF(DONNEES!$E223="","",DONNEES!Z223)</f>
        <v/>
      </c>
      <c r="Z223" t="str">
        <f>IF(DONNEES!$E223="","",DONNEES!AQ223)</f>
        <v/>
      </c>
    </row>
    <row r="224" spans="1:26" ht="15" customHeight="1" x14ac:dyDescent="0.3">
      <c r="A224" t="str">
        <f>IF(DONNEES!$E224="","",DONNEES!A224)</f>
        <v/>
      </c>
      <c r="B224" t="str">
        <f>IF(DONNEES!$E224="","",DONNEES!B224)</f>
        <v/>
      </c>
      <c r="C224" t="str">
        <f>IF(DONNEES!$E224="","",DONNEES!C224)</f>
        <v/>
      </c>
      <c r="D224" t="str">
        <f>IF(DONNEES!$E224="","",DONNEES!E224)</f>
        <v/>
      </c>
      <c r="E224" t="str">
        <f>IF(DONNEES!$E224="","",DONNEES!F224)</f>
        <v/>
      </c>
      <c r="F224" t="str">
        <f>IF(DONNEES!$E224="","",DONNEES!G224)</f>
        <v/>
      </c>
      <c r="G224" t="str">
        <f>IF(DONNEES!$E224="","",DONNEES!H224)</f>
        <v/>
      </c>
      <c r="H224" t="str">
        <f>IF(DONNEES!$E224="","",DONNEES!I224)</f>
        <v/>
      </c>
      <c r="I224" t="str">
        <f>IF(DONNEES!$E224="","",DONNEES!J224)</f>
        <v/>
      </c>
      <c r="J224" t="str">
        <f>IF(DONNEES!$E224="","",DONNEES!K224)</f>
        <v/>
      </c>
      <c r="K224" t="str">
        <f>IF(DONNEES!$E224="","",DONNEES!L224)</f>
        <v/>
      </c>
      <c r="L224" t="str">
        <f>IF(DONNEES!$E224="","",DONNEES!M224)</f>
        <v/>
      </c>
      <c r="M224" t="str">
        <f>IF(DONNEES!$E224="","",DONNEES!N224)</f>
        <v/>
      </c>
      <c r="N224" t="str">
        <f>IF(DONNEES!$E224="","",DONNEES!O224)</f>
        <v/>
      </c>
      <c r="O224" t="str">
        <f>IF(DONNEES!$E224="","",DONNEES!P224)</f>
        <v/>
      </c>
      <c r="P224" t="str">
        <f>IF(DONNEES!$E224="","",DONNEES!Q224)</f>
        <v/>
      </c>
      <c r="Q224" t="str">
        <f>IF(DONNEES!$E224="","",DONNEES!R224)</f>
        <v/>
      </c>
      <c r="R224" t="str">
        <f>IF(DONNEES!$E224="","",DONNEES!S224)</f>
        <v/>
      </c>
      <c r="S224" t="str">
        <f>IF(DONNEES!$E224="","",DONNEES!T224)</f>
        <v/>
      </c>
      <c r="T224" t="str">
        <f>IF(DONNEES!$E224="","",DONNEES!U224)</f>
        <v/>
      </c>
      <c r="U224" t="str">
        <f>IF(DONNEES!$E224="","",DONNEES!V224)</f>
        <v/>
      </c>
      <c r="V224" t="str">
        <f>IF(DONNEES!$E224="","",DONNEES!W224)</f>
        <v/>
      </c>
      <c r="W224" t="str">
        <f>IF(DONNEES!$E224="","",DONNEES!X224)</f>
        <v/>
      </c>
      <c r="X224" t="str">
        <f>IF(DONNEES!$E224="","",DONNEES!Y224)</f>
        <v/>
      </c>
      <c r="Y224" t="str">
        <f>IF(DONNEES!$E224="","",DONNEES!Z224)</f>
        <v/>
      </c>
      <c r="Z224" t="str">
        <f>IF(DONNEES!$E224="","",DONNEES!AQ224)</f>
        <v/>
      </c>
    </row>
    <row r="225" spans="1:26" ht="15" customHeight="1" x14ac:dyDescent="0.3">
      <c r="A225" t="str">
        <f>IF(DONNEES!$E225="","",DONNEES!A225)</f>
        <v/>
      </c>
      <c r="B225" t="str">
        <f>IF(DONNEES!$E225="","",DONNEES!B225)</f>
        <v/>
      </c>
      <c r="C225" t="str">
        <f>IF(DONNEES!$E225="","",DONNEES!C225)</f>
        <v/>
      </c>
      <c r="D225" t="str">
        <f>IF(DONNEES!$E225="","",DONNEES!E225)</f>
        <v/>
      </c>
      <c r="E225" t="str">
        <f>IF(DONNEES!$E225="","",DONNEES!F225)</f>
        <v/>
      </c>
      <c r="F225" t="str">
        <f>IF(DONNEES!$E225="","",DONNEES!G225)</f>
        <v/>
      </c>
      <c r="G225" t="str">
        <f>IF(DONNEES!$E225="","",DONNEES!H225)</f>
        <v/>
      </c>
      <c r="H225" t="str">
        <f>IF(DONNEES!$E225="","",DONNEES!I225)</f>
        <v/>
      </c>
      <c r="I225" t="str">
        <f>IF(DONNEES!$E225="","",DONNEES!J225)</f>
        <v/>
      </c>
      <c r="J225" t="str">
        <f>IF(DONNEES!$E225="","",DONNEES!K225)</f>
        <v/>
      </c>
      <c r="K225" t="str">
        <f>IF(DONNEES!$E225="","",DONNEES!L225)</f>
        <v/>
      </c>
      <c r="L225" t="str">
        <f>IF(DONNEES!$E225="","",DONNEES!M225)</f>
        <v/>
      </c>
      <c r="M225" t="str">
        <f>IF(DONNEES!$E225="","",DONNEES!N225)</f>
        <v/>
      </c>
      <c r="N225" t="str">
        <f>IF(DONNEES!$E225="","",DONNEES!O225)</f>
        <v/>
      </c>
      <c r="O225" t="str">
        <f>IF(DONNEES!$E225="","",DONNEES!P225)</f>
        <v/>
      </c>
      <c r="P225" t="str">
        <f>IF(DONNEES!$E225="","",DONNEES!Q225)</f>
        <v/>
      </c>
      <c r="Q225" t="str">
        <f>IF(DONNEES!$E225="","",DONNEES!R225)</f>
        <v/>
      </c>
      <c r="R225" t="str">
        <f>IF(DONNEES!$E225="","",DONNEES!S225)</f>
        <v/>
      </c>
      <c r="S225" t="str">
        <f>IF(DONNEES!$E225="","",DONNEES!T225)</f>
        <v/>
      </c>
      <c r="T225" t="str">
        <f>IF(DONNEES!$E225="","",DONNEES!U225)</f>
        <v/>
      </c>
      <c r="U225" t="str">
        <f>IF(DONNEES!$E225="","",DONNEES!V225)</f>
        <v/>
      </c>
      <c r="V225" t="str">
        <f>IF(DONNEES!$E225="","",DONNEES!W225)</f>
        <v/>
      </c>
      <c r="W225" t="str">
        <f>IF(DONNEES!$E225="","",DONNEES!X225)</f>
        <v/>
      </c>
      <c r="X225" t="str">
        <f>IF(DONNEES!$E225="","",DONNEES!Y225)</f>
        <v/>
      </c>
      <c r="Y225" t="str">
        <f>IF(DONNEES!$E225="","",DONNEES!Z225)</f>
        <v/>
      </c>
      <c r="Z225" t="str">
        <f>IF(DONNEES!$E225="","",DONNEES!AQ225)</f>
        <v/>
      </c>
    </row>
    <row r="226" spans="1:26" ht="15" customHeight="1" x14ac:dyDescent="0.3">
      <c r="A226" t="str">
        <f>IF(DONNEES!$E226="","",DONNEES!A226)</f>
        <v/>
      </c>
      <c r="B226" t="str">
        <f>IF(DONNEES!$E226="","",DONNEES!B226)</f>
        <v/>
      </c>
      <c r="C226" t="str">
        <f>IF(DONNEES!$E226="","",DONNEES!C226)</f>
        <v/>
      </c>
      <c r="D226" t="str">
        <f>IF(DONNEES!$E226="","",DONNEES!E226)</f>
        <v/>
      </c>
      <c r="E226" t="str">
        <f>IF(DONNEES!$E226="","",DONNEES!F226)</f>
        <v/>
      </c>
      <c r="F226" t="str">
        <f>IF(DONNEES!$E226="","",DONNEES!G226)</f>
        <v/>
      </c>
      <c r="G226" t="str">
        <f>IF(DONNEES!$E226="","",DONNEES!H226)</f>
        <v/>
      </c>
      <c r="H226" t="str">
        <f>IF(DONNEES!$E226="","",DONNEES!I226)</f>
        <v/>
      </c>
      <c r="I226" t="str">
        <f>IF(DONNEES!$E226="","",DONNEES!J226)</f>
        <v/>
      </c>
      <c r="J226" t="str">
        <f>IF(DONNEES!$E226="","",DONNEES!K226)</f>
        <v/>
      </c>
      <c r="K226" t="str">
        <f>IF(DONNEES!$E226="","",DONNEES!L226)</f>
        <v/>
      </c>
      <c r="L226" t="str">
        <f>IF(DONNEES!$E226="","",DONNEES!M226)</f>
        <v/>
      </c>
      <c r="M226" t="str">
        <f>IF(DONNEES!$E226="","",DONNEES!N226)</f>
        <v/>
      </c>
      <c r="N226" t="str">
        <f>IF(DONNEES!$E226="","",DONNEES!O226)</f>
        <v/>
      </c>
      <c r="O226" t="str">
        <f>IF(DONNEES!$E226="","",DONNEES!P226)</f>
        <v/>
      </c>
      <c r="P226" t="str">
        <f>IF(DONNEES!$E226="","",DONNEES!Q226)</f>
        <v/>
      </c>
      <c r="Q226" t="str">
        <f>IF(DONNEES!$E226="","",DONNEES!R226)</f>
        <v/>
      </c>
      <c r="R226" t="str">
        <f>IF(DONNEES!$E226="","",DONNEES!S226)</f>
        <v/>
      </c>
      <c r="S226" t="str">
        <f>IF(DONNEES!$E226="","",DONNEES!T226)</f>
        <v/>
      </c>
      <c r="T226" t="str">
        <f>IF(DONNEES!$E226="","",DONNEES!U226)</f>
        <v/>
      </c>
      <c r="U226" t="str">
        <f>IF(DONNEES!$E226="","",DONNEES!V226)</f>
        <v/>
      </c>
      <c r="V226" t="str">
        <f>IF(DONNEES!$E226="","",DONNEES!W226)</f>
        <v/>
      </c>
      <c r="W226" t="str">
        <f>IF(DONNEES!$E226="","",DONNEES!X226)</f>
        <v/>
      </c>
      <c r="X226" t="str">
        <f>IF(DONNEES!$E226="","",DONNEES!Y226)</f>
        <v/>
      </c>
      <c r="Y226" t="str">
        <f>IF(DONNEES!$E226="","",DONNEES!Z226)</f>
        <v/>
      </c>
      <c r="Z226" t="str">
        <f>IF(DONNEES!$E226="","",DONNEES!AQ226)</f>
        <v/>
      </c>
    </row>
    <row r="227" spans="1:26" ht="15" customHeight="1" x14ac:dyDescent="0.3">
      <c r="A227" t="str">
        <f>IF(DONNEES!$E227="","",DONNEES!A227)</f>
        <v/>
      </c>
      <c r="B227" t="str">
        <f>IF(DONNEES!$E227="","",DONNEES!B227)</f>
        <v/>
      </c>
      <c r="C227" t="str">
        <f>IF(DONNEES!$E227="","",DONNEES!C227)</f>
        <v/>
      </c>
      <c r="D227" t="str">
        <f>IF(DONNEES!$E227="","",DONNEES!E227)</f>
        <v/>
      </c>
      <c r="E227" t="str">
        <f>IF(DONNEES!$E227="","",DONNEES!F227)</f>
        <v/>
      </c>
      <c r="F227" t="str">
        <f>IF(DONNEES!$E227="","",DONNEES!G227)</f>
        <v/>
      </c>
      <c r="G227" t="str">
        <f>IF(DONNEES!$E227="","",DONNEES!H227)</f>
        <v/>
      </c>
      <c r="H227" t="str">
        <f>IF(DONNEES!$E227="","",DONNEES!I227)</f>
        <v/>
      </c>
      <c r="I227" t="str">
        <f>IF(DONNEES!$E227="","",DONNEES!J227)</f>
        <v/>
      </c>
      <c r="J227" t="str">
        <f>IF(DONNEES!$E227="","",DONNEES!K227)</f>
        <v/>
      </c>
      <c r="K227" t="str">
        <f>IF(DONNEES!$E227="","",DONNEES!L227)</f>
        <v/>
      </c>
      <c r="L227" t="str">
        <f>IF(DONNEES!$E227="","",DONNEES!M227)</f>
        <v/>
      </c>
      <c r="M227" t="str">
        <f>IF(DONNEES!$E227="","",DONNEES!N227)</f>
        <v/>
      </c>
      <c r="N227" t="str">
        <f>IF(DONNEES!$E227="","",DONNEES!O227)</f>
        <v/>
      </c>
      <c r="O227" t="str">
        <f>IF(DONNEES!$E227="","",DONNEES!P227)</f>
        <v/>
      </c>
      <c r="P227" t="str">
        <f>IF(DONNEES!$E227="","",DONNEES!Q227)</f>
        <v/>
      </c>
      <c r="Q227" t="str">
        <f>IF(DONNEES!$E227="","",DONNEES!R227)</f>
        <v/>
      </c>
      <c r="R227" t="str">
        <f>IF(DONNEES!$E227="","",DONNEES!S227)</f>
        <v/>
      </c>
      <c r="S227" t="str">
        <f>IF(DONNEES!$E227="","",DONNEES!T227)</f>
        <v/>
      </c>
      <c r="T227" t="str">
        <f>IF(DONNEES!$E227="","",DONNEES!U227)</f>
        <v/>
      </c>
      <c r="U227" t="str">
        <f>IF(DONNEES!$E227="","",DONNEES!V227)</f>
        <v/>
      </c>
      <c r="V227" t="str">
        <f>IF(DONNEES!$E227="","",DONNEES!W227)</f>
        <v/>
      </c>
      <c r="W227" t="str">
        <f>IF(DONNEES!$E227="","",DONNEES!X227)</f>
        <v/>
      </c>
      <c r="X227" t="str">
        <f>IF(DONNEES!$E227="","",DONNEES!Y227)</f>
        <v/>
      </c>
      <c r="Y227" t="str">
        <f>IF(DONNEES!$E227="","",DONNEES!Z227)</f>
        <v/>
      </c>
      <c r="Z227" t="str">
        <f>IF(DONNEES!$E227="","",DONNEES!AQ227)</f>
        <v/>
      </c>
    </row>
    <row r="228" spans="1:26" ht="15" customHeight="1" x14ac:dyDescent="0.3">
      <c r="A228" t="str">
        <f>IF(DONNEES!$E228="","",DONNEES!A228)</f>
        <v/>
      </c>
      <c r="B228" t="str">
        <f>IF(DONNEES!$E228="","",DONNEES!B228)</f>
        <v/>
      </c>
      <c r="C228" t="str">
        <f>IF(DONNEES!$E228="","",DONNEES!C228)</f>
        <v/>
      </c>
      <c r="D228" t="str">
        <f>IF(DONNEES!$E228="","",DONNEES!E228)</f>
        <v/>
      </c>
      <c r="E228" t="str">
        <f>IF(DONNEES!$E228="","",DONNEES!F228)</f>
        <v/>
      </c>
      <c r="F228" t="str">
        <f>IF(DONNEES!$E228="","",DONNEES!G228)</f>
        <v/>
      </c>
      <c r="G228" t="str">
        <f>IF(DONNEES!$E228="","",DONNEES!H228)</f>
        <v/>
      </c>
      <c r="H228" t="str">
        <f>IF(DONNEES!$E228="","",DONNEES!I228)</f>
        <v/>
      </c>
      <c r="I228" t="str">
        <f>IF(DONNEES!$E228="","",DONNEES!J228)</f>
        <v/>
      </c>
      <c r="J228" t="str">
        <f>IF(DONNEES!$E228="","",DONNEES!K228)</f>
        <v/>
      </c>
      <c r="K228" t="str">
        <f>IF(DONNEES!$E228="","",DONNEES!L228)</f>
        <v/>
      </c>
      <c r="L228" t="str">
        <f>IF(DONNEES!$E228="","",DONNEES!M228)</f>
        <v/>
      </c>
      <c r="M228" t="str">
        <f>IF(DONNEES!$E228="","",DONNEES!N228)</f>
        <v/>
      </c>
      <c r="N228" t="str">
        <f>IF(DONNEES!$E228="","",DONNEES!O228)</f>
        <v/>
      </c>
      <c r="O228" t="str">
        <f>IF(DONNEES!$E228="","",DONNEES!P228)</f>
        <v/>
      </c>
      <c r="P228" t="str">
        <f>IF(DONNEES!$E228="","",DONNEES!Q228)</f>
        <v/>
      </c>
      <c r="Q228" t="str">
        <f>IF(DONNEES!$E228="","",DONNEES!R228)</f>
        <v/>
      </c>
      <c r="R228" t="str">
        <f>IF(DONNEES!$E228="","",DONNEES!S228)</f>
        <v/>
      </c>
      <c r="S228" t="str">
        <f>IF(DONNEES!$E228="","",DONNEES!T228)</f>
        <v/>
      </c>
      <c r="T228" t="str">
        <f>IF(DONNEES!$E228="","",DONNEES!U228)</f>
        <v/>
      </c>
      <c r="U228" t="str">
        <f>IF(DONNEES!$E228="","",DONNEES!V228)</f>
        <v/>
      </c>
      <c r="V228" t="str">
        <f>IF(DONNEES!$E228="","",DONNEES!W228)</f>
        <v/>
      </c>
      <c r="W228" t="str">
        <f>IF(DONNEES!$E228="","",DONNEES!X228)</f>
        <v/>
      </c>
      <c r="X228" t="str">
        <f>IF(DONNEES!$E228="","",DONNEES!Y228)</f>
        <v/>
      </c>
      <c r="Y228" t="str">
        <f>IF(DONNEES!$E228="","",DONNEES!Z228)</f>
        <v/>
      </c>
      <c r="Z228" t="str">
        <f>IF(DONNEES!$E228="","",DONNEES!AQ228)</f>
        <v/>
      </c>
    </row>
    <row r="229" spans="1:26" ht="15" customHeight="1" x14ac:dyDescent="0.3">
      <c r="A229" t="str">
        <f>IF(DONNEES!$E229="","",DONNEES!A229)</f>
        <v/>
      </c>
      <c r="B229" t="str">
        <f>IF(DONNEES!$E229="","",DONNEES!B229)</f>
        <v/>
      </c>
      <c r="C229" t="str">
        <f>IF(DONNEES!$E229="","",DONNEES!C229)</f>
        <v/>
      </c>
      <c r="D229" t="str">
        <f>IF(DONNEES!$E229="","",DONNEES!E229)</f>
        <v/>
      </c>
      <c r="E229" t="str">
        <f>IF(DONNEES!$E229="","",DONNEES!F229)</f>
        <v/>
      </c>
      <c r="F229" t="str">
        <f>IF(DONNEES!$E229="","",DONNEES!G229)</f>
        <v/>
      </c>
      <c r="G229" t="str">
        <f>IF(DONNEES!$E229="","",DONNEES!H229)</f>
        <v/>
      </c>
      <c r="H229" t="str">
        <f>IF(DONNEES!$E229="","",DONNEES!I229)</f>
        <v/>
      </c>
      <c r="I229" t="str">
        <f>IF(DONNEES!$E229="","",DONNEES!J229)</f>
        <v/>
      </c>
      <c r="J229" t="str">
        <f>IF(DONNEES!$E229="","",DONNEES!K229)</f>
        <v/>
      </c>
      <c r="K229" t="str">
        <f>IF(DONNEES!$E229="","",DONNEES!L229)</f>
        <v/>
      </c>
      <c r="L229" t="str">
        <f>IF(DONNEES!$E229="","",DONNEES!M229)</f>
        <v/>
      </c>
      <c r="M229" t="str">
        <f>IF(DONNEES!$E229="","",DONNEES!N229)</f>
        <v/>
      </c>
      <c r="N229" t="str">
        <f>IF(DONNEES!$E229="","",DONNEES!O229)</f>
        <v/>
      </c>
      <c r="O229" t="str">
        <f>IF(DONNEES!$E229="","",DONNEES!P229)</f>
        <v/>
      </c>
      <c r="P229" t="str">
        <f>IF(DONNEES!$E229="","",DONNEES!Q229)</f>
        <v/>
      </c>
      <c r="Q229" t="str">
        <f>IF(DONNEES!$E229="","",DONNEES!R229)</f>
        <v/>
      </c>
      <c r="R229" t="str">
        <f>IF(DONNEES!$E229="","",DONNEES!S229)</f>
        <v/>
      </c>
      <c r="S229" t="str">
        <f>IF(DONNEES!$E229="","",DONNEES!T229)</f>
        <v/>
      </c>
      <c r="T229" t="str">
        <f>IF(DONNEES!$E229="","",DONNEES!U229)</f>
        <v/>
      </c>
      <c r="U229" t="str">
        <f>IF(DONNEES!$E229="","",DONNEES!V229)</f>
        <v/>
      </c>
      <c r="V229" t="str">
        <f>IF(DONNEES!$E229="","",DONNEES!W229)</f>
        <v/>
      </c>
      <c r="W229" t="str">
        <f>IF(DONNEES!$E229="","",DONNEES!X229)</f>
        <v/>
      </c>
      <c r="X229" t="str">
        <f>IF(DONNEES!$E229="","",DONNEES!Y229)</f>
        <v/>
      </c>
      <c r="Y229" t="str">
        <f>IF(DONNEES!$E229="","",DONNEES!Z229)</f>
        <v/>
      </c>
      <c r="Z229" t="str">
        <f>IF(DONNEES!$E229="","",DONNEES!AQ229)</f>
        <v/>
      </c>
    </row>
    <row r="230" spans="1:26" ht="15" customHeight="1" x14ac:dyDescent="0.3">
      <c r="A230" t="str">
        <f>IF(DONNEES!$E230="","",DONNEES!A230)</f>
        <v/>
      </c>
      <c r="B230" t="str">
        <f>IF(DONNEES!$E230="","",DONNEES!B230)</f>
        <v/>
      </c>
      <c r="C230" t="str">
        <f>IF(DONNEES!$E230="","",DONNEES!C230)</f>
        <v/>
      </c>
      <c r="D230" t="str">
        <f>IF(DONNEES!$E230="","",DONNEES!E230)</f>
        <v/>
      </c>
      <c r="E230" t="str">
        <f>IF(DONNEES!$E230="","",DONNEES!F230)</f>
        <v/>
      </c>
      <c r="F230" t="str">
        <f>IF(DONNEES!$E230="","",DONNEES!G230)</f>
        <v/>
      </c>
      <c r="G230" t="str">
        <f>IF(DONNEES!$E230="","",DONNEES!H230)</f>
        <v/>
      </c>
      <c r="H230" t="str">
        <f>IF(DONNEES!$E230="","",DONNEES!I230)</f>
        <v/>
      </c>
      <c r="I230" t="str">
        <f>IF(DONNEES!$E230="","",DONNEES!J230)</f>
        <v/>
      </c>
      <c r="J230" t="str">
        <f>IF(DONNEES!$E230="","",DONNEES!K230)</f>
        <v/>
      </c>
      <c r="K230" t="str">
        <f>IF(DONNEES!$E230="","",DONNEES!L230)</f>
        <v/>
      </c>
      <c r="L230" t="str">
        <f>IF(DONNEES!$E230="","",DONNEES!M230)</f>
        <v/>
      </c>
      <c r="M230" t="str">
        <f>IF(DONNEES!$E230="","",DONNEES!N230)</f>
        <v/>
      </c>
      <c r="N230" t="str">
        <f>IF(DONNEES!$E230="","",DONNEES!O230)</f>
        <v/>
      </c>
      <c r="O230" t="str">
        <f>IF(DONNEES!$E230="","",DONNEES!P230)</f>
        <v/>
      </c>
      <c r="P230" t="str">
        <f>IF(DONNEES!$E230="","",DONNEES!Q230)</f>
        <v/>
      </c>
      <c r="Q230" t="str">
        <f>IF(DONNEES!$E230="","",DONNEES!R230)</f>
        <v/>
      </c>
      <c r="R230" t="str">
        <f>IF(DONNEES!$E230="","",DONNEES!S230)</f>
        <v/>
      </c>
      <c r="S230" t="str">
        <f>IF(DONNEES!$E230="","",DONNEES!T230)</f>
        <v/>
      </c>
      <c r="T230" t="str">
        <f>IF(DONNEES!$E230="","",DONNEES!U230)</f>
        <v/>
      </c>
      <c r="U230" t="str">
        <f>IF(DONNEES!$E230="","",DONNEES!V230)</f>
        <v/>
      </c>
      <c r="V230" t="str">
        <f>IF(DONNEES!$E230="","",DONNEES!W230)</f>
        <v/>
      </c>
      <c r="W230" t="str">
        <f>IF(DONNEES!$E230="","",DONNEES!X230)</f>
        <v/>
      </c>
      <c r="X230" t="str">
        <f>IF(DONNEES!$E230="","",DONNEES!Y230)</f>
        <v/>
      </c>
      <c r="Y230" t="str">
        <f>IF(DONNEES!$E230="","",DONNEES!Z230)</f>
        <v/>
      </c>
      <c r="Z230" t="str">
        <f>IF(DONNEES!$E230="","",DONNEES!AQ230)</f>
        <v/>
      </c>
    </row>
    <row r="231" spans="1:26" ht="15" customHeight="1" x14ac:dyDescent="0.3">
      <c r="A231" t="str">
        <f>IF(DONNEES!$E231="","",DONNEES!A231)</f>
        <v/>
      </c>
      <c r="B231" t="str">
        <f>IF(DONNEES!$E231="","",DONNEES!B231)</f>
        <v/>
      </c>
      <c r="C231" t="str">
        <f>IF(DONNEES!$E231="","",DONNEES!C231)</f>
        <v/>
      </c>
      <c r="D231" t="str">
        <f>IF(DONNEES!$E231="","",DONNEES!E231)</f>
        <v/>
      </c>
      <c r="E231" t="str">
        <f>IF(DONNEES!$E231="","",DONNEES!F231)</f>
        <v/>
      </c>
      <c r="F231" t="str">
        <f>IF(DONNEES!$E231="","",DONNEES!G231)</f>
        <v/>
      </c>
      <c r="G231" t="str">
        <f>IF(DONNEES!$E231="","",DONNEES!H231)</f>
        <v/>
      </c>
      <c r="H231" t="str">
        <f>IF(DONNEES!$E231="","",DONNEES!I231)</f>
        <v/>
      </c>
      <c r="I231" t="str">
        <f>IF(DONNEES!$E231="","",DONNEES!J231)</f>
        <v/>
      </c>
      <c r="J231" t="str">
        <f>IF(DONNEES!$E231="","",DONNEES!K231)</f>
        <v/>
      </c>
      <c r="K231" t="str">
        <f>IF(DONNEES!$E231="","",DONNEES!L231)</f>
        <v/>
      </c>
      <c r="L231" t="str">
        <f>IF(DONNEES!$E231="","",DONNEES!M231)</f>
        <v/>
      </c>
      <c r="M231" t="str">
        <f>IF(DONNEES!$E231="","",DONNEES!N231)</f>
        <v/>
      </c>
      <c r="N231" t="str">
        <f>IF(DONNEES!$E231="","",DONNEES!O231)</f>
        <v/>
      </c>
      <c r="O231" t="str">
        <f>IF(DONNEES!$E231="","",DONNEES!P231)</f>
        <v/>
      </c>
      <c r="P231" t="str">
        <f>IF(DONNEES!$E231="","",DONNEES!Q231)</f>
        <v/>
      </c>
      <c r="Q231" t="str">
        <f>IF(DONNEES!$E231="","",DONNEES!R231)</f>
        <v/>
      </c>
      <c r="R231" t="str">
        <f>IF(DONNEES!$E231="","",DONNEES!S231)</f>
        <v/>
      </c>
      <c r="S231" t="str">
        <f>IF(DONNEES!$E231="","",DONNEES!T231)</f>
        <v/>
      </c>
      <c r="T231" t="str">
        <f>IF(DONNEES!$E231="","",DONNEES!U231)</f>
        <v/>
      </c>
      <c r="U231" t="str">
        <f>IF(DONNEES!$E231="","",DONNEES!V231)</f>
        <v/>
      </c>
      <c r="V231" t="str">
        <f>IF(DONNEES!$E231="","",DONNEES!W231)</f>
        <v/>
      </c>
      <c r="W231" t="str">
        <f>IF(DONNEES!$E231="","",DONNEES!X231)</f>
        <v/>
      </c>
      <c r="X231" t="str">
        <f>IF(DONNEES!$E231="","",DONNEES!Y231)</f>
        <v/>
      </c>
      <c r="Y231" t="str">
        <f>IF(DONNEES!$E231="","",DONNEES!Z231)</f>
        <v/>
      </c>
      <c r="Z231" t="str">
        <f>IF(DONNEES!$E231="","",DONNEES!AQ231)</f>
        <v/>
      </c>
    </row>
    <row r="232" spans="1:26" ht="15" customHeight="1" x14ac:dyDescent="0.3">
      <c r="A232" t="str">
        <f>IF(DONNEES!$E232="","",DONNEES!A232)</f>
        <v/>
      </c>
      <c r="B232" t="str">
        <f>IF(DONNEES!$E232="","",DONNEES!B232)</f>
        <v/>
      </c>
      <c r="C232" t="str">
        <f>IF(DONNEES!$E232="","",DONNEES!C232)</f>
        <v/>
      </c>
      <c r="D232" t="str">
        <f>IF(DONNEES!$E232="","",DONNEES!E232)</f>
        <v/>
      </c>
      <c r="E232" t="str">
        <f>IF(DONNEES!$E232="","",DONNEES!F232)</f>
        <v/>
      </c>
      <c r="F232" t="str">
        <f>IF(DONNEES!$E232="","",DONNEES!G232)</f>
        <v/>
      </c>
      <c r="G232" t="str">
        <f>IF(DONNEES!$E232="","",DONNEES!H232)</f>
        <v/>
      </c>
      <c r="H232" t="str">
        <f>IF(DONNEES!$E232="","",DONNEES!I232)</f>
        <v/>
      </c>
      <c r="I232" t="str">
        <f>IF(DONNEES!$E232="","",DONNEES!J232)</f>
        <v/>
      </c>
      <c r="J232" t="str">
        <f>IF(DONNEES!$E232="","",DONNEES!K232)</f>
        <v/>
      </c>
      <c r="K232" t="str">
        <f>IF(DONNEES!$E232="","",DONNEES!L232)</f>
        <v/>
      </c>
      <c r="L232" t="str">
        <f>IF(DONNEES!$E232="","",DONNEES!M232)</f>
        <v/>
      </c>
      <c r="M232" t="str">
        <f>IF(DONNEES!$E232="","",DONNEES!N232)</f>
        <v/>
      </c>
      <c r="N232" t="str">
        <f>IF(DONNEES!$E232="","",DONNEES!O232)</f>
        <v/>
      </c>
      <c r="O232" t="str">
        <f>IF(DONNEES!$E232="","",DONNEES!P232)</f>
        <v/>
      </c>
      <c r="P232" t="str">
        <f>IF(DONNEES!$E232="","",DONNEES!Q232)</f>
        <v/>
      </c>
      <c r="Q232" t="str">
        <f>IF(DONNEES!$E232="","",DONNEES!R232)</f>
        <v/>
      </c>
      <c r="R232" t="str">
        <f>IF(DONNEES!$E232="","",DONNEES!S232)</f>
        <v/>
      </c>
      <c r="S232" t="str">
        <f>IF(DONNEES!$E232="","",DONNEES!T232)</f>
        <v/>
      </c>
      <c r="T232" t="str">
        <f>IF(DONNEES!$E232="","",DONNEES!U232)</f>
        <v/>
      </c>
      <c r="U232" t="str">
        <f>IF(DONNEES!$E232="","",DONNEES!V232)</f>
        <v/>
      </c>
      <c r="V232" t="str">
        <f>IF(DONNEES!$E232="","",DONNEES!W232)</f>
        <v/>
      </c>
      <c r="W232" t="str">
        <f>IF(DONNEES!$E232="","",DONNEES!X232)</f>
        <v/>
      </c>
      <c r="X232" t="str">
        <f>IF(DONNEES!$E232="","",DONNEES!Y232)</f>
        <v/>
      </c>
      <c r="Y232" t="str">
        <f>IF(DONNEES!$E232="","",DONNEES!Z232)</f>
        <v/>
      </c>
      <c r="Z232" t="str">
        <f>IF(DONNEES!$E232="","",DONNEES!AQ232)</f>
        <v/>
      </c>
    </row>
    <row r="233" spans="1:26" ht="15" customHeight="1" x14ac:dyDescent="0.3">
      <c r="A233" t="str">
        <f>IF(DONNEES!$E233="","",DONNEES!A233)</f>
        <v/>
      </c>
      <c r="B233" t="str">
        <f>IF(DONNEES!$E233="","",DONNEES!B233)</f>
        <v/>
      </c>
      <c r="C233" t="str">
        <f>IF(DONNEES!$E233="","",DONNEES!C233)</f>
        <v/>
      </c>
      <c r="D233" t="str">
        <f>IF(DONNEES!$E233="","",DONNEES!E233)</f>
        <v/>
      </c>
      <c r="E233" t="str">
        <f>IF(DONNEES!$E233="","",DONNEES!F233)</f>
        <v/>
      </c>
      <c r="F233" t="str">
        <f>IF(DONNEES!$E233="","",DONNEES!G233)</f>
        <v/>
      </c>
      <c r="G233" t="str">
        <f>IF(DONNEES!$E233="","",DONNEES!H233)</f>
        <v/>
      </c>
      <c r="H233" t="str">
        <f>IF(DONNEES!$E233="","",DONNEES!I233)</f>
        <v/>
      </c>
      <c r="I233" t="str">
        <f>IF(DONNEES!$E233="","",DONNEES!J233)</f>
        <v/>
      </c>
      <c r="J233" t="str">
        <f>IF(DONNEES!$E233="","",DONNEES!K233)</f>
        <v/>
      </c>
      <c r="K233" t="str">
        <f>IF(DONNEES!$E233="","",DONNEES!L233)</f>
        <v/>
      </c>
      <c r="L233" t="str">
        <f>IF(DONNEES!$E233="","",DONNEES!M233)</f>
        <v/>
      </c>
      <c r="M233" t="str">
        <f>IF(DONNEES!$E233="","",DONNEES!N233)</f>
        <v/>
      </c>
      <c r="N233" t="str">
        <f>IF(DONNEES!$E233="","",DONNEES!O233)</f>
        <v/>
      </c>
      <c r="O233" t="str">
        <f>IF(DONNEES!$E233="","",DONNEES!P233)</f>
        <v/>
      </c>
      <c r="P233" t="str">
        <f>IF(DONNEES!$E233="","",DONNEES!Q233)</f>
        <v/>
      </c>
      <c r="Q233" t="str">
        <f>IF(DONNEES!$E233="","",DONNEES!R233)</f>
        <v/>
      </c>
      <c r="R233" t="str">
        <f>IF(DONNEES!$E233="","",DONNEES!S233)</f>
        <v/>
      </c>
      <c r="S233" t="str">
        <f>IF(DONNEES!$E233="","",DONNEES!T233)</f>
        <v/>
      </c>
      <c r="T233" t="str">
        <f>IF(DONNEES!$E233="","",DONNEES!U233)</f>
        <v/>
      </c>
      <c r="U233" t="str">
        <f>IF(DONNEES!$E233="","",DONNEES!V233)</f>
        <v/>
      </c>
      <c r="V233" t="str">
        <f>IF(DONNEES!$E233="","",DONNEES!W233)</f>
        <v/>
      </c>
      <c r="W233" t="str">
        <f>IF(DONNEES!$E233="","",DONNEES!X233)</f>
        <v/>
      </c>
      <c r="X233" t="str">
        <f>IF(DONNEES!$E233="","",DONNEES!Y233)</f>
        <v/>
      </c>
      <c r="Y233" t="str">
        <f>IF(DONNEES!$E233="","",DONNEES!Z233)</f>
        <v/>
      </c>
      <c r="Z233" t="str">
        <f>IF(DONNEES!$E233="","",DONNEES!AQ233)</f>
        <v/>
      </c>
    </row>
    <row r="234" spans="1:26" ht="15" customHeight="1" x14ac:dyDescent="0.3">
      <c r="A234" t="str">
        <f>IF(DONNEES!$E234="","",DONNEES!A234)</f>
        <v/>
      </c>
      <c r="B234" t="str">
        <f>IF(DONNEES!$E234="","",DONNEES!B234)</f>
        <v/>
      </c>
      <c r="C234" t="str">
        <f>IF(DONNEES!$E234="","",DONNEES!C234)</f>
        <v/>
      </c>
      <c r="D234" t="str">
        <f>IF(DONNEES!$E234="","",DONNEES!E234)</f>
        <v/>
      </c>
      <c r="E234" t="str">
        <f>IF(DONNEES!$E234="","",DONNEES!F234)</f>
        <v/>
      </c>
      <c r="F234" t="str">
        <f>IF(DONNEES!$E234="","",DONNEES!G234)</f>
        <v/>
      </c>
      <c r="G234" t="str">
        <f>IF(DONNEES!$E234="","",DONNEES!H234)</f>
        <v/>
      </c>
      <c r="H234" t="str">
        <f>IF(DONNEES!$E234="","",DONNEES!I234)</f>
        <v/>
      </c>
      <c r="I234" t="str">
        <f>IF(DONNEES!$E234="","",DONNEES!J234)</f>
        <v/>
      </c>
      <c r="J234" t="str">
        <f>IF(DONNEES!$E234="","",DONNEES!K234)</f>
        <v/>
      </c>
      <c r="K234" t="str">
        <f>IF(DONNEES!$E234="","",DONNEES!L234)</f>
        <v/>
      </c>
      <c r="L234" t="str">
        <f>IF(DONNEES!$E234="","",DONNEES!M234)</f>
        <v/>
      </c>
      <c r="M234" t="str">
        <f>IF(DONNEES!$E234="","",DONNEES!N234)</f>
        <v/>
      </c>
      <c r="N234" t="str">
        <f>IF(DONNEES!$E234="","",DONNEES!O234)</f>
        <v/>
      </c>
      <c r="O234" t="str">
        <f>IF(DONNEES!$E234="","",DONNEES!P234)</f>
        <v/>
      </c>
      <c r="P234" t="str">
        <f>IF(DONNEES!$E234="","",DONNEES!Q234)</f>
        <v/>
      </c>
      <c r="Q234" t="str">
        <f>IF(DONNEES!$E234="","",DONNEES!R234)</f>
        <v/>
      </c>
      <c r="R234" t="str">
        <f>IF(DONNEES!$E234="","",DONNEES!S234)</f>
        <v/>
      </c>
      <c r="S234" t="str">
        <f>IF(DONNEES!$E234="","",DONNEES!T234)</f>
        <v/>
      </c>
      <c r="T234" t="str">
        <f>IF(DONNEES!$E234="","",DONNEES!U234)</f>
        <v/>
      </c>
      <c r="U234" t="str">
        <f>IF(DONNEES!$E234="","",DONNEES!V234)</f>
        <v/>
      </c>
      <c r="V234" t="str">
        <f>IF(DONNEES!$E234="","",DONNEES!W234)</f>
        <v/>
      </c>
      <c r="W234" t="str">
        <f>IF(DONNEES!$E234="","",DONNEES!X234)</f>
        <v/>
      </c>
      <c r="X234" t="str">
        <f>IF(DONNEES!$E234="","",DONNEES!Y234)</f>
        <v/>
      </c>
      <c r="Y234" t="str">
        <f>IF(DONNEES!$E234="","",DONNEES!Z234)</f>
        <v/>
      </c>
      <c r="Z234" t="str">
        <f>IF(DONNEES!$E234="","",DONNEES!AQ234)</f>
        <v/>
      </c>
    </row>
    <row r="235" spans="1:26" ht="15" customHeight="1" x14ac:dyDescent="0.3">
      <c r="A235" t="str">
        <f>IF(DONNEES!$E235="","",DONNEES!A235)</f>
        <v/>
      </c>
      <c r="B235" t="str">
        <f>IF(DONNEES!$E235="","",DONNEES!B235)</f>
        <v/>
      </c>
      <c r="C235" t="str">
        <f>IF(DONNEES!$E235="","",DONNEES!C235)</f>
        <v/>
      </c>
      <c r="D235" t="str">
        <f>IF(DONNEES!$E235="","",DONNEES!E235)</f>
        <v/>
      </c>
      <c r="E235" t="str">
        <f>IF(DONNEES!$E235="","",DONNEES!F235)</f>
        <v/>
      </c>
      <c r="F235" t="str">
        <f>IF(DONNEES!$E235="","",DONNEES!G235)</f>
        <v/>
      </c>
      <c r="G235" t="str">
        <f>IF(DONNEES!$E235="","",DONNEES!H235)</f>
        <v/>
      </c>
      <c r="H235" t="str">
        <f>IF(DONNEES!$E235="","",DONNEES!I235)</f>
        <v/>
      </c>
      <c r="I235" t="str">
        <f>IF(DONNEES!$E235="","",DONNEES!J235)</f>
        <v/>
      </c>
      <c r="J235" t="str">
        <f>IF(DONNEES!$E235="","",DONNEES!K235)</f>
        <v/>
      </c>
      <c r="K235" t="str">
        <f>IF(DONNEES!$E235="","",DONNEES!L235)</f>
        <v/>
      </c>
      <c r="L235" t="str">
        <f>IF(DONNEES!$E235="","",DONNEES!M235)</f>
        <v/>
      </c>
      <c r="M235" t="str">
        <f>IF(DONNEES!$E235="","",DONNEES!N235)</f>
        <v/>
      </c>
      <c r="N235" t="str">
        <f>IF(DONNEES!$E235="","",DONNEES!O235)</f>
        <v/>
      </c>
      <c r="O235" t="str">
        <f>IF(DONNEES!$E235="","",DONNEES!P235)</f>
        <v/>
      </c>
      <c r="P235" t="str">
        <f>IF(DONNEES!$E235="","",DONNEES!Q235)</f>
        <v/>
      </c>
      <c r="Q235" t="str">
        <f>IF(DONNEES!$E235="","",DONNEES!R235)</f>
        <v/>
      </c>
      <c r="R235" t="str">
        <f>IF(DONNEES!$E235="","",DONNEES!S235)</f>
        <v/>
      </c>
      <c r="S235" t="str">
        <f>IF(DONNEES!$E235="","",DONNEES!T235)</f>
        <v/>
      </c>
      <c r="T235" t="str">
        <f>IF(DONNEES!$E235="","",DONNEES!U235)</f>
        <v/>
      </c>
      <c r="U235" t="str">
        <f>IF(DONNEES!$E235="","",DONNEES!V235)</f>
        <v/>
      </c>
      <c r="V235" t="str">
        <f>IF(DONNEES!$E235="","",DONNEES!W235)</f>
        <v/>
      </c>
      <c r="W235" t="str">
        <f>IF(DONNEES!$E235="","",DONNEES!X235)</f>
        <v/>
      </c>
      <c r="X235" t="str">
        <f>IF(DONNEES!$E235="","",DONNEES!Y235)</f>
        <v/>
      </c>
      <c r="Y235" t="str">
        <f>IF(DONNEES!$E235="","",DONNEES!Z235)</f>
        <v/>
      </c>
      <c r="Z235" t="str">
        <f>IF(DONNEES!$E235="","",DONNEES!AQ235)</f>
        <v/>
      </c>
    </row>
    <row r="236" spans="1:26" ht="15" customHeight="1" x14ac:dyDescent="0.3">
      <c r="A236" t="str">
        <f>IF(DONNEES!$E236="","",DONNEES!A236)</f>
        <v/>
      </c>
      <c r="B236" t="str">
        <f>IF(DONNEES!$E236="","",DONNEES!B236)</f>
        <v/>
      </c>
      <c r="C236" t="str">
        <f>IF(DONNEES!$E236="","",DONNEES!C236)</f>
        <v/>
      </c>
      <c r="D236" t="str">
        <f>IF(DONNEES!$E236="","",DONNEES!E236)</f>
        <v/>
      </c>
      <c r="E236" t="str">
        <f>IF(DONNEES!$E236="","",DONNEES!F236)</f>
        <v/>
      </c>
      <c r="F236" t="str">
        <f>IF(DONNEES!$E236="","",DONNEES!G236)</f>
        <v/>
      </c>
      <c r="G236" t="str">
        <f>IF(DONNEES!$E236="","",DONNEES!H236)</f>
        <v/>
      </c>
      <c r="H236" t="str">
        <f>IF(DONNEES!$E236="","",DONNEES!I236)</f>
        <v/>
      </c>
      <c r="I236" t="str">
        <f>IF(DONNEES!$E236="","",DONNEES!J236)</f>
        <v/>
      </c>
      <c r="J236" t="str">
        <f>IF(DONNEES!$E236="","",DONNEES!K236)</f>
        <v/>
      </c>
      <c r="K236" t="str">
        <f>IF(DONNEES!$E236="","",DONNEES!L236)</f>
        <v/>
      </c>
      <c r="L236" t="str">
        <f>IF(DONNEES!$E236="","",DONNEES!M236)</f>
        <v/>
      </c>
      <c r="M236" t="str">
        <f>IF(DONNEES!$E236="","",DONNEES!N236)</f>
        <v/>
      </c>
      <c r="N236" t="str">
        <f>IF(DONNEES!$E236="","",DONNEES!O236)</f>
        <v/>
      </c>
      <c r="O236" t="str">
        <f>IF(DONNEES!$E236="","",DONNEES!P236)</f>
        <v/>
      </c>
      <c r="P236" t="str">
        <f>IF(DONNEES!$E236="","",DONNEES!Q236)</f>
        <v/>
      </c>
      <c r="Q236" t="str">
        <f>IF(DONNEES!$E236="","",DONNEES!R236)</f>
        <v/>
      </c>
      <c r="R236" t="str">
        <f>IF(DONNEES!$E236="","",DONNEES!S236)</f>
        <v/>
      </c>
      <c r="S236" t="str">
        <f>IF(DONNEES!$E236="","",DONNEES!T236)</f>
        <v/>
      </c>
      <c r="T236" t="str">
        <f>IF(DONNEES!$E236="","",DONNEES!U236)</f>
        <v/>
      </c>
      <c r="U236" t="str">
        <f>IF(DONNEES!$E236="","",DONNEES!V236)</f>
        <v/>
      </c>
      <c r="V236" t="str">
        <f>IF(DONNEES!$E236="","",DONNEES!W236)</f>
        <v/>
      </c>
      <c r="W236" t="str">
        <f>IF(DONNEES!$E236="","",DONNEES!X236)</f>
        <v/>
      </c>
      <c r="X236" t="str">
        <f>IF(DONNEES!$E236="","",DONNEES!Y236)</f>
        <v/>
      </c>
      <c r="Y236" t="str">
        <f>IF(DONNEES!$E236="","",DONNEES!Z236)</f>
        <v/>
      </c>
      <c r="Z236" t="str">
        <f>IF(DONNEES!$E236="","",DONNEES!AQ236)</f>
        <v/>
      </c>
    </row>
    <row r="237" spans="1:26" ht="15" customHeight="1" x14ac:dyDescent="0.3">
      <c r="A237" t="str">
        <f>IF(DONNEES!$E237="","",DONNEES!A237)</f>
        <v/>
      </c>
      <c r="B237" t="str">
        <f>IF(DONNEES!$E237="","",DONNEES!B237)</f>
        <v/>
      </c>
      <c r="C237" t="str">
        <f>IF(DONNEES!$E237="","",DONNEES!C237)</f>
        <v/>
      </c>
      <c r="D237" t="str">
        <f>IF(DONNEES!$E237="","",DONNEES!E237)</f>
        <v/>
      </c>
      <c r="E237" t="str">
        <f>IF(DONNEES!$E237="","",DONNEES!F237)</f>
        <v/>
      </c>
      <c r="F237" t="str">
        <f>IF(DONNEES!$E237="","",DONNEES!G237)</f>
        <v/>
      </c>
      <c r="G237" t="str">
        <f>IF(DONNEES!$E237="","",DONNEES!H237)</f>
        <v/>
      </c>
      <c r="H237" t="str">
        <f>IF(DONNEES!$E237="","",DONNEES!I237)</f>
        <v/>
      </c>
      <c r="I237" t="str">
        <f>IF(DONNEES!$E237="","",DONNEES!J237)</f>
        <v/>
      </c>
      <c r="J237" t="str">
        <f>IF(DONNEES!$E237="","",DONNEES!K237)</f>
        <v/>
      </c>
      <c r="K237" t="str">
        <f>IF(DONNEES!$E237="","",DONNEES!L237)</f>
        <v/>
      </c>
      <c r="L237" t="str">
        <f>IF(DONNEES!$E237="","",DONNEES!M237)</f>
        <v/>
      </c>
      <c r="M237" t="str">
        <f>IF(DONNEES!$E237="","",DONNEES!N237)</f>
        <v/>
      </c>
      <c r="N237" t="str">
        <f>IF(DONNEES!$E237="","",DONNEES!O237)</f>
        <v/>
      </c>
      <c r="O237" t="str">
        <f>IF(DONNEES!$E237="","",DONNEES!P237)</f>
        <v/>
      </c>
      <c r="P237" t="str">
        <f>IF(DONNEES!$E237="","",DONNEES!Q237)</f>
        <v/>
      </c>
      <c r="Q237" t="str">
        <f>IF(DONNEES!$E237="","",DONNEES!R237)</f>
        <v/>
      </c>
      <c r="R237" t="str">
        <f>IF(DONNEES!$E237="","",DONNEES!S237)</f>
        <v/>
      </c>
      <c r="S237" t="str">
        <f>IF(DONNEES!$E237="","",DONNEES!T237)</f>
        <v/>
      </c>
      <c r="T237" t="str">
        <f>IF(DONNEES!$E237="","",DONNEES!U237)</f>
        <v/>
      </c>
      <c r="U237" t="str">
        <f>IF(DONNEES!$E237="","",DONNEES!V237)</f>
        <v/>
      </c>
      <c r="V237" t="str">
        <f>IF(DONNEES!$E237="","",DONNEES!W237)</f>
        <v/>
      </c>
      <c r="W237" t="str">
        <f>IF(DONNEES!$E237="","",DONNEES!X237)</f>
        <v/>
      </c>
      <c r="X237" t="str">
        <f>IF(DONNEES!$E237="","",DONNEES!Y237)</f>
        <v/>
      </c>
      <c r="Y237" t="str">
        <f>IF(DONNEES!$E237="","",DONNEES!Z237)</f>
        <v/>
      </c>
      <c r="Z237" t="str">
        <f>IF(DONNEES!$E237="","",DONNEES!AQ237)</f>
        <v/>
      </c>
    </row>
    <row r="238" spans="1:26" ht="15" customHeight="1" x14ac:dyDescent="0.3">
      <c r="A238" t="str">
        <f>IF(DONNEES!$E238="","",DONNEES!A238)</f>
        <v/>
      </c>
      <c r="B238" t="str">
        <f>IF(DONNEES!$E238="","",DONNEES!B238)</f>
        <v/>
      </c>
      <c r="C238" t="str">
        <f>IF(DONNEES!$E238="","",DONNEES!C238)</f>
        <v/>
      </c>
      <c r="D238" t="str">
        <f>IF(DONNEES!$E238="","",DONNEES!E238)</f>
        <v/>
      </c>
      <c r="E238" t="str">
        <f>IF(DONNEES!$E238="","",DONNEES!F238)</f>
        <v/>
      </c>
      <c r="F238" t="str">
        <f>IF(DONNEES!$E238="","",DONNEES!G238)</f>
        <v/>
      </c>
      <c r="G238" t="str">
        <f>IF(DONNEES!$E238="","",DONNEES!H238)</f>
        <v/>
      </c>
      <c r="H238" t="str">
        <f>IF(DONNEES!$E238="","",DONNEES!I238)</f>
        <v/>
      </c>
      <c r="I238" t="str">
        <f>IF(DONNEES!$E238="","",DONNEES!J238)</f>
        <v/>
      </c>
      <c r="J238" t="str">
        <f>IF(DONNEES!$E238="","",DONNEES!K238)</f>
        <v/>
      </c>
      <c r="K238" t="str">
        <f>IF(DONNEES!$E238="","",DONNEES!L238)</f>
        <v/>
      </c>
      <c r="L238" t="str">
        <f>IF(DONNEES!$E238="","",DONNEES!M238)</f>
        <v/>
      </c>
      <c r="M238" t="str">
        <f>IF(DONNEES!$E238="","",DONNEES!N238)</f>
        <v/>
      </c>
      <c r="N238" t="str">
        <f>IF(DONNEES!$E238="","",DONNEES!O238)</f>
        <v/>
      </c>
      <c r="O238" t="str">
        <f>IF(DONNEES!$E238="","",DONNEES!P238)</f>
        <v/>
      </c>
      <c r="P238" t="str">
        <f>IF(DONNEES!$E238="","",DONNEES!Q238)</f>
        <v/>
      </c>
      <c r="Q238" t="str">
        <f>IF(DONNEES!$E238="","",DONNEES!R238)</f>
        <v/>
      </c>
      <c r="R238" t="str">
        <f>IF(DONNEES!$E238="","",DONNEES!S238)</f>
        <v/>
      </c>
      <c r="S238" t="str">
        <f>IF(DONNEES!$E238="","",DONNEES!T238)</f>
        <v/>
      </c>
      <c r="T238" t="str">
        <f>IF(DONNEES!$E238="","",DONNEES!U238)</f>
        <v/>
      </c>
      <c r="U238" t="str">
        <f>IF(DONNEES!$E238="","",DONNEES!V238)</f>
        <v/>
      </c>
      <c r="V238" t="str">
        <f>IF(DONNEES!$E238="","",DONNEES!W238)</f>
        <v/>
      </c>
      <c r="W238" t="str">
        <f>IF(DONNEES!$E238="","",DONNEES!X238)</f>
        <v/>
      </c>
      <c r="X238" t="str">
        <f>IF(DONNEES!$E238="","",DONNEES!Y238)</f>
        <v/>
      </c>
      <c r="Y238" t="str">
        <f>IF(DONNEES!$E238="","",DONNEES!Z238)</f>
        <v/>
      </c>
      <c r="Z238" t="str">
        <f>IF(DONNEES!$E238="","",DONNEES!AQ238)</f>
        <v/>
      </c>
    </row>
    <row r="239" spans="1:26" ht="15" customHeight="1" x14ac:dyDescent="0.3">
      <c r="A239" t="str">
        <f>IF(DONNEES!$E239="","",DONNEES!A239)</f>
        <v/>
      </c>
      <c r="B239" t="str">
        <f>IF(DONNEES!$E239="","",DONNEES!B239)</f>
        <v/>
      </c>
      <c r="C239" t="str">
        <f>IF(DONNEES!$E239="","",DONNEES!C239)</f>
        <v/>
      </c>
      <c r="D239" t="str">
        <f>IF(DONNEES!$E239="","",DONNEES!E239)</f>
        <v/>
      </c>
      <c r="E239" t="str">
        <f>IF(DONNEES!$E239="","",DONNEES!F239)</f>
        <v/>
      </c>
      <c r="F239" t="str">
        <f>IF(DONNEES!$E239="","",DONNEES!G239)</f>
        <v/>
      </c>
      <c r="G239" t="str">
        <f>IF(DONNEES!$E239="","",DONNEES!H239)</f>
        <v/>
      </c>
      <c r="H239" t="str">
        <f>IF(DONNEES!$E239="","",DONNEES!I239)</f>
        <v/>
      </c>
      <c r="I239" t="str">
        <f>IF(DONNEES!$E239="","",DONNEES!J239)</f>
        <v/>
      </c>
      <c r="J239" t="str">
        <f>IF(DONNEES!$E239="","",DONNEES!K239)</f>
        <v/>
      </c>
      <c r="K239" t="str">
        <f>IF(DONNEES!$E239="","",DONNEES!L239)</f>
        <v/>
      </c>
      <c r="L239" t="str">
        <f>IF(DONNEES!$E239="","",DONNEES!M239)</f>
        <v/>
      </c>
      <c r="M239" t="str">
        <f>IF(DONNEES!$E239="","",DONNEES!N239)</f>
        <v/>
      </c>
      <c r="N239" t="str">
        <f>IF(DONNEES!$E239="","",DONNEES!O239)</f>
        <v/>
      </c>
      <c r="O239" t="str">
        <f>IF(DONNEES!$E239="","",DONNEES!P239)</f>
        <v/>
      </c>
      <c r="P239" t="str">
        <f>IF(DONNEES!$E239="","",DONNEES!Q239)</f>
        <v/>
      </c>
      <c r="Q239" t="str">
        <f>IF(DONNEES!$E239="","",DONNEES!R239)</f>
        <v/>
      </c>
      <c r="R239" t="str">
        <f>IF(DONNEES!$E239="","",DONNEES!S239)</f>
        <v/>
      </c>
      <c r="S239" t="str">
        <f>IF(DONNEES!$E239="","",DONNEES!T239)</f>
        <v/>
      </c>
      <c r="T239" t="str">
        <f>IF(DONNEES!$E239="","",DONNEES!U239)</f>
        <v/>
      </c>
      <c r="U239" t="str">
        <f>IF(DONNEES!$E239="","",DONNEES!V239)</f>
        <v/>
      </c>
      <c r="V239" t="str">
        <f>IF(DONNEES!$E239="","",DONNEES!W239)</f>
        <v/>
      </c>
      <c r="W239" t="str">
        <f>IF(DONNEES!$E239="","",DONNEES!X239)</f>
        <v/>
      </c>
      <c r="X239" t="str">
        <f>IF(DONNEES!$E239="","",DONNEES!Y239)</f>
        <v/>
      </c>
      <c r="Y239" t="str">
        <f>IF(DONNEES!$E239="","",DONNEES!Z239)</f>
        <v/>
      </c>
      <c r="Z239" t="str">
        <f>IF(DONNEES!$E239="","",DONNEES!AQ239)</f>
        <v/>
      </c>
    </row>
    <row r="240" spans="1:26" ht="15" customHeight="1" x14ac:dyDescent="0.3">
      <c r="A240" t="str">
        <f>IF(DONNEES!$E240="","",DONNEES!A240)</f>
        <v/>
      </c>
      <c r="B240" t="str">
        <f>IF(DONNEES!$E240="","",DONNEES!B240)</f>
        <v/>
      </c>
      <c r="C240" t="str">
        <f>IF(DONNEES!$E240="","",DONNEES!C240)</f>
        <v/>
      </c>
      <c r="D240" t="str">
        <f>IF(DONNEES!$E240="","",DONNEES!E240)</f>
        <v/>
      </c>
      <c r="E240" t="str">
        <f>IF(DONNEES!$E240="","",DONNEES!F240)</f>
        <v/>
      </c>
      <c r="F240" t="str">
        <f>IF(DONNEES!$E240="","",DONNEES!G240)</f>
        <v/>
      </c>
      <c r="G240" t="str">
        <f>IF(DONNEES!$E240="","",DONNEES!H240)</f>
        <v/>
      </c>
      <c r="H240" t="str">
        <f>IF(DONNEES!$E240="","",DONNEES!I240)</f>
        <v/>
      </c>
      <c r="I240" t="str">
        <f>IF(DONNEES!$E240="","",DONNEES!J240)</f>
        <v/>
      </c>
      <c r="J240" t="str">
        <f>IF(DONNEES!$E240="","",DONNEES!K240)</f>
        <v/>
      </c>
      <c r="K240" t="str">
        <f>IF(DONNEES!$E240="","",DONNEES!L240)</f>
        <v/>
      </c>
      <c r="L240" t="str">
        <f>IF(DONNEES!$E240="","",DONNEES!M240)</f>
        <v/>
      </c>
      <c r="M240" t="str">
        <f>IF(DONNEES!$E240="","",DONNEES!N240)</f>
        <v/>
      </c>
      <c r="N240" t="str">
        <f>IF(DONNEES!$E240="","",DONNEES!O240)</f>
        <v/>
      </c>
      <c r="O240" t="str">
        <f>IF(DONNEES!$E240="","",DONNEES!P240)</f>
        <v/>
      </c>
      <c r="P240" t="str">
        <f>IF(DONNEES!$E240="","",DONNEES!Q240)</f>
        <v/>
      </c>
      <c r="Q240" t="str">
        <f>IF(DONNEES!$E240="","",DONNEES!R240)</f>
        <v/>
      </c>
      <c r="R240" t="str">
        <f>IF(DONNEES!$E240="","",DONNEES!S240)</f>
        <v/>
      </c>
      <c r="S240" t="str">
        <f>IF(DONNEES!$E240="","",DONNEES!T240)</f>
        <v/>
      </c>
      <c r="T240" t="str">
        <f>IF(DONNEES!$E240="","",DONNEES!U240)</f>
        <v/>
      </c>
      <c r="U240" t="str">
        <f>IF(DONNEES!$E240="","",DONNEES!V240)</f>
        <v/>
      </c>
      <c r="V240" t="str">
        <f>IF(DONNEES!$E240="","",DONNEES!W240)</f>
        <v/>
      </c>
      <c r="W240" t="str">
        <f>IF(DONNEES!$E240="","",DONNEES!X240)</f>
        <v/>
      </c>
      <c r="X240" t="str">
        <f>IF(DONNEES!$E240="","",DONNEES!Y240)</f>
        <v/>
      </c>
      <c r="Y240" t="str">
        <f>IF(DONNEES!$E240="","",DONNEES!Z240)</f>
        <v/>
      </c>
      <c r="Z240" t="str">
        <f>IF(DONNEES!$E240="","",DONNEES!AQ240)</f>
        <v/>
      </c>
    </row>
    <row r="241" spans="1:26" ht="15" customHeight="1" x14ac:dyDescent="0.3">
      <c r="A241" t="str">
        <f>IF(DONNEES!$E241="","",DONNEES!A241)</f>
        <v/>
      </c>
      <c r="B241" t="str">
        <f>IF(DONNEES!$E241="","",DONNEES!B241)</f>
        <v/>
      </c>
      <c r="C241" t="str">
        <f>IF(DONNEES!$E241="","",DONNEES!C241)</f>
        <v/>
      </c>
      <c r="D241" t="str">
        <f>IF(DONNEES!$E241="","",DONNEES!E241)</f>
        <v/>
      </c>
      <c r="E241" t="str">
        <f>IF(DONNEES!$E241="","",DONNEES!F241)</f>
        <v/>
      </c>
      <c r="F241" t="str">
        <f>IF(DONNEES!$E241="","",DONNEES!G241)</f>
        <v/>
      </c>
      <c r="G241" t="str">
        <f>IF(DONNEES!$E241="","",DONNEES!H241)</f>
        <v/>
      </c>
      <c r="H241" t="str">
        <f>IF(DONNEES!$E241="","",DONNEES!I241)</f>
        <v/>
      </c>
      <c r="I241" t="str">
        <f>IF(DONNEES!$E241="","",DONNEES!J241)</f>
        <v/>
      </c>
      <c r="J241" t="str">
        <f>IF(DONNEES!$E241="","",DONNEES!K241)</f>
        <v/>
      </c>
      <c r="K241" t="str">
        <f>IF(DONNEES!$E241="","",DONNEES!L241)</f>
        <v/>
      </c>
      <c r="L241" t="str">
        <f>IF(DONNEES!$E241="","",DONNEES!M241)</f>
        <v/>
      </c>
      <c r="M241" t="str">
        <f>IF(DONNEES!$E241="","",DONNEES!N241)</f>
        <v/>
      </c>
      <c r="N241" t="str">
        <f>IF(DONNEES!$E241="","",DONNEES!O241)</f>
        <v/>
      </c>
      <c r="O241" t="str">
        <f>IF(DONNEES!$E241="","",DONNEES!P241)</f>
        <v/>
      </c>
      <c r="P241" t="str">
        <f>IF(DONNEES!$E241="","",DONNEES!Q241)</f>
        <v/>
      </c>
      <c r="Q241" t="str">
        <f>IF(DONNEES!$E241="","",DONNEES!R241)</f>
        <v/>
      </c>
      <c r="R241" t="str">
        <f>IF(DONNEES!$E241="","",DONNEES!S241)</f>
        <v/>
      </c>
      <c r="S241" t="str">
        <f>IF(DONNEES!$E241="","",DONNEES!T241)</f>
        <v/>
      </c>
      <c r="T241" t="str">
        <f>IF(DONNEES!$E241="","",DONNEES!U241)</f>
        <v/>
      </c>
      <c r="U241" t="str">
        <f>IF(DONNEES!$E241="","",DONNEES!V241)</f>
        <v/>
      </c>
      <c r="V241" t="str">
        <f>IF(DONNEES!$E241="","",DONNEES!W241)</f>
        <v/>
      </c>
      <c r="W241" t="str">
        <f>IF(DONNEES!$E241="","",DONNEES!X241)</f>
        <v/>
      </c>
      <c r="X241" t="str">
        <f>IF(DONNEES!$E241="","",DONNEES!Y241)</f>
        <v/>
      </c>
      <c r="Y241" t="str">
        <f>IF(DONNEES!$E241="","",DONNEES!Z241)</f>
        <v/>
      </c>
      <c r="Z241" t="str">
        <f>IF(DONNEES!$E241="","",DONNEES!AQ241)</f>
        <v/>
      </c>
    </row>
    <row r="242" spans="1:26" ht="15" customHeight="1" x14ac:dyDescent="0.3">
      <c r="A242" t="str">
        <f>IF(DONNEES!$E242="","",DONNEES!A242)</f>
        <v/>
      </c>
      <c r="B242" t="str">
        <f>IF(DONNEES!$E242="","",DONNEES!B242)</f>
        <v/>
      </c>
      <c r="C242" t="str">
        <f>IF(DONNEES!$E242="","",DONNEES!C242)</f>
        <v/>
      </c>
      <c r="D242" t="str">
        <f>IF(DONNEES!$E242="","",DONNEES!E242)</f>
        <v/>
      </c>
      <c r="E242" t="str">
        <f>IF(DONNEES!$E242="","",DONNEES!F242)</f>
        <v/>
      </c>
      <c r="F242" t="str">
        <f>IF(DONNEES!$E242="","",DONNEES!G242)</f>
        <v/>
      </c>
      <c r="G242" t="str">
        <f>IF(DONNEES!$E242="","",DONNEES!H242)</f>
        <v/>
      </c>
      <c r="H242" t="str">
        <f>IF(DONNEES!$E242="","",DONNEES!I242)</f>
        <v/>
      </c>
      <c r="I242" t="str">
        <f>IF(DONNEES!$E242="","",DONNEES!J242)</f>
        <v/>
      </c>
      <c r="J242" t="str">
        <f>IF(DONNEES!$E242="","",DONNEES!K242)</f>
        <v/>
      </c>
      <c r="K242" t="str">
        <f>IF(DONNEES!$E242="","",DONNEES!L242)</f>
        <v/>
      </c>
      <c r="L242" t="str">
        <f>IF(DONNEES!$E242="","",DONNEES!M242)</f>
        <v/>
      </c>
      <c r="M242" t="str">
        <f>IF(DONNEES!$E242="","",DONNEES!N242)</f>
        <v/>
      </c>
      <c r="N242" t="str">
        <f>IF(DONNEES!$E242="","",DONNEES!O242)</f>
        <v/>
      </c>
      <c r="O242" t="str">
        <f>IF(DONNEES!$E242="","",DONNEES!P242)</f>
        <v/>
      </c>
      <c r="P242" t="str">
        <f>IF(DONNEES!$E242="","",DONNEES!Q242)</f>
        <v/>
      </c>
      <c r="Q242" t="str">
        <f>IF(DONNEES!$E242="","",DONNEES!R242)</f>
        <v/>
      </c>
      <c r="R242" t="str">
        <f>IF(DONNEES!$E242="","",DONNEES!S242)</f>
        <v/>
      </c>
      <c r="S242" t="str">
        <f>IF(DONNEES!$E242="","",DONNEES!T242)</f>
        <v/>
      </c>
      <c r="T242" t="str">
        <f>IF(DONNEES!$E242="","",DONNEES!U242)</f>
        <v/>
      </c>
      <c r="U242" t="str">
        <f>IF(DONNEES!$E242="","",DONNEES!V242)</f>
        <v/>
      </c>
      <c r="V242" t="str">
        <f>IF(DONNEES!$E242="","",DONNEES!W242)</f>
        <v/>
      </c>
      <c r="W242" t="str">
        <f>IF(DONNEES!$E242="","",DONNEES!X242)</f>
        <v/>
      </c>
      <c r="X242" t="str">
        <f>IF(DONNEES!$E242="","",DONNEES!Y242)</f>
        <v/>
      </c>
      <c r="Y242" t="str">
        <f>IF(DONNEES!$E242="","",DONNEES!Z242)</f>
        <v/>
      </c>
      <c r="Z242" t="str">
        <f>IF(DONNEES!$E242="","",DONNEES!AQ242)</f>
        <v/>
      </c>
    </row>
    <row r="243" spans="1:26" ht="15" customHeight="1" x14ac:dyDescent="0.3">
      <c r="A243" t="str">
        <f>IF(DONNEES!$E243="","",DONNEES!A243)</f>
        <v/>
      </c>
      <c r="B243" t="str">
        <f>IF(DONNEES!$E243="","",DONNEES!B243)</f>
        <v/>
      </c>
      <c r="C243" t="str">
        <f>IF(DONNEES!$E243="","",DONNEES!C243)</f>
        <v/>
      </c>
      <c r="D243" t="str">
        <f>IF(DONNEES!$E243="","",DONNEES!E243)</f>
        <v/>
      </c>
      <c r="E243" t="str">
        <f>IF(DONNEES!$E243="","",DONNEES!F243)</f>
        <v/>
      </c>
      <c r="F243" t="str">
        <f>IF(DONNEES!$E243="","",DONNEES!G243)</f>
        <v/>
      </c>
      <c r="G243" t="str">
        <f>IF(DONNEES!$E243="","",DONNEES!H243)</f>
        <v/>
      </c>
      <c r="H243" t="str">
        <f>IF(DONNEES!$E243="","",DONNEES!I243)</f>
        <v/>
      </c>
      <c r="I243" t="str">
        <f>IF(DONNEES!$E243="","",DONNEES!J243)</f>
        <v/>
      </c>
      <c r="J243" t="str">
        <f>IF(DONNEES!$E243="","",DONNEES!K243)</f>
        <v/>
      </c>
      <c r="K243" t="str">
        <f>IF(DONNEES!$E243="","",DONNEES!L243)</f>
        <v/>
      </c>
      <c r="L243" t="str">
        <f>IF(DONNEES!$E243="","",DONNEES!M243)</f>
        <v/>
      </c>
      <c r="M243" t="str">
        <f>IF(DONNEES!$E243="","",DONNEES!N243)</f>
        <v/>
      </c>
      <c r="N243" t="str">
        <f>IF(DONNEES!$E243="","",DONNEES!O243)</f>
        <v/>
      </c>
      <c r="O243" t="str">
        <f>IF(DONNEES!$E243="","",DONNEES!P243)</f>
        <v/>
      </c>
      <c r="P243" t="str">
        <f>IF(DONNEES!$E243="","",DONNEES!Q243)</f>
        <v/>
      </c>
      <c r="Q243" t="str">
        <f>IF(DONNEES!$E243="","",DONNEES!R243)</f>
        <v/>
      </c>
      <c r="R243" t="str">
        <f>IF(DONNEES!$E243="","",DONNEES!S243)</f>
        <v/>
      </c>
      <c r="S243" t="str">
        <f>IF(DONNEES!$E243="","",DONNEES!T243)</f>
        <v/>
      </c>
      <c r="T243" t="str">
        <f>IF(DONNEES!$E243="","",DONNEES!U243)</f>
        <v/>
      </c>
      <c r="U243" t="str">
        <f>IF(DONNEES!$E243="","",DONNEES!V243)</f>
        <v/>
      </c>
      <c r="V243" t="str">
        <f>IF(DONNEES!$E243="","",DONNEES!W243)</f>
        <v/>
      </c>
      <c r="W243" t="str">
        <f>IF(DONNEES!$E243="","",DONNEES!X243)</f>
        <v/>
      </c>
      <c r="X243" t="str">
        <f>IF(DONNEES!$E243="","",DONNEES!Y243)</f>
        <v/>
      </c>
      <c r="Y243" t="str">
        <f>IF(DONNEES!$E243="","",DONNEES!Z243)</f>
        <v/>
      </c>
      <c r="Z243" t="str">
        <f>IF(DONNEES!$E243="","",DONNEES!AQ243)</f>
        <v/>
      </c>
    </row>
    <row r="244" spans="1:26" ht="15" customHeight="1" x14ac:dyDescent="0.3">
      <c r="A244" t="str">
        <f>IF(DONNEES!$E244="","",DONNEES!A244)</f>
        <v/>
      </c>
      <c r="B244" t="str">
        <f>IF(DONNEES!$E244="","",DONNEES!B244)</f>
        <v/>
      </c>
      <c r="C244" t="str">
        <f>IF(DONNEES!$E244="","",DONNEES!C244)</f>
        <v/>
      </c>
      <c r="D244" t="str">
        <f>IF(DONNEES!$E244="","",DONNEES!E244)</f>
        <v/>
      </c>
      <c r="E244" t="str">
        <f>IF(DONNEES!$E244="","",DONNEES!F244)</f>
        <v/>
      </c>
      <c r="F244" t="str">
        <f>IF(DONNEES!$E244="","",DONNEES!G244)</f>
        <v/>
      </c>
      <c r="G244" t="str">
        <f>IF(DONNEES!$E244="","",DONNEES!H244)</f>
        <v/>
      </c>
      <c r="H244" t="str">
        <f>IF(DONNEES!$E244="","",DONNEES!I244)</f>
        <v/>
      </c>
      <c r="I244" t="str">
        <f>IF(DONNEES!$E244="","",DONNEES!J244)</f>
        <v/>
      </c>
      <c r="J244" t="str">
        <f>IF(DONNEES!$E244="","",DONNEES!K244)</f>
        <v/>
      </c>
      <c r="K244" t="str">
        <f>IF(DONNEES!$E244="","",DONNEES!L244)</f>
        <v/>
      </c>
      <c r="L244" t="str">
        <f>IF(DONNEES!$E244="","",DONNEES!M244)</f>
        <v/>
      </c>
      <c r="M244" t="str">
        <f>IF(DONNEES!$E244="","",DONNEES!N244)</f>
        <v/>
      </c>
      <c r="N244" t="str">
        <f>IF(DONNEES!$E244="","",DONNEES!O244)</f>
        <v/>
      </c>
      <c r="O244" t="str">
        <f>IF(DONNEES!$E244="","",DONNEES!P244)</f>
        <v/>
      </c>
      <c r="P244" t="str">
        <f>IF(DONNEES!$E244="","",DONNEES!Q244)</f>
        <v/>
      </c>
      <c r="Q244" t="str">
        <f>IF(DONNEES!$E244="","",DONNEES!R244)</f>
        <v/>
      </c>
      <c r="R244" t="str">
        <f>IF(DONNEES!$E244="","",DONNEES!S244)</f>
        <v/>
      </c>
      <c r="S244" t="str">
        <f>IF(DONNEES!$E244="","",DONNEES!T244)</f>
        <v/>
      </c>
      <c r="T244" t="str">
        <f>IF(DONNEES!$E244="","",DONNEES!U244)</f>
        <v/>
      </c>
      <c r="U244" t="str">
        <f>IF(DONNEES!$E244="","",DONNEES!V244)</f>
        <v/>
      </c>
      <c r="V244" t="str">
        <f>IF(DONNEES!$E244="","",DONNEES!W244)</f>
        <v/>
      </c>
      <c r="W244" t="str">
        <f>IF(DONNEES!$E244="","",DONNEES!X244)</f>
        <v/>
      </c>
      <c r="X244" t="str">
        <f>IF(DONNEES!$E244="","",DONNEES!Y244)</f>
        <v/>
      </c>
      <c r="Y244" t="str">
        <f>IF(DONNEES!$E244="","",DONNEES!Z244)</f>
        <v/>
      </c>
      <c r="Z244" t="str">
        <f>IF(DONNEES!$E244="","",DONNEES!AQ244)</f>
        <v/>
      </c>
    </row>
    <row r="245" spans="1:26" ht="15" customHeight="1" x14ac:dyDescent="0.3">
      <c r="A245" t="str">
        <f>IF(DONNEES!$E245="","",DONNEES!A245)</f>
        <v/>
      </c>
      <c r="B245" t="str">
        <f>IF(DONNEES!$E245="","",DONNEES!B245)</f>
        <v/>
      </c>
      <c r="C245" t="str">
        <f>IF(DONNEES!$E245="","",DONNEES!C245)</f>
        <v/>
      </c>
      <c r="D245" t="str">
        <f>IF(DONNEES!$E245="","",DONNEES!E245)</f>
        <v/>
      </c>
      <c r="E245" t="str">
        <f>IF(DONNEES!$E245="","",DONNEES!F245)</f>
        <v/>
      </c>
      <c r="F245" t="str">
        <f>IF(DONNEES!$E245="","",DONNEES!G245)</f>
        <v/>
      </c>
      <c r="G245" t="str">
        <f>IF(DONNEES!$E245="","",DONNEES!H245)</f>
        <v/>
      </c>
      <c r="H245" t="str">
        <f>IF(DONNEES!$E245="","",DONNEES!I245)</f>
        <v/>
      </c>
      <c r="I245" t="str">
        <f>IF(DONNEES!$E245="","",DONNEES!J245)</f>
        <v/>
      </c>
      <c r="J245" t="str">
        <f>IF(DONNEES!$E245="","",DONNEES!K245)</f>
        <v/>
      </c>
      <c r="K245" t="str">
        <f>IF(DONNEES!$E245="","",DONNEES!L245)</f>
        <v/>
      </c>
      <c r="L245" t="str">
        <f>IF(DONNEES!$E245="","",DONNEES!M245)</f>
        <v/>
      </c>
      <c r="M245" t="str">
        <f>IF(DONNEES!$E245="","",DONNEES!N245)</f>
        <v/>
      </c>
      <c r="N245" t="str">
        <f>IF(DONNEES!$E245="","",DONNEES!O245)</f>
        <v/>
      </c>
      <c r="O245" t="str">
        <f>IF(DONNEES!$E245="","",DONNEES!P245)</f>
        <v/>
      </c>
      <c r="P245" t="str">
        <f>IF(DONNEES!$E245="","",DONNEES!Q245)</f>
        <v/>
      </c>
      <c r="Q245" t="str">
        <f>IF(DONNEES!$E245="","",DONNEES!R245)</f>
        <v/>
      </c>
      <c r="R245" t="str">
        <f>IF(DONNEES!$E245="","",DONNEES!S245)</f>
        <v/>
      </c>
      <c r="S245" t="str">
        <f>IF(DONNEES!$E245="","",DONNEES!T245)</f>
        <v/>
      </c>
      <c r="T245" t="str">
        <f>IF(DONNEES!$E245="","",DONNEES!U245)</f>
        <v/>
      </c>
      <c r="U245" t="str">
        <f>IF(DONNEES!$E245="","",DONNEES!V245)</f>
        <v/>
      </c>
      <c r="V245" t="str">
        <f>IF(DONNEES!$E245="","",DONNEES!W245)</f>
        <v/>
      </c>
      <c r="W245" t="str">
        <f>IF(DONNEES!$E245="","",DONNEES!X245)</f>
        <v/>
      </c>
      <c r="X245" t="str">
        <f>IF(DONNEES!$E245="","",DONNEES!Y245)</f>
        <v/>
      </c>
      <c r="Y245" t="str">
        <f>IF(DONNEES!$E245="","",DONNEES!Z245)</f>
        <v/>
      </c>
      <c r="Z245" t="str">
        <f>IF(DONNEES!$E245="","",DONNEES!AQ245)</f>
        <v/>
      </c>
    </row>
    <row r="246" spans="1:26" ht="15" customHeight="1" x14ac:dyDescent="0.3">
      <c r="A246" t="str">
        <f>IF(DONNEES!$E246="","",DONNEES!A246)</f>
        <v/>
      </c>
      <c r="B246" t="str">
        <f>IF(DONNEES!$E246="","",DONNEES!B246)</f>
        <v/>
      </c>
      <c r="C246" t="str">
        <f>IF(DONNEES!$E246="","",DONNEES!C246)</f>
        <v/>
      </c>
      <c r="D246" t="str">
        <f>IF(DONNEES!$E246="","",DONNEES!E246)</f>
        <v/>
      </c>
      <c r="E246" t="str">
        <f>IF(DONNEES!$E246="","",DONNEES!F246)</f>
        <v/>
      </c>
      <c r="F246" t="str">
        <f>IF(DONNEES!$E246="","",DONNEES!G246)</f>
        <v/>
      </c>
      <c r="G246" t="str">
        <f>IF(DONNEES!$E246="","",DONNEES!H246)</f>
        <v/>
      </c>
      <c r="H246" t="str">
        <f>IF(DONNEES!$E246="","",DONNEES!I246)</f>
        <v/>
      </c>
      <c r="I246" t="str">
        <f>IF(DONNEES!$E246="","",DONNEES!J246)</f>
        <v/>
      </c>
      <c r="J246" t="str">
        <f>IF(DONNEES!$E246="","",DONNEES!K246)</f>
        <v/>
      </c>
      <c r="K246" t="str">
        <f>IF(DONNEES!$E246="","",DONNEES!L246)</f>
        <v/>
      </c>
      <c r="L246" t="str">
        <f>IF(DONNEES!$E246="","",DONNEES!M246)</f>
        <v/>
      </c>
      <c r="M246" t="str">
        <f>IF(DONNEES!$E246="","",DONNEES!N246)</f>
        <v/>
      </c>
      <c r="N246" t="str">
        <f>IF(DONNEES!$E246="","",DONNEES!O246)</f>
        <v/>
      </c>
      <c r="O246" t="str">
        <f>IF(DONNEES!$E246="","",DONNEES!P246)</f>
        <v/>
      </c>
      <c r="P246" t="str">
        <f>IF(DONNEES!$E246="","",DONNEES!Q246)</f>
        <v/>
      </c>
      <c r="Q246" t="str">
        <f>IF(DONNEES!$E246="","",DONNEES!R246)</f>
        <v/>
      </c>
      <c r="R246" t="str">
        <f>IF(DONNEES!$E246="","",DONNEES!S246)</f>
        <v/>
      </c>
      <c r="S246" t="str">
        <f>IF(DONNEES!$E246="","",DONNEES!T246)</f>
        <v/>
      </c>
      <c r="T246" t="str">
        <f>IF(DONNEES!$E246="","",DONNEES!U246)</f>
        <v/>
      </c>
      <c r="U246" t="str">
        <f>IF(DONNEES!$E246="","",DONNEES!V246)</f>
        <v/>
      </c>
      <c r="V246" t="str">
        <f>IF(DONNEES!$E246="","",DONNEES!W246)</f>
        <v/>
      </c>
      <c r="W246" t="str">
        <f>IF(DONNEES!$E246="","",DONNEES!X246)</f>
        <v/>
      </c>
      <c r="X246" t="str">
        <f>IF(DONNEES!$E246="","",DONNEES!Y246)</f>
        <v/>
      </c>
      <c r="Y246" t="str">
        <f>IF(DONNEES!$E246="","",DONNEES!Z246)</f>
        <v/>
      </c>
      <c r="Z246" t="str">
        <f>IF(DONNEES!$E246="","",DONNEES!AQ246)</f>
        <v/>
      </c>
    </row>
    <row r="247" spans="1:26" ht="15" customHeight="1" x14ac:dyDescent="0.3">
      <c r="A247" t="str">
        <f>IF(DONNEES!$E247="","",DONNEES!A247)</f>
        <v/>
      </c>
      <c r="B247" t="str">
        <f>IF(DONNEES!$E247="","",DONNEES!B247)</f>
        <v/>
      </c>
      <c r="C247" t="str">
        <f>IF(DONNEES!$E247="","",DONNEES!C247)</f>
        <v/>
      </c>
      <c r="D247" t="str">
        <f>IF(DONNEES!$E247="","",DONNEES!E247)</f>
        <v/>
      </c>
      <c r="E247" t="str">
        <f>IF(DONNEES!$E247="","",DONNEES!F247)</f>
        <v/>
      </c>
      <c r="F247" t="str">
        <f>IF(DONNEES!$E247="","",DONNEES!G247)</f>
        <v/>
      </c>
      <c r="G247" t="str">
        <f>IF(DONNEES!$E247="","",DONNEES!H247)</f>
        <v/>
      </c>
      <c r="H247" t="str">
        <f>IF(DONNEES!$E247="","",DONNEES!I247)</f>
        <v/>
      </c>
      <c r="I247" t="str">
        <f>IF(DONNEES!$E247="","",DONNEES!J247)</f>
        <v/>
      </c>
      <c r="J247" t="str">
        <f>IF(DONNEES!$E247="","",DONNEES!K247)</f>
        <v/>
      </c>
      <c r="K247" t="str">
        <f>IF(DONNEES!$E247="","",DONNEES!L247)</f>
        <v/>
      </c>
      <c r="L247" t="str">
        <f>IF(DONNEES!$E247="","",DONNEES!M247)</f>
        <v/>
      </c>
      <c r="M247" t="str">
        <f>IF(DONNEES!$E247="","",DONNEES!N247)</f>
        <v/>
      </c>
      <c r="N247" t="str">
        <f>IF(DONNEES!$E247="","",DONNEES!O247)</f>
        <v/>
      </c>
      <c r="O247" t="str">
        <f>IF(DONNEES!$E247="","",DONNEES!P247)</f>
        <v/>
      </c>
      <c r="P247" t="str">
        <f>IF(DONNEES!$E247="","",DONNEES!Q247)</f>
        <v/>
      </c>
      <c r="Q247" t="str">
        <f>IF(DONNEES!$E247="","",DONNEES!R247)</f>
        <v/>
      </c>
      <c r="R247" t="str">
        <f>IF(DONNEES!$E247="","",DONNEES!S247)</f>
        <v/>
      </c>
      <c r="S247" t="str">
        <f>IF(DONNEES!$E247="","",DONNEES!T247)</f>
        <v/>
      </c>
      <c r="T247" t="str">
        <f>IF(DONNEES!$E247="","",DONNEES!U247)</f>
        <v/>
      </c>
      <c r="U247" t="str">
        <f>IF(DONNEES!$E247="","",DONNEES!V247)</f>
        <v/>
      </c>
      <c r="V247" t="str">
        <f>IF(DONNEES!$E247="","",DONNEES!W247)</f>
        <v/>
      </c>
      <c r="W247" t="str">
        <f>IF(DONNEES!$E247="","",DONNEES!X247)</f>
        <v/>
      </c>
      <c r="X247" t="str">
        <f>IF(DONNEES!$E247="","",DONNEES!Y247)</f>
        <v/>
      </c>
      <c r="Y247" t="str">
        <f>IF(DONNEES!$E247="","",DONNEES!Z247)</f>
        <v/>
      </c>
      <c r="Z247" t="str">
        <f>IF(DONNEES!$E247="","",DONNEES!AQ247)</f>
        <v/>
      </c>
    </row>
    <row r="248" spans="1:26" ht="15" customHeight="1" x14ac:dyDescent="0.3">
      <c r="A248" t="str">
        <f>IF(DONNEES!$E248="","",DONNEES!A248)</f>
        <v/>
      </c>
      <c r="B248" t="str">
        <f>IF(DONNEES!$E248="","",DONNEES!B248)</f>
        <v/>
      </c>
      <c r="C248" t="str">
        <f>IF(DONNEES!$E248="","",DONNEES!C248)</f>
        <v/>
      </c>
      <c r="D248" t="str">
        <f>IF(DONNEES!$E248="","",DONNEES!E248)</f>
        <v/>
      </c>
      <c r="E248" t="str">
        <f>IF(DONNEES!$E248="","",DONNEES!F248)</f>
        <v/>
      </c>
      <c r="F248" t="str">
        <f>IF(DONNEES!$E248="","",DONNEES!G248)</f>
        <v/>
      </c>
      <c r="G248" t="str">
        <f>IF(DONNEES!$E248="","",DONNEES!H248)</f>
        <v/>
      </c>
      <c r="H248" t="str">
        <f>IF(DONNEES!$E248="","",DONNEES!I248)</f>
        <v/>
      </c>
      <c r="I248" t="str">
        <f>IF(DONNEES!$E248="","",DONNEES!J248)</f>
        <v/>
      </c>
      <c r="J248" t="str">
        <f>IF(DONNEES!$E248="","",DONNEES!K248)</f>
        <v/>
      </c>
      <c r="K248" t="str">
        <f>IF(DONNEES!$E248="","",DONNEES!L248)</f>
        <v/>
      </c>
      <c r="L248" t="str">
        <f>IF(DONNEES!$E248="","",DONNEES!M248)</f>
        <v/>
      </c>
      <c r="M248" t="str">
        <f>IF(DONNEES!$E248="","",DONNEES!N248)</f>
        <v/>
      </c>
      <c r="N248" t="str">
        <f>IF(DONNEES!$E248="","",DONNEES!O248)</f>
        <v/>
      </c>
      <c r="O248" t="str">
        <f>IF(DONNEES!$E248="","",DONNEES!P248)</f>
        <v/>
      </c>
      <c r="P248" t="str">
        <f>IF(DONNEES!$E248="","",DONNEES!Q248)</f>
        <v/>
      </c>
      <c r="Q248" t="str">
        <f>IF(DONNEES!$E248="","",DONNEES!R248)</f>
        <v/>
      </c>
      <c r="R248" t="str">
        <f>IF(DONNEES!$E248="","",DONNEES!S248)</f>
        <v/>
      </c>
      <c r="S248" t="str">
        <f>IF(DONNEES!$E248="","",DONNEES!T248)</f>
        <v/>
      </c>
      <c r="T248" t="str">
        <f>IF(DONNEES!$E248="","",DONNEES!U248)</f>
        <v/>
      </c>
      <c r="U248" t="str">
        <f>IF(DONNEES!$E248="","",DONNEES!V248)</f>
        <v/>
      </c>
      <c r="V248" t="str">
        <f>IF(DONNEES!$E248="","",DONNEES!W248)</f>
        <v/>
      </c>
      <c r="W248" t="str">
        <f>IF(DONNEES!$E248="","",DONNEES!X248)</f>
        <v/>
      </c>
      <c r="X248" t="str">
        <f>IF(DONNEES!$E248="","",DONNEES!Y248)</f>
        <v/>
      </c>
      <c r="Y248" t="str">
        <f>IF(DONNEES!$E248="","",DONNEES!Z248)</f>
        <v/>
      </c>
      <c r="Z248" t="str">
        <f>IF(DONNEES!$E248="","",DONNEES!AQ248)</f>
        <v/>
      </c>
    </row>
    <row r="249" spans="1:26" ht="15" customHeight="1" x14ac:dyDescent="0.3">
      <c r="A249" t="str">
        <f>IF(DONNEES!$E249="","",DONNEES!A249)</f>
        <v/>
      </c>
      <c r="B249" t="str">
        <f>IF(DONNEES!$E249="","",DONNEES!B249)</f>
        <v/>
      </c>
      <c r="C249" t="str">
        <f>IF(DONNEES!$E249="","",DONNEES!C249)</f>
        <v/>
      </c>
      <c r="D249" t="str">
        <f>IF(DONNEES!$E249="","",DONNEES!E249)</f>
        <v/>
      </c>
      <c r="E249" t="str">
        <f>IF(DONNEES!$E249="","",DONNEES!F249)</f>
        <v/>
      </c>
      <c r="F249" t="str">
        <f>IF(DONNEES!$E249="","",DONNEES!G249)</f>
        <v/>
      </c>
      <c r="G249" t="str">
        <f>IF(DONNEES!$E249="","",DONNEES!H249)</f>
        <v/>
      </c>
      <c r="H249" t="str">
        <f>IF(DONNEES!$E249="","",DONNEES!I249)</f>
        <v/>
      </c>
      <c r="I249" t="str">
        <f>IF(DONNEES!$E249="","",DONNEES!J249)</f>
        <v/>
      </c>
      <c r="J249" t="str">
        <f>IF(DONNEES!$E249="","",DONNEES!K249)</f>
        <v/>
      </c>
      <c r="K249" t="str">
        <f>IF(DONNEES!$E249="","",DONNEES!L249)</f>
        <v/>
      </c>
      <c r="L249" t="str">
        <f>IF(DONNEES!$E249="","",DONNEES!M249)</f>
        <v/>
      </c>
      <c r="M249" t="str">
        <f>IF(DONNEES!$E249="","",DONNEES!N249)</f>
        <v/>
      </c>
      <c r="N249" t="str">
        <f>IF(DONNEES!$E249="","",DONNEES!O249)</f>
        <v/>
      </c>
      <c r="O249" t="str">
        <f>IF(DONNEES!$E249="","",DONNEES!P249)</f>
        <v/>
      </c>
      <c r="P249" t="str">
        <f>IF(DONNEES!$E249="","",DONNEES!Q249)</f>
        <v/>
      </c>
      <c r="Q249" t="str">
        <f>IF(DONNEES!$E249="","",DONNEES!R249)</f>
        <v/>
      </c>
      <c r="R249" t="str">
        <f>IF(DONNEES!$E249="","",DONNEES!S249)</f>
        <v/>
      </c>
      <c r="S249" t="str">
        <f>IF(DONNEES!$E249="","",DONNEES!T249)</f>
        <v/>
      </c>
      <c r="T249" t="str">
        <f>IF(DONNEES!$E249="","",DONNEES!U249)</f>
        <v/>
      </c>
      <c r="U249" t="str">
        <f>IF(DONNEES!$E249="","",DONNEES!V249)</f>
        <v/>
      </c>
      <c r="V249" t="str">
        <f>IF(DONNEES!$E249="","",DONNEES!W249)</f>
        <v/>
      </c>
      <c r="W249" t="str">
        <f>IF(DONNEES!$E249="","",DONNEES!X249)</f>
        <v/>
      </c>
      <c r="X249" t="str">
        <f>IF(DONNEES!$E249="","",DONNEES!Y249)</f>
        <v/>
      </c>
      <c r="Y249" t="str">
        <f>IF(DONNEES!$E249="","",DONNEES!Z249)</f>
        <v/>
      </c>
      <c r="Z249" t="str">
        <f>IF(DONNEES!$E249="","",DONNEES!AQ249)</f>
        <v/>
      </c>
    </row>
    <row r="250" spans="1:26" ht="15" customHeight="1" x14ac:dyDescent="0.3">
      <c r="A250" t="str">
        <f>IF(DONNEES!$E250="","",DONNEES!A250)</f>
        <v/>
      </c>
      <c r="B250" t="str">
        <f>IF(DONNEES!$E250="","",DONNEES!B250)</f>
        <v/>
      </c>
      <c r="C250" t="str">
        <f>IF(DONNEES!$E250="","",DONNEES!C250)</f>
        <v/>
      </c>
      <c r="D250" t="str">
        <f>IF(DONNEES!$E250="","",DONNEES!E250)</f>
        <v/>
      </c>
      <c r="E250" t="str">
        <f>IF(DONNEES!$E250="","",DONNEES!F250)</f>
        <v/>
      </c>
      <c r="F250" t="str">
        <f>IF(DONNEES!$E250="","",DONNEES!G250)</f>
        <v/>
      </c>
      <c r="G250" t="str">
        <f>IF(DONNEES!$E250="","",DONNEES!H250)</f>
        <v/>
      </c>
      <c r="H250" t="str">
        <f>IF(DONNEES!$E250="","",DONNEES!I250)</f>
        <v/>
      </c>
      <c r="I250" t="str">
        <f>IF(DONNEES!$E250="","",DONNEES!J250)</f>
        <v/>
      </c>
      <c r="J250" t="str">
        <f>IF(DONNEES!$E250="","",DONNEES!K250)</f>
        <v/>
      </c>
      <c r="K250" t="str">
        <f>IF(DONNEES!$E250="","",DONNEES!L250)</f>
        <v/>
      </c>
      <c r="L250" t="str">
        <f>IF(DONNEES!$E250="","",DONNEES!M250)</f>
        <v/>
      </c>
      <c r="M250" t="str">
        <f>IF(DONNEES!$E250="","",DONNEES!N250)</f>
        <v/>
      </c>
      <c r="N250" t="str">
        <f>IF(DONNEES!$E250="","",DONNEES!O250)</f>
        <v/>
      </c>
      <c r="O250" t="str">
        <f>IF(DONNEES!$E250="","",DONNEES!P250)</f>
        <v/>
      </c>
      <c r="P250" t="str">
        <f>IF(DONNEES!$E250="","",DONNEES!Q250)</f>
        <v/>
      </c>
      <c r="Q250" t="str">
        <f>IF(DONNEES!$E250="","",DONNEES!R250)</f>
        <v/>
      </c>
      <c r="R250" t="str">
        <f>IF(DONNEES!$E250="","",DONNEES!S250)</f>
        <v/>
      </c>
      <c r="S250" t="str">
        <f>IF(DONNEES!$E250="","",DONNEES!T250)</f>
        <v/>
      </c>
      <c r="T250" t="str">
        <f>IF(DONNEES!$E250="","",DONNEES!U250)</f>
        <v/>
      </c>
      <c r="U250" t="str">
        <f>IF(DONNEES!$E250="","",DONNEES!V250)</f>
        <v/>
      </c>
      <c r="V250" t="str">
        <f>IF(DONNEES!$E250="","",DONNEES!W250)</f>
        <v/>
      </c>
      <c r="W250" t="str">
        <f>IF(DONNEES!$E250="","",DONNEES!X250)</f>
        <v/>
      </c>
      <c r="X250" t="str">
        <f>IF(DONNEES!$E250="","",DONNEES!Y250)</f>
        <v/>
      </c>
      <c r="Y250" t="str">
        <f>IF(DONNEES!$E250="","",DONNEES!Z250)</f>
        <v/>
      </c>
      <c r="Z250" t="str">
        <f>IF(DONNEES!$E250="","",DONNEES!AQ250)</f>
        <v/>
      </c>
    </row>
    <row r="251" spans="1:26" ht="15" customHeight="1" x14ac:dyDescent="0.3">
      <c r="A251" t="str">
        <f>IF(DONNEES!$E251="","",DONNEES!A251)</f>
        <v/>
      </c>
      <c r="B251" t="str">
        <f>IF(DONNEES!$E251="","",DONNEES!B251)</f>
        <v/>
      </c>
      <c r="C251" t="str">
        <f>IF(DONNEES!$E251="","",DONNEES!C251)</f>
        <v/>
      </c>
      <c r="D251" t="str">
        <f>IF(DONNEES!$E251="","",DONNEES!E251)</f>
        <v/>
      </c>
      <c r="E251" t="str">
        <f>IF(DONNEES!$E251="","",DONNEES!F251)</f>
        <v/>
      </c>
      <c r="F251" t="str">
        <f>IF(DONNEES!$E251="","",DONNEES!G251)</f>
        <v/>
      </c>
      <c r="G251" t="str">
        <f>IF(DONNEES!$E251="","",DONNEES!H251)</f>
        <v/>
      </c>
      <c r="H251" t="str">
        <f>IF(DONNEES!$E251="","",DONNEES!I251)</f>
        <v/>
      </c>
      <c r="I251" t="str">
        <f>IF(DONNEES!$E251="","",DONNEES!J251)</f>
        <v/>
      </c>
      <c r="J251" t="str">
        <f>IF(DONNEES!$E251="","",DONNEES!K251)</f>
        <v/>
      </c>
      <c r="K251" t="str">
        <f>IF(DONNEES!$E251="","",DONNEES!L251)</f>
        <v/>
      </c>
      <c r="L251" t="str">
        <f>IF(DONNEES!$E251="","",DONNEES!M251)</f>
        <v/>
      </c>
      <c r="M251" t="str">
        <f>IF(DONNEES!$E251="","",DONNEES!N251)</f>
        <v/>
      </c>
      <c r="N251" t="str">
        <f>IF(DONNEES!$E251="","",DONNEES!O251)</f>
        <v/>
      </c>
      <c r="O251" t="str">
        <f>IF(DONNEES!$E251="","",DONNEES!P251)</f>
        <v/>
      </c>
      <c r="P251" t="str">
        <f>IF(DONNEES!$E251="","",DONNEES!Q251)</f>
        <v/>
      </c>
      <c r="Q251" t="str">
        <f>IF(DONNEES!$E251="","",DONNEES!R251)</f>
        <v/>
      </c>
      <c r="R251" t="str">
        <f>IF(DONNEES!$E251="","",DONNEES!S251)</f>
        <v/>
      </c>
      <c r="S251" t="str">
        <f>IF(DONNEES!$E251="","",DONNEES!T251)</f>
        <v/>
      </c>
      <c r="T251" t="str">
        <f>IF(DONNEES!$E251="","",DONNEES!U251)</f>
        <v/>
      </c>
      <c r="U251" t="str">
        <f>IF(DONNEES!$E251="","",DONNEES!V251)</f>
        <v/>
      </c>
      <c r="V251" t="str">
        <f>IF(DONNEES!$E251="","",DONNEES!W251)</f>
        <v/>
      </c>
      <c r="W251" t="str">
        <f>IF(DONNEES!$E251="","",DONNEES!X251)</f>
        <v/>
      </c>
      <c r="X251" t="str">
        <f>IF(DONNEES!$E251="","",DONNEES!Y251)</f>
        <v/>
      </c>
      <c r="Y251" t="str">
        <f>IF(DONNEES!$E251="","",DONNEES!Z251)</f>
        <v/>
      </c>
      <c r="Z251" t="str">
        <f>IF(DONNEES!$E251="","",DONNEES!AQ251)</f>
        <v/>
      </c>
    </row>
    <row r="252" spans="1:26" ht="15" customHeight="1" x14ac:dyDescent="0.3">
      <c r="A252" t="str">
        <f>IF(DONNEES!$E252="","",DONNEES!A252)</f>
        <v/>
      </c>
      <c r="B252" t="str">
        <f>IF(DONNEES!$E252="","",DONNEES!B252)</f>
        <v/>
      </c>
      <c r="C252" t="str">
        <f>IF(DONNEES!$E252="","",DONNEES!C252)</f>
        <v/>
      </c>
      <c r="D252" t="str">
        <f>IF(DONNEES!$E252="","",DONNEES!E252)</f>
        <v/>
      </c>
      <c r="E252" t="str">
        <f>IF(DONNEES!$E252="","",DONNEES!F252)</f>
        <v/>
      </c>
      <c r="F252" t="str">
        <f>IF(DONNEES!$E252="","",DONNEES!G252)</f>
        <v/>
      </c>
      <c r="G252" t="str">
        <f>IF(DONNEES!$E252="","",DONNEES!H252)</f>
        <v/>
      </c>
      <c r="H252" t="str">
        <f>IF(DONNEES!$E252="","",DONNEES!I252)</f>
        <v/>
      </c>
      <c r="I252" t="str">
        <f>IF(DONNEES!$E252="","",DONNEES!J252)</f>
        <v/>
      </c>
      <c r="J252" t="str">
        <f>IF(DONNEES!$E252="","",DONNEES!K252)</f>
        <v/>
      </c>
      <c r="K252" t="str">
        <f>IF(DONNEES!$E252="","",DONNEES!L252)</f>
        <v/>
      </c>
      <c r="L252" t="str">
        <f>IF(DONNEES!$E252="","",DONNEES!M252)</f>
        <v/>
      </c>
      <c r="M252" t="str">
        <f>IF(DONNEES!$E252="","",DONNEES!N252)</f>
        <v/>
      </c>
      <c r="N252" t="str">
        <f>IF(DONNEES!$E252="","",DONNEES!O252)</f>
        <v/>
      </c>
      <c r="O252" t="str">
        <f>IF(DONNEES!$E252="","",DONNEES!P252)</f>
        <v/>
      </c>
      <c r="P252" t="str">
        <f>IF(DONNEES!$E252="","",DONNEES!Q252)</f>
        <v/>
      </c>
      <c r="Q252" t="str">
        <f>IF(DONNEES!$E252="","",DONNEES!R252)</f>
        <v/>
      </c>
      <c r="R252" t="str">
        <f>IF(DONNEES!$E252="","",DONNEES!S252)</f>
        <v/>
      </c>
      <c r="S252" t="str">
        <f>IF(DONNEES!$E252="","",DONNEES!T252)</f>
        <v/>
      </c>
      <c r="T252" t="str">
        <f>IF(DONNEES!$E252="","",DONNEES!U252)</f>
        <v/>
      </c>
      <c r="U252" t="str">
        <f>IF(DONNEES!$E252="","",DONNEES!V252)</f>
        <v/>
      </c>
      <c r="V252" t="str">
        <f>IF(DONNEES!$E252="","",DONNEES!W252)</f>
        <v/>
      </c>
      <c r="W252" t="str">
        <f>IF(DONNEES!$E252="","",DONNEES!X252)</f>
        <v/>
      </c>
      <c r="X252" t="str">
        <f>IF(DONNEES!$E252="","",DONNEES!Y252)</f>
        <v/>
      </c>
      <c r="Y252" t="str">
        <f>IF(DONNEES!$E252="","",DONNEES!Z252)</f>
        <v/>
      </c>
      <c r="Z252" t="str">
        <f>IF(DONNEES!$E252="","",DONNEES!AQ252)</f>
        <v/>
      </c>
    </row>
    <row r="253" spans="1:26" ht="15" customHeight="1" x14ac:dyDescent="0.3">
      <c r="A253" t="str">
        <f>IF(DONNEES!$E253="","",DONNEES!A253)</f>
        <v/>
      </c>
      <c r="B253" t="str">
        <f>IF(DONNEES!$E253="","",DONNEES!B253)</f>
        <v/>
      </c>
      <c r="C253" t="str">
        <f>IF(DONNEES!$E253="","",DONNEES!C253)</f>
        <v/>
      </c>
      <c r="D253" t="str">
        <f>IF(DONNEES!$E253="","",DONNEES!E253)</f>
        <v/>
      </c>
      <c r="E253" t="str">
        <f>IF(DONNEES!$E253="","",DONNEES!F253)</f>
        <v/>
      </c>
      <c r="F253" t="str">
        <f>IF(DONNEES!$E253="","",DONNEES!G253)</f>
        <v/>
      </c>
      <c r="G253" t="str">
        <f>IF(DONNEES!$E253="","",DONNEES!H253)</f>
        <v/>
      </c>
      <c r="H253" t="str">
        <f>IF(DONNEES!$E253="","",DONNEES!I253)</f>
        <v/>
      </c>
      <c r="I253" t="str">
        <f>IF(DONNEES!$E253="","",DONNEES!J253)</f>
        <v/>
      </c>
      <c r="J253" t="str">
        <f>IF(DONNEES!$E253="","",DONNEES!K253)</f>
        <v/>
      </c>
      <c r="K253" t="str">
        <f>IF(DONNEES!$E253="","",DONNEES!L253)</f>
        <v/>
      </c>
      <c r="L253" t="str">
        <f>IF(DONNEES!$E253="","",DONNEES!M253)</f>
        <v/>
      </c>
      <c r="M253" t="str">
        <f>IF(DONNEES!$E253="","",DONNEES!N253)</f>
        <v/>
      </c>
      <c r="N253" t="str">
        <f>IF(DONNEES!$E253="","",DONNEES!O253)</f>
        <v/>
      </c>
      <c r="O253" t="str">
        <f>IF(DONNEES!$E253="","",DONNEES!P253)</f>
        <v/>
      </c>
      <c r="P253" t="str">
        <f>IF(DONNEES!$E253="","",DONNEES!Q253)</f>
        <v/>
      </c>
      <c r="Q253" t="str">
        <f>IF(DONNEES!$E253="","",DONNEES!R253)</f>
        <v/>
      </c>
      <c r="R253" t="str">
        <f>IF(DONNEES!$E253="","",DONNEES!S253)</f>
        <v/>
      </c>
      <c r="S253" t="str">
        <f>IF(DONNEES!$E253="","",DONNEES!T253)</f>
        <v/>
      </c>
      <c r="T253" t="str">
        <f>IF(DONNEES!$E253="","",DONNEES!U253)</f>
        <v/>
      </c>
      <c r="U253" t="str">
        <f>IF(DONNEES!$E253="","",DONNEES!V253)</f>
        <v/>
      </c>
      <c r="V253" t="str">
        <f>IF(DONNEES!$E253="","",DONNEES!W253)</f>
        <v/>
      </c>
      <c r="W253" t="str">
        <f>IF(DONNEES!$E253="","",DONNEES!X253)</f>
        <v/>
      </c>
      <c r="X253" t="str">
        <f>IF(DONNEES!$E253="","",DONNEES!Y253)</f>
        <v/>
      </c>
      <c r="Y253" t="str">
        <f>IF(DONNEES!$E253="","",DONNEES!Z253)</f>
        <v/>
      </c>
      <c r="Z253" t="str">
        <f>IF(DONNEES!$E253="","",DONNEES!AQ253)</f>
        <v/>
      </c>
    </row>
    <row r="254" spans="1:26" ht="15" customHeight="1" x14ac:dyDescent="0.3">
      <c r="A254" t="str">
        <f>IF(DONNEES!$E254="","",DONNEES!A254)</f>
        <v/>
      </c>
      <c r="B254" t="str">
        <f>IF(DONNEES!$E254="","",DONNEES!B254)</f>
        <v/>
      </c>
      <c r="C254" t="str">
        <f>IF(DONNEES!$E254="","",DONNEES!C254)</f>
        <v/>
      </c>
      <c r="D254" t="str">
        <f>IF(DONNEES!$E254="","",DONNEES!E254)</f>
        <v/>
      </c>
      <c r="E254" t="str">
        <f>IF(DONNEES!$E254="","",DONNEES!F254)</f>
        <v/>
      </c>
      <c r="F254" t="str">
        <f>IF(DONNEES!$E254="","",DONNEES!G254)</f>
        <v/>
      </c>
      <c r="G254" t="str">
        <f>IF(DONNEES!$E254="","",DONNEES!H254)</f>
        <v/>
      </c>
      <c r="H254" t="str">
        <f>IF(DONNEES!$E254="","",DONNEES!I254)</f>
        <v/>
      </c>
      <c r="I254" t="str">
        <f>IF(DONNEES!$E254="","",DONNEES!J254)</f>
        <v/>
      </c>
      <c r="J254" t="str">
        <f>IF(DONNEES!$E254="","",DONNEES!K254)</f>
        <v/>
      </c>
      <c r="K254" t="str">
        <f>IF(DONNEES!$E254="","",DONNEES!L254)</f>
        <v/>
      </c>
      <c r="L254" t="str">
        <f>IF(DONNEES!$E254="","",DONNEES!M254)</f>
        <v/>
      </c>
      <c r="M254" t="str">
        <f>IF(DONNEES!$E254="","",DONNEES!N254)</f>
        <v/>
      </c>
      <c r="N254" t="str">
        <f>IF(DONNEES!$E254="","",DONNEES!O254)</f>
        <v/>
      </c>
      <c r="O254" t="str">
        <f>IF(DONNEES!$E254="","",DONNEES!P254)</f>
        <v/>
      </c>
      <c r="P254" t="str">
        <f>IF(DONNEES!$E254="","",DONNEES!Q254)</f>
        <v/>
      </c>
      <c r="Q254" t="str">
        <f>IF(DONNEES!$E254="","",DONNEES!R254)</f>
        <v/>
      </c>
      <c r="R254" t="str">
        <f>IF(DONNEES!$E254="","",DONNEES!S254)</f>
        <v/>
      </c>
      <c r="S254" t="str">
        <f>IF(DONNEES!$E254="","",DONNEES!T254)</f>
        <v/>
      </c>
      <c r="T254" t="str">
        <f>IF(DONNEES!$E254="","",DONNEES!U254)</f>
        <v/>
      </c>
      <c r="U254" t="str">
        <f>IF(DONNEES!$E254="","",DONNEES!V254)</f>
        <v/>
      </c>
      <c r="V254" t="str">
        <f>IF(DONNEES!$E254="","",DONNEES!W254)</f>
        <v/>
      </c>
      <c r="W254" t="str">
        <f>IF(DONNEES!$E254="","",DONNEES!X254)</f>
        <v/>
      </c>
      <c r="X254" t="str">
        <f>IF(DONNEES!$E254="","",DONNEES!Y254)</f>
        <v/>
      </c>
      <c r="Y254" t="str">
        <f>IF(DONNEES!$E254="","",DONNEES!Z254)</f>
        <v/>
      </c>
      <c r="Z254" t="str">
        <f>IF(DONNEES!$E254="","",DONNEES!AQ254)</f>
        <v/>
      </c>
    </row>
    <row r="255" spans="1:26" ht="15" customHeight="1" x14ac:dyDescent="0.3">
      <c r="A255" t="str">
        <f>IF(DONNEES!$E255="","",DONNEES!A255)</f>
        <v/>
      </c>
      <c r="B255" t="str">
        <f>IF(DONNEES!$E255="","",DONNEES!B255)</f>
        <v/>
      </c>
      <c r="C255" t="str">
        <f>IF(DONNEES!$E255="","",DONNEES!C255)</f>
        <v/>
      </c>
      <c r="D255" t="str">
        <f>IF(DONNEES!$E255="","",DONNEES!E255)</f>
        <v/>
      </c>
      <c r="E255" t="str">
        <f>IF(DONNEES!$E255="","",DONNEES!F255)</f>
        <v/>
      </c>
      <c r="F255" t="str">
        <f>IF(DONNEES!$E255="","",DONNEES!G255)</f>
        <v/>
      </c>
      <c r="G255" t="str">
        <f>IF(DONNEES!$E255="","",DONNEES!H255)</f>
        <v/>
      </c>
      <c r="H255" t="str">
        <f>IF(DONNEES!$E255="","",DONNEES!I255)</f>
        <v/>
      </c>
      <c r="I255" t="str">
        <f>IF(DONNEES!$E255="","",DONNEES!J255)</f>
        <v/>
      </c>
      <c r="J255" t="str">
        <f>IF(DONNEES!$E255="","",DONNEES!K255)</f>
        <v/>
      </c>
      <c r="K255" t="str">
        <f>IF(DONNEES!$E255="","",DONNEES!L255)</f>
        <v/>
      </c>
      <c r="L255" t="str">
        <f>IF(DONNEES!$E255="","",DONNEES!M255)</f>
        <v/>
      </c>
      <c r="M255" t="str">
        <f>IF(DONNEES!$E255="","",DONNEES!N255)</f>
        <v/>
      </c>
      <c r="N255" t="str">
        <f>IF(DONNEES!$E255="","",DONNEES!O255)</f>
        <v/>
      </c>
      <c r="O255" t="str">
        <f>IF(DONNEES!$E255="","",DONNEES!P255)</f>
        <v/>
      </c>
      <c r="P255" t="str">
        <f>IF(DONNEES!$E255="","",DONNEES!Q255)</f>
        <v/>
      </c>
      <c r="Q255" t="str">
        <f>IF(DONNEES!$E255="","",DONNEES!R255)</f>
        <v/>
      </c>
      <c r="R255" t="str">
        <f>IF(DONNEES!$E255="","",DONNEES!S255)</f>
        <v/>
      </c>
      <c r="S255" t="str">
        <f>IF(DONNEES!$E255="","",DONNEES!T255)</f>
        <v/>
      </c>
      <c r="T255" t="str">
        <f>IF(DONNEES!$E255="","",DONNEES!U255)</f>
        <v/>
      </c>
      <c r="U255" t="str">
        <f>IF(DONNEES!$E255="","",DONNEES!V255)</f>
        <v/>
      </c>
      <c r="V255" t="str">
        <f>IF(DONNEES!$E255="","",DONNEES!W255)</f>
        <v/>
      </c>
      <c r="W255" t="str">
        <f>IF(DONNEES!$E255="","",DONNEES!X255)</f>
        <v/>
      </c>
      <c r="X255" t="str">
        <f>IF(DONNEES!$E255="","",DONNEES!Y255)</f>
        <v/>
      </c>
      <c r="Y255" t="str">
        <f>IF(DONNEES!$E255="","",DONNEES!Z255)</f>
        <v/>
      </c>
      <c r="Z255" t="str">
        <f>IF(DONNEES!$E255="","",DONNEES!AQ255)</f>
        <v/>
      </c>
    </row>
    <row r="256" spans="1:26" ht="15" customHeight="1" x14ac:dyDescent="0.3">
      <c r="A256" t="str">
        <f>IF(DONNEES!$E256="","",DONNEES!A256)</f>
        <v/>
      </c>
      <c r="B256" t="str">
        <f>IF(DONNEES!$E256="","",DONNEES!B256)</f>
        <v/>
      </c>
      <c r="C256" t="str">
        <f>IF(DONNEES!$E256="","",DONNEES!C256)</f>
        <v/>
      </c>
      <c r="D256" t="str">
        <f>IF(DONNEES!$E256="","",DONNEES!E256)</f>
        <v/>
      </c>
      <c r="E256" t="str">
        <f>IF(DONNEES!$E256="","",DONNEES!F256)</f>
        <v/>
      </c>
      <c r="F256" t="str">
        <f>IF(DONNEES!$E256="","",DONNEES!G256)</f>
        <v/>
      </c>
      <c r="G256" t="str">
        <f>IF(DONNEES!$E256="","",DONNEES!H256)</f>
        <v/>
      </c>
      <c r="H256" t="str">
        <f>IF(DONNEES!$E256="","",DONNEES!I256)</f>
        <v/>
      </c>
      <c r="I256" t="str">
        <f>IF(DONNEES!$E256="","",DONNEES!J256)</f>
        <v/>
      </c>
      <c r="J256" t="str">
        <f>IF(DONNEES!$E256="","",DONNEES!K256)</f>
        <v/>
      </c>
      <c r="K256" t="str">
        <f>IF(DONNEES!$E256="","",DONNEES!L256)</f>
        <v/>
      </c>
      <c r="L256" t="str">
        <f>IF(DONNEES!$E256="","",DONNEES!M256)</f>
        <v/>
      </c>
      <c r="M256" t="str">
        <f>IF(DONNEES!$E256="","",DONNEES!N256)</f>
        <v/>
      </c>
      <c r="N256" t="str">
        <f>IF(DONNEES!$E256="","",DONNEES!O256)</f>
        <v/>
      </c>
      <c r="O256" t="str">
        <f>IF(DONNEES!$E256="","",DONNEES!P256)</f>
        <v/>
      </c>
      <c r="P256" t="str">
        <f>IF(DONNEES!$E256="","",DONNEES!Q256)</f>
        <v/>
      </c>
      <c r="Q256" t="str">
        <f>IF(DONNEES!$E256="","",DONNEES!R256)</f>
        <v/>
      </c>
      <c r="R256" t="str">
        <f>IF(DONNEES!$E256="","",DONNEES!S256)</f>
        <v/>
      </c>
      <c r="S256" t="str">
        <f>IF(DONNEES!$E256="","",DONNEES!T256)</f>
        <v/>
      </c>
      <c r="T256" t="str">
        <f>IF(DONNEES!$E256="","",DONNEES!U256)</f>
        <v/>
      </c>
      <c r="U256" t="str">
        <f>IF(DONNEES!$E256="","",DONNEES!V256)</f>
        <v/>
      </c>
      <c r="V256" t="str">
        <f>IF(DONNEES!$E256="","",DONNEES!W256)</f>
        <v/>
      </c>
      <c r="W256" t="str">
        <f>IF(DONNEES!$E256="","",DONNEES!X256)</f>
        <v/>
      </c>
      <c r="X256" t="str">
        <f>IF(DONNEES!$E256="","",DONNEES!Y256)</f>
        <v/>
      </c>
      <c r="Y256" t="str">
        <f>IF(DONNEES!$E256="","",DONNEES!Z256)</f>
        <v/>
      </c>
      <c r="Z256" t="str">
        <f>IF(DONNEES!$E256="","",DONNEES!AQ256)</f>
        <v/>
      </c>
    </row>
    <row r="257" spans="1:26" ht="15" customHeight="1" x14ac:dyDescent="0.3">
      <c r="A257" t="str">
        <f>IF(DONNEES!$E257="","",DONNEES!A257)</f>
        <v/>
      </c>
      <c r="B257" t="str">
        <f>IF(DONNEES!$E257="","",DONNEES!B257)</f>
        <v/>
      </c>
      <c r="C257" t="str">
        <f>IF(DONNEES!$E257="","",DONNEES!C257)</f>
        <v/>
      </c>
      <c r="D257" t="str">
        <f>IF(DONNEES!$E257="","",DONNEES!E257)</f>
        <v/>
      </c>
      <c r="E257" t="str">
        <f>IF(DONNEES!$E257="","",DONNEES!F257)</f>
        <v/>
      </c>
      <c r="F257" t="str">
        <f>IF(DONNEES!$E257="","",DONNEES!G257)</f>
        <v/>
      </c>
      <c r="G257" t="str">
        <f>IF(DONNEES!$E257="","",DONNEES!H257)</f>
        <v/>
      </c>
      <c r="H257" t="str">
        <f>IF(DONNEES!$E257="","",DONNEES!I257)</f>
        <v/>
      </c>
      <c r="I257" t="str">
        <f>IF(DONNEES!$E257="","",DONNEES!J257)</f>
        <v/>
      </c>
      <c r="J257" t="str">
        <f>IF(DONNEES!$E257="","",DONNEES!K257)</f>
        <v/>
      </c>
      <c r="K257" t="str">
        <f>IF(DONNEES!$E257="","",DONNEES!L257)</f>
        <v/>
      </c>
      <c r="L257" t="str">
        <f>IF(DONNEES!$E257="","",DONNEES!M257)</f>
        <v/>
      </c>
      <c r="M257" t="str">
        <f>IF(DONNEES!$E257="","",DONNEES!N257)</f>
        <v/>
      </c>
      <c r="N257" t="str">
        <f>IF(DONNEES!$E257="","",DONNEES!O257)</f>
        <v/>
      </c>
      <c r="O257" t="str">
        <f>IF(DONNEES!$E257="","",DONNEES!P257)</f>
        <v/>
      </c>
      <c r="P257" t="str">
        <f>IF(DONNEES!$E257="","",DONNEES!Q257)</f>
        <v/>
      </c>
      <c r="Q257" t="str">
        <f>IF(DONNEES!$E257="","",DONNEES!R257)</f>
        <v/>
      </c>
      <c r="R257" t="str">
        <f>IF(DONNEES!$E257="","",DONNEES!S257)</f>
        <v/>
      </c>
      <c r="S257" t="str">
        <f>IF(DONNEES!$E257="","",DONNEES!T257)</f>
        <v/>
      </c>
      <c r="T257" t="str">
        <f>IF(DONNEES!$E257="","",DONNEES!U257)</f>
        <v/>
      </c>
      <c r="U257" t="str">
        <f>IF(DONNEES!$E257="","",DONNEES!V257)</f>
        <v/>
      </c>
      <c r="V257" t="str">
        <f>IF(DONNEES!$E257="","",DONNEES!W257)</f>
        <v/>
      </c>
      <c r="W257" t="str">
        <f>IF(DONNEES!$E257="","",DONNEES!X257)</f>
        <v/>
      </c>
      <c r="X257" t="str">
        <f>IF(DONNEES!$E257="","",DONNEES!Y257)</f>
        <v/>
      </c>
      <c r="Y257" t="str">
        <f>IF(DONNEES!$E257="","",DONNEES!Z257)</f>
        <v/>
      </c>
      <c r="Z257" t="str">
        <f>IF(DONNEES!$E257="","",DONNEES!AQ257)</f>
        <v/>
      </c>
    </row>
    <row r="258" spans="1:26" ht="15" customHeight="1" x14ac:dyDescent="0.3">
      <c r="A258" t="str">
        <f>IF(DONNEES!$E258="","",DONNEES!A258)</f>
        <v/>
      </c>
      <c r="B258" t="str">
        <f>IF(DONNEES!$E258="","",DONNEES!B258)</f>
        <v/>
      </c>
      <c r="C258" t="str">
        <f>IF(DONNEES!$E258="","",DONNEES!C258)</f>
        <v/>
      </c>
      <c r="D258" t="str">
        <f>IF(DONNEES!$E258="","",DONNEES!E258)</f>
        <v/>
      </c>
      <c r="E258" t="str">
        <f>IF(DONNEES!$E258="","",DONNEES!F258)</f>
        <v/>
      </c>
      <c r="F258" t="str">
        <f>IF(DONNEES!$E258="","",DONNEES!G258)</f>
        <v/>
      </c>
      <c r="G258" t="str">
        <f>IF(DONNEES!$E258="","",DONNEES!H258)</f>
        <v/>
      </c>
      <c r="H258" t="str">
        <f>IF(DONNEES!$E258="","",DONNEES!I258)</f>
        <v/>
      </c>
      <c r="I258" t="str">
        <f>IF(DONNEES!$E258="","",DONNEES!J258)</f>
        <v/>
      </c>
      <c r="J258" t="str">
        <f>IF(DONNEES!$E258="","",DONNEES!K258)</f>
        <v/>
      </c>
      <c r="K258" t="str">
        <f>IF(DONNEES!$E258="","",DONNEES!L258)</f>
        <v/>
      </c>
      <c r="L258" t="str">
        <f>IF(DONNEES!$E258="","",DONNEES!M258)</f>
        <v/>
      </c>
      <c r="M258" t="str">
        <f>IF(DONNEES!$E258="","",DONNEES!N258)</f>
        <v/>
      </c>
      <c r="N258" t="str">
        <f>IF(DONNEES!$E258="","",DONNEES!O258)</f>
        <v/>
      </c>
      <c r="O258" t="str">
        <f>IF(DONNEES!$E258="","",DONNEES!P258)</f>
        <v/>
      </c>
      <c r="P258" t="str">
        <f>IF(DONNEES!$E258="","",DONNEES!Q258)</f>
        <v/>
      </c>
      <c r="Q258" t="str">
        <f>IF(DONNEES!$E258="","",DONNEES!R258)</f>
        <v/>
      </c>
      <c r="R258" t="str">
        <f>IF(DONNEES!$E258="","",DONNEES!S258)</f>
        <v/>
      </c>
      <c r="S258" t="str">
        <f>IF(DONNEES!$E258="","",DONNEES!T258)</f>
        <v/>
      </c>
      <c r="T258" t="str">
        <f>IF(DONNEES!$E258="","",DONNEES!U258)</f>
        <v/>
      </c>
      <c r="U258" t="str">
        <f>IF(DONNEES!$E258="","",DONNEES!V258)</f>
        <v/>
      </c>
      <c r="V258" t="str">
        <f>IF(DONNEES!$E258="","",DONNEES!W258)</f>
        <v/>
      </c>
      <c r="W258" t="str">
        <f>IF(DONNEES!$E258="","",DONNEES!X258)</f>
        <v/>
      </c>
      <c r="X258" t="str">
        <f>IF(DONNEES!$E258="","",DONNEES!Y258)</f>
        <v/>
      </c>
      <c r="Y258" t="str">
        <f>IF(DONNEES!$E258="","",DONNEES!Z258)</f>
        <v/>
      </c>
      <c r="Z258" t="str">
        <f>IF(DONNEES!$E258="","",DONNEES!AQ258)</f>
        <v/>
      </c>
    </row>
    <row r="259" spans="1:26" ht="15" customHeight="1" x14ac:dyDescent="0.3">
      <c r="A259" t="str">
        <f>IF(DONNEES!$E259="","",DONNEES!A259)</f>
        <v/>
      </c>
      <c r="B259" t="str">
        <f>IF(DONNEES!$E259="","",DONNEES!B259)</f>
        <v/>
      </c>
      <c r="C259" t="str">
        <f>IF(DONNEES!$E259="","",DONNEES!C259)</f>
        <v/>
      </c>
      <c r="D259" t="str">
        <f>IF(DONNEES!$E259="","",DONNEES!E259)</f>
        <v/>
      </c>
      <c r="E259" t="str">
        <f>IF(DONNEES!$E259="","",DONNEES!F259)</f>
        <v/>
      </c>
      <c r="F259" t="str">
        <f>IF(DONNEES!$E259="","",DONNEES!G259)</f>
        <v/>
      </c>
      <c r="G259" t="str">
        <f>IF(DONNEES!$E259="","",DONNEES!H259)</f>
        <v/>
      </c>
      <c r="H259" t="str">
        <f>IF(DONNEES!$E259="","",DONNEES!I259)</f>
        <v/>
      </c>
      <c r="I259" t="str">
        <f>IF(DONNEES!$E259="","",DONNEES!J259)</f>
        <v/>
      </c>
      <c r="J259" t="str">
        <f>IF(DONNEES!$E259="","",DONNEES!K259)</f>
        <v/>
      </c>
      <c r="K259" t="str">
        <f>IF(DONNEES!$E259="","",DONNEES!L259)</f>
        <v/>
      </c>
      <c r="L259" t="str">
        <f>IF(DONNEES!$E259="","",DONNEES!M259)</f>
        <v/>
      </c>
      <c r="M259" t="str">
        <f>IF(DONNEES!$E259="","",DONNEES!N259)</f>
        <v/>
      </c>
      <c r="N259" t="str">
        <f>IF(DONNEES!$E259="","",DONNEES!O259)</f>
        <v/>
      </c>
      <c r="O259" t="str">
        <f>IF(DONNEES!$E259="","",DONNEES!P259)</f>
        <v/>
      </c>
      <c r="P259" t="str">
        <f>IF(DONNEES!$E259="","",DONNEES!Q259)</f>
        <v/>
      </c>
      <c r="Q259" t="str">
        <f>IF(DONNEES!$E259="","",DONNEES!R259)</f>
        <v/>
      </c>
      <c r="R259" t="str">
        <f>IF(DONNEES!$E259="","",DONNEES!S259)</f>
        <v/>
      </c>
      <c r="S259" t="str">
        <f>IF(DONNEES!$E259="","",DONNEES!T259)</f>
        <v/>
      </c>
      <c r="T259" t="str">
        <f>IF(DONNEES!$E259="","",DONNEES!U259)</f>
        <v/>
      </c>
      <c r="U259" t="str">
        <f>IF(DONNEES!$E259="","",DONNEES!V259)</f>
        <v/>
      </c>
      <c r="V259" t="str">
        <f>IF(DONNEES!$E259="","",DONNEES!W259)</f>
        <v/>
      </c>
      <c r="W259" t="str">
        <f>IF(DONNEES!$E259="","",DONNEES!X259)</f>
        <v/>
      </c>
      <c r="X259" t="str">
        <f>IF(DONNEES!$E259="","",DONNEES!Y259)</f>
        <v/>
      </c>
      <c r="Y259" t="str">
        <f>IF(DONNEES!$E259="","",DONNEES!Z259)</f>
        <v/>
      </c>
      <c r="Z259" t="str">
        <f>IF(DONNEES!$E259="","",DONNEES!AQ259)</f>
        <v/>
      </c>
    </row>
    <row r="260" spans="1:26" ht="15" customHeight="1" x14ac:dyDescent="0.3">
      <c r="A260" t="str">
        <f>IF(DONNEES!$E260="","",DONNEES!A260)</f>
        <v/>
      </c>
      <c r="B260" t="str">
        <f>IF(DONNEES!$E260="","",DONNEES!B260)</f>
        <v/>
      </c>
      <c r="C260" t="str">
        <f>IF(DONNEES!$E260="","",DONNEES!C260)</f>
        <v/>
      </c>
      <c r="D260" t="str">
        <f>IF(DONNEES!$E260="","",DONNEES!E260)</f>
        <v/>
      </c>
      <c r="E260" t="str">
        <f>IF(DONNEES!$E260="","",DONNEES!F260)</f>
        <v/>
      </c>
      <c r="F260" t="str">
        <f>IF(DONNEES!$E260="","",DONNEES!G260)</f>
        <v/>
      </c>
      <c r="G260" t="str">
        <f>IF(DONNEES!$E260="","",DONNEES!H260)</f>
        <v/>
      </c>
      <c r="H260" t="str">
        <f>IF(DONNEES!$E260="","",DONNEES!I260)</f>
        <v/>
      </c>
      <c r="I260" t="str">
        <f>IF(DONNEES!$E260="","",DONNEES!J260)</f>
        <v/>
      </c>
      <c r="J260" t="str">
        <f>IF(DONNEES!$E260="","",DONNEES!K260)</f>
        <v/>
      </c>
      <c r="K260" t="str">
        <f>IF(DONNEES!$E260="","",DONNEES!L260)</f>
        <v/>
      </c>
      <c r="L260" t="str">
        <f>IF(DONNEES!$E260="","",DONNEES!M260)</f>
        <v/>
      </c>
      <c r="M260" t="str">
        <f>IF(DONNEES!$E260="","",DONNEES!N260)</f>
        <v/>
      </c>
      <c r="N260" t="str">
        <f>IF(DONNEES!$E260="","",DONNEES!O260)</f>
        <v/>
      </c>
      <c r="O260" t="str">
        <f>IF(DONNEES!$E260="","",DONNEES!P260)</f>
        <v/>
      </c>
      <c r="P260" t="str">
        <f>IF(DONNEES!$E260="","",DONNEES!Q260)</f>
        <v/>
      </c>
      <c r="Q260" t="str">
        <f>IF(DONNEES!$E260="","",DONNEES!R260)</f>
        <v/>
      </c>
      <c r="R260" t="str">
        <f>IF(DONNEES!$E260="","",DONNEES!S260)</f>
        <v/>
      </c>
      <c r="S260" t="str">
        <f>IF(DONNEES!$E260="","",DONNEES!T260)</f>
        <v/>
      </c>
      <c r="T260" t="str">
        <f>IF(DONNEES!$E260="","",DONNEES!U260)</f>
        <v/>
      </c>
      <c r="U260" t="str">
        <f>IF(DONNEES!$E260="","",DONNEES!V260)</f>
        <v/>
      </c>
      <c r="V260" t="str">
        <f>IF(DONNEES!$E260="","",DONNEES!W260)</f>
        <v/>
      </c>
      <c r="W260" t="str">
        <f>IF(DONNEES!$E260="","",DONNEES!X260)</f>
        <v/>
      </c>
      <c r="X260" t="str">
        <f>IF(DONNEES!$E260="","",DONNEES!Y260)</f>
        <v/>
      </c>
      <c r="Y260" t="str">
        <f>IF(DONNEES!$E260="","",DONNEES!Z260)</f>
        <v/>
      </c>
      <c r="Z260" t="str">
        <f>IF(DONNEES!$E260="","",DONNEES!AQ260)</f>
        <v/>
      </c>
    </row>
    <row r="261" spans="1:26" ht="15" customHeight="1" x14ac:dyDescent="0.3">
      <c r="A261" t="str">
        <f>IF(DONNEES!$E261="","",DONNEES!A261)</f>
        <v/>
      </c>
      <c r="B261" t="str">
        <f>IF(DONNEES!$E261="","",DONNEES!B261)</f>
        <v/>
      </c>
      <c r="C261" t="str">
        <f>IF(DONNEES!$E261="","",DONNEES!C261)</f>
        <v/>
      </c>
      <c r="D261" t="str">
        <f>IF(DONNEES!$E261="","",DONNEES!E261)</f>
        <v/>
      </c>
      <c r="E261" t="str">
        <f>IF(DONNEES!$E261="","",DONNEES!F261)</f>
        <v/>
      </c>
      <c r="F261" t="str">
        <f>IF(DONNEES!$E261="","",DONNEES!G261)</f>
        <v/>
      </c>
      <c r="G261" t="str">
        <f>IF(DONNEES!$E261="","",DONNEES!H261)</f>
        <v/>
      </c>
      <c r="H261" t="str">
        <f>IF(DONNEES!$E261="","",DONNEES!I261)</f>
        <v/>
      </c>
      <c r="I261" t="str">
        <f>IF(DONNEES!$E261="","",DONNEES!J261)</f>
        <v/>
      </c>
      <c r="J261" t="str">
        <f>IF(DONNEES!$E261="","",DONNEES!K261)</f>
        <v/>
      </c>
      <c r="K261" t="str">
        <f>IF(DONNEES!$E261="","",DONNEES!L261)</f>
        <v/>
      </c>
      <c r="L261" t="str">
        <f>IF(DONNEES!$E261="","",DONNEES!M261)</f>
        <v/>
      </c>
      <c r="M261" t="str">
        <f>IF(DONNEES!$E261="","",DONNEES!N261)</f>
        <v/>
      </c>
      <c r="N261" t="str">
        <f>IF(DONNEES!$E261="","",DONNEES!O261)</f>
        <v/>
      </c>
      <c r="O261" t="str">
        <f>IF(DONNEES!$E261="","",DONNEES!P261)</f>
        <v/>
      </c>
      <c r="P261" t="str">
        <f>IF(DONNEES!$E261="","",DONNEES!Q261)</f>
        <v/>
      </c>
      <c r="Q261" t="str">
        <f>IF(DONNEES!$E261="","",DONNEES!R261)</f>
        <v/>
      </c>
      <c r="R261" t="str">
        <f>IF(DONNEES!$E261="","",DONNEES!S261)</f>
        <v/>
      </c>
      <c r="S261" t="str">
        <f>IF(DONNEES!$E261="","",DONNEES!T261)</f>
        <v/>
      </c>
      <c r="T261" t="str">
        <f>IF(DONNEES!$E261="","",DONNEES!U261)</f>
        <v/>
      </c>
      <c r="U261" t="str">
        <f>IF(DONNEES!$E261="","",DONNEES!V261)</f>
        <v/>
      </c>
      <c r="V261" t="str">
        <f>IF(DONNEES!$E261="","",DONNEES!W261)</f>
        <v/>
      </c>
      <c r="W261" t="str">
        <f>IF(DONNEES!$E261="","",DONNEES!X261)</f>
        <v/>
      </c>
      <c r="X261" t="str">
        <f>IF(DONNEES!$E261="","",DONNEES!Y261)</f>
        <v/>
      </c>
      <c r="Y261" t="str">
        <f>IF(DONNEES!$E261="","",DONNEES!Z261)</f>
        <v/>
      </c>
      <c r="Z261" t="str">
        <f>IF(DONNEES!$E261="","",DONNEES!AQ261)</f>
        <v/>
      </c>
    </row>
    <row r="262" spans="1:26" ht="15" customHeight="1" x14ac:dyDescent="0.3">
      <c r="A262" t="str">
        <f>IF(DONNEES!$E262="","",DONNEES!A262)</f>
        <v/>
      </c>
      <c r="B262" t="str">
        <f>IF(DONNEES!$E262="","",DONNEES!B262)</f>
        <v/>
      </c>
      <c r="C262" t="str">
        <f>IF(DONNEES!$E262="","",DONNEES!C262)</f>
        <v/>
      </c>
      <c r="D262" t="str">
        <f>IF(DONNEES!$E262="","",DONNEES!E262)</f>
        <v/>
      </c>
      <c r="E262" t="str">
        <f>IF(DONNEES!$E262="","",DONNEES!F262)</f>
        <v/>
      </c>
      <c r="F262" t="str">
        <f>IF(DONNEES!$E262="","",DONNEES!G262)</f>
        <v/>
      </c>
      <c r="G262" t="str">
        <f>IF(DONNEES!$E262="","",DONNEES!H262)</f>
        <v/>
      </c>
      <c r="H262" t="str">
        <f>IF(DONNEES!$E262="","",DONNEES!I262)</f>
        <v/>
      </c>
      <c r="I262" t="str">
        <f>IF(DONNEES!$E262="","",DONNEES!J262)</f>
        <v/>
      </c>
      <c r="J262" t="str">
        <f>IF(DONNEES!$E262="","",DONNEES!K262)</f>
        <v/>
      </c>
      <c r="K262" t="str">
        <f>IF(DONNEES!$E262="","",DONNEES!L262)</f>
        <v/>
      </c>
      <c r="L262" t="str">
        <f>IF(DONNEES!$E262="","",DONNEES!M262)</f>
        <v/>
      </c>
      <c r="M262" t="str">
        <f>IF(DONNEES!$E262="","",DONNEES!N262)</f>
        <v/>
      </c>
      <c r="N262" t="str">
        <f>IF(DONNEES!$E262="","",DONNEES!O262)</f>
        <v/>
      </c>
      <c r="O262" t="str">
        <f>IF(DONNEES!$E262="","",DONNEES!P262)</f>
        <v/>
      </c>
      <c r="P262" t="str">
        <f>IF(DONNEES!$E262="","",DONNEES!Q262)</f>
        <v/>
      </c>
      <c r="Q262" t="str">
        <f>IF(DONNEES!$E262="","",DONNEES!R262)</f>
        <v/>
      </c>
      <c r="R262" t="str">
        <f>IF(DONNEES!$E262="","",DONNEES!S262)</f>
        <v/>
      </c>
      <c r="S262" t="str">
        <f>IF(DONNEES!$E262="","",DONNEES!T262)</f>
        <v/>
      </c>
      <c r="T262" t="str">
        <f>IF(DONNEES!$E262="","",DONNEES!U262)</f>
        <v/>
      </c>
      <c r="U262" t="str">
        <f>IF(DONNEES!$E262="","",DONNEES!V262)</f>
        <v/>
      </c>
      <c r="V262" t="str">
        <f>IF(DONNEES!$E262="","",DONNEES!W262)</f>
        <v/>
      </c>
      <c r="W262" t="str">
        <f>IF(DONNEES!$E262="","",DONNEES!X262)</f>
        <v/>
      </c>
      <c r="X262" t="str">
        <f>IF(DONNEES!$E262="","",DONNEES!Y262)</f>
        <v/>
      </c>
      <c r="Y262" t="str">
        <f>IF(DONNEES!$E262="","",DONNEES!Z262)</f>
        <v/>
      </c>
      <c r="Z262" t="str">
        <f>IF(DONNEES!$E262="","",DONNEES!AQ262)</f>
        <v/>
      </c>
    </row>
    <row r="263" spans="1:26" ht="15" customHeight="1" x14ac:dyDescent="0.3">
      <c r="A263" t="str">
        <f>IF(DONNEES!$E263="","",DONNEES!A263)</f>
        <v/>
      </c>
      <c r="B263" t="str">
        <f>IF(DONNEES!$E263="","",DONNEES!B263)</f>
        <v/>
      </c>
      <c r="C263" t="str">
        <f>IF(DONNEES!$E263="","",DONNEES!C263)</f>
        <v/>
      </c>
      <c r="D263" t="str">
        <f>IF(DONNEES!$E263="","",DONNEES!E263)</f>
        <v/>
      </c>
      <c r="E263" t="str">
        <f>IF(DONNEES!$E263="","",DONNEES!F263)</f>
        <v/>
      </c>
      <c r="F263" t="str">
        <f>IF(DONNEES!$E263="","",DONNEES!G263)</f>
        <v/>
      </c>
      <c r="G263" t="str">
        <f>IF(DONNEES!$E263="","",DONNEES!H263)</f>
        <v/>
      </c>
      <c r="H263" t="str">
        <f>IF(DONNEES!$E263="","",DONNEES!I263)</f>
        <v/>
      </c>
      <c r="I263" t="str">
        <f>IF(DONNEES!$E263="","",DONNEES!J263)</f>
        <v/>
      </c>
      <c r="J263" t="str">
        <f>IF(DONNEES!$E263="","",DONNEES!K263)</f>
        <v/>
      </c>
      <c r="K263" t="str">
        <f>IF(DONNEES!$E263="","",DONNEES!L263)</f>
        <v/>
      </c>
      <c r="L263" t="str">
        <f>IF(DONNEES!$E263="","",DONNEES!M263)</f>
        <v/>
      </c>
      <c r="M263" t="str">
        <f>IF(DONNEES!$E263="","",DONNEES!N263)</f>
        <v/>
      </c>
      <c r="N263" t="str">
        <f>IF(DONNEES!$E263="","",DONNEES!O263)</f>
        <v/>
      </c>
      <c r="O263" t="str">
        <f>IF(DONNEES!$E263="","",DONNEES!P263)</f>
        <v/>
      </c>
      <c r="P263" t="str">
        <f>IF(DONNEES!$E263="","",DONNEES!Q263)</f>
        <v/>
      </c>
      <c r="Q263" t="str">
        <f>IF(DONNEES!$E263="","",DONNEES!R263)</f>
        <v/>
      </c>
      <c r="R263" t="str">
        <f>IF(DONNEES!$E263="","",DONNEES!S263)</f>
        <v/>
      </c>
      <c r="S263" t="str">
        <f>IF(DONNEES!$E263="","",DONNEES!T263)</f>
        <v/>
      </c>
      <c r="T263" t="str">
        <f>IF(DONNEES!$E263="","",DONNEES!U263)</f>
        <v/>
      </c>
      <c r="U263" t="str">
        <f>IF(DONNEES!$E263="","",DONNEES!V263)</f>
        <v/>
      </c>
      <c r="V263" t="str">
        <f>IF(DONNEES!$E263="","",DONNEES!W263)</f>
        <v/>
      </c>
      <c r="W263" t="str">
        <f>IF(DONNEES!$E263="","",DONNEES!X263)</f>
        <v/>
      </c>
      <c r="X263" t="str">
        <f>IF(DONNEES!$E263="","",DONNEES!Y263)</f>
        <v/>
      </c>
      <c r="Y263" t="str">
        <f>IF(DONNEES!$E263="","",DONNEES!Z263)</f>
        <v/>
      </c>
      <c r="Z263" t="str">
        <f>IF(DONNEES!$E263="","",DONNEES!AQ263)</f>
        <v/>
      </c>
    </row>
    <row r="264" spans="1:26" ht="15" customHeight="1" x14ac:dyDescent="0.3">
      <c r="A264" t="str">
        <f>IF(DONNEES!$E264="","",DONNEES!A264)</f>
        <v/>
      </c>
      <c r="B264" t="str">
        <f>IF(DONNEES!$E264="","",DONNEES!B264)</f>
        <v/>
      </c>
      <c r="C264" t="str">
        <f>IF(DONNEES!$E264="","",DONNEES!C264)</f>
        <v/>
      </c>
      <c r="D264" t="str">
        <f>IF(DONNEES!$E264="","",DONNEES!E264)</f>
        <v/>
      </c>
      <c r="E264" t="str">
        <f>IF(DONNEES!$E264="","",DONNEES!F264)</f>
        <v/>
      </c>
      <c r="F264" t="str">
        <f>IF(DONNEES!$E264="","",DONNEES!G264)</f>
        <v/>
      </c>
      <c r="G264" t="str">
        <f>IF(DONNEES!$E264="","",DONNEES!H264)</f>
        <v/>
      </c>
      <c r="H264" t="str">
        <f>IF(DONNEES!$E264="","",DONNEES!I264)</f>
        <v/>
      </c>
      <c r="I264" t="str">
        <f>IF(DONNEES!$E264="","",DONNEES!J264)</f>
        <v/>
      </c>
      <c r="J264" t="str">
        <f>IF(DONNEES!$E264="","",DONNEES!K264)</f>
        <v/>
      </c>
      <c r="K264" t="str">
        <f>IF(DONNEES!$E264="","",DONNEES!L264)</f>
        <v/>
      </c>
      <c r="L264" t="str">
        <f>IF(DONNEES!$E264="","",DONNEES!M264)</f>
        <v/>
      </c>
      <c r="M264" t="str">
        <f>IF(DONNEES!$E264="","",DONNEES!N264)</f>
        <v/>
      </c>
      <c r="N264" t="str">
        <f>IF(DONNEES!$E264="","",DONNEES!O264)</f>
        <v/>
      </c>
      <c r="O264" t="str">
        <f>IF(DONNEES!$E264="","",DONNEES!P264)</f>
        <v/>
      </c>
      <c r="P264" t="str">
        <f>IF(DONNEES!$E264="","",DONNEES!Q264)</f>
        <v/>
      </c>
      <c r="Q264" t="str">
        <f>IF(DONNEES!$E264="","",DONNEES!R264)</f>
        <v/>
      </c>
      <c r="R264" t="str">
        <f>IF(DONNEES!$E264="","",DONNEES!S264)</f>
        <v/>
      </c>
      <c r="S264" t="str">
        <f>IF(DONNEES!$E264="","",DONNEES!T264)</f>
        <v/>
      </c>
      <c r="T264" t="str">
        <f>IF(DONNEES!$E264="","",DONNEES!U264)</f>
        <v/>
      </c>
      <c r="U264" t="str">
        <f>IF(DONNEES!$E264="","",DONNEES!V264)</f>
        <v/>
      </c>
      <c r="V264" t="str">
        <f>IF(DONNEES!$E264="","",DONNEES!W264)</f>
        <v/>
      </c>
      <c r="W264" t="str">
        <f>IF(DONNEES!$E264="","",DONNEES!X264)</f>
        <v/>
      </c>
      <c r="X264" t="str">
        <f>IF(DONNEES!$E264="","",DONNEES!Y264)</f>
        <v/>
      </c>
      <c r="Y264" t="str">
        <f>IF(DONNEES!$E264="","",DONNEES!Z264)</f>
        <v/>
      </c>
      <c r="Z264" t="str">
        <f>IF(DONNEES!$E264="","",DONNEES!AQ264)</f>
        <v/>
      </c>
    </row>
    <row r="265" spans="1:26" ht="15" customHeight="1" x14ac:dyDescent="0.3">
      <c r="A265" t="str">
        <f>IF(DONNEES!$E265="","",DONNEES!A265)</f>
        <v/>
      </c>
      <c r="B265" t="str">
        <f>IF(DONNEES!$E265="","",DONNEES!B265)</f>
        <v/>
      </c>
      <c r="C265" t="str">
        <f>IF(DONNEES!$E265="","",DONNEES!C265)</f>
        <v/>
      </c>
      <c r="D265" t="str">
        <f>IF(DONNEES!$E265="","",DONNEES!E265)</f>
        <v/>
      </c>
      <c r="E265" t="str">
        <f>IF(DONNEES!$E265="","",DONNEES!F265)</f>
        <v/>
      </c>
      <c r="F265" t="str">
        <f>IF(DONNEES!$E265="","",DONNEES!G265)</f>
        <v/>
      </c>
      <c r="G265" t="str">
        <f>IF(DONNEES!$E265="","",DONNEES!H265)</f>
        <v/>
      </c>
      <c r="H265" t="str">
        <f>IF(DONNEES!$E265="","",DONNEES!I265)</f>
        <v/>
      </c>
      <c r="I265" t="str">
        <f>IF(DONNEES!$E265="","",DONNEES!J265)</f>
        <v/>
      </c>
      <c r="J265" t="str">
        <f>IF(DONNEES!$E265="","",DONNEES!K265)</f>
        <v/>
      </c>
      <c r="K265" t="str">
        <f>IF(DONNEES!$E265="","",DONNEES!L265)</f>
        <v/>
      </c>
      <c r="L265" t="str">
        <f>IF(DONNEES!$E265="","",DONNEES!M265)</f>
        <v/>
      </c>
      <c r="M265" t="str">
        <f>IF(DONNEES!$E265="","",DONNEES!N265)</f>
        <v/>
      </c>
      <c r="N265" t="str">
        <f>IF(DONNEES!$E265="","",DONNEES!O265)</f>
        <v/>
      </c>
      <c r="O265" t="str">
        <f>IF(DONNEES!$E265="","",DONNEES!P265)</f>
        <v/>
      </c>
      <c r="P265" t="str">
        <f>IF(DONNEES!$E265="","",DONNEES!Q265)</f>
        <v/>
      </c>
      <c r="Q265" t="str">
        <f>IF(DONNEES!$E265="","",DONNEES!R265)</f>
        <v/>
      </c>
      <c r="R265" t="str">
        <f>IF(DONNEES!$E265="","",DONNEES!S265)</f>
        <v/>
      </c>
      <c r="S265" t="str">
        <f>IF(DONNEES!$E265="","",DONNEES!T265)</f>
        <v/>
      </c>
      <c r="T265" t="str">
        <f>IF(DONNEES!$E265="","",DONNEES!U265)</f>
        <v/>
      </c>
      <c r="U265" t="str">
        <f>IF(DONNEES!$E265="","",DONNEES!V265)</f>
        <v/>
      </c>
      <c r="V265" t="str">
        <f>IF(DONNEES!$E265="","",DONNEES!W265)</f>
        <v/>
      </c>
      <c r="W265" t="str">
        <f>IF(DONNEES!$E265="","",DONNEES!X265)</f>
        <v/>
      </c>
      <c r="X265" t="str">
        <f>IF(DONNEES!$E265="","",DONNEES!Y265)</f>
        <v/>
      </c>
      <c r="Y265" t="str">
        <f>IF(DONNEES!$E265="","",DONNEES!Z265)</f>
        <v/>
      </c>
      <c r="Z265" t="str">
        <f>IF(DONNEES!$E265="","",DONNEES!AQ265)</f>
        <v/>
      </c>
    </row>
    <row r="266" spans="1:26" ht="15" customHeight="1" x14ac:dyDescent="0.3">
      <c r="A266" t="str">
        <f>IF(DONNEES!$E266="","",DONNEES!A266)</f>
        <v/>
      </c>
      <c r="B266" t="str">
        <f>IF(DONNEES!$E266="","",DONNEES!B266)</f>
        <v/>
      </c>
      <c r="C266" t="str">
        <f>IF(DONNEES!$E266="","",DONNEES!C266)</f>
        <v/>
      </c>
      <c r="D266" t="str">
        <f>IF(DONNEES!$E266="","",DONNEES!E266)</f>
        <v/>
      </c>
      <c r="E266" t="str">
        <f>IF(DONNEES!$E266="","",DONNEES!F266)</f>
        <v/>
      </c>
      <c r="F266" t="str">
        <f>IF(DONNEES!$E266="","",DONNEES!G266)</f>
        <v/>
      </c>
      <c r="G266" t="str">
        <f>IF(DONNEES!$E266="","",DONNEES!H266)</f>
        <v/>
      </c>
      <c r="H266" t="str">
        <f>IF(DONNEES!$E266="","",DONNEES!I266)</f>
        <v/>
      </c>
      <c r="I266" t="str">
        <f>IF(DONNEES!$E266="","",DONNEES!J266)</f>
        <v/>
      </c>
      <c r="J266" t="str">
        <f>IF(DONNEES!$E266="","",DONNEES!K266)</f>
        <v/>
      </c>
      <c r="K266" t="str">
        <f>IF(DONNEES!$E266="","",DONNEES!L266)</f>
        <v/>
      </c>
      <c r="L266" t="str">
        <f>IF(DONNEES!$E266="","",DONNEES!M266)</f>
        <v/>
      </c>
      <c r="M266" t="str">
        <f>IF(DONNEES!$E266="","",DONNEES!N266)</f>
        <v/>
      </c>
      <c r="N266" t="str">
        <f>IF(DONNEES!$E266="","",DONNEES!O266)</f>
        <v/>
      </c>
      <c r="O266" t="str">
        <f>IF(DONNEES!$E266="","",DONNEES!P266)</f>
        <v/>
      </c>
      <c r="P266" t="str">
        <f>IF(DONNEES!$E266="","",DONNEES!Q266)</f>
        <v/>
      </c>
      <c r="Q266" t="str">
        <f>IF(DONNEES!$E266="","",DONNEES!R266)</f>
        <v/>
      </c>
      <c r="R266" t="str">
        <f>IF(DONNEES!$E266="","",DONNEES!S266)</f>
        <v/>
      </c>
      <c r="S266" t="str">
        <f>IF(DONNEES!$E266="","",DONNEES!T266)</f>
        <v/>
      </c>
      <c r="T266" t="str">
        <f>IF(DONNEES!$E266="","",DONNEES!U266)</f>
        <v/>
      </c>
      <c r="U266" t="str">
        <f>IF(DONNEES!$E266="","",DONNEES!V266)</f>
        <v/>
      </c>
      <c r="V266" t="str">
        <f>IF(DONNEES!$E266="","",DONNEES!W266)</f>
        <v/>
      </c>
      <c r="W266" t="str">
        <f>IF(DONNEES!$E266="","",DONNEES!X266)</f>
        <v/>
      </c>
      <c r="X266" t="str">
        <f>IF(DONNEES!$E266="","",DONNEES!Y266)</f>
        <v/>
      </c>
      <c r="Y266" t="str">
        <f>IF(DONNEES!$E266="","",DONNEES!Z266)</f>
        <v/>
      </c>
      <c r="Z266" t="str">
        <f>IF(DONNEES!$E266="","",DONNEES!AQ266)</f>
        <v/>
      </c>
    </row>
    <row r="267" spans="1:26" ht="15" customHeight="1" x14ac:dyDescent="0.3">
      <c r="A267" t="str">
        <f>IF(DONNEES!$E267="","",DONNEES!A267)</f>
        <v/>
      </c>
      <c r="B267" t="str">
        <f>IF(DONNEES!$E267="","",DONNEES!B267)</f>
        <v/>
      </c>
      <c r="C267" t="str">
        <f>IF(DONNEES!$E267="","",DONNEES!C267)</f>
        <v/>
      </c>
      <c r="D267" t="str">
        <f>IF(DONNEES!$E267="","",DONNEES!E267)</f>
        <v/>
      </c>
      <c r="E267" t="str">
        <f>IF(DONNEES!$E267="","",DONNEES!F267)</f>
        <v/>
      </c>
      <c r="F267" t="str">
        <f>IF(DONNEES!$E267="","",DONNEES!G267)</f>
        <v/>
      </c>
      <c r="G267" t="str">
        <f>IF(DONNEES!$E267="","",DONNEES!H267)</f>
        <v/>
      </c>
      <c r="H267" t="str">
        <f>IF(DONNEES!$E267="","",DONNEES!I267)</f>
        <v/>
      </c>
      <c r="I267" t="str">
        <f>IF(DONNEES!$E267="","",DONNEES!J267)</f>
        <v/>
      </c>
      <c r="J267" t="str">
        <f>IF(DONNEES!$E267="","",DONNEES!K267)</f>
        <v/>
      </c>
      <c r="K267" t="str">
        <f>IF(DONNEES!$E267="","",DONNEES!L267)</f>
        <v/>
      </c>
      <c r="L267" t="str">
        <f>IF(DONNEES!$E267="","",DONNEES!M267)</f>
        <v/>
      </c>
      <c r="M267" t="str">
        <f>IF(DONNEES!$E267="","",DONNEES!N267)</f>
        <v/>
      </c>
      <c r="N267" t="str">
        <f>IF(DONNEES!$E267="","",DONNEES!O267)</f>
        <v/>
      </c>
      <c r="O267" t="str">
        <f>IF(DONNEES!$E267="","",DONNEES!P267)</f>
        <v/>
      </c>
      <c r="P267" t="str">
        <f>IF(DONNEES!$E267="","",DONNEES!Q267)</f>
        <v/>
      </c>
      <c r="Q267" t="str">
        <f>IF(DONNEES!$E267="","",DONNEES!R267)</f>
        <v/>
      </c>
      <c r="R267" t="str">
        <f>IF(DONNEES!$E267="","",DONNEES!S267)</f>
        <v/>
      </c>
      <c r="S267" t="str">
        <f>IF(DONNEES!$E267="","",DONNEES!T267)</f>
        <v/>
      </c>
      <c r="T267" t="str">
        <f>IF(DONNEES!$E267="","",DONNEES!U267)</f>
        <v/>
      </c>
      <c r="U267" t="str">
        <f>IF(DONNEES!$E267="","",DONNEES!V267)</f>
        <v/>
      </c>
      <c r="V267" t="str">
        <f>IF(DONNEES!$E267="","",DONNEES!W267)</f>
        <v/>
      </c>
      <c r="W267" t="str">
        <f>IF(DONNEES!$E267="","",DONNEES!X267)</f>
        <v/>
      </c>
      <c r="X267" t="str">
        <f>IF(DONNEES!$E267="","",DONNEES!Y267)</f>
        <v/>
      </c>
      <c r="Y267" t="str">
        <f>IF(DONNEES!$E267="","",DONNEES!Z267)</f>
        <v/>
      </c>
      <c r="Z267" t="str">
        <f>IF(DONNEES!$E267="","",DONNEES!AQ267)</f>
        <v/>
      </c>
    </row>
    <row r="268" spans="1:26" ht="15" customHeight="1" x14ac:dyDescent="0.3">
      <c r="A268" t="str">
        <f>IF(DONNEES!$E268="","",DONNEES!A268)</f>
        <v/>
      </c>
      <c r="B268" t="str">
        <f>IF(DONNEES!$E268="","",DONNEES!B268)</f>
        <v/>
      </c>
      <c r="C268" t="str">
        <f>IF(DONNEES!$E268="","",DONNEES!C268)</f>
        <v/>
      </c>
      <c r="D268" t="str">
        <f>IF(DONNEES!$E268="","",DONNEES!E268)</f>
        <v/>
      </c>
      <c r="E268" t="str">
        <f>IF(DONNEES!$E268="","",DONNEES!F268)</f>
        <v/>
      </c>
      <c r="F268" t="str">
        <f>IF(DONNEES!$E268="","",DONNEES!G268)</f>
        <v/>
      </c>
      <c r="G268" t="str">
        <f>IF(DONNEES!$E268="","",DONNEES!H268)</f>
        <v/>
      </c>
      <c r="H268" t="str">
        <f>IF(DONNEES!$E268="","",DONNEES!I268)</f>
        <v/>
      </c>
      <c r="I268" t="str">
        <f>IF(DONNEES!$E268="","",DONNEES!J268)</f>
        <v/>
      </c>
      <c r="J268" t="str">
        <f>IF(DONNEES!$E268="","",DONNEES!K268)</f>
        <v/>
      </c>
      <c r="K268" t="str">
        <f>IF(DONNEES!$E268="","",DONNEES!L268)</f>
        <v/>
      </c>
      <c r="L268" t="str">
        <f>IF(DONNEES!$E268="","",DONNEES!M268)</f>
        <v/>
      </c>
      <c r="M268" t="str">
        <f>IF(DONNEES!$E268="","",DONNEES!N268)</f>
        <v/>
      </c>
      <c r="N268" t="str">
        <f>IF(DONNEES!$E268="","",DONNEES!O268)</f>
        <v/>
      </c>
      <c r="O268" t="str">
        <f>IF(DONNEES!$E268="","",DONNEES!P268)</f>
        <v/>
      </c>
      <c r="P268" t="str">
        <f>IF(DONNEES!$E268="","",DONNEES!Q268)</f>
        <v/>
      </c>
      <c r="Q268" t="str">
        <f>IF(DONNEES!$E268="","",DONNEES!R268)</f>
        <v/>
      </c>
      <c r="R268" t="str">
        <f>IF(DONNEES!$E268="","",DONNEES!S268)</f>
        <v/>
      </c>
      <c r="S268" t="str">
        <f>IF(DONNEES!$E268="","",DONNEES!T268)</f>
        <v/>
      </c>
      <c r="T268" t="str">
        <f>IF(DONNEES!$E268="","",DONNEES!U268)</f>
        <v/>
      </c>
      <c r="U268" t="str">
        <f>IF(DONNEES!$E268="","",DONNEES!V268)</f>
        <v/>
      </c>
      <c r="V268" t="str">
        <f>IF(DONNEES!$E268="","",DONNEES!W268)</f>
        <v/>
      </c>
      <c r="W268" t="str">
        <f>IF(DONNEES!$E268="","",DONNEES!X268)</f>
        <v/>
      </c>
      <c r="X268" t="str">
        <f>IF(DONNEES!$E268="","",DONNEES!Y268)</f>
        <v/>
      </c>
      <c r="Y268" t="str">
        <f>IF(DONNEES!$E268="","",DONNEES!Z268)</f>
        <v/>
      </c>
      <c r="Z268" t="str">
        <f>IF(DONNEES!$E268="","",DONNEES!AQ268)</f>
        <v/>
      </c>
    </row>
    <row r="269" spans="1:26" ht="15" customHeight="1" x14ac:dyDescent="0.3">
      <c r="A269" t="str">
        <f>IF(DONNEES!$E269="","",DONNEES!A269)</f>
        <v/>
      </c>
      <c r="B269" t="str">
        <f>IF(DONNEES!$E269="","",DONNEES!B269)</f>
        <v/>
      </c>
      <c r="C269" t="str">
        <f>IF(DONNEES!$E269="","",DONNEES!C269)</f>
        <v/>
      </c>
      <c r="D269" t="str">
        <f>IF(DONNEES!$E269="","",DONNEES!E269)</f>
        <v/>
      </c>
      <c r="E269" t="str">
        <f>IF(DONNEES!$E269="","",DONNEES!F269)</f>
        <v/>
      </c>
      <c r="F269" t="str">
        <f>IF(DONNEES!$E269="","",DONNEES!G269)</f>
        <v/>
      </c>
      <c r="G269" t="str">
        <f>IF(DONNEES!$E269="","",DONNEES!H269)</f>
        <v/>
      </c>
      <c r="H269" t="str">
        <f>IF(DONNEES!$E269="","",DONNEES!I269)</f>
        <v/>
      </c>
      <c r="I269" t="str">
        <f>IF(DONNEES!$E269="","",DONNEES!J269)</f>
        <v/>
      </c>
      <c r="J269" t="str">
        <f>IF(DONNEES!$E269="","",DONNEES!K269)</f>
        <v/>
      </c>
      <c r="K269" t="str">
        <f>IF(DONNEES!$E269="","",DONNEES!L269)</f>
        <v/>
      </c>
      <c r="L269" t="str">
        <f>IF(DONNEES!$E269="","",DONNEES!M269)</f>
        <v/>
      </c>
      <c r="M269" t="str">
        <f>IF(DONNEES!$E269="","",DONNEES!N269)</f>
        <v/>
      </c>
      <c r="N269" t="str">
        <f>IF(DONNEES!$E269="","",DONNEES!O269)</f>
        <v/>
      </c>
      <c r="O269" t="str">
        <f>IF(DONNEES!$E269="","",DONNEES!P269)</f>
        <v/>
      </c>
      <c r="P269" t="str">
        <f>IF(DONNEES!$E269="","",DONNEES!Q269)</f>
        <v/>
      </c>
      <c r="Q269" t="str">
        <f>IF(DONNEES!$E269="","",DONNEES!R269)</f>
        <v/>
      </c>
      <c r="R269" t="str">
        <f>IF(DONNEES!$E269="","",DONNEES!S269)</f>
        <v/>
      </c>
      <c r="S269" t="str">
        <f>IF(DONNEES!$E269="","",DONNEES!T269)</f>
        <v/>
      </c>
      <c r="T269" t="str">
        <f>IF(DONNEES!$E269="","",DONNEES!U269)</f>
        <v/>
      </c>
      <c r="U269" t="str">
        <f>IF(DONNEES!$E269="","",DONNEES!V269)</f>
        <v/>
      </c>
      <c r="V269" t="str">
        <f>IF(DONNEES!$E269="","",DONNEES!W269)</f>
        <v/>
      </c>
      <c r="W269" t="str">
        <f>IF(DONNEES!$E269="","",DONNEES!X269)</f>
        <v/>
      </c>
      <c r="X269" t="str">
        <f>IF(DONNEES!$E269="","",DONNEES!Y269)</f>
        <v/>
      </c>
      <c r="Y269" t="str">
        <f>IF(DONNEES!$E269="","",DONNEES!Z269)</f>
        <v/>
      </c>
      <c r="Z269" t="str">
        <f>IF(DONNEES!$E269="","",DONNEES!AQ269)</f>
        <v/>
      </c>
    </row>
    <row r="270" spans="1:26" ht="15" customHeight="1" x14ac:dyDescent="0.3">
      <c r="A270" t="str">
        <f>IF(DONNEES!$E270="","",DONNEES!A270)</f>
        <v/>
      </c>
      <c r="B270" t="str">
        <f>IF(DONNEES!$E270="","",DONNEES!B270)</f>
        <v/>
      </c>
      <c r="C270" t="str">
        <f>IF(DONNEES!$E270="","",DONNEES!C270)</f>
        <v/>
      </c>
      <c r="D270" t="str">
        <f>IF(DONNEES!$E270="","",DONNEES!E270)</f>
        <v/>
      </c>
      <c r="E270" t="str">
        <f>IF(DONNEES!$E270="","",DONNEES!F270)</f>
        <v/>
      </c>
      <c r="F270" t="str">
        <f>IF(DONNEES!$E270="","",DONNEES!G270)</f>
        <v/>
      </c>
      <c r="G270" t="str">
        <f>IF(DONNEES!$E270="","",DONNEES!H270)</f>
        <v/>
      </c>
      <c r="H270" t="str">
        <f>IF(DONNEES!$E270="","",DONNEES!I270)</f>
        <v/>
      </c>
      <c r="I270" t="str">
        <f>IF(DONNEES!$E270="","",DONNEES!J270)</f>
        <v/>
      </c>
      <c r="J270" t="str">
        <f>IF(DONNEES!$E270="","",DONNEES!K270)</f>
        <v/>
      </c>
      <c r="K270" t="str">
        <f>IF(DONNEES!$E270="","",DONNEES!L270)</f>
        <v/>
      </c>
      <c r="L270" t="str">
        <f>IF(DONNEES!$E270="","",DONNEES!M270)</f>
        <v/>
      </c>
      <c r="M270" t="str">
        <f>IF(DONNEES!$E270="","",DONNEES!N270)</f>
        <v/>
      </c>
      <c r="N270" t="str">
        <f>IF(DONNEES!$E270="","",DONNEES!O270)</f>
        <v/>
      </c>
      <c r="O270" t="str">
        <f>IF(DONNEES!$E270="","",DONNEES!P270)</f>
        <v/>
      </c>
      <c r="P270" t="str">
        <f>IF(DONNEES!$E270="","",DONNEES!Q270)</f>
        <v/>
      </c>
      <c r="Q270" t="str">
        <f>IF(DONNEES!$E270="","",DONNEES!R270)</f>
        <v/>
      </c>
      <c r="R270" t="str">
        <f>IF(DONNEES!$E270="","",DONNEES!S270)</f>
        <v/>
      </c>
      <c r="S270" t="str">
        <f>IF(DONNEES!$E270="","",DONNEES!T270)</f>
        <v/>
      </c>
      <c r="T270" t="str">
        <f>IF(DONNEES!$E270="","",DONNEES!U270)</f>
        <v/>
      </c>
      <c r="U270" t="str">
        <f>IF(DONNEES!$E270="","",DONNEES!V270)</f>
        <v/>
      </c>
      <c r="V270" t="str">
        <f>IF(DONNEES!$E270="","",DONNEES!W270)</f>
        <v/>
      </c>
      <c r="W270" t="str">
        <f>IF(DONNEES!$E270="","",DONNEES!X270)</f>
        <v/>
      </c>
      <c r="X270" t="str">
        <f>IF(DONNEES!$E270="","",DONNEES!Y270)</f>
        <v/>
      </c>
      <c r="Y270" t="str">
        <f>IF(DONNEES!$E270="","",DONNEES!Z270)</f>
        <v/>
      </c>
      <c r="Z270" t="str">
        <f>IF(DONNEES!$E270="","",DONNEES!AQ270)</f>
        <v/>
      </c>
    </row>
    <row r="271" spans="1:26" ht="15" customHeight="1" x14ac:dyDescent="0.3">
      <c r="A271" t="str">
        <f>IF(DONNEES!$E271="","",DONNEES!A271)</f>
        <v/>
      </c>
      <c r="B271" t="str">
        <f>IF(DONNEES!$E271="","",DONNEES!B271)</f>
        <v/>
      </c>
      <c r="C271" t="str">
        <f>IF(DONNEES!$E271="","",DONNEES!C271)</f>
        <v/>
      </c>
      <c r="D271" t="str">
        <f>IF(DONNEES!$E271="","",DONNEES!E271)</f>
        <v/>
      </c>
      <c r="E271" t="str">
        <f>IF(DONNEES!$E271="","",DONNEES!F271)</f>
        <v/>
      </c>
      <c r="F271" t="str">
        <f>IF(DONNEES!$E271="","",DONNEES!G271)</f>
        <v/>
      </c>
      <c r="G271" t="str">
        <f>IF(DONNEES!$E271="","",DONNEES!H271)</f>
        <v/>
      </c>
      <c r="H271" t="str">
        <f>IF(DONNEES!$E271="","",DONNEES!I271)</f>
        <v/>
      </c>
      <c r="I271" t="str">
        <f>IF(DONNEES!$E271="","",DONNEES!J271)</f>
        <v/>
      </c>
      <c r="J271" t="str">
        <f>IF(DONNEES!$E271="","",DONNEES!K271)</f>
        <v/>
      </c>
      <c r="K271" t="str">
        <f>IF(DONNEES!$E271="","",DONNEES!L271)</f>
        <v/>
      </c>
      <c r="L271" t="str">
        <f>IF(DONNEES!$E271="","",DONNEES!M271)</f>
        <v/>
      </c>
      <c r="M271" t="str">
        <f>IF(DONNEES!$E271="","",DONNEES!N271)</f>
        <v/>
      </c>
      <c r="N271" t="str">
        <f>IF(DONNEES!$E271="","",DONNEES!O271)</f>
        <v/>
      </c>
      <c r="O271" t="str">
        <f>IF(DONNEES!$E271="","",DONNEES!P271)</f>
        <v/>
      </c>
      <c r="P271" t="str">
        <f>IF(DONNEES!$E271="","",DONNEES!Q271)</f>
        <v/>
      </c>
      <c r="Q271" t="str">
        <f>IF(DONNEES!$E271="","",DONNEES!R271)</f>
        <v/>
      </c>
      <c r="R271" t="str">
        <f>IF(DONNEES!$E271="","",DONNEES!S271)</f>
        <v/>
      </c>
      <c r="S271" t="str">
        <f>IF(DONNEES!$E271="","",DONNEES!T271)</f>
        <v/>
      </c>
      <c r="T271" t="str">
        <f>IF(DONNEES!$E271="","",DONNEES!U271)</f>
        <v/>
      </c>
      <c r="U271" t="str">
        <f>IF(DONNEES!$E271="","",DONNEES!V271)</f>
        <v/>
      </c>
      <c r="V271" t="str">
        <f>IF(DONNEES!$E271="","",DONNEES!W271)</f>
        <v/>
      </c>
      <c r="W271" t="str">
        <f>IF(DONNEES!$E271="","",DONNEES!X271)</f>
        <v/>
      </c>
      <c r="X271" t="str">
        <f>IF(DONNEES!$E271="","",DONNEES!Y271)</f>
        <v/>
      </c>
      <c r="Y271" t="str">
        <f>IF(DONNEES!$E271="","",DONNEES!Z271)</f>
        <v/>
      </c>
      <c r="Z271" t="str">
        <f>IF(DONNEES!$E271="","",DONNEES!AQ271)</f>
        <v/>
      </c>
    </row>
    <row r="272" spans="1:26" ht="15" customHeight="1" x14ac:dyDescent="0.3">
      <c r="A272" t="str">
        <f>IF(DONNEES!$E272="","",DONNEES!A272)</f>
        <v/>
      </c>
      <c r="B272" t="str">
        <f>IF(DONNEES!$E272="","",DONNEES!B272)</f>
        <v/>
      </c>
      <c r="C272" t="str">
        <f>IF(DONNEES!$E272="","",DONNEES!C272)</f>
        <v/>
      </c>
      <c r="D272" t="str">
        <f>IF(DONNEES!$E272="","",DONNEES!E272)</f>
        <v/>
      </c>
      <c r="E272" t="str">
        <f>IF(DONNEES!$E272="","",DONNEES!F272)</f>
        <v/>
      </c>
      <c r="F272" t="str">
        <f>IF(DONNEES!$E272="","",DONNEES!G272)</f>
        <v/>
      </c>
      <c r="G272" t="str">
        <f>IF(DONNEES!$E272="","",DONNEES!H272)</f>
        <v/>
      </c>
      <c r="H272" t="str">
        <f>IF(DONNEES!$E272="","",DONNEES!I272)</f>
        <v/>
      </c>
      <c r="I272" t="str">
        <f>IF(DONNEES!$E272="","",DONNEES!J272)</f>
        <v/>
      </c>
      <c r="J272" t="str">
        <f>IF(DONNEES!$E272="","",DONNEES!K272)</f>
        <v/>
      </c>
      <c r="K272" t="str">
        <f>IF(DONNEES!$E272="","",DONNEES!L272)</f>
        <v/>
      </c>
      <c r="L272" t="str">
        <f>IF(DONNEES!$E272="","",DONNEES!M272)</f>
        <v/>
      </c>
      <c r="M272" t="str">
        <f>IF(DONNEES!$E272="","",DONNEES!N272)</f>
        <v/>
      </c>
      <c r="N272" t="str">
        <f>IF(DONNEES!$E272="","",DONNEES!O272)</f>
        <v/>
      </c>
      <c r="O272" t="str">
        <f>IF(DONNEES!$E272="","",DONNEES!P272)</f>
        <v/>
      </c>
      <c r="P272" t="str">
        <f>IF(DONNEES!$E272="","",DONNEES!Q272)</f>
        <v/>
      </c>
      <c r="Q272" t="str">
        <f>IF(DONNEES!$E272="","",DONNEES!R272)</f>
        <v/>
      </c>
      <c r="R272" t="str">
        <f>IF(DONNEES!$E272="","",DONNEES!S272)</f>
        <v/>
      </c>
      <c r="S272" t="str">
        <f>IF(DONNEES!$E272="","",DONNEES!T272)</f>
        <v/>
      </c>
      <c r="T272" t="str">
        <f>IF(DONNEES!$E272="","",DONNEES!U272)</f>
        <v/>
      </c>
      <c r="U272" t="str">
        <f>IF(DONNEES!$E272="","",DONNEES!V272)</f>
        <v/>
      </c>
      <c r="V272" t="str">
        <f>IF(DONNEES!$E272="","",DONNEES!W272)</f>
        <v/>
      </c>
      <c r="W272" t="str">
        <f>IF(DONNEES!$E272="","",DONNEES!X272)</f>
        <v/>
      </c>
      <c r="X272" t="str">
        <f>IF(DONNEES!$E272="","",DONNEES!Y272)</f>
        <v/>
      </c>
      <c r="Y272" t="str">
        <f>IF(DONNEES!$E272="","",DONNEES!Z272)</f>
        <v/>
      </c>
      <c r="Z272" t="str">
        <f>IF(DONNEES!$E272="","",DONNEES!AQ272)</f>
        <v/>
      </c>
    </row>
    <row r="273" spans="1:26" ht="15" customHeight="1" x14ac:dyDescent="0.3">
      <c r="A273" t="str">
        <f>IF(DONNEES!$E273="","",DONNEES!A273)</f>
        <v/>
      </c>
      <c r="B273" t="str">
        <f>IF(DONNEES!$E273="","",DONNEES!B273)</f>
        <v/>
      </c>
      <c r="C273" t="str">
        <f>IF(DONNEES!$E273="","",DONNEES!C273)</f>
        <v/>
      </c>
      <c r="D273" t="str">
        <f>IF(DONNEES!$E273="","",DONNEES!E273)</f>
        <v/>
      </c>
      <c r="E273" t="str">
        <f>IF(DONNEES!$E273="","",DONNEES!F273)</f>
        <v/>
      </c>
      <c r="F273" t="str">
        <f>IF(DONNEES!$E273="","",DONNEES!G273)</f>
        <v/>
      </c>
      <c r="G273" t="str">
        <f>IF(DONNEES!$E273="","",DONNEES!H273)</f>
        <v/>
      </c>
      <c r="H273" t="str">
        <f>IF(DONNEES!$E273="","",DONNEES!I273)</f>
        <v/>
      </c>
      <c r="I273" t="str">
        <f>IF(DONNEES!$E273="","",DONNEES!J273)</f>
        <v/>
      </c>
      <c r="J273" t="str">
        <f>IF(DONNEES!$E273="","",DONNEES!K273)</f>
        <v/>
      </c>
      <c r="K273" t="str">
        <f>IF(DONNEES!$E273="","",DONNEES!L273)</f>
        <v/>
      </c>
      <c r="L273" t="str">
        <f>IF(DONNEES!$E273="","",DONNEES!M273)</f>
        <v/>
      </c>
      <c r="M273" t="str">
        <f>IF(DONNEES!$E273="","",DONNEES!N273)</f>
        <v/>
      </c>
      <c r="N273" t="str">
        <f>IF(DONNEES!$E273="","",DONNEES!O273)</f>
        <v/>
      </c>
      <c r="O273" t="str">
        <f>IF(DONNEES!$E273="","",DONNEES!P273)</f>
        <v/>
      </c>
      <c r="P273" t="str">
        <f>IF(DONNEES!$E273="","",DONNEES!Q273)</f>
        <v/>
      </c>
      <c r="Q273" t="str">
        <f>IF(DONNEES!$E273="","",DONNEES!R273)</f>
        <v/>
      </c>
      <c r="R273" t="str">
        <f>IF(DONNEES!$E273="","",DONNEES!S273)</f>
        <v/>
      </c>
      <c r="S273" t="str">
        <f>IF(DONNEES!$E273="","",DONNEES!T273)</f>
        <v/>
      </c>
      <c r="T273" t="str">
        <f>IF(DONNEES!$E273="","",DONNEES!U273)</f>
        <v/>
      </c>
      <c r="U273" t="str">
        <f>IF(DONNEES!$E273="","",DONNEES!V273)</f>
        <v/>
      </c>
      <c r="V273" t="str">
        <f>IF(DONNEES!$E273="","",DONNEES!W273)</f>
        <v/>
      </c>
      <c r="W273" t="str">
        <f>IF(DONNEES!$E273="","",DONNEES!X273)</f>
        <v/>
      </c>
      <c r="X273" t="str">
        <f>IF(DONNEES!$E273="","",DONNEES!Y273)</f>
        <v/>
      </c>
      <c r="Y273" t="str">
        <f>IF(DONNEES!$E273="","",DONNEES!Z273)</f>
        <v/>
      </c>
      <c r="Z273" t="str">
        <f>IF(DONNEES!$E273="","",DONNEES!AQ273)</f>
        <v/>
      </c>
    </row>
    <row r="274" spans="1:26" ht="15" customHeight="1" x14ac:dyDescent="0.3">
      <c r="A274" t="str">
        <f>IF(DONNEES!$E274="","",DONNEES!A274)</f>
        <v/>
      </c>
      <c r="B274" t="str">
        <f>IF(DONNEES!$E274="","",DONNEES!B274)</f>
        <v/>
      </c>
      <c r="C274" t="str">
        <f>IF(DONNEES!$E274="","",DONNEES!C274)</f>
        <v/>
      </c>
      <c r="D274" t="str">
        <f>IF(DONNEES!$E274="","",DONNEES!E274)</f>
        <v/>
      </c>
      <c r="E274" t="str">
        <f>IF(DONNEES!$E274="","",DONNEES!F274)</f>
        <v/>
      </c>
      <c r="F274" t="str">
        <f>IF(DONNEES!$E274="","",DONNEES!G274)</f>
        <v/>
      </c>
      <c r="G274" t="str">
        <f>IF(DONNEES!$E274="","",DONNEES!H274)</f>
        <v/>
      </c>
      <c r="H274" t="str">
        <f>IF(DONNEES!$E274="","",DONNEES!I274)</f>
        <v/>
      </c>
      <c r="I274" t="str">
        <f>IF(DONNEES!$E274="","",DONNEES!J274)</f>
        <v/>
      </c>
      <c r="J274" t="str">
        <f>IF(DONNEES!$E274="","",DONNEES!K274)</f>
        <v/>
      </c>
      <c r="K274" t="str">
        <f>IF(DONNEES!$E274="","",DONNEES!L274)</f>
        <v/>
      </c>
      <c r="L274" t="str">
        <f>IF(DONNEES!$E274="","",DONNEES!M274)</f>
        <v/>
      </c>
      <c r="M274" t="str">
        <f>IF(DONNEES!$E274="","",DONNEES!N274)</f>
        <v/>
      </c>
      <c r="N274" t="str">
        <f>IF(DONNEES!$E274="","",DONNEES!O274)</f>
        <v/>
      </c>
      <c r="O274" t="str">
        <f>IF(DONNEES!$E274="","",DONNEES!P274)</f>
        <v/>
      </c>
      <c r="P274" t="str">
        <f>IF(DONNEES!$E274="","",DONNEES!Q274)</f>
        <v/>
      </c>
      <c r="Q274" t="str">
        <f>IF(DONNEES!$E274="","",DONNEES!R274)</f>
        <v/>
      </c>
      <c r="R274" t="str">
        <f>IF(DONNEES!$E274="","",DONNEES!S274)</f>
        <v/>
      </c>
      <c r="S274" t="str">
        <f>IF(DONNEES!$E274="","",DONNEES!T274)</f>
        <v/>
      </c>
      <c r="T274" t="str">
        <f>IF(DONNEES!$E274="","",DONNEES!U274)</f>
        <v/>
      </c>
      <c r="U274" t="str">
        <f>IF(DONNEES!$E274="","",DONNEES!V274)</f>
        <v/>
      </c>
      <c r="V274" t="str">
        <f>IF(DONNEES!$E274="","",DONNEES!W274)</f>
        <v/>
      </c>
      <c r="W274" t="str">
        <f>IF(DONNEES!$E274="","",DONNEES!X274)</f>
        <v/>
      </c>
      <c r="X274" t="str">
        <f>IF(DONNEES!$E274="","",DONNEES!Y274)</f>
        <v/>
      </c>
      <c r="Y274" t="str">
        <f>IF(DONNEES!$E274="","",DONNEES!Z274)</f>
        <v/>
      </c>
      <c r="Z274" t="str">
        <f>IF(DONNEES!$E274="","",DONNEES!AQ274)</f>
        <v/>
      </c>
    </row>
    <row r="275" spans="1:26" ht="15" customHeight="1" x14ac:dyDescent="0.3">
      <c r="A275" t="str">
        <f>IF(DONNEES!$E275="","",DONNEES!A275)</f>
        <v/>
      </c>
      <c r="B275" t="str">
        <f>IF(DONNEES!$E275="","",DONNEES!B275)</f>
        <v/>
      </c>
      <c r="C275" t="str">
        <f>IF(DONNEES!$E275="","",DONNEES!C275)</f>
        <v/>
      </c>
      <c r="D275" t="str">
        <f>IF(DONNEES!$E275="","",DONNEES!E275)</f>
        <v/>
      </c>
      <c r="E275" t="str">
        <f>IF(DONNEES!$E275="","",DONNEES!F275)</f>
        <v/>
      </c>
      <c r="F275" t="str">
        <f>IF(DONNEES!$E275="","",DONNEES!G275)</f>
        <v/>
      </c>
      <c r="G275" t="str">
        <f>IF(DONNEES!$E275="","",DONNEES!H275)</f>
        <v/>
      </c>
      <c r="H275" t="str">
        <f>IF(DONNEES!$E275="","",DONNEES!I275)</f>
        <v/>
      </c>
      <c r="I275" t="str">
        <f>IF(DONNEES!$E275="","",DONNEES!J275)</f>
        <v/>
      </c>
      <c r="J275" t="str">
        <f>IF(DONNEES!$E275="","",DONNEES!K275)</f>
        <v/>
      </c>
      <c r="K275" t="str">
        <f>IF(DONNEES!$E275="","",DONNEES!L275)</f>
        <v/>
      </c>
      <c r="L275" t="str">
        <f>IF(DONNEES!$E275="","",DONNEES!M275)</f>
        <v/>
      </c>
      <c r="M275" t="str">
        <f>IF(DONNEES!$E275="","",DONNEES!N275)</f>
        <v/>
      </c>
      <c r="N275" t="str">
        <f>IF(DONNEES!$E275="","",DONNEES!O275)</f>
        <v/>
      </c>
      <c r="O275" t="str">
        <f>IF(DONNEES!$E275="","",DONNEES!P275)</f>
        <v/>
      </c>
      <c r="P275" t="str">
        <f>IF(DONNEES!$E275="","",DONNEES!Q275)</f>
        <v/>
      </c>
      <c r="Q275" t="str">
        <f>IF(DONNEES!$E275="","",DONNEES!R275)</f>
        <v/>
      </c>
      <c r="R275" t="str">
        <f>IF(DONNEES!$E275="","",DONNEES!S275)</f>
        <v/>
      </c>
      <c r="S275" t="str">
        <f>IF(DONNEES!$E275="","",DONNEES!T275)</f>
        <v/>
      </c>
      <c r="T275" t="str">
        <f>IF(DONNEES!$E275="","",DONNEES!U275)</f>
        <v/>
      </c>
      <c r="U275" t="str">
        <f>IF(DONNEES!$E275="","",DONNEES!V275)</f>
        <v/>
      </c>
      <c r="V275" t="str">
        <f>IF(DONNEES!$E275="","",DONNEES!W275)</f>
        <v/>
      </c>
      <c r="W275" t="str">
        <f>IF(DONNEES!$E275="","",DONNEES!X275)</f>
        <v/>
      </c>
      <c r="X275" t="str">
        <f>IF(DONNEES!$E275="","",DONNEES!Y275)</f>
        <v/>
      </c>
      <c r="Y275" t="str">
        <f>IF(DONNEES!$E275="","",DONNEES!Z275)</f>
        <v/>
      </c>
      <c r="Z275" t="str">
        <f>IF(DONNEES!$E275="","",DONNEES!AQ275)</f>
        <v/>
      </c>
    </row>
    <row r="276" spans="1:26" ht="15" customHeight="1" x14ac:dyDescent="0.3">
      <c r="A276" t="str">
        <f>IF(DONNEES!$E276="","",DONNEES!A276)</f>
        <v/>
      </c>
      <c r="B276" t="str">
        <f>IF(DONNEES!$E276="","",DONNEES!B276)</f>
        <v/>
      </c>
      <c r="C276" t="str">
        <f>IF(DONNEES!$E276="","",DONNEES!C276)</f>
        <v/>
      </c>
      <c r="D276" t="str">
        <f>IF(DONNEES!$E276="","",DONNEES!E276)</f>
        <v/>
      </c>
      <c r="E276" t="str">
        <f>IF(DONNEES!$E276="","",DONNEES!F276)</f>
        <v/>
      </c>
      <c r="F276" t="str">
        <f>IF(DONNEES!$E276="","",DONNEES!G276)</f>
        <v/>
      </c>
      <c r="G276" t="str">
        <f>IF(DONNEES!$E276="","",DONNEES!H276)</f>
        <v/>
      </c>
      <c r="H276" t="str">
        <f>IF(DONNEES!$E276="","",DONNEES!I276)</f>
        <v/>
      </c>
      <c r="I276" t="str">
        <f>IF(DONNEES!$E276="","",DONNEES!J276)</f>
        <v/>
      </c>
      <c r="J276" t="str">
        <f>IF(DONNEES!$E276="","",DONNEES!K276)</f>
        <v/>
      </c>
      <c r="K276" t="str">
        <f>IF(DONNEES!$E276="","",DONNEES!L276)</f>
        <v/>
      </c>
      <c r="L276" t="str">
        <f>IF(DONNEES!$E276="","",DONNEES!M276)</f>
        <v/>
      </c>
      <c r="M276" t="str">
        <f>IF(DONNEES!$E276="","",DONNEES!N276)</f>
        <v/>
      </c>
      <c r="N276" t="str">
        <f>IF(DONNEES!$E276="","",DONNEES!O276)</f>
        <v/>
      </c>
      <c r="O276" t="str">
        <f>IF(DONNEES!$E276="","",DONNEES!P276)</f>
        <v/>
      </c>
      <c r="P276" t="str">
        <f>IF(DONNEES!$E276="","",DONNEES!Q276)</f>
        <v/>
      </c>
      <c r="Q276" t="str">
        <f>IF(DONNEES!$E276="","",DONNEES!R276)</f>
        <v/>
      </c>
      <c r="R276" t="str">
        <f>IF(DONNEES!$E276="","",DONNEES!S276)</f>
        <v/>
      </c>
      <c r="S276" t="str">
        <f>IF(DONNEES!$E276="","",DONNEES!T276)</f>
        <v/>
      </c>
      <c r="T276" t="str">
        <f>IF(DONNEES!$E276="","",DONNEES!U276)</f>
        <v/>
      </c>
      <c r="U276" t="str">
        <f>IF(DONNEES!$E276="","",DONNEES!V276)</f>
        <v/>
      </c>
      <c r="V276" t="str">
        <f>IF(DONNEES!$E276="","",DONNEES!W276)</f>
        <v/>
      </c>
      <c r="W276" t="str">
        <f>IF(DONNEES!$E276="","",DONNEES!X276)</f>
        <v/>
      </c>
      <c r="X276" t="str">
        <f>IF(DONNEES!$E276="","",DONNEES!Y276)</f>
        <v/>
      </c>
      <c r="Y276" t="str">
        <f>IF(DONNEES!$E276="","",DONNEES!Z276)</f>
        <v/>
      </c>
      <c r="Z276" t="str">
        <f>IF(DONNEES!$E276="","",DONNEES!AQ276)</f>
        <v/>
      </c>
    </row>
    <row r="277" spans="1:26" ht="15" customHeight="1" x14ac:dyDescent="0.3">
      <c r="A277" t="str">
        <f>IF(DONNEES!$E277="","",DONNEES!A277)</f>
        <v/>
      </c>
      <c r="B277" t="str">
        <f>IF(DONNEES!$E277="","",DONNEES!B277)</f>
        <v/>
      </c>
      <c r="C277" t="str">
        <f>IF(DONNEES!$E277="","",DONNEES!C277)</f>
        <v/>
      </c>
      <c r="D277" t="str">
        <f>IF(DONNEES!$E277="","",DONNEES!E277)</f>
        <v/>
      </c>
      <c r="E277" t="str">
        <f>IF(DONNEES!$E277="","",DONNEES!F277)</f>
        <v/>
      </c>
      <c r="F277" t="str">
        <f>IF(DONNEES!$E277="","",DONNEES!G277)</f>
        <v/>
      </c>
      <c r="G277" t="str">
        <f>IF(DONNEES!$E277="","",DONNEES!H277)</f>
        <v/>
      </c>
      <c r="H277" t="str">
        <f>IF(DONNEES!$E277="","",DONNEES!I277)</f>
        <v/>
      </c>
      <c r="I277" t="str">
        <f>IF(DONNEES!$E277="","",DONNEES!J277)</f>
        <v/>
      </c>
      <c r="J277" t="str">
        <f>IF(DONNEES!$E277="","",DONNEES!K277)</f>
        <v/>
      </c>
      <c r="K277" t="str">
        <f>IF(DONNEES!$E277="","",DONNEES!L277)</f>
        <v/>
      </c>
      <c r="L277" t="str">
        <f>IF(DONNEES!$E277="","",DONNEES!M277)</f>
        <v/>
      </c>
      <c r="M277" t="str">
        <f>IF(DONNEES!$E277="","",DONNEES!N277)</f>
        <v/>
      </c>
      <c r="N277" t="str">
        <f>IF(DONNEES!$E277="","",DONNEES!O277)</f>
        <v/>
      </c>
      <c r="O277" t="str">
        <f>IF(DONNEES!$E277="","",DONNEES!P277)</f>
        <v/>
      </c>
      <c r="P277" t="str">
        <f>IF(DONNEES!$E277="","",DONNEES!Q277)</f>
        <v/>
      </c>
      <c r="Q277" t="str">
        <f>IF(DONNEES!$E277="","",DONNEES!R277)</f>
        <v/>
      </c>
      <c r="R277" t="str">
        <f>IF(DONNEES!$E277="","",DONNEES!S277)</f>
        <v/>
      </c>
      <c r="S277" t="str">
        <f>IF(DONNEES!$E277="","",DONNEES!T277)</f>
        <v/>
      </c>
      <c r="T277" t="str">
        <f>IF(DONNEES!$E277="","",DONNEES!U277)</f>
        <v/>
      </c>
      <c r="U277" t="str">
        <f>IF(DONNEES!$E277="","",DONNEES!V277)</f>
        <v/>
      </c>
      <c r="V277" t="str">
        <f>IF(DONNEES!$E277="","",DONNEES!W277)</f>
        <v/>
      </c>
      <c r="W277" t="str">
        <f>IF(DONNEES!$E277="","",DONNEES!X277)</f>
        <v/>
      </c>
      <c r="X277" t="str">
        <f>IF(DONNEES!$E277="","",DONNEES!Y277)</f>
        <v/>
      </c>
      <c r="Y277" t="str">
        <f>IF(DONNEES!$E277="","",DONNEES!Z277)</f>
        <v/>
      </c>
      <c r="Z277" t="str">
        <f>IF(DONNEES!$E277="","",DONNEES!AQ277)</f>
        <v/>
      </c>
    </row>
    <row r="278" spans="1:26" ht="15" customHeight="1" x14ac:dyDescent="0.3">
      <c r="A278" t="str">
        <f>IF(DONNEES!$E278="","",DONNEES!A278)</f>
        <v/>
      </c>
      <c r="B278" t="str">
        <f>IF(DONNEES!$E278="","",DONNEES!B278)</f>
        <v/>
      </c>
      <c r="C278" t="str">
        <f>IF(DONNEES!$E278="","",DONNEES!C278)</f>
        <v/>
      </c>
      <c r="D278" t="str">
        <f>IF(DONNEES!$E278="","",DONNEES!E278)</f>
        <v/>
      </c>
      <c r="E278" t="str">
        <f>IF(DONNEES!$E278="","",DONNEES!F278)</f>
        <v/>
      </c>
      <c r="F278" t="str">
        <f>IF(DONNEES!$E278="","",DONNEES!G278)</f>
        <v/>
      </c>
      <c r="G278" t="str">
        <f>IF(DONNEES!$E278="","",DONNEES!H278)</f>
        <v/>
      </c>
      <c r="H278" t="str">
        <f>IF(DONNEES!$E278="","",DONNEES!I278)</f>
        <v/>
      </c>
      <c r="I278" t="str">
        <f>IF(DONNEES!$E278="","",DONNEES!J278)</f>
        <v/>
      </c>
      <c r="J278" t="str">
        <f>IF(DONNEES!$E278="","",DONNEES!K278)</f>
        <v/>
      </c>
      <c r="K278" t="str">
        <f>IF(DONNEES!$E278="","",DONNEES!L278)</f>
        <v/>
      </c>
      <c r="L278" t="str">
        <f>IF(DONNEES!$E278="","",DONNEES!M278)</f>
        <v/>
      </c>
      <c r="M278" t="str">
        <f>IF(DONNEES!$E278="","",DONNEES!N278)</f>
        <v/>
      </c>
      <c r="N278" t="str">
        <f>IF(DONNEES!$E278="","",DONNEES!O278)</f>
        <v/>
      </c>
      <c r="O278" t="str">
        <f>IF(DONNEES!$E278="","",DONNEES!P278)</f>
        <v/>
      </c>
      <c r="P278" t="str">
        <f>IF(DONNEES!$E278="","",DONNEES!Q278)</f>
        <v/>
      </c>
      <c r="Q278" t="str">
        <f>IF(DONNEES!$E278="","",DONNEES!R278)</f>
        <v/>
      </c>
      <c r="R278" t="str">
        <f>IF(DONNEES!$E278="","",DONNEES!S278)</f>
        <v/>
      </c>
      <c r="S278" t="str">
        <f>IF(DONNEES!$E278="","",DONNEES!T278)</f>
        <v/>
      </c>
      <c r="T278" t="str">
        <f>IF(DONNEES!$E278="","",DONNEES!U278)</f>
        <v/>
      </c>
      <c r="U278" t="str">
        <f>IF(DONNEES!$E278="","",DONNEES!V278)</f>
        <v/>
      </c>
      <c r="V278" t="str">
        <f>IF(DONNEES!$E278="","",DONNEES!W278)</f>
        <v/>
      </c>
      <c r="W278" t="str">
        <f>IF(DONNEES!$E278="","",DONNEES!X278)</f>
        <v/>
      </c>
      <c r="X278" t="str">
        <f>IF(DONNEES!$E278="","",DONNEES!Y278)</f>
        <v/>
      </c>
      <c r="Y278" t="str">
        <f>IF(DONNEES!$E278="","",DONNEES!Z278)</f>
        <v/>
      </c>
      <c r="Z278" t="str">
        <f>IF(DONNEES!$E278="","",DONNEES!AQ278)</f>
        <v/>
      </c>
    </row>
    <row r="279" spans="1:26" ht="15" customHeight="1" x14ac:dyDescent="0.3">
      <c r="A279" t="str">
        <f>IF(DONNEES!$E279="","",DONNEES!A279)</f>
        <v/>
      </c>
      <c r="B279" t="str">
        <f>IF(DONNEES!$E279="","",DONNEES!B279)</f>
        <v/>
      </c>
      <c r="C279" t="str">
        <f>IF(DONNEES!$E279="","",DONNEES!C279)</f>
        <v/>
      </c>
      <c r="D279" t="str">
        <f>IF(DONNEES!$E279="","",DONNEES!E279)</f>
        <v/>
      </c>
      <c r="E279" t="str">
        <f>IF(DONNEES!$E279="","",DONNEES!F279)</f>
        <v/>
      </c>
      <c r="F279" t="str">
        <f>IF(DONNEES!$E279="","",DONNEES!G279)</f>
        <v/>
      </c>
      <c r="G279" t="str">
        <f>IF(DONNEES!$E279="","",DONNEES!H279)</f>
        <v/>
      </c>
      <c r="H279" t="str">
        <f>IF(DONNEES!$E279="","",DONNEES!I279)</f>
        <v/>
      </c>
      <c r="I279" t="str">
        <f>IF(DONNEES!$E279="","",DONNEES!J279)</f>
        <v/>
      </c>
      <c r="J279" t="str">
        <f>IF(DONNEES!$E279="","",DONNEES!K279)</f>
        <v/>
      </c>
      <c r="K279" t="str">
        <f>IF(DONNEES!$E279="","",DONNEES!L279)</f>
        <v/>
      </c>
      <c r="L279" t="str">
        <f>IF(DONNEES!$E279="","",DONNEES!M279)</f>
        <v/>
      </c>
      <c r="M279" t="str">
        <f>IF(DONNEES!$E279="","",DONNEES!N279)</f>
        <v/>
      </c>
      <c r="N279" t="str">
        <f>IF(DONNEES!$E279="","",DONNEES!O279)</f>
        <v/>
      </c>
      <c r="O279" t="str">
        <f>IF(DONNEES!$E279="","",DONNEES!P279)</f>
        <v/>
      </c>
      <c r="P279" t="str">
        <f>IF(DONNEES!$E279="","",DONNEES!Q279)</f>
        <v/>
      </c>
      <c r="Q279" t="str">
        <f>IF(DONNEES!$E279="","",DONNEES!R279)</f>
        <v/>
      </c>
      <c r="R279" t="str">
        <f>IF(DONNEES!$E279="","",DONNEES!S279)</f>
        <v/>
      </c>
      <c r="S279" t="str">
        <f>IF(DONNEES!$E279="","",DONNEES!T279)</f>
        <v/>
      </c>
      <c r="T279" t="str">
        <f>IF(DONNEES!$E279="","",DONNEES!U279)</f>
        <v/>
      </c>
      <c r="U279" t="str">
        <f>IF(DONNEES!$E279="","",DONNEES!V279)</f>
        <v/>
      </c>
      <c r="V279" t="str">
        <f>IF(DONNEES!$E279="","",DONNEES!W279)</f>
        <v/>
      </c>
      <c r="W279" t="str">
        <f>IF(DONNEES!$E279="","",DONNEES!X279)</f>
        <v/>
      </c>
      <c r="X279" t="str">
        <f>IF(DONNEES!$E279="","",DONNEES!Y279)</f>
        <v/>
      </c>
      <c r="Y279" t="str">
        <f>IF(DONNEES!$E279="","",DONNEES!Z279)</f>
        <v/>
      </c>
      <c r="Z279" t="str">
        <f>IF(DONNEES!$E279="","",DONNEES!AQ279)</f>
        <v/>
      </c>
    </row>
    <row r="280" spans="1:26" ht="15" customHeight="1" x14ac:dyDescent="0.3">
      <c r="A280" t="str">
        <f>IF(DONNEES!$E280="","",DONNEES!A280)</f>
        <v/>
      </c>
      <c r="B280" t="str">
        <f>IF(DONNEES!$E280="","",DONNEES!B280)</f>
        <v/>
      </c>
      <c r="C280" t="str">
        <f>IF(DONNEES!$E280="","",DONNEES!C280)</f>
        <v/>
      </c>
      <c r="D280" t="str">
        <f>IF(DONNEES!$E280="","",DONNEES!E280)</f>
        <v/>
      </c>
      <c r="E280" t="str">
        <f>IF(DONNEES!$E280="","",DONNEES!F280)</f>
        <v/>
      </c>
      <c r="F280" t="str">
        <f>IF(DONNEES!$E280="","",DONNEES!G280)</f>
        <v/>
      </c>
      <c r="G280" t="str">
        <f>IF(DONNEES!$E280="","",DONNEES!H280)</f>
        <v/>
      </c>
      <c r="H280" t="str">
        <f>IF(DONNEES!$E280="","",DONNEES!I280)</f>
        <v/>
      </c>
      <c r="I280" t="str">
        <f>IF(DONNEES!$E280="","",DONNEES!J280)</f>
        <v/>
      </c>
      <c r="J280" t="str">
        <f>IF(DONNEES!$E280="","",DONNEES!K280)</f>
        <v/>
      </c>
      <c r="K280" t="str">
        <f>IF(DONNEES!$E280="","",DONNEES!L280)</f>
        <v/>
      </c>
      <c r="L280" t="str">
        <f>IF(DONNEES!$E280="","",DONNEES!M280)</f>
        <v/>
      </c>
      <c r="M280" t="str">
        <f>IF(DONNEES!$E280="","",DONNEES!N280)</f>
        <v/>
      </c>
      <c r="N280" t="str">
        <f>IF(DONNEES!$E280="","",DONNEES!O280)</f>
        <v/>
      </c>
      <c r="O280" t="str">
        <f>IF(DONNEES!$E280="","",DONNEES!P280)</f>
        <v/>
      </c>
      <c r="P280" t="str">
        <f>IF(DONNEES!$E280="","",DONNEES!Q280)</f>
        <v/>
      </c>
      <c r="Q280" t="str">
        <f>IF(DONNEES!$E280="","",DONNEES!R280)</f>
        <v/>
      </c>
      <c r="R280" t="str">
        <f>IF(DONNEES!$E280="","",DONNEES!S280)</f>
        <v/>
      </c>
      <c r="S280" t="str">
        <f>IF(DONNEES!$E280="","",DONNEES!T280)</f>
        <v/>
      </c>
      <c r="T280" t="str">
        <f>IF(DONNEES!$E280="","",DONNEES!U280)</f>
        <v/>
      </c>
      <c r="U280" t="str">
        <f>IF(DONNEES!$E280="","",DONNEES!V280)</f>
        <v/>
      </c>
      <c r="V280" t="str">
        <f>IF(DONNEES!$E280="","",DONNEES!W280)</f>
        <v/>
      </c>
      <c r="W280" t="str">
        <f>IF(DONNEES!$E280="","",DONNEES!X280)</f>
        <v/>
      </c>
      <c r="X280" t="str">
        <f>IF(DONNEES!$E280="","",DONNEES!Y280)</f>
        <v/>
      </c>
      <c r="Y280" t="str">
        <f>IF(DONNEES!$E280="","",DONNEES!Z280)</f>
        <v/>
      </c>
      <c r="Z280" t="str">
        <f>IF(DONNEES!$E280="","",DONNEES!AQ280)</f>
        <v/>
      </c>
    </row>
    <row r="281" spans="1:26" ht="15" customHeight="1" x14ac:dyDescent="0.3">
      <c r="A281" t="str">
        <f>IF(DONNEES!$E281="","",DONNEES!A281)</f>
        <v/>
      </c>
      <c r="B281" t="str">
        <f>IF(DONNEES!$E281="","",DONNEES!B281)</f>
        <v/>
      </c>
      <c r="C281" t="str">
        <f>IF(DONNEES!$E281="","",DONNEES!C281)</f>
        <v/>
      </c>
      <c r="D281" t="str">
        <f>IF(DONNEES!$E281="","",DONNEES!E281)</f>
        <v/>
      </c>
      <c r="E281" t="str">
        <f>IF(DONNEES!$E281="","",DONNEES!F281)</f>
        <v/>
      </c>
      <c r="F281" t="str">
        <f>IF(DONNEES!$E281="","",DONNEES!G281)</f>
        <v/>
      </c>
      <c r="G281" t="str">
        <f>IF(DONNEES!$E281="","",DONNEES!H281)</f>
        <v/>
      </c>
      <c r="H281" t="str">
        <f>IF(DONNEES!$E281="","",DONNEES!I281)</f>
        <v/>
      </c>
      <c r="I281" t="str">
        <f>IF(DONNEES!$E281="","",DONNEES!J281)</f>
        <v/>
      </c>
      <c r="J281" t="str">
        <f>IF(DONNEES!$E281="","",DONNEES!K281)</f>
        <v/>
      </c>
      <c r="K281" t="str">
        <f>IF(DONNEES!$E281="","",DONNEES!L281)</f>
        <v/>
      </c>
      <c r="L281" t="str">
        <f>IF(DONNEES!$E281="","",DONNEES!M281)</f>
        <v/>
      </c>
      <c r="M281" t="str">
        <f>IF(DONNEES!$E281="","",DONNEES!N281)</f>
        <v/>
      </c>
      <c r="N281" t="str">
        <f>IF(DONNEES!$E281="","",DONNEES!O281)</f>
        <v/>
      </c>
      <c r="O281" t="str">
        <f>IF(DONNEES!$E281="","",DONNEES!P281)</f>
        <v/>
      </c>
      <c r="P281" t="str">
        <f>IF(DONNEES!$E281="","",DONNEES!Q281)</f>
        <v/>
      </c>
      <c r="Q281" t="str">
        <f>IF(DONNEES!$E281="","",DONNEES!R281)</f>
        <v/>
      </c>
      <c r="R281" t="str">
        <f>IF(DONNEES!$E281="","",DONNEES!S281)</f>
        <v/>
      </c>
      <c r="S281" t="str">
        <f>IF(DONNEES!$E281="","",DONNEES!T281)</f>
        <v/>
      </c>
      <c r="T281" t="str">
        <f>IF(DONNEES!$E281="","",DONNEES!U281)</f>
        <v/>
      </c>
      <c r="U281" t="str">
        <f>IF(DONNEES!$E281="","",DONNEES!V281)</f>
        <v/>
      </c>
      <c r="V281" t="str">
        <f>IF(DONNEES!$E281="","",DONNEES!W281)</f>
        <v/>
      </c>
      <c r="W281" t="str">
        <f>IF(DONNEES!$E281="","",DONNEES!X281)</f>
        <v/>
      </c>
      <c r="X281" t="str">
        <f>IF(DONNEES!$E281="","",DONNEES!Y281)</f>
        <v/>
      </c>
      <c r="Y281" t="str">
        <f>IF(DONNEES!$E281="","",DONNEES!Z281)</f>
        <v/>
      </c>
      <c r="Z281" t="str">
        <f>IF(DONNEES!$E281="","",DONNEES!AQ281)</f>
        <v/>
      </c>
    </row>
    <row r="282" spans="1:26" ht="15" customHeight="1" x14ac:dyDescent="0.3">
      <c r="A282" t="str">
        <f>IF(DONNEES!$E282="","",DONNEES!A282)</f>
        <v/>
      </c>
      <c r="B282" t="str">
        <f>IF(DONNEES!$E282="","",DONNEES!B282)</f>
        <v/>
      </c>
      <c r="C282" t="str">
        <f>IF(DONNEES!$E282="","",DONNEES!C282)</f>
        <v/>
      </c>
      <c r="D282" t="str">
        <f>IF(DONNEES!$E282="","",DONNEES!E282)</f>
        <v/>
      </c>
      <c r="E282" t="str">
        <f>IF(DONNEES!$E282="","",DONNEES!F282)</f>
        <v/>
      </c>
      <c r="F282" t="str">
        <f>IF(DONNEES!$E282="","",DONNEES!G282)</f>
        <v/>
      </c>
      <c r="G282" t="str">
        <f>IF(DONNEES!$E282="","",DONNEES!H282)</f>
        <v/>
      </c>
      <c r="H282" t="str">
        <f>IF(DONNEES!$E282="","",DONNEES!I282)</f>
        <v/>
      </c>
      <c r="I282" t="str">
        <f>IF(DONNEES!$E282="","",DONNEES!J282)</f>
        <v/>
      </c>
      <c r="J282" t="str">
        <f>IF(DONNEES!$E282="","",DONNEES!K282)</f>
        <v/>
      </c>
      <c r="K282" t="str">
        <f>IF(DONNEES!$E282="","",DONNEES!L282)</f>
        <v/>
      </c>
      <c r="L282" t="str">
        <f>IF(DONNEES!$E282="","",DONNEES!M282)</f>
        <v/>
      </c>
      <c r="M282" t="str">
        <f>IF(DONNEES!$E282="","",DONNEES!N282)</f>
        <v/>
      </c>
      <c r="N282" t="str">
        <f>IF(DONNEES!$E282="","",DONNEES!O282)</f>
        <v/>
      </c>
      <c r="O282" t="str">
        <f>IF(DONNEES!$E282="","",DONNEES!P282)</f>
        <v/>
      </c>
      <c r="P282" t="str">
        <f>IF(DONNEES!$E282="","",DONNEES!Q282)</f>
        <v/>
      </c>
      <c r="Q282" t="str">
        <f>IF(DONNEES!$E282="","",DONNEES!R282)</f>
        <v/>
      </c>
      <c r="R282" t="str">
        <f>IF(DONNEES!$E282="","",DONNEES!S282)</f>
        <v/>
      </c>
      <c r="S282" t="str">
        <f>IF(DONNEES!$E282="","",DONNEES!T282)</f>
        <v/>
      </c>
      <c r="T282" t="str">
        <f>IF(DONNEES!$E282="","",DONNEES!U282)</f>
        <v/>
      </c>
      <c r="U282" t="str">
        <f>IF(DONNEES!$E282="","",DONNEES!V282)</f>
        <v/>
      </c>
      <c r="V282" t="str">
        <f>IF(DONNEES!$E282="","",DONNEES!W282)</f>
        <v/>
      </c>
      <c r="W282" t="str">
        <f>IF(DONNEES!$E282="","",DONNEES!X282)</f>
        <v/>
      </c>
      <c r="X282" t="str">
        <f>IF(DONNEES!$E282="","",DONNEES!Y282)</f>
        <v/>
      </c>
      <c r="Y282" t="str">
        <f>IF(DONNEES!$E282="","",DONNEES!Z282)</f>
        <v/>
      </c>
      <c r="Z282" t="str">
        <f>IF(DONNEES!$E282="","",DONNEES!AQ282)</f>
        <v/>
      </c>
    </row>
    <row r="283" spans="1:26" ht="15" customHeight="1" x14ac:dyDescent="0.3">
      <c r="A283" t="str">
        <f>IF(DONNEES!$E283="","",DONNEES!A283)</f>
        <v/>
      </c>
      <c r="B283" t="str">
        <f>IF(DONNEES!$E283="","",DONNEES!B283)</f>
        <v/>
      </c>
      <c r="C283" t="str">
        <f>IF(DONNEES!$E283="","",DONNEES!C283)</f>
        <v/>
      </c>
      <c r="D283" t="str">
        <f>IF(DONNEES!$E283="","",DONNEES!E283)</f>
        <v/>
      </c>
      <c r="E283" t="str">
        <f>IF(DONNEES!$E283="","",DONNEES!F283)</f>
        <v/>
      </c>
      <c r="F283" t="str">
        <f>IF(DONNEES!$E283="","",DONNEES!G283)</f>
        <v/>
      </c>
      <c r="G283" t="str">
        <f>IF(DONNEES!$E283="","",DONNEES!H283)</f>
        <v/>
      </c>
      <c r="H283" t="str">
        <f>IF(DONNEES!$E283="","",DONNEES!I283)</f>
        <v/>
      </c>
      <c r="I283" t="str">
        <f>IF(DONNEES!$E283="","",DONNEES!J283)</f>
        <v/>
      </c>
      <c r="J283" t="str">
        <f>IF(DONNEES!$E283="","",DONNEES!K283)</f>
        <v/>
      </c>
      <c r="K283" t="str">
        <f>IF(DONNEES!$E283="","",DONNEES!L283)</f>
        <v/>
      </c>
      <c r="L283" t="str">
        <f>IF(DONNEES!$E283="","",DONNEES!M283)</f>
        <v/>
      </c>
      <c r="M283" t="str">
        <f>IF(DONNEES!$E283="","",DONNEES!N283)</f>
        <v/>
      </c>
      <c r="N283" t="str">
        <f>IF(DONNEES!$E283="","",DONNEES!O283)</f>
        <v/>
      </c>
      <c r="O283" t="str">
        <f>IF(DONNEES!$E283="","",DONNEES!P283)</f>
        <v/>
      </c>
      <c r="P283" t="str">
        <f>IF(DONNEES!$E283="","",DONNEES!Q283)</f>
        <v/>
      </c>
      <c r="Q283" t="str">
        <f>IF(DONNEES!$E283="","",DONNEES!R283)</f>
        <v/>
      </c>
      <c r="R283" t="str">
        <f>IF(DONNEES!$E283="","",DONNEES!S283)</f>
        <v/>
      </c>
      <c r="S283" t="str">
        <f>IF(DONNEES!$E283="","",DONNEES!T283)</f>
        <v/>
      </c>
      <c r="T283" t="str">
        <f>IF(DONNEES!$E283="","",DONNEES!U283)</f>
        <v/>
      </c>
      <c r="U283" t="str">
        <f>IF(DONNEES!$E283="","",DONNEES!V283)</f>
        <v/>
      </c>
      <c r="V283" t="str">
        <f>IF(DONNEES!$E283="","",DONNEES!W283)</f>
        <v/>
      </c>
      <c r="W283" t="str">
        <f>IF(DONNEES!$E283="","",DONNEES!X283)</f>
        <v/>
      </c>
      <c r="X283" t="str">
        <f>IF(DONNEES!$E283="","",DONNEES!Y283)</f>
        <v/>
      </c>
      <c r="Y283" t="str">
        <f>IF(DONNEES!$E283="","",DONNEES!Z283)</f>
        <v/>
      </c>
      <c r="Z283" t="str">
        <f>IF(DONNEES!$E283="","",DONNEES!AQ283)</f>
        <v/>
      </c>
    </row>
    <row r="284" spans="1:26" ht="15" customHeight="1" x14ac:dyDescent="0.3">
      <c r="A284" t="str">
        <f>IF(DONNEES!$E284="","",DONNEES!A284)</f>
        <v/>
      </c>
      <c r="B284" t="str">
        <f>IF(DONNEES!$E284="","",DONNEES!B284)</f>
        <v/>
      </c>
      <c r="C284" t="str">
        <f>IF(DONNEES!$E284="","",DONNEES!C284)</f>
        <v/>
      </c>
      <c r="D284" t="str">
        <f>IF(DONNEES!$E284="","",DONNEES!E284)</f>
        <v/>
      </c>
      <c r="E284" t="str">
        <f>IF(DONNEES!$E284="","",DONNEES!F284)</f>
        <v/>
      </c>
      <c r="F284" t="str">
        <f>IF(DONNEES!$E284="","",DONNEES!G284)</f>
        <v/>
      </c>
      <c r="G284" t="str">
        <f>IF(DONNEES!$E284="","",DONNEES!H284)</f>
        <v/>
      </c>
      <c r="H284" t="str">
        <f>IF(DONNEES!$E284="","",DONNEES!I284)</f>
        <v/>
      </c>
      <c r="I284" t="str">
        <f>IF(DONNEES!$E284="","",DONNEES!J284)</f>
        <v/>
      </c>
      <c r="J284" t="str">
        <f>IF(DONNEES!$E284="","",DONNEES!K284)</f>
        <v/>
      </c>
      <c r="K284" t="str">
        <f>IF(DONNEES!$E284="","",DONNEES!L284)</f>
        <v/>
      </c>
      <c r="L284" t="str">
        <f>IF(DONNEES!$E284="","",DONNEES!M284)</f>
        <v/>
      </c>
      <c r="M284" t="str">
        <f>IF(DONNEES!$E284="","",DONNEES!N284)</f>
        <v/>
      </c>
      <c r="N284" t="str">
        <f>IF(DONNEES!$E284="","",DONNEES!O284)</f>
        <v/>
      </c>
      <c r="O284" t="str">
        <f>IF(DONNEES!$E284="","",DONNEES!P284)</f>
        <v/>
      </c>
      <c r="P284" t="str">
        <f>IF(DONNEES!$E284="","",DONNEES!Q284)</f>
        <v/>
      </c>
      <c r="Q284" t="str">
        <f>IF(DONNEES!$E284="","",DONNEES!R284)</f>
        <v/>
      </c>
      <c r="R284" t="str">
        <f>IF(DONNEES!$E284="","",DONNEES!S284)</f>
        <v/>
      </c>
      <c r="S284" t="str">
        <f>IF(DONNEES!$E284="","",DONNEES!T284)</f>
        <v/>
      </c>
      <c r="T284" t="str">
        <f>IF(DONNEES!$E284="","",DONNEES!U284)</f>
        <v/>
      </c>
      <c r="U284" t="str">
        <f>IF(DONNEES!$E284="","",DONNEES!V284)</f>
        <v/>
      </c>
      <c r="V284" t="str">
        <f>IF(DONNEES!$E284="","",DONNEES!W284)</f>
        <v/>
      </c>
      <c r="W284" t="str">
        <f>IF(DONNEES!$E284="","",DONNEES!X284)</f>
        <v/>
      </c>
      <c r="X284" t="str">
        <f>IF(DONNEES!$E284="","",DONNEES!Y284)</f>
        <v/>
      </c>
      <c r="Y284" t="str">
        <f>IF(DONNEES!$E284="","",DONNEES!Z284)</f>
        <v/>
      </c>
      <c r="Z284" t="str">
        <f>IF(DONNEES!$E284="","",DONNEES!AQ284)</f>
        <v/>
      </c>
    </row>
    <row r="285" spans="1:26" ht="15" customHeight="1" x14ac:dyDescent="0.3">
      <c r="A285" t="str">
        <f>IF(DONNEES!$E285="","",DONNEES!A285)</f>
        <v/>
      </c>
      <c r="B285" t="str">
        <f>IF(DONNEES!$E285="","",DONNEES!B285)</f>
        <v/>
      </c>
      <c r="C285" t="str">
        <f>IF(DONNEES!$E285="","",DONNEES!C285)</f>
        <v/>
      </c>
      <c r="D285" t="str">
        <f>IF(DONNEES!$E285="","",DONNEES!E285)</f>
        <v/>
      </c>
      <c r="E285" t="str">
        <f>IF(DONNEES!$E285="","",DONNEES!F285)</f>
        <v/>
      </c>
      <c r="F285" t="str">
        <f>IF(DONNEES!$E285="","",DONNEES!G285)</f>
        <v/>
      </c>
      <c r="G285" t="str">
        <f>IF(DONNEES!$E285="","",DONNEES!H285)</f>
        <v/>
      </c>
      <c r="H285" t="str">
        <f>IF(DONNEES!$E285="","",DONNEES!I285)</f>
        <v/>
      </c>
      <c r="I285" t="str">
        <f>IF(DONNEES!$E285="","",DONNEES!J285)</f>
        <v/>
      </c>
      <c r="J285" t="str">
        <f>IF(DONNEES!$E285="","",DONNEES!K285)</f>
        <v/>
      </c>
      <c r="K285" t="str">
        <f>IF(DONNEES!$E285="","",DONNEES!L285)</f>
        <v/>
      </c>
      <c r="L285" t="str">
        <f>IF(DONNEES!$E285="","",DONNEES!M285)</f>
        <v/>
      </c>
      <c r="M285" t="str">
        <f>IF(DONNEES!$E285="","",DONNEES!N285)</f>
        <v/>
      </c>
      <c r="N285" t="str">
        <f>IF(DONNEES!$E285="","",DONNEES!O285)</f>
        <v/>
      </c>
      <c r="O285" t="str">
        <f>IF(DONNEES!$E285="","",DONNEES!P285)</f>
        <v/>
      </c>
      <c r="P285" t="str">
        <f>IF(DONNEES!$E285="","",DONNEES!Q285)</f>
        <v/>
      </c>
      <c r="Q285" t="str">
        <f>IF(DONNEES!$E285="","",DONNEES!R285)</f>
        <v/>
      </c>
      <c r="R285" t="str">
        <f>IF(DONNEES!$E285="","",DONNEES!S285)</f>
        <v/>
      </c>
      <c r="S285" t="str">
        <f>IF(DONNEES!$E285="","",DONNEES!T285)</f>
        <v/>
      </c>
      <c r="T285" t="str">
        <f>IF(DONNEES!$E285="","",DONNEES!U285)</f>
        <v/>
      </c>
      <c r="U285" t="str">
        <f>IF(DONNEES!$E285="","",DONNEES!V285)</f>
        <v/>
      </c>
      <c r="V285" t="str">
        <f>IF(DONNEES!$E285="","",DONNEES!W285)</f>
        <v/>
      </c>
      <c r="W285" t="str">
        <f>IF(DONNEES!$E285="","",DONNEES!X285)</f>
        <v/>
      </c>
      <c r="X285" t="str">
        <f>IF(DONNEES!$E285="","",DONNEES!Y285)</f>
        <v/>
      </c>
      <c r="Y285" t="str">
        <f>IF(DONNEES!$E285="","",DONNEES!Z285)</f>
        <v/>
      </c>
      <c r="Z285" t="str">
        <f>IF(DONNEES!$E285="","",DONNEES!AQ285)</f>
        <v/>
      </c>
    </row>
    <row r="286" spans="1:26" ht="15" customHeight="1" x14ac:dyDescent="0.3">
      <c r="A286" t="str">
        <f>IF(DONNEES!$E286="","",DONNEES!A286)</f>
        <v/>
      </c>
      <c r="B286" t="str">
        <f>IF(DONNEES!$E286="","",DONNEES!B286)</f>
        <v/>
      </c>
      <c r="C286" t="str">
        <f>IF(DONNEES!$E286="","",DONNEES!C286)</f>
        <v/>
      </c>
      <c r="D286" t="str">
        <f>IF(DONNEES!$E286="","",DONNEES!E286)</f>
        <v/>
      </c>
      <c r="E286" t="str">
        <f>IF(DONNEES!$E286="","",DONNEES!F286)</f>
        <v/>
      </c>
      <c r="F286" t="str">
        <f>IF(DONNEES!$E286="","",DONNEES!G286)</f>
        <v/>
      </c>
      <c r="G286" t="str">
        <f>IF(DONNEES!$E286="","",DONNEES!H286)</f>
        <v/>
      </c>
      <c r="H286" t="str">
        <f>IF(DONNEES!$E286="","",DONNEES!I286)</f>
        <v/>
      </c>
      <c r="I286" t="str">
        <f>IF(DONNEES!$E286="","",DONNEES!J286)</f>
        <v/>
      </c>
      <c r="J286" t="str">
        <f>IF(DONNEES!$E286="","",DONNEES!K286)</f>
        <v/>
      </c>
      <c r="K286" t="str">
        <f>IF(DONNEES!$E286="","",DONNEES!L286)</f>
        <v/>
      </c>
      <c r="L286" t="str">
        <f>IF(DONNEES!$E286="","",DONNEES!M286)</f>
        <v/>
      </c>
      <c r="M286" t="str">
        <f>IF(DONNEES!$E286="","",DONNEES!N286)</f>
        <v/>
      </c>
      <c r="N286" t="str">
        <f>IF(DONNEES!$E286="","",DONNEES!O286)</f>
        <v/>
      </c>
      <c r="O286" t="str">
        <f>IF(DONNEES!$E286="","",DONNEES!P286)</f>
        <v/>
      </c>
      <c r="P286" t="str">
        <f>IF(DONNEES!$E286="","",DONNEES!Q286)</f>
        <v/>
      </c>
      <c r="Q286" t="str">
        <f>IF(DONNEES!$E286="","",DONNEES!R286)</f>
        <v/>
      </c>
      <c r="R286" t="str">
        <f>IF(DONNEES!$E286="","",DONNEES!S286)</f>
        <v/>
      </c>
      <c r="S286" t="str">
        <f>IF(DONNEES!$E286="","",DONNEES!T286)</f>
        <v/>
      </c>
      <c r="T286" t="str">
        <f>IF(DONNEES!$E286="","",DONNEES!U286)</f>
        <v/>
      </c>
      <c r="U286" t="str">
        <f>IF(DONNEES!$E286="","",DONNEES!V286)</f>
        <v/>
      </c>
      <c r="V286" t="str">
        <f>IF(DONNEES!$E286="","",DONNEES!W286)</f>
        <v/>
      </c>
      <c r="W286" t="str">
        <f>IF(DONNEES!$E286="","",DONNEES!X286)</f>
        <v/>
      </c>
      <c r="X286" t="str">
        <f>IF(DONNEES!$E286="","",DONNEES!Y286)</f>
        <v/>
      </c>
      <c r="Y286" t="str">
        <f>IF(DONNEES!$E286="","",DONNEES!Z286)</f>
        <v/>
      </c>
      <c r="Z286" t="str">
        <f>IF(DONNEES!$E286="","",DONNEES!AQ286)</f>
        <v/>
      </c>
    </row>
    <row r="287" spans="1:26" ht="15" customHeight="1" x14ac:dyDescent="0.3">
      <c r="A287" t="str">
        <f>IF(DONNEES!$E287="","",DONNEES!A287)</f>
        <v/>
      </c>
      <c r="B287" t="str">
        <f>IF(DONNEES!$E287="","",DONNEES!B287)</f>
        <v/>
      </c>
      <c r="C287" t="str">
        <f>IF(DONNEES!$E287="","",DONNEES!C287)</f>
        <v/>
      </c>
      <c r="D287" t="str">
        <f>IF(DONNEES!$E287="","",DONNEES!E287)</f>
        <v/>
      </c>
      <c r="E287" t="str">
        <f>IF(DONNEES!$E287="","",DONNEES!F287)</f>
        <v/>
      </c>
      <c r="F287" t="str">
        <f>IF(DONNEES!$E287="","",DONNEES!G287)</f>
        <v/>
      </c>
      <c r="G287" t="str">
        <f>IF(DONNEES!$E287="","",DONNEES!H287)</f>
        <v/>
      </c>
      <c r="H287" t="str">
        <f>IF(DONNEES!$E287="","",DONNEES!I287)</f>
        <v/>
      </c>
      <c r="I287" t="str">
        <f>IF(DONNEES!$E287="","",DONNEES!J287)</f>
        <v/>
      </c>
      <c r="J287" t="str">
        <f>IF(DONNEES!$E287="","",DONNEES!K287)</f>
        <v/>
      </c>
      <c r="K287" t="str">
        <f>IF(DONNEES!$E287="","",DONNEES!L287)</f>
        <v/>
      </c>
      <c r="L287" t="str">
        <f>IF(DONNEES!$E287="","",DONNEES!M287)</f>
        <v/>
      </c>
      <c r="M287" t="str">
        <f>IF(DONNEES!$E287="","",DONNEES!N287)</f>
        <v/>
      </c>
      <c r="N287" t="str">
        <f>IF(DONNEES!$E287="","",DONNEES!O287)</f>
        <v/>
      </c>
      <c r="O287" t="str">
        <f>IF(DONNEES!$E287="","",DONNEES!P287)</f>
        <v/>
      </c>
      <c r="P287" t="str">
        <f>IF(DONNEES!$E287="","",DONNEES!Q287)</f>
        <v/>
      </c>
      <c r="Q287" t="str">
        <f>IF(DONNEES!$E287="","",DONNEES!R287)</f>
        <v/>
      </c>
      <c r="R287" t="str">
        <f>IF(DONNEES!$E287="","",DONNEES!S287)</f>
        <v/>
      </c>
      <c r="S287" t="str">
        <f>IF(DONNEES!$E287="","",DONNEES!T287)</f>
        <v/>
      </c>
      <c r="T287" t="str">
        <f>IF(DONNEES!$E287="","",DONNEES!U287)</f>
        <v/>
      </c>
      <c r="U287" t="str">
        <f>IF(DONNEES!$E287="","",DONNEES!V287)</f>
        <v/>
      </c>
      <c r="V287" t="str">
        <f>IF(DONNEES!$E287="","",DONNEES!W287)</f>
        <v/>
      </c>
      <c r="W287" t="str">
        <f>IF(DONNEES!$E287="","",DONNEES!X287)</f>
        <v/>
      </c>
      <c r="X287" t="str">
        <f>IF(DONNEES!$E287="","",DONNEES!Y287)</f>
        <v/>
      </c>
      <c r="Y287" t="str">
        <f>IF(DONNEES!$E287="","",DONNEES!Z287)</f>
        <v/>
      </c>
      <c r="Z287" t="str">
        <f>IF(DONNEES!$E287="","",DONNEES!AQ287)</f>
        <v/>
      </c>
    </row>
    <row r="288" spans="1:26" ht="15" customHeight="1" x14ac:dyDescent="0.3">
      <c r="A288" t="str">
        <f>IF(DONNEES!$E288="","",DONNEES!A288)</f>
        <v/>
      </c>
      <c r="B288" t="str">
        <f>IF(DONNEES!$E288="","",DONNEES!B288)</f>
        <v/>
      </c>
      <c r="C288" t="str">
        <f>IF(DONNEES!$E288="","",DONNEES!C288)</f>
        <v/>
      </c>
      <c r="D288" t="str">
        <f>IF(DONNEES!$E288="","",DONNEES!E288)</f>
        <v/>
      </c>
      <c r="E288" t="str">
        <f>IF(DONNEES!$E288="","",DONNEES!F288)</f>
        <v/>
      </c>
      <c r="F288" t="str">
        <f>IF(DONNEES!$E288="","",DONNEES!G288)</f>
        <v/>
      </c>
      <c r="G288" t="str">
        <f>IF(DONNEES!$E288="","",DONNEES!H288)</f>
        <v/>
      </c>
      <c r="H288" t="str">
        <f>IF(DONNEES!$E288="","",DONNEES!I288)</f>
        <v/>
      </c>
      <c r="I288" t="str">
        <f>IF(DONNEES!$E288="","",DONNEES!J288)</f>
        <v/>
      </c>
      <c r="J288" t="str">
        <f>IF(DONNEES!$E288="","",DONNEES!K288)</f>
        <v/>
      </c>
      <c r="K288" t="str">
        <f>IF(DONNEES!$E288="","",DONNEES!L288)</f>
        <v/>
      </c>
      <c r="L288" t="str">
        <f>IF(DONNEES!$E288="","",DONNEES!M288)</f>
        <v/>
      </c>
      <c r="M288" t="str">
        <f>IF(DONNEES!$E288="","",DONNEES!N288)</f>
        <v/>
      </c>
      <c r="N288" t="str">
        <f>IF(DONNEES!$E288="","",DONNEES!O288)</f>
        <v/>
      </c>
      <c r="O288" t="str">
        <f>IF(DONNEES!$E288="","",DONNEES!P288)</f>
        <v/>
      </c>
      <c r="P288" t="str">
        <f>IF(DONNEES!$E288="","",DONNEES!Q288)</f>
        <v/>
      </c>
      <c r="Q288" t="str">
        <f>IF(DONNEES!$E288="","",DONNEES!R288)</f>
        <v/>
      </c>
      <c r="R288" t="str">
        <f>IF(DONNEES!$E288="","",DONNEES!S288)</f>
        <v/>
      </c>
      <c r="S288" t="str">
        <f>IF(DONNEES!$E288="","",DONNEES!T288)</f>
        <v/>
      </c>
      <c r="T288" t="str">
        <f>IF(DONNEES!$E288="","",DONNEES!U288)</f>
        <v/>
      </c>
      <c r="U288" t="str">
        <f>IF(DONNEES!$E288="","",DONNEES!V288)</f>
        <v/>
      </c>
      <c r="V288" t="str">
        <f>IF(DONNEES!$E288="","",DONNEES!W288)</f>
        <v/>
      </c>
      <c r="W288" t="str">
        <f>IF(DONNEES!$E288="","",DONNEES!X288)</f>
        <v/>
      </c>
      <c r="X288" t="str">
        <f>IF(DONNEES!$E288="","",DONNEES!Y288)</f>
        <v/>
      </c>
      <c r="Y288" t="str">
        <f>IF(DONNEES!$E288="","",DONNEES!Z288)</f>
        <v/>
      </c>
      <c r="Z288" t="str">
        <f>IF(DONNEES!$E288="","",DONNEES!AQ288)</f>
        <v/>
      </c>
    </row>
    <row r="289" spans="1:26" ht="15" customHeight="1" x14ac:dyDescent="0.3">
      <c r="A289" t="str">
        <f>IF(DONNEES!$E289="","",DONNEES!A289)</f>
        <v/>
      </c>
      <c r="B289" t="str">
        <f>IF(DONNEES!$E289="","",DONNEES!B289)</f>
        <v/>
      </c>
      <c r="C289" t="str">
        <f>IF(DONNEES!$E289="","",DONNEES!C289)</f>
        <v/>
      </c>
      <c r="D289" t="str">
        <f>IF(DONNEES!$E289="","",DONNEES!E289)</f>
        <v/>
      </c>
      <c r="E289" t="str">
        <f>IF(DONNEES!$E289="","",DONNEES!F289)</f>
        <v/>
      </c>
      <c r="F289" t="str">
        <f>IF(DONNEES!$E289="","",DONNEES!G289)</f>
        <v/>
      </c>
      <c r="G289" t="str">
        <f>IF(DONNEES!$E289="","",DONNEES!H289)</f>
        <v/>
      </c>
      <c r="H289" t="str">
        <f>IF(DONNEES!$E289="","",DONNEES!I289)</f>
        <v/>
      </c>
      <c r="I289" t="str">
        <f>IF(DONNEES!$E289="","",DONNEES!J289)</f>
        <v/>
      </c>
      <c r="J289" t="str">
        <f>IF(DONNEES!$E289="","",DONNEES!K289)</f>
        <v/>
      </c>
      <c r="K289" t="str">
        <f>IF(DONNEES!$E289="","",DONNEES!L289)</f>
        <v/>
      </c>
      <c r="L289" t="str">
        <f>IF(DONNEES!$E289="","",DONNEES!M289)</f>
        <v/>
      </c>
      <c r="M289" t="str">
        <f>IF(DONNEES!$E289="","",DONNEES!N289)</f>
        <v/>
      </c>
      <c r="N289" t="str">
        <f>IF(DONNEES!$E289="","",DONNEES!O289)</f>
        <v/>
      </c>
      <c r="O289" t="str">
        <f>IF(DONNEES!$E289="","",DONNEES!P289)</f>
        <v/>
      </c>
      <c r="P289" t="str">
        <f>IF(DONNEES!$E289="","",DONNEES!Q289)</f>
        <v/>
      </c>
      <c r="Q289" t="str">
        <f>IF(DONNEES!$E289="","",DONNEES!R289)</f>
        <v/>
      </c>
      <c r="R289" t="str">
        <f>IF(DONNEES!$E289="","",DONNEES!S289)</f>
        <v/>
      </c>
      <c r="S289" t="str">
        <f>IF(DONNEES!$E289="","",DONNEES!T289)</f>
        <v/>
      </c>
      <c r="T289" t="str">
        <f>IF(DONNEES!$E289="","",DONNEES!U289)</f>
        <v/>
      </c>
      <c r="U289" t="str">
        <f>IF(DONNEES!$E289="","",DONNEES!V289)</f>
        <v/>
      </c>
      <c r="V289" t="str">
        <f>IF(DONNEES!$E289="","",DONNEES!W289)</f>
        <v/>
      </c>
      <c r="W289" t="str">
        <f>IF(DONNEES!$E289="","",DONNEES!X289)</f>
        <v/>
      </c>
      <c r="X289" t="str">
        <f>IF(DONNEES!$E289="","",DONNEES!Y289)</f>
        <v/>
      </c>
      <c r="Y289" t="str">
        <f>IF(DONNEES!$E289="","",DONNEES!Z289)</f>
        <v/>
      </c>
      <c r="Z289" t="str">
        <f>IF(DONNEES!$E289="","",DONNEES!AQ289)</f>
        <v/>
      </c>
    </row>
    <row r="290" spans="1:26" ht="15" customHeight="1" x14ac:dyDescent="0.3">
      <c r="A290" t="str">
        <f>IF(DONNEES!$E290="","",DONNEES!A290)</f>
        <v/>
      </c>
      <c r="B290" t="str">
        <f>IF(DONNEES!$E290="","",DONNEES!B290)</f>
        <v/>
      </c>
      <c r="C290" t="str">
        <f>IF(DONNEES!$E290="","",DONNEES!C290)</f>
        <v/>
      </c>
      <c r="D290" t="str">
        <f>IF(DONNEES!$E290="","",DONNEES!E290)</f>
        <v/>
      </c>
      <c r="E290" t="str">
        <f>IF(DONNEES!$E290="","",DONNEES!F290)</f>
        <v/>
      </c>
      <c r="F290" t="str">
        <f>IF(DONNEES!$E290="","",DONNEES!G290)</f>
        <v/>
      </c>
      <c r="G290" t="str">
        <f>IF(DONNEES!$E290="","",DONNEES!H290)</f>
        <v/>
      </c>
      <c r="H290" t="str">
        <f>IF(DONNEES!$E290="","",DONNEES!I290)</f>
        <v/>
      </c>
      <c r="I290" t="str">
        <f>IF(DONNEES!$E290="","",DONNEES!J290)</f>
        <v/>
      </c>
      <c r="J290" t="str">
        <f>IF(DONNEES!$E290="","",DONNEES!K290)</f>
        <v/>
      </c>
      <c r="K290" t="str">
        <f>IF(DONNEES!$E290="","",DONNEES!L290)</f>
        <v/>
      </c>
      <c r="L290" t="str">
        <f>IF(DONNEES!$E290="","",DONNEES!M290)</f>
        <v/>
      </c>
      <c r="M290" t="str">
        <f>IF(DONNEES!$E290="","",DONNEES!N290)</f>
        <v/>
      </c>
      <c r="N290" t="str">
        <f>IF(DONNEES!$E290="","",DONNEES!O290)</f>
        <v/>
      </c>
      <c r="O290" t="str">
        <f>IF(DONNEES!$E290="","",DONNEES!P290)</f>
        <v/>
      </c>
      <c r="P290" t="str">
        <f>IF(DONNEES!$E290="","",DONNEES!Q290)</f>
        <v/>
      </c>
      <c r="Q290" t="str">
        <f>IF(DONNEES!$E290="","",DONNEES!R290)</f>
        <v/>
      </c>
      <c r="R290" t="str">
        <f>IF(DONNEES!$E290="","",DONNEES!S290)</f>
        <v/>
      </c>
      <c r="S290" t="str">
        <f>IF(DONNEES!$E290="","",DONNEES!T290)</f>
        <v/>
      </c>
      <c r="T290" t="str">
        <f>IF(DONNEES!$E290="","",DONNEES!U290)</f>
        <v/>
      </c>
      <c r="U290" t="str">
        <f>IF(DONNEES!$E290="","",DONNEES!V290)</f>
        <v/>
      </c>
      <c r="V290" t="str">
        <f>IF(DONNEES!$E290="","",DONNEES!W290)</f>
        <v/>
      </c>
      <c r="W290" t="str">
        <f>IF(DONNEES!$E290="","",DONNEES!X290)</f>
        <v/>
      </c>
      <c r="X290" t="str">
        <f>IF(DONNEES!$E290="","",DONNEES!Y290)</f>
        <v/>
      </c>
      <c r="Y290" t="str">
        <f>IF(DONNEES!$E290="","",DONNEES!Z290)</f>
        <v/>
      </c>
      <c r="Z290" t="str">
        <f>IF(DONNEES!$E290="","",DONNEES!AQ290)</f>
        <v/>
      </c>
    </row>
    <row r="291" spans="1:26" ht="15" customHeight="1" x14ac:dyDescent="0.3">
      <c r="A291" t="str">
        <f>IF(DONNEES!$E291="","",DONNEES!A291)</f>
        <v/>
      </c>
      <c r="B291" t="str">
        <f>IF(DONNEES!$E291="","",DONNEES!B291)</f>
        <v/>
      </c>
      <c r="C291" t="str">
        <f>IF(DONNEES!$E291="","",DONNEES!C291)</f>
        <v/>
      </c>
      <c r="D291" t="str">
        <f>IF(DONNEES!$E291="","",DONNEES!E291)</f>
        <v/>
      </c>
      <c r="E291" t="str">
        <f>IF(DONNEES!$E291="","",DONNEES!F291)</f>
        <v/>
      </c>
      <c r="F291" t="str">
        <f>IF(DONNEES!$E291="","",DONNEES!G291)</f>
        <v/>
      </c>
      <c r="G291" t="str">
        <f>IF(DONNEES!$E291="","",DONNEES!H291)</f>
        <v/>
      </c>
      <c r="H291" t="str">
        <f>IF(DONNEES!$E291="","",DONNEES!I291)</f>
        <v/>
      </c>
      <c r="I291" t="str">
        <f>IF(DONNEES!$E291="","",DONNEES!J291)</f>
        <v/>
      </c>
      <c r="J291" t="str">
        <f>IF(DONNEES!$E291="","",DONNEES!K291)</f>
        <v/>
      </c>
      <c r="K291" t="str">
        <f>IF(DONNEES!$E291="","",DONNEES!L291)</f>
        <v/>
      </c>
      <c r="L291" t="str">
        <f>IF(DONNEES!$E291="","",DONNEES!M291)</f>
        <v/>
      </c>
      <c r="M291" t="str">
        <f>IF(DONNEES!$E291="","",DONNEES!N291)</f>
        <v/>
      </c>
      <c r="N291" t="str">
        <f>IF(DONNEES!$E291="","",DONNEES!O291)</f>
        <v/>
      </c>
      <c r="O291" t="str">
        <f>IF(DONNEES!$E291="","",DONNEES!P291)</f>
        <v/>
      </c>
      <c r="P291" t="str">
        <f>IF(DONNEES!$E291="","",DONNEES!Q291)</f>
        <v/>
      </c>
      <c r="Q291" t="str">
        <f>IF(DONNEES!$E291="","",DONNEES!R291)</f>
        <v/>
      </c>
      <c r="R291" t="str">
        <f>IF(DONNEES!$E291="","",DONNEES!S291)</f>
        <v/>
      </c>
      <c r="S291" t="str">
        <f>IF(DONNEES!$E291="","",DONNEES!T291)</f>
        <v/>
      </c>
      <c r="T291" t="str">
        <f>IF(DONNEES!$E291="","",DONNEES!U291)</f>
        <v/>
      </c>
      <c r="U291" t="str">
        <f>IF(DONNEES!$E291="","",DONNEES!V291)</f>
        <v/>
      </c>
      <c r="V291" t="str">
        <f>IF(DONNEES!$E291="","",DONNEES!W291)</f>
        <v/>
      </c>
      <c r="W291" t="str">
        <f>IF(DONNEES!$E291="","",DONNEES!X291)</f>
        <v/>
      </c>
      <c r="X291" t="str">
        <f>IF(DONNEES!$E291="","",DONNEES!Y291)</f>
        <v/>
      </c>
      <c r="Y291" t="str">
        <f>IF(DONNEES!$E291="","",DONNEES!Z291)</f>
        <v/>
      </c>
      <c r="Z291" t="str">
        <f>IF(DONNEES!$E291="","",DONNEES!AQ291)</f>
        <v/>
      </c>
    </row>
    <row r="292" spans="1:26" ht="15" customHeight="1" x14ac:dyDescent="0.3">
      <c r="A292" t="str">
        <f>IF(DONNEES!$E292="","",DONNEES!A292)</f>
        <v/>
      </c>
      <c r="B292" t="str">
        <f>IF(DONNEES!$E292="","",DONNEES!B292)</f>
        <v/>
      </c>
      <c r="C292" t="str">
        <f>IF(DONNEES!$E292="","",DONNEES!C292)</f>
        <v/>
      </c>
      <c r="D292" t="str">
        <f>IF(DONNEES!$E292="","",DONNEES!E292)</f>
        <v/>
      </c>
      <c r="E292" t="str">
        <f>IF(DONNEES!$E292="","",DONNEES!F292)</f>
        <v/>
      </c>
      <c r="F292" t="str">
        <f>IF(DONNEES!$E292="","",DONNEES!G292)</f>
        <v/>
      </c>
      <c r="G292" t="str">
        <f>IF(DONNEES!$E292="","",DONNEES!H292)</f>
        <v/>
      </c>
      <c r="H292" t="str">
        <f>IF(DONNEES!$E292="","",DONNEES!I292)</f>
        <v/>
      </c>
      <c r="I292" t="str">
        <f>IF(DONNEES!$E292="","",DONNEES!J292)</f>
        <v/>
      </c>
      <c r="J292" t="str">
        <f>IF(DONNEES!$E292="","",DONNEES!K292)</f>
        <v/>
      </c>
      <c r="K292" t="str">
        <f>IF(DONNEES!$E292="","",DONNEES!L292)</f>
        <v/>
      </c>
      <c r="L292" t="str">
        <f>IF(DONNEES!$E292="","",DONNEES!M292)</f>
        <v/>
      </c>
      <c r="M292" t="str">
        <f>IF(DONNEES!$E292="","",DONNEES!N292)</f>
        <v/>
      </c>
      <c r="N292" t="str">
        <f>IF(DONNEES!$E292="","",DONNEES!O292)</f>
        <v/>
      </c>
      <c r="O292" t="str">
        <f>IF(DONNEES!$E292="","",DONNEES!P292)</f>
        <v/>
      </c>
      <c r="P292" t="str">
        <f>IF(DONNEES!$E292="","",DONNEES!Q292)</f>
        <v/>
      </c>
      <c r="Q292" t="str">
        <f>IF(DONNEES!$E292="","",DONNEES!R292)</f>
        <v/>
      </c>
      <c r="R292" t="str">
        <f>IF(DONNEES!$E292="","",DONNEES!S292)</f>
        <v/>
      </c>
      <c r="S292" t="str">
        <f>IF(DONNEES!$E292="","",DONNEES!T292)</f>
        <v/>
      </c>
      <c r="T292" t="str">
        <f>IF(DONNEES!$E292="","",DONNEES!U292)</f>
        <v/>
      </c>
      <c r="U292" t="str">
        <f>IF(DONNEES!$E292="","",DONNEES!V292)</f>
        <v/>
      </c>
      <c r="V292" t="str">
        <f>IF(DONNEES!$E292="","",DONNEES!W292)</f>
        <v/>
      </c>
      <c r="W292" t="str">
        <f>IF(DONNEES!$E292="","",DONNEES!X292)</f>
        <v/>
      </c>
      <c r="X292" t="str">
        <f>IF(DONNEES!$E292="","",DONNEES!Y292)</f>
        <v/>
      </c>
      <c r="Y292" t="str">
        <f>IF(DONNEES!$E292="","",DONNEES!Z292)</f>
        <v/>
      </c>
      <c r="Z292" t="str">
        <f>IF(DONNEES!$E292="","",DONNEES!AQ292)</f>
        <v/>
      </c>
    </row>
    <row r="293" spans="1:26" ht="15" customHeight="1" x14ac:dyDescent="0.3">
      <c r="A293" t="str">
        <f>IF(DONNEES!$E293="","",DONNEES!A293)</f>
        <v/>
      </c>
      <c r="B293" t="str">
        <f>IF(DONNEES!$E293="","",DONNEES!B293)</f>
        <v/>
      </c>
      <c r="C293" t="str">
        <f>IF(DONNEES!$E293="","",DONNEES!C293)</f>
        <v/>
      </c>
      <c r="D293" t="str">
        <f>IF(DONNEES!$E293="","",DONNEES!E293)</f>
        <v/>
      </c>
      <c r="E293" t="str">
        <f>IF(DONNEES!$E293="","",DONNEES!F293)</f>
        <v/>
      </c>
      <c r="F293" t="str">
        <f>IF(DONNEES!$E293="","",DONNEES!G293)</f>
        <v/>
      </c>
      <c r="G293" t="str">
        <f>IF(DONNEES!$E293="","",DONNEES!H293)</f>
        <v/>
      </c>
      <c r="H293" t="str">
        <f>IF(DONNEES!$E293="","",DONNEES!I293)</f>
        <v/>
      </c>
      <c r="I293" t="str">
        <f>IF(DONNEES!$E293="","",DONNEES!J293)</f>
        <v/>
      </c>
      <c r="J293" t="str">
        <f>IF(DONNEES!$E293="","",DONNEES!K293)</f>
        <v/>
      </c>
      <c r="K293" t="str">
        <f>IF(DONNEES!$E293="","",DONNEES!L293)</f>
        <v/>
      </c>
      <c r="L293" t="str">
        <f>IF(DONNEES!$E293="","",DONNEES!M293)</f>
        <v/>
      </c>
      <c r="M293" t="str">
        <f>IF(DONNEES!$E293="","",DONNEES!N293)</f>
        <v/>
      </c>
      <c r="N293" t="str">
        <f>IF(DONNEES!$E293="","",DONNEES!O293)</f>
        <v/>
      </c>
      <c r="O293" t="str">
        <f>IF(DONNEES!$E293="","",DONNEES!P293)</f>
        <v/>
      </c>
      <c r="P293" t="str">
        <f>IF(DONNEES!$E293="","",DONNEES!Q293)</f>
        <v/>
      </c>
      <c r="Q293" t="str">
        <f>IF(DONNEES!$E293="","",DONNEES!R293)</f>
        <v/>
      </c>
      <c r="R293" t="str">
        <f>IF(DONNEES!$E293="","",DONNEES!S293)</f>
        <v/>
      </c>
      <c r="S293" t="str">
        <f>IF(DONNEES!$E293="","",DONNEES!T293)</f>
        <v/>
      </c>
      <c r="T293" t="str">
        <f>IF(DONNEES!$E293="","",DONNEES!U293)</f>
        <v/>
      </c>
      <c r="U293" t="str">
        <f>IF(DONNEES!$E293="","",DONNEES!V293)</f>
        <v/>
      </c>
      <c r="V293" t="str">
        <f>IF(DONNEES!$E293="","",DONNEES!W293)</f>
        <v/>
      </c>
      <c r="W293" t="str">
        <f>IF(DONNEES!$E293="","",DONNEES!X293)</f>
        <v/>
      </c>
      <c r="X293" t="str">
        <f>IF(DONNEES!$E293="","",DONNEES!Y293)</f>
        <v/>
      </c>
      <c r="Y293" t="str">
        <f>IF(DONNEES!$E293="","",DONNEES!Z293)</f>
        <v/>
      </c>
      <c r="Z293" t="str">
        <f>IF(DONNEES!$E293="","",DONNEES!AQ293)</f>
        <v/>
      </c>
    </row>
    <row r="294" spans="1:26" ht="15" customHeight="1" x14ac:dyDescent="0.3">
      <c r="A294" t="str">
        <f>IF(DONNEES!$E294="","",DONNEES!A294)</f>
        <v/>
      </c>
      <c r="B294" t="str">
        <f>IF(DONNEES!$E294="","",DONNEES!B294)</f>
        <v/>
      </c>
      <c r="C294" t="str">
        <f>IF(DONNEES!$E294="","",DONNEES!C294)</f>
        <v/>
      </c>
      <c r="D294" t="str">
        <f>IF(DONNEES!$E294="","",DONNEES!E294)</f>
        <v/>
      </c>
      <c r="E294" t="str">
        <f>IF(DONNEES!$E294="","",DONNEES!F294)</f>
        <v/>
      </c>
      <c r="F294" t="str">
        <f>IF(DONNEES!$E294="","",DONNEES!G294)</f>
        <v/>
      </c>
      <c r="G294" t="str">
        <f>IF(DONNEES!$E294="","",DONNEES!H294)</f>
        <v/>
      </c>
      <c r="H294" t="str">
        <f>IF(DONNEES!$E294="","",DONNEES!I294)</f>
        <v/>
      </c>
      <c r="I294" t="str">
        <f>IF(DONNEES!$E294="","",DONNEES!J294)</f>
        <v/>
      </c>
      <c r="J294" t="str">
        <f>IF(DONNEES!$E294="","",DONNEES!K294)</f>
        <v/>
      </c>
      <c r="K294" t="str">
        <f>IF(DONNEES!$E294="","",DONNEES!L294)</f>
        <v/>
      </c>
      <c r="L294" t="str">
        <f>IF(DONNEES!$E294="","",DONNEES!M294)</f>
        <v/>
      </c>
      <c r="M294" t="str">
        <f>IF(DONNEES!$E294="","",DONNEES!N294)</f>
        <v/>
      </c>
      <c r="N294" t="str">
        <f>IF(DONNEES!$E294="","",DONNEES!O294)</f>
        <v/>
      </c>
      <c r="O294" t="str">
        <f>IF(DONNEES!$E294="","",DONNEES!P294)</f>
        <v/>
      </c>
      <c r="P294" t="str">
        <f>IF(DONNEES!$E294="","",DONNEES!Q294)</f>
        <v/>
      </c>
      <c r="Q294" t="str">
        <f>IF(DONNEES!$E294="","",DONNEES!R294)</f>
        <v/>
      </c>
      <c r="R294" t="str">
        <f>IF(DONNEES!$E294="","",DONNEES!S294)</f>
        <v/>
      </c>
      <c r="S294" t="str">
        <f>IF(DONNEES!$E294="","",DONNEES!T294)</f>
        <v/>
      </c>
      <c r="T294" t="str">
        <f>IF(DONNEES!$E294="","",DONNEES!U294)</f>
        <v/>
      </c>
      <c r="U294" t="str">
        <f>IF(DONNEES!$E294="","",DONNEES!V294)</f>
        <v/>
      </c>
      <c r="V294" t="str">
        <f>IF(DONNEES!$E294="","",DONNEES!W294)</f>
        <v/>
      </c>
      <c r="W294" t="str">
        <f>IF(DONNEES!$E294="","",DONNEES!X294)</f>
        <v/>
      </c>
      <c r="X294" t="str">
        <f>IF(DONNEES!$E294="","",DONNEES!Y294)</f>
        <v/>
      </c>
      <c r="Y294" t="str">
        <f>IF(DONNEES!$E294="","",DONNEES!Z294)</f>
        <v/>
      </c>
      <c r="Z294" t="str">
        <f>IF(DONNEES!$E294="","",DONNEES!AQ294)</f>
        <v/>
      </c>
    </row>
    <row r="295" spans="1:26" ht="15" customHeight="1" x14ac:dyDescent="0.3">
      <c r="A295" t="str">
        <f>IF(DONNEES!$E295="","",DONNEES!A295)</f>
        <v/>
      </c>
      <c r="B295" t="str">
        <f>IF(DONNEES!$E295="","",DONNEES!B295)</f>
        <v/>
      </c>
      <c r="C295" t="str">
        <f>IF(DONNEES!$E295="","",DONNEES!C295)</f>
        <v/>
      </c>
      <c r="D295" t="str">
        <f>IF(DONNEES!$E295="","",DONNEES!E295)</f>
        <v/>
      </c>
      <c r="E295" t="str">
        <f>IF(DONNEES!$E295="","",DONNEES!F295)</f>
        <v/>
      </c>
      <c r="F295" t="str">
        <f>IF(DONNEES!$E295="","",DONNEES!G295)</f>
        <v/>
      </c>
      <c r="G295" t="str">
        <f>IF(DONNEES!$E295="","",DONNEES!H295)</f>
        <v/>
      </c>
      <c r="H295" t="str">
        <f>IF(DONNEES!$E295="","",DONNEES!I295)</f>
        <v/>
      </c>
      <c r="I295" t="str">
        <f>IF(DONNEES!$E295="","",DONNEES!J295)</f>
        <v/>
      </c>
      <c r="J295" t="str">
        <f>IF(DONNEES!$E295="","",DONNEES!K295)</f>
        <v/>
      </c>
      <c r="K295" t="str">
        <f>IF(DONNEES!$E295="","",DONNEES!L295)</f>
        <v/>
      </c>
      <c r="L295" t="str">
        <f>IF(DONNEES!$E295="","",DONNEES!M295)</f>
        <v/>
      </c>
      <c r="M295" t="str">
        <f>IF(DONNEES!$E295="","",DONNEES!N295)</f>
        <v/>
      </c>
      <c r="N295" t="str">
        <f>IF(DONNEES!$E295="","",DONNEES!O295)</f>
        <v/>
      </c>
      <c r="O295" t="str">
        <f>IF(DONNEES!$E295="","",DONNEES!P295)</f>
        <v/>
      </c>
      <c r="P295" t="str">
        <f>IF(DONNEES!$E295="","",DONNEES!Q295)</f>
        <v/>
      </c>
      <c r="Q295" t="str">
        <f>IF(DONNEES!$E295="","",DONNEES!R295)</f>
        <v/>
      </c>
      <c r="R295" t="str">
        <f>IF(DONNEES!$E295="","",DONNEES!S295)</f>
        <v/>
      </c>
      <c r="S295" t="str">
        <f>IF(DONNEES!$E295="","",DONNEES!T295)</f>
        <v/>
      </c>
      <c r="T295" t="str">
        <f>IF(DONNEES!$E295="","",DONNEES!U295)</f>
        <v/>
      </c>
      <c r="U295" t="str">
        <f>IF(DONNEES!$E295="","",DONNEES!V295)</f>
        <v/>
      </c>
      <c r="V295" t="str">
        <f>IF(DONNEES!$E295="","",DONNEES!W295)</f>
        <v/>
      </c>
      <c r="W295" t="str">
        <f>IF(DONNEES!$E295="","",DONNEES!X295)</f>
        <v/>
      </c>
      <c r="X295" t="str">
        <f>IF(DONNEES!$E295="","",DONNEES!Y295)</f>
        <v/>
      </c>
      <c r="Y295" t="str">
        <f>IF(DONNEES!$E295="","",DONNEES!Z295)</f>
        <v/>
      </c>
      <c r="Z295" t="str">
        <f>IF(DONNEES!$E295="","",DONNEES!AQ295)</f>
        <v/>
      </c>
    </row>
    <row r="296" spans="1:26" ht="15" customHeight="1" x14ac:dyDescent="0.3">
      <c r="A296" t="str">
        <f>IF(DONNEES!$E296="","",DONNEES!A296)</f>
        <v/>
      </c>
      <c r="B296" t="str">
        <f>IF(DONNEES!$E296="","",DONNEES!B296)</f>
        <v/>
      </c>
      <c r="C296" t="str">
        <f>IF(DONNEES!$E296="","",DONNEES!C296)</f>
        <v/>
      </c>
      <c r="D296" t="str">
        <f>IF(DONNEES!$E296="","",DONNEES!E296)</f>
        <v/>
      </c>
      <c r="E296" t="str">
        <f>IF(DONNEES!$E296="","",DONNEES!F296)</f>
        <v/>
      </c>
      <c r="F296" t="str">
        <f>IF(DONNEES!$E296="","",DONNEES!G296)</f>
        <v/>
      </c>
      <c r="G296" t="str">
        <f>IF(DONNEES!$E296="","",DONNEES!H296)</f>
        <v/>
      </c>
      <c r="H296" t="str">
        <f>IF(DONNEES!$E296="","",DONNEES!I296)</f>
        <v/>
      </c>
      <c r="I296" t="str">
        <f>IF(DONNEES!$E296="","",DONNEES!J296)</f>
        <v/>
      </c>
      <c r="J296" t="str">
        <f>IF(DONNEES!$E296="","",DONNEES!K296)</f>
        <v/>
      </c>
      <c r="K296" t="str">
        <f>IF(DONNEES!$E296="","",DONNEES!L296)</f>
        <v/>
      </c>
      <c r="L296" t="str">
        <f>IF(DONNEES!$E296="","",DONNEES!M296)</f>
        <v/>
      </c>
      <c r="M296" t="str">
        <f>IF(DONNEES!$E296="","",DONNEES!N296)</f>
        <v/>
      </c>
      <c r="N296" t="str">
        <f>IF(DONNEES!$E296="","",DONNEES!O296)</f>
        <v/>
      </c>
      <c r="O296" t="str">
        <f>IF(DONNEES!$E296="","",DONNEES!P296)</f>
        <v/>
      </c>
      <c r="P296" t="str">
        <f>IF(DONNEES!$E296="","",DONNEES!Q296)</f>
        <v/>
      </c>
      <c r="Q296" t="str">
        <f>IF(DONNEES!$E296="","",DONNEES!R296)</f>
        <v/>
      </c>
      <c r="R296" t="str">
        <f>IF(DONNEES!$E296="","",DONNEES!S296)</f>
        <v/>
      </c>
      <c r="S296" t="str">
        <f>IF(DONNEES!$E296="","",DONNEES!T296)</f>
        <v/>
      </c>
      <c r="T296" t="str">
        <f>IF(DONNEES!$E296="","",DONNEES!U296)</f>
        <v/>
      </c>
      <c r="U296" t="str">
        <f>IF(DONNEES!$E296="","",DONNEES!V296)</f>
        <v/>
      </c>
      <c r="V296" t="str">
        <f>IF(DONNEES!$E296="","",DONNEES!W296)</f>
        <v/>
      </c>
      <c r="W296" t="str">
        <f>IF(DONNEES!$E296="","",DONNEES!X296)</f>
        <v/>
      </c>
      <c r="X296" t="str">
        <f>IF(DONNEES!$E296="","",DONNEES!Y296)</f>
        <v/>
      </c>
      <c r="Y296" t="str">
        <f>IF(DONNEES!$E296="","",DONNEES!Z296)</f>
        <v/>
      </c>
      <c r="Z296" t="str">
        <f>IF(DONNEES!$E296="","",DONNEES!AQ296)</f>
        <v/>
      </c>
    </row>
    <row r="297" spans="1:26" ht="15" customHeight="1" x14ac:dyDescent="0.3">
      <c r="A297" t="str">
        <f>IF(DONNEES!$E297="","",DONNEES!A297)</f>
        <v/>
      </c>
      <c r="B297" t="str">
        <f>IF(DONNEES!$E297="","",DONNEES!B297)</f>
        <v/>
      </c>
      <c r="C297" t="str">
        <f>IF(DONNEES!$E297="","",DONNEES!C297)</f>
        <v/>
      </c>
      <c r="D297" t="str">
        <f>IF(DONNEES!$E297="","",DONNEES!E297)</f>
        <v/>
      </c>
      <c r="E297" t="str">
        <f>IF(DONNEES!$E297="","",DONNEES!F297)</f>
        <v/>
      </c>
      <c r="F297" t="str">
        <f>IF(DONNEES!$E297="","",DONNEES!G297)</f>
        <v/>
      </c>
      <c r="G297" t="str">
        <f>IF(DONNEES!$E297="","",DONNEES!H297)</f>
        <v/>
      </c>
      <c r="H297" t="str">
        <f>IF(DONNEES!$E297="","",DONNEES!I297)</f>
        <v/>
      </c>
      <c r="I297" t="str">
        <f>IF(DONNEES!$E297="","",DONNEES!J297)</f>
        <v/>
      </c>
      <c r="J297" t="str">
        <f>IF(DONNEES!$E297="","",DONNEES!K297)</f>
        <v/>
      </c>
      <c r="K297" t="str">
        <f>IF(DONNEES!$E297="","",DONNEES!L297)</f>
        <v/>
      </c>
      <c r="L297" t="str">
        <f>IF(DONNEES!$E297="","",DONNEES!M297)</f>
        <v/>
      </c>
      <c r="M297" t="str">
        <f>IF(DONNEES!$E297="","",DONNEES!N297)</f>
        <v/>
      </c>
      <c r="N297" t="str">
        <f>IF(DONNEES!$E297="","",DONNEES!O297)</f>
        <v/>
      </c>
      <c r="O297" t="str">
        <f>IF(DONNEES!$E297="","",DONNEES!P297)</f>
        <v/>
      </c>
      <c r="P297" t="str">
        <f>IF(DONNEES!$E297="","",DONNEES!Q297)</f>
        <v/>
      </c>
      <c r="Q297" t="str">
        <f>IF(DONNEES!$E297="","",DONNEES!R297)</f>
        <v/>
      </c>
      <c r="R297" t="str">
        <f>IF(DONNEES!$E297="","",DONNEES!S297)</f>
        <v/>
      </c>
      <c r="S297" t="str">
        <f>IF(DONNEES!$E297="","",DONNEES!T297)</f>
        <v/>
      </c>
      <c r="T297" t="str">
        <f>IF(DONNEES!$E297="","",DONNEES!U297)</f>
        <v/>
      </c>
      <c r="U297" t="str">
        <f>IF(DONNEES!$E297="","",DONNEES!V297)</f>
        <v/>
      </c>
      <c r="V297" t="str">
        <f>IF(DONNEES!$E297="","",DONNEES!W297)</f>
        <v/>
      </c>
      <c r="W297" t="str">
        <f>IF(DONNEES!$E297="","",DONNEES!X297)</f>
        <v/>
      </c>
      <c r="X297" t="str">
        <f>IF(DONNEES!$E297="","",DONNEES!Y297)</f>
        <v/>
      </c>
      <c r="Y297" t="str">
        <f>IF(DONNEES!$E297="","",DONNEES!Z297)</f>
        <v/>
      </c>
      <c r="Z297" t="str">
        <f>IF(DONNEES!$E297="","",DONNEES!AQ297)</f>
        <v/>
      </c>
    </row>
    <row r="298" spans="1:26" ht="15" customHeight="1" x14ac:dyDescent="0.3">
      <c r="A298" t="str">
        <f>IF(DONNEES!$E298="","",DONNEES!A298)</f>
        <v/>
      </c>
      <c r="B298" t="str">
        <f>IF(DONNEES!$E298="","",DONNEES!B298)</f>
        <v/>
      </c>
      <c r="C298" t="str">
        <f>IF(DONNEES!$E298="","",DONNEES!C298)</f>
        <v/>
      </c>
      <c r="D298" t="str">
        <f>IF(DONNEES!$E298="","",DONNEES!E298)</f>
        <v/>
      </c>
      <c r="E298" t="str">
        <f>IF(DONNEES!$E298="","",DONNEES!F298)</f>
        <v/>
      </c>
      <c r="F298" t="str">
        <f>IF(DONNEES!$E298="","",DONNEES!G298)</f>
        <v/>
      </c>
      <c r="G298" t="str">
        <f>IF(DONNEES!$E298="","",DONNEES!H298)</f>
        <v/>
      </c>
      <c r="H298" t="str">
        <f>IF(DONNEES!$E298="","",DONNEES!I298)</f>
        <v/>
      </c>
      <c r="I298" t="str">
        <f>IF(DONNEES!$E298="","",DONNEES!J298)</f>
        <v/>
      </c>
      <c r="J298" t="str">
        <f>IF(DONNEES!$E298="","",DONNEES!K298)</f>
        <v/>
      </c>
      <c r="K298" t="str">
        <f>IF(DONNEES!$E298="","",DONNEES!L298)</f>
        <v/>
      </c>
      <c r="L298" t="str">
        <f>IF(DONNEES!$E298="","",DONNEES!M298)</f>
        <v/>
      </c>
      <c r="M298" t="str">
        <f>IF(DONNEES!$E298="","",DONNEES!N298)</f>
        <v/>
      </c>
      <c r="N298" t="str">
        <f>IF(DONNEES!$E298="","",DONNEES!O298)</f>
        <v/>
      </c>
      <c r="O298" t="str">
        <f>IF(DONNEES!$E298="","",DONNEES!P298)</f>
        <v/>
      </c>
      <c r="P298" t="str">
        <f>IF(DONNEES!$E298="","",DONNEES!Q298)</f>
        <v/>
      </c>
      <c r="Q298" t="str">
        <f>IF(DONNEES!$E298="","",DONNEES!R298)</f>
        <v/>
      </c>
      <c r="R298" t="str">
        <f>IF(DONNEES!$E298="","",DONNEES!S298)</f>
        <v/>
      </c>
      <c r="S298" t="str">
        <f>IF(DONNEES!$E298="","",DONNEES!T298)</f>
        <v/>
      </c>
      <c r="T298" t="str">
        <f>IF(DONNEES!$E298="","",DONNEES!U298)</f>
        <v/>
      </c>
      <c r="U298" t="str">
        <f>IF(DONNEES!$E298="","",DONNEES!V298)</f>
        <v/>
      </c>
      <c r="V298" t="str">
        <f>IF(DONNEES!$E298="","",DONNEES!W298)</f>
        <v/>
      </c>
      <c r="W298" t="str">
        <f>IF(DONNEES!$E298="","",DONNEES!X298)</f>
        <v/>
      </c>
      <c r="X298" t="str">
        <f>IF(DONNEES!$E298="","",DONNEES!Y298)</f>
        <v/>
      </c>
      <c r="Y298" t="str">
        <f>IF(DONNEES!$E298="","",DONNEES!Z298)</f>
        <v/>
      </c>
      <c r="Z298" t="str">
        <f>IF(DONNEES!$E298="","",DONNEES!AQ298)</f>
        <v/>
      </c>
    </row>
    <row r="299" spans="1:26" ht="15" customHeight="1" x14ac:dyDescent="0.3">
      <c r="A299" t="str">
        <f>IF(DONNEES!$E299="","",DONNEES!A299)</f>
        <v/>
      </c>
      <c r="B299" t="str">
        <f>IF(DONNEES!$E299="","",DONNEES!B299)</f>
        <v/>
      </c>
      <c r="C299" t="str">
        <f>IF(DONNEES!$E299="","",DONNEES!C299)</f>
        <v/>
      </c>
      <c r="D299" t="str">
        <f>IF(DONNEES!$E299="","",DONNEES!E299)</f>
        <v/>
      </c>
      <c r="E299" t="str">
        <f>IF(DONNEES!$E299="","",DONNEES!F299)</f>
        <v/>
      </c>
      <c r="F299" t="str">
        <f>IF(DONNEES!$E299="","",DONNEES!G299)</f>
        <v/>
      </c>
      <c r="G299" t="str">
        <f>IF(DONNEES!$E299="","",DONNEES!H299)</f>
        <v/>
      </c>
      <c r="H299" t="str">
        <f>IF(DONNEES!$E299="","",DONNEES!I299)</f>
        <v/>
      </c>
      <c r="I299" t="str">
        <f>IF(DONNEES!$E299="","",DONNEES!J299)</f>
        <v/>
      </c>
      <c r="J299" t="str">
        <f>IF(DONNEES!$E299="","",DONNEES!K299)</f>
        <v/>
      </c>
      <c r="K299" t="str">
        <f>IF(DONNEES!$E299="","",DONNEES!L299)</f>
        <v/>
      </c>
      <c r="L299" t="str">
        <f>IF(DONNEES!$E299="","",DONNEES!M299)</f>
        <v/>
      </c>
      <c r="M299" t="str">
        <f>IF(DONNEES!$E299="","",DONNEES!N299)</f>
        <v/>
      </c>
      <c r="N299" t="str">
        <f>IF(DONNEES!$E299="","",DONNEES!O299)</f>
        <v/>
      </c>
      <c r="O299" t="str">
        <f>IF(DONNEES!$E299="","",DONNEES!P299)</f>
        <v/>
      </c>
      <c r="P299" t="str">
        <f>IF(DONNEES!$E299="","",DONNEES!Q299)</f>
        <v/>
      </c>
      <c r="Q299" t="str">
        <f>IF(DONNEES!$E299="","",DONNEES!R299)</f>
        <v/>
      </c>
      <c r="R299" t="str">
        <f>IF(DONNEES!$E299="","",DONNEES!S299)</f>
        <v/>
      </c>
      <c r="S299" t="str">
        <f>IF(DONNEES!$E299="","",DONNEES!T299)</f>
        <v/>
      </c>
      <c r="T299" t="str">
        <f>IF(DONNEES!$E299="","",DONNEES!U299)</f>
        <v/>
      </c>
      <c r="U299" t="str">
        <f>IF(DONNEES!$E299="","",DONNEES!V299)</f>
        <v/>
      </c>
      <c r="V299" t="str">
        <f>IF(DONNEES!$E299="","",DONNEES!W299)</f>
        <v/>
      </c>
      <c r="W299" t="str">
        <f>IF(DONNEES!$E299="","",DONNEES!X299)</f>
        <v/>
      </c>
      <c r="X299" t="str">
        <f>IF(DONNEES!$E299="","",DONNEES!Y299)</f>
        <v/>
      </c>
      <c r="Y299" t="str">
        <f>IF(DONNEES!$E299="","",DONNEES!Z299)</f>
        <v/>
      </c>
      <c r="Z299" t="str">
        <f>IF(DONNEES!$E299="","",DONNEES!AQ299)</f>
        <v/>
      </c>
    </row>
    <row r="300" spans="1:26" ht="15" customHeight="1" x14ac:dyDescent="0.3">
      <c r="A300" t="str">
        <f>IF(DONNEES!$E300="","",DONNEES!A300)</f>
        <v/>
      </c>
      <c r="B300" t="str">
        <f>IF(DONNEES!$E300="","",DONNEES!B300)</f>
        <v/>
      </c>
      <c r="C300" t="str">
        <f>IF(DONNEES!$E300="","",DONNEES!C300)</f>
        <v/>
      </c>
      <c r="D300" t="str">
        <f>IF(DONNEES!$E300="","",DONNEES!E300)</f>
        <v/>
      </c>
      <c r="E300" t="str">
        <f>IF(DONNEES!$E300="","",DONNEES!F300)</f>
        <v/>
      </c>
      <c r="F300" t="str">
        <f>IF(DONNEES!$E300="","",DONNEES!G300)</f>
        <v/>
      </c>
      <c r="G300" t="str">
        <f>IF(DONNEES!$E300="","",DONNEES!H300)</f>
        <v/>
      </c>
      <c r="H300" t="str">
        <f>IF(DONNEES!$E300="","",DONNEES!I300)</f>
        <v/>
      </c>
      <c r="I300" t="str">
        <f>IF(DONNEES!$E300="","",DONNEES!J300)</f>
        <v/>
      </c>
      <c r="J300" t="str">
        <f>IF(DONNEES!$E300="","",DONNEES!K300)</f>
        <v/>
      </c>
      <c r="K300" t="str">
        <f>IF(DONNEES!$E300="","",DONNEES!L300)</f>
        <v/>
      </c>
      <c r="L300" t="str">
        <f>IF(DONNEES!$E300="","",DONNEES!M300)</f>
        <v/>
      </c>
      <c r="M300" t="str">
        <f>IF(DONNEES!$E300="","",DONNEES!N300)</f>
        <v/>
      </c>
      <c r="N300" t="str">
        <f>IF(DONNEES!$E300="","",DONNEES!O300)</f>
        <v/>
      </c>
      <c r="O300" t="str">
        <f>IF(DONNEES!$E300="","",DONNEES!P300)</f>
        <v/>
      </c>
      <c r="P300" t="str">
        <f>IF(DONNEES!$E300="","",DONNEES!Q300)</f>
        <v/>
      </c>
      <c r="Q300" t="str">
        <f>IF(DONNEES!$E300="","",DONNEES!R300)</f>
        <v/>
      </c>
      <c r="R300" t="str">
        <f>IF(DONNEES!$E300="","",DONNEES!S300)</f>
        <v/>
      </c>
      <c r="S300" t="str">
        <f>IF(DONNEES!$E300="","",DONNEES!T300)</f>
        <v/>
      </c>
      <c r="T300" t="str">
        <f>IF(DONNEES!$E300="","",DONNEES!U300)</f>
        <v/>
      </c>
      <c r="U300" t="str">
        <f>IF(DONNEES!$E300="","",DONNEES!V300)</f>
        <v/>
      </c>
      <c r="V300" t="str">
        <f>IF(DONNEES!$E300="","",DONNEES!W300)</f>
        <v/>
      </c>
      <c r="W300" t="str">
        <f>IF(DONNEES!$E300="","",DONNEES!X300)</f>
        <v/>
      </c>
      <c r="X300" t="str">
        <f>IF(DONNEES!$E300="","",DONNEES!Y300)</f>
        <v/>
      </c>
      <c r="Y300" t="str">
        <f>IF(DONNEES!$E300="","",DONNEES!Z300)</f>
        <v/>
      </c>
      <c r="Z300" t="str">
        <f>IF(DONNEES!$E300="","",DONNEES!AQ300)</f>
        <v/>
      </c>
    </row>
    <row r="301" spans="1:26" ht="15" customHeight="1" x14ac:dyDescent="0.3">
      <c r="A301" t="str">
        <f>IF(DONNEES!$E301="","",DONNEES!A301)</f>
        <v/>
      </c>
      <c r="B301" t="str">
        <f>IF(DONNEES!$E301="","",DONNEES!B301)</f>
        <v/>
      </c>
      <c r="C301" t="str">
        <f>IF(DONNEES!$E301="","",DONNEES!C301)</f>
        <v/>
      </c>
      <c r="D301" t="str">
        <f>IF(DONNEES!$E301="","",DONNEES!E301)</f>
        <v/>
      </c>
      <c r="E301" t="str">
        <f>IF(DONNEES!$E301="","",DONNEES!F301)</f>
        <v/>
      </c>
      <c r="F301" t="str">
        <f>IF(DONNEES!$E301="","",DONNEES!G301)</f>
        <v/>
      </c>
      <c r="G301" t="str">
        <f>IF(DONNEES!$E301="","",DONNEES!H301)</f>
        <v/>
      </c>
      <c r="H301" t="str">
        <f>IF(DONNEES!$E301="","",DONNEES!I301)</f>
        <v/>
      </c>
      <c r="I301" t="str">
        <f>IF(DONNEES!$E301="","",DONNEES!J301)</f>
        <v/>
      </c>
      <c r="J301" t="str">
        <f>IF(DONNEES!$E301="","",DONNEES!K301)</f>
        <v/>
      </c>
      <c r="K301" t="str">
        <f>IF(DONNEES!$E301="","",DONNEES!L301)</f>
        <v/>
      </c>
      <c r="L301" t="str">
        <f>IF(DONNEES!$E301="","",DONNEES!M301)</f>
        <v/>
      </c>
      <c r="M301" t="str">
        <f>IF(DONNEES!$E301="","",DONNEES!N301)</f>
        <v/>
      </c>
      <c r="N301" t="str">
        <f>IF(DONNEES!$E301="","",DONNEES!O301)</f>
        <v/>
      </c>
      <c r="O301" t="str">
        <f>IF(DONNEES!$E301="","",DONNEES!P301)</f>
        <v/>
      </c>
      <c r="P301" t="str">
        <f>IF(DONNEES!$E301="","",DONNEES!Q301)</f>
        <v/>
      </c>
      <c r="Q301" t="str">
        <f>IF(DONNEES!$E301="","",DONNEES!R301)</f>
        <v/>
      </c>
      <c r="R301" t="str">
        <f>IF(DONNEES!$E301="","",DONNEES!S301)</f>
        <v/>
      </c>
      <c r="S301" t="str">
        <f>IF(DONNEES!$E301="","",DONNEES!T301)</f>
        <v/>
      </c>
      <c r="T301" t="str">
        <f>IF(DONNEES!$E301="","",DONNEES!U301)</f>
        <v/>
      </c>
      <c r="U301" t="str">
        <f>IF(DONNEES!$E301="","",DONNEES!V301)</f>
        <v/>
      </c>
      <c r="V301" t="str">
        <f>IF(DONNEES!$E301="","",DONNEES!W301)</f>
        <v/>
      </c>
      <c r="W301" t="str">
        <f>IF(DONNEES!$E301="","",DONNEES!X301)</f>
        <v/>
      </c>
      <c r="X301" t="str">
        <f>IF(DONNEES!$E301="","",DONNEES!Y301)</f>
        <v/>
      </c>
      <c r="Y301" t="str">
        <f>IF(DONNEES!$E301="","",DONNEES!Z301)</f>
        <v/>
      </c>
      <c r="Z301" t="str">
        <f>IF(DONNEES!$E301="","",DONNEES!AQ301)</f>
        <v/>
      </c>
    </row>
    <row r="302" spans="1:26" ht="15" customHeight="1" x14ac:dyDescent="0.3">
      <c r="A302" t="str">
        <f>IF(DONNEES!$E302="","",DONNEES!A302)</f>
        <v/>
      </c>
      <c r="B302" t="str">
        <f>IF(DONNEES!$E302="","",DONNEES!B302)</f>
        <v/>
      </c>
      <c r="C302" t="str">
        <f>IF(DONNEES!$E302="","",DONNEES!C302)</f>
        <v/>
      </c>
      <c r="D302" t="str">
        <f>IF(DONNEES!$E302="","",DONNEES!E302)</f>
        <v/>
      </c>
      <c r="E302" t="str">
        <f>IF(DONNEES!$E302="","",DONNEES!F302)</f>
        <v/>
      </c>
      <c r="F302" t="str">
        <f>IF(DONNEES!$E302="","",DONNEES!G302)</f>
        <v/>
      </c>
      <c r="G302" t="str">
        <f>IF(DONNEES!$E302="","",DONNEES!H302)</f>
        <v/>
      </c>
      <c r="H302" t="str">
        <f>IF(DONNEES!$E302="","",DONNEES!I302)</f>
        <v/>
      </c>
      <c r="I302" t="str">
        <f>IF(DONNEES!$E302="","",DONNEES!J302)</f>
        <v/>
      </c>
      <c r="J302" t="str">
        <f>IF(DONNEES!$E302="","",DONNEES!K302)</f>
        <v/>
      </c>
      <c r="K302" t="str">
        <f>IF(DONNEES!$E302="","",DONNEES!L302)</f>
        <v/>
      </c>
      <c r="L302" t="str">
        <f>IF(DONNEES!$E302="","",DONNEES!M302)</f>
        <v/>
      </c>
      <c r="M302" t="str">
        <f>IF(DONNEES!$E302="","",DONNEES!N302)</f>
        <v/>
      </c>
      <c r="N302" t="str">
        <f>IF(DONNEES!$E302="","",DONNEES!O302)</f>
        <v/>
      </c>
      <c r="O302" t="str">
        <f>IF(DONNEES!$E302="","",DONNEES!P302)</f>
        <v/>
      </c>
      <c r="P302" t="str">
        <f>IF(DONNEES!$E302="","",DONNEES!Q302)</f>
        <v/>
      </c>
      <c r="Q302" t="str">
        <f>IF(DONNEES!$E302="","",DONNEES!R302)</f>
        <v/>
      </c>
      <c r="R302" t="str">
        <f>IF(DONNEES!$E302="","",DONNEES!S302)</f>
        <v/>
      </c>
      <c r="S302" t="str">
        <f>IF(DONNEES!$E302="","",DONNEES!T302)</f>
        <v/>
      </c>
      <c r="T302" t="str">
        <f>IF(DONNEES!$E302="","",DONNEES!U302)</f>
        <v/>
      </c>
      <c r="U302" t="str">
        <f>IF(DONNEES!$E302="","",DONNEES!V302)</f>
        <v/>
      </c>
      <c r="V302" t="str">
        <f>IF(DONNEES!$E302="","",DONNEES!W302)</f>
        <v/>
      </c>
      <c r="W302" t="str">
        <f>IF(DONNEES!$E302="","",DONNEES!X302)</f>
        <v/>
      </c>
      <c r="X302" t="str">
        <f>IF(DONNEES!$E302="","",DONNEES!Y302)</f>
        <v/>
      </c>
      <c r="Y302" t="str">
        <f>IF(DONNEES!$E302="","",DONNEES!Z302)</f>
        <v/>
      </c>
      <c r="Z302" t="str">
        <f>IF(DONNEES!$E302="","",DONNEES!AQ302)</f>
        <v/>
      </c>
    </row>
    <row r="303" spans="1:26" ht="15" customHeight="1" x14ac:dyDescent="0.3">
      <c r="A303" t="str">
        <f>IF(DONNEES!$E303="","",DONNEES!A303)</f>
        <v/>
      </c>
      <c r="B303" t="str">
        <f>IF(DONNEES!$E303="","",DONNEES!B303)</f>
        <v/>
      </c>
      <c r="C303" t="str">
        <f>IF(DONNEES!$E303="","",DONNEES!C303)</f>
        <v/>
      </c>
      <c r="D303" t="str">
        <f>IF(DONNEES!$E303="","",DONNEES!E303)</f>
        <v/>
      </c>
      <c r="E303" t="str">
        <f>IF(DONNEES!$E303="","",DONNEES!F303)</f>
        <v/>
      </c>
      <c r="F303" t="str">
        <f>IF(DONNEES!$E303="","",DONNEES!G303)</f>
        <v/>
      </c>
      <c r="G303" t="str">
        <f>IF(DONNEES!$E303="","",DONNEES!H303)</f>
        <v/>
      </c>
      <c r="H303" t="str">
        <f>IF(DONNEES!$E303="","",DONNEES!I303)</f>
        <v/>
      </c>
      <c r="I303" t="str">
        <f>IF(DONNEES!$E303="","",DONNEES!J303)</f>
        <v/>
      </c>
      <c r="J303" t="str">
        <f>IF(DONNEES!$E303="","",DONNEES!K303)</f>
        <v/>
      </c>
      <c r="K303" t="str">
        <f>IF(DONNEES!$E303="","",DONNEES!L303)</f>
        <v/>
      </c>
      <c r="L303" t="str">
        <f>IF(DONNEES!$E303="","",DONNEES!M303)</f>
        <v/>
      </c>
      <c r="M303" t="str">
        <f>IF(DONNEES!$E303="","",DONNEES!N303)</f>
        <v/>
      </c>
      <c r="N303" t="str">
        <f>IF(DONNEES!$E303="","",DONNEES!O303)</f>
        <v/>
      </c>
      <c r="O303" t="str">
        <f>IF(DONNEES!$E303="","",DONNEES!P303)</f>
        <v/>
      </c>
      <c r="P303" t="str">
        <f>IF(DONNEES!$E303="","",DONNEES!Q303)</f>
        <v/>
      </c>
      <c r="Q303" t="str">
        <f>IF(DONNEES!$E303="","",DONNEES!R303)</f>
        <v/>
      </c>
      <c r="R303" t="str">
        <f>IF(DONNEES!$E303="","",DONNEES!S303)</f>
        <v/>
      </c>
      <c r="S303" t="str">
        <f>IF(DONNEES!$E303="","",DONNEES!T303)</f>
        <v/>
      </c>
      <c r="T303" t="str">
        <f>IF(DONNEES!$E303="","",DONNEES!U303)</f>
        <v/>
      </c>
      <c r="U303" t="str">
        <f>IF(DONNEES!$E303="","",DONNEES!V303)</f>
        <v/>
      </c>
      <c r="V303" t="str">
        <f>IF(DONNEES!$E303="","",DONNEES!W303)</f>
        <v/>
      </c>
      <c r="W303" t="str">
        <f>IF(DONNEES!$E303="","",DONNEES!X303)</f>
        <v/>
      </c>
      <c r="X303" t="str">
        <f>IF(DONNEES!$E303="","",DONNEES!Y303)</f>
        <v/>
      </c>
      <c r="Y303" t="str">
        <f>IF(DONNEES!$E303="","",DONNEES!Z303)</f>
        <v/>
      </c>
      <c r="Z303" t="str">
        <f>IF(DONNEES!$E303="","",DONNEES!AQ303)</f>
        <v/>
      </c>
    </row>
    <row r="304" spans="1:26" ht="15" customHeight="1" x14ac:dyDescent="0.3">
      <c r="A304" t="str">
        <f>IF(DONNEES!$E304="","",DONNEES!A304)</f>
        <v/>
      </c>
      <c r="B304" t="str">
        <f>IF(DONNEES!$E304="","",DONNEES!B304)</f>
        <v/>
      </c>
      <c r="C304" t="str">
        <f>IF(DONNEES!$E304="","",DONNEES!C304)</f>
        <v/>
      </c>
      <c r="D304" t="str">
        <f>IF(DONNEES!$E304="","",DONNEES!E304)</f>
        <v/>
      </c>
      <c r="E304" t="str">
        <f>IF(DONNEES!$E304="","",DONNEES!F304)</f>
        <v/>
      </c>
      <c r="F304" t="str">
        <f>IF(DONNEES!$E304="","",DONNEES!G304)</f>
        <v/>
      </c>
      <c r="G304" t="str">
        <f>IF(DONNEES!$E304="","",DONNEES!H304)</f>
        <v/>
      </c>
      <c r="H304" t="str">
        <f>IF(DONNEES!$E304="","",DONNEES!I304)</f>
        <v/>
      </c>
      <c r="I304" t="str">
        <f>IF(DONNEES!$E304="","",DONNEES!J304)</f>
        <v/>
      </c>
      <c r="J304" t="str">
        <f>IF(DONNEES!$E304="","",DONNEES!K304)</f>
        <v/>
      </c>
      <c r="K304" t="str">
        <f>IF(DONNEES!$E304="","",DONNEES!L304)</f>
        <v/>
      </c>
      <c r="L304" t="str">
        <f>IF(DONNEES!$E304="","",DONNEES!M304)</f>
        <v/>
      </c>
      <c r="M304" t="str">
        <f>IF(DONNEES!$E304="","",DONNEES!N304)</f>
        <v/>
      </c>
      <c r="N304" t="str">
        <f>IF(DONNEES!$E304="","",DONNEES!O304)</f>
        <v/>
      </c>
      <c r="O304" t="str">
        <f>IF(DONNEES!$E304="","",DONNEES!P304)</f>
        <v/>
      </c>
      <c r="P304" t="str">
        <f>IF(DONNEES!$E304="","",DONNEES!Q304)</f>
        <v/>
      </c>
      <c r="Q304" t="str">
        <f>IF(DONNEES!$E304="","",DONNEES!R304)</f>
        <v/>
      </c>
      <c r="R304" t="str">
        <f>IF(DONNEES!$E304="","",DONNEES!S304)</f>
        <v/>
      </c>
      <c r="S304" t="str">
        <f>IF(DONNEES!$E304="","",DONNEES!T304)</f>
        <v/>
      </c>
      <c r="T304" t="str">
        <f>IF(DONNEES!$E304="","",DONNEES!U304)</f>
        <v/>
      </c>
      <c r="U304" t="str">
        <f>IF(DONNEES!$E304="","",DONNEES!V304)</f>
        <v/>
      </c>
      <c r="V304" t="str">
        <f>IF(DONNEES!$E304="","",DONNEES!W304)</f>
        <v/>
      </c>
      <c r="W304" t="str">
        <f>IF(DONNEES!$E304="","",DONNEES!X304)</f>
        <v/>
      </c>
      <c r="X304" t="str">
        <f>IF(DONNEES!$E304="","",DONNEES!Y304)</f>
        <v/>
      </c>
      <c r="Y304" t="str">
        <f>IF(DONNEES!$E304="","",DONNEES!Z304)</f>
        <v/>
      </c>
      <c r="Z304" t="str">
        <f>IF(DONNEES!$E304="","",DONNEES!AQ304)</f>
        <v/>
      </c>
    </row>
    <row r="305" spans="1:26" ht="15" customHeight="1" x14ac:dyDescent="0.3">
      <c r="A305" t="str">
        <f>IF(DONNEES!$E305="","",DONNEES!A305)</f>
        <v/>
      </c>
      <c r="B305" t="str">
        <f>IF(DONNEES!$E305="","",DONNEES!B305)</f>
        <v/>
      </c>
      <c r="C305" t="str">
        <f>IF(DONNEES!$E305="","",DONNEES!C305)</f>
        <v/>
      </c>
      <c r="D305" t="str">
        <f>IF(DONNEES!$E305="","",DONNEES!E305)</f>
        <v/>
      </c>
      <c r="E305" t="str">
        <f>IF(DONNEES!$E305="","",DONNEES!F305)</f>
        <v/>
      </c>
      <c r="F305" t="str">
        <f>IF(DONNEES!$E305="","",DONNEES!G305)</f>
        <v/>
      </c>
      <c r="G305" t="str">
        <f>IF(DONNEES!$E305="","",DONNEES!H305)</f>
        <v/>
      </c>
      <c r="H305" t="str">
        <f>IF(DONNEES!$E305="","",DONNEES!I305)</f>
        <v/>
      </c>
      <c r="I305" t="str">
        <f>IF(DONNEES!$E305="","",DONNEES!J305)</f>
        <v/>
      </c>
      <c r="J305" t="str">
        <f>IF(DONNEES!$E305="","",DONNEES!K305)</f>
        <v/>
      </c>
      <c r="K305" t="str">
        <f>IF(DONNEES!$E305="","",DONNEES!L305)</f>
        <v/>
      </c>
      <c r="L305" t="str">
        <f>IF(DONNEES!$E305="","",DONNEES!M305)</f>
        <v/>
      </c>
      <c r="M305" t="str">
        <f>IF(DONNEES!$E305="","",DONNEES!N305)</f>
        <v/>
      </c>
      <c r="N305" t="str">
        <f>IF(DONNEES!$E305="","",DONNEES!O305)</f>
        <v/>
      </c>
      <c r="O305" t="str">
        <f>IF(DONNEES!$E305="","",DONNEES!P305)</f>
        <v/>
      </c>
      <c r="P305" t="str">
        <f>IF(DONNEES!$E305="","",DONNEES!Q305)</f>
        <v/>
      </c>
      <c r="Q305" t="str">
        <f>IF(DONNEES!$E305="","",DONNEES!R305)</f>
        <v/>
      </c>
      <c r="R305" t="str">
        <f>IF(DONNEES!$E305="","",DONNEES!S305)</f>
        <v/>
      </c>
      <c r="S305" t="str">
        <f>IF(DONNEES!$E305="","",DONNEES!T305)</f>
        <v/>
      </c>
      <c r="T305" t="str">
        <f>IF(DONNEES!$E305="","",DONNEES!U305)</f>
        <v/>
      </c>
      <c r="U305" t="str">
        <f>IF(DONNEES!$E305="","",DONNEES!V305)</f>
        <v/>
      </c>
      <c r="V305" t="str">
        <f>IF(DONNEES!$E305="","",DONNEES!W305)</f>
        <v/>
      </c>
      <c r="W305" t="str">
        <f>IF(DONNEES!$E305="","",DONNEES!X305)</f>
        <v/>
      </c>
      <c r="X305" t="str">
        <f>IF(DONNEES!$E305="","",DONNEES!Y305)</f>
        <v/>
      </c>
      <c r="Y305" t="str">
        <f>IF(DONNEES!$E305="","",DONNEES!Z305)</f>
        <v/>
      </c>
      <c r="Z305" t="str">
        <f>IF(DONNEES!$E305="","",DONNEES!AQ305)</f>
        <v/>
      </c>
    </row>
    <row r="306" spans="1:26" ht="15" customHeight="1" x14ac:dyDescent="0.3">
      <c r="A306" t="str">
        <f>IF(DONNEES!$E306="","",DONNEES!A306)</f>
        <v/>
      </c>
      <c r="B306" t="str">
        <f>IF(DONNEES!$E306="","",DONNEES!B306)</f>
        <v/>
      </c>
      <c r="C306" t="str">
        <f>IF(DONNEES!$E306="","",DONNEES!C306)</f>
        <v/>
      </c>
      <c r="D306" t="str">
        <f>IF(DONNEES!$E306="","",DONNEES!E306)</f>
        <v/>
      </c>
      <c r="E306" t="str">
        <f>IF(DONNEES!$E306="","",DONNEES!F306)</f>
        <v/>
      </c>
      <c r="F306" t="str">
        <f>IF(DONNEES!$E306="","",DONNEES!G306)</f>
        <v/>
      </c>
      <c r="G306" t="str">
        <f>IF(DONNEES!$E306="","",DONNEES!H306)</f>
        <v/>
      </c>
      <c r="H306" t="str">
        <f>IF(DONNEES!$E306="","",DONNEES!I306)</f>
        <v/>
      </c>
      <c r="I306" t="str">
        <f>IF(DONNEES!$E306="","",DONNEES!J306)</f>
        <v/>
      </c>
      <c r="J306" t="str">
        <f>IF(DONNEES!$E306="","",DONNEES!K306)</f>
        <v/>
      </c>
      <c r="K306" t="str">
        <f>IF(DONNEES!$E306="","",DONNEES!L306)</f>
        <v/>
      </c>
      <c r="L306" t="str">
        <f>IF(DONNEES!$E306="","",DONNEES!M306)</f>
        <v/>
      </c>
      <c r="M306" t="str">
        <f>IF(DONNEES!$E306="","",DONNEES!N306)</f>
        <v/>
      </c>
      <c r="N306" t="str">
        <f>IF(DONNEES!$E306="","",DONNEES!O306)</f>
        <v/>
      </c>
      <c r="O306" t="str">
        <f>IF(DONNEES!$E306="","",DONNEES!P306)</f>
        <v/>
      </c>
      <c r="P306" t="str">
        <f>IF(DONNEES!$E306="","",DONNEES!Q306)</f>
        <v/>
      </c>
      <c r="Q306" t="str">
        <f>IF(DONNEES!$E306="","",DONNEES!R306)</f>
        <v/>
      </c>
      <c r="R306" t="str">
        <f>IF(DONNEES!$E306="","",DONNEES!S306)</f>
        <v/>
      </c>
      <c r="S306" t="str">
        <f>IF(DONNEES!$E306="","",DONNEES!T306)</f>
        <v/>
      </c>
      <c r="T306" t="str">
        <f>IF(DONNEES!$E306="","",DONNEES!U306)</f>
        <v/>
      </c>
      <c r="U306" t="str">
        <f>IF(DONNEES!$E306="","",DONNEES!V306)</f>
        <v/>
      </c>
      <c r="V306" t="str">
        <f>IF(DONNEES!$E306="","",DONNEES!W306)</f>
        <v/>
      </c>
      <c r="W306" t="str">
        <f>IF(DONNEES!$E306="","",DONNEES!X306)</f>
        <v/>
      </c>
      <c r="X306" t="str">
        <f>IF(DONNEES!$E306="","",DONNEES!Y306)</f>
        <v/>
      </c>
      <c r="Y306" t="str">
        <f>IF(DONNEES!$E306="","",DONNEES!Z306)</f>
        <v/>
      </c>
      <c r="Z306" t="str">
        <f>IF(DONNEES!$E306="","",DONNEES!AQ306)</f>
        <v/>
      </c>
    </row>
    <row r="307" spans="1:26" ht="15" customHeight="1" x14ac:dyDescent="0.3">
      <c r="A307" t="str">
        <f>IF(DONNEES!$E307="","",DONNEES!A307)</f>
        <v/>
      </c>
      <c r="B307" t="str">
        <f>IF(DONNEES!$E307="","",DONNEES!B307)</f>
        <v/>
      </c>
      <c r="C307" t="str">
        <f>IF(DONNEES!$E307="","",DONNEES!C307)</f>
        <v/>
      </c>
      <c r="D307" t="str">
        <f>IF(DONNEES!$E307="","",DONNEES!E307)</f>
        <v/>
      </c>
      <c r="E307" t="str">
        <f>IF(DONNEES!$E307="","",DONNEES!F307)</f>
        <v/>
      </c>
      <c r="F307" t="str">
        <f>IF(DONNEES!$E307="","",DONNEES!G307)</f>
        <v/>
      </c>
      <c r="G307" t="str">
        <f>IF(DONNEES!$E307="","",DONNEES!H307)</f>
        <v/>
      </c>
      <c r="H307" t="str">
        <f>IF(DONNEES!$E307="","",DONNEES!I307)</f>
        <v/>
      </c>
      <c r="I307" t="str">
        <f>IF(DONNEES!$E307="","",DONNEES!J307)</f>
        <v/>
      </c>
      <c r="J307" t="str">
        <f>IF(DONNEES!$E307="","",DONNEES!K307)</f>
        <v/>
      </c>
      <c r="K307" t="str">
        <f>IF(DONNEES!$E307="","",DONNEES!L307)</f>
        <v/>
      </c>
      <c r="L307" t="str">
        <f>IF(DONNEES!$E307="","",DONNEES!M307)</f>
        <v/>
      </c>
      <c r="M307" t="str">
        <f>IF(DONNEES!$E307="","",DONNEES!N307)</f>
        <v/>
      </c>
      <c r="N307" t="str">
        <f>IF(DONNEES!$E307="","",DONNEES!O307)</f>
        <v/>
      </c>
      <c r="O307" t="str">
        <f>IF(DONNEES!$E307="","",DONNEES!P307)</f>
        <v/>
      </c>
      <c r="P307" t="str">
        <f>IF(DONNEES!$E307="","",DONNEES!Q307)</f>
        <v/>
      </c>
      <c r="Q307" t="str">
        <f>IF(DONNEES!$E307="","",DONNEES!R307)</f>
        <v/>
      </c>
      <c r="R307" t="str">
        <f>IF(DONNEES!$E307="","",DONNEES!S307)</f>
        <v/>
      </c>
      <c r="S307" t="str">
        <f>IF(DONNEES!$E307="","",DONNEES!T307)</f>
        <v/>
      </c>
      <c r="T307" t="str">
        <f>IF(DONNEES!$E307="","",DONNEES!U307)</f>
        <v/>
      </c>
      <c r="U307" t="str">
        <f>IF(DONNEES!$E307="","",DONNEES!V307)</f>
        <v/>
      </c>
      <c r="V307" t="str">
        <f>IF(DONNEES!$E307="","",DONNEES!W307)</f>
        <v/>
      </c>
      <c r="W307" t="str">
        <f>IF(DONNEES!$E307="","",DONNEES!X307)</f>
        <v/>
      </c>
      <c r="X307" t="str">
        <f>IF(DONNEES!$E307="","",DONNEES!Y307)</f>
        <v/>
      </c>
      <c r="Y307" t="str">
        <f>IF(DONNEES!$E307="","",DONNEES!Z307)</f>
        <v/>
      </c>
      <c r="Z307" t="str">
        <f>IF(DONNEES!$E307="","",DONNEES!AQ307)</f>
        <v/>
      </c>
    </row>
    <row r="308" spans="1:26" ht="15" customHeight="1" x14ac:dyDescent="0.3">
      <c r="A308" t="str">
        <f>IF(DONNEES!$E308="","",DONNEES!A308)</f>
        <v/>
      </c>
      <c r="B308" t="str">
        <f>IF(DONNEES!$E308="","",DONNEES!B308)</f>
        <v/>
      </c>
      <c r="C308" t="str">
        <f>IF(DONNEES!$E308="","",DONNEES!C308)</f>
        <v/>
      </c>
      <c r="D308" t="str">
        <f>IF(DONNEES!$E308="","",DONNEES!E308)</f>
        <v/>
      </c>
      <c r="E308" t="str">
        <f>IF(DONNEES!$E308="","",DONNEES!F308)</f>
        <v/>
      </c>
      <c r="F308" t="str">
        <f>IF(DONNEES!$E308="","",DONNEES!G308)</f>
        <v/>
      </c>
      <c r="G308" t="str">
        <f>IF(DONNEES!$E308="","",DONNEES!H308)</f>
        <v/>
      </c>
      <c r="H308" t="str">
        <f>IF(DONNEES!$E308="","",DONNEES!I308)</f>
        <v/>
      </c>
      <c r="I308" t="str">
        <f>IF(DONNEES!$E308="","",DONNEES!J308)</f>
        <v/>
      </c>
      <c r="J308" t="str">
        <f>IF(DONNEES!$E308="","",DONNEES!K308)</f>
        <v/>
      </c>
      <c r="K308" t="str">
        <f>IF(DONNEES!$E308="","",DONNEES!L308)</f>
        <v/>
      </c>
      <c r="L308" t="str">
        <f>IF(DONNEES!$E308="","",DONNEES!M308)</f>
        <v/>
      </c>
      <c r="M308" t="str">
        <f>IF(DONNEES!$E308="","",DONNEES!N308)</f>
        <v/>
      </c>
      <c r="N308" t="str">
        <f>IF(DONNEES!$E308="","",DONNEES!O308)</f>
        <v/>
      </c>
      <c r="O308" t="str">
        <f>IF(DONNEES!$E308="","",DONNEES!P308)</f>
        <v/>
      </c>
      <c r="P308" t="str">
        <f>IF(DONNEES!$E308="","",DONNEES!Q308)</f>
        <v/>
      </c>
      <c r="Q308" t="str">
        <f>IF(DONNEES!$E308="","",DONNEES!R308)</f>
        <v/>
      </c>
      <c r="R308" t="str">
        <f>IF(DONNEES!$E308="","",DONNEES!S308)</f>
        <v/>
      </c>
      <c r="S308" t="str">
        <f>IF(DONNEES!$E308="","",DONNEES!T308)</f>
        <v/>
      </c>
      <c r="T308" t="str">
        <f>IF(DONNEES!$E308="","",DONNEES!U308)</f>
        <v/>
      </c>
      <c r="U308" t="str">
        <f>IF(DONNEES!$E308="","",DONNEES!V308)</f>
        <v/>
      </c>
      <c r="V308" t="str">
        <f>IF(DONNEES!$E308="","",DONNEES!W308)</f>
        <v/>
      </c>
      <c r="W308" t="str">
        <f>IF(DONNEES!$E308="","",DONNEES!X308)</f>
        <v/>
      </c>
      <c r="X308" t="str">
        <f>IF(DONNEES!$E308="","",DONNEES!Y308)</f>
        <v/>
      </c>
      <c r="Y308" t="str">
        <f>IF(DONNEES!$E308="","",DONNEES!Z308)</f>
        <v/>
      </c>
      <c r="Z308" t="str">
        <f>IF(DONNEES!$E308="","",DONNEES!AQ308)</f>
        <v/>
      </c>
    </row>
    <row r="309" spans="1:26" ht="15" customHeight="1" x14ac:dyDescent="0.3">
      <c r="A309" t="str">
        <f>IF(DONNEES!$E309="","",DONNEES!A309)</f>
        <v/>
      </c>
      <c r="B309" t="str">
        <f>IF(DONNEES!$E309="","",DONNEES!B309)</f>
        <v/>
      </c>
      <c r="C309" t="str">
        <f>IF(DONNEES!$E309="","",DONNEES!C309)</f>
        <v/>
      </c>
      <c r="D309" t="str">
        <f>IF(DONNEES!$E309="","",DONNEES!E309)</f>
        <v/>
      </c>
      <c r="E309" t="str">
        <f>IF(DONNEES!$E309="","",DONNEES!F309)</f>
        <v/>
      </c>
      <c r="F309" t="str">
        <f>IF(DONNEES!$E309="","",DONNEES!G309)</f>
        <v/>
      </c>
      <c r="G309" t="str">
        <f>IF(DONNEES!$E309="","",DONNEES!H309)</f>
        <v/>
      </c>
      <c r="H309" t="str">
        <f>IF(DONNEES!$E309="","",DONNEES!I309)</f>
        <v/>
      </c>
      <c r="I309" t="str">
        <f>IF(DONNEES!$E309="","",DONNEES!J309)</f>
        <v/>
      </c>
      <c r="J309" t="str">
        <f>IF(DONNEES!$E309="","",DONNEES!K309)</f>
        <v/>
      </c>
      <c r="K309" t="str">
        <f>IF(DONNEES!$E309="","",DONNEES!L309)</f>
        <v/>
      </c>
      <c r="L309" t="str">
        <f>IF(DONNEES!$E309="","",DONNEES!M309)</f>
        <v/>
      </c>
      <c r="M309" t="str">
        <f>IF(DONNEES!$E309="","",DONNEES!N309)</f>
        <v/>
      </c>
      <c r="N309" t="str">
        <f>IF(DONNEES!$E309="","",DONNEES!O309)</f>
        <v/>
      </c>
      <c r="O309" t="str">
        <f>IF(DONNEES!$E309="","",DONNEES!P309)</f>
        <v/>
      </c>
      <c r="P309" t="str">
        <f>IF(DONNEES!$E309="","",DONNEES!Q309)</f>
        <v/>
      </c>
      <c r="Q309" t="str">
        <f>IF(DONNEES!$E309="","",DONNEES!R309)</f>
        <v/>
      </c>
      <c r="R309" t="str">
        <f>IF(DONNEES!$E309="","",DONNEES!S309)</f>
        <v/>
      </c>
      <c r="S309" t="str">
        <f>IF(DONNEES!$E309="","",DONNEES!T309)</f>
        <v/>
      </c>
      <c r="T309" t="str">
        <f>IF(DONNEES!$E309="","",DONNEES!U309)</f>
        <v/>
      </c>
      <c r="U309" t="str">
        <f>IF(DONNEES!$E309="","",DONNEES!V309)</f>
        <v/>
      </c>
      <c r="V309" t="str">
        <f>IF(DONNEES!$E309="","",DONNEES!W309)</f>
        <v/>
      </c>
      <c r="W309" t="str">
        <f>IF(DONNEES!$E309="","",DONNEES!X309)</f>
        <v/>
      </c>
      <c r="X309" t="str">
        <f>IF(DONNEES!$E309="","",DONNEES!Y309)</f>
        <v/>
      </c>
      <c r="Y309" t="str">
        <f>IF(DONNEES!$E309="","",DONNEES!Z309)</f>
        <v/>
      </c>
      <c r="Z309" t="str">
        <f>IF(DONNEES!$E309="","",DONNEES!AQ309)</f>
        <v/>
      </c>
    </row>
    <row r="310" spans="1:26" ht="15" customHeight="1" x14ac:dyDescent="0.3">
      <c r="A310" t="str">
        <f>IF(DONNEES!$E310="","",DONNEES!A310)</f>
        <v/>
      </c>
      <c r="B310" t="str">
        <f>IF(DONNEES!$E310="","",DONNEES!B310)</f>
        <v/>
      </c>
      <c r="C310" t="str">
        <f>IF(DONNEES!$E310="","",DONNEES!C310)</f>
        <v/>
      </c>
      <c r="D310" t="str">
        <f>IF(DONNEES!$E310="","",DONNEES!E310)</f>
        <v/>
      </c>
      <c r="E310" t="str">
        <f>IF(DONNEES!$E310="","",DONNEES!F310)</f>
        <v/>
      </c>
      <c r="F310" t="str">
        <f>IF(DONNEES!$E310="","",DONNEES!G310)</f>
        <v/>
      </c>
      <c r="G310" t="str">
        <f>IF(DONNEES!$E310="","",DONNEES!H310)</f>
        <v/>
      </c>
      <c r="H310" t="str">
        <f>IF(DONNEES!$E310="","",DONNEES!I310)</f>
        <v/>
      </c>
      <c r="I310" t="str">
        <f>IF(DONNEES!$E310="","",DONNEES!J310)</f>
        <v/>
      </c>
      <c r="J310" t="str">
        <f>IF(DONNEES!$E310="","",DONNEES!K310)</f>
        <v/>
      </c>
      <c r="K310" t="str">
        <f>IF(DONNEES!$E310="","",DONNEES!L310)</f>
        <v/>
      </c>
      <c r="L310" t="str">
        <f>IF(DONNEES!$E310="","",DONNEES!M310)</f>
        <v/>
      </c>
      <c r="M310" t="str">
        <f>IF(DONNEES!$E310="","",DONNEES!N310)</f>
        <v/>
      </c>
      <c r="N310" t="str">
        <f>IF(DONNEES!$E310="","",DONNEES!O310)</f>
        <v/>
      </c>
      <c r="O310" t="str">
        <f>IF(DONNEES!$E310="","",DONNEES!P310)</f>
        <v/>
      </c>
      <c r="P310" t="str">
        <f>IF(DONNEES!$E310="","",DONNEES!Q310)</f>
        <v/>
      </c>
      <c r="Q310" t="str">
        <f>IF(DONNEES!$E310="","",DONNEES!R310)</f>
        <v/>
      </c>
      <c r="R310" t="str">
        <f>IF(DONNEES!$E310="","",DONNEES!S310)</f>
        <v/>
      </c>
      <c r="S310" t="str">
        <f>IF(DONNEES!$E310="","",DONNEES!T310)</f>
        <v/>
      </c>
      <c r="T310" t="str">
        <f>IF(DONNEES!$E310="","",DONNEES!U310)</f>
        <v/>
      </c>
      <c r="U310" t="str">
        <f>IF(DONNEES!$E310="","",DONNEES!V310)</f>
        <v/>
      </c>
      <c r="V310" t="str">
        <f>IF(DONNEES!$E310="","",DONNEES!W310)</f>
        <v/>
      </c>
      <c r="W310" t="str">
        <f>IF(DONNEES!$E310="","",DONNEES!X310)</f>
        <v/>
      </c>
      <c r="X310" t="str">
        <f>IF(DONNEES!$E310="","",DONNEES!Y310)</f>
        <v/>
      </c>
      <c r="Y310" t="str">
        <f>IF(DONNEES!$E310="","",DONNEES!Z310)</f>
        <v/>
      </c>
      <c r="Z310" t="str">
        <f>IF(DONNEES!$E310="","",DONNEES!AQ310)</f>
        <v/>
      </c>
    </row>
    <row r="311" spans="1:26" ht="15" customHeight="1" x14ac:dyDescent="0.3">
      <c r="A311" t="str">
        <f>IF(DONNEES!$E311="","",DONNEES!A311)</f>
        <v/>
      </c>
      <c r="B311" t="str">
        <f>IF(DONNEES!$E311="","",DONNEES!B311)</f>
        <v/>
      </c>
      <c r="C311" t="str">
        <f>IF(DONNEES!$E311="","",DONNEES!C311)</f>
        <v/>
      </c>
      <c r="D311" t="str">
        <f>IF(DONNEES!$E311="","",DONNEES!E311)</f>
        <v/>
      </c>
      <c r="E311" t="str">
        <f>IF(DONNEES!$E311="","",DONNEES!F311)</f>
        <v/>
      </c>
      <c r="F311" t="str">
        <f>IF(DONNEES!$E311="","",DONNEES!G311)</f>
        <v/>
      </c>
      <c r="G311" t="str">
        <f>IF(DONNEES!$E311="","",DONNEES!H311)</f>
        <v/>
      </c>
      <c r="H311" t="str">
        <f>IF(DONNEES!$E311="","",DONNEES!I311)</f>
        <v/>
      </c>
      <c r="I311" t="str">
        <f>IF(DONNEES!$E311="","",DONNEES!J311)</f>
        <v/>
      </c>
      <c r="J311" t="str">
        <f>IF(DONNEES!$E311="","",DONNEES!K311)</f>
        <v/>
      </c>
      <c r="K311" t="str">
        <f>IF(DONNEES!$E311="","",DONNEES!L311)</f>
        <v/>
      </c>
      <c r="L311" t="str">
        <f>IF(DONNEES!$E311="","",DONNEES!M311)</f>
        <v/>
      </c>
      <c r="M311" t="str">
        <f>IF(DONNEES!$E311="","",DONNEES!N311)</f>
        <v/>
      </c>
      <c r="N311" t="str">
        <f>IF(DONNEES!$E311="","",DONNEES!O311)</f>
        <v/>
      </c>
      <c r="O311" t="str">
        <f>IF(DONNEES!$E311="","",DONNEES!P311)</f>
        <v/>
      </c>
      <c r="P311" t="str">
        <f>IF(DONNEES!$E311="","",DONNEES!Q311)</f>
        <v/>
      </c>
      <c r="Q311" t="str">
        <f>IF(DONNEES!$E311="","",DONNEES!R311)</f>
        <v/>
      </c>
      <c r="R311" t="str">
        <f>IF(DONNEES!$E311="","",DONNEES!S311)</f>
        <v/>
      </c>
      <c r="S311" t="str">
        <f>IF(DONNEES!$E311="","",DONNEES!T311)</f>
        <v/>
      </c>
      <c r="T311" t="str">
        <f>IF(DONNEES!$E311="","",DONNEES!U311)</f>
        <v/>
      </c>
      <c r="U311" t="str">
        <f>IF(DONNEES!$E311="","",DONNEES!V311)</f>
        <v/>
      </c>
      <c r="V311" t="str">
        <f>IF(DONNEES!$E311="","",DONNEES!W311)</f>
        <v/>
      </c>
      <c r="W311" t="str">
        <f>IF(DONNEES!$E311="","",DONNEES!X311)</f>
        <v/>
      </c>
      <c r="X311" t="str">
        <f>IF(DONNEES!$E311="","",DONNEES!Y311)</f>
        <v/>
      </c>
      <c r="Y311" t="str">
        <f>IF(DONNEES!$E311="","",DONNEES!Z311)</f>
        <v/>
      </c>
      <c r="Z311" t="str">
        <f>IF(DONNEES!$E311="","",DONNEES!AQ311)</f>
        <v/>
      </c>
    </row>
    <row r="312" spans="1:26" ht="15" customHeight="1" x14ac:dyDescent="0.3">
      <c r="A312" t="str">
        <f>IF(DONNEES!$E312="","",DONNEES!A312)</f>
        <v/>
      </c>
      <c r="B312" t="str">
        <f>IF(DONNEES!$E312="","",DONNEES!B312)</f>
        <v/>
      </c>
      <c r="C312" t="str">
        <f>IF(DONNEES!$E312="","",DONNEES!C312)</f>
        <v/>
      </c>
      <c r="D312" t="str">
        <f>IF(DONNEES!$E312="","",DONNEES!E312)</f>
        <v/>
      </c>
      <c r="E312" t="str">
        <f>IF(DONNEES!$E312="","",DONNEES!F312)</f>
        <v/>
      </c>
      <c r="F312" t="str">
        <f>IF(DONNEES!$E312="","",DONNEES!G312)</f>
        <v/>
      </c>
      <c r="G312" t="str">
        <f>IF(DONNEES!$E312="","",DONNEES!H312)</f>
        <v/>
      </c>
      <c r="H312" t="str">
        <f>IF(DONNEES!$E312="","",DONNEES!I312)</f>
        <v/>
      </c>
      <c r="I312" t="str">
        <f>IF(DONNEES!$E312="","",DONNEES!J312)</f>
        <v/>
      </c>
      <c r="J312" t="str">
        <f>IF(DONNEES!$E312="","",DONNEES!K312)</f>
        <v/>
      </c>
      <c r="K312" t="str">
        <f>IF(DONNEES!$E312="","",DONNEES!L312)</f>
        <v/>
      </c>
      <c r="L312" t="str">
        <f>IF(DONNEES!$E312="","",DONNEES!M312)</f>
        <v/>
      </c>
      <c r="M312" t="str">
        <f>IF(DONNEES!$E312="","",DONNEES!N312)</f>
        <v/>
      </c>
      <c r="N312" t="str">
        <f>IF(DONNEES!$E312="","",DONNEES!O312)</f>
        <v/>
      </c>
      <c r="O312" t="str">
        <f>IF(DONNEES!$E312="","",DONNEES!P312)</f>
        <v/>
      </c>
      <c r="P312" t="str">
        <f>IF(DONNEES!$E312="","",DONNEES!Q312)</f>
        <v/>
      </c>
      <c r="Q312" t="str">
        <f>IF(DONNEES!$E312="","",DONNEES!R312)</f>
        <v/>
      </c>
      <c r="R312" t="str">
        <f>IF(DONNEES!$E312="","",DONNEES!S312)</f>
        <v/>
      </c>
      <c r="S312" t="str">
        <f>IF(DONNEES!$E312="","",DONNEES!T312)</f>
        <v/>
      </c>
      <c r="T312" t="str">
        <f>IF(DONNEES!$E312="","",DONNEES!U312)</f>
        <v/>
      </c>
      <c r="U312" t="str">
        <f>IF(DONNEES!$E312="","",DONNEES!V312)</f>
        <v/>
      </c>
      <c r="V312" t="str">
        <f>IF(DONNEES!$E312="","",DONNEES!W312)</f>
        <v/>
      </c>
      <c r="W312" t="str">
        <f>IF(DONNEES!$E312="","",DONNEES!X312)</f>
        <v/>
      </c>
      <c r="X312" t="str">
        <f>IF(DONNEES!$E312="","",DONNEES!Y312)</f>
        <v/>
      </c>
      <c r="Y312" t="str">
        <f>IF(DONNEES!$E312="","",DONNEES!Z312)</f>
        <v/>
      </c>
      <c r="Z312" t="str">
        <f>IF(DONNEES!$E312="","",DONNEES!AQ312)</f>
        <v/>
      </c>
    </row>
    <row r="313" spans="1:26" ht="15" customHeight="1" x14ac:dyDescent="0.3">
      <c r="A313" t="str">
        <f>IF(DONNEES!$E313="","",DONNEES!A313)</f>
        <v/>
      </c>
      <c r="B313" t="str">
        <f>IF(DONNEES!$E313="","",DONNEES!B313)</f>
        <v/>
      </c>
      <c r="C313" t="str">
        <f>IF(DONNEES!$E313="","",DONNEES!C313)</f>
        <v/>
      </c>
      <c r="D313" t="str">
        <f>IF(DONNEES!$E313="","",DONNEES!E313)</f>
        <v/>
      </c>
      <c r="E313" t="str">
        <f>IF(DONNEES!$E313="","",DONNEES!F313)</f>
        <v/>
      </c>
      <c r="F313" t="str">
        <f>IF(DONNEES!$E313="","",DONNEES!G313)</f>
        <v/>
      </c>
      <c r="G313" t="str">
        <f>IF(DONNEES!$E313="","",DONNEES!H313)</f>
        <v/>
      </c>
      <c r="H313" t="str">
        <f>IF(DONNEES!$E313="","",DONNEES!I313)</f>
        <v/>
      </c>
      <c r="I313" t="str">
        <f>IF(DONNEES!$E313="","",DONNEES!J313)</f>
        <v/>
      </c>
      <c r="J313" t="str">
        <f>IF(DONNEES!$E313="","",DONNEES!K313)</f>
        <v/>
      </c>
      <c r="K313" t="str">
        <f>IF(DONNEES!$E313="","",DONNEES!L313)</f>
        <v/>
      </c>
      <c r="L313" t="str">
        <f>IF(DONNEES!$E313="","",DONNEES!M313)</f>
        <v/>
      </c>
      <c r="M313" t="str">
        <f>IF(DONNEES!$E313="","",DONNEES!N313)</f>
        <v/>
      </c>
      <c r="N313" t="str">
        <f>IF(DONNEES!$E313="","",DONNEES!O313)</f>
        <v/>
      </c>
      <c r="O313" t="str">
        <f>IF(DONNEES!$E313="","",DONNEES!P313)</f>
        <v/>
      </c>
      <c r="P313" t="str">
        <f>IF(DONNEES!$E313="","",DONNEES!Q313)</f>
        <v/>
      </c>
      <c r="Q313" t="str">
        <f>IF(DONNEES!$E313="","",DONNEES!R313)</f>
        <v/>
      </c>
      <c r="R313" t="str">
        <f>IF(DONNEES!$E313="","",DONNEES!S313)</f>
        <v/>
      </c>
      <c r="S313" t="str">
        <f>IF(DONNEES!$E313="","",DONNEES!T313)</f>
        <v/>
      </c>
      <c r="T313" t="str">
        <f>IF(DONNEES!$E313="","",DONNEES!U313)</f>
        <v/>
      </c>
      <c r="U313" t="str">
        <f>IF(DONNEES!$E313="","",DONNEES!V313)</f>
        <v/>
      </c>
      <c r="V313" t="str">
        <f>IF(DONNEES!$E313="","",DONNEES!W313)</f>
        <v/>
      </c>
      <c r="W313" t="str">
        <f>IF(DONNEES!$E313="","",DONNEES!X313)</f>
        <v/>
      </c>
      <c r="X313" t="str">
        <f>IF(DONNEES!$E313="","",DONNEES!Y313)</f>
        <v/>
      </c>
      <c r="Y313" t="str">
        <f>IF(DONNEES!$E313="","",DONNEES!Z313)</f>
        <v/>
      </c>
      <c r="Z313" t="str">
        <f>IF(DONNEES!$E313="","",DONNEES!AQ313)</f>
        <v/>
      </c>
    </row>
    <row r="314" spans="1:26" ht="15" customHeight="1" x14ac:dyDescent="0.3">
      <c r="A314" t="str">
        <f>IF(DONNEES!$E314="","",DONNEES!A314)</f>
        <v/>
      </c>
      <c r="B314" t="str">
        <f>IF(DONNEES!$E314="","",DONNEES!B314)</f>
        <v/>
      </c>
      <c r="C314" t="str">
        <f>IF(DONNEES!$E314="","",DONNEES!C314)</f>
        <v/>
      </c>
      <c r="D314" t="str">
        <f>IF(DONNEES!$E314="","",DONNEES!E314)</f>
        <v/>
      </c>
      <c r="E314" t="str">
        <f>IF(DONNEES!$E314="","",DONNEES!F314)</f>
        <v/>
      </c>
      <c r="F314" t="str">
        <f>IF(DONNEES!$E314="","",DONNEES!G314)</f>
        <v/>
      </c>
      <c r="G314" t="str">
        <f>IF(DONNEES!$E314="","",DONNEES!H314)</f>
        <v/>
      </c>
      <c r="H314" t="str">
        <f>IF(DONNEES!$E314="","",DONNEES!I314)</f>
        <v/>
      </c>
      <c r="I314" t="str">
        <f>IF(DONNEES!$E314="","",DONNEES!J314)</f>
        <v/>
      </c>
      <c r="J314" t="str">
        <f>IF(DONNEES!$E314="","",DONNEES!K314)</f>
        <v/>
      </c>
      <c r="K314" t="str">
        <f>IF(DONNEES!$E314="","",DONNEES!L314)</f>
        <v/>
      </c>
      <c r="L314" t="str">
        <f>IF(DONNEES!$E314="","",DONNEES!M314)</f>
        <v/>
      </c>
      <c r="M314" t="str">
        <f>IF(DONNEES!$E314="","",DONNEES!N314)</f>
        <v/>
      </c>
      <c r="N314" t="str">
        <f>IF(DONNEES!$E314="","",DONNEES!O314)</f>
        <v/>
      </c>
      <c r="O314" t="str">
        <f>IF(DONNEES!$E314="","",DONNEES!P314)</f>
        <v/>
      </c>
      <c r="P314" t="str">
        <f>IF(DONNEES!$E314="","",DONNEES!Q314)</f>
        <v/>
      </c>
      <c r="Q314" t="str">
        <f>IF(DONNEES!$E314="","",DONNEES!R314)</f>
        <v/>
      </c>
      <c r="R314" t="str">
        <f>IF(DONNEES!$E314="","",DONNEES!S314)</f>
        <v/>
      </c>
      <c r="S314" t="str">
        <f>IF(DONNEES!$E314="","",DONNEES!T314)</f>
        <v/>
      </c>
      <c r="T314" t="str">
        <f>IF(DONNEES!$E314="","",DONNEES!U314)</f>
        <v/>
      </c>
      <c r="U314" t="str">
        <f>IF(DONNEES!$E314="","",DONNEES!V314)</f>
        <v/>
      </c>
      <c r="V314" t="str">
        <f>IF(DONNEES!$E314="","",DONNEES!W314)</f>
        <v/>
      </c>
      <c r="W314" t="str">
        <f>IF(DONNEES!$E314="","",DONNEES!X314)</f>
        <v/>
      </c>
      <c r="X314" t="str">
        <f>IF(DONNEES!$E314="","",DONNEES!Y314)</f>
        <v/>
      </c>
      <c r="Y314" t="str">
        <f>IF(DONNEES!$E314="","",DONNEES!Z314)</f>
        <v/>
      </c>
      <c r="Z314" t="str">
        <f>IF(DONNEES!$E314="","",DONNEES!AQ314)</f>
        <v/>
      </c>
    </row>
    <row r="315" spans="1:26" ht="15" customHeight="1" x14ac:dyDescent="0.3">
      <c r="A315" t="str">
        <f>IF(DONNEES!$E315="","",DONNEES!A315)</f>
        <v/>
      </c>
      <c r="B315" t="str">
        <f>IF(DONNEES!$E315="","",DONNEES!B315)</f>
        <v/>
      </c>
      <c r="C315" t="str">
        <f>IF(DONNEES!$E315="","",DONNEES!C315)</f>
        <v/>
      </c>
      <c r="D315" t="str">
        <f>IF(DONNEES!$E315="","",DONNEES!E315)</f>
        <v/>
      </c>
      <c r="E315" t="str">
        <f>IF(DONNEES!$E315="","",DONNEES!F315)</f>
        <v/>
      </c>
      <c r="F315" t="str">
        <f>IF(DONNEES!$E315="","",DONNEES!G315)</f>
        <v/>
      </c>
      <c r="G315" t="str">
        <f>IF(DONNEES!$E315="","",DONNEES!H315)</f>
        <v/>
      </c>
      <c r="H315" t="str">
        <f>IF(DONNEES!$E315="","",DONNEES!I315)</f>
        <v/>
      </c>
      <c r="I315" t="str">
        <f>IF(DONNEES!$E315="","",DONNEES!J315)</f>
        <v/>
      </c>
      <c r="J315" t="str">
        <f>IF(DONNEES!$E315="","",DONNEES!K315)</f>
        <v/>
      </c>
      <c r="K315" t="str">
        <f>IF(DONNEES!$E315="","",DONNEES!L315)</f>
        <v/>
      </c>
      <c r="L315" t="str">
        <f>IF(DONNEES!$E315="","",DONNEES!M315)</f>
        <v/>
      </c>
      <c r="M315" t="str">
        <f>IF(DONNEES!$E315="","",DONNEES!N315)</f>
        <v/>
      </c>
      <c r="N315" t="str">
        <f>IF(DONNEES!$E315="","",DONNEES!O315)</f>
        <v/>
      </c>
      <c r="O315" t="str">
        <f>IF(DONNEES!$E315="","",DONNEES!P315)</f>
        <v/>
      </c>
      <c r="P315" t="str">
        <f>IF(DONNEES!$E315="","",DONNEES!Q315)</f>
        <v/>
      </c>
      <c r="Q315" t="str">
        <f>IF(DONNEES!$E315="","",DONNEES!R315)</f>
        <v/>
      </c>
      <c r="R315" t="str">
        <f>IF(DONNEES!$E315="","",DONNEES!S315)</f>
        <v/>
      </c>
      <c r="S315" t="str">
        <f>IF(DONNEES!$E315="","",DONNEES!T315)</f>
        <v/>
      </c>
      <c r="T315" t="str">
        <f>IF(DONNEES!$E315="","",DONNEES!U315)</f>
        <v/>
      </c>
      <c r="U315" t="str">
        <f>IF(DONNEES!$E315="","",DONNEES!V315)</f>
        <v/>
      </c>
      <c r="V315" t="str">
        <f>IF(DONNEES!$E315="","",DONNEES!W315)</f>
        <v/>
      </c>
      <c r="W315" t="str">
        <f>IF(DONNEES!$E315="","",DONNEES!X315)</f>
        <v/>
      </c>
      <c r="X315" t="str">
        <f>IF(DONNEES!$E315="","",DONNEES!Y315)</f>
        <v/>
      </c>
      <c r="Y315" t="str">
        <f>IF(DONNEES!$E315="","",DONNEES!Z315)</f>
        <v/>
      </c>
      <c r="Z315" t="str">
        <f>IF(DONNEES!$E315="","",DONNEES!AQ315)</f>
        <v/>
      </c>
    </row>
    <row r="316" spans="1:26" ht="15" customHeight="1" x14ac:dyDescent="0.3">
      <c r="A316" t="str">
        <f>IF(DONNEES!$E316="","",DONNEES!A316)</f>
        <v/>
      </c>
      <c r="B316" t="str">
        <f>IF(DONNEES!$E316="","",DONNEES!B316)</f>
        <v/>
      </c>
      <c r="C316" t="str">
        <f>IF(DONNEES!$E316="","",DONNEES!C316)</f>
        <v/>
      </c>
      <c r="D316" t="str">
        <f>IF(DONNEES!$E316="","",DONNEES!E316)</f>
        <v/>
      </c>
      <c r="E316" t="str">
        <f>IF(DONNEES!$E316="","",DONNEES!F316)</f>
        <v/>
      </c>
      <c r="F316" t="str">
        <f>IF(DONNEES!$E316="","",DONNEES!G316)</f>
        <v/>
      </c>
      <c r="G316" t="str">
        <f>IF(DONNEES!$E316="","",DONNEES!H316)</f>
        <v/>
      </c>
      <c r="H316" t="str">
        <f>IF(DONNEES!$E316="","",DONNEES!I316)</f>
        <v/>
      </c>
      <c r="I316" t="str">
        <f>IF(DONNEES!$E316="","",DONNEES!J316)</f>
        <v/>
      </c>
      <c r="J316" t="str">
        <f>IF(DONNEES!$E316="","",DONNEES!K316)</f>
        <v/>
      </c>
      <c r="K316" t="str">
        <f>IF(DONNEES!$E316="","",DONNEES!L316)</f>
        <v/>
      </c>
      <c r="L316" t="str">
        <f>IF(DONNEES!$E316="","",DONNEES!M316)</f>
        <v/>
      </c>
      <c r="M316" t="str">
        <f>IF(DONNEES!$E316="","",DONNEES!N316)</f>
        <v/>
      </c>
      <c r="N316" t="str">
        <f>IF(DONNEES!$E316="","",DONNEES!O316)</f>
        <v/>
      </c>
      <c r="O316" t="str">
        <f>IF(DONNEES!$E316="","",DONNEES!P316)</f>
        <v/>
      </c>
      <c r="P316" t="str">
        <f>IF(DONNEES!$E316="","",DONNEES!Q316)</f>
        <v/>
      </c>
      <c r="Q316" t="str">
        <f>IF(DONNEES!$E316="","",DONNEES!R316)</f>
        <v/>
      </c>
      <c r="R316" t="str">
        <f>IF(DONNEES!$E316="","",DONNEES!S316)</f>
        <v/>
      </c>
      <c r="S316" t="str">
        <f>IF(DONNEES!$E316="","",DONNEES!T316)</f>
        <v/>
      </c>
      <c r="T316" t="str">
        <f>IF(DONNEES!$E316="","",DONNEES!U316)</f>
        <v/>
      </c>
      <c r="U316" t="str">
        <f>IF(DONNEES!$E316="","",DONNEES!V316)</f>
        <v/>
      </c>
      <c r="V316" t="str">
        <f>IF(DONNEES!$E316="","",DONNEES!W316)</f>
        <v/>
      </c>
      <c r="W316" t="str">
        <f>IF(DONNEES!$E316="","",DONNEES!X316)</f>
        <v/>
      </c>
      <c r="X316" t="str">
        <f>IF(DONNEES!$E316="","",DONNEES!Y316)</f>
        <v/>
      </c>
      <c r="Y316" t="str">
        <f>IF(DONNEES!$E316="","",DONNEES!Z316)</f>
        <v/>
      </c>
      <c r="Z316" t="str">
        <f>IF(DONNEES!$E316="","",DONNEES!AQ316)</f>
        <v/>
      </c>
    </row>
    <row r="317" spans="1:26" ht="15" customHeight="1" x14ac:dyDescent="0.3">
      <c r="A317" t="str">
        <f>IF(DONNEES!$E317="","",DONNEES!A317)</f>
        <v/>
      </c>
      <c r="B317" t="str">
        <f>IF(DONNEES!$E317="","",DONNEES!B317)</f>
        <v/>
      </c>
      <c r="C317" t="str">
        <f>IF(DONNEES!$E317="","",DONNEES!C317)</f>
        <v/>
      </c>
      <c r="D317" t="str">
        <f>IF(DONNEES!$E317="","",DONNEES!E317)</f>
        <v/>
      </c>
      <c r="E317" t="str">
        <f>IF(DONNEES!$E317="","",DONNEES!F317)</f>
        <v/>
      </c>
      <c r="F317" t="str">
        <f>IF(DONNEES!$E317="","",DONNEES!G317)</f>
        <v/>
      </c>
      <c r="G317" t="str">
        <f>IF(DONNEES!$E317="","",DONNEES!H317)</f>
        <v/>
      </c>
      <c r="H317" t="str">
        <f>IF(DONNEES!$E317="","",DONNEES!I317)</f>
        <v/>
      </c>
      <c r="I317" t="str">
        <f>IF(DONNEES!$E317="","",DONNEES!J317)</f>
        <v/>
      </c>
      <c r="J317" t="str">
        <f>IF(DONNEES!$E317="","",DONNEES!K317)</f>
        <v/>
      </c>
      <c r="K317" t="str">
        <f>IF(DONNEES!$E317="","",DONNEES!L317)</f>
        <v/>
      </c>
      <c r="L317" t="str">
        <f>IF(DONNEES!$E317="","",DONNEES!M317)</f>
        <v/>
      </c>
      <c r="M317" t="str">
        <f>IF(DONNEES!$E317="","",DONNEES!N317)</f>
        <v/>
      </c>
      <c r="N317" t="str">
        <f>IF(DONNEES!$E317="","",DONNEES!O317)</f>
        <v/>
      </c>
      <c r="O317" t="str">
        <f>IF(DONNEES!$E317="","",DONNEES!P317)</f>
        <v/>
      </c>
      <c r="P317" t="str">
        <f>IF(DONNEES!$E317="","",DONNEES!Q317)</f>
        <v/>
      </c>
      <c r="Q317" t="str">
        <f>IF(DONNEES!$E317="","",DONNEES!R317)</f>
        <v/>
      </c>
      <c r="R317" t="str">
        <f>IF(DONNEES!$E317="","",DONNEES!S317)</f>
        <v/>
      </c>
      <c r="S317" t="str">
        <f>IF(DONNEES!$E317="","",DONNEES!T317)</f>
        <v/>
      </c>
      <c r="T317" t="str">
        <f>IF(DONNEES!$E317="","",DONNEES!U317)</f>
        <v/>
      </c>
      <c r="U317" t="str">
        <f>IF(DONNEES!$E317="","",DONNEES!V317)</f>
        <v/>
      </c>
      <c r="V317" t="str">
        <f>IF(DONNEES!$E317="","",DONNEES!W317)</f>
        <v/>
      </c>
      <c r="W317" t="str">
        <f>IF(DONNEES!$E317="","",DONNEES!X317)</f>
        <v/>
      </c>
      <c r="X317" t="str">
        <f>IF(DONNEES!$E317="","",DONNEES!Y317)</f>
        <v/>
      </c>
      <c r="Y317" t="str">
        <f>IF(DONNEES!$E317="","",DONNEES!Z317)</f>
        <v/>
      </c>
      <c r="Z317" t="str">
        <f>IF(DONNEES!$E317="","",DONNEES!AQ317)</f>
        <v/>
      </c>
    </row>
    <row r="318" spans="1:26" ht="15" customHeight="1" x14ac:dyDescent="0.3">
      <c r="A318" t="str">
        <f>IF(DONNEES!$E318="","",DONNEES!A318)</f>
        <v/>
      </c>
      <c r="B318" t="str">
        <f>IF(DONNEES!$E318="","",DONNEES!B318)</f>
        <v/>
      </c>
      <c r="C318" t="str">
        <f>IF(DONNEES!$E318="","",DONNEES!C318)</f>
        <v/>
      </c>
      <c r="D318" t="str">
        <f>IF(DONNEES!$E318="","",DONNEES!E318)</f>
        <v/>
      </c>
      <c r="E318" t="str">
        <f>IF(DONNEES!$E318="","",DONNEES!F318)</f>
        <v/>
      </c>
      <c r="F318" t="str">
        <f>IF(DONNEES!$E318="","",DONNEES!G318)</f>
        <v/>
      </c>
      <c r="G318" t="str">
        <f>IF(DONNEES!$E318="","",DONNEES!H318)</f>
        <v/>
      </c>
      <c r="H318" t="str">
        <f>IF(DONNEES!$E318="","",DONNEES!I318)</f>
        <v/>
      </c>
      <c r="I318" t="str">
        <f>IF(DONNEES!$E318="","",DONNEES!J318)</f>
        <v/>
      </c>
      <c r="J318" t="str">
        <f>IF(DONNEES!$E318="","",DONNEES!K318)</f>
        <v/>
      </c>
      <c r="K318" t="str">
        <f>IF(DONNEES!$E318="","",DONNEES!L318)</f>
        <v/>
      </c>
      <c r="L318" t="str">
        <f>IF(DONNEES!$E318="","",DONNEES!M318)</f>
        <v/>
      </c>
      <c r="M318" t="str">
        <f>IF(DONNEES!$E318="","",DONNEES!N318)</f>
        <v/>
      </c>
      <c r="N318" t="str">
        <f>IF(DONNEES!$E318="","",DONNEES!O318)</f>
        <v/>
      </c>
      <c r="O318" t="str">
        <f>IF(DONNEES!$E318="","",DONNEES!P318)</f>
        <v/>
      </c>
      <c r="P318" t="str">
        <f>IF(DONNEES!$E318="","",DONNEES!Q318)</f>
        <v/>
      </c>
      <c r="Q318" t="str">
        <f>IF(DONNEES!$E318="","",DONNEES!R318)</f>
        <v/>
      </c>
      <c r="R318" t="str">
        <f>IF(DONNEES!$E318="","",DONNEES!S318)</f>
        <v/>
      </c>
      <c r="S318" t="str">
        <f>IF(DONNEES!$E318="","",DONNEES!T318)</f>
        <v/>
      </c>
      <c r="T318" t="str">
        <f>IF(DONNEES!$E318="","",DONNEES!U318)</f>
        <v/>
      </c>
      <c r="U318" t="str">
        <f>IF(DONNEES!$E318="","",DONNEES!V318)</f>
        <v/>
      </c>
      <c r="V318" t="str">
        <f>IF(DONNEES!$E318="","",DONNEES!W318)</f>
        <v/>
      </c>
      <c r="W318" t="str">
        <f>IF(DONNEES!$E318="","",DONNEES!X318)</f>
        <v/>
      </c>
      <c r="X318" t="str">
        <f>IF(DONNEES!$E318="","",DONNEES!Y318)</f>
        <v/>
      </c>
      <c r="Y318" t="str">
        <f>IF(DONNEES!$E318="","",DONNEES!Z318)</f>
        <v/>
      </c>
      <c r="Z318" t="str">
        <f>IF(DONNEES!$E318="","",DONNEES!AQ318)</f>
        <v/>
      </c>
    </row>
    <row r="319" spans="1:26" ht="15" customHeight="1" x14ac:dyDescent="0.3">
      <c r="A319" t="str">
        <f>IF(DONNEES!$E319="","",DONNEES!A319)</f>
        <v/>
      </c>
      <c r="B319" t="str">
        <f>IF(DONNEES!$E319="","",DONNEES!B319)</f>
        <v/>
      </c>
      <c r="C319" t="str">
        <f>IF(DONNEES!$E319="","",DONNEES!C319)</f>
        <v/>
      </c>
      <c r="D319" t="str">
        <f>IF(DONNEES!$E319="","",DONNEES!E319)</f>
        <v/>
      </c>
      <c r="E319" t="str">
        <f>IF(DONNEES!$E319="","",DONNEES!F319)</f>
        <v/>
      </c>
      <c r="F319" t="str">
        <f>IF(DONNEES!$E319="","",DONNEES!G319)</f>
        <v/>
      </c>
      <c r="G319" t="str">
        <f>IF(DONNEES!$E319="","",DONNEES!H319)</f>
        <v/>
      </c>
      <c r="H319" t="str">
        <f>IF(DONNEES!$E319="","",DONNEES!I319)</f>
        <v/>
      </c>
      <c r="I319" t="str">
        <f>IF(DONNEES!$E319="","",DONNEES!J319)</f>
        <v/>
      </c>
      <c r="J319" t="str">
        <f>IF(DONNEES!$E319="","",DONNEES!K319)</f>
        <v/>
      </c>
      <c r="K319" t="str">
        <f>IF(DONNEES!$E319="","",DONNEES!L319)</f>
        <v/>
      </c>
      <c r="L319" t="str">
        <f>IF(DONNEES!$E319="","",DONNEES!M319)</f>
        <v/>
      </c>
      <c r="M319" t="str">
        <f>IF(DONNEES!$E319="","",DONNEES!N319)</f>
        <v/>
      </c>
      <c r="N319" t="str">
        <f>IF(DONNEES!$E319="","",DONNEES!O319)</f>
        <v/>
      </c>
      <c r="O319" t="str">
        <f>IF(DONNEES!$E319="","",DONNEES!P319)</f>
        <v/>
      </c>
      <c r="P319" t="str">
        <f>IF(DONNEES!$E319="","",DONNEES!Q319)</f>
        <v/>
      </c>
      <c r="Q319" t="str">
        <f>IF(DONNEES!$E319="","",DONNEES!R319)</f>
        <v/>
      </c>
      <c r="R319" t="str">
        <f>IF(DONNEES!$E319="","",DONNEES!S319)</f>
        <v/>
      </c>
      <c r="S319" t="str">
        <f>IF(DONNEES!$E319="","",DONNEES!T319)</f>
        <v/>
      </c>
      <c r="T319" t="str">
        <f>IF(DONNEES!$E319="","",DONNEES!U319)</f>
        <v/>
      </c>
      <c r="U319" t="str">
        <f>IF(DONNEES!$E319="","",DONNEES!V319)</f>
        <v/>
      </c>
      <c r="V319" t="str">
        <f>IF(DONNEES!$E319="","",DONNEES!W319)</f>
        <v/>
      </c>
      <c r="W319" t="str">
        <f>IF(DONNEES!$E319="","",DONNEES!X319)</f>
        <v/>
      </c>
      <c r="X319" t="str">
        <f>IF(DONNEES!$E319="","",DONNEES!Y319)</f>
        <v/>
      </c>
      <c r="Y319" t="str">
        <f>IF(DONNEES!$E319="","",DONNEES!Z319)</f>
        <v/>
      </c>
      <c r="Z319" t="str">
        <f>IF(DONNEES!$E319="","",DONNEES!AQ319)</f>
        <v/>
      </c>
    </row>
    <row r="320" spans="1:26" ht="15" customHeight="1" x14ac:dyDescent="0.3">
      <c r="A320" t="str">
        <f>IF(DONNEES!$E320="","",DONNEES!A320)</f>
        <v/>
      </c>
      <c r="B320" t="str">
        <f>IF(DONNEES!$E320="","",DONNEES!B320)</f>
        <v/>
      </c>
      <c r="C320" t="str">
        <f>IF(DONNEES!$E320="","",DONNEES!C320)</f>
        <v/>
      </c>
      <c r="D320" t="str">
        <f>IF(DONNEES!$E320="","",DONNEES!E320)</f>
        <v/>
      </c>
      <c r="E320" t="str">
        <f>IF(DONNEES!$E320="","",DONNEES!F320)</f>
        <v/>
      </c>
      <c r="F320" t="str">
        <f>IF(DONNEES!$E320="","",DONNEES!G320)</f>
        <v/>
      </c>
      <c r="G320" t="str">
        <f>IF(DONNEES!$E320="","",DONNEES!H320)</f>
        <v/>
      </c>
      <c r="H320" t="str">
        <f>IF(DONNEES!$E320="","",DONNEES!I320)</f>
        <v/>
      </c>
      <c r="I320" t="str">
        <f>IF(DONNEES!$E320="","",DONNEES!J320)</f>
        <v/>
      </c>
      <c r="J320" t="str">
        <f>IF(DONNEES!$E320="","",DONNEES!K320)</f>
        <v/>
      </c>
      <c r="K320" t="str">
        <f>IF(DONNEES!$E320="","",DONNEES!L320)</f>
        <v/>
      </c>
      <c r="L320" t="str">
        <f>IF(DONNEES!$E320="","",DONNEES!M320)</f>
        <v/>
      </c>
      <c r="M320" t="str">
        <f>IF(DONNEES!$E320="","",DONNEES!N320)</f>
        <v/>
      </c>
      <c r="N320" t="str">
        <f>IF(DONNEES!$E320="","",DONNEES!O320)</f>
        <v/>
      </c>
      <c r="O320" t="str">
        <f>IF(DONNEES!$E320="","",DONNEES!P320)</f>
        <v/>
      </c>
      <c r="P320" t="str">
        <f>IF(DONNEES!$E320="","",DONNEES!Q320)</f>
        <v/>
      </c>
      <c r="Q320" t="str">
        <f>IF(DONNEES!$E320="","",DONNEES!R320)</f>
        <v/>
      </c>
      <c r="R320" t="str">
        <f>IF(DONNEES!$E320="","",DONNEES!S320)</f>
        <v/>
      </c>
      <c r="S320" t="str">
        <f>IF(DONNEES!$E320="","",DONNEES!T320)</f>
        <v/>
      </c>
      <c r="T320" t="str">
        <f>IF(DONNEES!$E320="","",DONNEES!U320)</f>
        <v/>
      </c>
      <c r="U320" t="str">
        <f>IF(DONNEES!$E320="","",DONNEES!V320)</f>
        <v/>
      </c>
      <c r="V320" t="str">
        <f>IF(DONNEES!$E320="","",DONNEES!W320)</f>
        <v/>
      </c>
      <c r="W320" t="str">
        <f>IF(DONNEES!$E320="","",DONNEES!X320)</f>
        <v/>
      </c>
      <c r="X320" t="str">
        <f>IF(DONNEES!$E320="","",DONNEES!Y320)</f>
        <v/>
      </c>
      <c r="Y320" t="str">
        <f>IF(DONNEES!$E320="","",DONNEES!Z320)</f>
        <v/>
      </c>
      <c r="Z320" t="str">
        <f>IF(DONNEES!$E320="","",DONNEES!AQ320)</f>
        <v/>
      </c>
    </row>
    <row r="321" spans="1:26" ht="15" customHeight="1" x14ac:dyDescent="0.3">
      <c r="A321" t="str">
        <f>IF(DONNEES!$E321="","",DONNEES!A321)</f>
        <v/>
      </c>
      <c r="B321" t="str">
        <f>IF(DONNEES!$E321="","",DONNEES!B321)</f>
        <v/>
      </c>
      <c r="C321" t="str">
        <f>IF(DONNEES!$E321="","",DONNEES!C321)</f>
        <v/>
      </c>
      <c r="D321" t="str">
        <f>IF(DONNEES!$E321="","",DONNEES!E321)</f>
        <v/>
      </c>
      <c r="E321" t="str">
        <f>IF(DONNEES!$E321="","",DONNEES!F321)</f>
        <v/>
      </c>
      <c r="F321" t="str">
        <f>IF(DONNEES!$E321="","",DONNEES!G321)</f>
        <v/>
      </c>
      <c r="G321" t="str">
        <f>IF(DONNEES!$E321="","",DONNEES!H321)</f>
        <v/>
      </c>
      <c r="H321" t="str">
        <f>IF(DONNEES!$E321="","",DONNEES!I321)</f>
        <v/>
      </c>
      <c r="I321" t="str">
        <f>IF(DONNEES!$E321="","",DONNEES!J321)</f>
        <v/>
      </c>
      <c r="J321" t="str">
        <f>IF(DONNEES!$E321="","",DONNEES!K321)</f>
        <v/>
      </c>
      <c r="K321" t="str">
        <f>IF(DONNEES!$E321="","",DONNEES!L321)</f>
        <v/>
      </c>
      <c r="L321" t="str">
        <f>IF(DONNEES!$E321="","",DONNEES!M321)</f>
        <v/>
      </c>
      <c r="M321" t="str">
        <f>IF(DONNEES!$E321="","",DONNEES!N321)</f>
        <v/>
      </c>
      <c r="N321" t="str">
        <f>IF(DONNEES!$E321="","",DONNEES!O321)</f>
        <v/>
      </c>
      <c r="O321" t="str">
        <f>IF(DONNEES!$E321="","",DONNEES!P321)</f>
        <v/>
      </c>
      <c r="P321" t="str">
        <f>IF(DONNEES!$E321="","",DONNEES!Q321)</f>
        <v/>
      </c>
      <c r="Q321" t="str">
        <f>IF(DONNEES!$E321="","",DONNEES!R321)</f>
        <v/>
      </c>
      <c r="R321" t="str">
        <f>IF(DONNEES!$E321="","",DONNEES!S321)</f>
        <v/>
      </c>
      <c r="S321" t="str">
        <f>IF(DONNEES!$E321="","",DONNEES!T321)</f>
        <v/>
      </c>
      <c r="T321" t="str">
        <f>IF(DONNEES!$E321="","",DONNEES!U321)</f>
        <v/>
      </c>
      <c r="U321" t="str">
        <f>IF(DONNEES!$E321="","",DONNEES!V321)</f>
        <v/>
      </c>
      <c r="V321" t="str">
        <f>IF(DONNEES!$E321="","",DONNEES!W321)</f>
        <v/>
      </c>
      <c r="W321" t="str">
        <f>IF(DONNEES!$E321="","",DONNEES!X321)</f>
        <v/>
      </c>
      <c r="X321" t="str">
        <f>IF(DONNEES!$E321="","",DONNEES!Y321)</f>
        <v/>
      </c>
      <c r="Y321" t="str">
        <f>IF(DONNEES!$E321="","",DONNEES!Z321)</f>
        <v/>
      </c>
      <c r="Z321" t="str">
        <f>IF(DONNEES!$E321="","",DONNEES!AQ321)</f>
        <v/>
      </c>
    </row>
    <row r="322" spans="1:26" ht="15" customHeight="1" x14ac:dyDescent="0.3">
      <c r="A322" t="str">
        <f>IF(DONNEES!$E322="","",DONNEES!A322)</f>
        <v/>
      </c>
      <c r="B322" t="str">
        <f>IF(DONNEES!$E322="","",DONNEES!B322)</f>
        <v/>
      </c>
      <c r="C322" t="str">
        <f>IF(DONNEES!$E322="","",DONNEES!C322)</f>
        <v/>
      </c>
      <c r="D322" t="str">
        <f>IF(DONNEES!$E322="","",DONNEES!E322)</f>
        <v/>
      </c>
      <c r="E322" t="str">
        <f>IF(DONNEES!$E322="","",DONNEES!F322)</f>
        <v/>
      </c>
      <c r="F322" t="str">
        <f>IF(DONNEES!$E322="","",DONNEES!G322)</f>
        <v/>
      </c>
      <c r="G322" t="str">
        <f>IF(DONNEES!$E322="","",DONNEES!H322)</f>
        <v/>
      </c>
      <c r="H322" t="str">
        <f>IF(DONNEES!$E322="","",DONNEES!I322)</f>
        <v/>
      </c>
      <c r="I322" t="str">
        <f>IF(DONNEES!$E322="","",DONNEES!J322)</f>
        <v/>
      </c>
      <c r="J322" t="str">
        <f>IF(DONNEES!$E322="","",DONNEES!K322)</f>
        <v/>
      </c>
      <c r="K322" t="str">
        <f>IF(DONNEES!$E322="","",DONNEES!L322)</f>
        <v/>
      </c>
      <c r="L322" t="str">
        <f>IF(DONNEES!$E322="","",DONNEES!M322)</f>
        <v/>
      </c>
      <c r="M322" t="str">
        <f>IF(DONNEES!$E322="","",DONNEES!N322)</f>
        <v/>
      </c>
      <c r="N322" t="str">
        <f>IF(DONNEES!$E322="","",DONNEES!O322)</f>
        <v/>
      </c>
      <c r="O322" t="str">
        <f>IF(DONNEES!$E322="","",DONNEES!P322)</f>
        <v/>
      </c>
      <c r="P322" t="str">
        <f>IF(DONNEES!$E322="","",DONNEES!Q322)</f>
        <v/>
      </c>
      <c r="Q322" t="str">
        <f>IF(DONNEES!$E322="","",DONNEES!R322)</f>
        <v/>
      </c>
      <c r="R322" t="str">
        <f>IF(DONNEES!$E322="","",DONNEES!S322)</f>
        <v/>
      </c>
      <c r="S322" t="str">
        <f>IF(DONNEES!$E322="","",DONNEES!T322)</f>
        <v/>
      </c>
      <c r="T322" t="str">
        <f>IF(DONNEES!$E322="","",DONNEES!U322)</f>
        <v/>
      </c>
      <c r="U322" t="str">
        <f>IF(DONNEES!$E322="","",DONNEES!V322)</f>
        <v/>
      </c>
      <c r="V322" t="str">
        <f>IF(DONNEES!$E322="","",DONNEES!W322)</f>
        <v/>
      </c>
      <c r="W322" t="str">
        <f>IF(DONNEES!$E322="","",DONNEES!X322)</f>
        <v/>
      </c>
      <c r="X322" t="str">
        <f>IF(DONNEES!$E322="","",DONNEES!Y322)</f>
        <v/>
      </c>
      <c r="Y322" t="str">
        <f>IF(DONNEES!$E322="","",DONNEES!Z322)</f>
        <v/>
      </c>
      <c r="Z322" t="str">
        <f>IF(DONNEES!$E322="","",DONNEES!AQ322)</f>
        <v/>
      </c>
    </row>
    <row r="323" spans="1:26" ht="15" customHeight="1" x14ac:dyDescent="0.3">
      <c r="A323" t="str">
        <f>IF(DONNEES!$E323="","",DONNEES!A323)</f>
        <v/>
      </c>
      <c r="B323" t="str">
        <f>IF(DONNEES!$E323="","",DONNEES!B323)</f>
        <v/>
      </c>
      <c r="C323" t="str">
        <f>IF(DONNEES!$E323="","",DONNEES!C323)</f>
        <v/>
      </c>
      <c r="D323" t="str">
        <f>IF(DONNEES!$E323="","",DONNEES!E323)</f>
        <v/>
      </c>
      <c r="E323" t="str">
        <f>IF(DONNEES!$E323="","",DONNEES!F323)</f>
        <v/>
      </c>
      <c r="F323" t="str">
        <f>IF(DONNEES!$E323="","",DONNEES!G323)</f>
        <v/>
      </c>
      <c r="G323" t="str">
        <f>IF(DONNEES!$E323="","",DONNEES!H323)</f>
        <v/>
      </c>
      <c r="H323" t="str">
        <f>IF(DONNEES!$E323="","",DONNEES!I323)</f>
        <v/>
      </c>
      <c r="I323" t="str">
        <f>IF(DONNEES!$E323="","",DONNEES!J323)</f>
        <v/>
      </c>
      <c r="J323" t="str">
        <f>IF(DONNEES!$E323="","",DONNEES!K323)</f>
        <v/>
      </c>
      <c r="K323" t="str">
        <f>IF(DONNEES!$E323="","",DONNEES!L323)</f>
        <v/>
      </c>
      <c r="L323" t="str">
        <f>IF(DONNEES!$E323="","",DONNEES!M323)</f>
        <v/>
      </c>
      <c r="M323" t="str">
        <f>IF(DONNEES!$E323="","",DONNEES!N323)</f>
        <v/>
      </c>
      <c r="N323" t="str">
        <f>IF(DONNEES!$E323="","",DONNEES!O323)</f>
        <v/>
      </c>
      <c r="O323" t="str">
        <f>IF(DONNEES!$E323="","",DONNEES!P323)</f>
        <v/>
      </c>
      <c r="P323" t="str">
        <f>IF(DONNEES!$E323="","",DONNEES!Q323)</f>
        <v/>
      </c>
      <c r="Q323" t="str">
        <f>IF(DONNEES!$E323="","",DONNEES!R323)</f>
        <v/>
      </c>
      <c r="R323" t="str">
        <f>IF(DONNEES!$E323="","",DONNEES!S323)</f>
        <v/>
      </c>
      <c r="S323" t="str">
        <f>IF(DONNEES!$E323="","",DONNEES!T323)</f>
        <v/>
      </c>
      <c r="T323" t="str">
        <f>IF(DONNEES!$E323="","",DONNEES!U323)</f>
        <v/>
      </c>
      <c r="U323" t="str">
        <f>IF(DONNEES!$E323="","",DONNEES!V323)</f>
        <v/>
      </c>
      <c r="V323" t="str">
        <f>IF(DONNEES!$E323="","",DONNEES!W323)</f>
        <v/>
      </c>
      <c r="W323" t="str">
        <f>IF(DONNEES!$E323="","",DONNEES!X323)</f>
        <v/>
      </c>
      <c r="X323" t="str">
        <f>IF(DONNEES!$E323="","",DONNEES!Y323)</f>
        <v/>
      </c>
      <c r="Y323" t="str">
        <f>IF(DONNEES!$E323="","",DONNEES!Z323)</f>
        <v/>
      </c>
      <c r="Z323" t="str">
        <f>IF(DONNEES!$E323="","",DONNEES!AQ323)</f>
        <v/>
      </c>
    </row>
    <row r="324" spans="1:26" ht="15" customHeight="1" x14ac:dyDescent="0.3">
      <c r="A324" t="str">
        <f>IF(DONNEES!$E324="","",DONNEES!A324)</f>
        <v/>
      </c>
      <c r="B324" t="str">
        <f>IF(DONNEES!$E324="","",DONNEES!B324)</f>
        <v/>
      </c>
      <c r="C324" t="str">
        <f>IF(DONNEES!$E324="","",DONNEES!C324)</f>
        <v/>
      </c>
      <c r="D324" t="str">
        <f>IF(DONNEES!$E324="","",DONNEES!E324)</f>
        <v/>
      </c>
      <c r="E324" t="str">
        <f>IF(DONNEES!$E324="","",DONNEES!F324)</f>
        <v/>
      </c>
      <c r="F324" t="str">
        <f>IF(DONNEES!$E324="","",DONNEES!G324)</f>
        <v/>
      </c>
      <c r="G324" t="str">
        <f>IF(DONNEES!$E324="","",DONNEES!H324)</f>
        <v/>
      </c>
      <c r="H324" t="str">
        <f>IF(DONNEES!$E324="","",DONNEES!I324)</f>
        <v/>
      </c>
      <c r="I324" t="str">
        <f>IF(DONNEES!$E324="","",DONNEES!J324)</f>
        <v/>
      </c>
      <c r="J324" t="str">
        <f>IF(DONNEES!$E324="","",DONNEES!K324)</f>
        <v/>
      </c>
      <c r="K324" t="str">
        <f>IF(DONNEES!$E324="","",DONNEES!L324)</f>
        <v/>
      </c>
      <c r="L324" t="str">
        <f>IF(DONNEES!$E324="","",DONNEES!M324)</f>
        <v/>
      </c>
      <c r="M324" t="str">
        <f>IF(DONNEES!$E324="","",DONNEES!N324)</f>
        <v/>
      </c>
      <c r="N324" t="str">
        <f>IF(DONNEES!$E324="","",DONNEES!O324)</f>
        <v/>
      </c>
      <c r="O324" t="str">
        <f>IF(DONNEES!$E324="","",DONNEES!P324)</f>
        <v/>
      </c>
      <c r="P324" t="str">
        <f>IF(DONNEES!$E324="","",DONNEES!Q324)</f>
        <v/>
      </c>
      <c r="Q324" t="str">
        <f>IF(DONNEES!$E324="","",DONNEES!R324)</f>
        <v/>
      </c>
      <c r="R324" t="str">
        <f>IF(DONNEES!$E324="","",DONNEES!S324)</f>
        <v/>
      </c>
      <c r="S324" t="str">
        <f>IF(DONNEES!$E324="","",DONNEES!T324)</f>
        <v/>
      </c>
      <c r="T324" t="str">
        <f>IF(DONNEES!$E324="","",DONNEES!U324)</f>
        <v/>
      </c>
      <c r="U324" t="str">
        <f>IF(DONNEES!$E324="","",DONNEES!V324)</f>
        <v/>
      </c>
      <c r="V324" t="str">
        <f>IF(DONNEES!$E324="","",DONNEES!W324)</f>
        <v/>
      </c>
      <c r="W324" t="str">
        <f>IF(DONNEES!$E324="","",DONNEES!X324)</f>
        <v/>
      </c>
      <c r="X324" t="str">
        <f>IF(DONNEES!$E324="","",DONNEES!Y324)</f>
        <v/>
      </c>
      <c r="Y324" t="str">
        <f>IF(DONNEES!$E324="","",DONNEES!Z324)</f>
        <v/>
      </c>
      <c r="Z324" t="str">
        <f>IF(DONNEES!$E324="","",DONNEES!AQ324)</f>
        <v/>
      </c>
    </row>
    <row r="325" spans="1:26" ht="15" customHeight="1" x14ac:dyDescent="0.3">
      <c r="A325" t="str">
        <f>IF(DONNEES!$E325="","",DONNEES!A325)</f>
        <v/>
      </c>
      <c r="B325" t="str">
        <f>IF(DONNEES!$E325="","",DONNEES!B325)</f>
        <v/>
      </c>
      <c r="C325" t="str">
        <f>IF(DONNEES!$E325="","",DONNEES!C325)</f>
        <v/>
      </c>
      <c r="D325" t="str">
        <f>IF(DONNEES!$E325="","",DONNEES!E325)</f>
        <v/>
      </c>
      <c r="E325" t="str">
        <f>IF(DONNEES!$E325="","",DONNEES!F325)</f>
        <v/>
      </c>
      <c r="F325" t="str">
        <f>IF(DONNEES!$E325="","",DONNEES!G325)</f>
        <v/>
      </c>
      <c r="G325" t="str">
        <f>IF(DONNEES!$E325="","",DONNEES!H325)</f>
        <v/>
      </c>
      <c r="H325" t="str">
        <f>IF(DONNEES!$E325="","",DONNEES!I325)</f>
        <v/>
      </c>
      <c r="I325" t="str">
        <f>IF(DONNEES!$E325="","",DONNEES!J325)</f>
        <v/>
      </c>
      <c r="J325" t="str">
        <f>IF(DONNEES!$E325="","",DONNEES!K325)</f>
        <v/>
      </c>
      <c r="K325" t="str">
        <f>IF(DONNEES!$E325="","",DONNEES!L325)</f>
        <v/>
      </c>
      <c r="L325" t="str">
        <f>IF(DONNEES!$E325="","",DONNEES!M325)</f>
        <v/>
      </c>
      <c r="M325" t="str">
        <f>IF(DONNEES!$E325="","",DONNEES!N325)</f>
        <v/>
      </c>
      <c r="N325" t="str">
        <f>IF(DONNEES!$E325="","",DONNEES!O325)</f>
        <v/>
      </c>
      <c r="O325" t="str">
        <f>IF(DONNEES!$E325="","",DONNEES!P325)</f>
        <v/>
      </c>
      <c r="P325" t="str">
        <f>IF(DONNEES!$E325="","",DONNEES!Q325)</f>
        <v/>
      </c>
      <c r="Q325" t="str">
        <f>IF(DONNEES!$E325="","",DONNEES!R325)</f>
        <v/>
      </c>
      <c r="R325" t="str">
        <f>IF(DONNEES!$E325="","",DONNEES!S325)</f>
        <v/>
      </c>
      <c r="S325" t="str">
        <f>IF(DONNEES!$E325="","",DONNEES!T325)</f>
        <v/>
      </c>
      <c r="T325" t="str">
        <f>IF(DONNEES!$E325="","",DONNEES!U325)</f>
        <v/>
      </c>
      <c r="U325" t="str">
        <f>IF(DONNEES!$E325="","",DONNEES!V325)</f>
        <v/>
      </c>
      <c r="V325" t="str">
        <f>IF(DONNEES!$E325="","",DONNEES!W325)</f>
        <v/>
      </c>
      <c r="W325" t="str">
        <f>IF(DONNEES!$E325="","",DONNEES!X325)</f>
        <v/>
      </c>
      <c r="X325" t="str">
        <f>IF(DONNEES!$E325="","",DONNEES!Y325)</f>
        <v/>
      </c>
      <c r="Y325" t="str">
        <f>IF(DONNEES!$E325="","",DONNEES!Z325)</f>
        <v/>
      </c>
      <c r="Z325" t="str">
        <f>IF(DONNEES!$E325="","",DONNEES!AQ325)</f>
        <v/>
      </c>
    </row>
    <row r="326" spans="1:26" ht="15" customHeight="1" x14ac:dyDescent="0.3">
      <c r="A326" t="str">
        <f>IF(DONNEES!$E326="","",DONNEES!A326)</f>
        <v/>
      </c>
      <c r="B326" t="str">
        <f>IF(DONNEES!$E326="","",DONNEES!B326)</f>
        <v/>
      </c>
      <c r="C326" t="str">
        <f>IF(DONNEES!$E326="","",DONNEES!C326)</f>
        <v/>
      </c>
      <c r="D326" t="str">
        <f>IF(DONNEES!$E326="","",DONNEES!E326)</f>
        <v/>
      </c>
      <c r="E326" t="str">
        <f>IF(DONNEES!$E326="","",DONNEES!F326)</f>
        <v/>
      </c>
      <c r="F326" t="str">
        <f>IF(DONNEES!$E326="","",DONNEES!G326)</f>
        <v/>
      </c>
      <c r="G326" t="str">
        <f>IF(DONNEES!$E326="","",DONNEES!H326)</f>
        <v/>
      </c>
      <c r="H326" t="str">
        <f>IF(DONNEES!$E326="","",DONNEES!I326)</f>
        <v/>
      </c>
      <c r="I326" t="str">
        <f>IF(DONNEES!$E326="","",DONNEES!J326)</f>
        <v/>
      </c>
      <c r="J326" t="str">
        <f>IF(DONNEES!$E326="","",DONNEES!K326)</f>
        <v/>
      </c>
      <c r="K326" t="str">
        <f>IF(DONNEES!$E326="","",DONNEES!L326)</f>
        <v/>
      </c>
      <c r="L326" t="str">
        <f>IF(DONNEES!$E326="","",DONNEES!M326)</f>
        <v/>
      </c>
      <c r="M326" t="str">
        <f>IF(DONNEES!$E326="","",DONNEES!N326)</f>
        <v/>
      </c>
      <c r="N326" t="str">
        <f>IF(DONNEES!$E326="","",DONNEES!O326)</f>
        <v/>
      </c>
      <c r="O326" t="str">
        <f>IF(DONNEES!$E326="","",DONNEES!P326)</f>
        <v/>
      </c>
      <c r="P326" t="str">
        <f>IF(DONNEES!$E326="","",DONNEES!Q326)</f>
        <v/>
      </c>
      <c r="Q326" t="str">
        <f>IF(DONNEES!$E326="","",DONNEES!R326)</f>
        <v/>
      </c>
      <c r="R326" t="str">
        <f>IF(DONNEES!$E326="","",DONNEES!S326)</f>
        <v/>
      </c>
      <c r="S326" t="str">
        <f>IF(DONNEES!$E326="","",DONNEES!T326)</f>
        <v/>
      </c>
      <c r="T326" t="str">
        <f>IF(DONNEES!$E326="","",DONNEES!U326)</f>
        <v/>
      </c>
      <c r="U326" t="str">
        <f>IF(DONNEES!$E326="","",DONNEES!V326)</f>
        <v/>
      </c>
      <c r="V326" t="str">
        <f>IF(DONNEES!$E326="","",DONNEES!W326)</f>
        <v/>
      </c>
      <c r="W326" t="str">
        <f>IF(DONNEES!$E326="","",DONNEES!X326)</f>
        <v/>
      </c>
      <c r="X326" t="str">
        <f>IF(DONNEES!$E326="","",DONNEES!Y326)</f>
        <v/>
      </c>
      <c r="Y326" t="str">
        <f>IF(DONNEES!$E326="","",DONNEES!Z326)</f>
        <v/>
      </c>
      <c r="Z326" t="str">
        <f>IF(DONNEES!$E326="","",DONNEES!AQ326)</f>
        <v/>
      </c>
    </row>
    <row r="327" spans="1:26" ht="15" customHeight="1" x14ac:dyDescent="0.3">
      <c r="A327" t="str">
        <f>IF(DONNEES!$E327="","",DONNEES!A327)</f>
        <v/>
      </c>
      <c r="B327" t="str">
        <f>IF(DONNEES!$E327="","",DONNEES!B327)</f>
        <v/>
      </c>
      <c r="C327" t="str">
        <f>IF(DONNEES!$E327="","",DONNEES!C327)</f>
        <v/>
      </c>
      <c r="D327" t="str">
        <f>IF(DONNEES!$E327="","",DONNEES!E327)</f>
        <v/>
      </c>
      <c r="E327" t="str">
        <f>IF(DONNEES!$E327="","",DONNEES!F327)</f>
        <v/>
      </c>
      <c r="F327" t="str">
        <f>IF(DONNEES!$E327="","",DONNEES!G327)</f>
        <v/>
      </c>
      <c r="G327" t="str">
        <f>IF(DONNEES!$E327="","",DONNEES!H327)</f>
        <v/>
      </c>
      <c r="H327" t="str">
        <f>IF(DONNEES!$E327="","",DONNEES!I327)</f>
        <v/>
      </c>
      <c r="I327" t="str">
        <f>IF(DONNEES!$E327="","",DONNEES!J327)</f>
        <v/>
      </c>
      <c r="J327" t="str">
        <f>IF(DONNEES!$E327="","",DONNEES!K327)</f>
        <v/>
      </c>
      <c r="K327" t="str">
        <f>IF(DONNEES!$E327="","",DONNEES!L327)</f>
        <v/>
      </c>
      <c r="L327" t="str">
        <f>IF(DONNEES!$E327="","",DONNEES!M327)</f>
        <v/>
      </c>
      <c r="M327" t="str">
        <f>IF(DONNEES!$E327="","",DONNEES!N327)</f>
        <v/>
      </c>
      <c r="N327" t="str">
        <f>IF(DONNEES!$E327="","",DONNEES!O327)</f>
        <v/>
      </c>
      <c r="O327" t="str">
        <f>IF(DONNEES!$E327="","",DONNEES!P327)</f>
        <v/>
      </c>
      <c r="P327" t="str">
        <f>IF(DONNEES!$E327="","",DONNEES!Q327)</f>
        <v/>
      </c>
      <c r="Q327" t="str">
        <f>IF(DONNEES!$E327="","",DONNEES!R327)</f>
        <v/>
      </c>
      <c r="R327" t="str">
        <f>IF(DONNEES!$E327="","",DONNEES!S327)</f>
        <v/>
      </c>
      <c r="S327" t="str">
        <f>IF(DONNEES!$E327="","",DONNEES!T327)</f>
        <v/>
      </c>
      <c r="T327" t="str">
        <f>IF(DONNEES!$E327="","",DONNEES!U327)</f>
        <v/>
      </c>
      <c r="U327" t="str">
        <f>IF(DONNEES!$E327="","",DONNEES!V327)</f>
        <v/>
      </c>
      <c r="V327" t="str">
        <f>IF(DONNEES!$E327="","",DONNEES!W327)</f>
        <v/>
      </c>
      <c r="W327" t="str">
        <f>IF(DONNEES!$E327="","",DONNEES!X327)</f>
        <v/>
      </c>
      <c r="X327" t="str">
        <f>IF(DONNEES!$E327="","",DONNEES!Y327)</f>
        <v/>
      </c>
      <c r="Y327" t="str">
        <f>IF(DONNEES!$E327="","",DONNEES!Z327)</f>
        <v/>
      </c>
      <c r="Z327" t="str">
        <f>IF(DONNEES!$E327="","",DONNEES!AQ327)</f>
        <v/>
      </c>
    </row>
    <row r="328" spans="1:26" ht="15" customHeight="1" x14ac:dyDescent="0.3">
      <c r="A328" t="str">
        <f>IF(DONNEES!$E328="","",DONNEES!A328)</f>
        <v/>
      </c>
      <c r="B328" t="str">
        <f>IF(DONNEES!$E328="","",DONNEES!B328)</f>
        <v/>
      </c>
      <c r="C328" t="str">
        <f>IF(DONNEES!$E328="","",DONNEES!C328)</f>
        <v/>
      </c>
      <c r="D328" t="str">
        <f>IF(DONNEES!$E328="","",DONNEES!E328)</f>
        <v/>
      </c>
      <c r="E328" t="str">
        <f>IF(DONNEES!$E328="","",DONNEES!F328)</f>
        <v/>
      </c>
      <c r="F328" t="str">
        <f>IF(DONNEES!$E328="","",DONNEES!G328)</f>
        <v/>
      </c>
      <c r="G328" t="str">
        <f>IF(DONNEES!$E328="","",DONNEES!H328)</f>
        <v/>
      </c>
      <c r="H328" t="str">
        <f>IF(DONNEES!$E328="","",DONNEES!I328)</f>
        <v/>
      </c>
      <c r="I328" t="str">
        <f>IF(DONNEES!$E328="","",DONNEES!J328)</f>
        <v/>
      </c>
      <c r="J328" t="str">
        <f>IF(DONNEES!$E328="","",DONNEES!K328)</f>
        <v/>
      </c>
      <c r="K328" t="str">
        <f>IF(DONNEES!$E328="","",DONNEES!L328)</f>
        <v/>
      </c>
      <c r="L328" t="str">
        <f>IF(DONNEES!$E328="","",DONNEES!M328)</f>
        <v/>
      </c>
      <c r="M328" t="str">
        <f>IF(DONNEES!$E328="","",DONNEES!N328)</f>
        <v/>
      </c>
      <c r="N328" t="str">
        <f>IF(DONNEES!$E328="","",DONNEES!O328)</f>
        <v/>
      </c>
      <c r="O328" t="str">
        <f>IF(DONNEES!$E328="","",DONNEES!P328)</f>
        <v/>
      </c>
      <c r="P328" t="str">
        <f>IF(DONNEES!$E328="","",DONNEES!Q328)</f>
        <v/>
      </c>
      <c r="Q328" t="str">
        <f>IF(DONNEES!$E328="","",DONNEES!R328)</f>
        <v/>
      </c>
      <c r="R328" t="str">
        <f>IF(DONNEES!$E328="","",DONNEES!S328)</f>
        <v/>
      </c>
      <c r="S328" t="str">
        <f>IF(DONNEES!$E328="","",DONNEES!T328)</f>
        <v/>
      </c>
      <c r="T328" t="str">
        <f>IF(DONNEES!$E328="","",DONNEES!U328)</f>
        <v/>
      </c>
      <c r="U328" t="str">
        <f>IF(DONNEES!$E328="","",DONNEES!V328)</f>
        <v/>
      </c>
      <c r="V328" t="str">
        <f>IF(DONNEES!$E328="","",DONNEES!W328)</f>
        <v/>
      </c>
      <c r="W328" t="str">
        <f>IF(DONNEES!$E328="","",DONNEES!X328)</f>
        <v/>
      </c>
      <c r="X328" t="str">
        <f>IF(DONNEES!$E328="","",DONNEES!Y328)</f>
        <v/>
      </c>
      <c r="Y328" t="str">
        <f>IF(DONNEES!$E328="","",DONNEES!Z328)</f>
        <v/>
      </c>
      <c r="Z328" t="str">
        <f>IF(DONNEES!$E328="","",DONNEES!AQ328)</f>
        <v/>
      </c>
    </row>
    <row r="329" spans="1:26" ht="15" customHeight="1" x14ac:dyDescent="0.3">
      <c r="A329" t="str">
        <f>IF(DONNEES!$E329="","",DONNEES!A329)</f>
        <v/>
      </c>
      <c r="B329" t="str">
        <f>IF(DONNEES!$E329="","",DONNEES!B329)</f>
        <v/>
      </c>
      <c r="C329" t="str">
        <f>IF(DONNEES!$E329="","",DONNEES!C329)</f>
        <v/>
      </c>
      <c r="D329" t="str">
        <f>IF(DONNEES!$E329="","",DONNEES!E329)</f>
        <v/>
      </c>
      <c r="E329" t="str">
        <f>IF(DONNEES!$E329="","",DONNEES!F329)</f>
        <v/>
      </c>
      <c r="F329" t="str">
        <f>IF(DONNEES!$E329="","",DONNEES!G329)</f>
        <v/>
      </c>
      <c r="G329" t="str">
        <f>IF(DONNEES!$E329="","",DONNEES!H329)</f>
        <v/>
      </c>
      <c r="H329" t="str">
        <f>IF(DONNEES!$E329="","",DONNEES!I329)</f>
        <v/>
      </c>
      <c r="I329" t="str">
        <f>IF(DONNEES!$E329="","",DONNEES!J329)</f>
        <v/>
      </c>
      <c r="J329" t="str">
        <f>IF(DONNEES!$E329="","",DONNEES!K329)</f>
        <v/>
      </c>
      <c r="K329" t="str">
        <f>IF(DONNEES!$E329="","",DONNEES!L329)</f>
        <v/>
      </c>
      <c r="L329" t="str">
        <f>IF(DONNEES!$E329="","",DONNEES!M329)</f>
        <v/>
      </c>
      <c r="M329" t="str">
        <f>IF(DONNEES!$E329="","",DONNEES!N329)</f>
        <v/>
      </c>
      <c r="N329" t="str">
        <f>IF(DONNEES!$E329="","",DONNEES!O329)</f>
        <v/>
      </c>
      <c r="O329" t="str">
        <f>IF(DONNEES!$E329="","",DONNEES!P329)</f>
        <v/>
      </c>
      <c r="P329" t="str">
        <f>IF(DONNEES!$E329="","",DONNEES!Q329)</f>
        <v/>
      </c>
      <c r="Q329" t="str">
        <f>IF(DONNEES!$E329="","",DONNEES!R329)</f>
        <v/>
      </c>
      <c r="R329" t="str">
        <f>IF(DONNEES!$E329="","",DONNEES!S329)</f>
        <v/>
      </c>
      <c r="S329" t="str">
        <f>IF(DONNEES!$E329="","",DONNEES!T329)</f>
        <v/>
      </c>
      <c r="T329" t="str">
        <f>IF(DONNEES!$E329="","",DONNEES!U329)</f>
        <v/>
      </c>
      <c r="U329" t="str">
        <f>IF(DONNEES!$E329="","",DONNEES!V329)</f>
        <v/>
      </c>
      <c r="V329" t="str">
        <f>IF(DONNEES!$E329="","",DONNEES!W329)</f>
        <v/>
      </c>
      <c r="W329" t="str">
        <f>IF(DONNEES!$E329="","",DONNEES!X329)</f>
        <v/>
      </c>
      <c r="X329" t="str">
        <f>IF(DONNEES!$E329="","",DONNEES!Y329)</f>
        <v/>
      </c>
      <c r="Y329" t="str">
        <f>IF(DONNEES!$E329="","",DONNEES!Z329)</f>
        <v/>
      </c>
      <c r="Z329" t="str">
        <f>IF(DONNEES!$E329="","",DONNEES!AQ329)</f>
        <v/>
      </c>
    </row>
    <row r="330" spans="1:26" ht="15" customHeight="1" x14ac:dyDescent="0.3">
      <c r="A330" t="str">
        <f>IF(DONNEES!$E330="","",DONNEES!A330)</f>
        <v/>
      </c>
      <c r="B330" t="str">
        <f>IF(DONNEES!$E330="","",DONNEES!B330)</f>
        <v/>
      </c>
      <c r="C330" t="str">
        <f>IF(DONNEES!$E330="","",DONNEES!C330)</f>
        <v/>
      </c>
      <c r="D330" t="str">
        <f>IF(DONNEES!$E330="","",DONNEES!E330)</f>
        <v/>
      </c>
      <c r="E330" t="str">
        <f>IF(DONNEES!$E330="","",DONNEES!F330)</f>
        <v/>
      </c>
      <c r="F330" t="str">
        <f>IF(DONNEES!$E330="","",DONNEES!G330)</f>
        <v/>
      </c>
      <c r="G330" t="str">
        <f>IF(DONNEES!$E330="","",DONNEES!H330)</f>
        <v/>
      </c>
      <c r="H330" t="str">
        <f>IF(DONNEES!$E330="","",DONNEES!I330)</f>
        <v/>
      </c>
      <c r="I330" t="str">
        <f>IF(DONNEES!$E330="","",DONNEES!J330)</f>
        <v/>
      </c>
      <c r="J330" t="str">
        <f>IF(DONNEES!$E330="","",DONNEES!K330)</f>
        <v/>
      </c>
      <c r="K330" t="str">
        <f>IF(DONNEES!$E330="","",DONNEES!L330)</f>
        <v/>
      </c>
      <c r="L330" t="str">
        <f>IF(DONNEES!$E330="","",DONNEES!M330)</f>
        <v/>
      </c>
      <c r="M330" t="str">
        <f>IF(DONNEES!$E330="","",DONNEES!N330)</f>
        <v/>
      </c>
      <c r="N330" t="str">
        <f>IF(DONNEES!$E330="","",DONNEES!O330)</f>
        <v/>
      </c>
      <c r="O330" t="str">
        <f>IF(DONNEES!$E330="","",DONNEES!P330)</f>
        <v/>
      </c>
      <c r="P330" t="str">
        <f>IF(DONNEES!$E330="","",DONNEES!Q330)</f>
        <v/>
      </c>
      <c r="Q330" t="str">
        <f>IF(DONNEES!$E330="","",DONNEES!R330)</f>
        <v/>
      </c>
      <c r="R330" t="str">
        <f>IF(DONNEES!$E330="","",DONNEES!S330)</f>
        <v/>
      </c>
      <c r="S330" t="str">
        <f>IF(DONNEES!$E330="","",DONNEES!T330)</f>
        <v/>
      </c>
      <c r="T330" t="str">
        <f>IF(DONNEES!$E330="","",DONNEES!U330)</f>
        <v/>
      </c>
      <c r="U330" t="str">
        <f>IF(DONNEES!$E330="","",DONNEES!V330)</f>
        <v/>
      </c>
      <c r="V330" t="str">
        <f>IF(DONNEES!$E330="","",DONNEES!W330)</f>
        <v/>
      </c>
      <c r="W330" t="str">
        <f>IF(DONNEES!$E330="","",DONNEES!X330)</f>
        <v/>
      </c>
      <c r="X330" t="str">
        <f>IF(DONNEES!$E330="","",DONNEES!Y330)</f>
        <v/>
      </c>
      <c r="Y330" t="str">
        <f>IF(DONNEES!$E330="","",DONNEES!Z330)</f>
        <v/>
      </c>
      <c r="Z330" t="str">
        <f>IF(DONNEES!$E330="","",DONNEES!AQ330)</f>
        <v/>
      </c>
    </row>
    <row r="331" spans="1:26" ht="15" customHeight="1" x14ac:dyDescent="0.3">
      <c r="A331" t="str">
        <f>IF(DONNEES!$E331="","",DONNEES!A331)</f>
        <v/>
      </c>
      <c r="B331" t="str">
        <f>IF(DONNEES!$E331="","",DONNEES!B331)</f>
        <v/>
      </c>
      <c r="C331" t="str">
        <f>IF(DONNEES!$E331="","",DONNEES!C331)</f>
        <v/>
      </c>
      <c r="D331" t="str">
        <f>IF(DONNEES!$E331="","",DONNEES!E331)</f>
        <v/>
      </c>
      <c r="E331" t="str">
        <f>IF(DONNEES!$E331="","",DONNEES!F331)</f>
        <v/>
      </c>
      <c r="F331" t="str">
        <f>IF(DONNEES!$E331="","",DONNEES!G331)</f>
        <v/>
      </c>
      <c r="G331" t="str">
        <f>IF(DONNEES!$E331="","",DONNEES!H331)</f>
        <v/>
      </c>
      <c r="H331" t="str">
        <f>IF(DONNEES!$E331="","",DONNEES!I331)</f>
        <v/>
      </c>
      <c r="I331" t="str">
        <f>IF(DONNEES!$E331="","",DONNEES!J331)</f>
        <v/>
      </c>
      <c r="J331" t="str">
        <f>IF(DONNEES!$E331="","",DONNEES!K331)</f>
        <v/>
      </c>
      <c r="K331" t="str">
        <f>IF(DONNEES!$E331="","",DONNEES!L331)</f>
        <v/>
      </c>
      <c r="L331" t="str">
        <f>IF(DONNEES!$E331="","",DONNEES!M331)</f>
        <v/>
      </c>
      <c r="M331" t="str">
        <f>IF(DONNEES!$E331="","",DONNEES!N331)</f>
        <v/>
      </c>
      <c r="N331" t="str">
        <f>IF(DONNEES!$E331="","",DONNEES!O331)</f>
        <v/>
      </c>
      <c r="O331" t="str">
        <f>IF(DONNEES!$E331="","",DONNEES!P331)</f>
        <v/>
      </c>
      <c r="P331" t="str">
        <f>IF(DONNEES!$E331="","",DONNEES!Q331)</f>
        <v/>
      </c>
      <c r="Q331" t="str">
        <f>IF(DONNEES!$E331="","",DONNEES!R331)</f>
        <v/>
      </c>
      <c r="R331" t="str">
        <f>IF(DONNEES!$E331="","",DONNEES!S331)</f>
        <v/>
      </c>
      <c r="S331" t="str">
        <f>IF(DONNEES!$E331="","",DONNEES!T331)</f>
        <v/>
      </c>
      <c r="T331" t="str">
        <f>IF(DONNEES!$E331="","",DONNEES!U331)</f>
        <v/>
      </c>
      <c r="U331" t="str">
        <f>IF(DONNEES!$E331="","",DONNEES!V331)</f>
        <v/>
      </c>
      <c r="V331" t="str">
        <f>IF(DONNEES!$E331="","",DONNEES!W331)</f>
        <v/>
      </c>
      <c r="W331" t="str">
        <f>IF(DONNEES!$E331="","",DONNEES!X331)</f>
        <v/>
      </c>
      <c r="X331" t="str">
        <f>IF(DONNEES!$E331="","",DONNEES!Y331)</f>
        <v/>
      </c>
      <c r="Y331" t="str">
        <f>IF(DONNEES!$E331="","",DONNEES!Z331)</f>
        <v/>
      </c>
      <c r="Z331" t="str">
        <f>IF(DONNEES!$E331="","",DONNEES!AQ331)</f>
        <v/>
      </c>
    </row>
    <row r="332" spans="1:26" ht="15" customHeight="1" x14ac:dyDescent="0.3">
      <c r="A332" t="str">
        <f>IF(DONNEES!$E332="","",DONNEES!A332)</f>
        <v/>
      </c>
      <c r="B332" t="str">
        <f>IF(DONNEES!$E332="","",DONNEES!B332)</f>
        <v/>
      </c>
      <c r="C332" t="str">
        <f>IF(DONNEES!$E332="","",DONNEES!C332)</f>
        <v/>
      </c>
      <c r="D332" t="str">
        <f>IF(DONNEES!$E332="","",DONNEES!E332)</f>
        <v/>
      </c>
      <c r="E332" t="str">
        <f>IF(DONNEES!$E332="","",DONNEES!F332)</f>
        <v/>
      </c>
      <c r="F332" t="str">
        <f>IF(DONNEES!$E332="","",DONNEES!G332)</f>
        <v/>
      </c>
      <c r="G332" t="str">
        <f>IF(DONNEES!$E332="","",DONNEES!H332)</f>
        <v/>
      </c>
      <c r="H332" t="str">
        <f>IF(DONNEES!$E332="","",DONNEES!I332)</f>
        <v/>
      </c>
      <c r="I332" t="str">
        <f>IF(DONNEES!$E332="","",DONNEES!J332)</f>
        <v/>
      </c>
      <c r="J332" t="str">
        <f>IF(DONNEES!$E332="","",DONNEES!K332)</f>
        <v/>
      </c>
      <c r="K332" t="str">
        <f>IF(DONNEES!$E332="","",DONNEES!L332)</f>
        <v/>
      </c>
      <c r="L332" t="str">
        <f>IF(DONNEES!$E332="","",DONNEES!M332)</f>
        <v/>
      </c>
      <c r="M332" t="str">
        <f>IF(DONNEES!$E332="","",DONNEES!N332)</f>
        <v/>
      </c>
      <c r="N332" t="str">
        <f>IF(DONNEES!$E332="","",DONNEES!O332)</f>
        <v/>
      </c>
      <c r="O332" t="str">
        <f>IF(DONNEES!$E332="","",DONNEES!P332)</f>
        <v/>
      </c>
      <c r="P332" t="str">
        <f>IF(DONNEES!$E332="","",DONNEES!Q332)</f>
        <v/>
      </c>
      <c r="Q332" t="str">
        <f>IF(DONNEES!$E332="","",DONNEES!R332)</f>
        <v/>
      </c>
      <c r="R332" t="str">
        <f>IF(DONNEES!$E332="","",DONNEES!S332)</f>
        <v/>
      </c>
      <c r="S332" t="str">
        <f>IF(DONNEES!$E332="","",DONNEES!T332)</f>
        <v/>
      </c>
      <c r="T332" t="str">
        <f>IF(DONNEES!$E332="","",DONNEES!U332)</f>
        <v/>
      </c>
      <c r="U332" t="str">
        <f>IF(DONNEES!$E332="","",DONNEES!V332)</f>
        <v/>
      </c>
      <c r="V332" t="str">
        <f>IF(DONNEES!$E332="","",DONNEES!W332)</f>
        <v/>
      </c>
      <c r="W332" t="str">
        <f>IF(DONNEES!$E332="","",DONNEES!X332)</f>
        <v/>
      </c>
      <c r="X332" t="str">
        <f>IF(DONNEES!$E332="","",DONNEES!Y332)</f>
        <v/>
      </c>
      <c r="Y332" t="str">
        <f>IF(DONNEES!$E332="","",DONNEES!Z332)</f>
        <v/>
      </c>
      <c r="Z332" t="str">
        <f>IF(DONNEES!$E332="","",DONNEES!AQ332)</f>
        <v/>
      </c>
    </row>
    <row r="333" spans="1:26" ht="15" customHeight="1" x14ac:dyDescent="0.3">
      <c r="A333" t="str">
        <f>IF(DONNEES!$E333="","",DONNEES!A333)</f>
        <v/>
      </c>
      <c r="B333" t="str">
        <f>IF(DONNEES!$E333="","",DONNEES!B333)</f>
        <v/>
      </c>
      <c r="C333" t="str">
        <f>IF(DONNEES!$E333="","",DONNEES!C333)</f>
        <v/>
      </c>
      <c r="D333" t="str">
        <f>IF(DONNEES!$E333="","",DONNEES!E333)</f>
        <v/>
      </c>
      <c r="E333" t="str">
        <f>IF(DONNEES!$E333="","",DONNEES!F333)</f>
        <v/>
      </c>
      <c r="F333" t="str">
        <f>IF(DONNEES!$E333="","",DONNEES!G333)</f>
        <v/>
      </c>
      <c r="G333" t="str">
        <f>IF(DONNEES!$E333="","",DONNEES!H333)</f>
        <v/>
      </c>
      <c r="H333" t="str">
        <f>IF(DONNEES!$E333="","",DONNEES!I333)</f>
        <v/>
      </c>
      <c r="I333" t="str">
        <f>IF(DONNEES!$E333="","",DONNEES!J333)</f>
        <v/>
      </c>
      <c r="J333" t="str">
        <f>IF(DONNEES!$E333="","",DONNEES!K333)</f>
        <v/>
      </c>
      <c r="K333" t="str">
        <f>IF(DONNEES!$E333="","",DONNEES!L333)</f>
        <v/>
      </c>
      <c r="L333" t="str">
        <f>IF(DONNEES!$E333="","",DONNEES!M333)</f>
        <v/>
      </c>
      <c r="M333" t="str">
        <f>IF(DONNEES!$E333="","",DONNEES!N333)</f>
        <v/>
      </c>
      <c r="N333" t="str">
        <f>IF(DONNEES!$E333="","",DONNEES!O333)</f>
        <v/>
      </c>
      <c r="O333" t="str">
        <f>IF(DONNEES!$E333="","",DONNEES!P333)</f>
        <v/>
      </c>
      <c r="P333" t="str">
        <f>IF(DONNEES!$E333="","",DONNEES!Q333)</f>
        <v/>
      </c>
      <c r="Q333" t="str">
        <f>IF(DONNEES!$E333="","",DONNEES!R333)</f>
        <v/>
      </c>
      <c r="R333" t="str">
        <f>IF(DONNEES!$E333="","",DONNEES!S333)</f>
        <v/>
      </c>
      <c r="S333" t="str">
        <f>IF(DONNEES!$E333="","",DONNEES!T333)</f>
        <v/>
      </c>
      <c r="T333" t="str">
        <f>IF(DONNEES!$E333="","",DONNEES!U333)</f>
        <v/>
      </c>
      <c r="U333" t="str">
        <f>IF(DONNEES!$E333="","",DONNEES!V333)</f>
        <v/>
      </c>
      <c r="V333" t="str">
        <f>IF(DONNEES!$E333="","",DONNEES!W333)</f>
        <v/>
      </c>
      <c r="W333" t="str">
        <f>IF(DONNEES!$E333="","",DONNEES!X333)</f>
        <v/>
      </c>
      <c r="X333" t="str">
        <f>IF(DONNEES!$E333="","",DONNEES!Y333)</f>
        <v/>
      </c>
      <c r="Y333" t="str">
        <f>IF(DONNEES!$E333="","",DONNEES!Z333)</f>
        <v/>
      </c>
      <c r="Z333" t="str">
        <f>IF(DONNEES!$E333="","",DONNEES!AQ333)</f>
        <v/>
      </c>
    </row>
    <row r="334" spans="1:26" ht="15" customHeight="1" x14ac:dyDescent="0.3">
      <c r="A334" t="str">
        <f>IF(DONNEES!$E334="","",DONNEES!A334)</f>
        <v/>
      </c>
      <c r="B334" t="str">
        <f>IF(DONNEES!$E334="","",DONNEES!B334)</f>
        <v/>
      </c>
      <c r="C334" t="str">
        <f>IF(DONNEES!$E334="","",DONNEES!C334)</f>
        <v/>
      </c>
      <c r="D334" t="str">
        <f>IF(DONNEES!$E334="","",DONNEES!E334)</f>
        <v/>
      </c>
      <c r="E334" t="str">
        <f>IF(DONNEES!$E334="","",DONNEES!F334)</f>
        <v/>
      </c>
      <c r="F334" t="str">
        <f>IF(DONNEES!$E334="","",DONNEES!G334)</f>
        <v/>
      </c>
      <c r="G334" t="str">
        <f>IF(DONNEES!$E334="","",DONNEES!H334)</f>
        <v/>
      </c>
      <c r="H334" t="str">
        <f>IF(DONNEES!$E334="","",DONNEES!I334)</f>
        <v/>
      </c>
      <c r="I334" t="str">
        <f>IF(DONNEES!$E334="","",DONNEES!J334)</f>
        <v/>
      </c>
      <c r="J334" t="str">
        <f>IF(DONNEES!$E334="","",DONNEES!K334)</f>
        <v/>
      </c>
      <c r="K334" t="str">
        <f>IF(DONNEES!$E334="","",DONNEES!L334)</f>
        <v/>
      </c>
      <c r="L334" t="str">
        <f>IF(DONNEES!$E334="","",DONNEES!M334)</f>
        <v/>
      </c>
      <c r="M334" t="str">
        <f>IF(DONNEES!$E334="","",DONNEES!N334)</f>
        <v/>
      </c>
      <c r="N334" t="str">
        <f>IF(DONNEES!$E334="","",DONNEES!O334)</f>
        <v/>
      </c>
      <c r="O334" t="str">
        <f>IF(DONNEES!$E334="","",DONNEES!P334)</f>
        <v/>
      </c>
      <c r="P334" t="str">
        <f>IF(DONNEES!$E334="","",DONNEES!Q334)</f>
        <v/>
      </c>
      <c r="Q334" t="str">
        <f>IF(DONNEES!$E334="","",DONNEES!R334)</f>
        <v/>
      </c>
      <c r="R334" t="str">
        <f>IF(DONNEES!$E334="","",DONNEES!S334)</f>
        <v/>
      </c>
      <c r="S334" t="str">
        <f>IF(DONNEES!$E334="","",DONNEES!T334)</f>
        <v/>
      </c>
      <c r="T334" t="str">
        <f>IF(DONNEES!$E334="","",DONNEES!U334)</f>
        <v/>
      </c>
      <c r="U334" t="str">
        <f>IF(DONNEES!$E334="","",DONNEES!V334)</f>
        <v/>
      </c>
      <c r="V334" t="str">
        <f>IF(DONNEES!$E334="","",DONNEES!W334)</f>
        <v/>
      </c>
      <c r="W334" t="str">
        <f>IF(DONNEES!$E334="","",DONNEES!X334)</f>
        <v/>
      </c>
      <c r="X334" t="str">
        <f>IF(DONNEES!$E334="","",DONNEES!Y334)</f>
        <v/>
      </c>
      <c r="Y334" t="str">
        <f>IF(DONNEES!$E334="","",DONNEES!Z334)</f>
        <v/>
      </c>
      <c r="Z334" t="str">
        <f>IF(DONNEES!$E334="","",DONNEES!AQ334)</f>
        <v/>
      </c>
    </row>
    <row r="335" spans="1:26" ht="15" customHeight="1" x14ac:dyDescent="0.3">
      <c r="A335" t="str">
        <f>IF(DONNEES!$E335="","",DONNEES!A335)</f>
        <v/>
      </c>
      <c r="B335" t="str">
        <f>IF(DONNEES!$E335="","",DONNEES!B335)</f>
        <v/>
      </c>
      <c r="C335" t="str">
        <f>IF(DONNEES!$E335="","",DONNEES!C335)</f>
        <v/>
      </c>
      <c r="D335" t="str">
        <f>IF(DONNEES!$E335="","",DONNEES!E335)</f>
        <v/>
      </c>
      <c r="E335" t="str">
        <f>IF(DONNEES!$E335="","",DONNEES!F335)</f>
        <v/>
      </c>
      <c r="F335" t="str">
        <f>IF(DONNEES!$E335="","",DONNEES!G335)</f>
        <v/>
      </c>
      <c r="G335" t="str">
        <f>IF(DONNEES!$E335="","",DONNEES!H335)</f>
        <v/>
      </c>
      <c r="H335" t="str">
        <f>IF(DONNEES!$E335="","",DONNEES!I335)</f>
        <v/>
      </c>
      <c r="I335" t="str">
        <f>IF(DONNEES!$E335="","",DONNEES!J335)</f>
        <v/>
      </c>
      <c r="J335" t="str">
        <f>IF(DONNEES!$E335="","",DONNEES!K335)</f>
        <v/>
      </c>
      <c r="K335" t="str">
        <f>IF(DONNEES!$E335="","",DONNEES!L335)</f>
        <v/>
      </c>
      <c r="L335" t="str">
        <f>IF(DONNEES!$E335="","",DONNEES!M335)</f>
        <v/>
      </c>
      <c r="M335" t="str">
        <f>IF(DONNEES!$E335="","",DONNEES!N335)</f>
        <v/>
      </c>
      <c r="N335" t="str">
        <f>IF(DONNEES!$E335="","",DONNEES!O335)</f>
        <v/>
      </c>
      <c r="O335" t="str">
        <f>IF(DONNEES!$E335="","",DONNEES!P335)</f>
        <v/>
      </c>
      <c r="P335" t="str">
        <f>IF(DONNEES!$E335="","",DONNEES!Q335)</f>
        <v/>
      </c>
      <c r="Q335" t="str">
        <f>IF(DONNEES!$E335="","",DONNEES!R335)</f>
        <v/>
      </c>
      <c r="R335" t="str">
        <f>IF(DONNEES!$E335="","",DONNEES!S335)</f>
        <v/>
      </c>
      <c r="S335" t="str">
        <f>IF(DONNEES!$E335="","",DONNEES!T335)</f>
        <v/>
      </c>
      <c r="T335" t="str">
        <f>IF(DONNEES!$E335="","",DONNEES!U335)</f>
        <v/>
      </c>
      <c r="U335" t="str">
        <f>IF(DONNEES!$E335="","",DONNEES!V335)</f>
        <v/>
      </c>
      <c r="V335" t="str">
        <f>IF(DONNEES!$E335="","",DONNEES!W335)</f>
        <v/>
      </c>
      <c r="W335" t="str">
        <f>IF(DONNEES!$E335="","",DONNEES!X335)</f>
        <v/>
      </c>
      <c r="X335" t="str">
        <f>IF(DONNEES!$E335="","",DONNEES!Y335)</f>
        <v/>
      </c>
      <c r="Y335" t="str">
        <f>IF(DONNEES!$E335="","",DONNEES!Z335)</f>
        <v/>
      </c>
      <c r="Z335" t="str">
        <f>IF(DONNEES!$E335="","",DONNEES!AQ335)</f>
        <v/>
      </c>
    </row>
    <row r="336" spans="1:26" ht="15" customHeight="1" x14ac:dyDescent="0.3">
      <c r="A336" t="str">
        <f>IF(DONNEES!$E336="","",DONNEES!A336)</f>
        <v/>
      </c>
      <c r="B336" t="str">
        <f>IF(DONNEES!$E336="","",DONNEES!B336)</f>
        <v/>
      </c>
      <c r="C336" t="str">
        <f>IF(DONNEES!$E336="","",DONNEES!C336)</f>
        <v/>
      </c>
      <c r="D336" t="str">
        <f>IF(DONNEES!$E336="","",DONNEES!E336)</f>
        <v/>
      </c>
      <c r="E336" t="str">
        <f>IF(DONNEES!$E336="","",DONNEES!F336)</f>
        <v/>
      </c>
      <c r="F336" t="str">
        <f>IF(DONNEES!$E336="","",DONNEES!G336)</f>
        <v/>
      </c>
      <c r="G336" t="str">
        <f>IF(DONNEES!$E336="","",DONNEES!H336)</f>
        <v/>
      </c>
      <c r="H336" t="str">
        <f>IF(DONNEES!$E336="","",DONNEES!I336)</f>
        <v/>
      </c>
      <c r="I336" t="str">
        <f>IF(DONNEES!$E336="","",DONNEES!J336)</f>
        <v/>
      </c>
      <c r="J336" t="str">
        <f>IF(DONNEES!$E336="","",DONNEES!K336)</f>
        <v/>
      </c>
      <c r="K336" t="str">
        <f>IF(DONNEES!$E336="","",DONNEES!L336)</f>
        <v/>
      </c>
      <c r="L336" t="str">
        <f>IF(DONNEES!$E336="","",DONNEES!M336)</f>
        <v/>
      </c>
      <c r="M336" t="str">
        <f>IF(DONNEES!$E336="","",DONNEES!N336)</f>
        <v/>
      </c>
      <c r="N336" t="str">
        <f>IF(DONNEES!$E336="","",DONNEES!O336)</f>
        <v/>
      </c>
      <c r="O336" t="str">
        <f>IF(DONNEES!$E336="","",DONNEES!P336)</f>
        <v/>
      </c>
      <c r="P336" t="str">
        <f>IF(DONNEES!$E336="","",DONNEES!Q336)</f>
        <v/>
      </c>
      <c r="Q336" t="str">
        <f>IF(DONNEES!$E336="","",DONNEES!R336)</f>
        <v/>
      </c>
      <c r="R336" t="str">
        <f>IF(DONNEES!$E336="","",DONNEES!S336)</f>
        <v/>
      </c>
      <c r="S336" t="str">
        <f>IF(DONNEES!$E336="","",DONNEES!T336)</f>
        <v/>
      </c>
      <c r="T336" t="str">
        <f>IF(DONNEES!$E336="","",DONNEES!U336)</f>
        <v/>
      </c>
      <c r="U336" t="str">
        <f>IF(DONNEES!$E336="","",DONNEES!V336)</f>
        <v/>
      </c>
      <c r="V336" t="str">
        <f>IF(DONNEES!$E336="","",DONNEES!W336)</f>
        <v/>
      </c>
      <c r="W336" t="str">
        <f>IF(DONNEES!$E336="","",DONNEES!X336)</f>
        <v/>
      </c>
      <c r="X336" t="str">
        <f>IF(DONNEES!$E336="","",DONNEES!Y336)</f>
        <v/>
      </c>
      <c r="Y336" t="str">
        <f>IF(DONNEES!$E336="","",DONNEES!Z336)</f>
        <v/>
      </c>
      <c r="Z336" t="str">
        <f>IF(DONNEES!$E336="","",DONNEES!AQ336)</f>
        <v/>
      </c>
    </row>
    <row r="337" spans="1:26" ht="15" customHeight="1" x14ac:dyDescent="0.3">
      <c r="A337" t="str">
        <f>IF(DONNEES!$E337="","",DONNEES!A337)</f>
        <v/>
      </c>
      <c r="B337" t="str">
        <f>IF(DONNEES!$E337="","",DONNEES!B337)</f>
        <v/>
      </c>
      <c r="C337" t="str">
        <f>IF(DONNEES!$E337="","",DONNEES!C337)</f>
        <v/>
      </c>
      <c r="D337" t="str">
        <f>IF(DONNEES!$E337="","",DONNEES!E337)</f>
        <v/>
      </c>
      <c r="E337" t="str">
        <f>IF(DONNEES!$E337="","",DONNEES!F337)</f>
        <v/>
      </c>
      <c r="F337" t="str">
        <f>IF(DONNEES!$E337="","",DONNEES!G337)</f>
        <v/>
      </c>
      <c r="G337" t="str">
        <f>IF(DONNEES!$E337="","",DONNEES!H337)</f>
        <v/>
      </c>
      <c r="H337" t="str">
        <f>IF(DONNEES!$E337="","",DONNEES!I337)</f>
        <v/>
      </c>
      <c r="I337" t="str">
        <f>IF(DONNEES!$E337="","",DONNEES!J337)</f>
        <v/>
      </c>
      <c r="J337" t="str">
        <f>IF(DONNEES!$E337="","",DONNEES!K337)</f>
        <v/>
      </c>
      <c r="K337" t="str">
        <f>IF(DONNEES!$E337="","",DONNEES!L337)</f>
        <v/>
      </c>
      <c r="L337" t="str">
        <f>IF(DONNEES!$E337="","",DONNEES!M337)</f>
        <v/>
      </c>
      <c r="M337" t="str">
        <f>IF(DONNEES!$E337="","",DONNEES!N337)</f>
        <v/>
      </c>
      <c r="N337" t="str">
        <f>IF(DONNEES!$E337="","",DONNEES!O337)</f>
        <v/>
      </c>
      <c r="O337" t="str">
        <f>IF(DONNEES!$E337="","",DONNEES!P337)</f>
        <v/>
      </c>
      <c r="P337" t="str">
        <f>IF(DONNEES!$E337="","",DONNEES!Q337)</f>
        <v/>
      </c>
      <c r="Q337" t="str">
        <f>IF(DONNEES!$E337="","",DONNEES!R337)</f>
        <v/>
      </c>
      <c r="R337" t="str">
        <f>IF(DONNEES!$E337="","",DONNEES!S337)</f>
        <v/>
      </c>
      <c r="S337" t="str">
        <f>IF(DONNEES!$E337="","",DONNEES!T337)</f>
        <v/>
      </c>
      <c r="T337" t="str">
        <f>IF(DONNEES!$E337="","",DONNEES!U337)</f>
        <v/>
      </c>
      <c r="U337" t="str">
        <f>IF(DONNEES!$E337="","",DONNEES!V337)</f>
        <v/>
      </c>
      <c r="V337" t="str">
        <f>IF(DONNEES!$E337="","",DONNEES!W337)</f>
        <v/>
      </c>
      <c r="W337" t="str">
        <f>IF(DONNEES!$E337="","",DONNEES!X337)</f>
        <v/>
      </c>
      <c r="X337" t="str">
        <f>IF(DONNEES!$E337="","",DONNEES!Y337)</f>
        <v/>
      </c>
      <c r="Y337" t="str">
        <f>IF(DONNEES!$E337="","",DONNEES!Z337)</f>
        <v/>
      </c>
      <c r="Z337" t="str">
        <f>IF(DONNEES!$E337="","",DONNEES!AQ337)</f>
        <v/>
      </c>
    </row>
    <row r="338" spans="1:26" ht="15" customHeight="1" x14ac:dyDescent="0.3">
      <c r="A338" t="str">
        <f>IF(DONNEES!$E338="","",DONNEES!A338)</f>
        <v/>
      </c>
      <c r="B338" t="str">
        <f>IF(DONNEES!$E338="","",DONNEES!B338)</f>
        <v/>
      </c>
      <c r="C338" t="str">
        <f>IF(DONNEES!$E338="","",DONNEES!C338)</f>
        <v/>
      </c>
      <c r="D338" t="str">
        <f>IF(DONNEES!$E338="","",DONNEES!E338)</f>
        <v/>
      </c>
      <c r="E338" t="str">
        <f>IF(DONNEES!$E338="","",DONNEES!F338)</f>
        <v/>
      </c>
      <c r="F338" t="str">
        <f>IF(DONNEES!$E338="","",DONNEES!G338)</f>
        <v/>
      </c>
      <c r="G338" t="str">
        <f>IF(DONNEES!$E338="","",DONNEES!H338)</f>
        <v/>
      </c>
      <c r="H338" t="str">
        <f>IF(DONNEES!$E338="","",DONNEES!I338)</f>
        <v/>
      </c>
      <c r="I338" t="str">
        <f>IF(DONNEES!$E338="","",DONNEES!J338)</f>
        <v/>
      </c>
      <c r="J338" t="str">
        <f>IF(DONNEES!$E338="","",DONNEES!K338)</f>
        <v/>
      </c>
      <c r="K338" t="str">
        <f>IF(DONNEES!$E338="","",DONNEES!L338)</f>
        <v/>
      </c>
      <c r="L338" t="str">
        <f>IF(DONNEES!$E338="","",DONNEES!M338)</f>
        <v/>
      </c>
      <c r="M338" t="str">
        <f>IF(DONNEES!$E338="","",DONNEES!N338)</f>
        <v/>
      </c>
      <c r="N338" t="str">
        <f>IF(DONNEES!$E338="","",DONNEES!O338)</f>
        <v/>
      </c>
      <c r="O338" t="str">
        <f>IF(DONNEES!$E338="","",DONNEES!P338)</f>
        <v/>
      </c>
      <c r="P338" t="str">
        <f>IF(DONNEES!$E338="","",DONNEES!Q338)</f>
        <v/>
      </c>
      <c r="Q338" t="str">
        <f>IF(DONNEES!$E338="","",DONNEES!R338)</f>
        <v/>
      </c>
      <c r="R338" t="str">
        <f>IF(DONNEES!$E338="","",DONNEES!S338)</f>
        <v/>
      </c>
      <c r="S338" t="str">
        <f>IF(DONNEES!$E338="","",DONNEES!T338)</f>
        <v/>
      </c>
      <c r="T338" t="str">
        <f>IF(DONNEES!$E338="","",DONNEES!U338)</f>
        <v/>
      </c>
      <c r="U338" t="str">
        <f>IF(DONNEES!$E338="","",DONNEES!V338)</f>
        <v/>
      </c>
      <c r="V338" t="str">
        <f>IF(DONNEES!$E338="","",DONNEES!W338)</f>
        <v/>
      </c>
      <c r="W338" t="str">
        <f>IF(DONNEES!$E338="","",DONNEES!X338)</f>
        <v/>
      </c>
      <c r="X338" t="str">
        <f>IF(DONNEES!$E338="","",DONNEES!Y338)</f>
        <v/>
      </c>
      <c r="Y338" t="str">
        <f>IF(DONNEES!$E338="","",DONNEES!Z338)</f>
        <v/>
      </c>
      <c r="Z338" t="str">
        <f>IF(DONNEES!$E338="","",DONNEES!AQ338)</f>
        <v/>
      </c>
    </row>
    <row r="339" spans="1:26" ht="15" customHeight="1" x14ac:dyDescent="0.3">
      <c r="A339" t="str">
        <f>IF(DONNEES!$E339="","",DONNEES!A339)</f>
        <v/>
      </c>
      <c r="B339" t="str">
        <f>IF(DONNEES!$E339="","",DONNEES!B339)</f>
        <v/>
      </c>
      <c r="C339" t="str">
        <f>IF(DONNEES!$E339="","",DONNEES!C339)</f>
        <v/>
      </c>
      <c r="D339" t="str">
        <f>IF(DONNEES!$E339="","",DONNEES!E339)</f>
        <v/>
      </c>
      <c r="E339" t="str">
        <f>IF(DONNEES!$E339="","",DONNEES!F339)</f>
        <v/>
      </c>
      <c r="F339" t="str">
        <f>IF(DONNEES!$E339="","",DONNEES!G339)</f>
        <v/>
      </c>
      <c r="G339" t="str">
        <f>IF(DONNEES!$E339="","",DONNEES!H339)</f>
        <v/>
      </c>
      <c r="H339" t="str">
        <f>IF(DONNEES!$E339="","",DONNEES!I339)</f>
        <v/>
      </c>
      <c r="I339" t="str">
        <f>IF(DONNEES!$E339="","",DONNEES!J339)</f>
        <v/>
      </c>
      <c r="J339" t="str">
        <f>IF(DONNEES!$E339="","",DONNEES!K339)</f>
        <v/>
      </c>
      <c r="K339" t="str">
        <f>IF(DONNEES!$E339="","",DONNEES!L339)</f>
        <v/>
      </c>
      <c r="L339" t="str">
        <f>IF(DONNEES!$E339="","",DONNEES!M339)</f>
        <v/>
      </c>
      <c r="M339" t="str">
        <f>IF(DONNEES!$E339="","",DONNEES!N339)</f>
        <v/>
      </c>
      <c r="N339" t="str">
        <f>IF(DONNEES!$E339="","",DONNEES!O339)</f>
        <v/>
      </c>
      <c r="O339" t="str">
        <f>IF(DONNEES!$E339="","",DONNEES!P339)</f>
        <v/>
      </c>
      <c r="P339" t="str">
        <f>IF(DONNEES!$E339="","",DONNEES!Q339)</f>
        <v/>
      </c>
      <c r="Q339" t="str">
        <f>IF(DONNEES!$E339="","",DONNEES!R339)</f>
        <v/>
      </c>
      <c r="R339" t="str">
        <f>IF(DONNEES!$E339="","",DONNEES!S339)</f>
        <v/>
      </c>
      <c r="S339" t="str">
        <f>IF(DONNEES!$E339="","",DONNEES!T339)</f>
        <v/>
      </c>
      <c r="T339" t="str">
        <f>IF(DONNEES!$E339="","",DONNEES!U339)</f>
        <v/>
      </c>
      <c r="U339" t="str">
        <f>IF(DONNEES!$E339="","",DONNEES!V339)</f>
        <v/>
      </c>
      <c r="V339" t="str">
        <f>IF(DONNEES!$E339="","",DONNEES!W339)</f>
        <v/>
      </c>
      <c r="W339" t="str">
        <f>IF(DONNEES!$E339="","",DONNEES!X339)</f>
        <v/>
      </c>
      <c r="X339" t="str">
        <f>IF(DONNEES!$E339="","",DONNEES!Y339)</f>
        <v/>
      </c>
      <c r="Y339" t="str">
        <f>IF(DONNEES!$E339="","",DONNEES!Z339)</f>
        <v/>
      </c>
      <c r="Z339" t="str">
        <f>IF(DONNEES!$E339="","",DONNEES!AQ339)</f>
        <v/>
      </c>
    </row>
    <row r="340" spans="1:26" ht="15" customHeight="1" x14ac:dyDescent="0.3">
      <c r="A340" t="str">
        <f>IF(DONNEES!$E340="","",DONNEES!A340)</f>
        <v/>
      </c>
      <c r="B340" t="str">
        <f>IF(DONNEES!$E340="","",DONNEES!B340)</f>
        <v/>
      </c>
      <c r="C340" t="str">
        <f>IF(DONNEES!$E340="","",DONNEES!C340)</f>
        <v/>
      </c>
      <c r="D340" t="str">
        <f>IF(DONNEES!$E340="","",DONNEES!E340)</f>
        <v/>
      </c>
      <c r="E340" t="str">
        <f>IF(DONNEES!$E340="","",DONNEES!F340)</f>
        <v/>
      </c>
      <c r="F340" t="str">
        <f>IF(DONNEES!$E340="","",DONNEES!G340)</f>
        <v/>
      </c>
      <c r="G340" t="str">
        <f>IF(DONNEES!$E340="","",DONNEES!H340)</f>
        <v/>
      </c>
      <c r="H340" t="str">
        <f>IF(DONNEES!$E340="","",DONNEES!I340)</f>
        <v/>
      </c>
      <c r="I340" t="str">
        <f>IF(DONNEES!$E340="","",DONNEES!J340)</f>
        <v/>
      </c>
      <c r="J340" t="str">
        <f>IF(DONNEES!$E340="","",DONNEES!K340)</f>
        <v/>
      </c>
      <c r="K340" t="str">
        <f>IF(DONNEES!$E340="","",DONNEES!L340)</f>
        <v/>
      </c>
      <c r="L340" t="str">
        <f>IF(DONNEES!$E340="","",DONNEES!M340)</f>
        <v/>
      </c>
      <c r="M340" t="str">
        <f>IF(DONNEES!$E340="","",DONNEES!N340)</f>
        <v/>
      </c>
      <c r="N340" t="str">
        <f>IF(DONNEES!$E340="","",DONNEES!O340)</f>
        <v/>
      </c>
      <c r="O340" t="str">
        <f>IF(DONNEES!$E340="","",DONNEES!P340)</f>
        <v/>
      </c>
      <c r="P340" t="str">
        <f>IF(DONNEES!$E340="","",DONNEES!Q340)</f>
        <v/>
      </c>
      <c r="Q340" t="str">
        <f>IF(DONNEES!$E340="","",DONNEES!R340)</f>
        <v/>
      </c>
      <c r="R340" t="str">
        <f>IF(DONNEES!$E340="","",DONNEES!S340)</f>
        <v/>
      </c>
      <c r="S340" t="str">
        <f>IF(DONNEES!$E340="","",DONNEES!T340)</f>
        <v/>
      </c>
      <c r="T340" t="str">
        <f>IF(DONNEES!$E340="","",DONNEES!U340)</f>
        <v/>
      </c>
      <c r="U340" t="str">
        <f>IF(DONNEES!$E340="","",DONNEES!V340)</f>
        <v/>
      </c>
      <c r="V340" t="str">
        <f>IF(DONNEES!$E340="","",DONNEES!W340)</f>
        <v/>
      </c>
      <c r="W340" t="str">
        <f>IF(DONNEES!$E340="","",DONNEES!X340)</f>
        <v/>
      </c>
      <c r="X340" t="str">
        <f>IF(DONNEES!$E340="","",DONNEES!Y340)</f>
        <v/>
      </c>
      <c r="Y340" t="str">
        <f>IF(DONNEES!$E340="","",DONNEES!Z340)</f>
        <v/>
      </c>
      <c r="Z340" t="str">
        <f>IF(DONNEES!$E340="","",DONNEES!AQ340)</f>
        <v/>
      </c>
    </row>
    <row r="341" spans="1:26" ht="15" customHeight="1" x14ac:dyDescent="0.3">
      <c r="A341" t="str">
        <f>IF(DONNEES!$E341="","",DONNEES!A341)</f>
        <v/>
      </c>
      <c r="B341" t="str">
        <f>IF(DONNEES!$E341="","",DONNEES!B341)</f>
        <v/>
      </c>
      <c r="C341" t="str">
        <f>IF(DONNEES!$E341="","",DONNEES!C341)</f>
        <v/>
      </c>
      <c r="D341" t="str">
        <f>IF(DONNEES!$E341="","",DONNEES!E341)</f>
        <v/>
      </c>
      <c r="E341" t="str">
        <f>IF(DONNEES!$E341="","",DONNEES!F341)</f>
        <v/>
      </c>
      <c r="F341" t="str">
        <f>IF(DONNEES!$E341="","",DONNEES!G341)</f>
        <v/>
      </c>
      <c r="G341" t="str">
        <f>IF(DONNEES!$E341="","",DONNEES!H341)</f>
        <v/>
      </c>
      <c r="H341" t="str">
        <f>IF(DONNEES!$E341="","",DONNEES!I341)</f>
        <v/>
      </c>
      <c r="I341" t="str">
        <f>IF(DONNEES!$E341="","",DONNEES!J341)</f>
        <v/>
      </c>
      <c r="J341" t="str">
        <f>IF(DONNEES!$E341="","",DONNEES!K341)</f>
        <v/>
      </c>
      <c r="K341" t="str">
        <f>IF(DONNEES!$E341="","",DONNEES!L341)</f>
        <v/>
      </c>
      <c r="L341" t="str">
        <f>IF(DONNEES!$E341="","",DONNEES!M341)</f>
        <v/>
      </c>
      <c r="M341" t="str">
        <f>IF(DONNEES!$E341="","",DONNEES!N341)</f>
        <v/>
      </c>
      <c r="N341" t="str">
        <f>IF(DONNEES!$E341="","",DONNEES!O341)</f>
        <v/>
      </c>
      <c r="O341" t="str">
        <f>IF(DONNEES!$E341="","",DONNEES!P341)</f>
        <v/>
      </c>
      <c r="P341" t="str">
        <f>IF(DONNEES!$E341="","",DONNEES!Q341)</f>
        <v/>
      </c>
      <c r="Q341" t="str">
        <f>IF(DONNEES!$E341="","",DONNEES!R341)</f>
        <v/>
      </c>
      <c r="R341" t="str">
        <f>IF(DONNEES!$E341="","",DONNEES!S341)</f>
        <v/>
      </c>
      <c r="S341" t="str">
        <f>IF(DONNEES!$E341="","",DONNEES!T341)</f>
        <v/>
      </c>
      <c r="T341" t="str">
        <f>IF(DONNEES!$E341="","",DONNEES!U341)</f>
        <v/>
      </c>
      <c r="U341" t="str">
        <f>IF(DONNEES!$E341="","",DONNEES!V341)</f>
        <v/>
      </c>
      <c r="V341" t="str">
        <f>IF(DONNEES!$E341="","",DONNEES!W341)</f>
        <v/>
      </c>
      <c r="W341" t="str">
        <f>IF(DONNEES!$E341="","",DONNEES!X341)</f>
        <v/>
      </c>
      <c r="X341" t="str">
        <f>IF(DONNEES!$E341="","",DONNEES!Y341)</f>
        <v/>
      </c>
      <c r="Y341" t="str">
        <f>IF(DONNEES!$E341="","",DONNEES!Z341)</f>
        <v/>
      </c>
      <c r="Z341" t="str">
        <f>IF(DONNEES!$E341="","",DONNEES!AQ341)</f>
        <v/>
      </c>
    </row>
    <row r="342" spans="1:26" ht="15" customHeight="1" x14ac:dyDescent="0.3">
      <c r="A342" t="str">
        <f>IF(DONNEES!$E342="","",DONNEES!A342)</f>
        <v/>
      </c>
      <c r="B342" t="str">
        <f>IF(DONNEES!$E342="","",DONNEES!B342)</f>
        <v/>
      </c>
      <c r="C342" t="str">
        <f>IF(DONNEES!$E342="","",DONNEES!C342)</f>
        <v/>
      </c>
      <c r="D342" t="str">
        <f>IF(DONNEES!$E342="","",DONNEES!E342)</f>
        <v/>
      </c>
      <c r="E342" t="str">
        <f>IF(DONNEES!$E342="","",DONNEES!F342)</f>
        <v/>
      </c>
      <c r="F342" t="str">
        <f>IF(DONNEES!$E342="","",DONNEES!G342)</f>
        <v/>
      </c>
      <c r="G342" t="str">
        <f>IF(DONNEES!$E342="","",DONNEES!H342)</f>
        <v/>
      </c>
      <c r="H342" t="str">
        <f>IF(DONNEES!$E342="","",DONNEES!I342)</f>
        <v/>
      </c>
      <c r="I342" t="str">
        <f>IF(DONNEES!$E342="","",DONNEES!J342)</f>
        <v/>
      </c>
      <c r="J342" t="str">
        <f>IF(DONNEES!$E342="","",DONNEES!K342)</f>
        <v/>
      </c>
      <c r="K342" t="str">
        <f>IF(DONNEES!$E342="","",DONNEES!L342)</f>
        <v/>
      </c>
      <c r="L342" t="str">
        <f>IF(DONNEES!$E342="","",DONNEES!M342)</f>
        <v/>
      </c>
      <c r="M342" t="str">
        <f>IF(DONNEES!$E342="","",DONNEES!N342)</f>
        <v/>
      </c>
      <c r="N342" t="str">
        <f>IF(DONNEES!$E342="","",DONNEES!O342)</f>
        <v/>
      </c>
      <c r="O342" t="str">
        <f>IF(DONNEES!$E342="","",DONNEES!P342)</f>
        <v/>
      </c>
      <c r="P342" t="str">
        <f>IF(DONNEES!$E342="","",DONNEES!Q342)</f>
        <v/>
      </c>
      <c r="Q342" t="str">
        <f>IF(DONNEES!$E342="","",DONNEES!R342)</f>
        <v/>
      </c>
      <c r="R342" t="str">
        <f>IF(DONNEES!$E342="","",DONNEES!S342)</f>
        <v/>
      </c>
      <c r="S342" t="str">
        <f>IF(DONNEES!$E342="","",DONNEES!T342)</f>
        <v/>
      </c>
      <c r="T342" t="str">
        <f>IF(DONNEES!$E342="","",DONNEES!U342)</f>
        <v/>
      </c>
      <c r="U342" t="str">
        <f>IF(DONNEES!$E342="","",DONNEES!V342)</f>
        <v/>
      </c>
      <c r="V342" t="str">
        <f>IF(DONNEES!$E342="","",DONNEES!W342)</f>
        <v/>
      </c>
      <c r="W342" t="str">
        <f>IF(DONNEES!$E342="","",DONNEES!X342)</f>
        <v/>
      </c>
      <c r="X342" t="str">
        <f>IF(DONNEES!$E342="","",DONNEES!Y342)</f>
        <v/>
      </c>
      <c r="Y342" t="str">
        <f>IF(DONNEES!$E342="","",DONNEES!Z342)</f>
        <v/>
      </c>
      <c r="Z342" t="str">
        <f>IF(DONNEES!$E342="","",DONNEES!AQ342)</f>
        <v/>
      </c>
    </row>
    <row r="343" spans="1:26" ht="15" customHeight="1" x14ac:dyDescent="0.3">
      <c r="A343" t="str">
        <f>IF(DONNEES!$E343="","",DONNEES!A343)</f>
        <v/>
      </c>
      <c r="B343" t="str">
        <f>IF(DONNEES!$E343="","",DONNEES!B343)</f>
        <v/>
      </c>
      <c r="C343" t="str">
        <f>IF(DONNEES!$E343="","",DONNEES!C343)</f>
        <v/>
      </c>
      <c r="D343" t="str">
        <f>IF(DONNEES!$E343="","",DONNEES!E343)</f>
        <v/>
      </c>
      <c r="E343" t="str">
        <f>IF(DONNEES!$E343="","",DONNEES!F343)</f>
        <v/>
      </c>
      <c r="F343" t="str">
        <f>IF(DONNEES!$E343="","",DONNEES!G343)</f>
        <v/>
      </c>
      <c r="G343" t="str">
        <f>IF(DONNEES!$E343="","",DONNEES!H343)</f>
        <v/>
      </c>
      <c r="H343" t="str">
        <f>IF(DONNEES!$E343="","",DONNEES!I343)</f>
        <v/>
      </c>
      <c r="I343" t="str">
        <f>IF(DONNEES!$E343="","",DONNEES!J343)</f>
        <v/>
      </c>
      <c r="J343" t="str">
        <f>IF(DONNEES!$E343="","",DONNEES!K343)</f>
        <v/>
      </c>
      <c r="K343" t="str">
        <f>IF(DONNEES!$E343="","",DONNEES!L343)</f>
        <v/>
      </c>
      <c r="L343" t="str">
        <f>IF(DONNEES!$E343="","",DONNEES!M343)</f>
        <v/>
      </c>
      <c r="M343" t="str">
        <f>IF(DONNEES!$E343="","",DONNEES!N343)</f>
        <v/>
      </c>
      <c r="N343" t="str">
        <f>IF(DONNEES!$E343="","",DONNEES!O343)</f>
        <v/>
      </c>
      <c r="O343" t="str">
        <f>IF(DONNEES!$E343="","",DONNEES!P343)</f>
        <v/>
      </c>
      <c r="P343" t="str">
        <f>IF(DONNEES!$E343="","",DONNEES!Q343)</f>
        <v/>
      </c>
      <c r="Q343" t="str">
        <f>IF(DONNEES!$E343="","",DONNEES!R343)</f>
        <v/>
      </c>
      <c r="R343" t="str">
        <f>IF(DONNEES!$E343="","",DONNEES!S343)</f>
        <v/>
      </c>
      <c r="S343" t="str">
        <f>IF(DONNEES!$E343="","",DONNEES!T343)</f>
        <v/>
      </c>
      <c r="T343" t="str">
        <f>IF(DONNEES!$E343="","",DONNEES!U343)</f>
        <v/>
      </c>
      <c r="U343" t="str">
        <f>IF(DONNEES!$E343="","",DONNEES!V343)</f>
        <v/>
      </c>
      <c r="V343" t="str">
        <f>IF(DONNEES!$E343="","",DONNEES!W343)</f>
        <v/>
      </c>
      <c r="W343" t="str">
        <f>IF(DONNEES!$E343="","",DONNEES!X343)</f>
        <v/>
      </c>
      <c r="X343" t="str">
        <f>IF(DONNEES!$E343="","",DONNEES!Y343)</f>
        <v/>
      </c>
      <c r="Y343" t="str">
        <f>IF(DONNEES!$E343="","",DONNEES!Z343)</f>
        <v/>
      </c>
      <c r="Z343" t="str">
        <f>IF(DONNEES!$E343="","",DONNEES!AQ343)</f>
        <v/>
      </c>
    </row>
    <row r="344" spans="1:26" ht="15" customHeight="1" x14ac:dyDescent="0.3">
      <c r="A344" t="str">
        <f>IF(DONNEES!$E344="","",DONNEES!A344)</f>
        <v/>
      </c>
      <c r="B344" t="str">
        <f>IF(DONNEES!$E344="","",DONNEES!B344)</f>
        <v/>
      </c>
      <c r="C344" t="str">
        <f>IF(DONNEES!$E344="","",DONNEES!C344)</f>
        <v/>
      </c>
      <c r="D344" t="str">
        <f>IF(DONNEES!$E344="","",DONNEES!E344)</f>
        <v/>
      </c>
      <c r="E344" t="str">
        <f>IF(DONNEES!$E344="","",DONNEES!F344)</f>
        <v/>
      </c>
      <c r="F344" t="str">
        <f>IF(DONNEES!$E344="","",DONNEES!G344)</f>
        <v/>
      </c>
      <c r="G344" t="str">
        <f>IF(DONNEES!$E344="","",DONNEES!H344)</f>
        <v/>
      </c>
      <c r="H344" t="str">
        <f>IF(DONNEES!$E344="","",DONNEES!I344)</f>
        <v/>
      </c>
      <c r="I344" t="str">
        <f>IF(DONNEES!$E344="","",DONNEES!J344)</f>
        <v/>
      </c>
      <c r="J344" t="str">
        <f>IF(DONNEES!$E344="","",DONNEES!K344)</f>
        <v/>
      </c>
      <c r="K344" t="str">
        <f>IF(DONNEES!$E344="","",DONNEES!L344)</f>
        <v/>
      </c>
      <c r="L344" t="str">
        <f>IF(DONNEES!$E344="","",DONNEES!M344)</f>
        <v/>
      </c>
      <c r="M344" t="str">
        <f>IF(DONNEES!$E344="","",DONNEES!N344)</f>
        <v/>
      </c>
      <c r="N344" t="str">
        <f>IF(DONNEES!$E344="","",DONNEES!O344)</f>
        <v/>
      </c>
      <c r="O344" t="str">
        <f>IF(DONNEES!$E344="","",DONNEES!P344)</f>
        <v/>
      </c>
      <c r="P344" t="str">
        <f>IF(DONNEES!$E344="","",DONNEES!Q344)</f>
        <v/>
      </c>
      <c r="Q344" t="str">
        <f>IF(DONNEES!$E344="","",DONNEES!R344)</f>
        <v/>
      </c>
      <c r="R344" t="str">
        <f>IF(DONNEES!$E344="","",DONNEES!S344)</f>
        <v/>
      </c>
      <c r="S344" t="str">
        <f>IF(DONNEES!$E344="","",DONNEES!T344)</f>
        <v/>
      </c>
      <c r="T344" t="str">
        <f>IF(DONNEES!$E344="","",DONNEES!U344)</f>
        <v/>
      </c>
      <c r="U344" t="str">
        <f>IF(DONNEES!$E344="","",DONNEES!V344)</f>
        <v/>
      </c>
      <c r="V344" t="str">
        <f>IF(DONNEES!$E344="","",DONNEES!W344)</f>
        <v/>
      </c>
      <c r="W344" t="str">
        <f>IF(DONNEES!$E344="","",DONNEES!X344)</f>
        <v/>
      </c>
      <c r="X344" t="str">
        <f>IF(DONNEES!$E344="","",DONNEES!Y344)</f>
        <v/>
      </c>
      <c r="Y344" t="str">
        <f>IF(DONNEES!$E344="","",DONNEES!Z344)</f>
        <v/>
      </c>
      <c r="Z344" t="str">
        <f>IF(DONNEES!$E344="","",DONNEES!AQ344)</f>
        <v/>
      </c>
    </row>
    <row r="345" spans="1:26" ht="15" customHeight="1" x14ac:dyDescent="0.3">
      <c r="A345" t="str">
        <f>IF(DONNEES!$E345="","",DONNEES!A345)</f>
        <v/>
      </c>
      <c r="B345" t="str">
        <f>IF(DONNEES!$E345="","",DONNEES!B345)</f>
        <v/>
      </c>
      <c r="C345" t="str">
        <f>IF(DONNEES!$E345="","",DONNEES!C345)</f>
        <v/>
      </c>
      <c r="D345" t="str">
        <f>IF(DONNEES!$E345="","",DONNEES!E345)</f>
        <v/>
      </c>
      <c r="E345" t="str">
        <f>IF(DONNEES!$E345="","",DONNEES!F345)</f>
        <v/>
      </c>
      <c r="F345" t="str">
        <f>IF(DONNEES!$E345="","",DONNEES!G345)</f>
        <v/>
      </c>
      <c r="G345" t="str">
        <f>IF(DONNEES!$E345="","",DONNEES!H345)</f>
        <v/>
      </c>
      <c r="H345" t="str">
        <f>IF(DONNEES!$E345="","",DONNEES!I345)</f>
        <v/>
      </c>
      <c r="I345" t="str">
        <f>IF(DONNEES!$E345="","",DONNEES!J345)</f>
        <v/>
      </c>
      <c r="J345" t="str">
        <f>IF(DONNEES!$E345="","",DONNEES!K345)</f>
        <v/>
      </c>
      <c r="K345" t="str">
        <f>IF(DONNEES!$E345="","",DONNEES!L345)</f>
        <v/>
      </c>
      <c r="L345" t="str">
        <f>IF(DONNEES!$E345="","",DONNEES!M345)</f>
        <v/>
      </c>
      <c r="M345" t="str">
        <f>IF(DONNEES!$E345="","",DONNEES!N345)</f>
        <v/>
      </c>
      <c r="N345" t="str">
        <f>IF(DONNEES!$E345="","",DONNEES!O345)</f>
        <v/>
      </c>
      <c r="O345" t="str">
        <f>IF(DONNEES!$E345="","",DONNEES!P345)</f>
        <v/>
      </c>
      <c r="P345" t="str">
        <f>IF(DONNEES!$E345="","",DONNEES!Q345)</f>
        <v/>
      </c>
      <c r="Q345" t="str">
        <f>IF(DONNEES!$E345="","",DONNEES!R345)</f>
        <v/>
      </c>
      <c r="R345" t="str">
        <f>IF(DONNEES!$E345="","",DONNEES!S345)</f>
        <v/>
      </c>
      <c r="S345" t="str">
        <f>IF(DONNEES!$E345="","",DONNEES!T345)</f>
        <v/>
      </c>
      <c r="T345" t="str">
        <f>IF(DONNEES!$E345="","",DONNEES!U345)</f>
        <v/>
      </c>
      <c r="U345" t="str">
        <f>IF(DONNEES!$E345="","",DONNEES!V345)</f>
        <v/>
      </c>
      <c r="V345" t="str">
        <f>IF(DONNEES!$E345="","",DONNEES!W345)</f>
        <v/>
      </c>
      <c r="W345" t="str">
        <f>IF(DONNEES!$E345="","",DONNEES!X345)</f>
        <v/>
      </c>
      <c r="X345" t="str">
        <f>IF(DONNEES!$E345="","",DONNEES!Y345)</f>
        <v/>
      </c>
      <c r="Y345" t="str">
        <f>IF(DONNEES!$E345="","",DONNEES!Z345)</f>
        <v/>
      </c>
      <c r="Z345" t="str">
        <f>IF(DONNEES!$E345="","",DONNEES!AQ345)</f>
        <v/>
      </c>
    </row>
    <row r="346" spans="1:26" ht="15" customHeight="1" x14ac:dyDescent="0.3">
      <c r="A346" t="str">
        <f>IF(DONNEES!$E346="","",DONNEES!A346)</f>
        <v/>
      </c>
      <c r="B346" t="str">
        <f>IF(DONNEES!$E346="","",DONNEES!B346)</f>
        <v/>
      </c>
      <c r="C346" t="str">
        <f>IF(DONNEES!$E346="","",DONNEES!C346)</f>
        <v/>
      </c>
      <c r="D346" t="str">
        <f>IF(DONNEES!$E346="","",DONNEES!E346)</f>
        <v/>
      </c>
      <c r="E346" t="str">
        <f>IF(DONNEES!$E346="","",DONNEES!F346)</f>
        <v/>
      </c>
      <c r="F346" t="str">
        <f>IF(DONNEES!$E346="","",DONNEES!G346)</f>
        <v/>
      </c>
      <c r="G346" t="str">
        <f>IF(DONNEES!$E346="","",DONNEES!H346)</f>
        <v/>
      </c>
      <c r="H346" t="str">
        <f>IF(DONNEES!$E346="","",DONNEES!I346)</f>
        <v/>
      </c>
      <c r="I346" t="str">
        <f>IF(DONNEES!$E346="","",DONNEES!J346)</f>
        <v/>
      </c>
      <c r="J346" t="str">
        <f>IF(DONNEES!$E346="","",DONNEES!K346)</f>
        <v/>
      </c>
      <c r="K346" t="str">
        <f>IF(DONNEES!$E346="","",DONNEES!L346)</f>
        <v/>
      </c>
      <c r="L346" t="str">
        <f>IF(DONNEES!$E346="","",DONNEES!M346)</f>
        <v/>
      </c>
      <c r="M346" t="str">
        <f>IF(DONNEES!$E346="","",DONNEES!N346)</f>
        <v/>
      </c>
      <c r="N346" t="str">
        <f>IF(DONNEES!$E346="","",DONNEES!O346)</f>
        <v/>
      </c>
      <c r="O346" t="str">
        <f>IF(DONNEES!$E346="","",DONNEES!P346)</f>
        <v/>
      </c>
      <c r="P346" t="str">
        <f>IF(DONNEES!$E346="","",DONNEES!Q346)</f>
        <v/>
      </c>
      <c r="Q346" t="str">
        <f>IF(DONNEES!$E346="","",DONNEES!R346)</f>
        <v/>
      </c>
      <c r="R346" t="str">
        <f>IF(DONNEES!$E346="","",DONNEES!S346)</f>
        <v/>
      </c>
      <c r="S346" t="str">
        <f>IF(DONNEES!$E346="","",DONNEES!T346)</f>
        <v/>
      </c>
      <c r="T346" t="str">
        <f>IF(DONNEES!$E346="","",DONNEES!U346)</f>
        <v/>
      </c>
      <c r="U346" t="str">
        <f>IF(DONNEES!$E346="","",DONNEES!V346)</f>
        <v/>
      </c>
      <c r="V346" t="str">
        <f>IF(DONNEES!$E346="","",DONNEES!W346)</f>
        <v/>
      </c>
      <c r="W346" t="str">
        <f>IF(DONNEES!$E346="","",DONNEES!X346)</f>
        <v/>
      </c>
      <c r="X346" t="str">
        <f>IF(DONNEES!$E346="","",DONNEES!Y346)</f>
        <v/>
      </c>
      <c r="Y346" t="str">
        <f>IF(DONNEES!$E346="","",DONNEES!Z346)</f>
        <v/>
      </c>
      <c r="Z346" t="str">
        <f>IF(DONNEES!$E346="","",DONNEES!AQ346)</f>
        <v/>
      </c>
    </row>
    <row r="347" spans="1:26" ht="15" customHeight="1" x14ac:dyDescent="0.3">
      <c r="A347" t="str">
        <f>IF(DONNEES!$E347="","",DONNEES!A347)</f>
        <v/>
      </c>
      <c r="B347" t="str">
        <f>IF(DONNEES!$E347="","",DONNEES!B347)</f>
        <v/>
      </c>
      <c r="C347" t="str">
        <f>IF(DONNEES!$E347="","",DONNEES!C347)</f>
        <v/>
      </c>
      <c r="D347" t="str">
        <f>IF(DONNEES!$E347="","",DONNEES!E347)</f>
        <v/>
      </c>
      <c r="E347" t="str">
        <f>IF(DONNEES!$E347="","",DONNEES!F347)</f>
        <v/>
      </c>
      <c r="F347" t="str">
        <f>IF(DONNEES!$E347="","",DONNEES!G347)</f>
        <v/>
      </c>
      <c r="G347" t="str">
        <f>IF(DONNEES!$E347="","",DONNEES!H347)</f>
        <v/>
      </c>
      <c r="H347" t="str">
        <f>IF(DONNEES!$E347="","",DONNEES!I347)</f>
        <v/>
      </c>
      <c r="I347" t="str">
        <f>IF(DONNEES!$E347="","",DONNEES!J347)</f>
        <v/>
      </c>
      <c r="J347" t="str">
        <f>IF(DONNEES!$E347="","",DONNEES!K347)</f>
        <v/>
      </c>
      <c r="K347" t="str">
        <f>IF(DONNEES!$E347="","",DONNEES!L347)</f>
        <v/>
      </c>
      <c r="L347" t="str">
        <f>IF(DONNEES!$E347="","",DONNEES!M347)</f>
        <v/>
      </c>
      <c r="M347" t="str">
        <f>IF(DONNEES!$E347="","",DONNEES!N347)</f>
        <v/>
      </c>
      <c r="N347" t="str">
        <f>IF(DONNEES!$E347="","",DONNEES!O347)</f>
        <v/>
      </c>
      <c r="O347" t="str">
        <f>IF(DONNEES!$E347="","",DONNEES!P347)</f>
        <v/>
      </c>
      <c r="P347" t="str">
        <f>IF(DONNEES!$E347="","",DONNEES!Q347)</f>
        <v/>
      </c>
      <c r="Q347" t="str">
        <f>IF(DONNEES!$E347="","",DONNEES!R347)</f>
        <v/>
      </c>
      <c r="R347" t="str">
        <f>IF(DONNEES!$E347="","",DONNEES!S347)</f>
        <v/>
      </c>
      <c r="S347" t="str">
        <f>IF(DONNEES!$E347="","",DONNEES!T347)</f>
        <v/>
      </c>
      <c r="T347" t="str">
        <f>IF(DONNEES!$E347="","",DONNEES!U347)</f>
        <v/>
      </c>
      <c r="U347" t="str">
        <f>IF(DONNEES!$E347="","",DONNEES!V347)</f>
        <v/>
      </c>
      <c r="V347" t="str">
        <f>IF(DONNEES!$E347="","",DONNEES!W347)</f>
        <v/>
      </c>
      <c r="W347" t="str">
        <f>IF(DONNEES!$E347="","",DONNEES!X347)</f>
        <v/>
      </c>
      <c r="X347" t="str">
        <f>IF(DONNEES!$E347="","",DONNEES!Y347)</f>
        <v/>
      </c>
      <c r="Y347" t="str">
        <f>IF(DONNEES!$E347="","",DONNEES!Z347)</f>
        <v/>
      </c>
      <c r="Z347" t="str">
        <f>IF(DONNEES!$E347="","",DONNEES!AQ347)</f>
        <v/>
      </c>
    </row>
    <row r="348" spans="1:26" ht="15" customHeight="1" x14ac:dyDescent="0.3">
      <c r="A348" t="str">
        <f>IF(DONNEES!$E348="","",DONNEES!A348)</f>
        <v/>
      </c>
      <c r="B348" t="str">
        <f>IF(DONNEES!$E348="","",DONNEES!B348)</f>
        <v/>
      </c>
      <c r="C348" t="str">
        <f>IF(DONNEES!$E348="","",DONNEES!C348)</f>
        <v/>
      </c>
      <c r="D348" t="str">
        <f>IF(DONNEES!$E348="","",DONNEES!E348)</f>
        <v/>
      </c>
      <c r="E348" t="str">
        <f>IF(DONNEES!$E348="","",DONNEES!F348)</f>
        <v/>
      </c>
      <c r="F348" t="str">
        <f>IF(DONNEES!$E348="","",DONNEES!G348)</f>
        <v/>
      </c>
      <c r="G348" t="str">
        <f>IF(DONNEES!$E348="","",DONNEES!H348)</f>
        <v/>
      </c>
      <c r="H348" t="str">
        <f>IF(DONNEES!$E348="","",DONNEES!I348)</f>
        <v/>
      </c>
      <c r="I348" t="str">
        <f>IF(DONNEES!$E348="","",DONNEES!J348)</f>
        <v/>
      </c>
      <c r="J348" t="str">
        <f>IF(DONNEES!$E348="","",DONNEES!K348)</f>
        <v/>
      </c>
      <c r="K348" t="str">
        <f>IF(DONNEES!$E348="","",DONNEES!L348)</f>
        <v/>
      </c>
      <c r="L348" t="str">
        <f>IF(DONNEES!$E348="","",DONNEES!M348)</f>
        <v/>
      </c>
      <c r="M348" t="str">
        <f>IF(DONNEES!$E348="","",DONNEES!N348)</f>
        <v/>
      </c>
      <c r="N348" t="str">
        <f>IF(DONNEES!$E348="","",DONNEES!O348)</f>
        <v/>
      </c>
      <c r="O348" t="str">
        <f>IF(DONNEES!$E348="","",DONNEES!P348)</f>
        <v/>
      </c>
      <c r="P348" t="str">
        <f>IF(DONNEES!$E348="","",DONNEES!Q348)</f>
        <v/>
      </c>
      <c r="Q348" t="str">
        <f>IF(DONNEES!$E348="","",DONNEES!R348)</f>
        <v/>
      </c>
      <c r="R348" t="str">
        <f>IF(DONNEES!$E348="","",DONNEES!S348)</f>
        <v/>
      </c>
      <c r="S348" t="str">
        <f>IF(DONNEES!$E348="","",DONNEES!T348)</f>
        <v/>
      </c>
      <c r="T348" t="str">
        <f>IF(DONNEES!$E348="","",DONNEES!U348)</f>
        <v/>
      </c>
      <c r="U348" t="str">
        <f>IF(DONNEES!$E348="","",DONNEES!V348)</f>
        <v/>
      </c>
      <c r="V348" t="str">
        <f>IF(DONNEES!$E348="","",DONNEES!W348)</f>
        <v/>
      </c>
      <c r="W348" t="str">
        <f>IF(DONNEES!$E348="","",DONNEES!X348)</f>
        <v/>
      </c>
      <c r="X348" t="str">
        <f>IF(DONNEES!$E348="","",DONNEES!Y348)</f>
        <v/>
      </c>
      <c r="Y348" t="str">
        <f>IF(DONNEES!$E348="","",DONNEES!Z348)</f>
        <v/>
      </c>
      <c r="Z348" t="str">
        <f>IF(DONNEES!$E348="","",DONNEES!AQ348)</f>
        <v/>
      </c>
    </row>
    <row r="349" spans="1:26" ht="15" customHeight="1" x14ac:dyDescent="0.3">
      <c r="A349" t="str">
        <f>IF(DONNEES!$E349="","",DONNEES!A349)</f>
        <v/>
      </c>
      <c r="B349" t="str">
        <f>IF(DONNEES!$E349="","",DONNEES!B349)</f>
        <v/>
      </c>
      <c r="C349" t="str">
        <f>IF(DONNEES!$E349="","",DONNEES!C349)</f>
        <v/>
      </c>
      <c r="D349" t="str">
        <f>IF(DONNEES!$E349="","",DONNEES!E349)</f>
        <v/>
      </c>
      <c r="E349" t="str">
        <f>IF(DONNEES!$E349="","",DONNEES!F349)</f>
        <v/>
      </c>
      <c r="F349" t="str">
        <f>IF(DONNEES!$E349="","",DONNEES!G349)</f>
        <v/>
      </c>
      <c r="G349" t="str">
        <f>IF(DONNEES!$E349="","",DONNEES!H349)</f>
        <v/>
      </c>
      <c r="H349" t="str">
        <f>IF(DONNEES!$E349="","",DONNEES!I349)</f>
        <v/>
      </c>
      <c r="I349" t="str">
        <f>IF(DONNEES!$E349="","",DONNEES!J349)</f>
        <v/>
      </c>
      <c r="J349" t="str">
        <f>IF(DONNEES!$E349="","",DONNEES!K349)</f>
        <v/>
      </c>
      <c r="K349" t="str">
        <f>IF(DONNEES!$E349="","",DONNEES!L349)</f>
        <v/>
      </c>
      <c r="L349" t="str">
        <f>IF(DONNEES!$E349="","",DONNEES!M349)</f>
        <v/>
      </c>
      <c r="M349" t="str">
        <f>IF(DONNEES!$E349="","",DONNEES!N349)</f>
        <v/>
      </c>
      <c r="N349" t="str">
        <f>IF(DONNEES!$E349="","",DONNEES!O349)</f>
        <v/>
      </c>
      <c r="O349" t="str">
        <f>IF(DONNEES!$E349="","",DONNEES!P349)</f>
        <v/>
      </c>
      <c r="P349" t="str">
        <f>IF(DONNEES!$E349="","",DONNEES!Q349)</f>
        <v/>
      </c>
      <c r="Q349" t="str">
        <f>IF(DONNEES!$E349="","",DONNEES!R349)</f>
        <v/>
      </c>
      <c r="R349" t="str">
        <f>IF(DONNEES!$E349="","",DONNEES!S349)</f>
        <v/>
      </c>
      <c r="S349" t="str">
        <f>IF(DONNEES!$E349="","",DONNEES!T349)</f>
        <v/>
      </c>
      <c r="T349" t="str">
        <f>IF(DONNEES!$E349="","",DONNEES!U349)</f>
        <v/>
      </c>
      <c r="U349" t="str">
        <f>IF(DONNEES!$E349="","",DONNEES!V349)</f>
        <v/>
      </c>
      <c r="V349" t="str">
        <f>IF(DONNEES!$E349="","",DONNEES!W349)</f>
        <v/>
      </c>
      <c r="W349" t="str">
        <f>IF(DONNEES!$E349="","",DONNEES!X349)</f>
        <v/>
      </c>
      <c r="X349" t="str">
        <f>IF(DONNEES!$E349="","",DONNEES!Y349)</f>
        <v/>
      </c>
      <c r="Y349" t="str">
        <f>IF(DONNEES!$E349="","",DONNEES!Z349)</f>
        <v/>
      </c>
      <c r="Z349" t="str">
        <f>IF(DONNEES!$E349="","",DONNEES!AQ349)</f>
        <v/>
      </c>
    </row>
    <row r="350" spans="1:26" ht="15" customHeight="1" x14ac:dyDescent="0.3">
      <c r="A350" t="str">
        <f>IF(DONNEES!$E350="","",DONNEES!A350)</f>
        <v/>
      </c>
      <c r="B350" t="str">
        <f>IF(DONNEES!$E350="","",DONNEES!B350)</f>
        <v/>
      </c>
      <c r="C350" t="str">
        <f>IF(DONNEES!$E350="","",DONNEES!C350)</f>
        <v/>
      </c>
      <c r="D350" t="str">
        <f>IF(DONNEES!$E350="","",DONNEES!E350)</f>
        <v/>
      </c>
      <c r="E350" t="str">
        <f>IF(DONNEES!$E350="","",DONNEES!F350)</f>
        <v/>
      </c>
      <c r="F350" t="str">
        <f>IF(DONNEES!$E350="","",DONNEES!G350)</f>
        <v/>
      </c>
      <c r="G350" t="str">
        <f>IF(DONNEES!$E350="","",DONNEES!H350)</f>
        <v/>
      </c>
      <c r="H350" t="str">
        <f>IF(DONNEES!$E350="","",DONNEES!I350)</f>
        <v/>
      </c>
      <c r="I350" t="str">
        <f>IF(DONNEES!$E350="","",DONNEES!J350)</f>
        <v/>
      </c>
      <c r="J350" t="str">
        <f>IF(DONNEES!$E350="","",DONNEES!K350)</f>
        <v/>
      </c>
      <c r="K350" t="str">
        <f>IF(DONNEES!$E350="","",DONNEES!L350)</f>
        <v/>
      </c>
      <c r="L350" t="str">
        <f>IF(DONNEES!$E350="","",DONNEES!M350)</f>
        <v/>
      </c>
      <c r="M350" t="str">
        <f>IF(DONNEES!$E350="","",DONNEES!N350)</f>
        <v/>
      </c>
      <c r="N350" t="str">
        <f>IF(DONNEES!$E350="","",DONNEES!O350)</f>
        <v/>
      </c>
      <c r="O350" t="str">
        <f>IF(DONNEES!$E350="","",DONNEES!P350)</f>
        <v/>
      </c>
      <c r="P350" t="str">
        <f>IF(DONNEES!$E350="","",DONNEES!Q350)</f>
        <v/>
      </c>
      <c r="Q350" t="str">
        <f>IF(DONNEES!$E350="","",DONNEES!R350)</f>
        <v/>
      </c>
      <c r="R350" t="str">
        <f>IF(DONNEES!$E350="","",DONNEES!S350)</f>
        <v/>
      </c>
      <c r="S350" t="str">
        <f>IF(DONNEES!$E350="","",DONNEES!T350)</f>
        <v/>
      </c>
      <c r="T350" t="str">
        <f>IF(DONNEES!$E350="","",DONNEES!U350)</f>
        <v/>
      </c>
      <c r="U350" t="str">
        <f>IF(DONNEES!$E350="","",DONNEES!V350)</f>
        <v/>
      </c>
      <c r="V350" t="str">
        <f>IF(DONNEES!$E350="","",DONNEES!W350)</f>
        <v/>
      </c>
      <c r="W350" t="str">
        <f>IF(DONNEES!$E350="","",DONNEES!X350)</f>
        <v/>
      </c>
      <c r="X350" t="str">
        <f>IF(DONNEES!$E350="","",DONNEES!Y350)</f>
        <v/>
      </c>
      <c r="Y350" t="str">
        <f>IF(DONNEES!$E350="","",DONNEES!Z350)</f>
        <v/>
      </c>
      <c r="Z350" t="str">
        <f>IF(DONNEES!$E350="","",DONNEES!AQ350)</f>
        <v/>
      </c>
    </row>
    <row r="351" spans="1:26" ht="15" customHeight="1" x14ac:dyDescent="0.3">
      <c r="A351" t="str">
        <f>IF(DONNEES!$E351="","",DONNEES!A351)</f>
        <v/>
      </c>
      <c r="B351" t="str">
        <f>IF(DONNEES!$E351="","",DONNEES!B351)</f>
        <v/>
      </c>
      <c r="C351" t="str">
        <f>IF(DONNEES!$E351="","",DONNEES!C351)</f>
        <v/>
      </c>
      <c r="D351" t="str">
        <f>IF(DONNEES!$E351="","",DONNEES!E351)</f>
        <v/>
      </c>
      <c r="E351" t="str">
        <f>IF(DONNEES!$E351="","",DONNEES!F351)</f>
        <v/>
      </c>
      <c r="F351" t="str">
        <f>IF(DONNEES!$E351="","",DONNEES!G351)</f>
        <v/>
      </c>
      <c r="G351" t="str">
        <f>IF(DONNEES!$E351="","",DONNEES!H351)</f>
        <v/>
      </c>
      <c r="H351" t="str">
        <f>IF(DONNEES!$E351="","",DONNEES!I351)</f>
        <v/>
      </c>
      <c r="I351" t="str">
        <f>IF(DONNEES!$E351="","",DONNEES!J351)</f>
        <v/>
      </c>
      <c r="J351" t="str">
        <f>IF(DONNEES!$E351="","",DONNEES!K351)</f>
        <v/>
      </c>
      <c r="K351" t="str">
        <f>IF(DONNEES!$E351="","",DONNEES!L351)</f>
        <v/>
      </c>
      <c r="L351" t="str">
        <f>IF(DONNEES!$E351="","",DONNEES!M351)</f>
        <v/>
      </c>
      <c r="M351" t="str">
        <f>IF(DONNEES!$E351="","",DONNEES!N351)</f>
        <v/>
      </c>
      <c r="N351" t="str">
        <f>IF(DONNEES!$E351="","",DONNEES!O351)</f>
        <v/>
      </c>
      <c r="O351" t="str">
        <f>IF(DONNEES!$E351="","",DONNEES!P351)</f>
        <v/>
      </c>
      <c r="P351" t="str">
        <f>IF(DONNEES!$E351="","",DONNEES!Q351)</f>
        <v/>
      </c>
      <c r="Q351" t="str">
        <f>IF(DONNEES!$E351="","",DONNEES!R351)</f>
        <v/>
      </c>
      <c r="R351" t="str">
        <f>IF(DONNEES!$E351="","",DONNEES!S351)</f>
        <v/>
      </c>
      <c r="S351" t="str">
        <f>IF(DONNEES!$E351="","",DONNEES!T351)</f>
        <v/>
      </c>
      <c r="T351" t="str">
        <f>IF(DONNEES!$E351="","",DONNEES!U351)</f>
        <v/>
      </c>
      <c r="U351" t="str">
        <f>IF(DONNEES!$E351="","",DONNEES!V351)</f>
        <v/>
      </c>
      <c r="V351" t="str">
        <f>IF(DONNEES!$E351="","",DONNEES!W351)</f>
        <v/>
      </c>
      <c r="W351" t="str">
        <f>IF(DONNEES!$E351="","",DONNEES!X351)</f>
        <v/>
      </c>
      <c r="X351" t="str">
        <f>IF(DONNEES!$E351="","",DONNEES!Y351)</f>
        <v/>
      </c>
      <c r="Y351" t="str">
        <f>IF(DONNEES!$E351="","",DONNEES!Z351)</f>
        <v/>
      </c>
      <c r="Z351" t="str">
        <f>IF(DONNEES!$E351="","",DONNEES!AQ351)</f>
        <v/>
      </c>
    </row>
    <row r="352" spans="1:26" ht="15" customHeight="1" x14ac:dyDescent="0.3">
      <c r="A352" t="str">
        <f>IF(DONNEES!$E352="","",DONNEES!A352)</f>
        <v/>
      </c>
      <c r="B352" t="str">
        <f>IF(DONNEES!$E352="","",DONNEES!B352)</f>
        <v/>
      </c>
      <c r="C352" t="str">
        <f>IF(DONNEES!$E352="","",DONNEES!C352)</f>
        <v/>
      </c>
      <c r="D352" t="str">
        <f>IF(DONNEES!$E352="","",DONNEES!E352)</f>
        <v/>
      </c>
      <c r="E352" t="str">
        <f>IF(DONNEES!$E352="","",DONNEES!F352)</f>
        <v/>
      </c>
      <c r="F352" t="str">
        <f>IF(DONNEES!$E352="","",DONNEES!G352)</f>
        <v/>
      </c>
      <c r="G352" t="str">
        <f>IF(DONNEES!$E352="","",DONNEES!H352)</f>
        <v/>
      </c>
      <c r="H352" t="str">
        <f>IF(DONNEES!$E352="","",DONNEES!I352)</f>
        <v/>
      </c>
      <c r="I352" t="str">
        <f>IF(DONNEES!$E352="","",DONNEES!J352)</f>
        <v/>
      </c>
      <c r="J352" t="str">
        <f>IF(DONNEES!$E352="","",DONNEES!K352)</f>
        <v/>
      </c>
      <c r="K352" t="str">
        <f>IF(DONNEES!$E352="","",DONNEES!L352)</f>
        <v/>
      </c>
      <c r="L352" t="str">
        <f>IF(DONNEES!$E352="","",DONNEES!M352)</f>
        <v/>
      </c>
      <c r="M352" t="str">
        <f>IF(DONNEES!$E352="","",DONNEES!N352)</f>
        <v/>
      </c>
      <c r="N352" t="str">
        <f>IF(DONNEES!$E352="","",DONNEES!O352)</f>
        <v/>
      </c>
      <c r="O352" t="str">
        <f>IF(DONNEES!$E352="","",DONNEES!P352)</f>
        <v/>
      </c>
      <c r="P352" t="str">
        <f>IF(DONNEES!$E352="","",DONNEES!Q352)</f>
        <v/>
      </c>
      <c r="Q352" t="str">
        <f>IF(DONNEES!$E352="","",DONNEES!R352)</f>
        <v/>
      </c>
      <c r="R352" t="str">
        <f>IF(DONNEES!$E352="","",DONNEES!S352)</f>
        <v/>
      </c>
      <c r="S352" t="str">
        <f>IF(DONNEES!$E352="","",DONNEES!T352)</f>
        <v/>
      </c>
      <c r="T352" t="str">
        <f>IF(DONNEES!$E352="","",DONNEES!U352)</f>
        <v/>
      </c>
      <c r="U352" t="str">
        <f>IF(DONNEES!$E352="","",DONNEES!V352)</f>
        <v/>
      </c>
      <c r="V352" t="str">
        <f>IF(DONNEES!$E352="","",DONNEES!W352)</f>
        <v/>
      </c>
      <c r="W352" t="str">
        <f>IF(DONNEES!$E352="","",DONNEES!X352)</f>
        <v/>
      </c>
      <c r="X352" t="str">
        <f>IF(DONNEES!$E352="","",DONNEES!Y352)</f>
        <v/>
      </c>
      <c r="Y352" t="str">
        <f>IF(DONNEES!$E352="","",DONNEES!Z352)</f>
        <v/>
      </c>
      <c r="Z352" t="str">
        <f>IF(DONNEES!$E352="","",DONNEES!AQ352)</f>
        <v/>
      </c>
    </row>
    <row r="353" spans="1:26" ht="15" customHeight="1" x14ac:dyDescent="0.3">
      <c r="A353" t="str">
        <f>IF(DONNEES!$E353="","",DONNEES!A353)</f>
        <v/>
      </c>
      <c r="B353" t="str">
        <f>IF(DONNEES!$E353="","",DONNEES!B353)</f>
        <v/>
      </c>
      <c r="C353" t="str">
        <f>IF(DONNEES!$E353="","",DONNEES!C353)</f>
        <v/>
      </c>
      <c r="D353" t="str">
        <f>IF(DONNEES!$E353="","",DONNEES!E353)</f>
        <v/>
      </c>
      <c r="E353" t="str">
        <f>IF(DONNEES!$E353="","",DONNEES!F353)</f>
        <v/>
      </c>
      <c r="F353" t="str">
        <f>IF(DONNEES!$E353="","",DONNEES!G353)</f>
        <v/>
      </c>
      <c r="G353" t="str">
        <f>IF(DONNEES!$E353="","",DONNEES!H353)</f>
        <v/>
      </c>
      <c r="H353" t="str">
        <f>IF(DONNEES!$E353="","",DONNEES!I353)</f>
        <v/>
      </c>
      <c r="I353" t="str">
        <f>IF(DONNEES!$E353="","",DONNEES!J353)</f>
        <v/>
      </c>
      <c r="J353" t="str">
        <f>IF(DONNEES!$E353="","",DONNEES!K353)</f>
        <v/>
      </c>
      <c r="K353" t="str">
        <f>IF(DONNEES!$E353="","",DONNEES!L353)</f>
        <v/>
      </c>
      <c r="L353" t="str">
        <f>IF(DONNEES!$E353="","",DONNEES!M353)</f>
        <v/>
      </c>
      <c r="M353" t="str">
        <f>IF(DONNEES!$E353="","",DONNEES!N353)</f>
        <v/>
      </c>
      <c r="N353" t="str">
        <f>IF(DONNEES!$E353="","",DONNEES!O353)</f>
        <v/>
      </c>
      <c r="O353" t="str">
        <f>IF(DONNEES!$E353="","",DONNEES!P353)</f>
        <v/>
      </c>
      <c r="P353" t="str">
        <f>IF(DONNEES!$E353="","",DONNEES!Q353)</f>
        <v/>
      </c>
      <c r="Q353" t="str">
        <f>IF(DONNEES!$E353="","",DONNEES!R353)</f>
        <v/>
      </c>
      <c r="R353" t="str">
        <f>IF(DONNEES!$E353="","",DONNEES!S353)</f>
        <v/>
      </c>
      <c r="S353" t="str">
        <f>IF(DONNEES!$E353="","",DONNEES!T353)</f>
        <v/>
      </c>
      <c r="T353" t="str">
        <f>IF(DONNEES!$E353="","",DONNEES!U353)</f>
        <v/>
      </c>
      <c r="U353" t="str">
        <f>IF(DONNEES!$E353="","",DONNEES!V353)</f>
        <v/>
      </c>
      <c r="V353" t="str">
        <f>IF(DONNEES!$E353="","",DONNEES!W353)</f>
        <v/>
      </c>
      <c r="W353" t="str">
        <f>IF(DONNEES!$E353="","",DONNEES!X353)</f>
        <v/>
      </c>
      <c r="X353" t="str">
        <f>IF(DONNEES!$E353="","",DONNEES!Y353)</f>
        <v/>
      </c>
      <c r="Y353" t="str">
        <f>IF(DONNEES!$E353="","",DONNEES!Z353)</f>
        <v/>
      </c>
      <c r="Z353" t="str">
        <f>IF(DONNEES!$E353="","",DONNEES!AQ353)</f>
        <v/>
      </c>
    </row>
    <row r="354" spans="1:26" ht="15" customHeight="1" x14ac:dyDescent="0.3">
      <c r="A354" t="str">
        <f>IF(DONNEES!$E354="","",DONNEES!A354)</f>
        <v/>
      </c>
      <c r="B354" t="str">
        <f>IF(DONNEES!$E354="","",DONNEES!B354)</f>
        <v/>
      </c>
      <c r="C354" t="str">
        <f>IF(DONNEES!$E354="","",DONNEES!C354)</f>
        <v/>
      </c>
      <c r="D354" t="str">
        <f>IF(DONNEES!$E354="","",DONNEES!E354)</f>
        <v/>
      </c>
      <c r="E354" t="str">
        <f>IF(DONNEES!$E354="","",DONNEES!F354)</f>
        <v/>
      </c>
      <c r="F354" t="str">
        <f>IF(DONNEES!$E354="","",DONNEES!G354)</f>
        <v/>
      </c>
      <c r="G354" t="str">
        <f>IF(DONNEES!$E354="","",DONNEES!H354)</f>
        <v/>
      </c>
      <c r="H354" t="str">
        <f>IF(DONNEES!$E354="","",DONNEES!I354)</f>
        <v/>
      </c>
      <c r="I354" t="str">
        <f>IF(DONNEES!$E354="","",DONNEES!J354)</f>
        <v/>
      </c>
      <c r="J354" t="str">
        <f>IF(DONNEES!$E354="","",DONNEES!K354)</f>
        <v/>
      </c>
      <c r="K354" t="str">
        <f>IF(DONNEES!$E354="","",DONNEES!L354)</f>
        <v/>
      </c>
      <c r="L354" t="str">
        <f>IF(DONNEES!$E354="","",DONNEES!M354)</f>
        <v/>
      </c>
      <c r="M354" t="str">
        <f>IF(DONNEES!$E354="","",DONNEES!N354)</f>
        <v/>
      </c>
      <c r="N354" t="str">
        <f>IF(DONNEES!$E354="","",DONNEES!O354)</f>
        <v/>
      </c>
      <c r="O354" t="str">
        <f>IF(DONNEES!$E354="","",DONNEES!P354)</f>
        <v/>
      </c>
      <c r="P354" t="str">
        <f>IF(DONNEES!$E354="","",DONNEES!Q354)</f>
        <v/>
      </c>
      <c r="Q354" t="str">
        <f>IF(DONNEES!$E354="","",DONNEES!R354)</f>
        <v/>
      </c>
      <c r="R354" t="str">
        <f>IF(DONNEES!$E354="","",DONNEES!S354)</f>
        <v/>
      </c>
      <c r="S354" t="str">
        <f>IF(DONNEES!$E354="","",DONNEES!T354)</f>
        <v/>
      </c>
      <c r="T354" t="str">
        <f>IF(DONNEES!$E354="","",DONNEES!U354)</f>
        <v/>
      </c>
      <c r="U354" t="str">
        <f>IF(DONNEES!$E354="","",DONNEES!V354)</f>
        <v/>
      </c>
      <c r="V354" t="str">
        <f>IF(DONNEES!$E354="","",DONNEES!W354)</f>
        <v/>
      </c>
      <c r="W354" t="str">
        <f>IF(DONNEES!$E354="","",DONNEES!X354)</f>
        <v/>
      </c>
      <c r="X354" t="str">
        <f>IF(DONNEES!$E354="","",DONNEES!Y354)</f>
        <v/>
      </c>
      <c r="Y354" t="str">
        <f>IF(DONNEES!$E354="","",DONNEES!Z354)</f>
        <v/>
      </c>
      <c r="Z354" t="str">
        <f>IF(DONNEES!$E354="","",DONNEES!AQ354)</f>
        <v/>
      </c>
    </row>
    <row r="355" spans="1:26" ht="15" customHeight="1" x14ac:dyDescent="0.3">
      <c r="A355" t="str">
        <f>IF(DONNEES!$E355="","",DONNEES!A355)</f>
        <v/>
      </c>
      <c r="B355" t="str">
        <f>IF(DONNEES!$E355="","",DONNEES!B355)</f>
        <v/>
      </c>
      <c r="C355" t="str">
        <f>IF(DONNEES!$E355="","",DONNEES!C355)</f>
        <v/>
      </c>
      <c r="D355" t="str">
        <f>IF(DONNEES!$E355="","",DONNEES!E355)</f>
        <v/>
      </c>
      <c r="E355" t="str">
        <f>IF(DONNEES!$E355="","",DONNEES!F355)</f>
        <v/>
      </c>
      <c r="F355" t="str">
        <f>IF(DONNEES!$E355="","",DONNEES!G355)</f>
        <v/>
      </c>
      <c r="G355" t="str">
        <f>IF(DONNEES!$E355="","",DONNEES!H355)</f>
        <v/>
      </c>
      <c r="H355" t="str">
        <f>IF(DONNEES!$E355="","",DONNEES!I355)</f>
        <v/>
      </c>
      <c r="I355" t="str">
        <f>IF(DONNEES!$E355="","",DONNEES!J355)</f>
        <v/>
      </c>
      <c r="J355" t="str">
        <f>IF(DONNEES!$E355="","",DONNEES!K355)</f>
        <v/>
      </c>
      <c r="K355" t="str">
        <f>IF(DONNEES!$E355="","",DONNEES!L355)</f>
        <v/>
      </c>
      <c r="L355" t="str">
        <f>IF(DONNEES!$E355="","",DONNEES!M355)</f>
        <v/>
      </c>
      <c r="M355" t="str">
        <f>IF(DONNEES!$E355="","",DONNEES!N355)</f>
        <v/>
      </c>
      <c r="N355" t="str">
        <f>IF(DONNEES!$E355="","",DONNEES!O355)</f>
        <v/>
      </c>
      <c r="O355" t="str">
        <f>IF(DONNEES!$E355="","",DONNEES!P355)</f>
        <v/>
      </c>
      <c r="P355" t="str">
        <f>IF(DONNEES!$E355="","",DONNEES!Q355)</f>
        <v/>
      </c>
      <c r="Q355" t="str">
        <f>IF(DONNEES!$E355="","",DONNEES!R355)</f>
        <v/>
      </c>
      <c r="R355" t="str">
        <f>IF(DONNEES!$E355="","",DONNEES!S355)</f>
        <v/>
      </c>
      <c r="S355" t="str">
        <f>IF(DONNEES!$E355="","",DONNEES!T355)</f>
        <v/>
      </c>
      <c r="T355" t="str">
        <f>IF(DONNEES!$E355="","",DONNEES!U355)</f>
        <v/>
      </c>
      <c r="U355" t="str">
        <f>IF(DONNEES!$E355="","",DONNEES!V355)</f>
        <v/>
      </c>
      <c r="V355" t="str">
        <f>IF(DONNEES!$E355="","",DONNEES!W355)</f>
        <v/>
      </c>
      <c r="W355" t="str">
        <f>IF(DONNEES!$E355="","",DONNEES!X355)</f>
        <v/>
      </c>
      <c r="X355" t="str">
        <f>IF(DONNEES!$E355="","",DONNEES!Y355)</f>
        <v/>
      </c>
      <c r="Y355" t="str">
        <f>IF(DONNEES!$E355="","",DONNEES!Z355)</f>
        <v/>
      </c>
      <c r="Z355" t="str">
        <f>IF(DONNEES!$E355="","",DONNEES!AQ355)</f>
        <v/>
      </c>
    </row>
    <row r="356" spans="1:26" ht="15" customHeight="1" x14ac:dyDescent="0.3">
      <c r="A356" t="str">
        <f>IF(DONNEES!$E356="","",DONNEES!A356)</f>
        <v/>
      </c>
      <c r="B356" t="str">
        <f>IF(DONNEES!$E356="","",DONNEES!B356)</f>
        <v/>
      </c>
      <c r="C356" t="str">
        <f>IF(DONNEES!$E356="","",DONNEES!C356)</f>
        <v/>
      </c>
      <c r="D356" t="str">
        <f>IF(DONNEES!$E356="","",DONNEES!E356)</f>
        <v/>
      </c>
      <c r="E356" t="str">
        <f>IF(DONNEES!$E356="","",DONNEES!F356)</f>
        <v/>
      </c>
      <c r="F356" t="str">
        <f>IF(DONNEES!$E356="","",DONNEES!G356)</f>
        <v/>
      </c>
      <c r="G356" t="str">
        <f>IF(DONNEES!$E356="","",DONNEES!H356)</f>
        <v/>
      </c>
      <c r="H356" t="str">
        <f>IF(DONNEES!$E356="","",DONNEES!I356)</f>
        <v/>
      </c>
      <c r="I356" t="str">
        <f>IF(DONNEES!$E356="","",DONNEES!J356)</f>
        <v/>
      </c>
      <c r="J356" t="str">
        <f>IF(DONNEES!$E356="","",DONNEES!K356)</f>
        <v/>
      </c>
      <c r="K356" t="str">
        <f>IF(DONNEES!$E356="","",DONNEES!L356)</f>
        <v/>
      </c>
      <c r="L356" t="str">
        <f>IF(DONNEES!$E356="","",DONNEES!M356)</f>
        <v/>
      </c>
      <c r="M356" t="str">
        <f>IF(DONNEES!$E356="","",DONNEES!N356)</f>
        <v/>
      </c>
      <c r="N356" t="str">
        <f>IF(DONNEES!$E356="","",DONNEES!O356)</f>
        <v/>
      </c>
      <c r="O356" t="str">
        <f>IF(DONNEES!$E356="","",DONNEES!P356)</f>
        <v/>
      </c>
      <c r="P356" t="str">
        <f>IF(DONNEES!$E356="","",DONNEES!Q356)</f>
        <v/>
      </c>
      <c r="Q356" t="str">
        <f>IF(DONNEES!$E356="","",DONNEES!R356)</f>
        <v/>
      </c>
      <c r="R356" t="str">
        <f>IF(DONNEES!$E356="","",DONNEES!S356)</f>
        <v/>
      </c>
      <c r="S356" t="str">
        <f>IF(DONNEES!$E356="","",DONNEES!T356)</f>
        <v/>
      </c>
      <c r="T356" t="str">
        <f>IF(DONNEES!$E356="","",DONNEES!U356)</f>
        <v/>
      </c>
      <c r="U356" t="str">
        <f>IF(DONNEES!$E356="","",DONNEES!V356)</f>
        <v/>
      </c>
      <c r="V356" t="str">
        <f>IF(DONNEES!$E356="","",DONNEES!W356)</f>
        <v/>
      </c>
      <c r="W356" t="str">
        <f>IF(DONNEES!$E356="","",DONNEES!X356)</f>
        <v/>
      </c>
      <c r="X356" t="str">
        <f>IF(DONNEES!$E356="","",DONNEES!Y356)</f>
        <v/>
      </c>
      <c r="Y356" t="str">
        <f>IF(DONNEES!$E356="","",DONNEES!Z356)</f>
        <v/>
      </c>
      <c r="Z356" t="str">
        <f>IF(DONNEES!$E356="","",DONNEES!AQ356)</f>
        <v/>
      </c>
    </row>
    <row r="357" spans="1:26" ht="15" customHeight="1" x14ac:dyDescent="0.3">
      <c r="A357" t="str">
        <f>IF(DONNEES!$E357="","",DONNEES!A357)</f>
        <v/>
      </c>
      <c r="B357" t="str">
        <f>IF(DONNEES!$E357="","",DONNEES!B357)</f>
        <v/>
      </c>
      <c r="C357" t="str">
        <f>IF(DONNEES!$E357="","",DONNEES!C357)</f>
        <v/>
      </c>
      <c r="D357" t="str">
        <f>IF(DONNEES!$E357="","",DONNEES!E357)</f>
        <v/>
      </c>
      <c r="E357" t="str">
        <f>IF(DONNEES!$E357="","",DONNEES!F357)</f>
        <v/>
      </c>
      <c r="F357" t="str">
        <f>IF(DONNEES!$E357="","",DONNEES!G357)</f>
        <v/>
      </c>
      <c r="G357" t="str">
        <f>IF(DONNEES!$E357="","",DONNEES!H357)</f>
        <v/>
      </c>
      <c r="H357" t="str">
        <f>IF(DONNEES!$E357="","",DONNEES!I357)</f>
        <v/>
      </c>
      <c r="I357" t="str">
        <f>IF(DONNEES!$E357="","",DONNEES!J357)</f>
        <v/>
      </c>
      <c r="J357" t="str">
        <f>IF(DONNEES!$E357="","",DONNEES!K357)</f>
        <v/>
      </c>
      <c r="K357" t="str">
        <f>IF(DONNEES!$E357="","",DONNEES!L357)</f>
        <v/>
      </c>
      <c r="L357" t="str">
        <f>IF(DONNEES!$E357="","",DONNEES!M357)</f>
        <v/>
      </c>
      <c r="M357" t="str">
        <f>IF(DONNEES!$E357="","",DONNEES!N357)</f>
        <v/>
      </c>
      <c r="N357" t="str">
        <f>IF(DONNEES!$E357="","",DONNEES!O357)</f>
        <v/>
      </c>
      <c r="O357" t="str">
        <f>IF(DONNEES!$E357="","",DONNEES!P357)</f>
        <v/>
      </c>
      <c r="P357" t="str">
        <f>IF(DONNEES!$E357="","",DONNEES!Q357)</f>
        <v/>
      </c>
      <c r="Q357" t="str">
        <f>IF(DONNEES!$E357="","",DONNEES!R357)</f>
        <v/>
      </c>
      <c r="R357" t="str">
        <f>IF(DONNEES!$E357="","",DONNEES!S357)</f>
        <v/>
      </c>
      <c r="S357" t="str">
        <f>IF(DONNEES!$E357="","",DONNEES!T357)</f>
        <v/>
      </c>
      <c r="T357" t="str">
        <f>IF(DONNEES!$E357="","",DONNEES!U357)</f>
        <v/>
      </c>
      <c r="U357" t="str">
        <f>IF(DONNEES!$E357="","",DONNEES!V357)</f>
        <v/>
      </c>
      <c r="V357" t="str">
        <f>IF(DONNEES!$E357="","",DONNEES!W357)</f>
        <v/>
      </c>
      <c r="W357" t="str">
        <f>IF(DONNEES!$E357="","",DONNEES!X357)</f>
        <v/>
      </c>
      <c r="X357" t="str">
        <f>IF(DONNEES!$E357="","",DONNEES!Y357)</f>
        <v/>
      </c>
      <c r="Y357" t="str">
        <f>IF(DONNEES!$E357="","",DONNEES!Z357)</f>
        <v/>
      </c>
      <c r="Z357" t="str">
        <f>IF(DONNEES!$E357="","",DONNEES!AQ357)</f>
        <v/>
      </c>
    </row>
    <row r="358" spans="1:26" ht="15" customHeight="1" x14ac:dyDescent="0.3">
      <c r="A358" t="str">
        <f>IF(DONNEES!$E358="","",DONNEES!A358)</f>
        <v/>
      </c>
      <c r="B358" t="str">
        <f>IF(DONNEES!$E358="","",DONNEES!B358)</f>
        <v/>
      </c>
      <c r="C358" t="str">
        <f>IF(DONNEES!$E358="","",DONNEES!C358)</f>
        <v/>
      </c>
      <c r="D358" t="str">
        <f>IF(DONNEES!$E358="","",DONNEES!E358)</f>
        <v/>
      </c>
      <c r="E358" t="str">
        <f>IF(DONNEES!$E358="","",DONNEES!F358)</f>
        <v/>
      </c>
      <c r="F358" t="str">
        <f>IF(DONNEES!$E358="","",DONNEES!G358)</f>
        <v/>
      </c>
      <c r="G358" t="str">
        <f>IF(DONNEES!$E358="","",DONNEES!H358)</f>
        <v/>
      </c>
      <c r="H358" t="str">
        <f>IF(DONNEES!$E358="","",DONNEES!I358)</f>
        <v/>
      </c>
      <c r="I358" t="str">
        <f>IF(DONNEES!$E358="","",DONNEES!J358)</f>
        <v/>
      </c>
      <c r="J358" t="str">
        <f>IF(DONNEES!$E358="","",DONNEES!K358)</f>
        <v/>
      </c>
      <c r="K358" t="str">
        <f>IF(DONNEES!$E358="","",DONNEES!L358)</f>
        <v/>
      </c>
      <c r="L358" t="str">
        <f>IF(DONNEES!$E358="","",DONNEES!M358)</f>
        <v/>
      </c>
      <c r="M358" t="str">
        <f>IF(DONNEES!$E358="","",DONNEES!N358)</f>
        <v/>
      </c>
      <c r="N358" t="str">
        <f>IF(DONNEES!$E358="","",DONNEES!O358)</f>
        <v/>
      </c>
      <c r="O358" t="str">
        <f>IF(DONNEES!$E358="","",DONNEES!P358)</f>
        <v/>
      </c>
      <c r="P358" t="str">
        <f>IF(DONNEES!$E358="","",DONNEES!Q358)</f>
        <v/>
      </c>
      <c r="Q358" t="str">
        <f>IF(DONNEES!$E358="","",DONNEES!R358)</f>
        <v/>
      </c>
      <c r="R358" t="str">
        <f>IF(DONNEES!$E358="","",DONNEES!S358)</f>
        <v/>
      </c>
      <c r="S358" t="str">
        <f>IF(DONNEES!$E358="","",DONNEES!T358)</f>
        <v/>
      </c>
      <c r="T358" t="str">
        <f>IF(DONNEES!$E358="","",DONNEES!U358)</f>
        <v/>
      </c>
      <c r="U358" t="str">
        <f>IF(DONNEES!$E358="","",DONNEES!V358)</f>
        <v/>
      </c>
      <c r="V358" t="str">
        <f>IF(DONNEES!$E358="","",DONNEES!W358)</f>
        <v/>
      </c>
      <c r="W358" t="str">
        <f>IF(DONNEES!$E358="","",DONNEES!X358)</f>
        <v/>
      </c>
      <c r="X358" t="str">
        <f>IF(DONNEES!$E358="","",DONNEES!Y358)</f>
        <v/>
      </c>
      <c r="Y358" t="str">
        <f>IF(DONNEES!$E358="","",DONNEES!Z358)</f>
        <v/>
      </c>
      <c r="Z358" t="str">
        <f>IF(DONNEES!$E358="","",DONNEES!AQ358)</f>
        <v/>
      </c>
    </row>
    <row r="359" spans="1:26" ht="15" customHeight="1" x14ac:dyDescent="0.3">
      <c r="A359" t="str">
        <f>IF(DONNEES!$E359="","",DONNEES!A359)</f>
        <v/>
      </c>
      <c r="B359" t="str">
        <f>IF(DONNEES!$E359="","",DONNEES!B359)</f>
        <v/>
      </c>
      <c r="C359" t="str">
        <f>IF(DONNEES!$E359="","",DONNEES!C359)</f>
        <v/>
      </c>
      <c r="D359" t="str">
        <f>IF(DONNEES!$E359="","",DONNEES!E359)</f>
        <v/>
      </c>
      <c r="E359" t="str">
        <f>IF(DONNEES!$E359="","",DONNEES!F359)</f>
        <v/>
      </c>
      <c r="F359" t="str">
        <f>IF(DONNEES!$E359="","",DONNEES!G359)</f>
        <v/>
      </c>
      <c r="G359" t="str">
        <f>IF(DONNEES!$E359="","",DONNEES!H359)</f>
        <v/>
      </c>
      <c r="H359" t="str">
        <f>IF(DONNEES!$E359="","",DONNEES!I359)</f>
        <v/>
      </c>
      <c r="I359" t="str">
        <f>IF(DONNEES!$E359="","",DONNEES!J359)</f>
        <v/>
      </c>
      <c r="J359" t="str">
        <f>IF(DONNEES!$E359="","",DONNEES!K359)</f>
        <v/>
      </c>
      <c r="K359" t="str">
        <f>IF(DONNEES!$E359="","",DONNEES!L359)</f>
        <v/>
      </c>
      <c r="L359" t="str">
        <f>IF(DONNEES!$E359="","",DONNEES!M359)</f>
        <v/>
      </c>
      <c r="M359" t="str">
        <f>IF(DONNEES!$E359="","",DONNEES!N359)</f>
        <v/>
      </c>
      <c r="N359" t="str">
        <f>IF(DONNEES!$E359="","",DONNEES!O359)</f>
        <v/>
      </c>
      <c r="O359" t="str">
        <f>IF(DONNEES!$E359="","",DONNEES!P359)</f>
        <v/>
      </c>
      <c r="P359" t="str">
        <f>IF(DONNEES!$E359="","",DONNEES!Q359)</f>
        <v/>
      </c>
      <c r="Q359" t="str">
        <f>IF(DONNEES!$E359="","",DONNEES!R359)</f>
        <v/>
      </c>
      <c r="R359" t="str">
        <f>IF(DONNEES!$E359="","",DONNEES!S359)</f>
        <v/>
      </c>
      <c r="S359" t="str">
        <f>IF(DONNEES!$E359="","",DONNEES!T359)</f>
        <v/>
      </c>
      <c r="T359" t="str">
        <f>IF(DONNEES!$E359="","",DONNEES!U359)</f>
        <v/>
      </c>
      <c r="U359" t="str">
        <f>IF(DONNEES!$E359="","",DONNEES!V359)</f>
        <v/>
      </c>
      <c r="V359" t="str">
        <f>IF(DONNEES!$E359="","",DONNEES!W359)</f>
        <v/>
      </c>
      <c r="W359" t="str">
        <f>IF(DONNEES!$E359="","",DONNEES!X359)</f>
        <v/>
      </c>
      <c r="X359" t="str">
        <f>IF(DONNEES!$E359="","",DONNEES!Y359)</f>
        <v/>
      </c>
      <c r="Y359" t="str">
        <f>IF(DONNEES!$E359="","",DONNEES!Z359)</f>
        <v/>
      </c>
      <c r="Z359" t="str">
        <f>IF(DONNEES!$E359="","",DONNEES!AQ359)</f>
        <v/>
      </c>
    </row>
    <row r="360" spans="1:26" ht="15" customHeight="1" x14ac:dyDescent="0.3">
      <c r="A360" t="str">
        <f>IF(DONNEES!$E360="","",DONNEES!A360)</f>
        <v/>
      </c>
      <c r="B360" t="str">
        <f>IF(DONNEES!$E360="","",DONNEES!B360)</f>
        <v/>
      </c>
      <c r="C360" t="str">
        <f>IF(DONNEES!$E360="","",DONNEES!C360)</f>
        <v/>
      </c>
      <c r="D360" t="str">
        <f>IF(DONNEES!$E360="","",DONNEES!E360)</f>
        <v/>
      </c>
      <c r="E360" t="str">
        <f>IF(DONNEES!$E360="","",DONNEES!F360)</f>
        <v/>
      </c>
      <c r="F360" t="str">
        <f>IF(DONNEES!$E360="","",DONNEES!G360)</f>
        <v/>
      </c>
      <c r="G360" t="str">
        <f>IF(DONNEES!$E360="","",DONNEES!H360)</f>
        <v/>
      </c>
      <c r="H360" t="str">
        <f>IF(DONNEES!$E360="","",DONNEES!I360)</f>
        <v/>
      </c>
      <c r="I360" t="str">
        <f>IF(DONNEES!$E360="","",DONNEES!J360)</f>
        <v/>
      </c>
      <c r="J360" t="str">
        <f>IF(DONNEES!$E360="","",DONNEES!K360)</f>
        <v/>
      </c>
      <c r="K360" t="str">
        <f>IF(DONNEES!$E360="","",DONNEES!L360)</f>
        <v/>
      </c>
      <c r="L360" t="str">
        <f>IF(DONNEES!$E360="","",DONNEES!M360)</f>
        <v/>
      </c>
      <c r="M360" t="str">
        <f>IF(DONNEES!$E360="","",DONNEES!N360)</f>
        <v/>
      </c>
      <c r="N360" t="str">
        <f>IF(DONNEES!$E360="","",DONNEES!O360)</f>
        <v/>
      </c>
      <c r="O360" t="str">
        <f>IF(DONNEES!$E360="","",DONNEES!P360)</f>
        <v/>
      </c>
      <c r="P360" t="str">
        <f>IF(DONNEES!$E360="","",DONNEES!Q360)</f>
        <v/>
      </c>
      <c r="Q360" t="str">
        <f>IF(DONNEES!$E360="","",DONNEES!R360)</f>
        <v/>
      </c>
      <c r="R360" t="str">
        <f>IF(DONNEES!$E360="","",DONNEES!S360)</f>
        <v/>
      </c>
      <c r="S360" t="str">
        <f>IF(DONNEES!$E360="","",DONNEES!T360)</f>
        <v/>
      </c>
      <c r="T360" t="str">
        <f>IF(DONNEES!$E360="","",DONNEES!U360)</f>
        <v/>
      </c>
      <c r="U360" t="str">
        <f>IF(DONNEES!$E360="","",DONNEES!V360)</f>
        <v/>
      </c>
      <c r="V360" t="str">
        <f>IF(DONNEES!$E360="","",DONNEES!W360)</f>
        <v/>
      </c>
      <c r="W360" t="str">
        <f>IF(DONNEES!$E360="","",DONNEES!X360)</f>
        <v/>
      </c>
      <c r="X360" t="str">
        <f>IF(DONNEES!$E360="","",DONNEES!Y360)</f>
        <v/>
      </c>
      <c r="Y360" t="str">
        <f>IF(DONNEES!$E360="","",DONNEES!Z360)</f>
        <v/>
      </c>
      <c r="Z360" t="str">
        <f>IF(DONNEES!$E360="","",DONNEES!AQ360)</f>
        <v/>
      </c>
    </row>
    <row r="361" spans="1:26" ht="15" customHeight="1" x14ac:dyDescent="0.3">
      <c r="A361" t="str">
        <f>IF(DONNEES!$E361="","",DONNEES!A361)</f>
        <v/>
      </c>
      <c r="B361" t="str">
        <f>IF(DONNEES!$E361="","",DONNEES!B361)</f>
        <v/>
      </c>
      <c r="C361" t="str">
        <f>IF(DONNEES!$E361="","",DONNEES!C361)</f>
        <v/>
      </c>
      <c r="D361" t="str">
        <f>IF(DONNEES!$E361="","",DONNEES!E361)</f>
        <v/>
      </c>
      <c r="E361" t="str">
        <f>IF(DONNEES!$E361="","",DONNEES!F361)</f>
        <v/>
      </c>
      <c r="F361" t="str">
        <f>IF(DONNEES!$E361="","",DONNEES!G361)</f>
        <v/>
      </c>
      <c r="G361" t="str">
        <f>IF(DONNEES!$E361="","",DONNEES!H361)</f>
        <v/>
      </c>
      <c r="H361" t="str">
        <f>IF(DONNEES!$E361="","",DONNEES!I361)</f>
        <v/>
      </c>
      <c r="I361" t="str">
        <f>IF(DONNEES!$E361="","",DONNEES!J361)</f>
        <v/>
      </c>
      <c r="J361" t="str">
        <f>IF(DONNEES!$E361="","",DONNEES!K361)</f>
        <v/>
      </c>
      <c r="K361" t="str">
        <f>IF(DONNEES!$E361="","",DONNEES!L361)</f>
        <v/>
      </c>
      <c r="L361" t="str">
        <f>IF(DONNEES!$E361="","",DONNEES!M361)</f>
        <v/>
      </c>
      <c r="M361" t="str">
        <f>IF(DONNEES!$E361="","",DONNEES!N361)</f>
        <v/>
      </c>
      <c r="N361" t="str">
        <f>IF(DONNEES!$E361="","",DONNEES!O361)</f>
        <v/>
      </c>
      <c r="O361" t="str">
        <f>IF(DONNEES!$E361="","",DONNEES!P361)</f>
        <v/>
      </c>
      <c r="P361" t="str">
        <f>IF(DONNEES!$E361="","",DONNEES!Q361)</f>
        <v/>
      </c>
      <c r="Q361" t="str">
        <f>IF(DONNEES!$E361="","",DONNEES!R361)</f>
        <v/>
      </c>
      <c r="R361" t="str">
        <f>IF(DONNEES!$E361="","",DONNEES!S361)</f>
        <v/>
      </c>
      <c r="S361" t="str">
        <f>IF(DONNEES!$E361="","",DONNEES!T361)</f>
        <v/>
      </c>
      <c r="T361" t="str">
        <f>IF(DONNEES!$E361="","",DONNEES!U361)</f>
        <v/>
      </c>
      <c r="U361" t="str">
        <f>IF(DONNEES!$E361="","",DONNEES!V361)</f>
        <v/>
      </c>
      <c r="V361" t="str">
        <f>IF(DONNEES!$E361="","",DONNEES!W361)</f>
        <v/>
      </c>
      <c r="W361" t="str">
        <f>IF(DONNEES!$E361="","",DONNEES!X361)</f>
        <v/>
      </c>
      <c r="X361" t="str">
        <f>IF(DONNEES!$E361="","",DONNEES!Y361)</f>
        <v/>
      </c>
      <c r="Y361" t="str">
        <f>IF(DONNEES!$E361="","",DONNEES!Z361)</f>
        <v/>
      </c>
      <c r="Z361" t="str">
        <f>IF(DONNEES!$E361="","",DONNEES!AQ361)</f>
        <v/>
      </c>
    </row>
    <row r="362" spans="1:26" ht="15" customHeight="1" x14ac:dyDescent="0.3">
      <c r="A362" t="str">
        <f>IF(DONNEES!$E362="","",DONNEES!A362)</f>
        <v/>
      </c>
      <c r="B362" t="str">
        <f>IF(DONNEES!$E362="","",DONNEES!B362)</f>
        <v/>
      </c>
      <c r="C362" t="str">
        <f>IF(DONNEES!$E362="","",DONNEES!C362)</f>
        <v/>
      </c>
      <c r="D362" t="str">
        <f>IF(DONNEES!$E362="","",DONNEES!E362)</f>
        <v/>
      </c>
      <c r="E362" t="str">
        <f>IF(DONNEES!$E362="","",DONNEES!F362)</f>
        <v/>
      </c>
      <c r="F362" t="str">
        <f>IF(DONNEES!$E362="","",DONNEES!G362)</f>
        <v/>
      </c>
      <c r="G362" t="str">
        <f>IF(DONNEES!$E362="","",DONNEES!H362)</f>
        <v/>
      </c>
      <c r="H362" t="str">
        <f>IF(DONNEES!$E362="","",DONNEES!I362)</f>
        <v/>
      </c>
      <c r="I362" t="str">
        <f>IF(DONNEES!$E362="","",DONNEES!J362)</f>
        <v/>
      </c>
      <c r="J362" t="str">
        <f>IF(DONNEES!$E362="","",DONNEES!K362)</f>
        <v/>
      </c>
      <c r="K362" t="str">
        <f>IF(DONNEES!$E362="","",DONNEES!L362)</f>
        <v/>
      </c>
      <c r="L362" t="str">
        <f>IF(DONNEES!$E362="","",DONNEES!M362)</f>
        <v/>
      </c>
      <c r="M362" t="str">
        <f>IF(DONNEES!$E362="","",DONNEES!N362)</f>
        <v/>
      </c>
      <c r="N362" t="str">
        <f>IF(DONNEES!$E362="","",DONNEES!O362)</f>
        <v/>
      </c>
      <c r="O362" t="str">
        <f>IF(DONNEES!$E362="","",DONNEES!P362)</f>
        <v/>
      </c>
      <c r="P362" t="str">
        <f>IF(DONNEES!$E362="","",DONNEES!Q362)</f>
        <v/>
      </c>
      <c r="Q362" t="str">
        <f>IF(DONNEES!$E362="","",DONNEES!R362)</f>
        <v/>
      </c>
      <c r="R362" t="str">
        <f>IF(DONNEES!$E362="","",DONNEES!S362)</f>
        <v/>
      </c>
      <c r="S362" t="str">
        <f>IF(DONNEES!$E362="","",DONNEES!T362)</f>
        <v/>
      </c>
      <c r="T362" t="str">
        <f>IF(DONNEES!$E362="","",DONNEES!U362)</f>
        <v/>
      </c>
      <c r="U362" t="str">
        <f>IF(DONNEES!$E362="","",DONNEES!V362)</f>
        <v/>
      </c>
      <c r="V362" t="str">
        <f>IF(DONNEES!$E362="","",DONNEES!W362)</f>
        <v/>
      </c>
      <c r="W362" t="str">
        <f>IF(DONNEES!$E362="","",DONNEES!X362)</f>
        <v/>
      </c>
      <c r="X362" t="str">
        <f>IF(DONNEES!$E362="","",DONNEES!Y362)</f>
        <v/>
      </c>
      <c r="Y362" t="str">
        <f>IF(DONNEES!$E362="","",DONNEES!Z362)</f>
        <v/>
      </c>
      <c r="Z362" t="str">
        <f>IF(DONNEES!$E362="","",DONNEES!AQ362)</f>
        <v/>
      </c>
    </row>
    <row r="363" spans="1:26" ht="15" customHeight="1" x14ac:dyDescent="0.3">
      <c r="A363" t="str">
        <f>IF(DONNEES!$E363="","",DONNEES!A363)</f>
        <v/>
      </c>
      <c r="B363" t="str">
        <f>IF(DONNEES!$E363="","",DONNEES!B363)</f>
        <v/>
      </c>
      <c r="C363" t="str">
        <f>IF(DONNEES!$E363="","",DONNEES!C363)</f>
        <v/>
      </c>
      <c r="D363" t="str">
        <f>IF(DONNEES!$E363="","",DONNEES!E363)</f>
        <v/>
      </c>
      <c r="E363" t="str">
        <f>IF(DONNEES!$E363="","",DONNEES!F363)</f>
        <v/>
      </c>
      <c r="F363" t="str">
        <f>IF(DONNEES!$E363="","",DONNEES!G363)</f>
        <v/>
      </c>
      <c r="G363" t="str">
        <f>IF(DONNEES!$E363="","",DONNEES!H363)</f>
        <v/>
      </c>
      <c r="H363" t="str">
        <f>IF(DONNEES!$E363="","",DONNEES!I363)</f>
        <v/>
      </c>
      <c r="I363" t="str">
        <f>IF(DONNEES!$E363="","",DONNEES!J363)</f>
        <v/>
      </c>
      <c r="J363" t="str">
        <f>IF(DONNEES!$E363="","",DONNEES!K363)</f>
        <v/>
      </c>
      <c r="K363" t="str">
        <f>IF(DONNEES!$E363="","",DONNEES!L363)</f>
        <v/>
      </c>
      <c r="L363" t="str">
        <f>IF(DONNEES!$E363="","",DONNEES!M363)</f>
        <v/>
      </c>
      <c r="M363" t="str">
        <f>IF(DONNEES!$E363="","",DONNEES!N363)</f>
        <v/>
      </c>
      <c r="N363" t="str">
        <f>IF(DONNEES!$E363="","",DONNEES!O363)</f>
        <v/>
      </c>
      <c r="O363" t="str">
        <f>IF(DONNEES!$E363="","",DONNEES!P363)</f>
        <v/>
      </c>
      <c r="P363" t="str">
        <f>IF(DONNEES!$E363="","",DONNEES!Q363)</f>
        <v/>
      </c>
      <c r="Q363" t="str">
        <f>IF(DONNEES!$E363="","",DONNEES!R363)</f>
        <v/>
      </c>
      <c r="R363" t="str">
        <f>IF(DONNEES!$E363="","",DONNEES!S363)</f>
        <v/>
      </c>
      <c r="S363" t="str">
        <f>IF(DONNEES!$E363="","",DONNEES!T363)</f>
        <v/>
      </c>
      <c r="T363" t="str">
        <f>IF(DONNEES!$E363="","",DONNEES!U363)</f>
        <v/>
      </c>
      <c r="U363" t="str">
        <f>IF(DONNEES!$E363="","",DONNEES!V363)</f>
        <v/>
      </c>
      <c r="V363" t="str">
        <f>IF(DONNEES!$E363="","",DONNEES!W363)</f>
        <v/>
      </c>
      <c r="W363" t="str">
        <f>IF(DONNEES!$E363="","",DONNEES!X363)</f>
        <v/>
      </c>
      <c r="X363" t="str">
        <f>IF(DONNEES!$E363="","",DONNEES!Y363)</f>
        <v/>
      </c>
      <c r="Y363" t="str">
        <f>IF(DONNEES!$E363="","",DONNEES!Z363)</f>
        <v/>
      </c>
      <c r="Z363" t="str">
        <f>IF(DONNEES!$E363="","",DONNEES!AQ363)</f>
        <v/>
      </c>
    </row>
    <row r="364" spans="1:26" ht="15" customHeight="1" x14ac:dyDescent="0.3">
      <c r="A364" t="str">
        <f>IF(DONNEES!$E364="","",DONNEES!A364)</f>
        <v/>
      </c>
      <c r="B364" t="str">
        <f>IF(DONNEES!$E364="","",DONNEES!B364)</f>
        <v/>
      </c>
      <c r="C364" t="str">
        <f>IF(DONNEES!$E364="","",DONNEES!C364)</f>
        <v/>
      </c>
      <c r="D364" t="str">
        <f>IF(DONNEES!$E364="","",DONNEES!E364)</f>
        <v/>
      </c>
      <c r="E364" t="str">
        <f>IF(DONNEES!$E364="","",DONNEES!F364)</f>
        <v/>
      </c>
      <c r="F364" t="str">
        <f>IF(DONNEES!$E364="","",DONNEES!G364)</f>
        <v/>
      </c>
      <c r="G364" t="str">
        <f>IF(DONNEES!$E364="","",DONNEES!H364)</f>
        <v/>
      </c>
      <c r="H364" t="str">
        <f>IF(DONNEES!$E364="","",DONNEES!I364)</f>
        <v/>
      </c>
      <c r="I364" t="str">
        <f>IF(DONNEES!$E364="","",DONNEES!J364)</f>
        <v/>
      </c>
      <c r="J364" t="str">
        <f>IF(DONNEES!$E364="","",DONNEES!K364)</f>
        <v/>
      </c>
      <c r="K364" t="str">
        <f>IF(DONNEES!$E364="","",DONNEES!L364)</f>
        <v/>
      </c>
      <c r="L364" t="str">
        <f>IF(DONNEES!$E364="","",DONNEES!M364)</f>
        <v/>
      </c>
      <c r="M364" t="str">
        <f>IF(DONNEES!$E364="","",DONNEES!N364)</f>
        <v/>
      </c>
      <c r="N364" t="str">
        <f>IF(DONNEES!$E364="","",DONNEES!O364)</f>
        <v/>
      </c>
      <c r="O364" t="str">
        <f>IF(DONNEES!$E364="","",DONNEES!P364)</f>
        <v/>
      </c>
      <c r="P364" t="str">
        <f>IF(DONNEES!$E364="","",DONNEES!Q364)</f>
        <v/>
      </c>
      <c r="Q364" t="str">
        <f>IF(DONNEES!$E364="","",DONNEES!R364)</f>
        <v/>
      </c>
      <c r="R364" t="str">
        <f>IF(DONNEES!$E364="","",DONNEES!S364)</f>
        <v/>
      </c>
      <c r="S364" t="str">
        <f>IF(DONNEES!$E364="","",DONNEES!T364)</f>
        <v/>
      </c>
      <c r="T364" t="str">
        <f>IF(DONNEES!$E364="","",DONNEES!U364)</f>
        <v/>
      </c>
      <c r="U364" t="str">
        <f>IF(DONNEES!$E364="","",DONNEES!V364)</f>
        <v/>
      </c>
      <c r="V364" t="str">
        <f>IF(DONNEES!$E364="","",DONNEES!W364)</f>
        <v/>
      </c>
      <c r="W364" t="str">
        <f>IF(DONNEES!$E364="","",DONNEES!X364)</f>
        <v/>
      </c>
      <c r="X364" t="str">
        <f>IF(DONNEES!$E364="","",DONNEES!Y364)</f>
        <v/>
      </c>
      <c r="Y364" t="str">
        <f>IF(DONNEES!$E364="","",DONNEES!Z364)</f>
        <v/>
      </c>
      <c r="Z364" t="str">
        <f>IF(DONNEES!$E364="","",DONNEES!AQ364)</f>
        <v/>
      </c>
    </row>
    <row r="365" spans="1:26" ht="15" customHeight="1" x14ac:dyDescent="0.3">
      <c r="A365" t="str">
        <f>IF(DONNEES!$E365="","",DONNEES!A365)</f>
        <v/>
      </c>
      <c r="B365" t="str">
        <f>IF(DONNEES!$E365="","",DONNEES!B365)</f>
        <v/>
      </c>
      <c r="C365" t="str">
        <f>IF(DONNEES!$E365="","",DONNEES!C365)</f>
        <v/>
      </c>
      <c r="D365" t="str">
        <f>IF(DONNEES!$E365="","",DONNEES!E365)</f>
        <v/>
      </c>
      <c r="E365" t="str">
        <f>IF(DONNEES!$E365="","",DONNEES!F365)</f>
        <v/>
      </c>
      <c r="F365" t="str">
        <f>IF(DONNEES!$E365="","",DONNEES!G365)</f>
        <v/>
      </c>
      <c r="G365" t="str">
        <f>IF(DONNEES!$E365="","",DONNEES!H365)</f>
        <v/>
      </c>
      <c r="H365" t="str">
        <f>IF(DONNEES!$E365="","",DONNEES!I365)</f>
        <v/>
      </c>
      <c r="I365" t="str">
        <f>IF(DONNEES!$E365="","",DONNEES!J365)</f>
        <v/>
      </c>
      <c r="J365" t="str">
        <f>IF(DONNEES!$E365="","",DONNEES!K365)</f>
        <v/>
      </c>
      <c r="K365" t="str">
        <f>IF(DONNEES!$E365="","",DONNEES!L365)</f>
        <v/>
      </c>
      <c r="L365" t="str">
        <f>IF(DONNEES!$E365="","",DONNEES!M365)</f>
        <v/>
      </c>
      <c r="M365" t="str">
        <f>IF(DONNEES!$E365="","",DONNEES!N365)</f>
        <v/>
      </c>
      <c r="N365" t="str">
        <f>IF(DONNEES!$E365="","",DONNEES!O365)</f>
        <v/>
      </c>
      <c r="O365" t="str">
        <f>IF(DONNEES!$E365="","",DONNEES!P365)</f>
        <v/>
      </c>
      <c r="P365" t="str">
        <f>IF(DONNEES!$E365="","",DONNEES!Q365)</f>
        <v/>
      </c>
      <c r="Q365" t="str">
        <f>IF(DONNEES!$E365="","",DONNEES!R365)</f>
        <v/>
      </c>
      <c r="R365" t="str">
        <f>IF(DONNEES!$E365="","",DONNEES!S365)</f>
        <v/>
      </c>
      <c r="S365" t="str">
        <f>IF(DONNEES!$E365="","",DONNEES!T365)</f>
        <v/>
      </c>
      <c r="T365" t="str">
        <f>IF(DONNEES!$E365="","",DONNEES!U365)</f>
        <v/>
      </c>
      <c r="U365" t="str">
        <f>IF(DONNEES!$E365="","",DONNEES!V365)</f>
        <v/>
      </c>
      <c r="V365" t="str">
        <f>IF(DONNEES!$E365="","",DONNEES!W365)</f>
        <v/>
      </c>
      <c r="W365" t="str">
        <f>IF(DONNEES!$E365="","",DONNEES!X365)</f>
        <v/>
      </c>
      <c r="X365" t="str">
        <f>IF(DONNEES!$E365="","",DONNEES!Y365)</f>
        <v/>
      </c>
      <c r="Y365" t="str">
        <f>IF(DONNEES!$E365="","",DONNEES!Z365)</f>
        <v/>
      </c>
      <c r="Z365" t="str">
        <f>IF(DONNEES!$E365="","",DONNEES!AQ365)</f>
        <v/>
      </c>
    </row>
    <row r="366" spans="1:26" ht="15" customHeight="1" x14ac:dyDescent="0.3">
      <c r="A366" t="str">
        <f>IF(DONNEES!$E366="","",DONNEES!A366)</f>
        <v/>
      </c>
      <c r="B366" t="str">
        <f>IF(DONNEES!$E366="","",DONNEES!B366)</f>
        <v/>
      </c>
      <c r="C366" t="str">
        <f>IF(DONNEES!$E366="","",DONNEES!C366)</f>
        <v/>
      </c>
      <c r="D366" t="str">
        <f>IF(DONNEES!$E366="","",DONNEES!E366)</f>
        <v/>
      </c>
      <c r="E366" t="str">
        <f>IF(DONNEES!$E366="","",DONNEES!F366)</f>
        <v/>
      </c>
      <c r="F366" t="str">
        <f>IF(DONNEES!$E366="","",DONNEES!G366)</f>
        <v/>
      </c>
      <c r="G366" t="str">
        <f>IF(DONNEES!$E366="","",DONNEES!H366)</f>
        <v/>
      </c>
      <c r="H366" t="str">
        <f>IF(DONNEES!$E366="","",DONNEES!I366)</f>
        <v/>
      </c>
      <c r="I366" t="str">
        <f>IF(DONNEES!$E366="","",DONNEES!J366)</f>
        <v/>
      </c>
      <c r="J366" t="str">
        <f>IF(DONNEES!$E366="","",DONNEES!K366)</f>
        <v/>
      </c>
      <c r="K366" t="str">
        <f>IF(DONNEES!$E366="","",DONNEES!L366)</f>
        <v/>
      </c>
      <c r="L366" t="str">
        <f>IF(DONNEES!$E366="","",DONNEES!M366)</f>
        <v/>
      </c>
      <c r="M366" t="str">
        <f>IF(DONNEES!$E366="","",DONNEES!N366)</f>
        <v/>
      </c>
      <c r="N366" t="str">
        <f>IF(DONNEES!$E366="","",DONNEES!O366)</f>
        <v/>
      </c>
      <c r="O366" t="str">
        <f>IF(DONNEES!$E366="","",DONNEES!P366)</f>
        <v/>
      </c>
      <c r="P366" t="str">
        <f>IF(DONNEES!$E366="","",DONNEES!Q366)</f>
        <v/>
      </c>
      <c r="Q366" t="str">
        <f>IF(DONNEES!$E366="","",DONNEES!R366)</f>
        <v/>
      </c>
      <c r="R366" t="str">
        <f>IF(DONNEES!$E366="","",DONNEES!S366)</f>
        <v/>
      </c>
      <c r="S366" t="str">
        <f>IF(DONNEES!$E366="","",DONNEES!T366)</f>
        <v/>
      </c>
      <c r="T366" t="str">
        <f>IF(DONNEES!$E366="","",DONNEES!U366)</f>
        <v/>
      </c>
      <c r="U366" t="str">
        <f>IF(DONNEES!$E366="","",DONNEES!V366)</f>
        <v/>
      </c>
      <c r="V366" t="str">
        <f>IF(DONNEES!$E366="","",DONNEES!W366)</f>
        <v/>
      </c>
      <c r="W366" t="str">
        <f>IF(DONNEES!$E366="","",DONNEES!X366)</f>
        <v/>
      </c>
      <c r="X366" t="str">
        <f>IF(DONNEES!$E366="","",DONNEES!Y366)</f>
        <v/>
      </c>
      <c r="Y366" t="str">
        <f>IF(DONNEES!$E366="","",DONNEES!Z366)</f>
        <v/>
      </c>
      <c r="Z366" t="str">
        <f>IF(DONNEES!$E366="","",DONNEES!AQ366)</f>
        <v/>
      </c>
    </row>
    <row r="367" spans="1:26" ht="15" customHeight="1" x14ac:dyDescent="0.3">
      <c r="A367" t="str">
        <f>IF(DONNEES!$E367="","",DONNEES!A367)</f>
        <v/>
      </c>
      <c r="B367" t="str">
        <f>IF(DONNEES!$E367="","",DONNEES!B367)</f>
        <v/>
      </c>
      <c r="C367" t="str">
        <f>IF(DONNEES!$E367="","",DONNEES!C367)</f>
        <v/>
      </c>
      <c r="D367" t="str">
        <f>IF(DONNEES!$E367="","",DONNEES!E367)</f>
        <v/>
      </c>
      <c r="E367" t="str">
        <f>IF(DONNEES!$E367="","",DONNEES!F367)</f>
        <v/>
      </c>
      <c r="F367" t="str">
        <f>IF(DONNEES!$E367="","",DONNEES!G367)</f>
        <v/>
      </c>
      <c r="G367" t="str">
        <f>IF(DONNEES!$E367="","",DONNEES!H367)</f>
        <v/>
      </c>
      <c r="H367" t="str">
        <f>IF(DONNEES!$E367="","",DONNEES!I367)</f>
        <v/>
      </c>
      <c r="I367" t="str">
        <f>IF(DONNEES!$E367="","",DONNEES!J367)</f>
        <v/>
      </c>
      <c r="J367" t="str">
        <f>IF(DONNEES!$E367="","",DONNEES!K367)</f>
        <v/>
      </c>
      <c r="K367" t="str">
        <f>IF(DONNEES!$E367="","",DONNEES!L367)</f>
        <v/>
      </c>
      <c r="L367" t="str">
        <f>IF(DONNEES!$E367="","",DONNEES!M367)</f>
        <v/>
      </c>
      <c r="M367" t="str">
        <f>IF(DONNEES!$E367="","",DONNEES!N367)</f>
        <v/>
      </c>
      <c r="N367" t="str">
        <f>IF(DONNEES!$E367="","",DONNEES!O367)</f>
        <v/>
      </c>
      <c r="O367" t="str">
        <f>IF(DONNEES!$E367="","",DONNEES!P367)</f>
        <v/>
      </c>
      <c r="P367" t="str">
        <f>IF(DONNEES!$E367="","",DONNEES!Q367)</f>
        <v/>
      </c>
      <c r="Q367" t="str">
        <f>IF(DONNEES!$E367="","",DONNEES!R367)</f>
        <v/>
      </c>
      <c r="R367" t="str">
        <f>IF(DONNEES!$E367="","",DONNEES!S367)</f>
        <v/>
      </c>
      <c r="S367" t="str">
        <f>IF(DONNEES!$E367="","",DONNEES!T367)</f>
        <v/>
      </c>
      <c r="T367" t="str">
        <f>IF(DONNEES!$E367="","",DONNEES!U367)</f>
        <v/>
      </c>
      <c r="U367" t="str">
        <f>IF(DONNEES!$E367="","",DONNEES!V367)</f>
        <v/>
      </c>
      <c r="V367" t="str">
        <f>IF(DONNEES!$E367="","",DONNEES!W367)</f>
        <v/>
      </c>
      <c r="W367" t="str">
        <f>IF(DONNEES!$E367="","",DONNEES!X367)</f>
        <v/>
      </c>
      <c r="X367" t="str">
        <f>IF(DONNEES!$E367="","",DONNEES!Y367)</f>
        <v/>
      </c>
      <c r="Y367" t="str">
        <f>IF(DONNEES!$E367="","",DONNEES!Z367)</f>
        <v/>
      </c>
      <c r="Z367" t="str">
        <f>IF(DONNEES!$E367="","",DONNEES!AQ367)</f>
        <v/>
      </c>
    </row>
    <row r="368" spans="1:26" ht="15" customHeight="1" x14ac:dyDescent="0.3">
      <c r="A368" t="str">
        <f>IF(DONNEES!$E368="","",DONNEES!A368)</f>
        <v/>
      </c>
      <c r="B368" t="str">
        <f>IF(DONNEES!$E368="","",DONNEES!B368)</f>
        <v/>
      </c>
      <c r="C368" t="str">
        <f>IF(DONNEES!$E368="","",DONNEES!C368)</f>
        <v/>
      </c>
      <c r="D368" t="str">
        <f>IF(DONNEES!$E368="","",DONNEES!E368)</f>
        <v/>
      </c>
      <c r="E368" t="str">
        <f>IF(DONNEES!$E368="","",DONNEES!F368)</f>
        <v/>
      </c>
      <c r="F368" t="str">
        <f>IF(DONNEES!$E368="","",DONNEES!G368)</f>
        <v/>
      </c>
      <c r="G368" t="str">
        <f>IF(DONNEES!$E368="","",DONNEES!H368)</f>
        <v/>
      </c>
      <c r="H368" t="str">
        <f>IF(DONNEES!$E368="","",DONNEES!I368)</f>
        <v/>
      </c>
      <c r="I368" t="str">
        <f>IF(DONNEES!$E368="","",DONNEES!J368)</f>
        <v/>
      </c>
      <c r="J368" t="str">
        <f>IF(DONNEES!$E368="","",DONNEES!K368)</f>
        <v/>
      </c>
      <c r="K368" t="str">
        <f>IF(DONNEES!$E368="","",DONNEES!L368)</f>
        <v/>
      </c>
      <c r="L368" t="str">
        <f>IF(DONNEES!$E368="","",DONNEES!M368)</f>
        <v/>
      </c>
      <c r="M368" t="str">
        <f>IF(DONNEES!$E368="","",DONNEES!N368)</f>
        <v/>
      </c>
      <c r="N368" t="str">
        <f>IF(DONNEES!$E368="","",DONNEES!O368)</f>
        <v/>
      </c>
      <c r="O368" t="str">
        <f>IF(DONNEES!$E368="","",DONNEES!P368)</f>
        <v/>
      </c>
      <c r="P368" t="str">
        <f>IF(DONNEES!$E368="","",DONNEES!Q368)</f>
        <v/>
      </c>
      <c r="Q368" t="str">
        <f>IF(DONNEES!$E368="","",DONNEES!R368)</f>
        <v/>
      </c>
      <c r="R368" t="str">
        <f>IF(DONNEES!$E368="","",DONNEES!S368)</f>
        <v/>
      </c>
      <c r="S368" t="str">
        <f>IF(DONNEES!$E368="","",DONNEES!T368)</f>
        <v/>
      </c>
      <c r="T368" t="str">
        <f>IF(DONNEES!$E368="","",DONNEES!U368)</f>
        <v/>
      </c>
      <c r="U368" t="str">
        <f>IF(DONNEES!$E368="","",DONNEES!V368)</f>
        <v/>
      </c>
      <c r="V368" t="str">
        <f>IF(DONNEES!$E368="","",DONNEES!W368)</f>
        <v/>
      </c>
      <c r="W368" t="str">
        <f>IF(DONNEES!$E368="","",DONNEES!X368)</f>
        <v/>
      </c>
      <c r="X368" t="str">
        <f>IF(DONNEES!$E368="","",DONNEES!Y368)</f>
        <v/>
      </c>
      <c r="Y368" t="str">
        <f>IF(DONNEES!$E368="","",DONNEES!Z368)</f>
        <v/>
      </c>
      <c r="Z368" t="str">
        <f>IF(DONNEES!$E368="","",DONNEES!AQ368)</f>
        <v/>
      </c>
    </row>
    <row r="369" spans="1:26" ht="15" customHeight="1" x14ac:dyDescent="0.3">
      <c r="A369" t="str">
        <f>IF(DONNEES!$E369="","",DONNEES!A369)</f>
        <v/>
      </c>
      <c r="B369" t="str">
        <f>IF(DONNEES!$E369="","",DONNEES!B369)</f>
        <v/>
      </c>
      <c r="C369" t="str">
        <f>IF(DONNEES!$E369="","",DONNEES!C369)</f>
        <v/>
      </c>
      <c r="D369" t="str">
        <f>IF(DONNEES!$E369="","",DONNEES!E369)</f>
        <v/>
      </c>
      <c r="E369" t="str">
        <f>IF(DONNEES!$E369="","",DONNEES!F369)</f>
        <v/>
      </c>
      <c r="F369" t="str">
        <f>IF(DONNEES!$E369="","",DONNEES!G369)</f>
        <v/>
      </c>
      <c r="G369" t="str">
        <f>IF(DONNEES!$E369="","",DONNEES!H369)</f>
        <v/>
      </c>
      <c r="H369" t="str">
        <f>IF(DONNEES!$E369="","",DONNEES!I369)</f>
        <v/>
      </c>
      <c r="I369" t="str">
        <f>IF(DONNEES!$E369="","",DONNEES!J369)</f>
        <v/>
      </c>
      <c r="J369" t="str">
        <f>IF(DONNEES!$E369="","",DONNEES!K369)</f>
        <v/>
      </c>
      <c r="K369" t="str">
        <f>IF(DONNEES!$E369="","",DONNEES!L369)</f>
        <v/>
      </c>
      <c r="L369" t="str">
        <f>IF(DONNEES!$E369="","",DONNEES!M369)</f>
        <v/>
      </c>
      <c r="M369" t="str">
        <f>IF(DONNEES!$E369="","",DONNEES!N369)</f>
        <v/>
      </c>
      <c r="N369" t="str">
        <f>IF(DONNEES!$E369="","",DONNEES!O369)</f>
        <v/>
      </c>
      <c r="O369" t="str">
        <f>IF(DONNEES!$E369="","",DONNEES!P369)</f>
        <v/>
      </c>
      <c r="P369" t="str">
        <f>IF(DONNEES!$E369="","",DONNEES!Q369)</f>
        <v/>
      </c>
      <c r="Q369" t="str">
        <f>IF(DONNEES!$E369="","",DONNEES!R369)</f>
        <v/>
      </c>
      <c r="R369" t="str">
        <f>IF(DONNEES!$E369="","",DONNEES!S369)</f>
        <v/>
      </c>
      <c r="S369" t="str">
        <f>IF(DONNEES!$E369="","",DONNEES!T369)</f>
        <v/>
      </c>
      <c r="T369" t="str">
        <f>IF(DONNEES!$E369="","",DONNEES!U369)</f>
        <v/>
      </c>
      <c r="U369" t="str">
        <f>IF(DONNEES!$E369="","",DONNEES!V369)</f>
        <v/>
      </c>
      <c r="V369" t="str">
        <f>IF(DONNEES!$E369="","",DONNEES!W369)</f>
        <v/>
      </c>
      <c r="W369" t="str">
        <f>IF(DONNEES!$E369="","",DONNEES!X369)</f>
        <v/>
      </c>
      <c r="X369" t="str">
        <f>IF(DONNEES!$E369="","",DONNEES!Y369)</f>
        <v/>
      </c>
      <c r="Y369" t="str">
        <f>IF(DONNEES!$E369="","",DONNEES!Z369)</f>
        <v/>
      </c>
      <c r="Z369" t="str">
        <f>IF(DONNEES!$E369="","",DONNEES!AQ369)</f>
        <v/>
      </c>
    </row>
    <row r="370" spans="1:26" ht="15" customHeight="1" x14ac:dyDescent="0.3">
      <c r="A370" t="str">
        <f>IF(DONNEES!$E370="","",DONNEES!A370)</f>
        <v/>
      </c>
      <c r="B370" t="str">
        <f>IF(DONNEES!$E370="","",DONNEES!B370)</f>
        <v/>
      </c>
      <c r="C370" t="str">
        <f>IF(DONNEES!$E370="","",DONNEES!C370)</f>
        <v/>
      </c>
      <c r="D370" t="str">
        <f>IF(DONNEES!$E370="","",DONNEES!E370)</f>
        <v/>
      </c>
      <c r="E370" t="str">
        <f>IF(DONNEES!$E370="","",DONNEES!F370)</f>
        <v/>
      </c>
      <c r="F370" t="str">
        <f>IF(DONNEES!$E370="","",DONNEES!G370)</f>
        <v/>
      </c>
      <c r="G370" t="str">
        <f>IF(DONNEES!$E370="","",DONNEES!H370)</f>
        <v/>
      </c>
      <c r="H370" t="str">
        <f>IF(DONNEES!$E370="","",DONNEES!I370)</f>
        <v/>
      </c>
      <c r="I370" t="str">
        <f>IF(DONNEES!$E370="","",DONNEES!J370)</f>
        <v/>
      </c>
      <c r="J370" t="str">
        <f>IF(DONNEES!$E370="","",DONNEES!K370)</f>
        <v/>
      </c>
      <c r="K370" t="str">
        <f>IF(DONNEES!$E370="","",DONNEES!L370)</f>
        <v/>
      </c>
      <c r="L370" t="str">
        <f>IF(DONNEES!$E370="","",DONNEES!M370)</f>
        <v/>
      </c>
      <c r="M370" t="str">
        <f>IF(DONNEES!$E370="","",DONNEES!N370)</f>
        <v/>
      </c>
      <c r="N370" t="str">
        <f>IF(DONNEES!$E370="","",DONNEES!O370)</f>
        <v/>
      </c>
      <c r="O370" t="str">
        <f>IF(DONNEES!$E370="","",DONNEES!P370)</f>
        <v/>
      </c>
      <c r="P370" t="str">
        <f>IF(DONNEES!$E370="","",DONNEES!Q370)</f>
        <v/>
      </c>
      <c r="Q370" t="str">
        <f>IF(DONNEES!$E370="","",DONNEES!R370)</f>
        <v/>
      </c>
      <c r="R370" t="str">
        <f>IF(DONNEES!$E370="","",DONNEES!S370)</f>
        <v/>
      </c>
      <c r="S370" t="str">
        <f>IF(DONNEES!$E370="","",DONNEES!T370)</f>
        <v/>
      </c>
      <c r="T370" t="str">
        <f>IF(DONNEES!$E370="","",DONNEES!U370)</f>
        <v/>
      </c>
      <c r="U370" t="str">
        <f>IF(DONNEES!$E370="","",DONNEES!V370)</f>
        <v/>
      </c>
      <c r="V370" t="str">
        <f>IF(DONNEES!$E370="","",DONNEES!W370)</f>
        <v/>
      </c>
      <c r="W370" t="str">
        <f>IF(DONNEES!$E370="","",DONNEES!X370)</f>
        <v/>
      </c>
      <c r="X370" t="str">
        <f>IF(DONNEES!$E370="","",DONNEES!Y370)</f>
        <v/>
      </c>
      <c r="Y370" t="str">
        <f>IF(DONNEES!$E370="","",DONNEES!Z370)</f>
        <v/>
      </c>
      <c r="Z370" t="str">
        <f>IF(DONNEES!$E370="","",DONNEES!AQ370)</f>
        <v/>
      </c>
    </row>
    <row r="371" spans="1:26" ht="15" customHeight="1" x14ac:dyDescent="0.3">
      <c r="A371" t="str">
        <f>IF(DONNEES!$E371="","",DONNEES!A371)</f>
        <v/>
      </c>
      <c r="B371" t="str">
        <f>IF(DONNEES!$E371="","",DONNEES!B371)</f>
        <v/>
      </c>
      <c r="C371" t="str">
        <f>IF(DONNEES!$E371="","",DONNEES!C371)</f>
        <v/>
      </c>
      <c r="D371" t="str">
        <f>IF(DONNEES!$E371="","",DONNEES!E371)</f>
        <v/>
      </c>
      <c r="E371" t="str">
        <f>IF(DONNEES!$E371="","",DONNEES!F371)</f>
        <v/>
      </c>
      <c r="F371" t="str">
        <f>IF(DONNEES!$E371="","",DONNEES!G371)</f>
        <v/>
      </c>
      <c r="G371" t="str">
        <f>IF(DONNEES!$E371="","",DONNEES!H371)</f>
        <v/>
      </c>
      <c r="H371" t="str">
        <f>IF(DONNEES!$E371="","",DONNEES!I371)</f>
        <v/>
      </c>
      <c r="I371" t="str">
        <f>IF(DONNEES!$E371="","",DONNEES!J371)</f>
        <v/>
      </c>
      <c r="J371" t="str">
        <f>IF(DONNEES!$E371="","",DONNEES!K371)</f>
        <v/>
      </c>
      <c r="K371" t="str">
        <f>IF(DONNEES!$E371="","",DONNEES!L371)</f>
        <v/>
      </c>
      <c r="L371" t="str">
        <f>IF(DONNEES!$E371="","",DONNEES!M371)</f>
        <v/>
      </c>
      <c r="M371" t="str">
        <f>IF(DONNEES!$E371="","",DONNEES!N371)</f>
        <v/>
      </c>
      <c r="N371" t="str">
        <f>IF(DONNEES!$E371="","",DONNEES!O371)</f>
        <v/>
      </c>
      <c r="O371" t="str">
        <f>IF(DONNEES!$E371="","",DONNEES!P371)</f>
        <v/>
      </c>
      <c r="P371" t="str">
        <f>IF(DONNEES!$E371="","",DONNEES!Q371)</f>
        <v/>
      </c>
      <c r="Q371" t="str">
        <f>IF(DONNEES!$E371="","",DONNEES!R371)</f>
        <v/>
      </c>
      <c r="R371" t="str">
        <f>IF(DONNEES!$E371="","",DONNEES!S371)</f>
        <v/>
      </c>
      <c r="S371" t="str">
        <f>IF(DONNEES!$E371="","",DONNEES!T371)</f>
        <v/>
      </c>
      <c r="T371" t="str">
        <f>IF(DONNEES!$E371="","",DONNEES!U371)</f>
        <v/>
      </c>
      <c r="U371" t="str">
        <f>IF(DONNEES!$E371="","",DONNEES!V371)</f>
        <v/>
      </c>
      <c r="V371" t="str">
        <f>IF(DONNEES!$E371="","",DONNEES!W371)</f>
        <v/>
      </c>
      <c r="W371" t="str">
        <f>IF(DONNEES!$E371="","",DONNEES!X371)</f>
        <v/>
      </c>
      <c r="X371" t="str">
        <f>IF(DONNEES!$E371="","",DONNEES!Y371)</f>
        <v/>
      </c>
      <c r="Y371" t="str">
        <f>IF(DONNEES!$E371="","",DONNEES!Z371)</f>
        <v/>
      </c>
      <c r="Z371" t="str">
        <f>IF(DONNEES!$E371="","",DONNEES!AQ371)</f>
        <v/>
      </c>
    </row>
    <row r="372" spans="1:26" ht="15" customHeight="1" x14ac:dyDescent="0.3">
      <c r="A372" t="str">
        <f>IF(DONNEES!$E372="","",DONNEES!A372)</f>
        <v/>
      </c>
      <c r="B372" t="str">
        <f>IF(DONNEES!$E372="","",DONNEES!B372)</f>
        <v/>
      </c>
      <c r="C372" t="str">
        <f>IF(DONNEES!$E372="","",DONNEES!C372)</f>
        <v/>
      </c>
      <c r="D372" t="str">
        <f>IF(DONNEES!$E372="","",DONNEES!E372)</f>
        <v/>
      </c>
      <c r="E372" t="str">
        <f>IF(DONNEES!$E372="","",DONNEES!F372)</f>
        <v/>
      </c>
      <c r="F372" t="str">
        <f>IF(DONNEES!$E372="","",DONNEES!G372)</f>
        <v/>
      </c>
      <c r="G372" t="str">
        <f>IF(DONNEES!$E372="","",DONNEES!H372)</f>
        <v/>
      </c>
      <c r="H372" t="str">
        <f>IF(DONNEES!$E372="","",DONNEES!I372)</f>
        <v/>
      </c>
      <c r="I372" t="str">
        <f>IF(DONNEES!$E372="","",DONNEES!J372)</f>
        <v/>
      </c>
      <c r="J372" t="str">
        <f>IF(DONNEES!$E372="","",DONNEES!K372)</f>
        <v/>
      </c>
      <c r="K372" t="str">
        <f>IF(DONNEES!$E372="","",DONNEES!L372)</f>
        <v/>
      </c>
      <c r="L372" t="str">
        <f>IF(DONNEES!$E372="","",DONNEES!M372)</f>
        <v/>
      </c>
      <c r="M372" t="str">
        <f>IF(DONNEES!$E372="","",DONNEES!N372)</f>
        <v/>
      </c>
      <c r="N372" t="str">
        <f>IF(DONNEES!$E372="","",DONNEES!O372)</f>
        <v/>
      </c>
      <c r="O372" t="str">
        <f>IF(DONNEES!$E372="","",DONNEES!P372)</f>
        <v/>
      </c>
      <c r="P372" t="str">
        <f>IF(DONNEES!$E372="","",DONNEES!Q372)</f>
        <v/>
      </c>
      <c r="Q372" t="str">
        <f>IF(DONNEES!$E372="","",DONNEES!R372)</f>
        <v/>
      </c>
      <c r="R372" t="str">
        <f>IF(DONNEES!$E372="","",DONNEES!S372)</f>
        <v/>
      </c>
      <c r="S372" t="str">
        <f>IF(DONNEES!$E372="","",DONNEES!T372)</f>
        <v/>
      </c>
      <c r="T372" t="str">
        <f>IF(DONNEES!$E372="","",DONNEES!U372)</f>
        <v/>
      </c>
      <c r="U372" t="str">
        <f>IF(DONNEES!$E372="","",DONNEES!V372)</f>
        <v/>
      </c>
      <c r="V372" t="str">
        <f>IF(DONNEES!$E372="","",DONNEES!W372)</f>
        <v/>
      </c>
      <c r="W372" t="str">
        <f>IF(DONNEES!$E372="","",DONNEES!X372)</f>
        <v/>
      </c>
      <c r="X372" t="str">
        <f>IF(DONNEES!$E372="","",DONNEES!Y372)</f>
        <v/>
      </c>
      <c r="Y372" t="str">
        <f>IF(DONNEES!$E372="","",DONNEES!Z372)</f>
        <v/>
      </c>
      <c r="Z372" t="str">
        <f>IF(DONNEES!$E372="","",DONNEES!AQ372)</f>
        <v/>
      </c>
    </row>
    <row r="373" spans="1:26" ht="15" customHeight="1" x14ac:dyDescent="0.3">
      <c r="A373" t="str">
        <f>IF(DONNEES!$E373="","",DONNEES!A373)</f>
        <v/>
      </c>
      <c r="B373" t="str">
        <f>IF(DONNEES!$E373="","",DONNEES!B373)</f>
        <v/>
      </c>
      <c r="C373" t="str">
        <f>IF(DONNEES!$E373="","",DONNEES!C373)</f>
        <v/>
      </c>
      <c r="D373" t="str">
        <f>IF(DONNEES!$E373="","",DONNEES!E373)</f>
        <v/>
      </c>
      <c r="E373" t="str">
        <f>IF(DONNEES!$E373="","",DONNEES!F373)</f>
        <v/>
      </c>
      <c r="F373" t="str">
        <f>IF(DONNEES!$E373="","",DONNEES!G373)</f>
        <v/>
      </c>
      <c r="G373" t="str">
        <f>IF(DONNEES!$E373="","",DONNEES!H373)</f>
        <v/>
      </c>
      <c r="H373" t="str">
        <f>IF(DONNEES!$E373="","",DONNEES!I373)</f>
        <v/>
      </c>
      <c r="I373" t="str">
        <f>IF(DONNEES!$E373="","",DONNEES!J373)</f>
        <v/>
      </c>
      <c r="J373" t="str">
        <f>IF(DONNEES!$E373="","",DONNEES!K373)</f>
        <v/>
      </c>
      <c r="K373" t="str">
        <f>IF(DONNEES!$E373="","",DONNEES!L373)</f>
        <v/>
      </c>
      <c r="L373" t="str">
        <f>IF(DONNEES!$E373="","",DONNEES!M373)</f>
        <v/>
      </c>
      <c r="M373" t="str">
        <f>IF(DONNEES!$E373="","",DONNEES!N373)</f>
        <v/>
      </c>
      <c r="N373" t="str">
        <f>IF(DONNEES!$E373="","",DONNEES!O373)</f>
        <v/>
      </c>
      <c r="O373" t="str">
        <f>IF(DONNEES!$E373="","",DONNEES!P373)</f>
        <v/>
      </c>
      <c r="P373" t="str">
        <f>IF(DONNEES!$E373="","",DONNEES!Q373)</f>
        <v/>
      </c>
      <c r="Q373" t="str">
        <f>IF(DONNEES!$E373="","",DONNEES!R373)</f>
        <v/>
      </c>
      <c r="R373" t="str">
        <f>IF(DONNEES!$E373="","",DONNEES!S373)</f>
        <v/>
      </c>
      <c r="S373" t="str">
        <f>IF(DONNEES!$E373="","",DONNEES!T373)</f>
        <v/>
      </c>
      <c r="T373" t="str">
        <f>IF(DONNEES!$E373="","",DONNEES!U373)</f>
        <v/>
      </c>
      <c r="U373" t="str">
        <f>IF(DONNEES!$E373="","",DONNEES!V373)</f>
        <v/>
      </c>
      <c r="V373" t="str">
        <f>IF(DONNEES!$E373="","",DONNEES!W373)</f>
        <v/>
      </c>
      <c r="W373" t="str">
        <f>IF(DONNEES!$E373="","",DONNEES!X373)</f>
        <v/>
      </c>
      <c r="X373" t="str">
        <f>IF(DONNEES!$E373="","",DONNEES!Y373)</f>
        <v/>
      </c>
      <c r="Y373" t="str">
        <f>IF(DONNEES!$E373="","",DONNEES!Z373)</f>
        <v/>
      </c>
      <c r="Z373" t="str">
        <f>IF(DONNEES!$E373="","",DONNEES!AQ373)</f>
        <v/>
      </c>
    </row>
    <row r="374" spans="1:26" ht="15" customHeight="1" x14ac:dyDescent="0.3">
      <c r="A374" t="str">
        <f>IF(DONNEES!$E374="","",DONNEES!A374)</f>
        <v/>
      </c>
      <c r="B374" t="str">
        <f>IF(DONNEES!$E374="","",DONNEES!B374)</f>
        <v/>
      </c>
      <c r="C374" t="str">
        <f>IF(DONNEES!$E374="","",DONNEES!C374)</f>
        <v/>
      </c>
      <c r="D374" t="str">
        <f>IF(DONNEES!$E374="","",DONNEES!E374)</f>
        <v/>
      </c>
      <c r="E374" t="str">
        <f>IF(DONNEES!$E374="","",DONNEES!F374)</f>
        <v/>
      </c>
      <c r="F374" t="str">
        <f>IF(DONNEES!$E374="","",DONNEES!G374)</f>
        <v/>
      </c>
      <c r="G374" t="str">
        <f>IF(DONNEES!$E374="","",DONNEES!H374)</f>
        <v/>
      </c>
      <c r="H374" t="str">
        <f>IF(DONNEES!$E374="","",DONNEES!I374)</f>
        <v/>
      </c>
      <c r="I374" t="str">
        <f>IF(DONNEES!$E374="","",DONNEES!J374)</f>
        <v/>
      </c>
      <c r="J374" t="str">
        <f>IF(DONNEES!$E374="","",DONNEES!K374)</f>
        <v/>
      </c>
      <c r="K374" t="str">
        <f>IF(DONNEES!$E374="","",DONNEES!L374)</f>
        <v/>
      </c>
      <c r="L374" t="str">
        <f>IF(DONNEES!$E374="","",DONNEES!M374)</f>
        <v/>
      </c>
      <c r="M374" t="str">
        <f>IF(DONNEES!$E374="","",DONNEES!N374)</f>
        <v/>
      </c>
      <c r="N374" t="str">
        <f>IF(DONNEES!$E374="","",DONNEES!O374)</f>
        <v/>
      </c>
      <c r="O374" t="str">
        <f>IF(DONNEES!$E374="","",DONNEES!P374)</f>
        <v/>
      </c>
      <c r="P374" t="str">
        <f>IF(DONNEES!$E374="","",DONNEES!Q374)</f>
        <v/>
      </c>
      <c r="Q374" t="str">
        <f>IF(DONNEES!$E374="","",DONNEES!R374)</f>
        <v/>
      </c>
      <c r="R374" t="str">
        <f>IF(DONNEES!$E374="","",DONNEES!S374)</f>
        <v/>
      </c>
      <c r="S374" t="str">
        <f>IF(DONNEES!$E374="","",DONNEES!T374)</f>
        <v/>
      </c>
      <c r="T374" t="str">
        <f>IF(DONNEES!$E374="","",DONNEES!U374)</f>
        <v/>
      </c>
      <c r="U374" t="str">
        <f>IF(DONNEES!$E374="","",DONNEES!V374)</f>
        <v/>
      </c>
      <c r="V374" t="str">
        <f>IF(DONNEES!$E374="","",DONNEES!W374)</f>
        <v/>
      </c>
      <c r="W374" t="str">
        <f>IF(DONNEES!$E374="","",DONNEES!X374)</f>
        <v/>
      </c>
      <c r="X374" t="str">
        <f>IF(DONNEES!$E374="","",DONNEES!Y374)</f>
        <v/>
      </c>
      <c r="Y374" t="str">
        <f>IF(DONNEES!$E374="","",DONNEES!Z374)</f>
        <v/>
      </c>
      <c r="Z374" t="str">
        <f>IF(DONNEES!$E374="","",DONNEES!AQ374)</f>
        <v/>
      </c>
    </row>
    <row r="375" spans="1:26" ht="15" customHeight="1" x14ac:dyDescent="0.3">
      <c r="A375" t="str">
        <f>IF(DONNEES!$E375="","",DONNEES!A375)</f>
        <v/>
      </c>
      <c r="B375" t="str">
        <f>IF(DONNEES!$E375="","",DONNEES!B375)</f>
        <v/>
      </c>
      <c r="C375" t="str">
        <f>IF(DONNEES!$E375="","",DONNEES!C375)</f>
        <v/>
      </c>
      <c r="D375" t="str">
        <f>IF(DONNEES!$E375="","",DONNEES!E375)</f>
        <v/>
      </c>
      <c r="E375" t="str">
        <f>IF(DONNEES!$E375="","",DONNEES!F375)</f>
        <v/>
      </c>
      <c r="F375" t="str">
        <f>IF(DONNEES!$E375="","",DONNEES!G375)</f>
        <v/>
      </c>
      <c r="G375" t="str">
        <f>IF(DONNEES!$E375="","",DONNEES!H375)</f>
        <v/>
      </c>
      <c r="H375" t="str">
        <f>IF(DONNEES!$E375="","",DONNEES!I375)</f>
        <v/>
      </c>
      <c r="I375" t="str">
        <f>IF(DONNEES!$E375="","",DONNEES!J375)</f>
        <v/>
      </c>
      <c r="J375" t="str">
        <f>IF(DONNEES!$E375="","",DONNEES!K375)</f>
        <v/>
      </c>
      <c r="K375" t="str">
        <f>IF(DONNEES!$E375="","",DONNEES!L375)</f>
        <v/>
      </c>
      <c r="L375" t="str">
        <f>IF(DONNEES!$E375="","",DONNEES!M375)</f>
        <v/>
      </c>
      <c r="M375" t="str">
        <f>IF(DONNEES!$E375="","",DONNEES!N375)</f>
        <v/>
      </c>
      <c r="N375" t="str">
        <f>IF(DONNEES!$E375="","",DONNEES!O375)</f>
        <v/>
      </c>
      <c r="O375" t="str">
        <f>IF(DONNEES!$E375="","",DONNEES!P375)</f>
        <v/>
      </c>
      <c r="P375" t="str">
        <f>IF(DONNEES!$E375="","",DONNEES!Q375)</f>
        <v/>
      </c>
      <c r="Q375" t="str">
        <f>IF(DONNEES!$E375="","",DONNEES!R375)</f>
        <v/>
      </c>
      <c r="R375" t="str">
        <f>IF(DONNEES!$E375="","",DONNEES!S375)</f>
        <v/>
      </c>
      <c r="S375" t="str">
        <f>IF(DONNEES!$E375="","",DONNEES!T375)</f>
        <v/>
      </c>
      <c r="T375" t="str">
        <f>IF(DONNEES!$E375="","",DONNEES!U375)</f>
        <v/>
      </c>
      <c r="U375" t="str">
        <f>IF(DONNEES!$E375="","",DONNEES!V375)</f>
        <v/>
      </c>
      <c r="V375" t="str">
        <f>IF(DONNEES!$E375="","",DONNEES!W375)</f>
        <v/>
      </c>
      <c r="W375" t="str">
        <f>IF(DONNEES!$E375="","",DONNEES!X375)</f>
        <v/>
      </c>
      <c r="X375" t="str">
        <f>IF(DONNEES!$E375="","",DONNEES!Y375)</f>
        <v/>
      </c>
      <c r="Y375" t="str">
        <f>IF(DONNEES!$E375="","",DONNEES!Z375)</f>
        <v/>
      </c>
      <c r="Z375" t="str">
        <f>IF(DONNEES!$E375="","",DONNEES!AQ375)</f>
        <v/>
      </c>
    </row>
    <row r="376" spans="1:26" ht="15" customHeight="1" x14ac:dyDescent="0.3">
      <c r="A376" t="str">
        <f>IF(DONNEES!$E376="","",DONNEES!A376)</f>
        <v/>
      </c>
      <c r="B376" t="str">
        <f>IF(DONNEES!$E376="","",DONNEES!B376)</f>
        <v/>
      </c>
      <c r="C376" t="str">
        <f>IF(DONNEES!$E376="","",DONNEES!C376)</f>
        <v/>
      </c>
      <c r="D376" t="str">
        <f>IF(DONNEES!$E376="","",DONNEES!E376)</f>
        <v/>
      </c>
      <c r="E376" t="str">
        <f>IF(DONNEES!$E376="","",DONNEES!F376)</f>
        <v/>
      </c>
      <c r="F376" t="str">
        <f>IF(DONNEES!$E376="","",DONNEES!G376)</f>
        <v/>
      </c>
      <c r="G376" t="str">
        <f>IF(DONNEES!$E376="","",DONNEES!H376)</f>
        <v/>
      </c>
      <c r="H376" t="str">
        <f>IF(DONNEES!$E376="","",DONNEES!I376)</f>
        <v/>
      </c>
      <c r="I376" t="str">
        <f>IF(DONNEES!$E376="","",DONNEES!J376)</f>
        <v/>
      </c>
      <c r="J376" t="str">
        <f>IF(DONNEES!$E376="","",DONNEES!K376)</f>
        <v/>
      </c>
      <c r="K376" t="str">
        <f>IF(DONNEES!$E376="","",DONNEES!L376)</f>
        <v/>
      </c>
      <c r="L376" t="str">
        <f>IF(DONNEES!$E376="","",DONNEES!M376)</f>
        <v/>
      </c>
      <c r="M376" t="str">
        <f>IF(DONNEES!$E376="","",DONNEES!N376)</f>
        <v/>
      </c>
      <c r="N376" t="str">
        <f>IF(DONNEES!$E376="","",DONNEES!O376)</f>
        <v/>
      </c>
      <c r="O376" t="str">
        <f>IF(DONNEES!$E376="","",DONNEES!P376)</f>
        <v/>
      </c>
      <c r="P376" t="str">
        <f>IF(DONNEES!$E376="","",DONNEES!Q376)</f>
        <v/>
      </c>
      <c r="Q376" t="str">
        <f>IF(DONNEES!$E376="","",DONNEES!R376)</f>
        <v/>
      </c>
      <c r="R376" t="str">
        <f>IF(DONNEES!$E376="","",DONNEES!S376)</f>
        <v/>
      </c>
      <c r="S376" t="str">
        <f>IF(DONNEES!$E376="","",DONNEES!T376)</f>
        <v/>
      </c>
      <c r="T376" t="str">
        <f>IF(DONNEES!$E376="","",DONNEES!U376)</f>
        <v/>
      </c>
      <c r="U376" t="str">
        <f>IF(DONNEES!$E376="","",DONNEES!V376)</f>
        <v/>
      </c>
      <c r="V376" t="str">
        <f>IF(DONNEES!$E376="","",DONNEES!W376)</f>
        <v/>
      </c>
      <c r="W376" t="str">
        <f>IF(DONNEES!$E376="","",DONNEES!X376)</f>
        <v/>
      </c>
      <c r="X376" t="str">
        <f>IF(DONNEES!$E376="","",DONNEES!Y376)</f>
        <v/>
      </c>
      <c r="Y376" t="str">
        <f>IF(DONNEES!$E376="","",DONNEES!Z376)</f>
        <v/>
      </c>
      <c r="Z376" t="str">
        <f>IF(DONNEES!$E376="","",DONNEES!AQ376)</f>
        <v/>
      </c>
    </row>
    <row r="377" spans="1:26" ht="15" customHeight="1" x14ac:dyDescent="0.3">
      <c r="A377" t="str">
        <f>IF(DONNEES!$E377="","",DONNEES!A377)</f>
        <v/>
      </c>
      <c r="B377" t="str">
        <f>IF(DONNEES!$E377="","",DONNEES!B377)</f>
        <v/>
      </c>
      <c r="C377" t="str">
        <f>IF(DONNEES!$E377="","",DONNEES!C377)</f>
        <v/>
      </c>
      <c r="D377" t="str">
        <f>IF(DONNEES!$E377="","",DONNEES!E377)</f>
        <v/>
      </c>
      <c r="E377" t="str">
        <f>IF(DONNEES!$E377="","",DONNEES!F377)</f>
        <v/>
      </c>
      <c r="F377" t="str">
        <f>IF(DONNEES!$E377="","",DONNEES!G377)</f>
        <v/>
      </c>
      <c r="G377" t="str">
        <f>IF(DONNEES!$E377="","",DONNEES!H377)</f>
        <v/>
      </c>
      <c r="H377" t="str">
        <f>IF(DONNEES!$E377="","",DONNEES!I377)</f>
        <v/>
      </c>
      <c r="I377" t="str">
        <f>IF(DONNEES!$E377="","",DONNEES!J377)</f>
        <v/>
      </c>
      <c r="J377" t="str">
        <f>IF(DONNEES!$E377="","",DONNEES!K377)</f>
        <v/>
      </c>
      <c r="K377" t="str">
        <f>IF(DONNEES!$E377="","",DONNEES!L377)</f>
        <v/>
      </c>
      <c r="L377" t="str">
        <f>IF(DONNEES!$E377="","",DONNEES!M377)</f>
        <v/>
      </c>
      <c r="M377" t="str">
        <f>IF(DONNEES!$E377="","",DONNEES!N377)</f>
        <v/>
      </c>
      <c r="N377" t="str">
        <f>IF(DONNEES!$E377="","",DONNEES!O377)</f>
        <v/>
      </c>
      <c r="O377" t="str">
        <f>IF(DONNEES!$E377="","",DONNEES!P377)</f>
        <v/>
      </c>
      <c r="P377" t="str">
        <f>IF(DONNEES!$E377="","",DONNEES!Q377)</f>
        <v/>
      </c>
      <c r="Q377" t="str">
        <f>IF(DONNEES!$E377="","",DONNEES!R377)</f>
        <v/>
      </c>
      <c r="R377" t="str">
        <f>IF(DONNEES!$E377="","",DONNEES!S377)</f>
        <v/>
      </c>
      <c r="S377" t="str">
        <f>IF(DONNEES!$E377="","",DONNEES!T377)</f>
        <v/>
      </c>
      <c r="T377" t="str">
        <f>IF(DONNEES!$E377="","",DONNEES!U377)</f>
        <v/>
      </c>
      <c r="U377" t="str">
        <f>IF(DONNEES!$E377="","",DONNEES!V377)</f>
        <v/>
      </c>
      <c r="V377" t="str">
        <f>IF(DONNEES!$E377="","",DONNEES!W377)</f>
        <v/>
      </c>
      <c r="W377" t="str">
        <f>IF(DONNEES!$E377="","",DONNEES!X377)</f>
        <v/>
      </c>
      <c r="X377" t="str">
        <f>IF(DONNEES!$E377="","",DONNEES!Y377)</f>
        <v/>
      </c>
      <c r="Y377" t="str">
        <f>IF(DONNEES!$E377="","",DONNEES!Z377)</f>
        <v/>
      </c>
      <c r="Z377" t="str">
        <f>IF(DONNEES!$E377="","",DONNEES!AQ377)</f>
        <v/>
      </c>
    </row>
    <row r="378" spans="1:26" ht="15" customHeight="1" x14ac:dyDescent="0.3">
      <c r="A378" t="str">
        <f>IF(DONNEES!$E378="","",DONNEES!A378)</f>
        <v/>
      </c>
      <c r="B378" t="str">
        <f>IF(DONNEES!$E378="","",DONNEES!B378)</f>
        <v/>
      </c>
      <c r="C378" t="str">
        <f>IF(DONNEES!$E378="","",DONNEES!C378)</f>
        <v/>
      </c>
      <c r="D378" t="str">
        <f>IF(DONNEES!$E378="","",DONNEES!E378)</f>
        <v/>
      </c>
      <c r="E378" t="str">
        <f>IF(DONNEES!$E378="","",DONNEES!F378)</f>
        <v/>
      </c>
      <c r="F378" t="str">
        <f>IF(DONNEES!$E378="","",DONNEES!G378)</f>
        <v/>
      </c>
      <c r="G378" t="str">
        <f>IF(DONNEES!$E378="","",DONNEES!H378)</f>
        <v/>
      </c>
      <c r="H378" t="str">
        <f>IF(DONNEES!$E378="","",DONNEES!I378)</f>
        <v/>
      </c>
      <c r="I378" t="str">
        <f>IF(DONNEES!$E378="","",DONNEES!J378)</f>
        <v/>
      </c>
      <c r="J378" t="str">
        <f>IF(DONNEES!$E378="","",DONNEES!K378)</f>
        <v/>
      </c>
      <c r="K378" t="str">
        <f>IF(DONNEES!$E378="","",DONNEES!L378)</f>
        <v/>
      </c>
      <c r="L378" t="str">
        <f>IF(DONNEES!$E378="","",DONNEES!M378)</f>
        <v/>
      </c>
      <c r="M378" t="str">
        <f>IF(DONNEES!$E378="","",DONNEES!N378)</f>
        <v/>
      </c>
      <c r="N378" t="str">
        <f>IF(DONNEES!$E378="","",DONNEES!O378)</f>
        <v/>
      </c>
      <c r="O378" t="str">
        <f>IF(DONNEES!$E378="","",DONNEES!P378)</f>
        <v/>
      </c>
      <c r="P378" t="str">
        <f>IF(DONNEES!$E378="","",DONNEES!Q378)</f>
        <v/>
      </c>
      <c r="Q378" t="str">
        <f>IF(DONNEES!$E378="","",DONNEES!R378)</f>
        <v/>
      </c>
      <c r="R378" t="str">
        <f>IF(DONNEES!$E378="","",DONNEES!S378)</f>
        <v/>
      </c>
      <c r="S378" t="str">
        <f>IF(DONNEES!$E378="","",DONNEES!T378)</f>
        <v/>
      </c>
      <c r="T378" t="str">
        <f>IF(DONNEES!$E378="","",DONNEES!U378)</f>
        <v/>
      </c>
      <c r="U378" t="str">
        <f>IF(DONNEES!$E378="","",DONNEES!V378)</f>
        <v/>
      </c>
      <c r="V378" t="str">
        <f>IF(DONNEES!$E378="","",DONNEES!W378)</f>
        <v/>
      </c>
      <c r="W378" t="str">
        <f>IF(DONNEES!$E378="","",DONNEES!X378)</f>
        <v/>
      </c>
      <c r="X378" t="str">
        <f>IF(DONNEES!$E378="","",DONNEES!Y378)</f>
        <v/>
      </c>
      <c r="Y378" t="str">
        <f>IF(DONNEES!$E378="","",DONNEES!Z378)</f>
        <v/>
      </c>
      <c r="Z378" t="str">
        <f>IF(DONNEES!$E378="","",DONNEES!AQ378)</f>
        <v/>
      </c>
    </row>
    <row r="379" spans="1:26" ht="15" customHeight="1" x14ac:dyDescent="0.3">
      <c r="A379" t="str">
        <f>IF(DONNEES!$E379="","",DONNEES!A379)</f>
        <v/>
      </c>
      <c r="B379" t="str">
        <f>IF(DONNEES!$E379="","",DONNEES!B379)</f>
        <v/>
      </c>
      <c r="C379" t="str">
        <f>IF(DONNEES!$E379="","",DONNEES!C379)</f>
        <v/>
      </c>
      <c r="D379" t="str">
        <f>IF(DONNEES!$E379="","",DONNEES!E379)</f>
        <v/>
      </c>
      <c r="E379" t="str">
        <f>IF(DONNEES!$E379="","",DONNEES!F379)</f>
        <v/>
      </c>
      <c r="F379" t="str">
        <f>IF(DONNEES!$E379="","",DONNEES!G379)</f>
        <v/>
      </c>
      <c r="G379" t="str">
        <f>IF(DONNEES!$E379="","",DONNEES!H379)</f>
        <v/>
      </c>
      <c r="H379" t="str">
        <f>IF(DONNEES!$E379="","",DONNEES!I379)</f>
        <v/>
      </c>
      <c r="I379" t="str">
        <f>IF(DONNEES!$E379="","",DONNEES!J379)</f>
        <v/>
      </c>
      <c r="J379" t="str">
        <f>IF(DONNEES!$E379="","",DONNEES!K379)</f>
        <v/>
      </c>
      <c r="K379" t="str">
        <f>IF(DONNEES!$E379="","",DONNEES!L379)</f>
        <v/>
      </c>
      <c r="L379" t="str">
        <f>IF(DONNEES!$E379="","",DONNEES!M379)</f>
        <v/>
      </c>
      <c r="M379" t="str">
        <f>IF(DONNEES!$E379="","",DONNEES!N379)</f>
        <v/>
      </c>
      <c r="N379" t="str">
        <f>IF(DONNEES!$E379="","",DONNEES!O379)</f>
        <v/>
      </c>
      <c r="O379" t="str">
        <f>IF(DONNEES!$E379="","",DONNEES!P379)</f>
        <v/>
      </c>
      <c r="P379" t="str">
        <f>IF(DONNEES!$E379="","",DONNEES!Q379)</f>
        <v/>
      </c>
      <c r="Q379" t="str">
        <f>IF(DONNEES!$E379="","",DONNEES!R379)</f>
        <v/>
      </c>
      <c r="R379" t="str">
        <f>IF(DONNEES!$E379="","",DONNEES!S379)</f>
        <v/>
      </c>
      <c r="S379" t="str">
        <f>IF(DONNEES!$E379="","",DONNEES!T379)</f>
        <v/>
      </c>
      <c r="T379" t="str">
        <f>IF(DONNEES!$E379="","",DONNEES!U379)</f>
        <v/>
      </c>
      <c r="U379" t="str">
        <f>IF(DONNEES!$E379="","",DONNEES!V379)</f>
        <v/>
      </c>
      <c r="V379" t="str">
        <f>IF(DONNEES!$E379="","",DONNEES!W379)</f>
        <v/>
      </c>
      <c r="W379" t="str">
        <f>IF(DONNEES!$E379="","",DONNEES!X379)</f>
        <v/>
      </c>
      <c r="X379" t="str">
        <f>IF(DONNEES!$E379="","",DONNEES!Y379)</f>
        <v/>
      </c>
      <c r="Y379" t="str">
        <f>IF(DONNEES!$E379="","",DONNEES!Z379)</f>
        <v/>
      </c>
      <c r="Z379" t="str">
        <f>IF(DONNEES!$E379="","",DONNEES!AQ379)</f>
        <v/>
      </c>
    </row>
    <row r="380" spans="1:26" ht="15" customHeight="1" x14ac:dyDescent="0.3">
      <c r="A380" t="str">
        <f>IF(DONNEES!$E380="","",DONNEES!A380)</f>
        <v/>
      </c>
      <c r="B380" t="str">
        <f>IF(DONNEES!$E380="","",DONNEES!B380)</f>
        <v/>
      </c>
      <c r="C380" t="str">
        <f>IF(DONNEES!$E380="","",DONNEES!C380)</f>
        <v/>
      </c>
      <c r="D380" t="str">
        <f>IF(DONNEES!$E380="","",DONNEES!E380)</f>
        <v/>
      </c>
      <c r="E380" t="str">
        <f>IF(DONNEES!$E380="","",DONNEES!F380)</f>
        <v/>
      </c>
      <c r="F380" t="str">
        <f>IF(DONNEES!$E380="","",DONNEES!G380)</f>
        <v/>
      </c>
      <c r="G380" t="str">
        <f>IF(DONNEES!$E380="","",DONNEES!H380)</f>
        <v/>
      </c>
      <c r="H380" t="str">
        <f>IF(DONNEES!$E380="","",DONNEES!I380)</f>
        <v/>
      </c>
      <c r="I380" t="str">
        <f>IF(DONNEES!$E380="","",DONNEES!J380)</f>
        <v/>
      </c>
      <c r="J380" t="str">
        <f>IF(DONNEES!$E380="","",DONNEES!K380)</f>
        <v/>
      </c>
      <c r="K380" t="str">
        <f>IF(DONNEES!$E380="","",DONNEES!L380)</f>
        <v/>
      </c>
      <c r="L380" t="str">
        <f>IF(DONNEES!$E380="","",DONNEES!M380)</f>
        <v/>
      </c>
      <c r="M380" t="str">
        <f>IF(DONNEES!$E380="","",DONNEES!N380)</f>
        <v/>
      </c>
      <c r="N380" t="str">
        <f>IF(DONNEES!$E380="","",DONNEES!O380)</f>
        <v/>
      </c>
      <c r="O380" t="str">
        <f>IF(DONNEES!$E380="","",DONNEES!P380)</f>
        <v/>
      </c>
      <c r="P380" t="str">
        <f>IF(DONNEES!$E380="","",DONNEES!Q380)</f>
        <v/>
      </c>
      <c r="Q380" t="str">
        <f>IF(DONNEES!$E380="","",DONNEES!R380)</f>
        <v/>
      </c>
      <c r="R380" t="str">
        <f>IF(DONNEES!$E380="","",DONNEES!S380)</f>
        <v/>
      </c>
      <c r="S380" t="str">
        <f>IF(DONNEES!$E380="","",DONNEES!T380)</f>
        <v/>
      </c>
      <c r="T380" t="str">
        <f>IF(DONNEES!$E380="","",DONNEES!U380)</f>
        <v/>
      </c>
      <c r="U380" t="str">
        <f>IF(DONNEES!$E380="","",DONNEES!V380)</f>
        <v/>
      </c>
      <c r="V380" t="str">
        <f>IF(DONNEES!$E380="","",DONNEES!W380)</f>
        <v/>
      </c>
      <c r="W380" t="str">
        <f>IF(DONNEES!$E380="","",DONNEES!X380)</f>
        <v/>
      </c>
      <c r="X380" t="str">
        <f>IF(DONNEES!$E380="","",DONNEES!Y380)</f>
        <v/>
      </c>
      <c r="Y380" t="str">
        <f>IF(DONNEES!$E380="","",DONNEES!Z380)</f>
        <v/>
      </c>
      <c r="Z380" t="str">
        <f>IF(DONNEES!$E380="","",DONNEES!AQ380)</f>
        <v/>
      </c>
    </row>
    <row r="381" spans="1:26" ht="15" customHeight="1" x14ac:dyDescent="0.3">
      <c r="A381" t="str">
        <f>IF(DONNEES!$E381="","",DONNEES!A381)</f>
        <v/>
      </c>
      <c r="B381" t="str">
        <f>IF(DONNEES!$E381="","",DONNEES!B381)</f>
        <v/>
      </c>
      <c r="C381" t="str">
        <f>IF(DONNEES!$E381="","",DONNEES!C381)</f>
        <v/>
      </c>
      <c r="D381" t="str">
        <f>IF(DONNEES!$E381="","",DONNEES!E381)</f>
        <v/>
      </c>
      <c r="E381" t="str">
        <f>IF(DONNEES!$E381="","",DONNEES!F381)</f>
        <v/>
      </c>
      <c r="F381" t="str">
        <f>IF(DONNEES!$E381="","",DONNEES!G381)</f>
        <v/>
      </c>
      <c r="G381" t="str">
        <f>IF(DONNEES!$E381="","",DONNEES!H381)</f>
        <v/>
      </c>
      <c r="H381" t="str">
        <f>IF(DONNEES!$E381="","",DONNEES!I381)</f>
        <v/>
      </c>
      <c r="I381" t="str">
        <f>IF(DONNEES!$E381="","",DONNEES!J381)</f>
        <v/>
      </c>
      <c r="J381" t="str">
        <f>IF(DONNEES!$E381="","",DONNEES!K381)</f>
        <v/>
      </c>
      <c r="K381" t="str">
        <f>IF(DONNEES!$E381="","",DONNEES!L381)</f>
        <v/>
      </c>
      <c r="L381" t="str">
        <f>IF(DONNEES!$E381="","",DONNEES!M381)</f>
        <v/>
      </c>
      <c r="M381" t="str">
        <f>IF(DONNEES!$E381="","",DONNEES!N381)</f>
        <v/>
      </c>
      <c r="N381" t="str">
        <f>IF(DONNEES!$E381="","",DONNEES!O381)</f>
        <v/>
      </c>
      <c r="O381" t="str">
        <f>IF(DONNEES!$E381="","",DONNEES!P381)</f>
        <v/>
      </c>
      <c r="P381" t="str">
        <f>IF(DONNEES!$E381="","",DONNEES!Q381)</f>
        <v/>
      </c>
      <c r="Q381" t="str">
        <f>IF(DONNEES!$E381="","",DONNEES!R381)</f>
        <v/>
      </c>
      <c r="R381" t="str">
        <f>IF(DONNEES!$E381="","",DONNEES!S381)</f>
        <v/>
      </c>
      <c r="S381" t="str">
        <f>IF(DONNEES!$E381="","",DONNEES!T381)</f>
        <v/>
      </c>
      <c r="T381" t="str">
        <f>IF(DONNEES!$E381="","",DONNEES!U381)</f>
        <v/>
      </c>
      <c r="U381" t="str">
        <f>IF(DONNEES!$E381="","",DONNEES!V381)</f>
        <v/>
      </c>
      <c r="V381" t="str">
        <f>IF(DONNEES!$E381="","",DONNEES!W381)</f>
        <v/>
      </c>
      <c r="W381" t="str">
        <f>IF(DONNEES!$E381="","",DONNEES!X381)</f>
        <v/>
      </c>
      <c r="X381" t="str">
        <f>IF(DONNEES!$E381="","",DONNEES!Y381)</f>
        <v/>
      </c>
      <c r="Y381" t="str">
        <f>IF(DONNEES!$E381="","",DONNEES!Z381)</f>
        <v/>
      </c>
      <c r="Z381" t="str">
        <f>IF(DONNEES!$E381="","",DONNEES!AQ381)</f>
        <v/>
      </c>
    </row>
    <row r="382" spans="1:26" ht="15" customHeight="1" x14ac:dyDescent="0.3">
      <c r="A382" t="str">
        <f>IF(DONNEES!$E382="","",DONNEES!A382)</f>
        <v/>
      </c>
      <c r="B382" t="str">
        <f>IF(DONNEES!$E382="","",DONNEES!B382)</f>
        <v/>
      </c>
      <c r="C382" t="str">
        <f>IF(DONNEES!$E382="","",DONNEES!C382)</f>
        <v/>
      </c>
      <c r="D382" t="str">
        <f>IF(DONNEES!$E382="","",DONNEES!E382)</f>
        <v/>
      </c>
      <c r="E382" t="str">
        <f>IF(DONNEES!$E382="","",DONNEES!F382)</f>
        <v/>
      </c>
      <c r="F382" t="str">
        <f>IF(DONNEES!$E382="","",DONNEES!G382)</f>
        <v/>
      </c>
      <c r="G382" t="str">
        <f>IF(DONNEES!$E382="","",DONNEES!H382)</f>
        <v/>
      </c>
      <c r="H382" t="str">
        <f>IF(DONNEES!$E382="","",DONNEES!I382)</f>
        <v/>
      </c>
      <c r="I382" t="str">
        <f>IF(DONNEES!$E382="","",DONNEES!J382)</f>
        <v/>
      </c>
      <c r="J382" t="str">
        <f>IF(DONNEES!$E382="","",DONNEES!K382)</f>
        <v/>
      </c>
      <c r="K382" t="str">
        <f>IF(DONNEES!$E382="","",DONNEES!L382)</f>
        <v/>
      </c>
      <c r="L382" t="str">
        <f>IF(DONNEES!$E382="","",DONNEES!M382)</f>
        <v/>
      </c>
      <c r="M382" t="str">
        <f>IF(DONNEES!$E382="","",DONNEES!N382)</f>
        <v/>
      </c>
      <c r="N382" t="str">
        <f>IF(DONNEES!$E382="","",DONNEES!O382)</f>
        <v/>
      </c>
      <c r="O382" t="str">
        <f>IF(DONNEES!$E382="","",DONNEES!P382)</f>
        <v/>
      </c>
      <c r="P382" t="str">
        <f>IF(DONNEES!$E382="","",DONNEES!Q382)</f>
        <v/>
      </c>
      <c r="Q382" t="str">
        <f>IF(DONNEES!$E382="","",DONNEES!R382)</f>
        <v/>
      </c>
      <c r="R382" t="str">
        <f>IF(DONNEES!$E382="","",DONNEES!S382)</f>
        <v/>
      </c>
      <c r="S382" t="str">
        <f>IF(DONNEES!$E382="","",DONNEES!T382)</f>
        <v/>
      </c>
      <c r="T382" t="str">
        <f>IF(DONNEES!$E382="","",DONNEES!U382)</f>
        <v/>
      </c>
      <c r="U382" t="str">
        <f>IF(DONNEES!$E382="","",DONNEES!V382)</f>
        <v/>
      </c>
      <c r="V382" t="str">
        <f>IF(DONNEES!$E382="","",DONNEES!W382)</f>
        <v/>
      </c>
      <c r="W382" t="str">
        <f>IF(DONNEES!$E382="","",DONNEES!X382)</f>
        <v/>
      </c>
      <c r="X382" t="str">
        <f>IF(DONNEES!$E382="","",DONNEES!Y382)</f>
        <v/>
      </c>
      <c r="Y382" t="str">
        <f>IF(DONNEES!$E382="","",DONNEES!Z382)</f>
        <v/>
      </c>
      <c r="Z382" t="str">
        <f>IF(DONNEES!$E382="","",DONNEES!AQ382)</f>
        <v/>
      </c>
    </row>
    <row r="383" spans="1:26" ht="15" customHeight="1" x14ac:dyDescent="0.3">
      <c r="A383" t="str">
        <f>IF(DONNEES!$E383="","",DONNEES!A383)</f>
        <v/>
      </c>
      <c r="B383" t="str">
        <f>IF(DONNEES!$E383="","",DONNEES!B383)</f>
        <v/>
      </c>
      <c r="C383" t="str">
        <f>IF(DONNEES!$E383="","",DONNEES!C383)</f>
        <v/>
      </c>
      <c r="D383" t="str">
        <f>IF(DONNEES!$E383="","",DONNEES!E383)</f>
        <v/>
      </c>
      <c r="E383" t="str">
        <f>IF(DONNEES!$E383="","",DONNEES!F383)</f>
        <v/>
      </c>
      <c r="F383" t="str">
        <f>IF(DONNEES!$E383="","",DONNEES!G383)</f>
        <v/>
      </c>
      <c r="G383" t="str">
        <f>IF(DONNEES!$E383="","",DONNEES!H383)</f>
        <v/>
      </c>
      <c r="H383" t="str">
        <f>IF(DONNEES!$E383="","",DONNEES!I383)</f>
        <v/>
      </c>
      <c r="I383" t="str">
        <f>IF(DONNEES!$E383="","",DONNEES!J383)</f>
        <v/>
      </c>
      <c r="J383" t="str">
        <f>IF(DONNEES!$E383="","",DONNEES!K383)</f>
        <v/>
      </c>
      <c r="K383" t="str">
        <f>IF(DONNEES!$E383="","",DONNEES!L383)</f>
        <v/>
      </c>
      <c r="L383" t="str">
        <f>IF(DONNEES!$E383="","",DONNEES!M383)</f>
        <v/>
      </c>
      <c r="M383" t="str">
        <f>IF(DONNEES!$E383="","",DONNEES!N383)</f>
        <v/>
      </c>
      <c r="N383" t="str">
        <f>IF(DONNEES!$E383="","",DONNEES!O383)</f>
        <v/>
      </c>
      <c r="O383" t="str">
        <f>IF(DONNEES!$E383="","",DONNEES!P383)</f>
        <v/>
      </c>
      <c r="P383" t="str">
        <f>IF(DONNEES!$E383="","",DONNEES!Q383)</f>
        <v/>
      </c>
      <c r="Q383" t="str">
        <f>IF(DONNEES!$E383="","",DONNEES!R383)</f>
        <v/>
      </c>
      <c r="R383" t="str">
        <f>IF(DONNEES!$E383="","",DONNEES!S383)</f>
        <v/>
      </c>
      <c r="S383" t="str">
        <f>IF(DONNEES!$E383="","",DONNEES!T383)</f>
        <v/>
      </c>
      <c r="T383" t="str">
        <f>IF(DONNEES!$E383="","",DONNEES!U383)</f>
        <v/>
      </c>
      <c r="U383" t="str">
        <f>IF(DONNEES!$E383="","",DONNEES!V383)</f>
        <v/>
      </c>
      <c r="V383" t="str">
        <f>IF(DONNEES!$E383="","",DONNEES!W383)</f>
        <v/>
      </c>
      <c r="W383" t="str">
        <f>IF(DONNEES!$E383="","",DONNEES!X383)</f>
        <v/>
      </c>
      <c r="X383" t="str">
        <f>IF(DONNEES!$E383="","",DONNEES!Y383)</f>
        <v/>
      </c>
      <c r="Y383" t="str">
        <f>IF(DONNEES!$E383="","",DONNEES!Z383)</f>
        <v/>
      </c>
      <c r="Z383" t="str">
        <f>IF(DONNEES!$E383="","",DONNEES!AQ383)</f>
        <v/>
      </c>
    </row>
    <row r="384" spans="1:26" ht="15" customHeight="1" x14ac:dyDescent="0.3">
      <c r="A384" t="str">
        <f>IF(DONNEES!$E384="","",DONNEES!A384)</f>
        <v/>
      </c>
      <c r="B384" t="str">
        <f>IF(DONNEES!$E384="","",DONNEES!B384)</f>
        <v/>
      </c>
      <c r="C384" t="str">
        <f>IF(DONNEES!$E384="","",DONNEES!C384)</f>
        <v/>
      </c>
      <c r="D384" t="str">
        <f>IF(DONNEES!$E384="","",DONNEES!E384)</f>
        <v/>
      </c>
      <c r="E384" t="str">
        <f>IF(DONNEES!$E384="","",DONNEES!F384)</f>
        <v/>
      </c>
      <c r="F384" t="str">
        <f>IF(DONNEES!$E384="","",DONNEES!G384)</f>
        <v/>
      </c>
      <c r="G384" t="str">
        <f>IF(DONNEES!$E384="","",DONNEES!H384)</f>
        <v/>
      </c>
      <c r="H384" t="str">
        <f>IF(DONNEES!$E384="","",DONNEES!I384)</f>
        <v/>
      </c>
      <c r="I384" t="str">
        <f>IF(DONNEES!$E384="","",DONNEES!J384)</f>
        <v/>
      </c>
      <c r="J384" t="str">
        <f>IF(DONNEES!$E384="","",DONNEES!K384)</f>
        <v/>
      </c>
      <c r="K384" t="str">
        <f>IF(DONNEES!$E384="","",DONNEES!L384)</f>
        <v/>
      </c>
      <c r="L384" t="str">
        <f>IF(DONNEES!$E384="","",DONNEES!M384)</f>
        <v/>
      </c>
      <c r="M384" t="str">
        <f>IF(DONNEES!$E384="","",DONNEES!N384)</f>
        <v/>
      </c>
      <c r="N384" t="str">
        <f>IF(DONNEES!$E384="","",DONNEES!O384)</f>
        <v/>
      </c>
      <c r="O384" t="str">
        <f>IF(DONNEES!$E384="","",DONNEES!P384)</f>
        <v/>
      </c>
      <c r="P384" t="str">
        <f>IF(DONNEES!$E384="","",DONNEES!Q384)</f>
        <v/>
      </c>
      <c r="Q384" t="str">
        <f>IF(DONNEES!$E384="","",DONNEES!R384)</f>
        <v/>
      </c>
      <c r="R384" t="str">
        <f>IF(DONNEES!$E384="","",DONNEES!S384)</f>
        <v/>
      </c>
      <c r="S384" t="str">
        <f>IF(DONNEES!$E384="","",DONNEES!T384)</f>
        <v/>
      </c>
      <c r="T384" t="str">
        <f>IF(DONNEES!$E384="","",DONNEES!U384)</f>
        <v/>
      </c>
      <c r="U384" t="str">
        <f>IF(DONNEES!$E384="","",DONNEES!V384)</f>
        <v/>
      </c>
      <c r="V384" t="str">
        <f>IF(DONNEES!$E384="","",DONNEES!W384)</f>
        <v/>
      </c>
      <c r="W384" t="str">
        <f>IF(DONNEES!$E384="","",DONNEES!X384)</f>
        <v/>
      </c>
      <c r="X384" t="str">
        <f>IF(DONNEES!$E384="","",DONNEES!Y384)</f>
        <v/>
      </c>
      <c r="Y384" t="str">
        <f>IF(DONNEES!$E384="","",DONNEES!Z384)</f>
        <v/>
      </c>
      <c r="Z384" t="str">
        <f>IF(DONNEES!$E384="","",DONNEES!AQ384)</f>
        <v/>
      </c>
    </row>
    <row r="385" spans="1:26" ht="15" customHeight="1" x14ac:dyDescent="0.3">
      <c r="A385" t="str">
        <f>IF(DONNEES!$E385="","",DONNEES!A385)</f>
        <v/>
      </c>
      <c r="B385" t="str">
        <f>IF(DONNEES!$E385="","",DONNEES!B385)</f>
        <v/>
      </c>
      <c r="C385" t="str">
        <f>IF(DONNEES!$E385="","",DONNEES!C385)</f>
        <v/>
      </c>
      <c r="D385" t="str">
        <f>IF(DONNEES!$E385="","",DONNEES!E385)</f>
        <v/>
      </c>
      <c r="E385" t="str">
        <f>IF(DONNEES!$E385="","",DONNEES!F385)</f>
        <v/>
      </c>
      <c r="F385" t="str">
        <f>IF(DONNEES!$E385="","",DONNEES!G385)</f>
        <v/>
      </c>
      <c r="G385" t="str">
        <f>IF(DONNEES!$E385="","",DONNEES!H385)</f>
        <v/>
      </c>
      <c r="H385" t="str">
        <f>IF(DONNEES!$E385="","",DONNEES!I385)</f>
        <v/>
      </c>
      <c r="I385" t="str">
        <f>IF(DONNEES!$E385="","",DONNEES!J385)</f>
        <v/>
      </c>
      <c r="J385" t="str">
        <f>IF(DONNEES!$E385="","",DONNEES!K385)</f>
        <v/>
      </c>
      <c r="K385" t="str">
        <f>IF(DONNEES!$E385="","",DONNEES!L385)</f>
        <v/>
      </c>
      <c r="L385" t="str">
        <f>IF(DONNEES!$E385="","",DONNEES!M385)</f>
        <v/>
      </c>
      <c r="M385" t="str">
        <f>IF(DONNEES!$E385="","",DONNEES!N385)</f>
        <v/>
      </c>
      <c r="N385" t="str">
        <f>IF(DONNEES!$E385="","",DONNEES!O385)</f>
        <v/>
      </c>
      <c r="O385" t="str">
        <f>IF(DONNEES!$E385="","",DONNEES!P385)</f>
        <v/>
      </c>
      <c r="P385" t="str">
        <f>IF(DONNEES!$E385="","",DONNEES!Q385)</f>
        <v/>
      </c>
      <c r="Q385" t="str">
        <f>IF(DONNEES!$E385="","",DONNEES!R385)</f>
        <v/>
      </c>
      <c r="R385" t="str">
        <f>IF(DONNEES!$E385="","",DONNEES!S385)</f>
        <v/>
      </c>
      <c r="S385" t="str">
        <f>IF(DONNEES!$E385="","",DONNEES!T385)</f>
        <v/>
      </c>
      <c r="T385" t="str">
        <f>IF(DONNEES!$E385="","",DONNEES!U385)</f>
        <v/>
      </c>
      <c r="U385" t="str">
        <f>IF(DONNEES!$E385="","",DONNEES!V385)</f>
        <v/>
      </c>
      <c r="V385" t="str">
        <f>IF(DONNEES!$E385="","",DONNEES!W385)</f>
        <v/>
      </c>
      <c r="W385" t="str">
        <f>IF(DONNEES!$E385="","",DONNEES!X385)</f>
        <v/>
      </c>
      <c r="X385" t="str">
        <f>IF(DONNEES!$E385="","",DONNEES!Y385)</f>
        <v/>
      </c>
      <c r="Y385" t="str">
        <f>IF(DONNEES!$E385="","",DONNEES!Z385)</f>
        <v/>
      </c>
      <c r="Z385" t="str">
        <f>IF(DONNEES!$E385="","",DONNEES!AQ385)</f>
        <v/>
      </c>
    </row>
    <row r="386" spans="1:26" ht="15" customHeight="1" x14ac:dyDescent="0.3">
      <c r="A386" t="str">
        <f>IF(DONNEES!$E386="","",DONNEES!A386)</f>
        <v/>
      </c>
      <c r="B386" t="str">
        <f>IF(DONNEES!$E386="","",DONNEES!B386)</f>
        <v/>
      </c>
      <c r="C386" t="str">
        <f>IF(DONNEES!$E386="","",DONNEES!C386)</f>
        <v/>
      </c>
      <c r="D386" t="str">
        <f>IF(DONNEES!$E386="","",DONNEES!E386)</f>
        <v/>
      </c>
      <c r="E386" t="str">
        <f>IF(DONNEES!$E386="","",DONNEES!F386)</f>
        <v/>
      </c>
      <c r="F386" t="str">
        <f>IF(DONNEES!$E386="","",DONNEES!G386)</f>
        <v/>
      </c>
      <c r="G386" t="str">
        <f>IF(DONNEES!$E386="","",DONNEES!H386)</f>
        <v/>
      </c>
      <c r="H386" t="str">
        <f>IF(DONNEES!$E386="","",DONNEES!I386)</f>
        <v/>
      </c>
      <c r="I386" t="str">
        <f>IF(DONNEES!$E386="","",DONNEES!J386)</f>
        <v/>
      </c>
      <c r="J386" t="str">
        <f>IF(DONNEES!$E386="","",DONNEES!K386)</f>
        <v/>
      </c>
      <c r="K386" t="str">
        <f>IF(DONNEES!$E386="","",DONNEES!L386)</f>
        <v/>
      </c>
      <c r="L386" t="str">
        <f>IF(DONNEES!$E386="","",DONNEES!M386)</f>
        <v/>
      </c>
      <c r="M386" t="str">
        <f>IF(DONNEES!$E386="","",DONNEES!N386)</f>
        <v/>
      </c>
      <c r="N386" t="str">
        <f>IF(DONNEES!$E386="","",DONNEES!O386)</f>
        <v/>
      </c>
      <c r="O386" t="str">
        <f>IF(DONNEES!$E386="","",DONNEES!P386)</f>
        <v/>
      </c>
      <c r="P386" t="str">
        <f>IF(DONNEES!$E386="","",DONNEES!Q386)</f>
        <v/>
      </c>
      <c r="Q386" t="str">
        <f>IF(DONNEES!$E386="","",DONNEES!R386)</f>
        <v/>
      </c>
      <c r="R386" t="str">
        <f>IF(DONNEES!$E386="","",DONNEES!S386)</f>
        <v/>
      </c>
      <c r="S386" t="str">
        <f>IF(DONNEES!$E386="","",DONNEES!T386)</f>
        <v/>
      </c>
      <c r="T386" t="str">
        <f>IF(DONNEES!$E386="","",DONNEES!U386)</f>
        <v/>
      </c>
      <c r="U386" t="str">
        <f>IF(DONNEES!$E386="","",DONNEES!V386)</f>
        <v/>
      </c>
      <c r="V386" t="str">
        <f>IF(DONNEES!$E386="","",DONNEES!W386)</f>
        <v/>
      </c>
      <c r="W386" t="str">
        <f>IF(DONNEES!$E386="","",DONNEES!X386)</f>
        <v/>
      </c>
      <c r="X386" t="str">
        <f>IF(DONNEES!$E386="","",DONNEES!Y386)</f>
        <v/>
      </c>
      <c r="Y386" t="str">
        <f>IF(DONNEES!$E386="","",DONNEES!Z386)</f>
        <v/>
      </c>
      <c r="Z386" t="str">
        <f>IF(DONNEES!$E386="","",DONNEES!AQ386)</f>
        <v/>
      </c>
    </row>
    <row r="387" spans="1:26" ht="15" customHeight="1" x14ac:dyDescent="0.3">
      <c r="A387" t="str">
        <f>IF(DONNEES!$E387="","",DONNEES!A387)</f>
        <v/>
      </c>
      <c r="B387" t="str">
        <f>IF(DONNEES!$E387="","",DONNEES!B387)</f>
        <v/>
      </c>
      <c r="C387" t="str">
        <f>IF(DONNEES!$E387="","",DONNEES!C387)</f>
        <v/>
      </c>
      <c r="D387" t="str">
        <f>IF(DONNEES!$E387="","",DONNEES!E387)</f>
        <v/>
      </c>
      <c r="E387" t="str">
        <f>IF(DONNEES!$E387="","",DONNEES!F387)</f>
        <v/>
      </c>
      <c r="F387" t="str">
        <f>IF(DONNEES!$E387="","",DONNEES!G387)</f>
        <v/>
      </c>
      <c r="G387" t="str">
        <f>IF(DONNEES!$E387="","",DONNEES!H387)</f>
        <v/>
      </c>
      <c r="H387" t="str">
        <f>IF(DONNEES!$E387="","",DONNEES!I387)</f>
        <v/>
      </c>
      <c r="I387" t="str">
        <f>IF(DONNEES!$E387="","",DONNEES!J387)</f>
        <v/>
      </c>
      <c r="J387" t="str">
        <f>IF(DONNEES!$E387="","",DONNEES!K387)</f>
        <v/>
      </c>
      <c r="K387" t="str">
        <f>IF(DONNEES!$E387="","",DONNEES!L387)</f>
        <v/>
      </c>
      <c r="L387" t="str">
        <f>IF(DONNEES!$E387="","",DONNEES!M387)</f>
        <v/>
      </c>
      <c r="M387" t="str">
        <f>IF(DONNEES!$E387="","",DONNEES!N387)</f>
        <v/>
      </c>
      <c r="N387" t="str">
        <f>IF(DONNEES!$E387="","",DONNEES!O387)</f>
        <v/>
      </c>
      <c r="O387" t="str">
        <f>IF(DONNEES!$E387="","",DONNEES!P387)</f>
        <v/>
      </c>
      <c r="P387" t="str">
        <f>IF(DONNEES!$E387="","",DONNEES!Q387)</f>
        <v/>
      </c>
      <c r="Q387" t="str">
        <f>IF(DONNEES!$E387="","",DONNEES!R387)</f>
        <v/>
      </c>
      <c r="R387" t="str">
        <f>IF(DONNEES!$E387="","",DONNEES!S387)</f>
        <v/>
      </c>
      <c r="S387" t="str">
        <f>IF(DONNEES!$E387="","",DONNEES!T387)</f>
        <v/>
      </c>
      <c r="T387" t="str">
        <f>IF(DONNEES!$E387="","",DONNEES!U387)</f>
        <v/>
      </c>
      <c r="U387" t="str">
        <f>IF(DONNEES!$E387="","",DONNEES!V387)</f>
        <v/>
      </c>
      <c r="V387" t="str">
        <f>IF(DONNEES!$E387="","",DONNEES!W387)</f>
        <v/>
      </c>
      <c r="W387" t="str">
        <f>IF(DONNEES!$E387="","",DONNEES!X387)</f>
        <v/>
      </c>
      <c r="X387" t="str">
        <f>IF(DONNEES!$E387="","",DONNEES!Y387)</f>
        <v/>
      </c>
      <c r="Y387" t="str">
        <f>IF(DONNEES!$E387="","",DONNEES!Z387)</f>
        <v/>
      </c>
      <c r="Z387" t="str">
        <f>IF(DONNEES!$E387="","",DONNEES!AQ387)</f>
        <v/>
      </c>
    </row>
    <row r="388" spans="1:26" ht="15" customHeight="1" x14ac:dyDescent="0.3">
      <c r="A388" t="str">
        <f>IF(DONNEES!$E388="","",DONNEES!A388)</f>
        <v/>
      </c>
      <c r="B388" t="str">
        <f>IF(DONNEES!$E388="","",DONNEES!B388)</f>
        <v/>
      </c>
      <c r="C388" t="str">
        <f>IF(DONNEES!$E388="","",DONNEES!C388)</f>
        <v/>
      </c>
      <c r="D388" t="str">
        <f>IF(DONNEES!$E388="","",DONNEES!E388)</f>
        <v/>
      </c>
      <c r="E388" t="str">
        <f>IF(DONNEES!$E388="","",DONNEES!F388)</f>
        <v/>
      </c>
      <c r="F388" t="str">
        <f>IF(DONNEES!$E388="","",DONNEES!G388)</f>
        <v/>
      </c>
      <c r="G388" t="str">
        <f>IF(DONNEES!$E388="","",DONNEES!H388)</f>
        <v/>
      </c>
      <c r="H388" t="str">
        <f>IF(DONNEES!$E388="","",DONNEES!I388)</f>
        <v/>
      </c>
      <c r="I388" t="str">
        <f>IF(DONNEES!$E388="","",DONNEES!J388)</f>
        <v/>
      </c>
      <c r="J388" t="str">
        <f>IF(DONNEES!$E388="","",DONNEES!K388)</f>
        <v/>
      </c>
      <c r="K388" t="str">
        <f>IF(DONNEES!$E388="","",DONNEES!L388)</f>
        <v/>
      </c>
      <c r="L388" t="str">
        <f>IF(DONNEES!$E388="","",DONNEES!M388)</f>
        <v/>
      </c>
      <c r="M388" t="str">
        <f>IF(DONNEES!$E388="","",DONNEES!N388)</f>
        <v/>
      </c>
      <c r="N388" t="str">
        <f>IF(DONNEES!$E388="","",DONNEES!O388)</f>
        <v/>
      </c>
      <c r="O388" t="str">
        <f>IF(DONNEES!$E388="","",DONNEES!P388)</f>
        <v/>
      </c>
      <c r="P388" t="str">
        <f>IF(DONNEES!$E388="","",DONNEES!Q388)</f>
        <v/>
      </c>
      <c r="Q388" t="str">
        <f>IF(DONNEES!$E388="","",DONNEES!R388)</f>
        <v/>
      </c>
      <c r="R388" t="str">
        <f>IF(DONNEES!$E388="","",DONNEES!S388)</f>
        <v/>
      </c>
      <c r="S388" t="str">
        <f>IF(DONNEES!$E388="","",DONNEES!T388)</f>
        <v/>
      </c>
      <c r="T388" t="str">
        <f>IF(DONNEES!$E388="","",DONNEES!U388)</f>
        <v/>
      </c>
      <c r="U388" t="str">
        <f>IF(DONNEES!$E388="","",DONNEES!V388)</f>
        <v/>
      </c>
      <c r="V388" t="str">
        <f>IF(DONNEES!$E388="","",DONNEES!W388)</f>
        <v/>
      </c>
      <c r="W388" t="str">
        <f>IF(DONNEES!$E388="","",DONNEES!X388)</f>
        <v/>
      </c>
      <c r="X388" t="str">
        <f>IF(DONNEES!$E388="","",DONNEES!Y388)</f>
        <v/>
      </c>
      <c r="Y388" t="str">
        <f>IF(DONNEES!$E388="","",DONNEES!Z388)</f>
        <v/>
      </c>
      <c r="Z388" t="str">
        <f>IF(DONNEES!$E388="","",DONNEES!AQ388)</f>
        <v/>
      </c>
    </row>
    <row r="389" spans="1:26" ht="15" customHeight="1" x14ac:dyDescent="0.3">
      <c r="A389" t="str">
        <f>IF(DONNEES!$E389="","",DONNEES!A389)</f>
        <v/>
      </c>
      <c r="B389" t="str">
        <f>IF(DONNEES!$E389="","",DONNEES!B389)</f>
        <v/>
      </c>
      <c r="C389" t="str">
        <f>IF(DONNEES!$E389="","",DONNEES!C389)</f>
        <v/>
      </c>
      <c r="D389" t="str">
        <f>IF(DONNEES!$E389="","",DONNEES!E389)</f>
        <v/>
      </c>
      <c r="E389" t="str">
        <f>IF(DONNEES!$E389="","",DONNEES!F389)</f>
        <v/>
      </c>
      <c r="F389" t="str">
        <f>IF(DONNEES!$E389="","",DONNEES!G389)</f>
        <v/>
      </c>
      <c r="G389" t="str">
        <f>IF(DONNEES!$E389="","",DONNEES!H389)</f>
        <v/>
      </c>
      <c r="H389" t="str">
        <f>IF(DONNEES!$E389="","",DONNEES!I389)</f>
        <v/>
      </c>
      <c r="I389" t="str">
        <f>IF(DONNEES!$E389="","",DONNEES!J389)</f>
        <v/>
      </c>
      <c r="J389" t="str">
        <f>IF(DONNEES!$E389="","",DONNEES!K389)</f>
        <v/>
      </c>
      <c r="K389" t="str">
        <f>IF(DONNEES!$E389="","",DONNEES!L389)</f>
        <v/>
      </c>
      <c r="L389" t="str">
        <f>IF(DONNEES!$E389="","",DONNEES!M389)</f>
        <v/>
      </c>
      <c r="M389" t="str">
        <f>IF(DONNEES!$E389="","",DONNEES!N389)</f>
        <v/>
      </c>
      <c r="N389" t="str">
        <f>IF(DONNEES!$E389="","",DONNEES!O389)</f>
        <v/>
      </c>
      <c r="O389" t="str">
        <f>IF(DONNEES!$E389="","",DONNEES!P389)</f>
        <v/>
      </c>
      <c r="P389" t="str">
        <f>IF(DONNEES!$E389="","",DONNEES!Q389)</f>
        <v/>
      </c>
      <c r="Q389" t="str">
        <f>IF(DONNEES!$E389="","",DONNEES!R389)</f>
        <v/>
      </c>
      <c r="R389" t="str">
        <f>IF(DONNEES!$E389="","",DONNEES!S389)</f>
        <v/>
      </c>
      <c r="S389" t="str">
        <f>IF(DONNEES!$E389="","",DONNEES!T389)</f>
        <v/>
      </c>
      <c r="T389" t="str">
        <f>IF(DONNEES!$E389="","",DONNEES!U389)</f>
        <v/>
      </c>
      <c r="U389" t="str">
        <f>IF(DONNEES!$E389="","",DONNEES!V389)</f>
        <v/>
      </c>
      <c r="V389" t="str">
        <f>IF(DONNEES!$E389="","",DONNEES!W389)</f>
        <v/>
      </c>
      <c r="W389" t="str">
        <f>IF(DONNEES!$E389="","",DONNEES!X389)</f>
        <v/>
      </c>
      <c r="X389" t="str">
        <f>IF(DONNEES!$E389="","",DONNEES!Y389)</f>
        <v/>
      </c>
      <c r="Y389" t="str">
        <f>IF(DONNEES!$E389="","",DONNEES!Z389)</f>
        <v/>
      </c>
      <c r="Z389" t="str">
        <f>IF(DONNEES!$E389="","",DONNEES!AQ389)</f>
        <v/>
      </c>
    </row>
    <row r="390" spans="1:26" ht="15" customHeight="1" x14ac:dyDescent="0.3">
      <c r="A390" t="str">
        <f>IF(DONNEES!$E390="","",DONNEES!A390)</f>
        <v/>
      </c>
      <c r="B390" t="str">
        <f>IF(DONNEES!$E390="","",DONNEES!B390)</f>
        <v/>
      </c>
      <c r="C390" t="str">
        <f>IF(DONNEES!$E390="","",DONNEES!C390)</f>
        <v/>
      </c>
      <c r="D390" t="str">
        <f>IF(DONNEES!$E390="","",DONNEES!E390)</f>
        <v/>
      </c>
      <c r="E390" t="str">
        <f>IF(DONNEES!$E390="","",DONNEES!F390)</f>
        <v/>
      </c>
      <c r="F390" t="str">
        <f>IF(DONNEES!$E390="","",DONNEES!G390)</f>
        <v/>
      </c>
      <c r="G390" t="str">
        <f>IF(DONNEES!$E390="","",DONNEES!H390)</f>
        <v/>
      </c>
      <c r="H390" t="str">
        <f>IF(DONNEES!$E390="","",DONNEES!I390)</f>
        <v/>
      </c>
      <c r="I390" t="str">
        <f>IF(DONNEES!$E390="","",DONNEES!J390)</f>
        <v/>
      </c>
      <c r="J390" t="str">
        <f>IF(DONNEES!$E390="","",DONNEES!K390)</f>
        <v/>
      </c>
      <c r="K390" t="str">
        <f>IF(DONNEES!$E390="","",DONNEES!L390)</f>
        <v/>
      </c>
      <c r="L390" t="str">
        <f>IF(DONNEES!$E390="","",DONNEES!M390)</f>
        <v/>
      </c>
      <c r="M390" t="str">
        <f>IF(DONNEES!$E390="","",DONNEES!N390)</f>
        <v/>
      </c>
      <c r="N390" t="str">
        <f>IF(DONNEES!$E390="","",DONNEES!O390)</f>
        <v/>
      </c>
      <c r="O390" t="str">
        <f>IF(DONNEES!$E390="","",DONNEES!P390)</f>
        <v/>
      </c>
      <c r="P390" t="str">
        <f>IF(DONNEES!$E390="","",DONNEES!Q390)</f>
        <v/>
      </c>
      <c r="Q390" t="str">
        <f>IF(DONNEES!$E390="","",DONNEES!R390)</f>
        <v/>
      </c>
      <c r="R390" t="str">
        <f>IF(DONNEES!$E390="","",DONNEES!S390)</f>
        <v/>
      </c>
      <c r="S390" t="str">
        <f>IF(DONNEES!$E390="","",DONNEES!T390)</f>
        <v/>
      </c>
      <c r="T390" t="str">
        <f>IF(DONNEES!$E390="","",DONNEES!U390)</f>
        <v/>
      </c>
      <c r="U390" t="str">
        <f>IF(DONNEES!$E390="","",DONNEES!V390)</f>
        <v/>
      </c>
      <c r="V390" t="str">
        <f>IF(DONNEES!$E390="","",DONNEES!W390)</f>
        <v/>
      </c>
      <c r="W390" t="str">
        <f>IF(DONNEES!$E390="","",DONNEES!X390)</f>
        <v/>
      </c>
      <c r="X390" t="str">
        <f>IF(DONNEES!$E390="","",DONNEES!Y390)</f>
        <v/>
      </c>
      <c r="Y390" t="str">
        <f>IF(DONNEES!$E390="","",DONNEES!Z390)</f>
        <v/>
      </c>
      <c r="Z390" t="str">
        <f>IF(DONNEES!$E390="","",DONNEES!AQ390)</f>
        <v/>
      </c>
    </row>
    <row r="391" spans="1:26" ht="15" customHeight="1" x14ac:dyDescent="0.3">
      <c r="A391" t="str">
        <f>IF(DONNEES!$E391="","",DONNEES!A391)</f>
        <v/>
      </c>
      <c r="B391" t="str">
        <f>IF(DONNEES!$E391="","",DONNEES!B391)</f>
        <v/>
      </c>
      <c r="C391" t="str">
        <f>IF(DONNEES!$E391="","",DONNEES!C391)</f>
        <v/>
      </c>
      <c r="D391" t="str">
        <f>IF(DONNEES!$E391="","",DONNEES!E391)</f>
        <v/>
      </c>
      <c r="E391" t="str">
        <f>IF(DONNEES!$E391="","",DONNEES!F391)</f>
        <v/>
      </c>
      <c r="F391" t="str">
        <f>IF(DONNEES!$E391="","",DONNEES!G391)</f>
        <v/>
      </c>
      <c r="G391" t="str">
        <f>IF(DONNEES!$E391="","",DONNEES!H391)</f>
        <v/>
      </c>
      <c r="H391" t="str">
        <f>IF(DONNEES!$E391="","",DONNEES!I391)</f>
        <v/>
      </c>
      <c r="I391" t="str">
        <f>IF(DONNEES!$E391="","",DONNEES!J391)</f>
        <v/>
      </c>
      <c r="J391" t="str">
        <f>IF(DONNEES!$E391="","",DONNEES!K391)</f>
        <v/>
      </c>
      <c r="K391" t="str">
        <f>IF(DONNEES!$E391="","",DONNEES!L391)</f>
        <v/>
      </c>
      <c r="L391" t="str">
        <f>IF(DONNEES!$E391="","",DONNEES!M391)</f>
        <v/>
      </c>
      <c r="M391" t="str">
        <f>IF(DONNEES!$E391="","",DONNEES!N391)</f>
        <v/>
      </c>
      <c r="N391" t="str">
        <f>IF(DONNEES!$E391="","",DONNEES!O391)</f>
        <v/>
      </c>
      <c r="O391" t="str">
        <f>IF(DONNEES!$E391="","",DONNEES!P391)</f>
        <v/>
      </c>
      <c r="P391" t="str">
        <f>IF(DONNEES!$E391="","",DONNEES!Q391)</f>
        <v/>
      </c>
      <c r="Q391" t="str">
        <f>IF(DONNEES!$E391="","",DONNEES!R391)</f>
        <v/>
      </c>
      <c r="R391" t="str">
        <f>IF(DONNEES!$E391="","",DONNEES!S391)</f>
        <v/>
      </c>
      <c r="S391" t="str">
        <f>IF(DONNEES!$E391="","",DONNEES!T391)</f>
        <v/>
      </c>
      <c r="T391" t="str">
        <f>IF(DONNEES!$E391="","",DONNEES!U391)</f>
        <v/>
      </c>
      <c r="U391" t="str">
        <f>IF(DONNEES!$E391="","",DONNEES!V391)</f>
        <v/>
      </c>
      <c r="V391" t="str">
        <f>IF(DONNEES!$E391="","",DONNEES!W391)</f>
        <v/>
      </c>
      <c r="W391" t="str">
        <f>IF(DONNEES!$E391="","",DONNEES!X391)</f>
        <v/>
      </c>
      <c r="X391" t="str">
        <f>IF(DONNEES!$E391="","",DONNEES!Y391)</f>
        <v/>
      </c>
      <c r="Y391" t="str">
        <f>IF(DONNEES!$E391="","",DONNEES!Z391)</f>
        <v/>
      </c>
      <c r="Z391" t="str">
        <f>IF(DONNEES!$E391="","",DONNEES!AQ391)</f>
        <v/>
      </c>
    </row>
    <row r="392" spans="1:26" ht="15" customHeight="1" x14ac:dyDescent="0.3">
      <c r="A392" t="str">
        <f>IF(DONNEES!$E392="","",DONNEES!A392)</f>
        <v/>
      </c>
      <c r="B392" t="str">
        <f>IF(DONNEES!$E392="","",DONNEES!B392)</f>
        <v/>
      </c>
      <c r="C392" t="str">
        <f>IF(DONNEES!$E392="","",DONNEES!C392)</f>
        <v/>
      </c>
      <c r="D392" t="str">
        <f>IF(DONNEES!$E392="","",DONNEES!E392)</f>
        <v/>
      </c>
      <c r="E392" t="str">
        <f>IF(DONNEES!$E392="","",DONNEES!F392)</f>
        <v/>
      </c>
      <c r="F392" t="str">
        <f>IF(DONNEES!$E392="","",DONNEES!G392)</f>
        <v/>
      </c>
      <c r="G392" t="str">
        <f>IF(DONNEES!$E392="","",DONNEES!H392)</f>
        <v/>
      </c>
      <c r="H392" t="str">
        <f>IF(DONNEES!$E392="","",DONNEES!I392)</f>
        <v/>
      </c>
      <c r="I392" t="str">
        <f>IF(DONNEES!$E392="","",DONNEES!J392)</f>
        <v/>
      </c>
      <c r="J392" t="str">
        <f>IF(DONNEES!$E392="","",DONNEES!K392)</f>
        <v/>
      </c>
      <c r="K392" t="str">
        <f>IF(DONNEES!$E392="","",DONNEES!L392)</f>
        <v/>
      </c>
      <c r="L392" t="str">
        <f>IF(DONNEES!$E392="","",DONNEES!M392)</f>
        <v/>
      </c>
      <c r="M392" t="str">
        <f>IF(DONNEES!$E392="","",DONNEES!N392)</f>
        <v/>
      </c>
      <c r="N392" t="str">
        <f>IF(DONNEES!$E392="","",DONNEES!O392)</f>
        <v/>
      </c>
      <c r="O392" t="str">
        <f>IF(DONNEES!$E392="","",DONNEES!P392)</f>
        <v/>
      </c>
      <c r="P392" t="str">
        <f>IF(DONNEES!$E392="","",DONNEES!Q392)</f>
        <v/>
      </c>
      <c r="Q392" t="str">
        <f>IF(DONNEES!$E392="","",DONNEES!R392)</f>
        <v/>
      </c>
      <c r="R392" t="str">
        <f>IF(DONNEES!$E392="","",DONNEES!S392)</f>
        <v/>
      </c>
      <c r="S392" t="str">
        <f>IF(DONNEES!$E392="","",DONNEES!T392)</f>
        <v/>
      </c>
      <c r="T392" t="str">
        <f>IF(DONNEES!$E392="","",DONNEES!U392)</f>
        <v/>
      </c>
      <c r="U392" t="str">
        <f>IF(DONNEES!$E392="","",DONNEES!V392)</f>
        <v/>
      </c>
      <c r="V392" t="str">
        <f>IF(DONNEES!$E392="","",DONNEES!W392)</f>
        <v/>
      </c>
      <c r="W392" t="str">
        <f>IF(DONNEES!$E392="","",DONNEES!X392)</f>
        <v/>
      </c>
      <c r="X392" t="str">
        <f>IF(DONNEES!$E392="","",DONNEES!Y392)</f>
        <v/>
      </c>
      <c r="Y392" t="str">
        <f>IF(DONNEES!$E392="","",DONNEES!Z392)</f>
        <v/>
      </c>
      <c r="Z392" t="str">
        <f>IF(DONNEES!$E392="","",DONNEES!AQ392)</f>
        <v/>
      </c>
    </row>
    <row r="393" spans="1:26" ht="15" customHeight="1" x14ac:dyDescent="0.3">
      <c r="A393" t="str">
        <f>IF(DONNEES!$E393="","",DONNEES!A393)</f>
        <v/>
      </c>
      <c r="B393" t="str">
        <f>IF(DONNEES!$E393="","",DONNEES!B393)</f>
        <v/>
      </c>
      <c r="C393" t="str">
        <f>IF(DONNEES!$E393="","",DONNEES!C393)</f>
        <v/>
      </c>
      <c r="D393" t="str">
        <f>IF(DONNEES!$E393="","",DONNEES!E393)</f>
        <v/>
      </c>
      <c r="E393" t="str">
        <f>IF(DONNEES!$E393="","",DONNEES!F393)</f>
        <v/>
      </c>
      <c r="F393" t="str">
        <f>IF(DONNEES!$E393="","",DONNEES!G393)</f>
        <v/>
      </c>
      <c r="G393" t="str">
        <f>IF(DONNEES!$E393="","",DONNEES!H393)</f>
        <v/>
      </c>
      <c r="H393" t="str">
        <f>IF(DONNEES!$E393="","",DONNEES!I393)</f>
        <v/>
      </c>
      <c r="I393" t="str">
        <f>IF(DONNEES!$E393="","",DONNEES!J393)</f>
        <v/>
      </c>
      <c r="J393" t="str">
        <f>IF(DONNEES!$E393="","",DONNEES!K393)</f>
        <v/>
      </c>
      <c r="K393" t="str">
        <f>IF(DONNEES!$E393="","",DONNEES!L393)</f>
        <v/>
      </c>
      <c r="L393" t="str">
        <f>IF(DONNEES!$E393="","",DONNEES!M393)</f>
        <v/>
      </c>
      <c r="M393" t="str">
        <f>IF(DONNEES!$E393="","",DONNEES!N393)</f>
        <v/>
      </c>
      <c r="N393" t="str">
        <f>IF(DONNEES!$E393="","",DONNEES!O393)</f>
        <v/>
      </c>
      <c r="O393" t="str">
        <f>IF(DONNEES!$E393="","",DONNEES!P393)</f>
        <v/>
      </c>
      <c r="P393" t="str">
        <f>IF(DONNEES!$E393="","",DONNEES!Q393)</f>
        <v/>
      </c>
      <c r="Q393" t="str">
        <f>IF(DONNEES!$E393="","",DONNEES!R393)</f>
        <v/>
      </c>
      <c r="R393" t="str">
        <f>IF(DONNEES!$E393="","",DONNEES!S393)</f>
        <v/>
      </c>
      <c r="S393" t="str">
        <f>IF(DONNEES!$E393="","",DONNEES!T393)</f>
        <v/>
      </c>
      <c r="T393" t="str">
        <f>IF(DONNEES!$E393="","",DONNEES!U393)</f>
        <v/>
      </c>
      <c r="U393" t="str">
        <f>IF(DONNEES!$E393="","",DONNEES!V393)</f>
        <v/>
      </c>
      <c r="V393" t="str">
        <f>IF(DONNEES!$E393="","",DONNEES!W393)</f>
        <v/>
      </c>
      <c r="W393" t="str">
        <f>IF(DONNEES!$E393="","",DONNEES!X393)</f>
        <v/>
      </c>
      <c r="X393" t="str">
        <f>IF(DONNEES!$E393="","",DONNEES!Y393)</f>
        <v/>
      </c>
      <c r="Y393" t="str">
        <f>IF(DONNEES!$E393="","",DONNEES!Z393)</f>
        <v/>
      </c>
      <c r="Z393" t="str">
        <f>IF(DONNEES!$E393="","",DONNEES!AQ393)</f>
        <v/>
      </c>
    </row>
    <row r="394" spans="1:26" ht="15" customHeight="1" x14ac:dyDescent="0.3">
      <c r="A394" t="str">
        <f>IF(DONNEES!$E394="","",DONNEES!A394)</f>
        <v/>
      </c>
      <c r="B394" t="str">
        <f>IF(DONNEES!$E394="","",DONNEES!B394)</f>
        <v/>
      </c>
      <c r="C394" t="str">
        <f>IF(DONNEES!$E394="","",DONNEES!C394)</f>
        <v/>
      </c>
      <c r="D394" t="str">
        <f>IF(DONNEES!$E394="","",DONNEES!E394)</f>
        <v/>
      </c>
      <c r="E394" t="str">
        <f>IF(DONNEES!$E394="","",DONNEES!F394)</f>
        <v/>
      </c>
      <c r="F394" t="str">
        <f>IF(DONNEES!$E394="","",DONNEES!G394)</f>
        <v/>
      </c>
      <c r="G394" t="str">
        <f>IF(DONNEES!$E394="","",DONNEES!H394)</f>
        <v/>
      </c>
      <c r="H394" t="str">
        <f>IF(DONNEES!$E394="","",DONNEES!I394)</f>
        <v/>
      </c>
      <c r="I394" t="str">
        <f>IF(DONNEES!$E394="","",DONNEES!J394)</f>
        <v/>
      </c>
      <c r="J394" t="str">
        <f>IF(DONNEES!$E394="","",DONNEES!K394)</f>
        <v/>
      </c>
      <c r="K394" t="str">
        <f>IF(DONNEES!$E394="","",DONNEES!L394)</f>
        <v/>
      </c>
      <c r="L394" t="str">
        <f>IF(DONNEES!$E394="","",DONNEES!M394)</f>
        <v/>
      </c>
      <c r="M394" t="str">
        <f>IF(DONNEES!$E394="","",DONNEES!N394)</f>
        <v/>
      </c>
      <c r="N394" t="str">
        <f>IF(DONNEES!$E394="","",DONNEES!O394)</f>
        <v/>
      </c>
      <c r="O394" t="str">
        <f>IF(DONNEES!$E394="","",DONNEES!P394)</f>
        <v/>
      </c>
      <c r="P394" t="str">
        <f>IF(DONNEES!$E394="","",DONNEES!Q394)</f>
        <v/>
      </c>
      <c r="Q394" t="str">
        <f>IF(DONNEES!$E394="","",DONNEES!R394)</f>
        <v/>
      </c>
      <c r="R394" t="str">
        <f>IF(DONNEES!$E394="","",DONNEES!S394)</f>
        <v/>
      </c>
      <c r="S394" t="str">
        <f>IF(DONNEES!$E394="","",DONNEES!T394)</f>
        <v/>
      </c>
      <c r="T394" t="str">
        <f>IF(DONNEES!$E394="","",DONNEES!U394)</f>
        <v/>
      </c>
      <c r="U394" t="str">
        <f>IF(DONNEES!$E394="","",DONNEES!V394)</f>
        <v/>
      </c>
      <c r="V394" t="str">
        <f>IF(DONNEES!$E394="","",DONNEES!W394)</f>
        <v/>
      </c>
      <c r="W394" t="str">
        <f>IF(DONNEES!$E394="","",DONNEES!X394)</f>
        <v/>
      </c>
      <c r="X394" t="str">
        <f>IF(DONNEES!$E394="","",DONNEES!Y394)</f>
        <v/>
      </c>
      <c r="Y394" t="str">
        <f>IF(DONNEES!$E394="","",DONNEES!Z394)</f>
        <v/>
      </c>
      <c r="Z394" t="str">
        <f>IF(DONNEES!$E394="","",DONNEES!AQ394)</f>
        <v/>
      </c>
    </row>
    <row r="395" spans="1:26" ht="15" customHeight="1" x14ac:dyDescent="0.3">
      <c r="A395" t="str">
        <f>IF(DONNEES!$E395="","",DONNEES!A395)</f>
        <v/>
      </c>
      <c r="B395" t="str">
        <f>IF(DONNEES!$E395="","",DONNEES!B395)</f>
        <v/>
      </c>
      <c r="C395" t="str">
        <f>IF(DONNEES!$E395="","",DONNEES!C395)</f>
        <v/>
      </c>
      <c r="D395" t="str">
        <f>IF(DONNEES!$E395="","",DONNEES!E395)</f>
        <v/>
      </c>
      <c r="E395" t="str">
        <f>IF(DONNEES!$E395="","",DONNEES!F395)</f>
        <v/>
      </c>
      <c r="F395" t="str">
        <f>IF(DONNEES!$E395="","",DONNEES!G395)</f>
        <v/>
      </c>
      <c r="G395" t="str">
        <f>IF(DONNEES!$E395="","",DONNEES!H395)</f>
        <v/>
      </c>
      <c r="H395" t="str">
        <f>IF(DONNEES!$E395="","",DONNEES!I395)</f>
        <v/>
      </c>
      <c r="I395" t="str">
        <f>IF(DONNEES!$E395="","",DONNEES!J395)</f>
        <v/>
      </c>
      <c r="J395" t="str">
        <f>IF(DONNEES!$E395="","",DONNEES!K395)</f>
        <v/>
      </c>
      <c r="K395" t="str">
        <f>IF(DONNEES!$E395="","",DONNEES!L395)</f>
        <v/>
      </c>
      <c r="L395" t="str">
        <f>IF(DONNEES!$E395="","",DONNEES!M395)</f>
        <v/>
      </c>
      <c r="M395" t="str">
        <f>IF(DONNEES!$E395="","",DONNEES!N395)</f>
        <v/>
      </c>
      <c r="N395" t="str">
        <f>IF(DONNEES!$E395="","",DONNEES!O395)</f>
        <v/>
      </c>
      <c r="O395" t="str">
        <f>IF(DONNEES!$E395="","",DONNEES!P395)</f>
        <v/>
      </c>
      <c r="P395" t="str">
        <f>IF(DONNEES!$E395="","",DONNEES!Q395)</f>
        <v/>
      </c>
      <c r="Q395" t="str">
        <f>IF(DONNEES!$E395="","",DONNEES!R395)</f>
        <v/>
      </c>
      <c r="R395" t="str">
        <f>IF(DONNEES!$E395="","",DONNEES!S395)</f>
        <v/>
      </c>
      <c r="S395" t="str">
        <f>IF(DONNEES!$E395="","",DONNEES!T395)</f>
        <v/>
      </c>
      <c r="T395" t="str">
        <f>IF(DONNEES!$E395="","",DONNEES!U395)</f>
        <v/>
      </c>
      <c r="U395" t="str">
        <f>IF(DONNEES!$E395="","",DONNEES!V395)</f>
        <v/>
      </c>
      <c r="V395" t="str">
        <f>IF(DONNEES!$E395="","",DONNEES!W395)</f>
        <v/>
      </c>
      <c r="W395" t="str">
        <f>IF(DONNEES!$E395="","",DONNEES!X395)</f>
        <v/>
      </c>
      <c r="X395" t="str">
        <f>IF(DONNEES!$E395="","",DONNEES!Y395)</f>
        <v/>
      </c>
      <c r="Y395" t="str">
        <f>IF(DONNEES!$E395="","",DONNEES!Z395)</f>
        <v/>
      </c>
      <c r="Z395" t="str">
        <f>IF(DONNEES!$E395="","",DONNEES!AQ395)</f>
        <v/>
      </c>
    </row>
    <row r="396" spans="1:26" ht="15" customHeight="1" x14ac:dyDescent="0.3">
      <c r="A396" t="str">
        <f>IF(DONNEES!$E396="","",DONNEES!A396)</f>
        <v/>
      </c>
      <c r="B396" t="str">
        <f>IF(DONNEES!$E396="","",DONNEES!B396)</f>
        <v/>
      </c>
      <c r="C396" t="str">
        <f>IF(DONNEES!$E396="","",DONNEES!C396)</f>
        <v/>
      </c>
      <c r="D396" t="str">
        <f>IF(DONNEES!$E396="","",DONNEES!E396)</f>
        <v/>
      </c>
      <c r="E396" t="str">
        <f>IF(DONNEES!$E396="","",DONNEES!F396)</f>
        <v/>
      </c>
      <c r="F396" t="str">
        <f>IF(DONNEES!$E396="","",DONNEES!G396)</f>
        <v/>
      </c>
      <c r="G396" t="str">
        <f>IF(DONNEES!$E396="","",DONNEES!H396)</f>
        <v/>
      </c>
      <c r="H396" t="str">
        <f>IF(DONNEES!$E396="","",DONNEES!I396)</f>
        <v/>
      </c>
      <c r="I396" t="str">
        <f>IF(DONNEES!$E396="","",DONNEES!J396)</f>
        <v/>
      </c>
      <c r="J396" t="str">
        <f>IF(DONNEES!$E396="","",DONNEES!K396)</f>
        <v/>
      </c>
      <c r="K396" t="str">
        <f>IF(DONNEES!$E396="","",DONNEES!L396)</f>
        <v/>
      </c>
      <c r="L396" t="str">
        <f>IF(DONNEES!$E396="","",DONNEES!M396)</f>
        <v/>
      </c>
      <c r="M396" t="str">
        <f>IF(DONNEES!$E396="","",DONNEES!N396)</f>
        <v/>
      </c>
      <c r="N396" t="str">
        <f>IF(DONNEES!$E396="","",DONNEES!O396)</f>
        <v/>
      </c>
      <c r="O396" t="str">
        <f>IF(DONNEES!$E396="","",DONNEES!P396)</f>
        <v/>
      </c>
      <c r="P396" t="str">
        <f>IF(DONNEES!$E396="","",DONNEES!Q396)</f>
        <v/>
      </c>
      <c r="Q396" t="str">
        <f>IF(DONNEES!$E396="","",DONNEES!R396)</f>
        <v/>
      </c>
      <c r="R396" t="str">
        <f>IF(DONNEES!$E396="","",DONNEES!S396)</f>
        <v/>
      </c>
      <c r="S396" t="str">
        <f>IF(DONNEES!$E396="","",DONNEES!T396)</f>
        <v/>
      </c>
      <c r="T396" t="str">
        <f>IF(DONNEES!$E396="","",DONNEES!U396)</f>
        <v/>
      </c>
      <c r="U396" t="str">
        <f>IF(DONNEES!$E396="","",DONNEES!V396)</f>
        <v/>
      </c>
      <c r="V396" t="str">
        <f>IF(DONNEES!$E396="","",DONNEES!W396)</f>
        <v/>
      </c>
      <c r="W396" t="str">
        <f>IF(DONNEES!$E396="","",DONNEES!X396)</f>
        <v/>
      </c>
      <c r="X396" t="str">
        <f>IF(DONNEES!$E396="","",DONNEES!Y396)</f>
        <v/>
      </c>
      <c r="Y396" t="str">
        <f>IF(DONNEES!$E396="","",DONNEES!Z396)</f>
        <v/>
      </c>
      <c r="Z396" t="str">
        <f>IF(DONNEES!$E396="","",DONNEES!AQ396)</f>
        <v/>
      </c>
    </row>
    <row r="397" spans="1:26" ht="15" customHeight="1" x14ac:dyDescent="0.3">
      <c r="A397" t="str">
        <f>IF(DONNEES!$E397="","",DONNEES!A397)</f>
        <v/>
      </c>
      <c r="B397" t="str">
        <f>IF(DONNEES!$E397="","",DONNEES!B397)</f>
        <v/>
      </c>
      <c r="C397" t="str">
        <f>IF(DONNEES!$E397="","",DONNEES!C397)</f>
        <v/>
      </c>
      <c r="D397" t="str">
        <f>IF(DONNEES!$E397="","",DONNEES!E397)</f>
        <v/>
      </c>
      <c r="E397" t="str">
        <f>IF(DONNEES!$E397="","",DONNEES!F397)</f>
        <v/>
      </c>
      <c r="F397" t="str">
        <f>IF(DONNEES!$E397="","",DONNEES!G397)</f>
        <v/>
      </c>
      <c r="G397" t="str">
        <f>IF(DONNEES!$E397="","",DONNEES!H397)</f>
        <v/>
      </c>
      <c r="H397" t="str">
        <f>IF(DONNEES!$E397="","",DONNEES!I397)</f>
        <v/>
      </c>
      <c r="I397" t="str">
        <f>IF(DONNEES!$E397="","",DONNEES!J397)</f>
        <v/>
      </c>
      <c r="J397" t="str">
        <f>IF(DONNEES!$E397="","",DONNEES!K397)</f>
        <v/>
      </c>
      <c r="K397" t="str">
        <f>IF(DONNEES!$E397="","",DONNEES!L397)</f>
        <v/>
      </c>
      <c r="L397" t="str">
        <f>IF(DONNEES!$E397="","",DONNEES!M397)</f>
        <v/>
      </c>
      <c r="M397" t="str">
        <f>IF(DONNEES!$E397="","",DONNEES!N397)</f>
        <v/>
      </c>
      <c r="N397" t="str">
        <f>IF(DONNEES!$E397="","",DONNEES!O397)</f>
        <v/>
      </c>
      <c r="O397" t="str">
        <f>IF(DONNEES!$E397="","",DONNEES!P397)</f>
        <v/>
      </c>
      <c r="P397" t="str">
        <f>IF(DONNEES!$E397="","",DONNEES!Q397)</f>
        <v/>
      </c>
      <c r="Q397" t="str">
        <f>IF(DONNEES!$E397="","",DONNEES!R397)</f>
        <v/>
      </c>
      <c r="R397" t="str">
        <f>IF(DONNEES!$E397="","",DONNEES!S397)</f>
        <v/>
      </c>
      <c r="S397" t="str">
        <f>IF(DONNEES!$E397="","",DONNEES!T397)</f>
        <v/>
      </c>
      <c r="T397" t="str">
        <f>IF(DONNEES!$E397="","",DONNEES!U397)</f>
        <v/>
      </c>
      <c r="U397" t="str">
        <f>IF(DONNEES!$E397="","",DONNEES!V397)</f>
        <v/>
      </c>
      <c r="V397" t="str">
        <f>IF(DONNEES!$E397="","",DONNEES!W397)</f>
        <v/>
      </c>
      <c r="W397" t="str">
        <f>IF(DONNEES!$E397="","",DONNEES!X397)</f>
        <v/>
      </c>
      <c r="X397" t="str">
        <f>IF(DONNEES!$E397="","",DONNEES!Y397)</f>
        <v/>
      </c>
      <c r="Y397" t="str">
        <f>IF(DONNEES!$E397="","",DONNEES!Z397)</f>
        <v/>
      </c>
      <c r="Z397" t="str">
        <f>IF(DONNEES!$E397="","",DONNEES!AQ397)</f>
        <v/>
      </c>
    </row>
    <row r="398" spans="1:26" ht="15" customHeight="1" x14ac:dyDescent="0.3">
      <c r="A398" t="str">
        <f>IF(DONNEES!$E398="","",DONNEES!A398)</f>
        <v/>
      </c>
      <c r="B398" t="str">
        <f>IF(DONNEES!$E398="","",DONNEES!B398)</f>
        <v/>
      </c>
      <c r="C398" t="str">
        <f>IF(DONNEES!$E398="","",DONNEES!C398)</f>
        <v/>
      </c>
      <c r="D398" t="str">
        <f>IF(DONNEES!$E398="","",DONNEES!E398)</f>
        <v/>
      </c>
      <c r="E398" t="str">
        <f>IF(DONNEES!$E398="","",DONNEES!F398)</f>
        <v/>
      </c>
      <c r="F398" t="str">
        <f>IF(DONNEES!$E398="","",DONNEES!G398)</f>
        <v/>
      </c>
      <c r="G398" t="str">
        <f>IF(DONNEES!$E398="","",DONNEES!H398)</f>
        <v/>
      </c>
      <c r="H398" t="str">
        <f>IF(DONNEES!$E398="","",DONNEES!I398)</f>
        <v/>
      </c>
      <c r="I398" t="str">
        <f>IF(DONNEES!$E398="","",DONNEES!J398)</f>
        <v/>
      </c>
      <c r="J398" t="str">
        <f>IF(DONNEES!$E398="","",DONNEES!K398)</f>
        <v/>
      </c>
      <c r="K398" t="str">
        <f>IF(DONNEES!$E398="","",DONNEES!L398)</f>
        <v/>
      </c>
      <c r="L398" t="str">
        <f>IF(DONNEES!$E398="","",DONNEES!M398)</f>
        <v/>
      </c>
      <c r="M398" t="str">
        <f>IF(DONNEES!$E398="","",DONNEES!N398)</f>
        <v/>
      </c>
      <c r="N398" t="str">
        <f>IF(DONNEES!$E398="","",DONNEES!O398)</f>
        <v/>
      </c>
      <c r="O398" t="str">
        <f>IF(DONNEES!$E398="","",DONNEES!P398)</f>
        <v/>
      </c>
      <c r="P398" t="str">
        <f>IF(DONNEES!$E398="","",DONNEES!Q398)</f>
        <v/>
      </c>
      <c r="Q398" t="str">
        <f>IF(DONNEES!$E398="","",DONNEES!R398)</f>
        <v/>
      </c>
      <c r="R398" t="str">
        <f>IF(DONNEES!$E398="","",DONNEES!S398)</f>
        <v/>
      </c>
      <c r="S398" t="str">
        <f>IF(DONNEES!$E398="","",DONNEES!T398)</f>
        <v/>
      </c>
      <c r="T398" t="str">
        <f>IF(DONNEES!$E398="","",DONNEES!U398)</f>
        <v/>
      </c>
      <c r="U398" t="str">
        <f>IF(DONNEES!$E398="","",DONNEES!V398)</f>
        <v/>
      </c>
      <c r="V398" t="str">
        <f>IF(DONNEES!$E398="","",DONNEES!W398)</f>
        <v/>
      </c>
      <c r="W398" t="str">
        <f>IF(DONNEES!$E398="","",DONNEES!X398)</f>
        <v/>
      </c>
      <c r="X398" t="str">
        <f>IF(DONNEES!$E398="","",DONNEES!Y398)</f>
        <v/>
      </c>
      <c r="Y398" t="str">
        <f>IF(DONNEES!$E398="","",DONNEES!Z398)</f>
        <v/>
      </c>
      <c r="Z398" t="str">
        <f>IF(DONNEES!$E398="","",DONNEES!AQ398)</f>
        <v/>
      </c>
    </row>
    <row r="399" spans="1:26" ht="15" customHeight="1" x14ac:dyDescent="0.3">
      <c r="A399" t="str">
        <f>IF(DONNEES!$E399="","",DONNEES!A399)</f>
        <v/>
      </c>
      <c r="B399" t="str">
        <f>IF(DONNEES!$E399="","",DONNEES!B399)</f>
        <v/>
      </c>
      <c r="C399" t="str">
        <f>IF(DONNEES!$E399="","",DONNEES!C399)</f>
        <v/>
      </c>
      <c r="D399" t="str">
        <f>IF(DONNEES!$E399="","",DONNEES!E399)</f>
        <v/>
      </c>
      <c r="E399" t="str">
        <f>IF(DONNEES!$E399="","",DONNEES!F399)</f>
        <v/>
      </c>
      <c r="F399" t="str">
        <f>IF(DONNEES!$E399="","",DONNEES!G399)</f>
        <v/>
      </c>
      <c r="G399" t="str">
        <f>IF(DONNEES!$E399="","",DONNEES!H399)</f>
        <v/>
      </c>
      <c r="H399" t="str">
        <f>IF(DONNEES!$E399="","",DONNEES!I399)</f>
        <v/>
      </c>
      <c r="I399" t="str">
        <f>IF(DONNEES!$E399="","",DONNEES!J399)</f>
        <v/>
      </c>
      <c r="J399" t="str">
        <f>IF(DONNEES!$E399="","",DONNEES!K399)</f>
        <v/>
      </c>
      <c r="K399" t="str">
        <f>IF(DONNEES!$E399="","",DONNEES!L399)</f>
        <v/>
      </c>
      <c r="L399" t="str">
        <f>IF(DONNEES!$E399="","",DONNEES!M399)</f>
        <v/>
      </c>
      <c r="M399" t="str">
        <f>IF(DONNEES!$E399="","",DONNEES!N399)</f>
        <v/>
      </c>
      <c r="N399" t="str">
        <f>IF(DONNEES!$E399="","",DONNEES!O399)</f>
        <v/>
      </c>
      <c r="O399" t="str">
        <f>IF(DONNEES!$E399="","",DONNEES!P399)</f>
        <v/>
      </c>
      <c r="P399" t="str">
        <f>IF(DONNEES!$E399="","",DONNEES!Q399)</f>
        <v/>
      </c>
      <c r="Q399" t="str">
        <f>IF(DONNEES!$E399="","",DONNEES!R399)</f>
        <v/>
      </c>
      <c r="R399" t="str">
        <f>IF(DONNEES!$E399="","",DONNEES!S399)</f>
        <v/>
      </c>
      <c r="S399" t="str">
        <f>IF(DONNEES!$E399="","",DONNEES!T399)</f>
        <v/>
      </c>
      <c r="T399" t="str">
        <f>IF(DONNEES!$E399="","",DONNEES!U399)</f>
        <v/>
      </c>
      <c r="U399" t="str">
        <f>IF(DONNEES!$E399="","",DONNEES!V399)</f>
        <v/>
      </c>
      <c r="V399" t="str">
        <f>IF(DONNEES!$E399="","",DONNEES!W399)</f>
        <v/>
      </c>
      <c r="W399" t="str">
        <f>IF(DONNEES!$E399="","",DONNEES!X399)</f>
        <v/>
      </c>
      <c r="X399" t="str">
        <f>IF(DONNEES!$E399="","",DONNEES!Y399)</f>
        <v/>
      </c>
      <c r="Y399" t="str">
        <f>IF(DONNEES!$E399="","",DONNEES!Z399)</f>
        <v/>
      </c>
      <c r="Z399" t="str">
        <f>IF(DONNEES!$E399="","",DONNEES!AQ399)</f>
        <v/>
      </c>
    </row>
    <row r="400" spans="1:26" ht="15" customHeight="1" x14ac:dyDescent="0.3">
      <c r="A400" t="str">
        <f>IF(DONNEES!$E400="","",DONNEES!A400)</f>
        <v/>
      </c>
      <c r="B400" t="str">
        <f>IF(DONNEES!$E400="","",DONNEES!B400)</f>
        <v/>
      </c>
      <c r="C400" t="str">
        <f>IF(DONNEES!$E400="","",DONNEES!C400)</f>
        <v/>
      </c>
      <c r="D400" t="str">
        <f>IF(DONNEES!$E400="","",DONNEES!E400)</f>
        <v/>
      </c>
      <c r="E400" t="str">
        <f>IF(DONNEES!$E400="","",DONNEES!F400)</f>
        <v/>
      </c>
      <c r="F400" t="str">
        <f>IF(DONNEES!$E400="","",DONNEES!G400)</f>
        <v/>
      </c>
      <c r="G400" t="str">
        <f>IF(DONNEES!$E400="","",DONNEES!H400)</f>
        <v/>
      </c>
      <c r="H400" t="str">
        <f>IF(DONNEES!$E400="","",DONNEES!I400)</f>
        <v/>
      </c>
      <c r="I400" t="str">
        <f>IF(DONNEES!$E400="","",DONNEES!J400)</f>
        <v/>
      </c>
      <c r="J400" t="str">
        <f>IF(DONNEES!$E400="","",DONNEES!K400)</f>
        <v/>
      </c>
      <c r="K400" t="str">
        <f>IF(DONNEES!$E400="","",DONNEES!L400)</f>
        <v/>
      </c>
      <c r="L400" t="str">
        <f>IF(DONNEES!$E400="","",DONNEES!M400)</f>
        <v/>
      </c>
      <c r="M400" t="str">
        <f>IF(DONNEES!$E400="","",DONNEES!N400)</f>
        <v/>
      </c>
      <c r="N400" t="str">
        <f>IF(DONNEES!$E400="","",DONNEES!O400)</f>
        <v/>
      </c>
      <c r="O400" t="str">
        <f>IF(DONNEES!$E400="","",DONNEES!P400)</f>
        <v/>
      </c>
      <c r="P400" t="str">
        <f>IF(DONNEES!$E400="","",DONNEES!Q400)</f>
        <v/>
      </c>
      <c r="Q400" t="str">
        <f>IF(DONNEES!$E400="","",DONNEES!R400)</f>
        <v/>
      </c>
      <c r="R400" t="str">
        <f>IF(DONNEES!$E400="","",DONNEES!S400)</f>
        <v/>
      </c>
      <c r="S400" t="str">
        <f>IF(DONNEES!$E400="","",DONNEES!T400)</f>
        <v/>
      </c>
      <c r="T400" t="str">
        <f>IF(DONNEES!$E400="","",DONNEES!U400)</f>
        <v/>
      </c>
      <c r="U400" t="str">
        <f>IF(DONNEES!$E400="","",DONNEES!V400)</f>
        <v/>
      </c>
      <c r="V400" t="str">
        <f>IF(DONNEES!$E400="","",DONNEES!W400)</f>
        <v/>
      </c>
      <c r="W400" t="str">
        <f>IF(DONNEES!$E400="","",DONNEES!X400)</f>
        <v/>
      </c>
      <c r="X400" t="str">
        <f>IF(DONNEES!$E400="","",DONNEES!Y400)</f>
        <v/>
      </c>
      <c r="Y400" t="str">
        <f>IF(DONNEES!$E400="","",DONNEES!Z400)</f>
        <v/>
      </c>
      <c r="Z400" t="str">
        <f>IF(DONNEES!$E400="","",DONNEES!AQ400)</f>
        <v/>
      </c>
    </row>
    <row r="401" spans="1:26" ht="15" customHeight="1" x14ac:dyDescent="0.3">
      <c r="A401" t="str">
        <f>IF(DONNEES!$E401="","",DONNEES!A401)</f>
        <v/>
      </c>
      <c r="B401" t="str">
        <f>IF(DONNEES!$E401="","",DONNEES!B401)</f>
        <v/>
      </c>
      <c r="C401" t="str">
        <f>IF(DONNEES!$E401="","",DONNEES!C401)</f>
        <v/>
      </c>
      <c r="D401" t="str">
        <f>IF(DONNEES!$E401="","",DONNEES!E401)</f>
        <v/>
      </c>
      <c r="E401" t="str">
        <f>IF(DONNEES!$E401="","",DONNEES!F401)</f>
        <v/>
      </c>
      <c r="F401" t="str">
        <f>IF(DONNEES!$E401="","",DONNEES!G401)</f>
        <v/>
      </c>
      <c r="G401" t="str">
        <f>IF(DONNEES!$E401="","",DONNEES!H401)</f>
        <v/>
      </c>
      <c r="H401" t="str">
        <f>IF(DONNEES!$E401="","",DONNEES!I401)</f>
        <v/>
      </c>
      <c r="I401" t="str">
        <f>IF(DONNEES!$E401="","",DONNEES!J401)</f>
        <v/>
      </c>
      <c r="J401" t="str">
        <f>IF(DONNEES!$E401="","",DONNEES!K401)</f>
        <v/>
      </c>
      <c r="K401" t="str">
        <f>IF(DONNEES!$E401="","",DONNEES!L401)</f>
        <v/>
      </c>
      <c r="L401" t="str">
        <f>IF(DONNEES!$E401="","",DONNEES!M401)</f>
        <v/>
      </c>
      <c r="M401" t="str">
        <f>IF(DONNEES!$E401="","",DONNEES!N401)</f>
        <v/>
      </c>
      <c r="N401" t="str">
        <f>IF(DONNEES!$E401="","",DONNEES!O401)</f>
        <v/>
      </c>
      <c r="O401" t="str">
        <f>IF(DONNEES!$E401="","",DONNEES!P401)</f>
        <v/>
      </c>
      <c r="P401" t="str">
        <f>IF(DONNEES!$E401="","",DONNEES!Q401)</f>
        <v/>
      </c>
      <c r="Q401" t="str">
        <f>IF(DONNEES!$E401="","",DONNEES!R401)</f>
        <v/>
      </c>
      <c r="R401" t="str">
        <f>IF(DONNEES!$E401="","",DONNEES!S401)</f>
        <v/>
      </c>
      <c r="S401" t="str">
        <f>IF(DONNEES!$E401="","",DONNEES!T401)</f>
        <v/>
      </c>
      <c r="T401" t="str">
        <f>IF(DONNEES!$E401="","",DONNEES!U401)</f>
        <v/>
      </c>
      <c r="U401" t="str">
        <f>IF(DONNEES!$E401="","",DONNEES!V401)</f>
        <v/>
      </c>
      <c r="V401" t="str">
        <f>IF(DONNEES!$E401="","",DONNEES!W401)</f>
        <v/>
      </c>
      <c r="W401" t="str">
        <f>IF(DONNEES!$E401="","",DONNEES!X401)</f>
        <v/>
      </c>
      <c r="X401" t="str">
        <f>IF(DONNEES!$E401="","",DONNEES!Y401)</f>
        <v/>
      </c>
      <c r="Y401" t="str">
        <f>IF(DONNEES!$E401="","",DONNEES!Z401)</f>
        <v/>
      </c>
      <c r="Z401" t="str">
        <f>IF(DONNEES!$E401="","",DONNEES!AQ401)</f>
        <v/>
      </c>
    </row>
    <row r="402" spans="1:26" ht="15" customHeight="1" x14ac:dyDescent="0.3">
      <c r="A402" t="str">
        <f>IF(DONNEES!$E402="","",DONNEES!A402)</f>
        <v/>
      </c>
      <c r="B402" t="str">
        <f>IF(DONNEES!$E402="","",DONNEES!B402)</f>
        <v/>
      </c>
      <c r="C402" t="str">
        <f>IF(DONNEES!$E402="","",DONNEES!C402)</f>
        <v/>
      </c>
      <c r="D402" t="str">
        <f>IF(DONNEES!$E402="","",DONNEES!E402)</f>
        <v/>
      </c>
      <c r="E402" t="str">
        <f>IF(DONNEES!$E402="","",DONNEES!F402)</f>
        <v/>
      </c>
      <c r="F402" t="str">
        <f>IF(DONNEES!$E402="","",DONNEES!G402)</f>
        <v/>
      </c>
      <c r="G402" t="str">
        <f>IF(DONNEES!$E402="","",DONNEES!H402)</f>
        <v/>
      </c>
      <c r="H402" t="str">
        <f>IF(DONNEES!$E402="","",DONNEES!I402)</f>
        <v/>
      </c>
      <c r="I402" t="str">
        <f>IF(DONNEES!$E402="","",DONNEES!J402)</f>
        <v/>
      </c>
      <c r="J402" t="str">
        <f>IF(DONNEES!$E402="","",DONNEES!K402)</f>
        <v/>
      </c>
      <c r="K402" t="str">
        <f>IF(DONNEES!$E402="","",DONNEES!L402)</f>
        <v/>
      </c>
      <c r="L402" t="str">
        <f>IF(DONNEES!$E402="","",DONNEES!M402)</f>
        <v/>
      </c>
      <c r="M402" t="str">
        <f>IF(DONNEES!$E402="","",DONNEES!N402)</f>
        <v/>
      </c>
      <c r="N402" t="str">
        <f>IF(DONNEES!$E402="","",DONNEES!O402)</f>
        <v/>
      </c>
      <c r="O402" t="str">
        <f>IF(DONNEES!$E402="","",DONNEES!P402)</f>
        <v/>
      </c>
      <c r="P402" t="str">
        <f>IF(DONNEES!$E402="","",DONNEES!Q402)</f>
        <v/>
      </c>
      <c r="Q402" t="str">
        <f>IF(DONNEES!$E402="","",DONNEES!R402)</f>
        <v/>
      </c>
      <c r="R402" t="str">
        <f>IF(DONNEES!$E402="","",DONNEES!S402)</f>
        <v/>
      </c>
      <c r="S402" t="str">
        <f>IF(DONNEES!$E402="","",DONNEES!T402)</f>
        <v/>
      </c>
      <c r="T402" t="str">
        <f>IF(DONNEES!$E402="","",DONNEES!U402)</f>
        <v/>
      </c>
      <c r="U402" t="str">
        <f>IF(DONNEES!$E402="","",DONNEES!V402)</f>
        <v/>
      </c>
      <c r="V402" t="str">
        <f>IF(DONNEES!$E402="","",DONNEES!W402)</f>
        <v/>
      </c>
      <c r="W402" t="str">
        <f>IF(DONNEES!$E402="","",DONNEES!X402)</f>
        <v/>
      </c>
      <c r="X402" t="str">
        <f>IF(DONNEES!$E402="","",DONNEES!Y402)</f>
        <v/>
      </c>
      <c r="Y402" t="str">
        <f>IF(DONNEES!$E402="","",DONNEES!Z402)</f>
        <v/>
      </c>
      <c r="Z402" t="str">
        <f>IF(DONNEES!$E402="","",DONNEES!AQ402)</f>
        <v/>
      </c>
    </row>
    <row r="403" spans="1:26" ht="15" customHeight="1" x14ac:dyDescent="0.3">
      <c r="A403" t="str">
        <f>IF(DONNEES!$E403="","",DONNEES!A403)</f>
        <v/>
      </c>
      <c r="B403" t="str">
        <f>IF(DONNEES!$E403="","",DONNEES!B403)</f>
        <v/>
      </c>
      <c r="C403" t="str">
        <f>IF(DONNEES!$E403="","",DONNEES!C403)</f>
        <v/>
      </c>
      <c r="D403" t="str">
        <f>IF(DONNEES!$E403="","",DONNEES!E403)</f>
        <v/>
      </c>
      <c r="E403" t="str">
        <f>IF(DONNEES!$E403="","",DONNEES!F403)</f>
        <v/>
      </c>
      <c r="F403" t="str">
        <f>IF(DONNEES!$E403="","",DONNEES!G403)</f>
        <v/>
      </c>
      <c r="G403" t="str">
        <f>IF(DONNEES!$E403="","",DONNEES!H403)</f>
        <v/>
      </c>
      <c r="H403" t="str">
        <f>IF(DONNEES!$E403="","",DONNEES!I403)</f>
        <v/>
      </c>
      <c r="I403" t="str">
        <f>IF(DONNEES!$E403="","",DONNEES!J403)</f>
        <v/>
      </c>
      <c r="J403" t="str">
        <f>IF(DONNEES!$E403="","",DONNEES!K403)</f>
        <v/>
      </c>
      <c r="K403" t="str">
        <f>IF(DONNEES!$E403="","",DONNEES!L403)</f>
        <v/>
      </c>
      <c r="L403" t="str">
        <f>IF(DONNEES!$E403="","",DONNEES!M403)</f>
        <v/>
      </c>
      <c r="M403" t="str">
        <f>IF(DONNEES!$E403="","",DONNEES!N403)</f>
        <v/>
      </c>
      <c r="N403" t="str">
        <f>IF(DONNEES!$E403="","",DONNEES!O403)</f>
        <v/>
      </c>
      <c r="O403" t="str">
        <f>IF(DONNEES!$E403="","",DONNEES!P403)</f>
        <v/>
      </c>
      <c r="P403" t="str">
        <f>IF(DONNEES!$E403="","",DONNEES!Q403)</f>
        <v/>
      </c>
      <c r="Q403" t="str">
        <f>IF(DONNEES!$E403="","",DONNEES!R403)</f>
        <v/>
      </c>
      <c r="R403" t="str">
        <f>IF(DONNEES!$E403="","",DONNEES!S403)</f>
        <v/>
      </c>
      <c r="S403" t="str">
        <f>IF(DONNEES!$E403="","",DONNEES!T403)</f>
        <v/>
      </c>
      <c r="T403" t="str">
        <f>IF(DONNEES!$E403="","",DONNEES!U403)</f>
        <v/>
      </c>
      <c r="U403" t="str">
        <f>IF(DONNEES!$E403="","",DONNEES!V403)</f>
        <v/>
      </c>
      <c r="V403" t="str">
        <f>IF(DONNEES!$E403="","",DONNEES!W403)</f>
        <v/>
      </c>
      <c r="W403" t="str">
        <f>IF(DONNEES!$E403="","",DONNEES!X403)</f>
        <v/>
      </c>
      <c r="X403" t="str">
        <f>IF(DONNEES!$E403="","",DONNEES!Y403)</f>
        <v/>
      </c>
      <c r="Y403" t="str">
        <f>IF(DONNEES!$E403="","",DONNEES!Z403)</f>
        <v/>
      </c>
      <c r="Z403" t="str">
        <f>IF(DONNEES!$E403="","",DONNEES!AQ403)</f>
        <v/>
      </c>
    </row>
    <row r="404" spans="1:26" ht="15" customHeight="1" x14ac:dyDescent="0.3">
      <c r="A404" t="str">
        <f>IF(DONNEES!$E404="","",DONNEES!A404)</f>
        <v/>
      </c>
      <c r="B404" t="str">
        <f>IF(DONNEES!$E404="","",DONNEES!B404)</f>
        <v/>
      </c>
      <c r="C404" t="str">
        <f>IF(DONNEES!$E404="","",DONNEES!C404)</f>
        <v/>
      </c>
      <c r="D404" t="str">
        <f>IF(DONNEES!$E404="","",DONNEES!E404)</f>
        <v/>
      </c>
      <c r="E404" t="str">
        <f>IF(DONNEES!$E404="","",DONNEES!F404)</f>
        <v/>
      </c>
      <c r="F404" t="str">
        <f>IF(DONNEES!$E404="","",DONNEES!G404)</f>
        <v/>
      </c>
      <c r="G404" t="str">
        <f>IF(DONNEES!$E404="","",DONNEES!H404)</f>
        <v/>
      </c>
      <c r="H404" t="str">
        <f>IF(DONNEES!$E404="","",DONNEES!I404)</f>
        <v/>
      </c>
      <c r="I404" t="str">
        <f>IF(DONNEES!$E404="","",DONNEES!J404)</f>
        <v/>
      </c>
      <c r="J404" t="str">
        <f>IF(DONNEES!$E404="","",DONNEES!K404)</f>
        <v/>
      </c>
      <c r="K404" t="str">
        <f>IF(DONNEES!$E404="","",DONNEES!L404)</f>
        <v/>
      </c>
      <c r="L404" t="str">
        <f>IF(DONNEES!$E404="","",DONNEES!M404)</f>
        <v/>
      </c>
      <c r="M404" t="str">
        <f>IF(DONNEES!$E404="","",DONNEES!N404)</f>
        <v/>
      </c>
      <c r="N404" t="str">
        <f>IF(DONNEES!$E404="","",DONNEES!O404)</f>
        <v/>
      </c>
      <c r="O404" t="str">
        <f>IF(DONNEES!$E404="","",DONNEES!P404)</f>
        <v/>
      </c>
      <c r="P404" t="str">
        <f>IF(DONNEES!$E404="","",DONNEES!Q404)</f>
        <v/>
      </c>
      <c r="Q404" t="str">
        <f>IF(DONNEES!$E404="","",DONNEES!R404)</f>
        <v/>
      </c>
      <c r="R404" t="str">
        <f>IF(DONNEES!$E404="","",DONNEES!S404)</f>
        <v/>
      </c>
      <c r="S404" t="str">
        <f>IF(DONNEES!$E404="","",DONNEES!T404)</f>
        <v/>
      </c>
      <c r="T404" t="str">
        <f>IF(DONNEES!$E404="","",DONNEES!U404)</f>
        <v/>
      </c>
      <c r="U404" t="str">
        <f>IF(DONNEES!$E404="","",DONNEES!V404)</f>
        <v/>
      </c>
      <c r="V404" t="str">
        <f>IF(DONNEES!$E404="","",DONNEES!W404)</f>
        <v/>
      </c>
      <c r="W404" t="str">
        <f>IF(DONNEES!$E404="","",DONNEES!X404)</f>
        <v/>
      </c>
      <c r="X404" t="str">
        <f>IF(DONNEES!$E404="","",DONNEES!Y404)</f>
        <v/>
      </c>
      <c r="Y404" t="str">
        <f>IF(DONNEES!$E404="","",DONNEES!Z404)</f>
        <v/>
      </c>
      <c r="Z404" t="str">
        <f>IF(DONNEES!$E404="","",DONNEES!AQ404)</f>
        <v/>
      </c>
    </row>
    <row r="405" spans="1:26" ht="15" customHeight="1" x14ac:dyDescent="0.3">
      <c r="A405" t="str">
        <f>IF(DONNEES!$E405="","",DONNEES!A405)</f>
        <v/>
      </c>
      <c r="B405" t="str">
        <f>IF(DONNEES!$E405="","",DONNEES!B405)</f>
        <v/>
      </c>
      <c r="C405" t="str">
        <f>IF(DONNEES!$E405="","",DONNEES!C405)</f>
        <v/>
      </c>
      <c r="D405" t="str">
        <f>IF(DONNEES!$E405="","",DONNEES!E405)</f>
        <v/>
      </c>
      <c r="E405" t="str">
        <f>IF(DONNEES!$E405="","",DONNEES!F405)</f>
        <v/>
      </c>
      <c r="F405" t="str">
        <f>IF(DONNEES!$E405="","",DONNEES!G405)</f>
        <v/>
      </c>
      <c r="G405" t="str">
        <f>IF(DONNEES!$E405="","",DONNEES!H405)</f>
        <v/>
      </c>
      <c r="H405" t="str">
        <f>IF(DONNEES!$E405="","",DONNEES!I405)</f>
        <v/>
      </c>
      <c r="I405" t="str">
        <f>IF(DONNEES!$E405="","",DONNEES!J405)</f>
        <v/>
      </c>
      <c r="J405" t="str">
        <f>IF(DONNEES!$E405="","",DONNEES!K405)</f>
        <v/>
      </c>
      <c r="K405" t="str">
        <f>IF(DONNEES!$E405="","",DONNEES!L405)</f>
        <v/>
      </c>
      <c r="L405" t="str">
        <f>IF(DONNEES!$E405="","",DONNEES!M405)</f>
        <v/>
      </c>
      <c r="M405" t="str">
        <f>IF(DONNEES!$E405="","",DONNEES!N405)</f>
        <v/>
      </c>
      <c r="N405" t="str">
        <f>IF(DONNEES!$E405="","",DONNEES!O405)</f>
        <v/>
      </c>
      <c r="O405" t="str">
        <f>IF(DONNEES!$E405="","",DONNEES!P405)</f>
        <v/>
      </c>
      <c r="P405" t="str">
        <f>IF(DONNEES!$E405="","",DONNEES!Q405)</f>
        <v/>
      </c>
      <c r="Q405" t="str">
        <f>IF(DONNEES!$E405="","",DONNEES!R405)</f>
        <v/>
      </c>
      <c r="R405" t="str">
        <f>IF(DONNEES!$E405="","",DONNEES!S405)</f>
        <v/>
      </c>
      <c r="S405" t="str">
        <f>IF(DONNEES!$E405="","",DONNEES!T405)</f>
        <v/>
      </c>
      <c r="T405" t="str">
        <f>IF(DONNEES!$E405="","",DONNEES!U405)</f>
        <v/>
      </c>
      <c r="U405" t="str">
        <f>IF(DONNEES!$E405="","",DONNEES!V405)</f>
        <v/>
      </c>
      <c r="V405" t="str">
        <f>IF(DONNEES!$E405="","",DONNEES!W405)</f>
        <v/>
      </c>
      <c r="W405" t="str">
        <f>IF(DONNEES!$E405="","",DONNEES!X405)</f>
        <v/>
      </c>
      <c r="X405" t="str">
        <f>IF(DONNEES!$E405="","",DONNEES!Y405)</f>
        <v/>
      </c>
      <c r="Y405" t="str">
        <f>IF(DONNEES!$E405="","",DONNEES!Z405)</f>
        <v/>
      </c>
      <c r="Z405" t="str">
        <f>IF(DONNEES!$E405="","",DONNEES!AQ405)</f>
        <v/>
      </c>
    </row>
    <row r="406" spans="1:26" ht="15" customHeight="1" x14ac:dyDescent="0.3">
      <c r="A406" t="str">
        <f>IF(DONNEES!$E406="","",DONNEES!A406)</f>
        <v/>
      </c>
      <c r="B406" t="str">
        <f>IF(DONNEES!$E406="","",DONNEES!B406)</f>
        <v/>
      </c>
      <c r="C406" t="str">
        <f>IF(DONNEES!$E406="","",DONNEES!C406)</f>
        <v/>
      </c>
      <c r="D406" t="str">
        <f>IF(DONNEES!$E406="","",DONNEES!E406)</f>
        <v/>
      </c>
      <c r="E406" t="str">
        <f>IF(DONNEES!$E406="","",DONNEES!F406)</f>
        <v/>
      </c>
      <c r="F406" t="str">
        <f>IF(DONNEES!$E406="","",DONNEES!G406)</f>
        <v/>
      </c>
      <c r="G406" t="str">
        <f>IF(DONNEES!$E406="","",DONNEES!H406)</f>
        <v/>
      </c>
      <c r="H406" t="str">
        <f>IF(DONNEES!$E406="","",DONNEES!I406)</f>
        <v/>
      </c>
      <c r="I406" t="str">
        <f>IF(DONNEES!$E406="","",DONNEES!J406)</f>
        <v/>
      </c>
      <c r="J406" t="str">
        <f>IF(DONNEES!$E406="","",DONNEES!K406)</f>
        <v/>
      </c>
      <c r="K406" t="str">
        <f>IF(DONNEES!$E406="","",DONNEES!L406)</f>
        <v/>
      </c>
      <c r="L406" t="str">
        <f>IF(DONNEES!$E406="","",DONNEES!M406)</f>
        <v/>
      </c>
      <c r="M406" t="str">
        <f>IF(DONNEES!$E406="","",DONNEES!N406)</f>
        <v/>
      </c>
      <c r="N406" t="str">
        <f>IF(DONNEES!$E406="","",DONNEES!O406)</f>
        <v/>
      </c>
      <c r="O406" t="str">
        <f>IF(DONNEES!$E406="","",DONNEES!P406)</f>
        <v/>
      </c>
      <c r="P406" t="str">
        <f>IF(DONNEES!$E406="","",DONNEES!Q406)</f>
        <v/>
      </c>
      <c r="Q406" t="str">
        <f>IF(DONNEES!$E406="","",DONNEES!R406)</f>
        <v/>
      </c>
      <c r="R406" t="str">
        <f>IF(DONNEES!$E406="","",DONNEES!S406)</f>
        <v/>
      </c>
      <c r="S406" t="str">
        <f>IF(DONNEES!$E406="","",DONNEES!T406)</f>
        <v/>
      </c>
      <c r="T406" t="str">
        <f>IF(DONNEES!$E406="","",DONNEES!U406)</f>
        <v/>
      </c>
      <c r="U406" t="str">
        <f>IF(DONNEES!$E406="","",DONNEES!V406)</f>
        <v/>
      </c>
      <c r="V406" t="str">
        <f>IF(DONNEES!$E406="","",DONNEES!W406)</f>
        <v/>
      </c>
      <c r="W406" t="str">
        <f>IF(DONNEES!$E406="","",DONNEES!X406)</f>
        <v/>
      </c>
      <c r="X406" t="str">
        <f>IF(DONNEES!$E406="","",DONNEES!Y406)</f>
        <v/>
      </c>
      <c r="Y406" t="str">
        <f>IF(DONNEES!$E406="","",DONNEES!Z406)</f>
        <v/>
      </c>
      <c r="Z406" t="str">
        <f>IF(DONNEES!$E406="","",DONNEES!AQ406)</f>
        <v/>
      </c>
    </row>
    <row r="407" spans="1:26" ht="15" customHeight="1" x14ac:dyDescent="0.3">
      <c r="A407" t="str">
        <f>IF(DONNEES!$E407="","",DONNEES!A407)</f>
        <v/>
      </c>
      <c r="B407" t="str">
        <f>IF(DONNEES!$E407="","",DONNEES!B407)</f>
        <v/>
      </c>
      <c r="C407" t="str">
        <f>IF(DONNEES!$E407="","",DONNEES!C407)</f>
        <v/>
      </c>
      <c r="D407" t="str">
        <f>IF(DONNEES!$E407="","",DONNEES!E407)</f>
        <v/>
      </c>
      <c r="E407" t="str">
        <f>IF(DONNEES!$E407="","",DONNEES!F407)</f>
        <v/>
      </c>
      <c r="F407" t="str">
        <f>IF(DONNEES!$E407="","",DONNEES!G407)</f>
        <v/>
      </c>
      <c r="G407" t="str">
        <f>IF(DONNEES!$E407="","",DONNEES!H407)</f>
        <v/>
      </c>
      <c r="H407" t="str">
        <f>IF(DONNEES!$E407="","",DONNEES!I407)</f>
        <v/>
      </c>
      <c r="I407" t="str">
        <f>IF(DONNEES!$E407="","",DONNEES!J407)</f>
        <v/>
      </c>
      <c r="J407" t="str">
        <f>IF(DONNEES!$E407="","",DONNEES!K407)</f>
        <v/>
      </c>
      <c r="K407" t="str">
        <f>IF(DONNEES!$E407="","",DONNEES!L407)</f>
        <v/>
      </c>
      <c r="L407" t="str">
        <f>IF(DONNEES!$E407="","",DONNEES!M407)</f>
        <v/>
      </c>
      <c r="M407" t="str">
        <f>IF(DONNEES!$E407="","",DONNEES!N407)</f>
        <v/>
      </c>
      <c r="N407" t="str">
        <f>IF(DONNEES!$E407="","",DONNEES!O407)</f>
        <v/>
      </c>
      <c r="O407" t="str">
        <f>IF(DONNEES!$E407="","",DONNEES!P407)</f>
        <v/>
      </c>
      <c r="P407" t="str">
        <f>IF(DONNEES!$E407="","",DONNEES!Q407)</f>
        <v/>
      </c>
      <c r="Q407" t="str">
        <f>IF(DONNEES!$E407="","",DONNEES!R407)</f>
        <v/>
      </c>
      <c r="R407" t="str">
        <f>IF(DONNEES!$E407="","",DONNEES!S407)</f>
        <v/>
      </c>
      <c r="S407" t="str">
        <f>IF(DONNEES!$E407="","",DONNEES!T407)</f>
        <v/>
      </c>
      <c r="T407" t="str">
        <f>IF(DONNEES!$E407="","",DONNEES!U407)</f>
        <v/>
      </c>
      <c r="U407" t="str">
        <f>IF(DONNEES!$E407="","",DONNEES!V407)</f>
        <v/>
      </c>
      <c r="V407" t="str">
        <f>IF(DONNEES!$E407="","",DONNEES!W407)</f>
        <v/>
      </c>
      <c r="W407" t="str">
        <f>IF(DONNEES!$E407="","",DONNEES!X407)</f>
        <v/>
      </c>
      <c r="X407" t="str">
        <f>IF(DONNEES!$E407="","",DONNEES!Y407)</f>
        <v/>
      </c>
      <c r="Y407" t="str">
        <f>IF(DONNEES!$E407="","",DONNEES!Z407)</f>
        <v/>
      </c>
      <c r="Z407" t="str">
        <f>IF(DONNEES!$E407="","",DONNEES!AQ407)</f>
        <v/>
      </c>
    </row>
    <row r="408" spans="1:26" ht="15" customHeight="1" x14ac:dyDescent="0.3">
      <c r="A408" t="str">
        <f>IF(DONNEES!$E408="","",DONNEES!A408)</f>
        <v/>
      </c>
      <c r="B408" t="str">
        <f>IF(DONNEES!$E408="","",DONNEES!B408)</f>
        <v/>
      </c>
      <c r="C408" t="str">
        <f>IF(DONNEES!$E408="","",DONNEES!C408)</f>
        <v/>
      </c>
      <c r="D408" t="str">
        <f>IF(DONNEES!$E408="","",DONNEES!E408)</f>
        <v/>
      </c>
      <c r="E408" t="str">
        <f>IF(DONNEES!$E408="","",DONNEES!F408)</f>
        <v/>
      </c>
      <c r="F408" t="str">
        <f>IF(DONNEES!$E408="","",DONNEES!G408)</f>
        <v/>
      </c>
      <c r="G408" t="str">
        <f>IF(DONNEES!$E408="","",DONNEES!H408)</f>
        <v/>
      </c>
      <c r="H408" t="str">
        <f>IF(DONNEES!$E408="","",DONNEES!I408)</f>
        <v/>
      </c>
      <c r="I408" t="str">
        <f>IF(DONNEES!$E408="","",DONNEES!J408)</f>
        <v/>
      </c>
      <c r="J408" t="str">
        <f>IF(DONNEES!$E408="","",DONNEES!K408)</f>
        <v/>
      </c>
      <c r="K408" t="str">
        <f>IF(DONNEES!$E408="","",DONNEES!L408)</f>
        <v/>
      </c>
      <c r="L408" t="str">
        <f>IF(DONNEES!$E408="","",DONNEES!M408)</f>
        <v/>
      </c>
      <c r="M408" t="str">
        <f>IF(DONNEES!$E408="","",DONNEES!N408)</f>
        <v/>
      </c>
      <c r="N408" t="str">
        <f>IF(DONNEES!$E408="","",DONNEES!O408)</f>
        <v/>
      </c>
      <c r="O408" t="str">
        <f>IF(DONNEES!$E408="","",DONNEES!P408)</f>
        <v/>
      </c>
      <c r="P408" t="str">
        <f>IF(DONNEES!$E408="","",DONNEES!Q408)</f>
        <v/>
      </c>
      <c r="Q408" t="str">
        <f>IF(DONNEES!$E408="","",DONNEES!R408)</f>
        <v/>
      </c>
      <c r="R408" t="str">
        <f>IF(DONNEES!$E408="","",DONNEES!S408)</f>
        <v/>
      </c>
      <c r="S408" t="str">
        <f>IF(DONNEES!$E408="","",DONNEES!T408)</f>
        <v/>
      </c>
      <c r="T408" t="str">
        <f>IF(DONNEES!$E408="","",DONNEES!U408)</f>
        <v/>
      </c>
      <c r="U408" t="str">
        <f>IF(DONNEES!$E408="","",DONNEES!V408)</f>
        <v/>
      </c>
      <c r="V408" t="str">
        <f>IF(DONNEES!$E408="","",DONNEES!W408)</f>
        <v/>
      </c>
      <c r="W408" t="str">
        <f>IF(DONNEES!$E408="","",DONNEES!X408)</f>
        <v/>
      </c>
      <c r="X408" t="str">
        <f>IF(DONNEES!$E408="","",DONNEES!Y408)</f>
        <v/>
      </c>
      <c r="Y408" t="str">
        <f>IF(DONNEES!$E408="","",DONNEES!Z408)</f>
        <v/>
      </c>
      <c r="Z408" t="str">
        <f>IF(DONNEES!$E408="","",DONNEES!AQ408)</f>
        <v/>
      </c>
    </row>
    <row r="409" spans="1:26" ht="15" customHeight="1" x14ac:dyDescent="0.3">
      <c r="A409" t="str">
        <f>IF(DONNEES!$E409="","",DONNEES!A409)</f>
        <v/>
      </c>
      <c r="B409" t="str">
        <f>IF(DONNEES!$E409="","",DONNEES!B409)</f>
        <v/>
      </c>
      <c r="C409" t="str">
        <f>IF(DONNEES!$E409="","",DONNEES!C409)</f>
        <v/>
      </c>
      <c r="D409" t="str">
        <f>IF(DONNEES!$E409="","",DONNEES!E409)</f>
        <v/>
      </c>
      <c r="E409" t="str">
        <f>IF(DONNEES!$E409="","",DONNEES!F409)</f>
        <v/>
      </c>
      <c r="F409" t="str">
        <f>IF(DONNEES!$E409="","",DONNEES!G409)</f>
        <v/>
      </c>
      <c r="G409" t="str">
        <f>IF(DONNEES!$E409="","",DONNEES!H409)</f>
        <v/>
      </c>
      <c r="H409" t="str">
        <f>IF(DONNEES!$E409="","",DONNEES!I409)</f>
        <v/>
      </c>
      <c r="I409" t="str">
        <f>IF(DONNEES!$E409="","",DONNEES!J409)</f>
        <v/>
      </c>
      <c r="J409" t="str">
        <f>IF(DONNEES!$E409="","",DONNEES!K409)</f>
        <v/>
      </c>
      <c r="K409" t="str">
        <f>IF(DONNEES!$E409="","",DONNEES!L409)</f>
        <v/>
      </c>
      <c r="L409" t="str">
        <f>IF(DONNEES!$E409="","",DONNEES!M409)</f>
        <v/>
      </c>
      <c r="M409" t="str">
        <f>IF(DONNEES!$E409="","",DONNEES!N409)</f>
        <v/>
      </c>
      <c r="N409" t="str">
        <f>IF(DONNEES!$E409="","",DONNEES!O409)</f>
        <v/>
      </c>
      <c r="O409" t="str">
        <f>IF(DONNEES!$E409="","",DONNEES!P409)</f>
        <v/>
      </c>
      <c r="P409" t="str">
        <f>IF(DONNEES!$E409="","",DONNEES!Q409)</f>
        <v/>
      </c>
      <c r="Q409" t="str">
        <f>IF(DONNEES!$E409="","",DONNEES!R409)</f>
        <v/>
      </c>
      <c r="R409" t="str">
        <f>IF(DONNEES!$E409="","",DONNEES!S409)</f>
        <v/>
      </c>
      <c r="S409" t="str">
        <f>IF(DONNEES!$E409="","",DONNEES!T409)</f>
        <v/>
      </c>
      <c r="T409" t="str">
        <f>IF(DONNEES!$E409="","",DONNEES!U409)</f>
        <v/>
      </c>
      <c r="U409" t="str">
        <f>IF(DONNEES!$E409="","",DONNEES!V409)</f>
        <v/>
      </c>
      <c r="V409" t="str">
        <f>IF(DONNEES!$E409="","",DONNEES!W409)</f>
        <v/>
      </c>
      <c r="W409" t="str">
        <f>IF(DONNEES!$E409="","",DONNEES!X409)</f>
        <v/>
      </c>
      <c r="X409" t="str">
        <f>IF(DONNEES!$E409="","",DONNEES!Y409)</f>
        <v/>
      </c>
      <c r="Y409" t="str">
        <f>IF(DONNEES!$E409="","",DONNEES!Z409)</f>
        <v/>
      </c>
      <c r="Z409" t="str">
        <f>IF(DONNEES!$E409="","",DONNEES!AQ409)</f>
        <v/>
      </c>
    </row>
    <row r="410" spans="1:26" ht="15" customHeight="1" x14ac:dyDescent="0.3">
      <c r="A410" t="str">
        <f>IF(DONNEES!$E410="","",DONNEES!A410)</f>
        <v/>
      </c>
      <c r="B410" t="str">
        <f>IF(DONNEES!$E410="","",DONNEES!B410)</f>
        <v/>
      </c>
      <c r="C410" t="str">
        <f>IF(DONNEES!$E410="","",DONNEES!C410)</f>
        <v/>
      </c>
      <c r="D410" t="str">
        <f>IF(DONNEES!$E410="","",DONNEES!E410)</f>
        <v/>
      </c>
      <c r="E410" t="str">
        <f>IF(DONNEES!$E410="","",DONNEES!F410)</f>
        <v/>
      </c>
      <c r="F410" t="str">
        <f>IF(DONNEES!$E410="","",DONNEES!G410)</f>
        <v/>
      </c>
      <c r="G410" t="str">
        <f>IF(DONNEES!$E410="","",DONNEES!H410)</f>
        <v/>
      </c>
      <c r="H410" t="str">
        <f>IF(DONNEES!$E410="","",DONNEES!I410)</f>
        <v/>
      </c>
      <c r="I410" t="str">
        <f>IF(DONNEES!$E410="","",DONNEES!J410)</f>
        <v/>
      </c>
      <c r="J410" t="str">
        <f>IF(DONNEES!$E410="","",DONNEES!K410)</f>
        <v/>
      </c>
      <c r="K410" t="str">
        <f>IF(DONNEES!$E410="","",DONNEES!L410)</f>
        <v/>
      </c>
      <c r="L410" t="str">
        <f>IF(DONNEES!$E410="","",DONNEES!M410)</f>
        <v/>
      </c>
      <c r="M410" t="str">
        <f>IF(DONNEES!$E410="","",DONNEES!N410)</f>
        <v/>
      </c>
      <c r="N410" t="str">
        <f>IF(DONNEES!$E410="","",DONNEES!O410)</f>
        <v/>
      </c>
      <c r="O410" t="str">
        <f>IF(DONNEES!$E410="","",DONNEES!P410)</f>
        <v/>
      </c>
      <c r="P410" t="str">
        <f>IF(DONNEES!$E410="","",DONNEES!Q410)</f>
        <v/>
      </c>
      <c r="Q410" t="str">
        <f>IF(DONNEES!$E410="","",DONNEES!R410)</f>
        <v/>
      </c>
      <c r="R410" t="str">
        <f>IF(DONNEES!$E410="","",DONNEES!S410)</f>
        <v/>
      </c>
      <c r="S410" t="str">
        <f>IF(DONNEES!$E410="","",DONNEES!T410)</f>
        <v/>
      </c>
      <c r="T410" t="str">
        <f>IF(DONNEES!$E410="","",DONNEES!U410)</f>
        <v/>
      </c>
      <c r="U410" t="str">
        <f>IF(DONNEES!$E410="","",DONNEES!V410)</f>
        <v/>
      </c>
      <c r="V410" t="str">
        <f>IF(DONNEES!$E410="","",DONNEES!W410)</f>
        <v/>
      </c>
      <c r="W410" t="str">
        <f>IF(DONNEES!$E410="","",DONNEES!X410)</f>
        <v/>
      </c>
      <c r="X410" t="str">
        <f>IF(DONNEES!$E410="","",DONNEES!Y410)</f>
        <v/>
      </c>
      <c r="Y410" t="str">
        <f>IF(DONNEES!$E410="","",DONNEES!Z410)</f>
        <v/>
      </c>
      <c r="Z410" t="str">
        <f>IF(DONNEES!$E410="","",DONNEES!AQ410)</f>
        <v/>
      </c>
    </row>
    <row r="411" spans="1:26" ht="15" customHeight="1" x14ac:dyDescent="0.3">
      <c r="A411" t="str">
        <f>IF(DONNEES!$E411="","",DONNEES!A411)</f>
        <v/>
      </c>
      <c r="B411" t="str">
        <f>IF(DONNEES!$E411="","",DONNEES!B411)</f>
        <v/>
      </c>
      <c r="C411" t="str">
        <f>IF(DONNEES!$E411="","",DONNEES!C411)</f>
        <v/>
      </c>
      <c r="D411" t="str">
        <f>IF(DONNEES!$E411="","",DONNEES!E411)</f>
        <v/>
      </c>
      <c r="E411" t="str">
        <f>IF(DONNEES!$E411="","",DONNEES!F411)</f>
        <v/>
      </c>
      <c r="F411" t="str">
        <f>IF(DONNEES!$E411="","",DONNEES!G411)</f>
        <v/>
      </c>
      <c r="G411" t="str">
        <f>IF(DONNEES!$E411="","",DONNEES!H411)</f>
        <v/>
      </c>
      <c r="H411" t="str">
        <f>IF(DONNEES!$E411="","",DONNEES!I411)</f>
        <v/>
      </c>
      <c r="I411" t="str">
        <f>IF(DONNEES!$E411="","",DONNEES!J411)</f>
        <v/>
      </c>
      <c r="J411" t="str">
        <f>IF(DONNEES!$E411="","",DONNEES!K411)</f>
        <v/>
      </c>
      <c r="K411" t="str">
        <f>IF(DONNEES!$E411="","",DONNEES!L411)</f>
        <v/>
      </c>
      <c r="L411" t="str">
        <f>IF(DONNEES!$E411="","",DONNEES!M411)</f>
        <v/>
      </c>
      <c r="M411" t="str">
        <f>IF(DONNEES!$E411="","",DONNEES!N411)</f>
        <v/>
      </c>
      <c r="N411" t="str">
        <f>IF(DONNEES!$E411="","",DONNEES!O411)</f>
        <v/>
      </c>
      <c r="O411" t="str">
        <f>IF(DONNEES!$E411="","",DONNEES!P411)</f>
        <v/>
      </c>
      <c r="P411" t="str">
        <f>IF(DONNEES!$E411="","",DONNEES!Q411)</f>
        <v/>
      </c>
      <c r="Q411" t="str">
        <f>IF(DONNEES!$E411="","",DONNEES!R411)</f>
        <v/>
      </c>
      <c r="R411" t="str">
        <f>IF(DONNEES!$E411="","",DONNEES!S411)</f>
        <v/>
      </c>
      <c r="S411" t="str">
        <f>IF(DONNEES!$E411="","",DONNEES!T411)</f>
        <v/>
      </c>
      <c r="T411" t="str">
        <f>IF(DONNEES!$E411="","",DONNEES!U411)</f>
        <v/>
      </c>
      <c r="U411" t="str">
        <f>IF(DONNEES!$E411="","",DONNEES!V411)</f>
        <v/>
      </c>
      <c r="V411" t="str">
        <f>IF(DONNEES!$E411="","",DONNEES!W411)</f>
        <v/>
      </c>
      <c r="W411" t="str">
        <f>IF(DONNEES!$E411="","",DONNEES!X411)</f>
        <v/>
      </c>
      <c r="X411" t="str">
        <f>IF(DONNEES!$E411="","",DONNEES!Y411)</f>
        <v/>
      </c>
      <c r="Y411" t="str">
        <f>IF(DONNEES!$E411="","",DONNEES!Z411)</f>
        <v/>
      </c>
      <c r="Z411" t="str">
        <f>IF(DONNEES!$E411="","",DONNEES!AQ411)</f>
        <v/>
      </c>
    </row>
    <row r="412" spans="1:26" ht="15" customHeight="1" x14ac:dyDescent="0.3">
      <c r="A412" t="str">
        <f>IF(DONNEES!$E412="","",DONNEES!A412)</f>
        <v/>
      </c>
      <c r="B412" t="str">
        <f>IF(DONNEES!$E412="","",DONNEES!B412)</f>
        <v/>
      </c>
      <c r="C412" t="str">
        <f>IF(DONNEES!$E412="","",DONNEES!C412)</f>
        <v/>
      </c>
      <c r="D412" t="str">
        <f>IF(DONNEES!$E412="","",DONNEES!E412)</f>
        <v/>
      </c>
      <c r="E412" t="str">
        <f>IF(DONNEES!$E412="","",DONNEES!F412)</f>
        <v/>
      </c>
      <c r="F412" t="str">
        <f>IF(DONNEES!$E412="","",DONNEES!G412)</f>
        <v/>
      </c>
      <c r="G412" t="str">
        <f>IF(DONNEES!$E412="","",DONNEES!H412)</f>
        <v/>
      </c>
      <c r="H412" t="str">
        <f>IF(DONNEES!$E412="","",DONNEES!I412)</f>
        <v/>
      </c>
      <c r="I412" t="str">
        <f>IF(DONNEES!$E412="","",DONNEES!J412)</f>
        <v/>
      </c>
      <c r="J412" t="str">
        <f>IF(DONNEES!$E412="","",DONNEES!K412)</f>
        <v/>
      </c>
      <c r="K412" t="str">
        <f>IF(DONNEES!$E412="","",DONNEES!L412)</f>
        <v/>
      </c>
      <c r="L412" t="str">
        <f>IF(DONNEES!$E412="","",DONNEES!M412)</f>
        <v/>
      </c>
      <c r="M412" t="str">
        <f>IF(DONNEES!$E412="","",DONNEES!N412)</f>
        <v/>
      </c>
      <c r="N412" t="str">
        <f>IF(DONNEES!$E412="","",DONNEES!O412)</f>
        <v/>
      </c>
      <c r="O412" t="str">
        <f>IF(DONNEES!$E412="","",DONNEES!P412)</f>
        <v/>
      </c>
      <c r="P412" t="str">
        <f>IF(DONNEES!$E412="","",DONNEES!Q412)</f>
        <v/>
      </c>
      <c r="Q412" t="str">
        <f>IF(DONNEES!$E412="","",DONNEES!R412)</f>
        <v/>
      </c>
      <c r="R412" t="str">
        <f>IF(DONNEES!$E412="","",DONNEES!S412)</f>
        <v/>
      </c>
      <c r="S412" t="str">
        <f>IF(DONNEES!$E412="","",DONNEES!T412)</f>
        <v/>
      </c>
      <c r="T412" t="str">
        <f>IF(DONNEES!$E412="","",DONNEES!U412)</f>
        <v/>
      </c>
      <c r="U412" t="str">
        <f>IF(DONNEES!$E412="","",DONNEES!V412)</f>
        <v/>
      </c>
      <c r="V412" t="str">
        <f>IF(DONNEES!$E412="","",DONNEES!W412)</f>
        <v/>
      </c>
      <c r="W412" t="str">
        <f>IF(DONNEES!$E412="","",DONNEES!X412)</f>
        <v/>
      </c>
      <c r="X412" t="str">
        <f>IF(DONNEES!$E412="","",DONNEES!Y412)</f>
        <v/>
      </c>
      <c r="Y412" t="str">
        <f>IF(DONNEES!$E412="","",DONNEES!Z412)</f>
        <v/>
      </c>
      <c r="Z412" t="str">
        <f>IF(DONNEES!$E412="","",DONNEES!AQ412)</f>
        <v/>
      </c>
    </row>
    <row r="413" spans="1:26" ht="15" customHeight="1" x14ac:dyDescent="0.3">
      <c r="A413" t="str">
        <f>IF(DONNEES!$E413="","",DONNEES!A413)</f>
        <v/>
      </c>
      <c r="B413" t="str">
        <f>IF(DONNEES!$E413="","",DONNEES!B413)</f>
        <v/>
      </c>
      <c r="C413" t="str">
        <f>IF(DONNEES!$E413="","",DONNEES!C413)</f>
        <v/>
      </c>
      <c r="D413" t="str">
        <f>IF(DONNEES!$E413="","",DONNEES!E413)</f>
        <v/>
      </c>
      <c r="E413" t="str">
        <f>IF(DONNEES!$E413="","",DONNEES!F413)</f>
        <v/>
      </c>
      <c r="F413" t="str">
        <f>IF(DONNEES!$E413="","",DONNEES!G413)</f>
        <v/>
      </c>
      <c r="G413" t="str">
        <f>IF(DONNEES!$E413="","",DONNEES!H413)</f>
        <v/>
      </c>
      <c r="H413" t="str">
        <f>IF(DONNEES!$E413="","",DONNEES!I413)</f>
        <v/>
      </c>
      <c r="I413" t="str">
        <f>IF(DONNEES!$E413="","",DONNEES!J413)</f>
        <v/>
      </c>
      <c r="J413" t="str">
        <f>IF(DONNEES!$E413="","",DONNEES!K413)</f>
        <v/>
      </c>
      <c r="K413" t="str">
        <f>IF(DONNEES!$E413="","",DONNEES!L413)</f>
        <v/>
      </c>
      <c r="L413" t="str">
        <f>IF(DONNEES!$E413="","",DONNEES!M413)</f>
        <v/>
      </c>
      <c r="M413" t="str">
        <f>IF(DONNEES!$E413="","",DONNEES!N413)</f>
        <v/>
      </c>
      <c r="N413" t="str">
        <f>IF(DONNEES!$E413="","",DONNEES!O413)</f>
        <v/>
      </c>
      <c r="O413" t="str">
        <f>IF(DONNEES!$E413="","",DONNEES!P413)</f>
        <v/>
      </c>
      <c r="P413" t="str">
        <f>IF(DONNEES!$E413="","",DONNEES!Q413)</f>
        <v/>
      </c>
      <c r="Q413" t="str">
        <f>IF(DONNEES!$E413="","",DONNEES!R413)</f>
        <v/>
      </c>
      <c r="R413" t="str">
        <f>IF(DONNEES!$E413="","",DONNEES!S413)</f>
        <v/>
      </c>
      <c r="S413" t="str">
        <f>IF(DONNEES!$E413="","",DONNEES!T413)</f>
        <v/>
      </c>
      <c r="T413" t="str">
        <f>IF(DONNEES!$E413="","",DONNEES!U413)</f>
        <v/>
      </c>
      <c r="U413" t="str">
        <f>IF(DONNEES!$E413="","",DONNEES!V413)</f>
        <v/>
      </c>
      <c r="V413" t="str">
        <f>IF(DONNEES!$E413="","",DONNEES!W413)</f>
        <v/>
      </c>
      <c r="W413" t="str">
        <f>IF(DONNEES!$E413="","",DONNEES!X413)</f>
        <v/>
      </c>
      <c r="X413" t="str">
        <f>IF(DONNEES!$E413="","",DONNEES!Y413)</f>
        <v/>
      </c>
      <c r="Y413" t="str">
        <f>IF(DONNEES!$E413="","",DONNEES!Z413)</f>
        <v/>
      </c>
      <c r="Z413" t="str">
        <f>IF(DONNEES!$E413="","",DONNEES!AQ413)</f>
        <v/>
      </c>
    </row>
    <row r="414" spans="1:26" ht="15" customHeight="1" x14ac:dyDescent="0.3">
      <c r="A414" t="str">
        <f>IF(DONNEES!$E414="","",DONNEES!A414)</f>
        <v/>
      </c>
      <c r="B414" t="str">
        <f>IF(DONNEES!$E414="","",DONNEES!B414)</f>
        <v/>
      </c>
      <c r="C414" t="str">
        <f>IF(DONNEES!$E414="","",DONNEES!C414)</f>
        <v/>
      </c>
      <c r="D414" t="str">
        <f>IF(DONNEES!$E414="","",DONNEES!E414)</f>
        <v/>
      </c>
      <c r="E414" t="str">
        <f>IF(DONNEES!$E414="","",DONNEES!F414)</f>
        <v/>
      </c>
      <c r="F414" t="str">
        <f>IF(DONNEES!$E414="","",DONNEES!G414)</f>
        <v/>
      </c>
      <c r="G414" t="str">
        <f>IF(DONNEES!$E414="","",DONNEES!H414)</f>
        <v/>
      </c>
      <c r="H414" t="str">
        <f>IF(DONNEES!$E414="","",DONNEES!I414)</f>
        <v/>
      </c>
      <c r="I414" t="str">
        <f>IF(DONNEES!$E414="","",DONNEES!J414)</f>
        <v/>
      </c>
      <c r="J414" t="str">
        <f>IF(DONNEES!$E414="","",DONNEES!K414)</f>
        <v/>
      </c>
      <c r="K414" t="str">
        <f>IF(DONNEES!$E414="","",DONNEES!L414)</f>
        <v/>
      </c>
      <c r="L414" t="str">
        <f>IF(DONNEES!$E414="","",DONNEES!M414)</f>
        <v/>
      </c>
      <c r="M414" t="str">
        <f>IF(DONNEES!$E414="","",DONNEES!N414)</f>
        <v/>
      </c>
      <c r="N414" t="str">
        <f>IF(DONNEES!$E414="","",DONNEES!O414)</f>
        <v/>
      </c>
      <c r="O414" t="str">
        <f>IF(DONNEES!$E414="","",DONNEES!P414)</f>
        <v/>
      </c>
      <c r="P414" t="str">
        <f>IF(DONNEES!$E414="","",DONNEES!Q414)</f>
        <v/>
      </c>
      <c r="Q414" t="str">
        <f>IF(DONNEES!$E414="","",DONNEES!R414)</f>
        <v/>
      </c>
      <c r="R414" t="str">
        <f>IF(DONNEES!$E414="","",DONNEES!S414)</f>
        <v/>
      </c>
      <c r="S414" t="str">
        <f>IF(DONNEES!$E414="","",DONNEES!T414)</f>
        <v/>
      </c>
      <c r="T414" t="str">
        <f>IF(DONNEES!$E414="","",DONNEES!U414)</f>
        <v/>
      </c>
      <c r="U414" t="str">
        <f>IF(DONNEES!$E414="","",DONNEES!V414)</f>
        <v/>
      </c>
      <c r="V414" t="str">
        <f>IF(DONNEES!$E414="","",DONNEES!W414)</f>
        <v/>
      </c>
      <c r="W414" t="str">
        <f>IF(DONNEES!$E414="","",DONNEES!X414)</f>
        <v/>
      </c>
      <c r="X414" t="str">
        <f>IF(DONNEES!$E414="","",DONNEES!Y414)</f>
        <v/>
      </c>
      <c r="Y414" t="str">
        <f>IF(DONNEES!$E414="","",DONNEES!Z414)</f>
        <v/>
      </c>
      <c r="Z414" t="str">
        <f>IF(DONNEES!$E414="","",DONNEES!AQ414)</f>
        <v/>
      </c>
    </row>
    <row r="415" spans="1:26" ht="15" customHeight="1" x14ac:dyDescent="0.3">
      <c r="A415" t="str">
        <f>IF(DONNEES!$E415="","",DONNEES!A415)</f>
        <v/>
      </c>
      <c r="B415" t="str">
        <f>IF(DONNEES!$E415="","",DONNEES!B415)</f>
        <v/>
      </c>
      <c r="C415" t="str">
        <f>IF(DONNEES!$E415="","",DONNEES!C415)</f>
        <v/>
      </c>
      <c r="D415" t="str">
        <f>IF(DONNEES!$E415="","",DONNEES!E415)</f>
        <v/>
      </c>
      <c r="E415" t="str">
        <f>IF(DONNEES!$E415="","",DONNEES!F415)</f>
        <v/>
      </c>
      <c r="F415" t="str">
        <f>IF(DONNEES!$E415="","",DONNEES!G415)</f>
        <v/>
      </c>
      <c r="G415" t="str">
        <f>IF(DONNEES!$E415="","",DONNEES!H415)</f>
        <v/>
      </c>
      <c r="H415" t="str">
        <f>IF(DONNEES!$E415="","",DONNEES!I415)</f>
        <v/>
      </c>
      <c r="I415" t="str">
        <f>IF(DONNEES!$E415="","",DONNEES!J415)</f>
        <v/>
      </c>
      <c r="J415" t="str">
        <f>IF(DONNEES!$E415="","",DONNEES!K415)</f>
        <v/>
      </c>
      <c r="K415" t="str">
        <f>IF(DONNEES!$E415="","",DONNEES!L415)</f>
        <v/>
      </c>
      <c r="L415" t="str">
        <f>IF(DONNEES!$E415="","",DONNEES!M415)</f>
        <v/>
      </c>
      <c r="M415" t="str">
        <f>IF(DONNEES!$E415="","",DONNEES!N415)</f>
        <v/>
      </c>
      <c r="N415" t="str">
        <f>IF(DONNEES!$E415="","",DONNEES!O415)</f>
        <v/>
      </c>
      <c r="O415" t="str">
        <f>IF(DONNEES!$E415="","",DONNEES!P415)</f>
        <v/>
      </c>
      <c r="P415" t="str">
        <f>IF(DONNEES!$E415="","",DONNEES!Q415)</f>
        <v/>
      </c>
      <c r="Q415" t="str">
        <f>IF(DONNEES!$E415="","",DONNEES!R415)</f>
        <v/>
      </c>
      <c r="R415" t="str">
        <f>IF(DONNEES!$E415="","",DONNEES!S415)</f>
        <v/>
      </c>
      <c r="S415" t="str">
        <f>IF(DONNEES!$E415="","",DONNEES!T415)</f>
        <v/>
      </c>
      <c r="T415" t="str">
        <f>IF(DONNEES!$E415="","",DONNEES!U415)</f>
        <v/>
      </c>
      <c r="U415" t="str">
        <f>IF(DONNEES!$E415="","",DONNEES!V415)</f>
        <v/>
      </c>
      <c r="V415" t="str">
        <f>IF(DONNEES!$E415="","",DONNEES!W415)</f>
        <v/>
      </c>
      <c r="W415" t="str">
        <f>IF(DONNEES!$E415="","",DONNEES!X415)</f>
        <v/>
      </c>
      <c r="X415" t="str">
        <f>IF(DONNEES!$E415="","",DONNEES!Y415)</f>
        <v/>
      </c>
      <c r="Y415" t="str">
        <f>IF(DONNEES!$E415="","",DONNEES!Z415)</f>
        <v/>
      </c>
      <c r="Z415" t="str">
        <f>IF(DONNEES!$E415="","",DONNEES!AQ415)</f>
        <v/>
      </c>
    </row>
    <row r="416" spans="1:26" ht="15" customHeight="1" x14ac:dyDescent="0.3">
      <c r="A416" t="str">
        <f>IF(DONNEES!$E416="","",DONNEES!A416)</f>
        <v/>
      </c>
      <c r="B416" t="str">
        <f>IF(DONNEES!$E416="","",DONNEES!B416)</f>
        <v/>
      </c>
      <c r="C416" t="str">
        <f>IF(DONNEES!$E416="","",DONNEES!C416)</f>
        <v/>
      </c>
      <c r="D416" t="str">
        <f>IF(DONNEES!$E416="","",DONNEES!E416)</f>
        <v/>
      </c>
      <c r="E416" t="str">
        <f>IF(DONNEES!$E416="","",DONNEES!F416)</f>
        <v/>
      </c>
      <c r="F416" t="str">
        <f>IF(DONNEES!$E416="","",DONNEES!G416)</f>
        <v/>
      </c>
      <c r="G416" t="str">
        <f>IF(DONNEES!$E416="","",DONNEES!H416)</f>
        <v/>
      </c>
      <c r="H416" t="str">
        <f>IF(DONNEES!$E416="","",DONNEES!I416)</f>
        <v/>
      </c>
      <c r="I416" t="str">
        <f>IF(DONNEES!$E416="","",DONNEES!J416)</f>
        <v/>
      </c>
      <c r="J416" t="str">
        <f>IF(DONNEES!$E416="","",DONNEES!K416)</f>
        <v/>
      </c>
      <c r="K416" t="str">
        <f>IF(DONNEES!$E416="","",DONNEES!L416)</f>
        <v/>
      </c>
      <c r="L416" t="str">
        <f>IF(DONNEES!$E416="","",DONNEES!M416)</f>
        <v/>
      </c>
      <c r="M416" t="str">
        <f>IF(DONNEES!$E416="","",DONNEES!N416)</f>
        <v/>
      </c>
      <c r="N416" t="str">
        <f>IF(DONNEES!$E416="","",DONNEES!O416)</f>
        <v/>
      </c>
      <c r="O416" t="str">
        <f>IF(DONNEES!$E416="","",DONNEES!P416)</f>
        <v/>
      </c>
      <c r="P416" t="str">
        <f>IF(DONNEES!$E416="","",DONNEES!Q416)</f>
        <v/>
      </c>
      <c r="Q416" t="str">
        <f>IF(DONNEES!$E416="","",DONNEES!R416)</f>
        <v/>
      </c>
      <c r="R416" t="str">
        <f>IF(DONNEES!$E416="","",DONNEES!S416)</f>
        <v/>
      </c>
      <c r="S416" t="str">
        <f>IF(DONNEES!$E416="","",DONNEES!T416)</f>
        <v/>
      </c>
      <c r="T416" t="str">
        <f>IF(DONNEES!$E416="","",DONNEES!U416)</f>
        <v/>
      </c>
      <c r="U416" t="str">
        <f>IF(DONNEES!$E416="","",DONNEES!V416)</f>
        <v/>
      </c>
      <c r="V416" t="str">
        <f>IF(DONNEES!$E416="","",DONNEES!W416)</f>
        <v/>
      </c>
      <c r="W416" t="str">
        <f>IF(DONNEES!$E416="","",DONNEES!X416)</f>
        <v/>
      </c>
      <c r="X416" t="str">
        <f>IF(DONNEES!$E416="","",DONNEES!Y416)</f>
        <v/>
      </c>
      <c r="Y416" t="str">
        <f>IF(DONNEES!$E416="","",DONNEES!Z416)</f>
        <v/>
      </c>
      <c r="Z416" t="str">
        <f>IF(DONNEES!$E416="","",DONNEES!AQ416)</f>
        <v/>
      </c>
    </row>
    <row r="417" spans="1:26" ht="15" customHeight="1" x14ac:dyDescent="0.3">
      <c r="A417" t="str">
        <f>IF(DONNEES!$E417="","",DONNEES!A417)</f>
        <v/>
      </c>
      <c r="B417" t="str">
        <f>IF(DONNEES!$E417="","",DONNEES!B417)</f>
        <v/>
      </c>
      <c r="C417" t="str">
        <f>IF(DONNEES!$E417="","",DONNEES!C417)</f>
        <v/>
      </c>
      <c r="D417" t="str">
        <f>IF(DONNEES!$E417="","",DONNEES!E417)</f>
        <v/>
      </c>
      <c r="E417" t="str">
        <f>IF(DONNEES!$E417="","",DONNEES!F417)</f>
        <v/>
      </c>
      <c r="F417" t="str">
        <f>IF(DONNEES!$E417="","",DONNEES!G417)</f>
        <v/>
      </c>
      <c r="G417" t="str">
        <f>IF(DONNEES!$E417="","",DONNEES!H417)</f>
        <v/>
      </c>
      <c r="H417" t="str">
        <f>IF(DONNEES!$E417="","",DONNEES!I417)</f>
        <v/>
      </c>
      <c r="I417" t="str">
        <f>IF(DONNEES!$E417="","",DONNEES!J417)</f>
        <v/>
      </c>
      <c r="J417" t="str">
        <f>IF(DONNEES!$E417="","",DONNEES!K417)</f>
        <v/>
      </c>
      <c r="K417" t="str">
        <f>IF(DONNEES!$E417="","",DONNEES!L417)</f>
        <v/>
      </c>
      <c r="L417" t="str">
        <f>IF(DONNEES!$E417="","",DONNEES!M417)</f>
        <v/>
      </c>
      <c r="M417" t="str">
        <f>IF(DONNEES!$E417="","",DONNEES!N417)</f>
        <v/>
      </c>
      <c r="N417" t="str">
        <f>IF(DONNEES!$E417="","",DONNEES!O417)</f>
        <v/>
      </c>
      <c r="O417" t="str">
        <f>IF(DONNEES!$E417="","",DONNEES!P417)</f>
        <v/>
      </c>
      <c r="P417" t="str">
        <f>IF(DONNEES!$E417="","",DONNEES!Q417)</f>
        <v/>
      </c>
      <c r="Q417" t="str">
        <f>IF(DONNEES!$E417="","",DONNEES!R417)</f>
        <v/>
      </c>
      <c r="R417" t="str">
        <f>IF(DONNEES!$E417="","",DONNEES!S417)</f>
        <v/>
      </c>
      <c r="S417" t="str">
        <f>IF(DONNEES!$E417="","",DONNEES!T417)</f>
        <v/>
      </c>
      <c r="T417" t="str">
        <f>IF(DONNEES!$E417="","",DONNEES!U417)</f>
        <v/>
      </c>
      <c r="U417" t="str">
        <f>IF(DONNEES!$E417="","",DONNEES!V417)</f>
        <v/>
      </c>
      <c r="V417" t="str">
        <f>IF(DONNEES!$E417="","",DONNEES!W417)</f>
        <v/>
      </c>
      <c r="W417" t="str">
        <f>IF(DONNEES!$E417="","",DONNEES!X417)</f>
        <v/>
      </c>
      <c r="X417" t="str">
        <f>IF(DONNEES!$E417="","",DONNEES!Y417)</f>
        <v/>
      </c>
      <c r="Y417" t="str">
        <f>IF(DONNEES!$E417="","",DONNEES!Z417)</f>
        <v/>
      </c>
      <c r="Z417" t="str">
        <f>IF(DONNEES!$E417="","",DONNEES!AQ417)</f>
        <v/>
      </c>
    </row>
    <row r="418" spans="1:26" ht="15" customHeight="1" x14ac:dyDescent="0.3">
      <c r="A418" t="str">
        <f>IF(DONNEES!$E418="","",DONNEES!A418)</f>
        <v/>
      </c>
      <c r="B418" t="str">
        <f>IF(DONNEES!$E418="","",DONNEES!B418)</f>
        <v/>
      </c>
      <c r="C418" t="str">
        <f>IF(DONNEES!$E418="","",DONNEES!C418)</f>
        <v/>
      </c>
      <c r="D418" t="str">
        <f>IF(DONNEES!$E418="","",DONNEES!E418)</f>
        <v/>
      </c>
      <c r="E418" t="str">
        <f>IF(DONNEES!$E418="","",DONNEES!F418)</f>
        <v/>
      </c>
      <c r="F418" t="str">
        <f>IF(DONNEES!$E418="","",DONNEES!G418)</f>
        <v/>
      </c>
      <c r="G418" t="str">
        <f>IF(DONNEES!$E418="","",DONNEES!H418)</f>
        <v/>
      </c>
      <c r="H418" t="str">
        <f>IF(DONNEES!$E418="","",DONNEES!I418)</f>
        <v/>
      </c>
      <c r="I418" t="str">
        <f>IF(DONNEES!$E418="","",DONNEES!J418)</f>
        <v/>
      </c>
      <c r="J418" t="str">
        <f>IF(DONNEES!$E418="","",DONNEES!K418)</f>
        <v/>
      </c>
      <c r="K418" t="str">
        <f>IF(DONNEES!$E418="","",DONNEES!L418)</f>
        <v/>
      </c>
      <c r="L418" t="str">
        <f>IF(DONNEES!$E418="","",DONNEES!M418)</f>
        <v/>
      </c>
      <c r="M418" t="str">
        <f>IF(DONNEES!$E418="","",DONNEES!N418)</f>
        <v/>
      </c>
      <c r="N418" t="str">
        <f>IF(DONNEES!$E418="","",DONNEES!O418)</f>
        <v/>
      </c>
      <c r="O418" t="str">
        <f>IF(DONNEES!$E418="","",DONNEES!P418)</f>
        <v/>
      </c>
      <c r="P418" t="str">
        <f>IF(DONNEES!$E418="","",DONNEES!Q418)</f>
        <v/>
      </c>
      <c r="Q418" t="str">
        <f>IF(DONNEES!$E418="","",DONNEES!R418)</f>
        <v/>
      </c>
      <c r="R418" t="str">
        <f>IF(DONNEES!$E418="","",DONNEES!S418)</f>
        <v/>
      </c>
      <c r="S418" t="str">
        <f>IF(DONNEES!$E418="","",DONNEES!T418)</f>
        <v/>
      </c>
      <c r="T418" t="str">
        <f>IF(DONNEES!$E418="","",DONNEES!U418)</f>
        <v/>
      </c>
      <c r="U418" t="str">
        <f>IF(DONNEES!$E418="","",DONNEES!V418)</f>
        <v/>
      </c>
      <c r="V418" t="str">
        <f>IF(DONNEES!$E418="","",DONNEES!W418)</f>
        <v/>
      </c>
      <c r="W418" t="str">
        <f>IF(DONNEES!$E418="","",DONNEES!X418)</f>
        <v/>
      </c>
      <c r="X418" t="str">
        <f>IF(DONNEES!$E418="","",DONNEES!Y418)</f>
        <v/>
      </c>
      <c r="Y418" t="str">
        <f>IF(DONNEES!$E418="","",DONNEES!Z418)</f>
        <v/>
      </c>
      <c r="Z418" t="str">
        <f>IF(DONNEES!$E418="","",DONNEES!AQ418)</f>
        <v/>
      </c>
    </row>
    <row r="419" spans="1:26" ht="15" customHeight="1" x14ac:dyDescent="0.3">
      <c r="A419" t="str">
        <f>IF(DONNEES!$E419="","",DONNEES!A419)</f>
        <v/>
      </c>
      <c r="B419" t="str">
        <f>IF(DONNEES!$E419="","",DONNEES!B419)</f>
        <v/>
      </c>
      <c r="C419" t="str">
        <f>IF(DONNEES!$E419="","",DONNEES!C419)</f>
        <v/>
      </c>
      <c r="D419" t="str">
        <f>IF(DONNEES!$E419="","",DONNEES!E419)</f>
        <v/>
      </c>
      <c r="E419" t="str">
        <f>IF(DONNEES!$E419="","",DONNEES!F419)</f>
        <v/>
      </c>
      <c r="F419" t="str">
        <f>IF(DONNEES!$E419="","",DONNEES!G419)</f>
        <v/>
      </c>
      <c r="G419" t="str">
        <f>IF(DONNEES!$E419="","",DONNEES!H419)</f>
        <v/>
      </c>
      <c r="H419" t="str">
        <f>IF(DONNEES!$E419="","",DONNEES!I419)</f>
        <v/>
      </c>
      <c r="I419" t="str">
        <f>IF(DONNEES!$E419="","",DONNEES!J419)</f>
        <v/>
      </c>
      <c r="J419" t="str">
        <f>IF(DONNEES!$E419="","",DONNEES!K419)</f>
        <v/>
      </c>
      <c r="K419" t="str">
        <f>IF(DONNEES!$E419="","",DONNEES!L419)</f>
        <v/>
      </c>
      <c r="L419" t="str">
        <f>IF(DONNEES!$E419="","",DONNEES!M419)</f>
        <v/>
      </c>
      <c r="M419" t="str">
        <f>IF(DONNEES!$E419="","",DONNEES!N419)</f>
        <v/>
      </c>
      <c r="N419" t="str">
        <f>IF(DONNEES!$E419="","",DONNEES!O419)</f>
        <v/>
      </c>
      <c r="O419" t="str">
        <f>IF(DONNEES!$E419="","",DONNEES!P419)</f>
        <v/>
      </c>
      <c r="P419" t="str">
        <f>IF(DONNEES!$E419="","",DONNEES!Q419)</f>
        <v/>
      </c>
      <c r="Q419" t="str">
        <f>IF(DONNEES!$E419="","",DONNEES!R419)</f>
        <v/>
      </c>
      <c r="R419" t="str">
        <f>IF(DONNEES!$E419="","",DONNEES!S419)</f>
        <v/>
      </c>
      <c r="S419" t="str">
        <f>IF(DONNEES!$E419="","",DONNEES!T419)</f>
        <v/>
      </c>
      <c r="T419" t="str">
        <f>IF(DONNEES!$E419="","",DONNEES!U419)</f>
        <v/>
      </c>
      <c r="U419" t="str">
        <f>IF(DONNEES!$E419="","",DONNEES!V419)</f>
        <v/>
      </c>
      <c r="V419" t="str">
        <f>IF(DONNEES!$E419="","",DONNEES!W419)</f>
        <v/>
      </c>
      <c r="W419" t="str">
        <f>IF(DONNEES!$E419="","",DONNEES!X419)</f>
        <v/>
      </c>
      <c r="X419" t="str">
        <f>IF(DONNEES!$E419="","",DONNEES!Y419)</f>
        <v/>
      </c>
      <c r="Y419" t="str">
        <f>IF(DONNEES!$E419="","",DONNEES!Z419)</f>
        <v/>
      </c>
      <c r="Z419" t="str">
        <f>IF(DONNEES!$E419="","",DONNEES!AQ419)</f>
        <v/>
      </c>
    </row>
    <row r="420" spans="1:26" ht="15" customHeight="1" x14ac:dyDescent="0.3">
      <c r="A420" t="str">
        <f>IF(DONNEES!$E420="","",DONNEES!A420)</f>
        <v/>
      </c>
      <c r="B420" t="str">
        <f>IF(DONNEES!$E420="","",DONNEES!B420)</f>
        <v/>
      </c>
      <c r="C420" t="str">
        <f>IF(DONNEES!$E420="","",DONNEES!C420)</f>
        <v/>
      </c>
      <c r="D420" t="str">
        <f>IF(DONNEES!$E420="","",DONNEES!E420)</f>
        <v/>
      </c>
      <c r="E420" t="str">
        <f>IF(DONNEES!$E420="","",DONNEES!F420)</f>
        <v/>
      </c>
      <c r="F420" t="str">
        <f>IF(DONNEES!$E420="","",DONNEES!G420)</f>
        <v/>
      </c>
      <c r="G420" t="str">
        <f>IF(DONNEES!$E420="","",DONNEES!H420)</f>
        <v/>
      </c>
      <c r="H420" t="str">
        <f>IF(DONNEES!$E420="","",DONNEES!I420)</f>
        <v/>
      </c>
      <c r="I420" t="str">
        <f>IF(DONNEES!$E420="","",DONNEES!J420)</f>
        <v/>
      </c>
      <c r="J420" t="str">
        <f>IF(DONNEES!$E420="","",DONNEES!K420)</f>
        <v/>
      </c>
      <c r="K420" t="str">
        <f>IF(DONNEES!$E420="","",DONNEES!L420)</f>
        <v/>
      </c>
      <c r="L420" t="str">
        <f>IF(DONNEES!$E420="","",DONNEES!M420)</f>
        <v/>
      </c>
      <c r="M420" t="str">
        <f>IF(DONNEES!$E420="","",DONNEES!N420)</f>
        <v/>
      </c>
      <c r="N420" t="str">
        <f>IF(DONNEES!$E420="","",DONNEES!O420)</f>
        <v/>
      </c>
      <c r="O420" t="str">
        <f>IF(DONNEES!$E420="","",DONNEES!P420)</f>
        <v/>
      </c>
      <c r="P420" t="str">
        <f>IF(DONNEES!$E420="","",DONNEES!Q420)</f>
        <v/>
      </c>
      <c r="Q420" t="str">
        <f>IF(DONNEES!$E420="","",DONNEES!R420)</f>
        <v/>
      </c>
      <c r="R420" t="str">
        <f>IF(DONNEES!$E420="","",DONNEES!S420)</f>
        <v/>
      </c>
      <c r="S420" t="str">
        <f>IF(DONNEES!$E420="","",DONNEES!T420)</f>
        <v/>
      </c>
      <c r="T420" t="str">
        <f>IF(DONNEES!$E420="","",DONNEES!U420)</f>
        <v/>
      </c>
      <c r="U420" t="str">
        <f>IF(DONNEES!$E420="","",DONNEES!V420)</f>
        <v/>
      </c>
      <c r="V420" t="str">
        <f>IF(DONNEES!$E420="","",DONNEES!W420)</f>
        <v/>
      </c>
      <c r="W420" t="str">
        <f>IF(DONNEES!$E420="","",DONNEES!X420)</f>
        <v/>
      </c>
      <c r="X420" t="str">
        <f>IF(DONNEES!$E420="","",DONNEES!Y420)</f>
        <v/>
      </c>
      <c r="Y420" t="str">
        <f>IF(DONNEES!$E420="","",DONNEES!Z420)</f>
        <v/>
      </c>
      <c r="Z420" t="str">
        <f>IF(DONNEES!$E420="","",DONNEES!AQ420)</f>
        <v/>
      </c>
    </row>
    <row r="421" spans="1:26" ht="15" customHeight="1" x14ac:dyDescent="0.3">
      <c r="A421" t="str">
        <f>IF(DONNEES!$E421="","",DONNEES!A421)</f>
        <v/>
      </c>
      <c r="B421" t="str">
        <f>IF(DONNEES!$E421="","",DONNEES!B421)</f>
        <v/>
      </c>
      <c r="C421" t="str">
        <f>IF(DONNEES!$E421="","",DONNEES!C421)</f>
        <v/>
      </c>
      <c r="D421" t="str">
        <f>IF(DONNEES!$E421="","",DONNEES!E421)</f>
        <v/>
      </c>
      <c r="E421" t="str">
        <f>IF(DONNEES!$E421="","",DONNEES!F421)</f>
        <v/>
      </c>
      <c r="F421" t="str">
        <f>IF(DONNEES!$E421="","",DONNEES!G421)</f>
        <v/>
      </c>
      <c r="G421" t="str">
        <f>IF(DONNEES!$E421="","",DONNEES!H421)</f>
        <v/>
      </c>
      <c r="H421" t="str">
        <f>IF(DONNEES!$E421="","",DONNEES!I421)</f>
        <v/>
      </c>
      <c r="I421" t="str">
        <f>IF(DONNEES!$E421="","",DONNEES!J421)</f>
        <v/>
      </c>
      <c r="J421" t="str">
        <f>IF(DONNEES!$E421="","",DONNEES!K421)</f>
        <v/>
      </c>
      <c r="K421" t="str">
        <f>IF(DONNEES!$E421="","",DONNEES!L421)</f>
        <v/>
      </c>
      <c r="L421" t="str">
        <f>IF(DONNEES!$E421="","",DONNEES!M421)</f>
        <v/>
      </c>
      <c r="M421" t="str">
        <f>IF(DONNEES!$E421="","",DONNEES!N421)</f>
        <v/>
      </c>
      <c r="N421" t="str">
        <f>IF(DONNEES!$E421="","",DONNEES!O421)</f>
        <v/>
      </c>
      <c r="O421" t="str">
        <f>IF(DONNEES!$E421="","",DONNEES!P421)</f>
        <v/>
      </c>
      <c r="P421" t="str">
        <f>IF(DONNEES!$E421="","",DONNEES!Q421)</f>
        <v/>
      </c>
      <c r="Q421" t="str">
        <f>IF(DONNEES!$E421="","",DONNEES!R421)</f>
        <v/>
      </c>
      <c r="R421" t="str">
        <f>IF(DONNEES!$E421="","",DONNEES!S421)</f>
        <v/>
      </c>
      <c r="S421" t="str">
        <f>IF(DONNEES!$E421="","",DONNEES!T421)</f>
        <v/>
      </c>
      <c r="T421" t="str">
        <f>IF(DONNEES!$E421="","",DONNEES!U421)</f>
        <v/>
      </c>
      <c r="U421" t="str">
        <f>IF(DONNEES!$E421="","",DONNEES!V421)</f>
        <v/>
      </c>
      <c r="V421" t="str">
        <f>IF(DONNEES!$E421="","",DONNEES!W421)</f>
        <v/>
      </c>
      <c r="W421" t="str">
        <f>IF(DONNEES!$E421="","",DONNEES!X421)</f>
        <v/>
      </c>
      <c r="X421" t="str">
        <f>IF(DONNEES!$E421="","",DONNEES!Y421)</f>
        <v/>
      </c>
      <c r="Y421" t="str">
        <f>IF(DONNEES!$E421="","",DONNEES!Z421)</f>
        <v/>
      </c>
      <c r="Z421" t="str">
        <f>IF(DONNEES!$E421="","",DONNEES!AQ421)</f>
        <v/>
      </c>
    </row>
    <row r="422" spans="1:26" ht="15" customHeight="1" x14ac:dyDescent="0.3">
      <c r="A422" t="str">
        <f>IF(DONNEES!$E422="","",DONNEES!A422)</f>
        <v/>
      </c>
      <c r="B422" t="str">
        <f>IF(DONNEES!$E422="","",DONNEES!B422)</f>
        <v/>
      </c>
      <c r="C422" t="str">
        <f>IF(DONNEES!$E422="","",DONNEES!C422)</f>
        <v/>
      </c>
      <c r="D422" t="str">
        <f>IF(DONNEES!$E422="","",DONNEES!E422)</f>
        <v/>
      </c>
      <c r="E422" t="str">
        <f>IF(DONNEES!$E422="","",DONNEES!F422)</f>
        <v/>
      </c>
      <c r="F422" t="str">
        <f>IF(DONNEES!$E422="","",DONNEES!G422)</f>
        <v/>
      </c>
      <c r="G422" t="str">
        <f>IF(DONNEES!$E422="","",DONNEES!H422)</f>
        <v/>
      </c>
      <c r="H422" t="str">
        <f>IF(DONNEES!$E422="","",DONNEES!I422)</f>
        <v/>
      </c>
      <c r="I422" t="str">
        <f>IF(DONNEES!$E422="","",DONNEES!J422)</f>
        <v/>
      </c>
      <c r="J422" t="str">
        <f>IF(DONNEES!$E422="","",DONNEES!K422)</f>
        <v/>
      </c>
      <c r="K422" t="str">
        <f>IF(DONNEES!$E422="","",DONNEES!L422)</f>
        <v/>
      </c>
      <c r="L422" t="str">
        <f>IF(DONNEES!$E422="","",DONNEES!M422)</f>
        <v/>
      </c>
      <c r="M422" t="str">
        <f>IF(DONNEES!$E422="","",DONNEES!N422)</f>
        <v/>
      </c>
      <c r="N422" t="str">
        <f>IF(DONNEES!$E422="","",DONNEES!O422)</f>
        <v/>
      </c>
      <c r="O422" t="str">
        <f>IF(DONNEES!$E422="","",DONNEES!P422)</f>
        <v/>
      </c>
      <c r="P422" t="str">
        <f>IF(DONNEES!$E422="","",DONNEES!Q422)</f>
        <v/>
      </c>
      <c r="Q422" t="str">
        <f>IF(DONNEES!$E422="","",DONNEES!R422)</f>
        <v/>
      </c>
      <c r="R422" t="str">
        <f>IF(DONNEES!$E422="","",DONNEES!S422)</f>
        <v/>
      </c>
      <c r="S422" t="str">
        <f>IF(DONNEES!$E422="","",DONNEES!T422)</f>
        <v/>
      </c>
      <c r="T422" t="str">
        <f>IF(DONNEES!$E422="","",DONNEES!U422)</f>
        <v/>
      </c>
      <c r="U422" t="str">
        <f>IF(DONNEES!$E422="","",DONNEES!V422)</f>
        <v/>
      </c>
      <c r="V422" t="str">
        <f>IF(DONNEES!$E422="","",DONNEES!W422)</f>
        <v/>
      </c>
      <c r="W422" t="str">
        <f>IF(DONNEES!$E422="","",DONNEES!X422)</f>
        <v/>
      </c>
      <c r="X422" t="str">
        <f>IF(DONNEES!$E422="","",DONNEES!Y422)</f>
        <v/>
      </c>
      <c r="Y422" t="str">
        <f>IF(DONNEES!$E422="","",DONNEES!Z422)</f>
        <v/>
      </c>
      <c r="Z422" t="str">
        <f>IF(DONNEES!$E422="","",DONNEES!AQ422)</f>
        <v/>
      </c>
    </row>
    <row r="423" spans="1:26" ht="15" customHeight="1" x14ac:dyDescent="0.3">
      <c r="A423" t="str">
        <f>IF(DONNEES!$E423="","",DONNEES!A423)</f>
        <v/>
      </c>
      <c r="B423" t="str">
        <f>IF(DONNEES!$E423="","",DONNEES!B423)</f>
        <v/>
      </c>
      <c r="C423" t="str">
        <f>IF(DONNEES!$E423="","",DONNEES!C423)</f>
        <v/>
      </c>
      <c r="D423" t="str">
        <f>IF(DONNEES!$E423="","",DONNEES!E423)</f>
        <v/>
      </c>
      <c r="E423" t="str">
        <f>IF(DONNEES!$E423="","",DONNEES!F423)</f>
        <v/>
      </c>
      <c r="F423" t="str">
        <f>IF(DONNEES!$E423="","",DONNEES!G423)</f>
        <v/>
      </c>
      <c r="G423" t="str">
        <f>IF(DONNEES!$E423="","",DONNEES!H423)</f>
        <v/>
      </c>
      <c r="H423" t="str">
        <f>IF(DONNEES!$E423="","",DONNEES!I423)</f>
        <v/>
      </c>
      <c r="I423" t="str">
        <f>IF(DONNEES!$E423="","",DONNEES!J423)</f>
        <v/>
      </c>
      <c r="J423" t="str">
        <f>IF(DONNEES!$E423="","",DONNEES!K423)</f>
        <v/>
      </c>
      <c r="K423" t="str">
        <f>IF(DONNEES!$E423="","",DONNEES!L423)</f>
        <v/>
      </c>
      <c r="L423" t="str">
        <f>IF(DONNEES!$E423="","",DONNEES!M423)</f>
        <v/>
      </c>
      <c r="M423" t="str">
        <f>IF(DONNEES!$E423="","",DONNEES!N423)</f>
        <v/>
      </c>
      <c r="N423" t="str">
        <f>IF(DONNEES!$E423="","",DONNEES!O423)</f>
        <v/>
      </c>
      <c r="O423" t="str">
        <f>IF(DONNEES!$E423="","",DONNEES!P423)</f>
        <v/>
      </c>
      <c r="P423" t="str">
        <f>IF(DONNEES!$E423="","",DONNEES!Q423)</f>
        <v/>
      </c>
      <c r="Q423" t="str">
        <f>IF(DONNEES!$E423="","",DONNEES!R423)</f>
        <v/>
      </c>
      <c r="R423" t="str">
        <f>IF(DONNEES!$E423="","",DONNEES!S423)</f>
        <v/>
      </c>
      <c r="S423" t="str">
        <f>IF(DONNEES!$E423="","",DONNEES!T423)</f>
        <v/>
      </c>
      <c r="T423" t="str">
        <f>IF(DONNEES!$E423="","",DONNEES!U423)</f>
        <v/>
      </c>
      <c r="U423" t="str">
        <f>IF(DONNEES!$E423="","",DONNEES!V423)</f>
        <v/>
      </c>
      <c r="V423" t="str">
        <f>IF(DONNEES!$E423="","",DONNEES!W423)</f>
        <v/>
      </c>
      <c r="W423" t="str">
        <f>IF(DONNEES!$E423="","",DONNEES!X423)</f>
        <v/>
      </c>
      <c r="X423" t="str">
        <f>IF(DONNEES!$E423="","",DONNEES!Y423)</f>
        <v/>
      </c>
      <c r="Y423" t="str">
        <f>IF(DONNEES!$E423="","",DONNEES!Z423)</f>
        <v/>
      </c>
      <c r="Z423" t="str">
        <f>IF(DONNEES!$E423="","",DONNEES!AQ423)</f>
        <v/>
      </c>
    </row>
    <row r="424" spans="1:26" ht="15" customHeight="1" x14ac:dyDescent="0.3">
      <c r="A424" t="str">
        <f>IF(DONNEES!$E424="","",DONNEES!A424)</f>
        <v/>
      </c>
      <c r="B424" t="str">
        <f>IF(DONNEES!$E424="","",DONNEES!B424)</f>
        <v/>
      </c>
      <c r="C424" t="str">
        <f>IF(DONNEES!$E424="","",DONNEES!C424)</f>
        <v/>
      </c>
      <c r="D424" t="str">
        <f>IF(DONNEES!$E424="","",DONNEES!E424)</f>
        <v/>
      </c>
      <c r="E424" t="str">
        <f>IF(DONNEES!$E424="","",DONNEES!F424)</f>
        <v/>
      </c>
      <c r="F424" t="str">
        <f>IF(DONNEES!$E424="","",DONNEES!G424)</f>
        <v/>
      </c>
      <c r="G424" t="str">
        <f>IF(DONNEES!$E424="","",DONNEES!H424)</f>
        <v/>
      </c>
      <c r="H424" t="str">
        <f>IF(DONNEES!$E424="","",DONNEES!I424)</f>
        <v/>
      </c>
      <c r="I424" t="str">
        <f>IF(DONNEES!$E424="","",DONNEES!J424)</f>
        <v/>
      </c>
      <c r="J424" t="str">
        <f>IF(DONNEES!$E424="","",DONNEES!K424)</f>
        <v/>
      </c>
      <c r="K424" t="str">
        <f>IF(DONNEES!$E424="","",DONNEES!L424)</f>
        <v/>
      </c>
      <c r="L424" t="str">
        <f>IF(DONNEES!$E424="","",DONNEES!M424)</f>
        <v/>
      </c>
      <c r="M424" t="str">
        <f>IF(DONNEES!$E424="","",DONNEES!N424)</f>
        <v/>
      </c>
      <c r="N424" t="str">
        <f>IF(DONNEES!$E424="","",DONNEES!O424)</f>
        <v/>
      </c>
      <c r="O424" t="str">
        <f>IF(DONNEES!$E424="","",DONNEES!P424)</f>
        <v/>
      </c>
      <c r="P424" t="str">
        <f>IF(DONNEES!$E424="","",DONNEES!Q424)</f>
        <v/>
      </c>
      <c r="Q424" t="str">
        <f>IF(DONNEES!$E424="","",DONNEES!R424)</f>
        <v/>
      </c>
      <c r="R424" t="str">
        <f>IF(DONNEES!$E424="","",DONNEES!S424)</f>
        <v/>
      </c>
      <c r="S424" t="str">
        <f>IF(DONNEES!$E424="","",DONNEES!T424)</f>
        <v/>
      </c>
      <c r="T424" t="str">
        <f>IF(DONNEES!$E424="","",DONNEES!U424)</f>
        <v/>
      </c>
      <c r="U424" t="str">
        <f>IF(DONNEES!$E424="","",DONNEES!V424)</f>
        <v/>
      </c>
      <c r="V424" t="str">
        <f>IF(DONNEES!$E424="","",DONNEES!W424)</f>
        <v/>
      </c>
      <c r="W424" t="str">
        <f>IF(DONNEES!$E424="","",DONNEES!X424)</f>
        <v/>
      </c>
      <c r="X424" t="str">
        <f>IF(DONNEES!$E424="","",DONNEES!Y424)</f>
        <v/>
      </c>
      <c r="Y424" t="str">
        <f>IF(DONNEES!$E424="","",DONNEES!Z424)</f>
        <v/>
      </c>
      <c r="Z424" t="str">
        <f>IF(DONNEES!$E424="","",DONNEES!AQ424)</f>
        <v/>
      </c>
    </row>
    <row r="425" spans="1:26" ht="15" customHeight="1" x14ac:dyDescent="0.3">
      <c r="A425" t="str">
        <f>IF(DONNEES!$E425="","",DONNEES!A425)</f>
        <v/>
      </c>
      <c r="B425" t="str">
        <f>IF(DONNEES!$E425="","",DONNEES!B425)</f>
        <v/>
      </c>
      <c r="C425" t="str">
        <f>IF(DONNEES!$E425="","",DONNEES!C425)</f>
        <v/>
      </c>
      <c r="D425" t="str">
        <f>IF(DONNEES!$E425="","",DONNEES!E425)</f>
        <v/>
      </c>
      <c r="E425" t="str">
        <f>IF(DONNEES!$E425="","",DONNEES!F425)</f>
        <v/>
      </c>
      <c r="F425" t="str">
        <f>IF(DONNEES!$E425="","",DONNEES!G425)</f>
        <v/>
      </c>
      <c r="G425" t="str">
        <f>IF(DONNEES!$E425="","",DONNEES!H425)</f>
        <v/>
      </c>
      <c r="H425" t="str">
        <f>IF(DONNEES!$E425="","",DONNEES!I425)</f>
        <v/>
      </c>
      <c r="I425" t="str">
        <f>IF(DONNEES!$E425="","",DONNEES!J425)</f>
        <v/>
      </c>
      <c r="J425" t="str">
        <f>IF(DONNEES!$E425="","",DONNEES!K425)</f>
        <v/>
      </c>
      <c r="K425" t="str">
        <f>IF(DONNEES!$E425="","",DONNEES!L425)</f>
        <v/>
      </c>
      <c r="L425" t="str">
        <f>IF(DONNEES!$E425="","",DONNEES!M425)</f>
        <v/>
      </c>
      <c r="M425" t="str">
        <f>IF(DONNEES!$E425="","",DONNEES!N425)</f>
        <v/>
      </c>
      <c r="N425" t="str">
        <f>IF(DONNEES!$E425="","",DONNEES!O425)</f>
        <v/>
      </c>
      <c r="O425" t="str">
        <f>IF(DONNEES!$E425="","",DONNEES!P425)</f>
        <v/>
      </c>
      <c r="P425" t="str">
        <f>IF(DONNEES!$E425="","",DONNEES!Q425)</f>
        <v/>
      </c>
      <c r="Q425" t="str">
        <f>IF(DONNEES!$E425="","",DONNEES!R425)</f>
        <v/>
      </c>
      <c r="R425" t="str">
        <f>IF(DONNEES!$E425="","",DONNEES!S425)</f>
        <v/>
      </c>
      <c r="S425" t="str">
        <f>IF(DONNEES!$E425="","",DONNEES!T425)</f>
        <v/>
      </c>
      <c r="T425" t="str">
        <f>IF(DONNEES!$E425="","",DONNEES!U425)</f>
        <v/>
      </c>
      <c r="U425" t="str">
        <f>IF(DONNEES!$E425="","",DONNEES!V425)</f>
        <v/>
      </c>
      <c r="V425" t="str">
        <f>IF(DONNEES!$E425="","",DONNEES!W425)</f>
        <v/>
      </c>
      <c r="W425" t="str">
        <f>IF(DONNEES!$E425="","",DONNEES!X425)</f>
        <v/>
      </c>
      <c r="X425" t="str">
        <f>IF(DONNEES!$E425="","",DONNEES!Y425)</f>
        <v/>
      </c>
      <c r="Y425" t="str">
        <f>IF(DONNEES!$E425="","",DONNEES!Z425)</f>
        <v/>
      </c>
      <c r="Z425" t="str">
        <f>IF(DONNEES!$E425="","",DONNEES!AQ425)</f>
        <v/>
      </c>
    </row>
    <row r="426" spans="1:26" ht="15" customHeight="1" x14ac:dyDescent="0.3">
      <c r="A426" t="str">
        <f>IF(DONNEES!$E426="","",DONNEES!A426)</f>
        <v/>
      </c>
      <c r="B426" t="str">
        <f>IF(DONNEES!$E426="","",DONNEES!B426)</f>
        <v/>
      </c>
      <c r="C426" t="str">
        <f>IF(DONNEES!$E426="","",DONNEES!C426)</f>
        <v/>
      </c>
      <c r="D426" t="str">
        <f>IF(DONNEES!$E426="","",DONNEES!E426)</f>
        <v/>
      </c>
      <c r="E426" t="str">
        <f>IF(DONNEES!$E426="","",DONNEES!F426)</f>
        <v/>
      </c>
      <c r="F426" t="str">
        <f>IF(DONNEES!$E426="","",DONNEES!G426)</f>
        <v/>
      </c>
      <c r="G426" t="str">
        <f>IF(DONNEES!$E426="","",DONNEES!H426)</f>
        <v/>
      </c>
      <c r="H426" t="str">
        <f>IF(DONNEES!$E426="","",DONNEES!I426)</f>
        <v/>
      </c>
      <c r="I426" t="str">
        <f>IF(DONNEES!$E426="","",DONNEES!J426)</f>
        <v/>
      </c>
      <c r="J426" t="str">
        <f>IF(DONNEES!$E426="","",DONNEES!K426)</f>
        <v/>
      </c>
      <c r="K426" t="str">
        <f>IF(DONNEES!$E426="","",DONNEES!L426)</f>
        <v/>
      </c>
      <c r="L426" t="str">
        <f>IF(DONNEES!$E426="","",DONNEES!M426)</f>
        <v/>
      </c>
      <c r="M426" t="str">
        <f>IF(DONNEES!$E426="","",DONNEES!N426)</f>
        <v/>
      </c>
      <c r="N426" t="str">
        <f>IF(DONNEES!$E426="","",DONNEES!O426)</f>
        <v/>
      </c>
      <c r="O426" t="str">
        <f>IF(DONNEES!$E426="","",DONNEES!P426)</f>
        <v/>
      </c>
      <c r="P426" t="str">
        <f>IF(DONNEES!$E426="","",DONNEES!Q426)</f>
        <v/>
      </c>
      <c r="Q426" t="str">
        <f>IF(DONNEES!$E426="","",DONNEES!R426)</f>
        <v/>
      </c>
      <c r="R426" t="str">
        <f>IF(DONNEES!$E426="","",DONNEES!S426)</f>
        <v/>
      </c>
      <c r="S426" t="str">
        <f>IF(DONNEES!$E426="","",DONNEES!T426)</f>
        <v/>
      </c>
      <c r="T426" t="str">
        <f>IF(DONNEES!$E426="","",DONNEES!U426)</f>
        <v/>
      </c>
      <c r="U426" t="str">
        <f>IF(DONNEES!$E426="","",DONNEES!V426)</f>
        <v/>
      </c>
      <c r="V426" t="str">
        <f>IF(DONNEES!$E426="","",DONNEES!W426)</f>
        <v/>
      </c>
      <c r="W426" t="str">
        <f>IF(DONNEES!$E426="","",DONNEES!X426)</f>
        <v/>
      </c>
      <c r="X426" t="str">
        <f>IF(DONNEES!$E426="","",DONNEES!Y426)</f>
        <v/>
      </c>
      <c r="Y426" t="str">
        <f>IF(DONNEES!$E426="","",DONNEES!Z426)</f>
        <v/>
      </c>
      <c r="Z426" t="str">
        <f>IF(DONNEES!$E426="","",DONNEES!AQ426)</f>
        <v/>
      </c>
    </row>
    <row r="427" spans="1:26" ht="15" customHeight="1" x14ac:dyDescent="0.3">
      <c r="A427" t="str">
        <f>IF(DONNEES!$E427="","",DONNEES!A427)</f>
        <v/>
      </c>
      <c r="B427" t="str">
        <f>IF(DONNEES!$E427="","",DONNEES!B427)</f>
        <v/>
      </c>
      <c r="C427" t="str">
        <f>IF(DONNEES!$E427="","",DONNEES!C427)</f>
        <v/>
      </c>
      <c r="D427" t="str">
        <f>IF(DONNEES!$E427="","",DONNEES!E427)</f>
        <v/>
      </c>
      <c r="E427" t="str">
        <f>IF(DONNEES!$E427="","",DONNEES!F427)</f>
        <v/>
      </c>
      <c r="F427" t="str">
        <f>IF(DONNEES!$E427="","",DONNEES!G427)</f>
        <v/>
      </c>
      <c r="G427" t="str">
        <f>IF(DONNEES!$E427="","",DONNEES!H427)</f>
        <v/>
      </c>
      <c r="H427" t="str">
        <f>IF(DONNEES!$E427="","",DONNEES!I427)</f>
        <v/>
      </c>
      <c r="I427" t="str">
        <f>IF(DONNEES!$E427="","",DONNEES!J427)</f>
        <v/>
      </c>
      <c r="J427" t="str">
        <f>IF(DONNEES!$E427="","",DONNEES!K427)</f>
        <v/>
      </c>
      <c r="K427" t="str">
        <f>IF(DONNEES!$E427="","",DONNEES!L427)</f>
        <v/>
      </c>
      <c r="L427" t="str">
        <f>IF(DONNEES!$E427="","",DONNEES!M427)</f>
        <v/>
      </c>
      <c r="M427" t="str">
        <f>IF(DONNEES!$E427="","",DONNEES!N427)</f>
        <v/>
      </c>
      <c r="N427" t="str">
        <f>IF(DONNEES!$E427="","",DONNEES!O427)</f>
        <v/>
      </c>
      <c r="O427" t="str">
        <f>IF(DONNEES!$E427="","",DONNEES!P427)</f>
        <v/>
      </c>
      <c r="P427" t="str">
        <f>IF(DONNEES!$E427="","",DONNEES!Q427)</f>
        <v/>
      </c>
      <c r="Q427" t="str">
        <f>IF(DONNEES!$E427="","",DONNEES!R427)</f>
        <v/>
      </c>
      <c r="R427" t="str">
        <f>IF(DONNEES!$E427="","",DONNEES!S427)</f>
        <v/>
      </c>
      <c r="S427" t="str">
        <f>IF(DONNEES!$E427="","",DONNEES!T427)</f>
        <v/>
      </c>
      <c r="T427" t="str">
        <f>IF(DONNEES!$E427="","",DONNEES!U427)</f>
        <v/>
      </c>
      <c r="U427" t="str">
        <f>IF(DONNEES!$E427="","",DONNEES!V427)</f>
        <v/>
      </c>
      <c r="V427" t="str">
        <f>IF(DONNEES!$E427="","",DONNEES!W427)</f>
        <v/>
      </c>
      <c r="W427" t="str">
        <f>IF(DONNEES!$E427="","",DONNEES!X427)</f>
        <v/>
      </c>
      <c r="X427" t="str">
        <f>IF(DONNEES!$E427="","",DONNEES!Y427)</f>
        <v/>
      </c>
      <c r="Y427" t="str">
        <f>IF(DONNEES!$E427="","",DONNEES!Z427)</f>
        <v/>
      </c>
      <c r="Z427" t="str">
        <f>IF(DONNEES!$E427="","",DONNEES!AQ427)</f>
        <v/>
      </c>
    </row>
    <row r="428" spans="1:26" ht="15" customHeight="1" x14ac:dyDescent="0.3">
      <c r="A428" t="str">
        <f>IF(DONNEES!$E428="","",DONNEES!A428)</f>
        <v/>
      </c>
      <c r="B428" t="str">
        <f>IF(DONNEES!$E428="","",DONNEES!B428)</f>
        <v/>
      </c>
      <c r="C428" t="str">
        <f>IF(DONNEES!$E428="","",DONNEES!C428)</f>
        <v/>
      </c>
      <c r="D428" t="str">
        <f>IF(DONNEES!$E428="","",DONNEES!E428)</f>
        <v/>
      </c>
      <c r="E428" t="str">
        <f>IF(DONNEES!$E428="","",DONNEES!F428)</f>
        <v/>
      </c>
      <c r="F428" t="str">
        <f>IF(DONNEES!$E428="","",DONNEES!G428)</f>
        <v/>
      </c>
      <c r="G428" t="str">
        <f>IF(DONNEES!$E428="","",DONNEES!H428)</f>
        <v/>
      </c>
      <c r="H428" t="str">
        <f>IF(DONNEES!$E428="","",DONNEES!I428)</f>
        <v/>
      </c>
      <c r="I428" t="str">
        <f>IF(DONNEES!$E428="","",DONNEES!J428)</f>
        <v/>
      </c>
      <c r="J428" t="str">
        <f>IF(DONNEES!$E428="","",DONNEES!K428)</f>
        <v/>
      </c>
      <c r="K428" t="str">
        <f>IF(DONNEES!$E428="","",DONNEES!L428)</f>
        <v/>
      </c>
      <c r="L428" t="str">
        <f>IF(DONNEES!$E428="","",DONNEES!M428)</f>
        <v/>
      </c>
      <c r="M428" t="str">
        <f>IF(DONNEES!$E428="","",DONNEES!N428)</f>
        <v/>
      </c>
      <c r="N428" t="str">
        <f>IF(DONNEES!$E428="","",DONNEES!O428)</f>
        <v/>
      </c>
      <c r="O428" t="str">
        <f>IF(DONNEES!$E428="","",DONNEES!P428)</f>
        <v/>
      </c>
      <c r="P428" t="str">
        <f>IF(DONNEES!$E428="","",DONNEES!Q428)</f>
        <v/>
      </c>
      <c r="Q428" t="str">
        <f>IF(DONNEES!$E428="","",DONNEES!R428)</f>
        <v/>
      </c>
      <c r="R428" t="str">
        <f>IF(DONNEES!$E428="","",DONNEES!S428)</f>
        <v/>
      </c>
      <c r="S428" t="str">
        <f>IF(DONNEES!$E428="","",DONNEES!T428)</f>
        <v/>
      </c>
      <c r="T428" t="str">
        <f>IF(DONNEES!$E428="","",DONNEES!U428)</f>
        <v/>
      </c>
      <c r="U428" t="str">
        <f>IF(DONNEES!$E428="","",DONNEES!V428)</f>
        <v/>
      </c>
      <c r="V428" t="str">
        <f>IF(DONNEES!$E428="","",DONNEES!W428)</f>
        <v/>
      </c>
      <c r="W428" t="str">
        <f>IF(DONNEES!$E428="","",DONNEES!X428)</f>
        <v/>
      </c>
      <c r="X428" t="str">
        <f>IF(DONNEES!$E428="","",DONNEES!Y428)</f>
        <v/>
      </c>
      <c r="Y428" t="str">
        <f>IF(DONNEES!$E428="","",DONNEES!Z428)</f>
        <v/>
      </c>
      <c r="Z428" t="str">
        <f>IF(DONNEES!$E428="","",DONNEES!AQ428)</f>
        <v/>
      </c>
    </row>
    <row r="429" spans="1:26" ht="15" customHeight="1" x14ac:dyDescent="0.3">
      <c r="A429" t="str">
        <f>IF(DONNEES!$E429="","",DONNEES!A429)</f>
        <v/>
      </c>
      <c r="B429" t="str">
        <f>IF(DONNEES!$E429="","",DONNEES!B429)</f>
        <v/>
      </c>
      <c r="C429" t="str">
        <f>IF(DONNEES!$E429="","",DONNEES!C429)</f>
        <v/>
      </c>
      <c r="D429" t="str">
        <f>IF(DONNEES!$E429="","",DONNEES!E429)</f>
        <v/>
      </c>
      <c r="E429" t="str">
        <f>IF(DONNEES!$E429="","",DONNEES!F429)</f>
        <v/>
      </c>
      <c r="F429" t="str">
        <f>IF(DONNEES!$E429="","",DONNEES!G429)</f>
        <v/>
      </c>
      <c r="G429" t="str">
        <f>IF(DONNEES!$E429="","",DONNEES!H429)</f>
        <v/>
      </c>
      <c r="H429" t="str">
        <f>IF(DONNEES!$E429="","",DONNEES!I429)</f>
        <v/>
      </c>
      <c r="I429" t="str">
        <f>IF(DONNEES!$E429="","",DONNEES!J429)</f>
        <v/>
      </c>
      <c r="J429" t="str">
        <f>IF(DONNEES!$E429="","",DONNEES!K429)</f>
        <v/>
      </c>
      <c r="K429" t="str">
        <f>IF(DONNEES!$E429="","",DONNEES!L429)</f>
        <v/>
      </c>
      <c r="L429" t="str">
        <f>IF(DONNEES!$E429="","",DONNEES!M429)</f>
        <v/>
      </c>
      <c r="M429" t="str">
        <f>IF(DONNEES!$E429="","",DONNEES!N429)</f>
        <v/>
      </c>
      <c r="N429" t="str">
        <f>IF(DONNEES!$E429="","",DONNEES!O429)</f>
        <v/>
      </c>
      <c r="O429" t="str">
        <f>IF(DONNEES!$E429="","",DONNEES!P429)</f>
        <v/>
      </c>
      <c r="P429" t="str">
        <f>IF(DONNEES!$E429="","",DONNEES!Q429)</f>
        <v/>
      </c>
      <c r="Q429" t="str">
        <f>IF(DONNEES!$E429="","",DONNEES!R429)</f>
        <v/>
      </c>
      <c r="R429" t="str">
        <f>IF(DONNEES!$E429="","",DONNEES!S429)</f>
        <v/>
      </c>
      <c r="S429" t="str">
        <f>IF(DONNEES!$E429="","",DONNEES!T429)</f>
        <v/>
      </c>
      <c r="T429" t="str">
        <f>IF(DONNEES!$E429="","",DONNEES!U429)</f>
        <v/>
      </c>
      <c r="U429" t="str">
        <f>IF(DONNEES!$E429="","",DONNEES!V429)</f>
        <v/>
      </c>
      <c r="V429" t="str">
        <f>IF(DONNEES!$E429="","",DONNEES!W429)</f>
        <v/>
      </c>
      <c r="W429" t="str">
        <f>IF(DONNEES!$E429="","",DONNEES!X429)</f>
        <v/>
      </c>
      <c r="X429" t="str">
        <f>IF(DONNEES!$E429="","",DONNEES!Y429)</f>
        <v/>
      </c>
      <c r="Y429" t="str">
        <f>IF(DONNEES!$E429="","",DONNEES!Z429)</f>
        <v/>
      </c>
      <c r="Z429" t="str">
        <f>IF(DONNEES!$E429="","",DONNEES!AQ429)</f>
        <v/>
      </c>
    </row>
    <row r="430" spans="1:26" ht="15" customHeight="1" x14ac:dyDescent="0.3">
      <c r="A430" t="str">
        <f>IF(DONNEES!$E430="","",DONNEES!A430)</f>
        <v/>
      </c>
      <c r="B430" t="str">
        <f>IF(DONNEES!$E430="","",DONNEES!B430)</f>
        <v/>
      </c>
      <c r="C430" t="str">
        <f>IF(DONNEES!$E430="","",DONNEES!C430)</f>
        <v/>
      </c>
      <c r="D430" t="str">
        <f>IF(DONNEES!$E430="","",DONNEES!E430)</f>
        <v/>
      </c>
      <c r="E430" t="str">
        <f>IF(DONNEES!$E430="","",DONNEES!F430)</f>
        <v/>
      </c>
      <c r="F430" t="str">
        <f>IF(DONNEES!$E430="","",DONNEES!G430)</f>
        <v/>
      </c>
      <c r="G430" t="str">
        <f>IF(DONNEES!$E430="","",DONNEES!H430)</f>
        <v/>
      </c>
      <c r="H430" t="str">
        <f>IF(DONNEES!$E430="","",DONNEES!I430)</f>
        <v/>
      </c>
      <c r="I430" t="str">
        <f>IF(DONNEES!$E430="","",DONNEES!J430)</f>
        <v/>
      </c>
      <c r="J430" t="str">
        <f>IF(DONNEES!$E430="","",DONNEES!K430)</f>
        <v/>
      </c>
      <c r="K430" t="str">
        <f>IF(DONNEES!$E430="","",DONNEES!L430)</f>
        <v/>
      </c>
      <c r="L430" t="str">
        <f>IF(DONNEES!$E430="","",DONNEES!M430)</f>
        <v/>
      </c>
      <c r="M430" t="str">
        <f>IF(DONNEES!$E430="","",DONNEES!N430)</f>
        <v/>
      </c>
      <c r="N430" t="str">
        <f>IF(DONNEES!$E430="","",DONNEES!O430)</f>
        <v/>
      </c>
      <c r="O430" t="str">
        <f>IF(DONNEES!$E430="","",DONNEES!P430)</f>
        <v/>
      </c>
      <c r="P430" t="str">
        <f>IF(DONNEES!$E430="","",DONNEES!Q430)</f>
        <v/>
      </c>
      <c r="Q430" t="str">
        <f>IF(DONNEES!$E430="","",DONNEES!R430)</f>
        <v/>
      </c>
      <c r="R430" t="str">
        <f>IF(DONNEES!$E430="","",DONNEES!S430)</f>
        <v/>
      </c>
      <c r="S430" t="str">
        <f>IF(DONNEES!$E430="","",DONNEES!T430)</f>
        <v/>
      </c>
      <c r="T430" t="str">
        <f>IF(DONNEES!$E430="","",DONNEES!U430)</f>
        <v/>
      </c>
      <c r="U430" t="str">
        <f>IF(DONNEES!$E430="","",DONNEES!V430)</f>
        <v/>
      </c>
      <c r="V430" t="str">
        <f>IF(DONNEES!$E430="","",DONNEES!W430)</f>
        <v/>
      </c>
      <c r="W430" t="str">
        <f>IF(DONNEES!$E430="","",DONNEES!X430)</f>
        <v/>
      </c>
      <c r="X430" t="str">
        <f>IF(DONNEES!$E430="","",DONNEES!Y430)</f>
        <v/>
      </c>
      <c r="Y430" t="str">
        <f>IF(DONNEES!$E430="","",DONNEES!Z430)</f>
        <v/>
      </c>
      <c r="Z430" t="str">
        <f>IF(DONNEES!$E430="","",DONNEES!AQ430)</f>
        <v/>
      </c>
    </row>
    <row r="431" spans="1:26" ht="15" customHeight="1" x14ac:dyDescent="0.3">
      <c r="A431" t="str">
        <f>IF(DONNEES!$E431="","",DONNEES!A431)</f>
        <v/>
      </c>
      <c r="B431" t="str">
        <f>IF(DONNEES!$E431="","",DONNEES!B431)</f>
        <v/>
      </c>
      <c r="C431" t="str">
        <f>IF(DONNEES!$E431="","",DONNEES!C431)</f>
        <v/>
      </c>
      <c r="D431" t="str">
        <f>IF(DONNEES!$E431="","",DONNEES!E431)</f>
        <v/>
      </c>
      <c r="E431" t="str">
        <f>IF(DONNEES!$E431="","",DONNEES!F431)</f>
        <v/>
      </c>
      <c r="F431" t="str">
        <f>IF(DONNEES!$E431="","",DONNEES!G431)</f>
        <v/>
      </c>
      <c r="G431" t="str">
        <f>IF(DONNEES!$E431="","",DONNEES!H431)</f>
        <v/>
      </c>
      <c r="H431" t="str">
        <f>IF(DONNEES!$E431="","",DONNEES!I431)</f>
        <v/>
      </c>
      <c r="I431" t="str">
        <f>IF(DONNEES!$E431="","",DONNEES!J431)</f>
        <v/>
      </c>
      <c r="J431" t="str">
        <f>IF(DONNEES!$E431="","",DONNEES!K431)</f>
        <v/>
      </c>
      <c r="K431" t="str">
        <f>IF(DONNEES!$E431="","",DONNEES!L431)</f>
        <v/>
      </c>
      <c r="L431" t="str">
        <f>IF(DONNEES!$E431="","",DONNEES!M431)</f>
        <v/>
      </c>
      <c r="M431" t="str">
        <f>IF(DONNEES!$E431="","",DONNEES!N431)</f>
        <v/>
      </c>
      <c r="N431" t="str">
        <f>IF(DONNEES!$E431="","",DONNEES!O431)</f>
        <v/>
      </c>
      <c r="O431" t="str">
        <f>IF(DONNEES!$E431="","",DONNEES!P431)</f>
        <v/>
      </c>
      <c r="P431" t="str">
        <f>IF(DONNEES!$E431="","",DONNEES!Q431)</f>
        <v/>
      </c>
      <c r="Q431" t="str">
        <f>IF(DONNEES!$E431="","",DONNEES!R431)</f>
        <v/>
      </c>
      <c r="R431" t="str">
        <f>IF(DONNEES!$E431="","",DONNEES!S431)</f>
        <v/>
      </c>
      <c r="S431" t="str">
        <f>IF(DONNEES!$E431="","",DONNEES!T431)</f>
        <v/>
      </c>
      <c r="T431" t="str">
        <f>IF(DONNEES!$E431="","",DONNEES!U431)</f>
        <v/>
      </c>
      <c r="U431" t="str">
        <f>IF(DONNEES!$E431="","",DONNEES!V431)</f>
        <v/>
      </c>
      <c r="V431" t="str">
        <f>IF(DONNEES!$E431="","",DONNEES!W431)</f>
        <v/>
      </c>
      <c r="W431" t="str">
        <f>IF(DONNEES!$E431="","",DONNEES!X431)</f>
        <v/>
      </c>
      <c r="X431" t="str">
        <f>IF(DONNEES!$E431="","",DONNEES!Y431)</f>
        <v/>
      </c>
      <c r="Y431" t="str">
        <f>IF(DONNEES!$E431="","",DONNEES!Z431)</f>
        <v/>
      </c>
      <c r="Z431" t="str">
        <f>IF(DONNEES!$E431="","",DONNEES!AQ431)</f>
        <v/>
      </c>
    </row>
    <row r="432" spans="1:26" ht="15" customHeight="1" x14ac:dyDescent="0.3">
      <c r="A432" t="str">
        <f>IF(DONNEES!$E432="","",DONNEES!A432)</f>
        <v/>
      </c>
      <c r="B432" t="str">
        <f>IF(DONNEES!$E432="","",DONNEES!B432)</f>
        <v/>
      </c>
      <c r="C432" t="str">
        <f>IF(DONNEES!$E432="","",DONNEES!C432)</f>
        <v/>
      </c>
      <c r="D432" t="str">
        <f>IF(DONNEES!$E432="","",DONNEES!E432)</f>
        <v/>
      </c>
      <c r="E432" t="str">
        <f>IF(DONNEES!$E432="","",DONNEES!F432)</f>
        <v/>
      </c>
      <c r="F432" t="str">
        <f>IF(DONNEES!$E432="","",DONNEES!G432)</f>
        <v/>
      </c>
      <c r="G432" t="str">
        <f>IF(DONNEES!$E432="","",DONNEES!H432)</f>
        <v/>
      </c>
      <c r="H432" t="str">
        <f>IF(DONNEES!$E432="","",DONNEES!I432)</f>
        <v/>
      </c>
      <c r="I432" t="str">
        <f>IF(DONNEES!$E432="","",DONNEES!J432)</f>
        <v/>
      </c>
      <c r="J432" t="str">
        <f>IF(DONNEES!$E432="","",DONNEES!K432)</f>
        <v/>
      </c>
      <c r="K432" t="str">
        <f>IF(DONNEES!$E432="","",DONNEES!L432)</f>
        <v/>
      </c>
      <c r="L432" t="str">
        <f>IF(DONNEES!$E432="","",DONNEES!M432)</f>
        <v/>
      </c>
      <c r="M432" t="str">
        <f>IF(DONNEES!$E432="","",DONNEES!N432)</f>
        <v/>
      </c>
      <c r="N432" t="str">
        <f>IF(DONNEES!$E432="","",DONNEES!O432)</f>
        <v/>
      </c>
      <c r="O432" t="str">
        <f>IF(DONNEES!$E432="","",DONNEES!P432)</f>
        <v/>
      </c>
      <c r="P432" t="str">
        <f>IF(DONNEES!$E432="","",DONNEES!Q432)</f>
        <v/>
      </c>
      <c r="Q432" t="str">
        <f>IF(DONNEES!$E432="","",DONNEES!R432)</f>
        <v/>
      </c>
      <c r="R432" t="str">
        <f>IF(DONNEES!$E432="","",DONNEES!S432)</f>
        <v/>
      </c>
      <c r="S432" t="str">
        <f>IF(DONNEES!$E432="","",DONNEES!T432)</f>
        <v/>
      </c>
      <c r="T432" t="str">
        <f>IF(DONNEES!$E432="","",DONNEES!U432)</f>
        <v/>
      </c>
      <c r="U432" t="str">
        <f>IF(DONNEES!$E432="","",DONNEES!V432)</f>
        <v/>
      </c>
      <c r="V432" t="str">
        <f>IF(DONNEES!$E432="","",DONNEES!W432)</f>
        <v/>
      </c>
      <c r="W432" t="str">
        <f>IF(DONNEES!$E432="","",DONNEES!X432)</f>
        <v/>
      </c>
      <c r="X432" t="str">
        <f>IF(DONNEES!$E432="","",DONNEES!Y432)</f>
        <v/>
      </c>
      <c r="Y432" t="str">
        <f>IF(DONNEES!$E432="","",DONNEES!Z432)</f>
        <v/>
      </c>
      <c r="Z432" t="str">
        <f>IF(DONNEES!$E432="","",DONNEES!AQ432)</f>
        <v/>
      </c>
    </row>
    <row r="433" spans="1:26" ht="15" customHeight="1" x14ac:dyDescent="0.3">
      <c r="A433" t="str">
        <f>IF(DONNEES!$E433="","",DONNEES!A433)</f>
        <v/>
      </c>
      <c r="B433" t="str">
        <f>IF(DONNEES!$E433="","",DONNEES!B433)</f>
        <v/>
      </c>
      <c r="C433" t="str">
        <f>IF(DONNEES!$E433="","",DONNEES!C433)</f>
        <v/>
      </c>
      <c r="D433" t="str">
        <f>IF(DONNEES!$E433="","",DONNEES!E433)</f>
        <v/>
      </c>
      <c r="E433" t="str">
        <f>IF(DONNEES!$E433="","",DONNEES!F433)</f>
        <v/>
      </c>
      <c r="F433" t="str">
        <f>IF(DONNEES!$E433="","",DONNEES!G433)</f>
        <v/>
      </c>
      <c r="G433" t="str">
        <f>IF(DONNEES!$E433="","",DONNEES!H433)</f>
        <v/>
      </c>
      <c r="H433" t="str">
        <f>IF(DONNEES!$E433="","",DONNEES!I433)</f>
        <v/>
      </c>
      <c r="I433" t="str">
        <f>IF(DONNEES!$E433="","",DONNEES!J433)</f>
        <v/>
      </c>
      <c r="J433" t="str">
        <f>IF(DONNEES!$E433="","",DONNEES!K433)</f>
        <v/>
      </c>
      <c r="K433" t="str">
        <f>IF(DONNEES!$E433="","",DONNEES!L433)</f>
        <v/>
      </c>
      <c r="L433" t="str">
        <f>IF(DONNEES!$E433="","",DONNEES!M433)</f>
        <v/>
      </c>
      <c r="M433" t="str">
        <f>IF(DONNEES!$E433="","",DONNEES!N433)</f>
        <v/>
      </c>
      <c r="N433" t="str">
        <f>IF(DONNEES!$E433="","",DONNEES!O433)</f>
        <v/>
      </c>
      <c r="O433" t="str">
        <f>IF(DONNEES!$E433="","",DONNEES!P433)</f>
        <v/>
      </c>
      <c r="P433" t="str">
        <f>IF(DONNEES!$E433="","",DONNEES!Q433)</f>
        <v/>
      </c>
      <c r="Q433" t="str">
        <f>IF(DONNEES!$E433="","",DONNEES!R433)</f>
        <v/>
      </c>
      <c r="R433" t="str">
        <f>IF(DONNEES!$E433="","",DONNEES!S433)</f>
        <v/>
      </c>
      <c r="S433" t="str">
        <f>IF(DONNEES!$E433="","",DONNEES!T433)</f>
        <v/>
      </c>
      <c r="T433" t="str">
        <f>IF(DONNEES!$E433="","",DONNEES!U433)</f>
        <v/>
      </c>
      <c r="U433" t="str">
        <f>IF(DONNEES!$E433="","",DONNEES!V433)</f>
        <v/>
      </c>
      <c r="V433" t="str">
        <f>IF(DONNEES!$E433="","",DONNEES!W433)</f>
        <v/>
      </c>
      <c r="W433" t="str">
        <f>IF(DONNEES!$E433="","",DONNEES!X433)</f>
        <v/>
      </c>
      <c r="X433" t="str">
        <f>IF(DONNEES!$E433="","",DONNEES!Y433)</f>
        <v/>
      </c>
      <c r="Y433" t="str">
        <f>IF(DONNEES!$E433="","",DONNEES!Z433)</f>
        <v/>
      </c>
      <c r="Z433" t="str">
        <f>IF(DONNEES!$E433="","",DONNEES!AQ433)</f>
        <v/>
      </c>
    </row>
    <row r="434" spans="1:26" ht="15" customHeight="1" x14ac:dyDescent="0.3">
      <c r="A434" t="str">
        <f>IF(DONNEES!$E434="","",DONNEES!A434)</f>
        <v/>
      </c>
      <c r="B434" t="str">
        <f>IF(DONNEES!$E434="","",DONNEES!B434)</f>
        <v/>
      </c>
      <c r="C434" t="str">
        <f>IF(DONNEES!$E434="","",DONNEES!C434)</f>
        <v/>
      </c>
      <c r="D434" t="str">
        <f>IF(DONNEES!$E434="","",DONNEES!E434)</f>
        <v/>
      </c>
      <c r="E434" t="str">
        <f>IF(DONNEES!$E434="","",DONNEES!F434)</f>
        <v/>
      </c>
      <c r="F434" t="str">
        <f>IF(DONNEES!$E434="","",DONNEES!G434)</f>
        <v/>
      </c>
      <c r="G434" t="str">
        <f>IF(DONNEES!$E434="","",DONNEES!H434)</f>
        <v/>
      </c>
      <c r="H434" t="str">
        <f>IF(DONNEES!$E434="","",DONNEES!I434)</f>
        <v/>
      </c>
      <c r="I434" t="str">
        <f>IF(DONNEES!$E434="","",DONNEES!J434)</f>
        <v/>
      </c>
      <c r="J434" t="str">
        <f>IF(DONNEES!$E434="","",DONNEES!K434)</f>
        <v/>
      </c>
      <c r="K434" t="str">
        <f>IF(DONNEES!$E434="","",DONNEES!L434)</f>
        <v/>
      </c>
      <c r="L434" t="str">
        <f>IF(DONNEES!$E434="","",DONNEES!M434)</f>
        <v/>
      </c>
      <c r="M434" t="str">
        <f>IF(DONNEES!$E434="","",DONNEES!N434)</f>
        <v/>
      </c>
      <c r="N434" t="str">
        <f>IF(DONNEES!$E434="","",DONNEES!O434)</f>
        <v/>
      </c>
      <c r="O434" t="str">
        <f>IF(DONNEES!$E434="","",DONNEES!P434)</f>
        <v/>
      </c>
      <c r="P434" t="str">
        <f>IF(DONNEES!$E434="","",DONNEES!Q434)</f>
        <v/>
      </c>
      <c r="Q434" t="str">
        <f>IF(DONNEES!$E434="","",DONNEES!R434)</f>
        <v/>
      </c>
      <c r="R434" t="str">
        <f>IF(DONNEES!$E434="","",DONNEES!S434)</f>
        <v/>
      </c>
      <c r="S434" t="str">
        <f>IF(DONNEES!$E434="","",DONNEES!T434)</f>
        <v/>
      </c>
      <c r="T434" t="str">
        <f>IF(DONNEES!$E434="","",DONNEES!U434)</f>
        <v/>
      </c>
      <c r="U434" t="str">
        <f>IF(DONNEES!$E434="","",DONNEES!V434)</f>
        <v/>
      </c>
      <c r="V434" t="str">
        <f>IF(DONNEES!$E434="","",DONNEES!W434)</f>
        <v/>
      </c>
      <c r="W434" t="str">
        <f>IF(DONNEES!$E434="","",DONNEES!X434)</f>
        <v/>
      </c>
      <c r="X434" t="str">
        <f>IF(DONNEES!$E434="","",DONNEES!Y434)</f>
        <v/>
      </c>
      <c r="Y434" t="str">
        <f>IF(DONNEES!$E434="","",DONNEES!Z434)</f>
        <v/>
      </c>
      <c r="Z434" t="str">
        <f>IF(DONNEES!$E434="","",DONNEES!AQ434)</f>
        <v/>
      </c>
    </row>
    <row r="435" spans="1:26" ht="15" customHeight="1" x14ac:dyDescent="0.3">
      <c r="A435" t="str">
        <f>IF(DONNEES!$E435="","",DONNEES!A435)</f>
        <v/>
      </c>
      <c r="B435" t="str">
        <f>IF(DONNEES!$E435="","",DONNEES!B435)</f>
        <v/>
      </c>
      <c r="C435" t="str">
        <f>IF(DONNEES!$E435="","",DONNEES!C435)</f>
        <v/>
      </c>
      <c r="D435" t="str">
        <f>IF(DONNEES!$E435="","",DONNEES!E435)</f>
        <v/>
      </c>
      <c r="E435" t="str">
        <f>IF(DONNEES!$E435="","",DONNEES!F435)</f>
        <v/>
      </c>
      <c r="F435" t="str">
        <f>IF(DONNEES!$E435="","",DONNEES!G435)</f>
        <v/>
      </c>
      <c r="G435" t="str">
        <f>IF(DONNEES!$E435="","",DONNEES!H435)</f>
        <v/>
      </c>
      <c r="H435" t="str">
        <f>IF(DONNEES!$E435="","",DONNEES!I435)</f>
        <v/>
      </c>
      <c r="I435" t="str">
        <f>IF(DONNEES!$E435="","",DONNEES!J435)</f>
        <v/>
      </c>
      <c r="J435" t="str">
        <f>IF(DONNEES!$E435="","",DONNEES!K435)</f>
        <v/>
      </c>
      <c r="K435" t="str">
        <f>IF(DONNEES!$E435="","",DONNEES!L435)</f>
        <v/>
      </c>
      <c r="L435" t="str">
        <f>IF(DONNEES!$E435="","",DONNEES!M435)</f>
        <v/>
      </c>
      <c r="M435" t="str">
        <f>IF(DONNEES!$E435="","",DONNEES!N435)</f>
        <v/>
      </c>
      <c r="N435" t="str">
        <f>IF(DONNEES!$E435="","",DONNEES!O435)</f>
        <v/>
      </c>
      <c r="O435" t="str">
        <f>IF(DONNEES!$E435="","",DONNEES!P435)</f>
        <v/>
      </c>
      <c r="P435" t="str">
        <f>IF(DONNEES!$E435="","",DONNEES!Q435)</f>
        <v/>
      </c>
      <c r="Q435" t="str">
        <f>IF(DONNEES!$E435="","",DONNEES!R435)</f>
        <v/>
      </c>
      <c r="R435" t="str">
        <f>IF(DONNEES!$E435="","",DONNEES!S435)</f>
        <v/>
      </c>
      <c r="S435" t="str">
        <f>IF(DONNEES!$E435="","",DONNEES!T435)</f>
        <v/>
      </c>
      <c r="T435" t="str">
        <f>IF(DONNEES!$E435="","",DONNEES!U435)</f>
        <v/>
      </c>
      <c r="U435" t="str">
        <f>IF(DONNEES!$E435="","",DONNEES!V435)</f>
        <v/>
      </c>
      <c r="V435" t="str">
        <f>IF(DONNEES!$E435="","",DONNEES!W435)</f>
        <v/>
      </c>
      <c r="W435" t="str">
        <f>IF(DONNEES!$E435="","",DONNEES!X435)</f>
        <v/>
      </c>
      <c r="X435" t="str">
        <f>IF(DONNEES!$E435="","",DONNEES!Y435)</f>
        <v/>
      </c>
      <c r="Y435" t="str">
        <f>IF(DONNEES!$E435="","",DONNEES!Z435)</f>
        <v/>
      </c>
      <c r="Z435" t="str">
        <f>IF(DONNEES!$E435="","",DONNEES!AQ435)</f>
        <v/>
      </c>
    </row>
    <row r="436" spans="1:26" ht="15" customHeight="1" x14ac:dyDescent="0.3">
      <c r="A436" t="str">
        <f>IF(DONNEES!$E436="","",DONNEES!A436)</f>
        <v/>
      </c>
      <c r="B436" t="str">
        <f>IF(DONNEES!$E436="","",DONNEES!B436)</f>
        <v/>
      </c>
      <c r="C436" t="str">
        <f>IF(DONNEES!$E436="","",DONNEES!C436)</f>
        <v/>
      </c>
      <c r="D436" t="str">
        <f>IF(DONNEES!$E436="","",DONNEES!E436)</f>
        <v/>
      </c>
      <c r="E436" t="str">
        <f>IF(DONNEES!$E436="","",DONNEES!F436)</f>
        <v/>
      </c>
      <c r="F436" t="str">
        <f>IF(DONNEES!$E436="","",DONNEES!G436)</f>
        <v/>
      </c>
      <c r="G436" t="str">
        <f>IF(DONNEES!$E436="","",DONNEES!H436)</f>
        <v/>
      </c>
      <c r="H436" t="str">
        <f>IF(DONNEES!$E436="","",DONNEES!I436)</f>
        <v/>
      </c>
      <c r="I436" t="str">
        <f>IF(DONNEES!$E436="","",DONNEES!J436)</f>
        <v/>
      </c>
      <c r="J436" t="str">
        <f>IF(DONNEES!$E436="","",DONNEES!K436)</f>
        <v/>
      </c>
      <c r="K436" t="str">
        <f>IF(DONNEES!$E436="","",DONNEES!L436)</f>
        <v/>
      </c>
      <c r="L436" t="str">
        <f>IF(DONNEES!$E436="","",DONNEES!M436)</f>
        <v/>
      </c>
      <c r="M436" t="str">
        <f>IF(DONNEES!$E436="","",DONNEES!N436)</f>
        <v/>
      </c>
      <c r="N436" t="str">
        <f>IF(DONNEES!$E436="","",DONNEES!O436)</f>
        <v/>
      </c>
      <c r="O436" t="str">
        <f>IF(DONNEES!$E436="","",DONNEES!P436)</f>
        <v/>
      </c>
      <c r="P436" t="str">
        <f>IF(DONNEES!$E436="","",DONNEES!Q436)</f>
        <v/>
      </c>
      <c r="Q436" t="str">
        <f>IF(DONNEES!$E436="","",DONNEES!R436)</f>
        <v/>
      </c>
      <c r="R436" t="str">
        <f>IF(DONNEES!$E436="","",DONNEES!S436)</f>
        <v/>
      </c>
      <c r="S436" t="str">
        <f>IF(DONNEES!$E436="","",DONNEES!T436)</f>
        <v/>
      </c>
      <c r="T436" t="str">
        <f>IF(DONNEES!$E436="","",DONNEES!U436)</f>
        <v/>
      </c>
      <c r="U436" t="str">
        <f>IF(DONNEES!$E436="","",DONNEES!V436)</f>
        <v/>
      </c>
      <c r="V436" t="str">
        <f>IF(DONNEES!$E436="","",DONNEES!W436)</f>
        <v/>
      </c>
      <c r="W436" t="str">
        <f>IF(DONNEES!$E436="","",DONNEES!X436)</f>
        <v/>
      </c>
      <c r="X436" t="str">
        <f>IF(DONNEES!$E436="","",DONNEES!Y436)</f>
        <v/>
      </c>
      <c r="Y436" t="str">
        <f>IF(DONNEES!$E436="","",DONNEES!Z436)</f>
        <v/>
      </c>
      <c r="Z436" t="str">
        <f>IF(DONNEES!$E436="","",DONNEES!AQ436)</f>
        <v/>
      </c>
    </row>
    <row r="437" spans="1:26" ht="15" customHeight="1" x14ac:dyDescent="0.3">
      <c r="A437" t="str">
        <f>IF(DONNEES!$E437="","",DONNEES!A437)</f>
        <v/>
      </c>
      <c r="B437" t="str">
        <f>IF(DONNEES!$E437="","",DONNEES!B437)</f>
        <v/>
      </c>
      <c r="C437" t="str">
        <f>IF(DONNEES!$E437="","",DONNEES!C437)</f>
        <v/>
      </c>
      <c r="D437" t="str">
        <f>IF(DONNEES!$E437="","",DONNEES!E437)</f>
        <v/>
      </c>
      <c r="E437" t="str">
        <f>IF(DONNEES!$E437="","",DONNEES!F437)</f>
        <v/>
      </c>
      <c r="F437" t="str">
        <f>IF(DONNEES!$E437="","",DONNEES!G437)</f>
        <v/>
      </c>
      <c r="G437" t="str">
        <f>IF(DONNEES!$E437="","",DONNEES!H437)</f>
        <v/>
      </c>
      <c r="H437" t="str">
        <f>IF(DONNEES!$E437="","",DONNEES!I437)</f>
        <v/>
      </c>
      <c r="I437" t="str">
        <f>IF(DONNEES!$E437="","",DONNEES!J437)</f>
        <v/>
      </c>
      <c r="J437" t="str">
        <f>IF(DONNEES!$E437="","",DONNEES!K437)</f>
        <v/>
      </c>
      <c r="K437" t="str">
        <f>IF(DONNEES!$E437="","",DONNEES!L437)</f>
        <v/>
      </c>
      <c r="L437" t="str">
        <f>IF(DONNEES!$E437="","",DONNEES!M437)</f>
        <v/>
      </c>
      <c r="M437" t="str">
        <f>IF(DONNEES!$E437="","",DONNEES!N437)</f>
        <v/>
      </c>
      <c r="N437" t="str">
        <f>IF(DONNEES!$E437="","",DONNEES!O437)</f>
        <v/>
      </c>
      <c r="O437" t="str">
        <f>IF(DONNEES!$E437="","",DONNEES!P437)</f>
        <v/>
      </c>
      <c r="P437" t="str">
        <f>IF(DONNEES!$E437="","",DONNEES!Q437)</f>
        <v/>
      </c>
      <c r="Q437" t="str">
        <f>IF(DONNEES!$E437="","",DONNEES!R437)</f>
        <v/>
      </c>
      <c r="R437" t="str">
        <f>IF(DONNEES!$E437="","",DONNEES!S437)</f>
        <v/>
      </c>
      <c r="S437" t="str">
        <f>IF(DONNEES!$E437="","",DONNEES!T437)</f>
        <v/>
      </c>
      <c r="T437" t="str">
        <f>IF(DONNEES!$E437="","",DONNEES!U437)</f>
        <v/>
      </c>
      <c r="U437" t="str">
        <f>IF(DONNEES!$E437="","",DONNEES!V437)</f>
        <v/>
      </c>
      <c r="V437" t="str">
        <f>IF(DONNEES!$E437="","",DONNEES!W437)</f>
        <v/>
      </c>
      <c r="W437" t="str">
        <f>IF(DONNEES!$E437="","",DONNEES!X437)</f>
        <v/>
      </c>
      <c r="X437" t="str">
        <f>IF(DONNEES!$E437="","",DONNEES!Y437)</f>
        <v/>
      </c>
      <c r="Y437" t="str">
        <f>IF(DONNEES!$E437="","",DONNEES!Z437)</f>
        <v/>
      </c>
      <c r="Z437" t="str">
        <f>IF(DONNEES!$E437="","",DONNEES!AQ437)</f>
        <v/>
      </c>
    </row>
    <row r="438" spans="1:26" ht="15" customHeight="1" x14ac:dyDescent="0.3">
      <c r="A438" t="str">
        <f>IF(DONNEES!$E438="","",DONNEES!A438)</f>
        <v/>
      </c>
      <c r="B438" t="str">
        <f>IF(DONNEES!$E438="","",DONNEES!B438)</f>
        <v/>
      </c>
      <c r="C438" t="str">
        <f>IF(DONNEES!$E438="","",DONNEES!C438)</f>
        <v/>
      </c>
      <c r="D438" t="str">
        <f>IF(DONNEES!$E438="","",DONNEES!E438)</f>
        <v/>
      </c>
      <c r="E438" t="str">
        <f>IF(DONNEES!$E438="","",DONNEES!F438)</f>
        <v/>
      </c>
      <c r="F438" t="str">
        <f>IF(DONNEES!$E438="","",DONNEES!G438)</f>
        <v/>
      </c>
      <c r="G438" t="str">
        <f>IF(DONNEES!$E438="","",DONNEES!H438)</f>
        <v/>
      </c>
      <c r="H438" t="str">
        <f>IF(DONNEES!$E438="","",DONNEES!I438)</f>
        <v/>
      </c>
      <c r="I438" t="str">
        <f>IF(DONNEES!$E438="","",DONNEES!J438)</f>
        <v/>
      </c>
      <c r="J438" t="str">
        <f>IF(DONNEES!$E438="","",DONNEES!K438)</f>
        <v/>
      </c>
      <c r="K438" t="str">
        <f>IF(DONNEES!$E438="","",DONNEES!L438)</f>
        <v/>
      </c>
      <c r="L438" t="str">
        <f>IF(DONNEES!$E438="","",DONNEES!M438)</f>
        <v/>
      </c>
      <c r="M438" t="str">
        <f>IF(DONNEES!$E438="","",DONNEES!N438)</f>
        <v/>
      </c>
      <c r="N438" t="str">
        <f>IF(DONNEES!$E438="","",DONNEES!O438)</f>
        <v/>
      </c>
      <c r="O438" t="str">
        <f>IF(DONNEES!$E438="","",DONNEES!P438)</f>
        <v/>
      </c>
      <c r="P438" t="str">
        <f>IF(DONNEES!$E438="","",DONNEES!Q438)</f>
        <v/>
      </c>
      <c r="Q438" t="str">
        <f>IF(DONNEES!$E438="","",DONNEES!R438)</f>
        <v/>
      </c>
      <c r="R438" t="str">
        <f>IF(DONNEES!$E438="","",DONNEES!S438)</f>
        <v/>
      </c>
      <c r="S438" t="str">
        <f>IF(DONNEES!$E438="","",DONNEES!T438)</f>
        <v/>
      </c>
      <c r="T438" t="str">
        <f>IF(DONNEES!$E438="","",DONNEES!U438)</f>
        <v/>
      </c>
      <c r="U438" t="str">
        <f>IF(DONNEES!$E438="","",DONNEES!V438)</f>
        <v/>
      </c>
      <c r="V438" t="str">
        <f>IF(DONNEES!$E438="","",DONNEES!W438)</f>
        <v/>
      </c>
      <c r="W438" t="str">
        <f>IF(DONNEES!$E438="","",DONNEES!X438)</f>
        <v/>
      </c>
      <c r="X438" t="str">
        <f>IF(DONNEES!$E438="","",DONNEES!Y438)</f>
        <v/>
      </c>
      <c r="Y438" t="str">
        <f>IF(DONNEES!$E438="","",DONNEES!Z438)</f>
        <v/>
      </c>
      <c r="Z438" t="str">
        <f>IF(DONNEES!$E438="","",DONNEES!AQ438)</f>
        <v/>
      </c>
    </row>
    <row r="439" spans="1:26" ht="15" customHeight="1" x14ac:dyDescent="0.3">
      <c r="A439" t="str">
        <f>IF(DONNEES!$E439="","",DONNEES!A439)</f>
        <v/>
      </c>
      <c r="B439" t="str">
        <f>IF(DONNEES!$E439="","",DONNEES!B439)</f>
        <v/>
      </c>
      <c r="C439" t="str">
        <f>IF(DONNEES!$E439="","",DONNEES!C439)</f>
        <v/>
      </c>
      <c r="D439" t="str">
        <f>IF(DONNEES!$E439="","",DONNEES!E439)</f>
        <v/>
      </c>
      <c r="E439" t="str">
        <f>IF(DONNEES!$E439="","",DONNEES!F439)</f>
        <v/>
      </c>
      <c r="F439" t="str">
        <f>IF(DONNEES!$E439="","",DONNEES!G439)</f>
        <v/>
      </c>
      <c r="G439" t="str">
        <f>IF(DONNEES!$E439="","",DONNEES!H439)</f>
        <v/>
      </c>
      <c r="H439" t="str">
        <f>IF(DONNEES!$E439="","",DONNEES!I439)</f>
        <v/>
      </c>
      <c r="I439" t="str">
        <f>IF(DONNEES!$E439="","",DONNEES!J439)</f>
        <v/>
      </c>
      <c r="J439" t="str">
        <f>IF(DONNEES!$E439="","",DONNEES!K439)</f>
        <v/>
      </c>
      <c r="K439" t="str">
        <f>IF(DONNEES!$E439="","",DONNEES!L439)</f>
        <v/>
      </c>
      <c r="L439" t="str">
        <f>IF(DONNEES!$E439="","",DONNEES!M439)</f>
        <v/>
      </c>
      <c r="M439" t="str">
        <f>IF(DONNEES!$E439="","",DONNEES!N439)</f>
        <v/>
      </c>
      <c r="N439" t="str">
        <f>IF(DONNEES!$E439="","",DONNEES!O439)</f>
        <v/>
      </c>
      <c r="O439" t="str">
        <f>IF(DONNEES!$E439="","",DONNEES!P439)</f>
        <v/>
      </c>
      <c r="P439" t="str">
        <f>IF(DONNEES!$E439="","",DONNEES!Q439)</f>
        <v/>
      </c>
      <c r="Q439" t="str">
        <f>IF(DONNEES!$E439="","",DONNEES!R439)</f>
        <v/>
      </c>
      <c r="R439" t="str">
        <f>IF(DONNEES!$E439="","",DONNEES!S439)</f>
        <v/>
      </c>
      <c r="S439" t="str">
        <f>IF(DONNEES!$E439="","",DONNEES!T439)</f>
        <v/>
      </c>
      <c r="T439" t="str">
        <f>IF(DONNEES!$E439="","",DONNEES!U439)</f>
        <v/>
      </c>
      <c r="U439" t="str">
        <f>IF(DONNEES!$E439="","",DONNEES!V439)</f>
        <v/>
      </c>
      <c r="V439" t="str">
        <f>IF(DONNEES!$E439="","",DONNEES!W439)</f>
        <v/>
      </c>
      <c r="W439" t="str">
        <f>IF(DONNEES!$E439="","",DONNEES!X439)</f>
        <v/>
      </c>
      <c r="X439" t="str">
        <f>IF(DONNEES!$E439="","",DONNEES!Y439)</f>
        <v/>
      </c>
      <c r="Y439" t="str">
        <f>IF(DONNEES!$E439="","",DONNEES!Z439)</f>
        <v/>
      </c>
      <c r="Z439" t="str">
        <f>IF(DONNEES!$E439="","",DONNEES!AQ439)</f>
        <v/>
      </c>
    </row>
    <row r="440" spans="1:26" ht="15" customHeight="1" x14ac:dyDescent="0.3">
      <c r="A440" t="str">
        <f>IF(DONNEES!$E440="","",DONNEES!A440)</f>
        <v/>
      </c>
      <c r="B440" t="str">
        <f>IF(DONNEES!$E440="","",DONNEES!B440)</f>
        <v/>
      </c>
      <c r="C440" t="str">
        <f>IF(DONNEES!$E440="","",DONNEES!C440)</f>
        <v/>
      </c>
      <c r="D440" t="str">
        <f>IF(DONNEES!$E440="","",DONNEES!E440)</f>
        <v/>
      </c>
      <c r="E440" t="str">
        <f>IF(DONNEES!$E440="","",DONNEES!F440)</f>
        <v/>
      </c>
      <c r="F440" t="str">
        <f>IF(DONNEES!$E440="","",DONNEES!G440)</f>
        <v/>
      </c>
      <c r="G440" t="str">
        <f>IF(DONNEES!$E440="","",DONNEES!H440)</f>
        <v/>
      </c>
      <c r="H440" t="str">
        <f>IF(DONNEES!$E440="","",DONNEES!I440)</f>
        <v/>
      </c>
      <c r="I440" t="str">
        <f>IF(DONNEES!$E440="","",DONNEES!J440)</f>
        <v/>
      </c>
      <c r="J440" t="str">
        <f>IF(DONNEES!$E440="","",DONNEES!K440)</f>
        <v/>
      </c>
      <c r="K440" t="str">
        <f>IF(DONNEES!$E440="","",DONNEES!L440)</f>
        <v/>
      </c>
      <c r="L440" t="str">
        <f>IF(DONNEES!$E440="","",DONNEES!M440)</f>
        <v/>
      </c>
      <c r="M440" t="str">
        <f>IF(DONNEES!$E440="","",DONNEES!N440)</f>
        <v/>
      </c>
      <c r="N440" t="str">
        <f>IF(DONNEES!$E440="","",DONNEES!O440)</f>
        <v/>
      </c>
      <c r="O440" t="str">
        <f>IF(DONNEES!$E440="","",DONNEES!P440)</f>
        <v/>
      </c>
      <c r="P440" t="str">
        <f>IF(DONNEES!$E440="","",DONNEES!Q440)</f>
        <v/>
      </c>
      <c r="Q440" t="str">
        <f>IF(DONNEES!$E440="","",DONNEES!R440)</f>
        <v/>
      </c>
      <c r="R440" t="str">
        <f>IF(DONNEES!$E440="","",DONNEES!S440)</f>
        <v/>
      </c>
      <c r="S440" t="str">
        <f>IF(DONNEES!$E440="","",DONNEES!T440)</f>
        <v/>
      </c>
      <c r="T440" t="str">
        <f>IF(DONNEES!$E440="","",DONNEES!U440)</f>
        <v/>
      </c>
      <c r="U440" t="str">
        <f>IF(DONNEES!$E440="","",DONNEES!V440)</f>
        <v/>
      </c>
      <c r="V440" t="str">
        <f>IF(DONNEES!$E440="","",DONNEES!W440)</f>
        <v/>
      </c>
      <c r="W440" t="str">
        <f>IF(DONNEES!$E440="","",DONNEES!X440)</f>
        <v/>
      </c>
      <c r="X440" t="str">
        <f>IF(DONNEES!$E440="","",DONNEES!Y440)</f>
        <v/>
      </c>
      <c r="Y440" t="str">
        <f>IF(DONNEES!$E440="","",DONNEES!Z440)</f>
        <v/>
      </c>
      <c r="Z440" t="str">
        <f>IF(DONNEES!$E440="","",DONNEES!AQ440)</f>
        <v/>
      </c>
    </row>
    <row r="441" spans="1:26" ht="15" customHeight="1" x14ac:dyDescent="0.3">
      <c r="A441" t="str">
        <f>IF(DONNEES!$E441="","",DONNEES!A441)</f>
        <v/>
      </c>
      <c r="B441" t="str">
        <f>IF(DONNEES!$E441="","",DONNEES!B441)</f>
        <v/>
      </c>
      <c r="C441" t="str">
        <f>IF(DONNEES!$E441="","",DONNEES!C441)</f>
        <v/>
      </c>
      <c r="D441" t="str">
        <f>IF(DONNEES!$E441="","",DONNEES!E441)</f>
        <v/>
      </c>
      <c r="E441" t="str">
        <f>IF(DONNEES!$E441="","",DONNEES!F441)</f>
        <v/>
      </c>
      <c r="F441" t="str">
        <f>IF(DONNEES!$E441="","",DONNEES!G441)</f>
        <v/>
      </c>
      <c r="G441" t="str">
        <f>IF(DONNEES!$E441="","",DONNEES!H441)</f>
        <v/>
      </c>
      <c r="H441" t="str">
        <f>IF(DONNEES!$E441="","",DONNEES!I441)</f>
        <v/>
      </c>
      <c r="I441" t="str">
        <f>IF(DONNEES!$E441="","",DONNEES!J441)</f>
        <v/>
      </c>
      <c r="J441" t="str">
        <f>IF(DONNEES!$E441="","",DONNEES!K441)</f>
        <v/>
      </c>
      <c r="K441" t="str">
        <f>IF(DONNEES!$E441="","",DONNEES!L441)</f>
        <v/>
      </c>
      <c r="L441" t="str">
        <f>IF(DONNEES!$E441="","",DONNEES!M441)</f>
        <v/>
      </c>
      <c r="M441" t="str">
        <f>IF(DONNEES!$E441="","",DONNEES!N441)</f>
        <v/>
      </c>
      <c r="N441" t="str">
        <f>IF(DONNEES!$E441="","",DONNEES!O441)</f>
        <v/>
      </c>
      <c r="O441" t="str">
        <f>IF(DONNEES!$E441="","",DONNEES!P441)</f>
        <v/>
      </c>
      <c r="P441" t="str">
        <f>IF(DONNEES!$E441="","",DONNEES!Q441)</f>
        <v/>
      </c>
      <c r="Q441" t="str">
        <f>IF(DONNEES!$E441="","",DONNEES!R441)</f>
        <v/>
      </c>
      <c r="R441" t="str">
        <f>IF(DONNEES!$E441="","",DONNEES!S441)</f>
        <v/>
      </c>
      <c r="S441" t="str">
        <f>IF(DONNEES!$E441="","",DONNEES!T441)</f>
        <v/>
      </c>
      <c r="T441" t="str">
        <f>IF(DONNEES!$E441="","",DONNEES!U441)</f>
        <v/>
      </c>
      <c r="U441" t="str">
        <f>IF(DONNEES!$E441="","",DONNEES!V441)</f>
        <v/>
      </c>
      <c r="V441" t="str">
        <f>IF(DONNEES!$E441="","",DONNEES!W441)</f>
        <v/>
      </c>
      <c r="W441" t="str">
        <f>IF(DONNEES!$E441="","",DONNEES!X441)</f>
        <v/>
      </c>
      <c r="X441" t="str">
        <f>IF(DONNEES!$E441="","",DONNEES!Y441)</f>
        <v/>
      </c>
      <c r="Y441" t="str">
        <f>IF(DONNEES!$E441="","",DONNEES!Z441)</f>
        <v/>
      </c>
      <c r="Z441" t="str">
        <f>IF(DONNEES!$E441="","",DONNEES!AQ441)</f>
        <v/>
      </c>
    </row>
    <row r="442" spans="1:26" ht="15" customHeight="1" x14ac:dyDescent="0.3">
      <c r="A442" t="str">
        <f>IF(DONNEES!$E442="","",DONNEES!A442)</f>
        <v/>
      </c>
      <c r="B442" t="str">
        <f>IF(DONNEES!$E442="","",DONNEES!B442)</f>
        <v/>
      </c>
      <c r="C442" t="str">
        <f>IF(DONNEES!$E442="","",DONNEES!C442)</f>
        <v/>
      </c>
      <c r="D442" t="str">
        <f>IF(DONNEES!$E442="","",DONNEES!E442)</f>
        <v/>
      </c>
      <c r="E442" t="str">
        <f>IF(DONNEES!$E442="","",DONNEES!F442)</f>
        <v/>
      </c>
      <c r="F442" t="str">
        <f>IF(DONNEES!$E442="","",DONNEES!G442)</f>
        <v/>
      </c>
      <c r="G442" t="str">
        <f>IF(DONNEES!$E442="","",DONNEES!H442)</f>
        <v/>
      </c>
      <c r="H442" t="str">
        <f>IF(DONNEES!$E442="","",DONNEES!I442)</f>
        <v/>
      </c>
      <c r="I442" t="str">
        <f>IF(DONNEES!$E442="","",DONNEES!J442)</f>
        <v/>
      </c>
      <c r="J442" t="str">
        <f>IF(DONNEES!$E442="","",DONNEES!K442)</f>
        <v/>
      </c>
      <c r="K442" t="str">
        <f>IF(DONNEES!$E442="","",DONNEES!L442)</f>
        <v/>
      </c>
      <c r="L442" t="str">
        <f>IF(DONNEES!$E442="","",DONNEES!M442)</f>
        <v/>
      </c>
      <c r="M442" t="str">
        <f>IF(DONNEES!$E442="","",DONNEES!N442)</f>
        <v/>
      </c>
      <c r="N442" t="str">
        <f>IF(DONNEES!$E442="","",DONNEES!O442)</f>
        <v/>
      </c>
      <c r="O442" t="str">
        <f>IF(DONNEES!$E442="","",DONNEES!P442)</f>
        <v/>
      </c>
      <c r="P442" t="str">
        <f>IF(DONNEES!$E442="","",DONNEES!Q442)</f>
        <v/>
      </c>
      <c r="Q442" t="str">
        <f>IF(DONNEES!$E442="","",DONNEES!R442)</f>
        <v/>
      </c>
      <c r="R442" t="str">
        <f>IF(DONNEES!$E442="","",DONNEES!S442)</f>
        <v/>
      </c>
      <c r="S442" t="str">
        <f>IF(DONNEES!$E442="","",DONNEES!T442)</f>
        <v/>
      </c>
      <c r="T442" t="str">
        <f>IF(DONNEES!$E442="","",DONNEES!U442)</f>
        <v/>
      </c>
      <c r="U442" t="str">
        <f>IF(DONNEES!$E442="","",DONNEES!V442)</f>
        <v/>
      </c>
      <c r="V442" t="str">
        <f>IF(DONNEES!$E442="","",DONNEES!W442)</f>
        <v/>
      </c>
      <c r="W442" t="str">
        <f>IF(DONNEES!$E442="","",DONNEES!X442)</f>
        <v/>
      </c>
      <c r="X442" t="str">
        <f>IF(DONNEES!$E442="","",DONNEES!Y442)</f>
        <v/>
      </c>
      <c r="Y442" t="str">
        <f>IF(DONNEES!$E442="","",DONNEES!Z442)</f>
        <v/>
      </c>
      <c r="Z442" t="str">
        <f>IF(DONNEES!$E442="","",DONNEES!AQ442)</f>
        <v/>
      </c>
    </row>
    <row r="443" spans="1:26" ht="15" customHeight="1" x14ac:dyDescent="0.3">
      <c r="A443" t="str">
        <f>IF(DONNEES!$E443="","",DONNEES!A443)</f>
        <v/>
      </c>
      <c r="B443" t="str">
        <f>IF(DONNEES!$E443="","",DONNEES!B443)</f>
        <v/>
      </c>
      <c r="C443" t="str">
        <f>IF(DONNEES!$E443="","",DONNEES!C443)</f>
        <v/>
      </c>
      <c r="D443" t="str">
        <f>IF(DONNEES!$E443="","",DONNEES!E443)</f>
        <v/>
      </c>
      <c r="E443" t="str">
        <f>IF(DONNEES!$E443="","",DONNEES!F443)</f>
        <v/>
      </c>
      <c r="F443" t="str">
        <f>IF(DONNEES!$E443="","",DONNEES!G443)</f>
        <v/>
      </c>
      <c r="G443" t="str">
        <f>IF(DONNEES!$E443="","",DONNEES!H443)</f>
        <v/>
      </c>
      <c r="H443" t="str">
        <f>IF(DONNEES!$E443="","",DONNEES!I443)</f>
        <v/>
      </c>
      <c r="I443" t="str">
        <f>IF(DONNEES!$E443="","",DONNEES!J443)</f>
        <v/>
      </c>
      <c r="J443" t="str">
        <f>IF(DONNEES!$E443="","",DONNEES!K443)</f>
        <v/>
      </c>
      <c r="K443" t="str">
        <f>IF(DONNEES!$E443="","",DONNEES!L443)</f>
        <v/>
      </c>
      <c r="L443" t="str">
        <f>IF(DONNEES!$E443="","",DONNEES!M443)</f>
        <v/>
      </c>
      <c r="M443" t="str">
        <f>IF(DONNEES!$E443="","",DONNEES!N443)</f>
        <v/>
      </c>
      <c r="N443" t="str">
        <f>IF(DONNEES!$E443="","",DONNEES!O443)</f>
        <v/>
      </c>
      <c r="O443" t="str">
        <f>IF(DONNEES!$E443="","",DONNEES!P443)</f>
        <v/>
      </c>
      <c r="P443" t="str">
        <f>IF(DONNEES!$E443="","",DONNEES!Q443)</f>
        <v/>
      </c>
      <c r="Q443" t="str">
        <f>IF(DONNEES!$E443="","",DONNEES!R443)</f>
        <v/>
      </c>
      <c r="R443" t="str">
        <f>IF(DONNEES!$E443="","",DONNEES!S443)</f>
        <v/>
      </c>
      <c r="S443" t="str">
        <f>IF(DONNEES!$E443="","",DONNEES!T443)</f>
        <v/>
      </c>
      <c r="T443" t="str">
        <f>IF(DONNEES!$E443="","",DONNEES!U443)</f>
        <v/>
      </c>
      <c r="U443" t="str">
        <f>IF(DONNEES!$E443="","",DONNEES!V443)</f>
        <v/>
      </c>
      <c r="V443" t="str">
        <f>IF(DONNEES!$E443="","",DONNEES!W443)</f>
        <v/>
      </c>
      <c r="W443" t="str">
        <f>IF(DONNEES!$E443="","",DONNEES!X443)</f>
        <v/>
      </c>
      <c r="X443" t="str">
        <f>IF(DONNEES!$E443="","",DONNEES!Y443)</f>
        <v/>
      </c>
      <c r="Y443" t="str">
        <f>IF(DONNEES!$E443="","",DONNEES!Z443)</f>
        <v/>
      </c>
      <c r="Z443" t="str">
        <f>IF(DONNEES!$E443="","",DONNEES!AQ443)</f>
        <v/>
      </c>
    </row>
    <row r="444" spans="1:26" ht="15" customHeight="1" x14ac:dyDescent="0.3">
      <c r="A444" t="str">
        <f>IF(DONNEES!$E444="","",DONNEES!A444)</f>
        <v/>
      </c>
      <c r="B444" t="str">
        <f>IF(DONNEES!$E444="","",DONNEES!B444)</f>
        <v/>
      </c>
      <c r="C444" t="str">
        <f>IF(DONNEES!$E444="","",DONNEES!C444)</f>
        <v/>
      </c>
      <c r="D444" t="str">
        <f>IF(DONNEES!$E444="","",DONNEES!E444)</f>
        <v/>
      </c>
      <c r="E444" t="str">
        <f>IF(DONNEES!$E444="","",DONNEES!F444)</f>
        <v/>
      </c>
      <c r="F444" t="str">
        <f>IF(DONNEES!$E444="","",DONNEES!G444)</f>
        <v/>
      </c>
      <c r="G444" t="str">
        <f>IF(DONNEES!$E444="","",DONNEES!H444)</f>
        <v/>
      </c>
      <c r="H444" t="str">
        <f>IF(DONNEES!$E444="","",DONNEES!I444)</f>
        <v/>
      </c>
      <c r="I444" t="str">
        <f>IF(DONNEES!$E444="","",DONNEES!J444)</f>
        <v/>
      </c>
      <c r="J444" t="str">
        <f>IF(DONNEES!$E444="","",DONNEES!K444)</f>
        <v/>
      </c>
      <c r="K444" t="str">
        <f>IF(DONNEES!$E444="","",DONNEES!L444)</f>
        <v/>
      </c>
      <c r="L444" t="str">
        <f>IF(DONNEES!$E444="","",DONNEES!M444)</f>
        <v/>
      </c>
      <c r="M444" t="str">
        <f>IF(DONNEES!$E444="","",DONNEES!N444)</f>
        <v/>
      </c>
      <c r="N444" t="str">
        <f>IF(DONNEES!$E444="","",DONNEES!O444)</f>
        <v/>
      </c>
      <c r="O444" t="str">
        <f>IF(DONNEES!$E444="","",DONNEES!P444)</f>
        <v/>
      </c>
      <c r="P444" t="str">
        <f>IF(DONNEES!$E444="","",DONNEES!Q444)</f>
        <v/>
      </c>
      <c r="Q444" t="str">
        <f>IF(DONNEES!$E444="","",DONNEES!R444)</f>
        <v/>
      </c>
      <c r="R444" t="str">
        <f>IF(DONNEES!$E444="","",DONNEES!S444)</f>
        <v/>
      </c>
      <c r="S444" t="str">
        <f>IF(DONNEES!$E444="","",DONNEES!T444)</f>
        <v/>
      </c>
      <c r="T444" t="str">
        <f>IF(DONNEES!$E444="","",DONNEES!U444)</f>
        <v/>
      </c>
      <c r="U444" t="str">
        <f>IF(DONNEES!$E444="","",DONNEES!V444)</f>
        <v/>
      </c>
      <c r="V444" t="str">
        <f>IF(DONNEES!$E444="","",DONNEES!W444)</f>
        <v/>
      </c>
      <c r="W444" t="str">
        <f>IF(DONNEES!$E444="","",DONNEES!X444)</f>
        <v/>
      </c>
      <c r="X444" t="str">
        <f>IF(DONNEES!$E444="","",DONNEES!Y444)</f>
        <v/>
      </c>
      <c r="Y444" t="str">
        <f>IF(DONNEES!$E444="","",DONNEES!Z444)</f>
        <v/>
      </c>
      <c r="Z444" t="str">
        <f>IF(DONNEES!$E444="","",DONNEES!AQ444)</f>
        <v/>
      </c>
    </row>
    <row r="445" spans="1:26" ht="15" customHeight="1" x14ac:dyDescent="0.3">
      <c r="A445" t="str">
        <f>IF(DONNEES!$E445="","",DONNEES!A445)</f>
        <v/>
      </c>
      <c r="B445" t="str">
        <f>IF(DONNEES!$E445="","",DONNEES!B445)</f>
        <v/>
      </c>
      <c r="C445" t="str">
        <f>IF(DONNEES!$E445="","",DONNEES!C445)</f>
        <v/>
      </c>
      <c r="D445" t="str">
        <f>IF(DONNEES!$E445="","",DONNEES!E445)</f>
        <v/>
      </c>
      <c r="E445" t="str">
        <f>IF(DONNEES!$E445="","",DONNEES!F445)</f>
        <v/>
      </c>
      <c r="F445" t="str">
        <f>IF(DONNEES!$E445="","",DONNEES!G445)</f>
        <v/>
      </c>
      <c r="G445" t="str">
        <f>IF(DONNEES!$E445="","",DONNEES!H445)</f>
        <v/>
      </c>
      <c r="H445" t="str">
        <f>IF(DONNEES!$E445="","",DONNEES!I445)</f>
        <v/>
      </c>
      <c r="I445" t="str">
        <f>IF(DONNEES!$E445="","",DONNEES!J445)</f>
        <v/>
      </c>
      <c r="J445" t="str">
        <f>IF(DONNEES!$E445="","",DONNEES!K445)</f>
        <v/>
      </c>
      <c r="K445" t="str">
        <f>IF(DONNEES!$E445="","",DONNEES!L445)</f>
        <v/>
      </c>
      <c r="L445" t="str">
        <f>IF(DONNEES!$E445="","",DONNEES!M445)</f>
        <v/>
      </c>
      <c r="M445" t="str">
        <f>IF(DONNEES!$E445="","",DONNEES!N445)</f>
        <v/>
      </c>
      <c r="N445" t="str">
        <f>IF(DONNEES!$E445="","",DONNEES!O445)</f>
        <v/>
      </c>
      <c r="O445" t="str">
        <f>IF(DONNEES!$E445="","",DONNEES!P445)</f>
        <v/>
      </c>
      <c r="P445" t="str">
        <f>IF(DONNEES!$E445="","",DONNEES!Q445)</f>
        <v/>
      </c>
      <c r="Q445" t="str">
        <f>IF(DONNEES!$E445="","",DONNEES!R445)</f>
        <v/>
      </c>
      <c r="R445" t="str">
        <f>IF(DONNEES!$E445="","",DONNEES!S445)</f>
        <v/>
      </c>
      <c r="S445" t="str">
        <f>IF(DONNEES!$E445="","",DONNEES!T445)</f>
        <v/>
      </c>
      <c r="T445" t="str">
        <f>IF(DONNEES!$E445="","",DONNEES!U445)</f>
        <v/>
      </c>
      <c r="U445" t="str">
        <f>IF(DONNEES!$E445="","",DONNEES!V445)</f>
        <v/>
      </c>
      <c r="V445" t="str">
        <f>IF(DONNEES!$E445="","",DONNEES!W445)</f>
        <v/>
      </c>
      <c r="W445" t="str">
        <f>IF(DONNEES!$E445="","",DONNEES!X445)</f>
        <v/>
      </c>
      <c r="X445" t="str">
        <f>IF(DONNEES!$E445="","",DONNEES!Y445)</f>
        <v/>
      </c>
      <c r="Y445" t="str">
        <f>IF(DONNEES!$E445="","",DONNEES!Z445)</f>
        <v/>
      </c>
      <c r="Z445" t="str">
        <f>IF(DONNEES!$E445="","",DONNEES!AQ445)</f>
        <v/>
      </c>
    </row>
    <row r="446" spans="1:26" ht="15" customHeight="1" x14ac:dyDescent="0.3">
      <c r="A446" t="str">
        <f>IF(DONNEES!$E446="","",DONNEES!A446)</f>
        <v/>
      </c>
      <c r="B446" t="str">
        <f>IF(DONNEES!$E446="","",DONNEES!B446)</f>
        <v/>
      </c>
      <c r="C446" t="str">
        <f>IF(DONNEES!$E446="","",DONNEES!C446)</f>
        <v/>
      </c>
      <c r="D446" t="str">
        <f>IF(DONNEES!$E446="","",DONNEES!E446)</f>
        <v/>
      </c>
      <c r="E446" t="str">
        <f>IF(DONNEES!$E446="","",DONNEES!F446)</f>
        <v/>
      </c>
      <c r="F446" t="str">
        <f>IF(DONNEES!$E446="","",DONNEES!G446)</f>
        <v/>
      </c>
      <c r="G446" t="str">
        <f>IF(DONNEES!$E446="","",DONNEES!H446)</f>
        <v/>
      </c>
      <c r="H446" t="str">
        <f>IF(DONNEES!$E446="","",DONNEES!I446)</f>
        <v/>
      </c>
      <c r="I446" t="str">
        <f>IF(DONNEES!$E446="","",DONNEES!J446)</f>
        <v/>
      </c>
      <c r="J446" t="str">
        <f>IF(DONNEES!$E446="","",DONNEES!K446)</f>
        <v/>
      </c>
      <c r="K446" t="str">
        <f>IF(DONNEES!$E446="","",DONNEES!L446)</f>
        <v/>
      </c>
      <c r="L446" t="str">
        <f>IF(DONNEES!$E446="","",DONNEES!M446)</f>
        <v/>
      </c>
      <c r="M446" t="str">
        <f>IF(DONNEES!$E446="","",DONNEES!N446)</f>
        <v/>
      </c>
      <c r="N446" t="str">
        <f>IF(DONNEES!$E446="","",DONNEES!O446)</f>
        <v/>
      </c>
      <c r="O446" t="str">
        <f>IF(DONNEES!$E446="","",DONNEES!P446)</f>
        <v/>
      </c>
      <c r="P446" t="str">
        <f>IF(DONNEES!$E446="","",DONNEES!Q446)</f>
        <v/>
      </c>
      <c r="Q446" t="str">
        <f>IF(DONNEES!$E446="","",DONNEES!R446)</f>
        <v/>
      </c>
      <c r="R446" t="str">
        <f>IF(DONNEES!$E446="","",DONNEES!S446)</f>
        <v/>
      </c>
      <c r="S446" t="str">
        <f>IF(DONNEES!$E446="","",DONNEES!T446)</f>
        <v/>
      </c>
      <c r="T446" t="str">
        <f>IF(DONNEES!$E446="","",DONNEES!U446)</f>
        <v/>
      </c>
      <c r="U446" t="str">
        <f>IF(DONNEES!$E446="","",DONNEES!V446)</f>
        <v/>
      </c>
      <c r="V446" t="str">
        <f>IF(DONNEES!$E446="","",DONNEES!W446)</f>
        <v/>
      </c>
      <c r="W446" t="str">
        <f>IF(DONNEES!$E446="","",DONNEES!X446)</f>
        <v/>
      </c>
      <c r="X446" t="str">
        <f>IF(DONNEES!$E446="","",DONNEES!Y446)</f>
        <v/>
      </c>
      <c r="Y446" t="str">
        <f>IF(DONNEES!$E446="","",DONNEES!Z446)</f>
        <v/>
      </c>
      <c r="Z446" t="str">
        <f>IF(DONNEES!$E446="","",DONNEES!AQ446)</f>
        <v/>
      </c>
    </row>
    <row r="447" spans="1:26" ht="15" customHeight="1" x14ac:dyDescent="0.3">
      <c r="A447" t="str">
        <f>IF(DONNEES!$E447="","",DONNEES!A447)</f>
        <v/>
      </c>
      <c r="B447" t="str">
        <f>IF(DONNEES!$E447="","",DONNEES!B447)</f>
        <v/>
      </c>
      <c r="C447" t="str">
        <f>IF(DONNEES!$E447="","",DONNEES!C447)</f>
        <v/>
      </c>
      <c r="D447" t="str">
        <f>IF(DONNEES!$E447="","",DONNEES!E447)</f>
        <v/>
      </c>
      <c r="E447" t="str">
        <f>IF(DONNEES!$E447="","",DONNEES!F447)</f>
        <v/>
      </c>
      <c r="F447" t="str">
        <f>IF(DONNEES!$E447="","",DONNEES!G447)</f>
        <v/>
      </c>
      <c r="G447" t="str">
        <f>IF(DONNEES!$E447="","",DONNEES!H447)</f>
        <v/>
      </c>
      <c r="H447" t="str">
        <f>IF(DONNEES!$E447="","",DONNEES!I447)</f>
        <v/>
      </c>
      <c r="I447" t="str">
        <f>IF(DONNEES!$E447="","",DONNEES!J447)</f>
        <v/>
      </c>
      <c r="J447" t="str">
        <f>IF(DONNEES!$E447="","",DONNEES!K447)</f>
        <v/>
      </c>
      <c r="K447" t="str">
        <f>IF(DONNEES!$E447="","",DONNEES!L447)</f>
        <v/>
      </c>
      <c r="L447" t="str">
        <f>IF(DONNEES!$E447="","",DONNEES!M447)</f>
        <v/>
      </c>
      <c r="M447" t="str">
        <f>IF(DONNEES!$E447="","",DONNEES!N447)</f>
        <v/>
      </c>
      <c r="N447" t="str">
        <f>IF(DONNEES!$E447="","",DONNEES!O447)</f>
        <v/>
      </c>
      <c r="O447" t="str">
        <f>IF(DONNEES!$E447="","",DONNEES!P447)</f>
        <v/>
      </c>
      <c r="P447" t="str">
        <f>IF(DONNEES!$E447="","",DONNEES!Q447)</f>
        <v/>
      </c>
      <c r="Q447" t="str">
        <f>IF(DONNEES!$E447="","",DONNEES!R447)</f>
        <v/>
      </c>
      <c r="R447" t="str">
        <f>IF(DONNEES!$E447="","",DONNEES!S447)</f>
        <v/>
      </c>
      <c r="S447" t="str">
        <f>IF(DONNEES!$E447="","",DONNEES!T447)</f>
        <v/>
      </c>
      <c r="T447" t="str">
        <f>IF(DONNEES!$E447="","",DONNEES!U447)</f>
        <v/>
      </c>
      <c r="U447" t="str">
        <f>IF(DONNEES!$E447="","",DONNEES!V447)</f>
        <v/>
      </c>
      <c r="V447" t="str">
        <f>IF(DONNEES!$E447="","",DONNEES!W447)</f>
        <v/>
      </c>
      <c r="W447" t="str">
        <f>IF(DONNEES!$E447="","",DONNEES!X447)</f>
        <v/>
      </c>
      <c r="X447" t="str">
        <f>IF(DONNEES!$E447="","",DONNEES!Y447)</f>
        <v/>
      </c>
      <c r="Y447" t="str">
        <f>IF(DONNEES!$E447="","",DONNEES!Z447)</f>
        <v/>
      </c>
      <c r="Z447" t="str">
        <f>IF(DONNEES!$E447="","",DONNEES!AQ447)</f>
        <v/>
      </c>
    </row>
    <row r="448" spans="1:26" ht="15" customHeight="1" x14ac:dyDescent="0.3">
      <c r="A448" t="str">
        <f>IF(DONNEES!$E448="","",DONNEES!A448)</f>
        <v/>
      </c>
      <c r="B448" t="str">
        <f>IF(DONNEES!$E448="","",DONNEES!B448)</f>
        <v/>
      </c>
      <c r="C448" t="str">
        <f>IF(DONNEES!$E448="","",DONNEES!C448)</f>
        <v/>
      </c>
      <c r="D448" t="str">
        <f>IF(DONNEES!$E448="","",DONNEES!E448)</f>
        <v/>
      </c>
      <c r="E448" t="str">
        <f>IF(DONNEES!$E448="","",DONNEES!F448)</f>
        <v/>
      </c>
      <c r="F448" t="str">
        <f>IF(DONNEES!$E448="","",DONNEES!G448)</f>
        <v/>
      </c>
      <c r="G448" t="str">
        <f>IF(DONNEES!$E448="","",DONNEES!H448)</f>
        <v/>
      </c>
      <c r="H448" t="str">
        <f>IF(DONNEES!$E448="","",DONNEES!I448)</f>
        <v/>
      </c>
      <c r="I448" t="str">
        <f>IF(DONNEES!$E448="","",DONNEES!J448)</f>
        <v/>
      </c>
      <c r="J448" t="str">
        <f>IF(DONNEES!$E448="","",DONNEES!K448)</f>
        <v/>
      </c>
      <c r="K448" t="str">
        <f>IF(DONNEES!$E448="","",DONNEES!L448)</f>
        <v/>
      </c>
      <c r="L448" t="str">
        <f>IF(DONNEES!$E448="","",DONNEES!M448)</f>
        <v/>
      </c>
      <c r="M448" t="str">
        <f>IF(DONNEES!$E448="","",DONNEES!N448)</f>
        <v/>
      </c>
      <c r="N448" t="str">
        <f>IF(DONNEES!$E448="","",DONNEES!O448)</f>
        <v/>
      </c>
      <c r="O448" t="str">
        <f>IF(DONNEES!$E448="","",DONNEES!P448)</f>
        <v/>
      </c>
      <c r="P448" t="str">
        <f>IF(DONNEES!$E448="","",DONNEES!Q448)</f>
        <v/>
      </c>
      <c r="Q448" t="str">
        <f>IF(DONNEES!$E448="","",DONNEES!R448)</f>
        <v/>
      </c>
      <c r="R448" t="str">
        <f>IF(DONNEES!$E448="","",DONNEES!S448)</f>
        <v/>
      </c>
      <c r="S448" t="str">
        <f>IF(DONNEES!$E448="","",DONNEES!T448)</f>
        <v/>
      </c>
      <c r="T448" t="str">
        <f>IF(DONNEES!$E448="","",DONNEES!U448)</f>
        <v/>
      </c>
      <c r="U448" t="str">
        <f>IF(DONNEES!$E448="","",DONNEES!V448)</f>
        <v/>
      </c>
      <c r="V448" t="str">
        <f>IF(DONNEES!$E448="","",DONNEES!W448)</f>
        <v/>
      </c>
      <c r="W448" t="str">
        <f>IF(DONNEES!$E448="","",DONNEES!X448)</f>
        <v/>
      </c>
      <c r="X448" t="str">
        <f>IF(DONNEES!$E448="","",DONNEES!Y448)</f>
        <v/>
      </c>
      <c r="Y448" t="str">
        <f>IF(DONNEES!$E448="","",DONNEES!Z448)</f>
        <v/>
      </c>
      <c r="Z448" t="str">
        <f>IF(DONNEES!$E448="","",DONNEES!AQ448)</f>
        <v/>
      </c>
    </row>
    <row r="449" spans="1:26" ht="15" customHeight="1" x14ac:dyDescent="0.3">
      <c r="A449" t="str">
        <f>IF(DONNEES!$E449="","",DONNEES!A449)</f>
        <v/>
      </c>
      <c r="B449" t="str">
        <f>IF(DONNEES!$E449="","",DONNEES!B449)</f>
        <v/>
      </c>
      <c r="C449" t="str">
        <f>IF(DONNEES!$E449="","",DONNEES!C449)</f>
        <v/>
      </c>
      <c r="D449" t="str">
        <f>IF(DONNEES!$E449="","",DONNEES!E449)</f>
        <v/>
      </c>
      <c r="E449" t="str">
        <f>IF(DONNEES!$E449="","",DONNEES!F449)</f>
        <v/>
      </c>
      <c r="F449" t="str">
        <f>IF(DONNEES!$E449="","",DONNEES!G449)</f>
        <v/>
      </c>
      <c r="G449" t="str">
        <f>IF(DONNEES!$E449="","",DONNEES!H449)</f>
        <v/>
      </c>
      <c r="H449" t="str">
        <f>IF(DONNEES!$E449="","",DONNEES!I449)</f>
        <v/>
      </c>
      <c r="I449" t="str">
        <f>IF(DONNEES!$E449="","",DONNEES!J449)</f>
        <v/>
      </c>
      <c r="J449" t="str">
        <f>IF(DONNEES!$E449="","",DONNEES!K449)</f>
        <v/>
      </c>
      <c r="K449" t="str">
        <f>IF(DONNEES!$E449="","",DONNEES!L449)</f>
        <v/>
      </c>
      <c r="L449" t="str">
        <f>IF(DONNEES!$E449="","",DONNEES!M449)</f>
        <v/>
      </c>
      <c r="M449" t="str">
        <f>IF(DONNEES!$E449="","",DONNEES!N449)</f>
        <v/>
      </c>
      <c r="N449" t="str">
        <f>IF(DONNEES!$E449="","",DONNEES!O449)</f>
        <v/>
      </c>
      <c r="O449" t="str">
        <f>IF(DONNEES!$E449="","",DONNEES!P449)</f>
        <v/>
      </c>
      <c r="P449" t="str">
        <f>IF(DONNEES!$E449="","",DONNEES!Q449)</f>
        <v/>
      </c>
      <c r="Q449" t="str">
        <f>IF(DONNEES!$E449="","",DONNEES!R449)</f>
        <v/>
      </c>
      <c r="R449" t="str">
        <f>IF(DONNEES!$E449="","",DONNEES!S449)</f>
        <v/>
      </c>
      <c r="S449" t="str">
        <f>IF(DONNEES!$E449="","",DONNEES!T449)</f>
        <v/>
      </c>
      <c r="T449" t="str">
        <f>IF(DONNEES!$E449="","",DONNEES!U449)</f>
        <v/>
      </c>
      <c r="U449" t="str">
        <f>IF(DONNEES!$E449="","",DONNEES!V449)</f>
        <v/>
      </c>
      <c r="V449" t="str">
        <f>IF(DONNEES!$E449="","",DONNEES!W449)</f>
        <v/>
      </c>
      <c r="W449" t="str">
        <f>IF(DONNEES!$E449="","",DONNEES!X449)</f>
        <v/>
      </c>
      <c r="X449" t="str">
        <f>IF(DONNEES!$E449="","",DONNEES!Y449)</f>
        <v/>
      </c>
      <c r="Y449" t="str">
        <f>IF(DONNEES!$E449="","",DONNEES!Z449)</f>
        <v/>
      </c>
      <c r="Z449" t="str">
        <f>IF(DONNEES!$E449="","",DONNEES!AQ449)</f>
        <v/>
      </c>
    </row>
    <row r="450" spans="1:26" ht="15" customHeight="1" x14ac:dyDescent="0.3">
      <c r="A450" t="str">
        <f>IF(DONNEES!$E450="","",DONNEES!A450)</f>
        <v/>
      </c>
      <c r="B450" t="str">
        <f>IF(DONNEES!$E450="","",DONNEES!B450)</f>
        <v/>
      </c>
      <c r="C450" t="str">
        <f>IF(DONNEES!$E450="","",DONNEES!C450)</f>
        <v/>
      </c>
      <c r="D450" t="str">
        <f>IF(DONNEES!$E450="","",DONNEES!E450)</f>
        <v/>
      </c>
      <c r="E450" t="str">
        <f>IF(DONNEES!$E450="","",DONNEES!F450)</f>
        <v/>
      </c>
      <c r="F450" t="str">
        <f>IF(DONNEES!$E450="","",DONNEES!G450)</f>
        <v/>
      </c>
      <c r="G450" t="str">
        <f>IF(DONNEES!$E450="","",DONNEES!H450)</f>
        <v/>
      </c>
      <c r="H450" t="str">
        <f>IF(DONNEES!$E450="","",DONNEES!I450)</f>
        <v/>
      </c>
      <c r="I450" t="str">
        <f>IF(DONNEES!$E450="","",DONNEES!J450)</f>
        <v/>
      </c>
      <c r="J450" t="str">
        <f>IF(DONNEES!$E450="","",DONNEES!K450)</f>
        <v/>
      </c>
      <c r="K450" t="str">
        <f>IF(DONNEES!$E450="","",DONNEES!L450)</f>
        <v/>
      </c>
      <c r="L450" t="str">
        <f>IF(DONNEES!$E450="","",DONNEES!M450)</f>
        <v/>
      </c>
      <c r="M450" t="str">
        <f>IF(DONNEES!$E450="","",DONNEES!N450)</f>
        <v/>
      </c>
      <c r="N450" t="str">
        <f>IF(DONNEES!$E450="","",DONNEES!O450)</f>
        <v/>
      </c>
      <c r="O450" t="str">
        <f>IF(DONNEES!$E450="","",DONNEES!P450)</f>
        <v/>
      </c>
      <c r="P450" t="str">
        <f>IF(DONNEES!$E450="","",DONNEES!Q450)</f>
        <v/>
      </c>
      <c r="Q450" t="str">
        <f>IF(DONNEES!$E450="","",DONNEES!R450)</f>
        <v/>
      </c>
      <c r="R450" t="str">
        <f>IF(DONNEES!$E450="","",DONNEES!S450)</f>
        <v/>
      </c>
      <c r="S450" t="str">
        <f>IF(DONNEES!$E450="","",DONNEES!T450)</f>
        <v/>
      </c>
      <c r="T450" t="str">
        <f>IF(DONNEES!$E450="","",DONNEES!U450)</f>
        <v/>
      </c>
      <c r="U450" t="str">
        <f>IF(DONNEES!$E450="","",DONNEES!V450)</f>
        <v/>
      </c>
      <c r="V450" t="str">
        <f>IF(DONNEES!$E450="","",DONNEES!W450)</f>
        <v/>
      </c>
      <c r="W450" t="str">
        <f>IF(DONNEES!$E450="","",DONNEES!X450)</f>
        <v/>
      </c>
      <c r="X450" t="str">
        <f>IF(DONNEES!$E450="","",DONNEES!Y450)</f>
        <v/>
      </c>
      <c r="Y450" t="str">
        <f>IF(DONNEES!$E450="","",DONNEES!Z450)</f>
        <v/>
      </c>
      <c r="Z450" t="str">
        <f>IF(DONNEES!$E450="","",DONNEES!AQ450)</f>
        <v/>
      </c>
    </row>
    <row r="451" spans="1:26" ht="15" customHeight="1" x14ac:dyDescent="0.3">
      <c r="A451" t="str">
        <f>IF(DONNEES!$E451="","",DONNEES!A451)</f>
        <v/>
      </c>
      <c r="B451" t="str">
        <f>IF(DONNEES!$E451="","",DONNEES!B451)</f>
        <v/>
      </c>
      <c r="C451" t="str">
        <f>IF(DONNEES!$E451="","",DONNEES!C451)</f>
        <v/>
      </c>
      <c r="D451" t="str">
        <f>IF(DONNEES!$E451="","",DONNEES!E451)</f>
        <v/>
      </c>
      <c r="E451" t="str">
        <f>IF(DONNEES!$E451="","",DONNEES!F451)</f>
        <v/>
      </c>
      <c r="F451" t="str">
        <f>IF(DONNEES!$E451="","",DONNEES!G451)</f>
        <v/>
      </c>
      <c r="G451" t="str">
        <f>IF(DONNEES!$E451="","",DONNEES!H451)</f>
        <v/>
      </c>
      <c r="H451" t="str">
        <f>IF(DONNEES!$E451="","",DONNEES!I451)</f>
        <v/>
      </c>
      <c r="I451" t="str">
        <f>IF(DONNEES!$E451="","",DONNEES!J451)</f>
        <v/>
      </c>
      <c r="J451" t="str">
        <f>IF(DONNEES!$E451="","",DONNEES!K451)</f>
        <v/>
      </c>
      <c r="K451" t="str">
        <f>IF(DONNEES!$E451="","",DONNEES!L451)</f>
        <v/>
      </c>
      <c r="L451" t="str">
        <f>IF(DONNEES!$E451="","",DONNEES!M451)</f>
        <v/>
      </c>
      <c r="M451" t="str">
        <f>IF(DONNEES!$E451="","",DONNEES!N451)</f>
        <v/>
      </c>
      <c r="N451" t="str">
        <f>IF(DONNEES!$E451="","",DONNEES!O451)</f>
        <v/>
      </c>
      <c r="O451" t="str">
        <f>IF(DONNEES!$E451="","",DONNEES!P451)</f>
        <v/>
      </c>
      <c r="P451" t="str">
        <f>IF(DONNEES!$E451="","",DONNEES!Q451)</f>
        <v/>
      </c>
      <c r="Q451" t="str">
        <f>IF(DONNEES!$E451="","",DONNEES!R451)</f>
        <v/>
      </c>
      <c r="R451" t="str">
        <f>IF(DONNEES!$E451="","",DONNEES!S451)</f>
        <v/>
      </c>
      <c r="S451" t="str">
        <f>IF(DONNEES!$E451="","",DONNEES!T451)</f>
        <v/>
      </c>
      <c r="T451" t="str">
        <f>IF(DONNEES!$E451="","",DONNEES!U451)</f>
        <v/>
      </c>
      <c r="U451" t="str">
        <f>IF(DONNEES!$E451="","",DONNEES!V451)</f>
        <v/>
      </c>
      <c r="V451" t="str">
        <f>IF(DONNEES!$E451="","",DONNEES!W451)</f>
        <v/>
      </c>
      <c r="W451" t="str">
        <f>IF(DONNEES!$E451="","",DONNEES!X451)</f>
        <v/>
      </c>
      <c r="X451" t="str">
        <f>IF(DONNEES!$E451="","",DONNEES!Y451)</f>
        <v/>
      </c>
      <c r="Y451" t="str">
        <f>IF(DONNEES!$E451="","",DONNEES!Z451)</f>
        <v/>
      </c>
      <c r="Z451" t="str">
        <f>IF(DONNEES!$E451="","",DONNEES!AQ451)</f>
        <v/>
      </c>
    </row>
    <row r="452" spans="1:26" ht="15" customHeight="1" x14ac:dyDescent="0.3">
      <c r="A452" t="str">
        <f>IF(DONNEES!$E452="","",DONNEES!A452)</f>
        <v/>
      </c>
      <c r="B452" t="str">
        <f>IF(DONNEES!$E452="","",DONNEES!B452)</f>
        <v/>
      </c>
      <c r="C452" t="str">
        <f>IF(DONNEES!$E452="","",DONNEES!C452)</f>
        <v/>
      </c>
      <c r="D452" t="str">
        <f>IF(DONNEES!$E452="","",DONNEES!E452)</f>
        <v/>
      </c>
      <c r="E452" t="str">
        <f>IF(DONNEES!$E452="","",DONNEES!F452)</f>
        <v/>
      </c>
      <c r="F452" t="str">
        <f>IF(DONNEES!$E452="","",DONNEES!G452)</f>
        <v/>
      </c>
      <c r="G452" t="str">
        <f>IF(DONNEES!$E452="","",DONNEES!H452)</f>
        <v/>
      </c>
      <c r="H452" t="str">
        <f>IF(DONNEES!$E452="","",DONNEES!I452)</f>
        <v/>
      </c>
      <c r="I452" t="str">
        <f>IF(DONNEES!$E452="","",DONNEES!J452)</f>
        <v/>
      </c>
      <c r="J452" t="str">
        <f>IF(DONNEES!$E452="","",DONNEES!K452)</f>
        <v/>
      </c>
      <c r="K452" t="str">
        <f>IF(DONNEES!$E452="","",DONNEES!L452)</f>
        <v/>
      </c>
      <c r="L452" t="str">
        <f>IF(DONNEES!$E452="","",DONNEES!M452)</f>
        <v/>
      </c>
      <c r="M452" t="str">
        <f>IF(DONNEES!$E452="","",DONNEES!N452)</f>
        <v/>
      </c>
      <c r="N452" t="str">
        <f>IF(DONNEES!$E452="","",DONNEES!O452)</f>
        <v/>
      </c>
      <c r="O452" t="str">
        <f>IF(DONNEES!$E452="","",DONNEES!P452)</f>
        <v/>
      </c>
      <c r="P452" t="str">
        <f>IF(DONNEES!$E452="","",DONNEES!Q452)</f>
        <v/>
      </c>
      <c r="Q452" t="str">
        <f>IF(DONNEES!$E452="","",DONNEES!R452)</f>
        <v/>
      </c>
      <c r="R452" t="str">
        <f>IF(DONNEES!$E452="","",DONNEES!S452)</f>
        <v/>
      </c>
      <c r="S452" t="str">
        <f>IF(DONNEES!$E452="","",DONNEES!T452)</f>
        <v/>
      </c>
      <c r="T452" t="str">
        <f>IF(DONNEES!$E452="","",DONNEES!U452)</f>
        <v/>
      </c>
      <c r="U452" t="str">
        <f>IF(DONNEES!$E452="","",DONNEES!V452)</f>
        <v/>
      </c>
      <c r="V452" t="str">
        <f>IF(DONNEES!$E452="","",DONNEES!W452)</f>
        <v/>
      </c>
      <c r="W452" t="str">
        <f>IF(DONNEES!$E452="","",DONNEES!X452)</f>
        <v/>
      </c>
      <c r="X452" t="str">
        <f>IF(DONNEES!$E452="","",DONNEES!Y452)</f>
        <v/>
      </c>
      <c r="Y452" t="str">
        <f>IF(DONNEES!$E452="","",DONNEES!Z452)</f>
        <v/>
      </c>
      <c r="Z452" t="str">
        <f>IF(DONNEES!$E452="","",DONNEES!AQ452)</f>
        <v/>
      </c>
    </row>
    <row r="453" spans="1:26" ht="15" customHeight="1" x14ac:dyDescent="0.3">
      <c r="A453" t="str">
        <f>IF(DONNEES!$E453="","",DONNEES!A453)</f>
        <v/>
      </c>
      <c r="B453" t="str">
        <f>IF(DONNEES!$E453="","",DONNEES!B453)</f>
        <v/>
      </c>
      <c r="C453" t="str">
        <f>IF(DONNEES!$E453="","",DONNEES!C453)</f>
        <v/>
      </c>
      <c r="D453" t="str">
        <f>IF(DONNEES!$E453="","",DONNEES!E453)</f>
        <v/>
      </c>
      <c r="E453" t="str">
        <f>IF(DONNEES!$E453="","",DONNEES!F453)</f>
        <v/>
      </c>
      <c r="F453" t="str">
        <f>IF(DONNEES!$E453="","",DONNEES!G453)</f>
        <v/>
      </c>
      <c r="G453" t="str">
        <f>IF(DONNEES!$E453="","",DONNEES!H453)</f>
        <v/>
      </c>
      <c r="H453" t="str">
        <f>IF(DONNEES!$E453="","",DONNEES!I453)</f>
        <v/>
      </c>
      <c r="I453" t="str">
        <f>IF(DONNEES!$E453="","",DONNEES!J453)</f>
        <v/>
      </c>
      <c r="J453" t="str">
        <f>IF(DONNEES!$E453="","",DONNEES!K453)</f>
        <v/>
      </c>
      <c r="K453" t="str">
        <f>IF(DONNEES!$E453="","",DONNEES!L453)</f>
        <v/>
      </c>
      <c r="L453" t="str">
        <f>IF(DONNEES!$E453="","",DONNEES!M453)</f>
        <v/>
      </c>
      <c r="M453" t="str">
        <f>IF(DONNEES!$E453="","",DONNEES!N453)</f>
        <v/>
      </c>
      <c r="N453" t="str">
        <f>IF(DONNEES!$E453="","",DONNEES!O453)</f>
        <v/>
      </c>
      <c r="O453" t="str">
        <f>IF(DONNEES!$E453="","",DONNEES!P453)</f>
        <v/>
      </c>
      <c r="P453" t="str">
        <f>IF(DONNEES!$E453="","",DONNEES!Q453)</f>
        <v/>
      </c>
      <c r="Q453" t="str">
        <f>IF(DONNEES!$E453="","",DONNEES!R453)</f>
        <v/>
      </c>
      <c r="R453" t="str">
        <f>IF(DONNEES!$E453="","",DONNEES!S453)</f>
        <v/>
      </c>
      <c r="S453" t="str">
        <f>IF(DONNEES!$E453="","",DONNEES!T453)</f>
        <v/>
      </c>
      <c r="T453" t="str">
        <f>IF(DONNEES!$E453="","",DONNEES!U453)</f>
        <v/>
      </c>
      <c r="U453" t="str">
        <f>IF(DONNEES!$E453="","",DONNEES!V453)</f>
        <v/>
      </c>
      <c r="V453" t="str">
        <f>IF(DONNEES!$E453="","",DONNEES!W453)</f>
        <v/>
      </c>
      <c r="W453" t="str">
        <f>IF(DONNEES!$E453="","",DONNEES!X453)</f>
        <v/>
      </c>
      <c r="X453" t="str">
        <f>IF(DONNEES!$E453="","",DONNEES!Y453)</f>
        <v/>
      </c>
      <c r="Y453" t="str">
        <f>IF(DONNEES!$E453="","",DONNEES!Z453)</f>
        <v/>
      </c>
      <c r="Z453" t="str">
        <f>IF(DONNEES!$E453="","",DONNEES!AQ453)</f>
        <v/>
      </c>
    </row>
    <row r="454" spans="1:26" ht="15" customHeight="1" x14ac:dyDescent="0.3">
      <c r="A454" t="str">
        <f>IF(DONNEES!$E454="","",DONNEES!A454)</f>
        <v/>
      </c>
      <c r="B454" t="str">
        <f>IF(DONNEES!$E454="","",DONNEES!B454)</f>
        <v/>
      </c>
      <c r="C454" t="str">
        <f>IF(DONNEES!$E454="","",DONNEES!C454)</f>
        <v/>
      </c>
      <c r="D454" t="str">
        <f>IF(DONNEES!$E454="","",DONNEES!E454)</f>
        <v/>
      </c>
      <c r="E454" t="str">
        <f>IF(DONNEES!$E454="","",DONNEES!F454)</f>
        <v/>
      </c>
      <c r="F454" t="str">
        <f>IF(DONNEES!$E454="","",DONNEES!G454)</f>
        <v/>
      </c>
      <c r="G454" t="str">
        <f>IF(DONNEES!$E454="","",DONNEES!H454)</f>
        <v/>
      </c>
      <c r="H454" t="str">
        <f>IF(DONNEES!$E454="","",DONNEES!I454)</f>
        <v/>
      </c>
      <c r="I454" t="str">
        <f>IF(DONNEES!$E454="","",DONNEES!J454)</f>
        <v/>
      </c>
      <c r="J454" t="str">
        <f>IF(DONNEES!$E454="","",DONNEES!K454)</f>
        <v/>
      </c>
      <c r="K454" t="str">
        <f>IF(DONNEES!$E454="","",DONNEES!L454)</f>
        <v/>
      </c>
      <c r="L454" t="str">
        <f>IF(DONNEES!$E454="","",DONNEES!M454)</f>
        <v/>
      </c>
      <c r="M454" t="str">
        <f>IF(DONNEES!$E454="","",DONNEES!N454)</f>
        <v/>
      </c>
      <c r="N454" t="str">
        <f>IF(DONNEES!$E454="","",DONNEES!O454)</f>
        <v/>
      </c>
      <c r="O454" t="str">
        <f>IF(DONNEES!$E454="","",DONNEES!P454)</f>
        <v/>
      </c>
      <c r="P454" t="str">
        <f>IF(DONNEES!$E454="","",DONNEES!Q454)</f>
        <v/>
      </c>
      <c r="Q454" t="str">
        <f>IF(DONNEES!$E454="","",DONNEES!R454)</f>
        <v/>
      </c>
      <c r="R454" t="str">
        <f>IF(DONNEES!$E454="","",DONNEES!S454)</f>
        <v/>
      </c>
      <c r="S454" t="str">
        <f>IF(DONNEES!$E454="","",DONNEES!T454)</f>
        <v/>
      </c>
      <c r="T454" t="str">
        <f>IF(DONNEES!$E454="","",DONNEES!U454)</f>
        <v/>
      </c>
      <c r="U454" t="str">
        <f>IF(DONNEES!$E454="","",DONNEES!V454)</f>
        <v/>
      </c>
      <c r="V454" t="str">
        <f>IF(DONNEES!$E454="","",DONNEES!W454)</f>
        <v/>
      </c>
      <c r="W454" t="str">
        <f>IF(DONNEES!$E454="","",DONNEES!X454)</f>
        <v/>
      </c>
      <c r="X454" t="str">
        <f>IF(DONNEES!$E454="","",DONNEES!Y454)</f>
        <v/>
      </c>
      <c r="Y454" t="str">
        <f>IF(DONNEES!$E454="","",DONNEES!Z454)</f>
        <v/>
      </c>
      <c r="Z454" t="str">
        <f>IF(DONNEES!$E454="","",DONNEES!AQ454)</f>
        <v/>
      </c>
    </row>
    <row r="455" spans="1:26" ht="15" customHeight="1" x14ac:dyDescent="0.3">
      <c r="A455" t="str">
        <f>IF(DONNEES!$E455="","",DONNEES!A455)</f>
        <v/>
      </c>
      <c r="B455" t="str">
        <f>IF(DONNEES!$E455="","",DONNEES!B455)</f>
        <v/>
      </c>
      <c r="C455" t="str">
        <f>IF(DONNEES!$E455="","",DONNEES!C455)</f>
        <v/>
      </c>
      <c r="D455" t="str">
        <f>IF(DONNEES!$E455="","",DONNEES!E455)</f>
        <v/>
      </c>
      <c r="E455" t="str">
        <f>IF(DONNEES!$E455="","",DONNEES!F455)</f>
        <v/>
      </c>
      <c r="F455" t="str">
        <f>IF(DONNEES!$E455="","",DONNEES!G455)</f>
        <v/>
      </c>
      <c r="G455" t="str">
        <f>IF(DONNEES!$E455="","",DONNEES!H455)</f>
        <v/>
      </c>
      <c r="H455" t="str">
        <f>IF(DONNEES!$E455="","",DONNEES!I455)</f>
        <v/>
      </c>
      <c r="I455" t="str">
        <f>IF(DONNEES!$E455="","",DONNEES!J455)</f>
        <v/>
      </c>
      <c r="J455" t="str">
        <f>IF(DONNEES!$E455="","",DONNEES!K455)</f>
        <v/>
      </c>
      <c r="K455" t="str">
        <f>IF(DONNEES!$E455="","",DONNEES!L455)</f>
        <v/>
      </c>
      <c r="L455" t="str">
        <f>IF(DONNEES!$E455="","",DONNEES!M455)</f>
        <v/>
      </c>
      <c r="M455" t="str">
        <f>IF(DONNEES!$E455="","",DONNEES!N455)</f>
        <v/>
      </c>
      <c r="N455" t="str">
        <f>IF(DONNEES!$E455="","",DONNEES!O455)</f>
        <v/>
      </c>
      <c r="O455" t="str">
        <f>IF(DONNEES!$E455="","",DONNEES!P455)</f>
        <v/>
      </c>
      <c r="P455" t="str">
        <f>IF(DONNEES!$E455="","",DONNEES!Q455)</f>
        <v/>
      </c>
      <c r="Q455" t="str">
        <f>IF(DONNEES!$E455="","",DONNEES!R455)</f>
        <v/>
      </c>
      <c r="R455" t="str">
        <f>IF(DONNEES!$E455="","",DONNEES!S455)</f>
        <v/>
      </c>
      <c r="S455" t="str">
        <f>IF(DONNEES!$E455="","",DONNEES!T455)</f>
        <v/>
      </c>
      <c r="T455" t="str">
        <f>IF(DONNEES!$E455="","",DONNEES!U455)</f>
        <v/>
      </c>
      <c r="U455" t="str">
        <f>IF(DONNEES!$E455="","",DONNEES!V455)</f>
        <v/>
      </c>
      <c r="V455" t="str">
        <f>IF(DONNEES!$E455="","",DONNEES!W455)</f>
        <v/>
      </c>
      <c r="W455" t="str">
        <f>IF(DONNEES!$E455="","",DONNEES!X455)</f>
        <v/>
      </c>
      <c r="X455" t="str">
        <f>IF(DONNEES!$E455="","",DONNEES!Y455)</f>
        <v/>
      </c>
      <c r="Y455" t="str">
        <f>IF(DONNEES!$E455="","",DONNEES!Z455)</f>
        <v/>
      </c>
      <c r="Z455" t="str">
        <f>IF(DONNEES!$E455="","",DONNEES!AQ455)</f>
        <v/>
      </c>
    </row>
    <row r="456" spans="1:26" ht="15" customHeight="1" x14ac:dyDescent="0.3">
      <c r="A456" t="str">
        <f>IF(DONNEES!$E456="","",DONNEES!A456)</f>
        <v/>
      </c>
      <c r="B456" t="str">
        <f>IF(DONNEES!$E456="","",DONNEES!B456)</f>
        <v/>
      </c>
      <c r="C456" t="str">
        <f>IF(DONNEES!$E456="","",DONNEES!C456)</f>
        <v/>
      </c>
      <c r="D456" t="str">
        <f>IF(DONNEES!$E456="","",DONNEES!E456)</f>
        <v/>
      </c>
      <c r="E456" t="str">
        <f>IF(DONNEES!$E456="","",DONNEES!F456)</f>
        <v/>
      </c>
      <c r="F456" t="str">
        <f>IF(DONNEES!$E456="","",DONNEES!G456)</f>
        <v/>
      </c>
      <c r="G456" t="str">
        <f>IF(DONNEES!$E456="","",DONNEES!H456)</f>
        <v/>
      </c>
      <c r="H456" t="str">
        <f>IF(DONNEES!$E456="","",DONNEES!I456)</f>
        <v/>
      </c>
      <c r="I456" t="str">
        <f>IF(DONNEES!$E456="","",DONNEES!J456)</f>
        <v/>
      </c>
      <c r="J456" t="str">
        <f>IF(DONNEES!$E456="","",DONNEES!K456)</f>
        <v/>
      </c>
      <c r="K456" t="str">
        <f>IF(DONNEES!$E456="","",DONNEES!L456)</f>
        <v/>
      </c>
      <c r="L456" t="str">
        <f>IF(DONNEES!$E456="","",DONNEES!M456)</f>
        <v/>
      </c>
      <c r="M456" t="str">
        <f>IF(DONNEES!$E456="","",DONNEES!N456)</f>
        <v/>
      </c>
      <c r="N456" t="str">
        <f>IF(DONNEES!$E456="","",DONNEES!O456)</f>
        <v/>
      </c>
      <c r="O456" t="str">
        <f>IF(DONNEES!$E456="","",DONNEES!P456)</f>
        <v/>
      </c>
      <c r="P456" t="str">
        <f>IF(DONNEES!$E456="","",DONNEES!Q456)</f>
        <v/>
      </c>
      <c r="Q456" t="str">
        <f>IF(DONNEES!$E456="","",DONNEES!R456)</f>
        <v/>
      </c>
      <c r="R456" t="str">
        <f>IF(DONNEES!$E456="","",DONNEES!S456)</f>
        <v/>
      </c>
      <c r="S456" t="str">
        <f>IF(DONNEES!$E456="","",DONNEES!T456)</f>
        <v/>
      </c>
      <c r="T456" t="str">
        <f>IF(DONNEES!$E456="","",DONNEES!U456)</f>
        <v/>
      </c>
      <c r="U456" t="str">
        <f>IF(DONNEES!$E456="","",DONNEES!V456)</f>
        <v/>
      </c>
      <c r="V456" t="str">
        <f>IF(DONNEES!$E456="","",DONNEES!W456)</f>
        <v/>
      </c>
      <c r="W456" t="str">
        <f>IF(DONNEES!$E456="","",DONNEES!X456)</f>
        <v/>
      </c>
      <c r="X456" t="str">
        <f>IF(DONNEES!$E456="","",DONNEES!Y456)</f>
        <v/>
      </c>
      <c r="Y456" t="str">
        <f>IF(DONNEES!$E456="","",DONNEES!Z456)</f>
        <v/>
      </c>
      <c r="Z456" t="str">
        <f>IF(DONNEES!$E456="","",DONNEES!AQ456)</f>
        <v/>
      </c>
    </row>
    <row r="457" spans="1:26" ht="15" customHeight="1" x14ac:dyDescent="0.3">
      <c r="A457" t="str">
        <f>IF(DONNEES!$E457="","",DONNEES!A457)</f>
        <v/>
      </c>
      <c r="B457" t="str">
        <f>IF(DONNEES!$E457="","",DONNEES!B457)</f>
        <v/>
      </c>
      <c r="C457" t="str">
        <f>IF(DONNEES!$E457="","",DONNEES!C457)</f>
        <v/>
      </c>
      <c r="D457" t="str">
        <f>IF(DONNEES!$E457="","",DONNEES!E457)</f>
        <v/>
      </c>
      <c r="E457" t="str">
        <f>IF(DONNEES!$E457="","",DONNEES!F457)</f>
        <v/>
      </c>
      <c r="F457" t="str">
        <f>IF(DONNEES!$E457="","",DONNEES!G457)</f>
        <v/>
      </c>
      <c r="G457" t="str">
        <f>IF(DONNEES!$E457="","",DONNEES!H457)</f>
        <v/>
      </c>
      <c r="H457" t="str">
        <f>IF(DONNEES!$E457="","",DONNEES!I457)</f>
        <v/>
      </c>
      <c r="I457" t="str">
        <f>IF(DONNEES!$E457="","",DONNEES!J457)</f>
        <v/>
      </c>
      <c r="J457" t="str">
        <f>IF(DONNEES!$E457="","",DONNEES!K457)</f>
        <v/>
      </c>
      <c r="K457" t="str">
        <f>IF(DONNEES!$E457="","",DONNEES!L457)</f>
        <v/>
      </c>
      <c r="L457" t="str">
        <f>IF(DONNEES!$E457="","",DONNEES!M457)</f>
        <v/>
      </c>
      <c r="M457" t="str">
        <f>IF(DONNEES!$E457="","",DONNEES!N457)</f>
        <v/>
      </c>
      <c r="N457" t="str">
        <f>IF(DONNEES!$E457="","",DONNEES!O457)</f>
        <v/>
      </c>
      <c r="O457" t="str">
        <f>IF(DONNEES!$E457="","",DONNEES!P457)</f>
        <v/>
      </c>
      <c r="P457" t="str">
        <f>IF(DONNEES!$E457="","",DONNEES!Q457)</f>
        <v/>
      </c>
      <c r="Q457" t="str">
        <f>IF(DONNEES!$E457="","",DONNEES!R457)</f>
        <v/>
      </c>
      <c r="R457" t="str">
        <f>IF(DONNEES!$E457="","",DONNEES!S457)</f>
        <v/>
      </c>
      <c r="S457" t="str">
        <f>IF(DONNEES!$E457="","",DONNEES!T457)</f>
        <v/>
      </c>
      <c r="T457" t="str">
        <f>IF(DONNEES!$E457="","",DONNEES!U457)</f>
        <v/>
      </c>
      <c r="U457" t="str">
        <f>IF(DONNEES!$E457="","",DONNEES!V457)</f>
        <v/>
      </c>
      <c r="V457" t="str">
        <f>IF(DONNEES!$E457="","",DONNEES!W457)</f>
        <v/>
      </c>
      <c r="W457" t="str">
        <f>IF(DONNEES!$E457="","",DONNEES!X457)</f>
        <v/>
      </c>
      <c r="X457" t="str">
        <f>IF(DONNEES!$E457="","",DONNEES!Y457)</f>
        <v/>
      </c>
      <c r="Y457" t="str">
        <f>IF(DONNEES!$E457="","",DONNEES!Z457)</f>
        <v/>
      </c>
      <c r="Z457" t="str">
        <f>IF(DONNEES!$E457="","",DONNEES!AQ457)</f>
        <v/>
      </c>
    </row>
    <row r="458" spans="1:26" ht="15" customHeight="1" x14ac:dyDescent="0.3">
      <c r="A458" t="str">
        <f>IF(DONNEES!$E458="","",DONNEES!A458)</f>
        <v/>
      </c>
      <c r="B458" t="str">
        <f>IF(DONNEES!$E458="","",DONNEES!B458)</f>
        <v/>
      </c>
      <c r="C458" t="str">
        <f>IF(DONNEES!$E458="","",DONNEES!C458)</f>
        <v/>
      </c>
      <c r="D458" t="str">
        <f>IF(DONNEES!$E458="","",DONNEES!E458)</f>
        <v/>
      </c>
      <c r="E458" t="str">
        <f>IF(DONNEES!$E458="","",DONNEES!F458)</f>
        <v/>
      </c>
      <c r="F458" t="str">
        <f>IF(DONNEES!$E458="","",DONNEES!G458)</f>
        <v/>
      </c>
      <c r="G458" t="str">
        <f>IF(DONNEES!$E458="","",DONNEES!H458)</f>
        <v/>
      </c>
      <c r="H458" t="str">
        <f>IF(DONNEES!$E458="","",DONNEES!I458)</f>
        <v/>
      </c>
      <c r="I458" t="str">
        <f>IF(DONNEES!$E458="","",DONNEES!J458)</f>
        <v/>
      </c>
      <c r="J458" t="str">
        <f>IF(DONNEES!$E458="","",DONNEES!K458)</f>
        <v/>
      </c>
      <c r="K458" t="str">
        <f>IF(DONNEES!$E458="","",DONNEES!L458)</f>
        <v/>
      </c>
      <c r="L458" t="str">
        <f>IF(DONNEES!$E458="","",DONNEES!M458)</f>
        <v/>
      </c>
      <c r="M458" t="str">
        <f>IF(DONNEES!$E458="","",DONNEES!N458)</f>
        <v/>
      </c>
      <c r="N458" t="str">
        <f>IF(DONNEES!$E458="","",DONNEES!O458)</f>
        <v/>
      </c>
      <c r="O458" t="str">
        <f>IF(DONNEES!$E458="","",DONNEES!P458)</f>
        <v/>
      </c>
      <c r="P458" t="str">
        <f>IF(DONNEES!$E458="","",DONNEES!Q458)</f>
        <v/>
      </c>
      <c r="Q458" t="str">
        <f>IF(DONNEES!$E458="","",DONNEES!R458)</f>
        <v/>
      </c>
      <c r="R458" t="str">
        <f>IF(DONNEES!$E458="","",DONNEES!S458)</f>
        <v/>
      </c>
      <c r="S458" t="str">
        <f>IF(DONNEES!$E458="","",DONNEES!T458)</f>
        <v/>
      </c>
      <c r="T458" t="str">
        <f>IF(DONNEES!$E458="","",DONNEES!U458)</f>
        <v/>
      </c>
      <c r="U458" t="str">
        <f>IF(DONNEES!$E458="","",DONNEES!V458)</f>
        <v/>
      </c>
      <c r="V458" t="str">
        <f>IF(DONNEES!$E458="","",DONNEES!W458)</f>
        <v/>
      </c>
      <c r="W458" t="str">
        <f>IF(DONNEES!$E458="","",DONNEES!X458)</f>
        <v/>
      </c>
      <c r="X458" t="str">
        <f>IF(DONNEES!$E458="","",DONNEES!Y458)</f>
        <v/>
      </c>
      <c r="Y458" t="str">
        <f>IF(DONNEES!$E458="","",DONNEES!Z458)</f>
        <v/>
      </c>
      <c r="Z458" t="str">
        <f>IF(DONNEES!$E458="","",DONNEES!AQ458)</f>
        <v/>
      </c>
    </row>
    <row r="459" spans="1:26" ht="15" customHeight="1" x14ac:dyDescent="0.3">
      <c r="A459" t="str">
        <f>IF(DONNEES!$E459="","",DONNEES!A459)</f>
        <v/>
      </c>
      <c r="B459" t="str">
        <f>IF(DONNEES!$E459="","",DONNEES!B459)</f>
        <v/>
      </c>
      <c r="C459" t="str">
        <f>IF(DONNEES!$E459="","",DONNEES!C459)</f>
        <v/>
      </c>
      <c r="D459" t="str">
        <f>IF(DONNEES!$E459="","",DONNEES!E459)</f>
        <v/>
      </c>
      <c r="E459" t="str">
        <f>IF(DONNEES!$E459="","",DONNEES!F459)</f>
        <v/>
      </c>
      <c r="F459" t="str">
        <f>IF(DONNEES!$E459="","",DONNEES!G459)</f>
        <v/>
      </c>
      <c r="G459" t="str">
        <f>IF(DONNEES!$E459="","",DONNEES!H459)</f>
        <v/>
      </c>
      <c r="H459" t="str">
        <f>IF(DONNEES!$E459="","",DONNEES!I459)</f>
        <v/>
      </c>
      <c r="I459" t="str">
        <f>IF(DONNEES!$E459="","",DONNEES!J459)</f>
        <v/>
      </c>
      <c r="J459" t="str">
        <f>IF(DONNEES!$E459="","",DONNEES!K459)</f>
        <v/>
      </c>
      <c r="K459" t="str">
        <f>IF(DONNEES!$E459="","",DONNEES!L459)</f>
        <v/>
      </c>
      <c r="L459" t="str">
        <f>IF(DONNEES!$E459="","",DONNEES!M459)</f>
        <v/>
      </c>
      <c r="M459" t="str">
        <f>IF(DONNEES!$E459="","",DONNEES!N459)</f>
        <v/>
      </c>
      <c r="N459" t="str">
        <f>IF(DONNEES!$E459="","",DONNEES!O459)</f>
        <v/>
      </c>
      <c r="O459" t="str">
        <f>IF(DONNEES!$E459="","",DONNEES!P459)</f>
        <v/>
      </c>
      <c r="P459" t="str">
        <f>IF(DONNEES!$E459="","",DONNEES!Q459)</f>
        <v/>
      </c>
      <c r="Q459" t="str">
        <f>IF(DONNEES!$E459="","",DONNEES!R459)</f>
        <v/>
      </c>
      <c r="R459" t="str">
        <f>IF(DONNEES!$E459="","",DONNEES!S459)</f>
        <v/>
      </c>
      <c r="S459" t="str">
        <f>IF(DONNEES!$E459="","",DONNEES!T459)</f>
        <v/>
      </c>
      <c r="T459" t="str">
        <f>IF(DONNEES!$E459="","",DONNEES!U459)</f>
        <v/>
      </c>
      <c r="U459" t="str">
        <f>IF(DONNEES!$E459="","",DONNEES!V459)</f>
        <v/>
      </c>
      <c r="V459" t="str">
        <f>IF(DONNEES!$E459="","",DONNEES!W459)</f>
        <v/>
      </c>
      <c r="W459" t="str">
        <f>IF(DONNEES!$E459="","",DONNEES!X459)</f>
        <v/>
      </c>
      <c r="X459" t="str">
        <f>IF(DONNEES!$E459="","",DONNEES!Y459)</f>
        <v/>
      </c>
      <c r="Y459" t="str">
        <f>IF(DONNEES!$E459="","",DONNEES!Z459)</f>
        <v/>
      </c>
      <c r="Z459" t="str">
        <f>IF(DONNEES!$E459="","",DONNEES!AQ459)</f>
        <v/>
      </c>
    </row>
    <row r="460" spans="1:26" ht="15" customHeight="1" x14ac:dyDescent="0.3">
      <c r="A460" t="str">
        <f>IF(DONNEES!$E460="","",DONNEES!A460)</f>
        <v/>
      </c>
      <c r="B460" t="str">
        <f>IF(DONNEES!$E460="","",DONNEES!B460)</f>
        <v/>
      </c>
      <c r="C460" t="str">
        <f>IF(DONNEES!$E460="","",DONNEES!C460)</f>
        <v/>
      </c>
      <c r="D460" t="str">
        <f>IF(DONNEES!$E460="","",DONNEES!E460)</f>
        <v/>
      </c>
      <c r="E460" t="str">
        <f>IF(DONNEES!$E460="","",DONNEES!F460)</f>
        <v/>
      </c>
      <c r="F460" t="str">
        <f>IF(DONNEES!$E460="","",DONNEES!G460)</f>
        <v/>
      </c>
      <c r="G460" t="str">
        <f>IF(DONNEES!$E460="","",DONNEES!H460)</f>
        <v/>
      </c>
      <c r="H460" t="str">
        <f>IF(DONNEES!$E460="","",DONNEES!I460)</f>
        <v/>
      </c>
      <c r="I460" t="str">
        <f>IF(DONNEES!$E460="","",DONNEES!J460)</f>
        <v/>
      </c>
      <c r="J460" t="str">
        <f>IF(DONNEES!$E460="","",DONNEES!K460)</f>
        <v/>
      </c>
      <c r="K460" t="str">
        <f>IF(DONNEES!$E460="","",DONNEES!L460)</f>
        <v/>
      </c>
      <c r="L460" t="str">
        <f>IF(DONNEES!$E460="","",DONNEES!M460)</f>
        <v/>
      </c>
      <c r="M460" t="str">
        <f>IF(DONNEES!$E460="","",DONNEES!N460)</f>
        <v/>
      </c>
      <c r="N460" t="str">
        <f>IF(DONNEES!$E460="","",DONNEES!O460)</f>
        <v/>
      </c>
      <c r="O460" t="str">
        <f>IF(DONNEES!$E460="","",DONNEES!P460)</f>
        <v/>
      </c>
      <c r="P460" t="str">
        <f>IF(DONNEES!$E460="","",DONNEES!Q460)</f>
        <v/>
      </c>
      <c r="Q460" t="str">
        <f>IF(DONNEES!$E460="","",DONNEES!R460)</f>
        <v/>
      </c>
      <c r="R460" t="str">
        <f>IF(DONNEES!$E460="","",DONNEES!S460)</f>
        <v/>
      </c>
      <c r="S460" t="str">
        <f>IF(DONNEES!$E460="","",DONNEES!T460)</f>
        <v/>
      </c>
      <c r="T460" t="str">
        <f>IF(DONNEES!$E460="","",DONNEES!U460)</f>
        <v/>
      </c>
      <c r="U460" t="str">
        <f>IF(DONNEES!$E460="","",DONNEES!V460)</f>
        <v/>
      </c>
      <c r="V460" t="str">
        <f>IF(DONNEES!$E460="","",DONNEES!W460)</f>
        <v/>
      </c>
      <c r="W460" t="str">
        <f>IF(DONNEES!$E460="","",DONNEES!X460)</f>
        <v/>
      </c>
      <c r="X460" t="str">
        <f>IF(DONNEES!$E460="","",DONNEES!Y460)</f>
        <v/>
      </c>
      <c r="Y460" t="str">
        <f>IF(DONNEES!$E460="","",DONNEES!Z460)</f>
        <v/>
      </c>
      <c r="Z460" t="str">
        <f>IF(DONNEES!$E460="","",DONNEES!AQ460)</f>
        <v/>
      </c>
    </row>
    <row r="461" spans="1:26" ht="15" customHeight="1" x14ac:dyDescent="0.3">
      <c r="A461" t="str">
        <f>IF(DONNEES!$E461="","",DONNEES!A461)</f>
        <v/>
      </c>
      <c r="B461" t="str">
        <f>IF(DONNEES!$E461="","",DONNEES!B461)</f>
        <v/>
      </c>
      <c r="C461" t="str">
        <f>IF(DONNEES!$E461="","",DONNEES!C461)</f>
        <v/>
      </c>
      <c r="D461" t="str">
        <f>IF(DONNEES!$E461="","",DONNEES!E461)</f>
        <v/>
      </c>
      <c r="E461" t="str">
        <f>IF(DONNEES!$E461="","",DONNEES!F461)</f>
        <v/>
      </c>
      <c r="F461" t="str">
        <f>IF(DONNEES!$E461="","",DONNEES!G461)</f>
        <v/>
      </c>
      <c r="G461" t="str">
        <f>IF(DONNEES!$E461="","",DONNEES!H461)</f>
        <v/>
      </c>
      <c r="H461" t="str">
        <f>IF(DONNEES!$E461="","",DONNEES!I461)</f>
        <v/>
      </c>
      <c r="I461" t="str">
        <f>IF(DONNEES!$E461="","",DONNEES!J461)</f>
        <v/>
      </c>
      <c r="J461" t="str">
        <f>IF(DONNEES!$E461="","",DONNEES!K461)</f>
        <v/>
      </c>
      <c r="K461" t="str">
        <f>IF(DONNEES!$E461="","",DONNEES!L461)</f>
        <v/>
      </c>
      <c r="L461" t="str">
        <f>IF(DONNEES!$E461="","",DONNEES!M461)</f>
        <v/>
      </c>
      <c r="M461" t="str">
        <f>IF(DONNEES!$E461="","",DONNEES!N461)</f>
        <v/>
      </c>
      <c r="N461" t="str">
        <f>IF(DONNEES!$E461="","",DONNEES!O461)</f>
        <v/>
      </c>
      <c r="O461" t="str">
        <f>IF(DONNEES!$E461="","",DONNEES!P461)</f>
        <v/>
      </c>
      <c r="P461" t="str">
        <f>IF(DONNEES!$E461="","",DONNEES!Q461)</f>
        <v/>
      </c>
      <c r="Q461" t="str">
        <f>IF(DONNEES!$E461="","",DONNEES!R461)</f>
        <v/>
      </c>
      <c r="R461" t="str">
        <f>IF(DONNEES!$E461="","",DONNEES!S461)</f>
        <v/>
      </c>
      <c r="S461" t="str">
        <f>IF(DONNEES!$E461="","",DONNEES!T461)</f>
        <v/>
      </c>
      <c r="T461" t="str">
        <f>IF(DONNEES!$E461="","",DONNEES!U461)</f>
        <v/>
      </c>
      <c r="U461" t="str">
        <f>IF(DONNEES!$E461="","",DONNEES!V461)</f>
        <v/>
      </c>
      <c r="V461" t="str">
        <f>IF(DONNEES!$E461="","",DONNEES!W461)</f>
        <v/>
      </c>
      <c r="W461" t="str">
        <f>IF(DONNEES!$E461="","",DONNEES!X461)</f>
        <v/>
      </c>
      <c r="X461" t="str">
        <f>IF(DONNEES!$E461="","",DONNEES!Y461)</f>
        <v/>
      </c>
      <c r="Y461" t="str">
        <f>IF(DONNEES!$E461="","",DONNEES!Z461)</f>
        <v/>
      </c>
      <c r="Z461" t="str">
        <f>IF(DONNEES!$E461="","",DONNEES!AQ461)</f>
        <v/>
      </c>
    </row>
    <row r="462" spans="1:26" ht="15" customHeight="1" x14ac:dyDescent="0.3">
      <c r="A462" t="str">
        <f>IF(DONNEES!$E462="","",DONNEES!A462)</f>
        <v/>
      </c>
      <c r="B462" t="str">
        <f>IF(DONNEES!$E462="","",DONNEES!B462)</f>
        <v/>
      </c>
      <c r="C462" t="str">
        <f>IF(DONNEES!$E462="","",DONNEES!C462)</f>
        <v/>
      </c>
      <c r="D462" t="str">
        <f>IF(DONNEES!$E462="","",DONNEES!E462)</f>
        <v/>
      </c>
      <c r="E462" t="str">
        <f>IF(DONNEES!$E462="","",DONNEES!F462)</f>
        <v/>
      </c>
      <c r="F462" t="str">
        <f>IF(DONNEES!$E462="","",DONNEES!G462)</f>
        <v/>
      </c>
      <c r="G462" t="str">
        <f>IF(DONNEES!$E462="","",DONNEES!H462)</f>
        <v/>
      </c>
      <c r="H462" t="str">
        <f>IF(DONNEES!$E462="","",DONNEES!I462)</f>
        <v/>
      </c>
      <c r="I462" t="str">
        <f>IF(DONNEES!$E462="","",DONNEES!J462)</f>
        <v/>
      </c>
      <c r="J462" t="str">
        <f>IF(DONNEES!$E462="","",DONNEES!K462)</f>
        <v/>
      </c>
      <c r="K462" t="str">
        <f>IF(DONNEES!$E462="","",DONNEES!L462)</f>
        <v/>
      </c>
      <c r="L462" t="str">
        <f>IF(DONNEES!$E462="","",DONNEES!M462)</f>
        <v/>
      </c>
      <c r="M462" t="str">
        <f>IF(DONNEES!$E462="","",DONNEES!N462)</f>
        <v/>
      </c>
      <c r="N462" t="str">
        <f>IF(DONNEES!$E462="","",DONNEES!O462)</f>
        <v/>
      </c>
      <c r="O462" t="str">
        <f>IF(DONNEES!$E462="","",DONNEES!P462)</f>
        <v/>
      </c>
      <c r="P462" t="str">
        <f>IF(DONNEES!$E462="","",DONNEES!Q462)</f>
        <v/>
      </c>
      <c r="Q462" t="str">
        <f>IF(DONNEES!$E462="","",DONNEES!R462)</f>
        <v/>
      </c>
      <c r="R462" t="str">
        <f>IF(DONNEES!$E462="","",DONNEES!S462)</f>
        <v/>
      </c>
      <c r="S462" t="str">
        <f>IF(DONNEES!$E462="","",DONNEES!T462)</f>
        <v/>
      </c>
      <c r="T462" t="str">
        <f>IF(DONNEES!$E462="","",DONNEES!U462)</f>
        <v/>
      </c>
      <c r="U462" t="str">
        <f>IF(DONNEES!$E462="","",DONNEES!V462)</f>
        <v/>
      </c>
      <c r="V462" t="str">
        <f>IF(DONNEES!$E462="","",DONNEES!W462)</f>
        <v/>
      </c>
      <c r="W462" t="str">
        <f>IF(DONNEES!$E462="","",DONNEES!X462)</f>
        <v/>
      </c>
      <c r="X462" t="str">
        <f>IF(DONNEES!$E462="","",DONNEES!Y462)</f>
        <v/>
      </c>
      <c r="Y462" t="str">
        <f>IF(DONNEES!$E462="","",DONNEES!Z462)</f>
        <v/>
      </c>
      <c r="Z462" t="str">
        <f>IF(DONNEES!$E462="","",DONNEES!AQ462)</f>
        <v/>
      </c>
    </row>
    <row r="463" spans="1:26" ht="15" customHeight="1" x14ac:dyDescent="0.3">
      <c r="A463" t="str">
        <f>IF(DONNEES!$E463="","",DONNEES!A463)</f>
        <v/>
      </c>
      <c r="B463" t="str">
        <f>IF(DONNEES!$E463="","",DONNEES!B463)</f>
        <v/>
      </c>
      <c r="C463" t="str">
        <f>IF(DONNEES!$E463="","",DONNEES!C463)</f>
        <v/>
      </c>
      <c r="D463" t="str">
        <f>IF(DONNEES!$E463="","",DONNEES!E463)</f>
        <v/>
      </c>
      <c r="E463" t="str">
        <f>IF(DONNEES!$E463="","",DONNEES!F463)</f>
        <v/>
      </c>
      <c r="F463" t="str">
        <f>IF(DONNEES!$E463="","",DONNEES!G463)</f>
        <v/>
      </c>
      <c r="G463" t="str">
        <f>IF(DONNEES!$E463="","",DONNEES!H463)</f>
        <v/>
      </c>
      <c r="H463" t="str">
        <f>IF(DONNEES!$E463="","",DONNEES!I463)</f>
        <v/>
      </c>
      <c r="I463" t="str">
        <f>IF(DONNEES!$E463="","",DONNEES!J463)</f>
        <v/>
      </c>
      <c r="J463" t="str">
        <f>IF(DONNEES!$E463="","",DONNEES!K463)</f>
        <v/>
      </c>
      <c r="K463" t="str">
        <f>IF(DONNEES!$E463="","",DONNEES!L463)</f>
        <v/>
      </c>
      <c r="L463" t="str">
        <f>IF(DONNEES!$E463="","",DONNEES!M463)</f>
        <v/>
      </c>
      <c r="M463" t="str">
        <f>IF(DONNEES!$E463="","",DONNEES!N463)</f>
        <v/>
      </c>
      <c r="N463" t="str">
        <f>IF(DONNEES!$E463="","",DONNEES!O463)</f>
        <v/>
      </c>
      <c r="O463" t="str">
        <f>IF(DONNEES!$E463="","",DONNEES!P463)</f>
        <v/>
      </c>
      <c r="P463" t="str">
        <f>IF(DONNEES!$E463="","",DONNEES!Q463)</f>
        <v/>
      </c>
      <c r="Q463" t="str">
        <f>IF(DONNEES!$E463="","",DONNEES!R463)</f>
        <v/>
      </c>
      <c r="R463" t="str">
        <f>IF(DONNEES!$E463="","",DONNEES!S463)</f>
        <v/>
      </c>
      <c r="S463" t="str">
        <f>IF(DONNEES!$E463="","",DONNEES!T463)</f>
        <v/>
      </c>
      <c r="T463" t="str">
        <f>IF(DONNEES!$E463="","",DONNEES!U463)</f>
        <v/>
      </c>
      <c r="U463" t="str">
        <f>IF(DONNEES!$E463="","",DONNEES!V463)</f>
        <v/>
      </c>
      <c r="V463" t="str">
        <f>IF(DONNEES!$E463="","",DONNEES!W463)</f>
        <v/>
      </c>
      <c r="W463" t="str">
        <f>IF(DONNEES!$E463="","",DONNEES!X463)</f>
        <v/>
      </c>
      <c r="X463" t="str">
        <f>IF(DONNEES!$E463="","",DONNEES!Y463)</f>
        <v/>
      </c>
      <c r="Y463" t="str">
        <f>IF(DONNEES!$E463="","",DONNEES!Z463)</f>
        <v/>
      </c>
      <c r="Z463" t="str">
        <f>IF(DONNEES!$E463="","",DONNEES!AQ463)</f>
        <v/>
      </c>
    </row>
    <row r="464" spans="1:26" ht="15" customHeight="1" x14ac:dyDescent="0.3">
      <c r="A464" t="str">
        <f>IF(DONNEES!$E464="","",DONNEES!A464)</f>
        <v/>
      </c>
      <c r="B464" t="str">
        <f>IF(DONNEES!$E464="","",DONNEES!B464)</f>
        <v/>
      </c>
      <c r="C464" t="str">
        <f>IF(DONNEES!$E464="","",DONNEES!C464)</f>
        <v/>
      </c>
      <c r="D464" t="str">
        <f>IF(DONNEES!$E464="","",DONNEES!E464)</f>
        <v/>
      </c>
      <c r="E464" t="str">
        <f>IF(DONNEES!$E464="","",DONNEES!F464)</f>
        <v/>
      </c>
      <c r="F464" t="str">
        <f>IF(DONNEES!$E464="","",DONNEES!G464)</f>
        <v/>
      </c>
      <c r="G464" t="str">
        <f>IF(DONNEES!$E464="","",DONNEES!H464)</f>
        <v/>
      </c>
      <c r="H464" t="str">
        <f>IF(DONNEES!$E464="","",DONNEES!I464)</f>
        <v/>
      </c>
      <c r="I464" t="str">
        <f>IF(DONNEES!$E464="","",DONNEES!J464)</f>
        <v/>
      </c>
      <c r="J464" t="str">
        <f>IF(DONNEES!$E464="","",DONNEES!K464)</f>
        <v/>
      </c>
      <c r="K464" t="str">
        <f>IF(DONNEES!$E464="","",DONNEES!L464)</f>
        <v/>
      </c>
      <c r="L464" t="str">
        <f>IF(DONNEES!$E464="","",DONNEES!M464)</f>
        <v/>
      </c>
      <c r="M464" t="str">
        <f>IF(DONNEES!$E464="","",DONNEES!N464)</f>
        <v/>
      </c>
      <c r="N464" t="str">
        <f>IF(DONNEES!$E464="","",DONNEES!O464)</f>
        <v/>
      </c>
      <c r="O464" t="str">
        <f>IF(DONNEES!$E464="","",DONNEES!P464)</f>
        <v/>
      </c>
      <c r="P464" t="str">
        <f>IF(DONNEES!$E464="","",DONNEES!Q464)</f>
        <v/>
      </c>
      <c r="Q464" t="str">
        <f>IF(DONNEES!$E464="","",DONNEES!R464)</f>
        <v/>
      </c>
      <c r="R464" t="str">
        <f>IF(DONNEES!$E464="","",DONNEES!S464)</f>
        <v/>
      </c>
      <c r="S464" t="str">
        <f>IF(DONNEES!$E464="","",DONNEES!T464)</f>
        <v/>
      </c>
      <c r="T464" t="str">
        <f>IF(DONNEES!$E464="","",DONNEES!U464)</f>
        <v/>
      </c>
      <c r="U464" t="str">
        <f>IF(DONNEES!$E464="","",DONNEES!V464)</f>
        <v/>
      </c>
      <c r="V464" t="str">
        <f>IF(DONNEES!$E464="","",DONNEES!W464)</f>
        <v/>
      </c>
      <c r="W464" t="str">
        <f>IF(DONNEES!$E464="","",DONNEES!X464)</f>
        <v/>
      </c>
      <c r="X464" t="str">
        <f>IF(DONNEES!$E464="","",DONNEES!Y464)</f>
        <v/>
      </c>
      <c r="Y464" t="str">
        <f>IF(DONNEES!$E464="","",DONNEES!Z464)</f>
        <v/>
      </c>
      <c r="Z464" t="str">
        <f>IF(DONNEES!$E464="","",DONNEES!AQ464)</f>
        <v/>
      </c>
    </row>
    <row r="465" spans="1:26" ht="15" customHeight="1" x14ac:dyDescent="0.3">
      <c r="A465" t="str">
        <f>IF(DONNEES!$E465="","",DONNEES!A465)</f>
        <v/>
      </c>
      <c r="B465" t="str">
        <f>IF(DONNEES!$E465="","",DONNEES!B465)</f>
        <v/>
      </c>
      <c r="C465" t="str">
        <f>IF(DONNEES!$E465="","",DONNEES!C465)</f>
        <v/>
      </c>
      <c r="D465" t="str">
        <f>IF(DONNEES!$E465="","",DONNEES!E465)</f>
        <v/>
      </c>
      <c r="E465" t="str">
        <f>IF(DONNEES!$E465="","",DONNEES!F465)</f>
        <v/>
      </c>
      <c r="F465" t="str">
        <f>IF(DONNEES!$E465="","",DONNEES!G465)</f>
        <v/>
      </c>
      <c r="G465" t="str">
        <f>IF(DONNEES!$E465="","",DONNEES!H465)</f>
        <v/>
      </c>
      <c r="H465" t="str">
        <f>IF(DONNEES!$E465="","",DONNEES!I465)</f>
        <v/>
      </c>
      <c r="I465" t="str">
        <f>IF(DONNEES!$E465="","",DONNEES!J465)</f>
        <v/>
      </c>
      <c r="J465" t="str">
        <f>IF(DONNEES!$E465="","",DONNEES!K465)</f>
        <v/>
      </c>
      <c r="K465" t="str">
        <f>IF(DONNEES!$E465="","",DONNEES!L465)</f>
        <v/>
      </c>
      <c r="L465" t="str">
        <f>IF(DONNEES!$E465="","",DONNEES!M465)</f>
        <v/>
      </c>
      <c r="M465" t="str">
        <f>IF(DONNEES!$E465="","",DONNEES!N465)</f>
        <v/>
      </c>
      <c r="N465" t="str">
        <f>IF(DONNEES!$E465="","",DONNEES!O465)</f>
        <v/>
      </c>
      <c r="O465" t="str">
        <f>IF(DONNEES!$E465="","",DONNEES!P465)</f>
        <v/>
      </c>
      <c r="P465" t="str">
        <f>IF(DONNEES!$E465="","",DONNEES!Q465)</f>
        <v/>
      </c>
      <c r="Q465" t="str">
        <f>IF(DONNEES!$E465="","",DONNEES!R465)</f>
        <v/>
      </c>
      <c r="R465" t="str">
        <f>IF(DONNEES!$E465="","",DONNEES!S465)</f>
        <v/>
      </c>
      <c r="S465" t="str">
        <f>IF(DONNEES!$E465="","",DONNEES!T465)</f>
        <v/>
      </c>
      <c r="T465" t="str">
        <f>IF(DONNEES!$E465="","",DONNEES!U465)</f>
        <v/>
      </c>
      <c r="U465" t="str">
        <f>IF(DONNEES!$E465="","",DONNEES!V465)</f>
        <v/>
      </c>
      <c r="V465" t="str">
        <f>IF(DONNEES!$E465="","",DONNEES!W465)</f>
        <v/>
      </c>
      <c r="W465" t="str">
        <f>IF(DONNEES!$E465="","",DONNEES!X465)</f>
        <v/>
      </c>
      <c r="X465" t="str">
        <f>IF(DONNEES!$E465="","",DONNEES!Y465)</f>
        <v/>
      </c>
      <c r="Y465" t="str">
        <f>IF(DONNEES!$E465="","",DONNEES!Z465)</f>
        <v/>
      </c>
      <c r="Z465" t="str">
        <f>IF(DONNEES!$E465="","",DONNEES!AQ465)</f>
        <v/>
      </c>
    </row>
    <row r="466" spans="1:26" ht="15" customHeight="1" x14ac:dyDescent="0.3">
      <c r="A466" t="str">
        <f>IF(DONNEES!$E466="","",DONNEES!A466)</f>
        <v/>
      </c>
      <c r="B466" t="str">
        <f>IF(DONNEES!$E466="","",DONNEES!B466)</f>
        <v/>
      </c>
      <c r="C466" t="str">
        <f>IF(DONNEES!$E466="","",DONNEES!C466)</f>
        <v/>
      </c>
      <c r="D466" t="str">
        <f>IF(DONNEES!$E466="","",DONNEES!E466)</f>
        <v/>
      </c>
      <c r="E466" t="str">
        <f>IF(DONNEES!$E466="","",DONNEES!F466)</f>
        <v/>
      </c>
      <c r="F466" t="str">
        <f>IF(DONNEES!$E466="","",DONNEES!G466)</f>
        <v/>
      </c>
      <c r="G466" t="str">
        <f>IF(DONNEES!$E466="","",DONNEES!H466)</f>
        <v/>
      </c>
      <c r="H466" t="str">
        <f>IF(DONNEES!$E466="","",DONNEES!I466)</f>
        <v/>
      </c>
      <c r="I466" t="str">
        <f>IF(DONNEES!$E466="","",DONNEES!J466)</f>
        <v/>
      </c>
      <c r="J466" t="str">
        <f>IF(DONNEES!$E466="","",DONNEES!K466)</f>
        <v/>
      </c>
      <c r="K466" t="str">
        <f>IF(DONNEES!$E466="","",DONNEES!L466)</f>
        <v/>
      </c>
      <c r="L466" t="str">
        <f>IF(DONNEES!$E466="","",DONNEES!M466)</f>
        <v/>
      </c>
      <c r="M466" t="str">
        <f>IF(DONNEES!$E466="","",DONNEES!N466)</f>
        <v/>
      </c>
      <c r="N466" t="str">
        <f>IF(DONNEES!$E466="","",DONNEES!O466)</f>
        <v/>
      </c>
      <c r="O466" t="str">
        <f>IF(DONNEES!$E466="","",DONNEES!P466)</f>
        <v/>
      </c>
      <c r="P466" t="str">
        <f>IF(DONNEES!$E466="","",DONNEES!Q466)</f>
        <v/>
      </c>
      <c r="Q466" t="str">
        <f>IF(DONNEES!$E466="","",DONNEES!R466)</f>
        <v/>
      </c>
      <c r="R466" t="str">
        <f>IF(DONNEES!$E466="","",DONNEES!S466)</f>
        <v/>
      </c>
      <c r="S466" t="str">
        <f>IF(DONNEES!$E466="","",DONNEES!T466)</f>
        <v/>
      </c>
      <c r="T466" t="str">
        <f>IF(DONNEES!$E466="","",DONNEES!U466)</f>
        <v/>
      </c>
      <c r="U466" t="str">
        <f>IF(DONNEES!$E466="","",DONNEES!V466)</f>
        <v/>
      </c>
      <c r="V466" t="str">
        <f>IF(DONNEES!$E466="","",DONNEES!W466)</f>
        <v/>
      </c>
      <c r="W466" t="str">
        <f>IF(DONNEES!$E466="","",DONNEES!X466)</f>
        <v/>
      </c>
      <c r="X466" t="str">
        <f>IF(DONNEES!$E466="","",DONNEES!Y466)</f>
        <v/>
      </c>
      <c r="Y466" t="str">
        <f>IF(DONNEES!$E466="","",DONNEES!Z466)</f>
        <v/>
      </c>
      <c r="Z466" t="str">
        <f>IF(DONNEES!$E466="","",DONNEES!AQ466)</f>
        <v/>
      </c>
    </row>
    <row r="467" spans="1:26" ht="15" customHeight="1" x14ac:dyDescent="0.3">
      <c r="A467" t="str">
        <f>IF(DONNEES!$E467="","",DONNEES!A467)</f>
        <v/>
      </c>
      <c r="B467" t="str">
        <f>IF(DONNEES!$E467="","",DONNEES!B467)</f>
        <v/>
      </c>
      <c r="C467" t="str">
        <f>IF(DONNEES!$E467="","",DONNEES!C467)</f>
        <v/>
      </c>
      <c r="D467" t="str">
        <f>IF(DONNEES!$E467="","",DONNEES!E467)</f>
        <v/>
      </c>
      <c r="E467" t="str">
        <f>IF(DONNEES!$E467="","",DONNEES!F467)</f>
        <v/>
      </c>
      <c r="F467" t="str">
        <f>IF(DONNEES!$E467="","",DONNEES!G467)</f>
        <v/>
      </c>
      <c r="G467" t="str">
        <f>IF(DONNEES!$E467="","",DONNEES!H467)</f>
        <v/>
      </c>
      <c r="H467" t="str">
        <f>IF(DONNEES!$E467="","",DONNEES!I467)</f>
        <v/>
      </c>
      <c r="I467" t="str">
        <f>IF(DONNEES!$E467="","",DONNEES!J467)</f>
        <v/>
      </c>
      <c r="J467" t="str">
        <f>IF(DONNEES!$E467="","",DONNEES!K467)</f>
        <v/>
      </c>
      <c r="K467" t="str">
        <f>IF(DONNEES!$E467="","",DONNEES!L467)</f>
        <v/>
      </c>
      <c r="L467" t="str">
        <f>IF(DONNEES!$E467="","",DONNEES!M467)</f>
        <v/>
      </c>
      <c r="M467" t="str">
        <f>IF(DONNEES!$E467="","",DONNEES!N467)</f>
        <v/>
      </c>
      <c r="N467" t="str">
        <f>IF(DONNEES!$E467="","",DONNEES!O467)</f>
        <v/>
      </c>
      <c r="O467" t="str">
        <f>IF(DONNEES!$E467="","",DONNEES!P467)</f>
        <v/>
      </c>
      <c r="P467" t="str">
        <f>IF(DONNEES!$E467="","",DONNEES!Q467)</f>
        <v/>
      </c>
      <c r="Q467" t="str">
        <f>IF(DONNEES!$E467="","",DONNEES!R467)</f>
        <v/>
      </c>
      <c r="R467" t="str">
        <f>IF(DONNEES!$E467="","",DONNEES!S467)</f>
        <v/>
      </c>
      <c r="S467" t="str">
        <f>IF(DONNEES!$E467="","",DONNEES!T467)</f>
        <v/>
      </c>
      <c r="T467" t="str">
        <f>IF(DONNEES!$E467="","",DONNEES!U467)</f>
        <v/>
      </c>
      <c r="U467" t="str">
        <f>IF(DONNEES!$E467="","",DONNEES!V467)</f>
        <v/>
      </c>
      <c r="V467" t="str">
        <f>IF(DONNEES!$E467="","",DONNEES!W467)</f>
        <v/>
      </c>
      <c r="W467" t="str">
        <f>IF(DONNEES!$E467="","",DONNEES!X467)</f>
        <v/>
      </c>
      <c r="X467" t="str">
        <f>IF(DONNEES!$E467="","",DONNEES!Y467)</f>
        <v/>
      </c>
      <c r="Y467" t="str">
        <f>IF(DONNEES!$E467="","",DONNEES!Z467)</f>
        <v/>
      </c>
      <c r="Z467" t="str">
        <f>IF(DONNEES!$E467="","",DONNEES!AQ467)</f>
        <v/>
      </c>
    </row>
    <row r="468" spans="1:26" ht="15" customHeight="1" x14ac:dyDescent="0.3">
      <c r="A468" t="str">
        <f>IF(DONNEES!$E468="","",DONNEES!A468)</f>
        <v/>
      </c>
      <c r="B468" t="str">
        <f>IF(DONNEES!$E468="","",DONNEES!B468)</f>
        <v/>
      </c>
      <c r="C468" t="str">
        <f>IF(DONNEES!$E468="","",DONNEES!C468)</f>
        <v/>
      </c>
      <c r="D468" t="str">
        <f>IF(DONNEES!$E468="","",DONNEES!E468)</f>
        <v/>
      </c>
      <c r="E468" t="str">
        <f>IF(DONNEES!$E468="","",DONNEES!F468)</f>
        <v/>
      </c>
      <c r="F468" t="str">
        <f>IF(DONNEES!$E468="","",DONNEES!G468)</f>
        <v/>
      </c>
      <c r="G468" t="str">
        <f>IF(DONNEES!$E468="","",DONNEES!H468)</f>
        <v/>
      </c>
      <c r="H468" t="str">
        <f>IF(DONNEES!$E468="","",DONNEES!I468)</f>
        <v/>
      </c>
      <c r="I468" t="str">
        <f>IF(DONNEES!$E468="","",DONNEES!J468)</f>
        <v/>
      </c>
      <c r="J468" t="str">
        <f>IF(DONNEES!$E468="","",DONNEES!K468)</f>
        <v/>
      </c>
      <c r="K468" t="str">
        <f>IF(DONNEES!$E468="","",DONNEES!L468)</f>
        <v/>
      </c>
      <c r="L468" t="str">
        <f>IF(DONNEES!$E468="","",DONNEES!M468)</f>
        <v/>
      </c>
      <c r="M468" t="str">
        <f>IF(DONNEES!$E468="","",DONNEES!N468)</f>
        <v/>
      </c>
      <c r="N468" t="str">
        <f>IF(DONNEES!$E468="","",DONNEES!O468)</f>
        <v/>
      </c>
      <c r="O468" t="str">
        <f>IF(DONNEES!$E468="","",DONNEES!P468)</f>
        <v/>
      </c>
      <c r="P468" t="str">
        <f>IF(DONNEES!$E468="","",DONNEES!Q468)</f>
        <v/>
      </c>
      <c r="Q468" t="str">
        <f>IF(DONNEES!$E468="","",DONNEES!R468)</f>
        <v/>
      </c>
      <c r="R468" t="str">
        <f>IF(DONNEES!$E468="","",DONNEES!S468)</f>
        <v/>
      </c>
      <c r="S468" t="str">
        <f>IF(DONNEES!$E468="","",DONNEES!T468)</f>
        <v/>
      </c>
      <c r="T468" t="str">
        <f>IF(DONNEES!$E468="","",DONNEES!U468)</f>
        <v/>
      </c>
      <c r="U468" t="str">
        <f>IF(DONNEES!$E468="","",DONNEES!V468)</f>
        <v/>
      </c>
      <c r="V468" t="str">
        <f>IF(DONNEES!$E468="","",DONNEES!W468)</f>
        <v/>
      </c>
      <c r="W468" t="str">
        <f>IF(DONNEES!$E468="","",DONNEES!X468)</f>
        <v/>
      </c>
      <c r="X468" t="str">
        <f>IF(DONNEES!$E468="","",DONNEES!Y468)</f>
        <v/>
      </c>
      <c r="Y468" t="str">
        <f>IF(DONNEES!$E468="","",DONNEES!Z468)</f>
        <v/>
      </c>
      <c r="Z468" t="str">
        <f>IF(DONNEES!$E468="","",DONNEES!AQ468)</f>
        <v/>
      </c>
    </row>
    <row r="469" spans="1:26" ht="15" customHeight="1" x14ac:dyDescent="0.3">
      <c r="A469" t="str">
        <f>IF(DONNEES!$E469="","",DONNEES!A469)</f>
        <v/>
      </c>
      <c r="B469" t="str">
        <f>IF(DONNEES!$E469="","",DONNEES!B469)</f>
        <v/>
      </c>
      <c r="C469" t="str">
        <f>IF(DONNEES!$E469="","",DONNEES!C469)</f>
        <v/>
      </c>
      <c r="D469" t="str">
        <f>IF(DONNEES!$E469="","",DONNEES!E469)</f>
        <v/>
      </c>
      <c r="E469" t="str">
        <f>IF(DONNEES!$E469="","",DONNEES!F469)</f>
        <v/>
      </c>
      <c r="F469" t="str">
        <f>IF(DONNEES!$E469="","",DONNEES!G469)</f>
        <v/>
      </c>
      <c r="G469" t="str">
        <f>IF(DONNEES!$E469="","",DONNEES!H469)</f>
        <v/>
      </c>
      <c r="H469" t="str">
        <f>IF(DONNEES!$E469="","",DONNEES!I469)</f>
        <v/>
      </c>
      <c r="I469" t="str">
        <f>IF(DONNEES!$E469="","",DONNEES!J469)</f>
        <v/>
      </c>
      <c r="J469" t="str">
        <f>IF(DONNEES!$E469="","",DONNEES!K469)</f>
        <v/>
      </c>
      <c r="K469" t="str">
        <f>IF(DONNEES!$E469="","",DONNEES!L469)</f>
        <v/>
      </c>
      <c r="L469" t="str">
        <f>IF(DONNEES!$E469="","",DONNEES!M469)</f>
        <v/>
      </c>
      <c r="M469" t="str">
        <f>IF(DONNEES!$E469="","",DONNEES!N469)</f>
        <v/>
      </c>
      <c r="N469" t="str">
        <f>IF(DONNEES!$E469="","",DONNEES!O469)</f>
        <v/>
      </c>
      <c r="O469" t="str">
        <f>IF(DONNEES!$E469="","",DONNEES!P469)</f>
        <v/>
      </c>
      <c r="P469" t="str">
        <f>IF(DONNEES!$E469="","",DONNEES!Q469)</f>
        <v/>
      </c>
      <c r="Q469" t="str">
        <f>IF(DONNEES!$E469="","",DONNEES!R469)</f>
        <v/>
      </c>
      <c r="R469" t="str">
        <f>IF(DONNEES!$E469="","",DONNEES!S469)</f>
        <v/>
      </c>
      <c r="S469" t="str">
        <f>IF(DONNEES!$E469="","",DONNEES!T469)</f>
        <v/>
      </c>
      <c r="T469" t="str">
        <f>IF(DONNEES!$E469="","",DONNEES!U469)</f>
        <v/>
      </c>
      <c r="U469" t="str">
        <f>IF(DONNEES!$E469="","",DONNEES!V469)</f>
        <v/>
      </c>
      <c r="V469" t="str">
        <f>IF(DONNEES!$E469="","",DONNEES!W469)</f>
        <v/>
      </c>
      <c r="W469" t="str">
        <f>IF(DONNEES!$E469="","",DONNEES!X469)</f>
        <v/>
      </c>
      <c r="X469" t="str">
        <f>IF(DONNEES!$E469="","",DONNEES!Y469)</f>
        <v/>
      </c>
      <c r="Y469" t="str">
        <f>IF(DONNEES!$E469="","",DONNEES!Z469)</f>
        <v/>
      </c>
      <c r="Z469" t="str">
        <f>IF(DONNEES!$E469="","",DONNEES!AQ469)</f>
        <v/>
      </c>
    </row>
    <row r="470" spans="1:26" ht="15" customHeight="1" x14ac:dyDescent="0.3">
      <c r="A470" t="str">
        <f>IF(DONNEES!$E470="","",DONNEES!A470)</f>
        <v/>
      </c>
      <c r="B470" t="str">
        <f>IF(DONNEES!$E470="","",DONNEES!B470)</f>
        <v/>
      </c>
      <c r="C470" t="str">
        <f>IF(DONNEES!$E470="","",DONNEES!C470)</f>
        <v/>
      </c>
      <c r="D470" t="str">
        <f>IF(DONNEES!$E470="","",DONNEES!E470)</f>
        <v/>
      </c>
      <c r="E470" t="str">
        <f>IF(DONNEES!$E470="","",DONNEES!F470)</f>
        <v/>
      </c>
      <c r="F470" t="str">
        <f>IF(DONNEES!$E470="","",DONNEES!G470)</f>
        <v/>
      </c>
      <c r="G470" t="str">
        <f>IF(DONNEES!$E470="","",DONNEES!H470)</f>
        <v/>
      </c>
      <c r="H470" t="str">
        <f>IF(DONNEES!$E470="","",DONNEES!I470)</f>
        <v/>
      </c>
      <c r="I470" t="str">
        <f>IF(DONNEES!$E470="","",DONNEES!J470)</f>
        <v/>
      </c>
      <c r="J470" t="str">
        <f>IF(DONNEES!$E470="","",DONNEES!K470)</f>
        <v/>
      </c>
      <c r="K470" t="str">
        <f>IF(DONNEES!$E470="","",DONNEES!L470)</f>
        <v/>
      </c>
      <c r="L470" t="str">
        <f>IF(DONNEES!$E470="","",DONNEES!M470)</f>
        <v/>
      </c>
      <c r="M470" t="str">
        <f>IF(DONNEES!$E470="","",DONNEES!N470)</f>
        <v/>
      </c>
      <c r="N470" t="str">
        <f>IF(DONNEES!$E470="","",DONNEES!O470)</f>
        <v/>
      </c>
      <c r="O470" t="str">
        <f>IF(DONNEES!$E470="","",DONNEES!P470)</f>
        <v/>
      </c>
      <c r="P470" t="str">
        <f>IF(DONNEES!$E470="","",DONNEES!Q470)</f>
        <v/>
      </c>
      <c r="Q470" t="str">
        <f>IF(DONNEES!$E470="","",DONNEES!R470)</f>
        <v/>
      </c>
      <c r="R470" t="str">
        <f>IF(DONNEES!$E470="","",DONNEES!S470)</f>
        <v/>
      </c>
      <c r="S470" t="str">
        <f>IF(DONNEES!$E470="","",DONNEES!T470)</f>
        <v/>
      </c>
      <c r="T470" t="str">
        <f>IF(DONNEES!$E470="","",DONNEES!U470)</f>
        <v/>
      </c>
      <c r="U470" t="str">
        <f>IF(DONNEES!$E470="","",DONNEES!V470)</f>
        <v/>
      </c>
      <c r="V470" t="str">
        <f>IF(DONNEES!$E470="","",DONNEES!W470)</f>
        <v/>
      </c>
      <c r="W470" t="str">
        <f>IF(DONNEES!$E470="","",DONNEES!X470)</f>
        <v/>
      </c>
      <c r="X470" t="str">
        <f>IF(DONNEES!$E470="","",DONNEES!Y470)</f>
        <v/>
      </c>
      <c r="Y470" t="str">
        <f>IF(DONNEES!$E470="","",DONNEES!Z470)</f>
        <v/>
      </c>
      <c r="Z470" t="str">
        <f>IF(DONNEES!$E470="","",DONNEES!AQ470)</f>
        <v/>
      </c>
    </row>
    <row r="471" spans="1:26" ht="15" customHeight="1" x14ac:dyDescent="0.3">
      <c r="A471" t="str">
        <f>IF(DONNEES!$E471="","",DONNEES!A471)</f>
        <v/>
      </c>
      <c r="B471" t="str">
        <f>IF(DONNEES!$E471="","",DONNEES!B471)</f>
        <v/>
      </c>
      <c r="C471" t="str">
        <f>IF(DONNEES!$E471="","",DONNEES!C471)</f>
        <v/>
      </c>
      <c r="D471" t="str">
        <f>IF(DONNEES!$E471="","",DONNEES!E471)</f>
        <v/>
      </c>
      <c r="E471" t="str">
        <f>IF(DONNEES!$E471="","",DONNEES!F471)</f>
        <v/>
      </c>
      <c r="F471" t="str">
        <f>IF(DONNEES!$E471="","",DONNEES!G471)</f>
        <v/>
      </c>
      <c r="G471" t="str">
        <f>IF(DONNEES!$E471="","",DONNEES!H471)</f>
        <v/>
      </c>
      <c r="H471" t="str">
        <f>IF(DONNEES!$E471="","",DONNEES!I471)</f>
        <v/>
      </c>
      <c r="I471" t="str">
        <f>IF(DONNEES!$E471="","",DONNEES!J471)</f>
        <v/>
      </c>
      <c r="J471" t="str">
        <f>IF(DONNEES!$E471="","",DONNEES!K471)</f>
        <v/>
      </c>
      <c r="K471" t="str">
        <f>IF(DONNEES!$E471="","",DONNEES!L471)</f>
        <v/>
      </c>
      <c r="L471" t="str">
        <f>IF(DONNEES!$E471="","",DONNEES!M471)</f>
        <v/>
      </c>
      <c r="M471" t="str">
        <f>IF(DONNEES!$E471="","",DONNEES!N471)</f>
        <v/>
      </c>
      <c r="N471" t="str">
        <f>IF(DONNEES!$E471="","",DONNEES!O471)</f>
        <v/>
      </c>
      <c r="O471" t="str">
        <f>IF(DONNEES!$E471="","",DONNEES!P471)</f>
        <v/>
      </c>
      <c r="P471" t="str">
        <f>IF(DONNEES!$E471="","",DONNEES!Q471)</f>
        <v/>
      </c>
      <c r="Q471" t="str">
        <f>IF(DONNEES!$E471="","",DONNEES!R471)</f>
        <v/>
      </c>
      <c r="R471" t="str">
        <f>IF(DONNEES!$E471="","",DONNEES!S471)</f>
        <v/>
      </c>
      <c r="S471" t="str">
        <f>IF(DONNEES!$E471="","",DONNEES!T471)</f>
        <v/>
      </c>
      <c r="T471" t="str">
        <f>IF(DONNEES!$E471="","",DONNEES!U471)</f>
        <v/>
      </c>
      <c r="U471" t="str">
        <f>IF(DONNEES!$E471="","",DONNEES!V471)</f>
        <v/>
      </c>
      <c r="V471" t="str">
        <f>IF(DONNEES!$E471="","",DONNEES!W471)</f>
        <v/>
      </c>
      <c r="W471" t="str">
        <f>IF(DONNEES!$E471="","",DONNEES!X471)</f>
        <v/>
      </c>
      <c r="X471" t="str">
        <f>IF(DONNEES!$E471="","",DONNEES!Y471)</f>
        <v/>
      </c>
      <c r="Y471" t="str">
        <f>IF(DONNEES!$E471="","",DONNEES!Z471)</f>
        <v/>
      </c>
      <c r="Z471" t="str">
        <f>IF(DONNEES!$E471="","",DONNEES!AQ471)</f>
        <v/>
      </c>
    </row>
    <row r="472" spans="1:26" ht="15" customHeight="1" x14ac:dyDescent="0.3">
      <c r="A472" t="str">
        <f>IF(DONNEES!$E472="","",DONNEES!A472)</f>
        <v/>
      </c>
      <c r="B472" t="str">
        <f>IF(DONNEES!$E472="","",DONNEES!B472)</f>
        <v/>
      </c>
      <c r="C472" t="str">
        <f>IF(DONNEES!$E472="","",DONNEES!C472)</f>
        <v/>
      </c>
      <c r="D472" t="str">
        <f>IF(DONNEES!$E472="","",DONNEES!E472)</f>
        <v/>
      </c>
      <c r="E472" t="str">
        <f>IF(DONNEES!$E472="","",DONNEES!F472)</f>
        <v/>
      </c>
      <c r="F472" t="str">
        <f>IF(DONNEES!$E472="","",DONNEES!G472)</f>
        <v/>
      </c>
      <c r="G472" t="str">
        <f>IF(DONNEES!$E472="","",DONNEES!H472)</f>
        <v/>
      </c>
      <c r="H472" t="str">
        <f>IF(DONNEES!$E472="","",DONNEES!I472)</f>
        <v/>
      </c>
      <c r="I472" t="str">
        <f>IF(DONNEES!$E472="","",DONNEES!J472)</f>
        <v/>
      </c>
      <c r="J472" t="str">
        <f>IF(DONNEES!$E472="","",DONNEES!K472)</f>
        <v/>
      </c>
      <c r="K472" t="str">
        <f>IF(DONNEES!$E472="","",DONNEES!L472)</f>
        <v/>
      </c>
      <c r="L472" t="str">
        <f>IF(DONNEES!$E472="","",DONNEES!M472)</f>
        <v/>
      </c>
      <c r="M472" t="str">
        <f>IF(DONNEES!$E472="","",DONNEES!N472)</f>
        <v/>
      </c>
      <c r="N472" t="str">
        <f>IF(DONNEES!$E472="","",DONNEES!O472)</f>
        <v/>
      </c>
      <c r="O472" t="str">
        <f>IF(DONNEES!$E472="","",DONNEES!P472)</f>
        <v/>
      </c>
      <c r="P472" t="str">
        <f>IF(DONNEES!$E472="","",DONNEES!Q472)</f>
        <v/>
      </c>
      <c r="Q472" t="str">
        <f>IF(DONNEES!$E472="","",DONNEES!R472)</f>
        <v/>
      </c>
      <c r="R472" t="str">
        <f>IF(DONNEES!$E472="","",DONNEES!S472)</f>
        <v/>
      </c>
      <c r="S472" t="str">
        <f>IF(DONNEES!$E472="","",DONNEES!T472)</f>
        <v/>
      </c>
      <c r="T472" t="str">
        <f>IF(DONNEES!$E472="","",DONNEES!U472)</f>
        <v/>
      </c>
      <c r="U472" t="str">
        <f>IF(DONNEES!$E472="","",DONNEES!V472)</f>
        <v/>
      </c>
      <c r="V472" t="str">
        <f>IF(DONNEES!$E472="","",DONNEES!W472)</f>
        <v/>
      </c>
      <c r="W472" t="str">
        <f>IF(DONNEES!$E472="","",DONNEES!X472)</f>
        <v/>
      </c>
      <c r="X472" t="str">
        <f>IF(DONNEES!$E472="","",DONNEES!Y472)</f>
        <v/>
      </c>
      <c r="Y472" t="str">
        <f>IF(DONNEES!$E472="","",DONNEES!Z472)</f>
        <v/>
      </c>
      <c r="Z472" t="str">
        <f>IF(DONNEES!$E472="","",DONNEES!AQ472)</f>
        <v/>
      </c>
    </row>
    <row r="473" spans="1:26" ht="15" customHeight="1" x14ac:dyDescent="0.3">
      <c r="A473" t="str">
        <f>IF(DONNEES!$E473="","",DONNEES!A473)</f>
        <v/>
      </c>
      <c r="B473" t="str">
        <f>IF(DONNEES!$E473="","",DONNEES!B473)</f>
        <v/>
      </c>
      <c r="C473" t="str">
        <f>IF(DONNEES!$E473="","",DONNEES!C473)</f>
        <v/>
      </c>
      <c r="D473" t="str">
        <f>IF(DONNEES!$E473="","",DONNEES!E473)</f>
        <v/>
      </c>
      <c r="E473" t="str">
        <f>IF(DONNEES!$E473="","",DONNEES!F473)</f>
        <v/>
      </c>
      <c r="F473" t="str">
        <f>IF(DONNEES!$E473="","",DONNEES!G473)</f>
        <v/>
      </c>
      <c r="G473" t="str">
        <f>IF(DONNEES!$E473="","",DONNEES!H473)</f>
        <v/>
      </c>
      <c r="H473" t="str">
        <f>IF(DONNEES!$E473="","",DONNEES!I473)</f>
        <v/>
      </c>
      <c r="I473" t="str">
        <f>IF(DONNEES!$E473="","",DONNEES!J473)</f>
        <v/>
      </c>
      <c r="J473" t="str">
        <f>IF(DONNEES!$E473="","",DONNEES!K473)</f>
        <v/>
      </c>
      <c r="K473" t="str">
        <f>IF(DONNEES!$E473="","",DONNEES!L473)</f>
        <v/>
      </c>
      <c r="L473" t="str">
        <f>IF(DONNEES!$E473="","",DONNEES!M473)</f>
        <v/>
      </c>
      <c r="M473" t="str">
        <f>IF(DONNEES!$E473="","",DONNEES!N473)</f>
        <v/>
      </c>
      <c r="N473" t="str">
        <f>IF(DONNEES!$E473="","",DONNEES!O473)</f>
        <v/>
      </c>
      <c r="O473" t="str">
        <f>IF(DONNEES!$E473="","",DONNEES!P473)</f>
        <v/>
      </c>
      <c r="P473" t="str">
        <f>IF(DONNEES!$E473="","",DONNEES!Q473)</f>
        <v/>
      </c>
      <c r="Q473" t="str">
        <f>IF(DONNEES!$E473="","",DONNEES!R473)</f>
        <v/>
      </c>
      <c r="R473" t="str">
        <f>IF(DONNEES!$E473="","",DONNEES!S473)</f>
        <v/>
      </c>
      <c r="S473" t="str">
        <f>IF(DONNEES!$E473="","",DONNEES!T473)</f>
        <v/>
      </c>
      <c r="T473" t="str">
        <f>IF(DONNEES!$E473="","",DONNEES!U473)</f>
        <v/>
      </c>
      <c r="U473" t="str">
        <f>IF(DONNEES!$E473="","",DONNEES!V473)</f>
        <v/>
      </c>
      <c r="V473" t="str">
        <f>IF(DONNEES!$E473="","",DONNEES!W473)</f>
        <v/>
      </c>
      <c r="W473" t="str">
        <f>IF(DONNEES!$E473="","",DONNEES!X473)</f>
        <v/>
      </c>
      <c r="X473" t="str">
        <f>IF(DONNEES!$E473="","",DONNEES!Y473)</f>
        <v/>
      </c>
      <c r="Y473" t="str">
        <f>IF(DONNEES!$E473="","",DONNEES!Z473)</f>
        <v/>
      </c>
      <c r="Z473" t="str">
        <f>IF(DONNEES!$E473="","",DONNEES!AQ473)</f>
        <v/>
      </c>
    </row>
    <row r="474" spans="1:26" ht="15" customHeight="1" x14ac:dyDescent="0.3">
      <c r="A474" t="str">
        <f>IF(DONNEES!$E474="","",DONNEES!A474)</f>
        <v/>
      </c>
      <c r="B474" t="str">
        <f>IF(DONNEES!$E474="","",DONNEES!B474)</f>
        <v/>
      </c>
      <c r="C474" t="str">
        <f>IF(DONNEES!$E474="","",DONNEES!C474)</f>
        <v/>
      </c>
      <c r="D474" t="str">
        <f>IF(DONNEES!$E474="","",DONNEES!E474)</f>
        <v/>
      </c>
      <c r="E474" t="str">
        <f>IF(DONNEES!$E474="","",DONNEES!F474)</f>
        <v/>
      </c>
      <c r="F474" t="str">
        <f>IF(DONNEES!$E474="","",DONNEES!G474)</f>
        <v/>
      </c>
      <c r="G474" t="str">
        <f>IF(DONNEES!$E474="","",DONNEES!H474)</f>
        <v/>
      </c>
      <c r="H474" t="str">
        <f>IF(DONNEES!$E474="","",DONNEES!I474)</f>
        <v/>
      </c>
      <c r="I474" t="str">
        <f>IF(DONNEES!$E474="","",DONNEES!J474)</f>
        <v/>
      </c>
      <c r="J474" t="str">
        <f>IF(DONNEES!$E474="","",DONNEES!K474)</f>
        <v/>
      </c>
      <c r="K474" t="str">
        <f>IF(DONNEES!$E474="","",DONNEES!L474)</f>
        <v/>
      </c>
      <c r="L474" t="str">
        <f>IF(DONNEES!$E474="","",DONNEES!M474)</f>
        <v/>
      </c>
      <c r="M474" t="str">
        <f>IF(DONNEES!$E474="","",DONNEES!N474)</f>
        <v/>
      </c>
      <c r="N474" t="str">
        <f>IF(DONNEES!$E474="","",DONNEES!O474)</f>
        <v/>
      </c>
      <c r="O474" t="str">
        <f>IF(DONNEES!$E474="","",DONNEES!P474)</f>
        <v/>
      </c>
      <c r="P474" t="str">
        <f>IF(DONNEES!$E474="","",DONNEES!Q474)</f>
        <v/>
      </c>
      <c r="Q474" t="str">
        <f>IF(DONNEES!$E474="","",DONNEES!R474)</f>
        <v/>
      </c>
      <c r="R474" t="str">
        <f>IF(DONNEES!$E474="","",DONNEES!S474)</f>
        <v/>
      </c>
      <c r="S474" t="str">
        <f>IF(DONNEES!$E474="","",DONNEES!T474)</f>
        <v/>
      </c>
      <c r="T474" t="str">
        <f>IF(DONNEES!$E474="","",DONNEES!U474)</f>
        <v/>
      </c>
      <c r="U474" t="str">
        <f>IF(DONNEES!$E474="","",DONNEES!V474)</f>
        <v/>
      </c>
      <c r="V474" t="str">
        <f>IF(DONNEES!$E474="","",DONNEES!W474)</f>
        <v/>
      </c>
      <c r="W474" t="str">
        <f>IF(DONNEES!$E474="","",DONNEES!X474)</f>
        <v/>
      </c>
      <c r="X474" t="str">
        <f>IF(DONNEES!$E474="","",DONNEES!Y474)</f>
        <v/>
      </c>
      <c r="Y474" t="str">
        <f>IF(DONNEES!$E474="","",DONNEES!Z474)</f>
        <v/>
      </c>
      <c r="Z474" t="str">
        <f>IF(DONNEES!$E474="","",DONNEES!AQ474)</f>
        <v/>
      </c>
    </row>
    <row r="475" spans="1:26" ht="15" customHeight="1" x14ac:dyDescent="0.3">
      <c r="A475" t="str">
        <f>IF(DONNEES!$E475="","",DONNEES!A475)</f>
        <v/>
      </c>
      <c r="B475" t="str">
        <f>IF(DONNEES!$E475="","",DONNEES!B475)</f>
        <v/>
      </c>
      <c r="C475" t="str">
        <f>IF(DONNEES!$E475="","",DONNEES!C475)</f>
        <v/>
      </c>
      <c r="D475" t="str">
        <f>IF(DONNEES!$E475="","",DONNEES!E475)</f>
        <v/>
      </c>
      <c r="E475" t="str">
        <f>IF(DONNEES!$E475="","",DONNEES!F475)</f>
        <v/>
      </c>
      <c r="F475" t="str">
        <f>IF(DONNEES!$E475="","",DONNEES!G475)</f>
        <v/>
      </c>
      <c r="G475" t="str">
        <f>IF(DONNEES!$E475="","",DONNEES!H475)</f>
        <v/>
      </c>
      <c r="H475" t="str">
        <f>IF(DONNEES!$E475="","",DONNEES!I475)</f>
        <v/>
      </c>
      <c r="I475" t="str">
        <f>IF(DONNEES!$E475="","",DONNEES!J475)</f>
        <v/>
      </c>
      <c r="J475" t="str">
        <f>IF(DONNEES!$E475="","",DONNEES!K475)</f>
        <v/>
      </c>
      <c r="K475" t="str">
        <f>IF(DONNEES!$E475="","",DONNEES!L475)</f>
        <v/>
      </c>
      <c r="L475" t="str">
        <f>IF(DONNEES!$E475="","",DONNEES!M475)</f>
        <v/>
      </c>
      <c r="M475" t="str">
        <f>IF(DONNEES!$E475="","",DONNEES!N475)</f>
        <v/>
      </c>
      <c r="N475" t="str">
        <f>IF(DONNEES!$E475="","",DONNEES!O475)</f>
        <v/>
      </c>
      <c r="O475" t="str">
        <f>IF(DONNEES!$E475="","",DONNEES!P475)</f>
        <v/>
      </c>
      <c r="P475" t="str">
        <f>IF(DONNEES!$E475="","",DONNEES!Q475)</f>
        <v/>
      </c>
      <c r="Q475" t="str">
        <f>IF(DONNEES!$E475="","",DONNEES!R475)</f>
        <v/>
      </c>
      <c r="R475" t="str">
        <f>IF(DONNEES!$E475="","",DONNEES!S475)</f>
        <v/>
      </c>
      <c r="S475" t="str">
        <f>IF(DONNEES!$E475="","",DONNEES!T475)</f>
        <v/>
      </c>
      <c r="T475" t="str">
        <f>IF(DONNEES!$E475="","",DONNEES!U475)</f>
        <v/>
      </c>
      <c r="U475" t="str">
        <f>IF(DONNEES!$E475="","",DONNEES!V475)</f>
        <v/>
      </c>
      <c r="V475" t="str">
        <f>IF(DONNEES!$E475="","",DONNEES!W475)</f>
        <v/>
      </c>
      <c r="W475" t="str">
        <f>IF(DONNEES!$E475="","",DONNEES!X475)</f>
        <v/>
      </c>
      <c r="X475" t="str">
        <f>IF(DONNEES!$E475="","",DONNEES!Y475)</f>
        <v/>
      </c>
      <c r="Y475" t="str">
        <f>IF(DONNEES!$E475="","",DONNEES!Z475)</f>
        <v/>
      </c>
      <c r="Z475" t="str">
        <f>IF(DONNEES!$E475="","",DONNEES!AQ475)</f>
        <v/>
      </c>
    </row>
    <row r="476" spans="1:26" ht="15" customHeight="1" x14ac:dyDescent="0.3">
      <c r="A476" t="str">
        <f>IF(DONNEES!$E476="","",DONNEES!A476)</f>
        <v/>
      </c>
      <c r="B476" t="str">
        <f>IF(DONNEES!$E476="","",DONNEES!B476)</f>
        <v/>
      </c>
      <c r="C476" t="str">
        <f>IF(DONNEES!$E476="","",DONNEES!C476)</f>
        <v/>
      </c>
      <c r="D476" t="str">
        <f>IF(DONNEES!$E476="","",DONNEES!E476)</f>
        <v/>
      </c>
      <c r="E476" t="str">
        <f>IF(DONNEES!$E476="","",DONNEES!F476)</f>
        <v/>
      </c>
      <c r="F476" t="str">
        <f>IF(DONNEES!$E476="","",DONNEES!G476)</f>
        <v/>
      </c>
      <c r="G476" t="str">
        <f>IF(DONNEES!$E476="","",DONNEES!H476)</f>
        <v/>
      </c>
      <c r="H476" t="str">
        <f>IF(DONNEES!$E476="","",DONNEES!I476)</f>
        <v/>
      </c>
      <c r="I476" t="str">
        <f>IF(DONNEES!$E476="","",DONNEES!J476)</f>
        <v/>
      </c>
      <c r="J476" t="str">
        <f>IF(DONNEES!$E476="","",DONNEES!K476)</f>
        <v/>
      </c>
      <c r="K476" t="str">
        <f>IF(DONNEES!$E476="","",DONNEES!L476)</f>
        <v/>
      </c>
      <c r="L476" t="str">
        <f>IF(DONNEES!$E476="","",DONNEES!M476)</f>
        <v/>
      </c>
      <c r="M476" t="str">
        <f>IF(DONNEES!$E476="","",DONNEES!N476)</f>
        <v/>
      </c>
      <c r="N476" t="str">
        <f>IF(DONNEES!$E476="","",DONNEES!O476)</f>
        <v/>
      </c>
      <c r="O476" t="str">
        <f>IF(DONNEES!$E476="","",DONNEES!P476)</f>
        <v/>
      </c>
      <c r="P476" t="str">
        <f>IF(DONNEES!$E476="","",DONNEES!Q476)</f>
        <v/>
      </c>
      <c r="Q476" t="str">
        <f>IF(DONNEES!$E476="","",DONNEES!R476)</f>
        <v/>
      </c>
      <c r="R476" t="str">
        <f>IF(DONNEES!$E476="","",DONNEES!S476)</f>
        <v/>
      </c>
      <c r="S476" t="str">
        <f>IF(DONNEES!$E476="","",DONNEES!T476)</f>
        <v/>
      </c>
      <c r="T476" t="str">
        <f>IF(DONNEES!$E476="","",DONNEES!U476)</f>
        <v/>
      </c>
      <c r="U476" t="str">
        <f>IF(DONNEES!$E476="","",DONNEES!V476)</f>
        <v/>
      </c>
      <c r="V476" t="str">
        <f>IF(DONNEES!$E476="","",DONNEES!W476)</f>
        <v/>
      </c>
      <c r="W476" t="str">
        <f>IF(DONNEES!$E476="","",DONNEES!X476)</f>
        <v/>
      </c>
      <c r="X476" t="str">
        <f>IF(DONNEES!$E476="","",DONNEES!Y476)</f>
        <v/>
      </c>
      <c r="Y476" t="str">
        <f>IF(DONNEES!$E476="","",DONNEES!Z476)</f>
        <v/>
      </c>
      <c r="Z476" t="str">
        <f>IF(DONNEES!$E476="","",DONNEES!AQ476)</f>
        <v/>
      </c>
    </row>
    <row r="477" spans="1:26" ht="15" customHeight="1" x14ac:dyDescent="0.3">
      <c r="A477" t="str">
        <f>IF(DONNEES!$E477="","",DONNEES!A477)</f>
        <v/>
      </c>
      <c r="B477" t="str">
        <f>IF(DONNEES!$E477="","",DONNEES!B477)</f>
        <v/>
      </c>
      <c r="C477" t="str">
        <f>IF(DONNEES!$E477="","",DONNEES!C477)</f>
        <v/>
      </c>
      <c r="D477" t="str">
        <f>IF(DONNEES!$E477="","",DONNEES!E477)</f>
        <v/>
      </c>
      <c r="E477" t="str">
        <f>IF(DONNEES!$E477="","",DONNEES!F477)</f>
        <v/>
      </c>
      <c r="F477" t="str">
        <f>IF(DONNEES!$E477="","",DONNEES!G477)</f>
        <v/>
      </c>
      <c r="G477" t="str">
        <f>IF(DONNEES!$E477="","",DONNEES!H477)</f>
        <v/>
      </c>
      <c r="H477" t="str">
        <f>IF(DONNEES!$E477="","",DONNEES!I477)</f>
        <v/>
      </c>
      <c r="I477" t="str">
        <f>IF(DONNEES!$E477="","",DONNEES!J477)</f>
        <v/>
      </c>
      <c r="J477" t="str">
        <f>IF(DONNEES!$E477="","",DONNEES!K477)</f>
        <v/>
      </c>
      <c r="K477" t="str">
        <f>IF(DONNEES!$E477="","",DONNEES!L477)</f>
        <v/>
      </c>
      <c r="L477" t="str">
        <f>IF(DONNEES!$E477="","",DONNEES!M477)</f>
        <v/>
      </c>
      <c r="M477" t="str">
        <f>IF(DONNEES!$E477="","",DONNEES!N477)</f>
        <v/>
      </c>
      <c r="N477" t="str">
        <f>IF(DONNEES!$E477="","",DONNEES!O477)</f>
        <v/>
      </c>
      <c r="O477" t="str">
        <f>IF(DONNEES!$E477="","",DONNEES!P477)</f>
        <v/>
      </c>
      <c r="P477" t="str">
        <f>IF(DONNEES!$E477="","",DONNEES!Q477)</f>
        <v/>
      </c>
      <c r="Q477" t="str">
        <f>IF(DONNEES!$E477="","",DONNEES!R477)</f>
        <v/>
      </c>
      <c r="R477" t="str">
        <f>IF(DONNEES!$E477="","",DONNEES!S477)</f>
        <v/>
      </c>
      <c r="S477" t="str">
        <f>IF(DONNEES!$E477="","",DONNEES!T477)</f>
        <v/>
      </c>
      <c r="T477" t="str">
        <f>IF(DONNEES!$E477="","",DONNEES!U477)</f>
        <v/>
      </c>
      <c r="U477" t="str">
        <f>IF(DONNEES!$E477="","",DONNEES!V477)</f>
        <v/>
      </c>
      <c r="V477" t="str">
        <f>IF(DONNEES!$E477="","",DONNEES!W477)</f>
        <v/>
      </c>
      <c r="W477" t="str">
        <f>IF(DONNEES!$E477="","",DONNEES!X477)</f>
        <v/>
      </c>
      <c r="X477" t="str">
        <f>IF(DONNEES!$E477="","",DONNEES!Y477)</f>
        <v/>
      </c>
      <c r="Y477" t="str">
        <f>IF(DONNEES!$E477="","",DONNEES!Z477)</f>
        <v/>
      </c>
      <c r="Z477" t="str">
        <f>IF(DONNEES!$E477="","",DONNEES!AQ477)</f>
        <v/>
      </c>
    </row>
    <row r="478" spans="1:26" ht="15" customHeight="1" x14ac:dyDescent="0.3">
      <c r="A478" t="str">
        <f>IF(DONNEES!$E478="","",DONNEES!A478)</f>
        <v/>
      </c>
      <c r="B478" t="str">
        <f>IF(DONNEES!$E478="","",DONNEES!B478)</f>
        <v/>
      </c>
      <c r="C478" t="str">
        <f>IF(DONNEES!$E478="","",DONNEES!C478)</f>
        <v/>
      </c>
      <c r="D478" t="str">
        <f>IF(DONNEES!$E478="","",DONNEES!E478)</f>
        <v/>
      </c>
      <c r="E478" t="str">
        <f>IF(DONNEES!$E478="","",DONNEES!F478)</f>
        <v/>
      </c>
      <c r="F478" t="str">
        <f>IF(DONNEES!$E478="","",DONNEES!G478)</f>
        <v/>
      </c>
      <c r="G478" t="str">
        <f>IF(DONNEES!$E478="","",DONNEES!H478)</f>
        <v/>
      </c>
      <c r="H478" t="str">
        <f>IF(DONNEES!$E478="","",DONNEES!I478)</f>
        <v/>
      </c>
      <c r="I478" t="str">
        <f>IF(DONNEES!$E478="","",DONNEES!J478)</f>
        <v/>
      </c>
      <c r="J478" t="str">
        <f>IF(DONNEES!$E478="","",DONNEES!K478)</f>
        <v/>
      </c>
      <c r="K478" t="str">
        <f>IF(DONNEES!$E478="","",DONNEES!L478)</f>
        <v/>
      </c>
      <c r="L478" t="str">
        <f>IF(DONNEES!$E478="","",DONNEES!M478)</f>
        <v/>
      </c>
      <c r="M478" t="str">
        <f>IF(DONNEES!$E478="","",DONNEES!N478)</f>
        <v/>
      </c>
      <c r="N478" t="str">
        <f>IF(DONNEES!$E478="","",DONNEES!O478)</f>
        <v/>
      </c>
      <c r="O478" t="str">
        <f>IF(DONNEES!$E478="","",DONNEES!P478)</f>
        <v/>
      </c>
      <c r="P478" t="str">
        <f>IF(DONNEES!$E478="","",DONNEES!Q478)</f>
        <v/>
      </c>
      <c r="Q478" t="str">
        <f>IF(DONNEES!$E478="","",DONNEES!R478)</f>
        <v/>
      </c>
      <c r="R478" t="str">
        <f>IF(DONNEES!$E478="","",DONNEES!S478)</f>
        <v/>
      </c>
      <c r="S478" t="str">
        <f>IF(DONNEES!$E478="","",DONNEES!T478)</f>
        <v/>
      </c>
      <c r="T478" t="str">
        <f>IF(DONNEES!$E478="","",DONNEES!U478)</f>
        <v/>
      </c>
      <c r="U478" t="str">
        <f>IF(DONNEES!$E478="","",DONNEES!V478)</f>
        <v/>
      </c>
      <c r="V478" t="str">
        <f>IF(DONNEES!$E478="","",DONNEES!W478)</f>
        <v/>
      </c>
      <c r="W478" t="str">
        <f>IF(DONNEES!$E478="","",DONNEES!X478)</f>
        <v/>
      </c>
      <c r="X478" t="str">
        <f>IF(DONNEES!$E478="","",DONNEES!Y478)</f>
        <v/>
      </c>
      <c r="Y478" t="str">
        <f>IF(DONNEES!$E478="","",DONNEES!Z478)</f>
        <v/>
      </c>
      <c r="Z478" t="str">
        <f>IF(DONNEES!$E478="","",DONNEES!AQ478)</f>
        <v/>
      </c>
    </row>
    <row r="479" spans="1:26" ht="15" customHeight="1" x14ac:dyDescent="0.3">
      <c r="A479" t="str">
        <f>IF(DONNEES!$E479="","",DONNEES!A479)</f>
        <v/>
      </c>
      <c r="B479" t="str">
        <f>IF(DONNEES!$E479="","",DONNEES!B479)</f>
        <v/>
      </c>
      <c r="C479" t="str">
        <f>IF(DONNEES!$E479="","",DONNEES!C479)</f>
        <v/>
      </c>
      <c r="D479" t="str">
        <f>IF(DONNEES!$E479="","",DONNEES!E479)</f>
        <v/>
      </c>
      <c r="E479" t="str">
        <f>IF(DONNEES!$E479="","",DONNEES!F479)</f>
        <v/>
      </c>
      <c r="F479" t="str">
        <f>IF(DONNEES!$E479="","",DONNEES!G479)</f>
        <v/>
      </c>
      <c r="G479" t="str">
        <f>IF(DONNEES!$E479="","",DONNEES!H479)</f>
        <v/>
      </c>
      <c r="H479" t="str">
        <f>IF(DONNEES!$E479="","",DONNEES!I479)</f>
        <v/>
      </c>
      <c r="I479" t="str">
        <f>IF(DONNEES!$E479="","",DONNEES!J479)</f>
        <v/>
      </c>
      <c r="J479" t="str">
        <f>IF(DONNEES!$E479="","",DONNEES!K479)</f>
        <v/>
      </c>
      <c r="K479" t="str">
        <f>IF(DONNEES!$E479="","",DONNEES!L479)</f>
        <v/>
      </c>
      <c r="L479" t="str">
        <f>IF(DONNEES!$E479="","",DONNEES!M479)</f>
        <v/>
      </c>
      <c r="M479" t="str">
        <f>IF(DONNEES!$E479="","",DONNEES!N479)</f>
        <v/>
      </c>
      <c r="N479" t="str">
        <f>IF(DONNEES!$E479="","",DONNEES!O479)</f>
        <v/>
      </c>
      <c r="O479" t="str">
        <f>IF(DONNEES!$E479="","",DONNEES!P479)</f>
        <v/>
      </c>
      <c r="P479" t="str">
        <f>IF(DONNEES!$E479="","",DONNEES!Q479)</f>
        <v/>
      </c>
      <c r="Q479" t="str">
        <f>IF(DONNEES!$E479="","",DONNEES!R479)</f>
        <v/>
      </c>
      <c r="R479" t="str">
        <f>IF(DONNEES!$E479="","",DONNEES!S479)</f>
        <v/>
      </c>
      <c r="S479" t="str">
        <f>IF(DONNEES!$E479="","",DONNEES!T479)</f>
        <v/>
      </c>
      <c r="T479" t="str">
        <f>IF(DONNEES!$E479="","",DONNEES!U479)</f>
        <v/>
      </c>
      <c r="U479" t="str">
        <f>IF(DONNEES!$E479="","",DONNEES!V479)</f>
        <v/>
      </c>
      <c r="V479" t="str">
        <f>IF(DONNEES!$E479="","",DONNEES!W479)</f>
        <v/>
      </c>
      <c r="W479" t="str">
        <f>IF(DONNEES!$E479="","",DONNEES!X479)</f>
        <v/>
      </c>
      <c r="X479" t="str">
        <f>IF(DONNEES!$E479="","",DONNEES!Y479)</f>
        <v/>
      </c>
      <c r="Y479" t="str">
        <f>IF(DONNEES!$E479="","",DONNEES!Z479)</f>
        <v/>
      </c>
      <c r="Z479" t="str">
        <f>IF(DONNEES!$E479="","",DONNEES!AQ479)</f>
        <v/>
      </c>
    </row>
    <row r="480" spans="1:26" ht="15" customHeight="1" x14ac:dyDescent="0.3">
      <c r="A480" t="str">
        <f>IF(DONNEES!$E480="","",DONNEES!A480)</f>
        <v/>
      </c>
      <c r="B480" t="str">
        <f>IF(DONNEES!$E480="","",DONNEES!B480)</f>
        <v/>
      </c>
      <c r="C480" t="str">
        <f>IF(DONNEES!$E480="","",DONNEES!C480)</f>
        <v/>
      </c>
      <c r="D480" t="str">
        <f>IF(DONNEES!$E480="","",DONNEES!E480)</f>
        <v/>
      </c>
      <c r="E480" t="str">
        <f>IF(DONNEES!$E480="","",DONNEES!F480)</f>
        <v/>
      </c>
      <c r="F480" t="str">
        <f>IF(DONNEES!$E480="","",DONNEES!G480)</f>
        <v/>
      </c>
      <c r="G480" t="str">
        <f>IF(DONNEES!$E480="","",DONNEES!H480)</f>
        <v/>
      </c>
      <c r="H480" t="str">
        <f>IF(DONNEES!$E480="","",DONNEES!I480)</f>
        <v/>
      </c>
      <c r="I480" t="str">
        <f>IF(DONNEES!$E480="","",DONNEES!J480)</f>
        <v/>
      </c>
      <c r="J480" t="str">
        <f>IF(DONNEES!$E480="","",DONNEES!K480)</f>
        <v/>
      </c>
      <c r="K480" t="str">
        <f>IF(DONNEES!$E480="","",DONNEES!L480)</f>
        <v/>
      </c>
      <c r="L480" t="str">
        <f>IF(DONNEES!$E480="","",DONNEES!M480)</f>
        <v/>
      </c>
      <c r="M480" t="str">
        <f>IF(DONNEES!$E480="","",DONNEES!N480)</f>
        <v/>
      </c>
      <c r="N480" t="str">
        <f>IF(DONNEES!$E480="","",DONNEES!O480)</f>
        <v/>
      </c>
      <c r="O480" t="str">
        <f>IF(DONNEES!$E480="","",DONNEES!P480)</f>
        <v/>
      </c>
      <c r="P480" t="str">
        <f>IF(DONNEES!$E480="","",DONNEES!Q480)</f>
        <v/>
      </c>
      <c r="Q480" t="str">
        <f>IF(DONNEES!$E480="","",DONNEES!R480)</f>
        <v/>
      </c>
      <c r="R480" t="str">
        <f>IF(DONNEES!$E480="","",DONNEES!S480)</f>
        <v/>
      </c>
      <c r="S480" t="str">
        <f>IF(DONNEES!$E480="","",DONNEES!T480)</f>
        <v/>
      </c>
      <c r="T480" t="str">
        <f>IF(DONNEES!$E480="","",DONNEES!U480)</f>
        <v/>
      </c>
      <c r="U480" t="str">
        <f>IF(DONNEES!$E480="","",DONNEES!V480)</f>
        <v/>
      </c>
      <c r="V480" t="str">
        <f>IF(DONNEES!$E480="","",DONNEES!W480)</f>
        <v/>
      </c>
      <c r="W480" t="str">
        <f>IF(DONNEES!$E480="","",DONNEES!X480)</f>
        <v/>
      </c>
      <c r="X480" t="str">
        <f>IF(DONNEES!$E480="","",DONNEES!Y480)</f>
        <v/>
      </c>
      <c r="Y480" t="str">
        <f>IF(DONNEES!$E480="","",DONNEES!Z480)</f>
        <v/>
      </c>
      <c r="Z480" t="str">
        <f>IF(DONNEES!$E480="","",DONNEES!AQ480)</f>
        <v/>
      </c>
    </row>
    <row r="481" spans="1:26" ht="15" customHeight="1" x14ac:dyDescent="0.3">
      <c r="A481" t="str">
        <f>IF(DONNEES!$E481="","",DONNEES!A481)</f>
        <v/>
      </c>
      <c r="B481" t="str">
        <f>IF(DONNEES!$E481="","",DONNEES!B481)</f>
        <v/>
      </c>
      <c r="C481" t="str">
        <f>IF(DONNEES!$E481="","",DONNEES!C481)</f>
        <v/>
      </c>
      <c r="D481" t="str">
        <f>IF(DONNEES!$E481="","",DONNEES!E481)</f>
        <v/>
      </c>
      <c r="E481" t="str">
        <f>IF(DONNEES!$E481="","",DONNEES!F481)</f>
        <v/>
      </c>
      <c r="F481" t="str">
        <f>IF(DONNEES!$E481="","",DONNEES!G481)</f>
        <v/>
      </c>
      <c r="G481" t="str">
        <f>IF(DONNEES!$E481="","",DONNEES!H481)</f>
        <v/>
      </c>
      <c r="H481" t="str">
        <f>IF(DONNEES!$E481="","",DONNEES!I481)</f>
        <v/>
      </c>
      <c r="I481" t="str">
        <f>IF(DONNEES!$E481="","",DONNEES!J481)</f>
        <v/>
      </c>
      <c r="J481" t="str">
        <f>IF(DONNEES!$E481="","",DONNEES!K481)</f>
        <v/>
      </c>
      <c r="K481" t="str">
        <f>IF(DONNEES!$E481="","",DONNEES!L481)</f>
        <v/>
      </c>
      <c r="L481" t="str">
        <f>IF(DONNEES!$E481="","",DONNEES!M481)</f>
        <v/>
      </c>
      <c r="M481" t="str">
        <f>IF(DONNEES!$E481="","",DONNEES!N481)</f>
        <v/>
      </c>
      <c r="N481" t="str">
        <f>IF(DONNEES!$E481="","",DONNEES!O481)</f>
        <v/>
      </c>
      <c r="O481" t="str">
        <f>IF(DONNEES!$E481="","",DONNEES!P481)</f>
        <v/>
      </c>
      <c r="P481" t="str">
        <f>IF(DONNEES!$E481="","",DONNEES!Q481)</f>
        <v/>
      </c>
      <c r="Q481" t="str">
        <f>IF(DONNEES!$E481="","",DONNEES!R481)</f>
        <v/>
      </c>
      <c r="R481" t="str">
        <f>IF(DONNEES!$E481="","",DONNEES!S481)</f>
        <v/>
      </c>
      <c r="S481" t="str">
        <f>IF(DONNEES!$E481="","",DONNEES!T481)</f>
        <v/>
      </c>
      <c r="T481" t="str">
        <f>IF(DONNEES!$E481="","",DONNEES!U481)</f>
        <v/>
      </c>
      <c r="U481" t="str">
        <f>IF(DONNEES!$E481="","",DONNEES!V481)</f>
        <v/>
      </c>
      <c r="V481" t="str">
        <f>IF(DONNEES!$E481="","",DONNEES!W481)</f>
        <v/>
      </c>
      <c r="W481" t="str">
        <f>IF(DONNEES!$E481="","",DONNEES!X481)</f>
        <v/>
      </c>
      <c r="X481" t="str">
        <f>IF(DONNEES!$E481="","",DONNEES!Y481)</f>
        <v/>
      </c>
      <c r="Y481" t="str">
        <f>IF(DONNEES!$E481="","",DONNEES!Z481)</f>
        <v/>
      </c>
      <c r="Z481" t="str">
        <f>IF(DONNEES!$E481="","",DONNEES!AQ481)</f>
        <v/>
      </c>
    </row>
    <row r="482" spans="1:26" ht="15" customHeight="1" x14ac:dyDescent="0.3">
      <c r="A482" t="str">
        <f>IF(DONNEES!$E482="","",DONNEES!A482)</f>
        <v/>
      </c>
      <c r="B482" t="str">
        <f>IF(DONNEES!$E482="","",DONNEES!B482)</f>
        <v/>
      </c>
      <c r="C482" t="str">
        <f>IF(DONNEES!$E482="","",DONNEES!C482)</f>
        <v/>
      </c>
      <c r="D482" t="str">
        <f>IF(DONNEES!$E482="","",DONNEES!E482)</f>
        <v/>
      </c>
      <c r="E482" t="str">
        <f>IF(DONNEES!$E482="","",DONNEES!F482)</f>
        <v/>
      </c>
      <c r="F482" t="str">
        <f>IF(DONNEES!$E482="","",DONNEES!G482)</f>
        <v/>
      </c>
      <c r="G482" t="str">
        <f>IF(DONNEES!$E482="","",DONNEES!H482)</f>
        <v/>
      </c>
      <c r="H482" t="str">
        <f>IF(DONNEES!$E482="","",DONNEES!I482)</f>
        <v/>
      </c>
      <c r="I482" t="str">
        <f>IF(DONNEES!$E482="","",DONNEES!J482)</f>
        <v/>
      </c>
      <c r="J482" t="str">
        <f>IF(DONNEES!$E482="","",DONNEES!K482)</f>
        <v/>
      </c>
      <c r="K482" t="str">
        <f>IF(DONNEES!$E482="","",DONNEES!L482)</f>
        <v/>
      </c>
      <c r="L482" t="str">
        <f>IF(DONNEES!$E482="","",DONNEES!M482)</f>
        <v/>
      </c>
      <c r="M482" t="str">
        <f>IF(DONNEES!$E482="","",DONNEES!N482)</f>
        <v/>
      </c>
      <c r="N482" t="str">
        <f>IF(DONNEES!$E482="","",DONNEES!O482)</f>
        <v/>
      </c>
      <c r="O482" t="str">
        <f>IF(DONNEES!$E482="","",DONNEES!P482)</f>
        <v/>
      </c>
      <c r="P482" t="str">
        <f>IF(DONNEES!$E482="","",DONNEES!Q482)</f>
        <v/>
      </c>
      <c r="Q482" t="str">
        <f>IF(DONNEES!$E482="","",DONNEES!R482)</f>
        <v/>
      </c>
      <c r="R482" t="str">
        <f>IF(DONNEES!$E482="","",DONNEES!S482)</f>
        <v/>
      </c>
      <c r="S482" t="str">
        <f>IF(DONNEES!$E482="","",DONNEES!T482)</f>
        <v/>
      </c>
      <c r="T482" t="str">
        <f>IF(DONNEES!$E482="","",DONNEES!U482)</f>
        <v/>
      </c>
      <c r="U482" t="str">
        <f>IF(DONNEES!$E482="","",DONNEES!V482)</f>
        <v/>
      </c>
      <c r="V482" t="str">
        <f>IF(DONNEES!$E482="","",DONNEES!W482)</f>
        <v/>
      </c>
      <c r="W482" t="str">
        <f>IF(DONNEES!$E482="","",DONNEES!X482)</f>
        <v/>
      </c>
      <c r="X482" t="str">
        <f>IF(DONNEES!$E482="","",DONNEES!Y482)</f>
        <v/>
      </c>
      <c r="Y482" t="str">
        <f>IF(DONNEES!$E482="","",DONNEES!Z482)</f>
        <v/>
      </c>
      <c r="Z482" t="str">
        <f>IF(DONNEES!$E482="","",DONNEES!AQ482)</f>
        <v/>
      </c>
    </row>
    <row r="483" spans="1:26" ht="15" customHeight="1" x14ac:dyDescent="0.3">
      <c r="A483" t="str">
        <f>IF(DONNEES!$E483="","",DONNEES!A483)</f>
        <v/>
      </c>
      <c r="B483" t="str">
        <f>IF(DONNEES!$E483="","",DONNEES!B483)</f>
        <v/>
      </c>
      <c r="C483" t="str">
        <f>IF(DONNEES!$E483="","",DONNEES!C483)</f>
        <v/>
      </c>
      <c r="D483" t="str">
        <f>IF(DONNEES!$E483="","",DONNEES!E483)</f>
        <v/>
      </c>
      <c r="E483" t="str">
        <f>IF(DONNEES!$E483="","",DONNEES!F483)</f>
        <v/>
      </c>
      <c r="F483" t="str">
        <f>IF(DONNEES!$E483="","",DONNEES!G483)</f>
        <v/>
      </c>
      <c r="G483" t="str">
        <f>IF(DONNEES!$E483="","",DONNEES!H483)</f>
        <v/>
      </c>
      <c r="H483" t="str">
        <f>IF(DONNEES!$E483="","",DONNEES!I483)</f>
        <v/>
      </c>
      <c r="I483" t="str">
        <f>IF(DONNEES!$E483="","",DONNEES!J483)</f>
        <v/>
      </c>
      <c r="J483" t="str">
        <f>IF(DONNEES!$E483="","",DONNEES!K483)</f>
        <v/>
      </c>
      <c r="K483" t="str">
        <f>IF(DONNEES!$E483="","",DONNEES!L483)</f>
        <v/>
      </c>
      <c r="L483" t="str">
        <f>IF(DONNEES!$E483="","",DONNEES!M483)</f>
        <v/>
      </c>
      <c r="M483" t="str">
        <f>IF(DONNEES!$E483="","",DONNEES!N483)</f>
        <v/>
      </c>
      <c r="N483" t="str">
        <f>IF(DONNEES!$E483="","",DONNEES!O483)</f>
        <v/>
      </c>
      <c r="O483" t="str">
        <f>IF(DONNEES!$E483="","",DONNEES!P483)</f>
        <v/>
      </c>
      <c r="P483" t="str">
        <f>IF(DONNEES!$E483="","",DONNEES!Q483)</f>
        <v/>
      </c>
      <c r="Q483" t="str">
        <f>IF(DONNEES!$E483="","",DONNEES!R483)</f>
        <v/>
      </c>
      <c r="R483" t="str">
        <f>IF(DONNEES!$E483="","",DONNEES!S483)</f>
        <v/>
      </c>
      <c r="S483" t="str">
        <f>IF(DONNEES!$E483="","",DONNEES!T483)</f>
        <v/>
      </c>
      <c r="T483" t="str">
        <f>IF(DONNEES!$E483="","",DONNEES!U483)</f>
        <v/>
      </c>
      <c r="U483" t="str">
        <f>IF(DONNEES!$E483="","",DONNEES!V483)</f>
        <v/>
      </c>
      <c r="V483" t="str">
        <f>IF(DONNEES!$E483="","",DONNEES!W483)</f>
        <v/>
      </c>
      <c r="W483" t="str">
        <f>IF(DONNEES!$E483="","",DONNEES!X483)</f>
        <v/>
      </c>
      <c r="X483" t="str">
        <f>IF(DONNEES!$E483="","",DONNEES!Y483)</f>
        <v/>
      </c>
      <c r="Y483" t="str">
        <f>IF(DONNEES!$E483="","",DONNEES!Z483)</f>
        <v/>
      </c>
      <c r="Z483" t="str">
        <f>IF(DONNEES!$E483="","",DONNEES!AQ483)</f>
        <v/>
      </c>
    </row>
    <row r="484" spans="1:26" ht="15" customHeight="1" x14ac:dyDescent="0.3">
      <c r="A484" t="str">
        <f>IF(DONNEES!$E484="","",DONNEES!A484)</f>
        <v/>
      </c>
      <c r="B484" t="str">
        <f>IF(DONNEES!$E484="","",DONNEES!B484)</f>
        <v/>
      </c>
      <c r="C484" t="str">
        <f>IF(DONNEES!$E484="","",DONNEES!C484)</f>
        <v/>
      </c>
      <c r="D484" t="str">
        <f>IF(DONNEES!$E484="","",DONNEES!E484)</f>
        <v/>
      </c>
      <c r="E484" t="str">
        <f>IF(DONNEES!$E484="","",DONNEES!F484)</f>
        <v/>
      </c>
      <c r="F484" t="str">
        <f>IF(DONNEES!$E484="","",DONNEES!G484)</f>
        <v/>
      </c>
      <c r="G484" t="str">
        <f>IF(DONNEES!$E484="","",DONNEES!H484)</f>
        <v/>
      </c>
      <c r="H484" t="str">
        <f>IF(DONNEES!$E484="","",DONNEES!I484)</f>
        <v/>
      </c>
      <c r="I484" t="str">
        <f>IF(DONNEES!$E484="","",DONNEES!J484)</f>
        <v/>
      </c>
      <c r="J484" t="str">
        <f>IF(DONNEES!$E484="","",DONNEES!K484)</f>
        <v/>
      </c>
      <c r="K484" t="str">
        <f>IF(DONNEES!$E484="","",DONNEES!L484)</f>
        <v/>
      </c>
      <c r="L484" t="str">
        <f>IF(DONNEES!$E484="","",DONNEES!M484)</f>
        <v/>
      </c>
      <c r="M484" t="str">
        <f>IF(DONNEES!$E484="","",DONNEES!N484)</f>
        <v/>
      </c>
      <c r="N484" t="str">
        <f>IF(DONNEES!$E484="","",DONNEES!O484)</f>
        <v/>
      </c>
      <c r="O484" t="str">
        <f>IF(DONNEES!$E484="","",DONNEES!P484)</f>
        <v/>
      </c>
      <c r="P484" t="str">
        <f>IF(DONNEES!$E484="","",DONNEES!Q484)</f>
        <v/>
      </c>
      <c r="Q484" t="str">
        <f>IF(DONNEES!$E484="","",DONNEES!R484)</f>
        <v/>
      </c>
      <c r="R484" t="str">
        <f>IF(DONNEES!$E484="","",DONNEES!S484)</f>
        <v/>
      </c>
      <c r="S484" t="str">
        <f>IF(DONNEES!$E484="","",DONNEES!T484)</f>
        <v/>
      </c>
      <c r="T484" t="str">
        <f>IF(DONNEES!$E484="","",DONNEES!U484)</f>
        <v/>
      </c>
      <c r="U484" t="str">
        <f>IF(DONNEES!$E484="","",DONNEES!V484)</f>
        <v/>
      </c>
      <c r="V484" t="str">
        <f>IF(DONNEES!$E484="","",DONNEES!W484)</f>
        <v/>
      </c>
      <c r="W484" t="str">
        <f>IF(DONNEES!$E484="","",DONNEES!X484)</f>
        <v/>
      </c>
      <c r="X484" t="str">
        <f>IF(DONNEES!$E484="","",DONNEES!Y484)</f>
        <v/>
      </c>
      <c r="Y484" t="str">
        <f>IF(DONNEES!$E484="","",DONNEES!Z484)</f>
        <v/>
      </c>
      <c r="Z484" t="str">
        <f>IF(DONNEES!$E484="","",DONNEES!AQ484)</f>
        <v/>
      </c>
    </row>
    <row r="485" spans="1:26" ht="15" customHeight="1" x14ac:dyDescent="0.3">
      <c r="A485" t="str">
        <f>IF(DONNEES!$E485="","",DONNEES!A485)</f>
        <v/>
      </c>
      <c r="B485" t="str">
        <f>IF(DONNEES!$E485="","",DONNEES!B485)</f>
        <v/>
      </c>
      <c r="C485" t="str">
        <f>IF(DONNEES!$E485="","",DONNEES!C485)</f>
        <v/>
      </c>
      <c r="D485" t="str">
        <f>IF(DONNEES!$E485="","",DONNEES!E485)</f>
        <v/>
      </c>
      <c r="E485" t="str">
        <f>IF(DONNEES!$E485="","",DONNEES!F485)</f>
        <v/>
      </c>
      <c r="F485" t="str">
        <f>IF(DONNEES!$E485="","",DONNEES!G485)</f>
        <v/>
      </c>
      <c r="G485" t="str">
        <f>IF(DONNEES!$E485="","",DONNEES!H485)</f>
        <v/>
      </c>
      <c r="H485" t="str">
        <f>IF(DONNEES!$E485="","",DONNEES!I485)</f>
        <v/>
      </c>
      <c r="I485" t="str">
        <f>IF(DONNEES!$E485="","",DONNEES!J485)</f>
        <v/>
      </c>
      <c r="J485" t="str">
        <f>IF(DONNEES!$E485="","",DONNEES!K485)</f>
        <v/>
      </c>
      <c r="K485" t="str">
        <f>IF(DONNEES!$E485="","",DONNEES!L485)</f>
        <v/>
      </c>
      <c r="L485" t="str">
        <f>IF(DONNEES!$E485="","",DONNEES!M485)</f>
        <v/>
      </c>
      <c r="M485" t="str">
        <f>IF(DONNEES!$E485="","",DONNEES!N485)</f>
        <v/>
      </c>
      <c r="N485" t="str">
        <f>IF(DONNEES!$E485="","",DONNEES!O485)</f>
        <v/>
      </c>
      <c r="O485" t="str">
        <f>IF(DONNEES!$E485="","",DONNEES!P485)</f>
        <v/>
      </c>
      <c r="P485" t="str">
        <f>IF(DONNEES!$E485="","",DONNEES!Q485)</f>
        <v/>
      </c>
      <c r="Q485" t="str">
        <f>IF(DONNEES!$E485="","",DONNEES!R485)</f>
        <v/>
      </c>
      <c r="R485" t="str">
        <f>IF(DONNEES!$E485="","",DONNEES!S485)</f>
        <v/>
      </c>
      <c r="S485" t="str">
        <f>IF(DONNEES!$E485="","",DONNEES!T485)</f>
        <v/>
      </c>
      <c r="T485" t="str">
        <f>IF(DONNEES!$E485="","",DONNEES!U485)</f>
        <v/>
      </c>
      <c r="U485" t="str">
        <f>IF(DONNEES!$E485="","",DONNEES!V485)</f>
        <v/>
      </c>
      <c r="V485" t="str">
        <f>IF(DONNEES!$E485="","",DONNEES!W485)</f>
        <v/>
      </c>
      <c r="W485" t="str">
        <f>IF(DONNEES!$E485="","",DONNEES!X485)</f>
        <v/>
      </c>
      <c r="X485" t="str">
        <f>IF(DONNEES!$E485="","",DONNEES!Y485)</f>
        <v/>
      </c>
      <c r="Y485" t="str">
        <f>IF(DONNEES!$E485="","",DONNEES!Z485)</f>
        <v/>
      </c>
      <c r="Z485" t="str">
        <f>IF(DONNEES!$E485="","",DONNEES!AQ485)</f>
        <v/>
      </c>
    </row>
    <row r="486" spans="1:26" ht="15" customHeight="1" x14ac:dyDescent="0.3">
      <c r="A486" t="str">
        <f>IF(DONNEES!$E486="","",DONNEES!A486)</f>
        <v/>
      </c>
      <c r="B486" t="str">
        <f>IF(DONNEES!$E486="","",DONNEES!B486)</f>
        <v/>
      </c>
      <c r="C486" t="str">
        <f>IF(DONNEES!$E486="","",DONNEES!C486)</f>
        <v/>
      </c>
      <c r="D486" t="str">
        <f>IF(DONNEES!$E486="","",DONNEES!E486)</f>
        <v/>
      </c>
      <c r="E486" t="str">
        <f>IF(DONNEES!$E486="","",DONNEES!F486)</f>
        <v/>
      </c>
      <c r="F486" t="str">
        <f>IF(DONNEES!$E486="","",DONNEES!G486)</f>
        <v/>
      </c>
      <c r="G486" t="str">
        <f>IF(DONNEES!$E486="","",DONNEES!H486)</f>
        <v/>
      </c>
      <c r="H486" t="str">
        <f>IF(DONNEES!$E486="","",DONNEES!I486)</f>
        <v/>
      </c>
      <c r="I486" t="str">
        <f>IF(DONNEES!$E486="","",DONNEES!J486)</f>
        <v/>
      </c>
      <c r="J486" t="str">
        <f>IF(DONNEES!$E486="","",DONNEES!K486)</f>
        <v/>
      </c>
      <c r="K486" t="str">
        <f>IF(DONNEES!$E486="","",DONNEES!L486)</f>
        <v/>
      </c>
      <c r="L486" t="str">
        <f>IF(DONNEES!$E486="","",DONNEES!M486)</f>
        <v/>
      </c>
      <c r="M486" t="str">
        <f>IF(DONNEES!$E486="","",DONNEES!N486)</f>
        <v/>
      </c>
      <c r="N486" t="str">
        <f>IF(DONNEES!$E486="","",DONNEES!O486)</f>
        <v/>
      </c>
      <c r="O486" t="str">
        <f>IF(DONNEES!$E486="","",DONNEES!P486)</f>
        <v/>
      </c>
      <c r="P486" t="str">
        <f>IF(DONNEES!$E486="","",DONNEES!Q486)</f>
        <v/>
      </c>
      <c r="Q486" t="str">
        <f>IF(DONNEES!$E486="","",DONNEES!R486)</f>
        <v/>
      </c>
      <c r="R486" t="str">
        <f>IF(DONNEES!$E486="","",DONNEES!S486)</f>
        <v/>
      </c>
      <c r="S486" t="str">
        <f>IF(DONNEES!$E486="","",DONNEES!T486)</f>
        <v/>
      </c>
      <c r="T486" t="str">
        <f>IF(DONNEES!$E486="","",DONNEES!U486)</f>
        <v/>
      </c>
      <c r="U486" t="str">
        <f>IF(DONNEES!$E486="","",DONNEES!V486)</f>
        <v/>
      </c>
      <c r="V486" t="str">
        <f>IF(DONNEES!$E486="","",DONNEES!W486)</f>
        <v/>
      </c>
      <c r="W486" t="str">
        <f>IF(DONNEES!$E486="","",DONNEES!X486)</f>
        <v/>
      </c>
      <c r="X486" t="str">
        <f>IF(DONNEES!$E486="","",DONNEES!Y486)</f>
        <v/>
      </c>
      <c r="Y486" t="str">
        <f>IF(DONNEES!$E486="","",DONNEES!Z486)</f>
        <v/>
      </c>
      <c r="Z486" t="str">
        <f>IF(DONNEES!$E486="","",DONNEES!AQ486)</f>
        <v/>
      </c>
    </row>
    <row r="487" spans="1:26" ht="15" customHeight="1" x14ac:dyDescent="0.3">
      <c r="A487" t="str">
        <f>IF(DONNEES!$E487="","",DONNEES!A487)</f>
        <v/>
      </c>
      <c r="B487" t="str">
        <f>IF(DONNEES!$E487="","",DONNEES!B487)</f>
        <v/>
      </c>
      <c r="C487" t="str">
        <f>IF(DONNEES!$E487="","",DONNEES!C487)</f>
        <v/>
      </c>
      <c r="D487" t="str">
        <f>IF(DONNEES!$E487="","",DONNEES!E487)</f>
        <v/>
      </c>
      <c r="E487" t="str">
        <f>IF(DONNEES!$E487="","",DONNEES!F487)</f>
        <v/>
      </c>
      <c r="F487" t="str">
        <f>IF(DONNEES!$E487="","",DONNEES!G487)</f>
        <v/>
      </c>
      <c r="G487" t="str">
        <f>IF(DONNEES!$E487="","",DONNEES!H487)</f>
        <v/>
      </c>
      <c r="H487" t="str">
        <f>IF(DONNEES!$E487="","",DONNEES!I487)</f>
        <v/>
      </c>
      <c r="I487" t="str">
        <f>IF(DONNEES!$E487="","",DONNEES!J487)</f>
        <v/>
      </c>
      <c r="J487" t="str">
        <f>IF(DONNEES!$E487="","",DONNEES!K487)</f>
        <v/>
      </c>
      <c r="K487" t="str">
        <f>IF(DONNEES!$E487="","",DONNEES!L487)</f>
        <v/>
      </c>
      <c r="L487" t="str">
        <f>IF(DONNEES!$E487="","",DONNEES!M487)</f>
        <v/>
      </c>
      <c r="M487" t="str">
        <f>IF(DONNEES!$E487="","",DONNEES!N487)</f>
        <v/>
      </c>
      <c r="N487" t="str">
        <f>IF(DONNEES!$E487="","",DONNEES!O487)</f>
        <v/>
      </c>
      <c r="O487" t="str">
        <f>IF(DONNEES!$E487="","",DONNEES!P487)</f>
        <v/>
      </c>
      <c r="P487" t="str">
        <f>IF(DONNEES!$E487="","",DONNEES!Q487)</f>
        <v/>
      </c>
      <c r="Q487" t="str">
        <f>IF(DONNEES!$E487="","",DONNEES!R487)</f>
        <v/>
      </c>
      <c r="R487" t="str">
        <f>IF(DONNEES!$E487="","",DONNEES!S487)</f>
        <v/>
      </c>
      <c r="S487" t="str">
        <f>IF(DONNEES!$E487="","",DONNEES!T487)</f>
        <v/>
      </c>
      <c r="T487" t="str">
        <f>IF(DONNEES!$E487="","",DONNEES!U487)</f>
        <v/>
      </c>
      <c r="U487" t="str">
        <f>IF(DONNEES!$E487="","",DONNEES!V487)</f>
        <v/>
      </c>
      <c r="V487" t="str">
        <f>IF(DONNEES!$E487="","",DONNEES!W487)</f>
        <v/>
      </c>
      <c r="W487" t="str">
        <f>IF(DONNEES!$E487="","",DONNEES!X487)</f>
        <v/>
      </c>
      <c r="X487" t="str">
        <f>IF(DONNEES!$E487="","",DONNEES!Y487)</f>
        <v/>
      </c>
      <c r="Y487" t="str">
        <f>IF(DONNEES!$E487="","",DONNEES!Z487)</f>
        <v/>
      </c>
      <c r="Z487" t="str">
        <f>IF(DONNEES!$E487="","",DONNEES!AQ487)</f>
        <v/>
      </c>
    </row>
    <row r="488" spans="1:26" ht="15" customHeight="1" x14ac:dyDescent="0.3">
      <c r="A488" t="str">
        <f>IF(DONNEES!$E488="","",DONNEES!A488)</f>
        <v/>
      </c>
      <c r="B488" t="str">
        <f>IF(DONNEES!$E488="","",DONNEES!B488)</f>
        <v/>
      </c>
      <c r="C488" t="str">
        <f>IF(DONNEES!$E488="","",DONNEES!C488)</f>
        <v/>
      </c>
      <c r="D488" t="str">
        <f>IF(DONNEES!$E488="","",DONNEES!E488)</f>
        <v/>
      </c>
      <c r="E488" t="str">
        <f>IF(DONNEES!$E488="","",DONNEES!F488)</f>
        <v/>
      </c>
      <c r="F488" t="str">
        <f>IF(DONNEES!$E488="","",DONNEES!G488)</f>
        <v/>
      </c>
      <c r="G488" t="str">
        <f>IF(DONNEES!$E488="","",DONNEES!H488)</f>
        <v/>
      </c>
      <c r="H488" t="str">
        <f>IF(DONNEES!$E488="","",DONNEES!I488)</f>
        <v/>
      </c>
      <c r="I488" t="str">
        <f>IF(DONNEES!$E488="","",DONNEES!J488)</f>
        <v/>
      </c>
      <c r="J488" t="str">
        <f>IF(DONNEES!$E488="","",DONNEES!K488)</f>
        <v/>
      </c>
      <c r="K488" t="str">
        <f>IF(DONNEES!$E488="","",DONNEES!L488)</f>
        <v/>
      </c>
      <c r="L488" t="str">
        <f>IF(DONNEES!$E488="","",DONNEES!M488)</f>
        <v/>
      </c>
      <c r="M488" t="str">
        <f>IF(DONNEES!$E488="","",DONNEES!N488)</f>
        <v/>
      </c>
      <c r="N488" t="str">
        <f>IF(DONNEES!$E488="","",DONNEES!O488)</f>
        <v/>
      </c>
      <c r="O488" t="str">
        <f>IF(DONNEES!$E488="","",DONNEES!P488)</f>
        <v/>
      </c>
      <c r="P488" t="str">
        <f>IF(DONNEES!$E488="","",DONNEES!Q488)</f>
        <v/>
      </c>
      <c r="Q488" t="str">
        <f>IF(DONNEES!$E488="","",DONNEES!R488)</f>
        <v/>
      </c>
      <c r="R488" t="str">
        <f>IF(DONNEES!$E488="","",DONNEES!S488)</f>
        <v/>
      </c>
      <c r="S488" t="str">
        <f>IF(DONNEES!$E488="","",DONNEES!T488)</f>
        <v/>
      </c>
      <c r="T488" t="str">
        <f>IF(DONNEES!$E488="","",DONNEES!U488)</f>
        <v/>
      </c>
      <c r="U488" t="str">
        <f>IF(DONNEES!$E488="","",DONNEES!V488)</f>
        <v/>
      </c>
      <c r="V488" t="str">
        <f>IF(DONNEES!$E488="","",DONNEES!W488)</f>
        <v/>
      </c>
      <c r="W488" t="str">
        <f>IF(DONNEES!$E488="","",DONNEES!X488)</f>
        <v/>
      </c>
      <c r="X488" t="str">
        <f>IF(DONNEES!$E488="","",DONNEES!Y488)</f>
        <v/>
      </c>
      <c r="Y488" t="str">
        <f>IF(DONNEES!$E488="","",DONNEES!Z488)</f>
        <v/>
      </c>
      <c r="Z488" t="str">
        <f>IF(DONNEES!$E488="","",DONNEES!AQ488)</f>
        <v/>
      </c>
    </row>
    <row r="489" spans="1:26" ht="15" customHeight="1" x14ac:dyDescent="0.3">
      <c r="A489" t="str">
        <f>IF(DONNEES!$E489="","",DONNEES!A489)</f>
        <v/>
      </c>
      <c r="B489" t="str">
        <f>IF(DONNEES!$E489="","",DONNEES!B489)</f>
        <v/>
      </c>
      <c r="C489" t="str">
        <f>IF(DONNEES!$E489="","",DONNEES!C489)</f>
        <v/>
      </c>
      <c r="D489" t="str">
        <f>IF(DONNEES!$E489="","",DONNEES!E489)</f>
        <v/>
      </c>
      <c r="E489" t="str">
        <f>IF(DONNEES!$E489="","",DONNEES!F489)</f>
        <v/>
      </c>
      <c r="F489" t="str">
        <f>IF(DONNEES!$E489="","",DONNEES!G489)</f>
        <v/>
      </c>
      <c r="G489" t="str">
        <f>IF(DONNEES!$E489="","",DONNEES!H489)</f>
        <v/>
      </c>
      <c r="H489" t="str">
        <f>IF(DONNEES!$E489="","",DONNEES!I489)</f>
        <v/>
      </c>
      <c r="I489" t="str">
        <f>IF(DONNEES!$E489="","",DONNEES!J489)</f>
        <v/>
      </c>
      <c r="J489" t="str">
        <f>IF(DONNEES!$E489="","",DONNEES!K489)</f>
        <v/>
      </c>
      <c r="K489" t="str">
        <f>IF(DONNEES!$E489="","",DONNEES!L489)</f>
        <v/>
      </c>
      <c r="L489" t="str">
        <f>IF(DONNEES!$E489="","",DONNEES!M489)</f>
        <v/>
      </c>
      <c r="M489" t="str">
        <f>IF(DONNEES!$E489="","",DONNEES!N489)</f>
        <v/>
      </c>
      <c r="N489" t="str">
        <f>IF(DONNEES!$E489="","",DONNEES!O489)</f>
        <v/>
      </c>
      <c r="O489" t="str">
        <f>IF(DONNEES!$E489="","",DONNEES!P489)</f>
        <v/>
      </c>
      <c r="P489" t="str">
        <f>IF(DONNEES!$E489="","",DONNEES!Q489)</f>
        <v/>
      </c>
      <c r="Q489" t="str">
        <f>IF(DONNEES!$E489="","",DONNEES!R489)</f>
        <v/>
      </c>
      <c r="R489" t="str">
        <f>IF(DONNEES!$E489="","",DONNEES!S489)</f>
        <v/>
      </c>
      <c r="S489" t="str">
        <f>IF(DONNEES!$E489="","",DONNEES!T489)</f>
        <v/>
      </c>
      <c r="T489" t="str">
        <f>IF(DONNEES!$E489="","",DONNEES!U489)</f>
        <v/>
      </c>
      <c r="U489" t="str">
        <f>IF(DONNEES!$E489="","",DONNEES!V489)</f>
        <v/>
      </c>
      <c r="V489" t="str">
        <f>IF(DONNEES!$E489="","",DONNEES!W489)</f>
        <v/>
      </c>
      <c r="W489" t="str">
        <f>IF(DONNEES!$E489="","",DONNEES!X489)</f>
        <v/>
      </c>
      <c r="X489" t="str">
        <f>IF(DONNEES!$E489="","",DONNEES!Y489)</f>
        <v/>
      </c>
      <c r="Y489" t="str">
        <f>IF(DONNEES!$E489="","",DONNEES!Z489)</f>
        <v/>
      </c>
      <c r="Z489" t="str">
        <f>IF(DONNEES!$E489="","",DONNEES!AQ489)</f>
        <v/>
      </c>
    </row>
    <row r="490" spans="1:26" ht="15" customHeight="1" x14ac:dyDescent="0.3">
      <c r="A490" t="str">
        <f>IF(DONNEES!$E490="","",DONNEES!A490)</f>
        <v/>
      </c>
      <c r="B490" t="str">
        <f>IF(DONNEES!$E490="","",DONNEES!B490)</f>
        <v/>
      </c>
      <c r="C490" t="str">
        <f>IF(DONNEES!$E490="","",DONNEES!C490)</f>
        <v/>
      </c>
      <c r="D490" t="str">
        <f>IF(DONNEES!$E490="","",DONNEES!E490)</f>
        <v/>
      </c>
      <c r="E490" t="str">
        <f>IF(DONNEES!$E490="","",DONNEES!F490)</f>
        <v/>
      </c>
      <c r="F490" t="str">
        <f>IF(DONNEES!$E490="","",DONNEES!G490)</f>
        <v/>
      </c>
      <c r="G490" t="str">
        <f>IF(DONNEES!$E490="","",DONNEES!H490)</f>
        <v/>
      </c>
      <c r="H490" t="str">
        <f>IF(DONNEES!$E490="","",DONNEES!I490)</f>
        <v/>
      </c>
      <c r="I490" t="str">
        <f>IF(DONNEES!$E490="","",DONNEES!J490)</f>
        <v/>
      </c>
      <c r="J490" t="str">
        <f>IF(DONNEES!$E490="","",DONNEES!K490)</f>
        <v/>
      </c>
      <c r="K490" t="str">
        <f>IF(DONNEES!$E490="","",DONNEES!L490)</f>
        <v/>
      </c>
      <c r="L490" t="str">
        <f>IF(DONNEES!$E490="","",DONNEES!M490)</f>
        <v/>
      </c>
      <c r="M490" t="str">
        <f>IF(DONNEES!$E490="","",DONNEES!N490)</f>
        <v/>
      </c>
      <c r="N490" t="str">
        <f>IF(DONNEES!$E490="","",DONNEES!O490)</f>
        <v/>
      </c>
      <c r="O490" t="str">
        <f>IF(DONNEES!$E490="","",DONNEES!P490)</f>
        <v/>
      </c>
      <c r="P490" t="str">
        <f>IF(DONNEES!$E490="","",DONNEES!Q490)</f>
        <v/>
      </c>
      <c r="Q490" t="str">
        <f>IF(DONNEES!$E490="","",DONNEES!R490)</f>
        <v/>
      </c>
      <c r="R490" t="str">
        <f>IF(DONNEES!$E490="","",DONNEES!S490)</f>
        <v/>
      </c>
      <c r="S490" t="str">
        <f>IF(DONNEES!$E490="","",DONNEES!T490)</f>
        <v/>
      </c>
      <c r="T490" t="str">
        <f>IF(DONNEES!$E490="","",DONNEES!U490)</f>
        <v/>
      </c>
      <c r="U490" t="str">
        <f>IF(DONNEES!$E490="","",DONNEES!V490)</f>
        <v/>
      </c>
      <c r="V490" t="str">
        <f>IF(DONNEES!$E490="","",DONNEES!W490)</f>
        <v/>
      </c>
      <c r="W490" t="str">
        <f>IF(DONNEES!$E490="","",DONNEES!X490)</f>
        <v/>
      </c>
      <c r="X490" t="str">
        <f>IF(DONNEES!$E490="","",DONNEES!Y490)</f>
        <v/>
      </c>
      <c r="Y490" t="str">
        <f>IF(DONNEES!$E490="","",DONNEES!Z490)</f>
        <v/>
      </c>
      <c r="Z490" t="str">
        <f>IF(DONNEES!$E490="","",DONNEES!AQ490)</f>
        <v/>
      </c>
    </row>
    <row r="491" spans="1:26" ht="15" customHeight="1" x14ac:dyDescent="0.3">
      <c r="A491" t="str">
        <f>IF(DONNEES!$E491="","",DONNEES!A491)</f>
        <v/>
      </c>
      <c r="B491" t="str">
        <f>IF(DONNEES!$E491="","",DONNEES!B491)</f>
        <v/>
      </c>
      <c r="C491" t="str">
        <f>IF(DONNEES!$E491="","",DONNEES!C491)</f>
        <v/>
      </c>
      <c r="D491" t="str">
        <f>IF(DONNEES!$E491="","",DONNEES!E491)</f>
        <v/>
      </c>
      <c r="E491" t="str">
        <f>IF(DONNEES!$E491="","",DONNEES!F491)</f>
        <v/>
      </c>
      <c r="F491" t="str">
        <f>IF(DONNEES!$E491="","",DONNEES!G491)</f>
        <v/>
      </c>
      <c r="G491" t="str">
        <f>IF(DONNEES!$E491="","",DONNEES!H491)</f>
        <v/>
      </c>
      <c r="H491" t="str">
        <f>IF(DONNEES!$E491="","",DONNEES!I491)</f>
        <v/>
      </c>
      <c r="I491" t="str">
        <f>IF(DONNEES!$E491="","",DONNEES!J491)</f>
        <v/>
      </c>
      <c r="J491" t="str">
        <f>IF(DONNEES!$E491="","",DONNEES!K491)</f>
        <v/>
      </c>
      <c r="K491" t="str">
        <f>IF(DONNEES!$E491="","",DONNEES!L491)</f>
        <v/>
      </c>
      <c r="L491" t="str">
        <f>IF(DONNEES!$E491="","",DONNEES!M491)</f>
        <v/>
      </c>
      <c r="M491" t="str">
        <f>IF(DONNEES!$E491="","",DONNEES!N491)</f>
        <v/>
      </c>
      <c r="N491" t="str">
        <f>IF(DONNEES!$E491="","",DONNEES!O491)</f>
        <v/>
      </c>
      <c r="O491" t="str">
        <f>IF(DONNEES!$E491="","",DONNEES!P491)</f>
        <v/>
      </c>
      <c r="P491" t="str">
        <f>IF(DONNEES!$E491="","",DONNEES!Q491)</f>
        <v/>
      </c>
      <c r="Q491" t="str">
        <f>IF(DONNEES!$E491="","",DONNEES!R491)</f>
        <v/>
      </c>
      <c r="R491" t="str">
        <f>IF(DONNEES!$E491="","",DONNEES!S491)</f>
        <v/>
      </c>
      <c r="S491" t="str">
        <f>IF(DONNEES!$E491="","",DONNEES!T491)</f>
        <v/>
      </c>
      <c r="T491" t="str">
        <f>IF(DONNEES!$E491="","",DONNEES!U491)</f>
        <v/>
      </c>
      <c r="U491" t="str">
        <f>IF(DONNEES!$E491="","",DONNEES!V491)</f>
        <v/>
      </c>
      <c r="V491" t="str">
        <f>IF(DONNEES!$E491="","",DONNEES!W491)</f>
        <v/>
      </c>
      <c r="W491" t="str">
        <f>IF(DONNEES!$E491="","",DONNEES!X491)</f>
        <v/>
      </c>
      <c r="X491" t="str">
        <f>IF(DONNEES!$E491="","",DONNEES!Y491)</f>
        <v/>
      </c>
      <c r="Y491" t="str">
        <f>IF(DONNEES!$E491="","",DONNEES!Z491)</f>
        <v/>
      </c>
      <c r="Z491" t="str">
        <f>IF(DONNEES!$E491="","",DONNEES!AQ491)</f>
        <v/>
      </c>
    </row>
    <row r="492" spans="1:26" ht="15" customHeight="1" x14ac:dyDescent="0.3">
      <c r="A492" t="str">
        <f>IF(DONNEES!$E492="","",DONNEES!A492)</f>
        <v/>
      </c>
      <c r="B492" t="str">
        <f>IF(DONNEES!$E492="","",DONNEES!B492)</f>
        <v/>
      </c>
      <c r="C492" t="str">
        <f>IF(DONNEES!$E492="","",DONNEES!C492)</f>
        <v/>
      </c>
      <c r="D492" t="str">
        <f>IF(DONNEES!$E492="","",DONNEES!E492)</f>
        <v/>
      </c>
      <c r="E492" t="str">
        <f>IF(DONNEES!$E492="","",DONNEES!F492)</f>
        <v/>
      </c>
      <c r="F492" t="str">
        <f>IF(DONNEES!$E492="","",DONNEES!G492)</f>
        <v/>
      </c>
      <c r="G492" t="str">
        <f>IF(DONNEES!$E492="","",DONNEES!H492)</f>
        <v/>
      </c>
      <c r="H492" t="str">
        <f>IF(DONNEES!$E492="","",DONNEES!I492)</f>
        <v/>
      </c>
      <c r="I492" t="str">
        <f>IF(DONNEES!$E492="","",DONNEES!J492)</f>
        <v/>
      </c>
      <c r="J492" t="str">
        <f>IF(DONNEES!$E492="","",DONNEES!K492)</f>
        <v/>
      </c>
      <c r="K492" t="str">
        <f>IF(DONNEES!$E492="","",DONNEES!L492)</f>
        <v/>
      </c>
      <c r="L492" t="str">
        <f>IF(DONNEES!$E492="","",DONNEES!M492)</f>
        <v/>
      </c>
      <c r="M492" t="str">
        <f>IF(DONNEES!$E492="","",DONNEES!N492)</f>
        <v/>
      </c>
      <c r="N492" t="str">
        <f>IF(DONNEES!$E492="","",DONNEES!O492)</f>
        <v/>
      </c>
      <c r="O492" t="str">
        <f>IF(DONNEES!$E492="","",DONNEES!P492)</f>
        <v/>
      </c>
      <c r="P492" t="str">
        <f>IF(DONNEES!$E492="","",DONNEES!Q492)</f>
        <v/>
      </c>
      <c r="Q492" t="str">
        <f>IF(DONNEES!$E492="","",DONNEES!R492)</f>
        <v/>
      </c>
      <c r="R492" t="str">
        <f>IF(DONNEES!$E492="","",DONNEES!S492)</f>
        <v/>
      </c>
      <c r="S492" t="str">
        <f>IF(DONNEES!$E492="","",DONNEES!T492)</f>
        <v/>
      </c>
      <c r="T492" t="str">
        <f>IF(DONNEES!$E492="","",DONNEES!U492)</f>
        <v/>
      </c>
      <c r="U492" t="str">
        <f>IF(DONNEES!$E492="","",DONNEES!V492)</f>
        <v/>
      </c>
      <c r="V492" t="str">
        <f>IF(DONNEES!$E492="","",DONNEES!W492)</f>
        <v/>
      </c>
      <c r="W492" t="str">
        <f>IF(DONNEES!$E492="","",DONNEES!X492)</f>
        <v/>
      </c>
      <c r="X492" t="str">
        <f>IF(DONNEES!$E492="","",DONNEES!Y492)</f>
        <v/>
      </c>
      <c r="Y492" t="str">
        <f>IF(DONNEES!$E492="","",DONNEES!Z492)</f>
        <v/>
      </c>
      <c r="Z492" t="str">
        <f>IF(DONNEES!$E492="","",DONNEES!AQ492)</f>
        <v/>
      </c>
    </row>
    <row r="493" spans="1:26" ht="15" customHeight="1" x14ac:dyDescent="0.3">
      <c r="A493" t="str">
        <f>IF(DONNEES!$E493="","",DONNEES!A493)</f>
        <v/>
      </c>
      <c r="B493" t="str">
        <f>IF(DONNEES!$E493="","",DONNEES!B493)</f>
        <v/>
      </c>
      <c r="C493" t="str">
        <f>IF(DONNEES!$E493="","",DONNEES!C493)</f>
        <v/>
      </c>
      <c r="D493" t="str">
        <f>IF(DONNEES!$E493="","",DONNEES!E493)</f>
        <v/>
      </c>
      <c r="E493" t="str">
        <f>IF(DONNEES!$E493="","",DONNEES!F493)</f>
        <v/>
      </c>
      <c r="F493" t="str">
        <f>IF(DONNEES!$E493="","",DONNEES!G493)</f>
        <v/>
      </c>
      <c r="G493" t="str">
        <f>IF(DONNEES!$E493="","",DONNEES!H493)</f>
        <v/>
      </c>
      <c r="H493" t="str">
        <f>IF(DONNEES!$E493="","",DONNEES!I493)</f>
        <v/>
      </c>
      <c r="I493" t="str">
        <f>IF(DONNEES!$E493="","",DONNEES!J493)</f>
        <v/>
      </c>
      <c r="J493" t="str">
        <f>IF(DONNEES!$E493="","",DONNEES!K493)</f>
        <v/>
      </c>
      <c r="K493" t="str">
        <f>IF(DONNEES!$E493="","",DONNEES!L493)</f>
        <v/>
      </c>
      <c r="L493" t="str">
        <f>IF(DONNEES!$E493="","",DONNEES!M493)</f>
        <v/>
      </c>
      <c r="M493" t="str">
        <f>IF(DONNEES!$E493="","",DONNEES!N493)</f>
        <v/>
      </c>
      <c r="N493" t="str">
        <f>IF(DONNEES!$E493="","",DONNEES!O493)</f>
        <v/>
      </c>
      <c r="O493" t="str">
        <f>IF(DONNEES!$E493="","",DONNEES!P493)</f>
        <v/>
      </c>
      <c r="P493" t="str">
        <f>IF(DONNEES!$E493="","",DONNEES!Q493)</f>
        <v/>
      </c>
      <c r="Q493" t="str">
        <f>IF(DONNEES!$E493="","",DONNEES!R493)</f>
        <v/>
      </c>
      <c r="R493" t="str">
        <f>IF(DONNEES!$E493="","",DONNEES!S493)</f>
        <v/>
      </c>
      <c r="S493" t="str">
        <f>IF(DONNEES!$E493="","",DONNEES!T493)</f>
        <v/>
      </c>
      <c r="T493" t="str">
        <f>IF(DONNEES!$E493="","",DONNEES!U493)</f>
        <v/>
      </c>
      <c r="U493" t="str">
        <f>IF(DONNEES!$E493="","",DONNEES!V493)</f>
        <v/>
      </c>
      <c r="V493" t="str">
        <f>IF(DONNEES!$E493="","",DONNEES!W493)</f>
        <v/>
      </c>
      <c r="W493" t="str">
        <f>IF(DONNEES!$E493="","",DONNEES!X493)</f>
        <v/>
      </c>
      <c r="X493" t="str">
        <f>IF(DONNEES!$E493="","",DONNEES!Y493)</f>
        <v/>
      </c>
      <c r="Y493" t="str">
        <f>IF(DONNEES!$E493="","",DONNEES!Z493)</f>
        <v/>
      </c>
      <c r="Z493" t="str">
        <f>IF(DONNEES!$E493="","",DONNEES!AQ493)</f>
        <v/>
      </c>
    </row>
    <row r="494" spans="1:26" ht="15" customHeight="1" x14ac:dyDescent="0.3">
      <c r="A494" t="str">
        <f>IF(DONNEES!$E494="","",DONNEES!A494)</f>
        <v/>
      </c>
      <c r="B494" t="str">
        <f>IF(DONNEES!$E494="","",DONNEES!B494)</f>
        <v/>
      </c>
      <c r="C494" t="str">
        <f>IF(DONNEES!$E494="","",DONNEES!C494)</f>
        <v/>
      </c>
      <c r="D494" t="str">
        <f>IF(DONNEES!$E494="","",DONNEES!E494)</f>
        <v/>
      </c>
      <c r="E494" t="str">
        <f>IF(DONNEES!$E494="","",DONNEES!F494)</f>
        <v/>
      </c>
      <c r="F494" t="str">
        <f>IF(DONNEES!$E494="","",DONNEES!G494)</f>
        <v/>
      </c>
      <c r="G494" t="str">
        <f>IF(DONNEES!$E494="","",DONNEES!H494)</f>
        <v/>
      </c>
      <c r="H494" t="str">
        <f>IF(DONNEES!$E494="","",DONNEES!I494)</f>
        <v/>
      </c>
      <c r="I494" t="str">
        <f>IF(DONNEES!$E494="","",DONNEES!J494)</f>
        <v/>
      </c>
      <c r="J494" t="str">
        <f>IF(DONNEES!$E494="","",DONNEES!K494)</f>
        <v/>
      </c>
      <c r="K494" t="str">
        <f>IF(DONNEES!$E494="","",DONNEES!L494)</f>
        <v/>
      </c>
      <c r="L494" t="str">
        <f>IF(DONNEES!$E494="","",DONNEES!M494)</f>
        <v/>
      </c>
      <c r="M494" t="str">
        <f>IF(DONNEES!$E494="","",DONNEES!N494)</f>
        <v/>
      </c>
      <c r="N494" t="str">
        <f>IF(DONNEES!$E494="","",DONNEES!O494)</f>
        <v/>
      </c>
      <c r="O494" t="str">
        <f>IF(DONNEES!$E494="","",DONNEES!P494)</f>
        <v/>
      </c>
      <c r="P494" t="str">
        <f>IF(DONNEES!$E494="","",DONNEES!Q494)</f>
        <v/>
      </c>
      <c r="Q494" t="str">
        <f>IF(DONNEES!$E494="","",DONNEES!R494)</f>
        <v/>
      </c>
      <c r="R494" t="str">
        <f>IF(DONNEES!$E494="","",DONNEES!S494)</f>
        <v/>
      </c>
      <c r="S494" t="str">
        <f>IF(DONNEES!$E494="","",DONNEES!T494)</f>
        <v/>
      </c>
      <c r="T494" t="str">
        <f>IF(DONNEES!$E494="","",DONNEES!U494)</f>
        <v/>
      </c>
      <c r="U494" t="str">
        <f>IF(DONNEES!$E494="","",DONNEES!V494)</f>
        <v/>
      </c>
      <c r="V494" t="str">
        <f>IF(DONNEES!$E494="","",DONNEES!W494)</f>
        <v/>
      </c>
      <c r="W494" t="str">
        <f>IF(DONNEES!$E494="","",DONNEES!X494)</f>
        <v/>
      </c>
      <c r="X494" t="str">
        <f>IF(DONNEES!$E494="","",DONNEES!Y494)</f>
        <v/>
      </c>
      <c r="Y494" t="str">
        <f>IF(DONNEES!$E494="","",DONNEES!Z494)</f>
        <v/>
      </c>
      <c r="Z494" t="str">
        <f>IF(DONNEES!$E494="","",DONNEES!AQ494)</f>
        <v/>
      </c>
    </row>
    <row r="495" spans="1:26" ht="15" customHeight="1" x14ac:dyDescent="0.3">
      <c r="A495" t="str">
        <f>IF(DONNEES!$E495="","",DONNEES!A495)</f>
        <v/>
      </c>
      <c r="B495" t="str">
        <f>IF(DONNEES!$E495="","",DONNEES!B495)</f>
        <v/>
      </c>
      <c r="C495" t="str">
        <f>IF(DONNEES!$E495="","",DONNEES!C495)</f>
        <v/>
      </c>
      <c r="D495" t="str">
        <f>IF(DONNEES!$E495="","",DONNEES!E495)</f>
        <v/>
      </c>
      <c r="E495" t="str">
        <f>IF(DONNEES!$E495="","",DONNEES!F495)</f>
        <v/>
      </c>
      <c r="F495" t="str">
        <f>IF(DONNEES!$E495="","",DONNEES!G495)</f>
        <v/>
      </c>
      <c r="G495" t="str">
        <f>IF(DONNEES!$E495="","",DONNEES!H495)</f>
        <v/>
      </c>
      <c r="H495" t="str">
        <f>IF(DONNEES!$E495="","",DONNEES!I495)</f>
        <v/>
      </c>
      <c r="I495" t="str">
        <f>IF(DONNEES!$E495="","",DONNEES!J495)</f>
        <v/>
      </c>
      <c r="J495" t="str">
        <f>IF(DONNEES!$E495="","",DONNEES!K495)</f>
        <v/>
      </c>
      <c r="K495" t="str">
        <f>IF(DONNEES!$E495="","",DONNEES!L495)</f>
        <v/>
      </c>
      <c r="L495" t="str">
        <f>IF(DONNEES!$E495="","",DONNEES!M495)</f>
        <v/>
      </c>
      <c r="M495" t="str">
        <f>IF(DONNEES!$E495="","",DONNEES!N495)</f>
        <v/>
      </c>
      <c r="N495" t="str">
        <f>IF(DONNEES!$E495="","",DONNEES!O495)</f>
        <v/>
      </c>
      <c r="O495" t="str">
        <f>IF(DONNEES!$E495="","",DONNEES!P495)</f>
        <v/>
      </c>
      <c r="P495" t="str">
        <f>IF(DONNEES!$E495="","",DONNEES!Q495)</f>
        <v/>
      </c>
      <c r="Q495" t="str">
        <f>IF(DONNEES!$E495="","",DONNEES!R495)</f>
        <v/>
      </c>
      <c r="R495" t="str">
        <f>IF(DONNEES!$E495="","",DONNEES!S495)</f>
        <v/>
      </c>
      <c r="S495" t="str">
        <f>IF(DONNEES!$E495="","",DONNEES!T495)</f>
        <v/>
      </c>
      <c r="T495" t="str">
        <f>IF(DONNEES!$E495="","",DONNEES!U495)</f>
        <v/>
      </c>
      <c r="U495" t="str">
        <f>IF(DONNEES!$E495="","",DONNEES!V495)</f>
        <v/>
      </c>
      <c r="V495" t="str">
        <f>IF(DONNEES!$E495="","",DONNEES!W495)</f>
        <v/>
      </c>
      <c r="W495" t="str">
        <f>IF(DONNEES!$E495="","",DONNEES!X495)</f>
        <v/>
      </c>
      <c r="X495" t="str">
        <f>IF(DONNEES!$E495="","",DONNEES!Y495)</f>
        <v/>
      </c>
      <c r="Y495" t="str">
        <f>IF(DONNEES!$E495="","",DONNEES!Z495)</f>
        <v/>
      </c>
      <c r="Z495" t="str">
        <f>IF(DONNEES!$E495="","",DONNEES!AQ495)</f>
        <v/>
      </c>
    </row>
    <row r="496" spans="1:26" ht="15" customHeight="1" x14ac:dyDescent="0.3">
      <c r="A496" t="str">
        <f>IF(DONNEES!$E496="","",DONNEES!A496)</f>
        <v/>
      </c>
      <c r="B496" t="str">
        <f>IF(DONNEES!$E496="","",DONNEES!B496)</f>
        <v/>
      </c>
      <c r="C496" t="str">
        <f>IF(DONNEES!$E496="","",DONNEES!C496)</f>
        <v/>
      </c>
      <c r="D496" t="str">
        <f>IF(DONNEES!$E496="","",DONNEES!E496)</f>
        <v/>
      </c>
      <c r="E496" t="str">
        <f>IF(DONNEES!$E496="","",DONNEES!F496)</f>
        <v/>
      </c>
      <c r="F496" t="str">
        <f>IF(DONNEES!$E496="","",DONNEES!G496)</f>
        <v/>
      </c>
      <c r="G496" t="str">
        <f>IF(DONNEES!$E496="","",DONNEES!H496)</f>
        <v/>
      </c>
      <c r="H496" t="str">
        <f>IF(DONNEES!$E496="","",DONNEES!I496)</f>
        <v/>
      </c>
      <c r="I496" t="str">
        <f>IF(DONNEES!$E496="","",DONNEES!J496)</f>
        <v/>
      </c>
      <c r="J496" t="str">
        <f>IF(DONNEES!$E496="","",DONNEES!K496)</f>
        <v/>
      </c>
      <c r="K496" t="str">
        <f>IF(DONNEES!$E496="","",DONNEES!L496)</f>
        <v/>
      </c>
      <c r="L496" t="str">
        <f>IF(DONNEES!$E496="","",DONNEES!M496)</f>
        <v/>
      </c>
      <c r="M496" t="str">
        <f>IF(DONNEES!$E496="","",DONNEES!N496)</f>
        <v/>
      </c>
      <c r="N496" t="str">
        <f>IF(DONNEES!$E496="","",DONNEES!O496)</f>
        <v/>
      </c>
      <c r="O496" t="str">
        <f>IF(DONNEES!$E496="","",DONNEES!P496)</f>
        <v/>
      </c>
      <c r="P496" t="str">
        <f>IF(DONNEES!$E496="","",DONNEES!Q496)</f>
        <v/>
      </c>
      <c r="Q496" t="str">
        <f>IF(DONNEES!$E496="","",DONNEES!R496)</f>
        <v/>
      </c>
      <c r="R496" t="str">
        <f>IF(DONNEES!$E496="","",DONNEES!S496)</f>
        <v/>
      </c>
      <c r="S496" t="str">
        <f>IF(DONNEES!$E496="","",DONNEES!T496)</f>
        <v/>
      </c>
      <c r="T496" t="str">
        <f>IF(DONNEES!$E496="","",DONNEES!U496)</f>
        <v/>
      </c>
      <c r="U496" t="str">
        <f>IF(DONNEES!$E496="","",DONNEES!V496)</f>
        <v/>
      </c>
      <c r="V496" t="str">
        <f>IF(DONNEES!$E496="","",DONNEES!W496)</f>
        <v/>
      </c>
      <c r="W496" t="str">
        <f>IF(DONNEES!$E496="","",DONNEES!X496)</f>
        <v/>
      </c>
      <c r="X496" t="str">
        <f>IF(DONNEES!$E496="","",DONNEES!Y496)</f>
        <v/>
      </c>
      <c r="Y496" t="str">
        <f>IF(DONNEES!$E496="","",DONNEES!Z496)</f>
        <v/>
      </c>
      <c r="Z496" t="str">
        <f>IF(DONNEES!$E496="","",DONNEES!AQ496)</f>
        <v/>
      </c>
    </row>
    <row r="497" spans="1:26" ht="15" customHeight="1" x14ac:dyDescent="0.3">
      <c r="A497" t="str">
        <f>IF(DONNEES!$E497="","",DONNEES!A497)</f>
        <v/>
      </c>
      <c r="B497" t="str">
        <f>IF(DONNEES!$E497="","",DONNEES!B497)</f>
        <v/>
      </c>
      <c r="C497" t="str">
        <f>IF(DONNEES!$E497="","",DONNEES!C497)</f>
        <v/>
      </c>
      <c r="D497" t="str">
        <f>IF(DONNEES!$E497="","",DONNEES!E497)</f>
        <v/>
      </c>
      <c r="E497" t="str">
        <f>IF(DONNEES!$E497="","",DONNEES!F497)</f>
        <v/>
      </c>
      <c r="F497" t="str">
        <f>IF(DONNEES!$E497="","",DONNEES!G497)</f>
        <v/>
      </c>
      <c r="G497" t="str">
        <f>IF(DONNEES!$E497="","",DONNEES!H497)</f>
        <v/>
      </c>
      <c r="H497" t="str">
        <f>IF(DONNEES!$E497="","",DONNEES!I497)</f>
        <v/>
      </c>
      <c r="I497" t="str">
        <f>IF(DONNEES!$E497="","",DONNEES!J497)</f>
        <v/>
      </c>
      <c r="J497" t="str">
        <f>IF(DONNEES!$E497="","",DONNEES!K497)</f>
        <v/>
      </c>
      <c r="K497" t="str">
        <f>IF(DONNEES!$E497="","",DONNEES!L497)</f>
        <v/>
      </c>
      <c r="L497" t="str">
        <f>IF(DONNEES!$E497="","",DONNEES!M497)</f>
        <v/>
      </c>
      <c r="M497" t="str">
        <f>IF(DONNEES!$E497="","",DONNEES!N497)</f>
        <v/>
      </c>
      <c r="N497" t="str">
        <f>IF(DONNEES!$E497="","",DONNEES!O497)</f>
        <v/>
      </c>
      <c r="O497" t="str">
        <f>IF(DONNEES!$E497="","",DONNEES!P497)</f>
        <v/>
      </c>
      <c r="P497" t="str">
        <f>IF(DONNEES!$E497="","",DONNEES!Q497)</f>
        <v/>
      </c>
      <c r="Q497" t="str">
        <f>IF(DONNEES!$E497="","",DONNEES!R497)</f>
        <v/>
      </c>
      <c r="R497" t="str">
        <f>IF(DONNEES!$E497="","",DONNEES!S497)</f>
        <v/>
      </c>
      <c r="S497" t="str">
        <f>IF(DONNEES!$E497="","",DONNEES!T497)</f>
        <v/>
      </c>
      <c r="T497" t="str">
        <f>IF(DONNEES!$E497="","",DONNEES!U497)</f>
        <v/>
      </c>
      <c r="U497" t="str">
        <f>IF(DONNEES!$E497="","",DONNEES!V497)</f>
        <v/>
      </c>
      <c r="V497" t="str">
        <f>IF(DONNEES!$E497="","",DONNEES!W497)</f>
        <v/>
      </c>
      <c r="W497" t="str">
        <f>IF(DONNEES!$E497="","",DONNEES!X497)</f>
        <v/>
      </c>
      <c r="X497" t="str">
        <f>IF(DONNEES!$E497="","",DONNEES!Y497)</f>
        <v/>
      </c>
      <c r="Y497" t="str">
        <f>IF(DONNEES!$E497="","",DONNEES!Z497)</f>
        <v/>
      </c>
      <c r="Z497" t="str">
        <f>IF(DONNEES!$E497="","",DONNEES!AQ497)</f>
        <v/>
      </c>
    </row>
    <row r="498" spans="1:26" ht="15" customHeight="1" x14ac:dyDescent="0.3">
      <c r="A498" t="str">
        <f>IF(DONNEES!$E498="","",DONNEES!A498)</f>
        <v/>
      </c>
      <c r="B498" t="str">
        <f>IF(DONNEES!$E498="","",DONNEES!B498)</f>
        <v/>
      </c>
      <c r="C498" t="str">
        <f>IF(DONNEES!$E498="","",DONNEES!C498)</f>
        <v/>
      </c>
      <c r="D498" t="str">
        <f>IF(DONNEES!$E498="","",DONNEES!E498)</f>
        <v/>
      </c>
      <c r="E498" t="str">
        <f>IF(DONNEES!$E498="","",DONNEES!F498)</f>
        <v/>
      </c>
      <c r="F498" t="str">
        <f>IF(DONNEES!$E498="","",DONNEES!G498)</f>
        <v/>
      </c>
      <c r="G498" t="str">
        <f>IF(DONNEES!$E498="","",DONNEES!H498)</f>
        <v/>
      </c>
      <c r="H498" t="str">
        <f>IF(DONNEES!$E498="","",DONNEES!I498)</f>
        <v/>
      </c>
      <c r="I498" t="str">
        <f>IF(DONNEES!$E498="","",DONNEES!J498)</f>
        <v/>
      </c>
      <c r="J498" t="str">
        <f>IF(DONNEES!$E498="","",DONNEES!K498)</f>
        <v/>
      </c>
      <c r="K498" t="str">
        <f>IF(DONNEES!$E498="","",DONNEES!L498)</f>
        <v/>
      </c>
      <c r="L498" t="str">
        <f>IF(DONNEES!$E498="","",DONNEES!M498)</f>
        <v/>
      </c>
      <c r="M498" t="str">
        <f>IF(DONNEES!$E498="","",DONNEES!N498)</f>
        <v/>
      </c>
      <c r="N498" t="str">
        <f>IF(DONNEES!$E498="","",DONNEES!O498)</f>
        <v/>
      </c>
      <c r="O498" t="str">
        <f>IF(DONNEES!$E498="","",DONNEES!P498)</f>
        <v/>
      </c>
      <c r="P498" t="str">
        <f>IF(DONNEES!$E498="","",DONNEES!Q498)</f>
        <v/>
      </c>
      <c r="Q498" t="str">
        <f>IF(DONNEES!$E498="","",DONNEES!R498)</f>
        <v/>
      </c>
      <c r="R498" t="str">
        <f>IF(DONNEES!$E498="","",DONNEES!S498)</f>
        <v/>
      </c>
      <c r="S498" t="str">
        <f>IF(DONNEES!$E498="","",DONNEES!T498)</f>
        <v/>
      </c>
      <c r="T498" t="str">
        <f>IF(DONNEES!$E498="","",DONNEES!U498)</f>
        <v/>
      </c>
      <c r="U498" t="str">
        <f>IF(DONNEES!$E498="","",DONNEES!V498)</f>
        <v/>
      </c>
      <c r="V498" t="str">
        <f>IF(DONNEES!$E498="","",DONNEES!W498)</f>
        <v/>
      </c>
      <c r="W498" t="str">
        <f>IF(DONNEES!$E498="","",DONNEES!X498)</f>
        <v/>
      </c>
      <c r="X498" t="str">
        <f>IF(DONNEES!$E498="","",DONNEES!Y498)</f>
        <v/>
      </c>
      <c r="Y498" t="str">
        <f>IF(DONNEES!$E498="","",DONNEES!Z498)</f>
        <v/>
      </c>
      <c r="Z498" t="str">
        <f>IF(DONNEES!$E498="","",DONNEES!AQ498)</f>
        <v/>
      </c>
    </row>
    <row r="499" spans="1:26" ht="15" customHeight="1" x14ac:dyDescent="0.3">
      <c r="A499" t="str">
        <f>IF(DONNEES!$E499="","",DONNEES!A499)</f>
        <v/>
      </c>
      <c r="B499" t="str">
        <f>IF(DONNEES!$E499="","",DONNEES!B499)</f>
        <v/>
      </c>
      <c r="C499" t="str">
        <f>IF(DONNEES!$E499="","",DONNEES!C499)</f>
        <v/>
      </c>
      <c r="D499" t="str">
        <f>IF(DONNEES!$E499="","",DONNEES!E499)</f>
        <v/>
      </c>
      <c r="E499" t="str">
        <f>IF(DONNEES!$E499="","",DONNEES!F499)</f>
        <v/>
      </c>
      <c r="F499" t="str">
        <f>IF(DONNEES!$E499="","",DONNEES!G499)</f>
        <v/>
      </c>
      <c r="G499" t="str">
        <f>IF(DONNEES!$E499="","",DONNEES!H499)</f>
        <v/>
      </c>
      <c r="H499" t="str">
        <f>IF(DONNEES!$E499="","",DONNEES!I499)</f>
        <v/>
      </c>
      <c r="I499" t="str">
        <f>IF(DONNEES!$E499="","",DONNEES!J499)</f>
        <v/>
      </c>
      <c r="J499" t="str">
        <f>IF(DONNEES!$E499="","",DONNEES!K499)</f>
        <v/>
      </c>
      <c r="K499" t="str">
        <f>IF(DONNEES!$E499="","",DONNEES!L499)</f>
        <v/>
      </c>
      <c r="L499" t="str">
        <f>IF(DONNEES!$E499="","",DONNEES!M499)</f>
        <v/>
      </c>
      <c r="M499" t="str">
        <f>IF(DONNEES!$E499="","",DONNEES!N499)</f>
        <v/>
      </c>
      <c r="N499" t="str">
        <f>IF(DONNEES!$E499="","",DONNEES!O499)</f>
        <v/>
      </c>
      <c r="O499" t="str">
        <f>IF(DONNEES!$E499="","",DONNEES!P499)</f>
        <v/>
      </c>
      <c r="P499" t="str">
        <f>IF(DONNEES!$E499="","",DONNEES!Q499)</f>
        <v/>
      </c>
      <c r="Q499" t="str">
        <f>IF(DONNEES!$E499="","",DONNEES!R499)</f>
        <v/>
      </c>
      <c r="R499" t="str">
        <f>IF(DONNEES!$E499="","",DONNEES!S499)</f>
        <v/>
      </c>
      <c r="S499" t="str">
        <f>IF(DONNEES!$E499="","",DONNEES!T499)</f>
        <v/>
      </c>
      <c r="T499" t="str">
        <f>IF(DONNEES!$E499="","",DONNEES!U499)</f>
        <v/>
      </c>
      <c r="U499" t="str">
        <f>IF(DONNEES!$E499="","",DONNEES!V499)</f>
        <v/>
      </c>
      <c r="V499" t="str">
        <f>IF(DONNEES!$E499="","",DONNEES!W499)</f>
        <v/>
      </c>
      <c r="W499" t="str">
        <f>IF(DONNEES!$E499="","",DONNEES!X499)</f>
        <v/>
      </c>
      <c r="X499" t="str">
        <f>IF(DONNEES!$E499="","",DONNEES!Y499)</f>
        <v/>
      </c>
      <c r="Y499" t="str">
        <f>IF(DONNEES!$E499="","",DONNEES!Z499)</f>
        <v/>
      </c>
      <c r="Z499" t="str">
        <f>IF(DONNEES!$E499="","",DONNEES!AQ499)</f>
        <v/>
      </c>
    </row>
    <row r="500" spans="1:26" ht="15" customHeight="1" x14ac:dyDescent="0.3">
      <c r="A500" t="str">
        <f>IF(DONNEES!$E500="","",DONNEES!A500)</f>
        <v/>
      </c>
      <c r="B500" t="str">
        <f>IF(DONNEES!$E500="","",DONNEES!B500)</f>
        <v/>
      </c>
      <c r="C500" t="str">
        <f>IF(DONNEES!$E500="","",DONNEES!C500)</f>
        <v/>
      </c>
      <c r="D500" t="str">
        <f>IF(DONNEES!$E500="","",DONNEES!E500)</f>
        <v/>
      </c>
      <c r="E500" t="str">
        <f>IF(DONNEES!$E500="","",DONNEES!F500)</f>
        <v/>
      </c>
      <c r="F500" t="str">
        <f>IF(DONNEES!$E500="","",DONNEES!G500)</f>
        <v/>
      </c>
      <c r="G500" t="str">
        <f>IF(DONNEES!$E500="","",DONNEES!H500)</f>
        <v/>
      </c>
      <c r="H500" t="str">
        <f>IF(DONNEES!$E500="","",DONNEES!I500)</f>
        <v/>
      </c>
      <c r="I500" t="str">
        <f>IF(DONNEES!$E500="","",DONNEES!J500)</f>
        <v/>
      </c>
      <c r="J500" t="str">
        <f>IF(DONNEES!$E500="","",DONNEES!K500)</f>
        <v/>
      </c>
      <c r="K500" t="str">
        <f>IF(DONNEES!$E500="","",DONNEES!L500)</f>
        <v/>
      </c>
      <c r="L500" t="str">
        <f>IF(DONNEES!$E500="","",DONNEES!M500)</f>
        <v/>
      </c>
      <c r="M500" t="str">
        <f>IF(DONNEES!$E500="","",DONNEES!N500)</f>
        <v/>
      </c>
      <c r="N500" t="str">
        <f>IF(DONNEES!$E500="","",DONNEES!O500)</f>
        <v/>
      </c>
      <c r="O500" t="str">
        <f>IF(DONNEES!$E500="","",DONNEES!P500)</f>
        <v/>
      </c>
      <c r="P500" t="str">
        <f>IF(DONNEES!$E500="","",DONNEES!Q500)</f>
        <v/>
      </c>
      <c r="Q500" t="str">
        <f>IF(DONNEES!$E500="","",DONNEES!R500)</f>
        <v/>
      </c>
      <c r="R500" t="str">
        <f>IF(DONNEES!$E500="","",DONNEES!S500)</f>
        <v/>
      </c>
      <c r="S500" t="str">
        <f>IF(DONNEES!$E500="","",DONNEES!T500)</f>
        <v/>
      </c>
      <c r="T500" t="str">
        <f>IF(DONNEES!$E500="","",DONNEES!U500)</f>
        <v/>
      </c>
      <c r="U500" t="str">
        <f>IF(DONNEES!$E500="","",DONNEES!V500)</f>
        <v/>
      </c>
      <c r="V500" t="str">
        <f>IF(DONNEES!$E500="","",DONNEES!W500)</f>
        <v/>
      </c>
      <c r="W500" t="str">
        <f>IF(DONNEES!$E500="","",DONNEES!X500)</f>
        <v/>
      </c>
      <c r="X500" t="str">
        <f>IF(DONNEES!$E500="","",DONNEES!Y500)</f>
        <v/>
      </c>
      <c r="Y500" t="str">
        <f>IF(DONNEES!$E500="","",DONNEES!Z500)</f>
        <v/>
      </c>
      <c r="Z500" t="str">
        <f>IF(DONNEES!$E500="","",DONNEES!AQ500)</f>
        <v/>
      </c>
    </row>
    <row r="501" spans="1:26" ht="15" customHeight="1" x14ac:dyDescent="0.3">
      <c r="A501" t="str">
        <f>IF(DONNEES!$E501="","",DONNEES!A501)</f>
        <v/>
      </c>
      <c r="B501" t="str">
        <f>IF(DONNEES!$E501="","",DONNEES!B501)</f>
        <v/>
      </c>
      <c r="C501" t="str">
        <f>IF(DONNEES!$E501="","",DONNEES!C501)</f>
        <v/>
      </c>
      <c r="D501" t="str">
        <f>IF(DONNEES!$E501="","",DONNEES!E501)</f>
        <v/>
      </c>
      <c r="E501" t="str">
        <f>IF(DONNEES!$E501="","",DONNEES!F501)</f>
        <v/>
      </c>
      <c r="F501" t="str">
        <f>IF(DONNEES!$E501="","",DONNEES!G501)</f>
        <v/>
      </c>
      <c r="G501" t="str">
        <f>IF(DONNEES!$E501="","",DONNEES!H501)</f>
        <v/>
      </c>
      <c r="H501" t="str">
        <f>IF(DONNEES!$E501="","",DONNEES!I501)</f>
        <v/>
      </c>
      <c r="I501" t="str">
        <f>IF(DONNEES!$E501="","",DONNEES!J501)</f>
        <v/>
      </c>
      <c r="J501" t="str">
        <f>IF(DONNEES!$E501="","",DONNEES!K501)</f>
        <v/>
      </c>
      <c r="K501" t="str">
        <f>IF(DONNEES!$E501="","",DONNEES!L501)</f>
        <v/>
      </c>
      <c r="L501" t="str">
        <f>IF(DONNEES!$E501="","",DONNEES!M501)</f>
        <v/>
      </c>
      <c r="M501" t="str">
        <f>IF(DONNEES!$E501="","",DONNEES!N501)</f>
        <v/>
      </c>
      <c r="N501" t="str">
        <f>IF(DONNEES!$E501="","",DONNEES!O501)</f>
        <v/>
      </c>
      <c r="O501" t="str">
        <f>IF(DONNEES!$E501="","",DONNEES!P501)</f>
        <v/>
      </c>
      <c r="P501" t="str">
        <f>IF(DONNEES!$E501="","",DONNEES!Q501)</f>
        <v/>
      </c>
      <c r="Q501" t="str">
        <f>IF(DONNEES!$E501="","",DONNEES!R501)</f>
        <v/>
      </c>
      <c r="R501" t="str">
        <f>IF(DONNEES!$E501="","",DONNEES!S501)</f>
        <v/>
      </c>
      <c r="S501" t="str">
        <f>IF(DONNEES!$E501="","",DONNEES!T501)</f>
        <v/>
      </c>
      <c r="T501" t="str">
        <f>IF(DONNEES!$E501="","",DONNEES!U501)</f>
        <v/>
      </c>
      <c r="U501" t="str">
        <f>IF(DONNEES!$E501="","",DONNEES!V501)</f>
        <v/>
      </c>
      <c r="V501" t="str">
        <f>IF(DONNEES!$E501="","",DONNEES!W501)</f>
        <v/>
      </c>
      <c r="W501" t="str">
        <f>IF(DONNEES!$E501="","",DONNEES!X501)</f>
        <v/>
      </c>
      <c r="X501" t="str">
        <f>IF(DONNEES!$E501="","",DONNEES!Y501)</f>
        <v/>
      </c>
      <c r="Y501" t="str">
        <f>IF(DONNEES!$E501="","",DONNEES!Z501)</f>
        <v/>
      </c>
      <c r="Z501" t="str">
        <f>IF(DONNEES!$E501="","",DONNEES!AQ501)</f>
        <v/>
      </c>
    </row>
    <row r="502" spans="1:26" ht="15" customHeight="1" x14ac:dyDescent="0.3">
      <c r="A502" t="str">
        <f>IF(DONNEES!$E502="","",DONNEES!A502)</f>
        <v/>
      </c>
      <c r="B502" t="str">
        <f>IF(DONNEES!$E502="","",DONNEES!B502)</f>
        <v/>
      </c>
      <c r="C502" t="str">
        <f>IF(DONNEES!$E502="","",DONNEES!C502)</f>
        <v/>
      </c>
      <c r="D502" t="str">
        <f>IF(DONNEES!$E502="","",DONNEES!E502)</f>
        <v/>
      </c>
      <c r="E502" t="str">
        <f>IF(DONNEES!$E502="","",DONNEES!F502)</f>
        <v/>
      </c>
      <c r="F502" t="str">
        <f>IF(DONNEES!$E502="","",DONNEES!G502)</f>
        <v/>
      </c>
      <c r="G502" t="str">
        <f>IF(DONNEES!$E502="","",DONNEES!H502)</f>
        <v/>
      </c>
      <c r="H502" t="str">
        <f>IF(DONNEES!$E502="","",DONNEES!I502)</f>
        <v/>
      </c>
      <c r="I502" t="str">
        <f>IF(DONNEES!$E502="","",DONNEES!J502)</f>
        <v/>
      </c>
      <c r="J502" t="str">
        <f>IF(DONNEES!$E502="","",DONNEES!K502)</f>
        <v/>
      </c>
      <c r="K502" t="str">
        <f>IF(DONNEES!$E502="","",DONNEES!L502)</f>
        <v/>
      </c>
      <c r="L502" t="str">
        <f>IF(DONNEES!$E502="","",DONNEES!M502)</f>
        <v/>
      </c>
      <c r="M502" t="str">
        <f>IF(DONNEES!$E502="","",DONNEES!N502)</f>
        <v/>
      </c>
      <c r="N502" t="str">
        <f>IF(DONNEES!$E502="","",DONNEES!O502)</f>
        <v/>
      </c>
      <c r="O502" t="str">
        <f>IF(DONNEES!$E502="","",DONNEES!P502)</f>
        <v/>
      </c>
      <c r="P502" t="str">
        <f>IF(DONNEES!$E502="","",DONNEES!Q502)</f>
        <v/>
      </c>
      <c r="Q502" t="str">
        <f>IF(DONNEES!$E502="","",DONNEES!R502)</f>
        <v/>
      </c>
      <c r="R502" t="str">
        <f>IF(DONNEES!$E502="","",DONNEES!S502)</f>
        <v/>
      </c>
      <c r="S502" t="str">
        <f>IF(DONNEES!$E502="","",DONNEES!T502)</f>
        <v/>
      </c>
      <c r="T502" t="str">
        <f>IF(DONNEES!$E502="","",DONNEES!U502)</f>
        <v/>
      </c>
      <c r="U502" t="str">
        <f>IF(DONNEES!$E502="","",DONNEES!V502)</f>
        <v/>
      </c>
      <c r="V502" t="str">
        <f>IF(DONNEES!$E502="","",DONNEES!W502)</f>
        <v/>
      </c>
      <c r="W502" t="str">
        <f>IF(DONNEES!$E502="","",DONNEES!X502)</f>
        <v/>
      </c>
      <c r="X502" t="str">
        <f>IF(DONNEES!$E502="","",DONNEES!Y502)</f>
        <v/>
      </c>
      <c r="Y502" t="str">
        <f>IF(DONNEES!$E502="","",DONNEES!Z502)</f>
        <v/>
      </c>
      <c r="Z502" t="str">
        <f>IF(DONNEES!$E502="","",DONNEES!AQ502)</f>
        <v/>
      </c>
    </row>
    <row r="503" spans="1:26" ht="15" customHeight="1" x14ac:dyDescent="0.3">
      <c r="A503" t="str">
        <f>IF(DONNEES!$E503="","",DONNEES!A503)</f>
        <v/>
      </c>
      <c r="B503" t="str">
        <f>IF(DONNEES!$E503="","",DONNEES!B503)</f>
        <v/>
      </c>
      <c r="C503" t="str">
        <f>IF(DONNEES!$E503="","",DONNEES!C503)</f>
        <v/>
      </c>
      <c r="D503" t="str">
        <f>IF(DONNEES!$E503="","",DONNEES!E503)</f>
        <v/>
      </c>
      <c r="E503" t="str">
        <f>IF(DONNEES!$E503="","",DONNEES!F503)</f>
        <v/>
      </c>
      <c r="F503" t="str">
        <f>IF(DONNEES!$E503="","",DONNEES!G503)</f>
        <v/>
      </c>
      <c r="G503" t="str">
        <f>IF(DONNEES!$E503="","",DONNEES!H503)</f>
        <v/>
      </c>
      <c r="H503" t="str">
        <f>IF(DONNEES!$E503="","",DONNEES!I503)</f>
        <v/>
      </c>
      <c r="I503" t="str">
        <f>IF(DONNEES!$E503="","",DONNEES!J503)</f>
        <v/>
      </c>
      <c r="J503" t="str">
        <f>IF(DONNEES!$E503="","",DONNEES!K503)</f>
        <v/>
      </c>
      <c r="K503" t="str">
        <f>IF(DONNEES!$E503="","",DONNEES!L503)</f>
        <v/>
      </c>
      <c r="L503" t="str">
        <f>IF(DONNEES!$E503="","",DONNEES!M503)</f>
        <v/>
      </c>
      <c r="M503" t="str">
        <f>IF(DONNEES!$E503="","",DONNEES!N503)</f>
        <v/>
      </c>
      <c r="N503" t="str">
        <f>IF(DONNEES!$E503="","",DONNEES!O503)</f>
        <v/>
      </c>
      <c r="O503" t="str">
        <f>IF(DONNEES!$E503="","",DONNEES!P503)</f>
        <v/>
      </c>
      <c r="P503" t="str">
        <f>IF(DONNEES!$E503="","",DONNEES!Q503)</f>
        <v/>
      </c>
      <c r="Q503" t="str">
        <f>IF(DONNEES!$E503="","",DONNEES!R503)</f>
        <v/>
      </c>
      <c r="R503" t="str">
        <f>IF(DONNEES!$E503="","",DONNEES!S503)</f>
        <v/>
      </c>
      <c r="S503" t="str">
        <f>IF(DONNEES!$E503="","",DONNEES!T503)</f>
        <v/>
      </c>
      <c r="T503" t="str">
        <f>IF(DONNEES!$E503="","",DONNEES!U503)</f>
        <v/>
      </c>
      <c r="U503" t="str">
        <f>IF(DONNEES!$E503="","",DONNEES!V503)</f>
        <v/>
      </c>
      <c r="V503" t="str">
        <f>IF(DONNEES!$E503="","",DONNEES!W503)</f>
        <v/>
      </c>
      <c r="W503" t="str">
        <f>IF(DONNEES!$E503="","",DONNEES!X503)</f>
        <v/>
      </c>
      <c r="X503" t="str">
        <f>IF(DONNEES!$E503="","",DONNEES!Y503)</f>
        <v/>
      </c>
      <c r="Y503" t="str">
        <f>IF(DONNEES!$E503="","",DONNEES!Z503)</f>
        <v/>
      </c>
      <c r="Z503" t="str">
        <f>IF(DONNEES!$E503="","",DONNEES!AQ503)</f>
        <v/>
      </c>
    </row>
    <row r="504" spans="1:26" ht="15" customHeight="1" x14ac:dyDescent="0.3">
      <c r="A504" t="str">
        <f>IF(DONNEES!$E504="","",DONNEES!A504)</f>
        <v/>
      </c>
      <c r="B504" t="str">
        <f>IF(DONNEES!$E504="","",DONNEES!B504)</f>
        <v/>
      </c>
      <c r="C504" t="str">
        <f>IF(DONNEES!$E504="","",DONNEES!C504)</f>
        <v/>
      </c>
      <c r="D504" t="str">
        <f>IF(DONNEES!$E504="","",DONNEES!E504)</f>
        <v/>
      </c>
      <c r="E504" t="str">
        <f>IF(DONNEES!$E504="","",DONNEES!F504)</f>
        <v/>
      </c>
      <c r="F504" t="str">
        <f>IF(DONNEES!$E504="","",DONNEES!G504)</f>
        <v/>
      </c>
      <c r="G504" t="str">
        <f>IF(DONNEES!$E504="","",DONNEES!H504)</f>
        <v/>
      </c>
      <c r="H504" t="str">
        <f>IF(DONNEES!$E504="","",DONNEES!I504)</f>
        <v/>
      </c>
      <c r="I504" t="str">
        <f>IF(DONNEES!$E504="","",DONNEES!J504)</f>
        <v/>
      </c>
      <c r="J504" t="str">
        <f>IF(DONNEES!$E504="","",DONNEES!K504)</f>
        <v/>
      </c>
      <c r="K504" t="str">
        <f>IF(DONNEES!$E504="","",DONNEES!L504)</f>
        <v/>
      </c>
      <c r="L504" t="str">
        <f>IF(DONNEES!$E504="","",DONNEES!M504)</f>
        <v/>
      </c>
      <c r="M504" t="str">
        <f>IF(DONNEES!$E504="","",DONNEES!N504)</f>
        <v/>
      </c>
      <c r="N504" t="str">
        <f>IF(DONNEES!$E504="","",DONNEES!O504)</f>
        <v/>
      </c>
      <c r="O504" t="str">
        <f>IF(DONNEES!$E504="","",DONNEES!P504)</f>
        <v/>
      </c>
      <c r="P504" t="str">
        <f>IF(DONNEES!$E504="","",DONNEES!Q504)</f>
        <v/>
      </c>
      <c r="Q504" t="str">
        <f>IF(DONNEES!$E504="","",DONNEES!R504)</f>
        <v/>
      </c>
      <c r="R504" t="str">
        <f>IF(DONNEES!$E504="","",DONNEES!S504)</f>
        <v/>
      </c>
      <c r="S504" t="str">
        <f>IF(DONNEES!$E504="","",DONNEES!T504)</f>
        <v/>
      </c>
      <c r="T504" t="str">
        <f>IF(DONNEES!$E504="","",DONNEES!U504)</f>
        <v/>
      </c>
      <c r="U504" t="str">
        <f>IF(DONNEES!$E504="","",DONNEES!V504)</f>
        <v/>
      </c>
      <c r="V504" t="str">
        <f>IF(DONNEES!$E504="","",DONNEES!W504)</f>
        <v/>
      </c>
      <c r="W504" t="str">
        <f>IF(DONNEES!$E504="","",DONNEES!X504)</f>
        <v/>
      </c>
      <c r="X504" t="str">
        <f>IF(DONNEES!$E504="","",DONNEES!Y504)</f>
        <v/>
      </c>
      <c r="Y504" t="str">
        <f>IF(DONNEES!$E504="","",DONNEES!Z504)</f>
        <v/>
      </c>
      <c r="Z504" t="str">
        <f>IF(DONNEES!$E504="","",DONNEES!AQ504)</f>
        <v/>
      </c>
    </row>
    <row r="505" spans="1:26" ht="15" customHeight="1" x14ac:dyDescent="0.3">
      <c r="A505" t="str">
        <f>IF(DONNEES!$E505="","",DONNEES!A505)</f>
        <v/>
      </c>
      <c r="B505" t="str">
        <f>IF(DONNEES!$E505="","",DONNEES!B505)</f>
        <v/>
      </c>
      <c r="C505" t="str">
        <f>IF(DONNEES!$E505="","",DONNEES!C505)</f>
        <v/>
      </c>
      <c r="D505" t="str">
        <f>IF(DONNEES!$E505="","",DONNEES!E505)</f>
        <v/>
      </c>
      <c r="E505" t="str">
        <f>IF(DONNEES!$E505="","",DONNEES!F505)</f>
        <v/>
      </c>
      <c r="F505" t="str">
        <f>IF(DONNEES!$E505="","",DONNEES!G505)</f>
        <v/>
      </c>
      <c r="G505" t="str">
        <f>IF(DONNEES!$E505="","",DONNEES!H505)</f>
        <v/>
      </c>
      <c r="H505" t="str">
        <f>IF(DONNEES!$E505="","",DONNEES!I505)</f>
        <v/>
      </c>
      <c r="I505" t="str">
        <f>IF(DONNEES!$E505="","",DONNEES!J505)</f>
        <v/>
      </c>
      <c r="J505" t="str">
        <f>IF(DONNEES!$E505="","",DONNEES!K505)</f>
        <v/>
      </c>
      <c r="K505" t="str">
        <f>IF(DONNEES!$E505="","",DONNEES!L505)</f>
        <v/>
      </c>
      <c r="L505" t="str">
        <f>IF(DONNEES!$E505="","",DONNEES!M505)</f>
        <v/>
      </c>
      <c r="M505" t="str">
        <f>IF(DONNEES!$E505="","",DONNEES!N505)</f>
        <v/>
      </c>
      <c r="N505" t="str">
        <f>IF(DONNEES!$E505="","",DONNEES!O505)</f>
        <v/>
      </c>
      <c r="O505" t="str">
        <f>IF(DONNEES!$E505="","",DONNEES!P505)</f>
        <v/>
      </c>
      <c r="P505" t="str">
        <f>IF(DONNEES!$E505="","",DONNEES!Q505)</f>
        <v/>
      </c>
      <c r="Q505" t="str">
        <f>IF(DONNEES!$E505="","",DONNEES!R505)</f>
        <v/>
      </c>
      <c r="R505" t="str">
        <f>IF(DONNEES!$E505="","",DONNEES!S505)</f>
        <v/>
      </c>
      <c r="S505" t="str">
        <f>IF(DONNEES!$E505="","",DONNEES!T505)</f>
        <v/>
      </c>
      <c r="T505" t="str">
        <f>IF(DONNEES!$E505="","",DONNEES!U505)</f>
        <v/>
      </c>
      <c r="U505" t="str">
        <f>IF(DONNEES!$E505="","",DONNEES!V505)</f>
        <v/>
      </c>
      <c r="V505" t="str">
        <f>IF(DONNEES!$E505="","",DONNEES!W505)</f>
        <v/>
      </c>
      <c r="W505" t="str">
        <f>IF(DONNEES!$E505="","",DONNEES!X505)</f>
        <v/>
      </c>
      <c r="X505" t="str">
        <f>IF(DONNEES!$E505="","",DONNEES!Y505)</f>
        <v/>
      </c>
      <c r="Y505" t="str">
        <f>IF(DONNEES!$E505="","",DONNEES!Z505)</f>
        <v/>
      </c>
      <c r="Z505" t="str">
        <f>IF(DONNEES!$E505="","",DONNEES!AQ505)</f>
        <v/>
      </c>
    </row>
    <row r="506" spans="1:26" ht="15" customHeight="1" x14ac:dyDescent="0.3">
      <c r="A506" t="str">
        <f>IF(DONNEES!$E506="","",DONNEES!A506)</f>
        <v/>
      </c>
      <c r="B506" t="str">
        <f>IF(DONNEES!$E506="","",DONNEES!B506)</f>
        <v/>
      </c>
      <c r="C506" t="str">
        <f>IF(DONNEES!$E506="","",DONNEES!C506)</f>
        <v/>
      </c>
      <c r="D506" t="str">
        <f>IF(DONNEES!$E506="","",DONNEES!E506)</f>
        <v/>
      </c>
      <c r="E506" t="str">
        <f>IF(DONNEES!$E506="","",DONNEES!F506)</f>
        <v/>
      </c>
      <c r="F506" t="str">
        <f>IF(DONNEES!$E506="","",DONNEES!G506)</f>
        <v/>
      </c>
      <c r="G506" t="str">
        <f>IF(DONNEES!$E506="","",DONNEES!H506)</f>
        <v/>
      </c>
      <c r="H506" t="str">
        <f>IF(DONNEES!$E506="","",DONNEES!I506)</f>
        <v/>
      </c>
      <c r="I506" t="str">
        <f>IF(DONNEES!$E506="","",DONNEES!J506)</f>
        <v/>
      </c>
      <c r="J506" t="str">
        <f>IF(DONNEES!$E506="","",DONNEES!K506)</f>
        <v/>
      </c>
      <c r="K506" t="str">
        <f>IF(DONNEES!$E506="","",DONNEES!L506)</f>
        <v/>
      </c>
      <c r="L506" t="str">
        <f>IF(DONNEES!$E506="","",DONNEES!M506)</f>
        <v/>
      </c>
      <c r="M506" t="str">
        <f>IF(DONNEES!$E506="","",DONNEES!N506)</f>
        <v/>
      </c>
      <c r="N506" t="str">
        <f>IF(DONNEES!$E506="","",DONNEES!O506)</f>
        <v/>
      </c>
      <c r="O506" t="str">
        <f>IF(DONNEES!$E506="","",DONNEES!P506)</f>
        <v/>
      </c>
      <c r="P506" t="str">
        <f>IF(DONNEES!$E506="","",DONNEES!Q506)</f>
        <v/>
      </c>
      <c r="Q506" t="str">
        <f>IF(DONNEES!$E506="","",DONNEES!R506)</f>
        <v/>
      </c>
      <c r="R506" t="str">
        <f>IF(DONNEES!$E506="","",DONNEES!S506)</f>
        <v/>
      </c>
      <c r="S506" t="str">
        <f>IF(DONNEES!$E506="","",DONNEES!T506)</f>
        <v/>
      </c>
      <c r="T506" t="str">
        <f>IF(DONNEES!$E506="","",DONNEES!U506)</f>
        <v/>
      </c>
      <c r="U506" t="str">
        <f>IF(DONNEES!$E506="","",DONNEES!V506)</f>
        <v/>
      </c>
      <c r="V506" t="str">
        <f>IF(DONNEES!$E506="","",DONNEES!W506)</f>
        <v/>
      </c>
      <c r="W506" t="str">
        <f>IF(DONNEES!$E506="","",DONNEES!X506)</f>
        <v/>
      </c>
      <c r="X506" t="str">
        <f>IF(DONNEES!$E506="","",DONNEES!Y506)</f>
        <v/>
      </c>
      <c r="Y506" t="str">
        <f>IF(DONNEES!$E506="","",DONNEES!Z506)</f>
        <v/>
      </c>
      <c r="Z506" t="str">
        <f>IF(DONNEES!$E506="","",DONNEES!AQ506)</f>
        <v/>
      </c>
    </row>
    <row r="507" spans="1:26" ht="15" customHeight="1" x14ac:dyDescent="0.3">
      <c r="A507" t="str">
        <f>IF(DONNEES!$E507="","",DONNEES!A507)</f>
        <v/>
      </c>
      <c r="B507" t="str">
        <f>IF(DONNEES!$E507="","",DONNEES!B507)</f>
        <v/>
      </c>
      <c r="C507" t="str">
        <f>IF(DONNEES!$E507="","",DONNEES!C507)</f>
        <v/>
      </c>
      <c r="D507" t="str">
        <f>IF(DONNEES!$E507="","",DONNEES!E507)</f>
        <v/>
      </c>
      <c r="E507" t="str">
        <f>IF(DONNEES!$E507="","",DONNEES!F507)</f>
        <v/>
      </c>
      <c r="F507" t="str">
        <f>IF(DONNEES!$E507="","",DONNEES!G507)</f>
        <v/>
      </c>
      <c r="G507" t="str">
        <f>IF(DONNEES!$E507="","",DONNEES!H507)</f>
        <v/>
      </c>
      <c r="H507" t="str">
        <f>IF(DONNEES!$E507="","",DONNEES!I507)</f>
        <v/>
      </c>
      <c r="I507" t="str">
        <f>IF(DONNEES!$E507="","",DONNEES!J507)</f>
        <v/>
      </c>
      <c r="J507" t="str">
        <f>IF(DONNEES!$E507="","",DONNEES!K507)</f>
        <v/>
      </c>
      <c r="K507" t="str">
        <f>IF(DONNEES!$E507="","",DONNEES!L507)</f>
        <v/>
      </c>
      <c r="L507" t="str">
        <f>IF(DONNEES!$E507="","",DONNEES!M507)</f>
        <v/>
      </c>
      <c r="M507" t="str">
        <f>IF(DONNEES!$E507="","",DONNEES!N507)</f>
        <v/>
      </c>
      <c r="N507" t="str">
        <f>IF(DONNEES!$E507="","",DONNEES!O507)</f>
        <v/>
      </c>
      <c r="O507" t="str">
        <f>IF(DONNEES!$E507="","",DONNEES!P507)</f>
        <v/>
      </c>
      <c r="P507" t="str">
        <f>IF(DONNEES!$E507="","",DONNEES!Q507)</f>
        <v/>
      </c>
      <c r="Q507" t="str">
        <f>IF(DONNEES!$E507="","",DONNEES!R507)</f>
        <v/>
      </c>
      <c r="R507" t="str">
        <f>IF(DONNEES!$E507="","",DONNEES!S507)</f>
        <v/>
      </c>
      <c r="S507" t="str">
        <f>IF(DONNEES!$E507="","",DONNEES!T507)</f>
        <v/>
      </c>
      <c r="T507" t="str">
        <f>IF(DONNEES!$E507="","",DONNEES!U507)</f>
        <v/>
      </c>
      <c r="U507" t="str">
        <f>IF(DONNEES!$E507="","",DONNEES!V507)</f>
        <v/>
      </c>
      <c r="V507" t="str">
        <f>IF(DONNEES!$E507="","",DONNEES!W507)</f>
        <v/>
      </c>
      <c r="W507" t="str">
        <f>IF(DONNEES!$E507="","",DONNEES!X507)</f>
        <v/>
      </c>
      <c r="X507" t="str">
        <f>IF(DONNEES!$E507="","",DONNEES!Y507)</f>
        <v/>
      </c>
      <c r="Y507" t="str">
        <f>IF(DONNEES!$E507="","",DONNEES!Z507)</f>
        <v/>
      </c>
      <c r="Z507" t="str">
        <f>IF(DONNEES!$E507="","",DONNEES!AQ507)</f>
        <v/>
      </c>
    </row>
    <row r="508" spans="1:26" ht="15" customHeight="1" x14ac:dyDescent="0.3">
      <c r="A508" t="str">
        <f>IF(DONNEES!$E508="","",DONNEES!A508)</f>
        <v/>
      </c>
      <c r="B508" t="str">
        <f>IF(DONNEES!$E508="","",DONNEES!B508)</f>
        <v/>
      </c>
      <c r="C508" t="str">
        <f>IF(DONNEES!$E508="","",DONNEES!C508)</f>
        <v/>
      </c>
      <c r="D508" t="str">
        <f>IF(DONNEES!$E508="","",DONNEES!E508)</f>
        <v/>
      </c>
      <c r="E508" t="str">
        <f>IF(DONNEES!$E508="","",DONNEES!F508)</f>
        <v/>
      </c>
      <c r="F508" t="str">
        <f>IF(DONNEES!$E508="","",DONNEES!G508)</f>
        <v/>
      </c>
      <c r="G508" t="str">
        <f>IF(DONNEES!$E508="","",DONNEES!H508)</f>
        <v/>
      </c>
      <c r="H508" t="str">
        <f>IF(DONNEES!$E508="","",DONNEES!I508)</f>
        <v/>
      </c>
      <c r="I508" t="str">
        <f>IF(DONNEES!$E508="","",DONNEES!J508)</f>
        <v/>
      </c>
      <c r="J508" t="str">
        <f>IF(DONNEES!$E508="","",DONNEES!K508)</f>
        <v/>
      </c>
      <c r="K508" t="str">
        <f>IF(DONNEES!$E508="","",DONNEES!L508)</f>
        <v/>
      </c>
      <c r="L508" t="str">
        <f>IF(DONNEES!$E508="","",DONNEES!M508)</f>
        <v/>
      </c>
      <c r="M508" t="str">
        <f>IF(DONNEES!$E508="","",DONNEES!N508)</f>
        <v/>
      </c>
      <c r="N508" t="str">
        <f>IF(DONNEES!$E508="","",DONNEES!O508)</f>
        <v/>
      </c>
      <c r="O508" t="str">
        <f>IF(DONNEES!$E508="","",DONNEES!P508)</f>
        <v/>
      </c>
      <c r="P508" t="str">
        <f>IF(DONNEES!$E508="","",DONNEES!Q508)</f>
        <v/>
      </c>
      <c r="Q508" t="str">
        <f>IF(DONNEES!$E508="","",DONNEES!R508)</f>
        <v/>
      </c>
      <c r="R508" t="str">
        <f>IF(DONNEES!$E508="","",DONNEES!S508)</f>
        <v/>
      </c>
      <c r="S508" t="str">
        <f>IF(DONNEES!$E508="","",DONNEES!T508)</f>
        <v/>
      </c>
      <c r="T508" t="str">
        <f>IF(DONNEES!$E508="","",DONNEES!U508)</f>
        <v/>
      </c>
      <c r="U508" t="str">
        <f>IF(DONNEES!$E508="","",DONNEES!V508)</f>
        <v/>
      </c>
      <c r="V508" t="str">
        <f>IF(DONNEES!$E508="","",DONNEES!W508)</f>
        <v/>
      </c>
      <c r="W508" t="str">
        <f>IF(DONNEES!$E508="","",DONNEES!X508)</f>
        <v/>
      </c>
      <c r="X508" t="str">
        <f>IF(DONNEES!$E508="","",DONNEES!Y508)</f>
        <v/>
      </c>
      <c r="Y508" t="str">
        <f>IF(DONNEES!$E508="","",DONNEES!Z508)</f>
        <v/>
      </c>
      <c r="Z508" t="str">
        <f>IF(DONNEES!$E508="","",DONNEES!AQ508)</f>
        <v/>
      </c>
    </row>
    <row r="509" spans="1:26" ht="15" customHeight="1" x14ac:dyDescent="0.3">
      <c r="A509" t="str">
        <f>IF(DONNEES!$E509="","",DONNEES!A509)</f>
        <v/>
      </c>
      <c r="B509" t="str">
        <f>IF(DONNEES!$E509="","",DONNEES!B509)</f>
        <v/>
      </c>
      <c r="C509" t="str">
        <f>IF(DONNEES!$E509="","",DONNEES!C509)</f>
        <v/>
      </c>
      <c r="D509" t="str">
        <f>IF(DONNEES!$E509="","",DONNEES!E509)</f>
        <v/>
      </c>
      <c r="E509" t="str">
        <f>IF(DONNEES!$E509="","",DONNEES!F509)</f>
        <v/>
      </c>
      <c r="F509" t="str">
        <f>IF(DONNEES!$E509="","",DONNEES!G509)</f>
        <v/>
      </c>
      <c r="G509" t="str">
        <f>IF(DONNEES!$E509="","",DONNEES!H509)</f>
        <v/>
      </c>
      <c r="H509" t="str">
        <f>IF(DONNEES!$E509="","",DONNEES!I509)</f>
        <v/>
      </c>
      <c r="I509" t="str">
        <f>IF(DONNEES!$E509="","",DONNEES!J509)</f>
        <v/>
      </c>
      <c r="J509" t="str">
        <f>IF(DONNEES!$E509="","",DONNEES!K509)</f>
        <v/>
      </c>
      <c r="K509" t="str">
        <f>IF(DONNEES!$E509="","",DONNEES!L509)</f>
        <v/>
      </c>
      <c r="L509" t="str">
        <f>IF(DONNEES!$E509="","",DONNEES!M509)</f>
        <v/>
      </c>
      <c r="M509" t="str">
        <f>IF(DONNEES!$E509="","",DONNEES!N509)</f>
        <v/>
      </c>
      <c r="N509" t="str">
        <f>IF(DONNEES!$E509="","",DONNEES!O509)</f>
        <v/>
      </c>
      <c r="O509" t="str">
        <f>IF(DONNEES!$E509="","",DONNEES!P509)</f>
        <v/>
      </c>
      <c r="P509" t="str">
        <f>IF(DONNEES!$E509="","",DONNEES!Q509)</f>
        <v/>
      </c>
      <c r="Q509" t="str">
        <f>IF(DONNEES!$E509="","",DONNEES!R509)</f>
        <v/>
      </c>
      <c r="R509" t="str">
        <f>IF(DONNEES!$E509="","",DONNEES!S509)</f>
        <v/>
      </c>
      <c r="S509" t="str">
        <f>IF(DONNEES!$E509="","",DONNEES!T509)</f>
        <v/>
      </c>
      <c r="T509" t="str">
        <f>IF(DONNEES!$E509="","",DONNEES!U509)</f>
        <v/>
      </c>
      <c r="U509" t="str">
        <f>IF(DONNEES!$E509="","",DONNEES!V509)</f>
        <v/>
      </c>
      <c r="V509" t="str">
        <f>IF(DONNEES!$E509="","",DONNEES!W509)</f>
        <v/>
      </c>
      <c r="W509" t="str">
        <f>IF(DONNEES!$E509="","",DONNEES!X509)</f>
        <v/>
      </c>
      <c r="X509" t="str">
        <f>IF(DONNEES!$E509="","",DONNEES!Y509)</f>
        <v/>
      </c>
      <c r="Y509" t="str">
        <f>IF(DONNEES!$E509="","",DONNEES!Z509)</f>
        <v/>
      </c>
      <c r="Z509" t="str">
        <f>IF(DONNEES!$E509="","",DONNEES!AQ509)</f>
        <v/>
      </c>
    </row>
    <row r="510" spans="1:26" ht="15" customHeight="1" x14ac:dyDescent="0.3">
      <c r="A510" t="str">
        <f>IF(DONNEES!$E510="","",DONNEES!A510)</f>
        <v/>
      </c>
      <c r="B510" t="str">
        <f>IF(DONNEES!$E510="","",DONNEES!B510)</f>
        <v/>
      </c>
      <c r="C510" t="str">
        <f>IF(DONNEES!$E510="","",DONNEES!C510)</f>
        <v/>
      </c>
      <c r="D510" t="str">
        <f>IF(DONNEES!$E510="","",DONNEES!E510)</f>
        <v/>
      </c>
      <c r="E510" t="str">
        <f>IF(DONNEES!$E510="","",DONNEES!F510)</f>
        <v/>
      </c>
      <c r="F510" t="str">
        <f>IF(DONNEES!$E510="","",DONNEES!G510)</f>
        <v/>
      </c>
      <c r="G510" t="str">
        <f>IF(DONNEES!$E510="","",DONNEES!H510)</f>
        <v/>
      </c>
      <c r="H510" t="str">
        <f>IF(DONNEES!$E510="","",DONNEES!I510)</f>
        <v/>
      </c>
      <c r="I510" t="str">
        <f>IF(DONNEES!$E510="","",DONNEES!J510)</f>
        <v/>
      </c>
      <c r="J510" t="str">
        <f>IF(DONNEES!$E510="","",DONNEES!K510)</f>
        <v/>
      </c>
      <c r="K510" t="str">
        <f>IF(DONNEES!$E510="","",DONNEES!L510)</f>
        <v/>
      </c>
      <c r="L510" t="str">
        <f>IF(DONNEES!$E510="","",DONNEES!M510)</f>
        <v/>
      </c>
      <c r="M510" t="str">
        <f>IF(DONNEES!$E510="","",DONNEES!N510)</f>
        <v/>
      </c>
      <c r="N510" t="str">
        <f>IF(DONNEES!$E510="","",DONNEES!O510)</f>
        <v/>
      </c>
      <c r="O510" t="str">
        <f>IF(DONNEES!$E510="","",DONNEES!P510)</f>
        <v/>
      </c>
      <c r="P510" t="str">
        <f>IF(DONNEES!$E510="","",DONNEES!Q510)</f>
        <v/>
      </c>
      <c r="Q510" t="str">
        <f>IF(DONNEES!$E510="","",DONNEES!R510)</f>
        <v/>
      </c>
      <c r="R510" t="str">
        <f>IF(DONNEES!$E510="","",DONNEES!S510)</f>
        <v/>
      </c>
      <c r="S510" t="str">
        <f>IF(DONNEES!$E510="","",DONNEES!T510)</f>
        <v/>
      </c>
      <c r="T510" t="str">
        <f>IF(DONNEES!$E510="","",DONNEES!U510)</f>
        <v/>
      </c>
      <c r="U510" t="str">
        <f>IF(DONNEES!$E510="","",DONNEES!V510)</f>
        <v/>
      </c>
      <c r="V510" t="str">
        <f>IF(DONNEES!$E510="","",DONNEES!W510)</f>
        <v/>
      </c>
      <c r="W510" t="str">
        <f>IF(DONNEES!$E510="","",DONNEES!X510)</f>
        <v/>
      </c>
      <c r="X510" t="str">
        <f>IF(DONNEES!$E510="","",DONNEES!Y510)</f>
        <v/>
      </c>
      <c r="Y510" t="str">
        <f>IF(DONNEES!$E510="","",DONNEES!Z510)</f>
        <v/>
      </c>
      <c r="Z510" t="str">
        <f>IF(DONNEES!$E510="","",DONNEES!AQ510)</f>
        <v/>
      </c>
    </row>
    <row r="511" spans="1:26" ht="15" customHeight="1" x14ac:dyDescent="0.3">
      <c r="A511" t="str">
        <f>IF(DONNEES!$E511="","",DONNEES!A511)</f>
        <v/>
      </c>
      <c r="B511" t="str">
        <f>IF(DONNEES!$E511="","",DONNEES!B511)</f>
        <v/>
      </c>
      <c r="C511" t="str">
        <f>IF(DONNEES!$E511="","",DONNEES!C511)</f>
        <v/>
      </c>
      <c r="D511" t="str">
        <f>IF(DONNEES!$E511="","",DONNEES!E511)</f>
        <v/>
      </c>
      <c r="E511" t="str">
        <f>IF(DONNEES!$E511="","",DONNEES!F511)</f>
        <v/>
      </c>
      <c r="F511" t="str">
        <f>IF(DONNEES!$E511="","",DONNEES!G511)</f>
        <v/>
      </c>
      <c r="G511" t="str">
        <f>IF(DONNEES!$E511="","",DONNEES!H511)</f>
        <v/>
      </c>
      <c r="H511" t="str">
        <f>IF(DONNEES!$E511="","",DONNEES!I511)</f>
        <v/>
      </c>
      <c r="I511" t="str">
        <f>IF(DONNEES!$E511="","",DONNEES!J511)</f>
        <v/>
      </c>
      <c r="J511" t="str">
        <f>IF(DONNEES!$E511="","",DONNEES!K511)</f>
        <v/>
      </c>
      <c r="K511" t="str">
        <f>IF(DONNEES!$E511="","",DONNEES!L511)</f>
        <v/>
      </c>
      <c r="L511" t="str">
        <f>IF(DONNEES!$E511="","",DONNEES!M511)</f>
        <v/>
      </c>
      <c r="M511" t="str">
        <f>IF(DONNEES!$E511="","",DONNEES!N511)</f>
        <v/>
      </c>
      <c r="N511" t="str">
        <f>IF(DONNEES!$E511="","",DONNEES!O511)</f>
        <v/>
      </c>
      <c r="O511" t="str">
        <f>IF(DONNEES!$E511="","",DONNEES!P511)</f>
        <v/>
      </c>
      <c r="P511" t="str">
        <f>IF(DONNEES!$E511="","",DONNEES!Q511)</f>
        <v/>
      </c>
      <c r="Q511" t="str">
        <f>IF(DONNEES!$E511="","",DONNEES!R511)</f>
        <v/>
      </c>
      <c r="R511" t="str">
        <f>IF(DONNEES!$E511="","",DONNEES!S511)</f>
        <v/>
      </c>
      <c r="S511" t="str">
        <f>IF(DONNEES!$E511="","",DONNEES!T511)</f>
        <v/>
      </c>
      <c r="T511" t="str">
        <f>IF(DONNEES!$E511="","",DONNEES!U511)</f>
        <v/>
      </c>
      <c r="U511" t="str">
        <f>IF(DONNEES!$E511="","",DONNEES!V511)</f>
        <v/>
      </c>
      <c r="V511" t="str">
        <f>IF(DONNEES!$E511="","",DONNEES!W511)</f>
        <v/>
      </c>
      <c r="W511" t="str">
        <f>IF(DONNEES!$E511="","",DONNEES!X511)</f>
        <v/>
      </c>
      <c r="X511" t="str">
        <f>IF(DONNEES!$E511="","",DONNEES!Y511)</f>
        <v/>
      </c>
      <c r="Y511" t="str">
        <f>IF(DONNEES!$E511="","",DONNEES!Z511)</f>
        <v/>
      </c>
      <c r="Z511" t="str">
        <f>IF(DONNEES!$E511="","",DONNEES!AQ511)</f>
        <v/>
      </c>
    </row>
    <row r="512" spans="1:26" ht="15" customHeight="1" x14ac:dyDescent="0.3">
      <c r="A512" t="str">
        <f>IF(DONNEES!$E512="","",DONNEES!A512)</f>
        <v/>
      </c>
      <c r="B512" t="str">
        <f>IF(DONNEES!$E512="","",DONNEES!B512)</f>
        <v/>
      </c>
      <c r="C512" t="str">
        <f>IF(DONNEES!$E512="","",DONNEES!C512)</f>
        <v/>
      </c>
      <c r="D512" t="str">
        <f>IF(DONNEES!$E512="","",DONNEES!E512)</f>
        <v/>
      </c>
      <c r="E512" t="str">
        <f>IF(DONNEES!$E512="","",DONNEES!F512)</f>
        <v/>
      </c>
      <c r="F512" t="str">
        <f>IF(DONNEES!$E512="","",DONNEES!G512)</f>
        <v/>
      </c>
      <c r="G512" t="str">
        <f>IF(DONNEES!$E512="","",DONNEES!H512)</f>
        <v/>
      </c>
      <c r="H512" t="str">
        <f>IF(DONNEES!$E512="","",DONNEES!I512)</f>
        <v/>
      </c>
      <c r="I512" t="str">
        <f>IF(DONNEES!$E512="","",DONNEES!J512)</f>
        <v/>
      </c>
      <c r="J512" t="str">
        <f>IF(DONNEES!$E512="","",DONNEES!K512)</f>
        <v/>
      </c>
      <c r="K512" t="str">
        <f>IF(DONNEES!$E512="","",DONNEES!L512)</f>
        <v/>
      </c>
      <c r="L512" t="str">
        <f>IF(DONNEES!$E512="","",DONNEES!M512)</f>
        <v/>
      </c>
      <c r="M512" t="str">
        <f>IF(DONNEES!$E512="","",DONNEES!N512)</f>
        <v/>
      </c>
      <c r="N512" t="str">
        <f>IF(DONNEES!$E512="","",DONNEES!O512)</f>
        <v/>
      </c>
      <c r="O512" t="str">
        <f>IF(DONNEES!$E512="","",DONNEES!P512)</f>
        <v/>
      </c>
      <c r="P512" t="str">
        <f>IF(DONNEES!$E512="","",DONNEES!Q512)</f>
        <v/>
      </c>
      <c r="Q512" t="str">
        <f>IF(DONNEES!$E512="","",DONNEES!R512)</f>
        <v/>
      </c>
      <c r="R512" t="str">
        <f>IF(DONNEES!$E512="","",DONNEES!S512)</f>
        <v/>
      </c>
      <c r="S512" t="str">
        <f>IF(DONNEES!$E512="","",DONNEES!T512)</f>
        <v/>
      </c>
      <c r="T512" t="str">
        <f>IF(DONNEES!$E512="","",DONNEES!U512)</f>
        <v/>
      </c>
      <c r="U512" t="str">
        <f>IF(DONNEES!$E512="","",DONNEES!V512)</f>
        <v/>
      </c>
      <c r="V512" t="str">
        <f>IF(DONNEES!$E512="","",DONNEES!W512)</f>
        <v/>
      </c>
      <c r="W512" t="str">
        <f>IF(DONNEES!$E512="","",DONNEES!X512)</f>
        <v/>
      </c>
      <c r="X512" t="str">
        <f>IF(DONNEES!$E512="","",DONNEES!Y512)</f>
        <v/>
      </c>
      <c r="Y512" t="str">
        <f>IF(DONNEES!$E512="","",DONNEES!Z512)</f>
        <v/>
      </c>
      <c r="Z512" t="str">
        <f>IF(DONNEES!$E512="","",DONNEES!AQ512)</f>
        <v/>
      </c>
    </row>
    <row r="513" spans="1:26" ht="15" customHeight="1" x14ac:dyDescent="0.3">
      <c r="A513" t="str">
        <f>IF(DONNEES!$E513="","",DONNEES!A513)</f>
        <v/>
      </c>
      <c r="B513" t="str">
        <f>IF(DONNEES!$E513="","",DONNEES!B513)</f>
        <v/>
      </c>
      <c r="C513" t="str">
        <f>IF(DONNEES!$E513="","",DONNEES!C513)</f>
        <v/>
      </c>
      <c r="D513" t="str">
        <f>IF(DONNEES!$E513="","",DONNEES!E513)</f>
        <v/>
      </c>
      <c r="E513" t="str">
        <f>IF(DONNEES!$E513="","",DONNEES!F513)</f>
        <v/>
      </c>
      <c r="F513" t="str">
        <f>IF(DONNEES!$E513="","",DONNEES!G513)</f>
        <v/>
      </c>
      <c r="G513" t="str">
        <f>IF(DONNEES!$E513="","",DONNEES!H513)</f>
        <v/>
      </c>
      <c r="H513" t="str">
        <f>IF(DONNEES!$E513="","",DONNEES!I513)</f>
        <v/>
      </c>
      <c r="I513" t="str">
        <f>IF(DONNEES!$E513="","",DONNEES!J513)</f>
        <v/>
      </c>
      <c r="J513" t="str">
        <f>IF(DONNEES!$E513="","",DONNEES!K513)</f>
        <v/>
      </c>
      <c r="K513" t="str">
        <f>IF(DONNEES!$E513="","",DONNEES!L513)</f>
        <v/>
      </c>
      <c r="L513" t="str">
        <f>IF(DONNEES!$E513="","",DONNEES!M513)</f>
        <v/>
      </c>
      <c r="M513" t="str">
        <f>IF(DONNEES!$E513="","",DONNEES!N513)</f>
        <v/>
      </c>
      <c r="N513" t="str">
        <f>IF(DONNEES!$E513="","",DONNEES!O513)</f>
        <v/>
      </c>
      <c r="O513" t="str">
        <f>IF(DONNEES!$E513="","",DONNEES!P513)</f>
        <v/>
      </c>
      <c r="P513" t="str">
        <f>IF(DONNEES!$E513="","",DONNEES!Q513)</f>
        <v/>
      </c>
      <c r="Q513" t="str">
        <f>IF(DONNEES!$E513="","",DONNEES!R513)</f>
        <v/>
      </c>
      <c r="R513" t="str">
        <f>IF(DONNEES!$E513="","",DONNEES!S513)</f>
        <v/>
      </c>
      <c r="S513" t="str">
        <f>IF(DONNEES!$E513="","",DONNEES!T513)</f>
        <v/>
      </c>
      <c r="T513" t="str">
        <f>IF(DONNEES!$E513="","",DONNEES!U513)</f>
        <v/>
      </c>
      <c r="U513" t="str">
        <f>IF(DONNEES!$E513="","",DONNEES!V513)</f>
        <v/>
      </c>
      <c r="V513" t="str">
        <f>IF(DONNEES!$E513="","",DONNEES!W513)</f>
        <v/>
      </c>
      <c r="W513" t="str">
        <f>IF(DONNEES!$E513="","",DONNEES!X513)</f>
        <v/>
      </c>
      <c r="X513" t="str">
        <f>IF(DONNEES!$E513="","",DONNEES!Y513)</f>
        <v/>
      </c>
      <c r="Y513" t="str">
        <f>IF(DONNEES!$E513="","",DONNEES!Z513)</f>
        <v/>
      </c>
      <c r="Z513" t="str">
        <f>IF(DONNEES!$E513="","",DONNEES!AQ513)</f>
        <v/>
      </c>
    </row>
    <row r="514" spans="1:26" ht="15" customHeight="1" x14ac:dyDescent="0.3">
      <c r="A514" t="str">
        <f>IF(DONNEES!$E514="","",DONNEES!A514)</f>
        <v/>
      </c>
      <c r="B514" t="str">
        <f>IF(DONNEES!$E514="","",DONNEES!B514)</f>
        <v/>
      </c>
      <c r="C514" t="str">
        <f>IF(DONNEES!$E514="","",DONNEES!C514)</f>
        <v/>
      </c>
      <c r="D514" t="str">
        <f>IF(DONNEES!$E514="","",DONNEES!E514)</f>
        <v/>
      </c>
      <c r="E514" t="str">
        <f>IF(DONNEES!$E514="","",DONNEES!F514)</f>
        <v/>
      </c>
      <c r="F514" t="str">
        <f>IF(DONNEES!$E514="","",DONNEES!G514)</f>
        <v/>
      </c>
      <c r="G514" t="str">
        <f>IF(DONNEES!$E514="","",DONNEES!H514)</f>
        <v/>
      </c>
      <c r="H514" t="str">
        <f>IF(DONNEES!$E514="","",DONNEES!I514)</f>
        <v/>
      </c>
      <c r="I514" t="str">
        <f>IF(DONNEES!$E514="","",DONNEES!J514)</f>
        <v/>
      </c>
      <c r="J514" t="str">
        <f>IF(DONNEES!$E514="","",DONNEES!K514)</f>
        <v/>
      </c>
      <c r="K514" t="str">
        <f>IF(DONNEES!$E514="","",DONNEES!L514)</f>
        <v/>
      </c>
      <c r="L514" t="str">
        <f>IF(DONNEES!$E514="","",DONNEES!M514)</f>
        <v/>
      </c>
      <c r="M514" t="str">
        <f>IF(DONNEES!$E514="","",DONNEES!N514)</f>
        <v/>
      </c>
      <c r="N514" t="str">
        <f>IF(DONNEES!$E514="","",DONNEES!O514)</f>
        <v/>
      </c>
      <c r="O514" t="str">
        <f>IF(DONNEES!$E514="","",DONNEES!P514)</f>
        <v/>
      </c>
      <c r="P514" t="str">
        <f>IF(DONNEES!$E514="","",DONNEES!Q514)</f>
        <v/>
      </c>
      <c r="Q514" t="str">
        <f>IF(DONNEES!$E514="","",DONNEES!R514)</f>
        <v/>
      </c>
      <c r="R514" t="str">
        <f>IF(DONNEES!$E514="","",DONNEES!S514)</f>
        <v/>
      </c>
      <c r="S514" t="str">
        <f>IF(DONNEES!$E514="","",DONNEES!T514)</f>
        <v/>
      </c>
      <c r="T514" t="str">
        <f>IF(DONNEES!$E514="","",DONNEES!U514)</f>
        <v/>
      </c>
      <c r="U514" t="str">
        <f>IF(DONNEES!$E514="","",DONNEES!V514)</f>
        <v/>
      </c>
      <c r="V514" t="str">
        <f>IF(DONNEES!$E514="","",DONNEES!W514)</f>
        <v/>
      </c>
      <c r="W514" t="str">
        <f>IF(DONNEES!$E514="","",DONNEES!X514)</f>
        <v/>
      </c>
      <c r="X514" t="str">
        <f>IF(DONNEES!$E514="","",DONNEES!Y514)</f>
        <v/>
      </c>
      <c r="Y514" t="str">
        <f>IF(DONNEES!$E514="","",DONNEES!Z514)</f>
        <v/>
      </c>
      <c r="Z514" t="str">
        <f>IF(DONNEES!$E514="","",DONNEES!AQ514)</f>
        <v/>
      </c>
    </row>
    <row r="515" spans="1:26" ht="15" customHeight="1" x14ac:dyDescent="0.3">
      <c r="A515" t="str">
        <f>IF(DONNEES!$E515="","",DONNEES!A515)</f>
        <v/>
      </c>
      <c r="B515" t="str">
        <f>IF(DONNEES!$E515="","",DONNEES!B515)</f>
        <v/>
      </c>
      <c r="C515" t="str">
        <f>IF(DONNEES!$E515="","",DONNEES!C515)</f>
        <v/>
      </c>
      <c r="D515" t="str">
        <f>IF(DONNEES!$E515="","",DONNEES!E515)</f>
        <v/>
      </c>
      <c r="E515" t="str">
        <f>IF(DONNEES!$E515="","",DONNEES!F515)</f>
        <v/>
      </c>
      <c r="F515" t="str">
        <f>IF(DONNEES!$E515="","",DONNEES!G515)</f>
        <v/>
      </c>
      <c r="G515" t="str">
        <f>IF(DONNEES!$E515="","",DONNEES!H515)</f>
        <v/>
      </c>
      <c r="H515" t="str">
        <f>IF(DONNEES!$E515="","",DONNEES!I515)</f>
        <v/>
      </c>
      <c r="I515" t="str">
        <f>IF(DONNEES!$E515="","",DONNEES!J515)</f>
        <v/>
      </c>
      <c r="J515" t="str">
        <f>IF(DONNEES!$E515="","",DONNEES!K515)</f>
        <v/>
      </c>
      <c r="K515" t="str">
        <f>IF(DONNEES!$E515="","",DONNEES!L515)</f>
        <v/>
      </c>
      <c r="L515" t="str">
        <f>IF(DONNEES!$E515="","",DONNEES!M515)</f>
        <v/>
      </c>
      <c r="M515" t="str">
        <f>IF(DONNEES!$E515="","",DONNEES!N515)</f>
        <v/>
      </c>
      <c r="N515" t="str">
        <f>IF(DONNEES!$E515="","",DONNEES!O515)</f>
        <v/>
      </c>
      <c r="O515" t="str">
        <f>IF(DONNEES!$E515="","",DONNEES!P515)</f>
        <v/>
      </c>
      <c r="P515" t="str">
        <f>IF(DONNEES!$E515="","",DONNEES!Q515)</f>
        <v/>
      </c>
      <c r="Q515" t="str">
        <f>IF(DONNEES!$E515="","",DONNEES!R515)</f>
        <v/>
      </c>
      <c r="R515" t="str">
        <f>IF(DONNEES!$E515="","",DONNEES!S515)</f>
        <v/>
      </c>
      <c r="S515" t="str">
        <f>IF(DONNEES!$E515="","",DONNEES!T515)</f>
        <v/>
      </c>
      <c r="T515" t="str">
        <f>IF(DONNEES!$E515="","",DONNEES!U515)</f>
        <v/>
      </c>
      <c r="U515" t="str">
        <f>IF(DONNEES!$E515="","",DONNEES!V515)</f>
        <v/>
      </c>
      <c r="V515" t="str">
        <f>IF(DONNEES!$E515="","",DONNEES!W515)</f>
        <v/>
      </c>
      <c r="W515" t="str">
        <f>IF(DONNEES!$E515="","",DONNEES!X515)</f>
        <v/>
      </c>
      <c r="X515" t="str">
        <f>IF(DONNEES!$E515="","",DONNEES!Y515)</f>
        <v/>
      </c>
      <c r="Y515" t="str">
        <f>IF(DONNEES!$E515="","",DONNEES!Z515)</f>
        <v/>
      </c>
      <c r="Z515" t="str">
        <f>IF(DONNEES!$E515="","",DONNEES!AQ515)</f>
        <v/>
      </c>
    </row>
    <row r="516" spans="1:26" ht="15" customHeight="1" x14ac:dyDescent="0.3">
      <c r="A516" t="str">
        <f>IF(DONNEES!$E516="","",DONNEES!A516)</f>
        <v/>
      </c>
      <c r="B516" t="str">
        <f>IF(DONNEES!$E516="","",DONNEES!B516)</f>
        <v/>
      </c>
      <c r="C516" t="str">
        <f>IF(DONNEES!$E516="","",DONNEES!C516)</f>
        <v/>
      </c>
      <c r="D516" t="str">
        <f>IF(DONNEES!$E516="","",DONNEES!E516)</f>
        <v/>
      </c>
      <c r="E516" t="str">
        <f>IF(DONNEES!$E516="","",DONNEES!F516)</f>
        <v/>
      </c>
      <c r="F516" t="str">
        <f>IF(DONNEES!$E516="","",DONNEES!G516)</f>
        <v/>
      </c>
      <c r="G516" t="str">
        <f>IF(DONNEES!$E516="","",DONNEES!H516)</f>
        <v/>
      </c>
      <c r="H516" t="str">
        <f>IF(DONNEES!$E516="","",DONNEES!I516)</f>
        <v/>
      </c>
      <c r="I516" t="str">
        <f>IF(DONNEES!$E516="","",DONNEES!J516)</f>
        <v/>
      </c>
      <c r="J516" t="str">
        <f>IF(DONNEES!$E516="","",DONNEES!K516)</f>
        <v/>
      </c>
      <c r="K516" t="str">
        <f>IF(DONNEES!$E516="","",DONNEES!L516)</f>
        <v/>
      </c>
      <c r="L516" t="str">
        <f>IF(DONNEES!$E516="","",DONNEES!M516)</f>
        <v/>
      </c>
      <c r="M516" t="str">
        <f>IF(DONNEES!$E516="","",DONNEES!N516)</f>
        <v/>
      </c>
      <c r="N516" t="str">
        <f>IF(DONNEES!$E516="","",DONNEES!O516)</f>
        <v/>
      </c>
      <c r="O516" t="str">
        <f>IF(DONNEES!$E516="","",DONNEES!P516)</f>
        <v/>
      </c>
      <c r="P516" t="str">
        <f>IF(DONNEES!$E516="","",DONNEES!Q516)</f>
        <v/>
      </c>
      <c r="Q516" t="str">
        <f>IF(DONNEES!$E516="","",DONNEES!R516)</f>
        <v/>
      </c>
      <c r="R516" t="str">
        <f>IF(DONNEES!$E516="","",DONNEES!S516)</f>
        <v/>
      </c>
      <c r="S516" t="str">
        <f>IF(DONNEES!$E516="","",DONNEES!T516)</f>
        <v/>
      </c>
      <c r="T516" t="str">
        <f>IF(DONNEES!$E516="","",DONNEES!U516)</f>
        <v/>
      </c>
      <c r="U516" t="str">
        <f>IF(DONNEES!$E516="","",DONNEES!V516)</f>
        <v/>
      </c>
      <c r="V516" t="str">
        <f>IF(DONNEES!$E516="","",DONNEES!W516)</f>
        <v/>
      </c>
      <c r="W516" t="str">
        <f>IF(DONNEES!$E516="","",DONNEES!X516)</f>
        <v/>
      </c>
      <c r="X516" t="str">
        <f>IF(DONNEES!$E516="","",DONNEES!Y516)</f>
        <v/>
      </c>
      <c r="Y516" t="str">
        <f>IF(DONNEES!$E516="","",DONNEES!Z516)</f>
        <v/>
      </c>
      <c r="Z516" t="str">
        <f>IF(DONNEES!$E516="","",DONNEES!AQ516)</f>
        <v/>
      </c>
    </row>
    <row r="517" spans="1:26" ht="15" customHeight="1" x14ac:dyDescent="0.3">
      <c r="A517" t="str">
        <f>IF(DONNEES!$E517="","",DONNEES!A517)</f>
        <v/>
      </c>
      <c r="B517" t="str">
        <f>IF(DONNEES!$E517="","",DONNEES!B517)</f>
        <v/>
      </c>
      <c r="C517" t="str">
        <f>IF(DONNEES!$E517="","",DONNEES!C517)</f>
        <v/>
      </c>
      <c r="D517" t="str">
        <f>IF(DONNEES!$E517="","",DONNEES!E517)</f>
        <v/>
      </c>
      <c r="E517" t="str">
        <f>IF(DONNEES!$E517="","",DONNEES!F517)</f>
        <v/>
      </c>
      <c r="F517" t="str">
        <f>IF(DONNEES!$E517="","",DONNEES!G517)</f>
        <v/>
      </c>
      <c r="G517" t="str">
        <f>IF(DONNEES!$E517="","",DONNEES!H517)</f>
        <v/>
      </c>
      <c r="H517" t="str">
        <f>IF(DONNEES!$E517="","",DONNEES!I517)</f>
        <v/>
      </c>
      <c r="I517" t="str">
        <f>IF(DONNEES!$E517="","",DONNEES!J517)</f>
        <v/>
      </c>
      <c r="J517" t="str">
        <f>IF(DONNEES!$E517="","",DONNEES!K517)</f>
        <v/>
      </c>
      <c r="K517" t="str">
        <f>IF(DONNEES!$E517="","",DONNEES!L517)</f>
        <v/>
      </c>
      <c r="L517" t="str">
        <f>IF(DONNEES!$E517="","",DONNEES!M517)</f>
        <v/>
      </c>
      <c r="M517" t="str">
        <f>IF(DONNEES!$E517="","",DONNEES!N517)</f>
        <v/>
      </c>
      <c r="N517" t="str">
        <f>IF(DONNEES!$E517="","",DONNEES!O517)</f>
        <v/>
      </c>
      <c r="O517" t="str">
        <f>IF(DONNEES!$E517="","",DONNEES!P517)</f>
        <v/>
      </c>
      <c r="P517" t="str">
        <f>IF(DONNEES!$E517="","",DONNEES!Q517)</f>
        <v/>
      </c>
      <c r="Q517" t="str">
        <f>IF(DONNEES!$E517="","",DONNEES!R517)</f>
        <v/>
      </c>
      <c r="R517" t="str">
        <f>IF(DONNEES!$E517="","",DONNEES!S517)</f>
        <v/>
      </c>
      <c r="S517" t="str">
        <f>IF(DONNEES!$E517="","",DONNEES!T517)</f>
        <v/>
      </c>
      <c r="T517" t="str">
        <f>IF(DONNEES!$E517="","",DONNEES!U517)</f>
        <v/>
      </c>
      <c r="U517" t="str">
        <f>IF(DONNEES!$E517="","",DONNEES!V517)</f>
        <v/>
      </c>
      <c r="V517" t="str">
        <f>IF(DONNEES!$E517="","",DONNEES!W517)</f>
        <v/>
      </c>
      <c r="W517" t="str">
        <f>IF(DONNEES!$E517="","",DONNEES!X517)</f>
        <v/>
      </c>
      <c r="X517" t="str">
        <f>IF(DONNEES!$E517="","",DONNEES!Y517)</f>
        <v/>
      </c>
      <c r="Y517" t="str">
        <f>IF(DONNEES!$E517="","",DONNEES!Z517)</f>
        <v/>
      </c>
      <c r="Z517" t="str">
        <f>IF(DONNEES!$E517="","",DONNEES!AQ517)</f>
        <v/>
      </c>
    </row>
    <row r="518" spans="1:26" ht="15" customHeight="1" x14ac:dyDescent="0.3">
      <c r="A518" t="str">
        <f>IF(DONNEES!$E518="","",DONNEES!A518)</f>
        <v/>
      </c>
      <c r="B518" t="str">
        <f>IF(DONNEES!$E518="","",DONNEES!B518)</f>
        <v/>
      </c>
      <c r="C518" t="str">
        <f>IF(DONNEES!$E518="","",DONNEES!C518)</f>
        <v/>
      </c>
      <c r="D518" t="str">
        <f>IF(DONNEES!$E518="","",DONNEES!E518)</f>
        <v/>
      </c>
      <c r="E518" t="str">
        <f>IF(DONNEES!$E518="","",DONNEES!F518)</f>
        <v/>
      </c>
      <c r="F518" t="str">
        <f>IF(DONNEES!$E518="","",DONNEES!G518)</f>
        <v/>
      </c>
      <c r="G518" t="str">
        <f>IF(DONNEES!$E518="","",DONNEES!H518)</f>
        <v/>
      </c>
      <c r="H518" t="str">
        <f>IF(DONNEES!$E518="","",DONNEES!I518)</f>
        <v/>
      </c>
      <c r="I518" t="str">
        <f>IF(DONNEES!$E518="","",DONNEES!J518)</f>
        <v/>
      </c>
      <c r="J518" t="str">
        <f>IF(DONNEES!$E518="","",DONNEES!K518)</f>
        <v/>
      </c>
      <c r="K518" t="str">
        <f>IF(DONNEES!$E518="","",DONNEES!L518)</f>
        <v/>
      </c>
      <c r="L518" t="str">
        <f>IF(DONNEES!$E518="","",DONNEES!M518)</f>
        <v/>
      </c>
      <c r="M518" t="str">
        <f>IF(DONNEES!$E518="","",DONNEES!N518)</f>
        <v/>
      </c>
      <c r="N518" t="str">
        <f>IF(DONNEES!$E518="","",DONNEES!O518)</f>
        <v/>
      </c>
      <c r="O518" t="str">
        <f>IF(DONNEES!$E518="","",DONNEES!P518)</f>
        <v/>
      </c>
      <c r="P518" t="str">
        <f>IF(DONNEES!$E518="","",DONNEES!Q518)</f>
        <v/>
      </c>
      <c r="Q518" t="str">
        <f>IF(DONNEES!$E518="","",DONNEES!R518)</f>
        <v/>
      </c>
      <c r="R518" t="str">
        <f>IF(DONNEES!$E518="","",DONNEES!S518)</f>
        <v/>
      </c>
      <c r="S518" t="str">
        <f>IF(DONNEES!$E518="","",DONNEES!T518)</f>
        <v/>
      </c>
      <c r="T518" t="str">
        <f>IF(DONNEES!$E518="","",DONNEES!U518)</f>
        <v/>
      </c>
      <c r="U518" t="str">
        <f>IF(DONNEES!$E518="","",DONNEES!V518)</f>
        <v/>
      </c>
      <c r="V518" t="str">
        <f>IF(DONNEES!$E518="","",DONNEES!W518)</f>
        <v/>
      </c>
      <c r="W518" t="str">
        <f>IF(DONNEES!$E518="","",DONNEES!X518)</f>
        <v/>
      </c>
      <c r="X518" t="str">
        <f>IF(DONNEES!$E518="","",DONNEES!Y518)</f>
        <v/>
      </c>
      <c r="Y518" t="str">
        <f>IF(DONNEES!$E518="","",DONNEES!Z518)</f>
        <v/>
      </c>
      <c r="Z518" t="str">
        <f>IF(DONNEES!$E518="","",DONNEES!AQ518)</f>
        <v/>
      </c>
    </row>
    <row r="519" spans="1:26" ht="15" customHeight="1" x14ac:dyDescent="0.3">
      <c r="A519" t="str">
        <f>IF(DONNEES!$E519="","",DONNEES!A519)</f>
        <v/>
      </c>
      <c r="B519" t="str">
        <f>IF(DONNEES!$E519="","",DONNEES!B519)</f>
        <v/>
      </c>
      <c r="C519" t="str">
        <f>IF(DONNEES!$E519="","",DONNEES!C519)</f>
        <v/>
      </c>
      <c r="D519" t="str">
        <f>IF(DONNEES!$E519="","",DONNEES!E519)</f>
        <v/>
      </c>
      <c r="E519" t="str">
        <f>IF(DONNEES!$E519="","",DONNEES!F519)</f>
        <v/>
      </c>
      <c r="F519" t="str">
        <f>IF(DONNEES!$E519="","",DONNEES!G519)</f>
        <v/>
      </c>
      <c r="G519" t="str">
        <f>IF(DONNEES!$E519="","",DONNEES!H519)</f>
        <v/>
      </c>
      <c r="H519" t="str">
        <f>IF(DONNEES!$E519="","",DONNEES!I519)</f>
        <v/>
      </c>
      <c r="I519" t="str">
        <f>IF(DONNEES!$E519="","",DONNEES!J519)</f>
        <v/>
      </c>
      <c r="J519" t="str">
        <f>IF(DONNEES!$E519="","",DONNEES!K519)</f>
        <v/>
      </c>
      <c r="K519" t="str">
        <f>IF(DONNEES!$E519="","",DONNEES!L519)</f>
        <v/>
      </c>
      <c r="L519" t="str">
        <f>IF(DONNEES!$E519="","",DONNEES!M519)</f>
        <v/>
      </c>
      <c r="M519" t="str">
        <f>IF(DONNEES!$E519="","",DONNEES!N519)</f>
        <v/>
      </c>
      <c r="N519" t="str">
        <f>IF(DONNEES!$E519="","",DONNEES!O519)</f>
        <v/>
      </c>
      <c r="O519" t="str">
        <f>IF(DONNEES!$E519="","",DONNEES!P519)</f>
        <v/>
      </c>
      <c r="P519" t="str">
        <f>IF(DONNEES!$E519="","",DONNEES!Q519)</f>
        <v/>
      </c>
      <c r="Q519" t="str">
        <f>IF(DONNEES!$E519="","",DONNEES!R519)</f>
        <v/>
      </c>
      <c r="R519" t="str">
        <f>IF(DONNEES!$E519="","",DONNEES!S519)</f>
        <v/>
      </c>
      <c r="S519" t="str">
        <f>IF(DONNEES!$E519="","",DONNEES!T519)</f>
        <v/>
      </c>
      <c r="T519" t="str">
        <f>IF(DONNEES!$E519="","",DONNEES!U519)</f>
        <v/>
      </c>
      <c r="U519" t="str">
        <f>IF(DONNEES!$E519="","",DONNEES!V519)</f>
        <v/>
      </c>
      <c r="V519" t="str">
        <f>IF(DONNEES!$E519="","",DONNEES!W519)</f>
        <v/>
      </c>
      <c r="W519" t="str">
        <f>IF(DONNEES!$E519="","",DONNEES!X519)</f>
        <v/>
      </c>
      <c r="X519" t="str">
        <f>IF(DONNEES!$E519="","",DONNEES!Y519)</f>
        <v/>
      </c>
      <c r="Y519" t="str">
        <f>IF(DONNEES!$E519="","",DONNEES!Z519)</f>
        <v/>
      </c>
      <c r="Z519" t="str">
        <f>IF(DONNEES!$E519="","",DONNEES!AQ519)</f>
        <v/>
      </c>
    </row>
    <row r="520" spans="1:26" ht="15" customHeight="1" x14ac:dyDescent="0.3">
      <c r="A520" t="str">
        <f>IF(DONNEES!$E520="","",DONNEES!A520)</f>
        <v/>
      </c>
      <c r="B520" t="str">
        <f>IF(DONNEES!$E520="","",DONNEES!B520)</f>
        <v/>
      </c>
      <c r="C520" t="str">
        <f>IF(DONNEES!$E520="","",DONNEES!C520)</f>
        <v/>
      </c>
      <c r="D520" t="str">
        <f>IF(DONNEES!$E520="","",DONNEES!E520)</f>
        <v/>
      </c>
      <c r="E520" t="str">
        <f>IF(DONNEES!$E520="","",DONNEES!F520)</f>
        <v/>
      </c>
      <c r="F520" t="str">
        <f>IF(DONNEES!$E520="","",DONNEES!G520)</f>
        <v/>
      </c>
      <c r="G520" t="str">
        <f>IF(DONNEES!$E520="","",DONNEES!H520)</f>
        <v/>
      </c>
      <c r="H520" t="str">
        <f>IF(DONNEES!$E520="","",DONNEES!I520)</f>
        <v/>
      </c>
      <c r="I520" t="str">
        <f>IF(DONNEES!$E520="","",DONNEES!J520)</f>
        <v/>
      </c>
      <c r="J520" t="str">
        <f>IF(DONNEES!$E520="","",DONNEES!K520)</f>
        <v/>
      </c>
      <c r="K520" t="str">
        <f>IF(DONNEES!$E520="","",DONNEES!L520)</f>
        <v/>
      </c>
      <c r="L520" t="str">
        <f>IF(DONNEES!$E520="","",DONNEES!M520)</f>
        <v/>
      </c>
      <c r="M520" t="str">
        <f>IF(DONNEES!$E520="","",DONNEES!N520)</f>
        <v/>
      </c>
      <c r="N520" t="str">
        <f>IF(DONNEES!$E520="","",DONNEES!O520)</f>
        <v/>
      </c>
      <c r="O520" t="str">
        <f>IF(DONNEES!$E520="","",DONNEES!P520)</f>
        <v/>
      </c>
      <c r="P520" t="str">
        <f>IF(DONNEES!$E520="","",DONNEES!Q520)</f>
        <v/>
      </c>
      <c r="Q520" t="str">
        <f>IF(DONNEES!$E520="","",DONNEES!R520)</f>
        <v/>
      </c>
      <c r="R520" t="str">
        <f>IF(DONNEES!$E520="","",DONNEES!S520)</f>
        <v/>
      </c>
      <c r="S520" t="str">
        <f>IF(DONNEES!$E520="","",DONNEES!T520)</f>
        <v/>
      </c>
      <c r="T520" t="str">
        <f>IF(DONNEES!$E520="","",DONNEES!U520)</f>
        <v/>
      </c>
      <c r="U520" t="str">
        <f>IF(DONNEES!$E520="","",DONNEES!V520)</f>
        <v/>
      </c>
      <c r="V520" t="str">
        <f>IF(DONNEES!$E520="","",DONNEES!W520)</f>
        <v/>
      </c>
      <c r="W520" t="str">
        <f>IF(DONNEES!$E520="","",DONNEES!X520)</f>
        <v/>
      </c>
      <c r="X520" t="str">
        <f>IF(DONNEES!$E520="","",DONNEES!Y520)</f>
        <v/>
      </c>
      <c r="Y520" t="str">
        <f>IF(DONNEES!$E520="","",DONNEES!Z520)</f>
        <v/>
      </c>
      <c r="Z520" t="str">
        <f>IF(DONNEES!$E520="","",DONNEES!AQ520)</f>
        <v/>
      </c>
    </row>
    <row r="521" spans="1:26" ht="15" customHeight="1" x14ac:dyDescent="0.3">
      <c r="A521" t="str">
        <f>IF(DONNEES!$E521="","",DONNEES!A521)</f>
        <v/>
      </c>
      <c r="B521" t="str">
        <f>IF(DONNEES!$E521="","",DONNEES!B521)</f>
        <v/>
      </c>
      <c r="C521" t="str">
        <f>IF(DONNEES!$E521="","",DONNEES!C521)</f>
        <v/>
      </c>
      <c r="D521" t="str">
        <f>IF(DONNEES!$E521="","",DONNEES!E521)</f>
        <v/>
      </c>
      <c r="E521" t="str">
        <f>IF(DONNEES!$E521="","",DONNEES!F521)</f>
        <v/>
      </c>
      <c r="F521" t="str">
        <f>IF(DONNEES!$E521="","",DONNEES!G521)</f>
        <v/>
      </c>
      <c r="G521" t="str">
        <f>IF(DONNEES!$E521="","",DONNEES!H521)</f>
        <v/>
      </c>
      <c r="H521" t="str">
        <f>IF(DONNEES!$E521="","",DONNEES!I521)</f>
        <v/>
      </c>
      <c r="I521" t="str">
        <f>IF(DONNEES!$E521="","",DONNEES!J521)</f>
        <v/>
      </c>
      <c r="J521" t="str">
        <f>IF(DONNEES!$E521="","",DONNEES!K521)</f>
        <v/>
      </c>
      <c r="K521" t="str">
        <f>IF(DONNEES!$E521="","",DONNEES!L521)</f>
        <v/>
      </c>
      <c r="L521" t="str">
        <f>IF(DONNEES!$E521="","",DONNEES!M521)</f>
        <v/>
      </c>
      <c r="M521" t="str">
        <f>IF(DONNEES!$E521="","",DONNEES!N521)</f>
        <v/>
      </c>
      <c r="N521" t="str">
        <f>IF(DONNEES!$E521="","",DONNEES!O521)</f>
        <v/>
      </c>
      <c r="O521" t="str">
        <f>IF(DONNEES!$E521="","",DONNEES!P521)</f>
        <v/>
      </c>
      <c r="P521" t="str">
        <f>IF(DONNEES!$E521="","",DONNEES!Q521)</f>
        <v/>
      </c>
      <c r="Q521" t="str">
        <f>IF(DONNEES!$E521="","",DONNEES!R521)</f>
        <v/>
      </c>
      <c r="R521" t="str">
        <f>IF(DONNEES!$E521="","",DONNEES!S521)</f>
        <v/>
      </c>
      <c r="S521" t="str">
        <f>IF(DONNEES!$E521="","",DONNEES!T521)</f>
        <v/>
      </c>
      <c r="T521" t="str">
        <f>IF(DONNEES!$E521="","",DONNEES!U521)</f>
        <v/>
      </c>
      <c r="U521" t="str">
        <f>IF(DONNEES!$E521="","",DONNEES!V521)</f>
        <v/>
      </c>
      <c r="V521" t="str">
        <f>IF(DONNEES!$E521="","",DONNEES!W521)</f>
        <v/>
      </c>
      <c r="W521" t="str">
        <f>IF(DONNEES!$E521="","",DONNEES!X521)</f>
        <v/>
      </c>
      <c r="X521" t="str">
        <f>IF(DONNEES!$E521="","",DONNEES!Y521)</f>
        <v/>
      </c>
      <c r="Y521" t="str">
        <f>IF(DONNEES!$E521="","",DONNEES!Z521)</f>
        <v/>
      </c>
      <c r="Z521" t="str">
        <f>IF(DONNEES!$E521="","",DONNEES!AQ521)</f>
        <v/>
      </c>
    </row>
    <row r="522" spans="1:26" ht="15" customHeight="1" x14ac:dyDescent="0.3">
      <c r="A522" t="str">
        <f>IF(DONNEES!$E522="","",DONNEES!A522)</f>
        <v/>
      </c>
      <c r="B522" t="str">
        <f>IF(DONNEES!$E522="","",DONNEES!B522)</f>
        <v/>
      </c>
      <c r="C522" t="str">
        <f>IF(DONNEES!$E522="","",DONNEES!C522)</f>
        <v/>
      </c>
      <c r="D522" t="str">
        <f>IF(DONNEES!$E522="","",DONNEES!E522)</f>
        <v/>
      </c>
      <c r="E522" t="str">
        <f>IF(DONNEES!$E522="","",DONNEES!F522)</f>
        <v/>
      </c>
      <c r="F522" t="str">
        <f>IF(DONNEES!$E522="","",DONNEES!G522)</f>
        <v/>
      </c>
      <c r="G522" t="str">
        <f>IF(DONNEES!$E522="","",DONNEES!H522)</f>
        <v/>
      </c>
      <c r="H522" t="str">
        <f>IF(DONNEES!$E522="","",DONNEES!I522)</f>
        <v/>
      </c>
      <c r="I522" t="str">
        <f>IF(DONNEES!$E522="","",DONNEES!J522)</f>
        <v/>
      </c>
      <c r="J522" t="str">
        <f>IF(DONNEES!$E522="","",DONNEES!K522)</f>
        <v/>
      </c>
      <c r="K522" t="str">
        <f>IF(DONNEES!$E522="","",DONNEES!L522)</f>
        <v/>
      </c>
      <c r="L522" t="str">
        <f>IF(DONNEES!$E522="","",DONNEES!M522)</f>
        <v/>
      </c>
      <c r="M522" t="str">
        <f>IF(DONNEES!$E522="","",DONNEES!N522)</f>
        <v/>
      </c>
      <c r="N522" t="str">
        <f>IF(DONNEES!$E522="","",DONNEES!O522)</f>
        <v/>
      </c>
      <c r="O522" t="str">
        <f>IF(DONNEES!$E522="","",DONNEES!P522)</f>
        <v/>
      </c>
      <c r="P522" t="str">
        <f>IF(DONNEES!$E522="","",DONNEES!Q522)</f>
        <v/>
      </c>
      <c r="Q522" t="str">
        <f>IF(DONNEES!$E522="","",DONNEES!R522)</f>
        <v/>
      </c>
      <c r="R522" t="str">
        <f>IF(DONNEES!$E522="","",DONNEES!S522)</f>
        <v/>
      </c>
      <c r="S522" t="str">
        <f>IF(DONNEES!$E522="","",DONNEES!T522)</f>
        <v/>
      </c>
      <c r="T522" t="str">
        <f>IF(DONNEES!$E522="","",DONNEES!U522)</f>
        <v/>
      </c>
      <c r="U522" t="str">
        <f>IF(DONNEES!$E522="","",DONNEES!V522)</f>
        <v/>
      </c>
      <c r="V522" t="str">
        <f>IF(DONNEES!$E522="","",DONNEES!W522)</f>
        <v/>
      </c>
      <c r="W522" t="str">
        <f>IF(DONNEES!$E522="","",DONNEES!X522)</f>
        <v/>
      </c>
      <c r="X522" t="str">
        <f>IF(DONNEES!$E522="","",DONNEES!Y522)</f>
        <v/>
      </c>
      <c r="Y522" t="str">
        <f>IF(DONNEES!$E522="","",DONNEES!Z522)</f>
        <v/>
      </c>
      <c r="Z522" t="str">
        <f>IF(DONNEES!$E522="","",DONNEES!AQ522)</f>
        <v/>
      </c>
    </row>
    <row r="523" spans="1:26" ht="15" customHeight="1" x14ac:dyDescent="0.3">
      <c r="A523" t="str">
        <f>IF(DONNEES!$E523="","",DONNEES!A523)</f>
        <v/>
      </c>
      <c r="B523" t="str">
        <f>IF(DONNEES!$E523="","",DONNEES!B523)</f>
        <v/>
      </c>
      <c r="C523" t="str">
        <f>IF(DONNEES!$E523="","",DONNEES!C523)</f>
        <v/>
      </c>
      <c r="D523" t="str">
        <f>IF(DONNEES!$E523="","",DONNEES!E523)</f>
        <v/>
      </c>
      <c r="E523" t="str">
        <f>IF(DONNEES!$E523="","",DONNEES!F523)</f>
        <v/>
      </c>
      <c r="F523" t="str">
        <f>IF(DONNEES!$E523="","",DONNEES!G523)</f>
        <v/>
      </c>
      <c r="G523" t="str">
        <f>IF(DONNEES!$E523="","",DONNEES!H523)</f>
        <v/>
      </c>
      <c r="H523" t="str">
        <f>IF(DONNEES!$E523="","",DONNEES!I523)</f>
        <v/>
      </c>
      <c r="I523" t="str">
        <f>IF(DONNEES!$E523="","",DONNEES!J523)</f>
        <v/>
      </c>
      <c r="J523" t="str">
        <f>IF(DONNEES!$E523="","",DONNEES!K523)</f>
        <v/>
      </c>
      <c r="K523" t="str">
        <f>IF(DONNEES!$E523="","",DONNEES!L523)</f>
        <v/>
      </c>
      <c r="L523" t="str">
        <f>IF(DONNEES!$E523="","",DONNEES!M523)</f>
        <v/>
      </c>
      <c r="M523" t="str">
        <f>IF(DONNEES!$E523="","",DONNEES!N523)</f>
        <v/>
      </c>
      <c r="N523" t="str">
        <f>IF(DONNEES!$E523="","",DONNEES!O523)</f>
        <v/>
      </c>
      <c r="O523" t="str">
        <f>IF(DONNEES!$E523="","",DONNEES!P523)</f>
        <v/>
      </c>
      <c r="P523" t="str">
        <f>IF(DONNEES!$E523="","",DONNEES!Q523)</f>
        <v/>
      </c>
      <c r="Q523" t="str">
        <f>IF(DONNEES!$E523="","",DONNEES!R523)</f>
        <v/>
      </c>
      <c r="R523" t="str">
        <f>IF(DONNEES!$E523="","",DONNEES!S523)</f>
        <v/>
      </c>
      <c r="S523" t="str">
        <f>IF(DONNEES!$E523="","",DONNEES!T523)</f>
        <v/>
      </c>
      <c r="T523" t="str">
        <f>IF(DONNEES!$E523="","",DONNEES!U523)</f>
        <v/>
      </c>
      <c r="U523" t="str">
        <f>IF(DONNEES!$E523="","",DONNEES!V523)</f>
        <v/>
      </c>
      <c r="V523" t="str">
        <f>IF(DONNEES!$E523="","",DONNEES!W523)</f>
        <v/>
      </c>
      <c r="W523" t="str">
        <f>IF(DONNEES!$E523="","",DONNEES!X523)</f>
        <v/>
      </c>
      <c r="X523" t="str">
        <f>IF(DONNEES!$E523="","",DONNEES!Y523)</f>
        <v/>
      </c>
      <c r="Y523" t="str">
        <f>IF(DONNEES!$E523="","",DONNEES!Z523)</f>
        <v/>
      </c>
      <c r="Z523" t="str">
        <f>IF(DONNEES!$E523="","",DONNEES!AQ523)</f>
        <v/>
      </c>
    </row>
    <row r="524" spans="1:26" ht="15" customHeight="1" x14ac:dyDescent="0.3">
      <c r="A524" t="str">
        <f>IF(DONNEES!$E524="","",DONNEES!A524)</f>
        <v/>
      </c>
      <c r="B524" t="str">
        <f>IF(DONNEES!$E524="","",DONNEES!B524)</f>
        <v/>
      </c>
      <c r="C524" t="str">
        <f>IF(DONNEES!$E524="","",DONNEES!C524)</f>
        <v/>
      </c>
      <c r="D524" t="str">
        <f>IF(DONNEES!$E524="","",DONNEES!E524)</f>
        <v/>
      </c>
      <c r="E524" t="str">
        <f>IF(DONNEES!$E524="","",DONNEES!F524)</f>
        <v/>
      </c>
      <c r="F524" t="str">
        <f>IF(DONNEES!$E524="","",DONNEES!G524)</f>
        <v/>
      </c>
      <c r="G524" t="str">
        <f>IF(DONNEES!$E524="","",DONNEES!H524)</f>
        <v/>
      </c>
      <c r="H524" t="str">
        <f>IF(DONNEES!$E524="","",DONNEES!I524)</f>
        <v/>
      </c>
      <c r="I524" t="str">
        <f>IF(DONNEES!$E524="","",DONNEES!J524)</f>
        <v/>
      </c>
      <c r="J524" t="str">
        <f>IF(DONNEES!$E524="","",DONNEES!K524)</f>
        <v/>
      </c>
      <c r="K524" t="str">
        <f>IF(DONNEES!$E524="","",DONNEES!L524)</f>
        <v/>
      </c>
      <c r="L524" t="str">
        <f>IF(DONNEES!$E524="","",DONNEES!M524)</f>
        <v/>
      </c>
      <c r="M524" t="str">
        <f>IF(DONNEES!$E524="","",DONNEES!N524)</f>
        <v/>
      </c>
      <c r="N524" t="str">
        <f>IF(DONNEES!$E524="","",DONNEES!O524)</f>
        <v/>
      </c>
      <c r="O524" t="str">
        <f>IF(DONNEES!$E524="","",DONNEES!P524)</f>
        <v/>
      </c>
      <c r="P524" t="str">
        <f>IF(DONNEES!$E524="","",DONNEES!Q524)</f>
        <v/>
      </c>
      <c r="Q524" t="str">
        <f>IF(DONNEES!$E524="","",DONNEES!R524)</f>
        <v/>
      </c>
      <c r="R524" t="str">
        <f>IF(DONNEES!$E524="","",DONNEES!S524)</f>
        <v/>
      </c>
      <c r="S524" t="str">
        <f>IF(DONNEES!$E524="","",DONNEES!T524)</f>
        <v/>
      </c>
      <c r="T524" t="str">
        <f>IF(DONNEES!$E524="","",DONNEES!U524)</f>
        <v/>
      </c>
      <c r="U524" t="str">
        <f>IF(DONNEES!$E524="","",DONNEES!V524)</f>
        <v/>
      </c>
      <c r="V524" t="str">
        <f>IF(DONNEES!$E524="","",DONNEES!W524)</f>
        <v/>
      </c>
      <c r="W524" t="str">
        <f>IF(DONNEES!$E524="","",DONNEES!X524)</f>
        <v/>
      </c>
      <c r="X524" t="str">
        <f>IF(DONNEES!$E524="","",DONNEES!Y524)</f>
        <v/>
      </c>
      <c r="Y524" t="str">
        <f>IF(DONNEES!$E524="","",DONNEES!Z524)</f>
        <v/>
      </c>
      <c r="Z524" t="str">
        <f>IF(DONNEES!$E524="","",DONNEES!AQ524)</f>
        <v/>
      </c>
    </row>
    <row r="525" spans="1:26" ht="15" customHeight="1" x14ac:dyDescent="0.3">
      <c r="A525" t="str">
        <f>IF(DONNEES!$E525="","",DONNEES!A525)</f>
        <v/>
      </c>
      <c r="B525" t="str">
        <f>IF(DONNEES!$E525="","",DONNEES!B525)</f>
        <v/>
      </c>
      <c r="C525" t="str">
        <f>IF(DONNEES!$E525="","",DONNEES!C525)</f>
        <v/>
      </c>
      <c r="D525" t="str">
        <f>IF(DONNEES!$E525="","",DONNEES!E525)</f>
        <v/>
      </c>
      <c r="E525" t="str">
        <f>IF(DONNEES!$E525="","",DONNEES!F525)</f>
        <v/>
      </c>
      <c r="F525" t="str">
        <f>IF(DONNEES!$E525="","",DONNEES!G525)</f>
        <v/>
      </c>
      <c r="G525" t="str">
        <f>IF(DONNEES!$E525="","",DONNEES!H525)</f>
        <v/>
      </c>
      <c r="H525" t="str">
        <f>IF(DONNEES!$E525="","",DONNEES!I525)</f>
        <v/>
      </c>
      <c r="I525" t="str">
        <f>IF(DONNEES!$E525="","",DONNEES!J525)</f>
        <v/>
      </c>
      <c r="J525" t="str">
        <f>IF(DONNEES!$E525="","",DONNEES!K525)</f>
        <v/>
      </c>
      <c r="K525" t="str">
        <f>IF(DONNEES!$E525="","",DONNEES!L525)</f>
        <v/>
      </c>
      <c r="L525" t="str">
        <f>IF(DONNEES!$E525="","",DONNEES!M525)</f>
        <v/>
      </c>
      <c r="M525" t="str">
        <f>IF(DONNEES!$E525="","",DONNEES!N525)</f>
        <v/>
      </c>
      <c r="N525" t="str">
        <f>IF(DONNEES!$E525="","",DONNEES!O525)</f>
        <v/>
      </c>
      <c r="O525" t="str">
        <f>IF(DONNEES!$E525="","",DONNEES!P525)</f>
        <v/>
      </c>
      <c r="P525" t="str">
        <f>IF(DONNEES!$E525="","",DONNEES!Q525)</f>
        <v/>
      </c>
      <c r="Q525" t="str">
        <f>IF(DONNEES!$E525="","",DONNEES!R525)</f>
        <v/>
      </c>
      <c r="R525" t="str">
        <f>IF(DONNEES!$E525="","",DONNEES!S525)</f>
        <v/>
      </c>
      <c r="S525" t="str">
        <f>IF(DONNEES!$E525="","",DONNEES!T525)</f>
        <v/>
      </c>
      <c r="T525" t="str">
        <f>IF(DONNEES!$E525="","",DONNEES!U525)</f>
        <v/>
      </c>
      <c r="U525" t="str">
        <f>IF(DONNEES!$E525="","",DONNEES!V525)</f>
        <v/>
      </c>
      <c r="V525" t="str">
        <f>IF(DONNEES!$E525="","",DONNEES!W525)</f>
        <v/>
      </c>
      <c r="W525" t="str">
        <f>IF(DONNEES!$E525="","",DONNEES!X525)</f>
        <v/>
      </c>
      <c r="X525" t="str">
        <f>IF(DONNEES!$E525="","",DONNEES!Y525)</f>
        <v/>
      </c>
      <c r="Y525" t="str">
        <f>IF(DONNEES!$E525="","",DONNEES!Z525)</f>
        <v/>
      </c>
      <c r="Z525" t="str">
        <f>IF(DONNEES!$E525="","",DONNEES!AQ525)</f>
        <v/>
      </c>
    </row>
    <row r="526" spans="1:26" ht="15" customHeight="1" x14ac:dyDescent="0.3">
      <c r="A526" t="str">
        <f>IF(DONNEES!$E526="","",DONNEES!A526)</f>
        <v/>
      </c>
      <c r="B526" t="str">
        <f>IF(DONNEES!$E526="","",DONNEES!B526)</f>
        <v/>
      </c>
      <c r="C526" t="str">
        <f>IF(DONNEES!$E526="","",DONNEES!C526)</f>
        <v/>
      </c>
      <c r="D526" t="str">
        <f>IF(DONNEES!$E526="","",DONNEES!E526)</f>
        <v/>
      </c>
      <c r="E526" t="str">
        <f>IF(DONNEES!$E526="","",DONNEES!F526)</f>
        <v/>
      </c>
      <c r="F526" t="str">
        <f>IF(DONNEES!$E526="","",DONNEES!G526)</f>
        <v/>
      </c>
      <c r="G526" t="str">
        <f>IF(DONNEES!$E526="","",DONNEES!H526)</f>
        <v/>
      </c>
      <c r="H526" t="str">
        <f>IF(DONNEES!$E526="","",DONNEES!I526)</f>
        <v/>
      </c>
      <c r="I526" t="str">
        <f>IF(DONNEES!$E526="","",DONNEES!J526)</f>
        <v/>
      </c>
      <c r="J526" t="str">
        <f>IF(DONNEES!$E526="","",DONNEES!K526)</f>
        <v/>
      </c>
      <c r="K526" t="str">
        <f>IF(DONNEES!$E526="","",DONNEES!L526)</f>
        <v/>
      </c>
      <c r="L526" t="str">
        <f>IF(DONNEES!$E526="","",DONNEES!M526)</f>
        <v/>
      </c>
      <c r="M526" t="str">
        <f>IF(DONNEES!$E526="","",DONNEES!N526)</f>
        <v/>
      </c>
      <c r="N526" t="str">
        <f>IF(DONNEES!$E526="","",DONNEES!O526)</f>
        <v/>
      </c>
      <c r="O526" t="str">
        <f>IF(DONNEES!$E526="","",DONNEES!P526)</f>
        <v/>
      </c>
      <c r="P526" t="str">
        <f>IF(DONNEES!$E526="","",DONNEES!Q526)</f>
        <v/>
      </c>
      <c r="Q526" t="str">
        <f>IF(DONNEES!$E526="","",DONNEES!R526)</f>
        <v/>
      </c>
      <c r="R526" t="str">
        <f>IF(DONNEES!$E526="","",DONNEES!S526)</f>
        <v/>
      </c>
      <c r="S526" t="str">
        <f>IF(DONNEES!$E526="","",DONNEES!T526)</f>
        <v/>
      </c>
      <c r="T526" t="str">
        <f>IF(DONNEES!$E526="","",DONNEES!U526)</f>
        <v/>
      </c>
      <c r="U526" t="str">
        <f>IF(DONNEES!$E526="","",DONNEES!V526)</f>
        <v/>
      </c>
      <c r="V526" t="str">
        <f>IF(DONNEES!$E526="","",DONNEES!W526)</f>
        <v/>
      </c>
      <c r="W526" t="str">
        <f>IF(DONNEES!$E526="","",DONNEES!X526)</f>
        <v/>
      </c>
      <c r="X526" t="str">
        <f>IF(DONNEES!$E526="","",DONNEES!Y526)</f>
        <v/>
      </c>
      <c r="Y526" t="str">
        <f>IF(DONNEES!$E526="","",DONNEES!Z526)</f>
        <v/>
      </c>
      <c r="Z526" t="str">
        <f>IF(DONNEES!$E526="","",DONNEES!AQ526)</f>
        <v/>
      </c>
    </row>
    <row r="527" spans="1:26" ht="15" customHeight="1" x14ac:dyDescent="0.3">
      <c r="A527" t="str">
        <f>IF(DONNEES!$E527="","",DONNEES!A527)</f>
        <v/>
      </c>
      <c r="B527" t="str">
        <f>IF(DONNEES!$E527="","",DONNEES!B527)</f>
        <v/>
      </c>
      <c r="C527" t="str">
        <f>IF(DONNEES!$E527="","",DONNEES!C527)</f>
        <v/>
      </c>
      <c r="D527" t="str">
        <f>IF(DONNEES!$E527="","",DONNEES!E527)</f>
        <v/>
      </c>
      <c r="E527" t="str">
        <f>IF(DONNEES!$E527="","",DONNEES!F527)</f>
        <v/>
      </c>
      <c r="F527" t="str">
        <f>IF(DONNEES!$E527="","",DONNEES!G527)</f>
        <v/>
      </c>
      <c r="G527" t="str">
        <f>IF(DONNEES!$E527="","",DONNEES!H527)</f>
        <v/>
      </c>
      <c r="H527" t="str">
        <f>IF(DONNEES!$E527="","",DONNEES!I527)</f>
        <v/>
      </c>
      <c r="I527" t="str">
        <f>IF(DONNEES!$E527="","",DONNEES!J527)</f>
        <v/>
      </c>
      <c r="J527" t="str">
        <f>IF(DONNEES!$E527="","",DONNEES!K527)</f>
        <v/>
      </c>
      <c r="K527" t="str">
        <f>IF(DONNEES!$E527="","",DONNEES!L527)</f>
        <v/>
      </c>
      <c r="L527" t="str">
        <f>IF(DONNEES!$E527="","",DONNEES!M527)</f>
        <v/>
      </c>
      <c r="M527" t="str">
        <f>IF(DONNEES!$E527="","",DONNEES!N527)</f>
        <v/>
      </c>
      <c r="N527" t="str">
        <f>IF(DONNEES!$E527="","",DONNEES!O527)</f>
        <v/>
      </c>
      <c r="O527" t="str">
        <f>IF(DONNEES!$E527="","",DONNEES!P527)</f>
        <v/>
      </c>
      <c r="P527" t="str">
        <f>IF(DONNEES!$E527="","",DONNEES!Q527)</f>
        <v/>
      </c>
      <c r="Q527" t="str">
        <f>IF(DONNEES!$E527="","",DONNEES!R527)</f>
        <v/>
      </c>
      <c r="R527" t="str">
        <f>IF(DONNEES!$E527="","",DONNEES!S527)</f>
        <v/>
      </c>
      <c r="S527" t="str">
        <f>IF(DONNEES!$E527="","",DONNEES!T527)</f>
        <v/>
      </c>
      <c r="T527" t="str">
        <f>IF(DONNEES!$E527="","",DONNEES!U527)</f>
        <v/>
      </c>
      <c r="U527" t="str">
        <f>IF(DONNEES!$E527="","",DONNEES!V527)</f>
        <v/>
      </c>
      <c r="V527" t="str">
        <f>IF(DONNEES!$E527="","",DONNEES!W527)</f>
        <v/>
      </c>
      <c r="W527" t="str">
        <f>IF(DONNEES!$E527="","",DONNEES!X527)</f>
        <v/>
      </c>
      <c r="X527" t="str">
        <f>IF(DONNEES!$E527="","",DONNEES!Y527)</f>
        <v/>
      </c>
      <c r="Y527" t="str">
        <f>IF(DONNEES!$E527="","",DONNEES!Z527)</f>
        <v/>
      </c>
      <c r="Z527" t="str">
        <f>IF(DONNEES!$E527="","",DONNEES!AQ527)</f>
        <v/>
      </c>
    </row>
    <row r="528" spans="1:26" ht="15" customHeight="1" x14ac:dyDescent="0.3">
      <c r="A528" t="str">
        <f>IF(DONNEES!$E528="","",DONNEES!A528)</f>
        <v/>
      </c>
      <c r="B528" t="str">
        <f>IF(DONNEES!$E528="","",DONNEES!B528)</f>
        <v/>
      </c>
      <c r="C528" t="str">
        <f>IF(DONNEES!$E528="","",DONNEES!C528)</f>
        <v/>
      </c>
      <c r="D528" t="str">
        <f>IF(DONNEES!$E528="","",DONNEES!E528)</f>
        <v/>
      </c>
      <c r="E528" t="str">
        <f>IF(DONNEES!$E528="","",DONNEES!F528)</f>
        <v/>
      </c>
      <c r="F528" t="str">
        <f>IF(DONNEES!$E528="","",DONNEES!G528)</f>
        <v/>
      </c>
      <c r="G528" t="str">
        <f>IF(DONNEES!$E528="","",DONNEES!H528)</f>
        <v/>
      </c>
      <c r="H528" t="str">
        <f>IF(DONNEES!$E528="","",DONNEES!I528)</f>
        <v/>
      </c>
      <c r="I528" t="str">
        <f>IF(DONNEES!$E528="","",DONNEES!J528)</f>
        <v/>
      </c>
      <c r="J528" t="str">
        <f>IF(DONNEES!$E528="","",DONNEES!K528)</f>
        <v/>
      </c>
      <c r="K528" t="str">
        <f>IF(DONNEES!$E528="","",DONNEES!L528)</f>
        <v/>
      </c>
      <c r="L528" t="str">
        <f>IF(DONNEES!$E528="","",DONNEES!M528)</f>
        <v/>
      </c>
      <c r="M528" t="str">
        <f>IF(DONNEES!$E528="","",DONNEES!N528)</f>
        <v/>
      </c>
      <c r="N528" t="str">
        <f>IF(DONNEES!$E528="","",DONNEES!O528)</f>
        <v/>
      </c>
      <c r="O528" t="str">
        <f>IF(DONNEES!$E528="","",DONNEES!P528)</f>
        <v/>
      </c>
      <c r="P528" t="str">
        <f>IF(DONNEES!$E528="","",DONNEES!Q528)</f>
        <v/>
      </c>
      <c r="Q528" t="str">
        <f>IF(DONNEES!$E528="","",DONNEES!R528)</f>
        <v/>
      </c>
      <c r="R528" t="str">
        <f>IF(DONNEES!$E528="","",DONNEES!S528)</f>
        <v/>
      </c>
      <c r="S528" t="str">
        <f>IF(DONNEES!$E528="","",DONNEES!T528)</f>
        <v/>
      </c>
      <c r="T528" t="str">
        <f>IF(DONNEES!$E528="","",DONNEES!U528)</f>
        <v/>
      </c>
      <c r="U528" t="str">
        <f>IF(DONNEES!$E528="","",DONNEES!V528)</f>
        <v/>
      </c>
      <c r="V528" t="str">
        <f>IF(DONNEES!$E528="","",DONNEES!W528)</f>
        <v/>
      </c>
      <c r="W528" t="str">
        <f>IF(DONNEES!$E528="","",DONNEES!X528)</f>
        <v/>
      </c>
      <c r="X528" t="str">
        <f>IF(DONNEES!$E528="","",DONNEES!Y528)</f>
        <v/>
      </c>
      <c r="Y528" t="str">
        <f>IF(DONNEES!$E528="","",DONNEES!Z528)</f>
        <v/>
      </c>
      <c r="Z528" t="str">
        <f>IF(DONNEES!$E528="","",DONNEES!AQ528)</f>
        <v/>
      </c>
    </row>
    <row r="529" spans="1:26" ht="15" customHeight="1" x14ac:dyDescent="0.3">
      <c r="A529" t="str">
        <f>IF(DONNEES!$E529="","",DONNEES!A529)</f>
        <v/>
      </c>
      <c r="B529" t="str">
        <f>IF(DONNEES!$E529="","",DONNEES!B529)</f>
        <v/>
      </c>
      <c r="C529" t="str">
        <f>IF(DONNEES!$E529="","",DONNEES!C529)</f>
        <v/>
      </c>
      <c r="D529" t="str">
        <f>IF(DONNEES!$E529="","",DONNEES!E529)</f>
        <v/>
      </c>
      <c r="E529" t="str">
        <f>IF(DONNEES!$E529="","",DONNEES!F529)</f>
        <v/>
      </c>
      <c r="F529" t="str">
        <f>IF(DONNEES!$E529="","",DONNEES!G529)</f>
        <v/>
      </c>
      <c r="G529" t="str">
        <f>IF(DONNEES!$E529="","",DONNEES!H529)</f>
        <v/>
      </c>
      <c r="H529" t="str">
        <f>IF(DONNEES!$E529="","",DONNEES!I529)</f>
        <v/>
      </c>
      <c r="I529" t="str">
        <f>IF(DONNEES!$E529="","",DONNEES!J529)</f>
        <v/>
      </c>
      <c r="J529" t="str">
        <f>IF(DONNEES!$E529="","",DONNEES!K529)</f>
        <v/>
      </c>
      <c r="K529" t="str">
        <f>IF(DONNEES!$E529="","",DONNEES!L529)</f>
        <v/>
      </c>
      <c r="L529" t="str">
        <f>IF(DONNEES!$E529="","",DONNEES!M529)</f>
        <v/>
      </c>
      <c r="M529" t="str">
        <f>IF(DONNEES!$E529="","",DONNEES!N529)</f>
        <v/>
      </c>
      <c r="N529" t="str">
        <f>IF(DONNEES!$E529="","",DONNEES!O529)</f>
        <v/>
      </c>
      <c r="O529" t="str">
        <f>IF(DONNEES!$E529="","",DONNEES!P529)</f>
        <v/>
      </c>
      <c r="P529" t="str">
        <f>IF(DONNEES!$E529="","",DONNEES!Q529)</f>
        <v/>
      </c>
      <c r="Q529" t="str">
        <f>IF(DONNEES!$E529="","",DONNEES!R529)</f>
        <v/>
      </c>
      <c r="R529" t="str">
        <f>IF(DONNEES!$E529="","",DONNEES!S529)</f>
        <v/>
      </c>
      <c r="S529" t="str">
        <f>IF(DONNEES!$E529="","",DONNEES!T529)</f>
        <v/>
      </c>
      <c r="T529" t="str">
        <f>IF(DONNEES!$E529="","",DONNEES!U529)</f>
        <v/>
      </c>
      <c r="U529" t="str">
        <f>IF(DONNEES!$E529="","",DONNEES!V529)</f>
        <v/>
      </c>
      <c r="V529" t="str">
        <f>IF(DONNEES!$E529="","",DONNEES!W529)</f>
        <v/>
      </c>
      <c r="W529" t="str">
        <f>IF(DONNEES!$E529="","",DONNEES!X529)</f>
        <v/>
      </c>
      <c r="X529" t="str">
        <f>IF(DONNEES!$E529="","",DONNEES!Y529)</f>
        <v/>
      </c>
      <c r="Y529" t="str">
        <f>IF(DONNEES!$E529="","",DONNEES!Z529)</f>
        <v/>
      </c>
      <c r="Z529" t="str">
        <f>IF(DONNEES!$E529="","",DONNEES!AQ529)</f>
        <v/>
      </c>
    </row>
    <row r="530" spans="1:26" ht="15" customHeight="1" x14ac:dyDescent="0.3">
      <c r="A530" t="str">
        <f>IF(DONNEES!$E530="","",DONNEES!A530)</f>
        <v/>
      </c>
      <c r="B530" t="str">
        <f>IF(DONNEES!$E530="","",DONNEES!B530)</f>
        <v/>
      </c>
      <c r="C530" t="str">
        <f>IF(DONNEES!$E530="","",DONNEES!C530)</f>
        <v/>
      </c>
      <c r="D530" t="str">
        <f>IF(DONNEES!$E530="","",DONNEES!E530)</f>
        <v/>
      </c>
      <c r="E530" t="str">
        <f>IF(DONNEES!$E530="","",DONNEES!F530)</f>
        <v/>
      </c>
      <c r="F530" t="str">
        <f>IF(DONNEES!$E530="","",DONNEES!G530)</f>
        <v/>
      </c>
      <c r="G530" t="str">
        <f>IF(DONNEES!$E530="","",DONNEES!H530)</f>
        <v/>
      </c>
      <c r="H530" t="str">
        <f>IF(DONNEES!$E530="","",DONNEES!I530)</f>
        <v/>
      </c>
      <c r="I530" t="str">
        <f>IF(DONNEES!$E530="","",DONNEES!J530)</f>
        <v/>
      </c>
      <c r="J530" t="str">
        <f>IF(DONNEES!$E530="","",DONNEES!K530)</f>
        <v/>
      </c>
      <c r="K530" t="str">
        <f>IF(DONNEES!$E530="","",DONNEES!L530)</f>
        <v/>
      </c>
      <c r="L530" t="str">
        <f>IF(DONNEES!$E530="","",DONNEES!M530)</f>
        <v/>
      </c>
      <c r="M530" t="str">
        <f>IF(DONNEES!$E530="","",DONNEES!N530)</f>
        <v/>
      </c>
      <c r="N530" t="str">
        <f>IF(DONNEES!$E530="","",DONNEES!O530)</f>
        <v/>
      </c>
      <c r="O530" t="str">
        <f>IF(DONNEES!$E530="","",DONNEES!P530)</f>
        <v/>
      </c>
      <c r="P530" t="str">
        <f>IF(DONNEES!$E530="","",DONNEES!Q530)</f>
        <v/>
      </c>
      <c r="Q530" t="str">
        <f>IF(DONNEES!$E530="","",DONNEES!R530)</f>
        <v/>
      </c>
      <c r="R530" t="str">
        <f>IF(DONNEES!$E530="","",DONNEES!S530)</f>
        <v/>
      </c>
      <c r="S530" t="str">
        <f>IF(DONNEES!$E530="","",DONNEES!T530)</f>
        <v/>
      </c>
      <c r="T530" t="str">
        <f>IF(DONNEES!$E530="","",DONNEES!U530)</f>
        <v/>
      </c>
      <c r="U530" t="str">
        <f>IF(DONNEES!$E530="","",DONNEES!V530)</f>
        <v/>
      </c>
      <c r="V530" t="str">
        <f>IF(DONNEES!$E530="","",DONNEES!W530)</f>
        <v/>
      </c>
      <c r="W530" t="str">
        <f>IF(DONNEES!$E530="","",DONNEES!X530)</f>
        <v/>
      </c>
      <c r="X530" t="str">
        <f>IF(DONNEES!$E530="","",DONNEES!Y530)</f>
        <v/>
      </c>
      <c r="Y530" t="str">
        <f>IF(DONNEES!$E530="","",DONNEES!Z530)</f>
        <v/>
      </c>
      <c r="Z530" t="str">
        <f>IF(DONNEES!$E530="","",DONNEES!AQ530)</f>
        <v/>
      </c>
    </row>
    <row r="531" spans="1:26" ht="15" customHeight="1" x14ac:dyDescent="0.3">
      <c r="A531" t="str">
        <f>IF(DONNEES!$E531="","",DONNEES!A531)</f>
        <v/>
      </c>
      <c r="B531" t="str">
        <f>IF(DONNEES!$E531="","",DONNEES!B531)</f>
        <v/>
      </c>
      <c r="C531" t="str">
        <f>IF(DONNEES!$E531="","",DONNEES!C531)</f>
        <v/>
      </c>
      <c r="D531" t="str">
        <f>IF(DONNEES!$E531="","",DONNEES!E531)</f>
        <v/>
      </c>
      <c r="E531" t="str">
        <f>IF(DONNEES!$E531="","",DONNEES!F531)</f>
        <v/>
      </c>
      <c r="F531" t="str">
        <f>IF(DONNEES!$E531="","",DONNEES!G531)</f>
        <v/>
      </c>
      <c r="G531" t="str">
        <f>IF(DONNEES!$E531="","",DONNEES!H531)</f>
        <v/>
      </c>
      <c r="H531" t="str">
        <f>IF(DONNEES!$E531="","",DONNEES!I531)</f>
        <v/>
      </c>
      <c r="I531" t="str">
        <f>IF(DONNEES!$E531="","",DONNEES!J531)</f>
        <v/>
      </c>
      <c r="J531" t="str">
        <f>IF(DONNEES!$E531="","",DONNEES!K531)</f>
        <v/>
      </c>
      <c r="K531" t="str">
        <f>IF(DONNEES!$E531="","",DONNEES!L531)</f>
        <v/>
      </c>
      <c r="L531" t="str">
        <f>IF(DONNEES!$E531="","",DONNEES!M531)</f>
        <v/>
      </c>
      <c r="M531" t="str">
        <f>IF(DONNEES!$E531="","",DONNEES!N531)</f>
        <v/>
      </c>
      <c r="N531" t="str">
        <f>IF(DONNEES!$E531="","",DONNEES!O531)</f>
        <v/>
      </c>
      <c r="O531" t="str">
        <f>IF(DONNEES!$E531="","",DONNEES!P531)</f>
        <v/>
      </c>
      <c r="P531" t="str">
        <f>IF(DONNEES!$E531="","",DONNEES!Q531)</f>
        <v/>
      </c>
      <c r="Q531" t="str">
        <f>IF(DONNEES!$E531="","",DONNEES!R531)</f>
        <v/>
      </c>
      <c r="R531" t="str">
        <f>IF(DONNEES!$E531="","",DONNEES!S531)</f>
        <v/>
      </c>
      <c r="S531" t="str">
        <f>IF(DONNEES!$E531="","",DONNEES!T531)</f>
        <v/>
      </c>
      <c r="T531" t="str">
        <f>IF(DONNEES!$E531="","",DONNEES!U531)</f>
        <v/>
      </c>
      <c r="U531" t="str">
        <f>IF(DONNEES!$E531="","",DONNEES!V531)</f>
        <v/>
      </c>
      <c r="V531" t="str">
        <f>IF(DONNEES!$E531="","",DONNEES!W531)</f>
        <v/>
      </c>
      <c r="W531" t="str">
        <f>IF(DONNEES!$E531="","",DONNEES!X531)</f>
        <v/>
      </c>
      <c r="X531" t="str">
        <f>IF(DONNEES!$E531="","",DONNEES!Y531)</f>
        <v/>
      </c>
      <c r="Y531" t="str">
        <f>IF(DONNEES!$E531="","",DONNEES!Z531)</f>
        <v/>
      </c>
      <c r="Z531" t="str">
        <f>IF(DONNEES!$E531="","",DONNEES!AQ531)</f>
        <v/>
      </c>
    </row>
    <row r="532" spans="1:26" ht="15" customHeight="1" x14ac:dyDescent="0.3">
      <c r="A532" t="str">
        <f>IF(DONNEES!$E532="","",DONNEES!A532)</f>
        <v/>
      </c>
      <c r="B532" t="str">
        <f>IF(DONNEES!$E532="","",DONNEES!B532)</f>
        <v/>
      </c>
      <c r="C532" t="str">
        <f>IF(DONNEES!$E532="","",DONNEES!C532)</f>
        <v/>
      </c>
      <c r="D532" t="str">
        <f>IF(DONNEES!$E532="","",DONNEES!E532)</f>
        <v/>
      </c>
      <c r="E532" t="str">
        <f>IF(DONNEES!$E532="","",DONNEES!F532)</f>
        <v/>
      </c>
      <c r="F532" t="str">
        <f>IF(DONNEES!$E532="","",DONNEES!G532)</f>
        <v/>
      </c>
      <c r="G532" t="str">
        <f>IF(DONNEES!$E532="","",DONNEES!H532)</f>
        <v/>
      </c>
      <c r="H532" t="str">
        <f>IF(DONNEES!$E532="","",DONNEES!I532)</f>
        <v/>
      </c>
      <c r="I532" t="str">
        <f>IF(DONNEES!$E532="","",DONNEES!J532)</f>
        <v/>
      </c>
      <c r="J532" t="str">
        <f>IF(DONNEES!$E532="","",DONNEES!K532)</f>
        <v/>
      </c>
      <c r="K532" t="str">
        <f>IF(DONNEES!$E532="","",DONNEES!L532)</f>
        <v/>
      </c>
      <c r="L532" t="str">
        <f>IF(DONNEES!$E532="","",DONNEES!M532)</f>
        <v/>
      </c>
      <c r="M532" t="str">
        <f>IF(DONNEES!$E532="","",DONNEES!N532)</f>
        <v/>
      </c>
      <c r="N532" t="str">
        <f>IF(DONNEES!$E532="","",DONNEES!O532)</f>
        <v/>
      </c>
      <c r="O532" t="str">
        <f>IF(DONNEES!$E532="","",DONNEES!P532)</f>
        <v/>
      </c>
      <c r="P532" t="str">
        <f>IF(DONNEES!$E532="","",DONNEES!Q532)</f>
        <v/>
      </c>
      <c r="Q532" t="str">
        <f>IF(DONNEES!$E532="","",DONNEES!R532)</f>
        <v/>
      </c>
      <c r="R532" t="str">
        <f>IF(DONNEES!$E532="","",DONNEES!S532)</f>
        <v/>
      </c>
      <c r="S532" t="str">
        <f>IF(DONNEES!$E532="","",DONNEES!T532)</f>
        <v/>
      </c>
      <c r="T532" t="str">
        <f>IF(DONNEES!$E532="","",DONNEES!U532)</f>
        <v/>
      </c>
      <c r="U532" t="str">
        <f>IF(DONNEES!$E532="","",DONNEES!V532)</f>
        <v/>
      </c>
      <c r="V532" t="str">
        <f>IF(DONNEES!$E532="","",DONNEES!W532)</f>
        <v/>
      </c>
      <c r="W532" t="str">
        <f>IF(DONNEES!$E532="","",DONNEES!X532)</f>
        <v/>
      </c>
      <c r="X532" t="str">
        <f>IF(DONNEES!$E532="","",DONNEES!Y532)</f>
        <v/>
      </c>
      <c r="Y532" t="str">
        <f>IF(DONNEES!$E532="","",DONNEES!Z532)</f>
        <v/>
      </c>
      <c r="Z532" t="str">
        <f>IF(DONNEES!$E532="","",DONNEES!AQ532)</f>
        <v/>
      </c>
    </row>
    <row r="533" spans="1:26" ht="15" customHeight="1" x14ac:dyDescent="0.3">
      <c r="A533" t="str">
        <f>IF(DONNEES!$E533="","",DONNEES!A533)</f>
        <v/>
      </c>
      <c r="B533" t="str">
        <f>IF(DONNEES!$E533="","",DONNEES!B533)</f>
        <v/>
      </c>
      <c r="C533" t="str">
        <f>IF(DONNEES!$E533="","",DONNEES!C533)</f>
        <v/>
      </c>
      <c r="D533" t="str">
        <f>IF(DONNEES!$E533="","",DONNEES!E533)</f>
        <v/>
      </c>
      <c r="E533" t="str">
        <f>IF(DONNEES!$E533="","",DONNEES!F533)</f>
        <v/>
      </c>
      <c r="F533" t="str">
        <f>IF(DONNEES!$E533="","",DONNEES!G533)</f>
        <v/>
      </c>
      <c r="G533" t="str">
        <f>IF(DONNEES!$E533="","",DONNEES!H533)</f>
        <v/>
      </c>
      <c r="H533" t="str">
        <f>IF(DONNEES!$E533="","",DONNEES!I533)</f>
        <v/>
      </c>
      <c r="I533" t="str">
        <f>IF(DONNEES!$E533="","",DONNEES!J533)</f>
        <v/>
      </c>
      <c r="J533" t="str">
        <f>IF(DONNEES!$E533="","",DONNEES!K533)</f>
        <v/>
      </c>
      <c r="K533" t="str">
        <f>IF(DONNEES!$E533="","",DONNEES!L533)</f>
        <v/>
      </c>
      <c r="L533" t="str">
        <f>IF(DONNEES!$E533="","",DONNEES!M533)</f>
        <v/>
      </c>
      <c r="M533" t="str">
        <f>IF(DONNEES!$E533="","",DONNEES!N533)</f>
        <v/>
      </c>
      <c r="N533" t="str">
        <f>IF(DONNEES!$E533="","",DONNEES!O533)</f>
        <v/>
      </c>
      <c r="O533" t="str">
        <f>IF(DONNEES!$E533="","",DONNEES!P533)</f>
        <v/>
      </c>
      <c r="P533" t="str">
        <f>IF(DONNEES!$E533="","",DONNEES!Q533)</f>
        <v/>
      </c>
      <c r="Q533" t="str">
        <f>IF(DONNEES!$E533="","",DONNEES!R533)</f>
        <v/>
      </c>
      <c r="R533" t="str">
        <f>IF(DONNEES!$E533="","",DONNEES!S533)</f>
        <v/>
      </c>
      <c r="S533" t="str">
        <f>IF(DONNEES!$E533="","",DONNEES!T533)</f>
        <v/>
      </c>
      <c r="T533" t="str">
        <f>IF(DONNEES!$E533="","",DONNEES!U533)</f>
        <v/>
      </c>
      <c r="U533" t="str">
        <f>IF(DONNEES!$E533="","",DONNEES!V533)</f>
        <v/>
      </c>
      <c r="V533" t="str">
        <f>IF(DONNEES!$E533="","",DONNEES!W533)</f>
        <v/>
      </c>
      <c r="W533" t="str">
        <f>IF(DONNEES!$E533="","",DONNEES!X533)</f>
        <v/>
      </c>
      <c r="X533" t="str">
        <f>IF(DONNEES!$E533="","",DONNEES!Y533)</f>
        <v/>
      </c>
      <c r="Y533" t="str">
        <f>IF(DONNEES!$E533="","",DONNEES!Z533)</f>
        <v/>
      </c>
      <c r="Z533" t="str">
        <f>IF(DONNEES!$E533="","",DONNEES!AQ533)</f>
        <v/>
      </c>
    </row>
    <row r="534" spans="1:26" ht="15" customHeight="1" x14ac:dyDescent="0.3">
      <c r="A534" t="str">
        <f>IF(DONNEES!$E534="","",DONNEES!A534)</f>
        <v/>
      </c>
      <c r="B534" t="str">
        <f>IF(DONNEES!$E534="","",DONNEES!B534)</f>
        <v/>
      </c>
      <c r="C534" t="str">
        <f>IF(DONNEES!$E534="","",DONNEES!C534)</f>
        <v/>
      </c>
      <c r="D534" t="str">
        <f>IF(DONNEES!$E534="","",DONNEES!E534)</f>
        <v/>
      </c>
      <c r="E534" t="str">
        <f>IF(DONNEES!$E534="","",DONNEES!F534)</f>
        <v/>
      </c>
      <c r="F534" t="str">
        <f>IF(DONNEES!$E534="","",DONNEES!G534)</f>
        <v/>
      </c>
      <c r="G534" t="str">
        <f>IF(DONNEES!$E534="","",DONNEES!H534)</f>
        <v/>
      </c>
      <c r="H534" t="str">
        <f>IF(DONNEES!$E534="","",DONNEES!I534)</f>
        <v/>
      </c>
      <c r="I534" t="str">
        <f>IF(DONNEES!$E534="","",DONNEES!J534)</f>
        <v/>
      </c>
      <c r="J534" t="str">
        <f>IF(DONNEES!$E534="","",DONNEES!K534)</f>
        <v/>
      </c>
      <c r="K534" t="str">
        <f>IF(DONNEES!$E534="","",DONNEES!L534)</f>
        <v/>
      </c>
      <c r="L534" t="str">
        <f>IF(DONNEES!$E534="","",DONNEES!M534)</f>
        <v/>
      </c>
      <c r="M534" t="str">
        <f>IF(DONNEES!$E534="","",DONNEES!N534)</f>
        <v/>
      </c>
      <c r="N534" t="str">
        <f>IF(DONNEES!$E534="","",DONNEES!O534)</f>
        <v/>
      </c>
      <c r="O534" t="str">
        <f>IF(DONNEES!$E534="","",DONNEES!P534)</f>
        <v/>
      </c>
      <c r="P534" t="str">
        <f>IF(DONNEES!$E534="","",DONNEES!Q534)</f>
        <v/>
      </c>
      <c r="Q534" t="str">
        <f>IF(DONNEES!$E534="","",DONNEES!R534)</f>
        <v/>
      </c>
      <c r="R534" t="str">
        <f>IF(DONNEES!$E534="","",DONNEES!S534)</f>
        <v/>
      </c>
      <c r="S534" t="str">
        <f>IF(DONNEES!$E534="","",DONNEES!T534)</f>
        <v/>
      </c>
      <c r="T534" t="str">
        <f>IF(DONNEES!$E534="","",DONNEES!U534)</f>
        <v/>
      </c>
      <c r="U534" t="str">
        <f>IF(DONNEES!$E534="","",DONNEES!V534)</f>
        <v/>
      </c>
      <c r="V534" t="str">
        <f>IF(DONNEES!$E534="","",DONNEES!W534)</f>
        <v/>
      </c>
      <c r="W534" t="str">
        <f>IF(DONNEES!$E534="","",DONNEES!X534)</f>
        <v/>
      </c>
      <c r="X534" t="str">
        <f>IF(DONNEES!$E534="","",DONNEES!Y534)</f>
        <v/>
      </c>
      <c r="Y534" t="str">
        <f>IF(DONNEES!$E534="","",DONNEES!Z534)</f>
        <v/>
      </c>
      <c r="Z534" t="str">
        <f>IF(DONNEES!$E534="","",DONNEES!AQ534)</f>
        <v/>
      </c>
    </row>
    <row r="535" spans="1:26" ht="15" customHeight="1" x14ac:dyDescent="0.3">
      <c r="A535" t="str">
        <f>IF(DONNEES!$E535="","",DONNEES!A535)</f>
        <v/>
      </c>
      <c r="B535" t="str">
        <f>IF(DONNEES!$E535="","",DONNEES!B535)</f>
        <v/>
      </c>
      <c r="C535" t="str">
        <f>IF(DONNEES!$E535="","",DONNEES!C535)</f>
        <v/>
      </c>
      <c r="D535" t="str">
        <f>IF(DONNEES!$E535="","",DONNEES!E535)</f>
        <v/>
      </c>
      <c r="E535" t="str">
        <f>IF(DONNEES!$E535="","",DONNEES!F535)</f>
        <v/>
      </c>
      <c r="F535" t="str">
        <f>IF(DONNEES!$E535="","",DONNEES!G535)</f>
        <v/>
      </c>
      <c r="G535" t="str">
        <f>IF(DONNEES!$E535="","",DONNEES!H535)</f>
        <v/>
      </c>
      <c r="H535" t="str">
        <f>IF(DONNEES!$E535="","",DONNEES!I535)</f>
        <v/>
      </c>
      <c r="I535" t="str">
        <f>IF(DONNEES!$E535="","",DONNEES!J535)</f>
        <v/>
      </c>
      <c r="J535" t="str">
        <f>IF(DONNEES!$E535="","",DONNEES!K535)</f>
        <v/>
      </c>
      <c r="K535" t="str">
        <f>IF(DONNEES!$E535="","",DONNEES!L535)</f>
        <v/>
      </c>
      <c r="L535" t="str">
        <f>IF(DONNEES!$E535="","",DONNEES!M535)</f>
        <v/>
      </c>
      <c r="M535" t="str">
        <f>IF(DONNEES!$E535="","",DONNEES!N535)</f>
        <v/>
      </c>
      <c r="N535" t="str">
        <f>IF(DONNEES!$E535="","",DONNEES!O535)</f>
        <v/>
      </c>
      <c r="O535" t="str">
        <f>IF(DONNEES!$E535="","",DONNEES!P535)</f>
        <v/>
      </c>
      <c r="P535" t="str">
        <f>IF(DONNEES!$E535="","",DONNEES!Q535)</f>
        <v/>
      </c>
      <c r="Q535" t="str">
        <f>IF(DONNEES!$E535="","",DONNEES!R535)</f>
        <v/>
      </c>
      <c r="R535" t="str">
        <f>IF(DONNEES!$E535="","",DONNEES!S535)</f>
        <v/>
      </c>
      <c r="S535" t="str">
        <f>IF(DONNEES!$E535="","",DONNEES!T535)</f>
        <v/>
      </c>
      <c r="T535" t="str">
        <f>IF(DONNEES!$E535="","",DONNEES!U535)</f>
        <v/>
      </c>
      <c r="U535" t="str">
        <f>IF(DONNEES!$E535="","",DONNEES!V535)</f>
        <v/>
      </c>
      <c r="V535" t="str">
        <f>IF(DONNEES!$E535="","",DONNEES!W535)</f>
        <v/>
      </c>
      <c r="W535" t="str">
        <f>IF(DONNEES!$E535="","",DONNEES!X535)</f>
        <v/>
      </c>
      <c r="X535" t="str">
        <f>IF(DONNEES!$E535="","",DONNEES!Y535)</f>
        <v/>
      </c>
      <c r="Y535" t="str">
        <f>IF(DONNEES!$E535="","",DONNEES!Z535)</f>
        <v/>
      </c>
      <c r="Z535" t="str">
        <f>IF(DONNEES!$E535="","",DONNEES!AQ535)</f>
        <v/>
      </c>
    </row>
    <row r="536" spans="1:26" ht="15" customHeight="1" x14ac:dyDescent="0.3">
      <c r="A536" t="str">
        <f>IF(DONNEES!$E536="","",DONNEES!A536)</f>
        <v/>
      </c>
      <c r="B536" t="str">
        <f>IF(DONNEES!$E536="","",DONNEES!B536)</f>
        <v/>
      </c>
      <c r="C536" t="str">
        <f>IF(DONNEES!$E536="","",DONNEES!C536)</f>
        <v/>
      </c>
      <c r="D536" t="str">
        <f>IF(DONNEES!$E536="","",DONNEES!E536)</f>
        <v/>
      </c>
      <c r="E536" t="str">
        <f>IF(DONNEES!$E536="","",DONNEES!F536)</f>
        <v/>
      </c>
      <c r="F536" t="str">
        <f>IF(DONNEES!$E536="","",DONNEES!G536)</f>
        <v/>
      </c>
      <c r="G536" t="str">
        <f>IF(DONNEES!$E536="","",DONNEES!H536)</f>
        <v/>
      </c>
      <c r="H536" t="str">
        <f>IF(DONNEES!$E536="","",DONNEES!I536)</f>
        <v/>
      </c>
      <c r="I536" t="str">
        <f>IF(DONNEES!$E536="","",DONNEES!J536)</f>
        <v/>
      </c>
      <c r="J536" t="str">
        <f>IF(DONNEES!$E536="","",DONNEES!K536)</f>
        <v/>
      </c>
      <c r="K536" t="str">
        <f>IF(DONNEES!$E536="","",DONNEES!L536)</f>
        <v/>
      </c>
      <c r="L536" t="str">
        <f>IF(DONNEES!$E536="","",DONNEES!M536)</f>
        <v/>
      </c>
      <c r="M536" t="str">
        <f>IF(DONNEES!$E536="","",DONNEES!N536)</f>
        <v/>
      </c>
      <c r="N536" t="str">
        <f>IF(DONNEES!$E536="","",DONNEES!O536)</f>
        <v/>
      </c>
      <c r="O536" t="str">
        <f>IF(DONNEES!$E536="","",DONNEES!P536)</f>
        <v/>
      </c>
      <c r="P536" t="str">
        <f>IF(DONNEES!$E536="","",DONNEES!Q536)</f>
        <v/>
      </c>
      <c r="Q536" t="str">
        <f>IF(DONNEES!$E536="","",DONNEES!R536)</f>
        <v/>
      </c>
      <c r="R536" t="str">
        <f>IF(DONNEES!$E536="","",DONNEES!S536)</f>
        <v/>
      </c>
      <c r="S536" t="str">
        <f>IF(DONNEES!$E536="","",DONNEES!T536)</f>
        <v/>
      </c>
      <c r="T536" t="str">
        <f>IF(DONNEES!$E536="","",DONNEES!U536)</f>
        <v/>
      </c>
      <c r="U536" t="str">
        <f>IF(DONNEES!$E536="","",DONNEES!V536)</f>
        <v/>
      </c>
      <c r="V536" t="str">
        <f>IF(DONNEES!$E536="","",DONNEES!W536)</f>
        <v/>
      </c>
      <c r="W536" t="str">
        <f>IF(DONNEES!$E536="","",DONNEES!X536)</f>
        <v/>
      </c>
      <c r="X536" t="str">
        <f>IF(DONNEES!$E536="","",DONNEES!Y536)</f>
        <v/>
      </c>
      <c r="Y536" t="str">
        <f>IF(DONNEES!$E536="","",DONNEES!Z536)</f>
        <v/>
      </c>
      <c r="Z536" t="str">
        <f>IF(DONNEES!$E536="","",DONNEES!AQ536)</f>
        <v/>
      </c>
    </row>
    <row r="537" spans="1:26" ht="15" customHeight="1" x14ac:dyDescent="0.3">
      <c r="A537" t="str">
        <f>IF(DONNEES!$E537="","",DONNEES!A537)</f>
        <v/>
      </c>
      <c r="B537" t="str">
        <f>IF(DONNEES!$E537="","",DONNEES!B537)</f>
        <v/>
      </c>
      <c r="C537" t="str">
        <f>IF(DONNEES!$E537="","",DONNEES!C537)</f>
        <v/>
      </c>
      <c r="D537" t="str">
        <f>IF(DONNEES!$E537="","",DONNEES!E537)</f>
        <v/>
      </c>
      <c r="E537" t="str">
        <f>IF(DONNEES!$E537="","",DONNEES!F537)</f>
        <v/>
      </c>
      <c r="F537" t="str">
        <f>IF(DONNEES!$E537="","",DONNEES!G537)</f>
        <v/>
      </c>
      <c r="G537" t="str">
        <f>IF(DONNEES!$E537="","",DONNEES!H537)</f>
        <v/>
      </c>
      <c r="H537" t="str">
        <f>IF(DONNEES!$E537="","",DONNEES!I537)</f>
        <v/>
      </c>
      <c r="I537" t="str">
        <f>IF(DONNEES!$E537="","",DONNEES!J537)</f>
        <v/>
      </c>
      <c r="J537" t="str">
        <f>IF(DONNEES!$E537="","",DONNEES!K537)</f>
        <v/>
      </c>
      <c r="K537" t="str">
        <f>IF(DONNEES!$E537="","",DONNEES!L537)</f>
        <v/>
      </c>
      <c r="L537" t="str">
        <f>IF(DONNEES!$E537="","",DONNEES!M537)</f>
        <v/>
      </c>
      <c r="M537" t="str">
        <f>IF(DONNEES!$E537="","",DONNEES!N537)</f>
        <v/>
      </c>
      <c r="N537" t="str">
        <f>IF(DONNEES!$E537="","",DONNEES!O537)</f>
        <v/>
      </c>
      <c r="O537" t="str">
        <f>IF(DONNEES!$E537="","",DONNEES!P537)</f>
        <v/>
      </c>
      <c r="P537" t="str">
        <f>IF(DONNEES!$E537="","",DONNEES!Q537)</f>
        <v/>
      </c>
      <c r="Q537" t="str">
        <f>IF(DONNEES!$E537="","",DONNEES!R537)</f>
        <v/>
      </c>
      <c r="R537" t="str">
        <f>IF(DONNEES!$E537="","",DONNEES!S537)</f>
        <v/>
      </c>
      <c r="S537" t="str">
        <f>IF(DONNEES!$E537="","",DONNEES!T537)</f>
        <v/>
      </c>
      <c r="T537" t="str">
        <f>IF(DONNEES!$E537="","",DONNEES!U537)</f>
        <v/>
      </c>
      <c r="U537" t="str">
        <f>IF(DONNEES!$E537="","",DONNEES!V537)</f>
        <v/>
      </c>
      <c r="V537" t="str">
        <f>IF(DONNEES!$E537="","",DONNEES!W537)</f>
        <v/>
      </c>
      <c r="W537" t="str">
        <f>IF(DONNEES!$E537="","",DONNEES!X537)</f>
        <v/>
      </c>
      <c r="X537" t="str">
        <f>IF(DONNEES!$E537="","",DONNEES!Y537)</f>
        <v/>
      </c>
      <c r="Y537" t="str">
        <f>IF(DONNEES!$E537="","",DONNEES!Z537)</f>
        <v/>
      </c>
      <c r="Z537" t="str">
        <f>IF(DONNEES!$E537="","",DONNEES!AQ537)</f>
        <v/>
      </c>
    </row>
    <row r="538" spans="1:26" ht="15" customHeight="1" x14ac:dyDescent="0.3">
      <c r="A538" t="str">
        <f>IF(DONNEES!$E538="","",DONNEES!A538)</f>
        <v/>
      </c>
      <c r="B538" t="str">
        <f>IF(DONNEES!$E538="","",DONNEES!B538)</f>
        <v/>
      </c>
      <c r="C538" t="str">
        <f>IF(DONNEES!$E538="","",DONNEES!C538)</f>
        <v/>
      </c>
      <c r="D538" t="str">
        <f>IF(DONNEES!$E538="","",DONNEES!E538)</f>
        <v/>
      </c>
      <c r="E538" t="str">
        <f>IF(DONNEES!$E538="","",DONNEES!F538)</f>
        <v/>
      </c>
      <c r="F538" t="str">
        <f>IF(DONNEES!$E538="","",DONNEES!G538)</f>
        <v/>
      </c>
      <c r="G538" t="str">
        <f>IF(DONNEES!$E538="","",DONNEES!H538)</f>
        <v/>
      </c>
      <c r="H538" t="str">
        <f>IF(DONNEES!$E538="","",DONNEES!I538)</f>
        <v/>
      </c>
      <c r="I538" t="str">
        <f>IF(DONNEES!$E538="","",DONNEES!J538)</f>
        <v/>
      </c>
      <c r="J538" t="str">
        <f>IF(DONNEES!$E538="","",DONNEES!K538)</f>
        <v/>
      </c>
      <c r="K538" t="str">
        <f>IF(DONNEES!$E538="","",DONNEES!L538)</f>
        <v/>
      </c>
      <c r="L538" t="str">
        <f>IF(DONNEES!$E538="","",DONNEES!M538)</f>
        <v/>
      </c>
      <c r="M538" t="str">
        <f>IF(DONNEES!$E538="","",DONNEES!N538)</f>
        <v/>
      </c>
      <c r="N538" t="str">
        <f>IF(DONNEES!$E538="","",DONNEES!O538)</f>
        <v/>
      </c>
      <c r="O538" t="str">
        <f>IF(DONNEES!$E538="","",DONNEES!P538)</f>
        <v/>
      </c>
      <c r="P538" t="str">
        <f>IF(DONNEES!$E538="","",DONNEES!Q538)</f>
        <v/>
      </c>
      <c r="Q538" t="str">
        <f>IF(DONNEES!$E538="","",DONNEES!R538)</f>
        <v/>
      </c>
      <c r="R538" t="str">
        <f>IF(DONNEES!$E538="","",DONNEES!S538)</f>
        <v/>
      </c>
      <c r="S538" t="str">
        <f>IF(DONNEES!$E538="","",DONNEES!T538)</f>
        <v/>
      </c>
      <c r="T538" t="str">
        <f>IF(DONNEES!$E538="","",DONNEES!U538)</f>
        <v/>
      </c>
      <c r="U538" t="str">
        <f>IF(DONNEES!$E538="","",DONNEES!V538)</f>
        <v/>
      </c>
      <c r="V538" t="str">
        <f>IF(DONNEES!$E538="","",DONNEES!W538)</f>
        <v/>
      </c>
      <c r="W538" t="str">
        <f>IF(DONNEES!$E538="","",DONNEES!X538)</f>
        <v/>
      </c>
      <c r="X538" t="str">
        <f>IF(DONNEES!$E538="","",DONNEES!Y538)</f>
        <v/>
      </c>
      <c r="Y538" t="str">
        <f>IF(DONNEES!$E538="","",DONNEES!Z538)</f>
        <v/>
      </c>
      <c r="Z538" t="str">
        <f>IF(DONNEES!$E538="","",DONNEES!AQ538)</f>
        <v/>
      </c>
    </row>
    <row r="539" spans="1:26" ht="15" customHeight="1" x14ac:dyDescent="0.3">
      <c r="A539" t="str">
        <f>IF(DONNEES!$E539="","",DONNEES!A539)</f>
        <v/>
      </c>
      <c r="B539" t="str">
        <f>IF(DONNEES!$E539="","",DONNEES!B539)</f>
        <v/>
      </c>
      <c r="C539" t="str">
        <f>IF(DONNEES!$E539="","",DONNEES!C539)</f>
        <v/>
      </c>
      <c r="D539" t="str">
        <f>IF(DONNEES!$E539="","",DONNEES!E539)</f>
        <v/>
      </c>
      <c r="E539" t="str">
        <f>IF(DONNEES!$E539="","",DONNEES!F539)</f>
        <v/>
      </c>
      <c r="F539" t="str">
        <f>IF(DONNEES!$E539="","",DONNEES!G539)</f>
        <v/>
      </c>
      <c r="G539" t="str">
        <f>IF(DONNEES!$E539="","",DONNEES!H539)</f>
        <v/>
      </c>
      <c r="H539" t="str">
        <f>IF(DONNEES!$E539="","",DONNEES!I539)</f>
        <v/>
      </c>
      <c r="I539" t="str">
        <f>IF(DONNEES!$E539="","",DONNEES!J539)</f>
        <v/>
      </c>
      <c r="J539" t="str">
        <f>IF(DONNEES!$E539="","",DONNEES!K539)</f>
        <v/>
      </c>
      <c r="K539" t="str">
        <f>IF(DONNEES!$E539="","",DONNEES!L539)</f>
        <v/>
      </c>
      <c r="L539" t="str">
        <f>IF(DONNEES!$E539="","",DONNEES!M539)</f>
        <v/>
      </c>
      <c r="M539" t="str">
        <f>IF(DONNEES!$E539="","",DONNEES!N539)</f>
        <v/>
      </c>
      <c r="N539" t="str">
        <f>IF(DONNEES!$E539="","",DONNEES!O539)</f>
        <v/>
      </c>
      <c r="O539" t="str">
        <f>IF(DONNEES!$E539="","",DONNEES!P539)</f>
        <v/>
      </c>
      <c r="P539" t="str">
        <f>IF(DONNEES!$E539="","",DONNEES!Q539)</f>
        <v/>
      </c>
      <c r="Q539" t="str">
        <f>IF(DONNEES!$E539="","",DONNEES!R539)</f>
        <v/>
      </c>
      <c r="R539" t="str">
        <f>IF(DONNEES!$E539="","",DONNEES!S539)</f>
        <v/>
      </c>
      <c r="S539" t="str">
        <f>IF(DONNEES!$E539="","",DONNEES!T539)</f>
        <v/>
      </c>
      <c r="T539" t="str">
        <f>IF(DONNEES!$E539="","",DONNEES!U539)</f>
        <v/>
      </c>
      <c r="U539" t="str">
        <f>IF(DONNEES!$E539="","",DONNEES!V539)</f>
        <v/>
      </c>
      <c r="V539" t="str">
        <f>IF(DONNEES!$E539="","",DONNEES!W539)</f>
        <v/>
      </c>
      <c r="W539" t="str">
        <f>IF(DONNEES!$E539="","",DONNEES!X539)</f>
        <v/>
      </c>
      <c r="X539" t="str">
        <f>IF(DONNEES!$E539="","",DONNEES!Y539)</f>
        <v/>
      </c>
      <c r="Y539" t="str">
        <f>IF(DONNEES!$E539="","",DONNEES!Z539)</f>
        <v/>
      </c>
      <c r="Z539" t="str">
        <f>IF(DONNEES!$E539="","",DONNEES!AQ539)</f>
        <v/>
      </c>
    </row>
    <row r="540" spans="1:26" ht="15" customHeight="1" x14ac:dyDescent="0.3">
      <c r="A540" t="str">
        <f>IF(DONNEES!$E540="","",DONNEES!A540)</f>
        <v/>
      </c>
      <c r="B540" t="str">
        <f>IF(DONNEES!$E540="","",DONNEES!B540)</f>
        <v/>
      </c>
      <c r="C540" t="str">
        <f>IF(DONNEES!$E540="","",DONNEES!C540)</f>
        <v/>
      </c>
      <c r="D540" t="str">
        <f>IF(DONNEES!$E540="","",DONNEES!E540)</f>
        <v/>
      </c>
      <c r="E540" t="str">
        <f>IF(DONNEES!$E540="","",DONNEES!F540)</f>
        <v/>
      </c>
      <c r="F540" t="str">
        <f>IF(DONNEES!$E540="","",DONNEES!G540)</f>
        <v/>
      </c>
      <c r="G540" t="str">
        <f>IF(DONNEES!$E540="","",DONNEES!H540)</f>
        <v/>
      </c>
      <c r="H540" t="str">
        <f>IF(DONNEES!$E540="","",DONNEES!I540)</f>
        <v/>
      </c>
      <c r="I540" t="str">
        <f>IF(DONNEES!$E540="","",DONNEES!J540)</f>
        <v/>
      </c>
      <c r="J540" t="str">
        <f>IF(DONNEES!$E540="","",DONNEES!K540)</f>
        <v/>
      </c>
      <c r="K540" t="str">
        <f>IF(DONNEES!$E540="","",DONNEES!L540)</f>
        <v/>
      </c>
      <c r="L540" t="str">
        <f>IF(DONNEES!$E540="","",DONNEES!M540)</f>
        <v/>
      </c>
      <c r="M540" t="str">
        <f>IF(DONNEES!$E540="","",DONNEES!N540)</f>
        <v/>
      </c>
      <c r="N540" t="str">
        <f>IF(DONNEES!$E540="","",DONNEES!O540)</f>
        <v/>
      </c>
      <c r="O540" t="str">
        <f>IF(DONNEES!$E540="","",DONNEES!P540)</f>
        <v/>
      </c>
      <c r="P540" t="str">
        <f>IF(DONNEES!$E540="","",DONNEES!Q540)</f>
        <v/>
      </c>
      <c r="Q540" t="str">
        <f>IF(DONNEES!$E540="","",DONNEES!R540)</f>
        <v/>
      </c>
      <c r="R540" t="str">
        <f>IF(DONNEES!$E540="","",DONNEES!S540)</f>
        <v/>
      </c>
      <c r="S540" t="str">
        <f>IF(DONNEES!$E540="","",DONNEES!T540)</f>
        <v/>
      </c>
      <c r="T540" t="str">
        <f>IF(DONNEES!$E540="","",DONNEES!U540)</f>
        <v/>
      </c>
      <c r="U540" t="str">
        <f>IF(DONNEES!$E540="","",DONNEES!V540)</f>
        <v/>
      </c>
      <c r="V540" t="str">
        <f>IF(DONNEES!$E540="","",DONNEES!W540)</f>
        <v/>
      </c>
      <c r="W540" t="str">
        <f>IF(DONNEES!$E540="","",DONNEES!X540)</f>
        <v/>
      </c>
      <c r="X540" t="str">
        <f>IF(DONNEES!$E540="","",DONNEES!Y540)</f>
        <v/>
      </c>
      <c r="Y540" t="str">
        <f>IF(DONNEES!$E540="","",DONNEES!Z540)</f>
        <v/>
      </c>
      <c r="Z540" t="str">
        <f>IF(DONNEES!$E540="","",DONNEES!AQ540)</f>
        <v/>
      </c>
    </row>
    <row r="541" spans="1:26" ht="15" customHeight="1" x14ac:dyDescent="0.3">
      <c r="A541" t="str">
        <f>IF(DONNEES!$E541="","",DONNEES!A541)</f>
        <v/>
      </c>
      <c r="B541" t="str">
        <f>IF(DONNEES!$E541="","",DONNEES!B541)</f>
        <v/>
      </c>
      <c r="C541" t="str">
        <f>IF(DONNEES!$E541="","",DONNEES!C541)</f>
        <v/>
      </c>
      <c r="D541" t="str">
        <f>IF(DONNEES!$E541="","",DONNEES!E541)</f>
        <v/>
      </c>
      <c r="E541" t="str">
        <f>IF(DONNEES!$E541="","",DONNEES!F541)</f>
        <v/>
      </c>
      <c r="F541" t="str">
        <f>IF(DONNEES!$E541="","",DONNEES!G541)</f>
        <v/>
      </c>
      <c r="G541" t="str">
        <f>IF(DONNEES!$E541="","",DONNEES!H541)</f>
        <v/>
      </c>
      <c r="H541" t="str">
        <f>IF(DONNEES!$E541="","",DONNEES!I541)</f>
        <v/>
      </c>
      <c r="I541" t="str">
        <f>IF(DONNEES!$E541="","",DONNEES!J541)</f>
        <v/>
      </c>
      <c r="J541" t="str">
        <f>IF(DONNEES!$E541="","",DONNEES!K541)</f>
        <v/>
      </c>
      <c r="K541" t="str">
        <f>IF(DONNEES!$E541="","",DONNEES!L541)</f>
        <v/>
      </c>
      <c r="L541" t="str">
        <f>IF(DONNEES!$E541="","",DONNEES!M541)</f>
        <v/>
      </c>
      <c r="M541" t="str">
        <f>IF(DONNEES!$E541="","",DONNEES!N541)</f>
        <v/>
      </c>
      <c r="N541" t="str">
        <f>IF(DONNEES!$E541="","",DONNEES!O541)</f>
        <v/>
      </c>
      <c r="O541" t="str">
        <f>IF(DONNEES!$E541="","",DONNEES!P541)</f>
        <v/>
      </c>
      <c r="P541" t="str">
        <f>IF(DONNEES!$E541="","",DONNEES!Q541)</f>
        <v/>
      </c>
      <c r="Q541" t="str">
        <f>IF(DONNEES!$E541="","",DONNEES!R541)</f>
        <v/>
      </c>
      <c r="R541" t="str">
        <f>IF(DONNEES!$E541="","",DONNEES!S541)</f>
        <v/>
      </c>
      <c r="S541" t="str">
        <f>IF(DONNEES!$E541="","",DONNEES!T541)</f>
        <v/>
      </c>
      <c r="T541" t="str">
        <f>IF(DONNEES!$E541="","",DONNEES!U541)</f>
        <v/>
      </c>
      <c r="U541" t="str">
        <f>IF(DONNEES!$E541="","",DONNEES!V541)</f>
        <v/>
      </c>
      <c r="V541" t="str">
        <f>IF(DONNEES!$E541="","",DONNEES!W541)</f>
        <v/>
      </c>
      <c r="W541" t="str">
        <f>IF(DONNEES!$E541="","",DONNEES!X541)</f>
        <v/>
      </c>
      <c r="X541" t="str">
        <f>IF(DONNEES!$E541="","",DONNEES!Y541)</f>
        <v/>
      </c>
      <c r="Y541" t="str">
        <f>IF(DONNEES!$E541="","",DONNEES!Z541)</f>
        <v/>
      </c>
      <c r="Z541" t="str">
        <f>IF(DONNEES!$E541="","",DONNEES!AQ541)</f>
        <v/>
      </c>
    </row>
    <row r="542" spans="1:26" ht="15" customHeight="1" x14ac:dyDescent="0.3">
      <c r="A542" t="str">
        <f>IF(DONNEES!$E542="","",DONNEES!A542)</f>
        <v/>
      </c>
      <c r="B542" t="str">
        <f>IF(DONNEES!$E542="","",DONNEES!B542)</f>
        <v/>
      </c>
      <c r="C542" t="str">
        <f>IF(DONNEES!$E542="","",DONNEES!C542)</f>
        <v/>
      </c>
      <c r="D542" t="str">
        <f>IF(DONNEES!$E542="","",DONNEES!E542)</f>
        <v/>
      </c>
      <c r="E542" t="str">
        <f>IF(DONNEES!$E542="","",DONNEES!F542)</f>
        <v/>
      </c>
      <c r="F542" t="str">
        <f>IF(DONNEES!$E542="","",DONNEES!G542)</f>
        <v/>
      </c>
      <c r="G542" t="str">
        <f>IF(DONNEES!$E542="","",DONNEES!H542)</f>
        <v/>
      </c>
      <c r="H542" t="str">
        <f>IF(DONNEES!$E542="","",DONNEES!I542)</f>
        <v/>
      </c>
      <c r="I542" t="str">
        <f>IF(DONNEES!$E542="","",DONNEES!J542)</f>
        <v/>
      </c>
      <c r="J542" t="str">
        <f>IF(DONNEES!$E542="","",DONNEES!K542)</f>
        <v/>
      </c>
      <c r="K542" t="str">
        <f>IF(DONNEES!$E542="","",DONNEES!L542)</f>
        <v/>
      </c>
      <c r="L542" t="str">
        <f>IF(DONNEES!$E542="","",DONNEES!M542)</f>
        <v/>
      </c>
      <c r="M542" t="str">
        <f>IF(DONNEES!$E542="","",DONNEES!N542)</f>
        <v/>
      </c>
      <c r="N542" t="str">
        <f>IF(DONNEES!$E542="","",DONNEES!O542)</f>
        <v/>
      </c>
      <c r="O542" t="str">
        <f>IF(DONNEES!$E542="","",DONNEES!P542)</f>
        <v/>
      </c>
      <c r="P542" t="str">
        <f>IF(DONNEES!$E542="","",DONNEES!Q542)</f>
        <v/>
      </c>
      <c r="Q542" t="str">
        <f>IF(DONNEES!$E542="","",DONNEES!R542)</f>
        <v/>
      </c>
      <c r="R542" t="str">
        <f>IF(DONNEES!$E542="","",DONNEES!S542)</f>
        <v/>
      </c>
      <c r="S542" t="str">
        <f>IF(DONNEES!$E542="","",DONNEES!T542)</f>
        <v/>
      </c>
      <c r="T542" t="str">
        <f>IF(DONNEES!$E542="","",DONNEES!U542)</f>
        <v/>
      </c>
      <c r="U542" t="str">
        <f>IF(DONNEES!$E542="","",DONNEES!V542)</f>
        <v/>
      </c>
      <c r="V542" t="str">
        <f>IF(DONNEES!$E542="","",DONNEES!W542)</f>
        <v/>
      </c>
      <c r="W542" t="str">
        <f>IF(DONNEES!$E542="","",DONNEES!X542)</f>
        <v/>
      </c>
      <c r="X542" t="str">
        <f>IF(DONNEES!$E542="","",DONNEES!Y542)</f>
        <v/>
      </c>
      <c r="Y542" t="str">
        <f>IF(DONNEES!$E542="","",DONNEES!Z542)</f>
        <v/>
      </c>
      <c r="Z542" t="str">
        <f>IF(DONNEES!$E542="","",DONNEES!AQ542)</f>
        <v/>
      </c>
    </row>
    <row r="543" spans="1:26" ht="15" customHeight="1" x14ac:dyDescent="0.3">
      <c r="A543" t="str">
        <f>IF(DONNEES!$E543="","",DONNEES!A543)</f>
        <v/>
      </c>
      <c r="B543" t="str">
        <f>IF(DONNEES!$E543="","",DONNEES!B543)</f>
        <v/>
      </c>
      <c r="C543" t="str">
        <f>IF(DONNEES!$E543="","",DONNEES!C543)</f>
        <v/>
      </c>
      <c r="D543" t="str">
        <f>IF(DONNEES!$E543="","",DONNEES!E543)</f>
        <v/>
      </c>
      <c r="E543" t="str">
        <f>IF(DONNEES!$E543="","",DONNEES!F543)</f>
        <v/>
      </c>
      <c r="F543" t="str">
        <f>IF(DONNEES!$E543="","",DONNEES!G543)</f>
        <v/>
      </c>
      <c r="G543" t="str">
        <f>IF(DONNEES!$E543="","",DONNEES!H543)</f>
        <v/>
      </c>
      <c r="H543" t="str">
        <f>IF(DONNEES!$E543="","",DONNEES!I543)</f>
        <v/>
      </c>
      <c r="I543" t="str">
        <f>IF(DONNEES!$E543="","",DONNEES!J543)</f>
        <v/>
      </c>
      <c r="J543" t="str">
        <f>IF(DONNEES!$E543="","",DONNEES!K543)</f>
        <v/>
      </c>
      <c r="K543" t="str">
        <f>IF(DONNEES!$E543="","",DONNEES!L543)</f>
        <v/>
      </c>
      <c r="L543" t="str">
        <f>IF(DONNEES!$E543="","",DONNEES!M543)</f>
        <v/>
      </c>
      <c r="M543" t="str">
        <f>IF(DONNEES!$E543="","",DONNEES!N543)</f>
        <v/>
      </c>
      <c r="N543" t="str">
        <f>IF(DONNEES!$E543="","",DONNEES!O543)</f>
        <v/>
      </c>
      <c r="O543" t="str">
        <f>IF(DONNEES!$E543="","",DONNEES!P543)</f>
        <v/>
      </c>
      <c r="P543" t="str">
        <f>IF(DONNEES!$E543="","",DONNEES!Q543)</f>
        <v/>
      </c>
      <c r="Q543" t="str">
        <f>IF(DONNEES!$E543="","",DONNEES!R543)</f>
        <v/>
      </c>
      <c r="R543" t="str">
        <f>IF(DONNEES!$E543="","",DONNEES!S543)</f>
        <v/>
      </c>
      <c r="S543" t="str">
        <f>IF(DONNEES!$E543="","",DONNEES!T543)</f>
        <v/>
      </c>
      <c r="T543" t="str">
        <f>IF(DONNEES!$E543="","",DONNEES!U543)</f>
        <v/>
      </c>
      <c r="U543" t="str">
        <f>IF(DONNEES!$E543="","",DONNEES!V543)</f>
        <v/>
      </c>
      <c r="V543" t="str">
        <f>IF(DONNEES!$E543="","",DONNEES!W543)</f>
        <v/>
      </c>
      <c r="W543" t="str">
        <f>IF(DONNEES!$E543="","",DONNEES!X543)</f>
        <v/>
      </c>
      <c r="X543" t="str">
        <f>IF(DONNEES!$E543="","",DONNEES!Y543)</f>
        <v/>
      </c>
      <c r="Y543" t="str">
        <f>IF(DONNEES!$E543="","",DONNEES!Z543)</f>
        <v/>
      </c>
      <c r="Z543" t="str">
        <f>IF(DONNEES!$E543="","",DONNEES!AQ543)</f>
        <v/>
      </c>
    </row>
    <row r="544" spans="1:26" ht="15" customHeight="1" x14ac:dyDescent="0.3">
      <c r="A544" t="str">
        <f>IF(DONNEES!$E544="","",DONNEES!A544)</f>
        <v/>
      </c>
      <c r="B544" t="str">
        <f>IF(DONNEES!$E544="","",DONNEES!B544)</f>
        <v/>
      </c>
      <c r="C544" t="str">
        <f>IF(DONNEES!$E544="","",DONNEES!C544)</f>
        <v/>
      </c>
      <c r="D544" t="str">
        <f>IF(DONNEES!$E544="","",DONNEES!E544)</f>
        <v/>
      </c>
      <c r="E544" t="str">
        <f>IF(DONNEES!$E544="","",DONNEES!F544)</f>
        <v/>
      </c>
      <c r="F544" t="str">
        <f>IF(DONNEES!$E544="","",DONNEES!G544)</f>
        <v/>
      </c>
      <c r="G544" t="str">
        <f>IF(DONNEES!$E544="","",DONNEES!H544)</f>
        <v/>
      </c>
      <c r="H544" t="str">
        <f>IF(DONNEES!$E544="","",DONNEES!I544)</f>
        <v/>
      </c>
      <c r="I544" t="str">
        <f>IF(DONNEES!$E544="","",DONNEES!J544)</f>
        <v/>
      </c>
      <c r="J544" t="str">
        <f>IF(DONNEES!$E544="","",DONNEES!K544)</f>
        <v/>
      </c>
      <c r="K544" t="str">
        <f>IF(DONNEES!$E544="","",DONNEES!L544)</f>
        <v/>
      </c>
      <c r="L544" t="str">
        <f>IF(DONNEES!$E544="","",DONNEES!M544)</f>
        <v/>
      </c>
      <c r="M544" t="str">
        <f>IF(DONNEES!$E544="","",DONNEES!N544)</f>
        <v/>
      </c>
      <c r="N544" t="str">
        <f>IF(DONNEES!$E544="","",DONNEES!O544)</f>
        <v/>
      </c>
      <c r="O544" t="str">
        <f>IF(DONNEES!$E544="","",DONNEES!P544)</f>
        <v/>
      </c>
      <c r="P544" t="str">
        <f>IF(DONNEES!$E544="","",DONNEES!Q544)</f>
        <v/>
      </c>
      <c r="Q544" t="str">
        <f>IF(DONNEES!$E544="","",DONNEES!R544)</f>
        <v/>
      </c>
      <c r="R544" t="str">
        <f>IF(DONNEES!$E544="","",DONNEES!S544)</f>
        <v/>
      </c>
      <c r="S544" t="str">
        <f>IF(DONNEES!$E544="","",DONNEES!T544)</f>
        <v/>
      </c>
      <c r="T544" t="str">
        <f>IF(DONNEES!$E544="","",DONNEES!U544)</f>
        <v/>
      </c>
      <c r="U544" t="str">
        <f>IF(DONNEES!$E544="","",DONNEES!V544)</f>
        <v/>
      </c>
      <c r="V544" t="str">
        <f>IF(DONNEES!$E544="","",DONNEES!W544)</f>
        <v/>
      </c>
      <c r="W544" t="str">
        <f>IF(DONNEES!$E544="","",DONNEES!X544)</f>
        <v/>
      </c>
      <c r="X544" t="str">
        <f>IF(DONNEES!$E544="","",DONNEES!Y544)</f>
        <v/>
      </c>
      <c r="Y544" t="str">
        <f>IF(DONNEES!$E544="","",DONNEES!Z544)</f>
        <v/>
      </c>
      <c r="Z544" t="str">
        <f>IF(DONNEES!$E544="","",DONNEES!AQ544)</f>
        <v/>
      </c>
    </row>
    <row r="545" spans="1:26" ht="15" customHeight="1" x14ac:dyDescent="0.3">
      <c r="A545" t="str">
        <f>IF(DONNEES!$E545="","",DONNEES!A545)</f>
        <v/>
      </c>
      <c r="B545" t="str">
        <f>IF(DONNEES!$E545="","",DONNEES!B545)</f>
        <v/>
      </c>
      <c r="C545" t="str">
        <f>IF(DONNEES!$E545="","",DONNEES!C545)</f>
        <v/>
      </c>
      <c r="D545" t="str">
        <f>IF(DONNEES!$E545="","",DONNEES!E545)</f>
        <v/>
      </c>
      <c r="E545" t="str">
        <f>IF(DONNEES!$E545="","",DONNEES!F545)</f>
        <v/>
      </c>
      <c r="F545" t="str">
        <f>IF(DONNEES!$E545="","",DONNEES!G545)</f>
        <v/>
      </c>
      <c r="G545" t="str">
        <f>IF(DONNEES!$E545="","",DONNEES!H545)</f>
        <v/>
      </c>
      <c r="H545" t="str">
        <f>IF(DONNEES!$E545="","",DONNEES!I545)</f>
        <v/>
      </c>
      <c r="I545" t="str">
        <f>IF(DONNEES!$E545="","",DONNEES!J545)</f>
        <v/>
      </c>
      <c r="J545" t="str">
        <f>IF(DONNEES!$E545="","",DONNEES!K545)</f>
        <v/>
      </c>
      <c r="K545" t="str">
        <f>IF(DONNEES!$E545="","",DONNEES!L545)</f>
        <v/>
      </c>
      <c r="L545" t="str">
        <f>IF(DONNEES!$E545="","",DONNEES!M545)</f>
        <v/>
      </c>
      <c r="M545" t="str">
        <f>IF(DONNEES!$E545="","",DONNEES!N545)</f>
        <v/>
      </c>
      <c r="N545" t="str">
        <f>IF(DONNEES!$E545="","",DONNEES!O545)</f>
        <v/>
      </c>
      <c r="O545" t="str">
        <f>IF(DONNEES!$E545="","",DONNEES!P545)</f>
        <v/>
      </c>
      <c r="P545" t="str">
        <f>IF(DONNEES!$E545="","",DONNEES!Q545)</f>
        <v/>
      </c>
      <c r="Q545" t="str">
        <f>IF(DONNEES!$E545="","",DONNEES!R545)</f>
        <v/>
      </c>
      <c r="R545" t="str">
        <f>IF(DONNEES!$E545="","",DONNEES!S545)</f>
        <v/>
      </c>
      <c r="S545" t="str">
        <f>IF(DONNEES!$E545="","",DONNEES!T545)</f>
        <v/>
      </c>
      <c r="T545" t="str">
        <f>IF(DONNEES!$E545="","",DONNEES!U545)</f>
        <v/>
      </c>
      <c r="U545" t="str">
        <f>IF(DONNEES!$E545="","",DONNEES!V545)</f>
        <v/>
      </c>
      <c r="V545" t="str">
        <f>IF(DONNEES!$E545="","",DONNEES!W545)</f>
        <v/>
      </c>
      <c r="W545" t="str">
        <f>IF(DONNEES!$E545="","",DONNEES!X545)</f>
        <v/>
      </c>
      <c r="X545" t="str">
        <f>IF(DONNEES!$E545="","",DONNEES!Y545)</f>
        <v/>
      </c>
      <c r="Y545" t="str">
        <f>IF(DONNEES!$E545="","",DONNEES!Z545)</f>
        <v/>
      </c>
      <c r="Z545" t="str">
        <f>IF(DONNEES!$E545="","",DONNEES!AQ545)</f>
        <v/>
      </c>
    </row>
    <row r="546" spans="1:26" ht="15" customHeight="1" x14ac:dyDescent="0.3">
      <c r="A546" t="str">
        <f>IF(DONNEES!$E546="","",DONNEES!A546)</f>
        <v/>
      </c>
      <c r="B546" t="str">
        <f>IF(DONNEES!$E546="","",DONNEES!B546)</f>
        <v/>
      </c>
      <c r="C546" t="str">
        <f>IF(DONNEES!$E546="","",DONNEES!C546)</f>
        <v/>
      </c>
      <c r="D546" t="str">
        <f>IF(DONNEES!$E546="","",DONNEES!E546)</f>
        <v/>
      </c>
      <c r="E546" t="str">
        <f>IF(DONNEES!$E546="","",DONNEES!F546)</f>
        <v/>
      </c>
      <c r="F546" t="str">
        <f>IF(DONNEES!$E546="","",DONNEES!G546)</f>
        <v/>
      </c>
      <c r="G546" t="str">
        <f>IF(DONNEES!$E546="","",DONNEES!H546)</f>
        <v/>
      </c>
      <c r="H546" t="str">
        <f>IF(DONNEES!$E546="","",DONNEES!I546)</f>
        <v/>
      </c>
      <c r="I546" t="str">
        <f>IF(DONNEES!$E546="","",DONNEES!J546)</f>
        <v/>
      </c>
      <c r="J546" t="str">
        <f>IF(DONNEES!$E546="","",DONNEES!K546)</f>
        <v/>
      </c>
      <c r="K546" t="str">
        <f>IF(DONNEES!$E546="","",DONNEES!L546)</f>
        <v/>
      </c>
      <c r="L546" t="str">
        <f>IF(DONNEES!$E546="","",DONNEES!M546)</f>
        <v/>
      </c>
      <c r="M546" t="str">
        <f>IF(DONNEES!$E546="","",DONNEES!N546)</f>
        <v/>
      </c>
      <c r="N546" t="str">
        <f>IF(DONNEES!$E546="","",DONNEES!O546)</f>
        <v/>
      </c>
      <c r="O546" t="str">
        <f>IF(DONNEES!$E546="","",DONNEES!P546)</f>
        <v/>
      </c>
      <c r="P546" t="str">
        <f>IF(DONNEES!$E546="","",DONNEES!Q546)</f>
        <v/>
      </c>
      <c r="Q546" t="str">
        <f>IF(DONNEES!$E546="","",DONNEES!R546)</f>
        <v/>
      </c>
      <c r="R546" t="str">
        <f>IF(DONNEES!$E546="","",DONNEES!S546)</f>
        <v/>
      </c>
      <c r="S546" t="str">
        <f>IF(DONNEES!$E546="","",DONNEES!T546)</f>
        <v/>
      </c>
      <c r="T546" t="str">
        <f>IF(DONNEES!$E546="","",DONNEES!U546)</f>
        <v/>
      </c>
      <c r="U546" t="str">
        <f>IF(DONNEES!$E546="","",DONNEES!V546)</f>
        <v/>
      </c>
      <c r="V546" t="str">
        <f>IF(DONNEES!$E546="","",DONNEES!W546)</f>
        <v/>
      </c>
      <c r="W546" t="str">
        <f>IF(DONNEES!$E546="","",DONNEES!X546)</f>
        <v/>
      </c>
      <c r="X546" t="str">
        <f>IF(DONNEES!$E546="","",DONNEES!Y546)</f>
        <v/>
      </c>
      <c r="Y546" t="str">
        <f>IF(DONNEES!$E546="","",DONNEES!Z546)</f>
        <v/>
      </c>
      <c r="Z546" t="str">
        <f>IF(DONNEES!$E546="","",DONNEES!AQ546)</f>
        <v/>
      </c>
    </row>
    <row r="547" spans="1:26" ht="15" customHeight="1" x14ac:dyDescent="0.3">
      <c r="A547" t="str">
        <f>IF(DONNEES!$E547="","",DONNEES!A547)</f>
        <v/>
      </c>
      <c r="B547" t="str">
        <f>IF(DONNEES!$E547="","",DONNEES!B547)</f>
        <v/>
      </c>
      <c r="C547" t="str">
        <f>IF(DONNEES!$E547="","",DONNEES!C547)</f>
        <v/>
      </c>
      <c r="D547" t="str">
        <f>IF(DONNEES!$E547="","",DONNEES!E547)</f>
        <v/>
      </c>
      <c r="E547" t="str">
        <f>IF(DONNEES!$E547="","",DONNEES!F547)</f>
        <v/>
      </c>
      <c r="F547" t="str">
        <f>IF(DONNEES!$E547="","",DONNEES!G547)</f>
        <v/>
      </c>
      <c r="G547" t="str">
        <f>IF(DONNEES!$E547="","",DONNEES!H547)</f>
        <v/>
      </c>
      <c r="H547" t="str">
        <f>IF(DONNEES!$E547="","",DONNEES!I547)</f>
        <v/>
      </c>
      <c r="I547" t="str">
        <f>IF(DONNEES!$E547="","",DONNEES!J547)</f>
        <v/>
      </c>
      <c r="J547" t="str">
        <f>IF(DONNEES!$E547="","",DONNEES!K547)</f>
        <v/>
      </c>
      <c r="K547" t="str">
        <f>IF(DONNEES!$E547="","",DONNEES!L547)</f>
        <v/>
      </c>
      <c r="L547" t="str">
        <f>IF(DONNEES!$E547="","",DONNEES!M547)</f>
        <v/>
      </c>
      <c r="M547" t="str">
        <f>IF(DONNEES!$E547="","",DONNEES!N547)</f>
        <v/>
      </c>
      <c r="N547" t="str">
        <f>IF(DONNEES!$E547="","",DONNEES!O547)</f>
        <v/>
      </c>
      <c r="O547" t="str">
        <f>IF(DONNEES!$E547="","",DONNEES!P547)</f>
        <v/>
      </c>
      <c r="P547" t="str">
        <f>IF(DONNEES!$E547="","",DONNEES!Q547)</f>
        <v/>
      </c>
      <c r="Q547" t="str">
        <f>IF(DONNEES!$E547="","",DONNEES!R547)</f>
        <v/>
      </c>
      <c r="R547" t="str">
        <f>IF(DONNEES!$E547="","",DONNEES!S547)</f>
        <v/>
      </c>
      <c r="S547" t="str">
        <f>IF(DONNEES!$E547="","",DONNEES!T547)</f>
        <v/>
      </c>
      <c r="T547" t="str">
        <f>IF(DONNEES!$E547="","",DONNEES!U547)</f>
        <v/>
      </c>
      <c r="U547" t="str">
        <f>IF(DONNEES!$E547="","",DONNEES!V547)</f>
        <v/>
      </c>
      <c r="V547" t="str">
        <f>IF(DONNEES!$E547="","",DONNEES!W547)</f>
        <v/>
      </c>
      <c r="W547" t="str">
        <f>IF(DONNEES!$E547="","",DONNEES!X547)</f>
        <v/>
      </c>
      <c r="X547" t="str">
        <f>IF(DONNEES!$E547="","",DONNEES!Y547)</f>
        <v/>
      </c>
      <c r="Y547" t="str">
        <f>IF(DONNEES!$E547="","",DONNEES!Z547)</f>
        <v/>
      </c>
      <c r="Z547" t="str">
        <f>IF(DONNEES!$E547="","",DONNEES!AQ547)</f>
        <v/>
      </c>
    </row>
    <row r="548" spans="1:26" ht="15" customHeight="1" x14ac:dyDescent="0.3">
      <c r="A548" t="str">
        <f>IF(DONNEES!$E548="","",DONNEES!A548)</f>
        <v/>
      </c>
      <c r="B548" t="str">
        <f>IF(DONNEES!$E548="","",DONNEES!B548)</f>
        <v/>
      </c>
      <c r="C548" t="str">
        <f>IF(DONNEES!$E548="","",DONNEES!C548)</f>
        <v/>
      </c>
      <c r="D548" t="str">
        <f>IF(DONNEES!$E548="","",DONNEES!E548)</f>
        <v/>
      </c>
      <c r="E548" t="str">
        <f>IF(DONNEES!$E548="","",DONNEES!F548)</f>
        <v/>
      </c>
      <c r="F548" t="str">
        <f>IF(DONNEES!$E548="","",DONNEES!G548)</f>
        <v/>
      </c>
      <c r="G548" t="str">
        <f>IF(DONNEES!$E548="","",DONNEES!H548)</f>
        <v/>
      </c>
      <c r="H548" t="str">
        <f>IF(DONNEES!$E548="","",DONNEES!I548)</f>
        <v/>
      </c>
      <c r="I548" t="str">
        <f>IF(DONNEES!$E548="","",DONNEES!J548)</f>
        <v/>
      </c>
      <c r="J548" t="str">
        <f>IF(DONNEES!$E548="","",DONNEES!K548)</f>
        <v/>
      </c>
      <c r="K548" t="str">
        <f>IF(DONNEES!$E548="","",DONNEES!L548)</f>
        <v/>
      </c>
      <c r="L548" t="str">
        <f>IF(DONNEES!$E548="","",DONNEES!M548)</f>
        <v/>
      </c>
      <c r="M548" t="str">
        <f>IF(DONNEES!$E548="","",DONNEES!N548)</f>
        <v/>
      </c>
      <c r="N548" t="str">
        <f>IF(DONNEES!$E548="","",DONNEES!O548)</f>
        <v/>
      </c>
      <c r="O548" t="str">
        <f>IF(DONNEES!$E548="","",DONNEES!P548)</f>
        <v/>
      </c>
      <c r="P548" t="str">
        <f>IF(DONNEES!$E548="","",DONNEES!Q548)</f>
        <v/>
      </c>
      <c r="Q548" t="str">
        <f>IF(DONNEES!$E548="","",DONNEES!R548)</f>
        <v/>
      </c>
      <c r="R548" t="str">
        <f>IF(DONNEES!$E548="","",DONNEES!S548)</f>
        <v/>
      </c>
      <c r="S548" t="str">
        <f>IF(DONNEES!$E548="","",DONNEES!T548)</f>
        <v/>
      </c>
      <c r="T548" t="str">
        <f>IF(DONNEES!$E548="","",DONNEES!U548)</f>
        <v/>
      </c>
      <c r="U548" t="str">
        <f>IF(DONNEES!$E548="","",DONNEES!V548)</f>
        <v/>
      </c>
      <c r="V548" t="str">
        <f>IF(DONNEES!$E548="","",DONNEES!W548)</f>
        <v/>
      </c>
      <c r="W548" t="str">
        <f>IF(DONNEES!$E548="","",DONNEES!X548)</f>
        <v/>
      </c>
      <c r="X548" t="str">
        <f>IF(DONNEES!$E548="","",DONNEES!Y548)</f>
        <v/>
      </c>
      <c r="Y548" t="str">
        <f>IF(DONNEES!$E548="","",DONNEES!Z548)</f>
        <v/>
      </c>
      <c r="Z548" t="str">
        <f>IF(DONNEES!$E548="","",DONNEES!AQ548)</f>
        <v/>
      </c>
    </row>
    <row r="549" spans="1:26" ht="15" customHeight="1" x14ac:dyDescent="0.3">
      <c r="A549" t="str">
        <f>IF(DONNEES!$E549="","",DONNEES!A549)</f>
        <v/>
      </c>
      <c r="B549" t="str">
        <f>IF(DONNEES!$E549="","",DONNEES!B549)</f>
        <v/>
      </c>
      <c r="C549" t="str">
        <f>IF(DONNEES!$E549="","",DONNEES!C549)</f>
        <v/>
      </c>
      <c r="D549" t="str">
        <f>IF(DONNEES!$E549="","",DONNEES!E549)</f>
        <v/>
      </c>
      <c r="E549" t="str">
        <f>IF(DONNEES!$E549="","",DONNEES!F549)</f>
        <v/>
      </c>
      <c r="F549" t="str">
        <f>IF(DONNEES!$E549="","",DONNEES!G549)</f>
        <v/>
      </c>
      <c r="G549" t="str">
        <f>IF(DONNEES!$E549="","",DONNEES!H549)</f>
        <v/>
      </c>
      <c r="H549" t="str">
        <f>IF(DONNEES!$E549="","",DONNEES!I549)</f>
        <v/>
      </c>
      <c r="I549" t="str">
        <f>IF(DONNEES!$E549="","",DONNEES!J549)</f>
        <v/>
      </c>
      <c r="J549" t="str">
        <f>IF(DONNEES!$E549="","",DONNEES!K549)</f>
        <v/>
      </c>
      <c r="K549" t="str">
        <f>IF(DONNEES!$E549="","",DONNEES!L549)</f>
        <v/>
      </c>
      <c r="L549" t="str">
        <f>IF(DONNEES!$E549="","",DONNEES!M549)</f>
        <v/>
      </c>
      <c r="M549" t="str">
        <f>IF(DONNEES!$E549="","",DONNEES!N549)</f>
        <v/>
      </c>
      <c r="N549" t="str">
        <f>IF(DONNEES!$E549="","",DONNEES!O549)</f>
        <v/>
      </c>
      <c r="O549" t="str">
        <f>IF(DONNEES!$E549="","",DONNEES!P549)</f>
        <v/>
      </c>
      <c r="P549" t="str">
        <f>IF(DONNEES!$E549="","",DONNEES!Q549)</f>
        <v/>
      </c>
      <c r="Q549" t="str">
        <f>IF(DONNEES!$E549="","",DONNEES!R549)</f>
        <v/>
      </c>
      <c r="R549" t="str">
        <f>IF(DONNEES!$E549="","",DONNEES!S549)</f>
        <v/>
      </c>
      <c r="S549" t="str">
        <f>IF(DONNEES!$E549="","",DONNEES!T549)</f>
        <v/>
      </c>
      <c r="T549" t="str">
        <f>IF(DONNEES!$E549="","",DONNEES!U549)</f>
        <v/>
      </c>
      <c r="U549" t="str">
        <f>IF(DONNEES!$E549="","",DONNEES!V549)</f>
        <v/>
      </c>
      <c r="V549" t="str">
        <f>IF(DONNEES!$E549="","",DONNEES!W549)</f>
        <v/>
      </c>
      <c r="W549" t="str">
        <f>IF(DONNEES!$E549="","",DONNEES!X549)</f>
        <v/>
      </c>
      <c r="X549" t="str">
        <f>IF(DONNEES!$E549="","",DONNEES!Y549)</f>
        <v/>
      </c>
      <c r="Y549" t="str">
        <f>IF(DONNEES!$E549="","",DONNEES!Z549)</f>
        <v/>
      </c>
      <c r="Z549" t="str">
        <f>IF(DONNEES!$E549="","",DONNEES!AQ549)</f>
        <v/>
      </c>
    </row>
    <row r="550" spans="1:26" ht="15" customHeight="1" x14ac:dyDescent="0.3">
      <c r="A550" t="str">
        <f>IF(DONNEES!$E550="","",DONNEES!A550)</f>
        <v/>
      </c>
      <c r="B550" t="str">
        <f>IF(DONNEES!$E550="","",DONNEES!B550)</f>
        <v/>
      </c>
      <c r="C550" t="str">
        <f>IF(DONNEES!$E550="","",DONNEES!C550)</f>
        <v/>
      </c>
      <c r="D550" t="str">
        <f>IF(DONNEES!$E550="","",DONNEES!E550)</f>
        <v/>
      </c>
      <c r="E550" t="str">
        <f>IF(DONNEES!$E550="","",DONNEES!F550)</f>
        <v/>
      </c>
      <c r="F550" t="str">
        <f>IF(DONNEES!$E550="","",DONNEES!G550)</f>
        <v/>
      </c>
      <c r="G550" t="str">
        <f>IF(DONNEES!$E550="","",DONNEES!H550)</f>
        <v/>
      </c>
      <c r="H550" t="str">
        <f>IF(DONNEES!$E550="","",DONNEES!I550)</f>
        <v/>
      </c>
      <c r="I550" t="str">
        <f>IF(DONNEES!$E550="","",DONNEES!J550)</f>
        <v/>
      </c>
      <c r="J550" t="str">
        <f>IF(DONNEES!$E550="","",DONNEES!K550)</f>
        <v/>
      </c>
      <c r="K550" t="str">
        <f>IF(DONNEES!$E550="","",DONNEES!L550)</f>
        <v/>
      </c>
      <c r="L550" t="str">
        <f>IF(DONNEES!$E550="","",DONNEES!M550)</f>
        <v/>
      </c>
      <c r="M550" t="str">
        <f>IF(DONNEES!$E550="","",DONNEES!N550)</f>
        <v/>
      </c>
      <c r="N550" t="str">
        <f>IF(DONNEES!$E550="","",DONNEES!O550)</f>
        <v/>
      </c>
      <c r="O550" t="str">
        <f>IF(DONNEES!$E550="","",DONNEES!P550)</f>
        <v/>
      </c>
      <c r="P550" t="str">
        <f>IF(DONNEES!$E550="","",DONNEES!Q550)</f>
        <v/>
      </c>
      <c r="Q550" t="str">
        <f>IF(DONNEES!$E550="","",DONNEES!R550)</f>
        <v/>
      </c>
      <c r="R550" t="str">
        <f>IF(DONNEES!$E550="","",DONNEES!S550)</f>
        <v/>
      </c>
      <c r="S550" t="str">
        <f>IF(DONNEES!$E550="","",DONNEES!T550)</f>
        <v/>
      </c>
      <c r="T550" t="str">
        <f>IF(DONNEES!$E550="","",DONNEES!U550)</f>
        <v/>
      </c>
      <c r="U550" t="str">
        <f>IF(DONNEES!$E550="","",DONNEES!V550)</f>
        <v/>
      </c>
      <c r="V550" t="str">
        <f>IF(DONNEES!$E550="","",DONNEES!W550)</f>
        <v/>
      </c>
      <c r="W550" t="str">
        <f>IF(DONNEES!$E550="","",DONNEES!X550)</f>
        <v/>
      </c>
      <c r="X550" t="str">
        <f>IF(DONNEES!$E550="","",DONNEES!Y550)</f>
        <v/>
      </c>
      <c r="Y550" t="str">
        <f>IF(DONNEES!$E550="","",DONNEES!Z550)</f>
        <v/>
      </c>
      <c r="Z550" t="str">
        <f>IF(DONNEES!$E550="","",DONNEES!AQ550)</f>
        <v/>
      </c>
    </row>
    <row r="551" spans="1:26" ht="15" customHeight="1" x14ac:dyDescent="0.3">
      <c r="A551" t="str">
        <f>IF(DONNEES!$E551="","",DONNEES!A551)</f>
        <v/>
      </c>
      <c r="B551" t="str">
        <f>IF(DONNEES!$E551="","",DONNEES!B551)</f>
        <v/>
      </c>
      <c r="C551" t="str">
        <f>IF(DONNEES!$E551="","",DONNEES!C551)</f>
        <v/>
      </c>
      <c r="D551" t="str">
        <f>IF(DONNEES!$E551="","",DONNEES!E551)</f>
        <v/>
      </c>
      <c r="E551" t="str">
        <f>IF(DONNEES!$E551="","",DONNEES!F551)</f>
        <v/>
      </c>
      <c r="F551" t="str">
        <f>IF(DONNEES!$E551="","",DONNEES!G551)</f>
        <v/>
      </c>
      <c r="G551" t="str">
        <f>IF(DONNEES!$E551="","",DONNEES!H551)</f>
        <v/>
      </c>
      <c r="H551" t="str">
        <f>IF(DONNEES!$E551="","",DONNEES!I551)</f>
        <v/>
      </c>
      <c r="I551" t="str">
        <f>IF(DONNEES!$E551="","",DONNEES!J551)</f>
        <v/>
      </c>
      <c r="J551" t="str">
        <f>IF(DONNEES!$E551="","",DONNEES!K551)</f>
        <v/>
      </c>
      <c r="K551" t="str">
        <f>IF(DONNEES!$E551="","",DONNEES!L551)</f>
        <v/>
      </c>
      <c r="L551" t="str">
        <f>IF(DONNEES!$E551="","",DONNEES!M551)</f>
        <v/>
      </c>
      <c r="M551" t="str">
        <f>IF(DONNEES!$E551="","",DONNEES!N551)</f>
        <v/>
      </c>
      <c r="N551" t="str">
        <f>IF(DONNEES!$E551="","",DONNEES!O551)</f>
        <v/>
      </c>
      <c r="O551" t="str">
        <f>IF(DONNEES!$E551="","",DONNEES!P551)</f>
        <v/>
      </c>
      <c r="P551" t="str">
        <f>IF(DONNEES!$E551="","",DONNEES!Q551)</f>
        <v/>
      </c>
      <c r="Q551" t="str">
        <f>IF(DONNEES!$E551="","",DONNEES!R551)</f>
        <v/>
      </c>
      <c r="R551" t="str">
        <f>IF(DONNEES!$E551="","",DONNEES!S551)</f>
        <v/>
      </c>
      <c r="S551" t="str">
        <f>IF(DONNEES!$E551="","",DONNEES!T551)</f>
        <v/>
      </c>
      <c r="T551" t="str">
        <f>IF(DONNEES!$E551="","",DONNEES!U551)</f>
        <v/>
      </c>
      <c r="U551" t="str">
        <f>IF(DONNEES!$E551="","",DONNEES!V551)</f>
        <v/>
      </c>
      <c r="V551" t="str">
        <f>IF(DONNEES!$E551="","",DONNEES!W551)</f>
        <v/>
      </c>
      <c r="W551" t="str">
        <f>IF(DONNEES!$E551="","",DONNEES!X551)</f>
        <v/>
      </c>
      <c r="X551" t="str">
        <f>IF(DONNEES!$E551="","",DONNEES!Y551)</f>
        <v/>
      </c>
      <c r="Y551" t="str">
        <f>IF(DONNEES!$E551="","",DONNEES!Z551)</f>
        <v/>
      </c>
      <c r="Z551" t="str">
        <f>IF(DONNEES!$E551="","",DONNEES!AQ551)</f>
        <v/>
      </c>
    </row>
    <row r="552" spans="1:26" ht="15" customHeight="1" x14ac:dyDescent="0.3">
      <c r="A552" t="str">
        <f>IF(DONNEES!$E552="","",DONNEES!A552)</f>
        <v/>
      </c>
      <c r="B552" t="str">
        <f>IF(DONNEES!$E552="","",DONNEES!B552)</f>
        <v/>
      </c>
      <c r="C552" t="str">
        <f>IF(DONNEES!$E552="","",DONNEES!C552)</f>
        <v/>
      </c>
      <c r="D552" t="str">
        <f>IF(DONNEES!$E552="","",DONNEES!E552)</f>
        <v/>
      </c>
      <c r="E552" t="str">
        <f>IF(DONNEES!$E552="","",DONNEES!F552)</f>
        <v/>
      </c>
      <c r="F552" t="str">
        <f>IF(DONNEES!$E552="","",DONNEES!G552)</f>
        <v/>
      </c>
      <c r="G552" t="str">
        <f>IF(DONNEES!$E552="","",DONNEES!H552)</f>
        <v/>
      </c>
      <c r="H552" t="str">
        <f>IF(DONNEES!$E552="","",DONNEES!I552)</f>
        <v/>
      </c>
      <c r="I552" t="str">
        <f>IF(DONNEES!$E552="","",DONNEES!J552)</f>
        <v/>
      </c>
      <c r="J552" t="str">
        <f>IF(DONNEES!$E552="","",DONNEES!K552)</f>
        <v/>
      </c>
      <c r="K552" t="str">
        <f>IF(DONNEES!$E552="","",DONNEES!L552)</f>
        <v/>
      </c>
      <c r="L552" t="str">
        <f>IF(DONNEES!$E552="","",DONNEES!M552)</f>
        <v/>
      </c>
      <c r="M552" t="str">
        <f>IF(DONNEES!$E552="","",DONNEES!N552)</f>
        <v/>
      </c>
      <c r="N552" t="str">
        <f>IF(DONNEES!$E552="","",DONNEES!O552)</f>
        <v/>
      </c>
      <c r="O552" t="str">
        <f>IF(DONNEES!$E552="","",DONNEES!P552)</f>
        <v/>
      </c>
      <c r="P552" t="str">
        <f>IF(DONNEES!$E552="","",DONNEES!Q552)</f>
        <v/>
      </c>
      <c r="Q552" t="str">
        <f>IF(DONNEES!$E552="","",DONNEES!R552)</f>
        <v/>
      </c>
      <c r="R552" t="str">
        <f>IF(DONNEES!$E552="","",DONNEES!S552)</f>
        <v/>
      </c>
      <c r="S552" t="str">
        <f>IF(DONNEES!$E552="","",DONNEES!T552)</f>
        <v/>
      </c>
      <c r="T552" t="str">
        <f>IF(DONNEES!$E552="","",DONNEES!U552)</f>
        <v/>
      </c>
      <c r="U552" t="str">
        <f>IF(DONNEES!$E552="","",DONNEES!V552)</f>
        <v/>
      </c>
      <c r="V552" t="str">
        <f>IF(DONNEES!$E552="","",DONNEES!W552)</f>
        <v/>
      </c>
      <c r="W552" t="str">
        <f>IF(DONNEES!$E552="","",DONNEES!X552)</f>
        <v/>
      </c>
      <c r="X552" t="str">
        <f>IF(DONNEES!$E552="","",DONNEES!Y552)</f>
        <v/>
      </c>
      <c r="Y552" t="str">
        <f>IF(DONNEES!$E552="","",DONNEES!Z552)</f>
        <v/>
      </c>
      <c r="Z552" t="str">
        <f>IF(DONNEES!$E552="","",DONNEES!AQ552)</f>
        <v/>
      </c>
    </row>
    <row r="553" spans="1:26" ht="15" customHeight="1" x14ac:dyDescent="0.3">
      <c r="A553" t="str">
        <f>IF(DONNEES!$E553="","",DONNEES!A553)</f>
        <v/>
      </c>
      <c r="B553" t="str">
        <f>IF(DONNEES!$E553="","",DONNEES!B553)</f>
        <v/>
      </c>
      <c r="C553" t="str">
        <f>IF(DONNEES!$E553="","",DONNEES!C553)</f>
        <v/>
      </c>
      <c r="D553" t="str">
        <f>IF(DONNEES!$E553="","",DONNEES!E553)</f>
        <v/>
      </c>
      <c r="E553" t="str">
        <f>IF(DONNEES!$E553="","",DONNEES!F553)</f>
        <v/>
      </c>
      <c r="F553" t="str">
        <f>IF(DONNEES!$E553="","",DONNEES!G553)</f>
        <v/>
      </c>
      <c r="G553" t="str">
        <f>IF(DONNEES!$E553="","",DONNEES!H553)</f>
        <v/>
      </c>
      <c r="H553" t="str">
        <f>IF(DONNEES!$E553="","",DONNEES!I553)</f>
        <v/>
      </c>
      <c r="I553" t="str">
        <f>IF(DONNEES!$E553="","",DONNEES!J553)</f>
        <v/>
      </c>
      <c r="J553" t="str">
        <f>IF(DONNEES!$E553="","",DONNEES!K553)</f>
        <v/>
      </c>
      <c r="K553" t="str">
        <f>IF(DONNEES!$E553="","",DONNEES!L553)</f>
        <v/>
      </c>
      <c r="L553" t="str">
        <f>IF(DONNEES!$E553="","",DONNEES!M553)</f>
        <v/>
      </c>
      <c r="M553" t="str">
        <f>IF(DONNEES!$E553="","",DONNEES!N553)</f>
        <v/>
      </c>
      <c r="N553" t="str">
        <f>IF(DONNEES!$E553="","",DONNEES!O553)</f>
        <v/>
      </c>
      <c r="O553" t="str">
        <f>IF(DONNEES!$E553="","",DONNEES!P553)</f>
        <v/>
      </c>
      <c r="P553" t="str">
        <f>IF(DONNEES!$E553="","",DONNEES!Q553)</f>
        <v/>
      </c>
      <c r="Q553" t="str">
        <f>IF(DONNEES!$E553="","",DONNEES!R553)</f>
        <v/>
      </c>
      <c r="R553" t="str">
        <f>IF(DONNEES!$E553="","",DONNEES!S553)</f>
        <v/>
      </c>
      <c r="S553" t="str">
        <f>IF(DONNEES!$E553="","",DONNEES!T553)</f>
        <v/>
      </c>
      <c r="T553" t="str">
        <f>IF(DONNEES!$E553="","",DONNEES!U553)</f>
        <v/>
      </c>
      <c r="U553" t="str">
        <f>IF(DONNEES!$E553="","",DONNEES!V553)</f>
        <v/>
      </c>
      <c r="V553" t="str">
        <f>IF(DONNEES!$E553="","",DONNEES!W553)</f>
        <v/>
      </c>
      <c r="W553" t="str">
        <f>IF(DONNEES!$E553="","",DONNEES!X553)</f>
        <v/>
      </c>
      <c r="X553" t="str">
        <f>IF(DONNEES!$E553="","",DONNEES!Y553)</f>
        <v/>
      </c>
      <c r="Y553" t="str">
        <f>IF(DONNEES!$E553="","",DONNEES!Z553)</f>
        <v/>
      </c>
      <c r="Z553" t="str">
        <f>IF(DONNEES!$E553="","",DONNEES!AQ553)</f>
        <v/>
      </c>
    </row>
    <row r="554" spans="1:26" ht="15" customHeight="1" x14ac:dyDescent="0.3">
      <c r="A554" t="str">
        <f>IF(DONNEES!$E554="","",DONNEES!A554)</f>
        <v/>
      </c>
      <c r="B554" t="str">
        <f>IF(DONNEES!$E554="","",DONNEES!B554)</f>
        <v/>
      </c>
      <c r="C554" t="str">
        <f>IF(DONNEES!$E554="","",DONNEES!C554)</f>
        <v/>
      </c>
      <c r="D554" t="str">
        <f>IF(DONNEES!$E554="","",DONNEES!E554)</f>
        <v/>
      </c>
      <c r="E554" t="str">
        <f>IF(DONNEES!$E554="","",DONNEES!F554)</f>
        <v/>
      </c>
      <c r="F554" t="str">
        <f>IF(DONNEES!$E554="","",DONNEES!G554)</f>
        <v/>
      </c>
      <c r="G554" t="str">
        <f>IF(DONNEES!$E554="","",DONNEES!H554)</f>
        <v/>
      </c>
      <c r="H554" t="str">
        <f>IF(DONNEES!$E554="","",DONNEES!I554)</f>
        <v/>
      </c>
      <c r="I554" t="str">
        <f>IF(DONNEES!$E554="","",DONNEES!J554)</f>
        <v/>
      </c>
      <c r="J554" t="str">
        <f>IF(DONNEES!$E554="","",DONNEES!K554)</f>
        <v/>
      </c>
      <c r="K554" t="str">
        <f>IF(DONNEES!$E554="","",DONNEES!L554)</f>
        <v/>
      </c>
      <c r="L554" t="str">
        <f>IF(DONNEES!$E554="","",DONNEES!M554)</f>
        <v/>
      </c>
      <c r="M554" t="str">
        <f>IF(DONNEES!$E554="","",DONNEES!N554)</f>
        <v/>
      </c>
      <c r="N554" t="str">
        <f>IF(DONNEES!$E554="","",DONNEES!O554)</f>
        <v/>
      </c>
      <c r="O554" t="str">
        <f>IF(DONNEES!$E554="","",DONNEES!P554)</f>
        <v/>
      </c>
      <c r="P554" t="str">
        <f>IF(DONNEES!$E554="","",DONNEES!Q554)</f>
        <v/>
      </c>
      <c r="Q554" t="str">
        <f>IF(DONNEES!$E554="","",DONNEES!R554)</f>
        <v/>
      </c>
      <c r="R554" t="str">
        <f>IF(DONNEES!$E554="","",DONNEES!S554)</f>
        <v/>
      </c>
      <c r="S554" t="str">
        <f>IF(DONNEES!$E554="","",DONNEES!T554)</f>
        <v/>
      </c>
      <c r="T554" t="str">
        <f>IF(DONNEES!$E554="","",DONNEES!U554)</f>
        <v/>
      </c>
      <c r="U554" t="str">
        <f>IF(DONNEES!$E554="","",DONNEES!V554)</f>
        <v/>
      </c>
      <c r="V554" t="str">
        <f>IF(DONNEES!$E554="","",DONNEES!W554)</f>
        <v/>
      </c>
      <c r="W554" t="str">
        <f>IF(DONNEES!$E554="","",DONNEES!X554)</f>
        <v/>
      </c>
      <c r="X554" t="str">
        <f>IF(DONNEES!$E554="","",DONNEES!Y554)</f>
        <v/>
      </c>
      <c r="Y554" t="str">
        <f>IF(DONNEES!$E554="","",DONNEES!Z554)</f>
        <v/>
      </c>
      <c r="Z554" t="str">
        <f>IF(DONNEES!$E554="","",DONNEES!AQ554)</f>
        <v/>
      </c>
    </row>
    <row r="555" spans="1:26" ht="15" customHeight="1" x14ac:dyDescent="0.3">
      <c r="A555" t="str">
        <f>IF(DONNEES!$E555="","",DONNEES!A555)</f>
        <v/>
      </c>
      <c r="B555" t="str">
        <f>IF(DONNEES!$E555="","",DONNEES!B555)</f>
        <v/>
      </c>
      <c r="C555" t="str">
        <f>IF(DONNEES!$E555="","",DONNEES!C555)</f>
        <v/>
      </c>
      <c r="D555" t="str">
        <f>IF(DONNEES!$E555="","",DONNEES!E555)</f>
        <v/>
      </c>
      <c r="E555" t="str">
        <f>IF(DONNEES!$E555="","",DONNEES!F555)</f>
        <v/>
      </c>
      <c r="F555" t="str">
        <f>IF(DONNEES!$E555="","",DONNEES!G555)</f>
        <v/>
      </c>
      <c r="G555" t="str">
        <f>IF(DONNEES!$E555="","",DONNEES!H555)</f>
        <v/>
      </c>
      <c r="H555" t="str">
        <f>IF(DONNEES!$E555="","",DONNEES!I555)</f>
        <v/>
      </c>
      <c r="I555" t="str">
        <f>IF(DONNEES!$E555="","",DONNEES!J555)</f>
        <v/>
      </c>
      <c r="J555" t="str">
        <f>IF(DONNEES!$E555="","",DONNEES!K555)</f>
        <v/>
      </c>
      <c r="K555" t="str">
        <f>IF(DONNEES!$E555="","",DONNEES!L555)</f>
        <v/>
      </c>
      <c r="L555" t="str">
        <f>IF(DONNEES!$E555="","",DONNEES!M555)</f>
        <v/>
      </c>
      <c r="M555" t="str">
        <f>IF(DONNEES!$E555="","",DONNEES!N555)</f>
        <v/>
      </c>
      <c r="N555" t="str">
        <f>IF(DONNEES!$E555="","",DONNEES!O555)</f>
        <v/>
      </c>
      <c r="O555" t="str">
        <f>IF(DONNEES!$E555="","",DONNEES!P555)</f>
        <v/>
      </c>
      <c r="P555" t="str">
        <f>IF(DONNEES!$E555="","",DONNEES!Q555)</f>
        <v/>
      </c>
      <c r="Q555" t="str">
        <f>IF(DONNEES!$E555="","",DONNEES!R555)</f>
        <v/>
      </c>
      <c r="R555" t="str">
        <f>IF(DONNEES!$E555="","",DONNEES!S555)</f>
        <v/>
      </c>
      <c r="S555" t="str">
        <f>IF(DONNEES!$E555="","",DONNEES!T555)</f>
        <v/>
      </c>
      <c r="T555" t="str">
        <f>IF(DONNEES!$E555="","",DONNEES!U555)</f>
        <v/>
      </c>
      <c r="U555" t="str">
        <f>IF(DONNEES!$E555="","",DONNEES!V555)</f>
        <v/>
      </c>
      <c r="V555" t="str">
        <f>IF(DONNEES!$E555="","",DONNEES!W555)</f>
        <v/>
      </c>
      <c r="W555" t="str">
        <f>IF(DONNEES!$E555="","",DONNEES!X555)</f>
        <v/>
      </c>
      <c r="X555" t="str">
        <f>IF(DONNEES!$E555="","",DONNEES!Y555)</f>
        <v/>
      </c>
      <c r="Y555" t="str">
        <f>IF(DONNEES!$E555="","",DONNEES!Z555)</f>
        <v/>
      </c>
      <c r="Z555" t="str">
        <f>IF(DONNEES!$E555="","",DONNEES!AQ555)</f>
        <v/>
      </c>
    </row>
    <row r="556" spans="1:26" ht="15" customHeight="1" x14ac:dyDescent="0.3">
      <c r="A556" t="str">
        <f>IF(DONNEES!$E556="","",DONNEES!A556)</f>
        <v/>
      </c>
      <c r="B556" t="str">
        <f>IF(DONNEES!$E556="","",DONNEES!B556)</f>
        <v/>
      </c>
      <c r="C556" t="str">
        <f>IF(DONNEES!$E556="","",DONNEES!C556)</f>
        <v/>
      </c>
      <c r="D556" t="str">
        <f>IF(DONNEES!$E556="","",DONNEES!E556)</f>
        <v/>
      </c>
      <c r="E556" t="str">
        <f>IF(DONNEES!$E556="","",DONNEES!F556)</f>
        <v/>
      </c>
      <c r="F556" t="str">
        <f>IF(DONNEES!$E556="","",DONNEES!G556)</f>
        <v/>
      </c>
      <c r="G556" t="str">
        <f>IF(DONNEES!$E556="","",DONNEES!H556)</f>
        <v/>
      </c>
      <c r="H556" t="str">
        <f>IF(DONNEES!$E556="","",DONNEES!I556)</f>
        <v/>
      </c>
      <c r="I556" t="str">
        <f>IF(DONNEES!$E556="","",DONNEES!J556)</f>
        <v/>
      </c>
      <c r="J556" t="str">
        <f>IF(DONNEES!$E556="","",DONNEES!K556)</f>
        <v/>
      </c>
      <c r="K556" t="str">
        <f>IF(DONNEES!$E556="","",DONNEES!L556)</f>
        <v/>
      </c>
      <c r="L556" t="str">
        <f>IF(DONNEES!$E556="","",DONNEES!M556)</f>
        <v/>
      </c>
      <c r="M556" t="str">
        <f>IF(DONNEES!$E556="","",DONNEES!N556)</f>
        <v/>
      </c>
      <c r="N556" t="str">
        <f>IF(DONNEES!$E556="","",DONNEES!O556)</f>
        <v/>
      </c>
      <c r="O556" t="str">
        <f>IF(DONNEES!$E556="","",DONNEES!P556)</f>
        <v/>
      </c>
      <c r="P556" t="str">
        <f>IF(DONNEES!$E556="","",DONNEES!Q556)</f>
        <v/>
      </c>
      <c r="Q556" t="str">
        <f>IF(DONNEES!$E556="","",DONNEES!R556)</f>
        <v/>
      </c>
      <c r="R556" t="str">
        <f>IF(DONNEES!$E556="","",DONNEES!S556)</f>
        <v/>
      </c>
      <c r="S556" t="str">
        <f>IF(DONNEES!$E556="","",DONNEES!T556)</f>
        <v/>
      </c>
      <c r="T556" t="str">
        <f>IF(DONNEES!$E556="","",DONNEES!U556)</f>
        <v/>
      </c>
      <c r="U556" t="str">
        <f>IF(DONNEES!$E556="","",DONNEES!V556)</f>
        <v/>
      </c>
      <c r="V556" t="str">
        <f>IF(DONNEES!$E556="","",DONNEES!W556)</f>
        <v/>
      </c>
      <c r="W556" t="str">
        <f>IF(DONNEES!$E556="","",DONNEES!X556)</f>
        <v/>
      </c>
      <c r="X556" t="str">
        <f>IF(DONNEES!$E556="","",DONNEES!Y556)</f>
        <v/>
      </c>
      <c r="Y556" t="str">
        <f>IF(DONNEES!$E556="","",DONNEES!Z556)</f>
        <v/>
      </c>
      <c r="Z556" t="str">
        <f>IF(DONNEES!$E556="","",DONNEES!AQ556)</f>
        <v/>
      </c>
    </row>
    <row r="557" spans="1:26" ht="15" customHeight="1" x14ac:dyDescent="0.3">
      <c r="A557" t="str">
        <f>IF(DONNEES!$E557="","",DONNEES!A557)</f>
        <v/>
      </c>
      <c r="B557" t="str">
        <f>IF(DONNEES!$E557="","",DONNEES!B557)</f>
        <v/>
      </c>
      <c r="C557" t="str">
        <f>IF(DONNEES!$E557="","",DONNEES!C557)</f>
        <v/>
      </c>
      <c r="D557" t="str">
        <f>IF(DONNEES!$E557="","",DONNEES!E557)</f>
        <v/>
      </c>
      <c r="E557" t="str">
        <f>IF(DONNEES!$E557="","",DONNEES!F557)</f>
        <v/>
      </c>
      <c r="F557" t="str">
        <f>IF(DONNEES!$E557="","",DONNEES!G557)</f>
        <v/>
      </c>
      <c r="G557" t="str">
        <f>IF(DONNEES!$E557="","",DONNEES!H557)</f>
        <v/>
      </c>
      <c r="H557" t="str">
        <f>IF(DONNEES!$E557="","",DONNEES!I557)</f>
        <v/>
      </c>
      <c r="I557" t="str">
        <f>IF(DONNEES!$E557="","",DONNEES!J557)</f>
        <v/>
      </c>
      <c r="J557" t="str">
        <f>IF(DONNEES!$E557="","",DONNEES!K557)</f>
        <v/>
      </c>
      <c r="K557" t="str">
        <f>IF(DONNEES!$E557="","",DONNEES!L557)</f>
        <v/>
      </c>
      <c r="L557" t="str">
        <f>IF(DONNEES!$E557="","",DONNEES!M557)</f>
        <v/>
      </c>
      <c r="M557" t="str">
        <f>IF(DONNEES!$E557="","",DONNEES!N557)</f>
        <v/>
      </c>
      <c r="N557" t="str">
        <f>IF(DONNEES!$E557="","",DONNEES!O557)</f>
        <v/>
      </c>
      <c r="O557" t="str">
        <f>IF(DONNEES!$E557="","",DONNEES!P557)</f>
        <v/>
      </c>
      <c r="P557" t="str">
        <f>IF(DONNEES!$E557="","",DONNEES!Q557)</f>
        <v/>
      </c>
      <c r="Q557" t="str">
        <f>IF(DONNEES!$E557="","",DONNEES!R557)</f>
        <v/>
      </c>
      <c r="R557" t="str">
        <f>IF(DONNEES!$E557="","",DONNEES!S557)</f>
        <v/>
      </c>
      <c r="S557" t="str">
        <f>IF(DONNEES!$E557="","",DONNEES!T557)</f>
        <v/>
      </c>
      <c r="T557" t="str">
        <f>IF(DONNEES!$E557="","",DONNEES!U557)</f>
        <v/>
      </c>
      <c r="U557" t="str">
        <f>IF(DONNEES!$E557="","",DONNEES!V557)</f>
        <v/>
      </c>
      <c r="V557" t="str">
        <f>IF(DONNEES!$E557="","",DONNEES!W557)</f>
        <v/>
      </c>
      <c r="W557" t="str">
        <f>IF(DONNEES!$E557="","",DONNEES!X557)</f>
        <v/>
      </c>
      <c r="X557" t="str">
        <f>IF(DONNEES!$E557="","",DONNEES!Y557)</f>
        <v/>
      </c>
      <c r="Y557" t="str">
        <f>IF(DONNEES!$E557="","",DONNEES!Z557)</f>
        <v/>
      </c>
      <c r="Z557" t="str">
        <f>IF(DONNEES!$E557="","",DONNEES!AQ557)</f>
        <v/>
      </c>
    </row>
    <row r="558" spans="1:26" ht="15" customHeight="1" x14ac:dyDescent="0.3">
      <c r="A558" t="str">
        <f>IF(DONNEES!$E558="","",DONNEES!A558)</f>
        <v/>
      </c>
      <c r="B558" t="str">
        <f>IF(DONNEES!$E558="","",DONNEES!B558)</f>
        <v/>
      </c>
      <c r="C558" t="str">
        <f>IF(DONNEES!$E558="","",DONNEES!C558)</f>
        <v/>
      </c>
      <c r="D558" t="str">
        <f>IF(DONNEES!$E558="","",DONNEES!E558)</f>
        <v/>
      </c>
      <c r="E558" t="str">
        <f>IF(DONNEES!$E558="","",DONNEES!F558)</f>
        <v/>
      </c>
      <c r="F558" t="str">
        <f>IF(DONNEES!$E558="","",DONNEES!G558)</f>
        <v/>
      </c>
      <c r="G558" t="str">
        <f>IF(DONNEES!$E558="","",DONNEES!H558)</f>
        <v/>
      </c>
      <c r="H558" t="str">
        <f>IF(DONNEES!$E558="","",DONNEES!I558)</f>
        <v/>
      </c>
      <c r="I558" t="str">
        <f>IF(DONNEES!$E558="","",DONNEES!J558)</f>
        <v/>
      </c>
      <c r="J558" t="str">
        <f>IF(DONNEES!$E558="","",DONNEES!K558)</f>
        <v/>
      </c>
      <c r="K558" t="str">
        <f>IF(DONNEES!$E558="","",DONNEES!L558)</f>
        <v/>
      </c>
      <c r="L558" t="str">
        <f>IF(DONNEES!$E558="","",DONNEES!M558)</f>
        <v/>
      </c>
      <c r="M558" t="str">
        <f>IF(DONNEES!$E558="","",DONNEES!N558)</f>
        <v/>
      </c>
      <c r="N558" t="str">
        <f>IF(DONNEES!$E558="","",DONNEES!O558)</f>
        <v/>
      </c>
      <c r="O558" t="str">
        <f>IF(DONNEES!$E558="","",DONNEES!P558)</f>
        <v/>
      </c>
      <c r="P558" t="str">
        <f>IF(DONNEES!$E558="","",DONNEES!Q558)</f>
        <v/>
      </c>
      <c r="Q558" t="str">
        <f>IF(DONNEES!$E558="","",DONNEES!R558)</f>
        <v/>
      </c>
      <c r="R558" t="str">
        <f>IF(DONNEES!$E558="","",DONNEES!S558)</f>
        <v/>
      </c>
      <c r="S558" t="str">
        <f>IF(DONNEES!$E558="","",DONNEES!T558)</f>
        <v/>
      </c>
      <c r="T558" t="str">
        <f>IF(DONNEES!$E558="","",DONNEES!U558)</f>
        <v/>
      </c>
      <c r="U558" t="str">
        <f>IF(DONNEES!$E558="","",DONNEES!V558)</f>
        <v/>
      </c>
      <c r="V558" t="str">
        <f>IF(DONNEES!$E558="","",DONNEES!W558)</f>
        <v/>
      </c>
      <c r="W558" t="str">
        <f>IF(DONNEES!$E558="","",DONNEES!X558)</f>
        <v/>
      </c>
      <c r="X558" t="str">
        <f>IF(DONNEES!$E558="","",DONNEES!Y558)</f>
        <v/>
      </c>
      <c r="Y558" t="str">
        <f>IF(DONNEES!$E558="","",DONNEES!Z558)</f>
        <v/>
      </c>
      <c r="Z558" t="str">
        <f>IF(DONNEES!$E558="","",DONNEES!AQ558)</f>
        <v/>
      </c>
    </row>
    <row r="559" spans="1:26" ht="15" customHeight="1" x14ac:dyDescent="0.3">
      <c r="A559" t="str">
        <f>IF(DONNEES!$E559="","",DONNEES!A559)</f>
        <v/>
      </c>
      <c r="B559" t="str">
        <f>IF(DONNEES!$E559="","",DONNEES!B559)</f>
        <v/>
      </c>
      <c r="C559" t="str">
        <f>IF(DONNEES!$E559="","",DONNEES!C559)</f>
        <v/>
      </c>
      <c r="D559" t="str">
        <f>IF(DONNEES!$E559="","",DONNEES!E559)</f>
        <v/>
      </c>
      <c r="E559" t="str">
        <f>IF(DONNEES!$E559="","",DONNEES!F559)</f>
        <v/>
      </c>
      <c r="F559" t="str">
        <f>IF(DONNEES!$E559="","",DONNEES!G559)</f>
        <v/>
      </c>
      <c r="G559" t="str">
        <f>IF(DONNEES!$E559="","",DONNEES!H559)</f>
        <v/>
      </c>
      <c r="H559" t="str">
        <f>IF(DONNEES!$E559="","",DONNEES!I559)</f>
        <v/>
      </c>
      <c r="I559" t="str">
        <f>IF(DONNEES!$E559="","",DONNEES!J559)</f>
        <v/>
      </c>
      <c r="J559" t="str">
        <f>IF(DONNEES!$E559="","",DONNEES!K559)</f>
        <v/>
      </c>
      <c r="K559" t="str">
        <f>IF(DONNEES!$E559="","",DONNEES!L559)</f>
        <v/>
      </c>
      <c r="L559" t="str">
        <f>IF(DONNEES!$E559="","",DONNEES!M559)</f>
        <v/>
      </c>
      <c r="M559" t="str">
        <f>IF(DONNEES!$E559="","",DONNEES!N559)</f>
        <v/>
      </c>
      <c r="N559" t="str">
        <f>IF(DONNEES!$E559="","",DONNEES!O559)</f>
        <v/>
      </c>
      <c r="O559" t="str">
        <f>IF(DONNEES!$E559="","",DONNEES!P559)</f>
        <v/>
      </c>
      <c r="P559" t="str">
        <f>IF(DONNEES!$E559="","",DONNEES!Q559)</f>
        <v/>
      </c>
      <c r="Q559" t="str">
        <f>IF(DONNEES!$E559="","",DONNEES!R559)</f>
        <v/>
      </c>
      <c r="R559" t="str">
        <f>IF(DONNEES!$E559="","",DONNEES!S559)</f>
        <v/>
      </c>
      <c r="S559" t="str">
        <f>IF(DONNEES!$E559="","",DONNEES!T559)</f>
        <v/>
      </c>
      <c r="T559" t="str">
        <f>IF(DONNEES!$E559="","",DONNEES!U559)</f>
        <v/>
      </c>
      <c r="U559" t="str">
        <f>IF(DONNEES!$E559="","",DONNEES!V559)</f>
        <v/>
      </c>
      <c r="V559" t="str">
        <f>IF(DONNEES!$E559="","",DONNEES!W559)</f>
        <v/>
      </c>
      <c r="W559" t="str">
        <f>IF(DONNEES!$E559="","",DONNEES!X559)</f>
        <v/>
      </c>
      <c r="X559" t="str">
        <f>IF(DONNEES!$E559="","",DONNEES!Y559)</f>
        <v/>
      </c>
      <c r="Y559" t="str">
        <f>IF(DONNEES!$E559="","",DONNEES!Z559)</f>
        <v/>
      </c>
      <c r="Z559" t="str">
        <f>IF(DONNEES!$E559="","",DONNEES!AQ559)</f>
        <v/>
      </c>
    </row>
    <row r="560" spans="1:26" ht="15" customHeight="1" x14ac:dyDescent="0.3">
      <c r="A560" t="str">
        <f>IF(DONNEES!$E560="","",DONNEES!A560)</f>
        <v/>
      </c>
      <c r="B560" t="str">
        <f>IF(DONNEES!$E560="","",DONNEES!B560)</f>
        <v/>
      </c>
      <c r="C560" t="str">
        <f>IF(DONNEES!$E560="","",DONNEES!C560)</f>
        <v/>
      </c>
      <c r="D560" t="str">
        <f>IF(DONNEES!$E560="","",DONNEES!E560)</f>
        <v/>
      </c>
      <c r="E560" t="str">
        <f>IF(DONNEES!$E560="","",DONNEES!F560)</f>
        <v/>
      </c>
      <c r="F560" t="str">
        <f>IF(DONNEES!$E560="","",DONNEES!G560)</f>
        <v/>
      </c>
      <c r="G560" t="str">
        <f>IF(DONNEES!$E560="","",DONNEES!H560)</f>
        <v/>
      </c>
      <c r="H560" t="str">
        <f>IF(DONNEES!$E560="","",DONNEES!I560)</f>
        <v/>
      </c>
      <c r="I560" t="str">
        <f>IF(DONNEES!$E560="","",DONNEES!J560)</f>
        <v/>
      </c>
      <c r="J560" t="str">
        <f>IF(DONNEES!$E560="","",DONNEES!K560)</f>
        <v/>
      </c>
      <c r="K560" t="str">
        <f>IF(DONNEES!$E560="","",DONNEES!L560)</f>
        <v/>
      </c>
      <c r="L560" t="str">
        <f>IF(DONNEES!$E560="","",DONNEES!M560)</f>
        <v/>
      </c>
      <c r="M560" t="str">
        <f>IF(DONNEES!$E560="","",DONNEES!N560)</f>
        <v/>
      </c>
      <c r="N560" t="str">
        <f>IF(DONNEES!$E560="","",DONNEES!O560)</f>
        <v/>
      </c>
      <c r="O560" t="str">
        <f>IF(DONNEES!$E560="","",DONNEES!P560)</f>
        <v/>
      </c>
      <c r="P560" t="str">
        <f>IF(DONNEES!$E560="","",DONNEES!Q560)</f>
        <v/>
      </c>
      <c r="Q560" t="str">
        <f>IF(DONNEES!$E560="","",DONNEES!R560)</f>
        <v/>
      </c>
      <c r="R560" t="str">
        <f>IF(DONNEES!$E560="","",DONNEES!S560)</f>
        <v/>
      </c>
      <c r="S560" t="str">
        <f>IF(DONNEES!$E560="","",DONNEES!T560)</f>
        <v/>
      </c>
      <c r="T560" t="str">
        <f>IF(DONNEES!$E560="","",DONNEES!U560)</f>
        <v/>
      </c>
      <c r="U560" t="str">
        <f>IF(DONNEES!$E560="","",DONNEES!V560)</f>
        <v/>
      </c>
      <c r="V560" t="str">
        <f>IF(DONNEES!$E560="","",DONNEES!W560)</f>
        <v/>
      </c>
      <c r="W560" t="str">
        <f>IF(DONNEES!$E560="","",DONNEES!X560)</f>
        <v/>
      </c>
      <c r="X560" t="str">
        <f>IF(DONNEES!$E560="","",DONNEES!Y560)</f>
        <v/>
      </c>
      <c r="Y560" t="str">
        <f>IF(DONNEES!$E560="","",DONNEES!Z560)</f>
        <v/>
      </c>
      <c r="Z560" t="str">
        <f>IF(DONNEES!$E560="","",DONNEES!AQ560)</f>
        <v/>
      </c>
    </row>
    <row r="561" spans="1:26" ht="15" customHeight="1" x14ac:dyDescent="0.3">
      <c r="A561" t="str">
        <f>IF(DONNEES!$E561="","",DONNEES!A561)</f>
        <v/>
      </c>
      <c r="B561" t="str">
        <f>IF(DONNEES!$E561="","",DONNEES!B561)</f>
        <v/>
      </c>
      <c r="C561" t="str">
        <f>IF(DONNEES!$E561="","",DONNEES!C561)</f>
        <v/>
      </c>
      <c r="D561" t="str">
        <f>IF(DONNEES!$E561="","",DONNEES!E561)</f>
        <v/>
      </c>
      <c r="E561" t="str">
        <f>IF(DONNEES!$E561="","",DONNEES!F561)</f>
        <v/>
      </c>
      <c r="F561" t="str">
        <f>IF(DONNEES!$E561="","",DONNEES!G561)</f>
        <v/>
      </c>
      <c r="G561" t="str">
        <f>IF(DONNEES!$E561="","",DONNEES!H561)</f>
        <v/>
      </c>
      <c r="H561" t="str">
        <f>IF(DONNEES!$E561="","",DONNEES!I561)</f>
        <v/>
      </c>
      <c r="I561" t="str">
        <f>IF(DONNEES!$E561="","",DONNEES!J561)</f>
        <v/>
      </c>
      <c r="J561" t="str">
        <f>IF(DONNEES!$E561="","",DONNEES!K561)</f>
        <v/>
      </c>
      <c r="K561" t="str">
        <f>IF(DONNEES!$E561="","",DONNEES!L561)</f>
        <v/>
      </c>
      <c r="L561" t="str">
        <f>IF(DONNEES!$E561="","",DONNEES!M561)</f>
        <v/>
      </c>
      <c r="M561" t="str">
        <f>IF(DONNEES!$E561="","",DONNEES!N561)</f>
        <v/>
      </c>
      <c r="N561" t="str">
        <f>IF(DONNEES!$E561="","",DONNEES!O561)</f>
        <v/>
      </c>
      <c r="O561" t="str">
        <f>IF(DONNEES!$E561="","",DONNEES!P561)</f>
        <v/>
      </c>
      <c r="P561" t="str">
        <f>IF(DONNEES!$E561="","",DONNEES!Q561)</f>
        <v/>
      </c>
      <c r="Q561" t="str">
        <f>IF(DONNEES!$E561="","",DONNEES!R561)</f>
        <v/>
      </c>
      <c r="R561" t="str">
        <f>IF(DONNEES!$E561="","",DONNEES!S561)</f>
        <v/>
      </c>
      <c r="S561" t="str">
        <f>IF(DONNEES!$E561="","",DONNEES!T561)</f>
        <v/>
      </c>
      <c r="T561" t="str">
        <f>IF(DONNEES!$E561="","",DONNEES!U561)</f>
        <v/>
      </c>
      <c r="U561" t="str">
        <f>IF(DONNEES!$E561="","",DONNEES!V561)</f>
        <v/>
      </c>
      <c r="V561" t="str">
        <f>IF(DONNEES!$E561="","",DONNEES!W561)</f>
        <v/>
      </c>
      <c r="W561" t="str">
        <f>IF(DONNEES!$E561="","",DONNEES!X561)</f>
        <v/>
      </c>
      <c r="X561" t="str">
        <f>IF(DONNEES!$E561="","",DONNEES!Y561)</f>
        <v/>
      </c>
      <c r="Y561" t="str">
        <f>IF(DONNEES!$E561="","",DONNEES!Z561)</f>
        <v/>
      </c>
      <c r="Z561" t="str">
        <f>IF(DONNEES!$E561="","",DONNEES!AQ561)</f>
        <v/>
      </c>
    </row>
    <row r="562" spans="1:26" ht="15" customHeight="1" x14ac:dyDescent="0.3">
      <c r="A562" t="str">
        <f>IF(DONNEES!$E562="","",DONNEES!A562)</f>
        <v/>
      </c>
      <c r="B562" t="str">
        <f>IF(DONNEES!$E562="","",DONNEES!B562)</f>
        <v/>
      </c>
      <c r="C562" t="str">
        <f>IF(DONNEES!$E562="","",DONNEES!C562)</f>
        <v/>
      </c>
      <c r="D562" t="str">
        <f>IF(DONNEES!$E562="","",DONNEES!E562)</f>
        <v/>
      </c>
      <c r="E562" t="str">
        <f>IF(DONNEES!$E562="","",DONNEES!F562)</f>
        <v/>
      </c>
      <c r="F562" t="str">
        <f>IF(DONNEES!$E562="","",DONNEES!G562)</f>
        <v/>
      </c>
      <c r="G562" t="str">
        <f>IF(DONNEES!$E562="","",DONNEES!H562)</f>
        <v/>
      </c>
      <c r="H562" t="str">
        <f>IF(DONNEES!$E562="","",DONNEES!I562)</f>
        <v/>
      </c>
      <c r="I562" t="str">
        <f>IF(DONNEES!$E562="","",DONNEES!J562)</f>
        <v/>
      </c>
      <c r="J562" t="str">
        <f>IF(DONNEES!$E562="","",DONNEES!K562)</f>
        <v/>
      </c>
      <c r="K562" t="str">
        <f>IF(DONNEES!$E562="","",DONNEES!L562)</f>
        <v/>
      </c>
      <c r="L562" t="str">
        <f>IF(DONNEES!$E562="","",DONNEES!M562)</f>
        <v/>
      </c>
      <c r="M562" t="str">
        <f>IF(DONNEES!$E562="","",DONNEES!N562)</f>
        <v/>
      </c>
      <c r="N562" t="str">
        <f>IF(DONNEES!$E562="","",DONNEES!O562)</f>
        <v/>
      </c>
      <c r="O562" t="str">
        <f>IF(DONNEES!$E562="","",DONNEES!P562)</f>
        <v/>
      </c>
      <c r="P562" t="str">
        <f>IF(DONNEES!$E562="","",DONNEES!Q562)</f>
        <v/>
      </c>
      <c r="Q562" t="str">
        <f>IF(DONNEES!$E562="","",DONNEES!R562)</f>
        <v/>
      </c>
      <c r="R562" t="str">
        <f>IF(DONNEES!$E562="","",DONNEES!S562)</f>
        <v/>
      </c>
      <c r="S562" t="str">
        <f>IF(DONNEES!$E562="","",DONNEES!T562)</f>
        <v/>
      </c>
      <c r="T562" t="str">
        <f>IF(DONNEES!$E562="","",DONNEES!U562)</f>
        <v/>
      </c>
      <c r="U562" t="str">
        <f>IF(DONNEES!$E562="","",DONNEES!V562)</f>
        <v/>
      </c>
      <c r="V562" t="str">
        <f>IF(DONNEES!$E562="","",DONNEES!W562)</f>
        <v/>
      </c>
      <c r="W562" t="str">
        <f>IF(DONNEES!$E562="","",DONNEES!X562)</f>
        <v/>
      </c>
      <c r="X562" t="str">
        <f>IF(DONNEES!$E562="","",DONNEES!Y562)</f>
        <v/>
      </c>
      <c r="Y562" t="str">
        <f>IF(DONNEES!$E562="","",DONNEES!Z562)</f>
        <v/>
      </c>
      <c r="Z562" t="str">
        <f>IF(DONNEES!$E562="","",DONNEES!AQ562)</f>
        <v/>
      </c>
    </row>
    <row r="563" spans="1:26" ht="15" customHeight="1" x14ac:dyDescent="0.3">
      <c r="A563" t="str">
        <f>IF(DONNEES!$E563="","",DONNEES!A563)</f>
        <v/>
      </c>
      <c r="B563" t="str">
        <f>IF(DONNEES!$E563="","",DONNEES!B563)</f>
        <v/>
      </c>
      <c r="C563" t="str">
        <f>IF(DONNEES!$E563="","",DONNEES!C563)</f>
        <v/>
      </c>
      <c r="D563" t="str">
        <f>IF(DONNEES!$E563="","",DONNEES!E563)</f>
        <v/>
      </c>
      <c r="E563" t="str">
        <f>IF(DONNEES!$E563="","",DONNEES!F563)</f>
        <v/>
      </c>
      <c r="F563" t="str">
        <f>IF(DONNEES!$E563="","",DONNEES!G563)</f>
        <v/>
      </c>
      <c r="G563" t="str">
        <f>IF(DONNEES!$E563="","",DONNEES!H563)</f>
        <v/>
      </c>
      <c r="H563" t="str">
        <f>IF(DONNEES!$E563="","",DONNEES!I563)</f>
        <v/>
      </c>
      <c r="I563" t="str">
        <f>IF(DONNEES!$E563="","",DONNEES!J563)</f>
        <v/>
      </c>
      <c r="J563" t="str">
        <f>IF(DONNEES!$E563="","",DONNEES!K563)</f>
        <v/>
      </c>
      <c r="K563" t="str">
        <f>IF(DONNEES!$E563="","",DONNEES!L563)</f>
        <v/>
      </c>
      <c r="L563" t="str">
        <f>IF(DONNEES!$E563="","",DONNEES!M563)</f>
        <v/>
      </c>
      <c r="M563" t="str">
        <f>IF(DONNEES!$E563="","",DONNEES!N563)</f>
        <v/>
      </c>
      <c r="N563" t="str">
        <f>IF(DONNEES!$E563="","",DONNEES!O563)</f>
        <v/>
      </c>
      <c r="O563" t="str">
        <f>IF(DONNEES!$E563="","",DONNEES!P563)</f>
        <v/>
      </c>
      <c r="P563" t="str">
        <f>IF(DONNEES!$E563="","",DONNEES!Q563)</f>
        <v/>
      </c>
      <c r="Q563" t="str">
        <f>IF(DONNEES!$E563="","",DONNEES!R563)</f>
        <v/>
      </c>
      <c r="R563" t="str">
        <f>IF(DONNEES!$E563="","",DONNEES!S563)</f>
        <v/>
      </c>
      <c r="S563" t="str">
        <f>IF(DONNEES!$E563="","",DONNEES!T563)</f>
        <v/>
      </c>
      <c r="T563" t="str">
        <f>IF(DONNEES!$E563="","",DONNEES!U563)</f>
        <v/>
      </c>
      <c r="U563" t="str">
        <f>IF(DONNEES!$E563="","",DONNEES!V563)</f>
        <v/>
      </c>
      <c r="V563" t="str">
        <f>IF(DONNEES!$E563="","",DONNEES!W563)</f>
        <v/>
      </c>
      <c r="W563" t="str">
        <f>IF(DONNEES!$E563="","",DONNEES!X563)</f>
        <v/>
      </c>
      <c r="X563" t="str">
        <f>IF(DONNEES!$E563="","",DONNEES!Y563)</f>
        <v/>
      </c>
      <c r="Y563" t="str">
        <f>IF(DONNEES!$E563="","",DONNEES!Z563)</f>
        <v/>
      </c>
      <c r="Z563" t="str">
        <f>IF(DONNEES!$E563="","",DONNEES!AQ563)</f>
        <v/>
      </c>
    </row>
    <row r="564" spans="1:26" ht="15" customHeight="1" x14ac:dyDescent="0.3">
      <c r="A564" t="str">
        <f>IF(DONNEES!$E564="","",DONNEES!A564)</f>
        <v/>
      </c>
      <c r="B564" t="str">
        <f>IF(DONNEES!$E564="","",DONNEES!B564)</f>
        <v/>
      </c>
      <c r="C564" t="str">
        <f>IF(DONNEES!$E564="","",DONNEES!C564)</f>
        <v/>
      </c>
      <c r="D564" t="str">
        <f>IF(DONNEES!$E564="","",DONNEES!E564)</f>
        <v/>
      </c>
      <c r="E564" t="str">
        <f>IF(DONNEES!$E564="","",DONNEES!F564)</f>
        <v/>
      </c>
      <c r="F564" t="str">
        <f>IF(DONNEES!$E564="","",DONNEES!G564)</f>
        <v/>
      </c>
      <c r="G564" t="str">
        <f>IF(DONNEES!$E564="","",DONNEES!H564)</f>
        <v/>
      </c>
      <c r="H564" t="str">
        <f>IF(DONNEES!$E564="","",DONNEES!I564)</f>
        <v/>
      </c>
      <c r="I564" t="str">
        <f>IF(DONNEES!$E564="","",DONNEES!J564)</f>
        <v/>
      </c>
      <c r="J564" t="str">
        <f>IF(DONNEES!$E564="","",DONNEES!K564)</f>
        <v/>
      </c>
      <c r="K564" t="str">
        <f>IF(DONNEES!$E564="","",DONNEES!L564)</f>
        <v/>
      </c>
      <c r="L564" t="str">
        <f>IF(DONNEES!$E564="","",DONNEES!M564)</f>
        <v/>
      </c>
      <c r="M564" t="str">
        <f>IF(DONNEES!$E564="","",DONNEES!N564)</f>
        <v/>
      </c>
      <c r="N564" t="str">
        <f>IF(DONNEES!$E564="","",DONNEES!O564)</f>
        <v/>
      </c>
      <c r="O564" t="str">
        <f>IF(DONNEES!$E564="","",DONNEES!P564)</f>
        <v/>
      </c>
      <c r="P564" t="str">
        <f>IF(DONNEES!$E564="","",DONNEES!Q564)</f>
        <v/>
      </c>
      <c r="Q564" t="str">
        <f>IF(DONNEES!$E564="","",DONNEES!R564)</f>
        <v/>
      </c>
      <c r="R564" t="str">
        <f>IF(DONNEES!$E564="","",DONNEES!S564)</f>
        <v/>
      </c>
      <c r="S564" t="str">
        <f>IF(DONNEES!$E564="","",DONNEES!T564)</f>
        <v/>
      </c>
      <c r="T564" t="str">
        <f>IF(DONNEES!$E564="","",DONNEES!U564)</f>
        <v/>
      </c>
      <c r="U564" t="str">
        <f>IF(DONNEES!$E564="","",DONNEES!V564)</f>
        <v/>
      </c>
      <c r="V564" t="str">
        <f>IF(DONNEES!$E564="","",DONNEES!W564)</f>
        <v/>
      </c>
      <c r="W564" t="str">
        <f>IF(DONNEES!$E564="","",DONNEES!X564)</f>
        <v/>
      </c>
      <c r="X564" t="str">
        <f>IF(DONNEES!$E564="","",DONNEES!Y564)</f>
        <v/>
      </c>
      <c r="Y564" t="str">
        <f>IF(DONNEES!$E564="","",DONNEES!Z564)</f>
        <v/>
      </c>
      <c r="Z564" t="str">
        <f>IF(DONNEES!$E564="","",DONNEES!AQ564)</f>
        <v/>
      </c>
    </row>
    <row r="565" spans="1:26" ht="15" customHeight="1" x14ac:dyDescent="0.3">
      <c r="A565" t="str">
        <f>IF(DONNEES!$E565="","",DONNEES!A565)</f>
        <v/>
      </c>
      <c r="B565" t="str">
        <f>IF(DONNEES!$E565="","",DONNEES!B565)</f>
        <v/>
      </c>
      <c r="C565" t="str">
        <f>IF(DONNEES!$E565="","",DONNEES!C565)</f>
        <v/>
      </c>
      <c r="D565" t="str">
        <f>IF(DONNEES!$E565="","",DONNEES!E565)</f>
        <v/>
      </c>
      <c r="E565" t="str">
        <f>IF(DONNEES!$E565="","",DONNEES!F565)</f>
        <v/>
      </c>
      <c r="F565" t="str">
        <f>IF(DONNEES!$E565="","",DONNEES!G565)</f>
        <v/>
      </c>
      <c r="G565" t="str">
        <f>IF(DONNEES!$E565="","",DONNEES!H565)</f>
        <v/>
      </c>
      <c r="H565" t="str">
        <f>IF(DONNEES!$E565="","",DONNEES!I565)</f>
        <v/>
      </c>
      <c r="I565" t="str">
        <f>IF(DONNEES!$E565="","",DONNEES!J565)</f>
        <v/>
      </c>
      <c r="J565" t="str">
        <f>IF(DONNEES!$E565="","",DONNEES!K565)</f>
        <v/>
      </c>
      <c r="K565" t="str">
        <f>IF(DONNEES!$E565="","",DONNEES!L565)</f>
        <v/>
      </c>
      <c r="L565" t="str">
        <f>IF(DONNEES!$E565="","",DONNEES!M565)</f>
        <v/>
      </c>
      <c r="M565" t="str">
        <f>IF(DONNEES!$E565="","",DONNEES!N565)</f>
        <v/>
      </c>
      <c r="N565" t="str">
        <f>IF(DONNEES!$E565="","",DONNEES!O565)</f>
        <v/>
      </c>
      <c r="O565" t="str">
        <f>IF(DONNEES!$E565="","",DONNEES!P565)</f>
        <v/>
      </c>
      <c r="P565" t="str">
        <f>IF(DONNEES!$E565="","",DONNEES!Q565)</f>
        <v/>
      </c>
      <c r="Q565" t="str">
        <f>IF(DONNEES!$E565="","",DONNEES!R565)</f>
        <v/>
      </c>
      <c r="R565" t="str">
        <f>IF(DONNEES!$E565="","",DONNEES!S565)</f>
        <v/>
      </c>
      <c r="S565" t="str">
        <f>IF(DONNEES!$E565="","",DONNEES!T565)</f>
        <v/>
      </c>
      <c r="T565" t="str">
        <f>IF(DONNEES!$E565="","",DONNEES!U565)</f>
        <v/>
      </c>
      <c r="U565" t="str">
        <f>IF(DONNEES!$E565="","",DONNEES!V565)</f>
        <v/>
      </c>
      <c r="V565" t="str">
        <f>IF(DONNEES!$E565="","",DONNEES!W565)</f>
        <v/>
      </c>
      <c r="W565" t="str">
        <f>IF(DONNEES!$E565="","",DONNEES!X565)</f>
        <v/>
      </c>
      <c r="X565" t="str">
        <f>IF(DONNEES!$E565="","",DONNEES!Y565)</f>
        <v/>
      </c>
      <c r="Y565" t="str">
        <f>IF(DONNEES!$E565="","",DONNEES!Z565)</f>
        <v/>
      </c>
      <c r="Z565" t="str">
        <f>IF(DONNEES!$E565="","",DONNEES!AQ565)</f>
        <v/>
      </c>
    </row>
    <row r="566" spans="1:26" ht="15" customHeight="1" x14ac:dyDescent="0.3">
      <c r="A566" t="str">
        <f>IF(DONNEES!$E566="","",DONNEES!A566)</f>
        <v/>
      </c>
      <c r="B566" t="str">
        <f>IF(DONNEES!$E566="","",DONNEES!B566)</f>
        <v/>
      </c>
      <c r="C566" t="str">
        <f>IF(DONNEES!$E566="","",DONNEES!C566)</f>
        <v/>
      </c>
      <c r="D566" t="str">
        <f>IF(DONNEES!$E566="","",DONNEES!E566)</f>
        <v/>
      </c>
      <c r="E566" t="str">
        <f>IF(DONNEES!$E566="","",DONNEES!F566)</f>
        <v/>
      </c>
      <c r="F566" t="str">
        <f>IF(DONNEES!$E566="","",DONNEES!G566)</f>
        <v/>
      </c>
      <c r="G566" t="str">
        <f>IF(DONNEES!$E566="","",DONNEES!H566)</f>
        <v/>
      </c>
      <c r="H566" t="str">
        <f>IF(DONNEES!$E566="","",DONNEES!I566)</f>
        <v/>
      </c>
      <c r="I566" t="str">
        <f>IF(DONNEES!$E566="","",DONNEES!J566)</f>
        <v/>
      </c>
      <c r="J566" t="str">
        <f>IF(DONNEES!$E566="","",DONNEES!K566)</f>
        <v/>
      </c>
      <c r="K566" t="str">
        <f>IF(DONNEES!$E566="","",DONNEES!L566)</f>
        <v/>
      </c>
      <c r="L566" t="str">
        <f>IF(DONNEES!$E566="","",DONNEES!M566)</f>
        <v/>
      </c>
      <c r="M566" t="str">
        <f>IF(DONNEES!$E566="","",DONNEES!N566)</f>
        <v/>
      </c>
      <c r="N566" t="str">
        <f>IF(DONNEES!$E566="","",DONNEES!O566)</f>
        <v/>
      </c>
      <c r="O566" t="str">
        <f>IF(DONNEES!$E566="","",DONNEES!P566)</f>
        <v/>
      </c>
      <c r="P566" t="str">
        <f>IF(DONNEES!$E566="","",DONNEES!Q566)</f>
        <v/>
      </c>
      <c r="Q566" t="str">
        <f>IF(DONNEES!$E566="","",DONNEES!R566)</f>
        <v/>
      </c>
      <c r="R566" t="str">
        <f>IF(DONNEES!$E566="","",DONNEES!S566)</f>
        <v/>
      </c>
      <c r="S566" t="str">
        <f>IF(DONNEES!$E566="","",DONNEES!T566)</f>
        <v/>
      </c>
      <c r="T566" t="str">
        <f>IF(DONNEES!$E566="","",DONNEES!U566)</f>
        <v/>
      </c>
      <c r="U566" t="str">
        <f>IF(DONNEES!$E566="","",DONNEES!V566)</f>
        <v/>
      </c>
      <c r="V566" t="str">
        <f>IF(DONNEES!$E566="","",DONNEES!W566)</f>
        <v/>
      </c>
      <c r="W566" t="str">
        <f>IF(DONNEES!$E566="","",DONNEES!X566)</f>
        <v/>
      </c>
      <c r="X566" t="str">
        <f>IF(DONNEES!$E566="","",DONNEES!Y566)</f>
        <v/>
      </c>
      <c r="Y566" t="str">
        <f>IF(DONNEES!$E566="","",DONNEES!Z566)</f>
        <v/>
      </c>
      <c r="Z566" t="str">
        <f>IF(DONNEES!$E566="","",DONNEES!AQ566)</f>
        <v/>
      </c>
    </row>
    <row r="567" spans="1:26" ht="15" customHeight="1" x14ac:dyDescent="0.3">
      <c r="A567" t="str">
        <f>IF(DONNEES!$E567="","",DONNEES!A567)</f>
        <v/>
      </c>
      <c r="B567" t="str">
        <f>IF(DONNEES!$E567="","",DONNEES!B567)</f>
        <v/>
      </c>
      <c r="C567" t="str">
        <f>IF(DONNEES!$E567="","",DONNEES!C567)</f>
        <v/>
      </c>
      <c r="D567" t="str">
        <f>IF(DONNEES!$E567="","",DONNEES!E567)</f>
        <v/>
      </c>
      <c r="E567" t="str">
        <f>IF(DONNEES!$E567="","",DONNEES!F567)</f>
        <v/>
      </c>
      <c r="F567" t="str">
        <f>IF(DONNEES!$E567="","",DONNEES!G567)</f>
        <v/>
      </c>
      <c r="G567" t="str">
        <f>IF(DONNEES!$E567="","",DONNEES!H567)</f>
        <v/>
      </c>
      <c r="H567" t="str">
        <f>IF(DONNEES!$E567="","",DONNEES!I567)</f>
        <v/>
      </c>
      <c r="I567" t="str">
        <f>IF(DONNEES!$E567="","",DONNEES!J567)</f>
        <v/>
      </c>
      <c r="J567" t="str">
        <f>IF(DONNEES!$E567="","",DONNEES!K567)</f>
        <v/>
      </c>
      <c r="K567" t="str">
        <f>IF(DONNEES!$E567="","",DONNEES!L567)</f>
        <v/>
      </c>
      <c r="L567" t="str">
        <f>IF(DONNEES!$E567="","",DONNEES!M567)</f>
        <v/>
      </c>
      <c r="M567" t="str">
        <f>IF(DONNEES!$E567="","",DONNEES!N567)</f>
        <v/>
      </c>
      <c r="N567" t="str">
        <f>IF(DONNEES!$E567="","",DONNEES!O567)</f>
        <v/>
      </c>
      <c r="O567" t="str">
        <f>IF(DONNEES!$E567="","",DONNEES!P567)</f>
        <v/>
      </c>
      <c r="P567" t="str">
        <f>IF(DONNEES!$E567="","",DONNEES!Q567)</f>
        <v/>
      </c>
      <c r="Q567" t="str">
        <f>IF(DONNEES!$E567="","",DONNEES!R567)</f>
        <v/>
      </c>
      <c r="R567" t="str">
        <f>IF(DONNEES!$E567="","",DONNEES!S567)</f>
        <v/>
      </c>
      <c r="S567" t="str">
        <f>IF(DONNEES!$E567="","",DONNEES!T567)</f>
        <v/>
      </c>
      <c r="T567" t="str">
        <f>IF(DONNEES!$E567="","",DONNEES!U567)</f>
        <v/>
      </c>
      <c r="U567" t="str">
        <f>IF(DONNEES!$E567="","",DONNEES!V567)</f>
        <v/>
      </c>
      <c r="V567" t="str">
        <f>IF(DONNEES!$E567="","",DONNEES!W567)</f>
        <v/>
      </c>
      <c r="W567" t="str">
        <f>IF(DONNEES!$E567="","",DONNEES!X567)</f>
        <v/>
      </c>
      <c r="X567" t="str">
        <f>IF(DONNEES!$E567="","",DONNEES!Y567)</f>
        <v/>
      </c>
      <c r="Y567" t="str">
        <f>IF(DONNEES!$E567="","",DONNEES!Z567)</f>
        <v/>
      </c>
      <c r="Z567" t="str">
        <f>IF(DONNEES!$E567="","",DONNEES!AQ567)</f>
        <v/>
      </c>
    </row>
    <row r="568" spans="1:26" ht="15" customHeight="1" x14ac:dyDescent="0.3">
      <c r="A568" t="str">
        <f>IF(DONNEES!$E568="","",DONNEES!A568)</f>
        <v/>
      </c>
      <c r="B568" t="str">
        <f>IF(DONNEES!$E568="","",DONNEES!B568)</f>
        <v/>
      </c>
      <c r="C568" t="str">
        <f>IF(DONNEES!$E568="","",DONNEES!C568)</f>
        <v/>
      </c>
      <c r="D568" t="str">
        <f>IF(DONNEES!$E568="","",DONNEES!E568)</f>
        <v/>
      </c>
      <c r="E568" t="str">
        <f>IF(DONNEES!$E568="","",DONNEES!F568)</f>
        <v/>
      </c>
      <c r="F568" t="str">
        <f>IF(DONNEES!$E568="","",DONNEES!G568)</f>
        <v/>
      </c>
      <c r="G568" t="str">
        <f>IF(DONNEES!$E568="","",DONNEES!H568)</f>
        <v/>
      </c>
      <c r="H568" t="str">
        <f>IF(DONNEES!$E568="","",DONNEES!I568)</f>
        <v/>
      </c>
      <c r="I568" t="str">
        <f>IF(DONNEES!$E568="","",DONNEES!J568)</f>
        <v/>
      </c>
      <c r="J568" t="str">
        <f>IF(DONNEES!$E568="","",DONNEES!K568)</f>
        <v/>
      </c>
      <c r="K568" t="str">
        <f>IF(DONNEES!$E568="","",DONNEES!L568)</f>
        <v/>
      </c>
      <c r="L568" t="str">
        <f>IF(DONNEES!$E568="","",DONNEES!M568)</f>
        <v/>
      </c>
      <c r="M568" t="str">
        <f>IF(DONNEES!$E568="","",DONNEES!N568)</f>
        <v/>
      </c>
      <c r="N568" t="str">
        <f>IF(DONNEES!$E568="","",DONNEES!O568)</f>
        <v/>
      </c>
      <c r="O568" t="str">
        <f>IF(DONNEES!$E568="","",DONNEES!P568)</f>
        <v/>
      </c>
      <c r="P568" t="str">
        <f>IF(DONNEES!$E568="","",DONNEES!Q568)</f>
        <v/>
      </c>
      <c r="Q568" t="str">
        <f>IF(DONNEES!$E568="","",DONNEES!R568)</f>
        <v/>
      </c>
      <c r="R568" t="str">
        <f>IF(DONNEES!$E568="","",DONNEES!S568)</f>
        <v/>
      </c>
      <c r="S568" t="str">
        <f>IF(DONNEES!$E568="","",DONNEES!T568)</f>
        <v/>
      </c>
      <c r="T568" t="str">
        <f>IF(DONNEES!$E568="","",DONNEES!U568)</f>
        <v/>
      </c>
      <c r="U568" t="str">
        <f>IF(DONNEES!$E568="","",DONNEES!V568)</f>
        <v/>
      </c>
      <c r="V568" t="str">
        <f>IF(DONNEES!$E568="","",DONNEES!W568)</f>
        <v/>
      </c>
      <c r="W568" t="str">
        <f>IF(DONNEES!$E568="","",DONNEES!X568)</f>
        <v/>
      </c>
      <c r="X568" t="str">
        <f>IF(DONNEES!$E568="","",DONNEES!Y568)</f>
        <v/>
      </c>
      <c r="Y568" t="str">
        <f>IF(DONNEES!$E568="","",DONNEES!Z568)</f>
        <v/>
      </c>
      <c r="Z568" t="str">
        <f>IF(DONNEES!$E568="","",DONNEES!AQ568)</f>
        <v/>
      </c>
    </row>
    <row r="569" spans="1:26" ht="15" customHeight="1" x14ac:dyDescent="0.3">
      <c r="A569" t="str">
        <f>IF(DONNEES!$E569="","",DONNEES!A569)</f>
        <v/>
      </c>
      <c r="B569" t="str">
        <f>IF(DONNEES!$E569="","",DONNEES!B569)</f>
        <v/>
      </c>
      <c r="C569" t="str">
        <f>IF(DONNEES!$E569="","",DONNEES!C569)</f>
        <v/>
      </c>
      <c r="D569" t="str">
        <f>IF(DONNEES!$E569="","",DONNEES!E569)</f>
        <v/>
      </c>
      <c r="E569" t="str">
        <f>IF(DONNEES!$E569="","",DONNEES!F569)</f>
        <v/>
      </c>
      <c r="F569" t="str">
        <f>IF(DONNEES!$E569="","",DONNEES!G569)</f>
        <v/>
      </c>
      <c r="G569" t="str">
        <f>IF(DONNEES!$E569="","",DONNEES!H569)</f>
        <v/>
      </c>
      <c r="H569" t="str">
        <f>IF(DONNEES!$E569="","",DONNEES!I569)</f>
        <v/>
      </c>
      <c r="I569" t="str">
        <f>IF(DONNEES!$E569="","",DONNEES!J569)</f>
        <v/>
      </c>
      <c r="J569" t="str">
        <f>IF(DONNEES!$E569="","",DONNEES!K569)</f>
        <v/>
      </c>
      <c r="K569" t="str">
        <f>IF(DONNEES!$E569="","",DONNEES!L569)</f>
        <v/>
      </c>
      <c r="L569" t="str">
        <f>IF(DONNEES!$E569="","",DONNEES!M569)</f>
        <v/>
      </c>
      <c r="M569" t="str">
        <f>IF(DONNEES!$E569="","",DONNEES!N569)</f>
        <v/>
      </c>
      <c r="N569" t="str">
        <f>IF(DONNEES!$E569="","",DONNEES!O569)</f>
        <v/>
      </c>
      <c r="O569" t="str">
        <f>IF(DONNEES!$E569="","",DONNEES!P569)</f>
        <v/>
      </c>
      <c r="P569" t="str">
        <f>IF(DONNEES!$E569="","",DONNEES!Q569)</f>
        <v/>
      </c>
      <c r="Q569" t="str">
        <f>IF(DONNEES!$E569="","",DONNEES!R569)</f>
        <v/>
      </c>
      <c r="R569" t="str">
        <f>IF(DONNEES!$E569="","",DONNEES!S569)</f>
        <v/>
      </c>
      <c r="S569" t="str">
        <f>IF(DONNEES!$E569="","",DONNEES!T569)</f>
        <v/>
      </c>
      <c r="T569" t="str">
        <f>IF(DONNEES!$E569="","",DONNEES!U569)</f>
        <v/>
      </c>
      <c r="U569" t="str">
        <f>IF(DONNEES!$E569="","",DONNEES!V569)</f>
        <v/>
      </c>
      <c r="V569" t="str">
        <f>IF(DONNEES!$E569="","",DONNEES!W569)</f>
        <v/>
      </c>
      <c r="W569" t="str">
        <f>IF(DONNEES!$E569="","",DONNEES!X569)</f>
        <v/>
      </c>
      <c r="X569" t="str">
        <f>IF(DONNEES!$E569="","",DONNEES!Y569)</f>
        <v/>
      </c>
      <c r="Y569" t="str">
        <f>IF(DONNEES!$E569="","",DONNEES!Z569)</f>
        <v/>
      </c>
      <c r="Z569" t="str">
        <f>IF(DONNEES!$E569="","",DONNEES!AQ569)</f>
        <v/>
      </c>
    </row>
    <row r="570" spans="1:26" ht="15" customHeight="1" x14ac:dyDescent="0.3">
      <c r="A570" t="str">
        <f>IF(DONNEES!$E570="","",DONNEES!A570)</f>
        <v/>
      </c>
      <c r="B570" t="str">
        <f>IF(DONNEES!$E570="","",DONNEES!B570)</f>
        <v/>
      </c>
      <c r="C570" t="str">
        <f>IF(DONNEES!$E570="","",DONNEES!C570)</f>
        <v/>
      </c>
      <c r="D570" t="str">
        <f>IF(DONNEES!$E570="","",DONNEES!E570)</f>
        <v/>
      </c>
      <c r="E570" t="str">
        <f>IF(DONNEES!$E570="","",DONNEES!F570)</f>
        <v/>
      </c>
      <c r="F570" t="str">
        <f>IF(DONNEES!$E570="","",DONNEES!G570)</f>
        <v/>
      </c>
      <c r="G570" t="str">
        <f>IF(DONNEES!$E570="","",DONNEES!H570)</f>
        <v/>
      </c>
      <c r="H570" t="str">
        <f>IF(DONNEES!$E570="","",DONNEES!I570)</f>
        <v/>
      </c>
      <c r="I570" t="str">
        <f>IF(DONNEES!$E570="","",DONNEES!J570)</f>
        <v/>
      </c>
      <c r="J570" t="str">
        <f>IF(DONNEES!$E570="","",DONNEES!K570)</f>
        <v/>
      </c>
      <c r="K570" t="str">
        <f>IF(DONNEES!$E570="","",DONNEES!L570)</f>
        <v/>
      </c>
      <c r="L570" t="str">
        <f>IF(DONNEES!$E570="","",DONNEES!M570)</f>
        <v/>
      </c>
      <c r="M570" t="str">
        <f>IF(DONNEES!$E570="","",DONNEES!N570)</f>
        <v/>
      </c>
      <c r="N570" t="str">
        <f>IF(DONNEES!$E570="","",DONNEES!O570)</f>
        <v/>
      </c>
      <c r="O570" t="str">
        <f>IF(DONNEES!$E570="","",DONNEES!P570)</f>
        <v/>
      </c>
      <c r="P570" t="str">
        <f>IF(DONNEES!$E570="","",DONNEES!Q570)</f>
        <v/>
      </c>
      <c r="Q570" t="str">
        <f>IF(DONNEES!$E570="","",DONNEES!R570)</f>
        <v/>
      </c>
      <c r="R570" t="str">
        <f>IF(DONNEES!$E570="","",DONNEES!S570)</f>
        <v/>
      </c>
      <c r="S570" t="str">
        <f>IF(DONNEES!$E570="","",DONNEES!T570)</f>
        <v/>
      </c>
      <c r="T570" t="str">
        <f>IF(DONNEES!$E570="","",DONNEES!U570)</f>
        <v/>
      </c>
      <c r="U570" t="str">
        <f>IF(DONNEES!$E570="","",DONNEES!V570)</f>
        <v/>
      </c>
      <c r="V570" t="str">
        <f>IF(DONNEES!$E570="","",DONNEES!W570)</f>
        <v/>
      </c>
      <c r="W570" t="str">
        <f>IF(DONNEES!$E570="","",DONNEES!X570)</f>
        <v/>
      </c>
      <c r="X570" t="str">
        <f>IF(DONNEES!$E570="","",DONNEES!Y570)</f>
        <v/>
      </c>
      <c r="Y570" t="str">
        <f>IF(DONNEES!$E570="","",DONNEES!Z570)</f>
        <v/>
      </c>
      <c r="Z570" t="str">
        <f>IF(DONNEES!$E570="","",DONNEES!AQ570)</f>
        <v/>
      </c>
    </row>
    <row r="571" spans="1:26" ht="15" customHeight="1" x14ac:dyDescent="0.3">
      <c r="A571" t="str">
        <f>IF(DONNEES!$E571="","",DONNEES!A571)</f>
        <v/>
      </c>
      <c r="B571" t="str">
        <f>IF(DONNEES!$E571="","",DONNEES!B571)</f>
        <v/>
      </c>
      <c r="C571" t="str">
        <f>IF(DONNEES!$E571="","",DONNEES!C571)</f>
        <v/>
      </c>
      <c r="D571" t="str">
        <f>IF(DONNEES!$E571="","",DONNEES!E571)</f>
        <v/>
      </c>
      <c r="E571" t="str">
        <f>IF(DONNEES!$E571="","",DONNEES!F571)</f>
        <v/>
      </c>
      <c r="F571" t="str">
        <f>IF(DONNEES!$E571="","",DONNEES!G571)</f>
        <v/>
      </c>
      <c r="G571" t="str">
        <f>IF(DONNEES!$E571="","",DONNEES!H571)</f>
        <v/>
      </c>
      <c r="H571" t="str">
        <f>IF(DONNEES!$E571="","",DONNEES!I571)</f>
        <v/>
      </c>
      <c r="I571" t="str">
        <f>IF(DONNEES!$E571="","",DONNEES!J571)</f>
        <v/>
      </c>
      <c r="J571" t="str">
        <f>IF(DONNEES!$E571="","",DONNEES!K571)</f>
        <v/>
      </c>
      <c r="K571" t="str">
        <f>IF(DONNEES!$E571="","",DONNEES!L571)</f>
        <v/>
      </c>
      <c r="L571" t="str">
        <f>IF(DONNEES!$E571="","",DONNEES!M571)</f>
        <v/>
      </c>
      <c r="M571" t="str">
        <f>IF(DONNEES!$E571="","",DONNEES!N571)</f>
        <v/>
      </c>
      <c r="N571" t="str">
        <f>IF(DONNEES!$E571="","",DONNEES!O571)</f>
        <v/>
      </c>
      <c r="O571" t="str">
        <f>IF(DONNEES!$E571="","",DONNEES!P571)</f>
        <v/>
      </c>
      <c r="P571" t="str">
        <f>IF(DONNEES!$E571="","",DONNEES!Q571)</f>
        <v/>
      </c>
      <c r="Q571" t="str">
        <f>IF(DONNEES!$E571="","",DONNEES!R571)</f>
        <v/>
      </c>
      <c r="R571" t="str">
        <f>IF(DONNEES!$E571="","",DONNEES!S571)</f>
        <v/>
      </c>
      <c r="S571" t="str">
        <f>IF(DONNEES!$E571="","",DONNEES!T571)</f>
        <v/>
      </c>
      <c r="T571" t="str">
        <f>IF(DONNEES!$E571="","",DONNEES!U571)</f>
        <v/>
      </c>
      <c r="U571" t="str">
        <f>IF(DONNEES!$E571="","",DONNEES!V571)</f>
        <v/>
      </c>
      <c r="V571" t="str">
        <f>IF(DONNEES!$E571="","",DONNEES!W571)</f>
        <v/>
      </c>
      <c r="W571" t="str">
        <f>IF(DONNEES!$E571="","",DONNEES!X571)</f>
        <v/>
      </c>
      <c r="X571" t="str">
        <f>IF(DONNEES!$E571="","",DONNEES!Y571)</f>
        <v/>
      </c>
      <c r="Y571" t="str">
        <f>IF(DONNEES!$E571="","",DONNEES!Z571)</f>
        <v/>
      </c>
      <c r="Z571" t="str">
        <f>IF(DONNEES!$E571="","",DONNEES!AQ571)</f>
        <v/>
      </c>
    </row>
    <row r="572" spans="1:26" ht="15" customHeight="1" x14ac:dyDescent="0.3">
      <c r="A572" t="str">
        <f>IF(DONNEES!$E572="","",DONNEES!A572)</f>
        <v/>
      </c>
      <c r="B572" t="str">
        <f>IF(DONNEES!$E572="","",DONNEES!B572)</f>
        <v/>
      </c>
      <c r="C572" t="str">
        <f>IF(DONNEES!$E572="","",DONNEES!C572)</f>
        <v/>
      </c>
      <c r="D572" t="str">
        <f>IF(DONNEES!$E572="","",DONNEES!E572)</f>
        <v/>
      </c>
      <c r="E572" t="str">
        <f>IF(DONNEES!$E572="","",DONNEES!F572)</f>
        <v/>
      </c>
      <c r="F572" t="str">
        <f>IF(DONNEES!$E572="","",DONNEES!G572)</f>
        <v/>
      </c>
      <c r="G572" t="str">
        <f>IF(DONNEES!$E572="","",DONNEES!H572)</f>
        <v/>
      </c>
      <c r="H572" t="str">
        <f>IF(DONNEES!$E572="","",DONNEES!I572)</f>
        <v/>
      </c>
      <c r="I572" t="str">
        <f>IF(DONNEES!$E572="","",DONNEES!J572)</f>
        <v/>
      </c>
      <c r="J572" t="str">
        <f>IF(DONNEES!$E572="","",DONNEES!K572)</f>
        <v/>
      </c>
      <c r="K572" t="str">
        <f>IF(DONNEES!$E572="","",DONNEES!L572)</f>
        <v/>
      </c>
      <c r="L572" t="str">
        <f>IF(DONNEES!$E572="","",DONNEES!M572)</f>
        <v/>
      </c>
      <c r="M572" t="str">
        <f>IF(DONNEES!$E572="","",DONNEES!N572)</f>
        <v/>
      </c>
      <c r="N572" t="str">
        <f>IF(DONNEES!$E572="","",DONNEES!O572)</f>
        <v/>
      </c>
      <c r="O572" t="str">
        <f>IF(DONNEES!$E572="","",DONNEES!P572)</f>
        <v/>
      </c>
      <c r="P572" t="str">
        <f>IF(DONNEES!$E572="","",DONNEES!Q572)</f>
        <v/>
      </c>
      <c r="Q572" t="str">
        <f>IF(DONNEES!$E572="","",DONNEES!R572)</f>
        <v/>
      </c>
      <c r="R572" t="str">
        <f>IF(DONNEES!$E572="","",DONNEES!S572)</f>
        <v/>
      </c>
      <c r="S572" t="str">
        <f>IF(DONNEES!$E572="","",DONNEES!T572)</f>
        <v/>
      </c>
      <c r="T572" t="str">
        <f>IF(DONNEES!$E572="","",DONNEES!U572)</f>
        <v/>
      </c>
      <c r="U572" t="str">
        <f>IF(DONNEES!$E572="","",DONNEES!V572)</f>
        <v/>
      </c>
      <c r="V572" t="str">
        <f>IF(DONNEES!$E572="","",DONNEES!W572)</f>
        <v/>
      </c>
      <c r="W572" t="str">
        <f>IF(DONNEES!$E572="","",DONNEES!X572)</f>
        <v/>
      </c>
      <c r="X572" t="str">
        <f>IF(DONNEES!$E572="","",DONNEES!Y572)</f>
        <v/>
      </c>
      <c r="Y572" t="str">
        <f>IF(DONNEES!$E572="","",DONNEES!Z572)</f>
        <v/>
      </c>
      <c r="Z572" t="str">
        <f>IF(DONNEES!$E572="","",DONNEES!AQ572)</f>
        <v/>
      </c>
    </row>
    <row r="573" spans="1:26" ht="15" customHeight="1" x14ac:dyDescent="0.3">
      <c r="A573" t="str">
        <f>IF(DONNEES!$E573="","",DONNEES!A573)</f>
        <v/>
      </c>
      <c r="B573" t="str">
        <f>IF(DONNEES!$E573="","",DONNEES!B573)</f>
        <v/>
      </c>
      <c r="C573" t="str">
        <f>IF(DONNEES!$E573="","",DONNEES!C573)</f>
        <v/>
      </c>
      <c r="D573" t="str">
        <f>IF(DONNEES!$E573="","",DONNEES!E573)</f>
        <v/>
      </c>
      <c r="E573" t="str">
        <f>IF(DONNEES!$E573="","",DONNEES!F573)</f>
        <v/>
      </c>
      <c r="F573" t="str">
        <f>IF(DONNEES!$E573="","",DONNEES!G573)</f>
        <v/>
      </c>
      <c r="G573" t="str">
        <f>IF(DONNEES!$E573="","",DONNEES!H573)</f>
        <v/>
      </c>
      <c r="H573" t="str">
        <f>IF(DONNEES!$E573="","",DONNEES!I573)</f>
        <v/>
      </c>
      <c r="I573" t="str">
        <f>IF(DONNEES!$E573="","",DONNEES!J573)</f>
        <v/>
      </c>
      <c r="J573" t="str">
        <f>IF(DONNEES!$E573="","",DONNEES!K573)</f>
        <v/>
      </c>
      <c r="K573" t="str">
        <f>IF(DONNEES!$E573="","",DONNEES!L573)</f>
        <v/>
      </c>
      <c r="L573" t="str">
        <f>IF(DONNEES!$E573="","",DONNEES!M573)</f>
        <v/>
      </c>
      <c r="M573" t="str">
        <f>IF(DONNEES!$E573="","",DONNEES!N573)</f>
        <v/>
      </c>
      <c r="N573" t="str">
        <f>IF(DONNEES!$E573="","",DONNEES!O573)</f>
        <v/>
      </c>
      <c r="O573" t="str">
        <f>IF(DONNEES!$E573="","",DONNEES!P573)</f>
        <v/>
      </c>
      <c r="P573" t="str">
        <f>IF(DONNEES!$E573="","",DONNEES!Q573)</f>
        <v/>
      </c>
      <c r="Q573" t="str">
        <f>IF(DONNEES!$E573="","",DONNEES!R573)</f>
        <v/>
      </c>
      <c r="R573" t="str">
        <f>IF(DONNEES!$E573="","",DONNEES!S573)</f>
        <v/>
      </c>
      <c r="S573" t="str">
        <f>IF(DONNEES!$E573="","",DONNEES!T573)</f>
        <v/>
      </c>
      <c r="T573" t="str">
        <f>IF(DONNEES!$E573="","",DONNEES!U573)</f>
        <v/>
      </c>
      <c r="U573" t="str">
        <f>IF(DONNEES!$E573="","",DONNEES!V573)</f>
        <v/>
      </c>
      <c r="V573" t="str">
        <f>IF(DONNEES!$E573="","",DONNEES!W573)</f>
        <v/>
      </c>
      <c r="W573" t="str">
        <f>IF(DONNEES!$E573="","",DONNEES!X573)</f>
        <v/>
      </c>
      <c r="X573" t="str">
        <f>IF(DONNEES!$E573="","",DONNEES!Y573)</f>
        <v/>
      </c>
      <c r="Y573" t="str">
        <f>IF(DONNEES!$E573="","",DONNEES!Z573)</f>
        <v/>
      </c>
      <c r="Z573" t="str">
        <f>IF(DONNEES!$E573="","",DONNEES!AQ573)</f>
        <v/>
      </c>
    </row>
    <row r="574" spans="1:26" ht="15" customHeight="1" x14ac:dyDescent="0.3">
      <c r="A574" t="str">
        <f>IF(DONNEES!$E574="","",DONNEES!A574)</f>
        <v/>
      </c>
      <c r="B574" t="str">
        <f>IF(DONNEES!$E574="","",DONNEES!B574)</f>
        <v/>
      </c>
      <c r="C574" t="str">
        <f>IF(DONNEES!$E574="","",DONNEES!C574)</f>
        <v/>
      </c>
      <c r="D574" t="str">
        <f>IF(DONNEES!$E574="","",DONNEES!E574)</f>
        <v/>
      </c>
      <c r="E574" t="str">
        <f>IF(DONNEES!$E574="","",DONNEES!F574)</f>
        <v/>
      </c>
      <c r="F574" t="str">
        <f>IF(DONNEES!$E574="","",DONNEES!G574)</f>
        <v/>
      </c>
      <c r="G574" t="str">
        <f>IF(DONNEES!$E574="","",DONNEES!H574)</f>
        <v/>
      </c>
      <c r="H574" t="str">
        <f>IF(DONNEES!$E574="","",DONNEES!I574)</f>
        <v/>
      </c>
      <c r="I574" t="str">
        <f>IF(DONNEES!$E574="","",DONNEES!J574)</f>
        <v/>
      </c>
      <c r="J574" t="str">
        <f>IF(DONNEES!$E574="","",DONNEES!K574)</f>
        <v/>
      </c>
      <c r="K574" t="str">
        <f>IF(DONNEES!$E574="","",DONNEES!L574)</f>
        <v/>
      </c>
      <c r="L574" t="str">
        <f>IF(DONNEES!$E574="","",DONNEES!M574)</f>
        <v/>
      </c>
      <c r="M574" t="str">
        <f>IF(DONNEES!$E574="","",DONNEES!N574)</f>
        <v/>
      </c>
      <c r="N574" t="str">
        <f>IF(DONNEES!$E574="","",DONNEES!O574)</f>
        <v/>
      </c>
      <c r="O574" t="str">
        <f>IF(DONNEES!$E574="","",DONNEES!P574)</f>
        <v/>
      </c>
      <c r="P574" t="str">
        <f>IF(DONNEES!$E574="","",DONNEES!Q574)</f>
        <v/>
      </c>
      <c r="Q574" t="str">
        <f>IF(DONNEES!$E574="","",DONNEES!R574)</f>
        <v/>
      </c>
      <c r="R574" t="str">
        <f>IF(DONNEES!$E574="","",DONNEES!S574)</f>
        <v/>
      </c>
      <c r="S574" t="str">
        <f>IF(DONNEES!$E574="","",DONNEES!T574)</f>
        <v/>
      </c>
      <c r="T574" t="str">
        <f>IF(DONNEES!$E574="","",DONNEES!U574)</f>
        <v/>
      </c>
      <c r="U574" t="str">
        <f>IF(DONNEES!$E574="","",DONNEES!V574)</f>
        <v/>
      </c>
      <c r="V574" t="str">
        <f>IF(DONNEES!$E574="","",DONNEES!W574)</f>
        <v/>
      </c>
      <c r="W574" t="str">
        <f>IF(DONNEES!$E574="","",DONNEES!X574)</f>
        <v/>
      </c>
      <c r="X574" t="str">
        <f>IF(DONNEES!$E574="","",DONNEES!Y574)</f>
        <v/>
      </c>
      <c r="Y574" t="str">
        <f>IF(DONNEES!$E574="","",DONNEES!Z574)</f>
        <v/>
      </c>
      <c r="Z574" t="str">
        <f>IF(DONNEES!$E574="","",DONNEES!AQ574)</f>
        <v/>
      </c>
    </row>
    <row r="575" spans="1:26" ht="15" customHeight="1" x14ac:dyDescent="0.3">
      <c r="A575" t="str">
        <f>IF(DONNEES!$E575="","",DONNEES!A575)</f>
        <v/>
      </c>
      <c r="B575" t="str">
        <f>IF(DONNEES!$E575="","",DONNEES!B575)</f>
        <v/>
      </c>
      <c r="C575" t="str">
        <f>IF(DONNEES!$E575="","",DONNEES!C575)</f>
        <v/>
      </c>
      <c r="D575" t="str">
        <f>IF(DONNEES!$E575="","",DONNEES!E575)</f>
        <v/>
      </c>
      <c r="E575" t="str">
        <f>IF(DONNEES!$E575="","",DONNEES!F575)</f>
        <v/>
      </c>
      <c r="F575" t="str">
        <f>IF(DONNEES!$E575="","",DONNEES!G575)</f>
        <v/>
      </c>
      <c r="G575" t="str">
        <f>IF(DONNEES!$E575="","",DONNEES!H575)</f>
        <v/>
      </c>
      <c r="H575" t="str">
        <f>IF(DONNEES!$E575="","",DONNEES!I575)</f>
        <v/>
      </c>
      <c r="I575" t="str">
        <f>IF(DONNEES!$E575="","",DONNEES!J575)</f>
        <v/>
      </c>
      <c r="J575" t="str">
        <f>IF(DONNEES!$E575="","",DONNEES!K575)</f>
        <v/>
      </c>
      <c r="K575" t="str">
        <f>IF(DONNEES!$E575="","",DONNEES!L575)</f>
        <v/>
      </c>
      <c r="L575" t="str">
        <f>IF(DONNEES!$E575="","",DONNEES!M575)</f>
        <v/>
      </c>
      <c r="M575" t="str">
        <f>IF(DONNEES!$E575="","",DONNEES!N575)</f>
        <v/>
      </c>
      <c r="N575" t="str">
        <f>IF(DONNEES!$E575="","",DONNEES!O575)</f>
        <v/>
      </c>
      <c r="O575" t="str">
        <f>IF(DONNEES!$E575="","",DONNEES!P575)</f>
        <v/>
      </c>
      <c r="P575" t="str">
        <f>IF(DONNEES!$E575="","",DONNEES!Q575)</f>
        <v/>
      </c>
      <c r="Q575" t="str">
        <f>IF(DONNEES!$E575="","",DONNEES!R575)</f>
        <v/>
      </c>
      <c r="R575" t="str">
        <f>IF(DONNEES!$E575="","",DONNEES!S575)</f>
        <v/>
      </c>
      <c r="S575" t="str">
        <f>IF(DONNEES!$E575="","",DONNEES!T575)</f>
        <v/>
      </c>
      <c r="T575" t="str">
        <f>IF(DONNEES!$E575="","",DONNEES!U575)</f>
        <v/>
      </c>
      <c r="U575" t="str">
        <f>IF(DONNEES!$E575="","",DONNEES!V575)</f>
        <v/>
      </c>
      <c r="V575" t="str">
        <f>IF(DONNEES!$E575="","",DONNEES!W575)</f>
        <v/>
      </c>
      <c r="W575" t="str">
        <f>IF(DONNEES!$E575="","",DONNEES!X575)</f>
        <v/>
      </c>
      <c r="X575" t="str">
        <f>IF(DONNEES!$E575="","",DONNEES!Y575)</f>
        <v/>
      </c>
      <c r="Y575" t="str">
        <f>IF(DONNEES!$E575="","",DONNEES!Z575)</f>
        <v/>
      </c>
      <c r="Z575" t="str">
        <f>IF(DONNEES!$E575="","",DONNEES!AQ575)</f>
        <v/>
      </c>
    </row>
    <row r="576" spans="1:26" ht="15" customHeight="1" x14ac:dyDescent="0.3">
      <c r="A576" t="str">
        <f>IF(DONNEES!$E576="","",DONNEES!A576)</f>
        <v/>
      </c>
      <c r="B576" t="str">
        <f>IF(DONNEES!$E576="","",DONNEES!B576)</f>
        <v/>
      </c>
      <c r="C576" t="str">
        <f>IF(DONNEES!$E576="","",DONNEES!C576)</f>
        <v/>
      </c>
      <c r="D576" t="str">
        <f>IF(DONNEES!$E576="","",DONNEES!E576)</f>
        <v/>
      </c>
      <c r="E576" t="str">
        <f>IF(DONNEES!$E576="","",DONNEES!F576)</f>
        <v/>
      </c>
      <c r="F576" t="str">
        <f>IF(DONNEES!$E576="","",DONNEES!G576)</f>
        <v/>
      </c>
      <c r="G576" t="str">
        <f>IF(DONNEES!$E576="","",DONNEES!H576)</f>
        <v/>
      </c>
      <c r="H576" t="str">
        <f>IF(DONNEES!$E576="","",DONNEES!I576)</f>
        <v/>
      </c>
      <c r="I576" t="str">
        <f>IF(DONNEES!$E576="","",DONNEES!J576)</f>
        <v/>
      </c>
      <c r="J576" t="str">
        <f>IF(DONNEES!$E576="","",DONNEES!K576)</f>
        <v/>
      </c>
      <c r="K576" t="str">
        <f>IF(DONNEES!$E576="","",DONNEES!L576)</f>
        <v/>
      </c>
      <c r="L576" t="str">
        <f>IF(DONNEES!$E576="","",DONNEES!M576)</f>
        <v/>
      </c>
      <c r="M576" t="str">
        <f>IF(DONNEES!$E576="","",DONNEES!N576)</f>
        <v/>
      </c>
      <c r="N576" t="str">
        <f>IF(DONNEES!$E576="","",DONNEES!O576)</f>
        <v/>
      </c>
      <c r="O576" t="str">
        <f>IF(DONNEES!$E576="","",DONNEES!P576)</f>
        <v/>
      </c>
      <c r="P576" t="str">
        <f>IF(DONNEES!$E576="","",DONNEES!Q576)</f>
        <v/>
      </c>
      <c r="Q576" t="str">
        <f>IF(DONNEES!$E576="","",DONNEES!R576)</f>
        <v/>
      </c>
      <c r="R576" t="str">
        <f>IF(DONNEES!$E576="","",DONNEES!S576)</f>
        <v/>
      </c>
      <c r="S576" t="str">
        <f>IF(DONNEES!$E576="","",DONNEES!T576)</f>
        <v/>
      </c>
      <c r="T576" t="str">
        <f>IF(DONNEES!$E576="","",DONNEES!U576)</f>
        <v/>
      </c>
      <c r="U576" t="str">
        <f>IF(DONNEES!$E576="","",DONNEES!V576)</f>
        <v/>
      </c>
      <c r="V576" t="str">
        <f>IF(DONNEES!$E576="","",DONNEES!W576)</f>
        <v/>
      </c>
      <c r="W576" t="str">
        <f>IF(DONNEES!$E576="","",DONNEES!X576)</f>
        <v/>
      </c>
      <c r="X576" t="str">
        <f>IF(DONNEES!$E576="","",DONNEES!Y576)</f>
        <v/>
      </c>
      <c r="Y576" t="str">
        <f>IF(DONNEES!$E576="","",DONNEES!Z576)</f>
        <v/>
      </c>
      <c r="Z576" t="str">
        <f>IF(DONNEES!$E576="","",DONNEES!AQ576)</f>
        <v/>
      </c>
    </row>
    <row r="577" spans="1:26" ht="15" customHeight="1" x14ac:dyDescent="0.3">
      <c r="A577" t="str">
        <f>IF(DONNEES!$E577="","",DONNEES!A577)</f>
        <v/>
      </c>
      <c r="B577" t="str">
        <f>IF(DONNEES!$E577="","",DONNEES!B577)</f>
        <v/>
      </c>
      <c r="C577" t="str">
        <f>IF(DONNEES!$E577="","",DONNEES!C577)</f>
        <v/>
      </c>
      <c r="D577" t="str">
        <f>IF(DONNEES!$E577="","",DONNEES!E577)</f>
        <v/>
      </c>
      <c r="E577" t="str">
        <f>IF(DONNEES!$E577="","",DONNEES!F577)</f>
        <v/>
      </c>
      <c r="F577" t="str">
        <f>IF(DONNEES!$E577="","",DONNEES!G577)</f>
        <v/>
      </c>
      <c r="G577" t="str">
        <f>IF(DONNEES!$E577="","",DONNEES!H577)</f>
        <v/>
      </c>
      <c r="H577" t="str">
        <f>IF(DONNEES!$E577="","",DONNEES!I577)</f>
        <v/>
      </c>
      <c r="I577" t="str">
        <f>IF(DONNEES!$E577="","",DONNEES!J577)</f>
        <v/>
      </c>
      <c r="J577" t="str">
        <f>IF(DONNEES!$E577="","",DONNEES!K577)</f>
        <v/>
      </c>
      <c r="K577" t="str">
        <f>IF(DONNEES!$E577="","",DONNEES!L577)</f>
        <v/>
      </c>
      <c r="L577" t="str">
        <f>IF(DONNEES!$E577="","",DONNEES!M577)</f>
        <v/>
      </c>
      <c r="M577" t="str">
        <f>IF(DONNEES!$E577="","",DONNEES!N577)</f>
        <v/>
      </c>
      <c r="N577" t="str">
        <f>IF(DONNEES!$E577="","",DONNEES!O577)</f>
        <v/>
      </c>
      <c r="O577" t="str">
        <f>IF(DONNEES!$E577="","",DONNEES!P577)</f>
        <v/>
      </c>
      <c r="P577" t="str">
        <f>IF(DONNEES!$E577="","",DONNEES!Q577)</f>
        <v/>
      </c>
      <c r="Q577" t="str">
        <f>IF(DONNEES!$E577="","",DONNEES!R577)</f>
        <v/>
      </c>
      <c r="R577" t="str">
        <f>IF(DONNEES!$E577="","",DONNEES!S577)</f>
        <v/>
      </c>
      <c r="S577" t="str">
        <f>IF(DONNEES!$E577="","",DONNEES!T577)</f>
        <v/>
      </c>
      <c r="T577" t="str">
        <f>IF(DONNEES!$E577="","",DONNEES!U577)</f>
        <v/>
      </c>
      <c r="U577" t="str">
        <f>IF(DONNEES!$E577="","",DONNEES!V577)</f>
        <v/>
      </c>
      <c r="V577" t="str">
        <f>IF(DONNEES!$E577="","",DONNEES!W577)</f>
        <v/>
      </c>
      <c r="W577" t="str">
        <f>IF(DONNEES!$E577="","",DONNEES!X577)</f>
        <v/>
      </c>
      <c r="X577" t="str">
        <f>IF(DONNEES!$E577="","",DONNEES!Y577)</f>
        <v/>
      </c>
      <c r="Y577" t="str">
        <f>IF(DONNEES!$E577="","",DONNEES!Z577)</f>
        <v/>
      </c>
      <c r="Z577" t="str">
        <f>IF(DONNEES!$E577="","",DONNEES!AQ577)</f>
        <v/>
      </c>
    </row>
    <row r="578" spans="1:26" ht="15" customHeight="1" x14ac:dyDescent="0.3">
      <c r="A578" t="str">
        <f>IF(DONNEES!$E578="","",DONNEES!A578)</f>
        <v/>
      </c>
      <c r="B578" t="str">
        <f>IF(DONNEES!$E578="","",DONNEES!B578)</f>
        <v/>
      </c>
      <c r="C578" t="str">
        <f>IF(DONNEES!$E578="","",DONNEES!C578)</f>
        <v/>
      </c>
      <c r="D578" t="str">
        <f>IF(DONNEES!$E578="","",DONNEES!E578)</f>
        <v/>
      </c>
      <c r="E578" t="str">
        <f>IF(DONNEES!$E578="","",DONNEES!F578)</f>
        <v/>
      </c>
      <c r="F578" t="str">
        <f>IF(DONNEES!$E578="","",DONNEES!G578)</f>
        <v/>
      </c>
      <c r="G578" t="str">
        <f>IF(DONNEES!$E578="","",DONNEES!H578)</f>
        <v/>
      </c>
      <c r="H578" t="str">
        <f>IF(DONNEES!$E578="","",DONNEES!I578)</f>
        <v/>
      </c>
      <c r="I578" t="str">
        <f>IF(DONNEES!$E578="","",DONNEES!J578)</f>
        <v/>
      </c>
      <c r="J578" t="str">
        <f>IF(DONNEES!$E578="","",DONNEES!K578)</f>
        <v/>
      </c>
      <c r="K578" t="str">
        <f>IF(DONNEES!$E578="","",DONNEES!L578)</f>
        <v/>
      </c>
      <c r="L578" t="str">
        <f>IF(DONNEES!$E578="","",DONNEES!M578)</f>
        <v/>
      </c>
      <c r="M578" t="str">
        <f>IF(DONNEES!$E578="","",DONNEES!N578)</f>
        <v/>
      </c>
      <c r="N578" t="str">
        <f>IF(DONNEES!$E578="","",DONNEES!O578)</f>
        <v/>
      </c>
      <c r="O578" t="str">
        <f>IF(DONNEES!$E578="","",DONNEES!P578)</f>
        <v/>
      </c>
      <c r="P578" t="str">
        <f>IF(DONNEES!$E578="","",DONNEES!Q578)</f>
        <v/>
      </c>
      <c r="Q578" t="str">
        <f>IF(DONNEES!$E578="","",DONNEES!R578)</f>
        <v/>
      </c>
      <c r="R578" t="str">
        <f>IF(DONNEES!$E578="","",DONNEES!S578)</f>
        <v/>
      </c>
      <c r="S578" t="str">
        <f>IF(DONNEES!$E578="","",DONNEES!T578)</f>
        <v/>
      </c>
      <c r="T578" t="str">
        <f>IF(DONNEES!$E578="","",DONNEES!U578)</f>
        <v/>
      </c>
      <c r="U578" t="str">
        <f>IF(DONNEES!$E578="","",DONNEES!V578)</f>
        <v/>
      </c>
      <c r="V578" t="str">
        <f>IF(DONNEES!$E578="","",DONNEES!W578)</f>
        <v/>
      </c>
      <c r="W578" t="str">
        <f>IF(DONNEES!$E578="","",DONNEES!X578)</f>
        <v/>
      </c>
      <c r="X578" t="str">
        <f>IF(DONNEES!$E578="","",DONNEES!Y578)</f>
        <v/>
      </c>
      <c r="Y578" t="str">
        <f>IF(DONNEES!$E578="","",DONNEES!Z578)</f>
        <v/>
      </c>
      <c r="Z578" t="str">
        <f>IF(DONNEES!$E578="","",DONNEES!AQ578)</f>
        <v/>
      </c>
    </row>
    <row r="579" spans="1:26" ht="15" customHeight="1" x14ac:dyDescent="0.3">
      <c r="A579" t="str">
        <f>IF(DONNEES!$E579="","",DONNEES!A579)</f>
        <v/>
      </c>
      <c r="B579" t="str">
        <f>IF(DONNEES!$E579="","",DONNEES!B579)</f>
        <v/>
      </c>
      <c r="C579" t="str">
        <f>IF(DONNEES!$E579="","",DONNEES!C579)</f>
        <v/>
      </c>
      <c r="D579" t="str">
        <f>IF(DONNEES!$E579="","",DONNEES!E579)</f>
        <v/>
      </c>
      <c r="E579" t="str">
        <f>IF(DONNEES!$E579="","",DONNEES!F579)</f>
        <v/>
      </c>
      <c r="F579" t="str">
        <f>IF(DONNEES!$E579="","",DONNEES!G579)</f>
        <v/>
      </c>
      <c r="G579" t="str">
        <f>IF(DONNEES!$E579="","",DONNEES!H579)</f>
        <v/>
      </c>
      <c r="H579" t="str">
        <f>IF(DONNEES!$E579="","",DONNEES!I579)</f>
        <v/>
      </c>
      <c r="I579" t="str">
        <f>IF(DONNEES!$E579="","",DONNEES!J579)</f>
        <v/>
      </c>
      <c r="J579" t="str">
        <f>IF(DONNEES!$E579="","",DONNEES!K579)</f>
        <v/>
      </c>
      <c r="K579" t="str">
        <f>IF(DONNEES!$E579="","",DONNEES!L579)</f>
        <v/>
      </c>
      <c r="L579" t="str">
        <f>IF(DONNEES!$E579="","",DONNEES!M579)</f>
        <v/>
      </c>
      <c r="M579" t="str">
        <f>IF(DONNEES!$E579="","",DONNEES!N579)</f>
        <v/>
      </c>
      <c r="N579" t="str">
        <f>IF(DONNEES!$E579="","",DONNEES!O579)</f>
        <v/>
      </c>
      <c r="O579" t="str">
        <f>IF(DONNEES!$E579="","",DONNEES!P579)</f>
        <v/>
      </c>
      <c r="P579" t="str">
        <f>IF(DONNEES!$E579="","",DONNEES!Q579)</f>
        <v/>
      </c>
      <c r="Q579" t="str">
        <f>IF(DONNEES!$E579="","",DONNEES!R579)</f>
        <v/>
      </c>
      <c r="R579" t="str">
        <f>IF(DONNEES!$E579="","",DONNEES!S579)</f>
        <v/>
      </c>
      <c r="S579" t="str">
        <f>IF(DONNEES!$E579="","",DONNEES!T579)</f>
        <v/>
      </c>
      <c r="T579" t="str">
        <f>IF(DONNEES!$E579="","",DONNEES!U579)</f>
        <v/>
      </c>
      <c r="U579" t="str">
        <f>IF(DONNEES!$E579="","",DONNEES!V579)</f>
        <v/>
      </c>
      <c r="V579" t="str">
        <f>IF(DONNEES!$E579="","",DONNEES!W579)</f>
        <v/>
      </c>
      <c r="W579" t="str">
        <f>IF(DONNEES!$E579="","",DONNEES!X579)</f>
        <v/>
      </c>
      <c r="X579" t="str">
        <f>IF(DONNEES!$E579="","",DONNEES!Y579)</f>
        <v/>
      </c>
      <c r="Y579" t="str">
        <f>IF(DONNEES!$E579="","",DONNEES!Z579)</f>
        <v/>
      </c>
      <c r="Z579" t="str">
        <f>IF(DONNEES!$E579="","",DONNEES!AQ579)</f>
        <v/>
      </c>
    </row>
    <row r="580" spans="1:26" ht="15" customHeight="1" x14ac:dyDescent="0.3">
      <c r="A580" t="str">
        <f>IF(DONNEES!$E580="","",DONNEES!A580)</f>
        <v/>
      </c>
      <c r="B580" t="str">
        <f>IF(DONNEES!$E580="","",DONNEES!B580)</f>
        <v/>
      </c>
      <c r="C580" t="str">
        <f>IF(DONNEES!$E580="","",DONNEES!C580)</f>
        <v/>
      </c>
      <c r="D580" t="str">
        <f>IF(DONNEES!$E580="","",DONNEES!E580)</f>
        <v/>
      </c>
      <c r="E580" t="str">
        <f>IF(DONNEES!$E580="","",DONNEES!F580)</f>
        <v/>
      </c>
      <c r="F580" t="str">
        <f>IF(DONNEES!$E580="","",DONNEES!G580)</f>
        <v/>
      </c>
      <c r="G580" t="str">
        <f>IF(DONNEES!$E580="","",DONNEES!H580)</f>
        <v/>
      </c>
      <c r="H580" t="str">
        <f>IF(DONNEES!$E580="","",DONNEES!I580)</f>
        <v/>
      </c>
      <c r="I580" t="str">
        <f>IF(DONNEES!$E580="","",DONNEES!J580)</f>
        <v/>
      </c>
      <c r="J580" t="str">
        <f>IF(DONNEES!$E580="","",DONNEES!K580)</f>
        <v/>
      </c>
      <c r="K580" t="str">
        <f>IF(DONNEES!$E580="","",DONNEES!L580)</f>
        <v/>
      </c>
      <c r="L580" t="str">
        <f>IF(DONNEES!$E580="","",DONNEES!M580)</f>
        <v/>
      </c>
      <c r="M580" t="str">
        <f>IF(DONNEES!$E580="","",DONNEES!N580)</f>
        <v/>
      </c>
      <c r="N580" t="str">
        <f>IF(DONNEES!$E580="","",DONNEES!O580)</f>
        <v/>
      </c>
      <c r="O580" t="str">
        <f>IF(DONNEES!$E580="","",DONNEES!P580)</f>
        <v/>
      </c>
      <c r="P580" t="str">
        <f>IF(DONNEES!$E580="","",DONNEES!Q580)</f>
        <v/>
      </c>
      <c r="Q580" t="str">
        <f>IF(DONNEES!$E580="","",DONNEES!R580)</f>
        <v/>
      </c>
      <c r="R580" t="str">
        <f>IF(DONNEES!$E580="","",DONNEES!S580)</f>
        <v/>
      </c>
      <c r="S580" t="str">
        <f>IF(DONNEES!$E580="","",DONNEES!T580)</f>
        <v/>
      </c>
      <c r="T580" t="str">
        <f>IF(DONNEES!$E580="","",DONNEES!U580)</f>
        <v/>
      </c>
      <c r="U580" t="str">
        <f>IF(DONNEES!$E580="","",DONNEES!V580)</f>
        <v/>
      </c>
      <c r="V580" t="str">
        <f>IF(DONNEES!$E580="","",DONNEES!W580)</f>
        <v/>
      </c>
      <c r="W580" t="str">
        <f>IF(DONNEES!$E580="","",DONNEES!X580)</f>
        <v/>
      </c>
      <c r="X580" t="str">
        <f>IF(DONNEES!$E580="","",DONNEES!Y580)</f>
        <v/>
      </c>
      <c r="Y580" t="str">
        <f>IF(DONNEES!$E580="","",DONNEES!Z580)</f>
        <v/>
      </c>
      <c r="Z580" t="str">
        <f>IF(DONNEES!$E580="","",DONNEES!AQ580)</f>
        <v/>
      </c>
    </row>
    <row r="581" spans="1:26" ht="15" customHeight="1" x14ac:dyDescent="0.3">
      <c r="A581" t="str">
        <f>IF(DONNEES!$E581="","",DONNEES!A581)</f>
        <v/>
      </c>
      <c r="B581" t="str">
        <f>IF(DONNEES!$E581="","",DONNEES!B581)</f>
        <v/>
      </c>
      <c r="C581" t="str">
        <f>IF(DONNEES!$E581="","",DONNEES!C581)</f>
        <v/>
      </c>
      <c r="D581" t="str">
        <f>IF(DONNEES!$E581="","",DONNEES!E581)</f>
        <v/>
      </c>
      <c r="E581" t="str">
        <f>IF(DONNEES!$E581="","",DONNEES!F581)</f>
        <v/>
      </c>
      <c r="F581" t="str">
        <f>IF(DONNEES!$E581="","",DONNEES!G581)</f>
        <v/>
      </c>
      <c r="G581" t="str">
        <f>IF(DONNEES!$E581="","",DONNEES!H581)</f>
        <v/>
      </c>
      <c r="H581" t="str">
        <f>IF(DONNEES!$E581="","",DONNEES!I581)</f>
        <v/>
      </c>
      <c r="I581" t="str">
        <f>IF(DONNEES!$E581="","",DONNEES!J581)</f>
        <v/>
      </c>
      <c r="J581" t="str">
        <f>IF(DONNEES!$E581="","",DONNEES!K581)</f>
        <v/>
      </c>
      <c r="K581" t="str">
        <f>IF(DONNEES!$E581="","",DONNEES!L581)</f>
        <v/>
      </c>
      <c r="L581" t="str">
        <f>IF(DONNEES!$E581="","",DONNEES!M581)</f>
        <v/>
      </c>
      <c r="M581" t="str">
        <f>IF(DONNEES!$E581="","",DONNEES!N581)</f>
        <v/>
      </c>
      <c r="N581" t="str">
        <f>IF(DONNEES!$E581="","",DONNEES!O581)</f>
        <v/>
      </c>
      <c r="O581" t="str">
        <f>IF(DONNEES!$E581="","",DONNEES!P581)</f>
        <v/>
      </c>
      <c r="P581" t="str">
        <f>IF(DONNEES!$E581="","",DONNEES!Q581)</f>
        <v/>
      </c>
      <c r="Q581" t="str">
        <f>IF(DONNEES!$E581="","",DONNEES!R581)</f>
        <v/>
      </c>
      <c r="R581" t="str">
        <f>IF(DONNEES!$E581="","",DONNEES!S581)</f>
        <v/>
      </c>
      <c r="S581" t="str">
        <f>IF(DONNEES!$E581="","",DONNEES!T581)</f>
        <v/>
      </c>
      <c r="T581" t="str">
        <f>IF(DONNEES!$E581="","",DONNEES!U581)</f>
        <v/>
      </c>
      <c r="U581" t="str">
        <f>IF(DONNEES!$E581="","",DONNEES!V581)</f>
        <v/>
      </c>
      <c r="V581" t="str">
        <f>IF(DONNEES!$E581="","",DONNEES!W581)</f>
        <v/>
      </c>
      <c r="W581" t="str">
        <f>IF(DONNEES!$E581="","",DONNEES!X581)</f>
        <v/>
      </c>
      <c r="X581" t="str">
        <f>IF(DONNEES!$E581="","",DONNEES!Y581)</f>
        <v/>
      </c>
      <c r="Y581" t="str">
        <f>IF(DONNEES!$E581="","",DONNEES!Z581)</f>
        <v/>
      </c>
      <c r="Z581" t="str">
        <f>IF(DONNEES!$E581="","",DONNEES!AQ581)</f>
        <v/>
      </c>
    </row>
    <row r="582" spans="1:26" ht="15" customHeight="1" x14ac:dyDescent="0.3">
      <c r="A582" t="str">
        <f>IF(DONNEES!$E582="","",DONNEES!A582)</f>
        <v/>
      </c>
      <c r="B582" t="str">
        <f>IF(DONNEES!$E582="","",DONNEES!B582)</f>
        <v/>
      </c>
      <c r="C582" t="str">
        <f>IF(DONNEES!$E582="","",DONNEES!C582)</f>
        <v/>
      </c>
      <c r="D582" t="str">
        <f>IF(DONNEES!$E582="","",DONNEES!E582)</f>
        <v/>
      </c>
      <c r="E582" t="str">
        <f>IF(DONNEES!$E582="","",DONNEES!F582)</f>
        <v/>
      </c>
      <c r="F582" t="str">
        <f>IF(DONNEES!$E582="","",DONNEES!G582)</f>
        <v/>
      </c>
      <c r="G582" t="str">
        <f>IF(DONNEES!$E582="","",DONNEES!H582)</f>
        <v/>
      </c>
      <c r="H582" t="str">
        <f>IF(DONNEES!$E582="","",DONNEES!I582)</f>
        <v/>
      </c>
      <c r="I582" t="str">
        <f>IF(DONNEES!$E582="","",DONNEES!J582)</f>
        <v/>
      </c>
      <c r="J582" t="str">
        <f>IF(DONNEES!$E582="","",DONNEES!K582)</f>
        <v/>
      </c>
      <c r="K582" t="str">
        <f>IF(DONNEES!$E582="","",DONNEES!L582)</f>
        <v/>
      </c>
      <c r="L582" t="str">
        <f>IF(DONNEES!$E582="","",DONNEES!M582)</f>
        <v/>
      </c>
      <c r="M582" t="str">
        <f>IF(DONNEES!$E582="","",DONNEES!N582)</f>
        <v/>
      </c>
      <c r="N582" t="str">
        <f>IF(DONNEES!$E582="","",DONNEES!O582)</f>
        <v/>
      </c>
      <c r="O582" t="str">
        <f>IF(DONNEES!$E582="","",DONNEES!P582)</f>
        <v/>
      </c>
      <c r="P582" t="str">
        <f>IF(DONNEES!$E582="","",DONNEES!Q582)</f>
        <v/>
      </c>
      <c r="Q582" t="str">
        <f>IF(DONNEES!$E582="","",DONNEES!R582)</f>
        <v/>
      </c>
      <c r="R582" t="str">
        <f>IF(DONNEES!$E582="","",DONNEES!S582)</f>
        <v/>
      </c>
      <c r="S582" t="str">
        <f>IF(DONNEES!$E582="","",DONNEES!T582)</f>
        <v/>
      </c>
      <c r="T582" t="str">
        <f>IF(DONNEES!$E582="","",DONNEES!U582)</f>
        <v/>
      </c>
      <c r="U582" t="str">
        <f>IF(DONNEES!$E582="","",DONNEES!V582)</f>
        <v/>
      </c>
      <c r="V582" t="str">
        <f>IF(DONNEES!$E582="","",DONNEES!W582)</f>
        <v/>
      </c>
      <c r="W582" t="str">
        <f>IF(DONNEES!$E582="","",DONNEES!X582)</f>
        <v/>
      </c>
      <c r="X582" t="str">
        <f>IF(DONNEES!$E582="","",DONNEES!Y582)</f>
        <v/>
      </c>
      <c r="Y582" t="str">
        <f>IF(DONNEES!$E582="","",DONNEES!Z582)</f>
        <v/>
      </c>
      <c r="Z582" t="str">
        <f>IF(DONNEES!$E582="","",DONNEES!AQ582)</f>
        <v/>
      </c>
    </row>
    <row r="583" spans="1:26" ht="15" customHeight="1" x14ac:dyDescent="0.3">
      <c r="A583" t="str">
        <f>IF(DONNEES!$E583="","",DONNEES!A583)</f>
        <v/>
      </c>
      <c r="B583" t="str">
        <f>IF(DONNEES!$E583="","",DONNEES!B583)</f>
        <v/>
      </c>
      <c r="C583" t="str">
        <f>IF(DONNEES!$E583="","",DONNEES!C583)</f>
        <v/>
      </c>
      <c r="D583" t="str">
        <f>IF(DONNEES!$E583="","",DONNEES!E583)</f>
        <v/>
      </c>
      <c r="E583" t="str">
        <f>IF(DONNEES!$E583="","",DONNEES!F583)</f>
        <v/>
      </c>
      <c r="F583" t="str">
        <f>IF(DONNEES!$E583="","",DONNEES!G583)</f>
        <v/>
      </c>
      <c r="G583" t="str">
        <f>IF(DONNEES!$E583="","",DONNEES!H583)</f>
        <v/>
      </c>
      <c r="H583" t="str">
        <f>IF(DONNEES!$E583="","",DONNEES!I583)</f>
        <v/>
      </c>
      <c r="I583" t="str">
        <f>IF(DONNEES!$E583="","",DONNEES!J583)</f>
        <v/>
      </c>
      <c r="J583" t="str">
        <f>IF(DONNEES!$E583="","",DONNEES!K583)</f>
        <v/>
      </c>
      <c r="K583" t="str">
        <f>IF(DONNEES!$E583="","",DONNEES!L583)</f>
        <v/>
      </c>
      <c r="L583" t="str">
        <f>IF(DONNEES!$E583="","",DONNEES!M583)</f>
        <v/>
      </c>
      <c r="M583" t="str">
        <f>IF(DONNEES!$E583="","",DONNEES!N583)</f>
        <v/>
      </c>
      <c r="N583" t="str">
        <f>IF(DONNEES!$E583="","",DONNEES!O583)</f>
        <v/>
      </c>
      <c r="O583" t="str">
        <f>IF(DONNEES!$E583="","",DONNEES!P583)</f>
        <v/>
      </c>
      <c r="P583" t="str">
        <f>IF(DONNEES!$E583="","",DONNEES!Q583)</f>
        <v/>
      </c>
      <c r="Q583" t="str">
        <f>IF(DONNEES!$E583="","",DONNEES!R583)</f>
        <v/>
      </c>
      <c r="R583" t="str">
        <f>IF(DONNEES!$E583="","",DONNEES!S583)</f>
        <v/>
      </c>
      <c r="S583" t="str">
        <f>IF(DONNEES!$E583="","",DONNEES!T583)</f>
        <v/>
      </c>
      <c r="T583" t="str">
        <f>IF(DONNEES!$E583="","",DONNEES!U583)</f>
        <v/>
      </c>
      <c r="U583" t="str">
        <f>IF(DONNEES!$E583="","",DONNEES!V583)</f>
        <v/>
      </c>
      <c r="V583" t="str">
        <f>IF(DONNEES!$E583="","",DONNEES!W583)</f>
        <v/>
      </c>
      <c r="W583" t="str">
        <f>IF(DONNEES!$E583="","",DONNEES!X583)</f>
        <v/>
      </c>
      <c r="X583" t="str">
        <f>IF(DONNEES!$E583="","",DONNEES!Y583)</f>
        <v/>
      </c>
      <c r="Y583" t="str">
        <f>IF(DONNEES!$E583="","",DONNEES!Z583)</f>
        <v/>
      </c>
      <c r="Z583" t="str">
        <f>IF(DONNEES!$E583="","",DONNEES!AQ583)</f>
        <v/>
      </c>
    </row>
    <row r="584" spans="1:26" ht="15" customHeight="1" x14ac:dyDescent="0.3">
      <c r="A584" t="str">
        <f>IF(DONNEES!$E584="","",DONNEES!A584)</f>
        <v/>
      </c>
      <c r="B584" t="str">
        <f>IF(DONNEES!$E584="","",DONNEES!B584)</f>
        <v/>
      </c>
      <c r="C584" t="str">
        <f>IF(DONNEES!$E584="","",DONNEES!C584)</f>
        <v/>
      </c>
      <c r="D584" t="str">
        <f>IF(DONNEES!$E584="","",DONNEES!E584)</f>
        <v/>
      </c>
      <c r="E584" t="str">
        <f>IF(DONNEES!$E584="","",DONNEES!F584)</f>
        <v/>
      </c>
      <c r="F584" t="str">
        <f>IF(DONNEES!$E584="","",DONNEES!G584)</f>
        <v/>
      </c>
      <c r="G584" t="str">
        <f>IF(DONNEES!$E584="","",DONNEES!H584)</f>
        <v/>
      </c>
      <c r="H584" t="str">
        <f>IF(DONNEES!$E584="","",DONNEES!I584)</f>
        <v/>
      </c>
      <c r="I584" t="str">
        <f>IF(DONNEES!$E584="","",DONNEES!J584)</f>
        <v/>
      </c>
      <c r="J584" t="str">
        <f>IF(DONNEES!$E584="","",DONNEES!K584)</f>
        <v/>
      </c>
      <c r="K584" t="str">
        <f>IF(DONNEES!$E584="","",DONNEES!L584)</f>
        <v/>
      </c>
      <c r="L584" t="str">
        <f>IF(DONNEES!$E584="","",DONNEES!M584)</f>
        <v/>
      </c>
      <c r="M584" t="str">
        <f>IF(DONNEES!$E584="","",DONNEES!N584)</f>
        <v/>
      </c>
      <c r="N584" t="str">
        <f>IF(DONNEES!$E584="","",DONNEES!O584)</f>
        <v/>
      </c>
      <c r="O584" t="str">
        <f>IF(DONNEES!$E584="","",DONNEES!P584)</f>
        <v/>
      </c>
      <c r="P584" t="str">
        <f>IF(DONNEES!$E584="","",DONNEES!Q584)</f>
        <v/>
      </c>
      <c r="Q584" t="str">
        <f>IF(DONNEES!$E584="","",DONNEES!R584)</f>
        <v/>
      </c>
      <c r="R584" t="str">
        <f>IF(DONNEES!$E584="","",DONNEES!S584)</f>
        <v/>
      </c>
      <c r="S584" t="str">
        <f>IF(DONNEES!$E584="","",DONNEES!T584)</f>
        <v/>
      </c>
      <c r="T584" t="str">
        <f>IF(DONNEES!$E584="","",DONNEES!U584)</f>
        <v/>
      </c>
      <c r="U584" t="str">
        <f>IF(DONNEES!$E584="","",DONNEES!V584)</f>
        <v/>
      </c>
      <c r="V584" t="str">
        <f>IF(DONNEES!$E584="","",DONNEES!W584)</f>
        <v/>
      </c>
      <c r="W584" t="str">
        <f>IF(DONNEES!$E584="","",DONNEES!X584)</f>
        <v/>
      </c>
      <c r="X584" t="str">
        <f>IF(DONNEES!$E584="","",DONNEES!Y584)</f>
        <v/>
      </c>
      <c r="Y584" t="str">
        <f>IF(DONNEES!$E584="","",DONNEES!Z584)</f>
        <v/>
      </c>
      <c r="Z584" t="str">
        <f>IF(DONNEES!$E584="","",DONNEES!AQ584)</f>
        <v/>
      </c>
    </row>
    <row r="585" spans="1:26" ht="15" customHeight="1" x14ac:dyDescent="0.3">
      <c r="A585" t="str">
        <f>IF(DONNEES!$E585="","",DONNEES!A585)</f>
        <v/>
      </c>
      <c r="B585" t="str">
        <f>IF(DONNEES!$E585="","",DONNEES!B585)</f>
        <v/>
      </c>
      <c r="C585" t="str">
        <f>IF(DONNEES!$E585="","",DONNEES!C585)</f>
        <v/>
      </c>
      <c r="D585" t="str">
        <f>IF(DONNEES!$E585="","",DONNEES!E585)</f>
        <v/>
      </c>
      <c r="E585" t="str">
        <f>IF(DONNEES!$E585="","",DONNEES!F585)</f>
        <v/>
      </c>
      <c r="F585" t="str">
        <f>IF(DONNEES!$E585="","",DONNEES!G585)</f>
        <v/>
      </c>
      <c r="G585" t="str">
        <f>IF(DONNEES!$E585="","",DONNEES!H585)</f>
        <v/>
      </c>
      <c r="H585" t="str">
        <f>IF(DONNEES!$E585="","",DONNEES!I585)</f>
        <v/>
      </c>
      <c r="I585" t="str">
        <f>IF(DONNEES!$E585="","",DONNEES!J585)</f>
        <v/>
      </c>
      <c r="J585" t="str">
        <f>IF(DONNEES!$E585="","",DONNEES!K585)</f>
        <v/>
      </c>
      <c r="K585" t="str">
        <f>IF(DONNEES!$E585="","",DONNEES!L585)</f>
        <v/>
      </c>
      <c r="L585" t="str">
        <f>IF(DONNEES!$E585="","",DONNEES!M585)</f>
        <v/>
      </c>
      <c r="M585" t="str">
        <f>IF(DONNEES!$E585="","",DONNEES!N585)</f>
        <v/>
      </c>
      <c r="N585" t="str">
        <f>IF(DONNEES!$E585="","",DONNEES!O585)</f>
        <v/>
      </c>
      <c r="O585" t="str">
        <f>IF(DONNEES!$E585="","",DONNEES!P585)</f>
        <v/>
      </c>
      <c r="P585" t="str">
        <f>IF(DONNEES!$E585="","",DONNEES!Q585)</f>
        <v/>
      </c>
      <c r="Q585" t="str">
        <f>IF(DONNEES!$E585="","",DONNEES!R585)</f>
        <v/>
      </c>
      <c r="R585" t="str">
        <f>IF(DONNEES!$E585="","",DONNEES!S585)</f>
        <v/>
      </c>
      <c r="S585" t="str">
        <f>IF(DONNEES!$E585="","",DONNEES!T585)</f>
        <v/>
      </c>
      <c r="T585" t="str">
        <f>IF(DONNEES!$E585="","",DONNEES!U585)</f>
        <v/>
      </c>
      <c r="U585" t="str">
        <f>IF(DONNEES!$E585="","",DONNEES!V585)</f>
        <v/>
      </c>
      <c r="V585" t="str">
        <f>IF(DONNEES!$E585="","",DONNEES!W585)</f>
        <v/>
      </c>
      <c r="W585" t="str">
        <f>IF(DONNEES!$E585="","",DONNEES!X585)</f>
        <v/>
      </c>
      <c r="X585" t="str">
        <f>IF(DONNEES!$E585="","",DONNEES!Y585)</f>
        <v/>
      </c>
      <c r="Y585" t="str">
        <f>IF(DONNEES!$E585="","",DONNEES!Z585)</f>
        <v/>
      </c>
      <c r="Z585" t="str">
        <f>IF(DONNEES!$E585="","",DONNEES!AQ585)</f>
        <v/>
      </c>
    </row>
    <row r="586" spans="1:26" ht="15" customHeight="1" x14ac:dyDescent="0.3">
      <c r="A586" t="str">
        <f>IF(DONNEES!$E586="","",DONNEES!A586)</f>
        <v/>
      </c>
      <c r="B586" t="str">
        <f>IF(DONNEES!$E586="","",DONNEES!B586)</f>
        <v/>
      </c>
      <c r="C586" t="str">
        <f>IF(DONNEES!$E586="","",DONNEES!C586)</f>
        <v/>
      </c>
      <c r="D586" t="str">
        <f>IF(DONNEES!$E586="","",DONNEES!E586)</f>
        <v/>
      </c>
      <c r="E586" t="str">
        <f>IF(DONNEES!$E586="","",DONNEES!F586)</f>
        <v/>
      </c>
      <c r="F586" t="str">
        <f>IF(DONNEES!$E586="","",DONNEES!G586)</f>
        <v/>
      </c>
      <c r="G586" t="str">
        <f>IF(DONNEES!$E586="","",DONNEES!H586)</f>
        <v/>
      </c>
      <c r="H586" t="str">
        <f>IF(DONNEES!$E586="","",DONNEES!I586)</f>
        <v/>
      </c>
      <c r="I586" t="str">
        <f>IF(DONNEES!$E586="","",DONNEES!J586)</f>
        <v/>
      </c>
      <c r="J586" t="str">
        <f>IF(DONNEES!$E586="","",DONNEES!K586)</f>
        <v/>
      </c>
      <c r="K586" t="str">
        <f>IF(DONNEES!$E586="","",DONNEES!L586)</f>
        <v/>
      </c>
      <c r="L586" t="str">
        <f>IF(DONNEES!$E586="","",DONNEES!M586)</f>
        <v/>
      </c>
      <c r="M586" t="str">
        <f>IF(DONNEES!$E586="","",DONNEES!N586)</f>
        <v/>
      </c>
      <c r="N586" t="str">
        <f>IF(DONNEES!$E586="","",DONNEES!O586)</f>
        <v/>
      </c>
      <c r="O586" t="str">
        <f>IF(DONNEES!$E586="","",DONNEES!P586)</f>
        <v/>
      </c>
      <c r="P586" t="str">
        <f>IF(DONNEES!$E586="","",DONNEES!Q586)</f>
        <v/>
      </c>
      <c r="Q586" t="str">
        <f>IF(DONNEES!$E586="","",DONNEES!R586)</f>
        <v/>
      </c>
      <c r="R586" t="str">
        <f>IF(DONNEES!$E586="","",DONNEES!S586)</f>
        <v/>
      </c>
      <c r="S586" t="str">
        <f>IF(DONNEES!$E586="","",DONNEES!T586)</f>
        <v/>
      </c>
      <c r="T586" t="str">
        <f>IF(DONNEES!$E586="","",DONNEES!U586)</f>
        <v/>
      </c>
      <c r="U586" t="str">
        <f>IF(DONNEES!$E586="","",DONNEES!V586)</f>
        <v/>
      </c>
      <c r="V586" t="str">
        <f>IF(DONNEES!$E586="","",DONNEES!W586)</f>
        <v/>
      </c>
      <c r="W586" t="str">
        <f>IF(DONNEES!$E586="","",DONNEES!X586)</f>
        <v/>
      </c>
      <c r="X586" t="str">
        <f>IF(DONNEES!$E586="","",DONNEES!Y586)</f>
        <v/>
      </c>
      <c r="Y586" t="str">
        <f>IF(DONNEES!$E586="","",DONNEES!Z586)</f>
        <v/>
      </c>
      <c r="Z586" t="str">
        <f>IF(DONNEES!$E586="","",DONNEES!AQ586)</f>
        <v/>
      </c>
    </row>
    <row r="587" spans="1:26" ht="15" customHeight="1" x14ac:dyDescent="0.3">
      <c r="A587" t="str">
        <f>IF(DONNEES!$E587="","",DONNEES!A587)</f>
        <v/>
      </c>
      <c r="B587" t="str">
        <f>IF(DONNEES!$E587="","",DONNEES!B587)</f>
        <v/>
      </c>
      <c r="C587" t="str">
        <f>IF(DONNEES!$E587="","",DONNEES!C587)</f>
        <v/>
      </c>
      <c r="D587" t="str">
        <f>IF(DONNEES!$E587="","",DONNEES!E587)</f>
        <v/>
      </c>
      <c r="E587" t="str">
        <f>IF(DONNEES!$E587="","",DONNEES!F587)</f>
        <v/>
      </c>
      <c r="F587" t="str">
        <f>IF(DONNEES!$E587="","",DONNEES!G587)</f>
        <v/>
      </c>
      <c r="G587" t="str">
        <f>IF(DONNEES!$E587="","",DONNEES!H587)</f>
        <v/>
      </c>
      <c r="H587" t="str">
        <f>IF(DONNEES!$E587="","",DONNEES!I587)</f>
        <v/>
      </c>
      <c r="I587" t="str">
        <f>IF(DONNEES!$E587="","",DONNEES!J587)</f>
        <v/>
      </c>
      <c r="J587" t="str">
        <f>IF(DONNEES!$E587="","",DONNEES!K587)</f>
        <v/>
      </c>
      <c r="K587" t="str">
        <f>IF(DONNEES!$E587="","",DONNEES!L587)</f>
        <v/>
      </c>
      <c r="L587" t="str">
        <f>IF(DONNEES!$E587="","",DONNEES!M587)</f>
        <v/>
      </c>
      <c r="M587" t="str">
        <f>IF(DONNEES!$E587="","",DONNEES!N587)</f>
        <v/>
      </c>
      <c r="N587" t="str">
        <f>IF(DONNEES!$E587="","",DONNEES!O587)</f>
        <v/>
      </c>
      <c r="O587" t="str">
        <f>IF(DONNEES!$E587="","",DONNEES!P587)</f>
        <v/>
      </c>
      <c r="P587" t="str">
        <f>IF(DONNEES!$E587="","",DONNEES!Q587)</f>
        <v/>
      </c>
      <c r="Q587" t="str">
        <f>IF(DONNEES!$E587="","",DONNEES!R587)</f>
        <v/>
      </c>
      <c r="R587" t="str">
        <f>IF(DONNEES!$E587="","",DONNEES!S587)</f>
        <v/>
      </c>
      <c r="S587" t="str">
        <f>IF(DONNEES!$E587="","",DONNEES!T587)</f>
        <v/>
      </c>
      <c r="T587" t="str">
        <f>IF(DONNEES!$E587="","",DONNEES!U587)</f>
        <v/>
      </c>
      <c r="U587" t="str">
        <f>IF(DONNEES!$E587="","",DONNEES!V587)</f>
        <v/>
      </c>
      <c r="V587" t="str">
        <f>IF(DONNEES!$E587="","",DONNEES!W587)</f>
        <v/>
      </c>
      <c r="W587" t="str">
        <f>IF(DONNEES!$E587="","",DONNEES!X587)</f>
        <v/>
      </c>
      <c r="X587" t="str">
        <f>IF(DONNEES!$E587="","",DONNEES!Y587)</f>
        <v/>
      </c>
      <c r="Y587" t="str">
        <f>IF(DONNEES!$E587="","",DONNEES!Z587)</f>
        <v/>
      </c>
      <c r="Z587" t="str">
        <f>IF(DONNEES!$E587="","",DONNEES!AQ587)</f>
        <v/>
      </c>
    </row>
    <row r="588" spans="1:26" ht="15" customHeight="1" x14ac:dyDescent="0.3">
      <c r="A588" t="str">
        <f>IF(DONNEES!$E588="","",DONNEES!A588)</f>
        <v/>
      </c>
      <c r="B588" t="str">
        <f>IF(DONNEES!$E588="","",DONNEES!B588)</f>
        <v/>
      </c>
      <c r="C588" t="str">
        <f>IF(DONNEES!$E588="","",DONNEES!C588)</f>
        <v/>
      </c>
      <c r="D588" t="str">
        <f>IF(DONNEES!$E588="","",DONNEES!E588)</f>
        <v/>
      </c>
      <c r="E588" t="str">
        <f>IF(DONNEES!$E588="","",DONNEES!F588)</f>
        <v/>
      </c>
      <c r="F588" t="str">
        <f>IF(DONNEES!$E588="","",DONNEES!G588)</f>
        <v/>
      </c>
      <c r="G588" t="str">
        <f>IF(DONNEES!$E588="","",DONNEES!H588)</f>
        <v/>
      </c>
      <c r="H588" t="str">
        <f>IF(DONNEES!$E588="","",DONNEES!I588)</f>
        <v/>
      </c>
      <c r="I588" t="str">
        <f>IF(DONNEES!$E588="","",DONNEES!J588)</f>
        <v/>
      </c>
      <c r="J588" t="str">
        <f>IF(DONNEES!$E588="","",DONNEES!K588)</f>
        <v/>
      </c>
      <c r="K588" t="str">
        <f>IF(DONNEES!$E588="","",DONNEES!L588)</f>
        <v/>
      </c>
      <c r="L588" t="str">
        <f>IF(DONNEES!$E588="","",DONNEES!M588)</f>
        <v/>
      </c>
      <c r="M588" t="str">
        <f>IF(DONNEES!$E588="","",DONNEES!N588)</f>
        <v/>
      </c>
      <c r="N588" t="str">
        <f>IF(DONNEES!$E588="","",DONNEES!O588)</f>
        <v/>
      </c>
      <c r="O588" t="str">
        <f>IF(DONNEES!$E588="","",DONNEES!P588)</f>
        <v/>
      </c>
      <c r="P588" t="str">
        <f>IF(DONNEES!$E588="","",DONNEES!Q588)</f>
        <v/>
      </c>
      <c r="Q588" t="str">
        <f>IF(DONNEES!$E588="","",DONNEES!R588)</f>
        <v/>
      </c>
      <c r="R588" t="str">
        <f>IF(DONNEES!$E588="","",DONNEES!S588)</f>
        <v/>
      </c>
      <c r="S588" t="str">
        <f>IF(DONNEES!$E588="","",DONNEES!T588)</f>
        <v/>
      </c>
      <c r="T588" t="str">
        <f>IF(DONNEES!$E588="","",DONNEES!U588)</f>
        <v/>
      </c>
      <c r="U588" t="str">
        <f>IF(DONNEES!$E588="","",DONNEES!V588)</f>
        <v/>
      </c>
      <c r="V588" t="str">
        <f>IF(DONNEES!$E588="","",DONNEES!W588)</f>
        <v/>
      </c>
      <c r="W588" t="str">
        <f>IF(DONNEES!$E588="","",DONNEES!X588)</f>
        <v/>
      </c>
      <c r="X588" t="str">
        <f>IF(DONNEES!$E588="","",DONNEES!Y588)</f>
        <v/>
      </c>
      <c r="Y588" t="str">
        <f>IF(DONNEES!$E588="","",DONNEES!Z588)</f>
        <v/>
      </c>
      <c r="Z588" t="str">
        <f>IF(DONNEES!$E588="","",DONNEES!AQ588)</f>
        <v/>
      </c>
    </row>
    <row r="589" spans="1:26" ht="15" customHeight="1" x14ac:dyDescent="0.3">
      <c r="A589" t="str">
        <f>IF(DONNEES!$E589="","",DONNEES!A589)</f>
        <v/>
      </c>
      <c r="B589" t="str">
        <f>IF(DONNEES!$E589="","",DONNEES!B589)</f>
        <v/>
      </c>
      <c r="C589" t="str">
        <f>IF(DONNEES!$E589="","",DONNEES!C589)</f>
        <v/>
      </c>
      <c r="D589" t="str">
        <f>IF(DONNEES!$E589="","",DONNEES!E589)</f>
        <v/>
      </c>
      <c r="E589" t="str">
        <f>IF(DONNEES!$E589="","",DONNEES!F589)</f>
        <v/>
      </c>
      <c r="F589" t="str">
        <f>IF(DONNEES!$E589="","",DONNEES!G589)</f>
        <v/>
      </c>
      <c r="G589" t="str">
        <f>IF(DONNEES!$E589="","",DONNEES!H589)</f>
        <v/>
      </c>
      <c r="H589" t="str">
        <f>IF(DONNEES!$E589="","",DONNEES!I589)</f>
        <v/>
      </c>
      <c r="I589" t="str">
        <f>IF(DONNEES!$E589="","",DONNEES!J589)</f>
        <v/>
      </c>
      <c r="J589" t="str">
        <f>IF(DONNEES!$E589="","",DONNEES!K589)</f>
        <v/>
      </c>
      <c r="K589" t="str">
        <f>IF(DONNEES!$E589="","",DONNEES!L589)</f>
        <v/>
      </c>
      <c r="L589" t="str">
        <f>IF(DONNEES!$E589="","",DONNEES!M589)</f>
        <v/>
      </c>
      <c r="M589" t="str">
        <f>IF(DONNEES!$E589="","",DONNEES!N589)</f>
        <v/>
      </c>
      <c r="N589" t="str">
        <f>IF(DONNEES!$E589="","",DONNEES!O589)</f>
        <v/>
      </c>
      <c r="O589" t="str">
        <f>IF(DONNEES!$E589="","",DONNEES!P589)</f>
        <v/>
      </c>
      <c r="P589" t="str">
        <f>IF(DONNEES!$E589="","",DONNEES!Q589)</f>
        <v/>
      </c>
      <c r="Q589" t="str">
        <f>IF(DONNEES!$E589="","",DONNEES!R589)</f>
        <v/>
      </c>
      <c r="R589" t="str">
        <f>IF(DONNEES!$E589="","",DONNEES!S589)</f>
        <v/>
      </c>
      <c r="S589" t="str">
        <f>IF(DONNEES!$E589="","",DONNEES!T589)</f>
        <v/>
      </c>
      <c r="T589" t="str">
        <f>IF(DONNEES!$E589="","",DONNEES!U589)</f>
        <v/>
      </c>
      <c r="U589" t="str">
        <f>IF(DONNEES!$E589="","",DONNEES!V589)</f>
        <v/>
      </c>
      <c r="V589" t="str">
        <f>IF(DONNEES!$E589="","",DONNEES!W589)</f>
        <v/>
      </c>
      <c r="W589" t="str">
        <f>IF(DONNEES!$E589="","",DONNEES!X589)</f>
        <v/>
      </c>
      <c r="X589" t="str">
        <f>IF(DONNEES!$E589="","",DONNEES!Y589)</f>
        <v/>
      </c>
      <c r="Y589" t="str">
        <f>IF(DONNEES!$E589="","",DONNEES!Z589)</f>
        <v/>
      </c>
      <c r="Z589" t="str">
        <f>IF(DONNEES!$E589="","",DONNEES!AQ589)</f>
        <v/>
      </c>
    </row>
    <row r="590" spans="1:26" ht="15" customHeight="1" x14ac:dyDescent="0.3">
      <c r="A590" t="str">
        <f>IF(DONNEES!$E590="","",DONNEES!A590)</f>
        <v/>
      </c>
      <c r="B590" t="str">
        <f>IF(DONNEES!$E590="","",DONNEES!B590)</f>
        <v/>
      </c>
      <c r="C590" t="str">
        <f>IF(DONNEES!$E590="","",DONNEES!C590)</f>
        <v/>
      </c>
      <c r="D590" t="str">
        <f>IF(DONNEES!$E590="","",DONNEES!E590)</f>
        <v/>
      </c>
      <c r="E590" t="str">
        <f>IF(DONNEES!$E590="","",DONNEES!F590)</f>
        <v/>
      </c>
      <c r="F590" t="str">
        <f>IF(DONNEES!$E590="","",DONNEES!G590)</f>
        <v/>
      </c>
      <c r="G590" t="str">
        <f>IF(DONNEES!$E590="","",DONNEES!H590)</f>
        <v/>
      </c>
      <c r="H590" t="str">
        <f>IF(DONNEES!$E590="","",DONNEES!I590)</f>
        <v/>
      </c>
      <c r="I590" t="str">
        <f>IF(DONNEES!$E590="","",DONNEES!J590)</f>
        <v/>
      </c>
      <c r="J590" t="str">
        <f>IF(DONNEES!$E590="","",DONNEES!K590)</f>
        <v/>
      </c>
      <c r="K590" t="str">
        <f>IF(DONNEES!$E590="","",DONNEES!L590)</f>
        <v/>
      </c>
      <c r="L590" t="str">
        <f>IF(DONNEES!$E590="","",DONNEES!M590)</f>
        <v/>
      </c>
      <c r="M590" t="str">
        <f>IF(DONNEES!$E590="","",DONNEES!N590)</f>
        <v/>
      </c>
      <c r="N590" t="str">
        <f>IF(DONNEES!$E590="","",DONNEES!O590)</f>
        <v/>
      </c>
      <c r="O590" t="str">
        <f>IF(DONNEES!$E590="","",DONNEES!P590)</f>
        <v/>
      </c>
      <c r="P590" t="str">
        <f>IF(DONNEES!$E590="","",DONNEES!Q590)</f>
        <v/>
      </c>
      <c r="Q590" t="str">
        <f>IF(DONNEES!$E590="","",DONNEES!R590)</f>
        <v/>
      </c>
      <c r="R590" t="str">
        <f>IF(DONNEES!$E590="","",DONNEES!S590)</f>
        <v/>
      </c>
      <c r="S590" t="str">
        <f>IF(DONNEES!$E590="","",DONNEES!T590)</f>
        <v/>
      </c>
      <c r="T590" t="str">
        <f>IF(DONNEES!$E590="","",DONNEES!U590)</f>
        <v/>
      </c>
      <c r="U590" t="str">
        <f>IF(DONNEES!$E590="","",DONNEES!V590)</f>
        <v/>
      </c>
      <c r="V590" t="str">
        <f>IF(DONNEES!$E590="","",DONNEES!W590)</f>
        <v/>
      </c>
      <c r="W590" t="str">
        <f>IF(DONNEES!$E590="","",DONNEES!X590)</f>
        <v/>
      </c>
      <c r="X590" t="str">
        <f>IF(DONNEES!$E590="","",DONNEES!Y590)</f>
        <v/>
      </c>
      <c r="Y590" t="str">
        <f>IF(DONNEES!$E590="","",DONNEES!Z590)</f>
        <v/>
      </c>
      <c r="Z590" t="str">
        <f>IF(DONNEES!$E590="","",DONNEES!AQ590)</f>
        <v/>
      </c>
    </row>
    <row r="591" spans="1:26" ht="15" customHeight="1" x14ac:dyDescent="0.3">
      <c r="A591" t="str">
        <f>IF(DONNEES!$E591="","",DONNEES!A591)</f>
        <v/>
      </c>
      <c r="B591" t="str">
        <f>IF(DONNEES!$E591="","",DONNEES!B591)</f>
        <v/>
      </c>
      <c r="C591" t="str">
        <f>IF(DONNEES!$E591="","",DONNEES!C591)</f>
        <v/>
      </c>
      <c r="D591" t="str">
        <f>IF(DONNEES!$E591="","",DONNEES!E591)</f>
        <v/>
      </c>
      <c r="E591" t="str">
        <f>IF(DONNEES!$E591="","",DONNEES!F591)</f>
        <v/>
      </c>
      <c r="F591" t="str">
        <f>IF(DONNEES!$E591="","",DONNEES!G591)</f>
        <v/>
      </c>
      <c r="G591" t="str">
        <f>IF(DONNEES!$E591="","",DONNEES!H591)</f>
        <v/>
      </c>
      <c r="H591" t="str">
        <f>IF(DONNEES!$E591="","",DONNEES!I591)</f>
        <v/>
      </c>
      <c r="I591" t="str">
        <f>IF(DONNEES!$E591="","",DONNEES!J591)</f>
        <v/>
      </c>
      <c r="J591" t="str">
        <f>IF(DONNEES!$E591="","",DONNEES!K591)</f>
        <v/>
      </c>
      <c r="K591" t="str">
        <f>IF(DONNEES!$E591="","",DONNEES!L591)</f>
        <v/>
      </c>
      <c r="L591" t="str">
        <f>IF(DONNEES!$E591="","",DONNEES!M591)</f>
        <v/>
      </c>
      <c r="M591" t="str">
        <f>IF(DONNEES!$E591="","",DONNEES!N591)</f>
        <v/>
      </c>
      <c r="N591" t="str">
        <f>IF(DONNEES!$E591="","",DONNEES!O591)</f>
        <v/>
      </c>
      <c r="O591" t="str">
        <f>IF(DONNEES!$E591="","",DONNEES!P591)</f>
        <v/>
      </c>
      <c r="P591" t="str">
        <f>IF(DONNEES!$E591="","",DONNEES!Q591)</f>
        <v/>
      </c>
      <c r="Q591" t="str">
        <f>IF(DONNEES!$E591="","",DONNEES!R591)</f>
        <v/>
      </c>
      <c r="R591" t="str">
        <f>IF(DONNEES!$E591="","",DONNEES!S591)</f>
        <v/>
      </c>
      <c r="S591" t="str">
        <f>IF(DONNEES!$E591="","",DONNEES!T591)</f>
        <v/>
      </c>
      <c r="T591" t="str">
        <f>IF(DONNEES!$E591="","",DONNEES!U591)</f>
        <v/>
      </c>
      <c r="U591" t="str">
        <f>IF(DONNEES!$E591="","",DONNEES!V591)</f>
        <v/>
      </c>
      <c r="V591" t="str">
        <f>IF(DONNEES!$E591="","",DONNEES!W591)</f>
        <v/>
      </c>
      <c r="W591" t="str">
        <f>IF(DONNEES!$E591="","",DONNEES!X591)</f>
        <v/>
      </c>
      <c r="X591" t="str">
        <f>IF(DONNEES!$E591="","",DONNEES!Y591)</f>
        <v/>
      </c>
      <c r="Y591" t="str">
        <f>IF(DONNEES!$E591="","",DONNEES!Z591)</f>
        <v/>
      </c>
      <c r="Z591" t="str">
        <f>IF(DONNEES!$E591="","",DONNEES!AQ591)</f>
        <v/>
      </c>
    </row>
    <row r="592" spans="1:26" ht="15" customHeight="1" x14ac:dyDescent="0.3">
      <c r="A592" t="str">
        <f>IF(DONNEES!$E592="","",DONNEES!A592)</f>
        <v/>
      </c>
      <c r="B592" t="str">
        <f>IF(DONNEES!$E592="","",DONNEES!B592)</f>
        <v/>
      </c>
      <c r="C592" t="str">
        <f>IF(DONNEES!$E592="","",DONNEES!C592)</f>
        <v/>
      </c>
      <c r="D592" t="str">
        <f>IF(DONNEES!$E592="","",DONNEES!E592)</f>
        <v/>
      </c>
      <c r="E592" t="str">
        <f>IF(DONNEES!$E592="","",DONNEES!F592)</f>
        <v/>
      </c>
      <c r="F592" t="str">
        <f>IF(DONNEES!$E592="","",DONNEES!G592)</f>
        <v/>
      </c>
      <c r="G592" t="str">
        <f>IF(DONNEES!$E592="","",DONNEES!H592)</f>
        <v/>
      </c>
      <c r="H592" t="str">
        <f>IF(DONNEES!$E592="","",DONNEES!I592)</f>
        <v/>
      </c>
      <c r="I592" t="str">
        <f>IF(DONNEES!$E592="","",DONNEES!J592)</f>
        <v/>
      </c>
      <c r="J592" t="str">
        <f>IF(DONNEES!$E592="","",DONNEES!K592)</f>
        <v/>
      </c>
      <c r="K592" t="str">
        <f>IF(DONNEES!$E592="","",DONNEES!L592)</f>
        <v/>
      </c>
      <c r="L592" t="str">
        <f>IF(DONNEES!$E592="","",DONNEES!M592)</f>
        <v/>
      </c>
      <c r="M592" t="str">
        <f>IF(DONNEES!$E592="","",DONNEES!N592)</f>
        <v/>
      </c>
      <c r="N592" t="str">
        <f>IF(DONNEES!$E592="","",DONNEES!O592)</f>
        <v/>
      </c>
      <c r="O592" t="str">
        <f>IF(DONNEES!$E592="","",DONNEES!P592)</f>
        <v/>
      </c>
      <c r="P592" t="str">
        <f>IF(DONNEES!$E592="","",DONNEES!Q592)</f>
        <v/>
      </c>
      <c r="Q592" t="str">
        <f>IF(DONNEES!$E592="","",DONNEES!R592)</f>
        <v/>
      </c>
      <c r="R592" t="str">
        <f>IF(DONNEES!$E592="","",DONNEES!S592)</f>
        <v/>
      </c>
      <c r="S592" t="str">
        <f>IF(DONNEES!$E592="","",DONNEES!T592)</f>
        <v/>
      </c>
      <c r="T592" t="str">
        <f>IF(DONNEES!$E592="","",DONNEES!U592)</f>
        <v/>
      </c>
      <c r="U592" t="str">
        <f>IF(DONNEES!$E592="","",DONNEES!V592)</f>
        <v/>
      </c>
      <c r="V592" t="str">
        <f>IF(DONNEES!$E592="","",DONNEES!W592)</f>
        <v/>
      </c>
      <c r="W592" t="str">
        <f>IF(DONNEES!$E592="","",DONNEES!X592)</f>
        <v/>
      </c>
      <c r="X592" t="str">
        <f>IF(DONNEES!$E592="","",DONNEES!Y592)</f>
        <v/>
      </c>
      <c r="Y592" t="str">
        <f>IF(DONNEES!$E592="","",DONNEES!Z592)</f>
        <v/>
      </c>
      <c r="Z592" t="str">
        <f>IF(DONNEES!$E592="","",DONNEES!AQ592)</f>
        <v/>
      </c>
    </row>
    <row r="593" spans="1:26" ht="15" customHeight="1" x14ac:dyDescent="0.3">
      <c r="A593" t="str">
        <f>IF(DONNEES!$E593="","",DONNEES!A593)</f>
        <v/>
      </c>
      <c r="B593" t="str">
        <f>IF(DONNEES!$E593="","",DONNEES!B593)</f>
        <v/>
      </c>
      <c r="C593" t="str">
        <f>IF(DONNEES!$E593="","",DONNEES!C593)</f>
        <v/>
      </c>
      <c r="D593" t="str">
        <f>IF(DONNEES!$E593="","",DONNEES!E593)</f>
        <v/>
      </c>
      <c r="E593" t="str">
        <f>IF(DONNEES!$E593="","",DONNEES!F593)</f>
        <v/>
      </c>
      <c r="F593" t="str">
        <f>IF(DONNEES!$E593="","",DONNEES!G593)</f>
        <v/>
      </c>
      <c r="G593" t="str">
        <f>IF(DONNEES!$E593="","",DONNEES!H593)</f>
        <v/>
      </c>
      <c r="H593" t="str">
        <f>IF(DONNEES!$E593="","",DONNEES!I593)</f>
        <v/>
      </c>
      <c r="I593" t="str">
        <f>IF(DONNEES!$E593="","",DONNEES!J593)</f>
        <v/>
      </c>
      <c r="J593" t="str">
        <f>IF(DONNEES!$E593="","",DONNEES!K593)</f>
        <v/>
      </c>
      <c r="K593" t="str">
        <f>IF(DONNEES!$E593="","",DONNEES!L593)</f>
        <v/>
      </c>
      <c r="L593" t="str">
        <f>IF(DONNEES!$E593="","",DONNEES!M593)</f>
        <v/>
      </c>
      <c r="M593" t="str">
        <f>IF(DONNEES!$E593="","",DONNEES!N593)</f>
        <v/>
      </c>
      <c r="N593" t="str">
        <f>IF(DONNEES!$E593="","",DONNEES!O593)</f>
        <v/>
      </c>
      <c r="O593" t="str">
        <f>IF(DONNEES!$E593="","",DONNEES!P593)</f>
        <v/>
      </c>
      <c r="P593" t="str">
        <f>IF(DONNEES!$E593="","",DONNEES!Q593)</f>
        <v/>
      </c>
      <c r="Q593" t="str">
        <f>IF(DONNEES!$E593="","",DONNEES!R593)</f>
        <v/>
      </c>
      <c r="R593" t="str">
        <f>IF(DONNEES!$E593="","",DONNEES!S593)</f>
        <v/>
      </c>
      <c r="S593" t="str">
        <f>IF(DONNEES!$E593="","",DONNEES!T593)</f>
        <v/>
      </c>
      <c r="T593" t="str">
        <f>IF(DONNEES!$E593="","",DONNEES!U593)</f>
        <v/>
      </c>
      <c r="U593" t="str">
        <f>IF(DONNEES!$E593="","",DONNEES!V593)</f>
        <v/>
      </c>
      <c r="V593" t="str">
        <f>IF(DONNEES!$E593="","",DONNEES!W593)</f>
        <v/>
      </c>
      <c r="W593" t="str">
        <f>IF(DONNEES!$E593="","",DONNEES!X593)</f>
        <v/>
      </c>
      <c r="X593" t="str">
        <f>IF(DONNEES!$E593="","",DONNEES!Y593)</f>
        <v/>
      </c>
      <c r="Y593" t="str">
        <f>IF(DONNEES!$E593="","",DONNEES!Z593)</f>
        <v/>
      </c>
      <c r="Z593" t="str">
        <f>IF(DONNEES!$E593="","",DONNEES!AQ593)</f>
        <v/>
      </c>
    </row>
    <row r="594" spans="1:26" ht="15" customHeight="1" x14ac:dyDescent="0.3">
      <c r="A594" t="str">
        <f>IF(DONNEES!$E594="","",DONNEES!A594)</f>
        <v/>
      </c>
      <c r="B594" t="str">
        <f>IF(DONNEES!$E594="","",DONNEES!B594)</f>
        <v/>
      </c>
      <c r="C594" t="str">
        <f>IF(DONNEES!$E594="","",DONNEES!C594)</f>
        <v/>
      </c>
      <c r="D594" t="str">
        <f>IF(DONNEES!$E594="","",DONNEES!E594)</f>
        <v/>
      </c>
      <c r="E594" t="str">
        <f>IF(DONNEES!$E594="","",DONNEES!F594)</f>
        <v/>
      </c>
      <c r="F594" t="str">
        <f>IF(DONNEES!$E594="","",DONNEES!G594)</f>
        <v/>
      </c>
      <c r="G594" t="str">
        <f>IF(DONNEES!$E594="","",DONNEES!H594)</f>
        <v/>
      </c>
      <c r="H594" t="str">
        <f>IF(DONNEES!$E594="","",DONNEES!I594)</f>
        <v/>
      </c>
      <c r="I594" t="str">
        <f>IF(DONNEES!$E594="","",DONNEES!J594)</f>
        <v/>
      </c>
      <c r="J594" t="str">
        <f>IF(DONNEES!$E594="","",DONNEES!K594)</f>
        <v/>
      </c>
      <c r="K594" t="str">
        <f>IF(DONNEES!$E594="","",DONNEES!L594)</f>
        <v/>
      </c>
      <c r="L594" t="str">
        <f>IF(DONNEES!$E594="","",DONNEES!M594)</f>
        <v/>
      </c>
      <c r="M594" t="str">
        <f>IF(DONNEES!$E594="","",DONNEES!N594)</f>
        <v/>
      </c>
      <c r="N594" t="str">
        <f>IF(DONNEES!$E594="","",DONNEES!O594)</f>
        <v/>
      </c>
      <c r="O594" t="str">
        <f>IF(DONNEES!$E594="","",DONNEES!P594)</f>
        <v/>
      </c>
      <c r="P594" t="str">
        <f>IF(DONNEES!$E594="","",DONNEES!Q594)</f>
        <v/>
      </c>
      <c r="Q594" t="str">
        <f>IF(DONNEES!$E594="","",DONNEES!R594)</f>
        <v/>
      </c>
      <c r="R594" t="str">
        <f>IF(DONNEES!$E594="","",DONNEES!S594)</f>
        <v/>
      </c>
      <c r="S594" t="str">
        <f>IF(DONNEES!$E594="","",DONNEES!T594)</f>
        <v/>
      </c>
      <c r="T594" t="str">
        <f>IF(DONNEES!$E594="","",DONNEES!U594)</f>
        <v/>
      </c>
      <c r="U594" t="str">
        <f>IF(DONNEES!$E594="","",DONNEES!V594)</f>
        <v/>
      </c>
      <c r="V594" t="str">
        <f>IF(DONNEES!$E594="","",DONNEES!W594)</f>
        <v/>
      </c>
      <c r="W594" t="str">
        <f>IF(DONNEES!$E594="","",DONNEES!X594)</f>
        <v/>
      </c>
      <c r="X594" t="str">
        <f>IF(DONNEES!$E594="","",DONNEES!Y594)</f>
        <v/>
      </c>
      <c r="Y594" t="str">
        <f>IF(DONNEES!$E594="","",DONNEES!Z594)</f>
        <v/>
      </c>
      <c r="Z594" t="str">
        <f>IF(DONNEES!$E594="","",DONNEES!AQ594)</f>
        <v/>
      </c>
    </row>
    <row r="595" spans="1:26" ht="15" customHeight="1" x14ac:dyDescent="0.3">
      <c r="A595" t="str">
        <f>IF(DONNEES!$E595="","",DONNEES!A595)</f>
        <v/>
      </c>
      <c r="B595" t="str">
        <f>IF(DONNEES!$E595="","",DONNEES!B595)</f>
        <v/>
      </c>
      <c r="C595" t="str">
        <f>IF(DONNEES!$E595="","",DONNEES!C595)</f>
        <v/>
      </c>
      <c r="D595" t="str">
        <f>IF(DONNEES!$E595="","",DONNEES!E595)</f>
        <v/>
      </c>
      <c r="E595" t="str">
        <f>IF(DONNEES!$E595="","",DONNEES!F595)</f>
        <v/>
      </c>
      <c r="F595" t="str">
        <f>IF(DONNEES!$E595="","",DONNEES!G595)</f>
        <v/>
      </c>
      <c r="G595" t="str">
        <f>IF(DONNEES!$E595="","",DONNEES!H595)</f>
        <v/>
      </c>
      <c r="H595" t="str">
        <f>IF(DONNEES!$E595="","",DONNEES!I595)</f>
        <v/>
      </c>
      <c r="I595" t="str">
        <f>IF(DONNEES!$E595="","",DONNEES!J595)</f>
        <v/>
      </c>
      <c r="J595" t="str">
        <f>IF(DONNEES!$E595="","",DONNEES!K595)</f>
        <v/>
      </c>
      <c r="K595" t="str">
        <f>IF(DONNEES!$E595="","",DONNEES!L595)</f>
        <v/>
      </c>
      <c r="L595" t="str">
        <f>IF(DONNEES!$E595="","",DONNEES!M595)</f>
        <v/>
      </c>
      <c r="M595" t="str">
        <f>IF(DONNEES!$E595="","",DONNEES!N595)</f>
        <v/>
      </c>
      <c r="N595" t="str">
        <f>IF(DONNEES!$E595="","",DONNEES!O595)</f>
        <v/>
      </c>
      <c r="O595" t="str">
        <f>IF(DONNEES!$E595="","",DONNEES!P595)</f>
        <v/>
      </c>
      <c r="P595" t="str">
        <f>IF(DONNEES!$E595="","",DONNEES!Q595)</f>
        <v/>
      </c>
      <c r="Q595" t="str">
        <f>IF(DONNEES!$E595="","",DONNEES!R595)</f>
        <v/>
      </c>
      <c r="R595" t="str">
        <f>IF(DONNEES!$E595="","",DONNEES!S595)</f>
        <v/>
      </c>
      <c r="S595" t="str">
        <f>IF(DONNEES!$E595="","",DONNEES!T595)</f>
        <v/>
      </c>
      <c r="T595" t="str">
        <f>IF(DONNEES!$E595="","",DONNEES!U595)</f>
        <v/>
      </c>
      <c r="U595" t="str">
        <f>IF(DONNEES!$E595="","",DONNEES!V595)</f>
        <v/>
      </c>
      <c r="V595" t="str">
        <f>IF(DONNEES!$E595="","",DONNEES!W595)</f>
        <v/>
      </c>
      <c r="W595" t="str">
        <f>IF(DONNEES!$E595="","",DONNEES!X595)</f>
        <v/>
      </c>
      <c r="X595" t="str">
        <f>IF(DONNEES!$E595="","",DONNEES!Y595)</f>
        <v/>
      </c>
      <c r="Y595" t="str">
        <f>IF(DONNEES!$E595="","",DONNEES!Z595)</f>
        <v/>
      </c>
      <c r="Z595" t="str">
        <f>IF(DONNEES!$E595="","",DONNEES!AQ595)</f>
        <v/>
      </c>
    </row>
    <row r="596" spans="1:26" ht="15" customHeight="1" x14ac:dyDescent="0.3">
      <c r="A596" t="str">
        <f>IF(DONNEES!$E596="","",DONNEES!A596)</f>
        <v/>
      </c>
      <c r="B596" t="str">
        <f>IF(DONNEES!$E596="","",DONNEES!B596)</f>
        <v/>
      </c>
      <c r="C596" t="str">
        <f>IF(DONNEES!$E596="","",DONNEES!C596)</f>
        <v/>
      </c>
      <c r="D596" t="str">
        <f>IF(DONNEES!$E596="","",DONNEES!E596)</f>
        <v/>
      </c>
      <c r="E596" t="str">
        <f>IF(DONNEES!$E596="","",DONNEES!F596)</f>
        <v/>
      </c>
      <c r="F596" t="str">
        <f>IF(DONNEES!$E596="","",DONNEES!G596)</f>
        <v/>
      </c>
      <c r="G596" t="str">
        <f>IF(DONNEES!$E596="","",DONNEES!H596)</f>
        <v/>
      </c>
      <c r="H596" t="str">
        <f>IF(DONNEES!$E596="","",DONNEES!I596)</f>
        <v/>
      </c>
      <c r="I596" t="str">
        <f>IF(DONNEES!$E596="","",DONNEES!J596)</f>
        <v/>
      </c>
      <c r="J596" t="str">
        <f>IF(DONNEES!$E596="","",DONNEES!K596)</f>
        <v/>
      </c>
      <c r="K596" t="str">
        <f>IF(DONNEES!$E596="","",DONNEES!L596)</f>
        <v/>
      </c>
      <c r="L596" t="str">
        <f>IF(DONNEES!$E596="","",DONNEES!M596)</f>
        <v/>
      </c>
      <c r="M596" t="str">
        <f>IF(DONNEES!$E596="","",DONNEES!N596)</f>
        <v/>
      </c>
      <c r="N596" t="str">
        <f>IF(DONNEES!$E596="","",DONNEES!O596)</f>
        <v/>
      </c>
      <c r="O596" t="str">
        <f>IF(DONNEES!$E596="","",DONNEES!P596)</f>
        <v/>
      </c>
      <c r="P596" t="str">
        <f>IF(DONNEES!$E596="","",DONNEES!Q596)</f>
        <v/>
      </c>
      <c r="Q596" t="str">
        <f>IF(DONNEES!$E596="","",DONNEES!R596)</f>
        <v/>
      </c>
      <c r="R596" t="str">
        <f>IF(DONNEES!$E596="","",DONNEES!S596)</f>
        <v/>
      </c>
      <c r="S596" t="str">
        <f>IF(DONNEES!$E596="","",DONNEES!T596)</f>
        <v/>
      </c>
      <c r="T596" t="str">
        <f>IF(DONNEES!$E596="","",DONNEES!U596)</f>
        <v/>
      </c>
      <c r="U596" t="str">
        <f>IF(DONNEES!$E596="","",DONNEES!V596)</f>
        <v/>
      </c>
      <c r="V596" t="str">
        <f>IF(DONNEES!$E596="","",DONNEES!W596)</f>
        <v/>
      </c>
      <c r="W596" t="str">
        <f>IF(DONNEES!$E596="","",DONNEES!X596)</f>
        <v/>
      </c>
      <c r="X596" t="str">
        <f>IF(DONNEES!$E596="","",DONNEES!Y596)</f>
        <v/>
      </c>
      <c r="Y596" t="str">
        <f>IF(DONNEES!$E596="","",DONNEES!Z596)</f>
        <v/>
      </c>
      <c r="Z596" t="str">
        <f>IF(DONNEES!$E596="","",DONNEES!AQ596)</f>
        <v/>
      </c>
    </row>
    <row r="597" spans="1:26" ht="15" customHeight="1" x14ac:dyDescent="0.3">
      <c r="A597" t="str">
        <f>IF(DONNEES!$E597="","",DONNEES!A597)</f>
        <v/>
      </c>
      <c r="B597" t="str">
        <f>IF(DONNEES!$E597="","",DONNEES!B597)</f>
        <v/>
      </c>
      <c r="C597" t="str">
        <f>IF(DONNEES!$E597="","",DONNEES!C597)</f>
        <v/>
      </c>
      <c r="D597" t="str">
        <f>IF(DONNEES!$E597="","",DONNEES!E597)</f>
        <v/>
      </c>
      <c r="E597" t="str">
        <f>IF(DONNEES!$E597="","",DONNEES!F597)</f>
        <v/>
      </c>
      <c r="F597" t="str">
        <f>IF(DONNEES!$E597="","",DONNEES!G597)</f>
        <v/>
      </c>
      <c r="G597" t="str">
        <f>IF(DONNEES!$E597="","",DONNEES!H597)</f>
        <v/>
      </c>
      <c r="H597" t="str">
        <f>IF(DONNEES!$E597="","",DONNEES!I597)</f>
        <v/>
      </c>
      <c r="I597" t="str">
        <f>IF(DONNEES!$E597="","",DONNEES!J597)</f>
        <v/>
      </c>
      <c r="J597" t="str">
        <f>IF(DONNEES!$E597="","",DONNEES!K597)</f>
        <v/>
      </c>
      <c r="K597" t="str">
        <f>IF(DONNEES!$E597="","",DONNEES!L597)</f>
        <v/>
      </c>
      <c r="L597" t="str">
        <f>IF(DONNEES!$E597="","",DONNEES!M597)</f>
        <v/>
      </c>
      <c r="M597" t="str">
        <f>IF(DONNEES!$E597="","",DONNEES!N597)</f>
        <v/>
      </c>
      <c r="N597" t="str">
        <f>IF(DONNEES!$E597="","",DONNEES!O597)</f>
        <v/>
      </c>
      <c r="O597" t="str">
        <f>IF(DONNEES!$E597="","",DONNEES!P597)</f>
        <v/>
      </c>
      <c r="P597" t="str">
        <f>IF(DONNEES!$E597="","",DONNEES!Q597)</f>
        <v/>
      </c>
      <c r="Q597" t="str">
        <f>IF(DONNEES!$E597="","",DONNEES!R597)</f>
        <v/>
      </c>
      <c r="R597" t="str">
        <f>IF(DONNEES!$E597="","",DONNEES!S597)</f>
        <v/>
      </c>
      <c r="S597" t="str">
        <f>IF(DONNEES!$E597="","",DONNEES!T597)</f>
        <v/>
      </c>
      <c r="T597" t="str">
        <f>IF(DONNEES!$E597="","",DONNEES!U597)</f>
        <v/>
      </c>
      <c r="U597" t="str">
        <f>IF(DONNEES!$E597="","",DONNEES!V597)</f>
        <v/>
      </c>
      <c r="V597" t="str">
        <f>IF(DONNEES!$E597="","",DONNEES!W597)</f>
        <v/>
      </c>
      <c r="W597" t="str">
        <f>IF(DONNEES!$E597="","",DONNEES!X597)</f>
        <v/>
      </c>
      <c r="X597" t="str">
        <f>IF(DONNEES!$E597="","",DONNEES!Y597)</f>
        <v/>
      </c>
      <c r="Y597" t="str">
        <f>IF(DONNEES!$E597="","",DONNEES!Z597)</f>
        <v/>
      </c>
      <c r="Z597" t="str">
        <f>IF(DONNEES!$E597="","",DONNEES!AQ597)</f>
        <v/>
      </c>
    </row>
    <row r="598" spans="1:26" ht="15" customHeight="1" x14ac:dyDescent="0.3">
      <c r="A598" t="str">
        <f>IF(DONNEES!$E598="","",DONNEES!A598)</f>
        <v/>
      </c>
      <c r="B598" t="str">
        <f>IF(DONNEES!$E598="","",DONNEES!B598)</f>
        <v/>
      </c>
      <c r="C598" t="str">
        <f>IF(DONNEES!$E598="","",DONNEES!C598)</f>
        <v/>
      </c>
      <c r="D598" t="str">
        <f>IF(DONNEES!$E598="","",DONNEES!E598)</f>
        <v/>
      </c>
      <c r="E598" t="str">
        <f>IF(DONNEES!$E598="","",DONNEES!F598)</f>
        <v/>
      </c>
      <c r="F598" t="str">
        <f>IF(DONNEES!$E598="","",DONNEES!G598)</f>
        <v/>
      </c>
      <c r="G598" t="str">
        <f>IF(DONNEES!$E598="","",DONNEES!H598)</f>
        <v/>
      </c>
      <c r="H598" t="str">
        <f>IF(DONNEES!$E598="","",DONNEES!I598)</f>
        <v/>
      </c>
      <c r="I598" t="str">
        <f>IF(DONNEES!$E598="","",DONNEES!J598)</f>
        <v/>
      </c>
      <c r="J598" t="str">
        <f>IF(DONNEES!$E598="","",DONNEES!K598)</f>
        <v/>
      </c>
      <c r="K598" t="str">
        <f>IF(DONNEES!$E598="","",DONNEES!L598)</f>
        <v/>
      </c>
      <c r="L598" t="str">
        <f>IF(DONNEES!$E598="","",DONNEES!M598)</f>
        <v/>
      </c>
      <c r="M598" t="str">
        <f>IF(DONNEES!$E598="","",DONNEES!N598)</f>
        <v/>
      </c>
      <c r="N598" t="str">
        <f>IF(DONNEES!$E598="","",DONNEES!O598)</f>
        <v/>
      </c>
      <c r="O598" t="str">
        <f>IF(DONNEES!$E598="","",DONNEES!P598)</f>
        <v/>
      </c>
      <c r="P598" t="str">
        <f>IF(DONNEES!$E598="","",DONNEES!Q598)</f>
        <v/>
      </c>
      <c r="Q598" t="str">
        <f>IF(DONNEES!$E598="","",DONNEES!R598)</f>
        <v/>
      </c>
      <c r="R598" t="str">
        <f>IF(DONNEES!$E598="","",DONNEES!S598)</f>
        <v/>
      </c>
      <c r="S598" t="str">
        <f>IF(DONNEES!$E598="","",DONNEES!T598)</f>
        <v/>
      </c>
      <c r="T598" t="str">
        <f>IF(DONNEES!$E598="","",DONNEES!U598)</f>
        <v/>
      </c>
      <c r="U598" t="str">
        <f>IF(DONNEES!$E598="","",DONNEES!V598)</f>
        <v/>
      </c>
      <c r="V598" t="str">
        <f>IF(DONNEES!$E598="","",DONNEES!W598)</f>
        <v/>
      </c>
      <c r="W598" t="str">
        <f>IF(DONNEES!$E598="","",DONNEES!X598)</f>
        <v/>
      </c>
      <c r="X598" t="str">
        <f>IF(DONNEES!$E598="","",DONNEES!Y598)</f>
        <v/>
      </c>
      <c r="Y598" t="str">
        <f>IF(DONNEES!$E598="","",DONNEES!Z598)</f>
        <v/>
      </c>
      <c r="Z598" t="str">
        <f>IF(DONNEES!$E598="","",DONNEES!AQ598)</f>
        <v/>
      </c>
    </row>
    <row r="599" spans="1:26" ht="15" customHeight="1" x14ac:dyDescent="0.3">
      <c r="A599" t="str">
        <f>IF(DONNEES!$E599="","",DONNEES!A599)</f>
        <v/>
      </c>
      <c r="B599" t="str">
        <f>IF(DONNEES!$E599="","",DONNEES!B599)</f>
        <v/>
      </c>
      <c r="C599" t="str">
        <f>IF(DONNEES!$E599="","",DONNEES!C599)</f>
        <v/>
      </c>
      <c r="D599" t="str">
        <f>IF(DONNEES!$E599="","",DONNEES!E599)</f>
        <v/>
      </c>
      <c r="E599" t="str">
        <f>IF(DONNEES!$E599="","",DONNEES!F599)</f>
        <v/>
      </c>
      <c r="F599" t="str">
        <f>IF(DONNEES!$E599="","",DONNEES!G599)</f>
        <v/>
      </c>
      <c r="G599" t="str">
        <f>IF(DONNEES!$E599="","",DONNEES!H599)</f>
        <v/>
      </c>
      <c r="H599" t="str">
        <f>IF(DONNEES!$E599="","",DONNEES!I599)</f>
        <v/>
      </c>
      <c r="I599" t="str">
        <f>IF(DONNEES!$E599="","",DONNEES!J599)</f>
        <v/>
      </c>
      <c r="J599" t="str">
        <f>IF(DONNEES!$E599="","",DONNEES!K599)</f>
        <v/>
      </c>
      <c r="K599" t="str">
        <f>IF(DONNEES!$E599="","",DONNEES!L599)</f>
        <v/>
      </c>
      <c r="L599" t="str">
        <f>IF(DONNEES!$E599="","",DONNEES!M599)</f>
        <v/>
      </c>
      <c r="M599" t="str">
        <f>IF(DONNEES!$E599="","",DONNEES!N599)</f>
        <v/>
      </c>
      <c r="N599" t="str">
        <f>IF(DONNEES!$E599="","",DONNEES!O599)</f>
        <v/>
      </c>
      <c r="O599" t="str">
        <f>IF(DONNEES!$E599="","",DONNEES!P599)</f>
        <v/>
      </c>
      <c r="P599" t="str">
        <f>IF(DONNEES!$E599="","",DONNEES!Q599)</f>
        <v/>
      </c>
      <c r="Q599" t="str">
        <f>IF(DONNEES!$E599="","",DONNEES!R599)</f>
        <v/>
      </c>
      <c r="R599" t="str">
        <f>IF(DONNEES!$E599="","",DONNEES!S599)</f>
        <v/>
      </c>
      <c r="S599" t="str">
        <f>IF(DONNEES!$E599="","",DONNEES!T599)</f>
        <v/>
      </c>
      <c r="T599" t="str">
        <f>IF(DONNEES!$E599="","",DONNEES!U599)</f>
        <v/>
      </c>
      <c r="U599" t="str">
        <f>IF(DONNEES!$E599="","",DONNEES!V599)</f>
        <v/>
      </c>
      <c r="V599" t="str">
        <f>IF(DONNEES!$E599="","",DONNEES!W599)</f>
        <v/>
      </c>
      <c r="W599" t="str">
        <f>IF(DONNEES!$E599="","",DONNEES!X599)</f>
        <v/>
      </c>
      <c r="X599" t="str">
        <f>IF(DONNEES!$E599="","",DONNEES!Y599)</f>
        <v/>
      </c>
      <c r="Y599" t="str">
        <f>IF(DONNEES!$E599="","",DONNEES!Z599)</f>
        <v/>
      </c>
      <c r="Z599" t="str">
        <f>IF(DONNEES!$E599="","",DONNEES!AQ599)</f>
        <v/>
      </c>
    </row>
    <row r="600" spans="1:26" ht="15" customHeight="1" x14ac:dyDescent="0.3">
      <c r="A600" t="str">
        <f>IF(DONNEES!$E600="","",DONNEES!A600)</f>
        <v/>
      </c>
      <c r="B600" t="str">
        <f>IF(DONNEES!$E600="","",DONNEES!B600)</f>
        <v/>
      </c>
      <c r="C600" t="str">
        <f>IF(DONNEES!$E600="","",DONNEES!C600)</f>
        <v/>
      </c>
      <c r="D600" t="str">
        <f>IF(DONNEES!$E600="","",DONNEES!E600)</f>
        <v/>
      </c>
      <c r="E600" t="str">
        <f>IF(DONNEES!$E600="","",DONNEES!F600)</f>
        <v/>
      </c>
      <c r="F600" t="str">
        <f>IF(DONNEES!$E600="","",DONNEES!G600)</f>
        <v/>
      </c>
      <c r="G600" t="str">
        <f>IF(DONNEES!$E600="","",DONNEES!H600)</f>
        <v/>
      </c>
      <c r="H600" t="str">
        <f>IF(DONNEES!$E600="","",DONNEES!I600)</f>
        <v/>
      </c>
      <c r="I600" t="str">
        <f>IF(DONNEES!$E600="","",DONNEES!J600)</f>
        <v/>
      </c>
      <c r="J600" t="str">
        <f>IF(DONNEES!$E600="","",DONNEES!K600)</f>
        <v/>
      </c>
      <c r="K600" t="str">
        <f>IF(DONNEES!$E600="","",DONNEES!L600)</f>
        <v/>
      </c>
      <c r="L600" t="str">
        <f>IF(DONNEES!$E600="","",DONNEES!M600)</f>
        <v/>
      </c>
      <c r="M600" t="str">
        <f>IF(DONNEES!$E600="","",DONNEES!N600)</f>
        <v/>
      </c>
      <c r="N600" t="str">
        <f>IF(DONNEES!$E600="","",DONNEES!O600)</f>
        <v/>
      </c>
      <c r="O600" t="str">
        <f>IF(DONNEES!$E600="","",DONNEES!P600)</f>
        <v/>
      </c>
      <c r="P600" t="str">
        <f>IF(DONNEES!$E600="","",DONNEES!Q600)</f>
        <v/>
      </c>
      <c r="Q600" t="str">
        <f>IF(DONNEES!$E600="","",DONNEES!R600)</f>
        <v/>
      </c>
      <c r="R600" t="str">
        <f>IF(DONNEES!$E600="","",DONNEES!S600)</f>
        <v/>
      </c>
      <c r="S600" t="str">
        <f>IF(DONNEES!$E600="","",DONNEES!T600)</f>
        <v/>
      </c>
      <c r="T600" t="str">
        <f>IF(DONNEES!$E600="","",DONNEES!U600)</f>
        <v/>
      </c>
      <c r="U600" t="str">
        <f>IF(DONNEES!$E600="","",DONNEES!V600)</f>
        <v/>
      </c>
      <c r="V600" t="str">
        <f>IF(DONNEES!$E600="","",DONNEES!W600)</f>
        <v/>
      </c>
      <c r="W600" t="str">
        <f>IF(DONNEES!$E600="","",DONNEES!X600)</f>
        <v/>
      </c>
      <c r="X600" t="str">
        <f>IF(DONNEES!$E600="","",DONNEES!Y600)</f>
        <v/>
      </c>
      <c r="Y600" t="str">
        <f>IF(DONNEES!$E600="","",DONNEES!Z600)</f>
        <v/>
      </c>
      <c r="Z600" t="str">
        <f>IF(DONNEES!$E600="","",DONNEES!AQ600)</f>
        <v/>
      </c>
    </row>
    <row r="601" spans="1:26" ht="15" customHeight="1" x14ac:dyDescent="0.3">
      <c r="A601" t="str">
        <f>IF(DONNEES!$E601="","",DONNEES!A601)</f>
        <v/>
      </c>
      <c r="B601" t="str">
        <f>IF(DONNEES!$E601="","",DONNEES!B601)</f>
        <v/>
      </c>
      <c r="C601" t="str">
        <f>IF(DONNEES!$E601="","",DONNEES!C601)</f>
        <v/>
      </c>
      <c r="D601" t="str">
        <f>IF(DONNEES!$E601="","",DONNEES!E601)</f>
        <v/>
      </c>
      <c r="E601" t="str">
        <f>IF(DONNEES!$E601="","",DONNEES!F601)</f>
        <v/>
      </c>
      <c r="F601" t="str">
        <f>IF(DONNEES!$E601="","",DONNEES!G601)</f>
        <v/>
      </c>
      <c r="G601" t="str">
        <f>IF(DONNEES!$E601="","",DONNEES!H601)</f>
        <v/>
      </c>
      <c r="H601" t="str">
        <f>IF(DONNEES!$E601="","",DONNEES!I601)</f>
        <v/>
      </c>
      <c r="I601" t="str">
        <f>IF(DONNEES!$E601="","",DONNEES!J601)</f>
        <v/>
      </c>
      <c r="J601" t="str">
        <f>IF(DONNEES!$E601="","",DONNEES!K601)</f>
        <v/>
      </c>
      <c r="K601" t="str">
        <f>IF(DONNEES!$E601="","",DONNEES!L601)</f>
        <v/>
      </c>
      <c r="L601" t="str">
        <f>IF(DONNEES!$E601="","",DONNEES!M601)</f>
        <v/>
      </c>
      <c r="M601" t="str">
        <f>IF(DONNEES!$E601="","",DONNEES!N601)</f>
        <v/>
      </c>
      <c r="N601" t="str">
        <f>IF(DONNEES!$E601="","",DONNEES!O601)</f>
        <v/>
      </c>
      <c r="O601" t="str">
        <f>IF(DONNEES!$E601="","",DONNEES!P601)</f>
        <v/>
      </c>
      <c r="P601" t="str">
        <f>IF(DONNEES!$E601="","",DONNEES!Q601)</f>
        <v/>
      </c>
      <c r="Q601" t="str">
        <f>IF(DONNEES!$E601="","",DONNEES!R601)</f>
        <v/>
      </c>
      <c r="R601" t="str">
        <f>IF(DONNEES!$E601="","",DONNEES!S601)</f>
        <v/>
      </c>
      <c r="S601" t="str">
        <f>IF(DONNEES!$E601="","",DONNEES!T601)</f>
        <v/>
      </c>
      <c r="T601" t="str">
        <f>IF(DONNEES!$E601="","",DONNEES!U601)</f>
        <v/>
      </c>
      <c r="U601" t="str">
        <f>IF(DONNEES!$E601="","",DONNEES!V601)</f>
        <v/>
      </c>
      <c r="V601" t="str">
        <f>IF(DONNEES!$E601="","",DONNEES!W601)</f>
        <v/>
      </c>
      <c r="W601" t="str">
        <f>IF(DONNEES!$E601="","",DONNEES!X601)</f>
        <v/>
      </c>
      <c r="X601" t="str">
        <f>IF(DONNEES!$E601="","",DONNEES!Y601)</f>
        <v/>
      </c>
      <c r="Y601" t="str">
        <f>IF(DONNEES!$E601="","",DONNEES!Z601)</f>
        <v/>
      </c>
      <c r="Z601" t="str">
        <f>IF(DONNEES!$E601="","",DONNEES!AQ601)</f>
        <v/>
      </c>
    </row>
    <row r="602" spans="1:26" ht="15" customHeight="1" x14ac:dyDescent="0.3">
      <c r="A602" t="str">
        <f>IF(DONNEES!$E602="","",DONNEES!A602)</f>
        <v/>
      </c>
      <c r="B602" t="str">
        <f>IF(DONNEES!$E602="","",DONNEES!B602)</f>
        <v/>
      </c>
      <c r="C602" t="str">
        <f>IF(DONNEES!$E602="","",DONNEES!C602)</f>
        <v/>
      </c>
      <c r="D602" t="str">
        <f>IF(DONNEES!$E602="","",DONNEES!E602)</f>
        <v/>
      </c>
      <c r="E602" t="str">
        <f>IF(DONNEES!$E602="","",DONNEES!F602)</f>
        <v/>
      </c>
      <c r="F602" t="str">
        <f>IF(DONNEES!$E602="","",DONNEES!G602)</f>
        <v/>
      </c>
      <c r="G602" t="str">
        <f>IF(DONNEES!$E602="","",DONNEES!H602)</f>
        <v/>
      </c>
      <c r="H602" t="str">
        <f>IF(DONNEES!$E602="","",DONNEES!I602)</f>
        <v/>
      </c>
      <c r="I602" t="str">
        <f>IF(DONNEES!$E602="","",DONNEES!J602)</f>
        <v/>
      </c>
      <c r="J602" t="str">
        <f>IF(DONNEES!$E602="","",DONNEES!K602)</f>
        <v/>
      </c>
      <c r="K602" t="str">
        <f>IF(DONNEES!$E602="","",DONNEES!L602)</f>
        <v/>
      </c>
      <c r="L602" t="str">
        <f>IF(DONNEES!$E602="","",DONNEES!M602)</f>
        <v/>
      </c>
      <c r="M602" t="str">
        <f>IF(DONNEES!$E602="","",DONNEES!N602)</f>
        <v/>
      </c>
      <c r="N602" t="str">
        <f>IF(DONNEES!$E602="","",DONNEES!O602)</f>
        <v/>
      </c>
      <c r="O602" t="str">
        <f>IF(DONNEES!$E602="","",DONNEES!P602)</f>
        <v/>
      </c>
      <c r="P602" t="str">
        <f>IF(DONNEES!$E602="","",DONNEES!Q602)</f>
        <v/>
      </c>
      <c r="Q602" t="str">
        <f>IF(DONNEES!$E602="","",DONNEES!R602)</f>
        <v/>
      </c>
      <c r="R602" t="str">
        <f>IF(DONNEES!$E602="","",DONNEES!S602)</f>
        <v/>
      </c>
      <c r="S602" t="str">
        <f>IF(DONNEES!$E602="","",DONNEES!T602)</f>
        <v/>
      </c>
      <c r="T602" t="str">
        <f>IF(DONNEES!$E602="","",DONNEES!U602)</f>
        <v/>
      </c>
      <c r="U602" t="str">
        <f>IF(DONNEES!$E602="","",DONNEES!V602)</f>
        <v/>
      </c>
      <c r="V602" t="str">
        <f>IF(DONNEES!$E602="","",DONNEES!W602)</f>
        <v/>
      </c>
      <c r="W602" t="str">
        <f>IF(DONNEES!$E602="","",DONNEES!X602)</f>
        <v/>
      </c>
      <c r="X602" t="str">
        <f>IF(DONNEES!$E602="","",DONNEES!Y602)</f>
        <v/>
      </c>
      <c r="Y602" t="str">
        <f>IF(DONNEES!$E602="","",DONNEES!Z602)</f>
        <v/>
      </c>
      <c r="Z602" t="str">
        <f>IF(DONNEES!$E602="","",DONNEES!AQ602)</f>
        <v/>
      </c>
    </row>
    <row r="603" spans="1:26" ht="15" customHeight="1" x14ac:dyDescent="0.3">
      <c r="A603" t="str">
        <f>IF(DONNEES!$E603="","",DONNEES!A603)</f>
        <v/>
      </c>
      <c r="B603" t="str">
        <f>IF(DONNEES!$E603="","",DONNEES!B603)</f>
        <v/>
      </c>
      <c r="C603" t="str">
        <f>IF(DONNEES!$E603="","",DONNEES!C603)</f>
        <v/>
      </c>
      <c r="D603" t="str">
        <f>IF(DONNEES!$E603="","",DONNEES!E603)</f>
        <v/>
      </c>
      <c r="E603" t="str">
        <f>IF(DONNEES!$E603="","",DONNEES!F603)</f>
        <v/>
      </c>
      <c r="F603" t="str">
        <f>IF(DONNEES!$E603="","",DONNEES!G603)</f>
        <v/>
      </c>
      <c r="G603" t="str">
        <f>IF(DONNEES!$E603="","",DONNEES!H603)</f>
        <v/>
      </c>
      <c r="H603" t="str">
        <f>IF(DONNEES!$E603="","",DONNEES!I603)</f>
        <v/>
      </c>
      <c r="I603" t="str">
        <f>IF(DONNEES!$E603="","",DONNEES!J603)</f>
        <v/>
      </c>
      <c r="J603" t="str">
        <f>IF(DONNEES!$E603="","",DONNEES!K603)</f>
        <v/>
      </c>
      <c r="K603" t="str">
        <f>IF(DONNEES!$E603="","",DONNEES!L603)</f>
        <v/>
      </c>
      <c r="L603" t="str">
        <f>IF(DONNEES!$E603="","",DONNEES!M603)</f>
        <v/>
      </c>
      <c r="M603" t="str">
        <f>IF(DONNEES!$E603="","",DONNEES!N603)</f>
        <v/>
      </c>
      <c r="N603" t="str">
        <f>IF(DONNEES!$E603="","",DONNEES!O603)</f>
        <v/>
      </c>
      <c r="O603" t="str">
        <f>IF(DONNEES!$E603="","",DONNEES!P603)</f>
        <v/>
      </c>
      <c r="P603" t="str">
        <f>IF(DONNEES!$E603="","",DONNEES!Q603)</f>
        <v/>
      </c>
      <c r="Q603" t="str">
        <f>IF(DONNEES!$E603="","",DONNEES!R603)</f>
        <v/>
      </c>
      <c r="R603" t="str">
        <f>IF(DONNEES!$E603="","",DONNEES!S603)</f>
        <v/>
      </c>
      <c r="S603" t="str">
        <f>IF(DONNEES!$E603="","",DONNEES!T603)</f>
        <v/>
      </c>
      <c r="T603" t="str">
        <f>IF(DONNEES!$E603="","",DONNEES!U603)</f>
        <v/>
      </c>
      <c r="U603" t="str">
        <f>IF(DONNEES!$E603="","",DONNEES!V603)</f>
        <v/>
      </c>
      <c r="V603" t="str">
        <f>IF(DONNEES!$E603="","",DONNEES!W603)</f>
        <v/>
      </c>
      <c r="W603" t="str">
        <f>IF(DONNEES!$E603="","",DONNEES!X603)</f>
        <v/>
      </c>
      <c r="X603" t="str">
        <f>IF(DONNEES!$E603="","",DONNEES!Y603)</f>
        <v/>
      </c>
      <c r="Y603" t="str">
        <f>IF(DONNEES!$E603="","",DONNEES!Z603)</f>
        <v/>
      </c>
      <c r="Z603" t="str">
        <f>IF(DONNEES!$E603="","",DONNEES!AQ603)</f>
        <v/>
      </c>
    </row>
    <row r="604" spans="1:26" ht="15" customHeight="1" x14ac:dyDescent="0.3">
      <c r="A604" t="str">
        <f>IF(DONNEES!$E604="","",DONNEES!A604)</f>
        <v/>
      </c>
      <c r="B604" t="str">
        <f>IF(DONNEES!$E604="","",DONNEES!B604)</f>
        <v/>
      </c>
      <c r="C604" t="str">
        <f>IF(DONNEES!$E604="","",DONNEES!C604)</f>
        <v/>
      </c>
      <c r="D604" t="str">
        <f>IF(DONNEES!$E604="","",DONNEES!E604)</f>
        <v/>
      </c>
      <c r="E604" t="str">
        <f>IF(DONNEES!$E604="","",DONNEES!F604)</f>
        <v/>
      </c>
      <c r="F604" t="str">
        <f>IF(DONNEES!$E604="","",DONNEES!G604)</f>
        <v/>
      </c>
      <c r="G604" t="str">
        <f>IF(DONNEES!$E604="","",DONNEES!H604)</f>
        <v/>
      </c>
      <c r="H604" t="str">
        <f>IF(DONNEES!$E604="","",DONNEES!I604)</f>
        <v/>
      </c>
      <c r="I604" t="str">
        <f>IF(DONNEES!$E604="","",DONNEES!J604)</f>
        <v/>
      </c>
      <c r="J604" t="str">
        <f>IF(DONNEES!$E604="","",DONNEES!K604)</f>
        <v/>
      </c>
      <c r="K604" t="str">
        <f>IF(DONNEES!$E604="","",DONNEES!L604)</f>
        <v/>
      </c>
      <c r="L604" t="str">
        <f>IF(DONNEES!$E604="","",DONNEES!M604)</f>
        <v/>
      </c>
      <c r="M604" t="str">
        <f>IF(DONNEES!$E604="","",DONNEES!N604)</f>
        <v/>
      </c>
      <c r="N604" t="str">
        <f>IF(DONNEES!$E604="","",DONNEES!O604)</f>
        <v/>
      </c>
      <c r="O604" t="str">
        <f>IF(DONNEES!$E604="","",DONNEES!P604)</f>
        <v/>
      </c>
      <c r="P604" t="str">
        <f>IF(DONNEES!$E604="","",DONNEES!Q604)</f>
        <v/>
      </c>
      <c r="Q604" t="str">
        <f>IF(DONNEES!$E604="","",DONNEES!R604)</f>
        <v/>
      </c>
      <c r="R604" t="str">
        <f>IF(DONNEES!$E604="","",DONNEES!S604)</f>
        <v/>
      </c>
      <c r="S604" t="str">
        <f>IF(DONNEES!$E604="","",DONNEES!T604)</f>
        <v/>
      </c>
      <c r="T604" t="str">
        <f>IF(DONNEES!$E604="","",DONNEES!U604)</f>
        <v/>
      </c>
      <c r="U604" t="str">
        <f>IF(DONNEES!$E604="","",DONNEES!V604)</f>
        <v/>
      </c>
      <c r="V604" t="str">
        <f>IF(DONNEES!$E604="","",DONNEES!W604)</f>
        <v/>
      </c>
      <c r="W604" t="str">
        <f>IF(DONNEES!$E604="","",DONNEES!X604)</f>
        <v/>
      </c>
      <c r="X604" t="str">
        <f>IF(DONNEES!$E604="","",DONNEES!Y604)</f>
        <v/>
      </c>
      <c r="Y604" t="str">
        <f>IF(DONNEES!$E604="","",DONNEES!Z604)</f>
        <v/>
      </c>
      <c r="Z604" t="str">
        <f>IF(DONNEES!$E604="","",DONNEES!AQ604)</f>
        <v/>
      </c>
    </row>
    <row r="605" spans="1:26" ht="15" customHeight="1" x14ac:dyDescent="0.3">
      <c r="A605" t="str">
        <f>IF(DONNEES!$E605="","",DONNEES!A605)</f>
        <v/>
      </c>
      <c r="B605" t="str">
        <f>IF(DONNEES!$E605="","",DONNEES!B605)</f>
        <v/>
      </c>
      <c r="C605" t="str">
        <f>IF(DONNEES!$E605="","",DONNEES!C605)</f>
        <v/>
      </c>
      <c r="D605" t="str">
        <f>IF(DONNEES!$E605="","",DONNEES!E605)</f>
        <v/>
      </c>
      <c r="E605" t="str">
        <f>IF(DONNEES!$E605="","",DONNEES!F605)</f>
        <v/>
      </c>
      <c r="F605" t="str">
        <f>IF(DONNEES!$E605="","",DONNEES!G605)</f>
        <v/>
      </c>
      <c r="G605" t="str">
        <f>IF(DONNEES!$E605="","",DONNEES!H605)</f>
        <v/>
      </c>
      <c r="H605" t="str">
        <f>IF(DONNEES!$E605="","",DONNEES!I605)</f>
        <v/>
      </c>
      <c r="I605" t="str">
        <f>IF(DONNEES!$E605="","",DONNEES!J605)</f>
        <v/>
      </c>
      <c r="J605" t="str">
        <f>IF(DONNEES!$E605="","",DONNEES!K605)</f>
        <v/>
      </c>
      <c r="K605" t="str">
        <f>IF(DONNEES!$E605="","",DONNEES!L605)</f>
        <v/>
      </c>
      <c r="L605" t="str">
        <f>IF(DONNEES!$E605="","",DONNEES!M605)</f>
        <v/>
      </c>
      <c r="M605" t="str">
        <f>IF(DONNEES!$E605="","",DONNEES!N605)</f>
        <v/>
      </c>
      <c r="N605" t="str">
        <f>IF(DONNEES!$E605="","",DONNEES!O605)</f>
        <v/>
      </c>
      <c r="O605" t="str">
        <f>IF(DONNEES!$E605="","",DONNEES!P605)</f>
        <v/>
      </c>
      <c r="P605" t="str">
        <f>IF(DONNEES!$E605="","",DONNEES!Q605)</f>
        <v/>
      </c>
      <c r="Q605" t="str">
        <f>IF(DONNEES!$E605="","",DONNEES!R605)</f>
        <v/>
      </c>
      <c r="R605" t="str">
        <f>IF(DONNEES!$E605="","",DONNEES!S605)</f>
        <v/>
      </c>
      <c r="S605" t="str">
        <f>IF(DONNEES!$E605="","",DONNEES!T605)</f>
        <v/>
      </c>
      <c r="T605" t="str">
        <f>IF(DONNEES!$E605="","",DONNEES!U605)</f>
        <v/>
      </c>
      <c r="U605" t="str">
        <f>IF(DONNEES!$E605="","",DONNEES!V605)</f>
        <v/>
      </c>
      <c r="V605" t="str">
        <f>IF(DONNEES!$E605="","",DONNEES!W605)</f>
        <v/>
      </c>
      <c r="W605" t="str">
        <f>IF(DONNEES!$E605="","",DONNEES!X605)</f>
        <v/>
      </c>
      <c r="X605" t="str">
        <f>IF(DONNEES!$E605="","",DONNEES!Y605)</f>
        <v/>
      </c>
      <c r="Y605" t="str">
        <f>IF(DONNEES!$E605="","",DONNEES!Z605)</f>
        <v/>
      </c>
      <c r="Z605" t="str">
        <f>IF(DONNEES!$E605="","",DONNEES!AQ605)</f>
        <v/>
      </c>
    </row>
    <row r="606" spans="1:26" ht="15" customHeight="1" x14ac:dyDescent="0.3">
      <c r="A606" t="str">
        <f>IF(DONNEES!$E606="","",DONNEES!A606)</f>
        <v/>
      </c>
      <c r="B606" t="str">
        <f>IF(DONNEES!$E606="","",DONNEES!B606)</f>
        <v/>
      </c>
      <c r="C606" t="str">
        <f>IF(DONNEES!$E606="","",DONNEES!C606)</f>
        <v/>
      </c>
      <c r="D606" t="str">
        <f>IF(DONNEES!$E606="","",DONNEES!E606)</f>
        <v/>
      </c>
      <c r="E606" t="str">
        <f>IF(DONNEES!$E606="","",DONNEES!F606)</f>
        <v/>
      </c>
      <c r="F606" t="str">
        <f>IF(DONNEES!$E606="","",DONNEES!G606)</f>
        <v/>
      </c>
      <c r="G606" t="str">
        <f>IF(DONNEES!$E606="","",DONNEES!H606)</f>
        <v/>
      </c>
      <c r="H606" t="str">
        <f>IF(DONNEES!$E606="","",DONNEES!I606)</f>
        <v/>
      </c>
      <c r="I606" t="str">
        <f>IF(DONNEES!$E606="","",DONNEES!J606)</f>
        <v/>
      </c>
      <c r="J606" t="str">
        <f>IF(DONNEES!$E606="","",DONNEES!K606)</f>
        <v/>
      </c>
      <c r="K606" t="str">
        <f>IF(DONNEES!$E606="","",DONNEES!L606)</f>
        <v/>
      </c>
      <c r="L606" t="str">
        <f>IF(DONNEES!$E606="","",DONNEES!M606)</f>
        <v/>
      </c>
      <c r="M606" t="str">
        <f>IF(DONNEES!$E606="","",DONNEES!N606)</f>
        <v/>
      </c>
      <c r="N606" t="str">
        <f>IF(DONNEES!$E606="","",DONNEES!O606)</f>
        <v/>
      </c>
      <c r="O606" t="str">
        <f>IF(DONNEES!$E606="","",DONNEES!P606)</f>
        <v/>
      </c>
      <c r="P606" t="str">
        <f>IF(DONNEES!$E606="","",DONNEES!Q606)</f>
        <v/>
      </c>
      <c r="Q606" t="str">
        <f>IF(DONNEES!$E606="","",DONNEES!R606)</f>
        <v/>
      </c>
      <c r="R606" t="str">
        <f>IF(DONNEES!$E606="","",DONNEES!S606)</f>
        <v/>
      </c>
      <c r="S606" t="str">
        <f>IF(DONNEES!$E606="","",DONNEES!T606)</f>
        <v/>
      </c>
      <c r="T606" t="str">
        <f>IF(DONNEES!$E606="","",DONNEES!U606)</f>
        <v/>
      </c>
      <c r="U606" t="str">
        <f>IF(DONNEES!$E606="","",DONNEES!V606)</f>
        <v/>
      </c>
      <c r="V606" t="str">
        <f>IF(DONNEES!$E606="","",DONNEES!W606)</f>
        <v/>
      </c>
      <c r="W606" t="str">
        <f>IF(DONNEES!$E606="","",DONNEES!X606)</f>
        <v/>
      </c>
      <c r="X606" t="str">
        <f>IF(DONNEES!$E606="","",DONNEES!Y606)</f>
        <v/>
      </c>
      <c r="Y606" t="str">
        <f>IF(DONNEES!$E606="","",DONNEES!Z606)</f>
        <v/>
      </c>
      <c r="Z606" t="str">
        <f>IF(DONNEES!$E606="","",DONNEES!AQ606)</f>
        <v/>
      </c>
    </row>
    <row r="607" spans="1:26" ht="15" customHeight="1" x14ac:dyDescent="0.3">
      <c r="A607" t="str">
        <f>IF(DONNEES!$E607="","",DONNEES!A607)</f>
        <v/>
      </c>
      <c r="B607" t="str">
        <f>IF(DONNEES!$E607="","",DONNEES!B607)</f>
        <v/>
      </c>
      <c r="C607" t="str">
        <f>IF(DONNEES!$E607="","",DONNEES!C607)</f>
        <v/>
      </c>
      <c r="D607" t="str">
        <f>IF(DONNEES!$E607="","",DONNEES!E607)</f>
        <v/>
      </c>
      <c r="E607" t="str">
        <f>IF(DONNEES!$E607="","",DONNEES!F607)</f>
        <v/>
      </c>
      <c r="F607" t="str">
        <f>IF(DONNEES!$E607="","",DONNEES!G607)</f>
        <v/>
      </c>
      <c r="G607" t="str">
        <f>IF(DONNEES!$E607="","",DONNEES!H607)</f>
        <v/>
      </c>
      <c r="H607" t="str">
        <f>IF(DONNEES!$E607="","",DONNEES!I607)</f>
        <v/>
      </c>
      <c r="I607" t="str">
        <f>IF(DONNEES!$E607="","",DONNEES!J607)</f>
        <v/>
      </c>
      <c r="J607" t="str">
        <f>IF(DONNEES!$E607="","",DONNEES!K607)</f>
        <v/>
      </c>
      <c r="K607" t="str">
        <f>IF(DONNEES!$E607="","",DONNEES!L607)</f>
        <v/>
      </c>
      <c r="L607" t="str">
        <f>IF(DONNEES!$E607="","",DONNEES!M607)</f>
        <v/>
      </c>
      <c r="M607" t="str">
        <f>IF(DONNEES!$E607="","",DONNEES!N607)</f>
        <v/>
      </c>
      <c r="N607" t="str">
        <f>IF(DONNEES!$E607="","",DONNEES!O607)</f>
        <v/>
      </c>
      <c r="O607" t="str">
        <f>IF(DONNEES!$E607="","",DONNEES!P607)</f>
        <v/>
      </c>
      <c r="P607" t="str">
        <f>IF(DONNEES!$E607="","",DONNEES!Q607)</f>
        <v/>
      </c>
      <c r="Q607" t="str">
        <f>IF(DONNEES!$E607="","",DONNEES!R607)</f>
        <v/>
      </c>
      <c r="R607" t="str">
        <f>IF(DONNEES!$E607="","",DONNEES!S607)</f>
        <v/>
      </c>
      <c r="S607" t="str">
        <f>IF(DONNEES!$E607="","",DONNEES!T607)</f>
        <v/>
      </c>
      <c r="T607" t="str">
        <f>IF(DONNEES!$E607="","",DONNEES!U607)</f>
        <v/>
      </c>
      <c r="U607" t="str">
        <f>IF(DONNEES!$E607="","",DONNEES!V607)</f>
        <v/>
      </c>
      <c r="V607" t="str">
        <f>IF(DONNEES!$E607="","",DONNEES!W607)</f>
        <v/>
      </c>
      <c r="W607" t="str">
        <f>IF(DONNEES!$E607="","",DONNEES!X607)</f>
        <v/>
      </c>
      <c r="X607" t="str">
        <f>IF(DONNEES!$E607="","",DONNEES!Y607)</f>
        <v/>
      </c>
      <c r="Y607" t="str">
        <f>IF(DONNEES!$E607="","",DONNEES!Z607)</f>
        <v/>
      </c>
      <c r="Z607" t="str">
        <f>IF(DONNEES!$E607="","",DONNEES!AQ607)</f>
        <v/>
      </c>
    </row>
    <row r="608" spans="1:26" ht="15" customHeight="1" x14ac:dyDescent="0.3">
      <c r="A608" t="str">
        <f>IF(DONNEES!$E608="","",DONNEES!A608)</f>
        <v/>
      </c>
      <c r="B608" t="str">
        <f>IF(DONNEES!$E608="","",DONNEES!B608)</f>
        <v/>
      </c>
      <c r="C608" t="str">
        <f>IF(DONNEES!$E608="","",DONNEES!C608)</f>
        <v/>
      </c>
      <c r="D608" t="str">
        <f>IF(DONNEES!$E608="","",DONNEES!E608)</f>
        <v/>
      </c>
      <c r="E608" t="str">
        <f>IF(DONNEES!$E608="","",DONNEES!F608)</f>
        <v/>
      </c>
      <c r="F608" t="str">
        <f>IF(DONNEES!$E608="","",DONNEES!G608)</f>
        <v/>
      </c>
      <c r="G608" t="str">
        <f>IF(DONNEES!$E608="","",DONNEES!H608)</f>
        <v/>
      </c>
      <c r="H608" t="str">
        <f>IF(DONNEES!$E608="","",DONNEES!I608)</f>
        <v/>
      </c>
      <c r="I608" t="str">
        <f>IF(DONNEES!$E608="","",DONNEES!J608)</f>
        <v/>
      </c>
      <c r="J608" t="str">
        <f>IF(DONNEES!$E608="","",DONNEES!K608)</f>
        <v/>
      </c>
      <c r="K608" t="str">
        <f>IF(DONNEES!$E608="","",DONNEES!L608)</f>
        <v/>
      </c>
      <c r="L608" t="str">
        <f>IF(DONNEES!$E608="","",DONNEES!M608)</f>
        <v/>
      </c>
      <c r="M608" t="str">
        <f>IF(DONNEES!$E608="","",DONNEES!N608)</f>
        <v/>
      </c>
      <c r="N608" t="str">
        <f>IF(DONNEES!$E608="","",DONNEES!O608)</f>
        <v/>
      </c>
      <c r="O608" t="str">
        <f>IF(DONNEES!$E608="","",DONNEES!P608)</f>
        <v/>
      </c>
      <c r="P608" t="str">
        <f>IF(DONNEES!$E608="","",DONNEES!Q608)</f>
        <v/>
      </c>
      <c r="Q608" t="str">
        <f>IF(DONNEES!$E608="","",DONNEES!R608)</f>
        <v/>
      </c>
      <c r="R608" t="str">
        <f>IF(DONNEES!$E608="","",DONNEES!S608)</f>
        <v/>
      </c>
      <c r="S608" t="str">
        <f>IF(DONNEES!$E608="","",DONNEES!T608)</f>
        <v/>
      </c>
      <c r="T608" t="str">
        <f>IF(DONNEES!$E608="","",DONNEES!U608)</f>
        <v/>
      </c>
      <c r="U608" t="str">
        <f>IF(DONNEES!$E608="","",DONNEES!V608)</f>
        <v/>
      </c>
      <c r="V608" t="str">
        <f>IF(DONNEES!$E608="","",DONNEES!W608)</f>
        <v/>
      </c>
      <c r="W608" t="str">
        <f>IF(DONNEES!$E608="","",DONNEES!X608)</f>
        <v/>
      </c>
      <c r="X608" t="str">
        <f>IF(DONNEES!$E608="","",DONNEES!Y608)</f>
        <v/>
      </c>
      <c r="Y608" t="str">
        <f>IF(DONNEES!$E608="","",DONNEES!Z608)</f>
        <v/>
      </c>
      <c r="Z608" t="str">
        <f>IF(DONNEES!$E608="","",DONNEES!AQ608)</f>
        <v/>
      </c>
    </row>
    <row r="609" spans="1:26" ht="15" customHeight="1" x14ac:dyDescent="0.3">
      <c r="A609" t="str">
        <f>IF(DONNEES!$E609="","",DONNEES!A609)</f>
        <v/>
      </c>
      <c r="B609" t="str">
        <f>IF(DONNEES!$E609="","",DONNEES!B609)</f>
        <v/>
      </c>
      <c r="C609" t="str">
        <f>IF(DONNEES!$E609="","",DONNEES!C609)</f>
        <v/>
      </c>
      <c r="D609" t="str">
        <f>IF(DONNEES!$E609="","",DONNEES!E609)</f>
        <v/>
      </c>
      <c r="E609" t="str">
        <f>IF(DONNEES!$E609="","",DONNEES!F609)</f>
        <v/>
      </c>
      <c r="F609" t="str">
        <f>IF(DONNEES!$E609="","",DONNEES!G609)</f>
        <v/>
      </c>
      <c r="G609" t="str">
        <f>IF(DONNEES!$E609="","",DONNEES!H609)</f>
        <v/>
      </c>
      <c r="H609" t="str">
        <f>IF(DONNEES!$E609="","",DONNEES!I609)</f>
        <v/>
      </c>
      <c r="I609" t="str">
        <f>IF(DONNEES!$E609="","",DONNEES!J609)</f>
        <v/>
      </c>
      <c r="J609" t="str">
        <f>IF(DONNEES!$E609="","",DONNEES!K609)</f>
        <v/>
      </c>
      <c r="K609" t="str">
        <f>IF(DONNEES!$E609="","",DONNEES!L609)</f>
        <v/>
      </c>
      <c r="L609" t="str">
        <f>IF(DONNEES!$E609="","",DONNEES!M609)</f>
        <v/>
      </c>
      <c r="M609" t="str">
        <f>IF(DONNEES!$E609="","",DONNEES!N609)</f>
        <v/>
      </c>
      <c r="N609" t="str">
        <f>IF(DONNEES!$E609="","",DONNEES!O609)</f>
        <v/>
      </c>
      <c r="O609" t="str">
        <f>IF(DONNEES!$E609="","",DONNEES!P609)</f>
        <v/>
      </c>
      <c r="P609" t="str">
        <f>IF(DONNEES!$E609="","",DONNEES!Q609)</f>
        <v/>
      </c>
      <c r="Q609" t="str">
        <f>IF(DONNEES!$E609="","",DONNEES!R609)</f>
        <v/>
      </c>
      <c r="R609" t="str">
        <f>IF(DONNEES!$E609="","",DONNEES!S609)</f>
        <v/>
      </c>
      <c r="S609" t="str">
        <f>IF(DONNEES!$E609="","",DONNEES!T609)</f>
        <v/>
      </c>
      <c r="T609" t="str">
        <f>IF(DONNEES!$E609="","",DONNEES!U609)</f>
        <v/>
      </c>
      <c r="U609" t="str">
        <f>IF(DONNEES!$E609="","",DONNEES!V609)</f>
        <v/>
      </c>
      <c r="V609" t="str">
        <f>IF(DONNEES!$E609="","",DONNEES!W609)</f>
        <v/>
      </c>
      <c r="W609" t="str">
        <f>IF(DONNEES!$E609="","",DONNEES!X609)</f>
        <v/>
      </c>
      <c r="X609" t="str">
        <f>IF(DONNEES!$E609="","",DONNEES!Y609)</f>
        <v/>
      </c>
      <c r="Y609" t="str">
        <f>IF(DONNEES!$E609="","",DONNEES!Z609)</f>
        <v/>
      </c>
      <c r="Z609" t="str">
        <f>IF(DONNEES!$E609="","",DONNEES!AQ609)</f>
        <v/>
      </c>
    </row>
    <row r="610" spans="1:26" ht="15" customHeight="1" x14ac:dyDescent="0.3">
      <c r="A610" t="str">
        <f>IF(DONNEES!$E610="","",DONNEES!A610)</f>
        <v/>
      </c>
      <c r="B610" t="str">
        <f>IF(DONNEES!$E610="","",DONNEES!B610)</f>
        <v/>
      </c>
      <c r="C610" t="str">
        <f>IF(DONNEES!$E610="","",DONNEES!C610)</f>
        <v/>
      </c>
      <c r="D610" t="str">
        <f>IF(DONNEES!$E610="","",DONNEES!E610)</f>
        <v/>
      </c>
      <c r="E610" t="str">
        <f>IF(DONNEES!$E610="","",DONNEES!F610)</f>
        <v/>
      </c>
      <c r="F610" t="str">
        <f>IF(DONNEES!$E610="","",DONNEES!G610)</f>
        <v/>
      </c>
      <c r="G610" t="str">
        <f>IF(DONNEES!$E610="","",DONNEES!H610)</f>
        <v/>
      </c>
      <c r="H610" t="str">
        <f>IF(DONNEES!$E610="","",DONNEES!I610)</f>
        <v/>
      </c>
      <c r="I610" t="str">
        <f>IF(DONNEES!$E610="","",DONNEES!J610)</f>
        <v/>
      </c>
      <c r="J610" t="str">
        <f>IF(DONNEES!$E610="","",DONNEES!K610)</f>
        <v/>
      </c>
      <c r="K610" t="str">
        <f>IF(DONNEES!$E610="","",DONNEES!L610)</f>
        <v/>
      </c>
      <c r="L610" t="str">
        <f>IF(DONNEES!$E610="","",DONNEES!M610)</f>
        <v/>
      </c>
      <c r="M610" t="str">
        <f>IF(DONNEES!$E610="","",DONNEES!N610)</f>
        <v/>
      </c>
      <c r="N610" t="str">
        <f>IF(DONNEES!$E610="","",DONNEES!O610)</f>
        <v/>
      </c>
      <c r="O610" t="str">
        <f>IF(DONNEES!$E610="","",DONNEES!P610)</f>
        <v/>
      </c>
      <c r="P610" t="str">
        <f>IF(DONNEES!$E610="","",DONNEES!Q610)</f>
        <v/>
      </c>
      <c r="Q610" t="str">
        <f>IF(DONNEES!$E610="","",DONNEES!R610)</f>
        <v/>
      </c>
      <c r="R610" t="str">
        <f>IF(DONNEES!$E610="","",DONNEES!S610)</f>
        <v/>
      </c>
      <c r="S610" t="str">
        <f>IF(DONNEES!$E610="","",DONNEES!T610)</f>
        <v/>
      </c>
      <c r="T610" t="str">
        <f>IF(DONNEES!$E610="","",DONNEES!U610)</f>
        <v/>
      </c>
      <c r="U610" t="str">
        <f>IF(DONNEES!$E610="","",DONNEES!V610)</f>
        <v/>
      </c>
      <c r="V610" t="str">
        <f>IF(DONNEES!$E610="","",DONNEES!W610)</f>
        <v/>
      </c>
      <c r="W610" t="str">
        <f>IF(DONNEES!$E610="","",DONNEES!X610)</f>
        <v/>
      </c>
      <c r="X610" t="str">
        <f>IF(DONNEES!$E610="","",DONNEES!Y610)</f>
        <v/>
      </c>
      <c r="Y610" t="str">
        <f>IF(DONNEES!$E610="","",DONNEES!Z610)</f>
        <v/>
      </c>
      <c r="Z610" t="str">
        <f>IF(DONNEES!$E610="","",DONNEES!AQ610)</f>
        <v/>
      </c>
    </row>
    <row r="611" spans="1:26" ht="15" customHeight="1" x14ac:dyDescent="0.3">
      <c r="A611" t="str">
        <f>IF(DONNEES!$E611="","",DONNEES!A611)</f>
        <v/>
      </c>
      <c r="B611" t="str">
        <f>IF(DONNEES!$E611="","",DONNEES!B611)</f>
        <v/>
      </c>
      <c r="C611" t="str">
        <f>IF(DONNEES!$E611="","",DONNEES!C611)</f>
        <v/>
      </c>
      <c r="D611" t="str">
        <f>IF(DONNEES!$E611="","",DONNEES!E611)</f>
        <v/>
      </c>
      <c r="E611" t="str">
        <f>IF(DONNEES!$E611="","",DONNEES!F611)</f>
        <v/>
      </c>
      <c r="F611" t="str">
        <f>IF(DONNEES!$E611="","",DONNEES!G611)</f>
        <v/>
      </c>
      <c r="G611" t="str">
        <f>IF(DONNEES!$E611="","",DONNEES!H611)</f>
        <v/>
      </c>
      <c r="H611" t="str">
        <f>IF(DONNEES!$E611="","",DONNEES!I611)</f>
        <v/>
      </c>
      <c r="I611" t="str">
        <f>IF(DONNEES!$E611="","",DONNEES!J611)</f>
        <v/>
      </c>
      <c r="J611" t="str">
        <f>IF(DONNEES!$E611="","",DONNEES!K611)</f>
        <v/>
      </c>
      <c r="K611" t="str">
        <f>IF(DONNEES!$E611="","",DONNEES!L611)</f>
        <v/>
      </c>
      <c r="L611" t="str">
        <f>IF(DONNEES!$E611="","",DONNEES!M611)</f>
        <v/>
      </c>
      <c r="M611" t="str">
        <f>IF(DONNEES!$E611="","",DONNEES!N611)</f>
        <v/>
      </c>
      <c r="N611" t="str">
        <f>IF(DONNEES!$E611="","",DONNEES!O611)</f>
        <v/>
      </c>
      <c r="O611" t="str">
        <f>IF(DONNEES!$E611="","",DONNEES!P611)</f>
        <v/>
      </c>
      <c r="P611" t="str">
        <f>IF(DONNEES!$E611="","",DONNEES!Q611)</f>
        <v/>
      </c>
      <c r="Q611" t="str">
        <f>IF(DONNEES!$E611="","",DONNEES!R611)</f>
        <v/>
      </c>
      <c r="R611" t="str">
        <f>IF(DONNEES!$E611="","",DONNEES!S611)</f>
        <v/>
      </c>
      <c r="S611" t="str">
        <f>IF(DONNEES!$E611="","",DONNEES!T611)</f>
        <v/>
      </c>
      <c r="T611" t="str">
        <f>IF(DONNEES!$E611="","",DONNEES!U611)</f>
        <v/>
      </c>
      <c r="U611" t="str">
        <f>IF(DONNEES!$E611="","",DONNEES!V611)</f>
        <v/>
      </c>
      <c r="V611" t="str">
        <f>IF(DONNEES!$E611="","",DONNEES!W611)</f>
        <v/>
      </c>
      <c r="W611" t="str">
        <f>IF(DONNEES!$E611="","",DONNEES!X611)</f>
        <v/>
      </c>
      <c r="X611" t="str">
        <f>IF(DONNEES!$E611="","",DONNEES!Y611)</f>
        <v/>
      </c>
      <c r="Y611" t="str">
        <f>IF(DONNEES!$E611="","",DONNEES!Z611)</f>
        <v/>
      </c>
      <c r="Z611" t="str">
        <f>IF(DONNEES!$E611="","",DONNEES!AQ611)</f>
        <v/>
      </c>
    </row>
    <row r="612" spans="1:26" ht="15" customHeight="1" x14ac:dyDescent="0.3">
      <c r="A612" t="str">
        <f>IF(DONNEES!$E612="","",DONNEES!A612)</f>
        <v/>
      </c>
      <c r="B612" t="str">
        <f>IF(DONNEES!$E612="","",DONNEES!B612)</f>
        <v/>
      </c>
      <c r="C612" t="str">
        <f>IF(DONNEES!$E612="","",DONNEES!C612)</f>
        <v/>
      </c>
      <c r="D612" t="str">
        <f>IF(DONNEES!$E612="","",DONNEES!E612)</f>
        <v/>
      </c>
      <c r="E612" t="str">
        <f>IF(DONNEES!$E612="","",DONNEES!F612)</f>
        <v/>
      </c>
      <c r="F612" t="str">
        <f>IF(DONNEES!$E612="","",DONNEES!G612)</f>
        <v/>
      </c>
      <c r="G612" t="str">
        <f>IF(DONNEES!$E612="","",DONNEES!H612)</f>
        <v/>
      </c>
      <c r="H612" t="str">
        <f>IF(DONNEES!$E612="","",DONNEES!I612)</f>
        <v/>
      </c>
      <c r="I612" t="str">
        <f>IF(DONNEES!$E612="","",DONNEES!J612)</f>
        <v/>
      </c>
      <c r="J612" t="str">
        <f>IF(DONNEES!$E612="","",DONNEES!K612)</f>
        <v/>
      </c>
      <c r="K612" t="str">
        <f>IF(DONNEES!$E612="","",DONNEES!L612)</f>
        <v/>
      </c>
      <c r="L612" t="str">
        <f>IF(DONNEES!$E612="","",DONNEES!M612)</f>
        <v/>
      </c>
      <c r="M612" t="str">
        <f>IF(DONNEES!$E612="","",DONNEES!N612)</f>
        <v/>
      </c>
      <c r="N612" t="str">
        <f>IF(DONNEES!$E612="","",DONNEES!O612)</f>
        <v/>
      </c>
      <c r="O612" t="str">
        <f>IF(DONNEES!$E612="","",DONNEES!P612)</f>
        <v/>
      </c>
      <c r="P612" t="str">
        <f>IF(DONNEES!$E612="","",DONNEES!Q612)</f>
        <v/>
      </c>
      <c r="Q612" t="str">
        <f>IF(DONNEES!$E612="","",DONNEES!R612)</f>
        <v/>
      </c>
      <c r="R612" t="str">
        <f>IF(DONNEES!$E612="","",DONNEES!S612)</f>
        <v/>
      </c>
      <c r="S612" t="str">
        <f>IF(DONNEES!$E612="","",DONNEES!T612)</f>
        <v/>
      </c>
      <c r="T612" t="str">
        <f>IF(DONNEES!$E612="","",DONNEES!U612)</f>
        <v/>
      </c>
      <c r="U612" t="str">
        <f>IF(DONNEES!$E612="","",DONNEES!V612)</f>
        <v/>
      </c>
      <c r="V612" t="str">
        <f>IF(DONNEES!$E612="","",DONNEES!W612)</f>
        <v/>
      </c>
      <c r="W612" t="str">
        <f>IF(DONNEES!$E612="","",DONNEES!X612)</f>
        <v/>
      </c>
      <c r="X612" t="str">
        <f>IF(DONNEES!$E612="","",DONNEES!Y612)</f>
        <v/>
      </c>
      <c r="Y612" t="str">
        <f>IF(DONNEES!$E612="","",DONNEES!Z612)</f>
        <v/>
      </c>
      <c r="Z612" t="str">
        <f>IF(DONNEES!$E612="","",DONNEES!AQ612)</f>
        <v/>
      </c>
    </row>
    <row r="613" spans="1:26" ht="15" customHeight="1" x14ac:dyDescent="0.3">
      <c r="A613" t="str">
        <f>IF(DONNEES!$E613="","",DONNEES!A613)</f>
        <v/>
      </c>
      <c r="B613" t="str">
        <f>IF(DONNEES!$E613="","",DONNEES!B613)</f>
        <v/>
      </c>
      <c r="C613" t="str">
        <f>IF(DONNEES!$E613="","",DONNEES!C613)</f>
        <v/>
      </c>
      <c r="D613" t="str">
        <f>IF(DONNEES!$E613="","",DONNEES!E613)</f>
        <v/>
      </c>
      <c r="E613" t="str">
        <f>IF(DONNEES!$E613="","",DONNEES!F613)</f>
        <v/>
      </c>
      <c r="F613" t="str">
        <f>IF(DONNEES!$E613="","",DONNEES!G613)</f>
        <v/>
      </c>
      <c r="G613" t="str">
        <f>IF(DONNEES!$E613="","",DONNEES!H613)</f>
        <v/>
      </c>
      <c r="H613" t="str">
        <f>IF(DONNEES!$E613="","",DONNEES!I613)</f>
        <v/>
      </c>
      <c r="I613" t="str">
        <f>IF(DONNEES!$E613="","",DONNEES!J613)</f>
        <v/>
      </c>
      <c r="J613" t="str">
        <f>IF(DONNEES!$E613="","",DONNEES!K613)</f>
        <v/>
      </c>
      <c r="K613" t="str">
        <f>IF(DONNEES!$E613="","",DONNEES!L613)</f>
        <v/>
      </c>
      <c r="L613" t="str">
        <f>IF(DONNEES!$E613="","",DONNEES!M613)</f>
        <v/>
      </c>
      <c r="M613" t="str">
        <f>IF(DONNEES!$E613="","",DONNEES!N613)</f>
        <v/>
      </c>
      <c r="N613" t="str">
        <f>IF(DONNEES!$E613="","",DONNEES!O613)</f>
        <v/>
      </c>
      <c r="O613" t="str">
        <f>IF(DONNEES!$E613="","",DONNEES!P613)</f>
        <v/>
      </c>
      <c r="P613" t="str">
        <f>IF(DONNEES!$E613="","",DONNEES!Q613)</f>
        <v/>
      </c>
      <c r="Q613" t="str">
        <f>IF(DONNEES!$E613="","",DONNEES!R613)</f>
        <v/>
      </c>
      <c r="R613" t="str">
        <f>IF(DONNEES!$E613="","",DONNEES!S613)</f>
        <v/>
      </c>
      <c r="S613" t="str">
        <f>IF(DONNEES!$E613="","",DONNEES!T613)</f>
        <v/>
      </c>
      <c r="T613" t="str">
        <f>IF(DONNEES!$E613="","",DONNEES!U613)</f>
        <v/>
      </c>
      <c r="U613" t="str">
        <f>IF(DONNEES!$E613="","",DONNEES!V613)</f>
        <v/>
      </c>
      <c r="V613" t="str">
        <f>IF(DONNEES!$E613="","",DONNEES!W613)</f>
        <v/>
      </c>
      <c r="W613" t="str">
        <f>IF(DONNEES!$E613="","",DONNEES!X613)</f>
        <v/>
      </c>
      <c r="X613" t="str">
        <f>IF(DONNEES!$E613="","",DONNEES!Y613)</f>
        <v/>
      </c>
      <c r="Y613" t="str">
        <f>IF(DONNEES!$E613="","",DONNEES!Z613)</f>
        <v/>
      </c>
      <c r="Z613" t="str">
        <f>IF(DONNEES!$E613="","",DONNEES!AQ613)</f>
        <v/>
      </c>
    </row>
    <row r="614" spans="1:26" ht="15" customHeight="1" x14ac:dyDescent="0.3">
      <c r="A614" t="str">
        <f>IF(DONNEES!$E614="","",DONNEES!A614)</f>
        <v/>
      </c>
      <c r="B614" t="str">
        <f>IF(DONNEES!$E614="","",DONNEES!B614)</f>
        <v/>
      </c>
      <c r="C614" t="str">
        <f>IF(DONNEES!$E614="","",DONNEES!C614)</f>
        <v/>
      </c>
      <c r="D614" t="str">
        <f>IF(DONNEES!$E614="","",DONNEES!E614)</f>
        <v/>
      </c>
      <c r="E614" t="str">
        <f>IF(DONNEES!$E614="","",DONNEES!F614)</f>
        <v/>
      </c>
      <c r="F614" t="str">
        <f>IF(DONNEES!$E614="","",DONNEES!G614)</f>
        <v/>
      </c>
      <c r="G614" t="str">
        <f>IF(DONNEES!$E614="","",DONNEES!H614)</f>
        <v/>
      </c>
      <c r="H614" t="str">
        <f>IF(DONNEES!$E614="","",DONNEES!I614)</f>
        <v/>
      </c>
      <c r="I614" t="str">
        <f>IF(DONNEES!$E614="","",DONNEES!J614)</f>
        <v/>
      </c>
      <c r="J614" t="str">
        <f>IF(DONNEES!$E614="","",DONNEES!K614)</f>
        <v/>
      </c>
      <c r="K614" t="str">
        <f>IF(DONNEES!$E614="","",DONNEES!L614)</f>
        <v/>
      </c>
      <c r="L614" t="str">
        <f>IF(DONNEES!$E614="","",DONNEES!M614)</f>
        <v/>
      </c>
      <c r="M614" t="str">
        <f>IF(DONNEES!$E614="","",DONNEES!N614)</f>
        <v/>
      </c>
      <c r="N614" t="str">
        <f>IF(DONNEES!$E614="","",DONNEES!O614)</f>
        <v/>
      </c>
      <c r="O614" t="str">
        <f>IF(DONNEES!$E614="","",DONNEES!P614)</f>
        <v/>
      </c>
      <c r="P614" t="str">
        <f>IF(DONNEES!$E614="","",DONNEES!Q614)</f>
        <v/>
      </c>
      <c r="Q614" t="str">
        <f>IF(DONNEES!$E614="","",DONNEES!R614)</f>
        <v/>
      </c>
      <c r="R614" t="str">
        <f>IF(DONNEES!$E614="","",DONNEES!S614)</f>
        <v/>
      </c>
      <c r="S614" t="str">
        <f>IF(DONNEES!$E614="","",DONNEES!T614)</f>
        <v/>
      </c>
      <c r="T614" t="str">
        <f>IF(DONNEES!$E614="","",DONNEES!U614)</f>
        <v/>
      </c>
      <c r="U614" t="str">
        <f>IF(DONNEES!$E614="","",DONNEES!V614)</f>
        <v/>
      </c>
      <c r="V614" t="str">
        <f>IF(DONNEES!$E614="","",DONNEES!W614)</f>
        <v/>
      </c>
      <c r="W614" t="str">
        <f>IF(DONNEES!$E614="","",DONNEES!X614)</f>
        <v/>
      </c>
      <c r="X614" t="str">
        <f>IF(DONNEES!$E614="","",DONNEES!Y614)</f>
        <v/>
      </c>
      <c r="Y614" t="str">
        <f>IF(DONNEES!$E614="","",DONNEES!Z614)</f>
        <v/>
      </c>
      <c r="Z614" t="str">
        <f>IF(DONNEES!$E614="","",DONNEES!AQ614)</f>
        <v/>
      </c>
    </row>
    <row r="615" spans="1:26" ht="15" customHeight="1" x14ac:dyDescent="0.3">
      <c r="A615" t="str">
        <f>IF(DONNEES!$E615="","",DONNEES!A615)</f>
        <v/>
      </c>
      <c r="B615" t="str">
        <f>IF(DONNEES!$E615="","",DONNEES!B615)</f>
        <v/>
      </c>
      <c r="C615" t="str">
        <f>IF(DONNEES!$E615="","",DONNEES!C615)</f>
        <v/>
      </c>
      <c r="D615" t="str">
        <f>IF(DONNEES!$E615="","",DONNEES!E615)</f>
        <v/>
      </c>
      <c r="E615" t="str">
        <f>IF(DONNEES!$E615="","",DONNEES!F615)</f>
        <v/>
      </c>
      <c r="F615" t="str">
        <f>IF(DONNEES!$E615="","",DONNEES!G615)</f>
        <v/>
      </c>
      <c r="G615" t="str">
        <f>IF(DONNEES!$E615="","",DONNEES!H615)</f>
        <v/>
      </c>
      <c r="H615" t="str">
        <f>IF(DONNEES!$E615="","",DONNEES!I615)</f>
        <v/>
      </c>
      <c r="I615" t="str">
        <f>IF(DONNEES!$E615="","",DONNEES!J615)</f>
        <v/>
      </c>
      <c r="J615" t="str">
        <f>IF(DONNEES!$E615="","",DONNEES!K615)</f>
        <v/>
      </c>
      <c r="K615" t="str">
        <f>IF(DONNEES!$E615="","",DONNEES!L615)</f>
        <v/>
      </c>
      <c r="L615" t="str">
        <f>IF(DONNEES!$E615="","",DONNEES!M615)</f>
        <v/>
      </c>
      <c r="M615" t="str">
        <f>IF(DONNEES!$E615="","",DONNEES!N615)</f>
        <v/>
      </c>
      <c r="N615" t="str">
        <f>IF(DONNEES!$E615="","",DONNEES!O615)</f>
        <v/>
      </c>
      <c r="O615" t="str">
        <f>IF(DONNEES!$E615="","",DONNEES!P615)</f>
        <v/>
      </c>
      <c r="P615" t="str">
        <f>IF(DONNEES!$E615="","",DONNEES!Q615)</f>
        <v/>
      </c>
      <c r="Q615" t="str">
        <f>IF(DONNEES!$E615="","",DONNEES!R615)</f>
        <v/>
      </c>
      <c r="R615" t="str">
        <f>IF(DONNEES!$E615="","",DONNEES!S615)</f>
        <v/>
      </c>
      <c r="S615" t="str">
        <f>IF(DONNEES!$E615="","",DONNEES!T615)</f>
        <v/>
      </c>
      <c r="T615" t="str">
        <f>IF(DONNEES!$E615="","",DONNEES!U615)</f>
        <v/>
      </c>
      <c r="U615" t="str">
        <f>IF(DONNEES!$E615="","",DONNEES!V615)</f>
        <v/>
      </c>
      <c r="V615" t="str">
        <f>IF(DONNEES!$E615="","",DONNEES!W615)</f>
        <v/>
      </c>
      <c r="W615" t="str">
        <f>IF(DONNEES!$E615="","",DONNEES!X615)</f>
        <v/>
      </c>
      <c r="X615" t="str">
        <f>IF(DONNEES!$E615="","",DONNEES!Y615)</f>
        <v/>
      </c>
      <c r="Y615" t="str">
        <f>IF(DONNEES!$E615="","",DONNEES!Z615)</f>
        <v/>
      </c>
      <c r="Z615" t="str">
        <f>IF(DONNEES!$E615="","",DONNEES!AQ615)</f>
        <v/>
      </c>
    </row>
    <row r="616" spans="1:26" ht="15" customHeight="1" x14ac:dyDescent="0.3">
      <c r="A616" t="str">
        <f>IF(DONNEES!$E616="","",DONNEES!A616)</f>
        <v/>
      </c>
      <c r="B616" t="str">
        <f>IF(DONNEES!$E616="","",DONNEES!B616)</f>
        <v/>
      </c>
      <c r="C616" t="str">
        <f>IF(DONNEES!$E616="","",DONNEES!C616)</f>
        <v/>
      </c>
      <c r="D616" t="str">
        <f>IF(DONNEES!$E616="","",DONNEES!E616)</f>
        <v/>
      </c>
      <c r="E616" t="str">
        <f>IF(DONNEES!$E616="","",DONNEES!F616)</f>
        <v/>
      </c>
      <c r="F616" t="str">
        <f>IF(DONNEES!$E616="","",DONNEES!G616)</f>
        <v/>
      </c>
      <c r="G616" t="str">
        <f>IF(DONNEES!$E616="","",DONNEES!H616)</f>
        <v/>
      </c>
      <c r="H616" t="str">
        <f>IF(DONNEES!$E616="","",DONNEES!I616)</f>
        <v/>
      </c>
      <c r="I616" t="str">
        <f>IF(DONNEES!$E616="","",DONNEES!J616)</f>
        <v/>
      </c>
      <c r="J616" t="str">
        <f>IF(DONNEES!$E616="","",DONNEES!K616)</f>
        <v/>
      </c>
      <c r="K616" t="str">
        <f>IF(DONNEES!$E616="","",DONNEES!L616)</f>
        <v/>
      </c>
      <c r="L616" t="str">
        <f>IF(DONNEES!$E616="","",DONNEES!M616)</f>
        <v/>
      </c>
      <c r="M616" t="str">
        <f>IF(DONNEES!$E616="","",DONNEES!N616)</f>
        <v/>
      </c>
      <c r="N616" t="str">
        <f>IF(DONNEES!$E616="","",DONNEES!O616)</f>
        <v/>
      </c>
      <c r="O616" t="str">
        <f>IF(DONNEES!$E616="","",DONNEES!P616)</f>
        <v/>
      </c>
      <c r="P616" t="str">
        <f>IF(DONNEES!$E616="","",DONNEES!Q616)</f>
        <v/>
      </c>
      <c r="Q616" t="str">
        <f>IF(DONNEES!$E616="","",DONNEES!R616)</f>
        <v/>
      </c>
      <c r="R616" t="str">
        <f>IF(DONNEES!$E616="","",DONNEES!S616)</f>
        <v/>
      </c>
      <c r="S616" t="str">
        <f>IF(DONNEES!$E616="","",DONNEES!T616)</f>
        <v/>
      </c>
      <c r="T616" t="str">
        <f>IF(DONNEES!$E616="","",DONNEES!U616)</f>
        <v/>
      </c>
      <c r="U616" t="str">
        <f>IF(DONNEES!$E616="","",DONNEES!V616)</f>
        <v/>
      </c>
      <c r="V616" t="str">
        <f>IF(DONNEES!$E616="","",DONNEES!W616)</f>
        <v/>
      </c>
      <c r="W616" t="str">
        <f>IF(DONNEES!$E616="","",DONNEES!X616)</f>
        <v/>
      </c>
      <c r="X616" t="str">
        <f>IF(DONNEES!$E616="","",DONNEES!Y616)</f>
        <v/>
      </c>
      <c r="Y616" t="str">
        <f>IF(DONNEES!$E616="","",DONNEES!Z616)</f>
        <v/>
      </c>
      <c r="Z616" t="str">
        <f>IF(DONNEES!$E616="","",DONNEES!AQ616)</f>
        <v/>
      </c>
    </row>
    <row r="617" spans="1:26" ht="15" customHeight="1" x14ac:dyDescent="0.3">
      <c r="A617" t="str">
        <f>IF(DONNEES!$E617="","",DONNEES!A617)</f>
        <v/>
      </c>
      <c r="B617" t="str">
        <f>IF(DONNEES!$E617="","",DONNEES!B617)</f>
        <v/>
      </c>
      <c r="C617" t="str">
        <f>IF(DONNEES!$E617="","",DONNEES!C617)</f>
        <v/>
      </c>
      <c r="D617" t="str">
        <f>IF(DONNEES!$E617="","",DONNEES!E617)</f>
        <v/>
      </c>
      <c r="E617" t="str">
        <f>IF(DONNEES!$E617="","",DONNEES!F617)</f>
        <v/>
      </c>
      <c r="F617" t="str">
        <f>IF(DONNEES!$E617="","",DONNEES!G617)</f>
        <v/>
      </c>
      <c r="G617" t="str">
        <f>IF(DONNEES!$E617="","",DONNEES!H617)</f>
        <v/>
      </c>
      <c r="H617" t="str">
        <f>IF(DONNEES!$E617="","",DONNEES!I617)</f>
        <v/>
      </c>
      <c r="I617" t="str">
        <f>IF(DONNEES!$E617="","",DONNEES!J617)</f>
        <v/>
      </c>
      <c r="J617" t="str">
        <f>IF(DONNEES!$E617="","",DONNEES!K617)</f>
        <v/>
      </c>
      <c r="K617" t="str">
        <f>IF(DONNEES!$E617="","",DONNEES!L617)</f>
        <v/>
      </c>
      <c r="L617" t="str">
        <f>IF(DONNEES!$E617="","",DONNEES!M617)</f>
        <v/>
      </c>
      <c r="M617" t="str">
        <f>IF(DONNEES!$E617="","",DONNEES!N617)</f>
        <v/>
      </c>
      <c r="N617" t="str">
        <f>IF(DONNEES!$E617="","",DONNEES!O617)</f>
        <v/>
      </c>
      <c r="O617" t="str">
        <f>IF(DONNEES!$E617="","",DONNEES!P617)</f>
        <v/>
      </c>
      <c r="P617" t="str">
        <f>IF(DONNEES!$E617="","",DONNEES!Q617)</f>
        <v/>
      </c>
      <c r="Q617" t="str">
        <f>IF(DONNEES!$E617="","",DONNEES!R617)</f>
        <v/>
      </c>
      <c r="R617" t="str">
        <f>IF(DONNEES!$E617="","",DONNEES!S617)</f>
        <v/>
      </c>
      <c r="S617" t="str">
        <f>IF(DONNEES!$E617="","",DONNEES!T617)</f>
        <v/>
      </c>
      <c r="T617" t="str">
        <f>IF(DONNEES!$E617="","",DONNEES!U617)</f>
        <v/>
      </c>
      <c r="U617" t="str">
        <f>IF(DONNEES!$E617="","",DONNEES!V617)</f>
        <v/>
      </c>
      <c r="V617" t="str">
        <f>IF(DONNEES!$E617="","",DONNEES!W617)</f>
        <v/>
      </c>
      <c r="W617" t="str">
        <f>IF(DONNEES!$E617="","",DONNEES!X617)</f>
        <v/>
      </c>
      <c r="X617" t="str">
        <f>IF(DONNEES!$E617="","",DONNEES!Y617)</f>
        <v/>
      </c>
      <c r="Y617" t="str">
        <f>IF(DONNEES!$E617="","",DONNEES!Z617)</f>
        <v/>
      </c>
      <c r="Z617" t="str">
        <f>IF(DONNEES!$E617="","",DONNEES!AQ617)</f>
        <v/>
      </c>
    </row>
    <row r="618" spans="1:26" ht="15" customHeight="1" x14ac:dyDescent="0.3">
      <c r="A618" t="str">
        <f>IF(DONNEES!$E618="","",DONNEES!A618)</f>
        <v/>
      </c>
      <c r="B618" t="str">
        <f>IF(DONNEES!$E618="","",DONNEES!B618)</f>
        <v/>
      </c>
      <c r="C618" t="str">
        <f>IF(DONNEES!$E618="","",DONNEES!C618)</f>
        <v/>
      </c>
      <c r="D618" t="str">
        <f>IF(DONNEES!$E618="","",DONNEES!E618)</f>
        <v/>
      </c>
      <c r="E618" t="str">
        <f>IF(DONNEES!$E618="","",DONNEES!F618)</f>
        <v/>
      </c>
      <c r="F618" t="str">
        <f>IF(DONNEES!$E618="","",DONNEES!G618)</f>
        <v/>
      </c>
      <c r="G618" t="str">
        <f>IF(DONNEES!$E618="","",DONNEES!H618)</f>
        <v/>
      </c>
      <c r="H618" t="str">
        <f>IF(DONNEES!$E618="","",DONNEES!I618)</f>
        <v/>
      </c>
      <c r="I618" t="str">
        <f>IF(DONNEES!$E618="","",DONNEES!J618)</f>
        <v/>
      </c>
      <c r="J618" t="str">
        <f>IF(DONNEES!$E618="","",DONNEES!K618)</f>
        <v/>
      </c>
      <c r="K618" t="str">
        <f>IF(DONNEES!$E618="","",DONNEES!L618)</f>
        <v/>
      </c>
      <c r="L618" t="str">
        <f>IF(DONNEES!$E618="","",DONNEES!M618)</f>
        <v/>
      </c>
      <c r="M618" t="str">
        <f>IF(DONNEES!$E618="","",DONNEES!N618)</f>
        <v/>
      </c>
      <c r="N618" t="str">
        <f>IF(DONNEES!$E618="","",DONNEES!O618)</f>
        <v/>
      </c>
      <c r="O618" t="str">
        <f>IF(DONNEES!$E618="","",DONNEES!P618)</f>
        <v/>
      </c>
      <c r="P618" t="str">
        <f>IF(DONNEES!$E618="","",DONNEES!Q618)</f>
        <v/>
      </c>
      <c r="Q618" t="str">
        <f>IF(DONNEES!$E618="","",DONNEES!R618)</f>
        <v/>
      </c>
      <c r="R618" t="str">
        <f>IF(DONNEES!$E618="","",DONNEES!S618)</f>
        <v/>
      </c>
      <c r="S618" t="str">
        <f>IF(DONNEES!$E618="","",DONNEES!T618)</f>
        <v/>
      </c>
      <c r="T618" t="str">
        <f>IF(DONNEES!$E618="","",DONNEES!U618)</f>
        <v/>
      </c>
      <c r="U618" t="str">
        <f>IF(DONNEES!$E618="","",DONNEES!V618)</f>
        <v/>
      </c>
      <c r="V618" t="str">
        <f>IF(DONNEES!$E618="","",DONNEES!W618)</f>
        <v/>
      </c>
      <c r="W618" t="str">
        <f>IF(DONNEES!$E618="","",DONNEES!X618)</f>
        <v/>
      </c>
      <c r="X618" t="str">
        <f>IF(DONNEES!$E618="","",DONNEES!Y618)</f>
        <v/>
      </c>
      <c r="Y618" t="str">
        <f>IF(DONNEES!$E618="","",DONNEES!Z618)</f>
        <v/>
      </c>
      <c r="Z618" t="str">
        <f>IF(DONNEES!$E618="","",DONNEES!AQ618)</f>
        <v/>
      </c>
    </row>
    <row r="619" spans="1:26" ht="15" customHeight="1" x14ac:dyDescent="0.3">
      <c r="A619" t="str">
        <f>IF(DONNEES!$E619="","",DONNEES!A619)</f>
        <v/>
      </c>
      <c r="B619" t="str">
        <f>IF(DONNEES!$E619="","",DONNEES!B619)</f>
        <v/>
      </c>
      <c r="C619" t="str">
        <f>IF(DONNEES!$E619="","",DONNEES!C619)</f>
        <v/>
      </c>
      <c r="D619" t="str">
        <f>IF(DONNEES!$E619="","",DONNEES!E619)</f>
        <v/>
      </c>
      <c r="E619" t="str">
        <f>IF(DONNEES!$E619="","",DONNEES!F619)</f>
        <v/>
      </c>
      <c r="F619" t="str">
        <f>IF(DONNEES!$E619="","",DONNEES!G619)</f>
        <v/>
      </c>
      <c r="G619" t="str">
        <f>IF(DONNEES!$E619="","",DONNEES!H619)</f>
        <v/>
      </c>
      <c r="H619" t="str">
        <f>IF(DONNEES!$E619="","",DONNEES!I619)</f>
        <v/>
      </c>
      <c r="I619" t="str">
        <f>IF(DONNEES!$E619="","",DONNEES!J619)</f>
        <v/>
      </c>
      <c r="J619" t="str">
        <f>IF(DONNEES!$E619="","",DONNEES!K619)</f>
        <v/>
      </c>
      <c r="K619" t="str">
        <f>IF(DONNEES!$E619="","",DONNEES!L619)</f>
        <v/>
      </c>
      <c r="L619" t="str">
        <f>IF(DONNEES!$E619="","",DONNEES!M619)</f>
        <v/>
      </c>
      <c r="M619" t="str">
        <f>IF(DONNEES!$E619="","",DONNEES!N619)</f>
        <v/>
      </c>
      <c r="N619" t="str">
        <f>IF(DONNEES!$E619="","",DONNEES!O619)</f>
        <v/>
      </c>
      <c r="O619" t="str">
        <f>IF(DONNEES!$E619="","",DONNEES!P619)</f>
        <v/>
      </c>
      <c r="P619" t="str">
        <f>IF(DONNEES!$E619="","",DONNEES!Q619)</f>
        <v/>
      </c>
      <c r="Q619" t="str">
        <f>IF(DONNEES!$E619="","",DONNEES!R619)</f>
        <v/>
      </c>
      <c r="R619" t="str">
        <f>IF(DONNEES!$E619="","",DONNEES!S619)</f>
        <v/>
      </c>
      <c r="S619" t="str">
        <f>IF(DONNEES!$E619="","",DONNEES!T619)</f>
        <v/>
      </c>
      <c r="T619" t="str">
        <f>IF(DONNEES!$E619="","",DONNEES!U619)</f>
        <v/>
      </c>
      <c r="U619" t="str">
        <f>IF(DONNEES!$E619="","",DONNEES!V619)</f>
        <v/>
      </c>
      <c r="V619" t="str">
        <f>IF(DONNEES!$E619="","",DONNEES!W619)</f>
        <v/>
      </c>
      <c r="W619" t="str">
        <f>IF(DONNEES!$E619="","",DONNEES!X619)</f>
        <v/>
      </c>
      <c r="X619" t="str">
        <f>IF(DONNEES!$E619="","",DONNEES!Y619)</f>
        <v/>
      </c>
      <c r="Y619" t="str">
        <f>IF(DONNEES!$E619="","",DONNEES!Z619)</f>
        <v/>
      </c>
      <c r="Z619" t="str">
        <f>IF(DONNEES!$E619="","",DONNEES!AQ619)</f>
        <v/>
      </c>
    </row>
    <row r="620" spans="1:26" ht="15" customHeight="1" x14ac:dyDescent="0.3">
      <c r="A620" t="str">
        <f>IF(DONNEES!$E620="","",DONNEES!A620)</f>
        <v/>
      </c>
      <c r="B620" t="str">
        <f>IF(DONNEES!$E620="","",DONNEES!B620)</f>
        <v/>
      </c>
      <c r="C620" t="str">
        <f>IF(DONNEES!$E620="","",DONNEES!C620)</f>
        <v/>
      </c>
      <c r="D620" t="str">
        <f>IF(DONNEES!$E620="","",DONNEES!E620)</f>
        <v/>
      </c>
      <c r="E620" t="str">
        <f>IF(DONNEES!$E620="","",DONNEES!F620)</f>
        <v/>
      </c>
      <c r="F620" t="str">
        <f>IF(DONNEES!$E620="","",DONNEES!G620)</f>
        <v/>
      </c>
      <c r="G620" t="str">
        <f>IF(DONNEES!$E620="","",DONNEES!H620)</f>
        <v/>
      </c>
      <c r="H620" t="str">
        <f>IF(DONNEES!$E620="","",DONNEES!I620)</f>
        <v/>
      </c>
      <c r="I620" t="str">
        <f>IF(DONNEES!$E620="","",DONNEES!J620)</f>
        <v/>
      </c>
      <c r="J620" t="str">
        <f>IF(DONNEES!$E620="","",DONNEES!K620)</f>
        <v/>
      </c>
      <c r="K620" t="str">
        <f>IF(DONNEES!$E620="","",DONNEES!L620)</f>
        <v/>
      </c>
      <c r="L620" t="str">
        <f>IF(DONNEES!$E620="","",DONNEES!M620)</f>
        <v/>
      </c>
      <c r="M620" t="str">
        <f>IF(DONNEES!$E620="","",DONNEES!N620)</f>
        <v/>
      </c>
      <c r="N620" t="str">
        <f>IF(DONNEES!$E620="","",DONNEES!O620)</f>
        <v/>
      </c>
      <c r="O620" t="str">
        <f>IF(DONNEES!$E620="","",DONNEES!P620)</f>
        <v/>
      </c>
      <c r="P620" t="str">
        <f>IF(DONNEES!$E620="","",DONNEES!Q620)</f>
        <v/>
      </c>
      <c r="Q620" t="str">
        <f>IF(DONNEES!$E620="","",DONNEES!R620)</f>
        <v/>
      </c>
      <c r="R620" t="str">
        <f>IF(DONNEES!$E620="","",DONNEES!S620)</f>
        <v/>
      </c>
      <c r="S620" t="str">
        <f>IF(DONNEES!$E620="","",DONNEES!T620)</f>
        <v/>
      </c>
      <c r="T620" t="str">
        <f>IF(DONNEES!$E620="","",DONNEES!U620)</f>
        <v/>
      </c>
      <c r="U620" t="str">
        <f>IF(DONNEES!$E620="","",DONNEES!V620)</f>
        <v/>
      </c>
      <c r="V620" t="str">
        <f>IF(DONNEES!$E620="","",DONNEES!W620)</f>
        <v/>
      </c>
      <c r="W620" t="str">
        <f>IF(DONNEES!$E620="","",DONNEES!X620)</f>
        <v/>
      </c>
      <c r="X620" t="str">
        <f>IF(DONNEES!$E620="","",DONNEES!Y620)</f>
        <v/>
      </c>
      <c r="Y620" t="str">
        <f>IF(DONNEES!$E620="","",DONNEES!Z620)</f>
        <v/>
      </c>
      <c r="Z620" t="str">
        <f>IF(DONNEES!$E620="","",DONNEES!AQ620)</f>
        <v/>
      </c>
    </row>
    <row r="621" spans="1:26" ht="15" customHeight="1" x14ac:dyDescent="0.3">
      <c r="A621" t="str">
        <f>IF(DONNEES!$E621="","",DONNEES!A621)</f>
        <v/>
      </c>
      <c r="B621" t="str">
        <f>IF(DONNEES!$E621="","",DONNEES!B621)</f>
        <v/>
      </c>
      <c r="C621" t="str">
        <f>IF(DONNEES!$E621="","",DONNEES!C621)</f>
        <v/>
      </c>
      <c r="D621" t="str">
        <f>IF(DONNEES!$E621="","",DONNEES!E621)</f>
        <v/>
      </c>
      <c r="E621" t="str">
        <f>IF(DONNEES!$E621="","",DONNEES!F621)</f>
        <v/>
      </c>
      <c r="F621" t="str">
        <f>IF(DONNEES!$E621="","",DONNEES!G621)</f>
        <v/>
      </c>
      <c r="G621" t="str">
        <f>IF(DONNEES!$E621="","",DONNEES!H621)</f>
        <v/>
      </c>
      <c r="H621" t="str">
        <f>IF(DONNEES!$E621="","",DONNEES!I621)</f>
        <v/>
      </c>
      <c r="I621" t="str">
        <f>IF(DONNEES!$E621="","",DONNEES!J621)</f>
        <v/>
      </c>
      <c r="J621" t="str">
        <f>IF(DONNEES!$E621="","",DONNEES!K621)</f>
        <v/>
      </c>
      <c r="K621" t="str">
        <f>IF(DONNEES!$E621="","",DONNEES!L621)</f>
        <v/>
      </c>
      <c r="L621" t="str">
        <f>IF(DONNEES!$E621="","",DONNEES!M621)</f>
        <v/>
      </c>
      <c r="M621" t="str">
        <f>IF(DONNEES!$E621="","",DONNEES!N621)</f>
        <v/>
      </c>
      <c r="N621" t="str">
        <f>IF(DONNEES!$E621="","",DONNEES!O621)</f>
        <v/>
      </c>
      <c r="O621" t="str">
        <f>IF(DONNEES!$E621="","",DONNEES!P621)</f>
        <v/>
      </c>
      <c r="P621" t="str">
        <f>IF(DONNEES!$E621="","",DONNEES!Q621)</f>
        <v/>
      </c>
      <c r="Q621" t="str">
        <f>IF(DONNEES!$E621="","",DONNEES!R621)</f>
        <v/>
      </c>
      <c r="R621" t="str">
        <f>IF(DONNEES!$E621="","",DONNEES!S621)</f>
        <v/>
      </c>
      <c r="S621" t="str">
        <f>IF(DONNEES!$E621="","",DONNEES!T621)</f>
        <v/>
      </c>
      <c r="T621" t="str">
        <f>IF(DONNEES!$E621="","",DONNEES!U621)</f>
        <v/>
      </c>
      <c r="U621" t="str">
        <f>IF(DONNEES!$E621="","",DONNEES!V621)</f>
        <v/>
      </c>
      <c r="V621" t="str">
        <f>IF(DONNEES!$E621="","",DONNEES!W621)</f>
        <v/>
      </c>
      <c r="W621" t="str">
        <f>IF(DONNEES!$E621="","",DONNEES!X621)</f>
        <v/>
      </c>
      <c r="X621" t="str">
        <f>IF(DONNEES!$E621="","",DONNEES!Y621)</f>
        <v/>
      </c>
      <c r="Y621" t="str">
        <f>IF(DONNEES!$E621="","",DONNEES!Z621)</f>
        <v/>
      </c>
      <c r="Z621" t="str">
        <f>IF(DONNEES!$E621="","",DONNEES!AQ621)</f>
        <v/>
      </c>
    </row>
    <row r="622" spans="1:26" ht="15" customHeight="1" x14ac:dyDescent="0.3">
      <c r="A622" t="str">
        <f>IF(DONNEES!$E622="","",DONNEES!A622)</f>
        <v/>
      </c>
      <c r="B622" t="str">
        <f>IF(DONNEES!$E622="","",DONNEES!B622)</f>
        <v/>
      </c>
      <c r="C622" t="str">
        <f>IF(DONNEES!$E622="","",DONNEES!C622)</f>
        <v/>
      </c>
      <c r="D622" t="str">
        <f>IF(DONNEES!$E622="","",DONNEES!E622)</f>
        <v/>
      </c>
      <c r="E622" t="str">
        <f>IF(DONNEES!$E622="","",DONNEES!F622)</f>
        <v/>
      </c>
      <c r="F622" t="str">
        <f>IF(DONNEES!$E622="","",DONNEES!G622)</f>
        <v/>
      </c>
      <c r="G622" t="str">
        <f>IF(DONNEES!$E622="","",DONNEES!H622)</f>
        <v/>
      </c>
      <c r="H622" t="str">
        <f>IF(DONNEES!$E622="","",DONNEES!I622)</f>
        <v/>
      </c>
      <c r="I622" t="str">
        <f>IF(DONNEES!$E622="","",DONNEES!J622)</f>
        <v/>
      </c>
      <c r="J622" t="str">
        <f>IF(DONNEES!$E622="","",DONNEES!K622)</f>
        <v/>
      </c>
      <c r="K622" t="str">
        <f>IF(DONNEES!$E622="","",DONNEES!L622)</f>
        <v/>
      </c>
      <c r="L622" t="str">
        <f>IF(DONNEES!$E622="","",DONNEES!M622)</f>
        <v/>
      </c>
      <c r="M622" t="str">
        <f>IF(DONNEES!$E622="","",DONNEES!N622)</f>
        <v/>
      </c>
      <c r="N622" t="str">
        <f>IF(DONNEES!$E622="","",DONNEES!O622)</f>
        <v/>
      </c>
      <c r="O622" t="str">
        <f>IF(DONNEES!$E622="","",DONNEES!P622)</f>
        <v/>
      </c>
      <c r="P622" t="str">
        <f>IF(DONNEES!$E622="","",DONNEES!Q622)</f>
        <v/>
      </c>
      <c r="Q622" t="str">
        <f>IF(DONNEES!$E622="","",DONNEES!R622)</f>
        <v/>
      </c>
      <c r="R622" t="str">
        <f>IF(DONNEES!$E622="","",DONNEES!S622)</f>
        <v/>
      </c>
      <c r="S622" t="str">
        <f>IF(DONNEES!$E622="","",DONNEES!T622)</f>
        <v/>
      </c>
      <c r="T622" t="str">
        <f>IF(DONNEES!$E622="","",DONNEES!U622)</f>
        <v/>
      </c>
      <c r="U622" t="str">
        <f>IF(DONNEES!$E622="","",DONNEES!V622)</f>
        <v/>
      </c>
      <c r="V622" t="str">
        <f>IF(DONNEES!$E622="","",DONNEES!W622)</f>
        <v/>
      </c>
      <c r="W622" t="str">
        <f>IF(DONNEES!$E622="","",DONNEES!X622)</f>
        <v/>
      </c>
      <c r="X622" t="str">
        <f>IF(DONNEES!$E622="","",DONNEES!Y622)</f>
        <v/>
      </c>
      <c r="Y622" t="str">
        <f>IF(DONNEES!$E622="","",DONNEES!Z622)</f>
        <v/>
      </c>
      <c r="Z622" t="str">
        <f>IF(DONNEES!$E622="","",DONNEES!AQ622)</f>
        <v/>
      </c>
    </row>
    <row r="623" spans="1:26" ht="15" customHeight="1" x14ac:dyDescent="0.3">
      <c r="A623" t="str">
        <f>IF(DONNEES!$E623="","",DONNEES!A623)</f>
        <v/>
      </c>
      <c r="B623" t="str">
        <f>IF(DONNEES!$E623="","",DONNEES!B623)</f>
        <v/>
      </c>
      <c r="C623" t="str">
        <f>IF(DONNEES!$E623="","",DONNEES!C623)</f>
        <v/>
      </c>
      <c r="D623" t="str">
        <f>IF(DONNEES!$E623="","",DONNEES!E623)</f>
        <v/>
      </c>
      <c r="E623" t="str">
        <f>IF(DONNEES!$E623="","",DONNEES!F623)</f>
        <v/>
      </c>
      <c r="F623" t="str">
        <f>IF(DONNEES!$E623="","",DONNEES!G623)</f>
        <v/>
      </c>
      <c r="G623" t="str">
        <f>IF(DONNEES!$E623="","",DONNEES!H623)</f>
        <v/>
      </c>
      <c r="H623" t="str">
        <f>IF(DONNEES!$E623="","",DONNEES!I623)</f>
        <v/>
      </c>
      <c r="I623" t="str">
        <f>IF(DONNEES!$E623="","",DONNEES!J623)</f>
        <v/>
      </c>
      <c r="J623" t="str">
        <f>IF(DONNEES!$E623="","",DONNEES!K623)</f>
        <v/>
      </c>
      <c r="K623" t="str">
        <f>IF(DONNEES!$E623="","",DONNEES!L623)</f>
        <v/>
      </c>
      <c r="L623" t="str">
        <f>IF(DONNEES!$E623="","",DONNEES!M623)</f>
        <v/>
      </c>
      <c r="M623" t="str">
        <f>IF(DONNEES!$E623="","",DONNEES!N623)</f>
        <v/>
      </c>
      <c r="N623" t="str">
        <f>IF(DONNEES!$E623="","",DONNEES!O623)</f>
        <v/>
      </c>
      <c r="O623" t="str">
        <f>IF(DONNEES!$E623="","",DONNEES!P623)</f>
        <v/>
      </c>
      <c r="P623" t="str">
        <f>IF(DONNEES!$E623="","",DONNEES!Q623)</f>
        <v/>
      </c>
      <c r="Q623" t="str">
        <f>IF(DONNEES!$E623="","",DONNEES!R623)</f>
        <v/>
      </c>
      <c r="R623" t="str">
        <f>IF(DONNEES!$E623="","",DONNEES!S623)</f>
        <v/>
      </c>
      <c r="S623" t="str">
        <f>IF(DONNEES!$E623="","",DONNEES!T623)</f>
        <v/>
      </c>
      <c r="T623" t="str">
        <f>IF(DONNEES!$E623="","",DONNEES!U623)</f>
        <v/>
      </c>
      <c r="U623" t="str">
        <f>IF(DONNEES!$E623="","",DONNEES!V623)</f>
        <v/>
      </c>
      <c r="V623" t="str">
        <f>IF(DONNEES!$E623="","",DONNEES!W623)</f>
        <v/>
      </c>
      <c r="W623" t="str">
        <f>IF(DONNEES!$E623="","",DONNEES!X623)</f>
        <v/>
      </c>
      <c r="X623" t="str">
        <f>IF(DONNEES!$E623="","",DONNEES!Y623)</f>
        <v/>
      </c>
      <c r="Y623" t="str">
        <f>IF(DONNEES!$E623="","",DONNEES!Z623)</f>
        <v/>
      </c>
      <c r="Z623" t="str">
        <f>IF(DONNEES!$E623="","",DONNEES!AQ623)</f>
        <v/>
      </c>
    </row>
    <row r="624" spans="1:26" ht="15" customHeight="1" x14ac:dyDescent="0.3">
      <c r="A624" t="str">
        <f>IF(DONNEES!$E624="","",DONNEES!A624)</f>
        <v/>
      </c>
      <c r="B624" t="str">
        <f>IF(DONNEES!$E624="","",DONNEES!B624)</f>
        <v/>
      </c>
      <c r="C624" t="str">
        <f>IF(DONNEES!$E624="","",DONNEES!C624)</f>
        <v/>
      </c>
      <c r="D624" t="str">
        <f>IF(DONNEES!$E624="","",DONNEES!E624)</f>
        <v/>
      </c>
      <c r="E624" t="str">
        <f>IF(DONNEES!$E624="","",DONNEES!F624)</f>
        <v/>
      </c>
      <c r="F624" t="str">
        <f>IF(DONNEES!$E624="","",DONNEES!G624)</f>
        <v/>
      </c>
      <c r="G624" t="str">
        <f>IF(DONNEES!$E624="","",DONNEES!H624)</f>
        <v/>
      </c>
      <c r="H624" t="str">
        <f>IF(DONNEES!$E624="","",DONNEES!I624)</f>
        <v/>
      </c>
      <c r="I624" t="str">
        <f>IF(DONNEES!$E624="","",DONNEES!J624)</f>
        <v/>
      </c>
      <c r="J624" t="str">
        <f>IF(DONNEES!$E624="","",DONNEES!K624)</f>
        <v/>
      </c>
      <c r="K624" t="str">
        <f>IF(DONNEES!$E624="","",DONNEES!L624)</f>
        <v/>
      </c>
      <c r="L624" t="str">
        <f>IF(DONNEES!$E624="","",DONNEES!M624)</f>
        <v/>
      </c>
      <c r="M624" t="str">
        <f>IF(DONNEES!$E624="","",DONNEES!N624)</f>
        <v/>
      </c>
      <c r="N624" t="str">
        <f>IF(DONNEES!$E624="","",DONNEES!O624)</f>
        <v/>
      </c>
      <c r="O624" t="str">
        <f>IF(DONNEES!$E624="","",DONNEES!P624)</f>
        <v/>
      </c>
      <c r="P624" t="str">
        <f>IF(DONNEES!$E624="","",DONNEES!Q624)</f>
        <v/>
      </c>
      <c r="Q624" t="str">
        <f>IF(DONNEES!$E624="","",DONNEES!R624)</f>
        <v/>
      </c>
      <c r="R624" t="str">
        <f>IF(DONNEES!$E624="","",DONNEES!S624)</f>
        <v/>
      </c>
      <c r="S624" t="str">
        <f>IF(DONNEES!$E624="","",DONNEES!T624)</f>
        <v/>
      </c>
      <c r="T624" t="str">
        <f>IF(DONNEES!$E624="","",DONNEES!U624)</f>
        <v/>
      </c>
      <c r="U624" t="str">
        <f>IF(DONNEES!$E624="","",DONNEES!V624)</f>
        <v/>
      </c>
      <c r="V624" t="str">
        <f>IF(DONNEES!$E624="","",DONNEES!W624)</f>
        <v/>
      </c>
      <c r="W624" t="str">
        <f>IF(DONNEES!$E624="","",DONNEES!X624)</f>
        <v/>
      </c>
      <c r="X624" t="str">
        <f>IF(DONNEES!$E624="","",DONNEES!Y624)</f>
        <v/>
      </c>
      <c r="Y624" t="str">
        <f>IF(DONNEES!$E624="","",DONNEES!Z624)</f>
        <v/>
      </c>
      <c r="Z624" t="str">
        <f>IF(DONNEES!$E624="","",DONNEES!AQ624)</f>
        <v/>
      </c>
    </row>
    <row r="625" spans="1:26" ht="15" customHeight="1" x14ac:dyDescent="0.3">
      <c r="A625" t="str">
        <f>IF(DONNEES!$E625="","",DONNEES!A625)</f>
        <v/>
      </c>
      <c r="B625" t="str">
        <f>IF(DONNEES!$E625="","",DONNEES!B625)</f>
        <v/>
      </c>
      <c r="C625" t="str">
        <f>IF(DONNEES!$E625="","",DONNEES!C625)</f>
        <v/>
      </c>
      <c r="D625" t="str">
        <f>IF(DONNEES!$E625="","",DONNEES!E625)</f>
        <v/>
      </c>
      <c r="E625" t="str">
        <f>IF(DONNEES!$E625="","",DONNEES!F625)</f>
        <v/>
      </c>
      <c r="F625" t="str">
        <f>IF(DONNEES!$E625="","",DONNEES!G625)</f>
        <v/>
      </c>
      <c r="G625" t="str">
        <f>IF(DONNEES!$E625="","",DONNEES!H625)</f>
        <v/>
      </c>
      <c r="H625" t="str">
        <f>IF(DONNEES!$E625="","",DONNEES!I625)</f>
        <v/>
      </c>
      <c r="I625" t="str">
        <f>IF(DONNEES!$E625="","",DONNEES!J625)</f>
        <v/>
      </c>
      <c r="J625" t="str">
        <f>IF(DONNEES!$E625="","",DONNEES!K625)</f>
        <v/>
      </c>
      <c r="K625" t="str">
        <f>IF(DONNEES!$E625="","",DONNEES!L625)</f>
        <v/>
      </c>
      <c r="L625" t="str">
        <f>IF(DONNEES!$E625="","",DONNEES!M625)</f>
        <v/>
      </c>
      <c r="M625" t="str">
        <f>IF(DONNEES!$E625="","",DONNEES!N625)</f>
        <v/>
      </c>
      <c r="N625" t="str">
        <f>IF(DONNEES!$E625="","",DONNEES!O625)</f>
        <v/>
      </c>
      <c r="O625" t="str">
        <f>IF(DONNEES!$E625="","",DONNEES!P625)</f>
        <v/>
      </c>
      <c r="P625" t="str">
        <f>IF(DONNEES!$E625="","",DONNEES!Q625)</f>
        <v/>
      </c>
      <c r="Q625" t="str">
        <f>IF(DONNEES!$E625="","",DONNEES!R625)</f>
        <v/>
      </c>
      <c r="R625" t="str">
        <f>IF(DONNEES!$E625="","",DONNEES!S625)</f>
        <v/>
      </c>
      <c r="S625" t="str">
        <f>IF(DONNEES!$E625="","",DONNEES!T625)</f>
        <v/>
      </c>
      <c r="T625" t="str">
        <f>IF(DONNEES!$E625="","",DONNEES!U625)</f>
        <v/>
      </c>
      <c r="U625" t="str">
        <f>IF(DONNEES!$E625="","",DONNEES!V625)</f>
        <v/>
      </c>
      <c r="V625" t="str">
        <f>IF(DONNEES!$E625="","",DONNEES!W625)</f>
        <v/>
      </c>
      <c r="W625" t="str">
        <f>IF(DONNEES!$E625="","",DONNEES!X625)</f>
        <v/>
      </c>
      <c r="X625" t="str">
        <f>IF(DONNEES!$E625="","",DONNEES!Y625)</f>
        <v/>
      </c>
      <c r="Y625" t="str">
        <f>IF(DONNEES!$E625="","",DONNEES!Z625)</f>
        <v/>
      </c>
      <c r="Z625" t="str">
        <f>IF(DONNEES!$E625="","",DONNEES!AQ625)</f>
        <v/>
      </c>
    </row>
    <row r="626" spans="1:26" ht="15" customHeight="1" x14ac:dyDescent="0.3">
      <c r="A626" t="str">
        <f>IF(DONNEES!$E626="","",DONNEES!A626)</f>
        <v/>
      </c>
      <c r="B626" t="str">
        <f>IF(DONNEES!$E626="","",DONNEES!B626)</f>
        <v/>
      </c>
      <c r="C626" t="str">
        <f>IF(DONNEES!$E626="","",DONNEES!C626)</f>
        <v/>
      </c>
      <c r="D626" t="str">
        <f>IF(DONNEES!$E626="","",DONNEES!E626)</f>
        <v/>
      </c>
      <c r="E626" t="str">
        <f>IF(DONNEES!$E626="","",DONNEES!F626)</f>
        <v/>
      </c>
      <c r="F626" t="str">
        <f>IF(DONNEES!$E626="","",DONNEES!G626)</f>
        <v/>
      </c>
      <c r="G626" t="str">
        <f>IF(DONNEES!$E626="","",DONNEES!H626)</f>
        <v/>
      </c>
      <c r="H626" t="str">
        <f>IF(DONNEES!$E626="","",DONNEES!I626)</f>
        <v/>
      </c>
      <c r="I626" t="str">
        <f>IF(DONNEES!$E626="","",DONNEES!J626)</f>
        <v/>
      </c>
      <c r="J626" t="str">
        <f>IF(DONNEES!$E626="","",DONNEES!K626)</f>
        <v/>
      </c>
      <c r="K626" t="str">
        <f>IF(DONNEES!$E626="","",DONNEES!L626)</f>
        <v/>
      </c>
      <c r="L626" t="str">
        <f>IF(DONNEES!$E626="","",DONNEES!M626)</f>
        <v/>
      </c>
      <c r="M626" t="str">
        <f>IF(DONNEES!$E626="","",DONNEES!N626)</f>
        <v/>
      </c>
      <c r="N626" t="str">
        <f>IF(DONNEES!$E626="","",DONNEES!O626)</f>
        <v/>
      </c>
      <c r="O626" t="str">
        <f>IF(DONNEES!$E626="","",DONNEES!P626)</f>
        <v/>
      </c>
      <c r="P626" t="str">
        <f>IF(DONNEES!$E626="","",DONNEES!Q626)</f>
        <v/>
      </c>
      <c r="Q626" t="str">
        <f>IF(DONNEES!$E626="","",DONNEES!R626)</f>
        <v/>
      </c>
      <c r="R626" t="str">
        <f>IF(DONNEES!$E626="","",DONNEES!S626)</f>
        <v/>
      </c>
      <c r="S626" t="str">
        <f>IF(DONNEES!$E626="","",DONNEES!T626)</f>
        <v/>
      </c>
      <c r="T626" t="str">
        <f>IF(DONNEES!$E626="","",DONNEES!U626)</f>
        <v/>
      </c>
      <c r="U626" t="str">
        <f>IF(DONNEES!$E626="","",DONNEES!V626)</f>
        <v/>
      </c>
      <c r="V626" t="str">
        <f>IF(DONNEES!$E626="","",DONNEES!W626)</f>
        <v/>
      </c>
      <c r="W626" t="str">
        <f>IF(DONNEES!$E626="","",DONNEES!X626)</f>
        <v/>
      </c>
      <c r="X626" t="str">
        <f>IF(DONNEES!$E626="","",DONNEES!Y626)</f>
        <v/>
      </c>
      <c r="Y626" t="str">
        <f>IF(DONNEES!$E626="","",DONNEES!Z626)</f>
        <v/>
      </c>
      <c r="Z626" t="str">
        <f>IF(DONNEES!$E626="","",DONNEES!AQ626)</f>
        <v/>
      </c>
    </row>
    <row r="627" spans="1:26" ht="15" customHeight="1" x14ac:dyDescent="0.3">
      <c r="A627" t="str">
        <f>IF(DONNEES!$E627="","",DONNEES!A627)</f>
        <v/>
      </c>
      <c r="B627" t="str">
        <f>IF(DONNEES!$E627="","",DONNEES!B627)</f>
        <v/>
      </c>
      <c r="C627" t="str">
        <f>IF(DONNEES!$E627="","",DONNEES!C627)</f>
        <v/>
      </c>
      <c r="D627" t="str">
        <f>IF(DONNEES!$E627="","",DONNEES!E627)</f>
        <v/>
      </c>
      <c r="E627" t="str">
        <f>IF(DONNEES!$E627="","",DONNEES!F627)</f>
        <v/>
      </c>
      <c r="F627" t="str">
        <f>IF(DONNEES!$E627="","",DONNEES!G627)</f>
        <v/>
      </c>
      <c r="G627" t="str">
        <f>IF(DONNEES!$E627="","",DONNEES!H627)</f>
        <v/>
      </c>
      <c r="H627" t="str">
        <f>IF(DONNEES!$E627="","",DONNEES!I627)</f>
        <v/>
      </c>
      <c r="I627" t="str">
        <f>IF(DONNEES!$E627="","",DONNEES!J627)</f>
        <v/>
      </c>
      <c r="J627" t="str">
        <f>IF(DONNEES!$E627="","",DONNEES!K627)</f>
        <v/>
      </c>
      <c r="K627" t="str">
        <f>IF(DONNEES!$E627="","",DONNEES!L627)</f>
        <v/>
      </c>
      <c r="L627" t="str">
        <f>IF(DONNEES!$E627="","",DONNEES!M627)</f>
        <v/>
      </c>
      <c r="M627" t="str">
        <f>IF(DONNEES!$E627="","",DONNEES!N627)</f>
        <v/>
      </c>
      <c r="N627" t="str">
        <f>IF(DONNEES!$E627="","",DONNEES!O627)</f>
        <v/>
      </c>
      <c r="O627" t="str">
        <f>IF(DONNEES!$E627="","",DONNEES!P627)</f>
        <v/>
      </c>
      <c r="P627" t="str">
        <f>IF(DONNEES!$E627="","",DONNEES!Q627)</f>
        <v/>
      </c>
      <c r="Q627" t="str">
        <f>IF(DONNEES!$E627="","",DONNEES!R627)</f>
        <v/>
      </c>
      <c r="R627" t="str">
        <f>IF(DONNEES!$E627="","",DONNEES!S627)</f>
        <v/>
      </c>
      <c r="S627" t="str">
        <f>IF(DONNEES!$E627="","",DONNEES!T627)</f>
        <v/>
      </c>
      <c r="T627" t="str">
        <f>IF(DONNEES!$E627="","",DONNEES!U627)</f>
        <v/>
      </c>
      <c r="U627" t="str">
        <f>IF(DONNEES!$E627="","",DONNEES!V627)</f>
        <v/>
      </c>
      <c r="V627" t="str">
        <f>IF(DONNEES!$E627="","",DONNEES!W627)</f>
        <v/>
      </c>
      <c r="W627" t="str">
        <f>IF(DONNEES!$E627="","",DONNEES!X627)</f>
        <v/>
      </c>
      <c r="X627" t="str">
        <f>IF(DONNEES!$E627="","",DONNEES!Y627)</f>
        <v/>
      </c>
      <c r="Y627" t="str">
        <f>IF(DONNEES!$E627="","",DONNEES!Z627)</f>
        <v/>
      </c>
      <c r="Z627" t="str">
        <f>IF(DONNEES!$E627="","",DONNEES!AQ627)</f>
        <v/>
      </c>
    </row>
    <row r="628" spans="1:26" ht="15" customHeight="1" x14ac:dyDescent="0.3">
      <c r="A628" t="str">
        <f>IF(DONNEES!$E628="","",DONNEES!A628)</f>
        <v/>
      </c>
      <c r="B628" t="str">
        <f>IF(DONNEES!$E628="","",DONNEES!B628)</f>
        <v/>
      </c>
      <c r="C628" t="str">
        <f>IF(DONNEES!$E628="","",DONNEES!C628)</f>
        <v/>
      </c>
      <c r="D628" t="str">
        <f>IF(DONNEES!$E628="","",DONNEES!E628)</f>
        <v/>
      </c>
      <c r="E628" t="str">
        <f>IF(DONNEES!$E628="","",DONNEES!F628)</f>
        <v/>
      </c>
      <c r="F628" t="str">
        <f>IF(DONNEES!$E628="","",DONNEES!G628)</f>
        <v/>
      </c>
      <c r="G628" t="str">
        <f>IF(DONNEES!$E628="","",DONNEES!H628)</f>
        <v/>
      </c>
      <c r="H628" t="str">
        <f>IF(DONNEES!$E628="","",DONNEES!I628)</f>
        <v/>
      </c>
      <c r="I628" t="str">
        <f>IF(DONNEES!$E628="","",DONNEES!J628)</f>
        <v/>
      </c>
      <c r="J628" t="str">
        <f>IF(DONNEES!$E628="","",DONNEES!K628)</f>
        <v/>
      </c>
      <c r="K628" t="str">
        <f>IF(DONNEES!$E628="","",DONNEES!L628)</f>
        <v/>
      </c>
      <c r="L628" t="str">
        <f>IF(DONNEES!$E628="","",DONNEES!M628)</f>
        <v/>
      </c>
      <c r="M628" t="str">
        <f>IF(DONNEES!$E628="","",DONNEES!N628)</f>
        <v/>
      </c>
      <c r="N628" t="str">
        <f>IF(DONNEES!$E628="","",DONNEES!O628)</f>
        <v/>
      </c>
      <c r="O628" t="str">
        <f>IF(DONNEES!$E628="","",DONNEES!P628)</f>
        <v/>
      </c>
      <c r="P628" t="str">
        <f>IF(DONNEES!$E628="","",DONNEES!Q628)</f>
        <v/>
      </c>
      <c r="Q628" t="str">
        <f>IF(DONNEES!$E628="","",DONNEES!R628)</f>
        <v/>
      </c>
      <c r="R628" t="str">
        <f>IF(DONNEES!$E628="","",DONNEES!S628)</f>
        <v/>
      </c>
      <c r="S628" t="str">
        <f>IF(DONNEES!$E628="","",DONNEES!T628)</f>
        <v/>
      </c>
      <c r="T628" t="str">
        <f>IF(DONNEES!$E628="","",DONNEES!U628)</f>
        <v/>
      </c>
      <c r="U628" t="str">
        <f>IF(DONNEES!$E628="","",DONNEES!V628)</f>
        <v/>
      </c>
      <c r="V628" t="str">
        <f>IF(DONNEES!$E628="","",DONNEES!W628)</f>
        <v/>
      </c>
      <c r="W628" t="str">
        <f>IF(DONNEES!$E628="","",DONNEES!X628)</f>
        <v/>
      </c>
      <c r="X628" t="str">
        <f>IF(DONNEES!$E628="","",DONNEES!Y628)</f>
        <v/>
      </c>
      <c r="Y628" t="str">
        <f>IF(DONNEES!$E628="","",DONNEES!Z628)</f>
        <v/>
      </c>
      <c r="Z628" t="str">
        <f>IF(DONNEES!$E628="","",DONNEES!AQ628)</f>
        <v/>
      </c>
    </row>
    <row r="629" spans="1:26" ht="15" customHeight="1" x14ac:dyDescent="0.3">
      <c r="A629" t="str">
        <f>IF(DONNEES!$E629="","",DONNEES!A629)</f>
        <v/>
      </c>
      <c r="B629" t="str">
        <f>IF(DONNEES!$E629="","",DONNEES!B629)</f>
        <v/>
      </c>
      <c r="C629" t="str">
        <f>IF(DONNEES!$E629="","",DONNEES!C629)</f>
        <v/>
      </c>
      <c r="D629" t="str">
        <f>IF(DONNEES!$E629="","",DONNEES!E629)</f>
        <v/>
      </c>
      <c r="E629" t="str">
        <f>IF(DONNEES!$E629="","",DONNEES!F629)</f>
        <v/>
      </c>
      <c r="F629" t="str">
        <f>IF(DONNEES!$E629="","",DONNEES!G629)</f>
        <v/>
      </c>
      <c r="G629" t="str">
        <f>IF(DONNEES!$E629="","",DONNEES!H629)</f>
        <v/>
      </c>
      <c r="H629" t="str">
        <f>IF(DONNEES!$E629="","",DONNEES!I629)</f>
        <v/>
      </c>
      <c r="I629" t="str">
        <f>IF(DONNEES!$E629="","",DONNEES!J629)</f>
        <v/>
      </c>
      <c r="J629" t="str">
        <f>IF(DONNEES!$E629="","",DONNEES!K629)</f>
        <v/>
      </c>
      <c r="K629" t="str">
        <f>IF(DONNEES!$E629="","",DONNEES!L629)</f>
        <v/>
      </c>
      <c r="L629" t="str">
        <f>IF(DONNEES!$E629="","",DONNEES!M629)</f>
        <v/>
      </c>
      <c r="M629" t="str">
        <f>IF(DONNEES!$E629="","",DONNEES!N629)</f>
        <v/>
      </c>
      <c r="N629" t="str">
        <f>IF(DONNEES!$E629="","",DONNEES!O629)</f>
        <v/>
      </c>
      <c r="O629" t="str">
        <f>IF(DONNEES!$E629="","",DONNEES!P629)</f>
        <v/>
      </c>
      <c r="P629" t="str">
        <f>IF(DONNEES!$E629="","",DONNEES!Q629)</f>
        <v/>
      </c>
      <c r="Q629" t="str">
        <f>IF(DONNEES!$E629="","",DONNEES!R629)</f>
        <v/>
      </c>
      <c r="R629" t="str">
        <f>IF(DONNEES!$E629="","",DONNEES!S629)</f>
        <v/>
      </c>
      <c r="S629" t="str">
        <f>IF(DONNEES!$E629="","",DONNEES!T629)</f>
        <v/>
      </c>
      <c r="T629" t="str">
        <f>IF(DONNEES!$E629="","",DONNEES!U629)</f>
        <v/>
      </c>
      <c r="U629" t="str">
        <f>IF(DONNEES!$E629="","",DONNEES!V629)</f>
        <v/>
      </c>
      <c r="V629" t="str">
        <f>IF(DONNEES!$E629="","",DONNEES!W629)</f>
        <v/>
      </c>
      <c r="W629" t="str">
        <f>IF(DONNEES!$E629="","",DONNEES!X629)</f>
        <v/>
      </c>
      <c r="X629" t="str">
        <f>IF(DONNEES!$E629="","",DONNEES!Y629)</f>
        <v/>
      </c>
      <c r="Y629" t="str">
        <f>IF(DONNEES!$E629="","",DONNEES!Z629)</f>
        <v/>
      </c>
      <c r="Z629" t="str">
        <f>IF(DONNEES!$E629="","",DONNEES!AQ629)</f>
        <v/>
      </c>
    </row>
    <row r="630" spans="1:26" ht="15" customHeight="1" x14ac:dyDescent="0.3">
      <c r="A630" t="str">
        <f>IF(DONNEES!$E630="","",DONNEES!A630)</f>
        <v/>
      </c>
      <c r="B630" t="str">
        <f>IF(DONNEES!$E630="","",DONNEES!B630)</f>
        <v/>
      </c>
      <c r="C630" t="str">
        <f>IF(DONNEES!$E630="","",DONNEES!C630)</f>
        <v/>
      </c>
      <c r="D630" t="str">
        <f>IF(DONNEES!$E630="","",DONNEES!E630)</f>
        <v/>
      </c>
      <c r="E630" t="str">
        <f>IF(DONNEES!$E630="","",DONNEES!F630)</f>
        <v/>
      </c>
      <c r="F630" t="str">
        <f>IF(DONNEES!$E630="","",DONNEES!G630)</f>
        <v/>
      </c>
      <c r="G630" t="str">
        <f>IF(DONNEES!$E630="","",DONNEES!H630)</f>
        <v/>
      </c>
      <c r="H630" t="str">
        <f>IF(DONNEES!$E630="","",DONNEES!I630)</f>
        <v/>
      </c>
      <c r="I630" t="str">
        <f>IF(DONNEES!$E630="","",DONNEES!J630)</f>
        <v/>
      </c>
      <c r="J630" t="str">
        <f>IF(DONNEES!$E630="","",DONNEES!K630)</f>
        <v/>
      </c>
      <c r="K630" t="str">
        <f>IF(DONNEES!$E630="","",DONNEES!L630)</f>
        <v/>
      </c>
      <c r="L630" t="str">
        <f>IF(DONNEES!$E630="","",DONNEES!M630)</f>
        <v/>
      </c>
      <c r="M630" t="str">
        <f>IF(DONNEES!$E630="","",DONNEES!N630)</f>
        <v/>
      </c>
      <c r="N630" t="str">
        <f>IF(DONNEES!$E630="","",DONNEES!O630)</f>
        <v/>
      </c>
      <c r="O630" t="str">
        <f>IF(DONNEES!$E630="","",DONNEES!P630)</f>
        <v/>
      </c>
      <c r="P630" t="str">
        <f>IF(DONNEES!$E630="","",DONNEES!Q630)</f>
        <v/>
      </c>
      <c r="Q630" t="str">
        <f>IF(DONNEES!$E630="","",DONNEES!R630)</f>
        <v/>
      </c>
      <c r="R630" t="str">
        <f>IF(DONNEES!$E630="","",DONNEES!S630)</f>
        <v/>
      </c>
      <c r="S630" t="str">
        <f>IF(DONNEES!$E630="","",DONNEES!T630)</f>
        <v/>
      </c>
      <c r="T630" t="str">
        <f>IF(DONNEES!$E630="","",DONNEES!U630)</f>
        <v/>
      </c>
      <c r="U630" t="str">
        <f>IF(DONNEES!$E630="","",DONNEES!V630)</f>
        <v/>
      </c>
      <c r="V630" t="str">
        <f>IF(DONNEES!$E630="","",DONNEES!W630)</f>
        <v/>
      </c>
      <c r="W630" t="str">
        <f>IF(DONNEES!$E630="","",DONNEES!X630)</f>
        <v/>
      </c>
      <c r="X630" t="str">
        <f>IF(DONNEES!$E630="","",DONNEES!Y630)</f>
        <v/>
      </c>
      <c r="Y630" t="str">
        <f>IF(DONNEES!$E630="","",DONNEES!Z630)</f>
        <v/>
      </c>
      <c r="Z630" t="str">
        <f>IF(DONNEES!$E630="","",DONNEES!AQ630)</f>
        <v/>
      </c>
    </row>
    <row r="631" spans="1:26" ht="15" customHeight="1" x14ac:dyDescent="0.3">
      <c r="A631" t="str">
        <f>IF(DONNEES!$E631="","",DONNEES!A631)</f>
        <v/>
      </c>
      <c r="B631" t="str">
        <f>IF(DONNEES!$E631="","",DONNEES!B631)</f>
        <v/>
      </c>
      <c r="C631" t="str">
        <f>IF(DONNEES!$E631="","",DONNEES!C631)</f>
        <v/>
      </c>
      <c r="D631" t="str">
        <f>IF(DONNEES!$E631="","",DONNEES!E631)</f>
        <v/>
      </c>
      <c r="E631" t="str">
        <f>IF(DONNEES!$E631="","",DONNEES!F631)</f>
        <v/>
      </c>
      <c r="F631" t="str">
        <f>IF(DONNEES!$E631="","",DONNEES!G631)</f>
        <v/>
      </c>
      <c r="G631" t="str">
        <f>IF(DONNEES!$E631="","",DONNEES!H631)</f>
        <v/>
      </c>
      <c r="H631" t="str">
        <f>IF(DONNEES!$E631="","",DONNEES!I631)</f>
        <v/>
      </c>
      <c r="I631" t="str">
        <f>IF(DONNEES!$E631="","",DONNEES!J631)</f>
        <v/>
      </c>
      <c r="J631" t="str">
        <f>IF(DONNEES!$E631="","",DONNEES!K631)</f>
        <v/>
      </c>
      <c r="K631" t="str">
        <f>IF(DONNEES!$E631="","",DONNEES!L631)</f>
        <v/>
      </c>
      <c r="L631" t="str">
        <f>IF(DONNEES!$E631="","",DONNEES!M631)</f>
        <v/>
      </c>
      <c r="M631" t="str">
        <f>IF(DONNEES!$E631="","",DONNEES!N631)</f>
        <v/>
      </c>
      <c r="N631" t="str">
        <f>IF(DONNEES!$E631="","",DONNEES!O631)</f>
        <v/>
      </c>
      <c r="O631" t="str">
        <f>IF(DONNEES!$E631="","",DONNEES!P631)</f>
        <v/>
      </c>
      <c r="P631" t="str">
        <f>IF(DONNEES!$E631="","",DONNEES!Q631)</f>
        <v/>
      </c>
      <c r="Q631" t="str">
        <f>IF(DONNEES!$E631="","",DONNEES!R631)</f>
        <v/>
      </c>
      <c r="R631" t="str">
        <f>IF(DONNEES!$E631="","",DONNEES!S631)</f>
        <v/>
      </c>
      <c r="S631" t="str">
        <f>IF(DONNEES!$E631="","",DONNEES!T631)</f>
        <v/>
      </c>
      <c r="T631" t="str">
        <f>IF(DONNEES!$E631="","",DONNEES!U631)</f>
        <v/>
      </c>
      <c r="U631" t="str">
        <f>IF(DONNEES!$E631="","",DONNEES!V631)</f>
        <v/>
      </c>
      <c r="V631" t="str">
        <f>IF(DONNEES!$E631="","",DONNEES!W631)</f>
        <v/>
      </c>
      <c r="W631" t="str">
        <f>IF(DONNEES!$E631="","",DONNEES!X631)</f>
        <v/>
      </c>
      <c r="X631" t="str">
        <f>IF(DONNEES!$E631="","",DONNEES!Y631)</f>
        <v/>
      </c>
      <c r="Y631" t="str">
        <f>IF(DONNEES!$E631="","",DONNEES!Z631)</f>
        <v/>
      </c>
      <c r="Z631" t="str">
        <f>IF(DONNEES!$E631="","",DONNEES!AQ631)</f>
        <v/>
      </c>
    </row>
    <row r="632" spans="1:26" ht="15" customHeight="1" x14ac:dyDescent="0.3">
      <c r="A632" t="str">
        <f>IF(DONNEES!$E632="","",DONNEES!A632)</f>
        <v/>
      </c>
      <c r="B632" t="str">
        <f>IF(DONNEES!$E632="","",DONNEES!B632)</f>
        <v/>
      </c>
      <c r="C632" t="str">
        <f>IF(DONNEES!$E632="","",DONNEES!C632)</f>
        <v/>
      </c>
      <c r="D632" t="str">
        <f>IF(DONNEES!$E632="","",DONNEES!E632)</f>
        <v/>
      </c>
      <c r="E632" t="str">
        <f>IF(DONNEES!$E632="","",DONNEES!F632)</f>
        <v/>
      </c>
      <c r="F632" t="str">
        <f>IF(DONNEES!$E632="","",DONNEES!G632)</f>
        <v/>
      </c>
      <c r="G632" t="str">
        <f>IF(DONNEES!$E632="","",DONNEES!H632)</f>
        <v/>
      </c>
      <c r="H632" t="str">
        <f>IF(DONNEES!$E632="","",DONNEES!I632)</f>
        <v/>
      </c>
      <c r="I632" t="str">
        <f>IF(DONNEES!$E632="","",DONNEES!J632)</f>
        <v/>
      </c>
      <c r="J632" t="str">
        <f>IF(DONNEES!$E632="","",DONNEES!K632)</f>
        <v/>
      </c>
      <c r="K632" t="str">
        <f>IF(DONNEES!$E632="","",DONNEES!L632)</f>
        <v/>
      </c>
      <c r="L632" t="str">
        <f>IF(DONNEES!$E632="","",DONNEES!M632)</f>
        <v/>
      </c>
      <c r="M632" t="str">
        <f>IF(DONNEES!$E632="","",DONNEES!N632)</f>
        <v/>
      </c>
      <c r="N632" t="str">
        <f>IF(DONNEES!$E632="","",DONNEES!O632)</f>
        <v/>
      </c>
      <c r="O632" t="str">
        <f>IF(DONNEES!$E632="","",DONNEES!P632)</f>
        <v/>
      </c>
      <c r="P632" t="str">
        <f>IF(DONNEES!$E632="","",DONNEES!Q632)</f>
        <v/>
      </c>
      <c r="Q632" t="str">
        <f>IF(DONNEES!$E632="","",DONNEES!R632)</f>
        <v/>
      </c>
      <c r="R632" t="str">
        <f>IF(DONNEES!$E632="","",DONNEES!S632)</f>
        <v/>
      </c>
      <c r="S632" t="str">
        <f>IF(DONNEES!$E632="","",DONNEES!T632)</f>
        <v/>
      </c>
      <c r="T632" t="str">
        <f>IF(DONNEES!$E632="","",DONNEES!U632)</f>
        <v/>
      </c>
      <c r="U632" t="str">
        <f>IF(DONNEES!$E632="","",DONNEES!V632)</f>
        <v/>
      </c>
      <c r="V632" t="str">
        <f>IF(DONNEES!$E632="","",DONNEES!W632)</f>
        <v/>
      </c>
      <c r="W632" t="str">
        <f>IF(DONNEES!$E632="","",DONNEES!X632)</f>
        <v/>
      </c>
      <c r="X632" t="str">
        <f>IF(DONNEES!$E632="","",DONNEES!Y632)</f>
        <v/>
      </c>
      <c r="Y632" t="str">
        <f>IF(DONNEES!$E632="","",DONNEES!Z632)</f>
        <v/>
      </c>
      <c r="Z632" t="str">
        <f>IF(DONNEES!$E632="","",DONNEES!AQ632)</f>
        <v/>
      </c>
    </row>
    <row r="633" spans="1:26" ht="15" customHeight="1" x14ac:dyDescent="0.3">
      <c r="A633" t="str">
        <f>IF(DONNEES!$E633="","",DONNEES!A633)</f>
        <v/>
      </c>
      <c r="B633" t="str">
        <f>IF(DONNEES!$E633="","",DONNEES!B633)</f>
        <v/>
      </c>
      <c r="C633" t="str">
        <f>IF(DONNEES!$E633="","",DONNEES!C633)</f>
        <v/>
      </c>
      <c r="D633" t="str">
        <f>IF(DONNEES!$E633="","",DONNEES!E633)</f>
        <v/>
      </c>
      <c r="E633" t="str">
        <f>IF(DONNEES!$E633="","",DONNEES!F633)</f>
        <v/>
      </c>
      <c r="F633" t="str">
        <f>IF(DONNEES!$E633="","",DONNEES!G633)</f>
        <v/>
      </c>
      <c r="G633" t="str">
        <f>IF(DONNEES!$E633="","",DONNEES!H633)</f>
        <v/>
      </c>
      <c r="H633" t="str">
        <f>IF(DONNEES!$E633="","",DONNEES!I633)</f>
        <v/>
      </c>
      <c r="I633" t="str">
        <f>IF(DONNEES!$E633="","",DONNEES!J633)</f>
        <v/>
      </c>
      <c r="J633" t="str">
        <f>IF(DONNEES!$E633="","",DONNEES!K633)</f>
        <v/>
      </c>
      <c r="K633" t="str">
        <f>IF(DONNEES!$E633="","",DONNEES!L633)</f>
        <v/>
      </c>
      <c r="L633" t="str">
        <f>IF(DONNEES!$E633="","",DONNEES!M633)</f>
        <v/>
      </c>
      <c r="M633" t="str">
        <f>IF(DONNEES!$E633="","",DONNEES!N633)</f>
        <v/>
      </c>
      <c r="N633" t="str">
        <f>IF(DONNEES!$E633="","",DONNEES!O633)</f>
        <v/>
      </c>
      <c r="O633" t="str">
        <f>IF(DONNEES!$E633="","",DONNEES!P633)</f>
        <v/>
      </c>
      <c r="P633" t="str">
        <f>IF(DONNEES!$E633="","",DONNEES!Q633)</f>
        <v/>
      </c>
      <c r="Q633" t="str">
        <f>IF(DONNEES!$E633="","",DONNEES!R633)</f>
        <v/>
      </c>
      <c r="R633" t="str">
        <f>IF(DONNEES!$E633="","",DONNEES!S633)</f>
        <v/>
      </c>
      <c r="S633" t="str">
        <f>IF(DONNEES!$E633="","",DONNEES!T633)</f>
        <v/>
      </c>
      <c r="T633" t="str">
        <f>IF(DONNEES!$E633="","",DONNEES!U633)</f>
        <v/>
      </c>
      <c r="U633" t="str">
        <f>IF(DONNEES!$E633="","",DONNEES!V633)</f>
        <v/>
      </c>
      <c r="V633" t="str">
        <f>IF(DONNEES!$E633="","",DONNEES!W633)</f>
        <v/>
      </c>
      <c r="W633" t="str">
        <f>IF(DONNEES!$E633="","",DONNEES!X633)</f>
        <v/>
      </c>
      <c r="X633" t="str">
        <f>IF(DONNEES!$E633="","",DONNEES!Y633)</f>
        <v/>
      </c>
      <c r="Y633" t="str">
        <f>IF(DONNEES!$E633="","",DONNEES!Z633)</f>
        <v/>
      </c>
      <c r="Z633" t="str">
        <f>IF(DONNEES!$E633="","",DONNEES!AQ633)</f>
        <v/>
      </c>
    </row>
    <row r="634" spans="1:26" ht="15" customHeight="1" x14ac:dyDescent="0.3">
      <c r="A634" t="str">
        <f>IF(DONNEES!$E634="","",DONNEES!A634)</f>
        <v/>
      </c>
      <c r="B634" t="str">
        <f>IF(DONNEES!$E634="","",DONNEES!B634)</f>
        <v/>
      </c>
      <c r="C634" t="str">
        <f>IF(DONNEES!$E634="","",DONNEES!C634)</f>
        <v/>
      </c>
      <c r="D634" t="str">
        <f>IF(DONNEES!$E634="","",DONNEES!E634)</f>
        <v/>
      </c>
      <c r="E634" t="str">
        <f>IF(DONNEES!$E634="","",DONNEES!F634)</f>
        <v/>
      </c>
      <c r="F634" t="str">
        <f>IF(DONNEES!$E634="","",DONNEES!G634)</f>
        <v/>
      </c>
      <c r="G634" t="str">
        <f>IF(DONNEES!$E634="","",DONNEES!H634)</f>
        <v/>
      </c>
      <c r="H634" t="str">
        <f>IF(DONNEES!$E634="","",DONNEES!I634)</f>
        <v/>
      </c>
      <c r="I634" t="str">
        <f>IF(DONNEES!$E634="","",DONNEES!J634)</f>
        <v/>
      </c>
      <c r="J634" t="str">
        <f>IF(DONNEES!$E634="","",DONNEES!K634)</f>
        <v/>
      </c>
      <c r="K634" t="str">
        <f>IF(DONNEES!$E634="","",DONNEES!L634)</f>
        <v/>
      </c>
      <c r="L634" t="str">
        <f>IF(DONNEES!$E634="","",DONNEES!M634)</f>
        <v/>
      </c>
      <c r="M634" t="str">
        <f>IF(DONNEES!$E634="","",DONNEES!N634)</f>
        <v/>
      </c>
      <c r="N634" t="str">
        <f>IF(DONNEES!$E634="","",DONNEES!O634)</f>
        <v/>
      </c>
      <c r="O634" t="str">
        <f>IF(DONNEES!$E634="","",DONNEES!P634)</f>
        <v/>
      </c>
      <c r="P634" t="str">
        <f>IF(DONNEES!$E634="","",DONNEES!Q634)</f>
        <v/>
      </c>
      <c r="Q634" t="str">
        <f>IF(DONNEES!$E634="","",DONNEES!R634)</f>
        <v/>
      </c>
      <c r="R634" t="str">
        <f>IF(DONNEES!$E634="","",DONNEES!S634)</f>
        <v/>
      </c>
      <c r="S634" t="str">
        <f>IF(DONNEES!$E634="","",DONNEES!T634)</f>
        <v/>
      </c>
      <c r="T634" t="str">
        <f>IF(DONNEES!$E634="","",DONNEES!U634)</f>
        <v/>
      </c>
      <c r="U634" t="str">
        <f>IF(DONNEES!$E634="","",DONNEES!V634)</f>
        <v/>
      </c>
      <c r="V634" t="str">
        <f>IF(DONNEES!$E634="","",DONNEES!W634)</f>
        <v/>
      </c>
      <c r="W634" t="str">
        <f>IF(DONNEES!$E634="","",DONNEES!X634)</f>
        <v/>
      </c>
      <c r="X634" t="str">
        <f>IF(DONNEES!$E634="","",DONNEES!Y634)</f>
        <v/>
      </c>
      <c r="Y634" t="str">
        <f>IF(DONNEES!$E634="","",DONNEES!Z634)</f>
        <v/>
      </c>
      <c r="Z634" t="str">
        <f>IF(DONNEES!$E634="","",DONNEES!AQ634)</f>
        <v/>
      </c>
    </row>
    <row r="635" spans="1:26" ht="15" customHeight="1" x14ac:dyDescent="0.3">
      <c r="A635" t="str">
        <f>IF(DONNEES!$E635="","",DONNEES!A635)</f>
        <v/>
      </c>
      <c r="B635" t="str">
        <f>IF(DONNEES!$E635="","",DONNEES!B635)</f>
        <v/>
      </c>
      <c r="C635" t="str">
        <f>IF(DONNEES!$E635="","",DONNEES!C635)</f>
        <v/>
      </c>
      <c r="D635" t="str">
        <f>IF(DONNEES!$E635="","",DONNEES!E635)</f>
        <v/>
      </c>
      <c r="E635" t="str">
        <f>IF(DONNEES!$E635="","",DONNEES!F635)</f>
        <v/>
      </c>
      <c r="F635" t="str">
        <f>IF(DONNEES!$E635="","",DONNEES!G635)</f>
        <v/>
      </c>
      <c r="G635" t="str">
        <f>IF(DONNEES!$E635="","",DONNEES!H635)</f>
        <v/>
      </c>
      <c r="H635" t="str">
        <f>IF(DONNEES!$E635="","",DONNEES!I635)</f>
        <v/>
      </c>
      <c r="I635" t="str">
        <f>IF(DONNEES!$E635="","",DONNEES!J635)</f>
        <v/>
      </c>
      <c r="J635" t="str">
        <f>IF(DONNEES!$E635="","",DONNEES!K635)</f>
        <v/>
      </c>
      <c r="K635" t="str">
        <f>IF(DONNEES!$E635="","",DONNEES!L635)</f>
        <v/>
      </c>
      <c r="L635" t="str">
        <f>IF(DONNEES!$E635="","",DONNEES!M635)</f>
        <v/>
      </c>
      <c r="M635" t="str">
        <f>IF(DONNEES!$E635="","",DONNEES!N635)</f>
        <v/>
      </c>
      <c r="N635" t="str">
        <f>IF(DONNEES!$E635="","",DONNEES!O635)</f>
        <v/>
      </c>
      <c r="O635" t="str">
        <f>IF(DONNEES!$E635="","",DONNEES!P635)</f>
        <v/>
      </c>
      <c r="P635" t="str">
        <f>IF(DONNEES!$E635="","",DONNEES!Q635)</f>
        <v/>
      </c>
      <c r="Q635" t="str">
        <f>IF(DONNEES!$E635="","",DONNEES!R635)</f>
        <v/>
      </c>
      <c r="R635" t="str">
        <f>IF(DONNEES!$E635="","",DONNEES!S635)</f>
        <v/>
      </c>
      <c r="S635" t="str">
        <f>IF(DONNEES!$E635="","",DONNEES!T635)</f>
        <v/>
      </c>
      <c r="T635" t="str">
        <f>IF(DONNEES!$E635="","",DONNEES!U635)</f>
        <v/>
      </c>
      <c r="U635" t="str">
        <f>IF(DONNEES!$E635="","",DONNEES!V635)</f>
        <v/>
      </c>
      <c r="V635" t="str">
        <f>IF(DONNEES!$E635="","",DONNEES!W635)</f>
        <v/>
      </c>
      <c r="W635" t="str">
        <f>IF(DONNEES!$E635="","",DONNEES!X635)</f>
        <v/>
      </c>
      <c r="X635" t="str">
        <f>IF(DONNEES!$E635="","",DONNEES!Y635)</f>
        <v/>
      </c>
      <c r="Y635" t="str">
        <f>IF(DONNEES!$E635="","",DONNEES!Z635)</f>
        <v/>
      </c>
      <c r="Z635" t="str">
        <f>IF(DONNEES!$E635="","",DONNEES!AQ635)</f>
        <v/>
      </c>
    </row>
    <row r="636" spans="1:26" ht="15" customHeight="1" x14ac:dyDescent="0.3">
      <c r="A636" t="str">
        <f>IF(DONNEES!$E636="","",DONNEES!A636)</f>
        <v/>
      </c>
      <c r="B636" t="str">
        <f>IF(DONNEES!$E636="","",DONNEES!B636)</f>
        <v/>
      </c>
      <c r="C636" t="str">
        <f>IF(DONNEES!$E636="","",DONNEES!C636)</f>
        <v/>
      </c>
      <c r="D636" t="str">
        <f>IF(DONNEES!$E636="","",DONNEES!E636)</f>
        <v/>
      </c>
      <c r="E636" t="str">
        <f>IF(DONNEES!$E636="","",DONNEES!F636)</f>
        <v/>
      </c>
      <c r="F636" t="str">
        <f>IF(DONNEES!$E636="","",DONNEES!G636)</f>
        <v/>
      </c>
      <c r="G636" t="str">
        <f>IF(DONNEES!$E636="","",DONNEES!H636)</f>
        <v/>
      </c>
      <c r="H636" t="str">
        <f>IF(DONNEES!$E636="","",DONNEES!I636)</f>
        <v/>
      </c>
      <c r="I636" t="str">
        <f>IF(DONNEES!$E636="","",DONNEES!J636)</f>
        <v/>
      </c>
      <c r="J636" t="str">
        <f>IF(DONNEES!$E636="","",DONNEES!K636)</f>
        <v/>
      </c>
      <c r="K636" t="str">
        <f>IF(DONNEES!$E636="","",DONNEES!L636)</f>
        <v/>
      </c>
      <c r="L636" t="str">
        <f>IF(DONNEES!$E636="","",DONNEES!M636)</f>
        <v/>
      </c>
      <c r="M636" t="str">
        <f>IF(DONNEES!$E636="","",DONNEES!N636)</f>
        <v/>
      </c>
      <c r="N636" t="str">
        <f>IF(DONNEES!$E636="","",DONNEES!O636)</f>
        <v/>
      </c>
      <c r="O636" t="str">
        <f>IF(DONNEES!$E636="","",DONNEES!P636)</f>
        <v/>
      </c>
      <c r="P636" t="str">
        <f>IF(DONNEES!$E636="","",DONNEES!Q636)</f>
        <v/>
      </c>
      <c r="Q636" t="str">
        <f>IF(DONNEES!$E636="","",DONNEES!R636)</f>
        <v/>
      </c>
      <c r="R636" t="str">
        <f>IF(DONNEES!$E636="","",DONNEES!S636)</f>
        <v/>
      </c>
      <c r="S636" t="str">
        <f>IF(DONNEES!$E636="","",DONNEES!T636)</f>
        <v/>
      </c>
      <c r="T636" t="str">
        <f>IF(DONNEES!$E636="","",DONNEES!U636)</f>
        <v/>
      </c>
      <c r="U636" t="str">
        <f>IF(DONNEES!$E636="","",DONNEES!V636)</f>
        <v/>
      </c>
      <c r="V636" t="str">
        <f>IF(DONNEES!$E636="","",DONNEES!W636)</f>
        <v/>
      </c>
      <c r="W636" t="str">
        <f>IF(DONNEES!$E636="","",DONNEES!X636)</f>
        <v/>
      </c>
      <c r="X636" t="str">
        <f>IF(DONNEES!$E636="","",DONNEES!Y636)</f>
        <v/>
      </c>
      <c r="Y636" t="str">
        <f>IF(DONNEES!$E636="","",DONNEES!Z636)</f>
        <v/>
      </c>
      <c r="Z636" t="str">
        <f>IF(DONNEES!$E636="","",DONNEES!AQ636)</f>
        <v/>
      </c>
    </row>
    <row r="637" spans="1:26" ht="15" customHeight="1" x14ac:dyDescent="0.3">
      <c r="A637" t="str">
        <f>IF(DONNEES!$E637="","",DONNEES!A637)</f>
        <v/>
      </c>
      <c r="B637" t="str">
        <f>IF(DONNEES!$E637="","",DONNEES!B637)</f>
        <v/>
      </c>
      <c r="C637" t="str">
        <f>IF(DONNEES!$E637="","",DONNEES!C637)</f>
        <v/>
      </c>
      <c r="D637" t="str">
        <f>IF(DONNEES!$E637="","",DONNEES!E637)</f>
        <v/>
      </c>
      <c r="E637" t="str">
        <f>IF(DONNEES!$E637="","",DONNEES!F637)</f>
        <v/>
      </c>
      <c r="F637" t="str">
        <f>IF(DONNEES!$E637="","",DONNEES!G637)</f>
        <v/>
      </c>
      <c r="G637" t="str">
        <f>IF(DONNEES!$E637="","",DONNEES!H637)</f>
        <v/>
      </c>
      <c r="H637" t="str">
        <f>IF(DONNEES!$E637="","",DONNEES!I637)</f>
        <v/>
      </c>
      <c r="I637" t="str">
        <f>IF(DONNEES!$E637="","",DONNEES!J637)</f>
        <v/>
      </c>
      <c r="J637" t="str">
        <f>IF(DONNEES!$E637="","",DONNEES!K637)</f>
        <v/>
      </c>
      <c r="K637" t="str">
        <f>IF(DONNEES!$E637="","",DONNEES!L637)</f>
        <v/>
      </c>
      <c r="L637" t="str">
        <f>IF(DONNEES!$E637="","",DONNEES!M637)</f>
        <v/>
      </c>
      <c r="M637" t="str">
        <f>IF(DONNEES!$E637="","",DONNEES!N637)</f>
        <v/>
      </c>
      <c r="N637" t="str">
        <f>IF(DONNEES!$E637="","",DONNEES!O637)</f>
        <v/>
      </c>
      <c r="O637" t="str">
        <f>IF(DONNEES!$E637="","",DONNEES!P637)</f>
        <v/>
      </c>
      <c r="P637" t="str">
        <f>IF(DONNEES!$E637="","",DONNEES!Q637)</f>
        <v/>
      </c>
      <c r="Q637" t="str">
        <f>IF(DONNEES!$E637="","",DONNEES!R637)</f>
        <v/>
      </c>
      <c r="R637" t="str">
        <f>IF(DONNEES!$E637="","",DONNEES!S637)</f>
        <v/>
      </c>
      <c r="S637" t="str">
        <f>IF(DONNEES!$E637="","",DONNEES!T637)</f>
        <v/>
      </c>
      <c r="T637" t="str">
        <f>IF(DONNEES!$E637="","",DONNEES!U637)</f>
        <v/>
      </c>
      <c r="U637" t="str">
        <f>IF(DONNEES!$E637="","",DONNEES!V637)</f>
        <v/>
      </c>
      <c r="V637" t="str">
        <f>IF(DONNEES!$E637="","",DONNEES!W637)</f>
        <v/>
      </c>
      <c r="W637" t="str">
        <f>IF(DONNEES!$E637="","",DONNEES!X637)</f>
        <v/>
      </c>
      <c r="X637" t="str">
        <f>IF(DONNEES!$E637="","",DONNEES!Y637)</f>
        <v/>
      </c>
      <c r="Y637" t="str">
        <f>IF(DONNEES!$E637="","",DONNEES!Z637)</f>
        <v/>
      </c>
      <c r="Z637" t="str">
        <f>IF(DONNEES!$E637="","",DONNEES!AQ637)</f>
        <v/>
      </c>
    </row>
    <row r="638" spans="1:26" ht="15" customHeight="1" x14ac:dyDescent="0.3">
      <c r="A638" t="str">
        <f>IF(DONNEES!$E638="","",DONNEES!A638)</f>
        <v/>
      </c>
      <c r="B638" t="str">
        <f>IF(DONNEES!$E638="","",DONNEES!B638)</f>
        <v/>
      </c>
      <c r="C638" t="str">
        <f>IF(DONNEES!$E638="","",DONNEES!C638)</f>
        <v/>
      </c>
      <c r="D638" t="str">
        <f>IF(DONNEES!$E638="","",DONNEES!E638)</f>
        <v/>
      </c>
      <c r="E638" t="str">
        <f>IF(DONNEES!$E638="","",DONNEES!F638)</f>
        <v/>
      </c>
      <c r="F638" t="str">
        <f>IF(DONNEES!$E638="","",DONNEES!G638)</f>
        <v/>
      </c>
      <c r="G638" t="str">
        <f>IF(DONNEES!$E638="","",DONNEES!H638)</f>
        <v/>
      </c>
      <c r="H638" t="str">
        <f>IF(DONNEES!$E638="","",DONNEES!I638)</f>
        <v/>
      </c>
      <c r="I638" t="str">
        <f>IF(DONNEES!$E638="","",DONNEES!J638)</f>
        <v/>
      </c>
      <c r="J638" t="str">
        <f>IF(DONNEES!$E638="","",DONNEES!K638)</f>
        <v/>
      </c>
      <c r="K638" t="str">
        <f>IF(DONNEES!$E638="","",DONNEES!L638)</f>
        <v/>
      </c>
      <c r="L638" t="str">
        <f>IF(DONNEES!$E638="","",DONNEES!M638)</f>
        <v/>
      </c>
      <c r="M638" t="str">
        <f>IF(DONNEES!$E638="","",DONNEES!N638)</f>
        <v/>
      </c>
      <c r="N638" t="str">
        <f>IF(DONNEES!$E638="","",DONNEES!O638)</f>
        <v/>
      </c>
      <c r="O638" t="str">
        <f>IF(DONNEES!$E638="","",DONNEES!P638)</f>
        <v/>
      </c>
      <c r="P638" t="str">
        <f>IF(DONNEES!$E638="","",DONNEES!Q638)</f>
        <v/>
      </c>
      <c r="Q638" t="str">
        <f>IF(DONNEES!$E638="","",DONNEES!R638)</f>
        <v/>
      </c>
      <c r="R638" t="str">
        <f>IF(DONNEES!$E638="","",DONNEES!S638)</f>
        <v/>
      </c>
      <c r="S638" t="str">
        <f>IF(DONNEES!$E638="","",DONNEES!T638)</f>
        <v/>
      </c>
      <c r="T638" t="str">
        <f>IF(DONNEES!$E638="","",DONNEES!U638)</f>
        <v/>
      </c>
      <c r="U638" t="str">
        <f>IF(DONNEES!$E638="","",DONNEES!V638)</f>
        <v/>
      </c>
      <c r="V638" t="str">
        <f>IF(DONNEES!$E638="","",DONNEES!W638)</f>
        <v/>
      </c>
      <c r="W638" t="str">
        <f>IF(DONNEES!$E638="","",DONNEES!X638)</f>
        <v/>
      </c>
      <c r="X638" t="str">
        <f>IF(DONNEES!$E638="","",DONNEES!Y638)</f>
        <v/>
      </c>
      <c r="Y638" t="str">
        <f>IF(DONNEES!$E638="","",DONNEES!Z638)</f>
        <v/>
      </c>
      <c r="Z638" t="str">
        <f>IF(DONNEES!$E638="","",DONNEES!AQ638)</f>
        <v/>
      </c>
    </row>
    <row r="639" spans="1:26" ht="15" customHeight="1" x14ac:dyDescent="0.3">
      <c r="A639" t="str">
        <f>IF(DONNEES!$E639="","",DONNEES!A639)</f>
        <v/>
      </c>
      <c r="B639" t="str">
        <f>IF(DONNEES!$E639="","",DONNEES!B639)</f>
        <v/>
      </c>
      <c r="C639" t="str">
        <f>IF(DONNEES!$E639="","",DONNEES!C639)</f>
        <v/>
      </c>
      <c r="D639" t="str">
        <f>IF(DONNEES!$E639="","",DONNEES!E639)</f>
        <v/>
      </c>
      <c r="E639" t="str">
        <f>IF(DONNEES!$E639="","",DONNEES!F639)</f>
        <v/>
      </c>
      <c r="F639" t="str">
        <f>IF(DONNEES!$E639="","",DONNEES!G639)</f>
        <v/>
      </c>
      <c r="G639" t="str">
        <f>IF(DONNEES!$E639="","",DONNEES!H639)</f>
        <v/>
      </c>
      <c r="H639" t="str">
        <f>IF(DONNEES!$E639="","",DONNEES!I639)</f>
        <v/>
      </c>
      <c r="I639" t="str">
        <f>IF(DONNEES!$E639="","",DONNEES!J639)</f>
        <v/>
      </c>
      <c r="J639" t="str">
        <f>IF(DONNEES!$E639="","",DONNEES!K639)</f>
        <v/>
      </c>
      <c r="K639" t="str">
        <f>IF(DONNEES!$E639="","",DONNEES!L639)</f>
        <v/>
      </c>
      <c r="L639" t="str">
        <f>IF(DONNEES!$E639="","",DONNEES!M639)</f>
        <v/>
      </c>
      <c r="M639" t="str">
        <f>IF(DONNEES!$E639="","",DONNEES!N639)</f>
        <v/>
      </c>
      <c r="N639" t="str">
        <f>IF(DONNEES!$E639="","",DONNEES!O639)</f>
        <v/>
      </c>
      <c r="O639" t="str">
        <f>IF(DONNEES!$E639="","",DONNEES!P639)</f>
        <v/>
      </c>
      <c r="P639" t="str">
        <f>IF(DONNEES!$E639="","",DONNEES!Q639)</f>
        <v/>
      </c>
      <c r="Q639" t="str">
        <f>IF(DONNEES!$E639="","",DONNEES!R639)</f>
        <v/>
      </c>
      <c r="R639" t="str">
        <f>IF(DONNEES!$E639="","",DONNEES!S639)</f>
        <v/>
      </c>
      <c r="S639" t="str">
        <f>IF(DONNEES!$E639="","",DONNEES!T639)</f>
        <v/>
      </c>
      <c r="T639" t="str">
        <f>IF(DONNEES!$E639="","",DONNEES!U639)</f>
        <v/>
      </c>
      <c r="U639" t="str">
        <f>IF(DONNEES!$E639="","",DONNEES!V639)</f>
        <v/>
      </c>
      <c r="V639" t="str">
        <f>IF(DONNEES!$E639="","",DONNEES!W639)</f>
        <v/>
      </c>
      <c r="W639" t="str">
        <f>IF(DONNEES!$E639="","",DONNEES!X639)</f>
        <v/>
      </c>
      <c r="X639" t="str">
        <f>IF(DONNEES!$E639="","",DONNEES!Y639)</f>
        <v/>
      </c>
      <c r="Y639" t="str">
        <f>IF(DONNEES!$E639="","",DONNEES!Z639)</f>
        <v/>
      </c>
      <c r="Z639" t="str">
        <f>IF(DONNEES!$E639="","",DONNEES!AQ639)</f>
        <v/>
      </c>
    </row>
    <row r="640" spans="1:26" ht="15" customHeight="1" x14ac:dyDescent="0.3">
      <c r="A640" t="str">
        <f>IF(DONNEES!$E640="","",DONNEES!A640)</f>
        <v/>
      </c>
      <c r="B640" t="str">
        <f>IF(DONNEES!$E640="","",DONNEES!B640)</f>
        <v/>
      </c>
      <c r="C640" t="str">
        <f>IF(DONNEES!$E640="","",DONNEES!C640)</f>
        <v/>
      </c>
      <c r="D640" t="str">
        <f>IF(DONNEES!$E640="","",DONNEES!E640)</f>
        <v/>
      </c>
      <c r="E640" t="str">
        <f>IF(DONNEES!$E640="","",DONNEES!F640)</f>
        <v/>
      </c>
      <c r="F640" t="str">
        <f>IF(DONNEES!$E640="","",DONNEES!G640)</f>
        <v/>
      </c>
      <c r="G640" t="str">
        <f>IF(DONNEES!$E640="","",DONNEES!H640)</f>
        <v/>
      </c>
      <c r="H640" t="str">
        <f>IF(DONNEES!$E640="","",DONNEES!I640)</f>
        <v/>
      </c>
      <c r="I640" t="str">
        <f>IF(DONNEES!$E640="","",DONNEES!J640)</f>
        <v/>
      </c>
      <c r="J640" t="str">
        <f>IF(DONNEES!$E640="","",DONNEES!K640)</f>
        <v/>
      </c>
      <c r="K640" t="str">
        <f>IF(DONNEES!$E640="","",DONNEES!L640)</f>
        <v/>
      </c>
      <c r="L640" t="str">
        <f>IF(DONNEES!$E640="","",DONNEES!M640)</f>
        <v/>
      </c>
      <c r="M640" t="str">
        <f>IF(DONNEES!$E640="","",DONNEES!N640)</f>
        <v/>
      </c>
      <c r="N640" t="str">
        <f>IF(DONNEES!$E640="","",DONNEES!O640)</f>
        <v/>
      </c>
      <c r="O640" t="str">
        <f>IF(DONNEES!$E640="","",DONNEES!P640)</f>
        <v/>
      </c>
      <c r="P640" t="str">
        <f>IF(DONNEES!$E640="","",DONNEES!Q640)</f>
        <v/>
      </c>
      <c r="Q640" t="str">
        <f>IF(DONNEES!$E640="","",DONNEES!R640)</f>
        <v/>
      </c>
      <c r="R640" t="str">
        <f>IF(DONNEES!$E640="","",DONNEES!S640)</f>
        <v/>
      </c>
      <c r="S640" t="str">
        <f>IF(DONNEES!$E640="","",DONNEES!T640)</f>
        <v/>
      </c>
      <c r="T640" t="str">
        <f>IF(DONNEES!$E640="","",DONNEES!U640)</f>
        <v/>
      </c>
      <c r="U640" t="str">
        <f>IF(DONNEES!$E640="","",DONNEES!V640)</f>
        <v/>
      </c>
      <c r="V640" t="str">
        <f>IF(DONNEES!$E640="","",DONNEES!W640)</f>
        <v/>
      </c>
      <c r="W640" t="str">
        <f>IF(DONNEES!$E640="","",DONNEES!X640)</f>
        <v/>
      </c>
      <c r="X640" t="str">
        <f>IF(DONNEES!$E640="","",DONNEES!Y640)</f>
        <v/>
      </c>
      <c r="Y640" t="str">
        <f>IF(DONNEES!$E640="","",DONNEES!Z640)</f>
        <v/>
      </c>
      <c r="Z640" t="str">
        <f>IF(DONNEES!$E640="","",DONNEES!AQ640)</f>
        <v/>
      </c>
    </row>
    <row r="641" spans="1:26" ht="15" customHeight="1" x14ac:dyDescent="0.3">
      <c r="A641" t="str">
        <f>IF(DONNEES!$E641="","",DONNEES!A641)</f>
        <v/>
      </c>
      <c r="B641" t="str">
        <f>IF(DONNEES!$E641="","",DONNEES!B641)</f>
        <v/>
      </c>
      <c r="C641" t="str">
        <f>IF(DONNEES!$E641="","",DONNEES!C641)</f>
        <v/>
      </c>
      <c r="D641" t="str">
        <f>IF(DONNEES!$E641="","",DONNEES!E641)</f>
        <v/>
      </c>
      <c r="E641" t="str">
        <f>IF(DONNEES!$E641="","",DONNEES!F641)</f>
        <v/>
      </c>
      <c r="F641" t="str">
        <f>IF(DONNEES!$E641="","",DONNEES!G641)</f>
        <v/>
      </c>
      <c r="G641" t="str">
        <f>IF(DONNEES!$E641="","",DONNEES!H641)</f>
        <v/>
      </c>
      <c r="H641" t="str">
        <f>IF(DONNEES!$E641="","",DONNEES!I641)</f>
        <v/>
      </c>
      <c r="I641" t="str">
        <f>IF(DONNEES!$E641="","",DONNEES!J641)</f>
        <v/>
      </c>
      <c r="J641" t="str">
        <f>IF(DONNEES!$E641="","",DONNEES!K641)</f>
        <v/>
      </c>
      <c r="K641" t="str">
        <f>IF(DONNEES!$E641="","",DONNEES!L641)</f>
        <v/>
      </c>
      <c r="L641" t="str">
        <f>IF(DONNEES!$E641="","",DONNEES!M641)</f>
        <v/>
      </c>
      <c r="M641" t="str">
        <f>IF(DONNEES!$E641="","",DONNEES!N641)</f>
        <v/>
      </c>
      <c r="N641" t="str">
        <f>IF(DONNEES!$E641="","",DONNEES!O641)</f>
        <v/>
      </c>
      <c r="O641" t="str">
        <f>IF(DONNEES!$E641="","",DONNEES!P641)</f>
        <v/>
      </c>
      <c r="P641" t="str">
        <f>IF(DONNEES!$E641="","",DONNEES!Q641)</f>
        <v/>
      </c>
      <c r="Q641" t="str">
        <f>IF(DONNEES!$E641="","",DONNEES!R641)</f>
        <v/>
      </c>
      <c r="R641" t="str">
        <f>IF(DONNEES!$E641="","",DONNEES!S641)</f>
        <v/>
      </c>
      <c r="S641" t="str">
        <f>IF(DONNEES!$E641="","",DONNEES!T641)</f>
        <v/>
      </c>
      <c r="T641" t="str">
        <f>IF(DONNEES!$E641="","",DONNEES!U641)</f>
        <v/>
      </c>
      <c r="U641" t="str">
        <f>IF(DONNEES!$E641="","",DONNEES!V641)</f>
        <v/>
      </c>
      <c r="V641" t="str">
        <f>IF(DONNEES!$E641="","",DONNEES!W641)</f>
        <v/>
      </c>
      <c r="W641" t="str">
        <f>IF(DONNEES!$E641="","",DONNEES!X641)</f>
        <v/>
      </c>
      <c r="X641" t="str">
        <f>IF(DONNEES!$E641="","",DONNEES!Y641)</f>
        <v/>
      </c>
      <c r="Y641" t="str">
        <f>IF(DONNEES!$E641="","",DONNEES!Z641)</f>
        <v/>
      </c>
      <c r="Z641" t="str">
        <f>IF(DONNEES!$E641="","",DONNEES!AQ641)</f>
        <v/>
      </c>
    </row>
    <row r="642" spans="1:26" ht="15" customHeight="1" x14ac:dyDescent="0.3">
      <c r="A642" t="str">
        <f>IF(DONNEES!$E642="","",DONNEES!A642)</f>
        <v/>
      </c>
      <c r="B642" t="str">
        <f>IF(DONNEES!$E642="","",DONNEES!B642)</f>
        <v/>
      </c>
      <c r="C642" t="str">
        <f>IF(DONNEES!$E642="","",DONNEES!C642)</f>
        <v/>
      </c>
      <c r="D642" t="str">
        <f>IF(DONNEES!$E642="","",DONNEES!E642)</f>
        <v/>
      </c>
      <c r="E642" t="str">
        <f>IF(DONNEES!$E642="","",DONNEES!F642)</f>
        <v/>
      </c>
      <c r="F642" t="str">
        <f>IF(DONNEES!$E642="","",DONNEES!G642)</f>
        <v/>
      </c>
      <c r="G642" t="str">
        <f>IF(DONNEES!$E642="","",DONNEES!H642)</f>
        <v/>
      </c>
      <c r="H642" t="str">
        <f>IF(DONNEES!$E642="","",DONNEES!I642)</f>
        <v/>
      </c>
      <c r="I642" t="str">
        <f>IF(DONNEES!$E642="","",DONNEES!J642)</f>
        <v/>
      </c>
      <c r="J642" t="str">
        <f>IF(DONNEES!$E642="","",DONNEES!K642)</f>
        <v/>
      </c>
      <c r="K642" t="str">
        <f>IF(DONNEES!$E642="","",DONNEES!L642)</f>
        <v/>
      </c>
      <c r="L642" t="str">
        <f>IF(DONNEES!$E642="","",DONNEES!M642)</f>
        <v/>
      </c>
      <c r="M642" t="str">
        <f>IF(DONNEES!$E642="","",DONNEES!N642)</f>
        <v/>
      </c>
      <c r="N642" t="str">
        <f>IF(DONNEES!$E642="","",DONNEES!O642)</f>
        <v/>
      </c>
      <c r="O642" t="str">
        <f>IF(DONNEES!$E642="","",DONNEES!P642)</f>
        <v/>
      </c>
      <c r="P642" t="str">
        <f>IF(DONNEES!$E642="","",DONNEES!Q642)</f>
        <v/>
      </c>
      <c r="Q642" t="str">
        <f>IF(DONNEES!$E642="","",DONNEES!R642)</f>
        <v/>
      </c>
      <c r="R642" t="str">
        <f>IF(DONNEES!$E642="","",DONNEES!S642)</f>
        <v/>
      </c>
      <c r="S642" t="str">
        <f>IF(DONNEES!$E642="","",DONNEES!T642)</f>
        <v/>
      </c>
      <c r="T642" t="str">
        <f>IF(DONNEES!$E642="","",DONNEES!U642)</f>
        <v/>
      </c>
      <c r="U642" t="str">
        <f>IF(DONNEES!$E642="","",DONNEES!V642)</f>
        <v/>
      </c>
      <c r="V642" t="str">
        <f>IF(DONNEES!$E642="","",DONNEES!W642)</f>
        <v/>
      </c>
      <c r="W642" t="str">
        <f>IF(DONNEES!$E642="","",DONNEES!X642)</f>
        <v/>
      </c>
      <c r="X642" t="str">
        <f>IF(DONNEES!$E642="","",DONNEES!Y642)</f>
        <v/>
      </c>
      <c r="Y642" t="str">
        <f>IF(DONNEES!$E642="","",DONNEES!Z642)</f>
        <v/>
      </c>
      <c r="Z642" t="str">
        <f>IF(DONNEES!$E642="","",DONNEES!AQ642)</f>
        <v/>
      </c>
    </row>
    <row r="643" spans="1:26" ht="15" customHeight="1" x14ac:dyDescent="0.3">
      <c r="A643" t="str">
        <f>IF(DONNEES!$E643="","",DONNEES!A643)</f>
        <v/>
      </c>
      <c r="B643" t="str">
        <f>IF(DONNEES!$E643="","",DONNEES!B643)</f>
        <v/>
      </c>
      <c r="C643" t="str">
        <f>IF(DONNEES!$E643="","",DONNEES!C643)</f>
        <v/>
      </c>
      <c r="D643" t="str">
        <f>IF(DONNEES!$E643="","",DONNEES!E643)</f>
        <v/>
      </c>
      <c r="E643" t="str">
        <f>IF(DONNEES!$E643="","",DONNEES!F643)</f>
        <v/>
      </c>
      <c r="F643" t="str">
        <f>IF(DONNEES!$E643="","",DONNEES!G643)</f>
        <v/>
      </c>
      <c r="G643" t="str">
        <f>IF(DONNEES!$E643="","",DONNEES!H643)</f>
        <v/>
      </c>
      <c r="H643" t="str">
        <f>IF(DONNEES!$E643="","",DONNEES!I643)</f>
        <v/>
      </c>
      <c r="I643" t="str">
        <f>IF(DONNEES!$E643="","",DONNEES!J643)</f>
        <v/>
      </c>
      <c r="J643" t="str">
        <f>IF(DONNEES!$E643="","",DONNEES!K643)</f>
        <v/>
      </c>
      <c r="K643" t="str">
        <f>IF(DONNEES!$E643="","",DONNEES!L643)</f>
        <v/>
      </c>
      <c r="L643" t="str">
        <f>IF(DONNEES!$E643="","",DONNEES!M643)</f>
        <v/>
      </c>
      <c r="M643" t="str">
        <f>IF(DONNEES!$E643="","",DONNEES!N643)</f>
        <v/>
      </c>
      <c r="N643" t="str">
        <f>IF(DONNEES!$E643="","",DONNEES!O643)</f>
        <v/>
      </c>
      <c r="O643" t="str">
        <f>IF(DONNEES!$E643="","",DONNEES!P643)</f>
        <v/>
      </c>
      <c r="P643" t="str">
        <f>IF(DONNEES!$E643="","",DONNEES!Q643)</f>
        <v/>
      </c>
      <c r="Q643" t="str">
        <f>IF(DONNEES!$E643="","",DONNEES!R643)</f>
        <v/>
      </c>
      <c r="R643" t="str">
        <f>IF(DONNEES!$E643="","",DONNEES!S643)</f>
        <v/>
      </c>
      <c r="S643" t="str">
        <f>IF(DONNEES!$E643="","",DONNEES!T643)</f>
        <v/>
      </c>
      <c r="T643" t="str">
        <f>IF(DONNEES!$E643="","",DONNEES!U643)</f>
        <v/>
      </c>
      <c r="U643" t="str">
        <f>IF(DONNEES!$E643="","",DONNEES!V643)</f>
        <v/>
      </c>
      <c r="V643" t="str">
        <f>IF(DONNEES!$E643="","",DONNEES!W643)</f>
        <v/>
      </c>
      <c r="W643" t="str">
        <f>IF(DONNEES!$E643="","",DONNEES!X643)</f>
        <v/>
      </c>
      <c r="X643" t="str">
        <f>IF(DONNEES!$E643="","",DONNEES!Y643)</f>
        <v/>
      </c>
      <c r="Y643" t="str">
        <f>IF(DONNEES!$E643="","",DONNEES!Z643)</f>
        <v/>
      </c>
      <c r="Z643" t="str">
        <f>IF(DONNEES!$E643="","",DONNEES!AQ643)</f>
        <v/>
      </c>
    </row>
    <row r="644" spans="1:26" ht="15" customHeight="1" x14ac:dyDescent="0.3">
      <c r="A644" t="str">
        <f>IF(DONNEES!$E644="","",DONNEES!A644)</f>
        <v/>
      </c>
      <c r="B644" t="str">
        <f>IF(DONNEES!$E644="","",DONNEES!B644)</f>
        <v/>
      </c>
      <c r="C644" t="str">
        <f>IF(DONNEES!$E644="","",DONNEES!C644)</f>
        <v/>
      </c>
      <c r="D644" t="str">
        <f>IF(DONNEES!$E644="","",DONNEES!E644)</f>
        <v/>
      </c>
      <c r="E644" t="str">
        <f>IF(DONNEES!$E644="","",DONNEES!F644)</f>
        <v/>
      </c>
      <c r="F644" t="str">
        <f>IF(DONNEES!$E644="","",DONNEES!G644)</f>
        <v/>
      </c>
      <c r="G644" t="str">
        <f>IF(DONNEES!$E644="","",DONNEES!H644)</f>
        <v/>
      </c>
      <c r="H644" t="str">
        <f>IF(DONNEES!$E644="","",DONNEES!I644)</f>
        <v/>
      </c>
      <c r="I644" t="str">
        <f>IF(DONNEES!$E644="","",DONNEES!J644)</f>
        <v/>
      </c>
      <c r="J644" t="str">
        <f>IF(DONNEES!$E644="","",DONNEES!K644)</f>
        <v/>
      </c>
      <c r="K644" t="str">
        <f>IF(DONNEES!$E644="","",DONNEES!L644)</f>
        <v/>
      </c>
      <c r="L644" t="str">
        <f>IF(DONNEES!$E644="","",DONNEES!M644)</f>
        <v/>
      </c>
      <c r="M644" t="str">
        <f>IF(DONNEES!$E644="","",DONNEES!N644)</f>
        <v/>
      </c>
      <c r="N644" t="str">
        <f>IF(DONNEES!$E644="","",DONNEES!O644)</f>
        <v/>
      </c>
      <c r="O644" t="str">
        <f>IF(DONNEES!$E644="","",DONNEES!P644)</f>
        <v/>
      </c>
      <c r="P644" t="str">
        <f>IF(DONNEES!$E644="","",DONNEES!Q644)</f>
        <v/>
      </c>
      <c r="Q644" t="str">
        <f>IF(DONNEES!$E644="","",DONNEES!R644)</f>
        <v/>
      </c>
      <c r="R644" t="str">
        <f>IF(DONNEES!$E644="","",DONNEES!S644)</f>
        <v/>
      </c>
      <c r="S644" t="str">
        <f>IF(DONNEES!$E644="","",DONNEES!T644)</f>
        <v/>
      </c>
      <c r="T644" t="str">
        <f>IF(DONNEES!$E644="","",DONNEES!U644)</f>
        <v/>
      </c>
      <c r="U644" t="str">
        <f>IF(DONNEES!$E644="","",DONNEES!V644)</f>
        <v/>
      </c>
      <c r="V644" t="str">
        <f>IF(DONNEES!$E644="","",DONNEES!W644)</f>
        <v/>
      </c>
      <c r="W644" t="str">
        <f>IF(DONNEES!$E644="","",DONNEES!X644)</f>
        <v/>
      </c>
      <c r="X644" t="str">
        <f>IF(DONNEES!$E644="","",DONNEES!Y644)</f>
        <v/>
      </c>
      <c r="Y644" t="str">
        <f>IF(DONNEES!$E644="","",DONNEES!Z644)</f>
        <v/>
      </c>
      <c r="Z644" t="str">
        <f>IF(DONNEES!$E644="","",DONNEES!AQ644)</f>
        <v/>
      </c>
    </row>
    <row r="645" spans="1:26" ht="15" customHeight="1" x14ac:dyDescent="0.3">
      <c r="A645" t="str">
        <f>IF(DONNEES!$E645="","",DONNEES!A645)</f>
        <v/>
      </c>
      <c r="B645" t="str">
        <f>IF(DONNEES!$E645="","",DONNEES!B645)</f>
        <v/>
      </c>
      <c r="C645" t="str">
        <f>IF(DONNEES!$E645="","",DONNEES!C645)</f>
        <v/>
      </c>
      <c r="D645" t="str">
        <f>IF(DONNEES!$E645="","",DONNEES!E645)</f>
        <v/>
      </c>
      <c r="E645" t="str">
        <f>IF(DONNEES!$E645="","",DONNEES!F645)</f>
        <v/>
      </c>
      <c r="F645" t="str">
        <f>IF(DONNEES!$E645="","",DONNEES!G645)</f>
        <v/>
      </c>
      <c r="G645" t="str">
        <f>IF(DONNEES!$E645="","",DONNEES!H645)</f>
        <v/>
      </c>
      <c r="H645" t="str">
        <f>IF(DONNEES!$E645="","",DONNEES!I645)</f>
        <v/>
      </c>
      <c r="I645" t="str">
        <f>IF(DONNEES!$E645="","",DONNEES!J645)</f>
        <v/>
      </c>
      <c r="J645" t="str">
        <f>IF(DONNEES!$E645="","",DONNEES!K645)</f>
        <v/>
      </c>
      <c r="K645" t="str">
        <f>IF(DONNEES!$E645="","",DONNEES!L645)</f>
        <v/>
      </c>
      <c r="L645" t="str">
        <f>IF(DONNEES!$E645="","",DONNEES!M645)</f>
        <v/>
      </c>
      <c r="M645" t="str">
        <f>IF(DONNEES!$E645="","",DONNEES!N645)</f>
        <v/>
      </c>
      <c r="N645" t="str">
        <f>IF(DONNEES!$E645="","",DONNEES!O645)</f>
        <v/>
      </c>
      <c r="O645" t="str">
        <f>IF(DONNEES!$E645="","",DONNEES!P645)</f>
        <v/>
      </c>
      <c r="P645" t="str">
        <f>IF(DONNEES!$E645="","",DONNEES!Q645)</f>
        <v/>
      </c>
      <c r="Q645" t="str">
        <f>IF(DONNEES!$E645="","",DONNEES!R645)</f>
        <v/>
      </c>
      <c r="R645" t="str">
        <f>IF(DONNEES!$E645="","",DONNEES!S645)</f>
        <v/>
      </c>
      <c r="S645" t="str">
        <f>IF(DONNEES!$E645="","",DONNEES!T645)</f>
        <v/>
      </c>
      <c r="T645" t="str">
        <f>IF(DONNEES!$E645="","",DONNEES!U645)</f>
        <v/>
      </c>
      <c r="U645" t="str">
        <f>IF(DONNEES!$E645="","",DONNEES!V645)</f>
        <v/>
      </c>
      <c r="V645" t="str">
        <f>IF(DONNEES!$E645="","",DONNEES!W645)</f>
        <v/>
      </c>
      <c r="W645" t="str">
        <f>IF(DONNEES!$E645="","",DONNEES!X645)</f>
        <v/>
      </c>
      <c r="X645" t="str">
        <f>IF(DONNEES!$E645="","",DONNEES!Y645)</f>
        <v/>
      </c>
      <c r="Y645" t="str">
        <f>IF(DONNEES!$E645="","",DONNEES!Z645)</f>
        <v/>
      </c>
      <c r="Z645" t="str">
        <f>IF(DONNEES!$E645="","",DONNEES!AQ645)</f>
        <v/>
      </c>
    </row>
    <row r="646" spans="1:26" ht="15" customHeight="1" x14ac:dyDescent="0.3">
      <c r="A646" t="str">
        <f>IF(DONNEES!$E646="","",DONNEES!A646)</f>
        <v/>
      </c>
      <c r="B646" t="str">
        <f>IF(DONNEES!$E646="","",DONNEES!B646)</f>
        <v/>
      </c>
      <c r="C646" t="str">
        <f>IF(DONNEES!$E646="","",DONNEES!C646)</f>
        <v/>
      </c>
      <c r="D646" t="str">
        <f>IF(DONNEES!$E646="","",DONNEES!E646)</f>
        <v/>
      </c>
      <c r="E646" t="str">
        <f>IF(DONNEES!$E646="","",DONNEES!F646)</f>
        <v/>
      </c>
      <c r="F646" t="str">
        <f>IF(DONNEES!$E646="","",DONNEES!G646)</f>
        <v/>
      </c>
      <c r="G646" t="str">
        <f>IF(DONNEES!$E646="","",DONNEES!H646)</f>
        <v/>
      </c>
      <c r="H646" t="str">
        <f>IF(DONNEES!$E646="","",DONNEES!I646)</f>
        <v/>
      </c>
      <c r="I646" t="str">
        <f>IF(DONNEES!$E646="","",DONNEES!J646)</f>
        <v/>
      </c>
      <c r="J646" t="str">
        <f>IF(DONNEES!$E646="","",DONNEES!K646)</f>
        <v/>
      </c>
      <c r="K646" t="str">
        <f>IF(DONNEES!$E646="","",DONNEES!L646)</f>
        <v/>
      </c>
      <c r="L646" t="str">
        <f>IF(DONNEES!$E646="","",DONNEES!M646)</f>
        <v/>
      </c>
      <c r="M646" t="str">
        <f>IF(DONNEES!$E646="","",DONNEES!N646)</f>
        <v/>
      </c>
      <c r="N646" t="str">
        <f>IF(DONNEES!$E646="","",DONNEES!O646)</f>
        <v/>
      </c>
      <c r="O646" t="str">
        <f>IF(DONNEES!$E646="","",DONNEES!P646)</f>
        <v/>
      </c>
      <c r="P646" t="str">
        <f>IF(DONNEES!$E646="","",DONNEES!Q646)</f>
        <v/>
      </c>
      <c r="Q646" t="str">
        <f>IF(DONNEES!$E646="","",DONNEES!R646)</f>
        <v/>
      </c>
      <c r="R646" t="str">
        <f>IF(DONNEES!$E646="","",DONNEES!S646)</f>
        <v/>
      </c>
      <c r="S646" t="str">
        <f>IF(DONNEES!$E646="","",DONNEES!T646)</f>
        <v/>
      </c>
      <c r="T646" t="str">
        <f>IF(DONNEES!$E646="","",DONNEES!U646)</f>
        <v/>
      </c>
      <c r="U646" t="str">
        <f>IF(DONNEES!$E646="","",DONNEES!V646)</f>
        <v/>
      </c>
      <c r="V646" t="str">
        <f>IF(DONNEES!$E646="","",DONNEES!W646)</f>
        <v/>
      </c>
      <c r="W646" t="str">
        <f>IF(DONNEES!$E646="","",DONNEES!X646)</f>
        <v/>
      </c>
      <c r="X646" t="str">
        <f>IF(DONNEES!$E646="","",DONNEES!Y646)</f>
        <v/>
      </c>
      <c r="Y646" t="str">
        <f>IF(DONNEES!$E646="","",DONNEES!Z646)</f>
        <v/>
      </c>
      <c r="Z646" t="str">
        <f>IF(DONNEES!$E646="","",DONNEES!AQ646)</f>
        <v/>
      </c>
    </row>
    <row r="647" spans="1:26" ht="15" customHeight="1" x14ac:dyDescent="0.3">
      <c r="A647" t="str">
        <f>IF(DONNEES!$E647="","",DONNEES!A647)</f>
        <v/>
      </c>
      <c r="B647" t="str">
        <f>IF(DONNEES!$E647="","",DONNEES!B647)</f>
        <v/>
      </c>
      <c r="C647" t="str">
        <f>IF(DONNEES!$E647="","",DONNEES!C647)</f>
        <v/>
      </c>
      <c r="D647" t="str">
        <f>IF(DONNEES!$E647="","",DONNEES!E647)</f>
        <v/>
      </c>
      <c r="E647" t="str">
        <f>IF(DONNEES!$E647="","",DONNEES!F647)</f>
        <v/>
      </c>
      <c r="F647" t="str">
        <f>IF(DONNEES!$E647="","",DONNEES!G647)</f>
        <v/>
      </c>
      <c r="G647" t="str">
        <f>IF(DONNEES!$E647="","",DONNEES!H647)</f>
        <v/>
      </c>
      <c r="H647" t="str">
        <f>IF(DONNEES!$E647="","",DONNEES!I647)</f>
        <v/>
      </c>
      <c r="I647" t="str">
        <f>IF(DONNEES!$E647="","",DONNEES!J647)</f>
        <v/>
      </c>
      <c r="J647" t="str">
        <f>IF(DONNEES!$E647="","",DONNEES!K647)</f>
        <v/>
      </c>
      <c r="K647" t="str">
        <f>IF(DONNEES!$E647="","",DONNEES!L647)</f>
        <v/>
      </c>
      <c r="L647" t="str">
        <f>IF(DONNEES!$E647="","",DONNEES!M647)</f>
        <v/>
      </c>
      <c r="M647" t="str">
        <f>IF(DONNEES!$E647="","",DONNEES!N647)</f>
        <v/>
      </c>
      <c r="N647" t="str">
        <f>IF(DONNEES!$E647="","",DONNEES!O647)</f>
        <v/>
      </c>
      <c r="O647" t="str">
        <f>IF(DONNEES!$E647="","",DONNEES!P647)</f>
        <v/>
      </c>
      <c r="P647" t="str">
        <f>IF(DONNEES!$E647="","",DONNEES!Q647)</f>
        <v/>
      </c>
      <c r="Q647" t="str">
        <f>IF(DONNEES!$E647="","",DONNEES!R647)</f>
        <v/>
      </c>
      <c r="R647" t="str">
        <f>IF(DONNEES!$E647="","",DONNEES!S647)</f>
        <v/>
      </c>
      <c r="S647" t="str">
        <f>IF(DONNEES!$E647="","",DONNEES!T647)</f>
        <v/>
      </c>
      <c r="T647" t="str">
        <f>IF(DONNEES!$E647="","",DONNEES!U647)</f>
        <v/>
      </c>
      <c r="U647" t="str">
        <f>IF(DONNEES!$E647="","",DONNEES!V647)</f>
        <v/>
      </c>
      <c r="V647" t="str">
        <f>IF(DONNEES!$E647="","",DONNEES!W647)</f>
        <v/>
      </c>
      <c r="W647" t="str">
        <f>IF(DONNEES!$E647="","",DONNEES!X647)</f>
        <v/>
      </c>
      <c r="X647" t="str">
        <f>IF(DONNEES!$E647="","",DONNEES!Y647)</f>
        <v/>
      </c>
      <c r="Y647" t="str">
        <f>IF(DONNEES!$E647="","",DONNEES!Z647)</f>
        <v/>
      </c>
      <c r="Z647" t="str">
        <f>IF(DONNEES!$E647="","",DONNEES!AQ647)</f>
        <v/>
      </c>
    </row>
    <row r="648" spans="1:26" ht="15" customHeight="1" x14ac:dyDescent="0.3">
      <c r="A648" t="str">
        <f>IF(DONNEES!$E648="","",DONNEES!A648)</f>
        <v/>
      </c>
      <c r="B648" t="str">
        <f>IF(DONNEES!$E648="","",DONNEES!B648)</f>
        <v/>
      </c>
      <c r="C648" t="str">
        <f>IF(DONNEES!$E648="","",DONNEES!C648)</f>
        <v/>
      </c>
      <c r="D648" t="str">
        <f>IF(DONNEES!$E648="","",DONNEES!E648)</f>
        <v/>
      </c>
      <c r="E648" t="str">
        <f>IF(DONNEES!$E648="","",DONNEES!F648)</f>
        <v/>
      </c>
      <c r="F648" t="str">
        <f>IF(DONNEES!$E648="","",DONNEES!G648)</f>
        <v/>
      </c>
      <c r="G648" t="str">
        <f>IF(DONNEES!$E648="","",DONNEES!H648)</f>
        <v/>
      </c>
      <c r="H648" t="str">
        <f>IF(DONNEES!$E648="","",DONNEES!I648)</f>
        <v/>
      </c>
      <c r="I648" t="str">
        <f>IF(DONNEES!$E648="","",DONNEES!J648)</f>
        <v/>
      </c>
      <c r="J648" t="str">
        <f>IF(DONNEES!$E648="","",DONNEES!K648)</f>
        <v/>
      </c>
      <c r="K648" t="str">
        <f>IF(DONNEES!$E648="","",DONNEES!L648)</f>
        <v/>
      </c>
      <c r="L648" t="str">
        <f>IF(DONNEES!$E648="","",DONNEES!M648)</f>
        <v/>
      </c>
      <c r="M648" t="str">
        <f>IF(DONNEES!$E648="","",DONNEES!N648)</f>
        <v/>
      </c>
      <c r="N648" t="str">
        <f>IF(DONNEES!$E648="","",DONNEES!O648)</f>
        <v/>
      </c>
      <c r="O648" t="str">
        <f>IF(DONNEES!$E648="","",DONNEES!P648)</f>
        <v/>
      </c>
      <c r="P648" t="str">
        <f>IF(DONNEES!$E648="","",DONNEES!Q648)</f>
        <v/>
      </c>
      <c r="Q648" t="str">
        <f>IF(DONNEES!$E648="","",DONNEES!R648)</f>
        <v/>
      </c>
      <c r="R648" t="str">
        <f>IF(DONNEES!$E648="","",DONNEES!S648)</f>
        <v/>
      </c>
      <c r="S648" t="str">
        <f>IF(DONNEES!$E648="","",DONNEES!T648)</f>
        <v/>
      </c>
      <c r="T648" t="str">
        <f>IF(DONNEES!$E648="","",DONNEES!U648)</f>
        <v/>
      </c>
      <c r="U648" t="str">
        <f>IF(DONNEES!$E648="","",DONNEES!V648)</f>
        <v/>
      </c>
      <c r="V648" t="str">
        <f>IF(DONNEES!$E648="","",DONNEES!W648)</f>
        <v/>
      </c>
      <c r="W648" t="str">
        <f>IF(DONNEES!$E648="","",DONNEES!X648)</f>
        <v/>
      </c>
      <c r="X648" t="str">
        <f>IF(DONNEES!$E648="","",DONNEES!Y648)</f>
        <v/>
      </c>
      <c r="Y648" t="str">
        <f>IF(DONNEES!$E648="","",DONNEES!Z648)</f>
        <v/>
      </c>
      <c r="Z648" t="str">
        <f>IF(DONNEES!$E648="","",DONNEES!AQ648)</f>
        <v/>
      </c>
    </row>
    <row r="649" spans="1:26" ht="15" customHeight="1" x14ac:dyDescent="0.3">
      <c r="A649" t="str">
        <f>IF(DONNEES!$E649="","",DONNEES!A649)</f>
        <v/>
      </c>
      <c r="B649" t="str">
        <f>IF(DONNEES!$E649="","",DONNEES!B649)</f>
        <v/>
      </c>
      <c r="C649" t="str">
        <f>IF(DONNEES!$E649="","",DONNEES!C649)</f>
        <v/>
      </c>
      <c r="D649" t="str">
        <f>IF(DONNEES!$E649="","",DONNEES!E649)</f>
        <v/>
      </c>
      <c r="E649" t="str">
        <f>IF(DONNEES!$E649="","",DONNEES!F649)</f>
        <v/>
      </c>
      <c r="F649" t="str">
        <f>IF(DONNEES!$E649="","",DONNEES!G649)</f>
        <v/>
      </c>
      <c r="G649" t="str">
        <f>IF(DONNEES!$E649="","",DONNEES!H649)</f>
        <v/>
      </c>
      <c r="H649" t="str">
        <f>IF(DONNEES!$E649="","",DONNEES!I649)</f>
        <v/>
      </c>
      <c r="I649" t="str">
        <f>IF(DONNEES!$E649="","",DONNEES!J649)</f>
        <v/>
      </c>
      <c r="J649" t="str">
        <f>IF(DONNEES!$E649="","",DONNEES!K649)</f>
        <v/>
      </c>
      <c r="K649" t="str">
        <f>IF(DONNEES!$E649="","",DONNEES!L649)</f>
        <v/>
      </c>
      <c r="L649" t="str">
        <f>IF(DONNEES!$E649="","",DONNEES!M649)</f>
        <v/>
      </c>
      <c r="M649" t="str">
        <f>IF(DONNEES!$E649="","",DONNEES!N649)</f>
        <v/>
      </c>
      <c r="N649" t="str">
        <f>IF(DONNEES!$E649="","",DONNEES!O649)</f>
        <v/>
      </c>
      <c r="O649" t="str">
        <f>IF(DONNEES!$E649="","",DONNEES!P649)</f>
        <v/>
      </c>
      <c r="P649" t="str">
        <f>IF(DONNEES!$E649="","",DONNEES!Q649)</f>
        <v/>
      </c>
      <c r="Q649" t="str">
        <f>IF(DONNEES!$E649="","",DONNEES!R649)</f>
        <v/>
      </c>
      <c r="R649" t="str">
        <f>IF(DONNEES!$E649="","",DONNEES!S649)</f>
        <v/>
      </c>
      <c r="S649" t="str">
        <f>IF(DONNEES!$E649="","",DONNEES!T649)</f>
        <v/>
      </c>
      <c r="T649" t="str">
        <f>IF(DONNEES!$E649="","",DONNEES!U649)</f>
        <v/>
      </c>
      <c r="U649" t="str">
        <f>IF(DONNEES!$E649="","",DONNEES!V649)</f>
        <v/>
      </c>
      <c r="V649" t="str">
        <f>IF(DONNEES!$E649="","",DONNEES!W649)</f>
        <v/>
      </c>
      <c r="W649" t="str">
        <f>IF(DONNEES!$E649="","",DONNEES!X649)</f>
        <v/>
      </c>
      <c r="X649" t="str">
        <f>IF(DONNEES!$E649="","",DONNEES!Y649)</f>
        <v/>
      </c>
      <c r="Y649" t="str">
        <f>IF(DONNEES!$E649="","",DONNEES!Z649)</f>
        <v/>
      </c>
      <c r="Z649" t="str">
        <f>IF(DONNEES!$E649="","",DONNEES!AQ649)</f>
        <v/>
      </c>
    </row>
    <row r="650" spans="1:26" ht="15" customHeight="1" x14ac:dyDescent="0.3">
      <c r="A650" t="str">
        <f>IF(DONNEES!$E650="","",DONNEES!A650)</f>
        <v/>
      </c>
      <c r="B650" t="str">
        <f>IF(DONNEES!$E650="","",DONNEES!B650)</f>
        <v/>
      </c>
      <c r="C650" t="str">
        <f>IF(DONNEES!$E650="","",DONNEES!C650)</f>
        <v/>
      </c>
      <c r="D650" t="str">
        <f>IF(DONNEES!$E650="","",DONNEES!E650)</f>
        <v/>
      </c>
      <c r="E650" t="str">
        <f>IF(DONNEES!$E650="","",DONNEES!F650)</f>
        <v/>
      </c>
      <c r="F650" t="str">
        <f>IF(DONNEES!$E650="","",DONNEES!G650)</f>
        <v/>
      </c>
      <c r="G650" t="str">
        <f>IF(DONNEES!$E650="","",DONNEES!H650)</f>
        <v/>
      </c>
      <c r="H650" t="str">
        <f>IF(DONNEES!$E650="","",DONNEES!I650)</f>
        <v/>
      </c>
      <c r="I650" t="str">
        <f>IF(DONNEES!$E650="","",DONNEES!J650)</f>
        <v/>
      </c>
      <c r="J650" t="str">
        <f>IF(DONNEES!$E650="","",DONNEES!K650)</f>
        <v/>
      </c>
      <c r="K650" t="str">
        <f>IF(DONNEES!$E650="","",DONNEES!L650)</f>
        <v/>
      </c>
      <c r="L650" t="str">
        <f>IF(DONNEES!$E650="","",DONNEES!M650)</f>
        <v/>
      </c>
      <c r="M650" t="str">
        <f>IF(DONNEES!$E650="","",DONNEES!N650)</f>
        <v/>
      </c>
      <c r="N650" t="str">
        <f>IF(DONNEES!$E650="","",DONNEES!O650)</f>
        <v/>
      </c>
      <c r="O650" t="str">
        <f>IF(DONNEES!$E650="","",DONNEES!P650)</f>
        <v/>
      </c>
      <c r="P650" t="str">
        <f>IF(DONNEES!$E650="","",DONNEES!Q650)</f>
        <v/>
      </c>
      <c r="Q650" t="str">
        <f>IF(DONNEES!$E650="","",DONNEES!R650)</f>
        <v/>
      </c>
      <c r="R650" t="str">
        <f>IF(DONNEES!$E650="","",DONNEES!S650)</f>
        <v/>
      </c>
      <c r="S650" t="str">
        <f>IF(DONNEES!$E650="","",DONNEES!T650)</f>
        <v/>
      </c>
      <c r="T650" t="str">
        <f>IF(DONNEES!$E650="","",DONNEES!U650)</f>
        <v/>
      </c>
      <c r="U650" t="str">
        <f>IF(DONNEES!$E650="","",DONNEES!V650)</f>
        <v/>
      </c>
      <c r="V650" t="str">
        <f>IF(DONNEES!$E650="","",DONNEES!W650)</f>
        <v/>
      </c>
      <c r="W650" t="str">
        <f>IF(DONNEES!$E650="","",DONNEES!X650)</f>
        <v/>
      </c>
      <c r="X650" t="str">
        <f>IF(DONNEES!$E650="","",DONNEES!Y650)</f>
        <v/>
      </c>
      <c r="Y650" t="str">
        <f>IF(DONNEES!$E650="","",DONNEES!Z650)</f>
        <v/>
      </c>
      <c r="Z650" t="str">
        <f>IF(DONNEES!$E650="","",DONNEES!AQ650)</f>
        <v/>
      </c>
    </row>
    <row r="651" spans="1:26" ht="15" customHeight="1" x14ac:dyDescent="0.3">
      <c r="A651" t="str">
        <f>IF(DONNEES!$E651="","",DONNEES!A651)</f>
        <v/>
      </c>
      <c r="B651" t="str">
        <f>IF(DONNEES!$E651="","",DONNEES!B651)</f>
        <v/>
      </c>
      <c r="C651" t="str">
        <f>IF(DONNEES!$E651="","",DONNEES!C651)</f>
        <v/>
      </c>
      <c r="D651" t="str">
        <f>IF(DONNEES!$E651="","",DONNEES!E651)</f>
        <v/>
      </c>
      <c r="E651" t="str">
        <f>IF(DONNEES!$E651="","",DONNEES!F651)</f>
        <v/>
      </c>
      <c r="F651" t="str">
        <f>IF(DONNEES!$E651="","",DONNEES!G651)</f>
        <v/>
      </c>
      <c r="G651" t="str">
        <f>IF(DONNEES!$E651="","",DONNEES!H651)</f>
        <v/>
      </c>
      <c r="H651" t="str">
        <f>IF(DONNEES!$E651="","",DONNEES!I651)</f>
        <v/>
      </c>
      <c r="I651" t="str">
        <f>IF(DONNEES!$E651="","",DONNEES!J651)</f>
        <v/>
      </c>
      <c r="J651" t="str">
        <f>IF(DONNEES!$E651="","",DONNEES!K651)</f>
        <v/>
      </c>
      <c r="K651" t="str">
        <f>IF(DONNEES!$E651="","",DONNEES!L651)</f>
        <v/>
      </c>
      <c r="L651" t="str">
        <f>IF(DONNEES!$E651="","",DONNEES!M651)</f>
        <v/>
      </c>
      <c r="M651" t="str">
        <f>IF(DONNEES!$E651="","",DONNEES!N651)</f>
        <v/>
      </c>
      <c r="N651" t="str">
        <f>IF(DONNEES!$E651="","",DONNEES!O651)</f>
        <v/>
      </c>
      <c r="O651" t="str">
        <f>IF(DONNEES!$E651="","",DONNEES!P651)</f>
        <v/>
      </c>
      <c r="P651" t="str">
        <f>IF(DONNEES!$E651="","",DONNEES!Q651)</f>
        <v/>
      </c>
      <c r="Q651" t="str">
        <f>IF(DONNEES!$E651="","",DONNEES!R651)</f>
        <v/>
      </c>
      <c r="R651" t="str">
        <f>IF(DONNEES!$E651="","",DONNEES!S651)</f>
        <v/>
      </c>
      <c r="S651" t="str">
        <f>IF(DONNEES!$E651="","",DONNEES!T651)</f>
        <v/>
      </c>
      <c r="T651" t="str">
        <f>IF(DONNEES!$E651="","",DONNEES!U651)</f>
        <v/>
      </c>
      <c r="U651" t="str">
        <f>IF(DONNEES!$E651="","",DONNEES!V651)</f>
        <v/>
      </c>
      <c r="V651" t="str">
        <f>IF(DONNEES!$E651="","",DONNEES!W651)</f>
        <v/>
      </c>
      <c r="W651" t="str">
        <f>IF(DONNEES!$E651="","",DONNEES!X651)</f>
        <v/>
      </c>
      <c r="X651" t="str">
        <f>IF(DONNEES!$E651="","",DONNEES!Y651)</f>
        <v/>
      </c>
      <c r="Y651" t="str">
        <f>IF(DONNEES!$E651="","",DONNEES!Z651)</f>
        <v/>
      </c>
      <c r="Z651" t="str">
        <f>IF(DONNEES!$E651="","",DONNEES!AQ651)</f>
        <v/>
      </c>
    </row>
    <row r="652" spans="1:26" ht="15" customHeight="1" x14ac:dyDescent="0.3">
      <c r="A652" t="str">
        <f>IF(DONNEES!$E652="","",DONNEES!A652)</f>
        <v/>
      </c>
      <c r="B652" t="str">
        <f>IF(DONNEES!$E652="","",DONNEES!B652)</f>
        <v/>
      </c>
      <c r="C652" t="str">
        <f>IF(DONNEES!$E652="","",DONNEES!C652)</f>
        <v/>
      </c>
      <c r="D652" t="str">
        <f>IF(DONNEES!$E652="","",DONNEES!E652)</f>
        <v/>
      </c>
      <c r="E652" t="str">
        <f>IF(DONNEES!$E652="","",DONNEES!F652)</f>
        <v/>
      </c>
      <c r="F652" t="str">
        <f>IF(DONNEES!$E652="","",DONNEES!G652)</f>
        <v/>
      </c>
      <c r="G652" t="str">
        <f>IF(DONNEES!$E652="","",DONNEES!H652)</f>
        <v/>
      </c>
      <c r="H652" t="str">
        <f>IF(DONNEES!$E652="","",DONNEES!I652)</f>
        <v/>
      </c>
      <c r="I652" t="str">
        <f>IF(DONNEES!$E652="","",DONNEES!J652)</f>
        <v/>
      </c>
      <c r="J652" t="str">
        <f>IF(DONNEES!$E652="","",DONNEES!K652)</f>
        <v/>
      </c>
      <c r="K652" t="str">
        <f>IF(DONNEES!$E652="","",DONNEES!L652)</f>
        <v/>
      </c>
      <c r="L652" t="str">
        <f>IF(DONNEES!$E652="","",DONNEES!M652)</f>
        <v/>
      </c>
      <c r="M652" t="str">
        <f>IF(DONNEES!$E652="","",DONNEES!N652)</f>
        <v/>
      </c>
      <c r="N652" t="str">
        <f>IF(DONNEES!$E652="","",DONNEES!O652)</f>
        <v/>
      </c>
      <c r="O652" t="str">
        <f>IF(DONNEES!$E652="","",DONNEES!P652)</f>
        <v/>
      </c>
      <c r="P652" t="str">
        <f>IF(DONNEES!$E652="","",DONNEES!Q652)</f>
        <v/>
      </c>
      <c r="Q652" t="str">
        <f>IF(DONNEES!$E652="","",DONNEES!R652)</f>
        <v/>
      </c>
      <c r="R652" t="str">
        <f>IF(DONNEES!$E652="","",DONNEES!S652)</f>
        <v/>
      </c>
      <c r="S652" t="str">
        <f>IF(DONNEES!$E652="","",DONNEES!T652)</f>
        <v/>
      </c>
      <c r="T652" t="str">
        <f>IF(DONNEES!$E652="","",DONNEES!U652)</f>
        <v/>
      </c>
      <c r="U652" t="str">
        <f>IF(DONNEES!$E652="","",DONNEES!V652)</f>
        <v/>
      </c>
      <c r="V652" t="str">
        <f>IF(DONNEES!$E652="","",DONNEES!W652)</f>
        <v/>
      </c>
      <c r="W652" t="str">
        <f>IF(DONNEES!$E652="","",DONNEES!X652)</f>
        <v/>
      </c>
      <c r="X652" t="str">
        <f>IF(DONNEES!$E652="","",DONNEES!Y652)</f>
        <v/>
      </c>
      <c r="Y652" t="str">
        <f>IF(DONNEES!$E652="","",DONNEES!Z652)</f>
        <v/>
      </c>
      <c r="Z652" t="str">
        <f>IF(DONNEES!$E652="","",DONNEES!AQ652)</f>
        <v/>
      </c>
    </row>
    <row r="653" spans="1:26" ht="15" customHeight="1" x14ac:dyDescent="0.3">
      <c r="A653" t="str">
        <f>IF(DONNEES!$E653="","",DONNEES!A653)</f>
        <v/>
      </c>
      <c r="B653" t="str">
        <f>IF(DONNEES!$E653="","",DONNEES!B653)</f>
        <v/>
      </c>
      <c r="C653" t="str">
        <f>IF(DONNEES!$E653="","",DONNEES!C653)</f>
        <v/>
      </c>
      <c r="D653" t="str">
        <f>IF(DONNEES!$E653="","",DONNEES!E653)</f>
        <v/>
      </c>
      <c r="E653" t="str">
        <f>IF(DONNEES!$E653="","",DONNEES!F653)</f>
        <v/>
      </c>
      <c r="F653" t="str">
        <f>IF(DONNEES!$E653="","",DONNEES!G653)</f>
        <v/>
      </c>
      <c r="G653" t="str">
        <f>IF(DONNEES!$E653="","",DONNEES!H653)</f>
        <v/>
      </c>
      <c r="H653" t="str">
        <f>IF(DONNEES!$E653="","",DONNEES!I653)</f>
        <v/>
      </c>
      <c r="I653" t="str">
        <f>IF(DONNEES!$E653="","",DONNEES!J653)</f>
        <v/>
      </c>
      <c r="J653" t="str">
        <f>IF(DONNEES!$E653="","",DONNEES!K653)</f>
        <v/>
      </c>
      <c r="K653" t="str">
        <f>IF(DONNEES!$E653="","",DONNEES!L653)</f>
        <v/>
      </c>
      <c r="L653" t="str">
        <f>IF(DONNEES!$E653="","",DONNEES!M653)</f>
        <v/>
      </c>
      <c r="M653" t="str">
        <f>IF(DONNEES!$E653="","",DONNEES!N653)</f>
        <v/>
      </c>
      <c r="N653" t="str">
        <f>IF(DONNEES!$E653="","",DONNEES!O653)</f>
        <v/>
      </c>
      <c r="O653" t="str">
        <f>IF(DONNEES!$E653="","",DONNEES!P653)</f>
        <v/>
      </c>
      <c r="P653" t="str">
        <f>IF(DONNEES!$E653="","",DONNEES!Q653)</f>
        <v/>
      </c>
      <c r="Q653" t="str">
        <f>IF(DONNEES!$E653="","",DONNEES!R653)</f>
        <v/>
      </c>
      <c r="R653" t="str">
        <f>IF(DONNEES!$E653="","",DONNEES!S653)</f>
        <v/>
      </c>
      <c r="S653" t="str">
        <f>IF(DONNEES!$E653="","",DONNEES!T653)</f>
        <v/>
      </c>
      <c r="T653" t="str">
        <f>IF(DONNEES!$E653="","",DONNEES!U653)</f>
        <v/>
      </c>
      <c r="U653" t="str">
        <f>IF(DONNEES!$E653="","",DONNEES!V653)</f>
        <v/>
      </c>
      <c r="V653" t="str">
        <f>IF(DONNEES!$E653="","",DONNEES!W653)</f>
        <v/>
      </c>
      <c r="W653" t="str">
        <f>IF(DONNEES!$E653="","",DONNEES!X653)</f>
        <v/>
      </c>
      <c r="X653" t="str">
        <f>IF(DONNEES!$E653="","",DONNEES!Y653)</f>
        <v/>
      </c>
      <c r="Y653" t="str">
        <f>IF(DONNEES!$E653="","",DONNEES!Z653)</f>
        <v/>
      </c>
      <c r="Z653" t="str">
        <f>IF(DONNEES!$E653="","",DONNEES!AQ653)</f>
        <v/>
      </c>
    </row>
    <row r="654" spans="1:26" ht="15" customHeight="1" x14ac:dyDescent="0.3">
      <c r="A654" t="str">
        <f>IF(DONNEES!$E654="","",DONNEES!A654)</f>
        <v/>
      </c>
      <c r="B654" t="str">
        <f>IF(DONNEES!$E654="","",DONNEES!B654)</f>
        <v/>
      </c>
      <c r="C654" t="str">
        <f>IF(DONNEES!$E654="","",DONNEES!C654)</f>
        <v/>
      </c>
      <c r="D654" t="str">
        <f>IF(DONNEES!$E654="","",DONNEES!E654)</f>
        <v/>
      </c>
      <c r="E654" t="str">
        <f>IF(DONNEES!$E654="","",DONNEES!F654)</f>
        <v/>
      </c>
      <c r="F654" t="str">
        <f>IF(DONNEES!$E654="","",DONNEES!G654)</f>
        <v/>
      </c>
      <c r="G654" t="str">
        <f>IF(DONNEES!$E654="","",DONNEES!H654)</f>
        <v/>
      </c>
      <c r="H654" t="str">
        <f>IF(DONNEES!$E654="","",DONNEES!I654)</f>
        <v/>
      </c>
      <c r="I654" t="str">
        <f>IF(DONNEES!$E654="","",DONNEES!J654)</f>
        <v/>
      </c>
      <c r="J654" t="str">
        <f>IF(DONNEES!$E654="","",DONNEES!K654)</f>
        <v/>
      </c>
      <c r="K654" t="str">
        <f>IF(DONNEES!$E654="","",DONNEES!L654)</f>
        <v/>
      </c>
      <c r="L654" t="str">
        <f>IF(DONNEES!$E654="","",DONNEES!M654)</f>
        <v/>
      </c>
      <c r="M654" t="str">
        <f>IF(DONNEES!$E654="","",DONNEES!N654)</f>
        <v/>
      </c>
      <c r="N654" t="str">
        <f>IF(DONNEES!$E654="","",DONNEES!O654)</f>
        <v/>
      </c>
      <c r="O654" t="str">
        <f>IF(DONNEES!$E654="","",DONNEES!P654)</f>
        <v/>
      </c>
      <c r="P654" t="str">
        <f>IF(DONNEES!$E654="","",DONNEES!Q654)</f>
        <v/>
      </c>
      <c r="Q654" t="str">
        <f>IF(DONNEES!$E654="","",DONNEES!R654)</f>
        <v/>
      </c>
      <c r="R654" t="str">
        <f>IF(DONNEES!$E654="","",DONNEES!S654)</f>
        <v/>
      </c>
      <c r="S654" t="str">
        <f>IF(DONNEES!$E654="","",DONNEES!T654)</f>
        <v/>
      </c>
      <c r="T654" t="str">
        <f>IF(DONNEES!$E654="","",DONNEES!U654)</f>
        <v/>
      </c>
      <c r="U654" t="str">
        <f>IF(DONNEES!$E654="","",DONNEES!V654)</f>
        <v/>
      </c>
      <c r="V654" t="str">
        <f>IF(DONNEES!$E654="","",DONNEES!W654)</f>
        <v/>
      </c>
      <c r="W654" t="str">
        <f>IF(DONNEES!$E654="","",DONNEES!X654)</f>
        <v/>
      </c>
      <c r="X654" t="str">
        <f>IF(DONNEES!$E654="","",DONNEES!Y654)</f>
        <v/>
      </c>
      <c r="Y654" t="str">
        <f>IF(DONNEES!$E654="","",DONNEES!Z654)</f>
        <v/>
      </c>
      <c r="Z654" t="str">
        <f>IF(DONNEES!$E654="","",DONNEES!AQ654)</f>
        <v/>
      </c>
    </row>
    <row r="655" spans="1:26" ht="15" customHeight="1" x14ac:dyDescent="0.3">
      <c r="A655" t="str">
        <f>IF(DONNEES!$E655="","",DONNEES!A655)</f>
        <v/>
      </c>
      <c r="B655" t="str">
        <f>IF(DONNEES!$E655="","",DONNEES!B655)</f>
        <v/>
      </c>
      <c r="C655" t="str">
        <f>IF(DONNEES!$E655="","",DONNEES!C655)</f>
        <v/>
      </c>
      <c r="D655" t="str">
        <f>IF(DONNEES!$E655="","",DONNEES!E655)</f>
        <v/>
      </c>
      <c r="E655" t="str">
        <f>IF(DONNEES!$E655="","",DONNEES!F655)</f>
        <v/>
      </c>
      <c r="F655" t="str">
        <f>IF(DONNEES!$E655="","",DONNEES!G655)</f>
        <v/>
      </c>
      <c r="G655" t="str">
        <f>IF(DONNEES!$E655="","",DONNEES!H655)</f>
        <v/>
      </c>
      <c r="H655" t="str">
        <f>IF(DONNEES!$E655="","",DONNEES!I655)</f>
        <v/>
      </c>
      <c r="I655" t="str">
        <f>IF(DONNEES!$E655="","",DONNEES!J655)</f>
        <v/>
      </c>
      <c r="J655" t="str">
        <f>IF(DONNEES!$E655="","",DONNEES!K655)</f>
        <v/>
      </c>
      <c r="K655" t="str">
        <f>IF(DONNEES!$E655="","",DONNEES!L655)</f>
        <v/>
      </c>
      <c r="L655" t="str">
        <f>IF(DONNEES!$E655="","",DONNEES!M655)</f>
        <v/>
      </c>
      <c r="M655" t="str">
        <f>IF(DONNEES!$E655="","",DONNEES!N655)</f>
        <v/>
      </c>
      <c r="N655" t="str">
        <f>IF(DONNEES!$E655="","",DONNEES!O655)</f>
        <v/>
      </c>
      <c r="O655" t="str">
        <f>IF(DONNEES!$E655="","",DONNEES!P655)</f>
        <v/>
      </c>
      <c r="P655" t="str">
        <f>IF(DONNEES!$E655="","",DONNEES!Q655)</f>
        <v/>
      </c>
      <c r="Q655" t="str">
        <f>IF(DONNEES!$E655="","",DONNEES!R655)</f>
        <v/>
      </c>
      <c r="R655" t="str">
        <f>IF(DONNEES!$E655="","",DONNEES!S655)</f>
        <v/>
      </c>
      <c r="S655" t="str">
        <f>IF(DONNEES!$E655="","",DONNEES!T655)</f>
        <v/>
      </c>
      <c r="T655" t="str">
        <f>IF(DONNEES!$E655="","",DONNEES!U655)</f>
        <v/>
      </c>
      <c r="U655" t="str">
        <f>IF(DONNEES!$E655="","",DONNEES!V655)</f>
        <v/>
      </c>
      <c r="V655" t="str">
        <f>IF(DONNEES!$E655="","",DONNEES!W655)</f>
        <v/>
      </c>
      <c r="W655" t="str">
        <f>IF(DONNEES!$E655="","",DONNEES!X655)</f>
        <v/>
      </c>
      <c r="X655" t="str">
        <f>IF(DONNEES!$E655="","",DONNEES!Y655)</f>
        <v/>
      </c>
      <c r="Y655" t="str">
        <f>IF(DONNEES!$E655="","",DONNEES!Z655)</f>
        <v/>
      </c>
      <c r="Z655" t="str">
        <f>IF(DONNEES!$E655="","",DONNEES!AQ655)</f>
        <v/>
      </c>
    </row>
    <row r="656" spans="1:26" ht="15" customHeight="1" x14ac:dyDescent="0.3">
      <c r="A656" t="str">
        <f>IF(DONNEES!$E656="","",DONNEES!A656)</f>
        <v/>
      </c>
      <c r="B656" t="str">
        <f>IF(DONNEES!$E656="","",DONNEES!B656)</f>
        <v/>
      </c>
      <c r="C656" t="str">
        <f>IF(DONNEES!$E656="","",DONNEES!C656)</f>
        <v/>
      </c>
      <c r="D656" t="str">
        <f>IF(DONNEES!$E656="","",DONNEES!E656)</f>
        <v/>
      </c>
      <c r="E656" t="str">
        <f>IF(DONNEES!$E656="","",DONNEES!F656)</f>
        <v/>
      </c>
      <c r="F656" t="str">
        <f>IF(DONNEES!$E656="","",DONNEES!G656)</f>
        <v/>
      </c>
      <c r="G656" t="str">
        <f>IF(DONNEES!$E656="","",DONNEES!H656)</f>
        <v/>
      </c>
      <c r="H656" t="str">
        <f>IF(DONNEES!$E656="","",DONNEES!I656)</f>
        <v/>
      </c>
      <c r="I656" t="str">
        <f>IF(DONNEES!$E656="","",DONNEES!J656)</f>
        <v/>
      </c>
      <c r="J656" t="str">
        <f>IF(DONNEES!$E656="","",DONNEES!K656)</f>
        <v/>
      </c>
      <c r="K656" t="str">
        <f>IF(DONNEES!$E656="","",DONNEES!L656)</f>
        <v/>
      </c>
      <c r="L656" t="str">
        <f>IF(DONNEES!$E656="","",DONNEES!M656)</f>
        <v/>
      </c>
      <c r="M656" t="str">
        <f>IF(DONNEES!$E656="","",DONNEES!N656)</f>
        <v/>
      </c>
      <c r="N656" t="str">
        <f>IF(DONNEES!$E656="","",DONNEES!O656)</f>
        <v/>
      </c>
      <c r="O656" t="str">
        <f>IF(DONNEES!$E656="","",DONNEES!P656)</f>
        <v/>
      </c>
      <c r="P656" t="str">
        <f>IF(DONNEES!$E656="","",DONNEES!Q656)</f>
        <v/>
      </c>
      <c r="Q656" t="str">
        <f>IF(DONNEES!$E656="","",DONNEES!R656)</f>
        <v/>
      </c>
      <c r="R656" t="str">
        <f>IF(DONNEES!$E656="","",DONNEES!S656)</f>
        <v/>
      </c>
      <c r="S656" t="str">
        <f>IF(DONNEES!$E656="","",DONNEES!T656)</f>
        <v/>
      </c>
      <c r="T656" t="str">
        <f>IF(DONNEES!$E656="","",DONNEES!U656)</f>
        <v/>
      </c>
      <c r="U656" t="str">
        <f>IF(DONNEES!$E656="","",DONNEES!V656)</f>
        <v/>
      </c>
      <c r="V656" t="str">
        <f>IF(DONNEES!$E656="","",DONNEES!W656)</f>
        <v/>
      </c>
      <c r="W656" t="str">
        <f>IF(DONNEES!$E656="","",DONNEES!X656)</f>
        <v/>
      </c>
      <c r="X656" t="str">
        <f>IF(DONNEES!$E656="","",DONNEES!Y656)</f>
        <v/>
      </c>
      <c r="Y656" t="str">
        <f>IF(DONNEES!$E656="","",DONNEES!Z656)</f>
        <v/>
      </c>
      <c r="Z656" t="str">
        <f>IF(DONNEES!$E656="","",DONNEES!AQ656)</f>
        <v/>
      </c>
    </row>
    <row r="657" spans="1:26" ht="15" customHeight="1" x14ac:dyDescent="0.3">
      <c r="A657" t="str">
        <f>IF(DONNEES!$E657="","",DONNEES!A657)</f>
        <v/>
      </c>
      <c r="B657" t="str">
        <f>IF(DONNEES!$E657="","",DONNEES!B657)</f>
        <v/>
      </c>
      <c r="C657" t="str">
        <f>IF(DONNEES!$E657="","",DONNEES!C657)</f>
        <v/>
      </c>
      <c r="D657" t="str">
        <f>IF(DONNEES!$E657="","",DONNEES!E657)</f>
        <v/>
      </c>
      <c r="E657" t="str">
        <f>IF(DONNEES!$E657="","",DONNEES!F657)</f>
        <v/>
      </c>
      <c r="F657" t="str">
        <f>IF(DONNEES!$E657="","",DONNEES!G657)</f>
        <v/>
      </c>
      <c r="G657" t="str">
        <f>IF(DONNEES!$E657="","",DONNEES!H657)</f>
        <v/>
      </c>
      <c r="H657" t="str">
        <f>IF(DONNEES!$E657="","",DONNEES!I657)</f>
        <v/>
      </c>
      <c r="I657" t="str">
        <f>IF(DONNEES!$E657="","",DONNEES!J657)</f>
        <v/>
      </c>
      <c r="J657" t="str">
        <f>IF(DONNEES!$E657="","",DONNEES!K657)</f>
        <v/>
      </c>
      <c r="K657" t="str">
        <f>IF(DONNEES!$E657="","",DONNEES!L657)</f>
        <v/>
      </c>
      <c r="L657" t="str">
        <f>IF(DONNEES!$E657="","",DONNEES!M657)</f>
        <v/>
      </c>
      <c r="M657" t="str">
        <f>IF(DONNEES!$E657="","",DONNEES!N657)</f>
        <v/>
      </c>
      <c r="N657" t="str">
        <f>IF(DONNEES!$E657="","",DONNEES!O657)</f>
        <v/>
      </c>
      <c r="O657" t="str">
        <f>IF(DONNEES!$E657="","",DONNEES!P657)</f>
        <v/>
      </c>
      <c r="P657" t="str">
        <f>IF(DONNEES!$E657="","",DONNEES!Q657)</f>
        <v/>
      </c>
      <c r="Q657" t="str">
        <f>IF(DONNEES!$E657="","",DONNEES!R657)</f>
        <v/>
      </c>
      <c r="R657" t="str">
        <f>IF(DONNEES!$E657="","",DONNEES!S657)</f>
        <v/>
      </c>
      <c r="S657" t="str">
        <f>IF(DONNEES!$E657="","",DONNEES!T657)</f>
        <v/>
      </c>
      <c r="T657" t="str">
        <f>IF(DONNEES!$E657="","",DONNEES!U657)</f>
        <v/>
      </c>
      <c r="U657" t="str">
        <f>IF(DONNEES!$E657="","",DONNEES!V657)</f>
        <v/>
      </c>
      <c r="V657" t="str">
        <f>IF(DONNEES!$E657="","",DONNEES!W657)</f>
        <v/>
      </c>
      <c r="W657" t="str">
        <f>IF(DONNEES!$E657="","",DONNEES!X657)</f>
        <v/>
      </c>
      <c r="X657" t="str">
        <f>IF(DONNEES!$E657="","",DONNEES!Y657)</f>
        <v/>
      </c>
      <c r="Y657" t="str">
        <f>IF(DONNEES!$E657="","",DONNEES!Z657)</f>
        <v/>
      </c>
      <c r="Z657" t="str">
        <f>IF(DONNEES!$E657="","",DONNEES!AQ657)</f>
        <v/>
      </c>
    </row>
    <row r="658" spans="1:26" ht="15" customHeight="1" x14ac:dyDescent="0.3">
      <c r="A658" t="str">
        <f>IF(DONNEES!$E658="","",DONNEES!A658)</f>
        <v/>
      </c>
      <c r="B658" t="str">
        <f>IF(DONNEES!$E658="","",DONNEES!B658)</f>
        <v/>
      </c>
      <c r="C658" t="str">
        <f>IF(DONNEES!$E658="","",DONNEES!C658)</f>
        <v/>
      </c>
      <c r="D658" t="str">
        <f>IF(DONNEES!$E658="","",DONNEES!E658)</f>
        <v/>
      </c>
      <c r="E658" t="str">
        <f>IF(DONNEES!$E658="","",DONNEES!F658)</f>
        <v/>
      </c>
      <c r="F658" t="str">
        <f>IF(DONNEES!$E658="","",DONNEES!G658)</f>
        <v/>
      </c>
      <c r="G658" t="str">
        <f>IF(DONNEES!$E658="","",DONNEES!H658)</f>
        <v/>
      </c>
      <c r="H658" t="str">
        <f>IF(DONNEES!$E658="","",DONNEES!I658)</f>
        <v/>
      </c>
      <c r="I658" t="str">
        <f>IF(DONNEES!$E658="","",DONNEES!J658)</f>
        <v/>
      </c>
      <c r="J658" t="str">
        <f>IF(DONNEES!$E658="","",DONNEES!K658)</f>
        <v/>
      </c>
      <c r="K658" t="str">
        <f>IF(DONNEES!$E658="","",DONNEES!L658)</f>
        <v/>
      </c>
      <c r="L658" t="str">
        <f>IF(DONNEES!$E658="","",DONNEES!M658)</f>
        <v/>
      </c>
      <c r="M658" t="str">
        <f>IF(DONNEES!$E658="","",DONNEES!N658)</f>
        <v/>
      </c>
      <c r="N658" t="str">
        <f>IF(DONNEES!$E658="","",DONNEES!O658)</f>
        <v/>
      </c>
      <c r="O658" t="str">
        <f>IF(DONNEES!$E658="","",DONNEES!P658)</f>
        <v/>
      </c>
      <c r="P658" t="str">
        <f>IF(DONNEES!$E658="","",DONNEES!Q658)</f>
        <v/>
      </c>
      <c r="Q658" t="str">
        <f>IF(DONNEES!$E658="","",DONNEES!R658)</f>
        <v/>
      </c>
      <c r="R658" t="str">
        <f>IF(DONNEES!$E658="","",DONNEES!S658)</f>
        <v/>
      </c>
      <c r="S658" t="str">
        <f>IF(DONNEES!$E658="","",DONNEES!T658)</f>
        <v/>
      </c>
      <c r="T658" t="str">
        <f>IF(DONNEES!$E658="","",DONNEES!U658)</f>
        <v/>
      </c>
      <c r="U658" t="str">
        <f>IF(DONNEES!$E658="","",DONNEES!V658)</f>
        <v/>
      </c>
      <c r="V658" t="str">
        <f>IF(DONNEES!$E658="","",DONNEES!W658)</f>
        <v/>
      </c>
      <c r="W658" t="str">
        <f>IF(DONNEES!$E658="","",DONNEES!X658)</f>
        <v/>
      </c>
      <c r="X658" t="str">
        <f>IF(DONNEES!$E658="","",DONNEES!Y658)</f>
        <v/>
      </c>
      <c r="Y658" t="str">
        <f>IF(DONNEES!$E658="","",DONNEES!Z658)</f>
        <v/>
      </c>
      <c r="Z658" t="str">
        <f>IF(DONNEES!$E658="","",DONNEES!AQ658)</f>
        <v/>
      </c>
    </row>
    <row r="659" spans="1:26" ht="15" customHeight="1" x14ac:dyDescent="0.3">
      <c r="A659" t="str">
        <f>IF(DONNEES!$E659="","",DONNEES!A659)</f>
        <v/>
      </c>
      <c r="B659" t="str">
        <f>IF(DONNEES!$E659="","",DONNEES!B659)</f>
        <v/>
      </c>
      <c r="C659" t="str">
        <f>IF(DONNEES!$E659="","",DONNEES!C659)</f>
        <v/>
      </c>
      <c r="D659" t="str">
        <f>IF(DONNEES!$E659="","",DONNEES!E659)</f>
        <v/>
      </c>
      <c r="E659" t="str">
        <f>IF(DONNEES!$E659="","",DONNEES!F659)</f>
        <v/>
      </c>
      <c r="F659" t="str">
        <f>IF(DONNEES!$E659="","",DONNEES!G659)</f>
        <v/>
      </c>
      <c r="G659" t="str">
        <f>IF(DONNEES!$E659="","",DONNEES!H659)</f>
        <v/>
      </c>
      <c r="H659" t="str">
        <f>IF(DONNEES!$E659="","",DONNEES!I659)</f>
        <v/>
      </c>
      <c r="I659" t="str">
        <f>IF(DONNEES!$E659="","",DONNEES!J659)</f>
        <v/>
      </c>
      <c r="J659" t="str">
        <f>IF(DONNEES!$E659="","",DONNEES!K659)</f>
        <v/>
      </c>
      <c r="K659" t="str">
        <f>IF(DONNEES!$E659="","",DONNEES!L659)</f>
        <v/>
      </c>
      <c r="L659" t="str">
        <f>IF(DONNEES!$E659="","",DONNEES!M659)</f>
        <v/>
      </c>
      <c r="M659" t="str">
        <f>IF(DONNEES!$E659="","",DONNEES!N659)</f>
        <v/>
      </c>
      <c r="N659" t="str">
        <f>IF(DONNEES!$E659="","",DONNEES!O659)</f>
        <v/>
      </c>
      <c r="O659" t="str">
        <f>IF(DONNEES!$E659="","",DONNEES!P659)</f>
        <v/>
      </c>
      <c r="P659" t="str">
        <f>IF(DONNEES!$E659="","",DONNEES!Q659)</f>
        <v/>
      </c>
      <c r="Q659" t="str">
        <f>IF(DONNEES!$E659="","",DONNEES!R659)</f>
        <v/>
      </c>
      <c r="R659" t="str">
        <f>IF(DONNEES!$E659="","",DONNEES!S659)</f>
        <v/>
      </c>
      <c r="S659" t="str">
        <f>IF(DONNEES!$E659="","",DONNEES!T659)</f>
        <v/>
      </c>
      <c r="T659" t="str">
        <f>IF(DONNEES!$E659="","",DONNEES!U659)</f>
        <v/>
      </c>
      <c r="U659" t="str">
        <f>IF(DONNEES!$E659="","",DONNEES!V659)</f>
        <v/>
      </c>
      <c r="V659" t="str">
        <f>IF(DONNEES!$E659="","",DONNEES!W659)</f>
        <v/>
      </c>
      <c r="W659" t="str">
        <f>IF(DONNEES!$E659="","",DONNEES!X659)</f>
        <v/>
      </c>
      <c r="X659" t="str">
        <f>IF(DONNEES!$E659="","",DONNEES!Y659)</f>
        <v/>
      </c>
      <c r="Y659" t="str">
        <f>IF(DONNEES!$E659="","",DONNEES!Z659)</f>
        <v/>
      </c>
      <c r="Z659" t="str">
        <f>IF(DONNEES!$E659="","",DONNEES!AQ659)</f>
        <v/>
      </c>
    </row>
    <row r="660" spans="1:26" ht="15" customHeight="1" x14ac:dyDescent="0.3">
      <c r="A660" t="str">
        <f>IF(DONNEES!$E660="","",DONNEES!A660)</f>
        <v/>
      </c>
      <c r="B660" t="str">
        <f>IF(DONNEES!$E660="","",DONNEES!B660)</f>
        <v/>
      </c>
      <c r="C660" t="str">
        <f>IF(DONNEES!$E660="","",DONNEES!C660)</f>
        <v/>
      </c>
      <c r="D660" t="str">
        <f>IF(DONNEES!$E660="","",DONNEES!E660)</f>
        <v/>
      </c>
      <c r="E660" t="str">
        <f>IF(DONNEES!$E660="","",DONNEES!F660)</f>
        <v/>
      </c>
      <c r="F660" t="str">
        <f>IF(DONNEES!$E660="","",DONNEES!G660)</f>
        <v/>
      </c>
      <c r="G660" t="str">
        <f>IF(DONNEES!$E660="","",DONNEES!H660)</f>
        <v/>
      </c>
      <c r="H660" t="str">
        <f>IF(DONNEES!$E660="","",DONNEES!I660)</f>
        <v/>
      </c>
      <c r="I660" t="str">
        <f>IF(DONNEES!$E660="","",DONNEES!J660)</f>
        <v/>
      </c>
      <c r="J660" t="str">
        <f>IF(DONNEES!$E660="","",DONNEES!K660)</f>
        <v/>
      </c>
      <c r="K660" t="str">
        <f>IF(DONNEES!$E660="","",DONNEES!L660)</f>
        <v/>
      </c>
      <c r="L660" t="str">
        <f>IF(DONNEES!$E660="","",DONNEES!M660)</f>
        <v/>
      </c>
      <c r="M660" t="str">
        <f>IF(DONNEES!$E660="","",DONNEES!N660)</f>
        <v/>
      </c>
      <c r="N660" t="str">
        <f>IF(DONNEES!$E660="","",DONNEES!O660)</f>
        <v/>
      </c>
      <c r="O660" t="str">
        <f>IF(DONNEES!$E660="","",DONNEES!P660)</f>
        <v/>
      </c>
      <c r="P660" t="str">
        <f>IF(DONNEES!$E660="","",DONNEES!Q660)</f>
        <v/>
      </c>
      <c r="Q660" t="str">
        <f>IF(DONNEES!$E660="","",DONNEES!R660)</f>
        <v/>
      </c>
      <c r="R660" t="str">
        <f>IF(DONNEES!$E660="","",DONNEES!S660)</f>
        <v/>
      </c>
      <c r="S660" t="str">
        <f>IF(DONNEES!$E660="","",DONNEES!T660)</f>
        <v/>
      </c>
      <c r="T660" t="str">
        <f>IF(DONNEES!$E660="","",DONNEES!U660)</f>
        <v/>
      </c>
      <c r="U660" t="str">
        <f>IF(DONNEES!$E660="","",DONNEES!V660)</f>
        <v/>
      </c>
      <c r="V660" t="str">
        <f>IF(DONNEES!$E660="","",DONNEES!W660)</f>
        <v/>
      </c>
      <c r="W660" t="str">
        <f>IF(DONNEES!$E660="","",DONNEES!X660)</f>
        <v/>
      </c>
      <c r="X660" t="str">
        <f>IF(DONNEES!$E660="","",DONNEES!Y660)</f>
        <v/>
      </c>
      <c r="Y660" t="str">
        <f>IF(DONNEES!$E660="","",DONNEES!Z660)</f>
        <v/>
      </c>
      <c r="Z660" t="str">
        <f>IF(DONNEES!$E660="","",DONNEES!AQ660)</f>
        <v/>
      </c>
    </row>
    <row r="661" spans="1:26" ht="15" customHeight="1" x14ac:dyDescent="0.3">
      <c r="A661" t="str">
        <f>IF(DONNEES!$E661="","",DONNEES!A661)</f>
        <v/>
      </c>
      <c r="B661" t="str">
        <f>IF(DONNEES!$E661="","",DONNEES!B661)</f>
        <v/>
      </c>
      <c r="C661" t="str">
        <f>IF(DONNEES!$E661="","",DONNEES!C661)</f>
        <v/>
      </c>
      <c r="D661" t="str">
        <f>IF(DONNEES!$E661="","",DONNEES!E661)</f>
        <v/>
      </c>
      <c r="E661" t="str">
        <f>IF(DONNEES!$E661="","",DONNEES!F661)</f>
        <v/>
      </c>
      <c r="F661" t="str">
        <f>IF(DONNEES!$E661="","",DONNEES!G661)</f>
        <v/>
      </c>
      <c r="G661" t="str">
        <f>IF(DONNEES!$E661="","",DONNEES!H661)</f>
        <v/>
      </c>
      <c r="H661" t="str">
        <f>IF(DONNEES!$E661="","",DONNEES!I661)</f>
        <v/>
      </c>
      <c r="I661" t="str">
        <f>IF(DONNEES!$E661="","",DONNEES!J661)</f>
        <v/>
      </c>
      <c r="J661" t="str">
        <f>IF(DONNEES!$E661="","",DONNEES!K661)</f>
        <v/>
      </c>
      <c r="K661" t="str">
        <f>IF(DONNEES!$E661="","",DONNEES!L661)</f>
        <v/>
      </c>
      <c r="L661" t="str">
        <f>IF(DONNEES!$E661="","",DONNEES!M661)</f>
        <v/>
      </c>
      <c r="M661" t="str">
        <f>IF(DONNEES!$E661="","",DONNEES!N661)</f>
        <v/>
      </c>
      <c r="N661" t="str">
        <f>IF(DONNEES!$E661="","",DONNEES!O661)</f>
        <v/>
      </c>
      <c r="O661" t="str">
        <f>IF(DONNEES!$E661="","",DONNEES!P661)</f>
        <v/>
      </c>
      <c r="P661" t="str">
        <f>IF(DONNEES!$E661="","",DONNEES!Q661)</f>
        <v/>
      </c>
      <c r="Q661" t="str">
        <f>IF(DONNEES!$E661="","",DONNEES!R661)</f>
        <v/>
      </c>
      <c r="R661" t="str">
        <f>IF(DONNEES!$E661="","",DONNEES!S661)</f>
        <v/>
      </c>
      <c r="S661" t="str">
        <f>IF(DONNEES!$E661="","",DONNEES!T661)</f>
        <v/>
      </c>
      <c r="T661" t="str">
        <f>IF(DONNEES!$E661="","",DONNEES!U661)</f>
        <v/>
      </c>
      <c r="U661" t="str">
        <f>IF(DONNEES!$E661="","",DONNEES!V661)</f>
        <v/>
      </c>
      <c r="V661" t="str">
        <f>IF(DONNEES!$E661="","",DONNEES!W661)</f>
        <v/>
      </c>
      <c r="W661" t="str">
        <f>IF(DONNEES!$E661="","",DONNEES!X661)</f>
        <v/>
      </c>
      <c r="X661" t="str">
        <f>IF(DONNEES!$E661="","",DONNEES!Y661)</f>
        <v/>
      </c>
      <c r="Y661" t="str">
        <f>IF(DONNEES!$E661="","",DONNEES!Z661)</f>
        <v/>
      </c>
      <c r="Z661" t="str">
        <f>IF(DONNEES!$E661="","",DONNEES!AQ661)</f>
        <v/>
      </c>
    </row>
    <row r="662" spans="1:26" ht="15" customHeight="1" x14ac:dyDescent="0.3">
      <c r="A662" t="str">
        <f>IF(DONNEES!$E662="","",DONNEES!A662)</f>
        <v/>
      </c>
      <c r="B662" t="str">
        <f>IF(DONNEES!$E662="","",DONNEES!B662)</f>
        <v/>
      </c>
      <c r="C662" t="str">
        <f>IF(DONNEES!$E662="","",DONNEES!C662)</f>
        <v/>
      </c>
      <c r="D662" t="str">
        <f>IF(DONNEES!$E662="","",DONNEES!E662)</f>
        <v/>
      </c>
      <c r="E662" t="str">
        <f>IF(DONNEES!$E662="","",DONNEES!F662)</f>
        <v/>
      </c>
      <c r="F662" t="str">
        <f>IF(DONNEES!$E662="","",DONNEES!G662)</f>
        <v/>
      </c>
      <c r="G662" t="str">
        <f>IF(DONNEES!$E662="","",DONNEES!H662)</f>
        <v/>
      </c>
      <c r="H662" t="str">
        <f>IF(DONNEES!$E662="","",DONNEES!I662)</f>
        <v/>
      </c>
      <c r="I662" t="str">
        <f>IF(DONNEES!$E662="","",DONNEES!J662)</f>
        <v/>
      </c>
      <c r="J662" t="str">
        <f>IF(DONNEES!$E662="","",DONNEES!K662)</f>
        <v/>
      </c>
      <c r="K662" t="str">
        <f>IF(DONNEES!$E662="","",DONNEES!L662)</f>
        <v/>
      </c>
      <c r="L662" t="str">
        <f>IF(DONNEES!$E662="","",DONNEES!M662)</f>
        <v/>
      </c>
      <c r="M662" t="str">
        <f>IF(DONNEES!$E662="","",DONNEES!N662)</f>
        <v/>
      </c>
      <c r="N662" t="str">
        <f>IF(DONNEES!$E662="","",DONNEES!O662)</f>
        <v/>
      </c>
      <c r="O662" t="str">
        <f>IF(DONNEES!$E662="","",DONNEES!P662)</f>
        <v/>
      </c>
      <c r="P662" t="str">
        <f>IF(DONNEES!$E662="","",DONNEES!Q662)</f>
        <v/>
      </c>
      <c r="Q662" t="str">
        <f>IF(DONNEES!$E662="","",DONNEES!R662)</f>
        <v/>
      </c>
      <c r="R662" t="str">
        <f>IF(DONNEES!$E662="","",DONNEES!S662)</f>
        <v/>
      </c>
      <c r="S662" t="str">
        <f>IF(DONNEES!$E662="","",DONNEES!T662)</f>
        <v/>
      </c>
      <c r="T662" t="str">
        <f>IF(DONNEES!$E662="","",DONNEES!U662)</f>
        <v/>
      </c>
      <c r="U662" t="str">
        <f>IF(DONNEES!$E662="","",DONNEES!V662)</f>
        <v/>
      </c>
      <c r="V662" t="str">
        <f>IF(DONNEES!$E662="","",DONNEES!W662)</f>
        <v/>
      </c>
      <c r="W662" t="str">
        <f>IF(DONNEES!$E662="","",DONNEES!X662)</f>
        <v/>
      </c>
      <c r="X662" t="str">
        <f>IF(DONNEES!$E662="","",DONNEES!Y662)</f>
        <v/>
      </c>
      <c r="Y662" t="str">
        <f>IF(DONNEES!$E662="","",DONNEES!Z662)</f>
        <v/>
      </c>
      <c r="Z662" t="str">
        <f>IF(DONNEES!$E662="","",DONNEES!AQ662)</f>
        <v/>
      </c>
    </row>
    <row r="663" spans="1:26" ht="15" customHeight="1" x14ac:dyDescent="0.3">
      <c r="A663" t="str">
        <f>IF(DONNEES!$E663="","",DONNEES!A663)</f>
        <v/>
      </c>
      <c r="B663" t="str">
        <f>IF(DONNEES!$E663="","",DONNEES!B663)</f>
        <v/>
      </c>
      <c r="C663" t="str">
        <f>IF(DONNEES!$E663="","",DONNEES!C663)</f>
        <v/>
      </c>
      <c r="D663" t="str">
        <f>IF(DONNEES!$E663="","",DONNEES!E663)</f>
        <v/>
      </c>
      <c r="E663" t="str">
        <f>IF(DONNEES!$E663="","",DONNEES!F663)</f>
        <v/>
      </c>
      <c r="F663" t="str">
        <f>IF(DONNEES!$E663="","",DONNEES!G663)</f>
        <v/>
      </c>
      <c r="G663" t="str">
        <f>IF(DONNEES!$E663="","",DONNEES!H663)</f>
        <v/>
      </c>
      <c r="H663" t="str">
        <f>IF(DONNEES!$E663="","",DONNEES!I663)</f>
        <v/>
      </c>
      <c r="I663" t="str">
        <f>IF(DONNEES!$E663="","",DONNEES!J663)</f>
        <v/>
      </c>
      <c r="J663" t="str">
        <f>IF(DONNEES!$E663="","",DONNEES!K663)</f>
        <v/>
      </c>
      <c r="K663" t="str">
        <f>IF(DONNEES!$E663="","",DONNEES!L663)</f>
        <v/>
      </c>
      <c r="L663" t="str">
        <f>IF(DONNEES!$E663="","",DONNEES!M663)</f>
        <v/>
      </c>
      <c r="M663" t="str">
        <f>IF(DONNEES!$E663="","",DONNEES!N663)</f>
        <v/>
      </c>
      <c r="N663" t="str">
        <f>IF(DONNEES!$E663="","",DONNEES!O663)</f>
        <v/>
      </c>
      <c r="O663" t="str">
        <f>IF(DONNEES!$E663="","",DONNEES!P663)</f>
        <v/>
      </c>
      <c r="P663" t="str">
        <f>IF(DONNEES!$E663="","",DONNEES!Q663)</f>
        <v/>
      </c>
      <c r="Q663" t="str">
        <f>IF(DONNEES!$E663="","",DONNEES!R663)</f>
        <v/>
      </c>
      <c r="R663" t="str">
        <f>IF(DONNEES!$E663="","",DONNEES!S663)</f>
        <v/>
      </c>
      <c r="S663" t="str">
        <f>IF(DONNEES!$E663="","",DONNEES!T663)</f>
        <v/>
      </c>
      <c r="T663" t="str">
        <f>IF(DONNEES!$E663="","",DONNEES!U663)</f>
        <v/>
      </c>
      <c r="U663" t="str">
        <f>IF(DONNEES!$E663="","",DONNEES!V663)</f>
        <v/>
      </c>
      <c r="V663" t="str">
        <f>IF(DONNEES!$E663="","",DONNEES!W663)</f>
        <v/>
      </c>
      <c r="W663" t="str">
        <f>IF(DONNEES!$E663="","",DONNEES!X663)</f>
        <v/>
      </c>
      <c r="X663" t="str">
        <f>IF(DONNEES!$E663="","",DONNEES!Y663)</f>
        <v/>
      </c>
      <c r="Y663" t="str">
        <f>IF(DONNEES!$E663="","",DONNEES!Z663)</f>
        <v/>
      </c>
      <c r="Z663" t="str">
        <f>IF(DONNEES!$E663="","",DONNEES!AQ663)</f>
        <v/>
      </c>
    </row>
    <row r="664" spans="1:26" ht="15" customHeight="1" x14ac:dyDescent="0.3">
      <c r="A664" t="str">
        <f>IF(DONNEES!$E664="","",DONNEES!A664)</f>
        <v/>
      </c>
      <c r="B664" t="str">
        <f>IF(DONNEES!$E664="","",DONNEES!B664)</f>
        <v/>
      </c>
      <c r="C664" t="str">
        <f>IF(DONNEES!$E664="","",DONNEES!C664)</f>
        <v/>
      </c>
      <c r="D664" t="str">
        <f>IF(DONNEES!$E664="","",DONNEES!E664)</f>
        <v/>
      </c>
      <c r="E664" t="str">
        <f>IF(DONNEES!$E664="","",DONNEES!F664)</f>
        <v/>
      </c>
      <c r="F664" t="str">
        <f>IF(DONNEES!$E664="","",DONNEES!G664)</f>
        <v/>
      </c>
      <c r="G664" t="str">
        <f>IF(DONNEES!$E664="","",DONNEES!H664)</f>
        <v/>
      </c>
      <c r="H664" t="str">
        <f>IF(DONNEES!$E664="","",DONNEES!I664)</f>
        <v/>
      </c>
      <c r="I664" t="str">
        <f>IF(DONNEES!$E664="","",DONNEES!J664)</f>
        <v/>
      </c>
      <c r="J664" t="str">
        <f>IF(DONNEES!$E664="","",DONNEES!K664)</f>
        <v/>
      </c>
      <c r="K664" t="str">
        <f>IF(DONNEES!$E664="","",DONNEES!L664)</f>
        <v/>
      </c>
      <c r="L664" t="str">
        <f>IF(DONNEES!$E664="","",DONNEES!M664)</f>
        <v/>
      </c>
      <c r="M664" t="str">
        <f>IF(DONNEES!$E664="","",DONNEES!N664)</f>
        <v/>
      </c>
      <c r="N664" t="str">
        <f>IF(DONNEES!$E664="","",DONNEES!O664)</f>
        <v/>
      </c>
      <c r="O664" t="str">
        <f>IF(DONNEES!$E664="","",DONNEES!P664)</f>
        <v/>
      </c>
      <c r="P664" t="str">
        <f>IF(DONNEES!$E664="","",DONNEES!Q664)</f>
        <v/>
      </c>
      <c r="Q664" t="str">
        <f>IF(DONNEES!$E664="","",DONNEES!R664)</f>
        <v/>
      </c>
      <c r="R664" t="str">
        <f>IF(DONNEES!$E664="","",DONNEES!S664)</f>
        <v/>
      </c>
      <c r="S664" t="str">
        <f>IF(DONNEES!$E664="","",DONNEES!T664)</f>
        <v/>
      </c>
      <c r="T664" t="str">
        <f>IF(DONNEES!$E664="","",DONNEES!U664)</f>
        <v/>
      </c>
      <c r="U664" t="str">
        <f>IF(DONNEES!$E664="","",DONNEES!V664)</f>
        <v/>
      </c>
      <c r="V664" t="str">
        <f>IF(DONNEES!$E664="","",DONNEES!W664)</f>
        <v/>
      </c>
      <c r="W664" t="str">
        <f>IF(DONNEES!$E664="","",DONNEES!X664)</f>
        <v/>
      </c>
      <c r="X664" t="str">
        <f>IF(DONNEES!$E664="","",DONNEES!Y664)</f>
        <v/>
      </c>
      <c r="Y664" t="str">
        <f>IF(DONNEES!$E664="","",DONNEES!Z664)</f>
        <v/>
      </c>
      <c r="Z664" t="str">
        <f>IF(DONNEES!$E664="","",DONNEES!AQ664)</f>
        <v/>
      </c>
    </row>
    <row r="665" spans="1:26" ht="15" customHeight="1" x14ac:dyDescent="0.3">
      <c r="A665" t="str">
        <f>IF(DONNEES!$E665="","",DONNEES!A665)</f>
        <v/>
      </c>
      <c r="B665" t="str">
        <f>IF(DONNEES!$E665="","",DONNEES!B665)</f>
        <v/>
      </c>
      <c r="C665" t="str">
        <f>IF(DONNEES!$E665="","",DONNEES!C665)</f>
        <v/>
      </c>
      <c r="D665" t="str">
        <f>IF(DONNEES!$E665="","",DONNEES!E665)</f>
        <v/>
      </c>
      <c r="E665" t="str">
        <f>IF(DONNEES!$E665="","",DONNEES!F665)</f>
        <v/>
      </c>
      <c r="F665" t="str">
        <f>IF(DONNEES!$E665="","",DONNEES!G665)</f>
        <v/>
      </c>
      <c r="G665" t="str">
        <f>IF(DONNEES!$E665="","",DONNEES!H665)</f>
        <v/>
      </c>
      <c r="H665" t="str">
        <f>IF(DONNEES!$E665="","",DONNEES!I665)</f>
        <v/>
      </c>
      <c r="I665" t="str">
        <f>IF(DONNEES!$E665="","",DONNEES!J665)</f>
        <v/>
      </c>
      <c r="J665" t="str">
        <f>IF(DONNEES!$E665="","",DONNEES!K665)</f>
        <v/>
      </c>
      <c r="K665" t="str">
        <f>IF(DONNEES!$E665="","",DONNEES!L665)</f>
        <v/>
      </c>
      <c r="L665" t="str">
        <f>IF(DONNEES!$E665="","",DONNEES!M665)</f>
        <v/>
      </c>
      <c r="M665" t="str">
        <f>IF(DONNEES!$E665="","",DONNEES!N665)</f>
        <v/>
      </c>
      <c r="N665" t="str">
        <f>IF(DONNEES!$E665="","",DONNEES!O665)</f>
        <v/>
      </c>
      <c r="O665" t="str">
        <f>IF(DONNEES!$E665="","",DONNEES!P665)</f>
        <v/>
      </c>
      <c r="P665" t="str">
        <f>IF(DONNEES!$E665="","",DONNEES!Q665)</f>
        <v/>
      </c>
      <c r="Q665" t="str">
        <f>IF(DONNEES!$E665="","",DONNEES!R665)</f>
        <v/>
      </c>
      <c r="R665" t="str">
        <f>IF(DONNEES!$E665="","",DONNEES!S665)</f>
        <v/>
      </c>
      <c r="S665" t="str">
        <f>IF(DONNEES!$E665="","",DONNEES!T665)</f>
        <v/>
      </c>
      <c r="T665" t="str">
        <f>IF(DONNEES!$E665="","",DONNEES!U665)</f>
        <v/>
      </c>
      <c r="U665" t="str">
        <f>IF(DONNEES!$E665="","",DONNEES!V665)</f>
        <v/>
      </c>
      <c r="V665" t="str">
        <f>IF(DONNEES!$E665="","",DONNEES!W665)</f>
        <v/>
      </c>
      <c r="W665" t="str">
        <f>IF(DONNEES!$E665="","",DONNEES!X665)</f>
        <v/>
      </c>
      <c r="X665" t="str">
        <f>IF(DONNEES!$E665="","",DONNEES!Y665)</f>
        <v/>
      </c>
      <c r="Y665" t="str">
        <f>IF(DONNEES!$E665="","",DONNEES!Z665)</f>
        <v/>
      </c>
      <c r="Z665" t="str">
        <f>IF(DONNEES!$E665="","",DONNEES!AQ665)</f>
        <v/>
      </c>
    </row>
    <row r="666" spans="1:26" ht="15" customHeight="1" x14ac:dyDescent="0.3">
      <c r="A666" t="str">
        <f>IF(DONNEES!$E666="","",DONNEES!A666)</f>
        <v/>
      </c>
      <c r="B666" t="str">
        <f>IF(DONNEES!$E666="","",DONNEES!B666)</f>
        <v/>
      </c>
      <c r="C666" t="str">
        <f>IF(DONNEES!$E666="","",DONNEES!C666)</f>
        <v/>
      </c>
      <c r="D666" t="str">
        <f>IF(DONNEES!$E666="","",DONNEES!E666)</f>
        <v/>
      </c>
      <c r="E666" t="str">
        <f>IF(DONNEES!$E666="","",DONNEES!F666)</f>
        <v/>
      </c>
      <c r="F666" t="str">
        <f>IF(DONNEES!$E666="","",DONNEES!G666)</f>
        <v/>
      </c>
      <c r="G666" t="str">
        <f>IF(DONNEES!$E666="","",DONNEES!H666)</f>
        <v/>
      </c>
      <c r="H666" t="str">
        <f>IF(DONNEES!$E666="","",DONNEES!I666)</f>
        <v/>
      </c>
      <c r="I666" t="str">
        <f>IF(DONNEES!$E666="","",DONNEES!J666)</f>
        <v/>
      </c>
      <c r="J666" t="str">
        <f>IF(DONNEES!$E666="","",DONNEES!K666)</f>
        <v/>
      </c>
      <c r="K666" t="str">
        <f>IF(DONNEES!$E666="","",DONNEES!L666)</f>
        <v/>
      </c>
      <c r="L666" t="str">
        <f>IF(DONNEES!$E666="","",DONNEES!M666)</f>
        <v/>
      </c>
      <c r="M666" t="str">
        <f>IF(DONNEES!$E666="","",DONNEES!N666)</f>
        <v/>
      </c>
      <c r="N666" t="str">
        <f>IF(DONNEES!$E666="","",DONNEES!O666)</f>
        <v/>
      </c>
      <c r="O666" t="str">
        <f>IF(DONNEES!$E666="","",DONNEES!P666)</f>
        <v/>
      </c>
      <c r="P666" t="str">
        <f>IF(DONNEES!$E666="","",DONNEES!Q666)</f>
        <v/>
      </c>
      <c r="Q666" t="str">
        <f>IF(DONNEES!$E666="","",DONNEES!R666)</f>
        <v/>
      </c>
      <c r="R666" t="str">
        <f>IF(DONNEES!$E666="","",DONNEES!S666)</f>
        <v/>
      </c>
      <c r="S666" t="str">
        <f>IF(DONNEES!$E666="","",DONNEES!T666)</f>
        <v/>
      </c>
      <c r="T666" t="str">
        <f>IF(DONNEES!$E666="","",DONNEES!U666)</f>
        <v/>
      </c>
      <c r="U666" t="str">
        <f>IF(DONNEES!$E666="","",DONNEES!V666)</f>
        <v/>
      </c>
      <c r="V666" t="str">
        <f>IF(DONNEES!$E666="","",DONNEES!W666)</f>
        <v/>
      </c>
      <c r="W666" t="str">
        <f>IF(DONNEES!$E666="","",DONNEES!X666)</f>
        <v/>
      </c>
      <c r="X666" t="str">
        <f>IF(DONNEES!$E666="","",DONNEES!Y666)</f>
        <v/>
      </c>
      <c r="Y666" t="str">
        <f>IF(DONNEES!$E666="","",DONNEES!Z666)</f>
        <v/>
      </c>
      <c r="Z666" t="str">
        <f>IF(DONNEES!$E666="","",DONNEES!AQ666)</f>
        <v/>
      </c>
    </row>
    <row r="667" spans="1:26" ht="15" customHeight="1" x14ac:dyDescent="0.3">
      <c r="A667" t="str">
        <f>IF(DONNEES!$E667="","",DONNEES!A667)</f>
        <v/>
      </c>
      <c r="B667" t="str">
        <f>IF(DONNEES!$E667="","",DONNEES!B667)</f>
        <v/>
      </c>
      <c r="C667" t="str">
        <f>IF(DONNEES!$E667="","",DONNEES!C667)</f>
        <v/>
      </c>
      <c r="D667" t="str">
        <f>IF(DONNEES!$E667="","",DONNEES!E667)</f>
        <v/>
      </c>
      <c r="E667" t="str">
        <f>IF(DONNEES!$E667="","",DONNEES!F667)</f>
        <v/>
      </c>
      <c r="F667" t="str">
        <f>IF(DONNEES!$E667="","",DONNEES!G667)</f>
        <v/>
      </c>
      <c r="G667" t="str">
        <f>IF(DONNEES!$E667="","",DONNEES!H667)</f>
        <v/>
      </c>
      <c r="H667" t="str">
        <f>IF(DONNEES!$E667="","",DONNEES!I667)</f>
        <v/>
      </c>
      <c r="I667" t="str">
        <f>IF(DONNEES!$E667="","",DONNEES!J667)</f>
        <v/>
      </c>
      <c r="J667" t="str">
        <f>IF(DONNEES!$E667="","",DONNEES!K667)</f>
        <v/>
      </c>
      <c r="K667" t="str">
        <f>IF(DONNEES!$E667="","",DONNEES!L667)</f>
        <v/>
      </c>
      <c r="L667" t="str">
        <f>IF(DONNEES!$E667="","",DONNEES!M667)</f>
        <v/>
      </c>
      <c r="M667" t="str">
        <f>IF(DONNEES!$E667="","",DONNEES!N667)</f>
        <v/>
      </c>
      <c r="N667" t="str">
        <f>IF(DONNEES!$E667="","",DONNEES!O667)</f>
        <v/>
      </c>
      <c r="O667" t="str">
        <f>IF(DONNEES!$E667="","",DONNEES!P667)</f>
        <v/>
      </c>
      <c r="P667" t="str">
        <f>IF(DONNEES!$E667="","",DONNEES!Q667)</f>
        <v/>
      </c>
      <c r="Q667" t="str">
        <f>IF(DONNEES!$E667="","",DONNEES!R667)</f>
        <v/>
      </c>
      <c r="R667" t="str">
        <f>IF(DONNEES!$E667="","",DONNEES!S667)</f>
        <v/>
      </c>
      <c r="S667" t="str">
        <f>IF(DONNEES!$E667="","",DONNEES!T667)</f>
        <v/>
      </c>
      <c r="T667" t="str">
        <f>IF(DONNEES!$E667="","",DONNEES!U667)</f>
        <v/>
      </c>
      <c r="U667" t="str">
        <f>IF(DONNEES!$E667="","",DONNEES!V667)</f>
        <v/>
      </c>
      <c r="V667" t="str">
        <f>IF(DONNEES!$E667="","",DONNEES!W667)</f>
        <v/>
      </c>
      <c r="W667" t="str">
        <f>IF(DONNEES!$E667="","",DONNEES!X667)</f>
        <v/>
      </c>
      <c r="X667" t="str">
        <f>IF(DONNEES!$E667="","",DONNEES!Y667)</f>
        <v/>
      </c>
      <c r="Y667" t="str">
        <f>IF(DONNEES!$E667="","",DONNEES!Z667)</f>
        <v/>
      </c>
      <c r="Z667" t="str">
        <f>IF(DONNEES!$E667="","",DONNEES!AQ667)</f>
        <v/>
      </c>
    </row>
    <row r="668" spans="1:26" ht="15" customHeight="1" x14ac:dyDescent="0.3">
      <c r="A668" t="str">
        <f>IF(DONNEES!$E668="","",DONNEES!A668)</f>
        <v/>
      </c>
      <c r="B668" t="str">
        <f>IF(DONNEES!$E668="","",DONNEES!B668)</f>
        <v/>
      </c>
      <c r="C668" t="str">
        <f>IF(DONNEES!$E668="","",DONNEES!C668)</f>
        <v/>
      </c>
      <c r="D668" t="str">
        <f>IF(DONNEES!$E668="","",DONNEES!E668)</f>
        <v/>
      </c>
      <c r="E668" t="str">
        <f>IF(DONNEES!$E668="","",DONNEES!F668)</f>
        <v/>
      </c>
      <c r="F668" t="str">
        <f>IF(DONNEES!$E668="","",DONNEES!G668)</f>
        <v/>
      </c>
      <c r="G668" t="str">
        <f>IF(DONNEES!$E668="","",DONNEES!H668)</f>
        <v/>
      </c>
      <c r="H668" t="str">
        <f>IF(DONNEES!$E668="","",DONNEES!I668)</f>
        <v/>
      </c>
      <c r="I668" t="str">
        <f>IF(DONNEES!$E668="","",DONNEES!J668)</f>
        <v/>
      </c>
      <c r="J668" t="str">
        <f>IF(DONNEES!$E668="","",DONNEES!K668)</f>
        <v/>
      </c>
      <c r="K668" t="str">
        <f>IF(DONNEES!$E668="","",DONNEES!L668)</f>
        <v/>
      </c>
      <c r="L668" t="str">
        <f>IF(DONNEES!$E668="","",DONNEES!M668)</f>
        <v/>
      </c>
      <c r="M668" t="str">
        <f>IF(DONNEES!$E668="","",DONNEES!N668)</f>
        <v/>
      </c>
      <c r="N668" t="str">
        <f>IF(DONNEES!$E668="","",DONNEES!O668)</f>
        <v/>
      </c>
      <c r="O668" t="str">
        <f>IF(DONNEES!$E668="","",DONNEES!P668)</f>
        <v/>
      </c>
      <c r="P668" t="str">
        <f>IF(DONNEES!$E668="","",DONNEES!Q668)</f>
        <v/>
      </c>
      <c r="Q668" t="str">
        <f>IF(DONNEES!$E668="","",DONNEES!R668)</f>
        <v/>
      </c>
      <c r="R668" t="str">
        <f>IF(DONNEES!$E668="","",DONNEES!S668)</f>
        <v/>
      </c>
      <c r="S668" t="str">
        <f>IF(DONNEES!$E668="","",DONNEES!T668)</f>
        <v/>
      </c>
      <c r="T668" t="str">
        <f>IF(DONNEES!$E668="","",DONNEES!U668)</f>
        <v/>
      </c>
      <c r="U668" t="str">
        <f>IF(DONNEES!$E668="","",DONNEES!V668)</f>
        <v/>
      </c>
      <c r="V668" t="str">
        <f>IF(DONNEES!$E668="","",DONNEES!W668)</f>
        <v/>
      </c>
      <c r="W668" t="str">
        <f>IF(DONNEES!$E668="","",DONNEES!X668)</f>
        <v/>
      </c>
      <c r="X668" t="str">
        <f>IF(DONNEES!$E668="","",DONNEES!Y668)</f>
        <v/>
      </c>
      <c r="Y668" t="str">
        <f>IF(DONNEES!$E668="","",DONNEES!Z668)</f>
        <v/>
      </c>
      <c r="Z668" t="str">
        <f>IF(DONNEES!$E668="","",DONNEES!AQ668)</f>
        <v/>
      </c>
    </row>
    <row r="669" spans="1:26" ht="15" customHeight="1" x14ac:dyDescent="0.3">
      <c r="A669" t="str">
        <f>IF(DONNEES!$E669="","",DONNEES!A669)</f>
        <v/>
      </c>
      <c r="B669" t="str">
        <f>IF(DONNEES!$E669="","",DONNEES!B669)</f>
        <v/>
      </c>
      <c r="C669" t="str">
        <f>IF(DONNEES!$E669="","",DONNEES!C669)</f>
        <v/>
      </c>
      <c r="D669" t="str">
        <f>IF(DONNEES!$E669="","",DONNEES!E669)</f>
        <v/>
      </c>
      <c r="E669" t="str">
        <f>IF(DONNEES!$E669="","",DONNEES!F669)</f>
        <v/>
      </c>
      <c r="F669" t="str">
        <f>IF(DONNEES!$E669="","",DONNEES!G669)</f>
        <v/>
      </c>
      <c r="G669" t="str">
        <f>IF(DONNEES!$E669="","",DONNEES!H669)</f>
        <v/>
      </c>
      <c r="H669" t="str">
        <f>IF(DONNEES!$E669="","",DONNEES!I669)</f>
        <v/>
      </c>
      <c r="I669" t="str">
        <f>IF(DONNEES!$E669="","",DONNEES!J669)</f>
        <v/>
      </c>
      <c r="J669" t="str">
        <f>IF(DONNEES!$E669="","",DONNEES!K669)</f>
        <v/>
      </c>
      <c r="K669" t="str">
        <f>IF(DONNEES!$E669="","",DONNEES!L669)</f>
        <v/>
      </c>
      <c r="L669" t="str">
        <f>IF(DONNEES!$E669="","",DONNEES!M669)</f>
        <v/>
      </c>
      <c r="M669" t="str">
        <f>IF(DONNEES!$E669="","",DONNEES!N669)</f>
        <v/>
      </c>
      <c r="N669" t="str">
        <f>IF(DONNEES!$E669="","",DONNEES!O669)</f>
        <v/>
      </c>
      <c r="O669" t="str">
        <f>IF(DONNEES!$E669="","",DONNEES!P669)</f>
        <v/>
      </c>
      <c r="P669" t="str">
        <f>IF(DONNEES!$E669="","",DONNEES!Q669)</f>
        <v/>
      </c>
      <c r="Q669" t="str">
        <f>IF(DONNEES!$E669="","",DONNEES!R669)</f>
        <v/>
      </c>
      <c r="R669" t="str">
        <f>IF(DONNEES!$E669="","",DONNEES!S669)</f>
        <v/>
      </c>
      <c r="S669" t="str">
        <f>IF(DONNEES!$E669="","",DONNEES!T669)</f>
        <v/>
      </c>
      <c r="T669" t="str">
        <f>IF(DONNEES!$E669="","",DONNEES!U669)</f>
        <v/>
      </c>
      <c r="U669" t="str">
        <f>IF(DONNEES!$E669="","",DONNEES!V669)</f>
        <v/>
      </c>
      <c r="V669" t="str">
        <f>IF(DONNEES!$E669="","",DONNEES!W669)</f>
        <v/>
      </c>
      <c r="W669" t="str">
        <f>IF(DONNEES!$E669="","",DONNEES!X669)</f>
        <v/>
      </c>
      <c r="X669" t="str">
        <f>IF(DONNEES!$E669="","",DONNEES!Y669)</f>
        <v/>
      </c>
      <c r="Y669" t="str">
        <f>IF(DONNEES!$E669="","",DONNEES!Z669)</f>
        <v/>
      </c>
      <c r="Z669" t="str">
        <f>IF(DONNEES!$E669="","",DONNEES!AQ669)</f>
        <v/>
      </c>
    </row>
    <row r="670" spans="1:26" ht="15" customHeight="1" x14ac:dyDescent="0.3">
      <c r="A670" t="str">
        <f>IF(DONNEES!$E670="","",DONNEES!A670)</f>
        <v/>
      </c>
      <c r="B670" t="str">
        <f>IF(DONNEES!$E670="","",DONNEES!B670)</f>
        <v/>
      </c>
      <c r="C670" t="str">
        <f>IF(DONNEES!$E670="","",DONNEES!C670)</f>
        <v/>
      </c>
      <c r="D670" t="str">
        <f>IF(DONNEES!$E670="","",DONNEES!E670)</f>
        <v/>
      </c>
      <c r="E670" t="str">
        <f>IF(DONNEES!$E670="","",DONNEES!F670)</f>
        <v/>
      </c>
      <c r="F670" t="str">
        <f>IF(DONNEES!$E670="","",DONNEES!G670)</f>
        <v/>
      </c>
      <c r="G670" t="str">
        <f>IF(DONNEES!$E670="","",DONNEES!H670)</f>
        <v/>
      </c>
      <c r="H670" t="str">
        <f>IF(DONNEES!$E670="","",DONNEES!I670)</f>
        <v/>
      </c>
      <c r="I670" t="str">
        <f>IF(DONNEES!$E670="","",DONNEES!J670)</f>
        <v/>
      </c>
      <c r="J670" t="str">
        <f>IF(DONNEES!$E670="","",DONNEES!K670)</f>
        <v/>
      </c>
      <c r="K670" t="str">
        <f>IF(DONNEES!$E670="","",DONNEES!L670)</f>
        <v/>
      </c>
      <c r="L670" t="str">
        <f>IF(DONNEES!$E670="","",DONNEES!M670)</f>
        <v/>
      </c>
      <c r="M670" t="str">
        <f>IF(DONNEES!$E670="","",DONNEES!N670)</f>
        <v/>
      </c>
      <c r="N670" t="str">
        <f>IF(DONNEES!$E670="","",DONNEES!O670)</f>
        <v/>
      </c>
      <c r="O670" t="str">
        <f>IF(DONNEES!$E670="","",DONNEES!P670)</f>
        <v/>
      </c>
      <c r="P670" t="str">
        <f>IF(DONNEES!$E670="","",DONNEES!Q670)</f>
        <v/>
      </c>
      <c r="Q670" t="str">
        <f>IF(DONNEES!$E670="","",DONNEES!R670)</f>
        <v/>
      </c>
      <c r="R670" t="str">
        <f>IF(DONNEES!$E670="","",DONNEES!S670)</f>
        <v/>
      </c>
      <c r="S670" t="str">
        <f>IF(DONNEES!$E670="","",DONNEES!T670)</f>
        <v/>
      </c>
      <c r="T670" t="str">
        <f>IF(DONNEES!$E670="","",DONNEES!U670)</f>
        <v/>
      </c>
      <c r="U670" t="str">
        <f>IF(DONNEES!$E670="","",DONNEES!V670)</f>
        <v/>
      </c>
      <c r="V670" t="str">
        <f>IF(DONNEES!$E670="","",DONNEES!W670)</f>
        <v/>
      </c>
      <c r="W670" t="str">
        <f>IF(DONNEES!$E670="","",DONNEES!X670)</f>
        <v/>
      </c>
      <c r="X670" t="str">
        <f>IF(DONNEES!$E670="","",DONNEES!Y670)</f>
        <v/>
      </c>
      <c r="Y670" t="str">
        <f>IF(DONNEES!$E670="","",DONNEES!Z670)</f>
        <v/>
      </c>
      <c r="Z670" t="str">
        <f>IF(DONNEES!$E670="","",DONNEES!AQ670)</f>
        <v/>
      </c>
    </row>
    <row r="671" spans="1:26" ht="15" customHeight="1" x14ac:dyDescent="0.3">
      <c r="A671" t="str">
        <f>IF(DONNEES!$E671="","",DONNEES!A671)</f>
        <v/>
      </c>
      <c r="B671" t="str">
        <f>IF(DONNEES!$E671="","",DONNEES!B671)</f>
        <v/>
      </c>
      <c r="C671" t="str">
        <f>IF(DONNEES!$E671="","",DONNEES!C671)</f>
        <v/>
      </c>
      <c r="D671" t="str">
        <f>IF(DONNEES!$E671="","",DONNEES!E671)</f>
        <v/>
      </c>
      <c r="E671" t="str">
        <f>IF(DONNEES!$E671="","",DONNEES!F671)</f>
        <v/>
      </c>
      <c r="F671" t="str">
        <f>IF(DONNEES!$E671="","",DONNEES!G671)</f>
        <v/>
      </c>
      <c r="G671" t="str">
        <f>IF(DONNEES!$E671="","",DONNEES!H671)</f>
        <v/>
      </c>
      <c r="H671" t="str">
        <f>IF(DONNEES!$E671="","",DONNEES!I671)</f>
        <v/>
      </c>
      <c r="I671" t="str">
        <f>IF(DONNEES!$E671="","",DONNEES!J671)</f>
        <v/>
      </c>
      <c r="J671" t="str">
        <f>IF(DONNEES!$E671="","",DONNEES!K671)</f>
        <v/>
      </c>
      <c r="K671" t="str">
        <f>IF(DONNEES!$E671="","",DONNEES!L671)</f>
        <v/>
      </c>
      <c r="L671" t="str">
        <f>IF(DONNEES!$E671="","",DONNEES!M671)</f>
        <v/>
      </c>
      <c r="M671" t="str">
        <f>IF(DONNEES!$E671="","",DONNEES!N671)</f>
        <v/>
      </c>
      <c r="N671" t="str">
        <f>IF(DONNEES!$E671="","",DONNEES!O671)</f>
        <v/>
      </c>
      <c r="O671" t="str">
        <f>IF(DONNEES!$E671="","",DONNEES!P671)</f>
        <v/>
      </c>
      <c r="P671" t="str">
        <f>IF(DONNEES!$E671="","",DONNEES!Q671)</f>
        <v/>
      </c>
      <c r="Q671" t="str">
        <f>IF(DONNEES!$E671="","",DONNEES!R671)</f>
        <v/>
      </c>
      <c r="R671" t="str">
        <f>IF(DONNEES!$E671="","",DONNEES!S671)</f>
        <v/>
      </c>
      <c r="S671" t="str">
        <f>IF(DONNEES!$E671="","",DONNEES!T671)</f>
        <v/>
      </c>
      <c r="T671" t="str">
        <f>IF(DONNEES!$E671="","",DONNEES!U671)</f>
        <v/>
      </c>
      <c r="U671" t="str">
        <f>IF(DONNEES!$E671="","",DONNEES!V671)</f>
        <v/>
      </c>
      <c r="V671" t="str">
        <f>IF(DONNEES!$E671="","",DONNEES!W671)</f>
        <v/>
      </c>
      <c r="W671" t="str">
        <f>IF(DONNEES!$E671="","",DONNEES!X671)</f>
        <v/>
      </c>
      <c r="X671" t="str">
        <f>IF(DONNEES!$E671="","",DONNEES!Y671)</f>
        <v/>
      </c>
      <c r="Y671" t="str">
        <f>IF(DONNEES!$E671="","",DONNEES!Z671)</f>
        <v/>
      </c>
      <c r="Z671" t="str">
        <f>IF(DONNEES!$E671="","",DONNEES!AQ671)</f>
        <v/>
      </c>
    </row>
    <row r="672" spans="1:26" ht="15" customHeight="1" x14ac:dyDescent="0.3">
      <c r="A672" t="str">
        <f>IF(DONNEES!$E672="","",DONNEES!A672)</f>
        <v/>
      </c>
      <c r="B672" t="str">
        <f>IF(DONNEES!$E672="","",DONNEES!B672)</f>
        <v/>
      </c>
      <c r="C672" t="str">
        <f>IF(DONNEES!$E672="","",DONNEES!C672)</f>
        <v/>
      </c>
      <c r="D672" t="str">
        <f>IF(DONNEES!$E672="","",DONNEES!E672)</f>
        <v/>
      </c>
      <c r="E672" t="str">
        <f>IF(DONNEES!$E672="","",DONNEES!F672)</f>
        <v/>
      </c>
      <c r="F672" t="str">
        <f>IF(DONNEES!$E672="","",DONNEES!G672)</f>
        <v/>
      </c>
      <c r="G672" t="str">
        <f>IF(DONNEES!$E672="","",DONNEES!H672)</f>
        <v/>
      </c>
      <c r="H672" t="str">
        <f>IF(DONNEES!$E672="","",DONNEES!I672)</f>
        <v/>
      </c>
      <c r="I672" t="str">
        <f>IF(DONNEES!$E672="","",DONNEES!J672)</f>
        <v/>
      </c>
      <c r="J672" t="str">
        <f>IF(DONNEES!$E672="","",DONNEES!K672)</f>
        <v/>
      </c>
      <c r="K672" t="str">
        <f>IF(DONNEES!$E672="","",DONNEES!L672)</f>
        <v/>
      </c>
      <c r="L672" t="str">
        <f>IF(DONNEES!$E672="","",DONNEES!M672)</f>
        <v/>
      </c>
      <c r="M672" t="str">
        <f>IF(DONNEES!$E672="","",DONNEES!N672)</f>
        <v/>
      </c>
      <c r="N672" t="str">
        <f>IF(DONNEES!$E672="","",DONNEES!O672)</f>
        <v/>
      </c>
      <c r="O672" t="str">
        <f>IF(DONNEES!$E672="","",DONNEES!P672)</f>
        <v/>
      </c>
      <c r="P672" t="str">
        <f>IF(DONNEES!$E672="","",DONNEES!Q672)</f>
        <v/>
      </c>
      <c r="Q672" t="str">
        <f>IF(DONNEES!$E672="","",DONNEES!R672)</f>
        <v/>
      </c>
      <c r="R672" t="str">
        <f>IF(DONNEES!$E672="","",DONNEES!S672)</f>
        <v/>
      </c>
      <c r="S672" t="str">
        <f>IF(DONNEES!$E672="","",DONNEES!T672)</f>
        <v/>
      </c>
      <c r="T672" t="str">
        <f>IF(DONNEES!$E672="","",DONNEES!U672)</f>
        <v/>
      </c>
      <c r="U672" t="str">
        <f>IF(DONNEES!$E672="","",DONNEES!V672)</f>
        <v/>
      </c>
      <c r="V672" t="str">
        <f>IF(DONNEES!$E672="","",DONNEES!W672)</f>
        <v/>
      </c>
      <c r="W672" t="str">
        <f>IF(DONNEES!$E672="","",DONNEES!X672)</f>
        <v/>
      </c>
      <c r="X672" t="str">
        <f>IF(DONNEES!$E672="","",DONNEES!Y672)</f>
        <v/>
      </c>
      <c r="Y672" t="str">
        <f>IF(DONNEES!$E672="","",DONNEES!Z672)</f>
        <v/>
      </c>
      <c r="Z672" t="str">
        <f>IF(DONNEES!$E672="","",DONNEES!AQ672)</f>
        <v/>
      </c>
    </row>
    <row r="673" spans="1:26" ht="15" customHeight="1" x14ac:dyDescent="0.3">
      <c r="A673" t="str">
        <f>IF(DONNEES!$E673="","",DONNEES!A673)</f>
        <v/>
      </c>
      <c r="B673" t="str">
        <f>IF(DONNEES!$E673="","",DONNEES!B673)</f>
        <v/>
      </c>
      <c r="C673" t="str">
        <f>IF(DONNEES!$E673="","",DONNEES!C673)</f>
        <v/>
      </c>
      <c r="D673" t="str">
        <f>IF(DONNEES!$E673="","",DONNEES!E673)</f>
        <v/>
      </c>
      <c r="E673" t="str">
        <f>IF(DONNEES!$E673="","",DONNEES!F673)</f>
        <v/>
      </c>
      <c r="F673" t="str">
        <f>IF(DONNEES!$E673="","",DONNEES!G673)</f>
        <v/>
      </c>
      <c r="G673" t="str">
        <f>IF(DONNEES!$E673="","",DONNEES!H673)</f>
        <v/>
      </c>
      <c r="H673" t="str">
        <f>IF(DONNEES!$E673="","",DONNEES!I673)</f>
        <v/>
      </c>
      <c r="I673" t="str">
        <f>IF(DONNEES!$E673="","",DONNEES!J673)</f>
        <v/>
      </c>
      <c r="J673" t="str">
        <f>IF(DONNEES!$E673="","",DONNEES!K673)</f>
        <v/>
      </c>
      <c r="K673" t="str">
        <f>IF(DONNEES!$E673="","",DONNEES!L673)</f>
        <v/>
      </c>
      <c r="L673" t="str">
        <f>IF(DONNEES!$E673="","",DONNEES!M673)</f>
        <v/>
      </c>
      <c r="M673" t="str">
        <f>IF(DONNEES!$E673="","",DONNEES!N673)</f>
        <v/>
      </c>
      <c r="N673" t="str">
        <f>IF(DONNEES!$E673="","",DONNEES!O673)</f>
        <v/>
      </c>
      <c r="O673" t="str">
        <f>IF(DONNEES!$E673="","",DONNEES!P673)</f>
        <v/>
      </c>
      <c r="P673" t="str">
        <f>IF(DONNEES!$E673="","",DONNEES!Q673)</f>
        <v/>
      </c>
      <c r="Q673" t="str">
        <f>IF(DONNEES!$E673="","",DONNEES!R673)</f>
        <v/>
      </c>
      <c r="R673" t="str">
        <f>IF(DONNEES!$E673="","",DONNEES!S673)</f>
        <v/>
      </c>
      <c r="S673" t="str">
        <f>IF(DONNEES!$E673="","",DONNEES!T673)</f>
        <v/>
      </c>
      <c r="T673" t="str">
        <f>IF(DONNEES!$E673="","",DONNEES!U673)</f>
        <v/>
      </c>
      <c r="U673" t="str">
        <f>IF(DONNEES!$E673="","",DONNEES!V673)</f>
        <v/>
      </c>
      <c r="V673" t="str">
        <f>IF(DONNEES!$E673="","",DONNEES!W673)</f>
        <v/>
      </c>
      <c r="W673" t="str">
        <f>IF(DONNEES!$E673="","",DONNEES!X673)</f>
        <v/>
      </c>
      <c r="X673" t="str">
        <f>IF(DONNEES!$E673="","",DONNEES!Y673)</f>
        <v/>
      </c>
      <c r="Y673" t="str">
        <f>IF(DONNEES!$E673="","",DONNEES!Z673)</f>
        <v/>
      </c>
      <c r="Z673" t="str">
        <f>IF(DONNEES!$E673="","",DONNEES!AQ673)</f>
        <v/>
      </c>
    </row>
    <row r="674" spans="1:26" ht="15" customHeight="1" x14ac:dyDescent="0.3">
      <c r="A674" t="str">
        <f>IF(DONNEES!$E674="","",DONNEES!A674)</f>
        <v/>
      </c>
      <c r="B674" t="str">
        <f>IF(DONNEES!$E674="","",DONNEES!B674)</f>
        <v/>
      </c>
      <c r="C674" t="str">
        <f>IF(DONNEES!$E674="","",DONNEES!C674)</f>
        <v/>
      </c>
      <c r="D674" t="str">
        <f>IF(DONNEES!$E674="","",DONNEES!E674)</f>
        <v/>
      </c>
      <c r="E674" t="str">
        <f>IF(DONNEES!$E674="","",DONNEES!F674)</f>
        <v/>
      </c>
      <c r="F674" t="str">
        <f>IF(DONNEES!$E674="","",DONNEES!G674)</f>
        <v/>
      </c>
      <c r="G674" t="str">
        <f>IF(DONNEES!$E674="","",DONNEES!H674)</f>
        <v/>
      </c>
      <c r="H674" t="str">
        <f>IF(DONNEES!$E674="","",DONNEES!I674)</f>
        <v/>
      </c>
      <c r="I674" t="str">
        <f>IF(DONNEES!$E674="","",DONNEES!J674)</f>
        <v/>
      </c>
      <c r="J674" t="str">
        <f>IF(DONNEES!$E674="","",DONNEES!K674)</f>
        <v/>
      </c>
      <c r="K674" t="str">
        <f>IF(DONNEES!$E674="","",DONNEES!L674)</f>
        <v/>
      </c>
      <c r="L674" t="str">
        <f>IF(DONNEES!$E674="","",DONNEES!M674)</f>
        <v/>
      </c>
      <c r="M674" t="str">
        <f>IF(DONNEES!$E674="","",DONNEES!N674)</f>
        <v/>
      </c>
      <c r="N674" t="str">
        <f>IF(DONNEES!$E674="","",DONNEES!O674)</f>
        <v/>
      </c>
      <c r="O674" t="str">
        <f>IF(DONNEES!$E674="","",DONNEES!P674)</f>
        <v/>
      </c>
      <c r="P674" t="str">
        <f>IF(DONNEES!$E674="","",DONNEES!Q674)</f>
        <v/>
      </c>
      <c r="Q674" t="str">
        <f>IF(DONNEES!$E674="","",DONNEES!R674)</f>
        <v/>
      </c>
      <c r="R674" t="str">
        <f>IF(DONNEES!$E674="","",DONNEES!S674)</f>
        <v/>
      </c>
      <c r="S674" t="str">
        <f>IF(DONNEES!$E674="","",DONNEES!T674)</f>
        <v/>
      </c>
      <c r="T674" t="str">
        <f>IF(DONNEES!$E674="","",DONNEES!U674)</f>
        <v/>
      </c>
      <c r="U674" t="str">
        <f>IF(DONNEES!$E674="","",DONNEES!V674)</f>
        <v/>
      </c>
      <c r="V674" t="str">
        <f>IF(DONNEES!$E674="","",DONNEES!W674)</f>
        <v/>
      </c>
      <c r="W674" t="str">
        <f>IF(DONNEES!$E674="","",DONNEES!X674)</f>
        <v/>
      </c>
      <c r="X674" t="str">
        <f>IF(DONNEES!$E674="","",DONNEES!Y674)</f>
        <v/>
      </c>
      <c r="Y674" t="str">
        <f>IF(DONNEES!$E674="","",DONNEES!Z674)</f>
        <v/>
      </c>
      <c r="Z674" t="str">
        <f>IF(DONNEES!$E674="","",DONNEES!AQ674)</f>
        <v/>
      </c>
    </row>
    <row r="675" spans="1:26" ht="15" customHeight="1" x14ac:dyDescent="0.3">
      <c r="A675" t="str">
        <f>IF(DONNEES!$E675="","",DONNEES!A675)</f>
        <v/>
      </c>
      <c r="B675" t="str">
        <f>IF(DONNEES!$E675="","",DONNEES!B675)</f>
        <v/>
      </c>
      <c r="C675" t="str">
        <f>IF(DONNEES!$E675="","",DONNEES!C675)</f>
        <v/>
      </c>
      <c r="D675" t="str">
        <f>IF(DONNEES!$E675="","",DONNEES!E675)</f>
        <v/>
      </c>
      <c r="E675" t="str">
        <f>IF(DONNEES!$E675="","",DONNEES!F675)</f>
        <v/>
      </c>
      <c r="F675" t="str">
        <f>IF(DONNEES!$E675="","",DONNEES!G675)</f>
        <v/>
      </c>
      <c r="G675" t="str">
        <f>IF(DONNEES!$E675="","",DONNEES!H675)</f>
        <v/>
      </c>
      <c r="H675" t="str">
        <f>IF(DONNEES!$E675="","",DONNEES!I675)</f>
        <v/>
      </c>
      <c r="I675" t="str">
        <f>IF(DONNEES!$E675="","",DONNEES!J675)</f>
        <v/>
      </c>
      <c r="J675" t="str">
        <f>IF(DONNEES!$E675="","",DONNEES!K675)</f>
        <v/>
      </c>
      <c r="K675" t="str">
        <f>IF(DONNEES!$E675="","",DONNEES!L675)</f>
        <v/>
      </c>
      <c r="L675" t="str">
        <f>IF(DONNEES!$E675="","",DONNEES!M675)</f>
        <v/>
      </c>
      <c r="M675" t="str">
        <f>IF(DONNEES!$E675="","",DONNEES!N675)</f>
        <v/>
      </c>
      <c r="N675" t="str">
        <f>IF(DONNEES!$E675="","",DONNEES!O675)</f>
        <v/>
      </c>
      <c r="O675" t="str">
        <f>IF(DONNEES!$E675="","",DONNEES!P675)</f>
        <v/>
      </c>
      <c r="P675" t="str">
        <f>IF(DONNEES!$E675="","",DONNEES!Q675)</f>
        <v/>
      </c>
      <c r="Q675" t="str">
        <f>IF(DONNEES!$E675="","",DONNEES!R675)</f>
        <v/>
      </c>
      <c r="R675" t="str">
        <f>IF(DONNEES!$E675="","",DONNEES!S675)</f>
        <v/>
      </c>
      <c r="S675" t="str">
        <f>IF(DONNEES!$E675="","",DONNEES!T675)</f>
        <v/>
      </c>
      <c r="T675" t="str">
        <f>IF(DONNEES!$E675="","",DONNEES!U675)</f>
        <v/>
      </c>
      <c r="U675" t="str">
        <f>IF(DONNEES!$E675="","",DONNEES!V675)</f>
        <v/>
      </c>
      <c r="V675" t="str">
        <f>IF(DONNEES!$E675="","",DONNEES!W675)</f>
        <v/>
      </c>
      <c r="W675" t="str">
        <f>IF(DONNEES!$E675="","",DONNEES!X675)</f>
        <v/>
      </c>
      <c r="X675" t="str">
        <f>IF(DONNEES!$E675="","",DONNEES!Y675)</f>
        <v/>
      </c>
      <c r="Y675" t="str">
        <f>IF(DONNEES!$E675="","",DONNEES!Z675)</f>
        <v/>
      </c>
      <c r="Z675" t="str">
        <f>IF(DONNEES!$E675="","",DONNEES!AQ675)</f>
        <v/>
      </c>
    </row>
    <row r="676" spans="1:26" ht="15" customHeight="1" x14ac:dyDescent="0.3">
      <c r="A676" t="str">
        <f>IF(DONNEES!$E676="","",DONNEES!A676)</f>
        <v/>
      </c>
      <c r="B676" t="str">
        <f>IF(DONNEES!$E676="","",DONNEES!B676)</f>
        <v/>
      </c>
      <c r="C676" t="str">
        <f>IF(DONNEES!$E676="","",DONNEES!C676)</f>
        <v/>
      </c>
      <c r="D676" t="str">
        <f>IF(DONNEES!$E676="","",DONNEES!E676)</f>
        <v/>
      </c>
      <c r="E676" t="str">
        <f>IF(DONNEES!$E676="","",DONNEES!F676)</f>
        <v/>
      </c>
      <c r="F676" t="str">
        <f>IF(DONNEES!$E676="","",DONNEES!G676)</f>
        <v/>
      </c>
      <c r="G676" t="str">
        <f>IF(DONNEES!$E676="","",DONNEES!H676)</f>
        <v/>
      </c>
      <c r="H676" t="str">
        <f>IF(DONNEES!$E676="","",DONNEES!I676)</f>
        <v/>
      </c>
      <c r="I676" t="str">
        <f>IF(DONNEES!$E676="","",DONNEES!J676)</f>
        <v/>
      </c>
      <c r="J676" t="str">
        <f>IF(DONNEES!$E676="","",DONNEES!K676)</f>
        <v/>
      </c>
      <c r="K676" t="str">
        <f>IF(DONNEES!$E676="","",DONNEES!L676)</f>
        <v/>
      </c>
      <c r="L676" t="str">
        <f>IF(DONNEES!$E676="","",DONNEES!M676)</f>
        <v/>
      </c>
      <c r="M676" t="str">
        <f>IF(DONNEES!$E676="","",DONNEES!N676)</f>
        <v/>
      </c>
      <c r="N676" t="str">
        <f>IF(DONNEES!$E676="","",DONNEES!O676)</f>
        <v/>
      </c>
      <c r="O676" t="str">
        <f>IF(DONNEES!$E676="","",DONNEES!P676)</f>
        <v/>
      </c>
      <c r="P676" t="str">
        <f>IF(DONNEES!$E676="","",DONNEES!Q676)</f>
        <v/>
      </c>
      <c r="Q676" t="str">
        <f>IF(DONNEES!$E676="","",DONNEES!R676)</f>
        <v/>
      </c>
      <c r="R676" t="str">
        <f>IF(DONNEES!$E676="","",DONNEES!S676)</f>
        <v/>
      </c>
      <c r="S676" t="str">
        <f>IF(DONNEES!$E676="","",DONNEES!T676)</f>
        <v/>
      </c>
      <c r="T676" t="str">
        <f>IF(DONNEES!$E676="","",DONNEES!U676)</f>
        <v/>
      </c>
      <c r="U676" t="str">
        <f>IF(DONNEES!$E676="","",DONNEES!V676)</f>
        <v/>
      </c>
      <c r="V676" t="str">
        <f>IF(DONNEES!$E676="","",DONNEES!W676)</f>
        <v/>
      </c>
      <c r="W676" t="str">
        <f>IF(DONNEES!$E676="","",DONNEES!X676)</f>
        <v/>
      </c>
      <c r="X676" t="str">
        <f>IF(DONNEES!$E676="","",DONNEES!Y676)</f>
        <v/>
      </c>
      <c r="Y676" t="str">
        <f>IF(DONNEES!$E676="","",DONNEES!Z676)</f>
        <v/>
      </c>
      <c r="Z676" t="str">
        <f>IF(DONNEES!$E676="","",DONNEES!AQ676)</f>
        <v/>
      </c>
    </row>
    <row r="677" spans="1:26" ht="15" customHeight="1" x14ac:dyDescent="0.3">
      <c r="A677" t="str">
        <f>IF(DONNEES!$E677="","",DONNEES!A677)</f>
        <v/>
      </c>
      <c r="B677" t="str">
        <f>IF(DONNEES!$E677="","",DONNEES!B677)</f>
        <v/>
      </c>
      <c r="C677" t="str">
        <f>IF(DONNEES!$E677="","",DONNEES!C677)</f>
        <v/>
      </c>
      <c r="D677" t="str">
        <f>IF(DONNEES!$E677="","",DONNEES!E677)</f>
        <v/>
      </c>
      <c r="E677" t="str">
        <f>IF(DONNEES!$E677="","",DONNEES!F677)</f>
        <v/>
      </c>
      <c r="F677" t="str">
        <f>IF(DONNEES!$E677="","",DONNEES!G677)</f>
        <v/>
      </c>
      <c r="G677" t="str">
        <f>IF(DONNEES!$E677="","",DONNEES!H677)</f>
        <v/>
      </c>
      <c r="H677" t="str">
        <f>IF(DONNEES!$E677="","",DONNEES!I677)</f>
        <v/>
      </c>
      <c r="I677" t="str">
        <f>IF(DONNEES!$E677="","",DONNEES!J677)</f>
        <v/>
      </c>
      <c r="J677" t="str">
        <f>IF(DONNEES!$E677="","",DONNEES!K677)</f>
        <v/>
      </c>
      <c r="K677" t="str">
        <f>IF(DONNEES!$E677="","",DONNEES!L677)</f>
        <v/>
      </c>
      <c r="L677" t="str">
        <f>IF(DONNEES!$E677="","",DONNEES!M677)</f>
        <v/>
      </c>
      <c r="M677" t="str">
        <f>IF(DONNEES!$E677="","",DONNEES!N677)</f>
        <v/>
      </c>
      <c r="N677" t="str">
        <f>IF(DONNEES!$E677="","",DONNEES!O677)</f>
        <v/>
      </c>
      <c r="O677" t="str">
        <f>IF(DONNEES!$E677="","",DONNEES!P677)</f>
        <v/>
      </c>
      <c r="P677" t="str">
        <f>IF(DONNEES!$E677="","",DONNEES!Q677)</f>
        <v/>
      </c>
      <c r="Q677" t="str">
        <f>IF(DONNEES!$E677="","",DONNEES!R677)</f>
        <v/>
      </c>
      <c r="R677" t="str">
        <f>IF(DONNEES!$E677="","",DONNEES!S677)</f>
        <v/>
      </c>
      <c r="S677" t="str">
        <f>IF(DONNEES!$E677="","",DONNEES!T677)</f>
        <v/>
      </c>
      <c r="T677" t="str">
        <f>IF(DONNEES!$E677="","",DONNEES!U677)</f>
        <v/>
      </c>
      <c r="U677" t="str">
        <f>IF(DONNEES!$E677="","",DONNEES!V677)</f>
        <v/>
      </c>
      <c r="V677" t="str">
        <f>IF(DONNEES!$E677="","",DONNEES!W677)</f>
        <v/>
      </c>
      <c r="W677" t="str">
        <f>IF(DONNEES!$E677="","",DONNEES!X677)</f>
        <v/>
      </c>
      <c r="X677" t="str">
        <f>IF(DONNEES!$E677="","",DONNEES!Y677)</f>
        <v/>
      </c>
      <c r="Y677" t="str">
        <f>IF(DONNEES!$E677="","",DONNEES!Z677)</f>
        <v/>
      </c>
      <c r="Z677" t="str">
        <f>IF(DONNEES!$E677="","",DONNEES!AQ677)</f>
        <v/>
      </c>
    </row>
    <row r="678" spans="1:26" ht="15" customHeight="1" x14ac:dyDescent="0.3">
      <c r="A678" t="str">
        <f>IF(DONNEES!$E678="","",DONNEES!A678)</f>
        <v/>
      </c>
      <c r="B678" t="str">
        <f>IF(DONNEES!$E678="","",DONNEES!B678)</f>
        <v/>
      </c>
      <c r="C678" t="str">
        <f>IF(DONNEES!$E678="","",DONNEES!C678)</f>
        <v/>
      </c>
      <c r="D678" t="str">
        <f>IF(DONNEES!$E678="","",DONNEES!E678)</f>
        <v/>
      </c>
      <c r="E678" t="str">
        <f>IF(DONNEES!$E678="","",DONNEES!F678)</f>
        <v/>
      </c>
      <c r="F678" t="str">
        <f>IF(DONNEES!$E678="","",DONNEES!G678)</f>
        <v/>
      </c>
      <c r="G678" t="str">
        <f>IF(DONNEES!$E678="","",DONNEES!H678)</f>
        <v/>
      </c>
      <c r="H678" t="str">
        <f>IF(DONNEES!$E678="","",DONNEES!I678)</f>
        <v/>
      </c>
      <c r="I678" t="str">
        <f>IF(DONNEES!$E678="","",DONNEES!J678)</f>
        <v/>
      </c>
      <c r="J678" t="str">
        <f>IF(DONNEES!$E678="","",DONNEES!K678)</f>
        <v/>
      </c>
      <c r="K678" t="str">
        <f>IF(DONNEES!$E678="","",DONNEES!L678)</f>
        <v/>
      </c>
      <c r="L678" t="str">
        <f>IF(DONNEES!$E678="","",DONNEES!M678)</f>
        <v/>
      </c>
      <c r="M678" t="str">
        <f>IF(DONNEES!$E678="","",DONNEES!N678)</f>
        <v/>
      </c>
      <c r="N678" t="str">
        <f>IF(DONNEES!$E678="","",DONNEES!O678)</f>
        <v/>
      </c>
      <c r="O678" t="str">
        <f>IF(DONNEES!$E678="","",DONNEES!P678)</f>
        <v/>
      </c>
      <c r="P678" t="str">
        <f>IF(DONNEES!$E678="","",DONNEES!Q678)</f>
        <v/>
      </c>
      <c r="Q678" t="str">
        <f>IF(DONNEES!$E678="","",DONNEES!R678)</f>
        <v/>
      </c>
      <c r="R678" t="str">
        <f>IF(DONNEES!$E678="","",DONNEES!S678)</f>
        <v/>
      </c>
      <c r="S678" t="str">
        <f>IF(DONNEES!$E678="","",DONNEES!T678)</f>
        <v/>
      </c>
      <c r="T678" t="str">
        <f>IF(DONNEES!$E678="","",DONNEES!U678)</f>
        <v/>
      </c>
      <c r="U678" t="str">
        <f>IF(DONNEES!$E678="","",DONNEES!V678)</f>
        <v/>
      </c>
      <c r="V678" t="str">
        <f>IF(DONNEES!$E678="","",DONNEES!W678)</f>
        <v/>
      </c>
      <c r="W678" t="str">
        <f>IF(DONNEES!$E678="","",DONNEES!X678)</f>
        <v/>
      </c>
      <c r="X678" t="str">
        <f>IF(DONNEES!$E678="","",DONNEES!Y678)</f>
        <v/>
      </c>
      <c r="Y678" t="str">
        <f>IF(DONNEES!$E678="","",DONNEES!Z678)</f>
        <v/>
      </c>
      <c r="Z678" t="str">
        <f>IF(DONNEES!$E678="","",DONNEES!AQ678)</f>
        <v/>
      </c>
    </row>
    <row r="679" spans="1:26" ht="15" customHeight="1" x14ac:dyDescent="0.3">
      <c r="A679" t="str">
        <f>IF(DONNEES!$E679="","",DONNEES!A679)</f>
        <v/>
      </c>
      <c r="B679" t="str">
        <f>IF(DONNEES!$E679="","",DONNEES!B679)</f>
        <v/>
      </c>
      <c r="C679" t="str">
        <f>IF(DONNEES!$E679="","",DONNEES!C679)</f>
        <v/>
      </c>
      <c r="D679" t="str">
        <f>IF(DONNEES!$E679="","",DONNEES!E679)</f>
        <v/>
      </c>
      <c r="E679" t="str">
        <f>IF(DONNEES!$E679="","",DONNEES!F679)</f>
        <v/>
      </c>
      <c r="F679" t="str">
        <f>IF(DONNEES!$E679="","",DONNEES!G679)</f>
        <v/>
      </c>
      <c r="G679" t="str">
        <f>IF(DONNEES!$E679="","",DONNEES!H679)</f>
        <v/>
      </c>
      <c r="H679" t="str">
        <f>IF(DONNEES!$E679="","",DONNEES!I679)</f>
        <v/>
      </c>
      <c r="I679" t="str">
        <f>IF(DONNEES!$E679="","",DONNEES!J679)</f>
        <v/>
      </c>
      <c r="J679" t="str">
        <f>IF(DONNEES!$E679="","",DONNEES!K679)</f>
        <v/>
      </c>
      <c r="K679" t="str">
        <f>IF(DONNEES!$E679="","",DONNEES!L679)</f>
        <v/>
      </c>
      <c r="L679" t="str">
        <f>IF(DONNEES!$E679="","",DONNEES!M679)</f>
        <v/>
      </c>
      <c r="M679" t="str">
        <f>IF(DONNEES!$E679="","",DONNEES!N679)</f>
        <v/>
      </c>
      <c r="N679" t="str">
        <f>IF(DONNEES!$E679="","",DONNEES!O679)</f>
        <v/>
      </c>
      <c r="O679" t="str">
        <f>IF(DONNEES!$E679="","",DONNEES!P679)</f>
        <v/>
      </c>
      <c r="P679" t="str">
        <f>IF(DONNEES!$E679="","",DONNEES!Q679)</f>
        <v/>
      </c>
      <c r="Q679" t="str">
        <f>IF(DONNEES!$E679="","",DONNEES!R679)</f>
        <v/>
      </c>
      <c r="R679" t="str">
        <f>IF(DONNEES!$E679="","",DONNEES!S679)</f>
        <v/>
      </c>
      <c r="S679" t="str">
        <f>IF(DONNEES!$E679="","",DONNEES!T679)</f>
        <v/>
      </c>
      <c r="T679" t="str">
        <f>IF(DONNEES!$E679="","",DONNEES!U679)</f>
        <v/>
      </c>
      <c r="U679" t="str">
        <f>IF(DONNEES!$E679="","",DONNEES!V679)</f>
        <v/>
      </c>
      <c r="V679" t="str">
        <f>IF(DONNEES!$E679="","",DONNEES!W679)</f>
        <v/>
      </c>
      <c r="W679" t="str">
        <f>IF(DONNEES!$E679="","",DONNEES!X679)</f>
        <v/>
      </c>
      <c r="X679" t="str">
        <f>IF(DONNEES!$E679="","",DONNEES!Y679)</f>
        <v/>
      </c>
      <c r="Y679" t="str">
        <f>IF(DONNEES!$E679="","",DONNEES!Z679)</f>
        <v/>
      </c>
      <c r="Z679" t="str">
        <f>IF(DONNEES!$E679="","",DONNEES!AQ679)</f>
        <v/>
      </c>
    </row>
    <row r="680" spans="1:26" ht="15" customHeight="1" x14ac:dyDescent="0.3">
      <c r="A680" t="str">
        <f>IF(DONNEES!$E680="","",DONNEES!A680)</f>
        <v/>
      </c>
      <c r="B680" t="str">
        <f>IF(DONNEES!$E680="","",DONNEES!B680)</f>
        <v/>
      </c>
      <c r="C680" t="str">
        <f>IF(DONNEES!$E680="","",DONNEES!C680)</f>
        <v/>
      </c>
      <c r="D680" t="str">
        <f>IF(DONNEES!$E680="","",DONNEES!E680)</f>
        <v/>
      </c>
      <c r="E680" t="str">
        <f>IF(DONNEES!$E680="","",DONNEES!F680)</f>
        <v/>
      </c>
      <c r="F680" t="str">
        <f>IF(DONNEES!$E680="","",DONNEES!G680)</f>
        <v/>
      </c>
      <c r="G680" t="str">
        <f>IF(DONNEES!$E680="","",DONNEES!H680)</f>
        <v/>
      </c>
      <c r="H680" t="str">
        <f>IF(DONNEES!$E680="","",DONNEES!I680)</f>
        <v/>
      </c>
      <c r="I680" t="str">
        <f>IF(DONNEES!$E680="","",DONNEES!J680)</f>
        <v/>
      </c>
      <c r="J680" t="str">
        <f>IF(DONNEES!$E680="","",DONNEES!K680)</f>
        <v/>
      </c>
      <c r="K680" t="str">
        <f>IF(DONNEES!$E680="","",DONNEES!L680)</f>
        <v/>
      </c>
      <c r="L680" t="str">
        <f>IF(DONNEES!$E680="","",DONNEES!M680)</f>
        <v/>
      </c>
      <c r="M680" t="str">
        <f>IF(DONNEES!$E680="","",DONNEES!N680)</f>
        <v/>
      </c>
      <c r="N680" t="str">
        <f>IF(DONNEES!$E680="","",DONNEES!O680)</f>
        <v/>
      </c>
      <c r="O680" t="str">
        <f>IF(DONNEES!$E680="","",DONNEES!P680)</f>
        <v/>
      </c>
      <c r="P680" t="str">
        <f>IF(DONNEES!$E680="","",DONNEES!Q680)</f>
        <v/>
      </c>
      <c r="Q680" t="str">
        <f>IF(DONNEES!$E680="","",DONNEES!R680)</f>
        <v/>
      </c>
      <c r="R680" t="str">
        <f>IF(DONNEES!$E680="","",DONNEES!S680)</f>
        <v/>
      </c>
      <c r="S680" t="str">
        <f>IF(DONNEES!$E680="","",DONNEES!T680)</f>
        <v/>
      </c>
      <c r="T680" t="str">
        <f>IF(DONNEES!$E680="","",DONNEES!U680)</f>
        <v/>
      </c>
      <c r="U680" t="str">
        <f>IF(DONNEES!$E680="","",DONNEES!V680)</f>
        <v/>
      </c>
      <c r="V680" t="str">
        <f>IF(DONNEES!$E680="","",DONNEES!W680)</f>
        <v/>
      </c>
      <c r="W680" t="str">
        <f>IF(DONNEES!$E680="","",DONNEES!X680)</f>
        <v/>
      </c>
      <c r="X680" t="str">
        <f>IF(DONNEES!$E680="","",DONNEES!Y680)</f>
        <v/>
      </c>
      <c r="Y680" t="str">
        <f>IF(DONNEES!$E680="","",DONNEES!Z680)</f>
        <v/>
      </c>
      <c r="Z680" t="str">
        <f>IF(DONNEES!$E680="","",DONNEES!AQ680)</f>
        <v/>
      </c>
    </row>
    <row r="681" spans="1:26" ht="15" customHeight="1" x14ac:dyDescent="0.3">
      <c r="A681" t="str">
        <f>IF(DONNEES!$E681="","",DONNEES!A681)</f>
        <v/>
      </c>
      <c r="B681" t="str">
        <f>IF(DONNEES!$E681="","",DONNEES!B681)</f>
        <v/>
      </c>
      <c r="C681" t="str">
        <f>IF(DONNEES!$E681="","",DONNEES!C681)</f>
        <v/>
      </c>
      <c r="D681" t="str">
        <f>IF(DONNEES!$E681="","",DONNEES!E681)</f>
        <v/>
      </c>
      <c r="E681" t="str">
        <f>IF(DONNEES!$E681="","",DONNEES!F681)</f>
        <v/>
      </c>
      <c r="F681" t="str">
        <f>IF(DONNEES!$E681="","",DONNEES!G681)</f>
        <v/>
      </c>
      <c r="G681" t="str">
        <f>IF(DONNEES!$E681="","",DONNEES!H681)</f>
        <v/>
      </c>
      <c r="H681" t="str">
        <f>IF(DONNEES!$E681="","",DONNEES!I681)</f>
        <v/>
      </c>
      <c r="I681" t="str">
        <f>IF(DONNEES!$E681="","",DONNEES!J681)</f>
        <v/>
      </c>
      <c r="J681" t="str">
        <f>IF(DONNEES!$E681="","",DONNEES!K681)</f>
        <v/>
      </c>
      <c r="K681" t="str">
        <f>IF(DONNEES!$E681="","",DONNEES!L681)</f>
        <v/>
      </c>
      <c r="L681" t="str">
        <f>IF(DONNEES!$E681="","",DONNEES!M681)</f>
        <v/>
      </c>
      <c r="M681" t="str">
        <f>IF(DONNEES!$E681="","",DONNEES!N681)</f>
        <v/>
      </c>
      <c r="N681" t="str">
        <f>IF(DONNEES!$E681="","",DONNEES!O681)</f>
        <v/>
      </c>
      <c r="O681" t="str">
        <f>IF(DONNEES!$E681="","",DONNEES!P681)</f>
        <v/>
      </c>
      <c r="P681" t="str">
        <f>IF(DONNEES!$E681="","",DONNEES!Q681)</f>
        <v/>
      </c>
      <c r="Q681" t="str">
        <f>IF(DONNEES!$E681="","",DONNEES!R681)</f>
        <v/>
      </c>
      <c r="R681" t="str">
        <f>IF(DONNEES!$E681="","",DONNEES!S681)</f>
        <v/>
      </c>
      <c r="S681" t="str">
        <f>IF(DONNEES!$E681="","",DONNEES!T681)</f>
        <v/>
      </c>
      <c r="T681" t="str">
        <f>IF(DONNEES!$E681="","",DONNEES!U681)</f>
        <v/>
      </c>
      <c r="U681" t="str">
        <f>IF(DONNEES!$E681="","",DONNEES!V681)</f>
        <v/>
      </c>
      <c r="V681" t="str">
        <f>IF(DONNEES!$E681="","",DONNEES!W681)</f>
        <v/>
      </c>
      <c r="W681" t="str">
        <f>IF(DONNEES!$E681="","",DONNEES!X681)</f>
        <v/>
      </c>
      <c r="X681" t="str">
        <f>IF(DONNEES!$E681="","",DONNEES!Y681)</f>
        <v/>
      </c>
      <c r="Y681" t="str">
        <f>IF(DONNEES!$E681="","",DONNEES!Z681)</f>
        <v/>
      </c>
      <c r="Z681" t="str">
        <f>IF(DONNEES!$E681="","",DONNEES!AQ681)</f>
        <v/>
      </c>
    </row>
    <row r="682" spans="1:26" ht="15" customHeight="1" x14ac:dyDescent="0.3">
      <c r="A682" t="str">
        <f>IF(DONNEES!$E682="","",DONNEES!A682)</f>
        <v/>
      </c>
      <c r="B682" t="str">
        <f>IF(DONNEES!$E682="","",DONNEES!B682)</f>
        <v/>
      </c>
      <c r="C682" t="str">
        <f>IF(DONNEES!$E682="","",DONNEES!C682)</f>
        <v/>
      </c>
      <c r="D682" t="str">
        <f>IF(DONNEES!$E682="","",DONNEES!E682)</f>
        <v/>
      </c>
      <c r="E682" t="str">
        <f>IF(DONNEES!$E682="","",DONNEES!F682)</f>
        <v/>
      </c>
      <c r="F682" t="str">
        <f>IF(DONNEES!$E682="","",DONNEES!G682)</f>
        <v/>
      </c>
      <c r="G682" t="str">
        <f>IF(DONNEES!$E682="","",DONNEES!H682)</f>
        <v/>
      </c>
      <c r="H682" t="str">
        <f>IF(DONNEES!$E682="","",DONNEES!I682)</f>
        <v/>
      </c>
      <c r="I682" t="str">
        <f>IF(DONNEES!$E682="","",DONNEES!J682)</f>
        <v/>
      </c>
      <c r="J682" t="str">
        <f>IF(DONNEES!$E682="","",DONNEES!K682)</f>
        <v/>
      </c>
      <c r="K682" t="str">
        <f>IF(DONNEES!$E682="","",DONNEES!L682)</f>
        <v/>
      </c>
      <c r="L682" t="str">
        <f>IF(DONNEES!$E682="","",DONNEES!M682)</f>
        <v/>
      </c>
      <c r="M682" t="str">
        <f>IF(DONNEES!$E682="","",DONNEES!N682)</f>
        <v/>
      </c>
      <c r="N682" t="str">
        <f>IF(DONNEES!$E682="","",DONNEES!O682)</f>
        <v/>
      </c>
      <c r="O682" t="str">
        <f>IF(DONNEES!$E682="","",DONNEES!P682)</f>
        <v/>
      </c>
      <c r="P682" t="str">
        <f>IF(DONNEES!$E682="","",DONNEES!Q682)</f>
        <v/>
      </c>
      <c r="Q682" t="str">
        <f>IF(DONNEES!$E682="","",DONNEES!R682)</f>
        <v/>
      </c>
      <c r="R682" t="str">
        <f>IF(DONNEES!$E682="","",DONNEES!S682)</f>
        <v/>
      </c>
      <c r="S682" t="str">
        <f>IF(DONNEES!$E682="","",DONNEES!T682)</f>
        <v/>
      </c>
      <c r="T682" t="str">
        <f>IF(DONNEES!$E682="","",DONNEES!U682)</f>
        <v/>
      </c>
      <c r="U682" t="str">
        <f>IF(DONNEES!$E682="","",DONNEES!V682)</f>
        <v/>
      </c>
      <c r="V682" t="str">
        <f>IF(DONNEES!$E682="","",DONNEES!W682)</f>
        <v/>
      </c>
      <c r="W682" t="str">
        <f>IF(DONNEES!$E682="","",DONNEES!X682)</f>
        <v/>
      </c>
      <c r="X682" t="str">
        <f>IF(DONNEES!$E682="","",DONNEES!Y682)</f>
        <v/>
      </c>
      <c r="Y682" t="str">
        <f>IF(DONNEES!$E682="","",DONNEES!Z682)</f>
        <v/>
      </c>
      <c r="Z682" t="str">
        <f>IF(DONNEES!$E682="","",DONNEES!AQ682)</f>
        <v/>
      </c>
    </row>
    <row r="683" spans="1:26" ht="15" customHeight="1" x14ac:dyDescent="0.3">
      <c r="A683" t="str">
        <f>IF(DONNEES!$E683="","",DONNEES!A683)</f>
        <v/>
      </c>
      <c r="B683" t="str">
        <f>IF(DONNEES!$E683="","",DONNEES!B683)</f>
        <v/>
      </c>
      <c r="C683" t="str">
        <f>IF(DONNEES!$E683="","",DONNEES!C683)</f>
        <v/>
      </c>
      <c r="D683" t="str">
        <f>IF(DONNEES!$E683="","",DONNEES!E683)</f>
        <v/>
      </c>
      <c r="E683" t="str">
        <f>IF(DONNEES!$E683="","",DONNEES!F683)</f>
        <v/>
      </c>
      <c r="F683" t="str">
        <f>IF(DONNEES!$E683="","",DONNEES!G683)</f>
        <v/>
      </c>
      <c r="G683" t="str">
        <f>IF(DONNEES!$E683="","",DONNEES!H683)</f>
        <v/>
      </c>
      <c r="H683" t="str">
        <f>IF(DONNEES!$E683="","",DONNEES!I683)</f>
        <v/>
      </c>
      <c r="I683" t="str">
        <f>IF(DONNEES!$E683="","",DONNEES!J683)</f>
        <v/>
      </c>
      <c r="J683" t="str">
        <f>IF(DONNEES!$E683="","",DONNEES!K683)</f>
        <v/>
      </c>
      <c r="K683" t="str">
        <f>IF(DONNEES!$E683="","",DONNEES!L683)</f>
        <v/>
      </c>
      <c r="L683" t="str">
        <f>IF(DONNEES!$E683="","",DONNEES!M683)</f>
        <v/>
      </c>
      <c r="M683" t="str">
        <f>IF(DONNEES!$E683="","",DONNEES!N683)</f>
        <v/>
      </c>
      <c r="N683" t="str">
        <f>IF(DONNEES!$E683="","",DONNEES!O683)</f>
        <v/>
      </c>
      <c r="O683" t="str">
        <f>IF(DONNEES!$E683="","",DONNEES!P683)</f>
        <v/>
      </c>
      <c r="P683" t="str">
        <f>IF(DONNEES!$E683="","",DONNEES!Q683)</f>
        <v/>
      </c>
      <c r="Q683" t="str">
        <f>IF(DONNEES!$E683="","",DONNEES!R683)</f>
        <v/>
      </c>
      <c r="R683" t="str">
        <f>IF(DONNEES!$E683="","",DONNEES!S683)</f>
        <v/>
      </c>
      <c r="S683" t="str">
        <f>IF(DONNEES!$E683="","",DONNEES!T683)</f>
        <v/>
      </c>
      <c r="T683" t="str">
        <f>IF(DONNEES!$E683="","",DONNEES!U683)</f>
        <v/>
      </c>
      <c r="U683" t="str">
        <f>IF(DONNEES!$E683="","",DONNEES!V683)</f>
        <v/>
      </c>
      <c r="V683" t="str">
        <f>IF(DONNEES!$E683="","",DONNEES!W683)</f>
        <v/>
      </c>
      <c r="W683" t="str">
        <f>IF(DONNEES!$E683="","",DONNEES!X683)</f>
        <v/>
      </c>
      <c r="X683" t="str">
        <f>IF(DONNEES!$E683="","",DONNEES!Y683)</f>
        <v/>
      </c>
      <c r="Y683" t="str">
        <f>IF(DONNEES!$E683="","",DONNEES!Z683)</f>
        <v/>
      </c>
      <c r="Z683" t="str">
        <f>IF(DONNEES!$E683="","",DONNEES!AQ683)</f>
        <v/>
      </c>
    </row>
    <row r="684" spans="1:26" ht="15" customHeight="1" x14ac:dyDescent="0.3">
      <c r="A684" t="str">
        <f>IF(DONNEES!$E684="","",DONNEES!A684)</f>
        <v/>
      </c>
      <c r="B684" t="str">
        <f>IF(DONNEES!$E684="","",DONNEES!B684)</f>
        <v/>
      </c>
      <c r="C684" t="str">
        <f>IF(DONNEES!$E684="","",DONNEES!C684)</f>
        <v/>
      </c>
      <c r="D684" t="str">
        <f>IF(DONNEES!$E684="","",DONNEES!E684)</f>
        <v/>
      </c>
      <c r="E684" t="str">
        <f>IF(DONNEES!$E684="","",DONNEES!F684)</f>
        <v/>
      </c>
      <c r="F684" t="str">
        <f>IF(DONNEES!$E684="","",DONNEES!G684)</f>
        <v/>
      </c>
      <c r="G684" t="str">
        <f>IF(DONNEES!$E684="","",DONNEES!H684)</f>
        <v/>
      </c>
      <c r="H684" t="str">
        <f>IF(DONNEES!$E684="","",DONNEES!I684)</f>
        <v/>
      </c>
      <c r="I684" t="str">
        <f>IF(DONNEES!$E684="","",DONNEES!J684)</f>
        <v/>
      </c>
      <c r="J684" t="str">
        <f>IF(DONNEES!$E684="","",DONNEES!K684)</f>
        <v/>
      </c>
      <c r="K684" t="str">
        <f>IF(DONNEES!$E684="","",DONNEES!L684)</f>
        <v/>
      </c>
      <c r="L684" t="str">
        <f>IF(DONNEES!$E684="","",DONNEES!M684)</f>
        <v/>
      </c>
      <c r="M684" t="str">
        <f>IF(DONNEES!$E684="","",DONNEES!N684)</f>
        <v/>
      </c>
      <c r="N684" t="str">
        <f>IF(DONNEES!$E684="","",DONNEES!O684)</f>
        <v/>
      </c>
      <c r="O684" t="str">
        <f>IF(DONNEES!$E684="","",DONNEES!P684)</f>
        <v/>
      </c>
      <c r="P684" t="str">
        <f>IF(DONNEES!$E684="","",DONNEES!Q684)</f>
        <v/>
      </c>
      <c r="Q684" t="str">
        <f>IF(DONNEES!$E684="","",DONNEES!R684)</f>
        <v/>
      </c>
      <c r="R684" t="str">
        <f>IF(DONNEES!$E684="","",DONNEES!S684)</f>
        <v/>
      </c>
      <c r="S684" t="str">
        <f>IF(DONNEES!$E684="","",DONNEES!T684)</f>
        <v/>
      </c>
      <c r="T684" t="str">
        <f>IF(DONNEES!$E684="","",DONNEES!U684)</f>
        <v/>
      </c>
      <c r="U684" t="str">
        <f>IF(DONNEES!$E684="","",DONNEES!V684)</f>
        <v/>
      </c>
      <c r="V684" t="str">
        <f>IF(DONNEES!$E684="","",DONNEES!W684)</f>
        <v/>
      </c>
      <c r="W684" t="str">
        <f>IF(DONNEES!$E684="","",DONNEES!X684)</f>
        <v/>
      </c>
      <c r="X684" t="str">
        <f>IF(DONNEES!$E684="","",DONNEES!Y684)</f>
        <v/>
      </c>
      <c r="Y684" t="str">
        <f>IF(DONNEES!$E684="","",DONNEES!Z684)</f>
        <v/>
      </c>
      <c r="Z684" t="str">
        <f>IF(DONNEES!$E684="","",DONNEES!AQ684)</f>
        <v/>
      </c>
    </row>
    <row r="685" spans="1:26" ht="15" customHeight="1" x14ac:dyDescent="0.3">
      <c r="A685" t="str">
        <f>IF(DONNEES!$E685="","",DONNEES!A685)</f>
        <v/>
      </c>
      <c r="B685" t="str">
        <f>IF(DONNEES!$E685="","",DONNEES!B685)</f>
        <v/>
      </c>
      <c r="C685" t="str">
        <f>IF(DONNEES!$E685="","",DONNEES!C685)</f>
        <v/>
      </c>
      <c r="D685" t="str">
        <f>IF(DONNEES!$E685="","",DONNEES!E685)</f>
        <v/>
      </c>
      <c r="E685" t="str">
        <f>IF(DONNEES!$E685="","",DONNEES!F685)</f>
        <v/>
      </c>
      <c r="F685" t="str">
        <f>IF(DONNEES!$E685="","",DONNEES!G685)</f>
        <v/>
      </c>
      <c r="G685" t="str">
        <f>IF(DONNEES!$E685="","",DONNEES!H685)</f>
        <v/>
      </c>
      <c r="H685" t="str">
        <f>IF(DONNEES!$E685="","",DONNEES!I685)</f>
        <v/>
      </c>
      <c r="I685" t="str">
        <f>IF(DONNEES!$E685="","",DONNEES!J685)</f>
        <v/>
      </c>
      <c r="J685" t="str">
        <f>IF(DONNEES!$E685="","",DONNEES!K685)</f>
        <v/>
      </c>
      <c r="K685" t="str">
        <f>IF(DONNEES!$E685="","",DONNEES!L685)</f>
        <v/>
      </c>
      <c r="L685" t="str">
        <f>IF(DONNEES!$E685="","",DONNEES!M685)</f>
        <v/>
      </c>
      <c r="M685" t="str">
        <f>IF(DONNEES!$E685="","",DONNEES!N685)</f>
        <v/>
      </c>
      <c r="N685" t="str">
        <f>IF(DONNEES!$E685="","",DONNEES!O685)</f>
        <v/>
      </c>
      <c r="O685" t="str">
        <f>IF(DONNEES!$E685="","",DONNEES!P685)</f>
        <v/>
      </c>
      <c r="P685" t="str">
        <f>IF(DONNEES!$E685="","",DONNEES!Q685)</f>
        <v/>
      </c>
      <c r="Q685" t="str">
        <f>IF(DONNEES!$E685="","",DONNEES!R685)</f>
        <v/>
      </c>
      <c r="R685" t="str">
        <f>IF(DONNEES!$E685="","",DONNEES!S685)</f>
        <v/>
      </c>
      <c r="S685" t="str">
        <f>IF(DONNEES!$E685="","",DONNEES!T685)</f>
        <v/>
      </c>
      <c r="T685" t="str">
        <f>IF(DONNEES!$E685="","",DONNEES!U685)</f>
        <v/>
      </c>
      <c r="U685" t="str">
        <f>IF(DONNEES!$E685="","",DONNEES!V685)</f>
        <v/>
      </c>
      <c r="V685" t="str">
        <f>IF(DONNEES!$E685="","",DONNEES!W685)</f>
        <v/>
      </c>
      <c r="W685" t="str">
        <f>IF(DONNEES!$E685="","",DONNEES!X685)</f>
        <v/>
      </c>
      <c r="X685" t="str">
        <f>IF(DONNEES!$E685="","",DONNEES!Y685)</f>
        <v/>
      </c>
      <c r="Y685" t="str">
        <f>IF(DONNEES!$E685="","",DONNEES!Z685)</f>
        <v/>
      </c>
      <c r="Z685" t="str">
        <f>IF(DONNEES!$E685="","",DONNEES!AQ685)</f>
        <v/>
      </c>
    </row>
    <row r="686" spans="1:26" ht="15" customHeight="1" x14ac:dyDescent="0.3">
      <c r="A686" t="str">
        <f>IF(DONNEES!$E686="","",DONNEES!A686)</f>
        <v/>
      </c>
      <c r="B686" t="str">
        <f>IF(DONNEES!$E686="","",DONNEES!B686)</f>
        <v/>
      </c>
      <c r="C686" t="str">
        <f>IF(DONNEES!$E686="","",DONNEES!C686)</f>
        <v/>
      </c>
      <c r="D686" t="str">
        <f>IF(DONNEES!$E686="","",DONNEES!E686)</f>
        <v/>
      </c>
      <c r="E686" t="str">
        <f>IF(DONNEES!$E686="","",DONNEES!F686)</f>
        <v/>
      </c>
      <c r="F686" t="str">
        <f>IF(DONNEES!$E686="","",DONNEES!G686)</f>
        <v/>
      </c>
      <c r="G686" t="str">
        <f>IF(DONNEES!$E686="","",DONNEES!H686)</f>
        <v/>
      </c>
      <c r="H686" t="str">
        <f>IF(DONNEES!$E686="","",DONNEES!I686)</f>
        <v/>
      </c>
      <c r="I686" t="str">
        <f>IF(DONNEES!$E686="","",DONNEES!J686)</f>
        <v/>
      </c>
      <c r="J686" t="str">
        <f>IF(DONNEES!$E686="","",DONNEES!K686)</f>
        <v/>
      </c>
      <c r="K686" t="str">
        <f>IF(DONNEES!$E686="","",DONNEES!L686)</f>
        <v/>
      </c>
      <c r="L686" t="str">
        <f>IF(DONNEES!$E686="","",DONNEES!M686)</f>
        <v/>
      </c>
      <c r="M686" t="str">
        <f>IF(DONNEES!$E686="","",DONNEES!N686)</f>
        <v/>
      </c>
      <c r="N686" t="str">
        <f>IF(DONNEES!$E686="","",DONNEES!O686)</f>
        <v/>
      </c>
      <c r="O686" t="str">
        <f>IF(DONNEES!$E686="","",DONNEES!P686)</f>
        <v/>
      </c>
      <c r="P686" t="str">
        <f>IF(DONNEES!$E686="","",DONNEES!Q686)</f>
        <v/>
      </c>
      <c r="Q686" t="str">
        <f>IF(DONNEES!$E686="","",DONNEES!R686)</f>
        <v/>
      </c>
      <c r="R686" t="str">
        <f>IF(DONNEES!$E686="","",DONNEES!S686)</f>
        <v/>
      </c>
      <c r="S686" t="str">
        <f>IF(DONNEES!$E686="","",DONNEES!T686)</f>
        <v/>
      </c>
      <c r="T686" t="str">
        <f>IF(DONNEES!$E686="","",DONNEES!U686)</f>
        <v/>
      </c>
      <c r="U686" t="str">
        <f>IF(DONNEES!$E686="","",DONNEES!V686)</f>
        <v/>
      </c>
      <c r="V686" t="str">
        <f>IF(DONNEES!$E686="","",DONNEES!W686)</f>
        <v/>
      </c>
      <c r="W686" t="str">
        <f>IF(DONNEES!$E686="","",DONNEES!X686)</f>
        <v/>
      </c>
      <c r="X686" t="str">
        <f>IF(DONNEES!$E686="","",DONNEES!Y686)</f>
        <v/>
      </c>
      <c r="Y686" t="str">
        <f>IF(DONNEES!$E686="","",DONNEES!Z686)</f>
        <v/>
      </c>
      <c r="Z686" t="str">
        <f>IF(DONNEES!$E686="","",DONNEES!AQ686)</f>
        <v/>
      </c>
    </row>
    <row r="687" spans="1:26" ht="15" customHeight="1" x14ac:dyDescent="0.3">
      <c r="A687" t="str">
        <f>IF(DONNEES!$E687="","",DONNEES!A687)</f>
        <v/>
      </c>
      <c r="B687" t="str">
        <f>IF(DONNEES!$E687="","",DONNEES!B687)</f>
        <v/>
      </c>
      <c r="C687" t="str">
        <f>IF(DONNEES!$E687="","",DONNEES!C687)</f>
        <v/>
      </c>
      <c r="D687" t="str">
        <f>IF(DONNEES!$E687="","",DONNEES!E687)</f>
        <v/>
      </c>
      <c r="E687" t="str">
        <f>IF(DONNEES!$E687="","",DONNEES!F687)</f>
        <v/>
      </c>
      <c r="F687" t="str">
        <f>IF(DONNEES!$E687="","",DONNEES!G687)</f>
        <v/>
      </c>
      <c r="G687" t="str">
        <f>IF(DONNEES!$E687="","",DONNEES!H687)</f>
        <v/>
      </c>
      <c r="H687" t="str">
        <f>IF(DONNEES!$E687="","",DONNEES!I687)</f>
        <v/>
      </c>
      <c r="I687" t="str">
        <f>IF(DONNEES!$E687="","",DONNEES!J687)</f>
        <v/>
      </c>
      <c r="J687" t="str">
        <f>IF(DONNEES!$E687="","",DONNEES!K687)</f>
        <v/>
      </c>
      <c r="K687" t="str">
        <f>IF(DONNEES!$E687="","",DONNEES!L687)</f>
        <v/>
      </c>
      <c r="L687" t="str">
        <f>IF(DONNEES!$E687="","",DONNEES!M687)</f>
        <v/>
      </c>
      <c r="M687" t="str">
        <f>IF(DONNEES!$E687="","",DONNEES!N687)</f>
        <v/>
      </c>
      <c r="N687" t="str">
        <f>IF(DONNEES!$E687="","",DONNEES!O687)</f>
        <v/>
      </c>
      <c r="O687" t="str">
        <f>IF(DONNEES!$E687="","",DONNEES!P687)</f>
        <v/>
      </c>
      <c r="P687" t="str">
        <f>IF(DONNEES!$E687="","",DONNEES!Q687)</f>
        <v/>
      </c>
      <c r="Q687" t="str">
        <f>IF(DONNEES!$E687="","",DONNEES!R687)</f>
        <v/>
      </c>
      <c r="R687" t="str">
        <f>IF(DONNEES!$E687="","",DONNEES!S687)</f>
        <v/>
      </c>
      <c r="S687" t="str">
        <f>IF(DONNEES!$E687="","",DONNEES!T687)</f>
        <v/>
      </c>
      <c r="T687" t="str">
        <f>IF(DONNEES!$E687="","",DONNEES!U687)</f>
        <v/>
      </c>
      <c r="U687" t="str">
        <f>IF(DONNEES!$E687="","",DONNEES!V687)</f>
        <v/>
      </c>
      <c r="V687" t="str">
        <f>IF(DONNEES!$E687="","",DONNEES!W687)</f>
        <v/>
      </c>
      <c r="W687" t="str">
        <f>IF(DONNEES!$E687="","",DONNEES!X687)</f>
        <v/>
      </c>
      <c r="X687" t="str">
        <f>IF(DONNEES!$E687="","",DONNEES!Y687)</f>
        <v/>
      </c>
      <c r="Y687" t="str">
        <f>IF(DONNEES!$E687="","",DONNEES!Z687)</f>
        <v/>
      </c>
      <c r="Z687" t="str">
        <f>IF(DONNEES!$E687="","",DONNEES!AQ687)</f>
        <v/>
      </c>
    </row>
    <row r="688" spans="1:26" ht="15" customHeight="1" x14ac:dyDescent="0.3">
      <c r="A688" t="str">
        <f>IF(DONNEES!$E688="","",DONNEES!A688)</f>
        <v/>
      </c>
      <c r="B688" t="str">
        <f>IF(DONNEES!$E688="","",DONNEES!B688)</f>
        <v/>
      </c>
      <c r="C688" t="str">
        <f>IF(DONNEES!$E688="","",DONNEES!C688)</f>
        <v/>
      </c>
      <c r="D688" t="str">
        <f>IF(DONNEES!$E688="","",DONNEES!E688)</f>
        <v/>
      </c>
      <c r="E688" t="str">
        <f>IF(DONNEES!$E688="","",DONNEES!F688)</f>
        <v/>
      </c>
      <c r="F688" t="str">
        <f>IF(DONNEES!$E688="","",DONNEES!G688)</f>
        <v/>
      </c>
      <c r="G688" t="str">
        <f>IF(DONNEES!$E688="","",DONNEES!H688)</f>
        <v/>
      </c>
      <c r="H688" t="str">
        <f>IF(DONNEES!$E688="","",DONNEES!I688)</f>
        <v/>
      </c>
      <c r="I688" t="str">
        <f>IF(DONNEES!$E688="","",DONNEES!J688)</f>
        <v/>
      </c>
      <c r="J688" t="str">
        <f>IF(DONNEES!$E688="","",DONNEES!K688)</f>
        <v/>
      </c>
      <c r="K688" t="str">
        <f>IF(DONNEES!$E688="","",DONNEES!L688)</f>
        <v/>
      </c>
      <c r="L688" t="str">
        <f>IF(DONNEES!$E688="","",DONNEES!M688)</f>
        <v/>
      </c>
      <c r="M688" t="str">
        <f>IF(DONNEES!$E688="","",DONNEES!N688)</f>
        <v/>
      </c>
      <c r="N688" t="str">
        <f>IF(DONNEES!$E688="","",DONNEES!O688)</f>
        <v/>
      </c>
      <c r="O688" t="str">
        <f>IF(DONNEES!$E688="","",DONNEES!P688)</f>
        <v/>
      </c>
      <c r="P688" t="str">
        <f>IF(DONNEES!$E688="","",DONNEES!Q688)</f>
        <v/>
      </c>
      <c r="Q688" t="str">
        <f>IF(DONNEES!$E688="","",DONNEES!R688)</f>
        <v/>
      </c>
      <c r="R688" t="str">
        <f>IF(DONNEES!$E688="","",DONNEES!S688)</f>
        <v/>
      </c>
      <c r="S688" t="str">
        <f>IF(DONNEES!$E688="","",DONNEES!T688)</f>
        <v/>
      </c>
      <c r="T688" t="str">
        <f>IF(DONNEES!$E688="","",DONNEES!U688)</f>
        <v/>
      </c>
      <c r="U688" t="str">
        <f>IF(DONNEES!$E688="","",DONNEES!V688)</f>
        <v/>
      </c>
      <c r="V688" t="str">
        <f>IF(DONNEES!$E688="","",DONNEES!W688)</f>
        <v/>
      </c>
      <c r="W688" t="str">
        <f>IF(DONNEES!$E688="","",DONNEES!X688)</f>
        <v/>
      </c>
      <c r="X688" t="str">
        <f>IF(DONNEES!$E688="","",DONNEES!Y688)</f>
        <v/>
      </c>
      <c r="Y688" t="str">
        <f>IF(DONNEES!$E688="","",DONNEES!Z688)</f>
        <v/>
      </c>
      <c r="Z688" t="str">
        <f>IF(DONNEES!$E688="","",DONNEES!AQ688)</f>
        <v/>
      </c>
    </row>
    <row r="689" spans="1:26" ht="15" customHeight="1" x14ac:dyDescent="0.3">
      <c r="A689" t="str">
        <f>IF(DONNEES!$E689="","",DONNEES!A689)</f>
        <v/>
      </c>
      <c r="B689" t="str">
        <f>IF(DONNEES!$E689="","",DONNEES!B689)</f>
        <v/>
      </c>
      <c r="C689" t="str">
        <f>IF(DONNEES!$E689="","",DONNEES!C689)</f>
        <v/>
      </c>
      <c r="D689" t="str">
        <f>IF(DONNEES!$E689="","",DONNEES!E689)</f>
        <v/>
      </c>
      <c r="E689" t="str">
        <f>IF(DONNEES!$E689="","",DONNEES!F689)</f>
        <v/>
      </c>
      <c r="F689" t="str">
        <f>IF(DONNEES!$E689="","",DONNEES!G689)</f>
        <v/>
      </c>
      <c r="G689" t="str">
        <f>IF(DONNEES!$E689="","",DONNEES!H689)</f>
        <v/>
      </c>
      <c r="H689" t="str">
        <f>IF(DONNEES!$E689="","",DONNEES!I689)</f>
        <v/>
      </c>
      <c r="I689" t="str">
        <f>IF(DONNEES!$E689="","",DONNEES!J689)</f>
        <v/>
      </c>
      <c r="J689" t="str">
        <f>IF(DONNEES!$E689="","",DONNEES!K689)</f>
        <v/>
      </c>
      <c r="K689" t="str">
        <f>IF(DONNEES!$E689="","",DONNEES!L689)</f>
        <v/>
      </c>
      <c r="L689" t="str">
        <f>IF(DONNEES!$E689="","",DONNEES!M689)</f>
        <v/>
      </c>
      <c r="M689" t="str">
        <f>IF(DONNEES!$E689="","",DONNEES!N689)</f>
        <v/>
      </c>
      <c r="N689" t="str">
        <f>IF(DONNEES!$E689="","",DONNEES!O689)</f>
        <v/>
      </c>
      <c r="O689" t="str">
        <f>IF(DONNEES!$E689="","",DONNEES!P689)</f>
        <v/>
      </c>
      <c r="P689" t="str">
        <f>IF(DONNEES!$E689="","",DONNEES!Q689)</f>
        <v/>
      </c>
      <c r="Q689" t="str">
        <f>IF(DONNEES!$E689="","",DONNEES!R689)</f>
        <v/>
      </c>
      <c r="R689" t="str">
        <f>IF(DONNEES!$E689="","",DONNEES!S689)</f>
        <v/>
      </c>
      <c r="S689" t="str">
        <f>IF(DONNEES!$E689="","",DONNEES!T689)</f>
        <v/>
      </c>
      <c r="T689" t="str">
        <f>IF(DONNEES!$E689="","",DONNEES!U689)</f>
        <v/>
      </c>
      <c r="U689" t="str">
        <f>IF(DONNEES!$E689="","",DONNEES!V689)</f>
        <v/>
      </c>
      <c r="V689" t="str">
        <f>IF(DONNEES!$E689="","",DONNEES!W689)</f>
        <v/>
      </c>
      <c r="W689" t="str">
        <f>IF(DONNEES!$E689="","",DONNEES!X689)</f>
        <v/>
      </c>
      <c r="X689" t="str">
        <f>IF(DONNEES!$E689="","",DONNEES!Y689)</f>
        <v/>
      </c>
      <c r="Y689" t="str">
        <f>IF(DONNEES!$E689="","",DONNEES!Z689)</f>
        <v/>
      </c>
      <c r="Z689" t="str">
        <f>IF(DONNEES!$E689="","",DONNEES!AQ689)</f>
        <v/>
      </c>
    </row>
    <row r="690" spans="1:26" ht="15" customHeight="1" x14ac:dyDescent="0.3">
      <c r="A690" t="str">
        <f>IF(DONNEES!$E690="","",DONNEES!A690)</f>
        <v/>
      </c>
      <c r="B690" t="str">
        <f>IF(DONNEES!$E690="","",DONNEES!B690)</f>
        <v/>
      </c>
      <c r="C690" t="str">
        <f>IF(DONNEES!$E690="","",DONNEES!C690)</f>
        <v/>
      </c>
      <c r="D690" t="str">
        <f>IF(DONNEES!$E690="","",DONNEES!E690)</f>
        <v/>
      </c>
      <c r="E690" t="str">
        <f>IF(DONNEES!$E690="","",DONNEES!F690)</f>
        <v/>
      </c>
      <c r="F690" t="str">
        <f>IF(DONNEES!$E690="","",DONNEES!G690)</f>
        <v/>
      </c>
      <c r="G690" t="str">
        <f>IF(DONNEES!$E690="","",DONNEES!H690)</f>
        <v/>
      </c>
      <c r="H690" t="str">
        <f>IF(DONNEES!$E690="","",DONNEES!I690)</f>
        <v/>
      </c>
      <c r="I690" t="str">
        <f>IF(DONNEES!$E690="","",DONNEES!J690)</f>
        <v/>
      </c>
      <c r="J690" t="str">
        <f>IF(DONNEES!$E690="","",DONNEES!K690)</f>
        <v/>
      </c>
      <c r="K690" t="str">
        <f>IF(DONNEES!$E690="","",DONNEES!L690)</f>
        <v/>
      </c>
      <c r="L690" t="str">
        <f>IF(DONNEES!$E690="","",DONNEES!M690)</f>
        <v/>
      </c>
      <c r="M690" t="str">
        <f>IF(DONNEES!$E690="","",DONNEES!N690)</f>
        <v/>
      </c>
      <c r="N690" t="str">
        <f>IF(DONNEES!$E690="","",DONNEES!O690)</f>
        <v/>
      </c>
      <c r="O690" t="str">
        <f>IF(DONNEES!$E690="","",DONNEES!P690)</f>
        <v/>
      </c>
      <c r="P690" t="str">
        <f>IF(DONNEES!$E690="","",DONNEES!Q690)</f>
        <v/>
      </c>
      <c r="Q690" t="str">
        <f>IF(DONNEES!$E690="","",DONNEES!R690)</f>
        <v/>
      </c>
      <c r="R690" t="str">
        <f>IF(DONNEES!$E690="","",DONNEES!S690)</f>
        <v/>
      </c>
      <c r="S690" t="str">
        <f>IF(DONNEES!$E690="","",DONNEES!T690)</f>
        <v/>
      </c>
      <c r="T690" t="str">
        <f>IF(DONNEES!$E690="","",DONNEES!U690)</f>
        <v/>
      </c>
      <c r="U690" t="str">
        <f>IF(DONNEES!$E690="","",DONNEES!V690)</f>
        <v/>
      </c>
      <c r="V690" t="str">
        <f>IF(DONNEES!$E690="","",DONNEES!W690)</f>
        <v/>
      </c>
      <c r="W690" t="str">
        <f>IF(DONNEES!$E690="","",DONNEES!X690)</f>
        <v/>
      </c>
      <c r="X690" t="str">
        <f>IF(DONNEES!$E690="","",DONNEES!Y690)</f>
        <v/>
      </c>
      <c r="Y690" t="str">
        <f>IF(DONNEES!$E690="","",DONNEES!Z690)</f>
        <v/>
      </c>
      <c r="Z690" t="str">
        <f>IF(DONNEES!$E690="","",DONNEES!AQ690)</f>
        <v/>
      </c>
    </row>
    <row r="691" spans="1:26" ht="15" customHeight="1" x14ac:dyDescent="0.3">
      <c r="A691" t="str">
        <f>IF(DONNEES!$E691="","",DONNEES!A691)</f>
        <v/>
      </c>
      <c r="B691" t="str">
        <f>IF(DONNEES!$E691="","",DONNEES!B691)</f>
        <v/>
      </c>
      <c r="C691" t="str">
        <f>IF(DONNEES!$E691="","",DONNEES!C691)</f>
        <v/>
      </c>
      <c r="D691" t="str">
        <f>IF(DONNEES!$E691="","",DONNEES!E691)</f>
        <v/>
      </c>
      <c r="E691" t="str">
        <f>IF(DONNEES!$E691="","",DONNEES!F691)</f>
        <v/>
      </c>
      <c r="F691" t="str">
        <f>IF(DONNEES!$E691="","",DONNEES!G691)</f>
        <v/>
      </c>
      <c r="G691" t="str">
        <f>IF(DONNEES!$E691="","",DONNEES!H691)</f>
        <v/>
      </c>
      <c r="H691" t="str">
        <f>IF(DONNEES!$E691="","",DONNEES!I691)</f>
        <v/>
      </c>
      <c r="I691" t="str">
        <f>IF(DONNEES!$E691="","",DONNEES!J691)</f>
        <v/>
      </c>
      <c r="J691" t="str">
        <f>IF(DONNEES!$E691="","",DONNEES!K691)</f>
        <v/>
      </c>
      <c r="K691" t="str">
        <f>IF(DONNEES!$E691="","",DONNEES!L691)</f>
        <v/>
      </c>
      <c r="L691" t="str">
        <f>IF(DONNEES!$E691="","",DONNEES!M691)</f>
        <v/>
      </c>
      <c r="M691" t="str">
        <f>IF(DONNEES!$E691="","",DONNEES!N691)</f>
        <v/>
      </c>
      <c r="N691" t="str">
        <f>IF(DONNEES!$E691="","",DONNEES!O691)</f>
        <v/>
      </c>
      <c r="O691" t="str">
        <f>IF(DONNEES!$E691="","",DONNEES!P691)</f>
        <v/>
      </c>
      <c r="P691" t="str">
        <f>IF(DONNEES!$E691="","",DONNEES!Q691)</f>
        <v/>
      </c>
      <c r="Q691" t="str">
        <f>IF(DONNEES!$E691="","",DONNEES!R691)</f>
        <v/>
      </c>
      <c r="R691" t="str">
        <f>IF(DONNEES!$E691="","",DONNEES!S691)</f>
        <v/>
      </c>
      <c r="S691" t="str">
        <f>IF(DONNEES!$E691="","",DONNEES!T691)</f>
        <v/>
      </c>
      <c r="T691" t="str">
        <f>IF(DONNEES!$E691="","",DONNEES!U691)</f>
        <v/>
      </c>
      <c r="U691" t="str">
        <f>IF(DONNEES!$E691="","",DONNEES!V691)</f>
        <v/>
      </c>
      <c r="V691" t="str">
        <f>IF(DONNEES!$E691="","",DONNEES!W691)</f>
        <v/>
      </c>
      <c r="W691" t="str">
        <f>IF(DONNEES!$E691="","",DONNEES!X691)</f>
        <v/>
      </c>
      <c r="X691" t="str">
        <f>IF(DONNEES!$E691="","",DONNEES!Y691)</f>
        <v/>
      </c>
      <c r="Y691" t="str">
        <f>IF(DONNEES!$E691="","",DONNEES!Z691)</f>
        <v/>
      </c>
      <c r="Z691" t="str">
        <f>IF(DONNEES!$E691="","",DONNEES!AQ691)</f>
        <v/>
      </c>
    </row>
    <row r="692" spans="1:26" ht="15" customHeight="1" x14ac:dyDescent="0.3">
      <c r="A692" t="str">
        <f>IF(DONNEES!$E692="","",DONNEES!A692)</f>
        <v/>
      </c>
      <c r="B692" t="str">
        <f>IF(DONNEES!$E692="","",DONNEES!B692)</f>
        <v/>
      </c>
      <c r="C692" t="str">
        <f>IF(DONNEES!$E692="","",DONNEES!C692)</f>
        <v/>
      </c>
      <c r="D692" t="str">
        <f>IF(DONNEES!$E692="","",DONNEES!E692)</f>
        <v/>
      </c>
      <c r="E692" t="str">
        <f>IF(DONNEES!$E692="","",DONNEES!F692)</f>
        <v/>
      </c>
      <c r="F692" t="str">
        <f>IF(DONNEES!$E692="","",DONNEES!G692)</f>
        <v/>
      </c>
      <c r="G692" t="str">
        <f>IF(DONNEES!$E692="","",DONNEES!H692)</f>
        <v/>
      </c>
      <c r="H692" t="str">
        <f>IF(DONNEES!$E692="","",DONNEES!I692)</f>
        <v/>
      </c>
      <c r="I692" t="str">
        <f>IF(DONNEES!$E692="","",DONNEES!J692)</f>
        <v/>
      </c>
      <c r="J692" t="str">
        <f>IF(DONNEES!$E692="","",DONNEES!K692)</f>
        <v/>
      </c>
      <c r="K692" t="str">
        <f>IF(DONNEES!$E692="","",DONNEES!L692)</f>
        <v/>
      </c>
      <c r="L692" t="str">
        <f>IF(DONNEES!$E692="","",DONNEES!M692)</f>
        <v/>
      </c>
      <c r="M692" t="str">
        <f>IF(DONNEES!$E692="","",DONNEES!N692)</f>
        <v/>
      </c>
      <c r="N692" t="str">
        <f>IF(DONNEES!$E692="","",DONNEES!O692)</f>
        <v/>
      </c>
      <c r="O692" t="str">
        <f>IF(DONNEES!$E692="","",DONNEES!P692)</f>
        <v/>
      </c>
      <c r="P692" t="str">
        <f>IF(DONNEES!$E692="","",DONNEES!Q692)</f>
        <v/>
      </c>
      <c r="Q692" t="str">
        <f>IF(DONNEES!$E692="","",DONNEES!R692)</f>
        <v/>
      </c>
      <c r="R692" t="str">
        <f>IF(DONNEES!$E692="","",DONNEES!S692)</f>
        <v/>
      </c>
      <c r="S692" t="str">
        <f>IF(DONNEES!$E692="","",DONNEES!T692)</f>
        <v/>
      </c>
      <c r="T692" t="str">
        <f>IF(DONNEES!$E692="","",DONNEES!U692)</f>
        <v/>
      </c>
      <c r="U692" t="str">
        <f>IF(DONNEES!$E692="","",DONNEES!V692)</f>
        <v/>
      </c>
      <c r="V692" t="str">
        <f>IF(DONNEES!$E692="","",DONNEES!W692)</f>
        <v/>
      </c>
      <c r="W692" t="str">
        <f>IF(DONNEES!$E692="","",DONNEES!X692)</f>
        <v/>
      </c>
      <c r="X692" t="str">
        <f>IF(DONNEES!$E692="","",DONNEES!Y692)</f>
        <v/>
      </c>
      <c r="Y692" t="str">
        <f>IF(DONNEES!$E692="","",DONNEES!Z692)</f>
        <v/>
      </c>
      <c r="Z692" t="str">
        <f>IF(DONNEES!$E692="","",DONNEES!AQ692)</f>
        <v/>
      </c>
    </row>
    <row r="693" spans="1:26" ht="15" customHeight="1" x14ac:dyDescent="0.3">
      <c r="A693" t="str">
        <f>IF(DONNEES!$E693="","",DONNEES!A693)</f>
        <v/>
      </c>
      <c r="B693" t="str">
        <f>IF(DONNEES!$E693="","",DONNEES!B693)</f>
        <v/>
      </c>
      <c r="C693" t="str">
        <f>IF(DONNEES!$E693="","",DONNEES!C693)</f>
        <v/>
      </c>
      <c r="D693" t="str">
        <f>IF(DONNEES!$E693="","",DONNEES!E693)</f>
        <v/>
      </c>
      <c r="E693" t="str">
        <f>IF(DONNEES!$E693="","",DONNEES!F693)</f>
        <v/>
      </c>
      <c r="F693" t="str">
        <f>IF(DONNEES!$E693="","",DONNEES!G693)</f>
        <v/>
      </c>
      <c r="G693" t="str">
        <f>IF(DONNEES!$E693="","",DONNEES!H693)</f>
        <v/>
      </c>
      <c r="H693" t="str">
        <f>IF(DONNEES!$E693="","",DONNEES!I693)</f>
        <v/>
      </c>
      <c r="I693" t="str">
        <f>IF(DONNEES!$E693="","",DONNEES!J693)</f>
        <v/>
      </c>
      <c r="J693" t="str">
        <f>IF(DONNEES!$E693="","",DONNEES!K693)</f>
        <v/>
      </c>
      <c r="K693" t="str">
        <f>IF(DONNEES!$E693="","",DONNEES!L693)</f>
        <v/>
      </c>
      <c r="L693" t="str">
        <f>IF(DONNEES!$E693="","",DONNEES!M693)</f>
        <v/>
      </c>
      <c r="M693" t="str">
        <f>IF(DONNEES!$E693="","",DONNEES!N693)</f>
        <v/>
      </c>
      <c r="N693" t="str">
        <f>IF(DONNEES!$E693="","",DONNEES!O693)</f>
        <v/>
      </c>
      <c r="O693" t="str">
        <f>IF(DONNEES!$E693="","",DONNEES!P693)</f>
        <v/>
      </c>
      <c r="P693" t="str">
        <f>IF(DONNEES!$E693="","",DONNEES!Q693)</f>
        <v/>
      </c>
      <c r="Q693" t="str">
        <f>IF(DONNEES!$E693="","",DONNEES!R693)</f>
        <v/>
      </c>
      <c r="R693" t="str">
        <f>IF(DONNEES!$E693="","",DONNEES!S693)</f>
        <v/>
      </c>
      <c r="S693" t="str">
        <f>IF(DONNEES!$E693="","",DONNEES!T693)</f>
        <v/>
      </c>
      <c r="T693" t="str">
        <f>IF(DONNEES!$E693="","",DONNEES!U693)</f>
        <v/>
      </c>
      <c r="U693" t="str">
        <f>IF(DONNEES!$E693="","",DONNEES!V693)</f>
        <v/>
      </c>
      <c r="V693" t="str">
        <f>IF(DONNEES!$E693="","",DONNEES!W693)</f>
        <v/>
      </c>
      <c r="W693" t="str">
        <f>IF(DONNEES!$E693="","",DONNEES!X693)</f>
        <v/>
      </c>
      <c r="X693" t="str">
        <f>IF(DONNEES!$E693="","",DONNEES!Y693)</f>
        <v/>
      </c>
      <c r="Y693" t="str">
        <f>IF(DONNEES!$E693="","",DONNEES!Z693)</f>
        <v/>
      </c>
      <c r="Z693" t="str">
        <f>IF(DONNEES!$E693="","",DONNEES!AQ693)</f>
        <v/>
      </c>
    </row>
    <row r="694" spans="1:26" ht="15" customHeight="1" x14ac:dyDescent="0.3">
      <c r="A694" t="str">
        <f>IF(DONNEES!$E694="","",DONNEES!A694)</f>
        <v/>
      </c>
      <c r="B694" t="str">
        <f>IF(DONNEES!$E694="","",DONNEES!B694)</f>
        <v/>
      </c>
      <c r="C694" t="str">
        <f>IF(DONNEES!$E694="","",DONNEES!C694)</f>
        <v/>
      </c>
      <c r="D694" t="str">
        <f>IF(DONNEES!$E694="","",DONNEES!E694)</f>
        <v/>
      </c>
      <c r="E694" t="str">
        <f>IF(DONNEES!$E694="","",DONNEES!F694)</f>
        <v/>
      </c>
      <c r="F694" t="str">
        <f>IF(DONNEES!$E694="","",DONNEES!G694)</f>
        <v/>
      </c>
      <c r="G694" t="str">
        <f>IF(DONNEES!$E694="","",DONNEES!H694)</f>
        <v/>
      </c>
      <c r="H694" t="str">
        <f>IF(DONNEES!$E694="","",DONNEES!I694)</f>
        <v/>
      </c>
      <c r="I694" t="str">
        <f>IF(DONNEES!$E694="","",DONNEES!J694)</f>
        <v/>
      </c>
      <c r="J694" t="str">
        <f>IF(DONNEES!$E694="","",DONNEES!K694)</f>
        <v/>
      </c>
      <c r="K694" t="str">
        <f>IF(DONNEES!$E694="","",DONNEES!L694)</f>
        <v/>
      </c>
      <c r="L694" t="str">
        <f>IF(DONNEES!$E694="","",DONNEES!M694)</f>
        <v/>
      </c>
      <c r="M694" t="str">
        <f>IF(DONNEES!$E694="","",DONNEES!N694)</f>
        <v/>
      </c>
      <c r="N694" t="str">
        <f>IF(DONNEES!$E694="","",DONNEES!O694)</f>
        <v/>
      </c>
      <c r="O694" t="str">
        <f>IF(DONNEES!$E694="","",DONNEES!P694)</f>
        <v/>
      </c>
      <c r="P694" t="str">
        <f>IF(DONNEES!$E694="","",DONNEES!Q694)</f>
        <v/>
      </c>
      <c r="Q694" t="str">
        <f>IF(DONNEES!$E694="","",DONNEES!R694)</f>
        <v/>
      </c>
      <c r="R694" t="str">
        <f>IF(DONNEES!$E694="","",DONNEES!S694)</f>
        <v/>
      </c>
      <c r="S694" t="str">
        <f>IF(DONNEES!$E694="","",DONNEES!T694)</f>
        <v/>
      </c>
      <c r="T694" t="str">
        <f>IF(DONNEES!$E694="","",DONNEES!U694)</f>
        <v/>
      </c>
      <c r="U694" t="str">
        <f>IF(DONNEES!$E694="","",DONNEES!V694)</f>
        <v/>
      </c>
      <c r="V694" t="str">
        <f>IF(DONNEES!$E694="","",DONNEES!W694)</f>
        <v/>
      </c>
      <c r="W694" t="str">
        <f>IF(DONNEES!$E694="","",DONNEES!X694)</f>
        <v/>
      </c>
      <c r="X694" t="str">
        <f>IF(DONNEES!$E694="","",DONNEES!Y694)</f>
        <v/>
      </c>
      <c r="Y694" t="str">
        <f>IF(DONNEES!$E694="","",DONNEES!Z694)</f>
        <v/>
      </c>
      <c r="Z694" t="str">
        <f>IF(DONNEES!$E694="","",DONNEES!AQ694)</f>
        <v/>
      </c>
    </row>
    <row r="695" spans="1:26" ht="15" customHeight="1" x14ac:dyDescent="0.3">
      <c r="A695" t="str">
        <f>IF(DONNEES!$E695="","",DONNEES!A695)</f>
        <v/>
      </c>
      <c r="B695" t="str">
        <f>IF(DONNEES!$E695="","",DONNEES!B695)</f>
        <v/>
      </c>
      <c r="C695" t="str">
        <f>IF(DONNEES!$E695="","",DONNEES!C695)</f>
        <v/>
      </c>
      <c r="D695" t="str">
        <f>IF(DONNEES!$E695="","",DONNEES!E695)</f>
        <v/>
      </c>
      <c r="E695" t="str">
        <f>IF(DONNEES!$E695="","",DONNEES!F695)</f>
        <v/>
      </c>
      <c r="F695" t="str">
        <f>IF(DONNEES!$E695="","",DONNEES!G695)</f>
        <v/>
      </c>
      <c r="G695" t="str">
        <f>IF(DONNEES!$E695="","",DONNEES!H695)</f>
        <v/>
      </c>
      <c r="H695" t="str">
        <f>IF(DONNEES!$E695="","",DONNEES!I695)</f>
        <v/>
      </c>
      <c r="I695" t="str">
        <f>IF(DONNEES!$E695="","",DONNEES!J695)</f>
        <v/>
      </c>
      <c r="J695" t="str">
        <f>IF(DONNEES!$E695="","",DONNEES!K695)</f>
        <v/>
      </c>
      <c r="K695" t="str">
        <f>IF(DONNEES!$E695="","",DONNEES!L695)</f>
        <v/>
      </c>
      <c r="L695" t="str">
        <f>IF(DONNEES!$E695="","",DONNEES!M695)</f>
        <v/>
      </c>
      <c r="M695" t="str">
        <f>IF(DONNEES!$E695="","",DONNEES!N695)</f>
        <v/>
      </c>
      <c r="N695" t="str">
        <f>IF(DONNEES!$E695="","",DONNEES!O695)</f>
        <v/>
      </c>
      <c r="O695" t="str">
        <f>IF(DONNEES!$E695="","",DONNEES!P695)</f>
        <v/>
      </c>
      <c r="P695" t="str">
        <f>IF(DONNEES!$E695="","",DONNEES!Q695)</f>
        <v/>
      </c>
      <c r="Q695" t="str">
        <f>IF(DONNEES!$E695="","",DONNEES!R695)</f>
        <v/>
      </c>
      <c r="R695" t="str">
        <f>IF(DONNEES!$E695="","",DONNEES!S695)</f>
        <v/>
      </c>
      <c r="S695" t="str">
        <f>IF(DONNEES!$E695="","",DONNEES!T695)</f>
        <v/>
      </c>
      <c r="T695" t="str">
        <f>IF(DONNEES!$E695="","",DONNEES!U695)</f>
        <v/>
      </c>
      <c r="U695" t="str">
        <f>IF(DONNEES!$E695="","",DONNEES!V695)</f>
        <v/>
      </c>
      <c r="V695" t="str">
        <f>IF(DONNEES!$E695="","",DONNEES!W695)</f>
        <v/>
      </c>
      <c r="W695" t="str">
        <f>IF(DONNEES!$E695="","",DONNEES!X695)</f>
        <v/>
      </c>
      <c r="X695" t="str">
        <f>IF(DONNEES!$E695="","",DONNEES!Y695)</f>
        <v/>
      </c>
      <c r="Y695" t="str">
        <f>IF(DONNEES!$E695="","",DONNEES!Z695)</f>
        <v/>
      </c>
      <c r="Z695" t="str">
        <f>IF(DONNEES!$E695="","",DONNEES!AQ695)</f>
        <v/>
      </c>
    </row>
    <row r="696" spans="1:26" ht="15" customHeight="1" x14ac:dyDescent="0.3">
      <c r="A696" t="str">
        <f>IF(DONNEES!$E696="","",DONNEES!A696)</f>
        <v/>
      </c>
      <c r="B696" t="str">
        <f>IF(DONNEES!$E696="","",DONNEES!B696)</f>
        <v/>
      </c>
      <c r="C696" t="str">
        <f>IF(DONNEES!$E696="","",DONNEES!C696)</f>
        <v/>
      </c>
      <c r="D696" t="str">
        <f>IF(DONNEES!$E696="","",DONNEES!E696)</f>
        <v/>
      </c>
      <c r="E696" t="str">
        <f>IF(DONNEES!$E696="","",DONNEES!F696)</f>
        <v/>
      </c>
      <c r="F696" t="str">
        <f>IF(DONNEES!$E696="","",DONNEES!G696)</f>
        <v/>
      </c>
      <c r="G696" t="str">
        <f>IF(DONNEES!$E696="","",DONNEES!H696)</f>
        <v/>
      </c>
      <c r="H696" t="str">
        <f>IF(DONNEES!$E696="","",DONNEES!I696)</f>
        <v/>
      </c>
      <c r="I696" t="str">
        <f>IF(DONNEES!$E696="","",DONNEES!J696)</f>
        <v/>
      </c>
      <c r="J696" t="str">
        <f>IF(DONNEES!$E696="","",DONNEES!K696)</f>
        <v/>
      </c>
      <c r="K696" t="str">
        <f>IF(DONNEES!$E696="","",DONNEES!L696)</f>
        <v/>
      </c>
      <c r="L696" t="str">
        <f>IF(DONNEES!$E696="","",DONNEES!M696)</f>
        <v/>
      </c>
      <c r="M696" t="str">
        <f>IF(DONNEES!$E696="","",DONNEES!N696)</f>
        <v/>
      </c>
      <c r="N696" t="str">
        <f>IF(DONNEES!$E696="","",DONNEES!O696)</f>
        <v/>
      </c>
      <c r="O696" t="str">
        <f>IF(DONNEES!$E696="","",DONNEES!P696)</f>
        <v/>
      </c>
      <c r="P696" t="str">
        <f>IF(DONNEES!$E696="","",DONNEES!Q696)</f>
        <v/>
      </c>
      <c r="Q696" t="str">
        <f>IF(DONNEES!$E696="","",DONNEES!R696)</f>
        <v/>
      </c>
      <c r="R696" t="str">
        <f>IF(DONNEES!$E696="","",DONNEES!S696)</f>
        <v/>
      </c>
      <c r="S696" t="str">
        <f>IF(DONNEES!$E696="","",DONNEES!T696)</f>
        <v/>
      </c>
      <c r="T696" t="str">
        <f>IF(DONNEES!$E696="","",DONNEES!U696)</f>
        <v/>
      </c>
      <c r="U696" t="str">
        <f>IF(DONNEES!$E696="","",DONNEES!V696)</f>
        <v/>
      </c>
      <c r="V696" t="str">
        <f>IF(DONNEES!$E696="","",DONNEES!W696)</f>
        <v/>
      </c>
      <c r="W696" t="str">
        <f>IF(DONNEES!$E696="","",DONNEES!X696)</f>
        <v/>
      </c>
      <c r="X696" t="str">
        <f>IF(DONNEES!$E696="","",DONNEES!Y696)</f>
        <v/>
      </c>
      <c r="Y696" t="str">
        <f>IF(DONNEES!$E696="","",DONNEES!Z696)</f>
        <v/>
      </c>
      <c r="Z696" t="str">
        <f>IF(DONNEES!$E696="","",DONNEES!AQ696)</f>
        <v/>
      </c>
    </row>
    <row r="697" spans="1:26" ht="15" customHeight="1" x14ac:dyDescent="0.3">
      <c r="A697" t="str">
        <f>IF(DONNEES!$E697="","",DONNEES!A697)</f>
        <v/>
      </c>
      <c r="B697" t="str">
        <f>IF(DONNEES!$E697="","",DONNEES!B697)</f>
        <v/>
      </c>
      <c r="C697" t="str">
        <f>IF(DONNEES!$E697="","",DONNEES!C697)</f>
        <v/>
      </c>
      <c r="D697" t="str">
        <f>IF(DONNEES!$E697="","",DONNEES!E697)</f>
        <v/>
      </c>
      <c r="E697" t="str">
        <f>IF(DONNEES!$E697="","",DONNEES!F697)</f>
        <v/>
      </c>
      <c r="F697" t="str">
        <f>IF(DONNEES!$E697="","",DONNEES!G697)</f>
        <v/>
      </c>
      <c r="G697" t="str">
        <f>IF(DONNEES!$E697="","",DONNEES!H697)</f>
        <v/>
      </c>
      <c r="H697" t="str">
        <f>IF(DONNEES!$E697="","",DONNEES!I697)</f>
        <v/>
      </c>
      <c r="I697" t="str">
        <f>IF(DONNEES!$E697="","",DONNEES!J697)</f>
        <v/>
      </c>
      <c r="J697" t="str">
        <f>IF(DONNEES!$E697="","",DONNEES!K697)</f>
        <v/>
      </c>
      <c r="K697" t="str">
        <f>IF(DONNEES!$E697="","",DONNEES!L697)</f>
        <v/>
      </c>
      <c r="L697" t="str">
        <f>IF(DONNEES!$E697="","",DONNEES!M697)</f>
        <v/>
      </c>
      <c r="M697" t="str">
        <f>IF(DONNEES!$E697="","",DONNEES!N697)</f>
        <v/>
      </c>
      <c r="N697" t="str">
        <f>IF(DONNEES!$E697="","",DONNEES!O697)</f>
        <v/>
      </c>
      <c r="O697" t="str">
        <f>IF(DONNEES!$E697="","",DONNEES!P697)</f>
        <v/>
      </c>
      <c r="P697" t="str">
        <f>IF(DONNEES!$E697="","",DONNEES!Q697)</f>
        <v/>
      </c>
      <c r="Q697" t="str">
        <f>IF(DONNEES!$E697="","",DONNEES!R697)</f>
        <v/>
      </c>
      <c r="R697" t="str">
        <f>IF(DONNEES!$E697="","",DONNEES!S697)</f>
        <v/>
      </c>
      <c r="S697" t="str">
        <f>IF(DONNEES!$E697="","",DONNEES!T697)</f>
        <v/>
      </c>
      <c r="T697" t="str">
        <f>IF(DONNEES!$E697="","",DONNEES!U697)</f>
        <v/>
      </c>
      <c r="U697" t="str">
        <f>IF(DONNEES!$E697="","",DONNEES!V697)</f>
        <v/>
      </c>
      <c r="V697" t="str">
        <f>IF(DONNEES!$E697="","",DONNEES!W697)</f>
        <v/>
      </c>
      <c r="W697" t="str">
        <f>IF(DONNEES!$E697="","",DONNEES!X697)</f>
        <v/>
      </c>
      <c r="X697" t="str">
        <f>IF(DONNEES!$E697="","",DONNEES!Y697)</f>
        <v/>
      </c>
      <c r="Y697" t="str">
        <f>IF(DONNEES!$E697="","",DONNEES!Z697)</f>
        <v/>
      </c>
      <c r="Z697" t="str">
        <f>IF(DONNEES!$E697="","",DONNEES!AQ697)</f>
        <v/>
      </c>
    </row>
    <row r="698" spans="1:26" ht="15" customHeight="1" x14ac:dyDescent="0.3">
      <c r="A698" t="str">
        <f>IF(DONNEES!$E698="","",DONNEES!A698)</f>
        <v/>
      </c>
      <c r="B698" t="str">
        <f>IF(DONNEES!$E698="","",DONNEES!B698)</f>
        <v/>
      </c>
      <c r="C698" t="str">
        <f>IF(DONNEES!$E698="","",DONNEES!C698)</f>
        <v/>
      </c>
      <c r="D698" t="str">
        <f>IF(DONNEES!$E698="","",DONNEES!E698)</f>
        <v/>
      </c>
      <c r="E698" t="str">
        <f>IF(DONNEES!$E698="","",DONNEES!F698)</f>
        <v/>
      </c>
      <c r="F698" t="str">
        <f>IF(DONNEES!$E698="","",DONNEES!G698)</f>
        <v/>
      </c>
      <c r="G698" t="str">
        <f>IF(DONNEES!$E698="","",DONNEES!H698)</f>
        <v/>
      </c>
      <c r="H698" t="str">
        <f>IF(DONNEES!$E698="","",DONNEES!I698)</f>
        <v/>
      </c>
      <c r="I698" t="str">
        <f>IF(DONNEES!$E698="","",DONNEES!J698)</f>
        <v/>
      </c>
      <c r="J698" t="str">
        <f>IF(DONNEES!$E698="","",DONNEES!K698)</f>
        <v/>
      </c>
      <c r="K698" t="str">
        <f>IF(DONNEES!$E698="","",DONNEES!L698)</f>
        <v/>
      </c>
      <c r="L698" t="str">
        <f>IF(DONNEES!$E698="","",DONNEES!M698)</f>
        <v/>
      </c>
      <c r="M698" t="str">
        <f>IF(DONNEES!$E698="","",DONNEES!N698)</f>
        <v/>
      </c>
      <c r="N698" t="str">
        <f>IF(DONNEES!$E698="","",DONNEES!O698)</f>
        <v/>
      </c>
      <c r="O698" t="str">
        <f>IF(DONNEES!$E698="","",DONNEES!P698)</f>
        <v/>
      </c>
      <c r="P698" t="str">
        <f>IF(DONNEES!$E698="","",DONNEES!Q698)</f>
        <v/>
      </c>
      <c r="Q698" t="str">
        <f>IF(DONNEES!$E698="","",DONNEES!R698)</f>
        <v/>
      </c>
      <c r="R698" t="str">
        <f>IF(DONNEES!$E698="","",DONNEES!S698)</f>
        <v/>
      </c>
      <c r="S698" t="str">
        <f>IF(DONNEES!$E698="","",DONNEES!T698)</f>
        <v/>
      </c>
      <c r="T698" t="str">
        <f>IF(DONNEES!$E698="","",DONNEES!U698)</f>
        <v/>
      </c>
      <c r="U698" t="str">
        <f>IF(DONNEES!$E698="","",DONNEES!V698)</f>
        <v/>
      </c>
      <c r="V698" t="str">
        <f>IF(DONNEES!$E698="","",DONNEES!W698)</f>
        <v/>
      </c>
      <c r="W698" t="str">
        <f>IF(DONNEES!$E698="","",DONNEES!X698)</f>
        <v/>
      </c>
      <c r="X698" t="str">
        <f>IF(DONNEES!$E698="","",DONNEES!Y698)</f>
        <v/>
      </c>
      <c r="Y698" t="str">
        <f>IF(DONNEES!$E698="","",DONNEES!Z698)</f>
        <v/>
      </c>
      <c r="Z698" t="str">
        <f>IF(DONNEES!$E698="","",DONNEES!AQ698)</f>
        <v/>
      </c>
    </row>
    <row r="699" spans="1:26" ht="15" customHeight="1" x14ac:dyDescent="0.3">
      <c r="A699" t="str">
        <f>IF(DONNEES!$E699="","",DONNEES!A699)</f>
        <v/>
      </c>
      <c r="B699" t="str">
        <f>IF(DONNEES!$E699="","",DONNEES!B699)</f>
        <v/>
      </c>
      <c r="C699" t="str">
        <f>IF(DONNEES!$E699="","",DONNEES!C699)</f>
        <v/>
      </c>
      <c r="D699" t="str">
        <f>IF(DONNEES!$E699="","",DONNEES!E699)</f>
        <v/>
      </c>
      <c r="E699" t="str">
        <f>IF(DONNEES!$E699="","",DONNEES!F699)</f>
        <v/>
      </c>
      <c r="F699" t="str">
        <f>IF(DONNEES!$E699="","",DONNEES!G699)</f>
        <v/>
      </c>
      <c r="G699" t="str">
        <f>IF(DONNEES!$E699="","",DONNEES!H699)</f>
        <v/>
      </c>
      <c r="H699" t="str">
        <f>IF(DONNEES!$E699="","",DONNEES!I699)</f>
        <v/>
      </c>
      <c r="I699" t="str">
        <f>IF(DONNEES!$E699="","",DONNEES!J699)</f>
        <v/>
      </c>
      <c r="J699" t="str">
        <f>IF(DONNEES!$E699="","",DONNEES!K699)</f>
        <v/>
      </c>
      <c r="K699" t="str">
        <f>IF(DONNEES!$E699="","",DONNEES!L699)</f>
        <v/>
      </c>
      <c r="L699" t="str">
        <f>IF(DONNEES!$E699="","",DONNEES!M699)</f>
        <v/>
      </c>
      <c r="M699" t="str">
        <f>IF(DONNEES!$E699="","",DONNEES!N699)</f>
        <v/>
      </c>
      <c r="N699" t="str">
        <f>IF(DONNEES!$E699="","",DONNEES!O699)</f>
        <v/>
      </c>
      <c r="O699" t="str">
        <f>IF(DONNEES!$E699="","",DONNEES!P699)</f>
        <v/>
      </c>
      <c r="P699" t="str">
        <f>IF(DONNEES!$E699="","",DONNEES!Q699)</f>
        <v/>
      </c>
      <c r="Q699" t="str">
        <f>IF(DONNEES!$E699="","",DONNEES!R699)</f>
        <v/>
      </c>
      <c r="R699" t="str">
        <f>IF(DONNEES!$E699="","",DONNEES!S699)</f>
        <v/>
      </c>
      <c r="S699" t="str">
        <f>IF(DONNEES!$E699="","",DONNEES!T699)</f>
        <v/>
      </c>
      <c r="T699" t="str">
        <f>IF(DONNEES!$E699="","",DONNEES!U699)</f>
        <v/>
      </c>
      <c r="U699" t="str">
        <f>IF(DONNEES!$E699="","",DONNEES!V699)</f>
        <v/>
      </c>
      <c r="V699" t="str">
        <f>IF(DONNEES!$E699="","",DONNEES!W699)</f>
        <v/>
      </c>
      <c r="W699" t="str">
        <f>IF(DONNEES!$E699="","",DONNEES!X699)</f>
        <v/>
      </c>
      <c r="X699" t="str">
        <f>IF(DONNEES!$E699="","",DONNEES!Y699)</f>
        <v/>
      </c>
      <c r="Y699" t="str">
        <f>IF(DONNEES!$E699="","",DONNEES!Z699)</f>
        <v/>
      </c>
      <c r="Z699" t="str">
        <f>IF(DONNEES!$E699="","",DONNEES!AQ699)</f>
        <v/>
      </c>
    </row>
    <row r="700" spans="1:26" ht="15" customHeight="1" x14ac:dyDescent="0.3">
      <c r="A700" t="str">
        <f>IF(DONNEES!$E700="","",DONNEES!A700)</f>
        <v/>
      </c>
      <c r="B700" t="str">
        <f>IF(DONNEES!$E700="","",DONNEES!B700)</f>
        <v/>
      </c>
      <c r="C700" t="str">
        <f>IF(DONNEES!$E700="","",DONNEES!C700)</f>
        <v/>
      </c>
      <c r="D700" t="str">
        <f>IF(DONNEES!$E700="","",DONNEES!E700)</f>
        <v/>
      </c>
      <c r="E700" t="str">
        <f>IF(DONNEES!$E700="","",DONNEES!F700)</f>
        <v/>
      </c>
      <c r="F700" t="str">
        <f>IF(DONNEES!$E700="","",DONNEES!G700)</f>
        <v/>
      </c>
      <c r="G700" t="str">
        <f>IF(DONNEES!$E700="","",DONNEES!H700)</f>
        <v/>
      </c>
      <c r="H700" t="str">
        <f>IF(DONNEES!$E700="","",DONNEES!I700)</f>
        <v/>
      </c>
      <c r="I700" t="str">
        <f>IF(DONNEES!$E700="","",DONNEES!J700)</f>
        <v/>
      </c>
      <c r="J700" t="str">
        <f>IF(DONNEES!$E700="","",DONNEES!K700)</f>
        <v/>
      </c>
      <c r="K700" t="str">
        <f>IF(DONNEES!$E700="","",DONNEES!L700)</f>
        <v/>
      </c>
      <c r="L700" t="str">
        <f>IF(DONNEES!$E700="","",DONNEES!M700)</f>
        <v/>
      </c>
      <c r="M700" t="str">
        <f>IF(DONNEES!$E700="","",DONNEES!N700)</f>
        <v/>
      </c>
      <c r="N700" t="str">
        <f>IF(DONNEES!$E700="","",DONNEES!O700)</f>
        <v/>
      </c>
      <c r="O700" t="str">
        <f>IF(DONNEES!$E700="","",DONNEES!P700)</f>
        <v/>
      </c>
      <c r="P700" t="str">
        <f>IF(DONNEES!$E700="","",DONNEES!Q700)</f>
        <v/>
      </c>
      <c r="Q700" t="str">
        <f>IF(DONNEES!$E700="","",DONNEES!R700)</f>
        <v/>
      </c>
      <c r="R700" t="str">
        <f>IF(DONNEES!$E700="","",DONNEES!S700)</f>
        <v/>
      </c>
      <c r="S700" t="str">
        <f>IF(DONNEES!$E700="","",DONNEES!T700)</f>
        <v/>
      </c>
      <c r="T700" t="str">
        <f>IF(DONNEES!$E700="","",DONNEES!U700)</f>
        <v/>
      </c>
      <c r="U700" t="str">
        <f>IF(DONNEES!$E700="","",DONNEES!V700)</f>
        <v/>
      </c>
      <c r="V700" t="str">
        <f>IF(DONNEES!$E700="","",DONNEES!W700)</f>
        <v/>
      </c>
      <c r="W700" t="str">
        <f>IF(DONNEES!$E700="","",DONNEES!X700)</f>
        <v/>
      </c>
      <c r="X700" t="str">
        <f>IF(DONNEES!$E700="","",DONNEES!Y700)</f>
        <v/>
      </c>
      <c r="Y700" t="str">
        <f>IF(DONNEES!$E700="","",DONNEES!Z700)</f>
        <v/>
      </c>
      <c r="Z700" t="str">
        <f>IF(DONNEES!$E700="","",DONNEES!AQ700)</f>
        <v/>
      </c>
    </row>
    <row r="701" spans="1:26" ht="15" customHeight="1" x14ac:dyDescent="0.3">
      <c r="A701" t="str">
        <f>IF(DONNEES!$E701="","",DONNEES!A701)</f>
        <v/>
      </c>
      <c r="B701" t="str">
        <f>IF(DONNEES!$E701="","",DONNEES!B701)</f>
        <v/>
      </c>
      <c r="C701" t="str">
        <f>IF(DONNEES!$E701="","",DONNEES!C701)</f>
        <v/>
      </c>
      <c r="D701" t="str">
        <f>IF(DONNEES!$E701="","",DONNEES!E701)</f>
        <v/>
      </c>
      <c r="E701" t="str">
        <f>IF(DONNEES!$E701="","",DONNEES!F701)</f>
        <v/>
      </c>
      <c r="F701" t="str">
        <f>IF(DONNEES!$E701="","",DONNEES!G701)</f>
        <v/>
      </c>
      <c r="G701" t="str">
        <f>IF(DONNEES!$E701="","",DONNEES!H701)</f>
        <v/>
      </c>
      <c r="H701" t="str">
        <f>IF(DONNEES!$E701="","",DONNEES!I701)</f>
        <v/>
      </c>
      <c r="I701" t="str">
        <f>IF(DONNEES!$E701="","",DONNEES!J701)</f>
        <v/>
      </c>
      <c r="J701" t="str">
        <f>IF(DONNEES!$E701="","",DONNEES!K701)</f>
        <v/>
      </c>
      <c r="K701" t="str">
        <f>IF(DONNEES!$E701="","",DONNEES!L701)</f>
        <v/>
      </c>
      <c r="L701" t="str">
        <f>IF(DONNEES!$E701="","",DONNEES!M701)</f>
        <v/>
      </c>
      <c r="M701" t="str">
        <f>IF(DONNEES!$E701="","",DONNEES!N701)</f>
        <v/>
      </c>
      <c r="N701" t="str">
        <f>IF(DONNEES!$E701="","",DONNEES!O701)</f>
        <v/>
      </c>
      <c r="O701" t="str">
        <f>IF(DONNEES!$E701="","",DONNEES!P701)</f>
        <v/>
      </c>
      <c r="P701" t="str">
        <f>IF(DONNEES!$E701="","",DONNEES!Q701)</f>
        <v/>
      </c>
      <c r="Q701" t="str">
        <f>IF(DONNEES!$E701="","",DONNEES!R701)</f>
        <v/>
      </c>
      <c r="R701" t="str">
        <f>IF(DONNEES!$E701="","",DONNEES!S701)</f>
        <v/>
      </c>
      <c r="S701" t="str">
        <f>IF(DONNEES!$E701="","",DONNEES!T701)</f>
        <v/>
      </c>
      <c r="T701" t="str">
        <f>IF(DONNEES!$E701="","",DONNEES!U701)</f>
        <v/>
      </c>
      <c r="U701" t="str">
        <f>IF(DONNEES!$E701="","",DONNEES!V701)</f>
        <v/>
      </c>
      <c r="V701" t="str">
        <f>IF(DONNEES!$E701="","",DONNEES!W701)</f>
        <v/>
      </c>
      <c r="W701" t="str">
        <f>IF(DONNEES!$E701="","",DONNEES!X701)</f>
        <v/>
      </c>
      <c r="X701" t="str">
        <f>IF(DONNEES!$E701="","",DONNEES!Y701)</f>
        <v/>
      </c>
      <c r="Y701" t="str">
        <f>IF(DONNEES!$E701="","",DONNEES!Z701)</f>
        <v/>
      </c>
      <c r="Z701" t="str">
        <f>IF(DONNEES!$E701="","",DONNEES!AQ701)</f>
        <v/>
      </c>
    </row>
    <row r="702" spans="1:26" ht="15" customHeight="1" x14ac:dyDescent="0.3">
      <c r="A702" t="str">
        <f>IF(DONNEES!$E702="","",DONNEES!A702)</f>
        <v/>
      </c>
      <c r="B702" t="str">
        <f>IF(DONNEES!$E702="","",DONNEES!B702)</f>
        <v/>
      </c>
      <c r="C702" t="str">
        <f>IF(DONNEES!$E702="","",DONNEES!C702)</f>
        <v/>
      </c>
      <c r="D702" t="str">
        <f>IF(DONNEES!$E702="","",DONNEES!E702)</f>
        <v/>
      </c>
      <c r="E702" t="str">
        <f>IF(DONNEES!$E702="","",DONNEES!F702)</f>
        <v/>
      </c>
      <c r="F702" t="str">
        <f>IF(DONNEES!$E702="","",DONNEES!G702)</f>
        <v/>
      </c>
      <c r="G702" t="str">
        <f>IF(DONNEES!$E702="","",DONNEES!H702)</f>
        <v/>
      </c>
      <c r="H702" t="str">
        <f>IF(DONNEES!$E702="","",DONNEES!I702)</f>
        <v/>
      </c>
      <c r="I702" t="str">
        <f>IF(DONNEES!$E702="","",DONNEES!J702)</f>
        <v/>
      </c>
      <c r="J702" t="str">
        <f>IF(DONNEES!$E702="","",DONNEES!K702)</f>
        <v/>
      </c>
      <c r="K702" t="str">
        <f>IF(DONNEES!$E702="","",DONNEES!L702)</f>
        <v/>
      </c>
      <c r="L702" t="str">
        <f>IF(DONNEES!$E702="","",DONNEES!M702)</f>
        <v/>
      </c>
      <c r="M702" t="str">
        <f>IF(DONNEES!$E702="","",DONNEES!N702)</f>
        <v/>
      </c>
      <c r="N702" t="str">
        <f>IF(DONNEES!$E702="","",DONNEES!O702)</f>
        <v/>
      </c>
      <c r="O702" t="str">
        <f>IF(DONNEES!$E702="","",DONNEES!P702)</f>
        <v/>
      </c>
      <c r="P702" t="str">
        <f>IF(DONNEES!$E702="","",DONNEES!Q702)</f>
        <v/>
      </c>
      <c r="Q702" t="str">
        <f>IF(DONNEES!$E702="","",DONNEES!R702)</f>
        <v/>
      </c>
      <c r="R702" t="str">
        <f>IF(DONNEES!$E702="","",DONNEES!S702)</f>
        <v/>
      </c>
      <c r="S702" t="str">
        <f>IF(DONNEES!$E702="","",DONNEES!T702)</f>
        <v/>
      </c>
      <c r="T702" t="str">
        <f>IF(DONNEES!$E702="","",DONNEES!U702)</f>
        <v/>
      </c>
      <c r="U702" t="str">
        <f>IF(DONNEES!$E702="","",DONNEES!V702)</f>
        <v/>
      </c>
      <c r="V702" t="str">
        <f>IF(DONNEES!$E702="","",DONNEES!W702)</f>
        <v/>
      </c>
      <c r="W702" t="str">
        <f>IF(DONNEES!$E702="","",DONNEES!X702)</f>
        <v/>
      </c>
      <c r="X702" t="str">
        <f>IF(DONNEES!$E702="","",DONNEES!Y702)</f>
        <v/>
      </c>
      <c r="Y702" t="str">
        <f>IF(DONNEES!$E702="","",DONNEES!Z702)</f>
        <v/>
      </c>
      <c r="Z702" t="str">
        <f>IF(DONNEES!$E702="","",DONNEES!AQ702)</f>
        <v/>
      </c>
    </row>
    <row r="703" spans="1:26" ht="15" customHeight="1" x14ac:dyDescent="0.3">
      <c r="A703" t="str">
        <f>IF(DONNEES!$E703="","",DONNEES!A703)</f>
        <v/>
      </c>
      <c r="B703" t="str">
        <f>IF(DONNEES!$E703="","",DONNEES!B703)</f>
        <v/>
      </c>
      <c r="C703" t="str">
        <f>IF(DONNEES!$E703="","",DONNEES!C703)</f>
        <v/>
      </c>
      <c r="D703" t="str">
        <f>IF(DONNEES!$E703="","",DONNEES!E703)</f>
        <v/>
      </c>
      <c r="E703" t="str">
        <f>IF(DONNEES!$E703="","",DONNEES!F703)</f>
        <v/>
      </c>
      <c r="F703" t="str">
        <f>IF(DONNEES!$E703="","",DONNEES!G703)</f>
        <v/>
      </c>
      <c r="G703" t="str">
        <f>IF(DONNEES!$E703="","",DONNEES!H703)</f>
        <v/>
      </c>
      <c r="H703" t="str">
        <f>IF(DONNEES!$E703="","",DONNEES!I703)</f>
        <v/>
      </c>
      <c r="I703" t="str">
        <f>IF(DONNEES!$E703="","",DONNEES!J703)</f>
        <v/>
      </c>
      <c r="J703" t="str">
        <f>IF(DONNEES!$E703="","",DONNEES!K703)</f>
        <v/>
      </c>
      <c r="K703" t="str">
        <f>IF(DONNEES!$E703="","",DONNEES!L703)</f>
        <v/>
      </c>
      <c r="L703" t="str">
        <f>IF(DONNEES!$E703="","",DONNEES!M703)</f>
        <v/>
      </c>
      <c r="M703" t="str">
        <f>IF(DONNEES!$E703="","",DONNEES!N703)</f>
        <v/>
      </c>
      <c r="N703" t="str">
        <f>IF(DONNEES!$E703="","",DONNEES!O703)</f>
        <v/>
      </c>
      <c r="O703" t="str">
        <f>IF(DONNEES!$E703="","",DONNEES!P703)</f>
        <v/>
      </c>
      <c r="P703" t="str">
        <f>IF(DONNEES!$E703="","",DONNEES!Q703)</f>
        <v/>
      </c>
      <c r="Q703" t="str">
        <f>IF(DONNEES!$E703="","",DONNEES!R703)</f>
        <v/>
      </c>
      <c r="R703" t="str">
        <f>IF(DONNEES!$E703="","",DONNEES!S703)</f>
        <v/>
      </c>
      <c r="S703" t="str">
        <f>IF(DONNEES!$E703="","",DONNEES!T703)</f>
        <v/>
      </c>
      <c r="T703" t="str">
        <f>IF(DONNEES!$E703="","",DONNEES!U703)</f>
        <v/>
      </c>
      <c r="U703" t="str">
        <f>IF(DONNEES!$E703="","",DONNEES!V703)</f>
        <v/>
      </c>
      <c r="V703" t="str">
        <f>IF(DONNEES!$E703="","",DONNEES!W703)</f>
        <v/>
      </c>
      <c r="W703" t="str">
        <f>IF(DONNEES!$E703="","",DONNEES!X703)</f>
        <v/>
      </c>
      <c r="X703" t="str">
        <f>IF(DONNEES!$E703="","",DONNEES!Y703)</f>
        <v/>
      </c>
      <c r="Y703" t="str">
        <f>IF(DONNEES!$E703="","",DONNEES!Z703)</f>
        <v/>
      </c>
      <c r="Z703" t="str">
        <f>IF(DONNEES!$E703="","",DONNEES!AQ703)</f>
        <v/>
      </c>
    </row>
    <row r="704" spans="1:26" ht="15" customHeight="1" x14ac:dyDescent="0.3">
      <c r="A704" t="str">
        <f>IF(DONNEES!$E704="","",DONNEES!A704)</f>
        <v/>
      </c>
      <c r="B704" t="str">
        <f>IF(DONNEES!$E704="","",DONNEES!B704)</f>
        <v/>
      </c>
      <c r="C704" t="str">
        <f>IF(DONNEES!$E704="","",DONNEES!C704)</f>
        <v/>
      </c>
      <c r="D704" t="str">
        <f>IF(DONNEES!$E704="","",DONNEES!E704)</f>
        <v/>
      </c>
      <c r="E704" t="str">
        <f>IF(DONNEES!$E704="","",DONNEES!F704)</f>
        <v/>
      </c>
      <c r="F704" t="str">
        <f>IF(DONNEES!$E704="","",DONNEES!G704)</f>
        <v/>
      </c>
      <c r="G704" t="str">
        <f>IF(DONNEES!$E704="","",DONNEES!H704)</f>
        <v/>
      </c>
      <c r="H704" t="str">
        <f>IF(DONNEES!$E704="","",DONNEES!I704)</f>
        <v/>
      </c>
      <c r="I704" t="str">
        <f>IF(DONNEES!$E704="","",DONNEES!J704)</f>
        <v/>
      </c>
      <c r="J704" t="str">
        <f>IF(DONNEES!$E704="","",DONNEES!K704)</f>
        <v/>
      </c>
      <c r="K704" t="str">
        <f>IF(DONNEES!$E704="","",DONNEES!L704)</f>
        <v/>
      </c>
      <c r="L704" t="str">
        <f>IF(DONNEES!$E704="","",DONNEES!M704)</f>
        <v/>
      </c>
      <c r="M704" t="str">
        <f>IF(DONNEES!$E704="","",DONNEES!N704)</f>
        <v/>
      </c>
      <c r="N704" t="str">
        <f>IF(DONNEES!$E704="","",DONNEES!O704)</f>
        <v/>
      </c>
      <c r="O704" t="str">
        <f>IF(DONNEES!$E704="","",DONNEES!P704)</f>
        <v/>
      </c>
      <c r="P704" t="str">
        <f>IF(DONNEES!$E704="","",DONNEES!Q704)</f>
        <v/>
      </c>
      <c r="Q704" t="str">
        <f>IF(DONNEES!$E704="","",DONNEES!R704)</f>
        <v/>
      </c>
      <c r="R704" t="str">
        <f>IF(DONNEES!$E704="","",DONNEES!S704)</f>
        <v/>
      </c>
      <c r="S704" t="str">
        <f>IF(DONNEES!$E704="","",DONNEES!T704)</f>
        <v/>
      </c>
      <c r="T704" t="str">
        <f>IF(DONNEES!$E704="","",DONNEES!U704)</f>
        <v/>
      </c>
      <c r="U704" t="str">
        <f>IF(DONNEES!$E704="","",DONNEES!V704)</f>
        <v/>
      </c>
      <c r="V704" t="str">
        <f>IF(DONNEES!$E704="","",DONNEES!W704)</f>
        <v/>
      </c>
      <c r="W704" t="str">
        <f>IF(DONNEES!$E704="","",DONNEES!X704)</f>
        <v/>
      </c>
      <c r="X704" t="str">
        <f>IF(DONNEES!$E704="","",DONNEES!Y704)</f>
        <v/>
      </c>
      <c r="Y704" t="str">
        <f>IF(DONNEES!$E704="","",DONNEES!Z704)</f>
        <v/>
      </c>
      <c r="Z704" t="str">
        <f>IF(DONNEES!$E704="","",DONNEES!AQ704)</f>
        <v/>
      </c>
    </row>
    <row r="705" spans="1:26" ht="15" customHeight="1" x14ac:dyDescent="0.3">
      <c r="A705" t="str">
        <f>IF(DONNEES!$E705="","",DONNEES!A705)</f>
        <v/>
      </c>
      <c r="B705" t="str">
        <f>IF(DONNEES!$E705="","",DONNEES!B705)</f>
        <v/>
      </c>
      <c r="C705" t="str">
        <f>IF(DONNEES!$E705="","",DONNEES!C705)</f>
        <v/>
      </c>
      <c r="D705" t="str">
        <f>IF(DONNEES!$E705="","",DONNEES!E705)</f>
        <v/>
      </c>
      <c r="E705" t="str">
        <f>IF(DONNEES!$E705="","",DONNEES!F705)</f>
        <v/>
      </c>
      <c r="F705" t="str">
        <f>IF(DONNEES!$E705="","",DONNEES!G705)</f>
        <v/>
      </c>
      <c r="G705" t="str">
        <f>IF(DONNEES!$E705="","",DONNEES!H705)</f>
        <v/>
      </c>
      <c r="H705" t="str">
        <f>IF(DONNEES!$E705="","",DONNEES!I705)</f>
        <v/>
      </c>
      <c r="I705" t="str">
        <f>IF(DONNEES!$E705="","",DONNEES!J705)</f>
        <v/>
      </c>
      <c r="J705" t="str">
        <f>IF(DONNEES!$E705="","",DONNEES!K705)</f>
        <v/>
      </c>
      <c r="K705" t="str">
        <f>IF(DONNEES!$E705="","",DONNEES!L705)</f>
        <v/>
      </c>
      <c r="L705" t="str">
        <f>IF(DONNEES!$E705="","",DONNEES!M705)</f>
        <v/>
      </c>
      <c r="M705" t="str">
        <f>IF(DONNEES!$E705="","",DONNEES!N705)</f>
        <v/>
      </c>
      <c r="N705" t="str">
        <f>IF(DONNEES!$E705="","",DONNEES!O705)</f>
        <v/>
      </c>
      <c r="O705" t="str">
        <f>IF(DONNEES!$E705="","",DONNEES!P705)</f>
        <v/>
      </c>
      <c r="P705" t="str">
        <f>IF(DONNEES!$E705="","",DONNEES!Q705)</f>
        <v/>
      </c>
      <c r="Q705" t="str">
        <f>IF(DONNEES!$E705="","",DONNEES!R705)</f>
        <v/>
      </c>
      <c r="R705" t="str">
        <f>IF(DONNEES!$E705="","",DONNEES!S705)</f>
        <v/>
      </c>
      <c r="S705" t="str">
        <f>IF(DONNEES!$E705="","",DONNEES!T705)</f>
        <v/>
      </c>
      <c r="T705" t="str">
        <f>IF(DONNEES!$E705="","",DONNEES!U705)</f>
        <v/>
      </c>
      <c r="U705" t="str">
        <f>IF(DONNEES!$E705="","",DONNEES!V705)</f>
        <v/>
      </c>
      <c r="V705" t="str">
        <f>IF(DONNEES!$E705="","",DONNEES!W705)</f>
        <v/>
      </c>
      <c r="W705" t="str">
        <f>IF(DONNEES!$E705="","",DONNEES!X705)</f>
        <v/>
      </c>
      <c r="X705" t="str">
        <f>IF(DONNEES!$E705="","",DONNEES!Y705)</f>
        <v/>
      </c>
      <c r="Y705" t="str">
        <f>IF(DONNEES!$E705="","",DONNEES!Z705)</f>
        <v/>
      </c>
      <c r="Z705" t="str">
        <f>IF(DONNEES!$E705="","",DONNEES!AQ705)</f>
        <v/>
      </c>
    </row>
    <row r="706" spans="1:26" ht="15" customHeight="1" x14ac:dyDescent="0.3">
      <c r="A706" t="str">
        <f>IF(DONNEES!$E706="","",DONNEES!A706)</f>
        <v/>
      </c>
      <c r="B706" t="str">
        <f>IF(DONNEES!$E706="","",DONNEES!B706)</f>
        <v/>
      </c>
      <c r="C706" t="str">
        <f>IF(DONNEES!$E706="","",DONNEES!C706)</f>
        <v/>
      </c>
      <c r="D706" t="str">
        <f>IF(DONNEES!$E706="","",DONNEES!E706)</f>
        <v/>
      </c>
      <c r="E706" t="str">
        <f>IF(DONNEES!$E706="","",DONNEES!F706)</f>
        <v/>
      </c>
      <c r="F706" t="str">
        <f>IF(DONNEES!$E706="","",DONNEES!G706)</f>
        <v/>
      </c>
      <c r="G706" t="str">
        <f>IF(DONNEES!$E706="","",DONNEES!H706)</f>
        <v/>
      </c>
      <c r="H706" t="str">
        <f>IF(DONNEES!$E706="","",DONNEES!I706)</f>
        <v/>
      </c>
      <c r="I706" t="str">
        <f>IF(DONNEES!$E706="","",DONNEES!J706)</f>
        <v/>
      </c>
      <c r="J706" t="str">
        <f>IF(DONNEES!$E706="","",DONNEES!K706)</f>
        <v/>
      </c>
      <c r="K706" t="str">
        <f>IF(DONNEES!$E706="","",DONNEES!L706)</f>
        <v/>
      </c>
      <c r="L706" t="str">
        <f>IF(DONNEES!$E706="","",DONNEES!M706)</f>
        <v/>
      </c>
      <c r="M706" t="str">
        <f>IF(DONNEES!$E706="","",DONNEES!N706)</f>
        <v/>
      </c>
      <c r="N706" t="str">
        <f>IF(DONNEES!$E706="","",DONNEES!O706)</f>
        <v/>
      </c>
      <c r="O706" t="str">
        <f>IF(DONNEES!$E706="","",DONNEES!P706)</f>
        <v/>
      </c>
      <c r="P706" t="str">
        <f>IF(DONNEES!$E706="","",DONNEES!Q706)</f>
        <v/>
      </c>
      <c r="Q706" t="str">
        <f>IF(DONNEES!$E706="","",DONNEES!R706)</f>
        <v/>
      </c>
      <c r="R706" t="str">
        <f>IF(DONNEES!$E706="","",DONNEES!S706)</f>
        <v/>
      </c>
      <c r="S706" t="str">
        <f>IF(DONNEES!$E706="","",DONNEES!T706)</f>
        <v/>
      </c>
      <c r="T706" t="str">
        <f>IF(DONNEES!$E706="","",DONNEES!U706)</f>
        <v/>
      </c>
      <c r="U706" t="str">
        <f>IF(DONNEES!$E706="","",DONNEES!V706)</f>
        <v/>
      </c>
      <c r="V706" t="str">
        <f>IF(DONNEES!$E706="","",DONNEES!W706)</f>
        <v/>
      </c>
      <c r="W706" t="str">
        <f>IF(DONNEES!$E706="","",DONNEES!X706)</f>
        <v/>
      </c>
      <c r="X706" t="str">
        <f>IF(DONNEES!$E706="","",DONNEES!Y706)</f>
        <v/>
      </c>
      <c r="Y706" t="str">
        <f>IF(DONNEES!$E706="","",DONNEES!Z706)</f>
        <v/>
      </c>
      <c r="Z706" t="str">
        <f>IF(DONNEES!$E706="","",DONNEES!AQ706)</f>
        <v/>
      </c>
    </row>
    <row r="707" spans="1:26" ht="15" customHeight="1" x14ac:dyDescent="0.3">
      <c r="A707" t="str">
        <f>IF(DONNEES!$E707="","",DONNEES!A707)</f>
        <v/>
      </c>
      <c r="B707" t="str">
        <f>IF(DONNEES!$E707="","",DONNEES!B707)</f>
        <v/>
      </c>
      <c r="C707" t="str">
        <f>IF(DONNEES!$E707="","",DONNEES!C707)</f>
        <v/>
      </c>
      <c r="D707" t="str">
        <f>IF(DONNEES!$E707="","",DONNEES!E707)</f>
        <v/>
      </c>
      <c r="E707" t="str">
        <f>IF(DONNEES!$E707="","",DONNEES!F707)</f>
        <v/>
      </c>
      <c r="F707" t="str">
        <f>IF(DONNEES!$E707="","",DONNEES!G707)</f>
        <v/>
      </c>
      <c r="G707" t="str">
        <f>IF(DONNEES!$E707="","",DONNEES!H707)</f>
        <v/>
      </c>
      <c r="H707" t="str">
        <f>IF(DONNEES!$E707="","",DONNEES!I707)</f>
        <v/>
      </c>
      <c r="I707" t="str">
        <f>IF(DONNEES!$E707="","",DONNEES!J707)</f>
        <v/>
      </c>
      <c r="J707" t="str">
        <f>IF(DONNEES!$E707="","",DONNEES!K707)</f>
        <v/>
      </c>
      <c r="K707" t="str">
        <f>IF(DONNEES!$E707="","",DONNEES!L707)</f>
        <v/>
      </c>
      <c r="L707" t="str">
        <f>IF(DONNEES!$E707="","",DONNEES!M707)</f>
        <v/>
      </c>
      <c r="M707" t="str">
        <f>IF(DONNEES!$E707="","",DONNEES!N707)</f>
        <v/>
      </c>
      <c r="N707" t="str">
        <f>IF(DONNEES!$E707="","",DONNEES!O707)</f>
        <v/>
      </c>
      <c r="O707" t="str">
        <f>IF(DONNEES!$E707="","",DONNEES!P707)</f>
        <v/>
      </c>
      <c r="P707" t="str">
        <f>IF(DONNEES!$E707="","",DONNEES!Q707)</f>
        <v/>
      </c>
      <c r="Q707" t="str">
        <f>IF(DONNEES!$E707="","",DONNEES!R707)</f>
        <v/>
      </c>
      <c r="R707" t="str">
        <f>IF(DONNEES!$E707="","",DONNEES!S707)</f>
        <v/>
      </c>
      <c r="S707" t="str">
        <f>IF(DONNEES!$E707="","",DONNEES!T707)</f>
        <v/>
      </c>
      <c r="T707" t="str">
        <f>IF(DONNEES!$E707="","",DONNEES!U707)</f>
        <v/>
      </c>
      <c r="U707" t="str">
        <f>IF(DONNEES!$E707="","",DONNEES!V707)</f>
        <v/>
      </c>
      <c r="V707" t="str">
        <f>IF(DONNEES!$E707="","",DONNEES!W707)</f>
        <v/>
      </c>
      <c r="W707" t="str">
        <f>IF(DONNEES!$E707="","",DONNEES!X707)</f>
        <v/>
      </c>
      <c r="X707" t="str">
        <f>IF(DONNEES!$E707="","",DONNEES!Y707)</f>
        <v/>
      </c>
      <c r="Y707" t="str">
        <f>IF(DONNEES!$E707="","",DONNEES!Z707)</f>
        <v/>
      </c>
      <c r="Z707" t="str">
        <f>IF(DONNEES!$E707="","",DONNEES!AQ707)</f>
        <v/>
      </c>
    </row>
    <row r="708" spans="1:26" ht="15" customHeight="1" x14ac:dyDescent="0.3">
      <c r="A708" t="str">
        <f>IF(DONNEES!$E708="","",DONNEES!A708)</f>
        <v/>
      </c>
      <c r="B708" t="str">
        <f>IF(DONNEES!$E708="","",DONNEES!B708)</f>
        <v/>
      </c>
      <c r="C708" t="str">
        <f>IF(DONNEES!$E708="","",DONNEES!C708)</f>
        <v/>
      </c>
      <c r="D708" t="str">
        <f>IF(DONNEES!$E708="","",DONNEES!E708)</f>
        <v/>
      </c>
      <c r="E708" t="str">
        <f>IF(DONNEES!$E708="","",DONNEES!F708)</f>
        <v/>
      </c>
      <c r="F708" t="str">
        <f>IF(DONNEES!$E708="","",DONNEES!G708)</f>
        <v/>
      </c>
      <c r="G708" t="str">
        <f>IF(DONNEES!$E708="","",DONNEES!H708)</f>
        <v/>
      </c>
      <c r="H708" t="str">
        <f>IF(DONNEES!$E708="","",DONNEES!I708)</f>
        <v/>
      </c>
      <c r="I708" t="str">
        <f>IF(DONNEES!$E708="","",DONNEES!J708)</f>
        <v/>
      </c>
      <c r="J708" t="str">
        <f>IF(DONNEES!$E708="","",DONNEES!K708)</f>
        <v/>
      </c>
      <c r="K708" t="str">
        <f>IF(DONNEES!$E708="","",DONNEES!L708)</f>
        <v/>
      </c>
      <c r="L708" t="str">
        <f>IF(DONNEES!$E708="","",DONNEES!M708)</f>
        <v/>
      </c>
      <c r="M708" t="str">
        <f>IF(DONNEES!$E708="","",DONNEES!N708)</f>
        <v/>
      </c>
      <c r="N708" t="str">
        <f>IF(DONNEES!$E708="","",DONNEES!O708)</f>
        <v/>
      </c>
      <c r="O708" t="str">
        <f>IF(DONNEES!$E708="","",DONNEES!P708)</f>
        <v/>
      </c>
      <c r="P708" t="str">
        <f>IF(DONNEES!$E708="","",DONNEES!Q708)</f>
        <v/>
      </c>
      <c r="Q708" t="str">
        <f>IF(DONNEES!$E708="","",DONNEES!R708)</f>
        <v/>
      </c>
      <c r="R708" t="str">
        <f>IF(DONNEES!$E708="","",DONNEES!S708)</f>
        <v/>
      </c>
      <c r="S708" t="str">
        <f>IF(DONNEES!$E708="","",DONNEES!T708)</f>
        <v/>
      </c>
      <c r="T708" t="str">
        <f>IF(DONNEES!$E708="","",DONNEES!U708)</f>
        <v/>
      </c>
      <c r="U708" t="str">
        <f>IF(DONNEES!$E708="","",DONNEES!V708)</f>
        <v/>
      </c>
      <c r="V708" t="str">
        <f>IF(DONNEES!$E708="","",DONNEES!W708)</f>
        <v/>
      </c>
      <c r="W708" t="str">
        <f>IF(DONNEES!$E708="","",DONNEES!X708)</f>
        <v/>
      </c>
      <c r="X708" t="str">
        <f>IF(DONNEES!$E708="","",DONNEES!Y708)</f>
        <v/>
      </c>
      <c r="Y708" t="str">
        <f>IF(DONNEES!$E708="","",DONNEES!Z708)</f>
        <v/>
      </c>
      <c r="Z708" t="str">
        <f>IF(DONNEES!$E708="","",DONNEES!AQ708)</f>
        <v/>
      </c>
    </row>
    <row r="709" spans="1:26" ht="15" customHeight="1" x14ac:dyDescent="0.3">
      <c r="A709" t="str">
        <f>IF(DONNEES!$E709="","",DONNEES!A709)</f>
        <v/>
      </c>
      <c r="B709" t="str">
        <f>IF(DONNEES!$E709="","",DONNEES!B709)</f>
        <v/>
      </c>
      <c r="C709" t="str">
        <f>IF(DONNEES!$E709="","",DONNEES!C709)</f>
        <v/>
      </c>
      <c r="D709" t="str">
        <f>IF(DONNEES!$E709="","",DONNEES!E709)</f>
        <v/>
      </c>
      <c r="E709" t="str">
        <f>IF(DONNEES!$E709="","",DONNEES!F709)</f>
        <v/>
      </c>
      <c r="F709" t="str">
        <f>IF(DONNEES!$E709="","",DONNEES!G709)</f>
        <v/>
      </c>
      <c r="G709" t="str">
        <f>IF(DONNEES!$E709="","",DONNEES!H709)</f>
        <v/>
      </c>
      <c r="H709" t="str">
        <f>IF(DONNEES!$E709="","",DONNEES!I709)</f>
        <v/>
      </c>
      <c r="I709" t="str">
        <f>IF(DONNEES!$E709="","",DONNEES!J709)</f>
        <v/>
      </c>
      <c r="J709" t="str">
        <f>IF(DONNEES!$E709="","",DONNEES!K709)</f>
        <v/>
      </c>
      <c r="K709" t="str">
        <f>IF(DONNEES!$E709="","",DONNEES!L709)</f>
        <v/>
      </c>
      <c r="L709" t="str">
        <f>IF(DONNEES!$E709="","",DONNEES!M709)</f>
        <v/>
      </c>
      <c r="M709" t="str">
        <f>IF(DONNEES!$E709="","",DONNEES!N709)</f>
        <v/>
      </c>
      <c r="N709" t="str">
        <f>IF(DONNEES!$E709="","",DONNEES!O709)</f>
        <v/>
      </c>
      <c r="O709" t="str">
        <f>IF(DONNEES!$E709="","",DONNEES!P709)</f>
        <v/>
      </c>
      <c r="P709" t="str">
        <f>IF(DONNEES!$E709="","",DONNEES!Q709)</f>
        <v/>
      </c>
      <c r="Q709" t="str">
        <f>IF(DONNEES!$E709="","",DONNEES!R709)</f>
        <v/>
      </c>
      <c r="R709" t="str">
        <f>IF(DONNEES!$E709="","",DONNEES!S709)</f>
        <v/>
      </c>
      <c r="S709" t="str">
        <f>IF(DONNEES!$E709="","",DONNEES!T709)</f>
        <v/>
      </c>
      <c r="T709" t="str">
        <f>IF(DONNEES!$E709="","",DONNEES!U709)</f>
        <v/>
      </c>
      <c r="U709" t="str">
        <f>IF(DONNEES!$E709="","",DONNEES!V709)</f>
        <v/>
      </c>
      <c r="V709" t="str">
        <f>IF(DONNEES!$E709="","",DONNEES!W709)</f>
        <v/>
      </c>
      <c r="W709" t="str">
        <f>IF(DONNEES!$E709="","",DONNEES!X709)</f>
        <v/>
      </c>
      <c r="X709" t="str">
        <f>IF(DONNEES!$E709="","",DONNEES!Y709)</f>
        <v/>
      </c>
      <c r="Y709" t="str">
        <f>IF(DONNEES!$E709="","",DONNEES!Z709)</f>
        <v/>
      </c>
      <c r="Z709" t="str">
        <f>IF(DONNEES!$E709="","",DONNEES!AQ709)</f>
        <v/>
      </c>
    </row>
    <row r="710" spans="1:26" ht="15" customHeight="1" x14ac:dyDescent="0.3">
      <c r="A710" t="str">
        <f>IF(DONNEES!$E710="","",DONNEES!A710)</f>
        <v/>
      </c>
      <c r="B710" t="str">
        <f>IF(DONNEES!$E710="","",DONNEES!B710)</f>
        <v/>
      </c>
      <c r="C710" t="str">
        <f>IF(DONNEES!$E710="","",DONNEES!C710)</f>
        <v/>
      </c>
      <c r="D710" t="str">
        <f>IF(DONNEES!$E710="","",DONNEES!E710)</f>
        <v/>
      </c>
      <c r="E710" t="str">
        <f>IF(DONNEES!$E710="","",DONNEES!F710)</f>
        <v/>
      </c>
      <c r="F710" t="str">
        <f>IF(DONNEES!$E710="","",DONNEES!G710)</f>
        <v/>
      </c>
      <c r="G710" t="str">
        <f>IF(DONNEES!$E710="","",DONNEES!H710)</f>
        <v/>
      </c>
      <c r="H710" t="str">
        <f>IF(DONNEES!$E710="","",DONNEES!I710)</f>
        <v/>
      </c>
      <c r="I710" t="str">
        <f>IF(DONNEES!$E710="","",DONNEES!J710)</f>
        <v/>
      </c>
      <c r="J710" t="str">
        <f>IF(DONNEES!$E710="","",DONNEES!K710)</f>
        <v/>
      </c>
      <c r="K710" t="str">
        <f>IF(DONNEES!$E710="","",DONNEES!L710)</f>
        <v/>
      </c>
      <c r="L710" t="str">
        <f>IF(DONNEES!$E710="","",DONNEES!M710)</f>
        <v/>
      </c>
      <c r="M710" t="str">
        <f>IF(DONNEES!$E710="","",DONNEES!N710)</f>
        <v/>
      </c>
      <c r="N710" t="str">
        <f>IF(DONNEES!$E710="","",DONNEES!O710)</f>
        <v/>
      </c>
      <c r="O710" t="str">
        <f>IF(DONNEES!$E710="","",DONNEES!P710)</f>
        <v/>
      </c>
      <c r="P710" t="str">
        <f>IF(DONNEES!$E710="","",DONNEES!Q710)</f>
        <v/>
      </c>
      <c r="Q710" t="str">
        <f>IF(DONNEES!$E710="","",DONNEES!R710)</f>
        <v/>
      </c>
      <c r="R710" t="str">
        <f>IF(DONNEES!$E710="","",DONNEES!S710)</f>
        <v/>
      </c>
      <c r="S710" t="str">
        <f>IF(DONNEES!$E710="","",DONNEES!T710)</f>
        <v/>
      </c>
      <c r="T710" t="str">
        <f>IF(DONNEES!$E710="","",DONNEES!U710)</f>
        <v/>
      </c>
      <c r="U710" t="str">
        <f>IF(DONNEES!$E710="","",DONNEES!V710)</f>
        <v/>
      </c>
      <c r="V710" t="str">
        <f>IF(DONNEES!$E710="","",DONNEES!W710)</f>
        <v/>
      </c>
      <c r="W710" t="str">
        <f>IF(DONNEES!$E710="","",DONNEES!X710)</f>
        <v/>
      </c>
      <c r="X710" t="str">
        <f>IF(DONNEES!$E710="","",DONNEES!Y710)</f>
        <v/>
      </c>
      <c r="Y710" t="str">
        <f>IF(DONNEES!$E710="","",DONNEES!Z710)</f>
        <v/>
      </c>
      <c r="Z710" t="str">
        <f>IF(DONNEES!$E710="","",DONNEES!AQ710)</f>
        <v/>
      </c>
    </row>
    <row r="711" spans="1:26" ht="15" customHeight="1" x14ac:dyDescent="0.3">
      <c r="A711" t="str">
        <f>IF(DONNEES!$E711="","",DONNEES!A711)</f>
        <v/>
      </c>
      <c r="B711" t="str">
        <f>IF(DONNEES!$E711="","",DONNEES!B711)</f>
        <v/>
      </c>
      <c r="C711" t="str">
        <f>IF(DONNEES!$E711="","",DONNEES!C711)</f>
        <v/>
      </c>
      <c r="D711" t="str">
        <f>IF(DONNEES!$E711="","",DONNEES!E711)</f>
        <v/>
      </c>
      <c r="E711" t="str">
        <f>IF(DONNEES!$E711="","",DONNEES!F711)</f>
        <v/>
      </c>
      <c r="F711" t="str">
        <f>IF(DONNEES!$E711="","",DONNEES!G711)</f>
        <v/>
      </c>
      <c r="G711" t="str">
        <f>IF(DONNEES!$E711="","",DONNEES!H711)</f>
        <v/>
      </c>
      <c r="H711" t="str">
        <f>IF(DONNEES!$E711="","",DONNEES!I711)</f>
        <v/>
      </c>
      <c r="I711" t="str">
        <f>IF(DONNEES!$E711="","",DONNEES!J711)</f>
        <v/>
      </c>
      <c r="J711" t="str">
        <f>IF(DONNEES!$E711="","",DONNEES!K711)</f>
        <v/>
      </c>
      <c r="K711" t="str">
        <f>IF(DONNEES!$E711="","",DONNEES!L711)</f>
        <v/>
      </c>
      <c r="L711" t="str">
        <f>IF(DONNEES!$E711="","",DONNEES!M711)</f>
        <v/>
      </c>
      <c r="M711" t="str">
        <f>IF(DONNEES!$E711="","",DONNEES!N711)</f>
        <v/>
      </c>
      <c r="N711" t="str">
        <f>IF(DONNEES!$E711="","",DONNEES!O711)</f>
        <v/>
      </c>
      <c r="O711" t="str">
        <f>IF(DONNEES!$E711="","",DONNEES!P711)</f>
        <v/>
      </c>
      <c r="P711" t="str">
        <f>IF(DONNEES!$E711="","",DONNEES!Q711)</f>
        <v/>
      </c>
      <c r="Q711" t="str">
        <f>IF(DONNEES!$E711="","",DONNEES!R711)</f>
        <v/>
      </c>
      <c r="R711" t="str">
        <f>IF(DONNEES!$E711="","",DONNEES!S711)</f>
        <v/>
      </c>
      <c r="S711" t="str">
        <f>IF(DONNEES!$E711="","",DONNEES!T711)</f>
        <v/>
      </c>
      <c r="T711" t="str">
        <f>IF(DONNEES!$E711="","",DONNEES!U711)</f>
        <v/>
      </c>
      <c r="U711" t="str">
        <f>IF(DONNEES!$E711="","",DONNEES!V711)</f>
        <v/>
      </c>
      <c r="V711" t="str">
        <f>IF(DONNEES!$E711="","",DONNEES!W711)</f>
        <v/>
      </c>
      <c r="W711" t="str">
        <f>IF(DONNEES!$E711="","",DONNEES!X711)</f>
        <v/>
      </c>
      <c r="X711" t="str">
        <f>IF(DONNEES!$E711="","",DONNEES!Y711)</f>
        <v/>
      </c>
      <c r="Y711" t="str">
        <f>IF(DONNEES!$E711="","",DONNEES!Z711)</f>
        <v/>
      </c>
      <c r="Z711" t="str">
        <f>IF(DONNEES!$E711="","",DONNEES!AQ711)</f>
        <v/>
      </c>
    </row>
    <row r="712" spans="1:26" ht="15" customHeight="1" x14ac:dyDescent="0.3">
      <c r="A712" t="str">
        <f>IF(DONNEES!$E712="","",DONNEES!A712)</f>
        <v/>
      </c>
      <c r="B712" t="str">
        <f>IF(DONNEES!$E712="","",DONNEES!B712)</f>
        <v/>
      </c>
      <c r="C712" t="str">
        <f>IF(DONNEES!$E712="","",DONNEES!C712)</f>
        <v/>
      </c>
      <c r="D712" t="str">
        <f>IF(DONNEES!$E712="","",DONNEES!E712)</f>
        <v/>
      </c>
      <c r="E712" t="str">
        <f>IF(DONNEES!$E712="","",DONNEES!F712)</f>
        <v/>
      </c>
      <c r="F712" t="str">
        <f>IF(DONNEES!$E712="","",DONNEES!G712)</f>
        <v/>
      </c>
      <c r="G712" t="str">
        <f>IF(DONNEES!$E712="","",DONNEES!H712)</f>
        <v/>
      </c>
      <c r="H712" t="str">
        <f>IF(DONNEES!$E712="","",DONNEES!I712)</f>
        <v/>
      </c>
      <c r="I712" t="str">
        <f>IF(DONNEES!$E712="","",DONNEES!J712)</f>
        <v/>
      </c>
      <c r="J712" t="str">
        <f>IF(DONNEES!$E712="","",DONNEES!K712)</f>
        <v/>
      </c>
      <c r="K712" t="str">
        <f>IF(DONNEES!$E712="","",DONNEES!L712)</f>
        <v/>
      </c>
      <c r="L712" t="str">
        <f>IF(DONNEES!$E712="","",DONNEES!M712)</f>
        <v/>
      </c>
      <c r="M712" t="str">
        <f>IF(DONNEES!$E712="","",DONNEES!N712)</f>
        <v/>
      </c>
      <c r="N712" t="str">
        <f>IF(DONNEES!$E712="","",DONNEES!O712)</f>
        <v/>
      </c>
      <c r="O712" t="str">
        <f>IF(DONNEES!$E712="","",DONNEES!P712)</f>
        <v/>
      </c>
      <c r="P712" t="str">
        <f>IF(DONNEES!$E712="","",DONNEES!Q712)</f>
        <v/>
      </c>
      <c r="Q712" t="str">
        <f>IF(DONNEES!$E712="","",DONNEES!R712)</f>
        <v/>
      </c>
      <c r="R712" t="str">
        <f>IF(DONNEES!$E712="","",DONNEES!S712)</f>
        <v/>
      </c>
      <c r="S712" t="str">
        <f>IF(DONNEES!$E712="","",DONNEES!T712)</f>
        <v/>
      </c>
      <c r="T712" t="str">
        <f>IF(DONNEES!$E712="","",DONNEES!U712)</f>
        <v/>
      </c>
      <c r="U712" t="str">
        <f>IF(DONNEES!$E712="","",DONNEES!V712)</f>
        <v/>
      </c>
      <c r="V712" t="str">
        <f>IF(DONNEES!$E712="","",DONNEES!W712)</f>
        <v/>
      </c>
      <c r="W712" t="str">
        <f>IF(DONNEES!$E712="","",DONNEES!X712)</f>
        <v/>
      </c>
      <c r="X712" t="str">
        <f>IF(DONNEES!$E712="","",DONNEES!Y712)</f>
        <v/>
      </c>
      <c r="Y712" t="str">
        <f>IF(DONNEES!$E712="","",DONNEES!Z712)</f>
        <v/>
      </c>
      <c r="Z712" t="str">
        <f>IF(DONNEES!$E712="","",DONNEES!AQ712)</f>
        <v/>
      </c>
    </row>
    <row r="713" spans="1:26" ht="15" customHeight="1" x14ac:dyDescent="0.3">
      <c r="A713" t="str">
        <f>IF(DONNEES!$E713="","",DONNEES!A713)</f>
        <v/>
      </c>
      <c r="B713" t="str">
        <f>IF(DONNEES!$E713="","",DONNEES!B713)</f>
        <v/>
      </c>
      <c r="C713" t="str">
        <f>IF(DONNEES!$E713="","",DONNEES!C713)</f>
        <v/>
      </c>
      <c r="D713" t="str">
        <f>IF(DONNEES!$E713="","",DONNEES!E713)</f>
        <v/>
      </c>
      <c r="E713" t="str">
        <f>IF(DONNEES!$E713="","",DONNEES!F713)</f>
        <v/>
      </c>
      <c r="F713" t="str">
        <f>IF(DONNEES!$E713="","",DONNEES!G713)</f>
        <v/>
      </c>
      <c r="G713" t="str">
        <f>IF(DONNEES!$E713="","",DONNEES!H713)</f>
        <v/>
      </c>
      <c r="H713" t="str">
        <f>IF(DONNEES!$E713="","",DONNEES!I713)</f>
        <v/>
      </c>
      <c r="I713" t="str">
        <f>IF(DONNEES!$E713="","",DONNEES!J713)</f>
        <v/>
      </c>
      <c r="J713" t="str">
        <f>IF(DONNEES!$E713="","",DONNEES!K713)</f>
        <v/>
      </c>
      <c r="K713" t="str">
        <f>IF(DONNEES!$E713="","",DONNEES!L713)</f>
        <v/>
      </c>
      <c r="L713" t="str">
        <f>IF(DONNEES!$E713="","",DONNEES!M713)</f>
        <v/>
      </c>
      <c r="M713" t="str">
        <f>IF(DONNEES!$E713="","",DONNEES!N713)</f>
        <v/>
      </c>
      <c r="N713" t="str">
        <f>IF(DONNEES!$E713="","",DONNEES!O713)</f>
        <v/>
      </c>
      <c r="O713" t="str">
        <f>IF(DONNEES!$E713="","",DONNEES!P713)</f>
        <v/>
      </c>
      <c r="P713" t="str">
        <f>IF(DONNEES!$E713="","",DONNEES!Q713)</f>
        <v/>
      </c>
      <c r="Q713" t="str">
        <f>IF(DONNEES!$E713="","",DONNEES!R713)</f>
        <v/>
      </c>
      <c r="R713" t="str">
        <f>IF(DONNEES!$E713="","",DONNEES!S713)</f>
        <v/>
      </c>
      <c r="S713" t="str">
        <f>IF(DONNEES!$E713="","",DONNEES!T713)</f>
        <v/>
      </c>
      <c r="T713" t="str">
        <f>IF(DONNEES!$E713="","",DONNEES!U713)</f>
        <v/>
      </c>
      <c r="U713" t="str">
        <f>IF(DONNEES!$E713="","",DONNEES!V713)</f>
        <v/>
      </c>
      <c r="V713" t="str">
        <f>IF(DONNEES!$E713="","",DONNEES!W713)</f>
        <v/>
      </c>
      <c r="W713" t="str">
        <f>IF(DONNEES!$E713="","",DONNEES!X713)</f>
        <v/>
      </c>
      <c r="X713" t="str">
        <f>IF(DONNEES!$E713="","",DONNEES!Y713)</f>
        <v/>
      </c>
      <c r="Y713" t="str">
        <f>IF(DONNEES!$E713="","",DONNEES!Z713)</f>
        <v/>
      </c>
      <c r="Z713" t="str">
        <f>IF(DONNEES!$E713="","",DONNEES!AQ713)</f>
        <v/>
      </c>
    </row>
    <row r="714" spans="1:26" ht="15" customHeight="1" x14ac:dyDescent="0.3">
      <c r="A714" t="str">
        <f>IF(DONNEES!$E714="","",DONNEES!A714)</f>
        <v/>
      </c>
      <c r="B714" t="str">
        <f>IF(DONNEES!$E714="","",DONNEES!B714)</f>
        <v/>
      </c>
      <c r="C714" t="str">
        <f>IF(DONNEES!$E714="","",DONNEES!C714)</f>
        <v/>
      </c>
      <c r="D714" t="str">
        <f>IF(DONNEES!$E714="","",DONNEES!E714)</f>
        <v/>
      </c>
      <c r="E714" t="str">
        <f>IF(DONNEES!$E714="","",DONNEES!F714)</f>
        <v/>
      </c>
      <c r="F714" t="str">
        <f>IF(DONNEES!$E714="","",DONNEES!G714)</f>
        <v/>
      </c>
      <c r="G714" t="str">
        <f>IF(DONNEES!$E714="","",DONNEES!H714)</f>
        <v/>
      </c>
      <c r="H714" t="str">
        <f>IF(DONNEES!$E714="","",DONNEES!I714)</f>
        <v/>
      </c>
      <c r="I714" t="str">
        <f>IF(DONNEES!$E714="","",DONNEES!J714)</f>
        <v/>
      </c>
      <c r="J714" t="str">
        <f>IF(DONNEES!$E714="","",DONNEES!K714)</f>
        <v/>
      </c>
      <c r="K714" t="str">
        <f>IF(DONNEES!$E714="","",DONNEES!L714)</f>
        <v/>
      </c>
      <c r="L714" t="str">
        <f>IF(DONNEES!$E714="","",DONNEES!M714)</f>
        <v/>
      </c>
      <c r="M714" t="str">
        <f>IF(DONNEES!$E714="","",DONNEES!N714)</f>
        <v/>
      </c>
      <c r="N714" t="str">
        <f>IF(DONNEES!$E714="","",DONNEES!O714)</f>
        <v/>
      </c>
      <c r="O714" t="str">
        <f>IF(DONNEES!$E714="","",DONNEES!P714)</f>
        <v/>
      </c>
      <c r="P714" t="str">
        <f>IF(DONNEES!$E714="","",DONNEES!Q714)</f>
        <v/>
      </c>
      <c r="Q714" t="str">
        <f>IF(DONNEES!$E714="","",DONNEES!R714)</f>
        <v/>
      </c>
      <c r="R714" t="str">
        <f>IF(DONNEES!$E714="","",DONNEES!S714)</f>
        <v/>
      </c>
      <c r="S714" t="str">
        <f>IF(DONNEES!$E714="","",DONNEES!T714)</f>
        <v/>
      </c>
      <c r="T714" t="str">
        <f>IF(DONNEES!$E714="","",DONNEES!U714)</f>
        <v/>
      </c>
      <c r="U714" t="str">
        <f>IF(DONNEES!$E714="","",DONNEES!V714)</f>
        <v/>
      </c>
      <c r="V714" t="str">
        <f>IF(DONNEES!$E714="","",DONNEES!W714)</f>
        <v/>
      </c>
      <c r="W714" t="str">
        <f>IF(DONNEES!$E714="","",DONNEES!X714)</f>
        <v/>
      </c>
      <c r="X714" t="str">
        <f>IF(DONNEES!$E714="","",DONNEES!Y714)</f>
        <v/>
      </c>
      <c r="Y714" t="str">
        <f>IF(DONNEES!$E714="","",DONNEES!Z714)</f>
        <v/>
      </c>
      <c r="Z714" t="str">
        <f>IF(DONNEES!$E714="","",DONNEES!AQ714)</f>
        <v/>
      </c>
    </row>
    <row r="715" spans="1:26" ht="15" customHeight="1" x14ac:dyDescent="0.3">
      <c r="A715" t="str">
        <f>IF(DONNEES!$E715="","",DONNEES!A715)</f>
        <v/>
      </c>
      <c r="B715" t="str">
        <f>IF(DONNEES!$E715="","",DONNEES!B715)</f>
        <v/>
      </c>
      <c r="C715" t="str">
        <f>IF(DONNEES!$E715="","",DONNEES!C715)</f>
        <v/>
      </c>
      <c r="D715" t="str">
        <f>IF(DONNEES!$E715="","",DONNEES!E715)</f>
        <v/>
      </c>
      <c r="E715" t="str">
        <f>IF(DONNEES!$E715="","",DONNEES!F715)</f>
        <v/>
      </c>
      <c r="F715" t="str">
        <f>IF(DONNEES!$E715="","",DONNEES!G715)</f>
        <v/>
      </c>
      <c r="G715" t="str">
        <f>IF(DONNEES!$E715="","",DONNEES!H715)</f>
        <v/>
      </c>
      <c r="H715" t="str">
        <f>IF(DONNEES!$E715="","",DONNEES!I715)</f>
        <v/>
      </c>
      <c r="I715" t="str">
        <f>IF(DONNEES!$E715="","",DONNEES!J715)</f>
        <v/>
      </c>
      <c r="J715" t="str">
        <f>IF(DONNEES!$E715="","",DONNEES!K715)</f>
        <v/>
      </c>
      <c r="K715" t="str">
        <f>IF(DONNEES!$E715="","",DONNEES!L715)</f>
        <v/>
      </c>
      <c r="L715" t="str">
        <f>IF(DONNEES!$E715="","",DONNEES!M715)</f>
        <v/>
      </c>
      <c r="M715" t="str">
        <f>IF(DONNEES!$E715="","",DONNEES!N715)</f>
        <v/>
      </c>
      <c r="N715" t="str">
        <f>IF(DONNEES!$E715="","",DONNEES!O715)</f>
        <v/>
      </c>
      <c r="O715" t="str">
        <f>IF(DONNEES!$E715="","",DONNEES!P715)</f>
        <v/>
      </c>
      <c r="P715" t="str">
        <f>IF(DONNEES!$E715="","",DONNEES!Q715)</f>
        <v/>
      </c>
      <c r="Q715" t="str">
        <f>IF(DONNEES!$E715="","",DONNEES!R715)</f>
        <v/>
      </c>
      <c r="R715" t="str">
        <f>IF(DONNEES!$E715="","",DONNEES!S715)</f>
        <v/>
      </c>
      <c r="S715" t="str">
        <f>IF(DONNEES!$E715="","",DONNEES!T715)</f>
        <v/>
      </c>
      <c r="T715" t="str">
        <f>IF(DONNEES!$E715="","",DONNEES!U715)</f>
        <v/>
      </c>
      <c r="U715" t="str">
        <f>IF(DONNEES!$E715="","",DONNEES!V715)</f>
        <v/>
      </c>
      <c r="V715" t="str">
        <f>IF(DONNEES!$E715="","",DONNEES!W715)</f>
        <v/>
      </c>
      <c r="W715" t="str">
        <f>IF(DONNEES!$E715="","",DONNEES!X715)</f>
        <v/>
      </c>
      <c r="X715" t="str">
        <f>IF(DONNEES!$E715="","",DONNEES!Y715)</f>
        <v/>
      </c>
      <c r="Y715" t="str">
        <f>IF(DONNEES!$E715="","",DONNEES!Z715)</f>
        <v/>
      </c>
      <c r="Z715" t="str">
        <f>IF(DONNEES!$E715="","",DONNEES!AQ715)</f>
        <v/>
      </c>
    </row>
    <row r="716" spans="1:26" ht="15" customHeight="1" x14ac:dyDescent="0.3">
      <c r="A716" t="str">
        <f>IF(DONNEES!$E716="","",DONNEES!A716)</f>
        <v/>
      </c>
      <c r="B716" t="str">
        <f>IF(DONNEES!$E716="","",DONNEES!B716)</f>
        <v/>
      </c>
      <c r="C716" t="str">
        <f>IF(DONNEES!$E716="","",DONNEES!C716)</f>
        <v/>
      </c>
      <c r="D716" t="str">
        <f>IF(DONNEES!$E716="","",DONNEES!E716)</f>
        <v/>
      </c>
      <c r="E716" t="str">
        <f>IF(DONNEES!$E716="","",DONNEES!F716)</f>
        <v/>
      </c>
      <c r="F716" t="str">
        <f>IF(DONNEES!$E716="","",DONNEES!G716)</f>
        <v/>
      </c>
      <c r="G716" t="str">
        <f>IF(DONNEES!$E716="","",DONNEES!H716)</f>
        <v/>
      </c>
      <c r="H716" t="str">
        <f>IF(DONNEES!$E716="","",DONNEES!I716)</f>
        <v/>
      </c>
      <c r="I716" t="str">
        <f>IF(DONNEES!$E716="","",DONNEES!J716)</f>
        <v/>
      </c>
      <c r="J716" t="str">
        <f>IF(DONNEES!$E716="","",DONNEES!K716)</f>
        <v/>
      </c>
      <c r="K716" t="str">
        <f>IF(DONNEES!$E716="","",DONNEES!L716)</f>
        <v/>
      </c>
      <c r="L716" t="str">
        <f>IF(DONNEES!$E716="","",DONNEES!M716)</f>
        <v/>
      </c>
      <c r="M716" t="str">
        <f>IF(DONNEES!$E716="","",DONNEES!N716)</f>
        <v/>
      </c>
      <c r="N716" t="str">
        <f>IF(DONNEES!$E716="","",DONNEES!O716)</f>
        <v/>
      </c>
      <c r="O716" t="str">
        <f>IF(DONNEES!$E716="","",DONNEES!P716)</f>
        <v/>
      </c>
      <c r="P716" t="str">
        <f>IF(DONNEES!$E716="","",DONNEES!Q716)</f>
        <v/>
      </c>
      <c r="Q716" t="str">
        <f>IF(DONNEES!$E716="","",DONNEES!R716)</f>
        <v/>
      </c>
      <c r="R716" t="str">
        <f>IF(DONNEES!$E716="","",DONNEES!S716)</f>
        <v/>
      </c>
      <c r="S716" t="str">
        <f>IF(DONNEES!$E716="","",DONNEES!T716)</f>
        <v/>
      </c>
      <c r="T716" t="str">
        <f>IF(DONNEES!$E716="","",DONNEES!U716)</f>
        <v/>
      </c>
      <c r="U716" t="str">
        <f>IF(DONNEES!$E716="","",DONNEES!V716)</f>
        <v/>
      </c>
      <c r="V716" t="str">
        <f>IF(DONNEES!$E716="","",DONNEES!W716)</f>
        <v/>
      </c>
      <c r="W716" t="str">
        <f>IF(DONNEES!$E716="","",DONNEES!X716)</f>
        <v/>
      </c>
      <c r="X716" t="str">
        <f>IF(DONNEES!$E716="","",DONNEES!Y716)</f>
        <v/>
      </c>
      <c r="Y716" t="str">
        <f>IF(DONNEES!$E716="","",DONNEES!Z716)</f>
        <v/>
      </c>
      <c r="Z716" t="str">
        <f>IF(DONNEES!$E716="","",DONNEES!AQ716)</f>
        <v/>
      </c>
    </row>
    <row r="717" spans="1:26" ht="15" customHeight="1" x14ac:dyDescent="0.3">
      <c r="A717" t="str">
        <f>IF(DONNEES!$E717="","",DONNEES!A717)</f>
        <v/>
      </c>
      <c r="B717" t="str">
        <f>IF(DONNEES!$E717="","",DONNEES!B717)</f>
        <v/>
      </c>
      <c r="C717" t="str">
        <f>IF(DONNEES!$E717="","",DONNEES!C717)</f>
        <v/>
      </c>
      <c r="D717" t="str">
        <f>IF(DONNEES!$E717="","",DONNEES!E717)</f>
        <v/>
      </c>
      <c r="E717" t="str">
        <f>IF(DONNEES!$E717="","",DONNEES!F717)</f>
        <v/>
      </c>
      <c r="F717" t="str">
        <f>IF(DONNEES!$E717="","",DONNEES!G717)</f>
        <v/>
      </c>
      <c r="G717" t="str">
        <f>IF(DONNEES!$E717="","",DONNEES!H717)</f>
        <v/>
      </c>
      <c r="H717" t="str">
        <f>IF(DONNEES!$E717="","",DONNEES!I717)</f>
        <v/>
      </c>
      <c r="I717" t="str">
        <f>IF(DONNEES!$E717="","",DONNEES!J717)</f>
        <v/>
      </c>
      <c r="J717" t="str">
        <f>IF(DONNEES!$E717="","",DONNEES!K717)</f>
        <v/>
      </c>
      <c r="K717" t="str">
        <f>IF(DONNEES!$E717="","",DONNEES!L717)</f>
        <v/>
      </c>
      <c r="L717" t="str">
        <f>IF(DONNEES!$E717="","",DONNEES!M717)</f>
        <v/>
      </c>
      <c r="M717" t="str">
        <f>IF(DONNEES!$E717="","",DONNEES!N717)</f>
        <v/>
      </c>
      <c r="N717" t="str">
        <f>IF(DONNEES!$E717="","",DONNEES!O717)</f>
        <v/>
      </c>
      <c r="O717" t="str">
        <f>IF(DONNEES!$E717="","",DONNEES!P717)</f>
        <v/>
      </c>
      <c r="P717" t="str">
        <f>IF(DONNEES!$E717="","",DONNEES!Q717)</f>
        <v/>
      </c>
      <c r="Q717" t="str">
        <f>IF(DONNEES!$E717="","",DONNEES!R717)</f>
        <v/>
      </c>
      <c r="R717" t="str">
        <f>IF(DONNEES!$E717="","",DONNEES!S717)</f>
        <v/>
      </c>
      <c r="S717" t="str">
        <f>IF(DONNEES!$E717="","",DONNEES!T717)</f>
        <v/>
      </c>
      <c r="T717" t="str">
        <f>IF(DONNEES!$E717="","",DONNEES!U717)</f>
        <v/>
      </c>
      <c r="U717" t="str">
        <f>IF(DONNEES!$E717="","",DONNEES!V717)</f>
        <v/>
      </c>
      <c r="V717" t="str">
        <f>IF(DONNEES!$E717="","",DONNEES!W717)</f>
        <v/>
      </c>
      <c r="W717" t="str">
        <f>IF(DONNEES!$E717="","",DONNEES!X717)</f>
        <v/>
      </c>
      <c r="X717" t="str">
        <f>IF(DONNEES!$E717="","",DONNEES!Y717)</f>
        <v/>
      </c>
      <c r="Y717" t="str">
        <f>IF(DONNEES!$E717="","",DONNEES!Z717)</f>
        <v/>
      </c>
      <c r="Z717" t="str">
        <f>IF(DONNEES!$E717="","",DONNEES!AQ717)</f>
        <v/>
      </c>
    </row>
    <row r="718" spans="1:26" ht="15" customHeight="1" x14ac:dyDescent="0.3">
      <c r="A718" t="str">
        <f>IF(DONNEES!$E718="","",DONNEES!A718)</f>
        <v/>
      </c>
      <c r="B718" t="str">
        <f>IF(DONNEES!$E718="","",DONNEES!B718)</f>
        <v/>
      </c>
      <c r="C718" t="str">
        <f>IF(DONNEES!$E718="","",DONNEES!C718)</f>
        <v/>
      </c>
      <c r="D718" t="str">
        <f>IF(DONNEES!$E718="","",DONNEES!E718)</f>
        <v/>
      </c>
      <c r="E718" t="str">
        <f>IF(DONNEES!$E718="","",DONNEES!F718)</f>
        <v/>
      </c>
      <c r="F718" t="str">
        <f>IF(DONNEES!$E718="","",DONNEES!G718)</f>
        <v/>
      </c>
      <c r="G718" t="str">
        <f>IF(DONNEES!$E718="","",DONNEES!H718)</f>
        <v/>
      </c>
      <c r="H718" t="str">
        <f>IF(DONNEES!$E718="","",DONNEES!I718)</f>
        <v/>
      </c>
      <c r="I718" t="str">
        <f>IF(DONNEES!$E718="","",DONNEES!J718)</f>
        <v/>
      </c>
      <c r="J718" t="str">
        <f>IF(DONNEES!$E718="","",DONNEES!K718)</f>
        <v/>
      </c>
      <c r="K718" t="str">
        <f>IF(DONNEES!$E718="","",DONNEES!L718)</f>
        <v/>
      </c>
      <c r="L718" t="str">
        <f>IF(DONNEES!$E718="","",DONNEES!M718)</f>
        <v/>
      </c>
      <c r="M718" t="str">
        <f>IF(DONNEES!$E718="","",DONNEES!N718)</f>
        <v/>
      </c>
      <c r="N718" t="str">
        <f>IF(DONNEES!$E718="","",DONNEES!O718)</f>
        <v/>
      </c>
      <c r="O718" t="str">
        <f>IF(DONNEES!$E718="","",DONNEES!P718)</f>
        <v/>
      </c>
      <c r="P718" t="str">
        <f>IF(DONNEES!$E718="","",DONNEES!Q718)</f>
        <v/>
      </c>
      <c r="Q718" t="str">
        <f>IF(DONNEES!$E718="","",DONNEES!R718)</f>
        <v/>
      </c>
      <c r="R718" t="str">
        <f>IF(DONNEES!$E718="","",DONNEES!S718)</f>
        <v/>
      </c>
      <c r="S718" t="str">
        <f>IF(DONNEES!$E718="","",DONNEES!T718)</f>
        <v/>
      </c>
      <c r="T718" t="str">
        <f>IF(DONNEES!$E718="","",DONNEES!U718)</f>
        <v/>
      </c>
      <c r="U718" t="str">
        <f>IF(DONNEES!$E718="","",DONNEES!V718)</f>
        <v/>
      </c>
      <c r="V718" t="str">
        <f>IF(DONNEES!$E718="","",DONNEES!W718)</f>
        <v/>
      </c>
      <c r="W718" t="str">
        <f>IF(DONNEES!$E718="","",DONNEES!X718)</f>
        <v/>
      </c>
      <c r="X718" t="str">
        <f>IF(DONNEES!$E718="","",DONNEES!Y718)</f>
        <v/>
      </c>
      <c r="Y718" t="str">
        <f>IF(DONNEES!$E718="","",DONNEES!Z718)</f>
        <v/>
      </c>
      <c r="Z718" t="str">
        <f>IF(DONNEES!$E718="","",DONNEES!AQ718)</f>
        <v/>
      </c>
    </row>
    <row r="719" spans="1:26" ht="15" customHeight="1" x14ac:dyDescent="0.3">
      <c r="A719" t="str">
        <f>IF(DONNEES!$E719="","",DONNEES!A719)</f>
        <v/>
      </c>
      <c r="B719" t="str">
        <f>IF(DONNEES!$E719="","",DONNEES!B719)</f>
        <v/>
      </c>
      <c r="C719" t="str">
        <f>IF(DONNEES!$E719="","",DONNEES!C719)</f>
        <v/>
      </c>
      <c r="D719" t="str">
        <f>IF(DONNEES!$E719="","",DONNEES!E719)</f>
        <v/>
      </c>
      <c r="E719" t="str">
        <f>IF(DONNEES!$E719="","",DONNEES!F719)</f>
        <v/>
      </c>
      <c r="F719" t="str">
        <f>IF(DONNEES!$E719="","",DONNEES!G719)</f>
        <v/>
      </c>
      <c r="G719" t="str">
        <f>IF(DONNEES!$E719="","",DONNEES!H719)</f>
        <v/>
      </c>
      <c r="H719" t="str">
        <f>IF(DONNEES!$E719="","",DONNEES!I719)</f>
        <v/>
      </c>
      <c r="I719" t="str">
        <f>IF(DONNEES!$E719="","",DONNEES!J719)</f>
        <v/>
      </c>
      <c r="J719" t="str">
        <f>IF(DONNEES!$E719="","",DONNEES!K719)</f>
        <v/>
      </c>
      <c r="K719" t="str">
        <f>IF(DONNEES!$E719="","",DONNEES!L719)</f>
        <v/>
      </c>
      <c r="L719" t="str">
        <f>IF(DONNEES!$E719="","",DONNEES!M719)</f>
        <v/>
      </c>
      <c r="M719" t="str">
        <f>IF(DONNEES!$E719="","",DONNEES!N719)</f>
        <v/>
      </c>
      <c r="N719" t="str">
        <f>IF(DONNEES!$E719="","",DONNEES!O719)</f>
        <v/>
      </c>
      <c r="O719" t="str">
        <f>IF(DONNEES!$E719="","",DONNEES!P719)</f>
        <v/>
      </c>
      <c r="P719" t="str">
        <f>IF(DONNEES!$E719="","",DONNEES!Q719)</f>
        <v/>
      </c>
      <c r="Q719" t="str">
        <f>IF(DONNEES!$E719="","",DONNEES!R719)</f>
        <v/>
      </c>
      <c r="R719" t="str">
        <f>IF(DONNEES!$E719="","",DONNEES!S719)</f>
        <v/>
      </c>
      <c r="S719" t="str">
        <f>IF(DONNEES!$E719="","",DONNEES!T719)</f>
        <v/>
      </c>
      <c r="T719" t="str">
        <f>IF(DONNEES!$E719="","",DONNEES!U719)</f>
        <v/>
      </c>
      <c r="U719" t="str">
        <f>IF(DONNEES!$E719="","",DONNEES!V719)</f>
        <v/>
      </c>
      <c r="V719" t="str">
        <f>IF(DONNEES!$E719="","",DONNEES!W719)</f>
        <v/>
      </c>
      <c r="W719" t="str">
        <f>IF(DONNEES!$E719="","",DONNEES!X719)</f>
        <v/>
      </c>
      <c r="X719" t="str">
        <f>IF(DONNEES!$E719="","",DONNEES!Y719)</f>
        <v/>
      </c>
      <c r="Y719" t="str">
        <f>IF(DONNEES!$E719="","",DONNEES!Z719)</f>
        <v/>
      </c>
      <c r="Z719" t="str">
        <f>IF(DONNEES!$E719="","",DONNEES!AQ719)</f>
        <v/>
      </c>
    </row>
    <row r="720" spans="1:26" ht="15" customHeight="1" x14ac:dyDescent="0.3">
      <c r="A720" t="str">
        <f>IF(DONNEES!$E720="","",DONNEES!A720)</f>
        <v/>
      </c>
      <c r="B720" t="str">
        <f>IF(DONNEES!$E720="","",DONNEES!B720)</f>
        <v/>
      </c>
      <c r="C720" t="str">
        <f>IF(DONNEES!$E720="","",DONNEES!C720)</f>
        <v/>
      </c>
      <c r="D720" t="str">
        <f>IF(DONNEES!$E720="","",DONNEES!E720)</f>
        <v/>
      </c>
      <c r="E720" t="str">
        <f>IF(DONNEES!$E720="","",DONNEES!F720)</f>
        <v/>
      </c>
      <c r="F720" t="str">
        <f>IF(DONNEES!$E720="","",DONNEES!G720)</f>
        <v/>
      </c>
      <c r="G720" t="str">
        <f>IF(DONNEES!$E720="","",DONNEES!H720)</f>
        <v/>
      </c>
      <c r="H720" t="str">
        <f>IF(DONNEES!$E720="","",DONNEES!I720)</f>
        <v/>
      </c>
      <c r="I720" t="str">
        <f>IF(DONNEES!$E720="","",DONNEES!J720)</f>
        <v/>
      </c>
      <c r="J720" t="str">
        <f>IF(DONNEES!$E720="","",DONNEES!K720)</f>
        <v/>
      </c>
      <c r="K720" t="str">
        <f>IF(DONNEES!$E720="","",DONNEES!L720)</f>
        <v/>
      </c>
      <c r="L720" t="str">
        <f>IF(DONNEES!$E720="","",DONNEES!M720)</f>
        <v/>
      </c>
      <c r="M720" t="str">
        <f>IF(DONNEES!$E720="","",DONNEES!N720)</f>
        <v/>
      </c>
      <c r="N720" t="str">
        <f>IF(DONNEES!$E720="","",DONNEES!O720)</f>
        <v/>
      </c>
      <c r="O720" t="str">
        <f>IF(DONNEES!$E720="","",DONNEES!P720)</f>
        <v/>
      </c>
      <c r="P720" t="str">
        <f>IF(DONNEES!$E720="","",DONNEES!Q720)</f>
        <v/>
      </c>
      <c r="Q720" t="str">
        <f>IF(DONNEES!$E720="","",DONNEES!R720)</f>
        <v/>
      </c>
      <c r="R720" t="str">
        <f>IF(DONNEES!$E720="","",DONNEES!S720)</f>
        <v/>
      </c>
      <c r="S720" t="str">
        <f>IF(DONNEES!$E720="","",DONNEES!T720)</f>
        <v/>
      </c>
      <c r="T720" t="str">
        <f>IF(DONNEES!$E720="","",DONNEES!U720)</f>
        <v/>
      </c>
      <c r="U720" t="str">
        <f>IF(DONNEES!$E720="","",DONNEES!V720)</f>
        <v/>
      </c>
      <c r="V720" t="str">
        <f>IF(DONNEES!$E720="","",DONNEES!W720)</f>
        <v/>
      </c>
      <c r="W720" t="str">
        <f>IF(DONNEES!$E720="","",DONNEES!X720)</f>
        <v/>
      </c>
      <c r="X720" t="str">
        <f>IF(DONNEES!$E720="","",DONNEES!Y720)</f>
        <v/>
      </c>
      <c r="Y720" t="str">
        <f>IF(DONNEES!$E720="","",DONNEES!Z720)</f>
        <v/>
      </c>
      <c r="Z720" t="str">
        <f>IF(DONNEES!$E720="","",DONNEES!AQ720)</f>
        <v/>
      </c>
    </row>
    <row r="721" spans="1:26" ht="15" customHeight="1" x14ac:dyDescent="0.3">
      <c r="A721" t="str">
        <f>IF(DONNEES!$E721="","",DONNEES!A721)</f>
        <v/>
      </c>
      <c r="B721" t="str">
        <f>IF(DONNEES!$E721="","",DONNEES!B721)</f>
        <v/>
      </c>
      <c r="C721" t="str">
        <f>IF(DONNEES!$E721="","",DONNEES!C721)</f>
        <v/>
      </c>
      <c r="D721" t="str">
        <f>IF(DONNEES!$E721="","",DONNEES!E721)</f>
        <v/>
      </c>
      <c r="E721" t="str">
        <f>IF(DONNEES!$E721="","",DONNEES!F721)</f>
        <v/>
      </c>
      <c r="F721" t="str">
        <f>IF(DONNEES!$E721="","",DONNEES!G721)</f>
        <v/>
      </c>
      <c r="G721" t="str">
        <f>IF(DONNEES!$E721="","",DONNEES!H721)</f>
        <v/>
      </c>
      <c r="H721" t="str">
        <f>IF(DONNEES!$E721="","",DONNEES!I721)</f>
        <v/>
      </c>
      <c r="I721" t="str">
        <f>IF(DONNEES!$E721="","",DONNEES!J721)</f>
        <v/>
      </c>
      <c r="J721" t="str">
        <f>IF(DONNEES!$E721="","",DONNEES!K721)</f>
        <v/>
      </c>
      <c r="K721" t="str">
        <f>IF(DONNEES!$E721="","",DONNEES!L721)</f>
        <v/>
      </c>
      <c r="L721" t="str">
        <f>IF(DONNEES!$E721="","",DONNEES!M721)</f>
        <v/>
      </c>
      <c r="M721" t="str">
        <f>IF(DONNEES!$E721="","",DONNEES!N721)</f>
        <v/>
      </c>
      <c r="N721" t="str">
        <f>IF(DONNEES!$E721="","",DONNEES!O721)</f>
        <v/>
      </c>
      <c r="O721" t="str">
        <f>IF(DONNEES!$E721="","",DONNEES!P721)</f>
        <v/>
      </c>
      <c r="P721" t="str">
        <f>IF(DONNEES!$E721="","",DONNEES!Q721)</f>
        <v/>
      </c>
      <c r="Q721" t="str">
        <f>IF(DONNEES!$E721="","",DONNEES!R721)</f>
        <v/>
      </c>
      <c r="R721" t="str">
        <f>IF(DONNEES!$E721="","",DONNEES!S721)</f>
        <v/>
      </c>
      <c r="S721" t="str">
        <f>IF(DONNEES!$E721="","",DONNEES!T721)</f>
        <v/>
      </c>
      <c r="T721" t="str">
        <f>IF(DONNEES!$E721="","",DONNEES!U721)</f>
        <v/>
      </c>
      <c r="U721" t="str">
        <f>IF(DONNEES!$E721="","",DONNEES!V721)</f>
        <v/>
      </c>
      <c r="V721" t="str">
        <f>IF(DONNEES!$E721="","",DONNEES!W721)</f>
        <v/>
      </c>
      <c r="W721" t="str">
        <f>IF(DONNEES!$E721="","",DONNEES!X721)</f>
        <v/>
      </c>
      <c r="X721" t="str">
        <f>IF(DONNEES!$E721="","",DONNEES!Y721)</f>
        <v/>
      </c>
      <c r="Y721" t="str">
        <f>IF(DONNEES!$E721="","",DONNEES!Z721)</f>
        <v/>
      </c>
      <c r="Z721" t="str">
        <f>IF(DONNEES!$E721="","",DONNEES!AQ721)</f>
        <v/>
      </c>
    </row>
    <row r="722" spans="1:26" ht="15" customHeight="1" x14ac:dyDescent="0.3">
      <c r="A722" t="str">
        <f>IF(DONNEES!$E722="","",DONNEES!A722)</f>
        <v/>
      </c>
      <c r="B722" t="str">
        <f>IF(DONNEES!$E722="","",DONNEES!B722)</f>
        <v/>
      </c>
      <c r="C722" t="str">
        <f>IF(DONNEES!$E722="","",DONNEES!C722)</f>
        <v/>
      </c>
      <c r="D722" t="str">
        <f>IF(DONNEES!$E722="","",DONNEES!E722)</f>
        <v/>
      </c>
      <c r="E722" t="str">
        <f>IF(DONNEES!$E722="","",DONNEES!F722)</f>
        <v/>
      </c>
      <c r="F722" t="str">
        <f>IF(DONNEES!$E722="","",DONNEES!G722)</f>
        <v/>
      </c>
      <c r="G722" t="str">
        <f>IF(DONNEES!$E722="","",DONNEES!H722)</f>
        <v/>
      </c>
      <c r="H722" t="str">
        <f>IF(DONNEES!$E722="","",DONNEES!I722)</f>
        <v/>
      </c>
      <c r="I722" t="str">
        <f>IF(DONNEES!$E722="","",DONNEES!J722)</f>
        <v/>
      </c>
      <c r="J722" t="str">
        <f>IF(DONNEES!$E722="","",DONNEES!K722)</f>
        <v/>
      </c>
      <c r="K722" t="str">
        <f>IF(DONNEES!$E722="","",DONNEES!L722)</f>
        <v/>
      </c>
      <c r="L722" t="str">
        <f>IF(DONNEES!$E722="","",DONNEES!M722)</f>
        <v/>
      </c>
      <c r="M722" t="str">
        <f>IF(DONNEES!$E722="","",DONNEES!N722)</f>
        <v/>
      </c>
      <c r="N722" t="str">
        <f>IF(DONNEES!$E722="","",DONNEES!O722)</f>
        <v/>
      </c>
      <c r="O722" t="str">
        <f>IF(DONNEES!$E722="","",DONNEES!P722)</f>
        <v/>
      </c>
      <c r="P722" t="str">
        <f>IF(DONNEES!$E722="","",DONNEES!Q722)</f>
        <v/>
      </c>
      <c r="Q722" t="str">
        <f>IF(DONNEES!$E722="","",DONNEES!R722)</f>
        <v/>
      </c>
      <c r="R722" t="str">
        <f>IF(DONNEES!$E722="","",DONNEES!S722)</f>
        <v/>
      </c>
      <c r="S722" t="str">
        <f>IF(DONNEES!$E722="","",DONNEES!T722)</f>
        <v/>
      </c>
      <c r="T722" t="str">
        <f>IF(DONNEES!$E722="","",DONNEES!U722)</f>
        <v/>
      </c>
      <c r="U722" t="str">
        <f>IF(DONNEES!$E722="","",DONNEES!V722)</f>
        <v/>
      </c>
      <c r="V722" t="str">
        <f>IF(DONNEES!$E722="","",DONNEES!W722)</f>
        <v/>
      </c>
      <c r="W722" t="str">
        <f>IF(DONNEES!$E722="","",DONNEES!X722)</f>
        <v/>
      </c>
      <c r="X722" t="str">
        <f>IF(DONNEES!$E722="","",DONNEES!Y722)</f>
        <v/>
      </c>
      <c r="Y722" t="str">
        <f>IF(DONNEES!$E722="","",DONNEES!Z722)</f>
        <v/>
      </c>
      <c r="Z722" t="str">
        <f>IF(DONNEES!$E722="","",DONNEES!AQ722)</f>
        <v/>
      </c>
    </row>
    <row r="723" spans="1:26" ht="15" customHeight="1" x14ac:dyDescent="0.3">
      <c r="A723" t="str">
        <f>IF(DONNEES!$E723="","",DONNEES!A723)</f>
        <v/>
      </c>
      <c r="B723" t="str">
        <f>IF(DONNEES!$E723="","",DONNEES!B723)</f>
        <v/>
      </c>
      <c r="C723" t="str">
        <f>IF(DONNEES!$E723="","",DONNEES!C723)</f>
        <v/>
      </c>
      <c r="D723" t="str">
        <f>IF(DONNEES!$E723="","",DONNEES!E723)</f>
        <v/>
      </c>
      <c r="E723" t="str">
        <f>IF(DONNEES!$E723="","",DONNEES!F723)</f>
        <v/>
      </c>
      <c r="F723" t="str">
        <f>IF(DONNEES!$E723="","",DONNEES!G723)</f>
        <v/>
      </c>
      <c r="G723" t="str">
        <f>IF(DONNEES!$E723="","",DONNEES!H723)</f>
        <v/>
      </c>
      <c r="H723" t="str">
        <f>IF(DONNEES!$E723="","",DONNEES!I723)</f>
        <v/>
      </c>
      <c r="I723" t="str">
        <f>IF(DONNEES!$E723="","",DONNEES!J723)</f>
        <v/>
      </c>
      <c r="J723" t="str">
        <f>IF(DONNEES!$E723="","",DONNEES!K723)</f>
        <v/>
      </c>
      <c r="K723" t="str">
        <f>IF(DONNEES!$E723="","",DONNEES!L723)</f>
        <v/>
      </c>
      <c r="L723" t="str">
        <f>IF(DONNEES!$E723="","",DONNEES!M723)</f>
        <v/>
      </c>
      <c r="M723" t="str">
        <f>IF(DONNEES!$E723="","",DONNEES!N723)</f>
        <v/>
      </c>
      <c r="N723" t="str">
        <f>IF(DONNEES!$E723="","",DONNEES!O723)</f>
        <v/>
      </c>
      <c r="O723" t="str">
        <f>IF(DONNEES!$E723="","",DONNEES!P723)</f>
        <v/>
      </c>
      <c r="P723" t="str">
        <f>IF(DONNEES!$E723="","",DONNEES!Q723)</f>
        <v/>
      </c>
      <c r="Q723" t="str">
        <f>IF(DONNEES!$E723="","",DONNEES!R723)</f>
        <v/>
      </c>
      <c r="R723" t="str">
        <f>IF(DONNEES!$E723="","",DONNEES!S723)</f>
        <v/>
      </c>
      <c r="S723" t="str">
        <f>IF(DONNEES!$E723="","",DONNEES!T723)</f>
        <v/>
      </c>
      <c r="T723" t="str">
        <f>IF(DONNEES!$E723="","",DONNEES!U723)</f>
        <v/>
      </c>
      <c r="U723" t="str">
        <f>IF(DONNEES!$E723="","",DONNEES!V723)</f>
        <v/>
      </c>
      <c r="V723" t="str">
        <f>IF(DONNEES!$E723="","",DONNEES!W723)</f>
        <v/>
      </c>
      <c r="W723" t="str">
        <f>IF(DONNEES!$E723="","",DONNEES!X723)</f>
        <v/>
      </c>
      <c r="X723" t="str">
        <f>IF(DONNEES!$E723="","",DONNEES!Y723)</f>
        <v/>
      </c>
      <c r="Y723" t="str">
        <f>IF(DONNEES!$E723="","",DONNEES!Z723)</f>
        <v/>
      </c>
      <c r="Z723" t="str">
        <f>IF(DONNEES!$E723="","",DONNEES!AQ723)</f>
        <v/>
      </c>
    </row>
    <row r="724" spans="1:26" ht="15" customHeight="1" x14ac:dyDescent="0.3">
      <c r="A724" t="str">
        <f>IF(DONNEES!$E724="","",DONNEES!A724)</f>
        <v/>
      </c>
      <c r="B724" t="str">
        <f>IF(DONNEES!$E724="","",DONNEES!B724)</f>
        <v/>
      </c>
      <c r="C724" t="str">
        <f>IF(DONNEES!$E724="","",DONNEES!C724)</f>
        <v/>
      </c>
      <c r="D724" t="str">
        <f>IF(DONNEES!$E724="","",DONNEES!E724)</f>
        <v/>
      </c>
      <c r="E724" t="str">
        <f>IF(DONNEES!$E724="","",DONNEES!F724)</f>
        <v/>
      </c>
      <c r="F724" t="str">
        <f>IF(DONNEES!$E724="","",DONNEES!G724)</f>
        <v/>
      </c>
      <c r="G724" t="str">
        <f>IF(DONNEES!$E724="","",DONNEES!H724)</f>
        <v/>
      </c>
      <c r="H724" t="str">
        <f>IF(DONNEES!$E724="","",DONNEES!I724)</f>
        <v/>
      </c>
      <c r="I724" t="str">
        <f>IF(DONNEES!$E724="","",DONNEES!J724)</f>
        <v/>
      </c>
      <c r="J724" t="str">
        <f>IF(DONNEES!$E724="","",DONNEES!K724)</f>
        <v/>
      </c>
      <c r="K724" t="str">
        <f>IF(DONNEES!$E724="","",DONNEES!L724)</f>
        <v/>
      </c>
      <c r="L724" t="str">
        <f>IF(DONNEES!$E724="","",DONNEES!M724)</f>
        <v/>
      </c>
      <c r="M724" t="str">
        <f>IF(DONNEES!$E724="","",DONNEES!N724)</f>
        <v/>
      </c>
      <c r="N724" t="str">
        <f>IF(DONNEES!$E724="","",DONNEES!O724)</f>
        <v/>
      </c>
      <c r="O724" t="str">
        <f>IF(DONNEES!$E724="","",DONNEES!P724)</f>
        <v/>
      </c>
      <c r="P724" t="str">
        <f>IF(DONNEES!$E724="","",DONNEES!Q724)</f>
        <v/>
      </c>
      <c r="Q724" t="str">
        <f>IF(DONNEES!$E724="","",DONNEES!R724)</f>
        <v/>
      </c>
      <c r="R724" t="str">
        <f>IF(DONNEES!$E724="","",DONNEES!S724)</f>
        <v/>
      </c>
      <c r="S724" t="str">
        <f>IF(DONNEES!$E724="","",DONNEES!T724)</f>
        <v/>
      </c>
      <c r="T724" t="str">
        <f>IF(DONNEES!$E724="","",DONNEES!U724)</f>
        <v/>
      </c>
      <c r="U724" t="str">
        <f>IF(DONNEES!$E724="","",DONNEES!V724)</f>
        <v/>
      </c>
      <c r="V724" t="str">
        <f>IF(DONNEES!$E724="","",DONNEES!W724)</f>
        <v/>
      </c>
      <c r="W724" t="str">
        <f>IF(DONNEES!$E724="","",DONNEES!X724)</f>
        <v/>
      </c>
      <c r="X724" t="str">
        <f>IF(DONNEES!$E724="","",DONNEES!Y724)</f>
        <v/>
      </c>
      <c r="Y724" t="str">
        <f>IF(DONNEES!$E724="","",DONNEES!Z724)</f>
        <v/>
      </c>
      <c r="Z724" t="str">
        <f>IF(DONNEES!$E724="","",DONNEES!AQ724)</f>
        <v/>
      </c>
    </row>
    <row r="725" spans="1:26" ht="15" customHeight="1" x14ac:dyDescent="0.3">
      <c r="A725" t="str">
        <f>IF(DONNEES!$E725="","",DONNEES!A725)</f>
        <v/>
      </c>
      <c r="B725" t="str">
        <f>IF(DONNEES!$E725="","",DONNEES!B725)</f>
        <v/>
      </c>
      <c r="C725" t="str">
        <f>IF(DONNEES!$E725="","",DONNEES!C725)</f>
        <v/>
      </c>
      <c r="D725" t="str">
        <f>IF(DONNEES!$E725="","",DONNEES!E725)</f>
        <v/>
      </c>
      <c r="E725" t="str">
        <f>IF(DONNEES!$E725="","",DONNEES!F725)</f>
        <v/>
      </c>
      <c r="F725" t="str">
        <f>IF(DONNEES!$E725="","",DONNEES!G725)</f>
        <v/>
      </c>
      <c r="G725" t="str">
        <f>IF(DONNEES!$E725="","",DONNEES!H725)</f>
        <v/>
      </c>
      <c r="H725" t="str">
        <f>IF(DONNEES!$E725="","",DONNEES!I725)</f>
        <v/>
      </c>
      <c r="I725" t="str">
        <f>IF(DONNEES!$E725="","",DONNEES!J725)</f>
        <v/>
      </c>
      <c r="J725" t="str">
        <f>IF(DONNEES!$E725="","",DONNEES!K725)</f>
        <v/>
      </c>
      <c r="K725" t="str">
        <f>IF(DONNEES!$E725="","",DONNEES!L725)</f>
        <v/>
      </c>
      <c r="L725" t="str">
        <f>IF(DONNEES!$E725="","",DONNEES!M725)</f>
        <v/>
      </c>
      <c r="M725" t="str">
        <f>IF(DONNEES!$E725="","",DONNEES!N725)</f>
        <v/>
      </c>
      <c r="N725" t="str">
        <f>IF(DONNEES!$E725="","",DONNEES!O725)</f>
        <v/>
      </c>
      <c r="O725" t="str">
        <f>IF(DONNEES!$E725="","",DONNEES!P725)</f>
        <v/>
      </c>
      <c r="P725" t="str">
        <f>IF(DONNEES!$E725="","",DONNEES!Q725)</f>
        <v/>
      </c>
      <c r="Q725" t="str">
        <f>IF(DONNEES!$E725="","",DONNEES!R725)</f>
        <v/>
      </c>
      <c r="R725" t="str">
        <f>IF(DONNEES!$E725="","",DONNEES!S725)</f>
        <v/>
      </c>
      <c r="S725" t="str">
        <f>IF(DONNEES!$E725="","",DONNEES!T725)</f>
        <v/>
      </c>
      <c r="T725" t="str">
        <f>IF(DONNEES!$E725="","",DONNEES!U725)</f>
        <v/>
      </c>
      <c r="U725" t="str">
        <f>IF(DONNEES!$E725="","",DONNEES!V725)</f>
        <v/>
      </c>
      <c r="V725" t="str">
        <f>IF(DONNEES!$E725="","",DONNEES!W725)</f>
        <v/>
      </c>
      <c r="W725" t="str">
        <f>IF(DONNEES!$E725="","",DONNEES!X725)</f>
        <v/>
      </c>
      <c r="X725" t="str">
        <f>IF(DONNEES!$E725="","",DONNEES!Y725)</f>
        <v/>
      </c>
      <c r="Y725" t="str">
        <f>IF(DONNEES!$E725="","",DONNEES!Z725)</f>
        <v/>
      </c>
      <c r="Z725" t="str">
        <f>IF(DONNEES!$E725="","",DONNEES!AQ725)</f>
        <v/>
      </c>
    </row>
    <row r="726" spans="1:26" ht="15" customHeight="1" x14ac:dyDescent="0.3">
      <c r="A726" t="str">
        <f>IF(DONNEES!$E726="","",DONNEES!A726)</f>
        <v/>
      </c>
      <c r="B726" t="str">
        <f>IF(DONNEES!$E726="","",DONNEES!B726)</f>
        <v/>
      </c>
      <c r="C726" t="str">
        <f>IF(DONNEES!$E726="","",DONNEES!C726)</f>
        <v/>
      </c>
      <c r="D726" t="str">
        <f>IF(DONNEES!$E726="","",DONNEES!E726)</f>
        <v/>
      </c>
      <c r="E726" t="str">
        <f>IF(DONNEES!$E726="","",DONNEES!F726)</f>
        <v/>
      </c>
      <c r="F726" t="str">
        <f>IF(DONNEES!$E726="","",DONNEES!G726)</f>
        <v/>
      </c>
      <c r="G726" t="str">
        <f>IF(DONNEES!$E726="","",DONNEES!H726)</f>
        <v/>
      </c>
      <c r="H726" t="str">
        <f>IF(DONNEES!$E726="","",DONNEES!I726)</f>
        <v/>
      </c>
      <c r="I726" t="str">
        <f>IF(DONNEES!$E726="","",DONNEES!J726)</f>
        <v/>
      </c>
      <c r="J726" t="str">
        <f>IF(DONNEES!$E726="","",DONNEES!K726)</f>
        <v/>
      </c>
      <c r="K726" t="str">
        <f>IF(DONNEES!$E726="","",DONNEES!L726)</f>
        <v/>
      </c>
      <c r="L726" t="str">
        <f>IF(DONNEES!$E726="","",DONNEES!M726)</f>
        <v/>
      </c>
      <c r="M726" t="str">
        <f>IF(DONNEES!$E726="","",DONNEES!N726)</f>
        <v/>
      </c>
      <c r="N726" t="str">
        <f>IF(DONNEES!$E726="","",DONNEES!O726)</f>
        <v/>
      </c>
      <c r="O726" t="str">
        <f>IF(DONNEES!$E726="","",DONNEES!P726)</f>
        <v/>
      </c>
      <c r="P726" t="str">
        <f>IF(DONNEES!$E726="","",DONNEES!Q726)</f>
        <v/>
      </c>
      <c r="Q726" t="str">
        <f>IF(DONNEES!$E726="","",DONNEES!R726)</f>
        <v/>
      </c>
      <c r="R726" t="str">
        <f>IF(DONNEES!$E726="","",DONNEES!S726)</f>
        <v/>
      </c>
      <c r="S726" t="str">
        <f>IF(DONNEES!$E726="","",DONNEES!T726)</f>
        <v/>
      </c>
      <c r="T726" t="str">
        <f>IF(DONNEES!$E726="","",DONNEES!U726)</f>
        <v/>
      </c>
      <c r="U726" t="str">
        <f>IF(DONNEES!$E726="","",DONNEES!V726)</f>
        <v/>
      </c>
      <c r="V726" t="str">
        <f>IF(DONNEES!$E726="","",DONNEES!W726)</f>
        <v/>
      </c>
      <c r="W726" t="str">
        <f>IF(DONNEES!$E726="","",DONNEES!X726)</f>
        <v/>
      </c>
      <c r="X726" t="str">
        <f>IF(DONNEES!$E726="","",DONNEES!Y726)</f>
        <v/>
      </c>
      <c r="Y726" t="str">
        <f>IF(DONNEES!$E726="","",DONNEES!Z726)</f>
        <v/>
      </c>
      <c r="Z726" t="str">
        <f>IF(DONNEES!$E726="","",DONNEES!AQ726)</f>
        <v/>
      </c>
    </row>
    <row r="727" spans="1:26" ht="15" customHeight="1" x14ac:dyDescent="0.3">
      <c r="A727" t="str">
        <f>IF(DONNEES!$E727="","",DONNEES!A727)</f>
        <v/>
      </c>
      <c r="B727" t="str">
        <f>IF(DONNEES!$E727="","",DONNEES!B727)</f>
        <v/>
      </c>
      <c r="C727" t="str">
        <f>IF(DONNEES!$E727="","",DONNEES!C727)</f>
        <v/>
      </c>
      <c r="D727" t="str">
        <f>IF(DONNEES!$E727="","",DONNEES!E727)</f>
        <v/>
      </c>
      <c r="E727" t="str">
        <f>IF(DONNEES!$E727="","",DONNEES!F727)</f>
        <v/>
      </c>
      <c r="F727" t="str">
        <f>IF(DONNEES!$E727="","",DONNEES!G727)</f>
        <v/>
      </c>
      <c r="G727" t="str">
        <f>IF(DONNEES!$E727="","",DONNEES!H727)</f>
        <v/>
      </c>
      <c r="H727" t="str">
        <f>IF(DONNEES!$E727="","",DONNEES!I727)</f>
        <v/>
      </c>
      <c r="I727" t="str">
        <f>IF(DONNEES!$E727="","",DONNEES!J727)</f>
        <v/>
      </c>
      <c r="J727" t="str">
        <f>IF(DONNEES!$E727="","",DONNEES!K727)</f>
        <v/>
      </c>
      <c r="K727" t="str">
        <f>IF(DONNEES!$E727="","",DONNEES!L727)</f>
        <v/>
      </c>
      <c r="L727" t="str">
        <f>IF(DONNEES!$E727="","",DONNEES!M727)</f>
        <v/>
      </c>
      <c r="M727" t="str">
        <f>IF(DONNEES!$E727="","",DONNEES!N727)</f>
        <v/>
      </c>
      <c r="N727" t="str">
        <f>IF(DONNEES!$E727="","",DONNEES!O727)</f>
        <v/>
      </c>
      <c r="O727" t="str">
        <f>IF(DONNEES!$E727="","",DONNEES!P727)</f>
        <v/>
      </c>
      <c r="P727" t="str">
        <f>IF(DONNEES!$E727="","",DONNEES!Q727)</f>
        <v/>
      </c>
      <c r="Q727" t="str">
        <f>IF(DONNEES!$E727="","",DONNEES!R727)</f>
        <v/>
      </c>
      <c r="R727" t="str">
        <f>IF(DONNEES!$E727="","",DONNEES!S727)</f>
        <v/>
      </c>
      <c r="S727" t="str">
        <f>IF(DONNEES!$E727="","",DONNEES!T727)</f>
        <v/>
      </c>
      <c r="T727" t="str">
        <f>IF(DONNEES!$E727="","",DONNEES!U727)</f>
        <v/>
      </c>
      <c r="U727" t="str">
        <f>IF(DONNEES!$E727="","",DONNEES!V727)</f>
        <v/>
      </c>
      <c r="V727" t="str">
        <f>IF(DONNEES!$E727="","",DONNEES!W727)</f>
        <v/>
      </c>
      <c r="W727" t="str">
        <f>IF(DONNEES!$E727="","",DONNEES!X727)</f>
        <v/>
      </c>
      <c r="X727" t="str">
        <f>IF(DONNEES!$E727="","",DONNEES!Y727)</f>
        <v/>
      </c>
      <c r="Y727" t="str">
        <f>IF(DONNEES!$E727="","",DONNEES!Z727)</f>
        <v/>
      </c>
      <c r="Z727" t="str">
        <f>IF(DONNEES!$E727="","",DONNEES!AQ727)</f>
        <v/>
      </c>
    </row>
    <row r="728" spans="1:26" ht="15" customHeight="1" x14ac:dyDescent="0.3">
      <c r="A728" t="str">
        <f>IF(DONNEES!$E728="","",DONNEES!A728)</f>
        <v/>
      </c>
      <c r="B728" t="str">
        <f>IF(DONNEES!$E728="","",DONNEES!B728)</f>
        <v/>
      </c>
      <c r="C728" t="str">
        <f>IF(DONNEES!$E728="","",DONNEES!C728)</f>
        <v/>
      </c>
      <c r="D728" t="str">
        <f>IF(DONNEES!$E728="","",DONNEES!E728)</f>
        <v/>
      </c>
      <c r="E728" t="str">
        <f>IF(DONNEES!$E728="","",DONNEES!F728)</f>
        <v/>
      </c>
      <c r="F728" t="str">
        <f>IF(DONNEES!$E728="","",DONNEES!G728)</f>
        <v/>
      </c>
      <c r="G728" t="str">
        <f>IF(DONNEES!$E728="","",DONNEES!H728)</f>
        <v/>
      </c>
      <c r="H728" t="str">
        <f>IF(DONNEES!$E728="","",DONNEES!I728)</f>
        <v/>
      </c>
      <c r="I728" t="str">
        <f>IF(DONNEES!$E728="","",DONNEES!J728)</f>
        <v/>
      </c>
      <c r="J728" t="str">
        <f>IF(DONNEES!$E728="","",DONNEES!K728)</f>
        <v/>
      </c>
      <c r="K728" t="str">
        <f>IF(DONNEES!$E728="","",DONNEES!L728)</f>
        <v/>
      </c>
      <c r="L728" t="str">
        <f>IF(DONNEES!$E728="","",DONNEES!M728)</f>
        <v/>
      </c>
      <c r="M728" t="str">
        <f>IF(DONNEES!$E728="","",DONNEES!N728)</f>
        <v/>
      </c>
      <c r="N728" t="str">
        <f>IF(DONNEES!$E728="","",DONNEES!O728)</f>
        <v/>
      </c>
      <c r="O728" t="str">
        <f>IF(DONNEES!$E728="","",DONNEES!P728)</f>
        <v/>
      </c>
      <c r="P728" t="str">
        <f>IF(DONNEES!$E728="","",DONNEES!Q728)</f>
        <v/>
      </c>
      <c r="Q728" t="str">
        <f>IF(DONNEES!$E728="","",DONNEES!R728)</f>
        <v/>
      </c>
      <c r="R728" t="str">
        <f>IF(DONNEES!$E728="","",DONNEES!S728)</f>
        <v/>
      </c>
      <c r="S728" t="str">
        <f>IF(DONNEES!$E728="","",DONNEES!T728)</f>
        <v/>
      </c>
      <c r="T728" t="str">
        <f>IF(DONNEES!$E728="","",DONNEES!U728)</f>
        <v/>
      </c>
      <c r="U728" t="str">
        <f>IF(DONNEES!$E728="","",DONNEES!V728)</f>
        <v/>
      </c>
      <c r="V728" t="str">
        <f>IF(DONNEES!$E728="","",DONNEES!W728)</f>
        <v/>
      </c>
      <c r="W728" t="str">
        <f>IF(DONNEES!$E728="","",DONNEES!X728)</f>
        <v/>
      </c>
      <c r="X728" t="str">
        <f>IF(DONNEES!$E728="","",DONNEES!Y728)</f>
        <v/>
      </c>
      <c r="Y728" t="str">
        <f>IF(DONNEES!$E728="","",DONNEES!Z728)</f>
        <v/>
      </c>
      <c r="Z728" t="str">
        <f>IF(DONNEES!$E728="","",DONNEES!AQ728)</f>
        <v/>
      </c>
    </row>
    <row r="729" spans="1:26" ht="15" customHeight="1" x14ac:dyDescent="0.3">
      <c r="A729" t="str">
        <f>IF(DONNEES!$E729="","",DONNEES!A729)</f>
        <v/>
      </c>
      <c r="B729" t="str">
        <f>IF(DONNEES!$E729="","",DONNEES!B729)</f>
        <v/>
      </c>
      <c r="C729" t="str">
        <f>IF(DONNEES!$E729="","",DONNEES!C729)</f>
        <v/>
      </c>
      <c r="D729" t="str">
        <f>IF(DONNEES!$E729="","",DONNEES!E729)</f>
        <v/>
      </c>
      <c r="E729" t="str">
        <f>IF(DONNEES!$E729="","",DONNEES!F729)</f>
        <v/>
      </c>
      <c r="F729" t="str">
        <f>IF(DONNEES!$E729="","",DONNEES!G729)</f>
        <v/>
      </c>
      <c r="G729" t="str">
        <f>IF(DONNEES!$E729="","",DONNEES!H729)</f>
        <v/>
      </c>
      <c r="H729" t="str">
        <f>IF(DONNEES!$E729="","",DONNEES!I729)</f>
        <v/>
      </c>
      <c r="I729" t="str">
        <f>IF(DONNEES!$E729="","",DONNEES!J729)</f>
        <v/>
      </c>
      <c r="J729" t="str">
        <f>IF(DONNEES!$E729="","",DONNEES!K729)</f>
        <v/>
      </c>
      <c r="K729" t="str">
        <f>IF(DONNEES!$E729="","",DONNEES!L729)</f>
        <v/>
      </c>
      <c r="L729" t="str">
        <f>IF(DONNEES!$E729="","",DONNEES!M729)</f>
        <v/>
      </c>
      <c r="M729" t="str">
        <f>IF(DONNEES!$E729="","",DONNEES!N729)</f>
        <v/>
      </c>
      <c r="N729" t="str">
        <f>IF(DONNEES!$E729="","",DONNEES!O729)</f>
        <v/>
      </c>
      <c r="O729" t="str">
        <f>IF(DONNEES!$E729="","",DONNEES!P729)</f>
        <v/>
      </c>
      <c r="P729" t="str">
        <f>IF(DONNEES!$E729="","",DONNEES!Q729)</f>
        <v/>
      </c>
      <c r="Q729" t="str">
        <f>IF(DONNEES!$E729="","",DONNEES!R729)</f>
        <v/>
      </c>
      <c r="R729" t="str">
        <f>IF(DONNEES!$E729="","",DONNEES!S729)</f>
        <v/>
      </c>
      <c r="S729" t="str">
        <f>IF(DONNEES!$E729="","",DONNEES!T729)</f>
        <v/>
      </c>
      <c r="T729" t="str">
        <f>IF(DONNEES!$E729="","",DONNEES!U729)</f>
        <v/>
      </c>
      <c r="U729" t="str">
        <f>IF(DONNEES!$E729="","",DONNEES!V729)</f>
        <v/>
      </c>
      <c r="V729" t="str">
        <f>IF(DONNEES!$E729="","",DONNEES!W729)</f>
        <v/>
      </c>
      <c r="W729" t="str">
        <f>IF(DONNEES!$E729="","",DONNEES!X729)</f>
        <v/>
      </c>
      <c r="X729" t="str">
        <f>IF(DONNEES!$E729="","",DONNEES!Y729)</f>
        <v/>
      </c>
      <c r="Y729" t="str">
        <f>IF(DONNEES!$E729="","",DONNEES!Z729)</f>
        <v/>
      </c>
      <c r="Z729" t="str">
        <f>IF(DONNEES!$E729="","",DONNEES!AQ729)</f>
        <v/>
      </c>
    </row>
    <row r="730" spans="1:26" ht="15" customHeight="1" x14ac:dyDescent="0.3">
      <c r="A730" t="str">
        <f>IF(DONNEES!$E730="","",DONNEES!A730)</f>
        <v/>
      </c>
      <c r="B730" t="str">
        <f>IF(DONNEES!$E730="","",DONNEES!B730)</f>
        <v/>
      </c>
      <c r="C730" t="str">
        <f>IF(DONNEES!$E730="","",DONNEES!C730)</f>
        <v/>
      </c>
      <c r="D730" t="str">
        <f>IF(DONNEES!$E730="","",DONNEES!E730)</f>
        <v/>
      </c>
      <c r="E730" t="str">
        <f>IF(DONNEES!$E730="","",DONNEES!F730)</f>
        <v/>
      </c>
      <c r="F730" t="str">
        <f>IF(DONNEES!$E730="","",DONNEES!G730)</f>
        <v/>
      </c>
      <c r="G730" t="str">
        <f>IF(DONNEES!$E730="","",DONNEES!H730)</f>
        <v/>
      </c>
      <c r="H730" t="str">
        <f>IF(DONNEES!$E730="","",DONNEES!I730)</f>
        <v/>
      </c>
      <c r="I730" t="str">
        <f>IF(DONNEES!$E730="","",DONNEES!J730)</f>
        <v/>
      </c>
      <c r="J730" t="str">
        <f>IF(DONNEES!$E730="","",DONNEES!K730)</f>
        <v/>
      </c>
      <c r="K730" t="str">
        <f>IF(DONNEES!$E730="","",DONNEES!L730)</f>
        <v/>
      </c>
      <c r="L730" t="str">
        <f>IF(DONNEES!$E730="","",DONNEES!M730)</f>
        <v/>
      </c>
      <c r="M730" t="str">
        <f>IF(DONNEES!$E730="","",DONNEES!N730)</f>
        <v/>
      </c>
      <c r="N730" t="str">
        <f>IF(DONNEES!$E730="","",DONNEES!O730)</f>
        <v/>
      </c>
      <c r="O730" t="str">
        <f>IF(DONNEES!$E730="","",DONNEES!P730)</f>
        <v/>
      </c>
      <c r="P730" t="str">
        <f>IF(DONNEES!$E730="","",DONNEES!Q730)</f>
        <v/>
      </c>
      <c r="Q730" t="str">
        <f>IF(DONNEES!$E730="","",DONNEES!R730)</f>
        <v/>
      </c>
      <c r="R730" t="str">
        <f>IF(DONNEES!$E730="","",DONNEES!S730)</f>
        <v/>
      </c>
      <c r="S730" t="str">
        <f>IF(DONNEES!$E730="","",DONNEES!T730)</f>
        <v/>
      </c>
      <c r="T730" t="str">
        <f>IF(DONNEES!$E730="","",DONNEES!U730)</f>
        <v/>
      </c>
      <c r="U730" t="str">
        <f>IF(DONNEES!$E730="","",DONNEES!V730)</f>
        <v/>
      </c>
      <c r="V730" t="str">
        <f>IF(DONNEES!$E730="","",DONNEES!W730)</f>
        <v/>
      </c>
      <c r="W730" t="str">
        <f>IF(DONNEES!$E730="","",DONNEES!X730)</f>
        <v/>
      </c>
      <c r="X730" t="str">
        <f>IF(DONNEES!$E730="","",DONNEES!Y730)</f>
        <v/>
      </c>
      <c r="Y730" t="str">
        <f>IF(DONNEES!$E730="","",DONNEES!Z730)</f>
        <v/>
      </c>
      <c r="Z730" t="str">
        <f>IF(DONNEES!$E730="","",DONNEES!AQ730)</f>
        <v/>
      </c>
    </row>
    <row r="731" spans="1:26" ht="15" customHeight="1" x14ac:dyDescent="0.3">
      <c r="A731" t="str">
        <f>IF(DONNEES!$E731="","",DONNEES!A731)</f>
        <v/>
      </c>
      <c r="B731" t="str">
        <f>IF(DONNEES!$E731="","",DONNEES!B731)</f>
        <v/>
      </c>
      <c r="C731" t="str">
        <f>IF(DONNEES!$E731="","",DONNEES!C731)</f>
        <v/>
      </c>
      <c r="D731" t="str">
        <f>IF(DONNEES!$E731="","",DONNEES!E731)</f>
        <v/>
      </c>
      <c r="E731" t="str">
        <f>IF(DONNEES!$E731="","",DONNEES!F731)</f>
        <v/>
      </c>
      <c r="F731" t="str">
        <f>IF(DONNEES!$E731="","",DONNEES!G731)</f>
        <v/>
      </c>
      <c r="G731" t="str">
        <f>IF(DONNEES!$E731="","",DONNEES!H731)</f>
        <v/>
      </c>
      <c r="H731" t="str">
        <f>IF(DONNEES!$E731="","",DONNEES!I731)</f>
        <v/>
      </c>
      <c r="I731" t="str">
        <f>IF(DONNEES!$E731="","",DONNEES!J731)</f>
        <v/>
      </c>
      <c r="J731" t="str">
        <f>IF(DONNEES!$E731="","",DONNEES!K731)</f>
        <v/>
      </c>
      <c r="K731" t="str">
        <f>IF(DONNEES!$E731="","",DONNEES!L731)</f>
        <v/>
      </c>
      <c r="L731" t="str">
        <f>IF(DONNEES!$E731="","",DONNEES!M731)</f>
        <v/>
      </c>
      <c r="M731" t="str">
        <f>IF(DONNEES!$E731="","",DONNEES!N731)</f>
        <v/>
      </c>
      <c r="N731" t="str">
        <f>IF(DONNEES!$E731="","",DONNEES!O731)</f>
        <v/>
      </c>
      <c r="O731" t="str">
        <f>IF(DONNEES!$E731="","",DONNEES!P731)</f>
        <v/>
      </c>
      <c r="P731" t="str">
        <f>IF(DONNEES!$E731="","",DONNEES!Q731)</f>
        <v/>
      </c>
      <c r="Q731" t="str">
        <f>IF(DONNEES!$E731="","",DONNEES!R731)</f>
        <v/>
      </c>
      <c r="R731" t="str">
        <f>IF(DONNEES!$E731="","",DONNEES!S731)</f>
        <v/>
      </c>
      <c r="S731" t="str">
        <f>IF(DONNEES!$E731="","",DONNEES!T731)</f>
        <v/>
      </c>
      <c r="T731" t="str">
        <f>IF(DONNEES!$E731="","",DONNEES!U731)</f>
        <v/>
      </c>
      <c r="U731" t="str">
        <f>IF(DONNEES!$E731="","",DONNEES!V731)</f>
        <v/>
      </c>
      <c r="V731" t="str">
        <f>IF(DONNEES!$E731="","",DONNEES!W731)</f>
        <v/>
      </c>
      <c r="W731" t="str">
        <f>IF(DONNEES!$E731="","",DONNEES!X731)</f>
        <v/>
      </c>
      <c r="X731" t="str">
        <f>IF(DONNEES!$E731="","",DONNEES!Y731)</f>
        <v/>
      </c>
      <c r="Y731" t="str">
        <f>IF(DONNEES!$E731="","",DONNEES!Z731)</f>
        <v/>
      </c>
      <c r="Z731" t="str">
        <f>IF(DONNEES!$E731="","",DONNEES!AQ731)</f>
        <v/>
      </c>
    </row>
    <row r="732" spans="1:26" ht="15" customHeight="1" x14ac:dyDescent="0.3">
      <c r="A732" t="str">
        <f>IF(DONNEES!$E732="","",DONNEES!A732)</f>
        <v/>
      </c>
      <c r="B732" t="str">
        <f>IF(DONNEES!$E732="","",DONNEES!B732)</f>
        <v/>
      </c>
      <c r="C732" t="str">
        <f>IF(DONNEES!$E732="","",DONNEES!C732)</f>
        <v/>
      </c>
      <c r="D732" t="str">
        <f>IF(DONNEES!$E732="","",DONNEES!E732)</f>
        <v/>
      </c>
      <c r="E732" t="str">
        <f>IF(DONNEES!$E732="","",DONNEES!F732)</f>
        <v/>
      </c>
      <c r="F732" t="str">
        <f>IF(DONNEES!$E732="","",DONNEES!G732)</f>
        <v/>
      </c>
      <c r="G732" t="str">
        <f>IF(DONNEES!$E732="","",DONNEES!H732)</f>
        <v/>
      </c>
      <c r="H732" t="str">
        <f>IF(DONNEES!$E732="","",DONNEES!I732)</f>
        <v/>
      </c>
      <c r="I732" t="str">
        <f>IF(DONNEES!$E732="","",DONNEES!J732)</f>
        <v/>
      </c>
      <c r="J732" t="str">
        <f>IF(DONNEES!$E732="","",DONNEES!K732)</f>
        <v/>
      </c>
      <c r="K732" t="str">
        <f>IF(DONNEES!$E732="","",DONNEES!L732)</f>
        <v/>
      </c>
      <c r="L732" t="str">
        <f>IF(DONNEES!$E732="","",DONNEES!M732)</f>
        <v/>
      </c>
      <c r="M732" t="str">
        <f>IF(DONNEES!$E732="","",DONNEES!N732)</f>
        <v/>
      </c>
      <c r="N732" t="str">
        <f>IF(DONNEES!$E732="","",DONNEES!O732)</f>
        <v/>
      </c>
      <c r="O732" t="str">
        <f>IF(DONNEES!$E732="","",DONNEES!P732)</f>
        <v/>
      </c>
      <c r="P732" t="str">
        <f>IF(DONNEES!$E732="","",DONNEES!Q732)</f>
        <v/>
      </c>
      <c r="Q732" t="str">
        <f>IF(DONNEES!$E732="","",DONNEES!R732)</f>
        <v/>
      </c>
      <c r="R732" t="str">
        <f>IF(DONNEES!$E732="","",DONNEES!S732)</f>
        <v/>
      </c>
      <c r="S732" t="str">
        <f>IF(DONNEES!$E732="","",DONNEES!T732)</f>
        <v/>
      </c>
      <c r="T732" t="str">
        <f>IF(DONNEES!$E732="","",DONNEES!U732)</f>
        <v/>
      </c>
      <c r="U732" t="str">
        <f>IF(DONNEES!$E732="","",DONNEES!V732)</f>
        <v/>
      </c>
      <c r="V732" t="str">
        <f>IF(DONNEES!$E732="","",DONNEES!W732)</f>
        <v/>
      </c>
      <c r="W732" t="str">
        <f>IF(DONNEES!$E732="","",DONNEES!X732)</f>
        <v/>
      </c>
      <c r="X732" t="str">
        <f>IF(DONNEES!$E732="","",DONNEES!Y732)</f>
        <v/>
      </c>
      <c r="Y732" t="str">
        <f>IF(DONNEES!$E732="","",DONNEES!Z732)</f>
        <v/>
      </c>
      <c r="Z732" t="str">
        <f>IF(DONNEES!$E732="","",DONNEES!AQ732)</f>
        <v/>
      </c>
    </row>
    <row r="733" spans="1:26" ht="15" customHeight="1" x14ac:dyDescent="0.3">
      <c r="A733" t="str">
        <f>IF(DONNEES!$E733="","",DONNEES!A733)</f>
        <v/>
      </c>
      <c r="B733" t="str">
        <f>IF(DONNEES!$E733="","",DONNEES!B733)</f>
        <v/>
      </c>
      <c r="C733" t="str">
        <f>IF(DONNEES!$E733="","",DONNEES!C733)</f>
        <v/>
      </c>
      <c r="D733" t="str">
        <f>IF(DONNEES!$E733="","",DONNEES!E733)</f>
        <v/>
      </c>
      <c r="E733" t="str">
        <f>IF(DONNEES!$E733="","",DONNEES!F733)</f>
        <v/>
      </c>
      <c r="F733" t="str">
        <f>IF(DONNEES!$E733="","",DONNEES!G733)</f>
        <v/>
      </c>
      <c r="G733" t="str">
        <f>IF(DONNEES!$E733="","",DONNEES!H733)</f>
        <v/>
      </c>
      <c r="H733" t="str">
        <f>IF(DONNEES!$E733="","",DONNEES!I733)</f>
        <v/>
      </c>
      <c r="I733" t="str">
        <f>IF(DONNEES!$E733="","",DONNEES!J733)</f>
        <v/>
      </c>
      <c r="J733" t="str">
        <f>IF(DONNEES!$E733="","",DONNEES!K733)</f>
        <v/>
      </c>
      <c r="K733" t="str">
        <f>IF(DONNEES!$E733="","",DONNEES!L733)</f>
        <v/>
      </c>
      <c r="L733" t="str">
        <f>IF(DONNEES!$E733="","",DONNEES!M733)</f>
        <v/>
      </c>
      <c r="M733" t="str">
        <f>IF(DONNEES!$E733="","",DONNEES!N733)</f>
        <v/>
      </c>
      <c r="N733" t="str">
        <f>IF(DONNEES!$E733="","",DONNEES!O733)</f>
        <v/>
      </c>
      <c r="O733" t="str">
        <f>IF(DONNEES!$E733="","",DONNEES!P733)</f>
        <v/>
      </c>
      <c r="P733" t="str">
        <f>IF(DONNEES!$E733="","",DONNEES!Q733)</f>
        <v/>
      </c>
      <c r="Q733" t="str">
        <f>IF(DONNEES!$E733="","",DONNEES!R733)</f>
        <v/>
      </c>
      <c r="R733" t="str">
        <f>IF(DONNEES!$E733="","",DONNEES!S733)</f>
        <v/>
      </c>
      <c r="S733" t="str">
        <f>IF(DONNEES!$E733="","",DONNEES!T733)</f>
        <v/>
      </c>
      <c r="T733" t="str">
        <f>IF(DONNEES!$E733="","",DONNEES!U733)</f>
        <v/>
      </c>
      <c r="U733" t="str">
        <f>IF(DONNEES!$E733="","",DONNEES!V733)</f>
        <v/>
      </c>
      <c r="V733" t="str">
        <f>IF(DONNEES!$E733="","",DONNEES!W733)</f>
        <v/>
      </c>
      <c r="W733" t="str">
        <f>IF(DONNEES!$E733="","",DONNEES!X733)</f>
        <v/>
      </c>
      <c r="X733" t="str">
        <f>IF(DONNEES!$E733="","",DONNEES!Y733)</f>
        <v/>
      </c>
      <c r="Y733" t="str">
        <f>IF(DONNEES!$E733="","",DONNEES!Z733)</f>
        <v/>
      </c>
      <c r="Z733" t="str">
        <f>IF(DONNEES!$E733="","",DONNEES!AQ733)</f>
        <v/>
      </c>
    </row>
    <row r="734" spans="1:26" ht="15" customHeight="1" x14ac:dyDescent="0.3">
      <c r="A734" t="str">
        <f>IF(DONNEES!$E734="","",DONNEES!A734)</f>
        <v/>
      </c>
      <c r="B734" t="str">
        <f>IF(DONNEES!$E734="","",DONNEES!B734)</f>
        <v/>
      </c>
      <c r="C734" t="str">
        <f>IF(DONNEES!$E734="","",DONNEES!C734)</f>
        <v/>
      </c>
      <c r="D734" t="str">
        <f>IF(DONNEES!$E734="","",DONNEES!E734)</f>
        <v/>
      </c>
      <c r="E734" t="str">
        <f>IF(DONNEES!$E734="","",DONNEES!F734)</f>
        <v/>
      </c>
      <c r="F734" t="str">
        <f>IF(DONNEES!$E734="","",DONNEES!G734)</f>
        <v/>
      </c>
      <c r="G734" t="str">
        <f>IF(DONNEES!$E734="","",DONNEES!H734)</f>
        <v/>
      </c>
      <c r="H734" t="str">
        <f>IF(DONNEES!$E734="","",DONNEES!I734)</f>
        <v/>
      </c>
      <c r="I734" t="str">
        <f>IF(DONNEES!$E734="","",DONNEES!J734)</f>
        <v/>
      </c>
      <c r="J734" t="str">
        <f>IF(DONNEES!$E734="","",DONNEES!K734)</f>
        <v/>
      </c>
      <c r="K734" t="str">
        <f>IF(DONNEES!$E734="","",DONNEES!L734)</f>
        <v/>
      </c>
      <c r="L734" t="str">
        <f>IF(DONNEES!$E734="","",DONNEES!M734)</f>
        <v/>
      </c>
      <c r="M734" t="str">
        <f>IF(DONNEES!$E734="","",DONNEES!N734)</f>
        <v/>
      </c>
      <c r="N734" t="str">
        <f>IF(DONNEES!$E734="","",DONNEES!O734)</f>
        <v/>
      </c>
      <c r="O734" t="str">
        <f>IF(DONNEES!$E734="","",DONNEES!P734)</f>
        <v/>
      </c>
      <c r="P734" t="str">
        <f>IF(DONNEES!$E734="","",DONNEES!Q734)</f>
        <v/>
      </c>
      <c r="Q734" t="str">
        <f>IF(DONNEES!$E734="","",DONNEES!R734)</f>
        <v/>
      </c>
      <c r="R734" t="str">
        <f>IF(DONNEES!$E734="","",DONNEES!S734)</f>
        <v/>
      </c>
      <c r="S734" t="str">
        <f>IF(DONNEES!$E734="","",DONNEES!T734)</f>
        <v/>
      </c>
      <c r="T734" t="str">
        <f>IF(DONNEES!$E734="","",DONNEES!U734)</f>
        <v/>
      </c>
      <c r="U734" t="str">
        <f>IF(DONNEES!$E734="","",DONNEES!V734)</f>
        <v/>
      </c>
      <c r="V734" t="str">
        <f>IF(DONNEES!$E734="","",DONNEES!W734)</f>
        <v/>
      </c>
      <c r="W734" t="str">
        <f>IF(DONNEES!$E734="","",DONNEES!X734)</f>
        <v/>
      </c>
      <c r="X734" t="str">
        <f>IF(DONNEES!$E734="","",DONNEES!Y734)</f>
        <v/>
      </c>
      <c r="Y734" t="str">
        <f>IF(DONNEES!$E734="","",DONNEES!Z734)</f>
        <v/>
      </c>
      <c r="Z734" t="str">
        <f>IF(DONNEES!$E734="","",DONNEES!AQ734)</f>
        <v/>
      </c>
    </row>
    <row r="735" spans="1:26" ht="15" customHeight="1" x14ac:dyDescent="0.3">
      <c r="A735" t="str">
        <f>IF(DONNEES!$E735="","",DONNEES!A735)</f>
        <v/>
      </c>
      <c r="B735" t="str">
        <f>IF(DONNEES!$E735="","",DONNEES!B735)</f>
        <v/>
      </c>
      <c r="C735" t="str">
        <f>IF(DONNEES!$E735="","",DONNEES!C735)</f>
        <v/>
      </c>
      <c r="D735" t="str">
        <f>IF(DONNEES!$E735="","",DONNEES!E735)</f>
        <v/>
      </c>
      <c r="E735" t="str">
        <f>IF(DONNEES!$E735="","",DONNEES!F735)</f>
        <v/>
      </c>
      <c r="F735" t="str">
        <f>IF(DONNEES!$E735="","",DONNEES!G735)</f>
        <v/>
      </c>
      <c r="G735" t="str">
        <f>IF(DONNEES!$E735="","",DONNEES!H735)</f>
        <v/>
      </c>
      <c r="H735" t="str">
        <f>IF(DONNEES!$E735="","",DONNEES!I735)</f>
        <v/>
      </c>
      <c r="I735" t="str">
        <f>IF(DONNEES!$E735="","",DONNEES!J735)</f>
        <v/>
      </c>
      <c r="J735" t="str">
        <f>IF(DONNEES!$E735="","",DONNEES!K735)</f>
        <v/>
      </c>
      <c r="K735" t="str">
        <f>IF(DONNEES!$E735="","",DONNEES!L735)</f>
        <v/>
      </c>
      <c r="L735" t="str">
        <f>IF(DONNEES!$E735="","",DONNEES!M735)</f>
        <v/>
      </c>
      <c r="M735" t="str">
        <f>IF(DONNEES!$E735="","",DONNEES!N735)</f>
        <v/>
      </c>
      <c r="N735" t="str">
        <f>IF(DONNEES!$E735="","",DONNEES!O735)</f>
        <v/>
      </c>
      <c r="O735" t="str">
        <f>IF(DONNEES!$E735="","",DONNEES!P735)</f>
        <v/>
      </c>
      <c r="P735" t="str">
        <f>IF(DONNEES!$E735="","",DONNEES!Q735)</f>
        <v/>
      </c>
      <c r="Q735" t="str">
        <f>IF(DONNEES!$E735="","",DONNEES!R735)</f>
        <v/>
      </c>
      <c r="R735" t="str">
        <f>IF(DONNEES!$E735="","",DONNEES!S735)</f>
        <v/>
      </c>
      <c r="S735" t="str">
        <f>IF(DONNEES!$E735="","",DONNEES!T735)</f>
        <v/>
      </c>
      <c r="T735" t="str">
        <f>IF(DONNEES!$E735="","",DONNEES!U735)</f>
        <v/>
      </c>
      <c r="U735" t="str">
        <f>IF(DONNEES!$E735="","",DONNEES!V735)</f>
        <v/>
      </c>
      <c r="V735" t="str">
        <f>IF(DONNEES!$E735="","",DONNEES!W735)</f>
        <v/>
      </c>
      <c r="W735" t="str">
        <f>IF(DONNEES!$E735="","",DONNEES!X735)</f>
        <v/>
      </c>
      <c r="X735" t="str">
        <f>IF(DONNEES!$E735="","",DONNEES!Y735)</f>
        <v/>
      </c>
      <c r="Y735" t="str">
        <f>IF(DONNEES!$E735="","",DONNEES!Z735)</f>
        <v/>
      </c>
      <c r="Z735" t="str">
        <f>IF(DONNEES!$E735="","",DONNEES!AQ735)</f>
        <v/>
      </c>
    </row>
    <row r="736" spans="1:26" ht="15" customHeight="1" x14ac:dyDescent="0.3">
      <c r="A736" t="str">
        <f>IF(DONNEES!$E736="","",DONNEES!A736)</f>
        <v/>
      </c>
      <c r="B736" t="str">
        <f>IF(DONNEES!$E736="","",DONNEES!B736)</f>
        <v/>
      </c>
      <c r="C736" t="str">
        <f>IF(DONNEES!$E736="","",DONNEES!C736)</f>
        <v/>
      </c>
      <c r="D736" t="str">
        <f>IF(DONNEES!$E736="","",DONNEES!E736)</f>
        <v/>
      </c>
      <c r="E736" t="str">
        <f>IF(DONNEES!$E736="","",DONNEES!F736)</f>
        <v/>
      </c>
      <c r="F736" t="str">
        <f>IF(DONNEES!$E736="","",DONNEES!G736)</f>
        <v/>
      </c>
      <c r="G736" t="str">
        <f>IF(DONNEES!$E736="","",DONNEES!H736)</f>
        <v/>
      </c>
      <c r="H736" t="str">
        <f>IF(DONNEES!$E736="","",DONNEES!I736)</f>
        <v/>
      </c>
      <c r="I736" t="str">
        <f>IF(DONNEES!$E736="","",DONNEES!J736)</f>
        <v/>
      </c>
      <c r="J736" t="str">
        <f>IF(DONNEES!$E736="","",DONNEES!K736)</f>
        <v/>
      </c>
      <c r="K736" t="str">
        <f>IF(DONNEES!$E736="","",DONNEES!L736)</f>
        <v/>
      </c>
      <c r="L736" t="str">
        <f>IF(DONNEES!$E736="","",DONNEES!M736)</f>
        <v/>
      </c>
      <c r="M736" t="str">
        <f>IF(DONNEES!$E736="","",DONNEES!N736)</f>
        <v/>
      </c>
      <c r="N736" t="str">
        <f>IF(DONNEES!$E736="","",DONNEES!O736)</f>
        <v/>
      </c>
      <c r="O736" t="str">
        <f>IF(DONNEES!$E736="","",DONNEES!P736)</f>
        <v/>
      </c>
      <c r="P736" t="str">
        <f>IF(DONNEES!$E736="","",DONNEES!Q736)</f>
        <v/>
      </c>
      <c r="Q736" t="str">
        <f>IF(DONNEES!$E736="","",DONNEES!R736)</f>
        <v/>
      </c>
      <c r="R736" t="str">
        <f>IF(DONNEES!$E736="","",DONNEES!S736)</f>
        <v/>
      </c>
      <c r="S736" t="str">
        <f>IF(DONNEES!$E736="","",DONNEES!T736)</f>
        <v/>
      </c>
      <c r="T736" t="str">
        <f>IF(DONNEES!$E736="","",DONNEES!U736)</f>
        <v/>
      </c>
      <c r="U736" t="str">
        <f>IF(DONNEES!$E736="","",DONNEES!V736)</f>
        <v/>
      </c>
      <c r="V736" t="str">
        <f>IF(DONNEES!$E736="","",DONNEES!W736)</f>
        <v/>
      </c>
      <c r="W736" t="str">
        <f>IF(DONNEES!$E736="","",DONNEES!X736)</f>
        <v/>
      </c>
      <c r="X736" t="str">
        <f>IF(DONNEES!$E736="","",DONNEES!Y736)</f>
        <v/>
      </c>
      <c r="Y736" t="str">
        <f>IF(DONNEES!$E736="","",DONNEES!Z736)</f>
        <v/>
      </c>
      <c r="Z736" t="str">
        <f>IF(DONNEES!$E736="","",DONNEES!AQ736)</f>
        <v/>
      </c>
    </row>
    <row r="737" spans="1:26" ht="15" customHeight="1" x14ac:dyDescent="0.3">
      <c r="A737" t="str">
        <f>IF(DONNEES!$E737="","",DONNEES!A737)</f>
        <v/>
      </c>
      <c r="B737" t="str">
        <f>IF(DONNEES!$E737="","",DONNEES!B737)</f>
        <v/>
      </c>
      <c r="C737" t="str">
        <f>IF(DONNEES!$E737="","",DONNEES!C737)</f>
        <v/>
      </c>
      <c r="D737" t="str">
        <f>IF(DONNEES!$E737="","",DONNEES!E737)</f>
        <v/>
      </c>
      <c r="E737" t="str">
        <f>IF(DONNEES!$E737="","",DONNEES!F737)</f>
        <v/>
      </c>
      <c r="F737" t="str">
        <f>IF(DONNEES!$E737="","",DONNEES!G737)</f>
        <v/>
      </c>
      <c r="G737" t="str">
        <f>IF(DONNEES!$E737="","",DONNEES!H737)</f>
        <v/>
      </c>
      <c r="H737" t="str">
        <f>IF(DONNEES!$E737="","",DONNEES!I737)</f>
        <v/>
      </c>
      <c r="I737" t="str">
        <f>IF(DONNEES!$E737="","",DONNEES!J737)</f>
        <v/>
      </c>
      <c r="J737" t="str">
        <f>IF(DONNEES!$E737="","",DONNEES!K737)</f>
        <v/>
      </c>
      <c r="K737" t="str">
        <f>IF(DONNEES!$E737="","",DONNEES!L737)</f>
        <v/>
      </c>
      <c r="L737" t="str">
        <f>IF(DONNEES!$E737="","",DONNEES!M737)</f>
        <v/>
      </c>
      <c r="M737" t="str">
        <f>IF(DONNEES!$E737="","",DONNEES!N737)</f>
        <v/>
      </c>
      <c r="N737" t="str">
        <f>IF(DONNEES!$E737="","",DONNEES!O737)</f>
        <v/>
      </c>
      <c r="O737" t="str">
        <f>IF(DONNEES!$E737="","",DONNEES!P737)</f>
        <v/>
      </c>
      <c r="P737" t="str">
        <f>IF(DONNEES!$E737="","",DONNEES!Q737)</f>
        <v/>
      </c>
      <c r="Q737" t="str">
        <f>IF(DONNEES!$E737="","",DONNEES!R737)</f>
        <v/>
      </c>
      <c r="R737" t="str">
        <f>IF(DONNEES!$E737="","",DONNEES!S737)</f>
        <v/>
      </c>
      <c r="S737" t="str">
        <f>IF(DONNEES!$E737="","",DONNEES!T737)</f>
        <v/>
      </c>
      <c r="T737" t="str">
        <f>IF(DONNEES!$E737="","",DONNEES!U737)</f>
        <v/>
      </c>
      <c r="U737" t="str">
        <f>IF(DONNEES!$E737="","",DONNEES!V737)</f>
        <v/>
      </c>
      <c r="V737" t="str">
        <f>IF(DONNEES!$E737="","",DONNEES!W737)</f>
        <v/>
      </c>
      <c r="W737" t="str">
        <f>IF(DONNEES!$E737="","",DONNEES!X737)</f>
        <v/>
      </c>
      <c r="X737" t="str">
        <f>IF(DONNEES!$E737="","",DONNEES!Y737)</f>
        <v/>
      </c>
      <c r="Y737" t="str">
        <f>IF(DONNEES!$E737="","",DONNEES!Z737)</f>
        <v/>
      </c>
      <c r="Z737" t="str">
        <f>IF(DONNEES!$E737="","",DONNEES!AQ737)</f>
        <v/>
      </c>
    </row>
    <row r="738" spans="1:26" ht="15" customHeight="1" x14ac:dyDescent="0.3">
      <c r="A738" t="str">
        <f>IF(DONNEES!$E738="","",DONNEES!A738)</f>
        <v/>
      </c>
      <c r="B738" t="str">
        <f>IF(DONNEES!$E738="","",DONNEES!B738)</f>
        <v/>
      </c>
      <c r="C738" t="str">
        <f>IF(DONNEES!$E738="","",DONNEES!C738)</f>
        <v/>
      </c>
      <c r="D738" t="str">
        <f>IF(DONNEES!$E738="","",DONNEES!E738)</f>
        <v/>
      </c>
      <c r="E738" t="str">
        <f>IF(DONNEES!$E738="","",DONNEES!F738)</f>
        <v/>
      </c>
      <c r="F738" t="str">
        <f>IF(DONNEES!$E738="","",DONNEES!G738)</f>
        <v/>
      </c>
      <c r="G738" t="str">
        <f>IF(DONNEES!$E738="","",DONNEES!H738)</f>
        <v/>
      </c>
      <c r="H738" t="str">
        <f>IF(DONNEES!$E738="","",DONNEES!I738)</f>
        <v/>
      </c>
      <c r="I738" t="str">
        <f>IF(DONNEES!$E738="","",DONNEES!J738)</f>
        <v/>
      </c>
      <c r="J738" t="str">
        <f>IF(DONNEES!$E738="","",DONNEES!K738)</f>
        <v/>
      </c>
      <c r="K738" t="str">
        <f>IF(DONNEES!$E738="","",DONNEES!L738)</f>
        <v/>
      </c>
      <c r="L738" t="str">
        <f>IF(DONNEES!$E738="","",DONNEES!M738)</f>
        <v/>
      </c>
      <c r="M738" t="str">
        <f>IF(DONNEES!$E738="","",DONNEES!N738)</f>
        <v/>
      </c>
      <c r="N738" t="str">
        <f>IF(DONNEES!$E738="","",DONNEES!O738)</f>
        <v/>
      </c>
      <c r="O738" t="str">
        <f>IF(DONNEES!$E738="","",DONNEES!P738)</f>
        <v/>
      </c>
      <c r="P738" t="str">
        <f>IF(DONNEES!$E738="","",DONNEES!Q738)</f>
        <v/>
      </c>
      <c r="Q738" t="str">
        <f>IF(DONNEES!$E738="","",DONNEES!R738)</f>
        <v/>
      </c>
      <c r="R738" t="str">
        <f>IF(DONNEES!$E738="","",DONNEES!S738)</f>
        <v/>
      </c>
      <c r="S738" t="str">
        <f>IF(DONNEES!$E738="","",DONNEES!T738)</f>
        <v/>
      </c>
      <c r="T738" t="str">
        <f>IF(DONNEES!$E738="","",DONNEES!U738)</f>
        <v/>
      </c>
      <c r="U738" t="str">
        <f>IF(DONNEES!$E738="","",DONNEES!V738)</f>
        <v/>
      </c>
      <c r="V738" t="str">
        <f>IF(DONNEES!$E738="","",DONNEES!W738)</f>
        <v/>
      </c>
      <c r="W738" t="str">
        <f>IF(DONNEES!$E738="","",DONNEES!X738)</f>
        <v/>
      </c>
      <c r="X738" t="str">
        <f>IF(DONNEES!$E738="","",DONNEES!Y738)</f>
        <v/>
      </c>
      <c r="Y738" t="str">
        <f>IF(DONNEES!$E738="","",DONNEES!Z738)</f>
        <v/>
      </c>
      <c r="Z738" t="str">
        <f>IF(DONNEES!$E738="","",DONNEES!AQ738)</f>
        <v/>
      </c>
    </row>
    <row r="739" spans="1:26" ht="15" customHeight="1" x14ac:dyDescent="0.3">
      <c r="A739" t="str">
        <f>IF(DONNEES!$E739="","",DONNEES!A739)</f>
        <v/>
      </c>
      <c r="B739" t="str">
        <f>IF(DONNEES!$E739="","",DONNEES!B739)</f>
        <v/>
      </c>
      <c r="C739" t="str">
        <f>IF(DONNEES!$E739="","",DONNEES!C739)</f>
        <v/>
      </c>
      <c r="D739" t="str">
        <f>IF(DONNEES!$E739="","",DONNEES!E739)</f>
        <v/>
      </c>
      <c r="E739" t="str">
        <f>IF(DONNEES!$E739="","",DONNEES!F739)</f>
        <v/>
      </c>
      <c r="F739" t="str">
        <f>IF(DONNEES!$E739="","",DONNEES!G739)</f>
        <v/>
      </c>
      <c r="G739" t="str">
        <f>IF(DONNEES!$E739="","",DONNEES!H739)</f>
        <v/>
      </c>
      <c r="H739" t="str">
        <f>IF(DONNEES!$E739="","",DONNEES!I739)</f>
        <v/>
      </c>
      <c r="I739" t="str">
        <f>IF(DONNEES!$E739="","",DONNEES!J739)</f>
        <v/>
      </c>
      <c r="J739" t="str">
        <f>IF(DONNEES!$E739="","",DONNEES!K739)</f>
        <v/>
      </c>
      <c r="K739" t="str">
        <f>IF(DONNEES!$E739="","",DONNEES!L739)</f>
        <v/>
      </c>
      <c r="L739" t="str">
        <f>IF(DONNEES!$E739="","",DONNEES!M739)</f>
        <v/>
      </c>
      <c r="M739" t="str">
        <f>IF(DONNEES!$E739="","",DONNEES!N739)</f>
        <v/>
      </c>
      <c r="N739" t="str">
        <f>IF(DONNEES!$E739="","",DONNEES!O739)</f>
        <v/>
      </c>
      <c r="O739" t="str">
        <f>IF(DONNEES!$E739="","",DONNEES!P739)</f>
        <v/>
      </c>
      <c r="P739" t="str">
        <f>IF(DONNEES!$E739="","",DONNEES!Q739)</f>
        <v/>
      </c>
      <c r="Q739" t="str">
        <f>IF(DONNEES!$E739="","",DONNEES!R739)</f>
        <v/>
      </c>
      <c r="R739" t="str">
        <f>IF(DONNEES!$E739="","",DONNEES!S739)</f>
        <v/>
      </c>
      <c r="S739" t="str">
        <f>IF(DONNEES!$E739="","",DONNEES!T739)</f>
        <v/>
      </c>
      <c r="T739" t="str">
        <f>IF(DONNEES!$E739="","",DONNEES!U739)</f>
        <v/>
      </c>
      <c r="U739" t="str">
        <f>IF(DONNEES!$E739="","",DONNEES!V739)</f>
        <v/>
      </c>
      <c r="V739" t="str">
        <f>IF(DONNEES!$E739="","",DONNEES!W739)</f>
        <v/>
      </c>
      <c r="W739" t="str">
        <f>IF(DONNEES!$E739="","",DONNEES!X739)</f>
        <v/>
      </c>
      <c r="X739" t="str">
        <f>IF(DONNEES!$E739="","",DONNEES!Y739)</f>
        <v/>
      </c>
      <c r="Y739" t="str">
        <f>IF(DONNEES!$E739="","",DONNEES!Z739)</f>
        <v/>
      </c>
      <c r="Z739" t="str">
        <f>IF(DONNEES!$E739="","",DONNEES!AQ739)</f>
        <v/>
      </c>
    </row>
    <row r="740" spans="1:26" ht="15" customHeight="1" x14ac:dyDescent="0.3">
      <c r="A740" t="str">
        <f>IF(DONNEES!$E740="","",DONNEES!A740)</f>
        <v/>
      </c>
      <c r="B740" t="str">
        <f>IF(DONNEES!$E740="","",DONNEES!B740)</f>
        <v/>
      </c>
      <c r="C740" t="str">
        <f>IF(DONNEES!$E740="","",DONNEES!C740)</f>
        <v/>
      </c>
      <c r="D740" t="str">
        <f>IF(DONNEES!$E740="","",DONNEES!E740)</f>
        <v/>
      </c>
      <c r="E740" t="str">
        <f>IF(DONNEES!$E740="","",DONNEES!F740)</f>
        <v/>
      </c>
      <c r="F740" t="str">
        <f>IF(DONNEES!$E740="","",DONNEES!G740)</f>
        <v/>
      </c>
      <c r="G740" t="str">
        <f>IF(DONNEES!$E740="","",DONNEES!H740)</f>
        <v/>
      </c>
      <c r="H740" t="str">
        <f>IF(DONNEES!$E740="","",DONNEES!I740)</f>
        <v/>
      </c>
      <c r="I740" t="str">
        <f>IF(DONNEES!$E740="","",DONNEES!J740)</f>
        <v/>
      </c>
      <c r="J740" t="str">
        <f>IF(DONNEES!$E740="","",DONNEES!K740)</f>
        <v/>
      </c>
      <c r="K740" t="str">
        <f>IF(DONNEES!$E740="","",DONNEES!L740)</f>
        <v/>
      </c>
      <c r="L740" t="str">
        <f>IF(DONNEES!$E740="","",DONNEES!M740)</f>
        <v/>
      </c>
      <c r="M740" t="str">
        <f>IF(DONNEES!$E740="","",DONNEES!N740)</f>
        <v/>
      </c>
      <c r="N740" t="str">
        <f>IF(DONNEES!$E740="","",DONNEES!O740)</f>
        <v/>
      </c>
      <c r="O740" t="str">
        <f>IF(DONNEES!$E740="","",DONNEES!P740)</f>
        <v/>
      </c>
      <c r="P740" t="str">
        <f>IF(DONNEES!$E740="","",DONNEES!Q740)</f>
        <v/>
      </c>
      <c r="Q740" t="str">
        <f>IF(DONNEES!$E740="","",DONNEES!R740)</f>
        <v/>
      </c>
      <c r="R740" t="str">
        <f>IF(DONNEES!$E740="","",DONNEES!S740)</f>
        <v/>
      </c>
      <c r="S740" t="str">
        <f>IF(DONNEES!$E740="","",DONNEES!T740)</f>
        <v/>
      </c>
      <c r="T740" t="str">
        <f>IF(DONNEES!$E740="","",DONNEES!U740)</f>
        <v/>
      </c>
      <c r="U740" t="str">
        <f>IF(DONNEES!$E740="","",DONNEES!V740)</f>
        <v/>
      </c>
      <c r="V740" t="str">
        <f>IF(DONNEES!$E740="","",DONNEES!W740)</f>
        <v/>
      </c>
      <c r="W740" t="str">
        <f>IF(DONNEES!$E740="","",DONNEES!X740)</f>
        <v/>
      </c>
      <c r="X740" t="str">
        <f>IF(DONNEES!$E740="","",DONNEES!Y740)</f>
        <v/>
      </c>
      <c r="Y740" t="str">
        <f>IF(DONNEES!$E740="","",DONNEES!Z740)</f>
        <v/>
      </c>
      <c r="Z740" t="str">
        <f>IF(DONNEES!$E740="","",DONNEES!AQ740)</f>
        <v/>
      </c>
    </row>
    <row r="741" spans="1:26" ht="15" customHeight="1" x14ac:dyDescent="0.3">
      <c r="A741" t="str">
        <f>IF(DONNEES!$E741="","",DONNEES!A741)</f>
        <v/>
      </c>
      <c r="B741" t="str">
        <f>IF(DONNEES!$E741="","",DONNEES!B741)</f>
        <v/>
      </c>
      <c r="C741" t="str">
        <f>IF(DONNEES!$E741="","",DONNEES!C741)</f>
        <v/>
      </c>
      <c r="D741" t="str">
        <f>IF(DONNEES!$E741="","",DONNEES!E741)</f>
        <v/>
      </c>
      <c r="E741" t="str">
        <f>IF(DONNEES!$E741="","",DONNEES!F741)</f>
        <v/>
      </c>
      <c r="F741" t="str">
        <f>IF(DONNEES!$E741="","",DONNEES!G741)</f>
        <v/>
      </c>
      <c r="G741" t="str">
        <f>IF(DONNEES!$E741="","",DONNEES!H741)</f>
        <v/>
      </c>
      <c r="H741" t="str">
        <f>IF(DONNEES!$E741="","",DONNEES!I741)</f>
        <v/>
      </c>
      <c r="I741" t="str">
        <f>IF(DONNEES!$E741="","",DONNEES!J741)</f>
        <v/>
      </c>
      <c r="J741" t="str">
        <f>IF(DONNEES!$E741="","",DONNEES!K741)</f>
        <v/>
      </c>
      <c r="K741" t="str">
        <f>IF(DONNEES!$E741="","",DONNEES!L741)</f>
        <v/>
      </c>
      <c r="L741" t="str">
        <f>IF(DONNEES!$E741="","",DONNEES!M741)</f>
        <v/>
      </c>
      <c r="M741" t="str">
        <f>IF(DONNEES!$E741="","",DONNEES!N741)</f>
        <v/>
      </c>
      <c r="N741" t="str">
        <f>IF(DONNEES!$E741="","",DONNEES!O741)</f>
        <v/>
      </c>
      <c r="O741" t="str">
        <f>IF(DONNEES!$E741="","",DONNEES!P741)</f>
        <v/>
      </c>
      <c r="P741" t="str">
        <f>IF(DONNEES!$E741="","",DONNEES!Q741)</f>
        <v/>
      </c>
      <c r="Q741" t="str">
        <f>IF(DONNEES!$E741="","",DONNEES!R741)</f>
        <v/>
      </c>
      <c r="R741" t="str">
        <f>IF(DONNEES!$E741="","",DONNEES!S741)</f>
        <v/>
      </c>
      <c r="S741" t="str">
        <f>IF(DONNEES!$E741="","",DONNEES!T741)</f>
        <v/>
      </c>
      <c r="T741" t="str">
        <f>IF(DONNEES!$E741="","",DONNEES!U741)</f>
        <v/>
      </c>
      <c r="U741" t="str">
        <f>IF(DONNEES!$E741="","",DONNEES!V741)</f>
        <v/>
      </c>
      <c r="V741" t="str">
        <f>IF(DONNEES!$E741="","",DONNEES!W741)</f>
        <v/>
      </c>
      <c r="W741" t="str">
        <f>IF(DONNEES!$E741="","",DONNEES!X741)</f>
        <v/>
      </c>
      <c r="X741" t="str">
        <f>IF(DONNEES!$E741="","",DONNEES!Y741)</f>
        <v/>
      </c>
      <c r="Y741" t="str">
        <f>IF(DONNEES!$E741="","",DONNEES!Z741)</f>
        <v/>
      </c>
      <c r="Z741" t="str">
        <f>IF(DONNEES!$E741="","",DONNEES!AQ741)</f>
        <v/>
      </c>
    </row>
    <row r="742" spans="1:26" ht="15" customHeight="1" x14ac:dyDescent="0.3">
      <c r="A742" t="str">
        <f>IF(DONNEES!$E742="","",DONNEES!A742)</f>
        <v/>
      </c>
      <c r="B742" t="str">
        <f>IF(DONNEES!$E742="","",DONNEES!B742)</f>
        <v/>
      </c>
      <c r="C742" t="str">
        <f>IF(DONNEES!$E742="","",DONNEES!C742)</f>
        <v/>
      </c>
      <c r="D742" t="str">
        <f>IF(DONNEES!$E742="","",DONNEES!E742)</f>
        <v/>
      </c>
      <c r="E742" t="str">
        <f>IF(DONNEES!$E742="","",DONNEES!F742)</f>
        <v/>
      </c>
      <c r="F742" t="str">
        <f>IF(DONNEES!$E742="","",DONNEES!G742)</f>
        <v/>
      </c>
      <c r="G742" t="str">
        <f>IF(DONNEES!$E742="","",DONNEES!H742)</f>
        <v/>
      </c>
      <c r="H742" t="str">
        <f>IF(DONNEES!$E742="","",DONNEES!I742)</f>
        <v/>
      </c>
      <c r="I742" t="str">
        <f>IF(DONNEES!$E742="","",DONNEES!J742)</f>
        <v/>
      </c>
      <c r="J742" t="str">
        <f>IF(DONNEES!$E742="","",DONNEES!K742)</f>
        <v/>
      </c>
      <c r="K742" t="str">
        <f>IF(DONNEES!$E742="","",DONNEES!L742)</f>
        <v/>
      </c>
      <c r="L742" t="str">
        <f>IF(DONNEES!$E742="","",DONNEES!M742)</f>
        <v/>
      </c>
      <c r="M742" t="str">
        <f>IF(DONNEES!$E742="","",DONNEES!N742)</f>
        <v/>
      </c>
      <c r="N742" t="str">
        <f>IF(DONNEES!$E742="","",DONNEES!O742)</f>
        <v/>
      </c>
      <c r="O742" t="str">
        <f>IF(DONNEES!$E742="","",DONNEES!P742)</f>
        <v/>
      </c>
      <c r="P742" t="str">
        <f>IF(DONNEES!$E742="","",DONNEES!Q742)</f>
        <v/>
      </c>
      <c r="Q742" t="str">
        <f>IF(DONNEES!$E742="","",DONNEES!R742)</f>
        <v/>
      </c>
      <c r="R742" t="str">
        <f>IF(DONNEES!$E742="","",DONNEES!S742)</f>
        <v/>
      </c>
      <c r="S742" t="str">
        <f>IF(DONNEES!$E742="","",DONNEES!T742)</f>
        <v/>
      </c>
      <c r="T742" t="str">
        <f>IF(DONNEES!$E742="","",DONNEES!U742)</f>
        <v/>
      </c>
      <c r="U742" t="str">
        <f>IF(DONNEES!$E742="","",DONNEES!V742)</f>
        <v/>
      </c>
      <c r="V742" t="str">
        <f>IF(DONNEES!$E742="","",DONNEES!W742)</f>
        <v/>
      </c>
      <c r="W742" t="str">
        <f>IF(DONNEES!$E742="","",DONNEES!X742)</f>
        <v/>
      </c>
      <c r="X742" t="str">
        <f>IF(DONNEES!$E742="","",DONNEES!Y742)</f>
        <v/>
      </c>
      <c r="Y742" t="str">
        <f>IF(DONNEES!$E742="","",DONNEES!Z742)</f>
        <v/>
      </c>
      <c r="Z742" t="str">
        <f>IF(DONNEES!$E742="","",DONNEES!AQ742)</f>
        <v/>
      </c>
    </row>
    <row r="743" spans="1:26" ht="15" customHeight="1" x14ac:dyDescent="0.3">
      <c r="A743" t="str">
        <f>IF(DONNEES!$E743="","",DONNEES!A743)</f>
        <v/>
      </c>
      <c r="B743" t="str">
        <f>IF(DONNEES!$E743="","",DONNEES!B743)</f>
        <v/>
      </c>
      <c r="C743" t="str">
        <f>IF(DONNEES!$E743="","",DONNEES!C743)</f>
        <v/>
      </c>
      <c r="D743" t="str">
        <f>IF(DONNEES!$E743="","",DONNEES!E743)</f>
        <v/>
      </c>
      <c r="E743" t="str">
        <f>IF(DONNEES!$E743="","",DONNEES!F743)</f>
        <v/>
      </c>
      <c r="F743" t="str">
        <f>IF(DONNEES!$E743="","",DONNEES!G743)</f>
        <v/>
      </c>
      <c r="G743" t="str">
        <f>IF(DONNEES!$E743="","",DONNEES!H743)</f>
        <v/>
      </c>
      <c r="H743" t="str">
        <f>IF(DONNEES!$E743="","",DONNEES!I743)</f>
        <v/>
      </c>
      <c r="I743" t="str">
        <f>IF(DONNEES!$E743="","",DONNEES!J743)</f>
        <v/>
      </c>
      <c r="J743" t="str">
        <f>IF(DONNEES!$E743="","",DONNEES!K743)</f>
        <v/>
      </c>
      <c r="K743" t="str">
        <f>IF(DONNEES!$E743="","",DONNEES!L743)</f>
        <v/>
      </c>
      <c r="L743" t="str">
        <f>IF(DONNEES!$E743="","",DONNEES!M743)</f>
        <v/>
      </c>
      <c r="M743" t="str">
        <f>IF(DONNEES!$E743="","",DONNEES!N743)</f>
        <v/>
      </c>
      <c r="N743" t="str">
        <f>IF(DONNEES!$E743="","",DONNEES!O743)</f>
        <v/>
      </c>
      <c r="O743" t="str">
        <f>IF(DONNEES!$E743="","",DONNEES!P743)</f>
        <v/>
      </c>
      <c r="P743" t="str">
        <f>IF(DONNEES!$E743="","",DONNEES!Q743)</f>
        <v/>
      </c>
      <c r="Q743" t="str">
        <f>IF(DONNEES!$E743="","",DONNEES!R743)</f>
        <v/>
      </c>
      <c r="R743" t="str">
        <f>IF(DONNEES!$E743="","",DONNEES!S743)</f>
        <v/>
      </c>
      <c r="S743" t="str">
        <f>IF(DONNEES!$E743="","",DONNEES!T743)</f>
        <v/>
      </c>
      <c r="T743" t="str">
        <f>IF(DONNEES!$E743="","",DONNEES!U743)</f>
        <v/>
      </c>
      <c r="U743" t="str">
        <f>IF(DONNEES!$E743="","",DONNEES!V743)</f>
        <v/>
      </c>
      <c r="V743" t="str">
        <f>IF(DONNEES!$E743="","",DONNEES!W743)</f>
        <v/>
      </c>
      <c r="W743" t="str">
        <f>IF(DONNEES!$E743="","",DONNEES!X743)</f>
        <v/>
      </c>
      <c r="X743" t="str">
        <f>IF(DONNEES!$E743="","",DONNEES!Y743)</f>
        <v/>
      </c>
      <c r="Y743" t="str">
        <f>IF(DONNEES!$E743="","",DONNEES!Z743)</f>
        <v/>
      </c>
      <c r="Z743" t="str">
        <f>IF(DONNEES!$E743="","",DONNEES!AQ743)</f>
        <v/>
      </c>
    </row>
    <row r="744" spans="1:26" ht="15" customHeight="1" x14ac:dyDescent="0.3">
      <c r="A744" t="str">
        <f>IF(DONNEES!$E744="","",DONNEES!A744)</f>
        <v/>
      </c>
      <c r="B744" t="str">
        <f>IF(DONNEES!$E744="","",DONNEES!B744)</f>
        <v/>
      </c>
      <c r="C744" t="str">
        <f>IF(DONNEES!$E744="","",DONNEES!C744)</f>
        <v/>
      </c>
      <c r="D744" t="str">
        <f>IF(DONNEES!$E744="","",DONNEES!E744)</f>
        <v/>
      </c>
      <c r="E744" t="str">
        <f>IF(DONNEES!$E744="","",DONNEES!F744)</f>
        <v/>
      </c>
      <c r="F744" t="str">
        <f>IF(DONNEES!$E744="","",DONNEES!G744)</f>
        <v/>
      </c>
      <c r="G744" t="str">
        <f>IF(DONNEES!$E744="","",DONNEES!H744)</f>
        <v/>
      </c>
      <c r="H744" t="str">
        <f>IF(DONNEES!$E744="","",DONNEES!I744)</f>
        <v/>
      </c>
      <c r="I744" t="str">
        <f>IF(DONNEES!$E744="","",DONNEES!J744)</f>
        <v/>
      </c>
      <c r="J744" t="str">
        <f>IF(DONNEES!$E744="","",DONNEES!K744)</f>
        <v/>
      </c>
      <c r="K744" t="str">
        <f>IF(DONNEES!$E744="","",DONNEES!L744)</f>
        <v/>
      </c>
      <c r="L744" t="str">
        <f>IF(DONNEES!$E744="","",DONNEES!M744)</f>
        <v/>
      </c>
      <c r="M744" t="str">
        <f>IF(DONNEES!$E744="","",DONNEES!N744)</f>
        <v/>
      </c>
      <c r="N744" t="str">
        <f>IF(DONNEES!$E744="","",DONNEES!O744)</f>
        <v/>
      </c>
      <c r="O744" t="str">
        <f>IF(DONNEES!$E744="","",DONNEES!P744)</f>
        <v/>
      </c>
      <c r="P744" t="str">
        <f>IF(DONNEES!$E744="","",DONNEES!Q744)</f>
        <v/>
      </c>
      <c r="Q744" t="str">
        <f>IF(DONNEES!$E744="","",DONNEES!R744)</f>
        <v/>
      </c>
      <c r="R744" t="str">
        <f>IF(DONNEES!$E744="","",DONNEES!S744)</f>
        <v/>
      </c>
      <c r="S744" t="str">
        <f>IF(DONNEES!$E744="","",DONNEES!T744)</f>
        <v/>
      </c>
      <c r="T744" t="str">
        <f>IF(DONNEES!$E744="","",DONNEES!U744)</f>
        <v/>
      </c>
      <c r="U744" t="str">
        <f>IF(DONNEES!$E744="","",DONNEES!V744)</f>
        <v/>
      </c>
      <c r="V744" t="str">
        <f>IF(DONNEES!$E744="","",DONNEES!W744)</f>
        <v/>
      </c>
      <c r="W744" t="str">
        <f>IF(DONNEES!$E744="","",DONNEES!X744)</f>
        <v/>
      </c>
      <c r="X744" t="str">
        <f>IF(DONNEES!$E744="","",DONNEES!Y744)</f>
        <v/>
      </c>
      <c r="Y744" t="str">
        <f>IF(DONNEES!$E744="","",DONNEES!Z744)</f>
        <v/>
      </c>
      <c r="Z744" t="str">
        <f>IF(DONNEES!$E744="","",DONNEES!AQ744)</f>
        <v/>
      </c>
    </row>
    <row r="745" spans="1:26" ht="15" customHeight="1" x14ac:dyDescent="0.3">
      <c r="A745" t="str">
        <f>IF(DONNEES!$E745="","",DONNEES!A745)</f>
        <v/>
      </c>
      <c r="B745" t="str">
        <f>IF(DONNEES!$E745="","",DONNEES!B745)</f>
        <v/>
      </c>
      <c r="C745" t="str">
        <f>IF(DONNEES!$E745="","",DONNEES!C745)</f>
        <v/>
      </c>
      <c r="D745" t="str">
        <f>IF(DONNEES!$E745="","",DONNEES!E745)</f>
        <v/>
      </c>
      <c r="E745" t="str">
        <f>IF(DONNEES!$E745="","",DONNEES!F745)</f>
        <v/>
      </c>
      <c r="F745" t="str">
        <f>IF(DONNEES!$E745="","",DONNEES!G745)</f>
        <v/>
      </c>
      <c r="G745" t="str">
        <f>IF(DONNEES!$E745="","",DONNEES!H745)</f>
        <v/>
      </c>
      <c r="H745" t="str">
        <f>IF(DONNEES!$E745="","",DONNEES!I745)</f>
        <v/>
      </c>
      <c r="I745" t="str">
        <f>IF(DONNEES!$E745="","",DONNEES!J745)</f>
        <v/>
      </c>
      <c r="J745" t="str">
        <f>IF(DONNEES!$E745="","",DONNEES!K745)</f>
        <v/>
      </c>
      <c r="K745" t="str">
        <f>IF(DONNEES!$E745="","",DONNEES!L745)</f>
        <v/>
      </c>
      <c r="L745" t="str">
        <f>IF(DONNEES!$E745="","",DONNEES!M745)</f>
        <v/>
      </c>
      <c r="M745" t="str">
        <f>IF(DONNEES!$E745="","",DONNEES!N745)</f>
        <v/>
      </c>
      <c r="N745" t="str">
        <f>IF(DONNEES!$E745="","",DONNEES!O745)</f>
        <v/>
      </c>
      <c r="O745" t="str">
        <f>IF(DONNEES!$E745="","",DONNEES!P745)</f>
        <v/>
      </c>
      <c r="P745" t="str">
        <f>IF(DONNEES!$E745="","",DONNEES!Q745)</f>
        <v/>
      </c>
      <c r="Q745" t="str">
        <f>IF(DONNEES!$E745="","",DONNEES!R745)</f>
        <v/>
      </c>
      <c r="R745" t="str">
        <f>IF(DONNEES!$E745="","",DONNEES!S745)</f>
        <v/>
      </c>
      <c r="S745" t="str">
        <f>IF(DONNEES!$E745="","",DONNEES!T745)</f>
        <v/>
      </c>
      <c r="T745" t="str">
        <f>IF(DONNEES!$E745="","",DONNEES!U745)</f>
        <v/>
      </c>
      <c r="U745" t="str">
        <f>IF(DONNEES!$E745="","",DONNEES!V745)</f>
        <v/>
      </c>
      <c r="V745" t="str">
        <f>IF(DONNEES!$E745="","",DONNEES!W745)</f>
        <v/>
      </c>
      <c r="W745" t="str">
        <f>IF(DONNEES!$E745="","",DONNEES!X745)</f>
        <v/>
      </c>
      <c r="X745" t="str">
        <f>IF(DONNEES!$E745="","",DONNEES!Y745)</f>
        <v/>
      </c>
      <c r="Y745" t="str">
        <f>IF(DONNEES!$E745="","",DONNEES!Z745)</f>
        <v/>
      </c>
      <c r="Z745" t="str">
        <f>IF(DONNEES!$E745="","",DONNEES!AQ745)</f>
        <v/>
      </c>
    </row>
    <row r="746" spans="1:26" ht="15" customHeight="1" x14ac:dyDescent="0.3">
      <c r="A746" t="str">
        <f>IF(DONNEES!$E746="","",DONNEES!A746)</f>
        <v/>
      </c>
      <c r="B746" t="str">
        <f>IF(DONNEES!$E746="","",DONNEES!B746)</f>
        <v/>
      </c>
      <c r="C746" t="str">
        <f>IF(DONNEES!$E746="","",DONNEES!C746)</f>
        <v/>
      </c>
      <c r="D746" t="str">
        <f>IF(DONNEES!$E746="","",DONNEES!E746)</f>
        <v/>
      </c>
      <c r="E746" t="str">
        <f>IF(DONNEES!$E746="","",DONNEES!F746)</f>
        <v/>
      </c>
      <c r="F746" t="str">
        <f>IF(DONNEES!$E746="","",DONNEES!G746)</f>
        <v/>
      </c>
      <c r="G746" t="str">
        <f>IF(DONNEES!$E746="","",DONNEES!H746)</f>
        <v/>
      </c>
      <c r="H746" t="str">
        <f>IF(DONNEES!$E746="","",DONNEES!I746)</f>
        <v/>
      </c>
      <c r="I746" t="str">
        <f>IF(DONNEES!$E746="","",DONNEES!J746)</f>
        <v/>
      </c>
      <c r="J746" t="str">
        <f>IF(DONNEES!$E746="","",DONNEES!K746)</f>
        <v/>
      </c>
      <c r="K746" t="str">
        <f>IF(DONNEES!$E746="","",DONNEES!L746)</f>
        <v/>
      </c>
      <c r="L746" t="str">
        <f>IF(DONNEES!$E746="","",DONNEES!M746)</f>
        <v/>
      </c>
      <c r="M746" t="str">
        <f>IF(DONNEES!$E746="","",DONNEES!N746)</f>
        <v/>
      </c>
      <c r="N746" t="str">
        <f>IF(DONNEES!$E746="","",DONNEES!O746)</f>
        <v/>
      </c>
      <c r="O746" t="str">
        <f>IF(DONNEES!$E746="","",DONNEES!P746)</f>
        <v/>
      </c>
      <c r="P746" t="str">
        <f>IF(DONNEES!$E746="","",DONNEES!Q746)</f>
        <v/>
      </c>
      <c r="Q746" t="str">
        <f>IF(DONNEES!$E746="","",DONNEES!R746)</f>
        <v/>
      </c>
      <c r="R746" t="str">
        <f>IF(DONNEES!$E746="","",DONNEES!S746)</f>
        <v/>
      </c>
      <c r="S746" t="str">
        <f>IF(DONNEES!$E746="","",DONNEES!T746)</f>
        <v/>
      </c>
      <c r="T746" t="str">
        <f>IF(DONNEES!$E746="","",DONNEES!U746)</f>
        <v/>
      </c>
      <c r="U746" t="str">
        <f>IF(DONNEES!$E746="","",DONNEES!V746)</f>
        <v/>
      </c>
      <c r="V746" t="str">
        <f>IF(DONNEES!$E746="","",DONNEES!W746)</f>
        <v/>
      </c>
      <c r="W746" t="str">
        <f>IF(DONNEES!$E746="","",DONNEES!X746)</f>
        <v/>
      </c>
      <c r="X746" t="str">
        <f>IF(DONNEES!$E746="","",DONNEES!Y746)</f>
        <v/>
      </c>
      <c r="Y746" t="str">
        <f>IF(DONNEES!$E746="","",DONNEES!Z746)</f>
        <v/>
      </c>
      <c r="Z746" t="str">
        <f>IF(DONNEES!$E746="","",DONNEES!AQ746)</f>
        <v/>
      </c>
    </row>
    <row r="747" spans="1:26" ht="15" customHeight="1" x14ac:dyDescent="0.3">
      <c r="A747" t="str">
        <f>IF(DONNEES!$E747="","",DONNEES!A747)</f>
        <v/>
      </c>
      <c r="B747" t="str">
        <f>IF(DONNEES!$E747="","",DONNEES!B747)</f>
        <v/>
      </c>
      <c r="C747" t="str">
        <f>IF(DONNEES!$E747="","",DONNEES!C747)</f>
        <v/>
      </c>
      <c r="D747" t="str">
        <f>IF(DONNEES!$E747="","",DONNEES!E747)</f>
        <v/>
      </c>
      <c r="E747" t="str">
        <f>IF(DONNEES!$E747="","",DONNEES!F747)</f>
        <v/>
      </c>
      <c r="F747" t="str">
        <f>IF(DONNEES!$E747="","",DONNEES!G747)</f>
        <v/>
      </c>
      <c r="G747" t="str">
        <f>IF(DONNEES!$E747="","",DONNEES!H747)</f>
        <v/>
      </c>
      <c r="H747" t="str">
        <f>IF(DONNEES!$E747="","",DONNEES!I747)</f>
        <v/>
      </c>
      <c r="I747" t="str">
        <f>IF(DONNEES!$E747="","",DONNEES!J747)</f>
        <v/>
      </c>
      <c r="J747" t="str">
        <f>IF(DONNEES!$E747="","",DONNEES!K747)</f>
        <v/>
      </c>
      <c r="K747" t="str">
        <f>IF(DONNEES!$E747="","",DONNEES!L747)</f>
        <v/>
      </c>
      <c r="L747" t="str">
        <f>IF(DONNEES!$E747="","",DONNEES!M747)</f>
        <v/>
      </c>
      <c r="M747" t="str">
        <f>IF(DONNEES!$E747="","",DONNEES!N747)</f>
        <v/>
      </c>
      <c r="N747" t="str">
        <f>IF(DONNEES!$E747="","",DONNEES!O747)</f>
        <v/>
      </c>
      <c r="O747" t="str">
        <f>IF(DONNEES!$E747="","",DONNEES!P747)</f>
        <v/>
      </c>
      <c r="P747" t="str">
        <f>IF(DONNEES!$E747="","",DONNEES!Q747)</f>
        <v/>
      </c>
      <c r="Q747" t="str">
        <f>IF(DONNEES!$E747="","",DONNEES!R747)</f>
        <v/>
      </c>
      <c r="R747" t="str">
        <f>IF(DONNEES!$E747="","",DONNEES!S747)</f>
        <v/>
      </c>
      <c r="S747" t="str">
        <f>IF(DONNEES!$E747="","",DONNEES!T747)</f>
        <v/>
      </c>
      <c r="T747" t="str">
        <f>IF(DONNEES!$E747="","",DONNEES!U747)</f>
        <v/>
      </c>
      <c r="U747" t="str">
        <f>IF(DONNEES!$E747="","",DONNEES!V747)</f>
        <v/>
      </c>
      <c r="V747" t="str">
        <f>IF(DONNEES!$E747="","",DONNEES!W747)</f>
        <v/>
      </c>
      <c r="W747" t="str">
        <f>IF(DONNEES!$E747="","",DONNEES!X747)</f>
        <v/>
      </c>
      <c r="X747" t="str">
        <f>IF(DONNEES!$E747="","",DONNEES!Y747)</f>
        <v/>
      </c>
      <c r="Y747" t="str">
        <f>IF(DONNEES!$E747="","",DONNEES!Z747)</f>
        <v/>
      </c>
      <c r="Z747" t="str">
        <f>IF(DONNEES!$E747="","",DONNEES!AQ747)</f>
        <v/>
      </c>
    </row>
    <row r="748" spans="1:26" ht="15" customHeight="1" x14ac:dyDescent="0.3">
      <c r="A748" t="str">
        <f>IF(DONNEES!$E748="","",DONNEES!A748)</f>
        <v/>
      </c>
      <c r="B748" t="str">
        <f>IF(DONNEES!$E748="","",DONNEES!B748)</f>
        <v/>
      </c>
      <c r="C748" t="str">
        <f>IF(DONNEES!$E748="","",DONNEES!C748)</f>
        <v/>
      </c>
      <c r="D748" t="str">
        <f>IF(DONNEES!$E748="","",DONNEES!E748)</f>
        <v/>
      </c>
      <c r="E748" t="str">
        <f>IF(DONNEES!$E748="","",DONNEES!F748)</f>
        <v/>
      </c>
      <c r="F748" t="str">
        <f>IF(DONNEES!$E748="","",DONNEES!G748)</f>
        <v/>
      </c>
      <c r="G748" t="str">
        <f>IF(DONNEES!$E748="","",DONNEES!H748)</f>
        <v/>
      </c>
      <c r="H748" t="str">
        <f>IF(DONNEES!$E748="","",DONNEES!I748)</f>
        <v/>
      </c>
      <c r="I748" t="str">
        <f>IF(DONNEES!$E748="","",DONNEES!J748)</f>
        <v/>
      </c>
      <c r="J748" t="str">
        <f>IF(DONNEES!$E748="","",DONNEES!K748)</f>
        <v/>
      </c>
      <c r="K748" t="str">
        <f>IF(DONNEES!$E748="","",DONNEES!L748)</f>
        <v/>
      </c>
      <c r="L748" t="str">
        <f>IF(DONNEES!$E748="","",DONNEES!M748)</f>
        <v/>
      </c>
      <c r="M748" t="str">
        <f>IF(DONNEES!$E748="","",DONNEES!N748)</f>
        <v/>
      </c>
      <c r="N748" t="str">
        <f>IF(DONNEES!$E748="","",DONNEES!O748)</f>
        <v/>
      </c>
      <c r="O748" t="str">
        <f>IF(DONNEES!$E748="","",DONNEES!P748)</f>
        <v/>
      </c>
      <c r="P748" t="str">
        <f>IF(DONNEES!$E748="","",DONNEES!Q748)</f>
        <v/>
      </c>
      <c r="Q748" t="str">
        <f>IF(DONNEES!$E748="","",DONNEES!R748)</f>
        <v/>
      </c>
      <c r="R748" t="str">
        <f>IF(DONNEES!$E748="","",DONNEES!S748)</f>
        <v/>
      </c>
      <c r="S748" t="str">
        <f>IF(DONNEES!$E748="","",DONNEES!T748)</f>
        <v/>
      </c>
      <c r="T748" t="str">
        <f>IF(DONNEES!$E748="","",DONNEES!U748)</f>
        <v/>
      </c>
      <c r="U748" t="str">
        <f>IF(DONNEES!$E748="","",DONNEES!V748)</f>
        <v/>
      </c>
      <c r="V748" t="str">
        <f>IF(DONNEES!$E748="","",DONNEES!W748)</f>
        <v/>
      </c>
      <c r="W748" t="str">
        <f>IF(DONNEES!$E748="","",DONNEES!X748)</f>
        <v/>
      </c>
      <c r="X748" t="str">
        <f>IF(DONNEES!$E748="","",DONNEES!Y748)</f>
        <v/>
      </c>
      <c r="Y748" t="str">
        <f>IF(DONNEES!$E748="","",DONNEES!Z748)</f>
        <v/>
      </c>
      <c r="Z748" t="str">
        <f>IF(DONNEES!$E748="","",DONNEES!AQ748)</f>
        <v/>
      </c>
    </row>
    <row r="749" spans="1:26" ht="15" customHeight="1" x14ac:dyDescent="0.3">
      <c r="A749" t="str">
        <f>IF(DONNEES!$E749="","",DONNEES!A749)</f>
        <v/>
      </c>
      <c r="B749" t="str">
        <f>IF(DONNEES!$E749="","",DONNEES!B749)</f>
        <v/>
      </c>
      <c r="C749" t="str">
        <f>IF(DONNEES!$E749="","",DONNEES!C749)</f>
        <v/>
      </c>
      <c r="D749" t="str">
        <f>IF(DONNEES!$E749="","",DONNEES!E749)</f>
        <v/>
      </c>
      <c r="E749" t="str">
        <f>IF(DONNEES!$E749="","",DONNEES!F749)</f>
        <v/>
      </c>
      <c r="F749" t="str">
        <f>IF(DONNEES!$E749="","",DONNEES!G749)</f>
        <v/>
      </c>
      <c r="G749" t="str">
        <f>IF(DONNEES!$E749="","",DONNEES!H749)</f>
        <v/>
      </c>
      <c r="H749" t="str">
        <f>IF(DONNEES!$E749="","",DONNEES!I749)</f>
        <v/>
      </c>
      <c r="I749" t="str">
        <f>IF(DONNEES!$E749="","",DONNEES!J749)</f>
        <v/>
      </c>
      <c r="J749" t="str">
        <f>IF(DONNEES!$E749="","",DONNEES!K749)</f>
        <v/>
      </c>
      <c r="K749" t="str">
        <f>IF(DONNEES!$E749="","",DONNEES!L749)</f>
        <v/>
      </c>
      <c r="L749" t="str">
        <f>IF(DONNEES!$E749="","",DONNEES!M749)</f>
        <v/>
      </c>
      <c r="M749" t="str">
        <f>IF(DONNEES!$E749="","",DONNEES!N749)</f>
        <v/>
      </c>
      <c r="N749" t="str">
        <f>IF(DONNEES!$E749="","",DONNEES!O749)</f>
        <v/>
      </c>
      <c r="O749" t="str">
        <f>IF(DONNEES!$E749="","",DONNEES!P749)</f>
        <v/>
      </c>
      <c r="P749" t="str">
        <f>IF(DONNEES!$E749="","",DONNEES!Q749)</f>
        <v/>
      </c>
      <c r="Q749" t="str">
        <f>IF(DONNEES!$E749="","",DONNEES!R749)</f>
        <v/>
      </c>
      <c r="R749" t="str">
        <f>IF(DONNEES!$E749="","",DONNEES!S749)</f>
        <v/>
      </c>
      <c r="S749" t="str">
        <f>IF(DONNEES!$E749="","",DONNEES!T749)</f>
        <v/>
      </c>
      <c r="T749" t="str">
        <f>IF(DONNEES!$E749="","",DONNEES!U749)</f>
        <v/>
      </c>
      <c r="U749" t="str">
        <f>IF(DONNEES!$E749="","",DONNEES!V749)</f>
        <v/>
      </c>
      <c r="V749" t="str">
        <f>IF(DONNEES!$E749="","",DONNEES!W749)</f>
        <v/>
      </c>
      <c r="W749" t="str">
        <f>IF(DONNEES!$E749="","",DONNEES!X749)</f>
        <v/>
      </c>
      <c r="X749" t="str">
        <f>IF(DONNEES!$E749="","",DONNEES!Y749)</f>
        <v/>
      </c>
      <c r="Y749" t="str">
        <f>IF(DONNEES!$E749="","",DONNEES!Z749)</f>
        <v/>
      </c>
      <c r="Z749" t="str">
        <f>IF(DONNEES!$E749="","",DONNEES!AQ749)</f>
        <v/>
      </c>
    </row>
    <row r="750" spans="1:26" ht="15" customHeight="1" x14ac:dyDescent="0.3">
      <c r="A750" t="str">
        <f>IF(DONNEES!$E750="","",DONNEES!A750)</f>
        <v/>
      </c>
      <c r="B750" t="str">
        <f>IF(DONNEES!$E750="","",DONNEES!B750)</f>
        <v/>
      </c>
      <c r="C750" t="str">
        <f>IF(DONNEES!$E750="","",DONNEES!C750)</f>
        <v/>
      </c>
      <c r="D750" t="str">
        <f>IF(DONNEES!$E750="","",DONNEES!E750)</f>
        <v/>
      </c>
      <c r="E750" t="str">
        <f>IF(DONNEES!$E750="","",DONNEES!F750)</f>
        <v/>
      </c>
      <c r="F750" t="str">
        <f>IF(DONNEES!$E750="","",DONNEES!G750)</f>
        <v/>
      </c>
      <c r="G750" t="str">
        <f>IF(DONNEES!$E750="","",DONNEES!H750)</f>
        <v/>
      </c>
      <c r="H750" t="str">
        <f>IF(DONNEES!$E750="","",DONNEES!I750)</f>
        <v/>
      </c>
      <c r="I750" t="str">
        <f>IF(DONNEES!$E750="","",DONNEES!J750)</f>
        <v/>
      </c>
      <c r="J750" t="str">
        <f>IF(DONNEES!$E750="","",DONNEES!K750)</f>
        <v/>
      </c>
      <c r="K750" t="str">
        <f>IF(DONNEES!$E750="","",DONNEES!L750)</f>
        <v/>
      </c>
      <c r="L750" t="str">
        <f>IF(DONNEES!$E750="","",DONNEES!M750)</f>
        <v/>
      </c>
      <c r="M750" t="str">
        <f>IF(DONNEES!$E750="","",DONNEES!N750)</f>
        <v/>
      </c>
      <c r="N750" t="str">
        <f>IF(DONNEES!$E750="","",DONNEES!O750)</f>
        <v/>
      </c>
      <c r="O750" t="str">
        <f>IF(DONNEES!$E750="","",DONNEES!P750)</f>
        <v/>
      </c>
      <c r="P750" t="str">
        <f>IF(DONNEES!$E750="","",DONNEES!Q750)</f>
        <v/>
      </c>
      <c r="Q750" t="str">
        <f>IF(DONNEES!$E750="","",DONNEES!R750)</f>
        <v/>
      </c>
      <c r="R750" t="str">
        <f>IF(DONNEES!$E750="","",DONNEES!S750)</f>
        <v/>
      </c>
      <c r="S750" t="str">
        <f>IF(DONNEES!$E750="","",DONNEES!T750)</f>
        <v/>
      </c>
      <c r="T750" t="str">
        <f>IF(DONNEES!$E750="","",DONNEES!U750)</f>
        <v/>
      </c>
      <c r="U750" t="str">
        <f>IF(DONNEES!$E750="","",DONNEES!V750)</f>
        <v/>
      </c>
      <c r="V750" t="str">
        <f>IF(DONNEES!$E750="","",DONNEES!W750)</f>
        <v/>
      </c>
      <c r="W750" t="str">
        <f>IF(DONNEES!$E750="","",DONNEES!X750)</f>
        <v/>
      </c>
      <c r="X750" t="str">
        <f>IF(DONNEES!$E750="","",DONNEES!Y750)</f>
        <v/>
      </c>
      <c r="Y750" t="str">
        <f>IF(DONNEES!$E750="","",DONNEES!Z750)</f>
        <v/>
      </c>
      <c r="Z750" t="str">
        <f>IF(DONNEES!$E750="","",DONNEES!AQ750)</f>
        <v/>
      </c>
    </row>
    <row r="751" spans="1:26" ht="15" customHeight="1" x14ac:dyDescent="0.3">
      <c r="A751" t="str">
        <f>IF(DONNEES!$E751="","",DONNEES!A751)</f>
        <v/>
      </c>
      <c r="B751" t="str">
        <f>IF(DONNEES!$E751="","",DONNEES!B751)</f>
        <v/>
      </c>
      <c r="C751" t="str">
        <f>IF(DONNEES!$E751="","",DONNEES!C751)</f>
        <v/>
      </c>
      <c r="D751" t="str">
        <f>IF(DONNEES!$E751="","",DONNEES!E751)</f>
        <v/>
      </c>
      <c r="E751" t="str">
        <f>IF(DONNEES!$E751="","",DONNEES!F751)</f>
        <v/>
      </c>
      <c r="F751" t="str">
        <f>IF(DONNEES!$E751="","",DONNEES!G751)</f>
        <v/>
      </c>
      <c r="G751" t="str">
        <f>IF(DONNEES!$E751="","",DONNEES!H751)</f>
        <v/>
      </c>
      <c r="H751" t="str">
        <f>IF(DONNEES!$E751="","",DONNEES!I751)</f>
        <v/>
      </c>
      <c r="I751" t="str">
        <f>IF(DONNEES!$E751="","",DONNEES!J751)</f>
        <v/>
      </c>
      <c r="J751" t="str">
        <f>IF(DONNEES!$E751="","",DONNEES!K751)</f>
        <v/>
      </c>
      <c r="K751" t="str">
        <f>IF(DONNEES!$E751="","",DONNEES!L751)</f>
        <v/>
      </c>
      <c r="L751" t="str">
        <f>IF(DONNEES!$E751="","",DONNEES!M751)</f>
        <v/>
      </c>
      <c r="M751" t="str">
        <f>IF(DONNEES!$E751="","",DONNEES!N751)</f>
        <v/>
      </c>
      <c r="N751" t="str">
        <f>IF(DONNEES!$E751="","",DONNEES!O751)</f>
        <v/>
      </c>
      <c r="O751" t="str">
        <f>IF(DONNEES!$E751="","",DONNEES!P751)</f>
        <v/>
      </c>
      <c r="P751" t="str">
        <f>IF(DONNEES!$E751="","",DONNEES!Q751)</f>
        <v/>
      </c>
      <c r="Q751" t="str">
        <f>IF(DONNEES!$E751="","",DONNEES!R751)</f>
        <v/>
      </c>
      <c r="R751" t="str">
        <f>IF(DONNEES!$E751="","",DONNEES!S751)</f>
        <v/>
      </c>
      <c r="S751" t="str">
        <f>IF(DONNEES!$E751="","",DONNEES!T751)</f>
        <v/>
      </c>
      <c r="T751" t="str">
        <f>IF(DONNEES!$E751="","",DONNEES!U751)</f>
        <v/>
      </c>
      <c r="U751" t="str">
        <f>IF(DONNEES!$E751="","",DONNEES!V751)</f>
        <v/>
      </c>
      <c r="V751" t="str">
        <f>IF(DONNEES!$E751="","",DONNEES!W751)</f>
        <v/>
      </c>
      <c r="W751" t="str">
        <f>IF(DONNEES!$E751="","",DONNEES!X751)</f>
        <v/>
      </c>
      <c r="X751" t="str">
        <f>IF(DONNEES!$E751="","",DONNEES!Y751)</f>
        <v/>
      </c>
      <c r="Y751" t="str">
        <f>IF(DONNEES!$E751="","",DONNEES!Z751)</f>
        <v/>
      </c>
      <c r="Z751" t="str">
        <f>IF(DONNEES!$E751="","",DONNEES!AQ751)</f>
        <v/>
      </c>
    </row>
    <row r="752" spans="1:26" ht="15" customHeight="1" x14ac:dyDescent="0.3">
      <c r="A752" t="str">
        <f>IF(DONNEES!$E752="","",DONNEES!A752)</f>
        <v/>
      </c>
      <c r="B752" t="str">
        <f>IF(DONNEES!$E752="","",DONNEES!B752)</f>
        <v/>
      </c>
      <c r="C752" t="str">
        <f>IF(DONNEES!$E752="","",DONNEES!C752)</f>
        <v/>
      </c>
      <c r="D752" t="str">
        <f>IF(DONNEES!$E752="","",DONNEES!E752)</f>
        <v/>
      </c>
      <c r="E752" t="str">
        <f>IF(DONNEES!$E752="","",DONNEES!F752)</f>
        <v/>
      </c>
      <c r="F752" t="str">
        <f>IF(DONNEES!$E752="","",DONNEES!G752)</f>
        <v/>
      </c>
      <c r="G752" t="str">
        <f>IF(DONNEES!$E752="","",DONNEES!H752)</f>
        <v/>
      </c>
      <c r="H752" t="str">
        <f>IF(DONNEES!$E752="","",DONNEES!I752)</f>
        <v/>
      </c>
      <c r="I752" t="str">
        <f>IF(DONNEES!$E752="","",DONNEES!J752)</f>
        <v/>
      </c>
      <c r="J752" t="str">
        <f>IF(DONNEES!$E752="","",DONNEES!K752)</f>
        <v/>
      </c>
      <c r="K752" t="str">
        <f>IF(DONNEES!$E752="","",DONNEES!L752)</f>
        <v/>
      </c>
      <c r="L752" t="str">
        <f>IF(DONNEES!$E752="","",DONNEES!M752)</f>
        <v/>
      </c>
      <c r="M752" t="str">
        <f>IF(DONNEES!$E752="","",DONNEES!N752)</f>
        <v/>
      </c>
      <c r="N752" t="str">
        <f>IF(DONNEES!$E752="","",DONNEES!O752)</f>
        <v/>
      </c>
      <c r="O752" t="str">
        <f>IF(DONNEES!$E752="","",DONNEES!P752)</f>
        <v/>
      </c>
      <c r="P752" t="str">
        <f>IF(DONNEES!$E752="","",DONNEES!Q752)</f>
        <v/>
      </c>
      <c r="Q752" t="str">
        <f>IF(DONNEES!$E752="","",DONNEES!R752)</f>
        <v/>
      </c>
      <c r="R752" t="str">
        <f>IF(DONNEES!$E752="","",DONNEES!S752)</f>
        <v/>
      </c>
      <c r="S752" t="str">
        <f>IF(DONNEES!$E752="","",DONNEES!T752)</f>
        <v/>
      </c>
      <c r="T752" t="str">
        <f>IF(DONNEES!$E752="","",DONNEES!U752)</f>
        <v/>
      </c>
      <c r="U752" t="str">
        <f>IF(DONNEES!$E752="","",DONNEES!V752)</f>
        <v/>
      </c>
      <c r="V752" t="str">
        <f>IF(DONNEES!$E752="","",DONNEES!W752)</f>
        <v/>
      </c>
      <c r="W752" t="str">
        <f>IF(DONNEES!$E752="","",DONNEES!X752)</f>
        <v/>
      </c>
      <c r="X752" t="str">
        <f>IF(DONNEES!$E752="","",DONNEES!Y752)</f>
        <v/>
      </c>
      <c r="Y752" t="str">
        <f>IF(DONNEES!$E752="","",DONNEES!Z752)</f>
        <v/>
      </c>
      <c r="Z752" t="str">
        <f>IF(DONNEES!$E752="","",DONNEES!AQ752)</f>
        <v/>
      </c>
    </row>
    <row r="753" spans="1:26" ht="15" customHeight="1" x14ac:dyDescent="0.3">
      <c r="A753" t="str">
        <f>IF(DONNEES!$E753="","",DONNEES!A753)</f>
        <v/>
      </c>
      <c r="B753" t="str">
        <f>IF(DONNEES!$E753="","",DONNEES!B753)</f>
        <v/>
      </c>
      <c r="C753" t="str">
        <f>IF(DONNEES!$E753="","",DONNEES!C753)</f>
        <v/>
      </c>
      <c r="D753" t="str">
        <f>IF(DONNEES!$E753="","",DONNEES!E753)</f>
        <v/>
      </c>
      <c r="E753" t="str">
        <f>IF(DONNEES!$E753="","",DONNEES!F753)</f>
        <v/>
      </c>
      <c r="F753" t="str">
        <f>IF(DONNEES!$E753="","",DONNEES!G753)</f>
        <v/>
      </c>
      <c r="G753" t="str">
        <f>IF(DONNEES!$E753="","",DONNEES!H753)</f>
        <v/>
      </c>
      <c r="H753" t="str">
        <f>IF(DONNEES!$E753="","",DONNEES!I753)</f>
        <v/>
      </c>
      <c r="I753" t="str">
        <f>IF(DONNEES!$E753="","",DONNEES!J753)</f>
        <v/>
      </c>
      <c r="J753" t="str">
        <f>IF(DONNEES!$E753="","",DONNEES!K753)</f>
        <v/>
      </c>
      <c r="K753" t="str">
        <f>IF(DONNEES!$E753="","",DONNEES!L753)</f>
        <v/>
      </c>
      <c r="L753" t="str">
        <f>IF(DONNEES!$E753="","",DONNEES!M753)</f>
        <v/>
      </c>
      <c r="M753" t="str">
        <f>IF(DONNEES!$E753="","",DONNEES!N753)</f>
        <v/>
      </c>
      <c r="N753" t="str">
        <f>IF(DONNEES!$E753="","",DONNEES!O753)</f>
        <v/>
      </c>
      <c r="O753" t="str">
        <f>IF(DONNEES!$E753="","",DONNEES!P753)</f>
        <v/>
      </c>
      <c r="P753" t="str">
        <f>IF(DONNEES!$E753="","",DONNEES!Q753)</f>
        <v/>
      </c>
      <c r="Q753" t="str">
        <f>IF(DONNEES!$E753="","",DONNEES!R753)</f>
        <v/>
      </c>
      <c r="R753" t="str">
        <f>IF(DONNEES!$E753="","",DONNEES!S753)</f>
        <v/>
      </c>
      <c r="S753" t="str">
        <f>IF(DONNEES!$E753="","",DONNEES!T753)</f>
        <v/>
      </c>
      <c r="T753" t="str">
        <f>IF(DONNEES!$E753="","",DONNEES!U753)</f>
        <v/>
      </c>
      <c r="U753" t="str">
        <f>IF(DONNEES!$E753="","",DONNEES!V753)</f>
        <v/>
      </c>
      <c r="V753" t="str">
        <f>IF(DONNEES!$E753="","",DONNEES!W753)</f>
        <v/>
      </c>
      <c r="W753" t="str">
        <f>IF(DONNEES!$E753="","",DONNEES!X753)</f>
        <v/>
      </c>
      <c r="X753" t="str">
        <f>IF(DONNEES!$E753="","",DONNEES!Y753)</f>
        <v/>
      </c>
      <c r="Y753" t="str">
        <f>IF(DONNEES!$E753="","",DONNEES!Z753)</f>
        <v/>
      </c>
      <c r="Z753" t="str">
        <f>IF(DONNEES!$E753="","",DONNEES!AQ753)</f>
        <v/>
      </c>
    </row>
    <row r="754" spans="1:26" ht="15" customHeight="1" x14ac:dyDescent="0.3">
      <c r="A754" t="str">
        <f>IF(DONNEES!$E754="","",DONNEES!A754)</f>
        <v/>
      </c>
      <c r="B754" t="str">
        <f>IF(DONNEES!$E754="","",DONNEES!B754)</f>
        <v/>
      </c>
      <c r="C754" t="str">
        <f>IF(DONNEES!$E754="","",DONNEES!C754)</f>
        <v/>
      </c>
      <c r="D754" t="str">
        <f>IF(DONNEES!$E754="","",DONNEES!E754)</f>
        <v/>
      </c>
      <c r="E754" t="str">
        <f>IF(DONNEES!$E754="","",DONNEES!F754)</f>
        <v/>
      </c>
      <c r="F754" t="str">
        <f>IF(DONNEES!$E754="","",DONNEES!G754)</f>
        <v/>
      </c>
      <c r="G754" t="str">
        <f>IF(DONNEES!$E754="","",DONNEES!H754)</f>
        <v/>
      </c>
      <c r="H754" t="str">
        <f>IF(DONNEES!$E754="","",DONNEES!I754)</f>
        <v/>
      </c>
      <c r="I754" t="str">
        <f>IF(DONNEES!$E754="","",DONNEES!J754)</f>
        <v/>
      </c>
      <c r="J754" t="str">
        <f>IF(DONNEES!$E754="","",DONNEES!K754)</f>
        <v/>
      </c>
      <c r="K754" t="str">
        <f>IF(DONNEES!$E754="","",DONNEES!L754)</f>
        <v/>
      </c>
      <c r="L754" t="str">
        <f>IF(DONNEES!$E754="","",DONNEES!M754)</f>
        <v/>
      </c>
      <c r="M754" t="str">
        <f>IF(DONNEES!$E754="","",DONNEES!N754)</f>
        <v/>
      </c>
      <c r="N754" t="str">
        <f>IF(DONNEES!$E754="","",DONNEES!O754)</f>
        <v/>
      </c>
      <c r="O754" t="str">
        <f>IF(DONNEES!$E754="","",DONNEES!P754)</f>
        <v/>
      </c>
      <c r="P754" t="str">
        <f>IF(DONNEES!$E754="","",DONNEES!Q754)</f>
        <v/>
      </c>
      <c r="Q754" t="str">
        <f>IF(DONNEES!$E754="","",DONNEES!R754)</f>
        <v/>
      </c>
      <c r="R754" t="str">
        <f>IF(DONNEES!$E754="","",DONNEES!S754)</f>
        <v/>
      </c>
      <c r="S754" t="str">
        <f>IF(DONNEES!$E754="","",DONNEES!T754)</f>
        <v/>
      </c>
      <c r="T754" t="str">
        <f>IF(DONNEES!$E754="","",DONNEES!U754)</f>
        <v/>
      </c>
      <c r="U754" t="str">
        <f>IF(DONNEES!$E754="","",DONNEES!V754)</f>
        <v/>
      </c>
      <c r="V754" t="str">
        <f>IF(DONNEES!$E754="","",DONNEES!W754)</f>
        <v/>
      </c>
      <c r="W754" t="str">
        <f>IF(DONNEES!$E754="","",DONNEES!X754)</f>
        <v/>
      </c>
      <c r="X754" t="str">
        <f>IF(DONNEES!$E754="","",DONNEES!Y754)</f>
        <v/>
      </c>
      <c r="Y754" t="str">
        <f>IF(DONNEES!$E754="","",DONNEES!Z754)</f>
        <v/>
      </c>
      <c r="Z754" t="str">
        <f>IF(DONNEES!$E754="","",DONNEES!AQ754)</f>
        <v/>
      </c>
    </row>
    <row r="755" spans="1:26" ht="15" customHeight="1" x14ac:dyDescent="0.3">
      <c r="A755" t="str">
        <f>IF(DONNEES!$E755="","",DONNEES!A755)</f>
        <v/>
      </c>
      <c r="B755" t="str">
        <f>IF(DONNEES!$E755="","",DONNEES!B755)</f>
        <v/>
      </c>
      <c r="C755" t="str">
        <f>IF(DONNEES!$E755="","",DONNEES!C755)</f>
        <v/>
      </c>
      <c r="D755" t="str">
        <f>IF(DONNEES!$E755="","",DONNEES!E755)</f>
        <v/>
      </c>
      <c r="E755" t="str">
        <f>IF(DONNEES!$E755="","",DONNEES!F755)</f>
        <v/>
      </c>
      <c r="F755" t="str">
        <f>IF(DONNEES!$E755="","",DONNEES!G755)</f>
        <v/>
      </c>
      <c r="G755" t="str">
        <f>IF(DONNEES!$E755="","",DONNEES!H755)</f>
        <v/>
      </c>
      <c r="H755" t="str">
        <f>IF(DONNEES!$E755="","",DONNEES!I755)</f>
        <v/>
      </c>
      <c r="I755" t="str">
        <f>IF(DONNEES!$E755="","",DONNEES!J755)</f>
        <v/>
      </c>
      <c r="J755" t="str">
        <f>IF(DONNEES!$E755="","",DONNEES!K755)</f>
        <v/>
      </c>
      <c r="K755" t="str">
        <f>IF(DONNEES!$E755="","",DONNEES!L755)</f>
        <v/>
      </c>
      <c r="L755" t="str">
        <f>IF(DONNEES!$E755="","",DONNEES!M755)</f>
        <v/>
      </c>
      <c r="M755" t="str">
        <f>IF(DONNEES!$E755="","",DONNEES!N755)</f>
        <v/>
      </c>
      <c r="N755" t="str">
        <f>IF(DONNEES!$E755="","",DONNEES!O755)</f>
        <v/>
      </c>
      <c r="O755" t="str">
        <f>IF(DONNEES!$E755="","",DONNEES!P755)</f>
        <v/>
      </c>
      <c r="P755" t="str">
        <f>IF(DONNEES!$E755="","",DONNEES!Q755)</f>
        <v/>
      </c>
      <c r="Q755" t="str">
        <f>IF(DONNEES!$E755="","",DONNEES!R755)</f>
        <v/>
      </c>
      <c r="R755" t="str">
        <f>IF(DONNEES!$E755="","",DONNEES!S755)</f>
        <v/>
      </c>
      <c r="S755" t="str">
        <f>IF(DONNEES!$E755="","",DONNEES!T755)</f>
        <v/>
      </c>
      <c r="T755" t="str">
        <f>IF(DONNEES!$E755="","",DONNEES!U755)</f>
        <v/>
      </c>
      <c r="U755" t="str">
        <f>IF(DONNEES!$E755="","",DONNEES!V755)</f>
        <v/>
      </c>
      <c r="V755" t="str">
        <f>IF(DONNEES!$E755="","",DONNEES!W755)</f>
        <v/>
      </c>
      <c r="W755" t="str">
        <f>IF(DONNEES!$E755="","",DONNEES!X755)</f>
        <v/>
      </c>
      <c r="X755" t="str">
        <f>IF(DONNEES!$E755="","",DONNEES!Y755)</f>
        <v/>
      </c>
      <c r="Y755" t="str">
        <f>IF(DONNEES!$E755="","",DONNEES!Z755)</f>
        <v/>
      </c>
      <c r="Z755" t="str">
        <f>IF(DONNEES!$E755="","",DONNEES!AQ755)</f>
        <v/>
      </c>
    </row>
    <row r="756" spans="1:26" ht="15" customHeight="1" x14ac:dyDescent="0.3">
      <c r="A756" t="str">
        <f>IF(DONNEES!$E756="","",DONNEES!A756)</f>
        <v/>
      </c>
      <c r="B756" t="str">
        <f>IF(DONNEES!$E756="","",DONNEES!B756)</f>
        <v/>
      </c>
      <c r="C756" t="str">
        <f>IF(DONNEES!$E756="","",DONNEES!C756)</f>
        <v/>
      </c>
      <c r="D756" t="str">
        <f>IF(DONNEES!$E756="","",DONNEES!E756)</f>
        <v/>
      </c>
      <c r="E756" t="str">
        <f>IF(DONNEES!$E756="","",DONNEES!F756)</f>
        <v/>
      </c>
      <c r="F756" t="str">
        <f>IF(DONNEES!$E756="","",DONNEES!G756)</f>
        <v/>
      </c>
      <c r="G756" t="str">
        <f>IF(DONNEES!$E756="","",DONNEES!H756)</f>
        <v/>
      </c>
      <c r="H756" t="str">
        <f>IF(DONNEES!$E756="","",DONNEES!I756)</f>
        <v/>
      </c>
      <c r="I756" t="str">
        <f>IF(DONNEES!$E756="","",DONNEES!J756)</f>
        <v/>
      </c>
      <c r="J756" t="str">
        <f>IF(DONNEES!$E756="","",DONNEES!K756)</f>
        <v/>
      </c>
      <c r="K756" t="str">
        <f>IF(DONNEES!$E756="","",DONNEES!L756)</f>
        <v/>
      </c>
      <c r="L756" t="str">
        <f>IF(DONNEES!$E756="","",DONNEES!M756)</f>
        <v/>
      </c>
      <c r="M756" t="str">
        <f>IF(DONNEES!$E756="","",DONNEES!N756)</f>
        <v/>
      </c>
      <c r="N756" t="str">
        <f>IF(DONNEES!$E756="","",DONNEES!O756)</f>
        <v/>
      </c>
      <c r="O756" t="str">
        <f>IF(DONNEES!$E756="","",DONNEES!P756)</f>
        <v/>
      </c>
      <c r="P756" t="str">
        <f>IF(DONNEES!$E756="","",DONNEES!Q756)</f>
        <v/>
      </c>
      <c r="Q756" t="str">
        <f>IF(DONNEES!$E756="","",DONNEES!R756)</f>
        <v/>
      </c>
      <c r="R756" t="str">
        <f>IF(DONNEES!$E756="","",DONNEES!S756)</f>
        <v/>
      </c>
      <c r="S756" t="str">
        <f>IF(DONNEES!$E756="","",DONNEES!T756)</f>
        <v/>
      </c>
      <c r="T756" t="str">
        <f>IF(DONNEES!$E756="","",DONNEES!U756)</f>
        <v/>
      </c>
      <c r="U756" t="str">
        <f>IF(DONNEES!$E756="","",DONNEES!V756)</f>
        <v/>
      </c>
      <c r="V756" t="str">
        <f>IF(DONNEES!$E756="","",DONNEES!W756)</f>
        <v/>
      </c>
      <c r="W756" t="str">
        <f>IF(DONNEES!$E756="","",DONNEES!X756)</f>
        <v/>
      </c>
      <c r="X756" t="str">
        <f>IF(DONNEES!$E756="","",DONNEES!Y756)</f>
        <v/>
      </c>
      <c r="Y756" t="str">
        <f>IF(DONNEES!$E756="","",DONNEES!Z756)</f>
        <v/>
      </c>
      <c r="Z756" t="str">
        <f>IF(DONNEES!$E756="","",DONNEES!AQ756)</f>
        <v/>
      </c>
    </row>
    <row r="757" spans="1:26" ht="15" customHeight="1" x14ac:dyDescent="0.3">
      <c r="A757" t="str">
        <f>IF(DONNEES!$E757="","",DONNEES!A757)</f>
        <v/>
      </c>
      <c r="B757" t="str">
        <f>IF(DONNEES!$E757="","",DONNEES!B757)</f>
        <v/>
      </c>
      <c r="C757" t="str">
        <f>IF(DONNEES!$E757="","",DONNEES!C757)</f>
        <v/>
      </c>
      <c r="D757" t="str">
        <f>IF(DONNEES!$E757="","",DONNEES!E757)</f>
        <v/>
      </c>
      <c r="E757" t="str">
        <f>IF(DONNEES!$E757="","",DONNEES!F757)</f>
        <v/>
      </c>
      <c r="F757" t="str">
        <f>IF(DONNEES!$E757="","",DONNEES!G757)</f>
        <v/>
      </c>
      <c r="G757" t="str">
        <f>IF(DONNEES!$E757="","",DONNEES!H757)</f>
        <v/>
      </c>
      <c r="H757" t="str">
        <f>IF(DONNEES!$E757="","",DONNEES!I757)</f>
        <v/>
      </c>
      <c r="I757" t="str">
        <f>IF(DONNEES!$E757="","",DONNEES!J757)</f>
        <v/>
      </c>
      <c r="J757" t="str">
        <f>IF(DONNEES!$E757="","",DONNEES!K757)</f>
        <v/>
      </c>
      <c r="K757" t="str">
        <f>IF(DONNEES!$E757="","",DONNEES!L757)</f>
        <v/>
      </c>
      <c r="L757" t="str">
        <f>IF(DONNEES!$E757="","",DONNEES!M757)</f>
        <v/>
      </c>
      <c r="M757" t="str">
        <f>IF(DONNEES!$E757="","",DONNEES!N757)</f>
        <v/>
      </c>
      <c r="N757" t="str">
        <f>IF(DONNEES!$E757="","",DONNEES!O757)</f>
        <v/>
      </c>
      <c r="O757" t="str">
        <f>IF(DONNEES!$E757="","",DONNEES!P757)</f>
        <v/>
      </c>
      <c r="P757" t="str">
        <f>IF(DONNEES!$E757="","",DONNEES!Q757)</f>
        <v/>
      </c>
      <c r="Q757" t="str">
        <f>IF(DONNEES!$E757="","",DONNEES!R757)</f>
        <v/>
      </c>
      <c r="R757" t="str">
        <f>IF(DONNEES!$E757="","",DONNEES!S757)</f>
        <v/>
      </c>
      <c r="S757" t="str">
        <f>IF(DONNEES!$E757="","",DONNEES!T757)</f>
        <v/>
      </c>
      <c r="T757" t="str">
        <f>IF(DONNEES!$E757="","",DONNEES!U757)</f>
        <v/>
      </c>
      <c r="U757" t="str">
        <f>IF(DONNEES!$E757="","",DONNEES!V757)</f>
        <v/>
      </c>
      <c r="V757" t="str">
        <f>IF(DONNEES!$E757="","",DONNEES!W757)</f>
        <v/>
      </c>
      <c r="W757" t="str">
        <f>IF(DONNEES!$E757="","",DONNEES!X757)</f>
        <v/>
      </c>
      <c r="X757" t="str">
        <f>IF(DONNEES!$E757="","",DONNEES!Y757)</f>
        <v/>
      </c>
      <c r="Y757" t="str">
        <f>IF(DONNEES!$E757="","",DONNEES!Z757)</f>
        <v/>
      </c>
      <c r="Z757" t="str">
        <f>IF(DONNEES!$E757="","",DONNEES!AQ757)</f>
        <v/>
      </c>
    </row>
    <row r="758" spans="1:26" ht="15" customHeight="1" x14ac:dyDescent="0.3">
      <c r="A758" t="str">
        <f>IF(DONNEES!$E758="","",DONNEES!A758)</f>
        <v/>
      </c>
      <c r="B758" t="str">
        <f>IF(DONNEES!$E758="","",DONNEES!B758)</f>
        <v/>
      </c>
      <c r="C758" t="str">
        <f>IF(DONNEES!$E758="","",DONNEES!C758)</f>
        <v/>
      </c>
      <c r="D758" t="str">
        <f>IF(DONNEES!$E758="","",DONNEES!E758)</f>
        <v/>
      </c>
      <c r="E758" t="str">
        <f>IF(DONNEES!$E758="","",DONNEES!F758)</f>
        <v/>
      </c>
      <c r="F758" t="str">
        <f>IF(DONNEES!$E758="","",DONNEES!G758)</f>
        <v/>
      </c>
      <c r="G758" t="str">
        <f>IF(DONNEES!$E758="","",DONNEES!H758)</f>
        <v/>
      </c>
      <c r="H758" t="str">
        <f>IF(DONNEES!$E758="","",DONNEES!I758)</f>
        <v/>
      </c>
      <c r="I758" t="str">
        <f>IF(DONNEES!$E758="","",DONNEES!J758)</f>
        <v/>
      </c>
      <c r="J758" t="str">
        <f>IF(DONNEES!$E758="","",DONNEES!K758)</f>
        <v/>
      </c>
      <c r="K758" t="str">
        <f>IF(DONNEES!$E758="","",DONNEES!L758)</f>
        <v/>
      </c>
      <c r="L758" t="str">
        <f>IF(DONNEES!$E758="","",DONNEES!M758)</f>
        <v/>
      </c>
      <c r="M758" t="str">
        <f>IF(DONNEES!$E758="","",DONNEES!N758)</f>
        <v/>
      </c>
      <c r="N758" t="str">
        <f>IF(DONNEES!$E758="","",DONNEES!O758)</f>
        <v/>
      </c>
      <c r="O758" t="str">
        <f>IF(DONNEES!$E758="","",DONNEES!P758)</f>
        <v/>
      </c>
      <c r="P758" t="str">
        <f>IF(DONNEES!$E758="","",DONNEES!Q758)</f>
        <v/>
      </c>
      <c r="Q758" t="str">
        <f>IF(DONNEES!$E758="","",DONNEES!R758)</f>
        <v/>
      </c>
      <c r="R758" t="str">
        <f>IF(DONNEES!$E758="","",DONNEES!S758)</f>
        <v/>
      </c>
      <c r="S758" t="str">
        <f>IF(DONNEES!$E758="","",DONNEES!T758)</f>
        <v/>
      </c>
      <c r="T758" t="str">
        <f>IF(DONNEES!$E758="","",DONNEES!U758)</f>
        <v/>
      </c>
      <c r="U758" t="str">
        <f>IF(DONNEES!$E758="","",DONNEES!V758)</f>
        <v/>
      </c>
      <c r="V758" t="str">
        <f>IF(DONNEES!$E758="","",DONNEES!W758)</f>
        <v/>
      </c>
      <c r="W758" t="str">
        <f>IF(DONNEES!$E758="","",DONNEES!X758)</f>
        <v/>
      </c>
      <c r="X758" t="str">
        <f>IF(DONNEES!$E758="","",DONNEES!Y758)</f>
        <v/>
      </c>
      <c r="Y758" t="str">
        <f>IF(DONNEES!$E758="","",DONNEES!Z758)</f>
        <v/>
      </c>
      <c r="Z758" t="str">
        <f>IF(DONNEES!$E758="","",DONNEES!AQ758)</f>
        <v/>
      </c>
    </row>
    <row r="759" spans="1:26" ht="15" customHeight="1" x14ac:dyDescent="0.3">
      <c r="A759" t="str">
        <f>IF(DONNEES!$E759="","",DONNEES!A759)</f>
        <v/>
      </c>
      <c r="B759" t="str">
        <f>IF(DONNEES!$E759="","",DONNEES!B759)</f>
        <v/>
      </c>
      <c r="C759" t="str">
        <f>IF(DONNEES!$E759="","",DONNEES!C759)</f>
        <v/>
      </c>
      <c r="D759" t="str">
        <f>IF(DONNEES!$E759="","",DONNEES!E759)</f>
        <v/>
      </c>
      <c r="E759" t="str">
        <f>IF(DONNEES!$E759="","",DONNEES!F759)</f>
        <v/>
      </c>
      <c r="F759" t="str">
        <f>IF(DONNEES!$E759="","",DONNEES!G759)</f>
        <v/>
      </c>
      <c r="G759" t="str">
        <f>IF(DONNEES!$E759="","",DONNEES!H759)</f>
        <v/>
      </c>
      <c r="H759" t="str">
        <f>IF(DONNEES!$E759="","",DONNEES!I759)</f>
        <v/>
      </c>
      <c r="I759" t="str">
        <f>IF(DONNEES!$E759="","",DONNEES!J759)</f>
        <v/>
      </c>
      <c r="J759" t="str">
        <f>IF(DONNEES!$E759="","",DONNEES!K759)</f>
        <v/>
      </c>
      <c r="K759" t="str">
        <f>IF(DONNEES!$E759="","",DONNEES!L759)</f>
        <v/>
      </c>
      <c r="L759" t="str">
        <f>IF(DONNEES!$E759="","",DONNEES!M759)</f>
        <v/>
      </c>
      <c r="M759" t="str">
        <f>IF(DONNEES!$E759="","",DONNEES!N759)</f>
        <v/>
      </c>
      <c r="N759" t="str">
        <f>IF(DONNEES!$E759="","",DONNEES!O759)</f>
        <v/>
      </c>
      <c r="O759" t="str">
        <f>IF(DONNEES!$E759="","",DONNEES!P759)</f>
        <v/>
      </c>
      <c r="P759" t="str">
        <f>IF(DONNEES!$E759="","",DONNEES!Q759)</f>
        <v/>
      </c>
      <c r="Q759" t="str">
        <f>IF(DONNEES!$E759="","",DONNEES!R759)</f>
        <v/>
      </c>
      <c r="R759" t="str">
        <f>IF(DONNEES!$E759="","",DONNEES!S759)</f>
        <v/>
      </c>
      <c r="S759" t="str">
        <f>IF(DONNEES!$E759="","",DONNEES!T759)</f>
        <v/>
      </c>
      <c r="T759" t="str">
        <f>IF(DONNEES!$E759="","",DONNEES!U759)</f>
        <v/>
      </c>
      <c r="U759" t="str">
        <f>IF(DONNEES!$E759="","",DONNEES!V759)</f>
        <v/>
      </c>
      <c r="V759" t="str">
        <f>IF(DONNEES!$E759="","",DONNEES!W759)</f>
        <v/>
      </c>
      <c r="W759" t="str">
        <f>IF(DONNEES!$E759="","",DONNEES!X759)</f>
        <v/>
      </c>
      <c r="X759" t="str">
        <f>IF(DONNEES!$E759="","",DONNEES!Y759)</f>
        <v/>
      </c>
      <c r="Y759" t="str">
        <f>IF(DONNEES!$E759="","",DONNEES!Z759)</f>
        <v/>
      </c>
      <c r="Z759" t="str">
        <f>IF(DONNEES!$E759="","",DONNEES!AQ759)</f>
        <v/>
      </c>
    </row>
    <row r="760" spans="1:26" ht="15" customHeight="1" x14ac:dyDescent="0.3">
      <c r="A760" t="str">
        <f>IF(DONNEES!$E760="","",DONNEES!A760)</f>
        <v/>
      </c>
      <c r="B760" t="str">
        <f>IF(DONNEES!$E760="","",DONNEES!B760)</f>
        <v/>
      </c>
      <c r="C760" t="str">
        <f>IF(DONNEES!$E760="","",DONNEES!C760)</f>
        <v/>
      </c>
      <c r="D760" t="str">
        <f>IF(DONNEES!$E760="","",DONNEES!E760)</f>
        <v/>
      </c>
      <c r="E760" t="str">
        <f>IF(DONNEES!$E760="","",DONNEES!F760)</f>
        <v/>
      </c>
      <c r="F760" t="str">
        <f>IF(DONNEES!$E760="","",DONNEES!G760)</f>
        <v/>
      </c>
      <c r="G760" t="str">
        <f>IF(DONNEES!$E760="","",DONNEES!H760)</f>
        <v/>
      </c>
      <c r="H760" t="str">
        <f>IF(DONNEES!$E760="","",DONNEES!I760)</f>
        <v/>
      </c>
      <c r="I760" t="str">
        <f>IF(DONNEES!$E760="","",DONNEES!J760)</f>
        <v/>
      </c>
      <c r="J760" t="str">
        <f>IF(DONNEES!$E760="","",DONNEES!K760)</f>
        <v/>
      </c>
      <c r="K760" t="str">
        <f>IF(DONNEES!$E760="","",DONNEES!L760)</f>
        <v/>
      </c>
      <c r="L760" t="str">
        <f>IF(DONNEES!$E760="","",DONNEES!M760)</f>
        <v/>
      </c>
      <c r="M760" t="str">
        <f>IF(DONNEES!$E760="","",DONNEES!N760)</f>
        <v/>
      </c>
      <c r="N760" t="str">
        <f>IF(DONNEES!$E760="","",DONNEES!O760)</f>
        <v/>
      </c>
      <c r="O760" t="str">
        <f>IF(DONNEES!$E760="","",DONNEES!P760)</f>
        <v/>
      </c>
      <c r="P760" t="str">
        <f>IF(DONNEES!$E760="","",DONNEES!Q760)</f>
        <v/>
      </c>
      <c r="Q760" t="str">
        <f>IF(DONNEES!$E760="","",DONNEES!R760)</f>
        <v/>
      </c>
      <c r="R760" t="str">
        <f>IF(DONNEES!$E760="","",DONNEES!S760)</f>
        <v/>
      </c>
      <c r="S760" t="str">
        <f>IF(DONNEES!$E760="","",DONNEES!T760)</f>
        <v/>
      </c>
      <c r="T760" t="str">
        <f>IF(DONNEES!$E760="","",DONNEES!U760)</f>
        <v/>
      </c>
      <c r="U760" t="str">
        <f>IF(DONNEES!$E760="","",DONNEES!V760)</f>
        <v/>
      </c>
      <c r="V760" t="str">
        <f>IF(DONNEES!$E760="","",DONNEES!W760)</f>
        <v/>
      </c>
      <c r="W760" t="str">
        <f>IF(DONNEES!$E760="","",DONNEES!X760)</f>
        <v/>
      </c>
      <c r="X760" t="str">
        <f>IF(DONNEES!$E760="","",DONNEES!Y760)</f>
        <v/>
      </c>
      <c r="Y760" t="str">
        <f>IF(DONNEES!$E760="","",DONNEES!Z760)</f>
        <v/>
      </c>
      <c r="Z760" t="str">
        <f>IF(DONNEES!$E760="","",DONNEES!AQ760)</f>
        <v/>
      </c>
    </row>
    <row r="761" spans="1:26" ht="15" customHeight="1" x14ac:dyDescent="0.3">
      <c r="A761" t="str">
        <f>IF(DONNEES!$E761="","",DONNEES!A761)</f>
        <v/>
      </c>
      <c r="B761" t="str">
        <f>IF(DONNEES!$E761="","",DONNEES!B761)</f>
        <v/>
      </c>
      <c r="C761" t="str">
        <f>IF(DONNEES!$E761="","",DONNEES!C761)</f>
        <v/>
      </c>
      <c r="D761" t="str">
        <f>IF(DONNEES!$E761="","",DONNEES!E761)</f>
        <v/>
      </c>
      <c r="E761" t="str">
        <f>IF(DONNEES!$E761="","",DONNEES!F761)</f>
        <v/>
      </c>
      <c r="F761" t="str">
        <f>IF(DONNEES!$E761="","",DONNEES!G761)</f>
        <v/>
      </c>
      <c r="G761" t="str">
        <f>IF(DONNEES!$E761="","",DONNEES!H761)</f>
        <v/>
      </c>
      <c r="H761" t="str">
        <f>IF(DONNEES!$E761="","",DONNEES!I761)</f>
        <v/>
      </c>
      <c r="I761" t="str">
        <f>IF(DONNEES!$E761="","",DONNEES!J761)</f>
        <v/>
      </c>
      <c r="J761" t="str">
        <f>IF(DONNEES!$E761="","",DONNEES!K761)</f>
        <v/>
      </c>
      <c r="K761" t="str">
        <f>IF(DONNEES!$E761="","",DONNEES!L761)</f>
        <v/>
      </c>
      <c r="L761" t="str">
        <f>IF(DONNEES!$E761="","",DONNEES!M761)</f>
        <v/>
      </c>
      <c r="M761" t="str">
        <f>IF(DONNEES!$E761="","",DONNEES!N761)</f>
        <v/>
      </c>
      <c r="N761" t="str">
        <f>IF(DONNEES!$E761="","",DONNEES!O761)</f>
        <v/>
      </c>
      <c r="O761" t="str">
        <f>IF(DONNEES!$E761="","",DONNEES!P761)</f>
        <v/>
      </c>
      <c r="P761" t="str">
        <f>IF(DONNEES!$E761="","",DONNEES!Q761)</f>
        <v/>
      </c>
      <c r="Q761" t="str">
        <f>IF(DONNEES!$E761="","",DONNEES!R761)</f>
        <v/>
      </c>
      <c r="R761" t="str">
        <f>IF(DONNEES!$E761="","",DONNEES!S761)</f>
        <v/>
      </c>
      <c r="S761" t="str">
        <f>IF(DONNEES!$E761="","",DONNEES!T761)</f>
        <v/>
      </c>
      <c r="T761" t="str">
        <f>IF(DONNEES!$E761="","",DONNEES!U761)</f>
        <v/>
      </c>
      <c r="U761" t="str">
        <f>IF(DONNEES!$E761="","",DONNEES!V761)</f>
        <v/>
      </c>
      <c r="V761" t="str">
        <f>IF(DONNEES!$E761="","",DONNEES!W761)</f>
        <v/>
      </c>
      <c r="W761" t="str">
        <f>IF(DONNEES!$E761="","",DONNEES!X761)</f>
        <v/>
      </c>
      <c r="X761" t="str">
        <f>IF(DONNEES!$E761="","",DONNEES!Y761)</f>
        <v/>
      </c>
      <c r="Y761" t="str">
        <f>IF(DONNEES!$E761="","",DONNEES!Z761)</f>
        <v/>
      </c>
      <c r="Z761" t="str">
        <f>IF(DONNEES!$E761="","",DONNEES!AQ761)</f>
        <v/>
      </c>
    </row>
    <row r="762" spans="1:26" ht="15" customHeight="1" x14ac:dyDescent="0.3">
      <c r="A762" t="str">
        <f>IF(DONNEES!$E762="","",DONNEES!A762)</f>
        <v/>
      </c>
      <c r="B762" t="str">
        <f>IF(DONNEES!$E762="","",DONNEES!B762)</f>
        <v/>
      </c>
      <c r="C762" t="str">
        <f>IF(DONNEES!$E762="","",DONNEES!C762)</f>
        <v/>
      </c>
      <c r="D762" t="str">
        <f>IF(DONNEES!$E762="","",DONNEES!E762)</f>
        <v/>
      </c>
      <c r="E762" t="str">
        <f>IF(DONNEES!$E762="","",DONNEES!F762)</f>
        <v/>
      </c>
      <c r="F762" t="str">
        <f>IF(DONNEES!$E762="","",DONNEES!G762)</f>
        <v/>
      </c>
      <c r="G762" t="str">
        <f>IF(DONNEES!$E762="","",DONNEES!H762)</f>
        <v/>
      </c>
      <c r="H762" t="str">
        <f>IF(DONNEES!$E762="","",DONNEES!I762)</f>
        <v/>
      </c>
      <c r="I762" t="str">
        <f>IF(DONNEES!$E762="","",DONNEES!J762)</f>
        <v/>
      </c>
      <c r="J762" t="str">
        <f>IF(DONNEES!$E762="","",DONNEES!K762)</f>
        <v/>
      </c>
      <c r="K762" t="str">
        <f>IF(DONNEES!$E762="","",DONNEES!L762)</f>
        <v/>
      </c>
      <c r="L762" t="str">
        <f>IF(DONNEES!$E762="","",DONNEES!M762)</f>
        <v/>
      </c>
      <c r="M762" t="str">
        <f>IF(DONNEES!$E762="","",DONNEES!N762)</f>
        <v/>
      </c>
      <c r="N762" t="str">
        <f>IF(DONNEES!$E762="","",DONNEES!O762)</f>
        <v/>
      </c>
      <c r="O762" t="str">
        <f>IF(DONNEES!$E762="","",DONNEES!P762)</f>
        <v/>
      </c>
      <c r="P762" t="str">
        <f>IF(DONNEES!$E762="","",DONNEES!Q762)</f>
        <v/>
      </c>
      <c r="Q762" t="str">
        <f>IF(DONNEES!$E762="","",DONNEES!R762)</f>
        <v/>
      </c>
      <c r="R762" t="str">
        <f>IF(DONNEES!$E762="","",DONNEES!S762)</f>
        <v/>
      </c>
      <c r="S762" t="str">
        <f>IF(DONNEES!$E762="","",DONNEES!T762)</f>
        <v/>
      </c>
      <c r="T762" t="str">
        <f>IF(DONNEES!$E762="","",DONNEES!U762)</f>
        <v/>
      </c>
      <c r="U762" t="str">
        <f>IF(DONNEES!$E762="","",DONNEES!V762)</f>
        <v/>
      </c>
      <c r="V762" t="str">
        <f>IF(DONNEES!$E762="","",DONNEES!W762)</f>
        <v/>
      </c>
      <c r="W762" t="str">
        <f>IF(DONNEES!$E762="","",DONNEES!X762)</f>
        <v/>
      </c>
      <c r="X762" t="str">
        <f>IF(DONNEES!$E762="","",DONNEES!Y762)</f>
        <v/>
      </c>
      <c r="Y762" t="str">
        <f>IF(DONNEES!$E762="","",DONNEES!Z762)</f>
        <v/>
      </c>
      <c r="Z762" t="str">
        <f>IF(DONNEES!$E762="","",DONNEES!AQ762)</f>
        <v/>
      </c>
    </row>
    <row r="763" spans="1:26" ht="15" customHeight="1" x14ac:dyDescent="0.3">
      <c r="A763" t="str">
        <f>IF(DONNEES!$E763="","",DONNEES!A763)</f>
        <v/>
      </c>
      <c r="B763" t="str">
        <f>IF(DONNEES!$E763="","",DONNEES!B763)</f>
        <v/>
      </c>
      <c r="C763" t="str">
        <f>IF(DONNEES!$E763="","",DONNEES!C763)</f>
        <v/>
      </c>
      <c r="D763" t="str">
        <f>IF(DONNEES!$E763="","",DONNEES!E763)</f>
        <v/>
      </c>
      <c r="E763" t="str">
        <f>IF(DONNEES!$E763="","",DONNEES!F763)</f>
        <v/>
      </c>
      <c r="F763" t="str">
        <f>IF(DONNEES!$E763="","",DONNEES!G763)</f>
        <v/>
      </c>
      <c r="G763" t="str">
        <f>IF(DONNEES!$E763="","",DONNEES!H763)</f>
        <v/>
      </c>
      <c r="H763" t="str">
        <f>IF(DONNEES!$E763="","",DONNEES!I763)</f>
        <v/>
      </c>
      <c r="I763" t="str">
        <f>IF(DONNEES!$E763="","",DONNEES!J763)</f>
        <v/>
      </c>
      <c r="J763" t="str">
        <f>IF(DONNEES!$E763="","",DONNEES!K763)</f>
        <v/>
      </c>
      <c r="K763" t="str">
        <f>IF(DONNEES!$E763="","",DONNEES!L763)</f>
        <v/>
      </c>
      <c r="L763" t="str">
        <f>IF(DONNEES!$E763="","",DONNEES!M763)</f>
        <v/>
      </c>
      <c r="M763" t="str">
        <f>IF(DONNEES!$E763="","",DONNEES!N763)</f>
        <v/>
      </c>
      <c r="N763" t="str">
        <f>IF(DONNEES!$E763="","",DONNEES!O763)</f>
        <v/>
      </c>
      <c r="O763" t="str">
        <f>IF(DONNEES!$E763="","",DONNEES!P763)</f>
        <v/>
      </c>
      <c r="P763" t="str">
        <f>IF(DONNEES!$E763="","",DONNEES!Q763)</f>
        <v/>
      </c>
      <c r="Q763" t="str">
        <f>IF(DONNEES!$E763="","",DONNEES!R763)</f>
        <v/>
      </c>
      <c r="R763" t="str">
        <f>IF(DONNEES!$E763="","",DONNEES!S763)</f>
        <v/>
      </c>
      <c r="S763" t="str">
        <f>IF(DONNEES!$E763="","",DONNEES!T763)</f>
        <v/>
      </c>
      <c r="T763" t="str">
        <f>IF(DONNEES!$E763="","",DONNEES!U763)</f>
        <v/>
      </c>
      <c r="U763" t="str">
        <f>IF(DONNEES!$E763="","",DONNEES!V763)</f>
        <v/>
      </c>
      <c r="V763" t="str">
        <f>IF(DONNEES!$E763="","",DONNEES!W763)</f>
        <v/>
      </c>
      <c r="W763" t="str">
        <f>IF(DONNEES!$E763="","",DONNEES!X763)</f>
        <v/>
      </c>
      <c r="X763" t="str">
        <f>IF(DONNEES!$E763="","",DONNEES!Y763)</f>
        <v/>
      </c>
      <c r="Y763" t="str">
        <f>IF(DONNEES!$E763="","",DONNEES!Z763)</f>
        <v/>
      </c>
      <c r="Z763" t="str">
        <f>IF(DONNEES!$E763="","",DONNEES!AQ763)</f>
        <v/>
      </c>
    </row>
    <row r="764" spans="1:26" ht="15" customHeight="1" x14ac:dyDescent="0.3">
      <c r="A764" t="str">
        <f>IF(DONNEES!$E764="","",DONNEES!A764)</f>
        <v/>
      </c>
      <c r="B764" t="str">
        <f>IF(DONNEES!$E764="","",DONNEES!B764)</f>
        <v/>
      </c>
      <c r="C764" t="str">
        <f>IF(DONNEES!$E764="","",DONNEES!C764)</f>
        <v/>
      </c>
      <c r="D764" t="str">
        <f>IF(DONNEES!$E764="","",DONNEES!E764)</f>
        <v/>
      </c>
      <c r="E764" t="str">
        <f>IF(DONNEES!$E764="","",DONNEES!F764)</f>
        <v/>
      </c>
      <c r="F764" t="str">
        <f>IF(DONNEES!$E764="","",DONNEES!G764)</f>
        <v/>
      </c>
      <c r="G764" t="str">
        <f>IF(DONNEES!$E764="","",DONNEES!H764)</f>
        <v/>
      </c>
      <c r="H764" t="str">
        <f>IF(DONNEES!$E764="","",DONNEES!I764)</f>
        <v/>
      </c>
      <c r="I764" t="str">
        <f>IF(DONNEES!$E764="","",DONNEES!J764)</f>
        <v/>
      </c>
      <c r="J764" t="str">
        <f>IF(DONNEES!$E764="","",DONNEES!K764)</f>
        <v/>
      </c>
      <c r="K764" t="str">
        <f>IF(DONNEES!$E764="","",DONNEES!L764)</f>
        <v/>
      </c>
      <c r="L764" t="str">
        <f>IF(DONNEES!$E764="","",DONNEES!M764)</f>
        <v/>
      </c>
      <c r="M764" t="str">
        <f>IF(DONNEES!$E764="","",DONNEES!N764)</f>
        <v/>
      </c>
      <c r="N764" t="str">
        <f>IF(DONNEES!$E764="","",DONNEES!O764)</f>
        <v/>
      </c>
      <c r="O764" t="str">
        <f>IF(DONNEES!$E764="","",DONNEES!P764)</f>
        <v/>
      </c>
      <c r="P764" t="str">
        <f>IF(DONNEES!$E764="","",DONNEES!Q764)</f>
        <v/>
      </c>
      <c r="Q764" t="str">
        <f>IF(DONNEES!$E764="","",DONNEES!R764)</f>
        <v/>
      </c>
      <c r="R764" t="str">
        <f>IF(DONNEES!$E764="","",DONNEES!S764)</f>
        <v/>
      </c>
      <c r="S764" t="str">
        <f>IF(DONNEES!$E764="","",DONNEES!T764)</f>
        <v/>
      </c>
      <c r="T764" t="str">
        <f>IF(DONNEES!$E764="","",DONNEES!U764)</f>
        <v/>
      </c>
      <c r="U764" t="str">
        <f>IF(DONNEES!$E764="","",DONNEES!V764)</f>
        <v/>
      </c>
      <c r="V764" t="str">
        <f>IF(DONNEES!$E764="","",DONNEES!W764)</f>
        <v/>
      </c>
      <c r="W764" t="str">
        <f>IF(DONNEES!$E764="","",DONNEES!X764)</f>
        <v/>
      </c>
      <c r="X764" t="str">
        <f>IF(DONNEES!$E764="","",DONNEES!Y764)</f>
        <v/>
      </c>
      <c r="Y764" t="str">
        <f>IF(DONNEES!$E764="","",DONNEES!Z764)</f>
        <v/>
      </c>
      <c r="Z764" t="str">
        <f>IF(DONNEES!$E764="","",DONNEES!AQ764)</f>
        <v/>
      </c>
    </row>
    <row r="765" spans="1:26" ht="15" customHeight="1" x14ac:dyDescent="0.3">
      <c r="A765" t="str">
        <f>IF(DONNEES!$E765="","",DONNEES!A765)</f>
        <v/>
      </c>
      <c r="B765" t="str">
        <f>IF(DONNEES!$E765="","",DONNEES!B765)</f>
        <v/>
      </c>
      <c r="C765" t="str">
        <f>IF(DONNEES!$E765="","",DONNEES!C765)</f>
        <v/>
      </c>
      <c r="D765" t="str">
        <f>IF(DONNEES!$E765="","",DONNEES!E765)</f>
        <v/>
      </c>
      <c r="E765" t="str">
        <f>IF(DONNEES!$E765="","",DONNEES!F765)</f>
        <v/>
      </c>
      <c r="F765" t="str">
        <f>IF(DONNEES!$E765="","",DONNEES!G765)</f>
        <v/>
      </c>
      <c r="G765" t="str">
        <f>IF(DONNEES!$E765="","",DONNEES!H765)</f>
        <v/>
      </c>
      <c r="H765" t="str">
        <f>IF(DONNEES!$E765="","",DONNEES!I765)</f>
        <v/>
      </c>
      <c r="I765" t="str">
        <f>IF(DONNEES!$E765="","",DONNEES!J765)</f>
        <v/>
      </c>
      <c r="J765" t="str">
        <f>IF(DONNEES!$E765="","",DONNEES!K765)</f>
        <v/>
      </c>
      <c r="K765" t="str">
        <f>IF(DONNEES!$E765="","",DONNEES!L765)</f>
        <v/>
      </c>
      <c r="L765" t="str">
        <f>IF(DONNEES!$E765="","",DONNEES!M765)</f>
        <v/>
      </c>
      <c r="M765" t="str">
        <f>IF(DONNEES!$E765="","",DONNEES!N765)</f>
        <v/>
      </c>
      <c r="N765" t="str">
        <f>IF(DONNEES!$E765="","",DONNEES!O765)</f>
        <v/>
      </c>
      <c r="O765" t="str">
        <f>IF(DONNEES!$E765="","",DONNEES!P765)</f>
        <v/>
      </c>
      <c r="P765" t="str">
        <f>IF(DONNEES!$E765="","",DONNEES!Q765)</f>
        <v/>
      </c>
      <c r="Q765" t="str">
        <f>IF(DONNEES!$E765="","",DONNEES!R765)</f>
        <v/>
      </c>
      <c r="R765" t="str">
        <f>IF(DONNEES!$E765="","",DONNEES!S765)</f>
        <v/>
      </c>
      <c r="S765" t="str">
        <f>IF(DONNEES!$E765="","",DONNEES!T765)</f>
        <v/>
      </c>
      <c r="T765" t="str">
        <f>IF(DONNEES!$E765="","",DONNEES!U765)</f>
        <v/>
      </c>
      <c r="U765" t="str">
        <f>IF(DONNEES!$E765="","",DONNEES!V765)</f>
        <v/>
      </c>
      <c r="V765" t="str">
        <f>IF(DONNEES!$E765="","",DONNEES!W765)</f>
        <v/>
      </c>
      <c r="W765" t="str">
        <f>IF(DONNEES!$E765="","",DONNEES!X765)</f>
        <v/>
      </c>
      <c r="X765" t="str">
        <f>IF(DONNEES!$E765="","",DONNEES!Y765)</f>
        <v/>
      </c>
      <c r="Y765" t="str">
        <f>IF(DONNEES!$E765="","",DONNEES!Z765)</f>
        <v/>
      </c>
      <c r="Z765" t="str">
        <f>IF(DONNEES!$E765="","",DONNEES!AQ765)</f>
        <v/>
      </c>
    </row>
    <row r="766" spans="1:26" ht="15" customHeight="1" x14ac:dyDescent="0.3">
      <c r="A766" t="str">
        <f>IF(DONNEES!$E766="","",DONNEES!A766)</f>
        <v/>
      </c>
      <c r="B766" t="str">
        <f>IF(DONNEES!$E766="","",DONNEES!B766)</f>
        <v/>
      </c>
      <c r="C766" t="str">
        <f>IF(DONNEES!$E766="","",DONNEES!C766)</f>
        <v/>
      </c>
      <c r="D766" t="str">
        <f>IF(DONNEES!$E766="","",DONNEES!E766)</f>
        <v/>
      </c>
      <c r="E766" t="str">
        <f>IF(DONNEES!$E766="","",DONNEES!F766)</f>
        <v/>
      </c>
      <c r="F766" t="str">
        <f>IF(DONNEES!$E766="","",DONNEES!G766)</f>
        <v/>
      </c>
      <c r="G766" t="str">
        <f>IF(DONNEES!$E766="","",DONNEES!H766)</f>
        <v/>
      </c>
      <c r="H766" t="str">
        <f>IF(DONNEES!$E766="","",DONNEES!I766)</f>
        <v/>
      </c>
      <c r="I766" t="str">
        <f>IF(DONNEES!$E766="","",DONNEES!J766)</f>
        <v/>
      </c>
      <c r="J766" t="str">
        <f>IF(DONNEES!$E766="","",DONNEES!K766)</f>
        <v/>
      </c>
      <c r="K766" t="str">
        <f>IF(DONNEES!$E766="","",DONNEES!L766)</f>
        <v/>
      </c>
      <c r="L766" t="str">
        <f>IF(DONNEES!$E766="","",DONNEES!M766)</f>
        <v/>
      </c>
      <c r="M766" t="str">
        <f>IF(DONNEES!$E766="","",DONNEES!N766)</f>
        <v/>
      </c>
      <c r="N766" t="str">
        <f>IF(DONNEES!$E766="","",DONNEES!O766)</f>
        <v/>
      </c>
      <c r="O766" t="str">
        <f>IF(DONNEES!$E766="","",DONNEES!P766)</f>
        <v/>
      </c>
      <c r="P766" t="str">
        <f>IF(DONNEES!$E766="","",DONNEES!Q766)</f>
        <v/>
      </c>
      <c r="Q766" t="str">
        <f>IF(DONNEES!$E766="","",DONNEES!R766)</f>
        <v/>
      </c>
      <c r="R766" t="str">
        <f>IF(DONNEES!$E766="","",DONNEES!S766)</f>
        <v/>
      </c>
      <c r="S766" t="str">
        <f>IF(DONNEES!$E766="","",DONNEES!T766)</f>
        <v/>
      </c>
      <c r="T766" t="str">
        <f>IF(DONNEES!$E766="","",DONNEES!U766)</f>
        <v/>
      </c>
      <c r="U766" t="str">
        <f>IF(DONNEES!$E766="","",DONNEES!V766)</f>
        <v/>
      </c>
      <c r="V766" t="str">
        <f>IF(DONNEES!$E766="","",DONNEES!W766)</f>
        <v/>
      </c>
      <c r="W766" t="str">
        <f>IF(DONNEES!$E766="","",DONNEES!X766)</f>
        <v/>
      </c>
      <c r="X766" t="str">
        <f>IF(DONNEES!$E766="","",DONNEES!Y766)</f>
        <v/>
      </c>
      <c r="Y766" t="str">
        <f>IF(DONNEES!$E766="","",DONNEES!Z766)</f>
        <v/>
      </c>
      <c r="Z766" t="str">
        <f>IF(DONNEES!$E766="","",DONNEES!AQ766)</f>
        <v/>
      </c>
    </row>
    <row r="767" spans="1:26" ht="15" customHeight="1" x14ac:dyDescent="0.3">
      <c r="A767" t="str">
        <f>IF(DONNEES!$E767="","",DONNEES!A767)</f>
        <v/>
      </c>
      <c r="B767" t="str">
        <f>IF(DONNEES!$E767="","",DONNEES!B767)</f>
        <v/>
      </c>
      <c r="C767" t="str">
        <f>IF(DONNEES!$E767="","",DONNEES!C767)</f>
        <v/>
      </c>
      <c r="D767" t="str">
        <f>IF(DONNEES!$E767="","",DONNEES!E767)</f>
        <v/>
      </c>
      <c r="E767" t="str">
        <f>IF(DONNEES!$E767="","",DONNEES!F767)</f>
        <v/>
      </c>
      <c r="F767" t="str">
        <f>IF(DONNEES!$E767="","",DONNEES!G767)</f>
        <v/>
      </c>
      <c r="G767" t="str">
        <f>IF(DONNEES!$E767="","",DONNEES!H767)</f>
        <v/>
      </c>
      <c r="H767" t="str">
        <f>IF(DONNEES!$E767="","",DONNEES!I767)</f>
        <v/>
      </c>
      <c r="I767" t="str">
        <f>IF(DONNEES!$E767="","",DONNEES!J767)</f>
        <v/>
      </c>
      <c r="J767" t="str">
        <f>IF(DONNEES!$E767="","",DONNEES!K767)</f>
        <v/>
      </c>
      <c r="K767" t="str">
        <f>IF(DONNEES!$E767="","",DONNEES!L767)</f>
        <v/>
      </c>
      <c r="L767" t="str">
        <f>IF(DONNEES!$E767="","",DONNEES!M767)</f>
        <v/>
      </c>
      <c r="M767" t="str">
        <f>IF(DONNEES!$E767="","",DONNEES!N767)</f>
        <v/>
      </c>
      <c r="N767" t="str">
        <f>IF(DONNEES!$E767="","",DONNEES!O767)</f>
        <v/>
      </c>
      <c r="O767" t="str">
        <f>IF(DONNEES!$E767="","",DONNEES!P767)</f>
        <v/>
      </c>
      <c r="P767" t="str">
        <f>IF(DONNEES!$E767="","",DONNEES!Q767)</f>
        <v/>
      </c>
      <c r="Q767" t="str">
        <f>IF(DONNEES!$E767="","",DONNEES!R767)</f>
        <v/>
      </c>
      <c r="R767" t="str">
        <f>IF(DONNEES!$E767="","",DONNEES!S767)</f>
        <v/>
      </c>
      <c r="S767" t="str">
        <f>IF(DONNEES!$E767="","",DONNEES!T767)</f>
        <v/>
      </c>
      <c r="T767" t="str">
        <f>IF(DONNEES!$E767="","",DONNEES!U767)</f>
        <v/>
      </c>
      <c r="U767" t="str">
        <f>IF(DONNEES!$E767="","",DONNEES!V767)</f>
        <v/>
      </c>
      <c r="V767" t="str">
        <f>IF(DONNEES!$E767="","",DONNEES!W767)</f>
        <v/>
      </c>
      <c r="W767" t="str">
        <f>IF(DONNEES!$E767="","",DONNEES!X767)</f>
        <v/>
      </c>
      <c r="X767" t="str">
        <f>IF(DONNEES!$E767="","",DONNEES!Y767)</f>
        <v/>
      </c>
      <c r="Y767" t="str">
        <f>IF(DONNEES!$E767="","",DONNEES!Z767)</f>
        <v/>
      </c>
      <c r="Z767" t="str">
        <f>IF(DONNEES!$E767="","",DONNEES!AQ767)</f>
        <v/>
      </c>
    </row>
    <row r="768" spans="1:26" ht="15" customHeight="1" x14ac:dyDescent="0.3">
      <c r="A768" t="str">
        <f>IF(DONNEES!$E768="","",DONNEES!A768)</f>
        <v/>
      </c>
      <c r="B768" t="str">
        <f>IF(DONNEES!$E768="","",DONNEES!B768)</f>
        <v/>
      </c>
      <c r="C768" t="str">
        <f>IF(DONNEES!$E768="","",DONNEES!C768)</f>
        <v/>
      </c>
      <c r="D768" t="str">
        <f>IF(DONNEES!$E768="","",DONNEES!E768)</f>
        <v/>
      </c>
      <c r="E768" t="str">
        <f>IF(DONNEES!$E768="","",DONNEES!F768)</f>
        <v/>
      </c>
      <c r="F768" t="str">
        <f>IF(DONNEES!$E768="","",DONNEES!G768)</f>
        <v/>
      </c>
      <c r="G768" t="str">
        <f>IF(DONNEES!$E768="","",DONNEES!H768)</f>
        <v/>
      </c>
      <c r="H768" t="str">
        <f>IF(DONNEES!$E768="","",DONNEES!I768)</f>
        <v/>
      </c>
      <c r="I768" t="str">
        <f>IF(DONNEES!$E768="","",DONNEES!J768)</f>
        <v/>
      </c>
      <c r="J768" t="str">
        <f>IF(DONNEES!$E768="","",DONNEES!K768)</f>
        <v/>
      </c>
      <c r="K768" t="str">
        <f>IF(DONNEES!$E768="","",DONNEES!L768)</f>
        <v/>
      </c>
      <c r="L768" t="str">
        <f>IF(DONNEES!$E768="","",DONNEES!M768)</f>
        <v/>
      </c>
      <c r="M768" t="str">
        <f>IF(DONNEES!$E768="","",DONNEES!N768)</f>
        <v/>
      </c>
      <c r="N768" t="str">
        <f>IF(DONNEES!$E768="","",DONNEES!O768)</f>
        <v/>
      </c>
      <c r="O768" t="str">
        <f>IF(DONNEES!$E768="","",DONNEES!P768)</f>
        <v/>
      </c>
      <c r="P768" t="str">
        <f>IF(DONNEES!$E768="","",DONNEES!Q768)</f>
        <v/>
      </c>
      <c r="Q768" t="str">
        <f>IF(DONNEES!$E768="","",DONNEES!R768)</f>
        <v/>
      </c>
      <c r="R768" t="str">
        <f>IF(DONNEES!$E768="","",DONNEES!S768)</f>
        <v/>
      </c>
      <c r="S768" t="str">
        <f>IF(DONNEES!$E768="","",DONNEES!T768)</f>
        <v/>
      </c>
      <c r="T768" t="str">
        <f>IF(DONNEES!$E768="","",DONNEES!U768)</f>
        <v/>
      </c>
      <c r="U768" t="str">
        <f>IF(DONNEES!$E768="","",DONNEES!V768)</f>
        <v/>
      </c>
      <c r="V768" t="str">
        <f>IF(DONNEES!$E768="","",DONNEES!W768)</f>
        <v/>
      </c>
      <c r="W768" t="str">
        <f>IF(DONNEES!$E768="","",DONNEES!X768)</f>
        <v/>
      </c>
      <c r="X768" t="str">
        <f>IF(DONNEES!$E768="","",DONNEES!Y768)</f>
        <v/>
      </c>
      <c r="Y768" t="str">
        <f>IF(DONNEES!$E768="","",DONNEES!Z768)</f>
        <v/>
      </c>
      <c r="Z768" t="str">
        <f>IF(DONNEES!$E768="","",DONNEES!AQ768)</f>
        <v/>
      </c>
    </row>
    <row r="769" spans="1:26" ht="15" customHeight="1" x14ac:dyDescent="0.3">
      <c r="A769" t="str">
        <f>IF(DONNEES!$E769="","",DONNEES!A769)</f>
        <v/>
      </c>
      <c r="B769" t="str">
        <f>IF(DONNEES!$E769="","",DONNEES!B769)</f>
        <v/>
      </c>
      <c r="C769" t="str">
        <f>IF(DONNEES!$E769="","",DONNEES!C769)</f>
        <v/>
      </c>
      <c r="D769" t="str">
        <f>IF(DONNEES!$E769="","",DONNEES!E769)</f>
        <v/>
      </c>
      <c r="E769" t="str">
        <f>IF(DONNEES!$E769="","",DONNEES!F769)</f>
        <v/>
      </c>
      <c r="F769" t="str">
        <f>IF(DONNEES!$E769="","",DONNEES!G769)</f>
        <v/>
      </c>
      <c r="G769" t="str">
        <f>IF(DONNEES!$E769="","",DONNEES!H769)</f>
        <v/>
      </c>
      <c r="H769" t="str">
        <f>IF(DONNEES!$E769="","",DONNEES!I769)</f>
        <v/>
      </c>
      <c r="I769" t="str">
        <f>IF(DONNEES!$E769="","",DONNEES!J769)</f>
        <v/>
      </c>
      <c r="J769" t="str">
        <f>IF(DONNEES!$E769="","",DONNEES!K769)</f>
        <v/>
      </c>
      <c r="K769" t="str">
        <f>IF(DONNEES!$E769="","",DONNEES!L769)</f>
        <v/>
      </c>
      <c r="L769" t="str">
        <f>IF(DONNEES!$E769="","",DONNEES!M769)</f>
        <v/>
      </c>
      <c r="M769" t="str">
        <f>IF(DONNEES!$E769="","",DONNEES!N769)</f>
        <v/>
      </c>
      <c r="N769" t="str">
        <f>IF(DONNEES!$E769="","",DONNEES!O769)</f>
        <v/>
      </c>
      <c r="O769" t="str">
        <f>IF(DONNEES!$E769="","",DONNEES!P769)</f>
        <v/>
      </c>
      <c r="P769" t="str">
        <f>IF(DONNEES!$E769="","",DONNEES!Q769)</f>
        <v/>
      </c>
      <c r="Q769" t="str">
        <f>IF(DONNEES!$E769="","",DONNEES!R769)</f>
        <v/>
      </c>
      <c r="R769" t="str">
        <f>IF(DONNEES!$E769="","",DONNEES!S769)</f>
        <v/>
      </c>
      <c r="S769" t="str">
        <f>IF(DONNEES!$E769="","",DONNEES!T769)</f>
        <v/>
      </c>
      <c r="T769" t="str">
        <f>IF(DONNEES!$E769="","",DONNEES!U769)</f>
        <v/>
      </c>
      <c r="U769" t="str">
        <f>IF(DONNEES!$E769="","",DONNEES!V769)</f>
        <v/>
      </c>
      <c r="V769" t="str">
        <f>IF(DONNEES!$E769="","",DONNEES!W769)</f>
        <v/>
      </c>
      <c r="W769" t="str">
        <f>IF(DONNEES!$E769="","",DONNEES!X769)</f>
        <v/>
      </c>
      <c r="X769" t="str">
        <f>IF(DONNEES!$E769="","",DONNEES!Y769)</f>
        <v/>
      </c>
      <c r="Y769" t="str">
        <f>IF(DONNEES!$E769="","",DONNEES!Z769)</f>
        <v/>
      </c>
      <c r="Z769" t="str">
        <f>IF(DONNEES!$E769="","",DONNEES!AQ769)</f>
        <v/>
      </c>
    </row>
    <row r="770" spans="1:26" ht="15" customHeight="1" x14ac:dyDescent="0.3">
      <c r="A770" t="str">
        <f>IF(DONNEES!$E770="","",DONNEES!A770)</f>
        <v/>
      </c>
      <c r="B770" t="str">
        <f>IF(DONNEES!$E770="","",DONNEES!B770)</f>
        <v/>
      </c>
      <c r="C770" t="str">
        <f>IF(DONNEES!$E770="","",DONNEES!C770)</f>
        <v/>
      </c>
      <c r="D770" t="str">
        <f>IF(DONNEES!$E770="","",DONNEES!E770)</f>
        <v/>
      </c>
      <c r="E770" t="str">
        <f>IF(DONNEES!$E770="","",DONNEES!F770)</f>
        <v/>
      </c>
      <c r="F770" t="str">
        <f>IF(DONNEES!$E770="","",DONNEES!G770)</f>
        <v/>
      </c>
      <c r="G770" t="str">
        <f>IF(DONNEES!$E770="","",DONNEES!H770)</f>
        <v/>
      </c>
      <c r="H770" t="str">
        <f>IF(DONNEES!$E770="","",DONNEES!I770)</f>
        <v/>
      </c>
      <c r="I770" t="str">
        <f>IF(DONNEES!$E770="","",DONNEES!J770)</f>
        <v/>
      </c>
      <c r="J770" t="str">
        <f>IF(DONNEES!$E770="","",DONNEES!K770)</f>
        <v/>
      </c>
      <c r="K770" t="str">
        <f>IF(DONNEES!$E770="","",DONNEES!L770)</f>
        <v/>
      </c>
      <c r="L770" t="str">
        <f>IF(DONNEES!$E770="","",DONNEES!M770)</f>
        <v/>
      </c>
      <c r="M770" t="str">
        <f>IF(DONNEES!$E770="","",DONNEES!N770)</f>
        <v/>
      </c>
      <c r="N770" t="str">
        <f>IF(DONNEES!$E770="","",DONNEES!O770)</f>
        <v/>
      </c>
      <c r="O770" t="str">
        <f>IF(DONNEES!$E770="","",DONNEES!P770)</f>
        <v/>
      </c>
      <c r="P770" t="str">
        <f>IF(DONNEES!$E770="","",DONNEES!Q770)</f>
        <v/>
      </c>
      <c r="Q770" t="str">
        <f>IF(DONNEES!$E770="","",DONNEES!R770)</f>
        <v/>
      </c>
      <c r="R770" t="str">
        <f>IF(DONNEES!$E770="","",DONNEES!S770)</f>
        <v/>
      </c>
      <c r="S770" t="str">
        <f>IF(DONNEES!$E770="","",DONNEES!T770)</f>
        <v/>
      </c>
      <c r="T770" t="str">
        <f>IF(DONNEES!$E770="","",DONNEES!U770)</f>
        <v/>
      </c>
      <c r="U770" t="str">
        <f>IF(DONNEES!$E770="","",DONNEES!V770)</f>
        <v/>
      </c>
      <c r="V770" t="str">
        <f>IF(DONNEES!$E770="","",DONNEES!W770)</f>
        <v/>
      </c>
      <c r="W770" t="str">
        <f>IF(DONNEES!$E770="","",DONNEES!X770)</f>
        <v/>
      </c>
      <c r="X770" t="str">
        <f>IF(DONNEES!$E770="","",DONNEES!Y770)</f>
        <v/>
      </c>
      <c r="Y770" t="str">
        <f>IF(DONNEES!$E770="","",DONNEES!Z770)</f>
        <v/>
      </c>
      <c r="Z770" t="str">
        <f>IF(DONNEES!$E770="","",DONNEES!AQ770)</f>
        <v/>
      </c>
    </row>
    <row r="771" spans="1:26" ht="15" customHeight="1" x14ac:dyDescent="0.3">
      <c r="A771" t="str">
        <f>IF(DONNEES!$E771="","",DONNEES!A771)</f>
        <v/>
      </c>
      <c r="B771" t="str">
        <f>IF(DONNEES!$E771="","",DONNEES!B771)</f>
        <v/>
      </c>
      <c r="C771" t="str">
        <f>IF(DONNEES!$E771="","",DONNEES!C771)</f>
        <v/>
      </c>
      <c r="D771" t="str">
        <f>IF(DONNEES!$E771="","",DONNEES!E771)</f>
        <v/>
      </c>
      <c r="E771" t="str">
        <f>IF(DONNEES!$E771="","",DONNEES!F771)</f>
        <v/>
      </c>
      <c r="F771" t="str">
        <f>IF(DONNEES!$E771="","",DONNEES!G771)</f>
        <v/>
      </c>
      <c r="G771" t="str">
        <f>IF(DONNEES!$E771="","",DONNEES!H771)</f>
        <v/>
      </c>
      <c r="H771" t="str">
        <f>IF(DONNEES!$E771="","",DONNEES!I771)</f>
        <v/>
      </c>
      <c r="I771" t="str">
        <f>IF(DONNEES!$E771="","",DONNEES!J771)</f>
        <v/>
      </c>
      <c r="J771" t="str">
        <f>IF(DONNEES!$E771="","",DONNEES!K771)</f>
        <v/>
      </c>
      <c r="K771" t="str">
        <f>IF(DONNEES!$E771="","",DONNEES!L771)</f>
        <v/>
      </c>
      <c r="L771" t="str">
        <f>IF(DONNEES!$E771="","",DONNEES!M771)</f>
        <v/>
      </c>
      <c r="M771" t="str">
        <f>IF(DONNEES!$E771="","",DONNEES!N771)</f>
        <v/>
      </c>
      <c r="N771" t="str">
        <f>IF(DONNEES!$E771="","",DONNEES!O771)</f>
        <v/>
      </c>
      <c r="O771" t="str">
        <f>IF(DONNEES!$E771="","",DONNEES!P771)</f>
        <v/>
      </c>
      <c r="P771" t="str">
        <f>IF(DONNEES!$E771="","",DONNEES!Q771)</f>
        <v/>
      </c>
      <c r="Q771" t="str">
        <f>IF(DONNEES!$E771="","",DONNEES!R771)</f>
        <v/>
      </c>
      <c r="R771" t="str">
        <f>IF(DONNEES!$E771="","",DONNEES!S771)</f>
        <v/>
      </c>
      <c r="S771" t="str">
        <f>IF(DONNEES!$E771="","",DONNEES!T771)</f>
        <v/>
      </c>
      <c r="T771" t="str">
        <f>IF(DONNEES!$E771="","",DONNEES!U771)</f>
        <v/>
      </c>
      <c r="U771" t="str">
        <f>IF(DONNEES!$E771="","",DONNEES!V771)</f>
        <v/>
      </c>
      <c r="V771" t="str">
        <f>IF(DONNEES!$E771="","",DONNEES!W771)</f>
        <v/>
      </c>
      <c r="W771" t="str">
        <f>IF(DONNEES!$E771="","",DONNEES!X771)</f>
        <v/>
      </c>
      <c r="X771" t="str">
        <f>IF(DONNEES!$E771="","",DONNEES!Y771)</f>
        <v/>
      </c>
      <c r="Y771" t="str">
        <f>IF(DONNEES!$E771="","",DONNEES!Z771)</f>
        <v/>
      </c>
      <c r="Z771" t="str">
        <f>IF(DONNEES!$E771="","",DONNEES!AQ771)</f>
        <v/>
      </c>
    </row>
    <row r="772" spans="1:26" ht="15" customHeight="1" x14ac:dyDescent="0.3">
      <c r="A772" t="str">
        <f>IF(DONNEES!$E772="","",DONNEES!A772)</f>
        <v/>
      </c>
      <c r="B772" t="str">
        <f>IF(DONNEES!$E772="","",DONNEES!B772)</f>
        <v/>
      </c>
      <c r="C772" t="str">
        <f>IF(DONNEES!$E772="","",DONNEES!C772)</f>
        <v/>
      </c>
      <c r="D772" t="str">
        <f>IF(DONNEES!$E772="","",DONNEES!E772)</f>
        <v/>
      </c>
      <c r="E772" t="str">
        <f>IF(DONNEES!$E772="","",DONNEES!F772)</f>
        <v/>
      </c>
      <c r="F772" t="str">
        <f>IF(DONNEES!$E772="","",DONNEES!G772)</f>
        <v/>
      </c>
      <c r="G772" t="str">
        <f>IF(DONNEES!$E772="","",DONNEES!H772)</f>
        <v/>
      </c>
      <c r="H772" t="str">
        <f>IF(DONNEES!$E772="","",DONNEES!I772)</f>
        <v/>
      </c>
      <c r="I772" t="str">
        <f>IF(DONNEES!$E772="","",DONNEES!J772)</f>
        <v/>
      </c>
      <c r="J772" t="str">
        <f>IF(DONNEES!$E772="","",DONNEES!K772)</f>
        <v/>
      </c>
      <c r="K772" t="str">
        <f>IF(DONNEES!$E772="","",DONNEES!L772)</f>
        <v/>
      </c>
      <c r="L772" t="str">
        <f>IF(DONNEES!$E772="","",DONNEES!M772)</f>
        <v/>
      </c>
      <c r="M772" t="str">
        <f>IF(DONNEES!$E772="","",DONNEES!N772)</f>
        <v/>
      </c>
      <c r="N772" t="str">
        <f>IF(DONNEES!$E772="","",DONNEES!O772)</f>
        <v/>
      </c>
      <c r="O772" t="str">
        <f>IF(DONNEES!$E772="","",DONNEES!P772)</f>
        <v/>
      </c>
      <c r="P772" t="str">
        <f>IF(DONNEES!$E772="","",DONNEES!Q772)</f>
        <v/>
      </c>
      <c r="Q772" t="str">
        <f>IF(DONNEES!$E772="","",DONNEES!R772)</f>
        <v/>
      </c>
      <c r="R772" t="str">
        <f>IF(DONNEES!$E772="","",DONNEES!S772)</f>
        <v/>
      </c>
      <c r="S772" t="str">
        <f>IF(DONNEES!$E772="","",DONNEES!T772)</f>
        <v/>
      </c>
      <c r="T772" t="str">
        <f>IF(DONNEES!$E772="","",DONNEES!U772)</f>
        <v/>
      </c>
      <c r="U772" t="str">
        <f>IF(DONNEES!$E772="","",DONNEES!V772)</f>
        <v/>
      </c>
      <c r="V772" t="str">
        <f>IF(DONNEES!$E772="","",DONNEES!W772)</f>
        <v/>
      </c>
      <c r="W772" t="str">
        <f>IF(DONNEES!$E772="","",DONNEES!X772)</f>
        <v/>
      </c>
      <c r="X772" t="str">
        <f>IF(DONNEES!$E772="","",DONNEES!Y772)</f>
        <v/>
      </c>
      <c r="Y772" t="str">
        <f>IF(DONNEES!$E772="","",DONNEES!Z772)</f>
        <v/>
      </c>
      <c r="Z772" t="str">
        <f>IF(DONNEES!$E772="","",DONNEES!AQ772)</f>
        <v/>
      </c>
    </row>
    <row r="773" spans="1:26" ht="15" customHeight="1" x14ac:dyDescent="0.3">
      <c r="A773" t="str">
        <f>IF(DONNEES!$E773="","",DONNEES!A773)</f>
        <v/>
      </c>
      <c r="B773" t="str">
        <f>IF(DONNEES!$E773="","",DONNEES!B773)</f>
        <v/>
      </c>
      <c r="C773" t="str">
        <f>IF(DONNEES!$E773="","",DONNEES!C773)</f>
        <v/>
      </c>
      <c r="D773" t="str">
        <f>IF(DONNEES!$E773="","",DONNEES!E773)</f>
        <v/>
      </c>
      <c r="E773" t="str">
        <f>IF(DONNEES!$E773="","",DONNEES!F773)</f>
        <v/>
      </c>
      <c r="F773" t="str">
        <f>IF(DONNEES!$E773="","",DONNEES!G773)</f>
        <v/>
      </c>
      <c r="G773" t="str">
        <f>IF(DONNEES!$E773="","",DONNEES!H773)</f>
        <v/>
      </c>
      <c r="H773" t="str">
        <f>IF(DONNEES!$E773="","",DONNEES!I773)</f>
        <v/>
      </c>
      <c r="I773" t="str">
        <f>IF(DONNEES!$E773="","",DONNEES!J773)</f>
        <v/>
      </c>
      <c r="J773" t="str">
        <f>IF(DONNEES!$E773="","",DONNEES!K773)</f>
        <v/>
      </c>
      <c r="K773" t="str">
        <f>IF(DONNEES!$E773="","",DONNEES!L773)</f>
        <v/>
      </c>
      <c r="L773" t="str">
        <f>IF(DONNEES!$E773="","",DONNEES!M773)</f>
        <v/>
      </c>
      <c r="M773" t="str">
        <f>IF(DONNEES!$E773="","",DONNEES!N773)</f>
        <v/>
      </c>
      <c r="N773" t="str">
        <f>IF(DONNEES!$E773="","",DONNEES!O773)</f>
        <v/>
      </c>
      <c r="O773" t="str">
        <f>IF(DONNEES!$E773="","",DONNEES!P773)</f>
        <v/>
      </c>
      <c r="P773" t="str">
        <f>IF(DONNEES!$E773="","",DONNEES!Q773)</f>
        <v/>
      </c>
      <c r="Q773" t="str">
        <f>IF(DONNEES!$E773="","",DONNEES!R773)</f>
        <v/>
      </c>
      <c r="R773" t="str">
        <f>IF(DONNEES!$E773="","",DONNEES!S773)</f>
        <v/>
      </c>
      <c r="S773" t="str">
        <f>IF(DONNEES!$E773="","",DONNEES!T773)</f>
        <v/>
      </c>
      <c r="T773" t="str">
        <f>IF(DONNEES!$E773="","",DONNEES!U773)</f>
        <v/>
      </c>
      <c r="U773" t="str">
        <f>IF(DONNEES!$E773="","",DONNEES!V773)</f>
        <v/>
      </c>
      <c r="V773" t="str">
        <f>IF(DONNEES!$E773="","",DONNEES!W773)</f>
        <v/>
      </c>
      <c r="W773" t="str">
        <f>IF(DONNEES!$E773="","",DONNEES!X773)</f>
        <v/>
      </c>
      <c r="X773" t="str">
        <f>IF(DONNEES!$E773="","",DONNEES!Y773)</f>
        <v/>
      </c>
      <c r="Y773" t="str">
        <f>IF(DONNEES!$E773="","",DONNEES!Z773)</f>
        <v/>
      </c>
      <c r="Z773" t="str">
        <f>IF(DONNEES!$E773="","",DONNEES!AQ773)</f>
        <v/>
      </c>
    </row>
    <row r="774" spans="1:26" ht="15" customHeight="1" x14ac:dyDescent="0.3">
      <c r="A774" t="str">
        <f>IF(DONNEES!$E774="","",DONNEES!A774)</f>
        <v/>
      </c>
      <c r="B774" t="str">
        <f>IF(DONNEES!$E774="","",DONNEES!B774)</f>
        <v/>
      </c>
      <c r="C774" t="str">
        <f>IF(DONNEES!$E774="","",DONNEES!C774)</f>
        <v/>
      </c>
      <c r="D774" t="str">
        <f>IF(DONNEES!$E774="","",DONNEES!E774)</f>
        <v/>
      </c>
      <c r="E774" t="str">
        <f>IF(DONNEES!$E774="","",DONNEES!F774)</f>
        <v/>
      </c>
      <c r="F774" t="str">
        <f>IF(DONNEES!$E774="","",DONNEES!G774)</f>
        <v/>
      </c>
      <c r="G774" t="str">
        <f>IF(DONNEES!$E774="","",DONNEES!H774)</f>
        <v/>
      </c>
      <c r="H774" t="str">
        <f>IF(DONNEES!$E774="","",DONNEES!I774)</f>
        <v/>
      </c>
      <c r="I774" t="str">
        <f>IF(DONNEES!$E774="","",DONNEES!J774)</f>
        <v/>
      </c>
      <c r="J774" t="str">
        <f>IF(DONNEES!$E774="","",DONNEES!K774)</f>
        <v/>
      </c>
      <c r="K774" t="str">
        <f>IF(DONNEES!$E774="","",DONNEES!L774)</f>
        <v/>
      </c>
      <c r="L774" t="str">
        <f>IF(DONNEES!$E774="","",DONNEES!M774)</f>
        <v/>
      </c>
      <c r="M774" t="str">
        <f>IF(DONNEES!$E774="","",DONNEES!N774)</f>
        <v/>
      </c>
      <c r="N774" t="str">
        <f>IF(DONNEES!$E774="","",DONNEES!O774)</f>
        <v/>
      </c>
      <c r="O774" t="str">
        <f>IF(DONNEES!$E774="","",DONNEES!P774)</f>
        <v/>
      </c>
      <c r="P774" t="str">
        <f>IF(DONNEES!$E774="","",DONNEES!Q774)</f>
        <v/>
      </c>
      <c r="Q774" t="str">
        <f>IF(DONNEES!$E774="","",DONNEES!R774)</f>
        <v/>
      </c>
      <c r="R774" t="str">
        <f>IF(DONNEES!$E774="","",DONNEES!S774)</f>
        <v/>
      </c>
      <c r="S774" t="str">
        <f>IF(DONNEES!$E774="","",DONNEES!T774)</f>
        <v/>
      </c>
      <c r="T774" t="str">
        <f>IF(DONNEES!$E774="","",DONNEES!U774)</f>
        <v/>
      </c>
      <c r="U774" t="str">
        <f>IF(DONNEES!$E774="","",DONNEES!V774)</f>
        <v/>
      </c>
      <c r="V774" t="str">
        <f>IF(DONNEES!$E774="","",DONNEES!W774)</f>
        <v/>
      </c>
      <c r="W774" t="str">
        <f>IF(DONNEES!$E774="","",DONNEES!X774)</f>
        <v/>
      </c>
      <c r="X774" t="str">
        <f>IF(DONNEES!$E774="","",DONNEES!Y774)</f>
        <v/>
      </c>
      <c r="Y774" t="str">
        <f>IF(DONNEES!$E774="","",DONNEES!Z774)</f>
        <v/>
      </c>
      <c r="Z774" t="str">
        <f>IF(DONNEES!$E774="","",DONNEES!AQ774)</f>
        <v/>
      </c>
    </row>
    <row r="775" spans="1:26" ht="15" customHeight="1" x14ac:dyDescent="0.3">
      <c r="A775" t="str">
        <f>IF(DONNEES!$E775="","",DONNEES!A775)</f>
        <v/>
      </c>
      <c r="B775" t="str">
        <f>IF(DONNEES!$E775="","",DONNEES!B775)</f>
        <v/>
      </c>
      <c r="C775" t="str">
        <f>IF(DONNEES!$E775="","",DONNEES!C775)</f>
        <v/>
      </c>
      <c r="D775" t="str">
        <f>IF(DONNEES!$E775="","",DONNEES!E775)</f>
        <v/>
      </c>
      <c r="E775" t="str">
        <f>IF(DONNEES!$E775="","",DONNEES!F775)</f>
        <v/>
      </c>
      <c r="F775" t="str">
        <f>IF(DONNEES!$E775="","",DONNEES!G775)</f>
        <v/>
      </c>
      <c r="G775" t="str">
        <f>IF(DONNEES!$E775="","",DONNEES!H775)</f>
        <v/>
      </c>
      <c r="H775" t="str">
        <f>IF(DONNEES!$E775="","",DONNEES!I775)</f>
        <v/>
      </c>
      <c r="I775" t="str">
        <f>IF(DONNEES!$E775="","",DONNEES!J775)</f>
        <v/>
      </c>
      <c r="J775" t="str">
        <f>IF(DONNEES!$E775="","",DONNEES!K775)</f>
        <v/>
      </c>
      <c r="K775" t="str">
        <f>IF(DONNEES!$E775="","",DONNEES!L775)</f>
        <v/>
      </c>
      <c r="L775" t="str">
        <f>IF(DONNEES!$E775="","",DONNEES!M775)</f>
        <v/>
      </c>
      <c r="M775" t="str">
        <f>IF(DONNEES!$E775="","",DONNEES!N775)</f>
        <v/>
      </c>
      <c r="N775" t="str">
        <f>IF(DONNEES!$E775="","",DONNEES!O775)</f>
        <v/>
      </c>
      <c r="O775" t="str">
        <f>IF(DONNEES!$E775="","",DONNEES!P775)</f>
        <v/>
      </c>
      <c r="P775" t="str">
        <f>IF(DONNEES!$E775="","",DONNEES!Q775)</f>
        <v/>
      </c>
      <c r="Q775" t="str">
        <f>IF(DONNEES!$E775="","",DONNEES!R775)</f>
        <v/>
      </c>
      <c r="R775" t="str">
        <f>IF(DONNEES!$E775="","",DONNEES!S775)</f>
        <v/>
      </c>
      <c r="S775" t="str">
        <f>IF(DONNEES!$E775="","",DONNEES!T775)</f>
        <v/>
      </c>
      <c r="T775" t="str">
        <f>IF(DONNEES!$E775="","",DONNEES!U775)</f>
        <v/>
      </c>
      <c r="U775" t="str">
        <f>IF(DONNEES!$E775="","",DONNEES!V775)</f>
        <v/>
      </c>
      <c r="V775" t="str">
        <f>IF(DONNEES!$E775="","",DONNEES!W775)</f>
        <v/>
      </c>
      <c r="W775" t="str">
        <f>IF(DONNEES!$E775="","",DONNEES!X775)</f>
        <v/>
      </c>
      <c r="X775" t="str">
        <f>IF(DONNEES!$E775="","",DONNEES!Y775)</f>
        <v/>
      </c>
      <c r="Y775" t="str">
        <f>IF(DONNEES!$E775="","",DONNEES!Z775)</f>
        <v/>
      </c>
      <c r="Z775" t="str">
        <f>IF(DONNEES!$E775="","",DONNEES!AQ775)</f>
        <v/>
      </c>
    </row>
    <row r="776" spans="1:26" ht="15" customHeight="1" x14ac:dyDescent="0.3">
      <c r="A776" t="str">
        <f>IF(DONNEES!$E776="","",DONNEES!A776)</f>
        <v/>
      </c>
      <c r="B776" t="str">
        <f>IF(DONNEES!$E776="","",DONNEES!B776)</f>
        <v/>
      </c>
      <c r="C776" t="str">
        <f>IF(DONNEES!$E776="","",DONNEES!C776)</f>
        <v/>
      </c>
      <c r="D776" t="str">
        <f>IF(DONNEES!$E776="","",DONNEES!E776)</f>
        <v/>
      </c>
      <c r="E776" t="str">
        <f>IF(DONNEES!$E776="","",DONNEES!F776)</f>
        <v/>
      </c>
      <c r="F776" t="str">
        <f>IF(DONNEES!$E776="","",DONNEES!G776)</f>
        <v/>
      </c>
      <c r="G776" t="str">
        <f>IF(DONNEES!$E776="","",DONNEES!H776)</f>
        <v/>
      </c>
      <c r="H776" t="str">
        <f>IF(DONNEES!$E776="","",DONNEES!I776)</f>
        <v/>
      </c>
      <c r="I776" t="str">
        <f>IF(DONNEES!$E776="","",DONNEES!J776)</f>
        <v/>
      </c>
      <c r="J776" t="str">
        <f>IF(DONNEES!$E776="","",DONNEES!K776)</f>
        <v/>
      </c>
      <c r="K776" t="str">
        <f>IF(DONNEES!$E776="","",DONNEES!L776)</f>
        <v/>
      </c>
      <c r="L776" t="str">
        <f>IF(DONNEES!$E776="","",DONNEES!M776)</f>
        <v/>
      </c>
      <c r="M776" t="str">
        <f>IF(DONNEES!$E776="","",DONNEES!N776)</f>
        <v/>
      </c>
      <c r="N776" t="str">
        <f>IF(DONNEES!$E776="","",DONNEES!O776)</f>
        <v/>
      </c>
      <c r="O776" t="str">
        <f>IF(DONNEES!$E776="","",DONNEES!P776)</f>
        <v/>
      </c>
      <c r="P776" t="str">
        <f>IF(DONNEES!$E776="","",DONNEES!Q776)</f>
        <v/>
      </c>
      <c r="Q776" t="str">
        <f>IF(DONNEES!$E776="","",DONNEES!R776)</f>
        <v/>
      </c>
      <c r="R776" t="str">
        <f>IF(DONNEES!$E776="","",DONNEES!S776)</f>
        <v/>
      </c>
      <c r="S776" t="str">
        <f>IF(DONNEES!$E776="","",DONNEES!T776)</f>
        <v/>
      </c>
      <c r="T776" t="str">
        <f>IF(DONNEES!$E776="","",DONNEES!U776)</f>
        <v/>
      </c>
      <c r="U776" t="str">
        <f>IF(DONNEES!$E776="","",DONNEES!V776)</f>
        <v/>
      </c>
      <c r="V776" t="str">
        <f>IF(DONNEES!$E776="","",DONNEES!W776)</f>
        <v/>
      </c>
      <c r="W776" t="str">
        <f>IF(DONNEES!$E776="","",DONNEES!X776)</f>
        <v/>
      </c>
      <c r="X776" t="str">
        <f>IF(DONNEES!$E776="","",DONNEES!Y776)</f>
        <v/>
      </c>
      <c r="Y776" t="str">
        <f>IF(DONNEES!$E776="","",DONNEES!Z776)</f>
        <v/>
      </c>
      <c r="Z776" t="str">
        <f>IF(DONNEES!$E776="","",DONNEES!AQ776)</f>
        <v/>
      </c>
    </row>
    <row r="777" spans="1:26" ht="15" customHeight="1" x14ac:dyDescent="0.3">
      <c r="A777" t="str">
        <f>IF(DONNEES!$E777="","",DONNEES!A777)</f>
        <v/>
      </c>
      <c r="B777" t="str">
        <f>IF(DONNEES!$E777="","",DONNEES!B777)</f>
        <v/>
      </c>
      <c r="C777" t="str">
        <f>IF(DONNEES!$E777="","",DONNEES!C777)</f>
        <v/>
      </c>
      <c r="D777" t="str">
        <f>IF(DONNEES!$E777="","",DONNEES!E777)</f>
        <v/>
      </c>
      <c r="E777" t="str">
        <f>IF(DONNEES!$E777="","",DONNEES!F777)</f>
        <v/>
      </c>
      <c r="F777" t="str">
        <f>IF(DONNEES!$E777="","",DONNEES!G777)</f>
        <v/>
      </c>
      <c r="G777" t="str">
        <f>IF(DONNEES!$E777="","",DONNEES!H777)</f>
        <v/>
      </c>
      <c r="H777" t="str">
        <f>IF(DONNEES!$E777="","",DONNEES!I777)</f>
        <v/>
      </c>
      <c r="I777" t="str">
        <f>IF(DONNEES!$E777="","",DONNEES!J777)</f>
        <v/>
      </c>
      <c r="J777" t="str">
        <f>IF(DONNEES!$E777="","",DONNEES!K777)</f>
        <v/>
      </c>
      <c r="K777" t="str">
        <f>IF(DONNEES!$E777="","",DONNEES!L777)</f>
        <v/>
      </c>
      <c r="L777" t="str">
        <f>IF(DONNEES!$E777="","",DONNEES!M777)</f>
        <v/>
      </c>
      <c r="M777" t="str">
        <f>IF(DONNEES!$E777="","",DONNEES!N777)</f>
        <v/>
      </c>
      <c r="N777" t="str">
        <f>IF(DONNEES!$E777="","",DONNEES!O777)</f>
        <v/>
      </c>
      <c r="O777" t="str">
        <f>IF(DONNEES!$E777="","",DONNEES!P777)</f>
        <v/>
      </c>
      <c r="P777" t="str">
        <f>IF(DONNEES!$E777="","",DONNEES!Q777)</f>
        <v/>
      </c>
      <c r="Q777" t="str">
        <f>IF(DONNEES!$E777="","",DONNEES!R777)</f>
        <v/>
      </c>
      <c r="R777" t="str">
        <f>IF(DONNEES!$E777="","",DONNEES!S777)</f>
        <v/>
      </c>
      <c r="S777" t="str">
        <f>IF(DONNEES!$E777="","",DONNEES!T777)</f>
        <v/>
      </c>
      <c r="T777" t="str">
        <f>IF(DONNEES!$E777="","",DONNEES!U777)</f>
        <v/>
      </c>
      <c r="U777" t="str">
        <f>IF(DONNEES!$E777="","",DONNEES!V777)</f>
        <v/>
      </c>
      <c r="V777" t="str">
        <f>IF(DONNEES!$E777="","",DONNEES!W777)</f>
        <v/>
      </c>
      <c r="W777" t="str">
        <f>IF(DONNEES!$E777="","",DONNEES!X777)</f>
        <v/>
      </c>
      <c r="X777" t="str">
        <f>IF(DONNEES!$E777="","",DONNEES!Y777)</f>
        <v/>
      </c>
      <c r="Y777" t="str">
        <f>IF(DONNEES!$E777="","",DONNEES!Z777)</f>
        <v/>
      </c>
      <c r="Z777" t="str">
        <f>IF(DONNEES!$E777="","",DONNEES!AQ777)</f>
        <v/>
      </c>
    </row>
    <row r="778" spans="1:26" ht="15" customHeight="1" x14ac:dyDescent="0.3">
      <c r="A778" t="str">
        <f>IF(DONNEES!$E778="","",DONNEES!A778)</f>
        <v/>
      </c>
      <c r="B778" t="str">
        <f>IF(DONNEES!$E778="","",DONNEES!B778)</f>
        <v/>
      </c>
      <c r="C778" t="str">
        <f>IF(DONNEES!$E778="","",DONNEES!C778)</f>
        <v/>
      </c>
      <c r="D778" t="str">
        <f>IF(DONNEES!$E778="","",DONNEES!E778)</f>
        <v/>
      </c>
      <c r="E778" t="str">
        <f>IF(DONNEES!$E778="","",DONNEES!F778)</f>
        <v/>
      </c>
      <c r="F778" t="str">
        <f>IF(DONNEES!$E778="","",DONNEES!G778)</f>
        <v/>
      </c>
      <c r="G778" t="str">
        <f>IF(DONNEES!$E778="","",DONNEES!H778)</f>
        <v/>
      </c>
      <c r="H778" t="str">
        <f>IF(DONNEES!$E778="","",DONNEES!I778)</f>
        <v/>
      </c>
      <c r="I778" t="str">
        <f>IF(DONNEES!$E778="","",DONNEES!J778)</f>
        <v/>
      </c>
      <c r="J778" t="str">
        <f>IF(DONNEES!$E778="","",DONNEES!K778)</f>
        <v/>
      </c>
      <c r="K778" t="str">
        <f>IF(DONNEES!$E778="","",DONNEES!L778)</f>
        <v/>
      </c>
      <c r="L778" t="str">
        <f>IF(DONNEES!$E778="","",DONNEES!M778)</f>
        <v/>
      </c>
      <c r="M778" t="str">
        <f>IF(DONNEES!$E778="","",DONNEES!N778)</f>
        <v/>
      </c>
      <c r="N778" t="str">
        <f>IF(DONNEES!$E778="","",DONNEES!O778)</f>
        <v/>
      </c>
      <c r="O778" t="str">
        <f>IF(DONNEES!$E778="","",DONNEES!P778)</f>
        <v/>
      </c>
      <c r="P778" t="str">
        <f>IF(DONNEES!$E778="","",DONNEES!Q778)</f>
        <v/>
      </c>
      <c r="Q778" t="str">
        <f>IF(DONNEES!$E778="","",DONNEES!R778)</f>
        <v/>
      </c>
      <c r="R778" t="str">
        <f>IF(DONNEES!$E778="","",DONNEES!S778)</f>
        <v/>
      </c>
      <c r="S778" t="str">
        <f>IF(DONNEES!$E778="","",DONNEES!T778)</f>
        <v/>
      </c>
      <c r="T778" t="str">
        <f>IF(DONNEES!$E778="","",DONNEES!U778)</f>
        <v/>
      </c>
      <c r="U778" t="str">
        <f>IF(DONNEES!$E778="","",DONNEES!V778)</f>
        <v/>
      </c>
      <c r="V778" t="str">
        <f>IF(DONNEES!$E778="","",DONNEES!W778)</f>
        <v/>
      </c>
      <c r="W778" t="str">
        <f>IF(DONNEES!$E778="","",DONNEES!X778)</f>
        <v/>
      </c>
      <c r="X778" t="str">
        <f>IF(DONNEES!$E778="","",DONNEES!Y778)</f>
        <v/>
      </c>
      <c r="Y778" t="str">
        <f>IF(DONNEES!$E778="","",DONNEES!Z778)</f>
        <v/>
      </c>
      <c r="Z778" t="str">
        <f>IF(DONNEES!$E778="","",DONNEES!AQ778)</f>
        <v/>
      </c>
    </row>
    <row r="779" spans="1:26" ht="15" customHeight="1" x14ac:dyDescent="0.3">
      <c r="A779" t="str">
        <f>IF(DONNEES!$E779="","",DONNEES!A779)</f>
        <v/>
      </c>
      <c r="B779" t="str">
        <f>IF(DONNEES!$E779="","",DONNEES!B779)</f>
        <v/>
      </c>
      <c r="C779" t="str">
        <f>IF(DONNEES!$E779="","",DONNEES!C779)</f>
        <v/>
      </c>
      <c r="D779" t="str">
        <f>IF(DONNEES!$E779="","",DONNEES!E779)</f>
        <v/>
      </c>
      <c r="E779" t="str">
        <f>IF(DONNEES!$E779="","",DONNEES!F779)</f>
        <v/>
      </c>
      <c r="F779" t="str">
        <f>IF(DONNEES!$E779="","",DONNEES!G779)</f>
        <v/>
      </c>
      <c r="G779" t="str">
        <f>IF(DONNEES!$E779="","",DONNEES!H779)</f>
        <v/>
      </c>
      <c r="H779" t="str">
        <f>IF(DONNEES!$E779="","",DONNEES!I779)</f>
        <v/>
      </c>
      <c r="I779" t="str">
        <f>IF(DONNEES!$E779="","",DONNEES!J779)</f>
        <v/>
      </c>
      <c r="J779" t="str">
        <f>IF(DONNEES!$E779="","",DONNEES!K779)</f>
        <v/>
      </c>
      <c r="K779" t="str">
        <f>IF(DONNEES!$E779="","",DONNEES!L779)</f>
        <v/>
      </c>
      <c r="L779" t="str">
        <f>IF(DONNEES!$E779="","",DONNEES!M779)</f>
        <v/>
      </c>
      <c r="M779" t="str">
        <f>IF(DONNEES!$E779="","",DONNEES!N779)</f>
        <v/>
      </c>
      <c r="N779" t="str">
        <f>IF(DONNEES!$E779="","",DONNEES!O779)</f>
        <v/>
      </c>
      <c r="O779" t="str">
        <f>IF(DONNEES!$E779="","",DONNEES!P779)</f>
        <v/>
      </c>
      <c r="P779" t="str">
        <f>IF(DONNEES!$E779="","",DONNEES!Q779)</f>
        <v/>
      </c>
      <c r="Q779" t="str">
        <f>IF(DONNEES!$E779="","",DONNEES!R779)</f>
        <v/>
      </c>
      <c r="R779" t="str">
        <f>IF(DONNEES!$E779="","",DONNEES!S779)</f>
        <v/>
      </c>
      <c r="S779" t="str">
        <f>IF(DONNEES!$E779="","",DONNEES!T779)</f>
        <v/>
      </c>
      <c r="T779" t="str">
        <f>IF(DONNEES!$E779="","",DONNEES!U779)</f>
        <v/>
      </c>
      <c r="U779" t="str">
        <f>IF(DONNEES!$E779="","",DONNEES!V779)</f>
        <v/>
      </c>
      <c r="V779" t="str">
        <f>IF(DONNEES!$E779="","",DONNEES!W779)</f>
        <v/>
      </c>
      <c r="W779" t="str">
        <f>IF(DONNEES!$E779="","",DONNEES!X779)</f>
        <v/>
      </c>
      <c r="X779" t="str">
        <f>IF(DONNEES!$E779="","",DONNEES!Y779)</f>
        <v/>
      </c>
      <c r="Y779" t="str">
        <f>IF(DONNEES!$E779="","",DONNEES!Z779)</f>
        <v/>
      </c>
      <c r="Z779" t="str">
        <f>IF(DONNEES!$E779="","",DONNEES!AQ779)</f>
        <v/>
      </c>
    </row>
    <row r="780" spans="1:26" ht="15" customHeight="1" x14ac:dyDescent="0.3">
      <c r="A780" t="str">
        <f>IF(DONNEES!$E780="","",DONNEES!A780)</f>
        <v/>
      </c>
      <c r="B780" t="str">
        <f>IF(DONNEES!$E780="","",DONNEES!B780)</f>
        <v/>
      </c>
      <c r="C780" t="str">
        <f>IF(DONNEES!$E780="","",DONNEES!C780)</f>
        <v/>
      </c>
      <c r="D780" t="str">
        <f>IF(DONNEES!$E780="","",DONNEES!E780)</f>
        <v/>
      </c>
      <c r="E780" t="str">
        <f>IF(DONNEES!$E780="","",DONNEES!F780)</f>
        <v/>
      </c>
      <c r="F780" t="str">
        <f>IF(DONNEES!$E780="","",DONNEES!G780)</f>
        <v/>
      </c>
      <c r="G780" t="str">
        <f>IF(DONNEES!$E780="","",DONNEES!H780)</f>
        <v/>
      </c>
      <c r="H780" t="str">
        <f>IF(DONNEES!$E780="","",DONNEES!I780)</f>
        <v/>
      </c>
      <c r="I780" t="str">
        <f>IF(DONNEES!$E780="","",DONNEES!J780)</f>
        <v/>
      </c>
      <c r="J780" t="str">
        <f>IF(DONNEES!$E780="","",DONNEES!K780)</f>
        <v/>
      </c>
      <c r="K780" t="str">
        <f>IF(DONNEES!$E780="","",DONNEES!L780)</f>
        <v/>
      </c>
      <c r="L780" t="str">
        <f>IF(DONNEES!$E780="","",DONNEES!M780)</f>
        <v/>
      </c>
      <c r="M780" t="str">
        <f>IF(DONNEES!$E780="","",DONNEES!N780)</f>
        <v/>
      </c>
      <c r="N780" t="str">
        <f>IF(DONNEES!$E780="","",DONNEES!O780)</f>
        <v/>
      </c>
      <c r="O780" t="str">
        <f>IF(DONNEES!$E780="","",DONNEES!P780)</f>
        <v/>
      </c>
      <c r="P780" t="str">
        <f>IF(DONNEES!$E780="","",DONNEES!Q780)</f>
        <v/>
      </c>
      <c r="Q780" t="str">
        <f>IF(DONNEES!$E780="","",DONNEES!R780)</f>
        <v/>
      </c>
      <c r="R780" t="str">
        <f>IF(DONNEES!$E780="","",DONNEES!S780)</f>
        <v/>
      </c>
      <c r="S780" t="str">
        <f>IF(DONNEES!$E780="","",DONNEES!T780)</f>
        <v/>
      </c>
      <c r="T780" t="str">
        <f>IF(DONNEES!$E780="","",DONNEES!U780)</f>
        <v/>
      </c>
      <c r="U780" t="str">
        <f>IF(DONNEES!$E780="","",DONNEES!V780)</f>
        <v/>
      </c>
      <c r="V780" t="str">
        <f>IF(DONNEES!$E780="","",DONNEES!W780)</f>
        <v/>
      </c>
      <c r="W780" t="str">
        <f>IF(DONNEES!$E780="","",DONNEES!X780)</f>
        <v/>
      </c>
      <c r="X780" t="str">
        <f>IF(DONNEES!$E780="","",DONNEES!Y780)</f>
        <v/>
      </c>
      <c r="Y780" t="str">
        <f>IF(DONNEES!$E780="","",DONNEES!Z780)</f>
        <v/>
      </c>
      <c r="Z780" t="str">
        <f>IF(DONNEES!$E780="","",DONNEES!AQ780)</f>
        <v/>
      </c>
    </row>
    <row r="781" spans="1:26" ht="15" customHeight="1" x14ac:dyDescent="0.3">
      <c r="A781" t="str">
        <f>IF(DONNEES!$E781="","",DONNEES!A781)</f>
        <v/>
      </c>
      <c r="B781" t="str">
        <f>IF(DONNEES!$E781="","",DONNEES!B781)</f>
        <v/>
      </c>
      <c r="C781" t="str">
        <f>IF(DONNEES!$E781="","",DONNEES!C781)</f>
        <v/>
      </c>
      <c r="D781" t="str">
        <f>IF(DONNEES!$E781="","",DONNEES!E781)</f>
        <v/>
      </c>
      <c r="E781" t="str">
        <f>IF(DONNEES!$E781="","",DONNEES!F781)</f>
        <v/>
      </c>
      <c r="F781" t="str">
        <f>IF(DONNEES!$E781="","",DONNEES!G781)</f>
        <v/>
      </c>
      <c r="G781" t="str">
        <f>IF(DONNEES!$E781="","",DONNEES!H781)</f>
        <v/>
      </c>
      <c r="H781" t="str">
        <f>IF(DONNEES!$E781="","",DONNEES!I781)</f>
        <v/>
      </c>
      <c r="I781" t="str">
        <f>IF(DONNEES!$E781="","",DONNEES!J781)</f>
        <v/>
      </c>
      <c r="J781" t="str">
        <f>IF(DONNEES!$E781="","",DONNEES!K781)</f>
        <v/>
      </c>
      <c r="K781" t="str">
        <f>IF(DONNEES!$E781="","",DONNEES!L781)</f>
        <v/>
      </c>
      <c r="L781" t="str">
        <f>IF(DONNEES!$E781="","",DONNEES!M781)</f>
        <v/>
      </c>
      <c r="M781" t="str">
        <f>IF(DONNEES!$E781="","",DONNEES!N781)</f>
        <v/>
      </c>
      <c r="N781" t="str">
        <f>IF(DONNEES!$E781="","",DONNEES!O781)</f>
        <v/>
      </c>
      <c r="O781" t="str">
        <f>IF(DONNEES!$E781="","",DONNEES!P781)</f>
        <v/>
      </c>
      <c r="P781" t="str">
        <f>IF(DONNEES!$E781="","",DONNEES!Q781)</f>
        <v/>
      </c>
      <c r="Q781" t="str">
        <f>IF(DONNEES!$E781="","",DONNEES!R781)</f>
        <v/>
      </c>
      <c r="R781" t="str">
        <f>IF(DONNEES!$E781="","",DONNEES!S781)</f>
        <v/>
      </c>
      <c r="S781" t="str">
        <f>IF(DONNEES!$E781="","",DONNEES!T781)</f>
        <v/>
      </c>
      <c r="T781" t="str">
        <f>IF(DONNEES!$E781="","",DONNEES!U781)</f>
        <v/>
      </c>
      <c r="U781" t="str">
        <f>IF(DONNEES!$E781="","",DONNEES!V781)</f>
        <v/>
      </c>
      <c r="V781" t="str">
        <f>IF(DONNEES!$E781="","",DONNEES!W781)</f>
        <v/>
      </c>
      <c r="W781" t="str">
        <f>IF(DONNEES!$E781="","",DONNEES!X781)</f>
        <v/>
      </c>
      <c r="X781" t="str">
        <f>IF(DONNEES!$E781="","",DONNEES!Y781)</f>
        <v/>
      </c>
      <c r="Y781" t="str">
        <f>IF(DONNEES!$E781="","",DONNEES!Z781)</f>
        <v/>
      </c>
      <c r="Z781" t="str">
        <f>IF(DONNEES!$E781="","",DONNEES!AQ781)</f>
        <v/>
      </c>
    </row>
    <row r="782" spans="1:26" ht="15" customHeight="1" x14ac:dyDescent="0.3">
      <c r="A782" t="str">
        <f>IF(DONNEES!$E782="","",DONNEES!A782)</f>
        <v/>
      </c>
      <c r="B782" t="str">
        <f>IF(DONNEES!$E782="","",DONNEES!B782)</f>
        <v/>
      </c>
      <c r="C782" t="str">
        <f>IF(DONNEES!$E782="","",DONNEES!C782)</f>
        <v/>
      </c>
      <c r="D782" t="str">
        <f>IF(DONNEES!$E782="","",DONNEES!E782)</f>
        <v/>
      </c>
      <c r="E782" t="str">
        <f>IF(DONNEES!$E782="","",DONNEES!F782)</f>
        <v/>
      </c>
      <c r="F782" t="str">
        <f>IF(DONNEES!$E782="","",DONNEES!G782)</f>
        <v/>
      </c>
      <c r="G782" t="str">
        <f>IF(DONNEES!$E782="","",DONNEES!H782)</f>
        <v/>
      </c>
      <c r="H782" t="str">
        <f>IF(DONNEES!$E782="","",DONNEES!I782)</f>
        <v/>
      </c>
      <c r="I782" t="str">
        <f>IF(DONNEES!$E782="","",DONNEES!J782)</f>
        <v/>
      </c>
      <c r="J782" t="str">
        <f>IF(DONNEES!$E782="","",DONNEES!K782)</f>
        <v/>
      </c>
      <c r="K782" t="str">
        <f>IF(DONNEES!$E782="","",DONNEES!L782)</f>
        <v/>
      </c>
      <c r="L782" t="str">
        <f>IF(DONNEES!$E782="","",DONNEES!M782)</f>
        <v/>
      </c>
      <c r="M782" t="str">
        <f>IF(DONNEES!$E782="","",DONNEES!N782)</f>
        <v/>
      </c>
      <c r="N782" t="str">
        <f>IF(DONNEES!$E782="","",DONNEES!O782)</f>
        <v/>
      </c>
      <c r="O782" t="str">
        <f>IF(DONNEES!$E782="","",DONNEES!P782)</f>
        <v/>
      </c>
      <c r="P782" t="str">
        <f>IF(DONNEES!$E782="","",DONNEES!Q782)</f>
        <v/>
      </c>
      <c r="Q782" t="str">
        <f>IF(DONNEES!$E782="","",DONNEES!R782)</f>
        <v/>
      </c>
      <c r="R782" t="str">
        <f>IF(DONNEES!$E782="","",DONNEES!S782)</f>
        <v/>
      </c>
      <c r="S782" t="str">
        <f>IF(DONNEES!$E782="","",DONNEES!T782)</f>
        <v/>
      </c>
      <c r="T782" t="str">
        <f>IF(DONNEES!$E782="","",DONNEES!U782)</f>
        <v/>
      </c>
      <c r="U782" t="str">
        <f>IF(DONNEES!$E782="","",DONNEES!V782)</f>
        <v/>
      </c>
      <c r="V782" t="str">
        <f>IF(DONNEES!$E782="","",DONNEES!W782)</f>
        <v/>
      </c>
      <c r="W782" t="str">
        <f>IF(DONNEES!$E782="","",DONNEES!X782)</f>
        <v/>
      </c>
      <c r="X782" t="str">
        <f>IF(DONNEES!$E782="","",DONNEES!Y782)</f>
        <v/>
      </c>
      <c r="Y782" t="str">
        <f>IF(DONNEES!$E782="","",DONNEES!Z782)</f>
        <v/>
      </c>
      <c r="Z782" t="str">
        <f>IF(DONNEES!$E782="","",DONNEES!AQ782)</f>
        <v/>
      </c>
    </row>
    <row r="783" spans="1:26" ht="15" customHeight="1" x14ac:dyDescent="0.3">
      <c r="A783" t="str">
        <f>IF(DONNEES!$E783="","",DONNEES!A783)</f>
        <v/>
      </c>
      <c r="B783" t="str">
        <f>IF(DONNEES!$E783="","",DONNEES!B783)</f>
        <v/>
      </c>
      <c r="C783" t="str">
        <f>IF(DONNEES!$E783="","",DONNEES!C783)</f>
        <v/>
      </c>
      <c r="D783" t="str">
        <f>IF(DONNEES!$E783="","",DONNEES!E783)</f>
        <v/>
      </c>
      <c r="E783" t="str">
        <f>IF(DONNEES!$E783="","",DONNEES!F783)</f>
        <v/>
      </c>
      <c r="F783" t="str">
        <f>IF(DONNEES!$E783="","",DONNEES!G783)</f>
        <v/>
      </c>
      <c r="G783" t="str">
        <f>IF(DONNEES!$E783="","",DONNEES!H783)</f>
        <v/>
      </c>
      <c r="H783" t="str">
        <f>IF(DONNEES!$E783="","",DONNEES!I783)</f>
        <v/>
      </c>
      <c r="I783" t="str">
        <f>IF(DONNEES!$E783="","",DONNEES!J783)</f>
        <v/>
      </c>
      <c r="J783" t="str">
        <f>IF(DONNEES!$E783="","",DONNEES!K783)</f>
        <v/>
      </c>
      <c r="K783" t="str">
        <f>IF(DONNEES!$E783="","",DONNEES!L783)</f>
        <v/>
      </c>
      <c r="L783" t="str">
        <f>IF(DONNEES!$E783="","",DONNEES!M783)</f>
        <v/>
      </c>
      <c r="M783" t="str">
        <f>IF(DONNEES!$E783="","",DONNEES!N783)</f>
        <v/>
      </c>
      <c r="N783" t="str">
        <f>IF(DONNEES!$E783="","",DONNEES!O783)</f>
        <v/>
      </c>
      <c r="O783" t="str">
        <f>IF(DONNEES!$E783="","",DONNEES!P783)</f>
        <v/>
      </c>
      <c r="P783" t="str">
        <f>IF(DONNEES!$E783="","",DONNEES!Q783)</f>
        <v/>
      </c>
      <c r="Q783" t="str">
        <f>IF(DONNEES!$E783="","",DONNEES!R783)</f>
        <v/>
      </c>
      <c r="R783" t="str">
        <f>IF(DONNEES!$E783="","",DONNEES!S783)</f>
        <v/>
      </c>
      <c r="S783" t="str">
        <f>IF(DONNEES!$E783="","",DONNEES!T783)</f>
        <v/>
      </c>
      <c r="T783" t="str">
        <f>IF(DONNEES!$E783="","",DONNEES!U783)</f>
        <v/>
      </c>
      <c r="U783" t="str">
        <f>IF(DONNEES!$E783="","",DONNEES!V783)</f>
        <v/>
      </c>
      <c r="V783" t="str">
        <f>IF(DONNEES!$E783="","",DONNEES!W783)</f>
        <v/>
      </c>
      <c r="W783" t="str">
        <f>IF(DONNEES!$E783="","",DONNEES!X783)</f>
        <v/>
      </c>
      <c r="X783" t="str">
        <f>IF(DONNEES!$E783="","",DONNEES!Y783)</f>
        <v/>
      </c>
      <c r="Y783" t="str">
        <f>IF(DONNEES!$E783="","",DONNEES!Z783)</f>
        <v/>
      </c>
      <c r="Z783" t="str">
        <f>IF(DONNEES!$E783="","",DONNEES!AQ783)</f>
        <v/>
      </c>
    </row>
    <row r="784" spans="1:26" ht="15" customHeight="1" x14ac:dyDescent="0.3">
      <c r="A784" t="str">
        <f>IF(DONNEES!$E784="","",DONNEES!A784)</f>
        <v/>
      </c>
      <c r="B784" t="str">
        <f>IF(DONNEES!$E784="","",DONNEES!B784)</f>
        <v/>
      </c>
      <c r="C784" t="str">
        <f>IF(DONNEES!$E784="","",DONNEES!C784)</f>
        <v/>
      </c>
      <c r="D784" t="str">
        <f>IF(DONNEES!$E784="","",DONNEES!E784)</f>
        <v/>
      </c>
      <c r="E784" t="str">
        <f>IF(DONNEES!$E784="","",DONNEES!F784)</f>
        <v/>
      </c>
      <c r="F784" t="str">
        <f>IF(DONNEES!$E784="","",DONNEES!G784)</f>
        <v/>
      </c>
      <c r="G784" t="str">
        <f>IF(DONNEES!$E784="","",DONNEES!H784)</f>
        <v/>
      </c>
      <c r="H784" t="str">
        <f>IF(DONNEES!$E784="","",DONNEES!I784)</f>
        <v/>
      </c>
      <c r="I784" t="str">
        <f>IF(DONNEES!$E784="","",DONNEES!J784)</f>
        <v/>
      </c>
      <c r="J784" t="str">
        <f>IF(DONNEES!$E784="","",DONNEES!K784)</f>
        <v/>
      </c>
      <c r="K784" t="str">
        <f>IF(DONNEES!$E784="","",DONNEES!L784)</f>
        <v/>
      </c>
      <c r="L784" t="str">
        <f>IF(DONNEES!$E784="","",DONNEES!M784)</f>
        <v/>
      </c>
      <c r="M784" t="str">
        <f>IF(DONNEES!$E784="","",DONNEES!N784)</f>
        <v/>
      </c>
      <c r="N784" t="str">
        <f>IF(DONNEES!$E784="","",DONNEES!O784)</f>
        <v/>
      </c>
      <c r="O784" t="str">
        <f>IF(DONNEES!$E784="","",DONNEES!P784)</f>
        <v/>
      </c>
      <c r="P784" t="str">
        <f>IF(DONNEES!$E784="","",DONNEES!Q784)</f>
        <v/>
      </c>
      <c r="Q784" t="str">
        <f>IF(DONNEES!$E784="","",DONNEES!R784)</f>
        <v/>
      </c>
      <c r="R784" t="str">
        <f>IF(DONNEES!$E784="","",DONNEES!S784)</f>
        <v/>
      </c>
      <c r="S784" t="str">
        <f>IF(DONNEES!$E784="","",DONNEES!T784)</f>
        <v/>
      </c>
      <c r="T784" t="str">
        <f>IF(DONNEES!$E784="","",DONNEES!U784)</f>
        <v/>
      </c>
      <c r="U784" t="str">
        <f>IF(DONNEES!$E784="","",DONNEES!V784)</f>
        <v/>
      </c>
      <c r="V784" t="str">
        <f>IF(DONNEES!$E784="","",DONNEES!W784)</f>
        <v/>
      </c>
      <c r="W784" t="str">
        <f>IF(DONNEES!$E784="","",DONNEES!X784)</f>
        <v/>
      </c>
      <c r="X784" t="str">
        <f>IF(DONNEES!$E784="","",DONNEES!Y784)</f>
        <v/>
      </c>
      <c r="Y784" t="str">
        <f>IF(DONNEES!$E784="","",DONNEES!Z784)</f>
        <v/>
      </c>
      <c r="Z784" t="str">
        <f>IF(DONNEES!$E784="","",DONNEES!AQ784)</f>
        <v/>
      </c>
    </row>
    <row r="785" spans="1:26" ht="15" customHeight="1" x14ac:dyDescent="0.3">
      <c r="A785" t="str">
        <f>IF(DONNEES!$E785="","",DONNEES!A785)</f>
        <v/>
      </c>
      <c r="B785" t="str">
        <f>IF(DONNEES!$E785="","",DONNEES!B785)</f>
        <v/>
      </c>
      <c r="C785" t="str">
        <f>IF(DONNEES!$E785="","",DONNEES!C785)</f>
        <v/>
      </c>
      <c r="D785" t="str">
        <f>IF(DONNEES!$E785="","",DONNEES!E785)</f>
        <v/>
      </c>
      <c r="E785" t="str">
        <f>IF(DONNEES!$E785="","",DONNEES!F785)</f>
        <v/>
      </c>
      <c r="F785" t="str">
        <f>IF(DONNEES!$E785="","",DONNEES!G785)</f>
        <v/>
      </c>
      <c r="G785" t="str">
        <f>IF(DONNEES!$E785="","",DONNEES!H785)</f>
        <v/>
      </c>
      <c r="H785" t="str">
        <f>IF(DONNEES!$E785="","",DONNEES!I785)</f>
        <v/>
      </c>
      <c r="I785" t="str">
        <f>IF(DONNEES!$E785="","",DONNEES!J785)</f>
        <v/>
      </c>
      <c r="J785" t="str">
        <f>IF(DONNEES!$E785="","",DONNEES!K785)</f>
        <v/>
      </c>
      <c r="K785" t="str">
        <f>IF(DONNEES!$E785="","",DONNEES!L785)</f>
        <v/>
      </c>
      <c r="L785" t="str">
        <f>IF(DONNEES!$E785="","",DONNEES!M785)</f>
        <v/>
      </c>
      <c r="M785" t="str">
        <f>IF(DONNEES!$E785="","",DONNEES!N785)</f>
        <v/>
      </c>
      <c r="N785" t="str">
        <f>IF(DONNEES!$E785="","",DONNEES!O785)</f>
        <v/>
      </c>
      <c r="O785" t="str">
        <f>IF(DONNEES!$E785="","",DONNEES!P785)</f>
        <v/>
      </c>
      <c r="P785" t="str">
        <f>IF(DONNEES!$E785="","",DONNEES!Q785)</f>
        <v/>
      </c>
      <c r="Q785" t="str">
        <f>IF(DONNEES!$E785="","",DONNEES!R785)</f>
        <v/>
      </c>
      <c r="R785" t="str">
        <f>IF(DONNEES!$E785="","",DONNEES!S785)</f>
        <v/>
      </c>
      <c r="S785" t="str">
        <f>IF(DONNEES!$E785="","",DONNEES!T785)</f>
        <v/>
      </c>
      <c r="T785" t="str">
        <f>IF(DONNEES!$E785="","",DONNEES!U785)</f>
        <v/>
      </c>
      <c r="U785" t="str">
        <f>IF(DONNEES!$E785="","",DONNEES!V785)</f>
        <v/>
      </c>
      <c r="V785" t="str">
        <f>IF(DONNEES!$E785="","",DONNEES!W785)</f>
        <v/>
      </c>
      <c r="W785" t="str">
        <f>IF(DONNEES!$E785="","",DONNEES!X785)</f>
        <v/>
      </c>
      <c r="X785" t="str">
        <f>IF(DONNEES!$E785="","",DONNEES!Y785)</f>
        <v/>
      </c>
      <c r="Y785" t="str">
        <f>IF(DONNEES!$E785="","",DONNEES!Z785)</f>
        <v/>
      </c>
      <c r="Z785" t="str">
        <f>IF(DONNEES!$E785="","",DONNEES!AQ785)</f>
        <v/>
      </c>
    </row>
    <row r="786" spans="1:26" ht="15" customHeight="1" x14ac:dyDescent="0.3">
      <c r="A786" t="str">
        <f>IF(DONNEES!$E786="","",DONNEES!A786)</f>
        <v/>
      </c>
      <c r="B786" t="str">
        <f>IF(DONNEES!$E786="","",DONNEES!B786)</f>
        <v/>
      </c>
      <c r="C786" t="str">
        <f>IF(DONNEES!$E786="","",DONNEES!C786)</f>
        <v/>
      </c>
      <c r="D786" t="str">
        <f>IF(DONNEES!$E786="","",DONNEES!E786)</f>
        <v/>
      </c>
      <c r="E786" t="str">
        <f>IF(DONNEES!$E786="","",DONNEES!F786)</f>
        <v/>
      </c>
      <c r="F786" t="str">
        <f>IF(DONNEES!$E786="","",DONNEES!G786)</f>
        <v/>
      </c>
      <c r="G786" t="str">
        <f>IF(DONNEES!$E786="","",DONNEES!H786)</f>
        <v/>
      </c>
      <c r="H786" t="str">
        <f>IF(DONNEES!$E786="","",DONNEES!I786)</f>
        <v/>
      </c>
      <c r="I786" t="str">
        <f>IF(DONNEES!$E786="","",DONNEES!J786)</f>
        <v/>
      </c>
      <c r="J786" t="str">
        <f>IF(DONNEES!$E786="","",DONNEES!K786)</f>
        <v/>
      </c>
      <c r="K786" t="str">
        <f>IF(DONNEES!$E786="","",DONNEES!L786)</f>
        <v/>
      </c>
      <c r="L786" t="str">
        <f>IF(DONNEES!$E786="","",DONNEES!M786)</f>
        <v/>
      </c>
      <c r="M786" t="str">
        <f>IF(DONNEES!$E786="","",DONNEES!N786)</f>
        <v/>
      </c>
      <c r="N786" t="str">
        <f>IF(DONNEES!$E786="","",DONNEES!O786)</f>
        <v/>
      </c>
      <c r="O786" t="str">
        <f>IF(DONNEES!$E786="","",DONNEES!P786)</f>
        <v/>
      </c>
      <c r="P786" t="str">
        <f>IF(DONNEES!$E786="","",DONNEES!Q786)</f>
        <v/>
      </c>
      <c r="Q786" t="str">
        <f>IF(DONNEES!$E786="","",DONNEES!R786)</f>
        <v/>
      </c>
      <c r="R786" t="str">
        <f>IF(DONNEES!$E786="","",DONNEES!S786)</f>
        <v/>
      </c>
      <c r="S786" t="str">
        <f>IF(DONNEES!$E786="","",DONNEES!T786)</f>
        <v/>
      </c>
      <c r="T786" t="str">
        <f>IF(DONNEES!$E786="","",DONNEES!U786)</f>
        <v/>
      </c>
      <c r="U786" t="str">
        <f>IF(DONNEES!$E786="","",DONNEES!V786)</f>
        <v/>
      </c>
      <c r="V786" t="str">
        <f>IF(DONNEES!$E786="","",DONNEES!W786)</f>
        <v/>
      </c>
      <c r="W786" t="str">
        <f>IF(DONNEES!$E786="","",DONNEES!X786)</f>
        <v/>
      </c>
      <c r="X786" t="str">
        <f>IF(DONNEES!$E786="","",DONNEES!Y786)</f>
        <v/>
      </c>
      <c r="Y786" t="str">
        <f>IF(DONNEES!$E786="","",DONNEES!Z786)</f>
        <v/>
      </c>
      <c r="Z786" t="str">
        <f>IF(DONNEES!$E786="","",DONNEES!AQ786)</f>
        <v/>
      </c>
    </row>
    <row r="787" spans="1:26" ht="15" customHeight="1" x14ac:dyDescent="0.3">
      <c r="A787" t="str">
        <f>IF(DONNEES!$E787="","",DONNEES!A787)</f>
        <v/>
      </c>
      <c r="B787" t="str">
        <f>IF(DONNEES!$E787="","",DONNEES!B787)</f>
        <v/>
      </c>
      <c r="C787" t="str">
        <f>IF(DONNEES!$E787="","",DONNEES!C787)</f>
        <v/>
      </c>
      <c r="D787" t="str">
        <f>IF(DONNEES!$E787="","",DONNEES!E787)</f>
        <v/>
      </c>
      <c r="E787" t="str">
        <f>IF(DONNEES!$E787="","",DONNEES!F787)</f>
        <v/>
      </c>
      <c r="F787" t="str">
        <f>IF(DONNEES!$E787="","",DONNEES!G787)</f>
        <v/>
      </c>
      <c r="G787" t="str">
        <f>IF(DONNEES!$E787="","",DONNEES!H787)</f>
        <v/>
      </c>
      <c r="H787" t="str">
        <f>IF(DONNEES!$E787="","",DONNEES!I787)</f>
        <v/>
      </c>
      <c r="I787" t="str">
        <f>IF(DONNEES!$E787="","",DONNEES!J787)</f>
        <v/>
      </c>
      <c r="J787" t="str">
        <f>IF(DONNEES!$E787="","",DONNEES!K787)</f>
        <v/>
      </c>
      <c r="K787" t="str">
        <f>IF(DONNEES!$E787="","",DONNEES!L787)</f>
        <v/>
      </c>
      <c r="L787" t="str">
        <f>IF(DONNEES!$E787="","",DONNEES!M787)</f>
        <v/>
      </c>
      <c r="M787" t="str">
        <f>IF(DONNEES!$E787="","",DONNEES!N787)</f>
        <v/>
      </c>
      <c r="N787" t="str">
        <f>IF(DONNEES!$E787="","",DONNEES!O787)</f>
        <v/>
      </c>
      <c r="O787" t="str">
        <f>IF(DONNEES!$E787="","",DONNEES!P787)</f>
        <v/>
      </c>
      <c r="P787" t="str">
        <f>IF(DONNEES!$E787="","",DONNEES!Q787)</f>
        <v/>
      </c>
      <c r="Q787" t="str">
        <f>IF(DONNEES!$E787="","",DONNEES!R787)</f>
        <v/>
      </c>
      <c r="R787" t="str">
        <f>IF(DONNEES!$E787="","",DONNEES!S787)</f>
        <v/>
      </c>
      <c r="S787" t="str">
        <f>IF(DONNEES!$E787="","",DONNEES!T787)</f>
        <v/>
      </c>
      <c r="T787" t="str">
        <f>IF(DONNEES!$E787="","",DONNEES!U787)</f>
        <v/>
      </c>
      <c r="U787" t="str">
        <f>IF(DONNEES!$E787="","",DONNEES!V787)</f>
        <v/>
      </c>
      <c r="V787" t="str">
        <f>IF(DONNEES!$E787="","",DONNEES!W787)</f>
        <v/>
      </c>
      <c r="W787" t="str">
        <f>IF(DONNEES!$E787="","",DONNEES!X787)</f>
        <v/>
      </c>
      <c r="X787" t="str">
        <f>IF(DONNEES!$E787="","",DONNEES!Y787)</f>
        <v/>
      </c>
      <c r="Y787" t="str">
        <f>IF(DONNEES!$E787="","",DONNEES!Z787)</f>
        <v/>
      </c>
      <c r="Z787" t="str">
        <f>IF(DONNEES!$E787="","",DONNEES!AQ787)</f>
        <v/>
      </c>
    </row>
    <row r="788" spans="1:26" ht="15" customHeight="1" x14ac:dyDescent="0.3">
      <c r="A788" t="str">
        <f>IF(DONNEES!$E788="","",DONNEES!A788)</f>
        <v/>
      </c>
      <c r="B788" t="str">
        <f>IF(DONNEES!$E788="","",DONNEES!B788)</f>
        <v/>
      </c>
      <c r="C788" t="str">
        <f>IF(DONNEES!$E788="","",DONNEES!C788)</f>
        <v/>
      </c>
      <c r="D788" t="str">
        <f>IF(DONNEES!$E788="","",DONNEES!E788)</f>
        <v/>
      </c>
      <c r="E788" t="str">
        <f>IF(DONNEES!$E788="","",DONNEES!F788)</f>
        <v/>
      </c>
      <c r="F788" t="str">
        <f>IF(DONNEES!$E788="","",DONNEES!G788)</f>
        <v/>
      </c>
      <c r="G788" t="str">
        <f>IF(DONNEES!$E788="","",DONNEES!H788)</f>
        <v/>
      </c>
      <c r="H788" t="str">
        <f>IF(DONNEES!$E788="","",DONNEES!I788)</f>
        <v/>
      </c>
      <c r="I788" t="str">
        <f>IF(DONNEES!$E788="","",DONNEES!J788)</f>
        <v/>
      </c>
      <c r="J788" t="str">
        <f>IF(DONNEES!$E788="","",DONNEES!K788)</f>
        <v/>
      </c>
      <c r="K788" t="str">
        <f>IF(DONNEES!$E788="","",DONNEES!L788)</f>
        <v/>
      </c>
      <c r="L788" t="str">
        <f>IF(DONNEES!$E788="","",DONNEES!M788)</f>
        <v/>
      </c>
      <c r="M788" t="str">
        <f>IF(DONNEES!$E788="","",DONNEES!N788)</f>
        <v/>
      </c>
      <c r="N788" t="str">
        <f>IF(DONNEES!$E788="","",DONNEES!O788)</f>
        <v/>
      </c>
      <c r="O788" t="str">
        <f>IF(DONNEES!$E788="","",DONNEES!P788)</f>
        <v/>
      </c>
      <c r="P788" t="str">
        <f>IF(DONNEES!$E788="","",DONNEES!Q788)</f>
        <v/>
      </c>
      <c r="Q788" t="str">
        <f>IF(DONNEES!$E788="","",DONNEES!R788)</f>
        <v/>
      </c>
      <c r="R788" t="str">
        <f>IF(DONNEES!$E788="","",DONNEES!S788)</f>
        <v/>
      </c>
      <c r="S788" t="str">
        <f>IF(DONNEES!$E788="","",DONNEES!T788)</f>
        <v/>
      </c>
      <c r="T788" t="str">
        <f>IF(DONNEES!$E788="","",DONNEES!U788)</f>
        <v/>
      </c>
      <c r="U788" t="str">
        <f>IF(DONNEES!$E788="","",DONNEES!V788)</f>
        <v/>
      </c>
      <c r="V788" t="str">
        <f>IF(DONNEES!$E788="","",DONNEES!W788)</f>
        <v/>
      </c>
      <c r="W788" t="str">
        <f>IF(DONNEES!$E788="","",DONNEES!X788)</f>
        <v/>
      </c>
      <c r="X788" t="str">
        <f>IF(DONNEES!$E788="","",DONNEES!Y788)</f>
        <v/>
      </c>
      <c r="Y788" t="str">
        <f>IF(DONNEES!$E788="","",DONNEES!Z788)</f>
        <v/>
      </c>
      <c r="Z788" t="str">
        <f>IF(DONNEES!$E788="","",DONNEES!AQ788)</f>
        <v/>
      </c>
    </row>
    <row r="789" spans="1:26" ht="15" customHeight="1" x14ac:dyDescent="0.3">
      <c r="A789" t="str">
        <f>IF(DONNEES!$E789="","",DONNEES!A789)</f>
        <v/>
      </c>
      <c r="B789" t="str">
        <f>IF(DONNEES!$E789="","",DONNEES!B789)</f>
        <v/>
      </c>
      <c r="C789" t="str">
        <f>IF(DONNEES!$E789="","",DONNEES!C789)</f>
        <v/>
      </c>
      <c r="D789" t="str">
        <f>IF(DONNEES!$E789="","",DONNEES!E789)</f>
        <v/>
      </c>
      <c r="E789" t="str">
        <f>IF(DONNEES!$E789="","",DONNEES!F789)</f>
        <v/>
      </c>
      <c r="F789" t="str">
        <f>IF(DONNEES!$E789="","",DONNEES!G789)</f>
        <v/>
      </c>
      <c r="G789" t="str">
        <f>IF(DONNEES!$E789="","",DONNEES!H789)</f>
        <v/>
      </c>
      <c r="H789" t="str">
        <f>IF(DONNEES!$E789="","",DONNEES!I789)</f>
        <v/>
      </c>
      <c r="I789" t="str">
        <f>IF(DONNEES!$E789="","",DONNEES!J789)</f>
        <v/>
      </c>
      <c r="J789" t="str">
        <f>IF(DONNEES!$E789="","",DONNEES!K789)</f>
        <v/>
      </c>
      <c r="K789" t="str">
        <f>IF(DONNEES!$E789="","",DONNEES!L789)</f>
        <v/>
      </c>
      <c r="L789" t="str">
        <f>IF(DONNEES!$E789="","",DONNEES!M789)</f>
        <v/>
      </c>
      <c r="M789" t="str">
        <f>IF(DONNEES!$E789="","",DONNEES!N789)</f>
        <v/>
      </c>
      <c r="N789" t="str">
        <f>IF(DONNEES!$E789="","",DONNEES!O789)</f>
        <v/>
      </c>
      <c r="O789" t="str">
        <f>IF(DONNEES!$E789="","",DONNEES!P789)</f>
        <v/>
      </c>
      <c r="P789" t="str">
        <f>IF(DONNEES!$E789="","",DONNEES!Q789)</f>
        <v/>
      </c>
      <c r="Q789" t="str">
        <f>IF(DONNEES!$E789="","",DONNEES!R789)</f>
        <v/>
      </c>
      <c r="R789" t="str">
        <f>IF(DONNEES!$E789="","",DONNEES!S789)</f>
        <v/>
      </c>
      <c r="S789" t="str">
        <f>IF(DONNEES!$E789="","",DONNEES!T789)</f>
        <v/>
      </c>
      <c r="T789" t="str">
        <f>IF(DONNEES!$E789="","",DONNEES!U789)</f>
        <v/>
      </c>
      <c r="U789" t="str">
        <f>IF(DONNEES!$E789="","",DONNEES!V789)</f>
        <v/>
      </c>
      <c r="V789" t="str">
        <f>IF(DONNEES!$E789="","",DONNEES!W789)</f>
        <v/>
      </c>
      <c r="W789" t="str">
        <f>IF(DONNEES!$E789="","",DONNEES!X789)</f>
        <v/>
      </c>
      <c r="X789" t="str">
        <f>IF(DONNEES!$E789="","",DONNEES!Y789)</f>
        <v/>
      </c>
      <c r="Y789" t="str">
        <f>IF(DONNEES!$E789="","",DONNEES!Z789)</f>
        <v/>
      </c>
      <c r="Z789" t="str">
        <f>IF(DONNEES!$E789="","",DONNEES!AQ789)</f>
        <v/>
      </c>
    </row>
    <row r="790" spans="1:26" ht="15" customHeight="1" x14ac:dyDescent="0.3">
      <c r="A790" t="str">
        <f>IF(DONNEES!$E790="","",DONNEES!A790)</f>
        <v/>
      </c>
      <c r="B790" t="str">
        <f>IF(DONNEES!$E790="","",DONNEES!B790)</f>
        <v/>
      </c>
      <c r="C790" t="str">
        <f>IF(DONNEES!$E790="","",DONNEES!C790)</f>
        <v/>
      </c>
      <c r="D790" t="str">
        <f>IF(DONNEES!$E790="","",DONNEES!E790)</f>
        <v/>
      </c>
      <c r="E790" t="str">
        <f>IF(DONNEES!$E790="","",DONNEES!F790)</f>
        <v/>
      </c>
      <c r="F790" t="str">
        <f>IF(DONNEES!$E790="","",DONNEES!G790)</f>
        <v/>
      </c>
      <c r="G790" t="str">
        <f>IF(DONNEES!$E790="","",DONNEES!H790)</f>
        <v/>
      </c>
      <c r="H790" t="str">
        <f>IF(DONNEES!$E790="","",DONNEES!I790)</f>
        <v/>
      </c>
      <c r="I790" t="str">
        <f>IF(DONNEES!$E790="","",DONNEES!J790)</f>
        <v/>
      </c>
      <c r="J790" t="str">
        <f>IF(DONNEES!$E790="","",DONNEES!K790)</f>
        <v/>
      </c>
      <c r="K790" t="str">
        <f>IF(DONNEES!$E790="","",DONNEES!L790)</f>
        <v/>
      </c>
      <c r="L790" t="str">
        <f>IF(DONNEES!$E790="","",DONNEES!M790)</f>
        <v/>
      </c>
      <c r="M790" t="str">
        <f>IF(DONNEES!$E790="","",DONNEES!N790)</f>
        <v/>
      </c>
      <c r="N790" t="str">
        <f>IF(DONNEES!$E790="","",DONNEES!O790)</f>
        <v/>
      </c>
      <c r="O790" t="str">
        <f>IF(DONNEES!$E790="","",DONNEES!P790)</f>
        <v/>
      </c>
      <c r="P790" t="str">
        <f>IF(DONNEES!$E790="","",DONNEES!Q790)</f>
        <v/>
      </c>
      <c r="Q790" t="str">
        <f>IF(DONNEES!$E790="","",DONNEES!R790)</f>
        <v/>
      </c>
      <c r="R790" t="str">
        <f>IF(DONNEES!$E790="","",DONNEES!S790)</f>
        <v/>
      </c>
      <c r="S790" t="str">
        <f>IF(DONNEES!$E790="","",DONNEES!T790)</f>
        <v/>
      </c>
      <c r="T790" t="str">
        <f>IF(DONNEES!$E790="","",DONNEES!U790)</f>
        <v/>
      </c>
      <c r="U790" t="str">
        <f>IF(DONNEES!$E790="","",DONNEES!V790)</f>
        <v/>
      </c>
      <c r="V790" t="str">
        <f>IF(DONNEES!$E790="","",DONNEES!W790)</f>
        <v/>
      </c>
      <c r="W790" t="str">
        <f>IF(DONNEES!$E790="","",DONNEES!X790)</f>
        <v/>
      </c>
      <c r="X790" t="str">
        <f>IF(DONNEES!$E790="","",DONNEES!Y790)</f>
        <v/>
      </c>
      <c r="Y790" t="str">
        <f>IF(DONNEES!$E790="","",DONNEES!Z790)</f>
        <v/>
      </c>
      <c r="Z790" t="str">
        <f>IF(DONNEES!$E790="","",DONNEES!AQ790)</f>
        <v/>
      </c>
    </row>
    <row r="791" spans="1:26" ht="15" customHeight="1" x14ac:dyDescent="0.3">
      <c r="A791" t="str">
        <f>IF(DONNEES!$E791="","",DONNEES!A791)</f>
        <v/>
      </c>
      <c r="B791" t="str">
        <f>IF(DONNEES!$E791="","",DONNEES!B791)</f>
        <v/>
      </c>
      <c r="C791" t="str">
        <f>IF(DONNEES!$E791="","",DONNEES!C791)</f>
        <v/>
      </c>
      <c r="D791" t="str">
        <f>IF(DONNEES!$E791="","",DONNEES!E791)</f>
        <v/>
      </c>
      <c r="E791" t="str">
        <f>IF(DONNEES!$E791="","",DONNEES!F791)</f>
        <v/>
      </c>
      <c r="F791" t="str">
        <f>IF(DONNEES!$E791="","",DONNEES!G791)</f>
        <v/>
      </c>
      <c r="G791" t="str">
        <f>IF(DONNEES!$E791="","",DONNEES!H791)</f>
        <v/>
      </c>
      <c r="H791" t="str">
        <f>IF(DONNEES!$E791="","",DONNEES!I791)</f>
        <v/>
      </c>
      <c r="I791" t="str">
        <f>IF(DONNEES!$E791="","",DONNEES!J791)</f>
        <v/>
      </c>
      <c r="J791" t="str">
        <f>IF(DONNEES!$E791="","",DONNEES!K791)</f>
        <v/>
      </c>
      <c r="K791" t="str">
        <f>IF(DONNEES!$E791="","",DONNEES!L791)</f>
        <v/>
      </c>
      <c r="L791" t="str">
        <f>IF(DONNEES!$E791="","",DONNEES!M791)</f>
        <v/>
      </c>
      <c r="M791" t="str">
        <f>IF(DONNEES!$E791="","",DONNEES!N791)</f>
        <v/>
      </c>
      <c r="N791" t="str">
        <f>IF(DONNEES!$E791="","",DONNEES!O791)</f>
        <v/>
      </c>
      <c r="O791" t="str">
        <f>IF(DONNEES!$E791="","",DONNEES!P791)</f>
        <v/>
      </c>
      <c r="P791" t="str">
        <f>IF(DONNEES!$E791="","",DONNEES!Q791)</f>
        <v/>
      </c>
      <c r="Q791" t="str">
        <f>IF(DONNEES!$E791="","",DONNEES!R791)</f>
        <v/>
      </c>
      <c r="R791" t="str">
        <f>IF(DONNEES!$E791="","",DONNEES!S791)</f>
        <v/>
      </c>
      <c r="S791" t="str">
        <f>IF(DONNEES!$E791="","",DONNEES!T791)</f>
        <v/>
      </c>
      <c r="T791" t="str">
        <f>IF(DONNEES!$E791="","",DONNEES!U791)</f>
        <v/>
      </c>
      <c r="U791" t="str">
        <f>IF(DONNEES!$E791="","",DONNEES!V791)</f>
        <v/>
      </c>
      <c r="V791" t="str">
        <f>IF(DONNEES!$E791="","",DONNEES!W791)</f>
        <v/>
      </c>
      <c r="W791" t="str">
        <f>IF(DONNEES!$E791="","",DONNEES!X791)</f>
        <v/>
      </c>
      <c r="X791" t="str">
        <f>IF(DONNEES!$E791="","",DONNEES!Y791)</f>
        <v/>
      </c>
      <c r="Y791" t="str">
        <f>IF(DONNEES!$E791="","",DONNEES!Z791)</f>
        <v/>
      </c>
      <c r="Z791" t="str">
        <f>IF(DONNEES!$E791="","",DONNEES!AQ791)</f>
        <v/>
      </c>
    </row>
    <row r="792" spans="1:26" ht="15" customHeight="1" x14ac:dyDescent="0.3">
      <c r="A792" t="str">
        <f>IF(DONNEES!$E792="","",DONNEES!A792)</f>
        <v/>
      </c>
      <c r="B792" t="str">
        <f>IF(DONNEES!$E792="","",DONNEES!B792)</f>
        <v/>
      </c>
      <c r="C792" t="str">
        <f>IF(DONNEES!$E792="","",DONNEES!C792)</f>
        <v/>
      </c>
      <c r="D792" t="str">
        <f>IF(DONNEES!$E792="","",DONNEES!E792)</f>
        <v/>
      </c>
      <c r="E792" t="str">
        <f>IF(DONNEES!$E792="","",DONNEES!F792)</f>
        <v/>
      </c>
      <c r="F792" t="str">
        <f>IF(DONNEES!$E792="","",DONNEES!G792)</f>
        <v/>
      </c>
      <c r="G792" t="str">
        <f>IF(DONNEES!$E792="","",DONNEES!H792)</f>
        <v/>
      </c>
      <c r="H792" t="str">
        <f>IF(DONNEES!$E792="","",DONNEES!I792)</f>
        <v/>
      </c>
      <c r="I792" t="str">
        <f>IF(DONNEES!$E792="","",DONNEES!J792)</f>
        <v/>
      </c>
      <c r="J792" t="str">
        <f>IF(DONNEES!$E792="","",DONNEES!K792)</f>
        <v/>
      </c>
      <c r="K792" t="str">
        <f>IF(DONNEES!$E792="","",DONNEES!L792)</f>
        <v/>
      </c>
      <c r="L792" t="str">
        <f>IF(DONNEES!$E792="","",DONNEES!M792)</f>
        <v/>
      </c>
      <c r="M792" t="str">
        <f>IF(DONNEES!$E792="","",DONNEES!N792)</f>
        <v/>
      </c>
      <c r="N792" t="str">
        <f>IF(DONNEES!$E792="","",DONNEES!O792)</f>
        <v/>
      </c>
      <c r="O792" t="str">
        <f>IF(DONNEES!$E792="","",DONNEES!P792)</f>
        <v/>
      </c>
      <c r="P792" t="str">
        <f>IF(DONNEES!$E792="","",DONNEES!Q792)</f>
        <v/>
      </c>
      <c r="Q792" t="str">
        <f>IF(DONNEES!$E792="","",DONNEES!R792)</f>
        <v/>
      </c>
      <c r="R792" t="str">
        <f>IF(DONNEES!$E792="","",DONNEES!S792)</f>
        <v/>
      </c>
      <c r="S792" t="str">
        <f>IF(DONNEES!$E792="","",DONNEES!T792)</f>
        <v/>
      </c>
      <c r="T792" t="str">
        <f>IF(DONNEES!$E792="","",DONNEES!U792)</f>
        <v/>
      </c>
      <c r="U792" t="str">
        <f>IF(DONNEES!$E792="","",DONNEES!V792)</f>
        <v/>
      </c>
      <c r="V792" t="str">
        <f>IF(DONNEES!$E792="","",DONNEES!W792)</f>
        <v/>
      </c>
      <c r="W792" t="str">
        <f>IF(DONNEES!$E792="","",DONNEES!X792)</f>
        <v/>
      </c>
      <c r="X792" t="str">
        <f>IF(DONNEES!$E792="","",DONNEES!Y792)</f>
        <v/>
      </c>
      <c r="Y792" t="str">
        <f>IF(DONNEES!$E792="","",DONNEES!Z792)</f>
        <v/>
      </c>
      <c r="Z792" t="str">
        <f>IF(DONNEES!$E792="","",DONNEES!AQ792)</f>
        <v/>
      </c>
    </row>
    <row r="793" spans="1:26" ht="15" customHeight="1" x14ac:dyDescent="0.3">
      <c r="A793" t="str">
        <f>IF(DONNEES!$E793="","",DONNEES!A793)</f>
        <v/>
      </c>
      <c r="B793" t="str">
        <f>IF(DONNEES!$E793="","",DONNEES!B793)</f>
        <v/>
      </c>
      <c r="C793" t="str">
        <f>IF(DONNEES!$E793="","",DONNEES!C793)</f>
        <v/>
      </c>
      <c r="D793" t="str">
        <f>IF(DONNEES!$E793="","",DONNEES!E793)</f>
        <v/>
      </c>
      <c r="E793" t="str">
        <f>IF(DONNEES!$E793="","",DONNEES!F793)</f>
        <v/>
      </c>
      <c r="F793" t="str">
        <f>IF(DONNEES!$E793="","",DONNEES!G793)</f>
        <v/>
      </c>
      <c r="G793" t="str">
        <f>IF(DONNEES!$E793="","",DONNEES!H793)</f>
        <v/>
      </c>
      <c r="H793" t="str">
        <f>IF(DONNEES!$E793="","",DONNEES!I793)</f>
        <v/>
      </c>
      <c r="I793" t="str">
        <f>IF(DONNEES!$E793="","",DONNEES!J793)</f>
        <v/>
      </c>
      <c r="J793" t="str">
        <f>IF(DONNEES!$E793="","",DONNEES!K793)</f>
        <v/>
      </c>
      <c r="K793" t="str">
        <f>IF(DONNEES!$E793="","",DONNEES!L793)</f>
        <v/>
      </c>
      <c r="L793" t="str">
        <f>IF(DONNEES!$E793="","",DONNEES!M793)</f>
        <v/>
      </c>
      <c r="M793" t="str">
        <f>IF(DONNEES!$E793="","",DONNEES!N793)</f>
        <v/>
      </c>
      <c r="N793" t="str">
        <f>IF(DONNEES!$E793="","",DONNEES!O793)</f>
        <v/>
      </c>
      <c r="O793" t="str">
        <f>IF(DONNEES!$E793="","",DONNEES!P793)</f>
        <v/>
      </c>
      <c r="P793" t="str">
        <f>IF(DONNEES!$E793="","",DONNEES!Q793)</f>
        <v/>
      </c>
      <c r="Q793" t="str">
        <f>IF(DONNEES!$E793="","",DONNEES!R793)</f>
        <v/>
      </c>
      <c r="R793" t="str">
        <f>IF(DONNEES!$E793="","",DONNEES!S793)</f>
        <v/>
      </c>
      <c r="S793" t="str">
        <f>IF(DONNEES!$E793="","",DONNEES!T793)</f>
        <v/>
      </c>
      <c r="T793" t="str">
        <f>IF(DONNEES!$E793="","",DONNEES!U793)</f>
        <v/>
      </c>
      <c r="U793" t="str">
        <f>IF(DONNEES!$E793="","",DONNEES!V793)</f>
        <v/>
      </c>
      <c r="V793" t="str">
        <f>IF(DONNEES!$E793="","",DONNEES!W793)</f>
        <v/>
      </c>
      <c r="W793" t="str">
        <f>IF(DONNEES!$E793="","",DONNEES!X793)</f>
        <v/>
      </c>
      <c r="X793" t="str">
        <f>IF(DONNEES!$E793="","",DONNEES!Y793)</f>
        <v/>
      </c>
      <c r="Y793" t="str">
        <f>IF(DONNEES!$E793="","",DONNEES!Z793)</f>
        <v/>
      </c>
      <c r="Z793" t="str">
        <f>IF(DONNEES!$E793="","",DONNEES!AQ793)</f>
        <v/>
      </c>
    </row>
    <row r="794" spans="1:26" ht="15" customHeight="1" x14ac:dyDescent="0.3">
      <c r="A794" t="str">
        <f>IF(DONNEES!$E794="","",DONNEES!A794)</f>
        <v/>
      </c>
      <c r="B794" t="str">
        <f>IF(DONNEES!$E794="","",DONNEES!B794)</f>
        <v/>
      </c>
      <c r="C794" t="str">
        <f>IF(DONNEES!$E794="","",DONNEES!C794)</f>
        <v/>
      </c>
      <c r="D794" t="str">
        <f>IF(DONNEES!$E794="","",DONNEES!E794)</f>
        <v/>
      </c>
      <c r="E794" t="str">
        <f>IF(DONNEES!$E794="","",DONNEES!F794)</f>
        <v/>
      </c>
      <c r="F794" t="str">
        <f>IF(DONNEES!$E794="","",DONNEES!G794)</f>
        <v/>
      </c>
      <c r="G794" t="str">
        <f>IF(DONNEES!$E794="","",DONNEES!H794)</f>
        <v/>
      </c>
      <c r="H794" t="str">
        <f>IF(DONNEES!$E794="","",DONNEES!I794)</f>
        <v/>
      </c>
      <c r="I794" t="str">
        <f>IF(DONNEES!$E794="","",DONNEES!J794)</f>
        <v/>
      </c>
      <c r="J794" t="str">
        <f>IF(DONNEES!$E794="","",DONNEES!K794)</f>
        <v/>
      </c>
      <c r="K794" t="str">
        <f>IF(DONNEES!$E794="","",DONNEES!L794)</f>
        <v/>
      </c>
      <c r="L794" t="str">
        <f>IF(DONNEES!$E794="","",DONNEES!M794)</f>
        <v/>
      </c>
      <c r="M794" t="str">
        <f>IF(DONNEES!$E794="","",DONNEES!N794)</f>
        <v/>
      </c>
      <c r="N794" t="str">
        <f>IF(DONNEES!$E794="","",DONNEES!O794)</f>
        <v/>
      </c>
      <c r="O794" t="str">
        <f>IF(DONNEES!$E794="","",DONNEES!P794)</f>
        <v/>
      </c>
      <c r="P794" t="str">
        <f>IF(DONNEES!$E794="","",DONNEES!Q794)</f>
        <v/>
      </c>
      <c r="Q794" t="str">
        <f>IF(DONNEES!$E794="","",DONNEES!R794)</f>
        <v/>
      </c>
      <c r="R794" t="str">
        <f>IF(DONNEES!$E794="","",DONNEES!S794)</f>
        <v/>
      </c>
      <c r="S794" t="str">
        <f>IF(DONNEES!$E794="","",DONNEES!T794)</f>
        <v/>
      </c>
      <c r="T794" t="str">
        <f>IF(DONNEES!$E794="","",DONNEES!U794)</f>
        <v/>
      </c>
      <c r="U794" t="str">
        <f>IF(DONNEES!$E794="","",DONNEES!V794)</f>
        <v/>
      </c>
      <c r="V794" t="str">
        <f>IF(DONNEES!$E794="","",DONNEES!W794)</f>
        <v/>
      </c>
      <c r="W794" t="str">
        <f>IF(DONNEES!$E794="","",DONNEES!X794)</f>
        <v/>
      </c>
      <c r="X794" t="str">
        <f>IF(DONNEES!$E794="","",DONNEES!Y794)</f>
        <v/>
      </c>
      <c r="Y794" t="str">
        <f>IF(DONNEES!$E794="","",DONNEES!Z794)</f>
        <v/>
      </c>
      <c r="Z794" t="str">
        <f>IF(DONNEES!$E794="","",DONNEES!AQ794)</f>
        <v/>
      </c>
    </row>
    <row r="795" spans="1:26" ht="15" customHeight="1" x14ac:dyDescent="0.3">
      <c r="A795" t="str">
        <f>IF(DONNEES!$E795="","",DONNEES!A795)</f>
        <v/>
      </c>
      <c r="B795" t="str">
        <f>IF(DONNEES!$E795="","",DONNEES!B795)</f>
        <v/>
      </c>
      <c r="C795" t="str">
        <f>IF(DONNEES!$E795="","",DONNEES!C795)</f>
        <v/>
      </c>
      <c r="D795" t="str">
        <f>IF(DONNEES!$E795="","",DONNEES!E795)</f>
        <v/>
      </c>
      <c r="E795" t="str">
        <f>IF(DONNEES!$E795="","",DONNEES!F795)</f>
        <v/>
      </c>
      <c r="F795" t="str">
        <f>IF(DONNEES!$E795="","",DONNEES!G795)</f>
        <v/>
      </c>
      <c r="G795" t="str">
        <f>IF(DONNEES!$E795="","",DONNEES!H795)</f>
        <v/>
      </c>
      <c r="H795" t="str">
        <f>IF(DONNEES!$E795="","",DONNEES!I795)</f>
        <v/>
      </c>
      <c r="I795" t="str">
        <f>IF(DONNEES!$E795="","",DONNEES!J795)</f>
        <v/>
      </c>
      <c r="J795" t="str">
        <f>IF(DONNEES!$E795="","",DONNEES!K795)</f>
        <v/>
      </c>
      <c r="K795" t="str">
        <f>IF(DONNEES!$E795="","",DONNEES!L795)</f>
        <v/>
      </c>
      <c r="L795" t="str">
        <f>IF(DONNEES!$E795="","",DONNEES!M795)</f>
        <v/>
      </c>
      <c r="M795" t="str">
        <f>IF(DONNEES!$E795="","",DONNEES!N795)</f>
        <v/>
      </c>
      <c r="N795" t="str">
        <f>IF(DONNEES!$E795="","",DONNEES!O795)</f>
        <v/>
      </c>
      <c r="O795" t="str">
        <f>IF(DONNEES!$E795="","",DONNEES!P795)</f>
        <v/>
      </c>
      <c r="P795" t="str">
        <f>IF(DONNEES!$E795="","",DONNEES!Q795)</f>
        <v/>
      </c>
      <c r="Q795" t="str">
        <f>IF(DONNEES!$E795="","",DONNEES!R795)</f>
        <v/>
      </c>
      <c r="R795" t="str">
        <f>IF(DONNEES!$E795="","",DONNEES!S795)</f>
        <v/>
      </c>
      <c r="S795" t="str">
        <f>IF(DONNEES!$E795="","",DONNEES!T795)</f>
        <v/>
      </c>
      <c r="T795" t="str">
        <f>IF(DONNEES!$E795="","",DONNEES!U795)</f>
        <v/>
      </c>
      <c r="U795" t="str">
        <f>IF(DONNEES!$E795="","",DONNEES!V795)</f>
        <v/>
      </c>
      <c r="V795" t="str">
        <f>IF(DONNEES!$E795="","",DONNEES!W795)</f>
        <v/>
      </c>
      <c r="W795" t="str">
        <f>IF(DONNEES!$E795="","",DONNEES!X795)</f>
        <v/>
      </c>
      <c r="X795" t="str">
        <f>IF(DONNEES!$E795="","",DONNEES!Y795)</f>
        <v/>
      </c>
      <c r="Y795" t="str">
        <f>IF(DONNEES!$E795="","",DONNEES!Z795)</f>
        <v/>
      </c>
      <c r="Z795" t="str">
        <f>IF(DONNEES!$E795="","",DONNEES!AQ795)</f>
        <v/>
      </c>
    </row>
    <row r="796" spans="1:26" ht="15" customHeight="1" x14ac:dyDescent="0.3">
      <c r="A796" t="str">
        <f>IF(DONNEES!$E796="","",DONNEES!A796)</f>
        <v/>
      </c>
      <c r="B796" t="str">
        <f>IF(DONNEES!$E796="","",DONNEES!B796)</f>
        <v/>
      </c>
      <c r="C796" t="str">
        <f>IF(DONNEES!$E796="","",DONNEES!C796)</f>
        <v/>
      </c>
      <c r="D796" t="str">
        <f>IF(DONNEES!$E796="","",DONNEES!E796)</f>
        <v/>
      </c>
      <c r="E796" t="str">
        <f>IF(DONNEES!$E796="","",DONNEES!F796)</f>
        <v/>
      </c>
      <c r="F796" t="str">
        <f>IF(DONNEES!$E796="","",DONNEES!G796)</f>
        <v/>
      </c>
      <c r="G796" t="str">
        <f>IF(DONNEES!$E796="","",DONNEES!H796)</f>
        <v/>
      </c>
      <c r="H796" t="str">
        <f>IF(DONNEES!$E796="","",DONNEES!I796)</f>
        <v/>
      </c>
      <c r="I796" t="str">
        <f>IF(DONNEES!$E796="","",DONNEES!J796)</f>
        <v/>
      </c>
      <c r="J796" t="str">
        <f>IF(DONNEES!$E796="","",DONNEES!K796)</f>
        <v/>
      </c>
      <c r="K796" t="str">
        <f>IF(DONNEES!$E796="","",DONNEES!L796)</f>
        <v/>
      </c>
      <c r="L796" t="str">
        <f>IF(DONNEES!$E796="","",DONNEES!M796)</f>
        <v/>
      </c>
      <c r="M796" t="str">
        <f>IF(DONNEES!$E796="","",DONNEES!N796)</f>
        <v/>
      </c>
      <c r="N796" t="str">
        <f>IF(DONNEES!$E796="","",DONNEES!O796)</f>
        <v/>
      </c>
      <c r="O796" t="str">
        <f>IF(DONNEES!$E796="","",DONNEES!P796)</f>
        <v/>
      </c>
      <c r="P796" t="str">
        <f>IF(DONNEES!$E796="","",DONNEES!Q796)</f>
        <v/>
      </c>
      <c r="Q796" t="str">
        <f>IF(DONNEES!$E796="","",DONNEES!R796)</f>
        <v/>
      </c>
      <c r="R796" t="str">
        <f>IF(DONNEES!$E796="","",DONNEES!S796)</f>
        <v/>
      </c>
      <c r="S796" t="str">
        <f>IF(DONNEES!$E796="","",DONNEES!T796)</f>
        <v/>
      </c>
      <c r="T796" t="str">
        <f>IF(DONNEES!$E796="","",DONNEES!U796)</f>
        <v/>
      </c>
      <c r="U796" t="str">
        <f>IF(DONNEES!$E796="","",DONNEES!V796)</f>
        <v/>
      </c>
      <c r="V796" t="str">
        <f>IF(DONNEES!$E796="","",DONNEES!W796)</f>
        <v/>
      </c>
      <c r="W796" t="str">
        <f>IF(DONNEES!$E796="","",DONNEES!X796)</f>
        <v/>
      </c>
      <c r="X796" t="str">
        <f>IF(DONNEES!$E796="","",DONNEES!Y796)</f>
        <v/>
      </c>
      <c r="Y796" t="str">
        <f>IF(DONNEES!$E796="","",DONNEES!Z796)</f>
        <v/>
      </c>
      <c r="Z796" t="str">
        <f>IF(DONNEES!$E796="","",DONNEES!AQ796)</f>
        <v/>
      </c>
    </row>
    <row r="797" spans="1:26" ht="15" customHeight="1" x14ac:dyDescent="0.3">
      <c r="A797" t="str">
        <f>IF(DONNEES!$E797="","",DONNEES!A797)</f>
        <v/>
      </c>
      <c r="B797" t="str">
        <f>IF(DONNEES!$E797="","",DONNEES!B797)</f>
        <v/>
      </c>
      <c r="C797" t="str">
        <f>IF(DONNEES!$E797="","",DONNEES!C797)</f>
        <v/>
      </c>
      <c r="D797" t="str">
        <f>IF(DONNEES!$E797="","",DONNEES!E797)</f>
        <v/>
      </c>
      <c r="E797" t="str">
        <f>IF(DONNEES!$E797="","",DONNEES!F797)</f>
        <v/>
      </c>
      <c r="F797" t="str">
        <f>IF(DONNEES!$E797="","",DONNEES!G797)</f>
        <v/>
      </c>
      <c r="G797" t="str">
        <f>IF(DONNEES!$E797="","",DONNEES!H797)</f>
        <v/>
      </c>
      <c r="H797" t="str">
        <f>IF(DONNEES!$E797="","",DONNEES!I797)</f>
        <v/>
      </c>
      <c r="I797" t="str">
        <f>IF(DONNEES!$E797="","",DONNEES!J797)</f>
        <v/>
      </c>
      <c r="J797" t="str">
        <f>IF(DONNEES!$E797="","",DONNEES!K797)</f>
        <v/>
      </c>
      <c r="K797" t="str">
        <f>IF(DONNEES!$E797="","",DONNEES!L797)</f>
        <v/>
      </c>
      <c r="L797" t="str">
        <f>IF(DONNEES!$E797="","",DONNEES!M797)</f>
        <v/>
      </c>
      <c r="M797" t="str">
        <f>IF(DONNEES!$E797="","",DONNEES!N797)</f>
        <v/>
      </c>
      <c r="N797" t="str">
        <f>IF(DONNEES!$E797="","",DONNEES!O797)</f>
        <v/>
      </c>
      <c r="O797" t="str">
        <f>IF(DONNEES!$E797="","",DONNEES!P797)</f>
        <v/>
      </c>
      <c r="P797" t="str">
        <f>IF(DONNEES!$E797="","",DONNEES!Q797)</f>
        <v/>
      </c>
      <c r="Q797" t="str">
        <f>IF(DONNEES!$E797="","",DONNEES!R797)</f>
        <v/>
      </c>
      <c r="R797" t="str">
        <f>IF(DONNEES!$E797="","",DONNEES!S797)</f>
        <v/>
      </c>
      <c r="S797" t="str">
        <f>IF(DONNEES!$E797="","",DONNEES!T797)</f>
        <v/>
      </c>
      <c r="T797" t="str">
        <f>IF(DONNEES!$E797="","",DONNEES!U797)</f>
        <v/>
      </c>
      <c r="U797" t="str">
        <f>IF(DONNEES!$E797="","",DONNEES!V797)</f>
        <v/>
      </c>
      <c r="V797" t="str">
        <f>IF(DONNEES!$E797="","",DONNEES!W797)</f>
        <v/>
      </c>
      <c r="W797" t="str">
        <f>IF(DONNEES!$E797="","",DONNEES!X797)</f>
        <v/>
      </c>
      <c r="X797" t="str">
        <f>IF(DONNEES!$E797="","",DONNEES!Y797)</f>
        <v/>
      </c>
      <c r="Y797" t="str">
        <f>IF(DONNEES!$E797="","",DONNEES!Z797)</f>
        <v/>
      </c>
      <c r="Z797" t="str">
        <f>IF(DONNEES!$E797="","",DONNEES!AQ797)</f>
        <v/>
      </c>
    </row>
    <row r="798" spans="1:26" ht="15" customHeight="1" x14ac:dyDescent="0.3">
      <c r="A798" t="str">
        <f>IF(DONNEES!$E798="","",DONNEES!A798)</f>
        <v/>
      </c>
      <c r="B798" t="str">
        <f>IF(DONNEES!$E798="","",DONNEES!B798)</f>
        <v/>
      </c>
      <c r="C798" t="str">
        <f>IF(DONNEES!$E798="","",DONNEES!C798)</f>
        <v/>
      </c>
      <c r="D798" t="str">
        <f>IF(DONNEES!$E798="","",DONNEES!E798)</f>
        <v/>
      </c>
      <c r="E798" t="str">
        <f>IF(DONNEES!$E798="","",DONNEES!F798)</f>
        <v/>
      </c>
      <c r="F798" t="str">
        <f>IF(DONNEES!$E798="","",DONNEES!G798)</f>
        <v/>
      </c>
      <c r="G798" t="str">
        <f>IF(DONNEES!$E798="","",DONNEES!H798)</f>
        <v/>
      </c>
      <c r="H798" t="str">
        <f>IF(DONNEES!$E798="","",DONNEES!I798)</f>
        <v/>
      </c>
      <c r="I798" t="str">
        <f>IF(DONNEES!$E798="","",DONNEES!J798)</f>
        <v/>
      </c>
      <c r="J798" t="str">
        <f>IF(DONNEES!$E798="","",DONNEES!K798)</f>
        <v/>
      </c>
      <c r="K798" t="str">
        <f>IF(DONNEES!$E798="","",DONNEES!L798)</f>
        <v/>
      </c>
      <c r="L798" t="str">
        <f>IF(DONNEES!$E798="","",DONNEES!M798)</f>
        <v/>
      </c>
      <c r="M798" t="str">
        <f>IF(DONNEES!$E798="","",DONNEES!N798)</f>
        <v/>
      </c>
      <c r="N798" t="str">
        <f>IF(DONNEES!$E798="","",DONNEES!O798)</f>
        <v/>
      </c>
      <c r="O798" t="str">
        <f>IF(DONNEES!$E798="","",DONNEES!P798)</f>
        <v/>
      </c>
      <c r="P798" t="str">
        <f>IF(DONNEES!$E798="","",DONNEES!Q798)</f>
        <v/>
      </c>
      <c r="Q798" t="str">
        <f>IF(DONNEES!$E798="","",DONNEES!R798)</f>
        <v/>
      </c>
      <c r="R798" t="str">
        <f>IF(DONNEES!$E798="","",DONNEES!S798)</f>
        <v/>
      </c>
      <c r="S798" t="str">
        <f>IF(DONNEES!$E798="","",DONNEES!T798)</f>
        <v/>
      </c>
      <c r="T798" t="str">
        <f>IF(DONNEES!$E798="","",DONNEES!U798)</f>
        <v/>
      </c>
      <c r="U798" t="str">
        <f>IF(DONNEES!$E798="","",DONNEES!V798)</f>
        <v/>
      </c>
      <c r="V798" t="str">
        <f>IF(DONNEES!$E798="","",DONNEES!W798)</f>
        <v/>
      </c>
      <c r="W798" t="str">
        <f>IF(DONNEES!$E798="","",DONNEES!X798)</f>
        <v/>
      </c>
      <c r="X798" t="str">
        <f>IF(DONNEES!$E798="","",DONNEES!Y798)</f>
        <v/>
      </c>
      <c r="Y798" t="str">
        <f>IF(DONNEES!$E798="","",DONNEES!Z798)</f>
        <v/>
      </c>
      <c r="Z798" t="str">
        <f>IF(DONNEES!$E798="","",DONNEES!AQ798)</f>
        <v/>
      </c>
    </row>
    <row r="799" spans="1:26" ht="15" customHeight="1" x14ac:dyDescent="0.3">
      <c r="A799" t="str">
        <f>IF(DONNEES!$E799="","",DONNEES!A799)</f>
        <v/>
      </c>
      <c r="B799" t="str">
        <f>IF(DONNEES!$E799="","",DONNEES!B799)</f>
        <v/>
      </c>
      <c r="C799" t="str">
        <f>IF(DONNEES!$E799="","",DONNEES!C799)</f>
        <v/>
      </c>
      <c r="D799" t="str">
        <f>IF(DONNEES!$E799="","",DONNEES!E799)</f>
        <v/>
      </c>
      <c r="E799" t="str">
        <f>IF(DONNEES!$E799="","",DONNEES!F799)</f>
        <v/>
      </c>
      <c r="F799" t="str">
        <f>IF(DONNEES!$E799="","",DONNEES!G799)</f>
        <v/>
      </c>
      <c r="G799" t="str">
        <f>IF(DONNEES!$E799="","",DONNEES!H799)</f>
        <v/>
      </c>
      <c r="H799" t="str">
        <f>IF(DONNEES!$E799="","",DONNEES!I799)</f>
        <v/>
      </c>
      <c r="I799" t="str">
        <f>IF(DONNEES!$E799="","",DONNEES!J799)</f>
        <v/>
      </c>
      <c r="J799" t="str">
        <f>IF(DONNEES!$E799="","",DONNEES!K799)</f>
        <v/>
      </c>
      <c r="K799" t="str">
        <f>IF(DONNEES!$E799="","",DONNEES!L799)</f>
        <v/>
      </c>
      <c r="L799" t="str">
        <f>IF(DONNEES!$E799="","",DONNEES!M799)</f>
        <v/>
      </c>
      <c r="M799" t="str">
        <f>IF(DONNEES!$E799="","",DONNEES!N799)</f>
        <v/>
      </c>
      <c r="N799" t="str">
        <f>IF(DONNEES!$E799="","",DONNEES!O799)</f>
        <v/>
      </c>
      <c r="O799" t="str">
        <f>IF(DONNEES!$E799="","",DONNEES!P799)</f>
        <v/>
      </c>
      <c r="P799" t="str">
        <f>IF(DONNEES!$E799="","",DONNEES!Q799)</f>
        <v/>
      </c>
      <c r="Q799" t="str">
        <f>IF(DONNEES!$E799="","",DONNEES!R799)</f>
        <v/>
      </c>
      <c r="R799" t="str">
        <f>IF(DONNEES!$E799="","",DONNEES!S799)</f>
        <v/>
      </c>
      <c r="S799" t="str">
        <f>IF(DONNEES!$E799="","",DONNEES!T799)</f>
        <v/>
      </c>
      <c r="T799" t="str">
        <f>IF(DONNEES!$E799="","",DONNEES!U799)</f>
        <v/>
      </c>
      <c r="U799" t="str">
        <f>IF(DONNEES!$E799="","",DONNEES!V799)</f>
        <v/>
      </c>
      <c r="V799" t="str">
        <f>IF(DONNEES!$E799="","",DONNEES!W799)</f>
        <v/>
      </c>
      <c r="W799" t="str">
        <f>IF(DONNEES!$E799="","",DONNEES!X799)</f>
        <v/>
      </c>
      <c r="X799" t="str">
        <f>IF(DONNEES!$E799="","",DONNEES!Y799)</f>
        <v/>
      </c>
      <c r="Y799" t="str">
        <f>IF(DONNEES!$E799="","",DONNEES!Z799)</f>
        <v/>
      </c>
      <c r="Z799" t="str">
        <f>IF(DONNEES!$E799="","",DONNEES!AQ799)</f>
        <v/>
      </c>
    </row>
    <row r="800" spans="1:26" ht="15" customHeight="1" x14ac:dyDescent="0.3">
      <c r="A800" t="str">
        <f>IF(DONNEES!$E800="","",DONNEES!A800)</f>
        <v/>
      </c>
      <c r="B800" t="str">
        <f>IF(DONNEES!$E800="","",DONNEES!B800)</f>
        <v/>
      </c>
      <c r="C800" t="str">
        <f>IF(DONNEES!$E800="","",DONNEES!C800)</f>
        <v/>
      </c>
      <c r="D800" t="str">
        <f>IF(DONNEES!$E800="","",DONNEES!E800)</f>
        <v/>
      </c>
      <c r="E800" t="str">
        <f>IF(DONNEES!$E800="","",DONNEES!F800)</f>
        <v/>
      </c>
      <c r="F800" t="str">
        <f>IF(DONNEES!$E800="","",DONNEES!G800)</f>
        <v/>
      </c>
      <c r="G800" t="str">
        <f>IF(DONNEES!$E800="","",DONNEES!H800)</f>
        <v/>
      </c>
      <c r="H800" t="str">
        <f>IF(DONNEES!$E800="","",DONNEES!I800)</f>
        <v/>
      </c>
      <c r="I800" t="str">
        <f>IF(DONNEES!$E800="","",DONNEES!J800)</f>
        <v/>
      </c>
      <c r="J800" t="str">
        <f>IF(DONNEES!$E800="","",DONNEES!K800)</f>
        <v/>
      </c>
      <c r="K800" t="str">
        <f>IF(DONNEES!$E800="","",DONNEES!L800)</f>
        <v/>
      </c>
      <c r="L800" t="str">
        <f>IF(DONNEES!$E800="","",DONNEES!M800)</f>
        <v/>
      </c>
      <c r="M800" t="str">
        <f>IF(DONNEES!$E800="","",DONNEES!N800)</f>
        <v/>
      </c>
      <c r="N800" t="str">
        <f>IF(DONNEES!$E800="","",DONNEES!O800)</f>
        <v/>
      </c>
      <c r="O800" t="str">
        <f>IF(DONNEES!$E800="","",DONNEES!P800)</f>
        <v/>
      </c>
      <c r="P800" t="str">
        <f>IF(DONNEES!$E800="","",DONNEES!Q800)</f>
        <v/>
      </c>
      <c r="Q800" t="str">
        <f>IF(DONNEES!$E800="","",DONNEES!R800)</f>
        <v/>
      </c>
      <c r="R800" t="str">
        <f>IF(DONNEES!$E800="","",DONNEES!S800)</f>
        <v/>
      </c>
      <c r="S800" t="str">
        <f>IF(DONNEES!$E800="","",DONNEES!T800)</f>
        <v/>
      </c>
      <c r="T800" t="str">
        <f>IF(DONNEES!$E800="","",DONNEES!U800)</f>
        <v/>
      </c>
      <c r="U800" t="str">
        <f>IF(DONNEES!$E800="","",DONNEES!V800)</f>
        <v/>
      </c>
      <c r="V800" t="str">
        <f>IF(DONNEES!$E800="","",DONNEES!W800)</f>
        <v/>
      </c>
      <c r="W800" t="str">
        <f>IF(DONNEES!$E800="","",DONNEES!X800)</f>
        <v/>
      </c>
      <c r="X800" t="str">
        <f>IF(DONNEES!$E800="","",DONNEES!Y800)</f>
        <v/>
      </c>
      <c r="Y800" t="str">
        <f>IF(DONNEES!$E800="","",DONNEES!Z800)</f>
        <v/>
      </c>
      <c r="Z800" t="str">
        <f>IF(DONNEES!$E800="","",DONNEES!AQ800)</f>
        <v/>
      </c>
    </row>
    <row r="801" spans="1:26" ht="15" customHeight="1" x14ac:dyDescent="0.3">
      <c r="A801" t="str">
        <f>IF(DONNEES!$E801="","",DONNEES!A801)</f>
        <v/>
      </c>
      <c r="B801" t="str">
        <f>IF(DONNEES!$E801="","",DONNEES!B801)</f>
        <v/>
      </c>
      <c r="C801" t="str">
        <f>IF(DONNEES!$E801="","",DONNEES!C801)</f>
        <v/>
      </c>
      <c r="D801" t="str">
        <f>IF(DONNEES!$E801="","",DONNEES!E801)</f>
        <v/>
      </c>
      <c r="E801" t="str">
        <f>IF(DONNEES!$E801="","",DONNEES!F801)</f>
        <v/>
      </c>
      <c r="F801" t="str">
        <f>IF(DONNEES!$E801="","",DONNEES!G801)</f>
        <v/>
      </c>
      <c r="G801" t="str">
        <f>IF(DONNEES!$E801="","",DONNEES!H801)</f>
        <v/>
      </c>
      <c r="H801" t="str">
        <f>IF(DONNEES!$E801="","",DONNEES!I801)</f>
        <v/>
      </c>
      <c r="I801" t="str">
        <f>IF(DONNEES!$E801="","",DONNEES!J801)</f>
        <v/>
      </c>
      <c r="J801" t="str">
        <f>IF(DONNEES!$E801="","",DONNEES!K801)</f>
        <v/>
      </c>
      <c r="K801" t="str">
        <f>IF(DONNEES!$E801="","",DONNEES!L801)</f>
        <v/>
      </c>
      <c r="L801" t="str">
        <f>IF(DONNEES!$E801="","",DONNEES!M801)</f>
        <v/>
      </c>
      <c r="M801" t="str">
        <f>IF(DONNEES!$E801="","",DONNEES!N801)</f>
        <v/>
      </c>
      <c r="N801" t="str">
        <f>IF(DONNEES!$E801="","",DONNEES!O801)</f>
        <v/>
      </c>
      <c r="O801" t="str">
        <f>IF(DONNEES!$E801="","",DONNEES!P801)</f>
        <v/>
      </c>
      <c r="P801" t="str">
        <f>IF(DONNEES!$E801="","",DONNEES!Q801)</f>
        <v/>
      </c>
      <c r="Q801" t="str">
        <f>IF(DONNEES!$E801="","",DONNEES!R801)</f>
        <v/>
      </c>
      <c r="R801" t="str">
        <f>IF(DONNEES!$E801="","",DONNEES!S801)</f>
        <v/>
      </c>
      <c r="S801" t="str">
        <f>IF(DONNEES!$E801="","",DONNEES!T801)</f>
        <v/>
      </c>
      <c r="T801" t="str">
        <f>IF(DONNEES!$E801="","",DONNEES!U801)</f>
        <v/>
      </c>
      <c r="U801" t="str">
        <f>IF(DONNEES!$E801="","",DONNEES!V801)</f>
        <v/>
      </c>
      <c r="V801" t="str">
        <f>IF(DONNEES!$E801="","",DONNEES!W801)</f>
        <v/>
      </c>
      <c r="W801" t="str">
        <f>IF(DONNEES!$E801="","",DONNEES!X801)</f>
        <v/>
      </c>
      <c r="X801" t="str">
        <f>IF(DONNEES!$E801="","",DONNEES!Y801)</f>
        <v/>
      </c>
      <c r="Y801" t="str">
        <f>IF(DONNEES!$E801="","",DONNEES!Z801)</f>
        <v/>
      </c>
      <c r="Z801" t="str">
        <f>IF(DONNEES!$E801="","",DONNEES!AQ801)</f>
        <v/>
      </c>
    </row>
    <row r="802" spans="1:26" ht="15" customHeight="1" x14ac:dyDescent="0.3">
      <c r="A802" t="str">
        <f>IF(DONNEES!$E802="","",DONNEES!A802)</f>
        <v/>
      </c>
      <c r="B802" t="str">
        <f>IF(DONNEES!$E802="","",DONNEES!B802)</f>
        <v/>
      </c>
      <c r="C802" t="str">
        <f>IF(DONNEES!$E802="","",DONNEES!C802)</f>
        <v/>
      </c>
      <c r="D802" t="str">
        <f>IF(DONNEES!$E802="","",DONNEES!E802)</f>
        <v/>
      </c>
      <c r="E802" t="str">
        <f>IF(DONNEES!$E802="","",DONNEES!F802)</f>
        <v/>
      </c>
      <c r="F802" t="str">
        <f>IF(DONNEES!$E802="","",DONNEES!G802)</f>
        <v/>
      </c>
      <c r="G802" t="str">
        <f>IF(DONNEES!$E802="","",DONNEES!H802)</f>
        <v/>
      </c>
      <c r="H802" t="str">
        <f>IF(DONNEES!$E802="","",DONNEES!I802)</f>
        <v/>
      </c>
      <c r="I802" t="str">
        <f>IF(DONNEES!$E802="","",DONNEES!J802)</f>
        <v/>
      </c>
      <c r="J802" t="str">
        <f>IF(DONNEES!$E802="","",DONNEES!K802)</f>
        <v/>
      </c>
      <c r="K802" t="str">
        <f>IF(DONNEES!$E802="","",DONNEES!L802)</f>
        <v/>
      </c>
      <c r="L802" t="str">
        <f>IF(DONNEES!$E802="","",DONNEES!M802)</f>
        <v/>
      </c>
      <c r="M802" t="str">
        <f>IF(DONNEES!$E802="","",DONNEES!N802)</f>
        <v/>
      </c>
      <c r="N802" t="str">
        <f>IF(DONNEES!$E802="","",DONNEES!O802)</f>
        <v/>
      </c>
      <c r="O802" t="str">
        <f>IF(DONNEES!$E802="","",DONNEES!P802)</f>
        <v/>
      </c>
      <c r="P802" t="str">
        <f>IF(DONNEES!$E802="","",DONNEES!Q802)</f>
        <v/>
      </c>
      <c r="Q802" t="str">
        <f>IF(DONNEES!$E802="","",DONNEES!R802)</f>
        <v/>
      </c>
      <c r="R802" t="str">
        <f>IF(DONNEES!$E802="","",DONNEES!S802)</f>
        <v/>
      </c>
      <c r="S802" t="str">
        <f>IF(DONNEES!$E802="","",DONNEES!T802)</f>
        <v/>
      </c>
      <c r="T802" t="str">
        <f>IF(DONNEES!$E802="","",DONNEES!U802)</f>
        <v/>
      </c>
      <c r="U802" t="str">
        <f>IF(DONNEES!$E802="","",DONNEES!V802)</f>
        <v/>
      </c>
      <c r="V802" t="str">
        <f>IF(DONNEES!$E802="","",DONNEES!W802)</f>
        <v/>
      </c>
      <c r="W802" t="str">
        <f>IF(DONNEES!$E802="","",DONNEES!X802)</f>
        <v/>
      </c>
      <c r="X802" t="str">
        <f>IF(DONNEES!$E802="","",DONNEES!Y802)</f>
        <v/>
      </c>
      <c r="Y802" t="str">
        <f>IF(DONNEES!$E802="","",DONNEES!Z802)</f>
        <v/>
      </c>
      <c r="Z802" t="str">
        <f>IF(DONNEES!$E802="","",DONNEES!AQ802)</f>
        <v/>
      </c>
    </row>
    <row r="803" spans="1:26" ht="15" customHeight="1" x14ac:dyDescent="0.3">
      <c r="A803" t="str">
        <f>IF(DONNEES!$E803="","",DONNEES!A803)</f>
        <v/>
      </c>
      <c r="B803" t="str">
        <f>IF(DONNEES!$E803="","",DONNEES!B803)</f>
        <v/>
      </c>
      <c r="C803" t="str">
        <f>IF(DONNEES!$E803="","",DONNEES!C803)</f>
        <v/>
      </c>
      <c r="D803" t="str">
        <f>IF(DONNEES!$E803="","",DONNEES!E803)</f>
        <v/>
      </c>
      <c r="E803" t="str">
        <f>IF(DONNEES!$E803="","",DONNEES!F803)</f>
        <v/>
      </c>
      <c r="F803" t="str">
        <f>IF(DONNEES!$E803="","",DONNEES!G803)</f>
        <v/>
      </c>
      <c r="G803" t="str">
        <f>IF(DONNEES!$E803="","",DONNEES!H803)</f>
        <v/>
      </c>
      <c r="H803" t="str">
        <f>IF(DONNEES!$E803="","",DONNEES!I803)</f>
        <v/>
      </c>
      <c r="I803" t="str">
        <f>IF(DONNEES!$E803="","",DONNEES!J803)</f>
        <v/>
      </c>
      <c r="J803" t="str">
        <f>IF(DONNEES!$E803="","",DONNEES!K803)</f>
        <v/>
      </c>
      <c r="K803" t="str">
        <f>IF(DONNEES!$E803="","",DONNEES!L803)</f>
        <v/>
      </c>
      <c r="L803" t="str">
        <f>IF(DONNEES!$E803="","",DONNEES!M803)</f>
        <v/>
      </c>
      <c r="M803" t="str">
        <f>IF(DONNEES!$E803="","",DONNEES!N803)</f>
        <v/>
      </c>
      <c r="N803" t="str">
        <f>IF(DONNEES!$E803="","",DONNEES!O803)</f>
        <v/>
      </c>
      <c r="O803" t="str">
        <f>IF(DONNEES!$E803="","",DONNEES!P803)</f>
        <v/>
      </c>
      <c r="P803" t="str">
        <f>IF(DONNEES!$E803="","",DONNEES!Q803)</f>
        <v/>
      </c>
      <c r="Q803" t="str">
        <f>IF(DONNEES!$E803="","",DONNEES!R803)</f>
        <v/>
      </c>
      <c r="R803" t="str">
        <f>IF(DONNEES!$E803="","",DONNEES!S803)</f>
        <v/>
      </c>
      <c r="S803" t="str">
        <f>IF(DONNEES!$E803="","",DONNEES!T803)</f>
        <v/>
      </c>
      <c r="T803" t="str">
        <f>IF(DONNEES!$E803="","",DONNEES!U803)</f>
        <v/>
      </c>
      <c r="U803" t="str">
        <f>IF(DONNEES!$E803="","",DONNEES!V803)</f>
        <v/>
      </c>
      <c r="V803" t="str">
        <f>IF(DONNEES!$E803="","",DONNEES!W803)</f>
        <v/>
      </c>
      <c r="W803" t="str">
        <f>IF(DONNEES!$E803="","",DONNEES!X803)</f>
        <v/>
      </c>
      <c r="X803" t="str">
        <f>IF(DONNEES!$E803="","",DONNEES!Y803)</f>
        <v/>
      </c>
      <c r="Y803" t="str">
        <f>IF(DONNEES!$E803="","",DONNEES!Z803)</f>
        <v/>
      </c>
      <c r="Z803" t="str">
        <f>IF(DONNEES!$E803="","",DONNEES!AQ803)</f>
        <v/>
      </c>
    </row>
    <row r="804" spans="1:26" ht="15" customHeight="1" x14ac:dyDescent="0.3">
      <c r="A804" t="str">
        <f>IF(DONNEES!$E804="","",DONNEES!A804)</f>
        <v/>
      </c>
      <c r="B804" t="str">
        <f>IF(DONNEES!$E804="","",DONNEES!B804)</f>
        <v/>
      </c>
      <c r="C804" t="str">
        <f>IF(DONNEES!$E804="","",DONNEES!C804)</f>
        <v/>
      </c>
      <c r="D804" t="str">
        <f>IF(DONNEES!$E804="","",DONNEES!E804)</f>
        <v/>
      </c>
      <c r="E804" t="str">
        <f>IF(DONNEES!$E804="","",DONNEES!F804)</f>
        <v/>
      </c>
      <c r="F804" t="str">
        <f>IF(DONNEES!$E804="","",DONNEES!G804)</f>
        <v/>
      </c>
      <c r="G804" t="str">
        <f>IF(DONNEES!$E804="","",DONNEES!H804)</f>
        <v/>
      </c>
      <c r="H804" t="str">
        <f>IF(DONNEES!$E804="","",DONNEES!I804)</f>
        <v/>
      </c>
      <c r="I804" t="str">
        <f>IF(DONNEES!$E804="","",DONNEES!J804)</f>
        <v/>
      </c>
      <c r="J804" t="str">
        <f>IF(DONNEES!$E804="","",DONNEES!K804)</f>
        <v/>
      </c>
      <c r="K804" t="str">
        <f>IF(DONNEES!$E804="","",DONNEES!L804)</f>
        <v/>
      </c>
      <c r="L804" t="str">
        <f>IF(DONNEES!$E804="","",DONNEES!M804)</f>
        <v/>
      </c>
      <c r="M804" t="str">
        <f>IF(DONNEES!$E804="","",DONNEES!N804)</f>
        <v/>
      </c>
      <c r="N804" t="str">
        <f>IF(DONNEES!$E804="","",DONNEES!O804)</f>
        <v/>
      </c>
      <c r="O804" t="str">
        <f>IF(DONNEES!$E804="","",DONNEES!P804)</f>
        <v/>
      </c>
      <c r="P804" t="str">
        <f>IF(DONNEES!$E804="","",DONNEES!Q804)</f>
        <v/>
      </c>
      <c r="Q804" t="str">
        <f>IF(DONNEES!$E804="","",DONNEES!R804)</f>
        <v/>
      </c>
      <c r="R804" t="str">
        <f>IF(DONNEES!$E804="","",DONNEES!S804)</f>
        <v/>
      </c>
      <c r="S804" t="str">
        <f>IF(DONNEES!$E804="","",DONNEES!T804)</f>
        <v/>
      </c>
      <c r="T804" t="str">
        <f>IF(DONNEES!$E804="","",DONNEES!U804)</f>
        <v/>
      </c>
      <c r="U804" t="str">
        <f>IF(DONNEES!$E804="","",DONNEES!V804)</f>
        <v/>
      </c>
      <c r="V804" t="str">
        <f>IF(DONNEES!$E804="","",DONNEES!W804)</f>
        <v/>
      </c>
      <c r="W804" t="str">
        <f>IF(DONNEES!$E804="","",DONNEES!X804)</f>
        <v/>
      </c>
      <c r="X804" t="str">
        <f>IF(DONNEES!$E804="","",DONNEES!Y804)</f>
        <v/>
      </c>
      <c r="Y804" t="str">
        <f>IF(DONNEES!$E804="","",DONNEES!Z804)</f>
        <v/>
      </c>
      <c r="Z804" t="str">
        <f>IF(DONNEES!$E804="","",DONNEES!AQ804)</f>
        <v/>
      </c>
    </row>
    <row r="805" spans="1:26" ht="15" customHeight="1" x14ac:dyDescent="0.3">
      <c r="A805" t="str">
        <f>IF(DONNEES!$E805="","",DONNEES!A805)</f>
        <v/>
      </c>
      <c r="B805" t="str">
        <f>IF(DONNEES!$E805="","",DONNEES!B805)</f>
        <v/>
      </c>
      <c r="C805" t="str">
        <f>IF(DONNEES!$E805="","",DONNEES!C805)</f>
        <v/>
      </c>
      <c r="D805" t="str">
        <f>IF(DONNEES!$E805="","",DONNEES!E805)</f>
        <v/>
      </c>
      <c r="E805" t="str">
        <f>IF(DONNEES!$E805="","",DONNEES!F805)</f>
        <v/>
      </c>
      <c r="F805" t="str">
        <f>IF(DONNEES!$E805="","",DONNEES!G805)</f>
        <v/>
      </c>
      <c r="G805" t="str">
        <f>IF(DONNEES!$E805="","",DONNEES!H805)</f>
        <v/>
      </c>
      <c r="H805" t="str">
        <f>IF(DONNEES!$E805="","",DONNEES!I805)</f>
        <v/>
      </c>
      <c r="I805" t="str">
        <f>IF(DONNEES!$E805="","",DONNEES!J805)</f>
        <v/>
      </c>
      <c r="J805" t="str">
        <f>IF(DONNEES!$E805="","",DONNEES!K805)</f>
        <v/>
      </c>
      <c r="K805" t="str">
        <f>IF(DONNEES!$E805="","",DONNEES!L805)</f>
        <v/>
      </c>
      <c r="L805" t="str">
        <f>IF(DONNEES!$E805="","",DONNEES!M805)</f>
        <v/>
      </c>
      <c r="M805" t="str">
        <f>IF(DONNEES!$E805="","",DONNEES!N805)</f>
        <v/>
      </c>
      <c r="N805" t="str">
        <f>IF(DONNEES!$E805="","",DONNEES!O805)</f>
        <v/>
      </c>
      <c r="O805" t="str">
        <f>IF(DONNEES!$E805="","",DONNEES!P805)</f>
        <v/>
      </c>
      <c r="P805" t="str">
        <f>IF(DONNEES!$E805="","",DONNEES!Q805)</f>
        <v/>
      </c>
      <c r="Q805" t="str">
        <f>IF(DONNEES!$E805="","",DONNEES!R805)</f>
        <v/>
      </c>
      <c r="R805" t="str">
        <f>IF(DONNEES!$E805="","",DONNEES!S805)</f>
        <v/>
      </c>
      <c r="S805" t="str">
        <f>IF(DONNEES!$E805="","",DONNEES!T805)</f>
        <v/>
      </c>
      <c r="T805" t="str">
        <f>IF(DONNEES!$E805="","",DONNEES!U805)</f>
        <v/>
      </c>
      <c r="U805" t="str">
        <f>IF(DONNEES!$E805="","",DONNEES!V805)</f>
        <v/>
      </c>
      <c r="V805" t="str">
        <f>IF(DONNEES!$E805="","",DONNEES!W805)</f>
        <v/>
      </c>
      <c r="W805" t="str">
        <f>IF(DONNEES!$E805="","",DONNEES!X805)</f>
        <v/>
      </c>
      <c r="X805" t="str">
        <f>IF(DONNEES!$E805="","",DONNEES!Y805)</f>
        <v/>
      </c>
      <c r="Y805" t="str">
        <f>IF(DONNEES!$E805="","",DONNEES!Z805)</f>
        <v/>
      </c>
      <c r="Z805" t="str">
        <f>IF(DONNEES!$E805="","",DONNEES!AQ805)</f>
        <v/>
      </c>
    </row>
    <row r="806" spans="1:26" ht="15" customHeight="1" x14ac:dyDescent="0.3">
      <c r="A806" t="str">
        <f>IF(DONNEES!$E806="","",DONNEES!A806)</f>
        <v/>
      </c>
      <c r="B806" t="str">
        <f>IF(DONNEES!$E806="","",DONNEES!B806)</f>
        <v/>
      </c>
      <c r="C806" t="str">
        <f>IF(DONNEES!$E806="","",DONNEES!C806)</f>
        <v/>
      </c>
      <c r="D806" t="str">
        <f>IF(DONNEES!$E806="","",DONNEES!E806)</f>
        <v/>
      </c>
      <c r="E806" t="str">
        <f>IF(DONNEES!$E806="","",DONNEES!F806)</f>
        <v/>
      </c>
      <c r="F806" t="str">
        <f>IF(DONNEES!$E806="","",DONNEES!G806)</f>
        <v/>
      </c>
      <c r="G806" t="str">
        <f>IF(DONNEES!$E806="","",DONNEES!H806)</f>
        <v/>
      </c>
      <c r="H806" t="str">
        <f>IF(DONNEES!$E806="","",DONNEES!I806)</f>
        <v/>
      </c>
      <c r="I806" t="str">
        <f>IF(DONNEES!$E806="","",DONNEES!J806)</f>
        <v/>
      </c>
      <c r="J806" t="str">
        <f>IF(DONNEES!$E806="","",DONNEES!K806)</f>
        <v/>
      </c>
      <c r="K806" t="str">
        <f>IF(DONNEES!$E806="","",DONNEES!L806)</f>
        <v/>
      </c>
      <c r="L806" t="str">
        <f>IF(DONNEES!$E806="","",DONNEES!M806)</f>
        <v/>
      </c>
      <c r="M806" t="str">
        <f>IF(DONNEES!$E806="","",DONNEES!N806)</f>
        <v/>
      </c>
      <c r="N806" t="str">
        <f>IF(DONNEES!$E806="","",DONNEES!O806)</f>
        <v/>
      </c>
      <c r="O806" t="str">
        <f>IF(DONNEES!$E806="","",DONNEES!P806)</f>
        <v/>
      </c>
      <c r="P806" t="str">
        <f>IF(DONNEES!$E806="","",DONNEES!Q806)</f>
        <v/>
      </c>
      <c r="Q806" t="str">
        <f>IF(DONNEES!$E806="","",DONNEES!R806)</f>
        <v/>
      </c>
      <c r="R806" t="str">
        <f>IF(DONNEES!$E806="","",DONNEES!S806)</f>
        <v/>
      </c>
      <c r="S806" t="str">
        <f>IF(DONNEES!$E806="","",DONNEES!T806)</f>
        <v/>
      </c>
      <c r="T806" t="str">
        <f>IF(DONNEES!$E806="","",DONNEES!U806)</f>
        <v/>
      </c>
      <c r="U806" t="str">
        <f>IF(DONNEES!$E806="","",DONNEES!V806)</f>
        <v/>
      </c>
      <c r="V806" t="str">
        <f>IF(DONNEES!$E806="","",DONNEES!W806)</f>
        <v/>
      </c>
      <c r="W806" t="str">
        <f>IF(DONNEES!$E806="","",DONNEES!X806)</f>
        <v/>
      </c>
      <c r="X806" t="str">
        <f>IF(DONNEES!$E806="","",DONNEES!Y806)</f>
        <v/>
      </c>
      <c r="Y806" t="str">
        <f>IF(DONNEES!$E806="","",DONNEES!Z806)</f>
        <v/>
      </c>
      <c r="Z806" t="str">
        <f>IF(DONNEES!$E806="","",DONNEES!AQ806)</f>
        <v/>
      </c>
    </row>
    <row r="807" spans="1:26" ht="15" customHeight="1" x14ac:dyDescent="0.3">
      <c r="A807" t="str">
        <f>IF(DONNEES!$E807="","",DONNEES!A807)</f>
        <v/>
      </c>
      <c r="B807" t="str">
        <f>IF(DONNEES!$E807="","",DONNEES!B807)</f>
        <v/>
      </c>
      <c r="C807" t="str">
        <f>IF(DONNEES!$E807="","",DONNEES!C807)</f>
        <v/>
      </c>
      <c r="D807" t="str">
        <f>IF(DONNEES!$E807="","",DONNEES!E807)</f>
        <v/>
      </c>
      <c r="E807" t="str">
        <f>IF(DONNEES!$E807="","",DONNEES!F807)</f>
        <v/>
      </c>
      <c r="F807" t="str">
        <f>IF(DONNEES!$E807="","",DONNEES!G807)</f>
        <v/>
      </c>
      <c r="G807" t="str">
        <f>IF(DONNEES!$E807="","",DONNEES!H807)</f>
        <v/>
      </c>
      <c r="H807" t="str">
        <f>IF(DONNEES!$E807="","",DONNEES!I807)</f>
        <v/>
      </c>
      <c r="I807" t="str">
        <f>IF(DONNEES!$E807="","",DONNEES!J807)</f>
        <v/>
      </c>
      <c r="J807" t="str">
        <f>IF(DONNEES!$E807="","",DONNEES!K807)</f>
        <v/>
      </c>
      <c r="K807" t="str">
        <f>IF(DONNEES!$E807="","",DONNEES!L807)</f>
        <v/>
      </c>
      <c r="L807" t="str">
        <f>IF(DONNEES!$E807="","",DONNEES!M807)</f>
        <v/>
      </c>
      <c r="M807" t="str">
        <f>IF(DONNEES!$E807="","",DONNEES!N807)</f>
        <v/>
      </c>
      <c r="N807" t="str">
        <f>IF(DONNEES!$E807="","",DONNEES!O807)</f>
        <v/>
      </c>
      <c r="O807" t="str">
        <f>IF(DONNEES!$E807="","",DONNEES!P807)</f>
        <v/>
      </c>
      <c r="P807" t="str">
        <f>IF(DONNEES!$E807="","",DONNEES!Q807)</f>
        <v/>
      </c>
      <c r="Q807" t="str">
        <f>IF(DONNEES!$E807="","",DONNEES!R807)</f>
        <v/>
      </c>
      <c r="R807" t="str">
        <f>IF(DONNEES!$E807="","",DONNEES!S807)</f>
        <v/>
      </c>
      <c r="S807" t="str">
        <f>IF(DONNEES!$E807="","",DONNEES!T807)</f>
        <v/>
      </c>
      <c r="T807" t="str">
        <f>IF(DONNEES!$E807="","",DONNEES!U807)</f>
        <v/>
      </c>
      <c r="U807" t="str">
        <f>IF(DONNEES!$E807="","",DONNEES!V807)</f>
        <v/>
      </c>
      <c r="V807" t="str">
        <f>IF(DONNEES!$E807="","",DONNEES!W807)</f>
        <v/>
      </c>
      <c r="W807" t="str">
        <f>IF(DONNEES!$E807="","",DONNEES!X807)</f>
        <v/>
      </c>
      <c r="X807" t="str">
        <f>IF(DONNEES!$E807="","",DONNEES!Y807)</f>
        <v/>
      </c>
      <c r="Y807" t="str">
        <f>IF(DONNEES!$E807="","",DONNEES!Z807)</f>
        <v/>
      </c>
      <c r="Z807" t="str">
        <f>IF(DONNEES!$E807="","",DONNEES!AQ807)</f>
        <v/>
      </c>
    </row>
    <row r="808" spans="1:26" ht="15" customHeight="1" x14ac:dyDescent="0.3">
      <c r="A808" t="str">
        <f>IF(DONNEES!$E808="","",DONNEES!A808)</f>
        <v/>
      </c>
      <c r="B808" t="str">
        <f>IF(DONNEES!$E808="","",DONNEES!B808)</f>
        <v/>
      </c>
      <c r="C808" t="str">
        <f>IF(DONNEES!$E808="","",DONNEES!C808)</f>
        <v/>
      </c>
      <c r="D808" t="str">
        <f>IF(DONNEES!$E808="","",DONNEES!E808)</f>
        <v/>
      </c>
      <c r="E808" t="str">
        <f>IF(DONNEES!$E808="","",DONNEES!F808)</f>
        <v/>
      </c>
      <c r="F808" t="str">
        <f>IF(DONNEES!$E808="","",DONNEES!G808)</f>
        <v/>
      </c>
      <c r="G808" t="str">
        <f>IF(DONNEES!$E808="","",DONNEES!H808)</f>
        <v/>
      </c>
      <c r="H808" t="str">
        <f>IF(DONNEES!$E808="","",DONNEES!I808)</f>
        <v/>
      </c>
      <c r="I808" t="str">
        <f>IF(DONNEES!$E808="","",DONNEES!J808)</f>
        <v/>
      </c>
      <c r="J808" t="str">
        <f>IF(DONNEES!$E808="","",DONNEES!K808)</f>
        <v/>
      </c>
      <c r="K808" t="str">
        <f>IF(DONNEES!$E808="","",DONNEES!L808)</f>
        <v/>
      </c>
      <c r="L808" t="str">
        <f>IF(DONNEES!$E808="","",DONNEES!M808)</f>
        <v/>
      </c>
      <c r="M808" t="str">
        <f>IF(DONNEES!$E808="","",DONNEES!N808)</f>
        <v/>
      </c>
      <c r="N808" t="str">
        <f>IF(DONNEES!$E808="","",DONNEES!O808)</f>
        <v/>
      </c>
      <c r="O808" t="str">
        <f>IF(DONNEES!$E808="","",DONNEES!P808)</f>
        <v/>
      </c>
      <c r="P808" t="str">
        <f>IF(DONNEES!$E808="","",DONNEES!Q808)</f>
        <v/>
      </c>
      <c r="Q808" t="str">
        <f>IF(DONNEES!$E808="","",DONNEES!R808)</f>
        <v/>
      </c>
      <c r="R808" t="str">
        <f>IF(DONNEES!$E808="","",DONNEES!S808)</f>
        <v/>
      </c>
      <c r="S808" t="str">
        <f>IF(DONNEES!$E808="","",DONNEES!T808)</f>
        <v/>
      </c>
      <c r="T808" t="str">
        <f>IF(DONNEES!$E808="","",DONNEES!U808)</f>
        <v/>
      </c>
      <c r="U808" t="str">
        <f>IF(DONNEES!$E808="","",DONNEES!V808)</f>
        <v/>
      </c>
      <c r="V808" t="str">
        <f>IF(DONNEES!$E808="","",DONNEES!W808)</f>
        <v/>
      </c>
      <c r="W808" t="str">
        <f>IF(DONNEES!$E808="","",DONNEES!X808)</f>
        <v/>
      </c>
      <c r="X808" t="str">
        <f>IF(DONNEES!$E808="","",DONNEES!Y808)</f>
        <v/>
      </c>
      <c r="Y808" t="str">
        <f>IF(DONNEES!$E808="","",DONNEES!Z808)</f>
        <v/>
      </c>
      <c r="Z808" t="str">
        <f>IF(DONNEES!$E808="","",DONNEES!AQ808)</f>
        <v/>
      </c>
    </row>
    <row r="809" spans="1:26" ht="15" customHeight="1" x14ac:dyDescent="0.3">
      <c r="A809" t="str">
        <f>IF(DONNEES!$E809="","",DONNEES!A809)</f>
        <v/>
      </c>
      <c r="B809" t="str">
        <f>IF(DONNEES!$E809="","",DONNEES!B809)</f>
        <v/>
      </c>
      <c r="C809" t="str">
        <f>IF(DONNEES!$E809="","",DONNEES!C809)</f>
        <v/>
      </c>
      <c r="D809" t="str">
        <f>IF(DONNEES!$E809="","",DONNEES!E809)</f>
        <v/>
      </c>
      <c r="E809" t="str">
        <f>IF(DONNEES!$E809="","",DONNEES!F809)</f>
        <v/>
      </c>
      <c r="F809" t="str">
        <f>IF(DONNEES!$E809="","",DONNEES!G809)</f>
        <v/>
      </c>
      <c r="G809" t="str">
        <f>IF(DONNEES!$E809="","",DONNEES!H809)</f>
        <v/>
      </c>
      <c r="H809" t="str">
        <f>IF(DONNEES!$E809="","",DONNEES!I809)</f>
        <v/>
      </c>
      <c r="I809" t="str">
        <f>IF(DONNEES!$E809="","",DONNEES!J809)</f>
        <v/>
      </c>
      <c r="J809" t="str">
        <f>IF(DONNEES!$E809="","",DONNEES!K809)</f>
        <v/>
      </c>
      <c r="K809" t="str">
        <f>IF(DONNEES!$E809="","",DONNEES!L809)</f>
        <v/>
      </c>
      <c r="L809" t="str">
        <f>IF(DONNEES!$E809="","",DONNEES!M809)</f>
        <v/>
      </c>
      <c r="M809" t="str">
        <f>IF(DONNEES!$E809="","",DONNEES!N809)</f>
        <v/>
      </c>
      <c r="N809" t="str">
        <f>IF(DONNEES!$E809="","",DONNEES!O809)</f>
        <v/>
      </c>
      <c r="O809" t="str">
        <f>IF(DONNEES!$E809="","",DONNEES!P809)</f>
        <v/>
      </c>
      <c r="P809" t="str">
        <f>IF(DONNEES!$E809="","",DONNEES!Q809)</f>
        <v/>
      </c>
      <c r="Q809" t="str">
        <f>IF(DONNEES!$E809="","",DONNEES!R809)</f>
        <v/>
      </c>
      <c r="R809" t="str">
        <f>IF(DONNEES!$E809="","",DONNEES!S809)</f>
        <v/>
      </c>
      <c r="S809" t="str">
        <f>IF(DONNEES!$E809="","",DONNEES!T809)</f>
        <v/>
      </c>
      <c r="T809" t="str">
        <f>IF(DONNEES!$E809="","",DONNEES!U809)</f>
        <v/>
      </c>
      <c r="U809" t="str">
        <f>IF(DONNEES!$E809="","",DONNEES!V809)</f>
        <v/>
      </c>
      <c r="V809" t="str">
        <f>IF(DONNEES!$E809="","",DONNEES!W809)</f>
        <v/>
      </c>
      <c r="W809" t="str">
        <f>IF(DONNEES!$E809="","",DONNEES!X809)</f>
        <v/>
      </c>
      <c r="X809" t="str">
        <f>IF(DONNEES!$E809="","",DONNEES!Y809)</f>
        <v/>
      </c>
      <c r="Y809" t="str">
        <f>IF(DONNEES!$E809="","",DONNEES!Z809)</f>
        <v/>
      </c>
      <c r="Z809" t="str">
        <f>IF(DONNEES!$E809="","",DONNEES!AQ809)</f>
        <v/>
      </c>
    </row>
    <row r="810" spans="1:26" ht="15" customHeight="1" x14ac:dyDescent="0.3">
      <c r="A810" t="str">
        <f>IF(DONNEES!$E810="","",DONNEES!A810)</f>
        <v/>
      </c>
      <c r="B810" t="str">
        <f>IF(DONNEES!$E810="","",DONNEES!B810)</f>
        <v/>
      </c>
      <c r="C810" t="str">
        <f>IF(DONNEES!$E810="","",DONNEES!C810)</f>
        <v/>
      </c>
      <c r="D810" t="str">
        <f>IF(DONNEES!$E810="","",DONNEES!E810)</f>
        <v/>
      </c>
      <c r="E810" t="str">
        <f>IF(DONNEES!$E810="","",DONNEES!F810)</f>
        <v/>
      </c>
      <c r="F810" t="str">
        <f>IF(DONNEES!$E810="","",DONNEES!G810)</f>
        <v/>
      </c>
      <c r="G810" t="str">
        <f>IF(DONNEES!$E810="","",DONNEES!H810)</f>
        <v/>
      </c>
      <c r="H810" t="str">
        <f>IF(DONNEES!$E810="","",DONNEES!I810)</f>
        <v/>
      </c>
      <c r="I810" t="str">
        <f>IF(DONNEES!$E810="","",DONNEES!J810)</f>
        <v/>
      </c>
      <c r="J810" t="str">
        <f>IF(DONNEES!$E810="","",DONNEES!K810)</f>
        <v/>
      </c>
      <c r="K810" t="str">
        <f>IF(DONNEES!$E810="","",DONNEES!L810)</f>
        <v/>
      </c>
      <c r="L810" t="str">
        <f>IF(DONNEES!$E810="","",DONNEES!M810)</f>
        <v/>
      </c>
      <c r="M810" t="str">
        <f>IF(DONNEES!$E810="","",DONNEES!N810)</f>
        <v/>
      </c>
      <c r="N810" t="str">
        <f>IF(DONNEES!$E810="","",DONNEES!O810)</f>
        <v/>
      </c>
      <c r="O810" t="str">
        <f>IF(DONNEES!$E810="","",DONNEES!P810)</f>
        <v/>
      </c>
      <c r="P810" t="str">
        <f>IF(DONNEES!$E810="","",DONNEES!Q810)</f>
        <v/>
      </c>
      <c r="Q810" t="str">
        <f>IF(DONNEES!$E810="","",DONNEES!R810)</f>
        <v/>
      </c>
      <c r="R810" t="str">
        <f>IF(DONNEES!$E810="","",DONNEES!S810)</f>
        <v/>
      </c>
      <c r="S810" t="str">
        <f>IF(DONNEES!$E810="","",DONNEES!T810)</f>
        <v/>
      </c>
      <c r="T810" t="str">
        <f>IF(DONNEES!$E810="","",DONNEES!U810)</f>
        <v/>
      </c>
      <c r="U810" t="str">
        <f>IF(DONNEES!$E810="","",DONNEES!V810)</f>
        <v/>
      </c>
      <c r="V810" t="str">
        <f>IF(DONNEES!$E810="","",DONNEES!W810)</f>
        <v/>
      </c>
      <c r="W810" t="str">
        <f>IF(DONNEES!$E810="","",DONNEES!X810)</f>
        <v/>
      </c>
      <c r="X810" t="str">
        <f>IF(DONNEES!$E810="","",DONNEES!Y810)</f>
        <v/>
      </c>
      <c r="Y810" t="str">
        <f>IF(DONNEES!$E810="","",DONNEES!Z810)</f>
        <v/>
      </c>
      <c r="Z810" t="str">
        <f>IF(DONNEES!$E810="","",DONNEES!AQ810)</f>
        <v/>
      </c>
    </row>
    <row r="811" spans="1:26" ht="15" customHeight="1" x14ac:dyDescent="0.3">
      <c r="A811" t="str">
        <f>IF(DONNEES!$E811="","",DONNEES!A811)</f>
        <v/>
      </c>
      <c r="B811" t="str">
        <f>IF(DONNEES!$E811="","",DONNEES!B811)</f>
        <v/>
      </c>
      <c r="C811" t="str">
        <f>IF(DONNEES!$E811="","",DONNEES!C811)</f>
        <v/>
      </c>
      <c r="D811" t="str">
        <f>IF(DONNEES!$E811="","",DONNEES!E811)</f>
        <v/>
      </c>
      <c r="E811" t="str">
        <f>IF(DONNEES!$E811="","",DONNEES!F811)</f>
        <v/>
      </c>
      <c r="F811" t="str">
        <f>IF(DONNEES!$E811="","",DONNEES!G811)</f>
        <v/>
      </c>
      <c r="G811" t="str">
        <f>IF(DONNEES!$E811="","",DONNEES!H811)</f>
        <v/>
      </c>
      <c r="H811" t="str">
        <f>IF(DONNEES!$E811="","",DONNEES!I811)</f>
        <v/>
      </c>
      <c r="I811" t="str">
        <f>IF(DONNEES!$E811="","",DONNEES!J811)</f>
        <v/>
      </c>
      <c r="J811" t="str">
        <f>IF(DONNEES!$E811="","",DONNEES!K811)</f>
        <v/>
      </c>
      <c r="K811" t="str">
        <f>IF(DONNEES!$E811="","",DONNEES!L811)</f>
        <v/>
      </c>
      <c r="L811" t="str">
        <f>IF(DONNEES!$E811="","",DONNEES!M811)</f>
        <v/>
      </c>
      <c r="M811" t="str">
        <f>IF(DONNEES!$E811="","",DONNEES!N811)</f>
        <v/>
      </c>
      <c r="N811" t="str">
        <f>IF(DONNEES!$E811="","",DONNEES!O811)</f>
        <v/>
      </c>
      <c r="O811" t="str">
        <f>IF(DONNEES!$E811="","",DONNEES!P811)</f>
        <v/>
      </c>
      <c r="P811" t="str">
        <f>IF(DONNEES!$E811="","",DONNEES!Q811)</f>
        <v/>
      </c>
      <c r="Q811" t="str">
        <f>IF(DONNEES!$E811="","",DONNEES!R811)</f>
        <v/>
      </c>
      <c r="R811" t="str">
        <f>IF(DONNEES!$E811="","",DONNEES!S811)</f>
        <v/>
      </c>
      <c r="S811" t="str">
        <f>IF(DONNEES!$E811="","",DONNEES!T811)</f>
        <v/>
      </c>
      <c r="T811" t="str">
        <f>IF(DONNEES!$E811="","",DONNEES!U811)</f>
        <v/>
      </c>
      <c r="U811" t="str">
        <f>IF(DONNEES!$E811="","",DONNEES!V811)</f>
        <v/>
      </c>
      <c r="V811" t="str">
        <f>IF(DONNEES!$E811="","",DONNEES!W811)</f>
        <v/>
      </c>
      <c r="W811" t="str">
        <f>IF(DONNEES!$E811="","",DONNEES!X811)</f>
        <v/>
      </c>
      <c r="X811" t="str">
        <f>IF(DONNEES!$E811="","",DONNEES!Y811)</f>
        <v/>
      </c>
      <c r="Y811" t="str">
        <f>IF(DONNEES!$E811="","",DONNEES!Z811)</f>
        <v/>
      </c>
      <c r="Z811" t="str">
        <f>IF(DONNEES!$E811="","",DONNEES!AQ811)</f>
        <v/>
      </c>
    </row>
    <row r="812" spans="1:26" ht="15" customHeight="1" x14ac:dyDescent="0.3">
      <c r="A812" t="str">
        <f>IF(DONNEES!$E812="","",DONNEES!A812)</f>
        <v/>
      </c>
      <c r="B812" t="str">
        <f>IF(DONNEES!$E812="","",DONNEES!B812)</f>
        <v/>
      </c>
      <c r="C812" t="str">
        <f>IF(DONNEES!$E812="","",DONNEES!C812)</f>
        <v/>
      </c>
      <c r="D812" t="str">
        <f>IF(DONNEES!$E812="","",DONNEES!E812)</f>
        <v/>
      </c>
      <c r="E812" t="str">
        <f>IF(DONNEES!$E812="","",DONNEES!F812)</f>
        <v/>
      </c>
      <c r="F812" t="str">
        <f>IF(DONNEES!$E812="","",DONNEES!G812)</f>
        <v/>
      </c>
      <c r="G812" t="str">
        <f>IF(DONNEES!$E812="","",DONNEES!H812)</f>
        <v/>
      </c>
      <c r="H812" t="str">
        <f>IF(DONNEES!$E812="","",DONNEES!I812)</f>
        <v/>
      </c>
      <c r="I812" t="str">
        <f>IF(DONNEES!$E812="","",DONNEES!J812)</f>
        <v/>
      </c>
      <c r="J812" t="str">
        <f>IF(DONNEES!$E812="","",DONNEES!K812)</f>
        <v/>
      </c>
      <c r="K812" t="str">
        <f>IF(DONNEES!$E812="","",DONNEES!L812)</f>
        <v/>
      </c>
      <c r="L812" t="str">
        <f>IF(DONNEES!$E812="","",DONNEES!M812)</f>
        <v/>
      </c>
      <c r="M812" t="str">
        <f>IF(DONNEES!$E812="","",DONNEES!N812)</f>
        <v/>
      </c>
      <c r="N812" t="str">
        <f>IF(DONNEES!$E812="","",DONNEES!O812)</f>
        <v/>
      </c>
      <c r="O812" t="str">
        <f>IF(DONNEES!$E812="","",DONNEES!P812)</f>
        <v/>
      </c>
      <c r="P812" t="str">
        <f>IF(DONNEES!$E812="","",DONNEES!Q812)</f>
        <v/>
      </c>
      <c r="Q812" t="str">
        <f>IF(DONNEES!$E812="","",DONNEES!R812)</f>
        <v/>
      </c>
      <c r="R812" t="str">
        <f>IF(DONNEES!$E812="","",DONNEES!S812)</f>
        <v/>
      </c>
      <c r="S812" t="str">
        <f>IF(DONNEES!$E812="","",DONNEES!T812)</f>
        <v/>
      </c>
      <c r="T812" t="str">
        <f>IF(DONNEES!$E812="","",DONNEES!U812)</f>
        <v/>
      </c>
      <c r="U812" t="str">
        <f>IF(DONNEES!$E812="","",DONNEES!V812)</f>
        <v/>
      </c>
      <c r="V812" t="str">
        <f>IF(DONNEES!$E812="","",DONNEES!W812)</f>
        <v/>
      </c>
      <c r="W812" t="str">
        <f>IF(DONNEES!$E812="","",DONNEES!X812)</f>
        <v/>
      </c>
      <c r="X812" t="str">
        <f>IF(DONNEES!$E812="","",DONNEES!Y812)</f>
        <v/>
      </c>
      <c r="Y812" t="str">
        <f>IF(DONNEES!$E812="","",DONNEES!Z812)</f>
        <v/>
      </c>
      <c r="Z812" t="str">
        <f>IF(DONNEES!$E812="","",DONNEES!AQ812)</f>
        <v/>
      </c>
    </row>
    <row r="813" spans="1:26" ht="15" customHeight="1" x14ac:dyDescent="0.3">
      <c r="A813" t="str">
        <f>IF(DONNEES!$E813="","",DONNEES!A813)</f>
        <v/>
      </c>
      <c r="B813" t="str">
        <f>IF(DONNEES!$E813="","",DONNEES!B813)</f>
        <v/>
      </c>
      <c r="C813" t="str">
        <f>IF(DONNEES!$E813="","",DONNEES!C813)</f>
        <v/>
      </c>
      <c r="D813" t="str">
        <f>IF(DONNEES!$E813="","",DONNEES!E813)</f>
        <v/>
      </c>
      <c r="E813" t="str">
        <f>IF(DONNEES!$E813="","",DONNEES!F813)</f>
        <v/>
      </c>
      <c r="F813" t="str">
        <f>IF(DONNEES!$E813="","",DONNEES!G813)</f>
        <v/>
      </c>
      <c r="G813" t="str">
        <f>IF(DONNEES!$E813="","",DONNEES!H813)</f>
        <v/>
      </c>
      <c r="H813" t="str">
        <f>IF(DONNEES!$E813="","",DONNEES!I813)</f>
        <v/>
      </c>
      <c r="I813" t="str">
        <f>IF(DONNEES!$E813="","",DONNEES!J813)</f>
        <v/>
      </c>
      <c r="J813" t="str">
        <f>IF(DONNEES!$E813="","",DONNEES!K813)</f>
        <v/>
      </c>
      <c r="K813" t="str">
        <f>IF(DONNEES!$E813="","",DONNEES!L813)</f>
        <v/>
      </c>
      <c r="L813" t="str">
        <f>IF(DONNEES!$E813="","",DONNEES!M813)</f>
        <v/>
      </c>
      <c r="M813" t="str">
        <f>IF(DONNEES!$E813="","",DONNEES!N813)</f>
        <v/>
      </c>
      <c r="N813" t="str">
        <f>IF(DONNEES!$E813="","",DONNEES!O813)</f>
        <v/>
      </c>
      <c r="O813" t="str">
        <f>IF(DONNEES!$E813="","",DONNEES!P813)</f>
        <v/>
      </c>
      <c r="P813" t="str">
        <f>IF(DONNEES!$E813="","",DONNEES!Q813)</f>
        <v/>
      </c>
      <c r="Q813" t="str">
        <f>IF(DONNEES!$E813="","",DONNEES!R813)</f>
        <v/>
      </c>
      <c r="R813" t="str">
        <f>IF(DONNEES!$E813="","",DONNEES!S813)</f>
        <v/>
      </c>
      <c r="S813" t="str">
        <f>IF(DONNEES!$E813="","",DONNEES!T813)</f>
        <v/>
      </c>
      <c r="T813" t="str">
        <f>IF(DONNEES!$E813="","",DONNEES!U813)</f>
        <v/>
      </c>
      <c r="U813" t="str">
        <f>IF(DONNEES!$E813="","",DONNEES!V813)</f>
        <v/>
      </c>
      <c r="V813" t="str">
        <f>IF(DONNEES!$E813="","",DONNEES!W813)</f>
        <v/>
      </c>
      <c r="W813" t="str">
        <f>IF(DONNEES!$E813="","",DONNEES!X813)</f>
        <v/>
      </c>
      <c r="X813" t="str">
        <f>IF(DONNEES!$E813="","",DONNEES!Y813)</f>
        <v/>
      </c>
      <c r="Y813" t="str">
        <f>IF(DONNEES!$E813="","",DONNEES!Z813)</f>
        <v/>
      </c>
      <c r="Z813" t="str">
        <f>IF(DONNEES!$E813="","",DONNEES!AQ813)</f>
        <v/>
      </c>
    </row>
    <row r="814" spans="1:26" ht="15" customHeight="1" x14ac:dyDescent="0.3">
      <c r="A814" t="str">
        <f>IF(DONNEES!$E814="","",DONNEES!A814)</f>
        <v/>
      </c>
      <c r="B814" t="str">
        <f>IF(DONNEES!$E814="","",DONNEES!B814)</f>
        <v/>
      </c>
      <c r="C814" t="str">
        <f>IF(DONNEES!$E814="","",DONNEES!C814)</f>
        <v/>
      </c>
      <c r="D814" t="str">
        <f>IF(DONNEES!$E814="","",DONNEES!E814)</f>
        <v/>
      </c>
      <c r="E814" t="str">
        <f>IF(DONNEES!$E814="","",DONNEES!F814)</f>
        <v/>
      </c>
      <c r="F814" t="str">
        <f>IF(DONNEES!$E814="","",DONNEES!G814)</f>
        <v/>
      </c>
      <c r="G814" t="str">
        <f>IF(DONNEES!$E814="","",DONNEES!H814)</f>
        <v/>
      </c>
      <c r="H814" t="str">
        <f>IF(DONNEES!$E814="","",DONNEES!I814)</f>
        <v/>
      </c>
      <c r="I814" t="str">
        <f>IF(DONNEES!$E814="","",DONNEES!J814)</f>
        <v/>
      </c>
      <c r="J814" t="str">
        <f>IF(DONNEES!$E814="","",DONNEES!K814)</f>
        <v/>
      </c>
      <c r="K814" t="str">
        <f>IF(DONNEES!$E814="","",DONNEES!L814)</f>
        <v/>
      </c>
      <c r="L814" t="str">
        <f>IF(DONNEES!$E814="","",DONNEES!M814)</f>
        <v/>
      </c>
      <c r="M814" t="str">
        <f>IF(DONNEES!$E814="","",DONNEES!N814)</f>
        <v/>
      </c>
      <c r="N814" t="str">
        <f>IF(DONNEES!$E814="","",DONNEES!O814)</f>
        <v/>
      </c>
      <c r="O814" t="str">
        <f>IF(DONNEES!$E814="","",DONNEES!P814)</f>
        <v/>
      </c>
      <c r="P814" t="str">
        <f>IF(DONNEES!$E814="","",DONNEES!Q814)</f>
        <v/>
      </c>
      <c r="Q814" t="str">
        <f>IF(DONNEES!$E814="","",DONNEES!R814)</f>
        <v/>
      </c>
      <c r="R814" t="str">
        <f>IF(DONNEES!$E814="","",DONNEES!S814)</f>
        <v/>
      </c>
      <c r="S814" t="str">
        <f>IF(DONNEES!$E814="","",DONNEES!T814)</f>
        <v/>
      </c>
      <c r="T814" t="str">
        <f>IF(DONNEES!$E814="","",DONNEES!U814)</f>
        <v/>
      </c>
      <c r="U814" t="str">
        <f>IF(DONNEES!$E814="","",DONNEES!V814)</f>
        <v/>
      </c>
      <c r="V814" t="str">
        <f>IF(DONNEES!$E814="","",DONNEES!W814)</f>
        <v/>
      </c>
      <c r="W814" t="str">
        <f>IF(DONNEES!$E814="","",DONNEES!X814)</f>
        <v/>
      </c>
      <c r="X814" t="str">
        <f>IF(DONNEES!$E814="","",DONNEES!Y814)</f>
        <v/>
      </c>
      <c r="Y814" t="str">
        <f>IF(DONNEES!$E814="","",DONNEES!Z814)</f>
        <v/>
      </c>
      <c r="Z814" t="str">
        <f>IF(DONNEES!$E814="","",DONNEES!AQ814)</f>
        <v/>
      </c>
    </row>
    <row r="815" spans="1:26" ht="15" customHeight="1" x14ac:dyDescent="0.3">
      <c r="A815" t="str">
        <f>IF(DONNEES!$E815="","",DONNEES!A815)</f>
        <v/>
      </c>
      <c r="B815" t="str">
        <f>IF(DONNEES!$E815="","",DONNEES!B815)</f>
        <v/>
      </c>
      <c r="C815" t="str">
        <f>IF(DONNEES!$E815="","",DONNEES!C815)</f>
        <v/>
      </c>
      <c r="D815" t="str">
        <f>IF(DONNEES!$E815="","",DONNEES!E815)</f>
        <v/>
      </c>
      <c r="E815" t="str">
        <f>IF(DONNEES!$E815="","",DONNEES!F815)</f>
        <v/>
      </c>
      <c r="F815" t="str">
        <f>IF(DONNEES!$E815="","",DONNEES!G815)</f>
        <v/>
      </c>
      <c r="G815" t="str">
        <f>IF(DONNEES!$E815="","",DONNEES!H815)</f>
        <v/>
      </c>
      <c r="H815" t="str">
        <f>IF(DONNEES!$E815="","",DONNEES!I815)</f>
        <v/>
      </c>
      <c r="I815" t="str">
        <f>IF(DONNEES!$E815="","",DONNEES!J815)</f>
        <v/>
      </c>
      <c r="J815" t="str">
        <f>IF(DONNEES!$E815="","",DONNEES!K815)</f>
        <v/>
      </c>
      <c r="K815" t="str">
        <f>IF(DONNEES!$E815="","",DONNEES!L815)</f>
        <v/>
      </c>
      <c r="L815" t="str">
        <f>IF(DONNEES!$E815="","",DONNEES!M815)</f>
        <v/>
      </c>
      <c r="M815" t="str">
        <f>IF(DONNEES!$E815="","",DONNEES!N815)</f>
        <v/>
      </c>
      <c r="N815" t="str">
        <f>IF(DONNEES!$E815="","",DONNEES!O815)</f>
        <v/>
      </c>
      <c r="O815" t="str">
        <f>IF(DONNEES!$E815="","",DONNEES!P815)</f>
        <v/>
      </c>
      <c r="P815" t="str">
        <f>IF(DONNEES!$E815="","",DONNEES!Q815)</f>
        <v/>
      </c>
      <c r="Q815" t="str">
        <f>IF(DONNEES!$E815="","",DONNEES!R815)</f>
        <v/>
      </c>
      <c r="R815" t="str">
        <f>IF(DONNEES!$E815="","",DONNEES!S815)</f>
        <v/>
      </c>
      <c r="S815" t="str">
        <f>IF(DONNEES!$E815="","",DONNEES!T815)</f>
        <v/>
      </c>
      <c r="T815" t="str">
        <f>IF(DONNEES!$E815="","",DONNEES!U815)</f>
        <v/>
      </c>
      <c r="U815" t="str">
        <f>IF(DONNEES!$E815="","",DONNEES!V815)</f>
        <v/>
      </c>
      <c r="V815" t="str">
        <f>IF(DONNEES!$E815="","",DONNEES!W815)</f>
        <v/>
      </c>
      <c r="W815" t="str">
        <f>IF(DONNEES!$E815="","",DONNEES!X815)</f>
        <v/>
      </c>
      <c r="X815" t="str">
        <f>IF(DONNEES!$E815="","",DONNEES!Y815)</f>
        <v/>
      </c>
      <c r="Y815" t="str">
        <f>IF(DONNEES!$E815="","",DONNEES!Z815)</f>
        <v/>
      </c>
      <c r="Z815" t="str">
        <f>IF(DONNEES!$E815="","",DONNEES!AQ815)</f>
        <v/>
      </c>
    </row>
    <row r="816" spans="1:26" ht="15" customHeight="1" x14ac:dyDescent="0.3">
      <c r="A816" t="str">
        <f>IF(DONNEES!$E816="","",DONNEES!A816)</f>
        <v/>
      </c>
      <c r="B816" t="str">
        <f>IF(DONNEES!$E816="","",DONNEES!B816)</f>
        <v/>
      </c>
      <c r="C816" t="str">
        <f>IF(DONNEES!$E816="","",DONNEES!C816)</f>
        <v/>
      </c>
      <c r="D816" t="str">
        <f>IF(DONNEES!$E816="","",DONNEES!E816)</f>
        <v/>
      </c>
      <c r="E816" t="str">
        <f>IF(DONNEES!$E816="","",DONNEES!F816)</f>
        <v/>
      </c>
      <c r="F816" t="str">
        <f>IF(DONNEES!$E816="","",DONNEES!G816)</f>
        <v/>
      </c>
      <c r="G816" t="str">
        <f>IF(DONNEES!$E816="","",DONNEES!H816)</f>
        <v/>
      </c>
      <c r="H816" t="str">
        <f>IF(DONNEES!$E816="","",DONNEES!I816)</f>
        <v/>
      </c>
      <c r="I816" t="str">
        <f>IF(DONNEES!$E816="","",DONNEES!J816)</f>
        <v/>
      </c>
      <c r="J816" t="str">
        <f>IF(DONNEES!$E816="","",DONNEES!K816)</f>
        <v/>
      </c>
      <c r="K816" t="str">
        <f>IF(DONNEES!$E816="","",DONNEES!L816)</f>
        <v/>
      </c>
      <c r="L816" t="str">
        <f>IF(DONNEES!$E816="","",DONNEES!M816)</f>
        <v/>
      </c>
      <c r="M816" t="str">
        <f>IF(DONNEES!$E816="","",DONNEES!N816)</f>
        <v/>
      </c>
      <c r="N816" t="str">
        <f>IF(DONNEES!$E816="","",DONNEES!O816)</f>
        <v/>
      </c>
      <c r="O816" t="str">
        <f>IF(DONNEES!$E816="","",DONNEES!P816)</f>
        <v/>
      </c>
      <c r="P816" t="str">
        <f>IF(DONNEES!$E816="","",DONNEES!Q816)</f>
        <v/>
      </c>
      <c r="Q816" t="str">
        <f>IF(DONNEES!$E816="","",DONNEES!R816)</f>
        <v/>
      </c>
      <c r="R816" t="str">
        <f>IF(DONNEES!$E816="","",DONNEES!S816)</f>
        <v/>
      </c>
      <c r="S816" t="str">
        <f>IF(DONNEES!$E816="","",DONNEES!T816)</f>
        <v/>
      </c>
      <c r="T816" t="str">
        <f>IF(DONNEES!$E816="","",DONNEES!U816)</f>
        <v/>
      </c>
      <c r="U816" t="str">
        <f>IF(DONNEES!$E816="","",DONNEES!V816)</f>
        <v/>
      </c>
      <c r="V816" t="str">
        <f>IF(DONNEES!$E816="","",DONNEES!W816)</f>
        <v/>
      </c>
      <c r="W816" t="str">
        <f>IF(DONNEES!$E816="","",DONNEES!X816)</f>
        <v/>
      </c>
      <c r="X816" t="str">
        <f>IF(DONNEES!$E816="","",DONNEES!Y816)</f>
        <v/>
      </c>
      <c r="Y816" t="str">
        <f>IF(DONNEES!$E816="","",DONNEES!Z816)</f>
        <v/>
      </c>
      <c r="Z816" t="str">
        <f>IF(DONNEES!$E816="","",DONNEES!AQ816)</f>
        <v/>
      </c>
    </row>
    <row r="817" spans="1:26" ht="15" customHeight="1" x14ac:dyDescent="0.3">
      <c r="A817" t="str">
        <f>IF(DONNEES!$E817="","",DONNEES!A817)</f>
        <v/>
      </c>
      <c r="B817" t="str">
        <f>IF(DONNEES!$E817="","",DONNEES!B817)</f>
        <v/>
      </c>
      <c r="C817" t="str">
        <f>IF(DONNEES!$E817="","",DONNEES!C817)</f>
        <v/>
      </c>
      <c r="D817" t="str">
        <f>IF(DONNEES!$E817="","",DONNEES!E817)</f>
        <v/>
      </c>
      <c r="E817" t="str">
        <f>IF(DONNEES!$E817="","",DONNEES!F817)</f>
        <v/>
      </c>
      <c r="F817" t="str">
        <f>IF(DONNEES!$E817="","",DONNEES!G817)</f>
        <v/>
      </c>
      <c r="G817" t="str">
        <f>IF(DONNEES!$E817="","",DONNEES!H817)</f>
        <v/>
      </c>
      <c r="H817" t="str">
        <f>IF(DONNEES!$E817="","",DONNEES!I817)</f>
        <v/>
      </c>
      <c r="I817" t="str">
        <f>IF(DONNEES!$E817="","",DONNEES!J817)</f>
        <v/>
      </c>
      <c r="J817" t="str">
        <f>IF(DONNEES!$E817="","",DONNEES!K817)</f>
        <v/>
      </c>
      <c r="K817" t="str">
        <f>IF(DONNEES!$E817="","",DONNEES!L817)</f>
        <v/>
      </c>
      <c r="L817" t="str">
        <f>IF(DONNEES!$E817="","",DONNEES!M817)</f>
        <v/>
      </c>
      <c r="M817" t="str">
        <f>IF(DONNEES!$E817="","",DONNEES!N817)</f>
        <v/>
      </c>
      <c r="N817" t="str">
        <f>IF(DONNEES!$E817="","",DONNEES!O817)</f>
        <v/>
      </c>
      <c r="O817" t="str">
        <f>IF(DONNEES!$E817="","",DONNEES!P817)</f>
        <v/>
      </c>
      <c r="P817" t="str">
        <f>IF(DONNEES!$E817="","",DONNEES!Q817)</f>
        <v/>
      </c>
      <c r="Q817" t="str">
        <f>IF(DONNEES!$E817="","",DONNEES!R817)</f>
        <v/>
      </c>
      <c r="R817" t="str">
        <f>IF(DONNEES!$E817="","",DONNEES!S817)</f>
        <v/>
      </c>
      <c r="S817" t="str">
        <f>IF(DONNEES!$E817="","",DONNEES!T817)</f>
        <v/>
      </c>
      <c r="T817" t="str">
        <f>IF(DONNEES!$E817="","",DONNEES!U817)</f>
        <v/>
      </c>
      <c r="U817" t="str">
        <f>IF(DONNEES!$E817="","",DONNEES!V817)</f>
        <v/>
      </c>
      <c r="V817" t="str">
        <f>IF(DONNEES!$E817="","",DONNEES!W817)</f>
        <v/>
      </c>
      <c r="W817" t="str">
        <f>IF(DONNEES!$E817="","",DONNEES!X817)</f>
        <v/>
      </c>
      <c r="X817" t="str">
        <f>IF(DONNEES!$E817="","",DONNEES!Y817)</f>
        <v/>
      </c>
      <c r="Y817" t="str">
        <f>IF(DONNEES!$E817="","",DONNEES!Z817)</f>
        <v/>
      </c>
      <c r="Z817" t="str">
        <f>IF(DONNEES!$E817="","",DONNEES!AQ817)</f>
        <v/>
      </c>
    </row>
    <row r="818" spans="1:26" ht="15" customHeight="1" x14ac:dyDescent="0.3">
      <c r="A818" t="str">
        <f>IF(DONNEES!$E818="","",DONNEES!A818)</f>
        <v/>
      </c>
      <c r="B818" t="str">
        <f>IF(DONNEES!$E818="","",DONNEES!B818)</f>
        <v/>
      </c>
      <c r="C818" t="str">
        <f>IF(DONNEES!$E818="","",DONNEES!C818)</f>
        <v/>
      </c>
      <c r="D818" t="str">
        <f>IF(DONNEES!$E818="","",DONNEES!E818)</f>
        <v/>
      </c>
      <c r="E818" t="str">
        <f>IF(DONNEES!$E818="","",DONNEES!F818)</f>
        <v/>
      </c>
      <c r="F818" t="str">
        <f>IF(DONNEES!$E818="","",DONNEES!G818)</f>
        <v/>
      </c>
      <c r="G818" t="str">
        <f>IF(DONNEES!$E818="","",DONNEES!H818)</f>
        <v/>
      </c>
      <c r="H818" t="str">
        <f>IF(DONNEES!$E818="","",DONNEES!I818)</f>
        <v/>
      </c>
      <c r="I818" t="str">
        <f>IF(DONNEES!$E818="","",DONNEES!J818)</f>
        <v/>
      </c>
      <c r="J818" t="str">
        <f>IF(DONNEES!$E818="","",DONNEES!K818)</f>
        <v/>
      </c>
      <c r="K818" t="str">
        <f>IF(DONNEES!$E818="","",DONNEES!L818)</f>
        <v/>
      </c>
      <c r="L818" t="str">
        <f>IF(DONNEES!$E818="","",DONNEES!M818)</f>
        <v/>
      </c>
      <c r="M818" t="str">
        <f>IF(DONNEES!$E818="","",DONNEES!N818)</f>
        <v/>
      </c>
      <c r="N818" t="str">
        <f>IF(DONNEES!$E818="","",DONNEES!O818)</f>
        <v/>
      </c>
      <c r="O818" t="str">
        <f>IF(DONNEES!$E818="","",DONNEES!P818)</f>
        <v/>
      </c>
      <c r="P818" t="str">
        <f>IF(DONNEES!$E818="","",DONNEES!Q818)</f>
        <v/>
      </c>
      <c r="Q818" t="str">
        <f>IF(DONNEES!$E818="","",DONNEES!R818)</f>
        <v/>
      </c>
      <c r="R818" t="str">
        <f>IF(DONNEES!$E818="","",DONNEES!S818)</f>
        <v/>
      </c>
      <c r="S818" t="str">
        <f>IF(DONNEES!$E818="","",DONNEES!T818)</f>
        <v/>
      </c>
      <c r="T818" t="str">
        <f>IF(DONNEES!$E818="","",DONNEES!U818)</f>
        <v/>
      </c>
      <c r="U818" t="str">
        <f>IF(DONNEES!$E818="","",DONNEES!V818)</f>
        <v/>
      </c>
      <c r="V818" t="str">
        <f>IF(DONNEES!$E818="","",DONNEES!W818)</f>
        <v/>
      </c>
      <c r="W818" t="str">
        <f>IF(DONNEES!$E818="","",DONNEES!X818)</f>
        <v/>
      </c>
      <c r="X818" t="str">
        <f>IF(DONNEES!$E818="","",DONNEES!Y818)</f>
        <v/>
      </c>
      <c r="Y818" t="str">
        <f>IF(DONNEES!$E818="","",DONNEES!Z818)</f>
        <v/>
      </c>
      <c r="Z818" t="str">
        <f>IF(DONNEES!$E818="","",DONNEES!AQ818)</f>
        <v/>
      </c>
    </row>
    <row r="819" spans="1:26" ht="15" customHeight="1" x14ac:dyDescent="0.3">
      <c r="A819" t="str">
        <f>IF(DONNEES!$E819="","",DONNEES!A819)</f>
        <v/>
      </c>
      <c r="B819" t="str">
        <f>IF(DONNEES!$E819="","",DONNEES!B819)</f>
        <v/>
      </c>
      <c r="C819" t="str">
        <f>IF(DONNEES!$E819="","",DONNEES!C819)</f>
        <v/>
      </c>
      <c r="D819" t="str">
        <f>IF(DONNEES!$E819="","",DONNEES!E819)</f>
        <v/>
      </c>
      <c r="E819" t="str">
        <f>IF(DONNEES!$E819="","",DONNEES!F819)</f>
        <v/>
      </c>
      <c r="F819" t="str">
        <f>IF(DONNEES!$E819="","",DONNEES!G819)</f>
        <v/>
      </c>
      <c r="G819" t="str">
        <f>IF(DONNEES!$E819="","",DONNEES!H819)</f>
        <v/>
      </c>
      <c r="H819" t="str">
        <f>IF(DONNEES!$E819="","",DONNEES!I819)</f>
        <v/>
      </c>
      <c r="I819" t="str">
        <f>IF(DONNEES!$E819="","",DONNEES!J819)</f>
        <v/>
      </c>
      <c r="J819" t="str">
        <f>IF(DONNEES!$E819="","",DONNEES!K819)</f>
        <v/>
      </c>
      <c r="K819" t="str">
        <f>IF(DONNEES!$E819="","",DONNEES!L819)</f>
        <v/>
      </c>
      <c r="L819" t="str">
        <f>IF(DONNEES!$E819="","",DONNEES!M819)</f>
        <v/>
      </c>
      <c r="M819" t="str">
        <f>IF(DONNEES!$E819="","",DONNEES!N819)</f>
        <v/>
      </c>
      <c r="N819" t="str">
        <f>IF(DONNEES!$E819="","",DONNEES!O819)</f>
        <v/>
      </c>
      <c r="O819" t="str">
        <f>IF(DONNEES!$E819="","",DONNEES!P819)</f>
        <v/>
      </c>
      <c r="P819" t="str">
        <f>IF(DONNEES!$E819="","",DONNEES!Q819)</f>
        <v/>
      </c>
      <c r="Q819" t="str">
        <f>IF(DONNEES!$E819="","",DONNEES!R819)</f>
        <v/>
      </c>
      <c r="R819" t="str">
        <f>IF(DONNEES!$E819="","",DONNEES!S819)</f>
        <v/>
      </c>
      <c r="S819" t="str">
        <f>IF(DONNEES!$E819="","",DONNEES!T819)</f>
        <v/>
      </c>
      <c r="T819" t="str">
        <f>IF(DONNEES!$E819="","",DONNEES!U819)</f>
        <v/>
      </c>
      <c r="U819" t="str">
        <f>IF(DONNEES!$E819="","",DONNEES!V819)</f>
        <v/>
      </c>
      <c r="V819" t="str">
        <f>IF(DONNEES!$E819="","",DONNEES!W819)</f>
        <v/>
      </c>
      <c r="W819" t="str">
        <f>IF(DONNEES!$E819="","",DONNEES!X819)</f>
        <v/>
      </c>
      <c r="X819" t="str">
        <f>IF(DONNEES!$E819="","",DONNEES!Y819)</f>
        <v/>
      </c>
      <c r="Y819" t="str">
        <f>IF(DONNEES!$E819="","",DONNEES!Z819)</f>
        <v/>
      </c>
      <c r="Z819" t="str">
        <f>IF(DONNEES!$E819="","",DONNEES!AQ819)</f>
        <v/>
      </c>
    </row>
    <row r="820" spans="1:26" ht="15" customHeight="1" x14ac:dyDescent="0.3">
      <c r="A820" t="str">
        <f>IF(DONNEES!$E820="","",DONNEES!A820)</f>
        <v/>
      </c>
      <c r="B820" t="str">
        <f>IF(DONNEES!$E820="","",DONNEES!B820)</f>
        <v/>
      </c>
      <c r="C820" t="str">
        <f>IF(DONNEES!$E820="","",DONNEES!C820)</f>
        <v/>
      </c>
      <c r="D820" t="str">
        <f>IF(DONNEES!$E820="","",DONNEES!E820)</f>
        <v/>
      </c>
      <c r="E820" t="str">
        <f>IF(DONNEES!$E820="","",DONNEES!F820)</f>
        <v/>
      </c>
      <c r="F820" t="str">
        <f>IF(DONNEES!$E820="","",DONNEES!G820)</f>
        <v/>
      </c>
      <c r="G820" t="str">
        <f>IF(DONNEES!$E820="","",DONNEES!H820)</f>
        <v/>
      </c>
      <c r="H820" t="str">
        <f>IF(DONNEES!$E820="","",DONNEES!I820)</f>
        <v/>
      </c>
      <c r="I820" t="str">
        <f>IF(DONNEES!$E820="","",DONNEES!J820)</f>
        <v/>
      </c>
      <c r="J820" t="str">
        <f>IF(DONNEES!$E820="","",DONNEES!K820)</f>
        <v/>
      </c>
      <c r="K820" t="str">
        <f>IF(DONNEES!$E820="","",DONNEES!L820)</f>
        <v/>
      </c>
      <c r="L820" t="str">
        <f>IF(DONNEES!$E820="","",DONNEES!M820)</f>
        <v/>
      </c>
      <c r="M820" t="str">
        <f>IF(DONNEES!$E820="","",DONNEES!N820)</f>
        <v/>
      </c>
      <c r="N820" t="str">
        <f>IF(DONNEES!$E820="","",DONNEES!O820)</f>
        <v/>
      </c>
      <c r="O820" t="str">
        <f>IF(DONNEES!$E820="","",DONNEES!P820)</f>
        <v/>
      </c>
      <c r="P820" t="str">
        <f>IF(DONNEES!$E820="","",DONNEES!Q820)</f>
        <v/>
      </c>
      <c r="Q820" t="str">
        <f>IF(DONNEES!$E820="","",DONNEES!R820)</f>
        <v/>
      </c>
      <c r="R820" t="str">
        <f>IF(DONNEES!$E820="","",DONNEES!S820)</f>
        <v/>
      </c>
      <c r="S820" t="str">
        <f>IF(DONNEES!$E820="","",DONNEES!T820)</f>
        <v/>
      </c>
      <c r="T820" t="str">
        <f>IF(DONNEES!$E820="","",DONNEES!U820)</f>
        <v/>
      </c>
      <c r="U820" t="str">
        <f>IF(DONNEES!$E820="","",DONNEES!V820)</f>
        <v/>
      </c>
      <c r="V820" t="str">
        <f>IF(DONNEES!$E820="","",DONNEES!W820)</f>
        <v/>
      </c>
      <c r="W820" t="str">
        <f>IF(DONNEES!$E820="","",DONNEES!X820)</f>
        <v/>
      </c>
      <c r="X820" t="str">
        <f>IF(DONNEES!$E820="","",DONNEES!Y820)</f>
        <v/>
      </c>
      <c r="Y820" t="str">
        <f>IF(DONNEES!$E820="","",DONNEES!Z820)</f>
        <v/>
      </c>
      <c r="Z820" t="str">
        <f>IF(DONNEES!$E820="","",DONNEES!AQ820)</f>
        <v/>
      </c>
    </row>
    <row r="821" spans="1:26" ht="15" customHeight="1" x14ac:dyDescent="0.3">
      <c r="A821" t="str">
        <f>IF(DONNEES!$E821="","",DONNEES!A821)</f>
        <v/>
      </c>
      <c r="B821" t="str">
        <f>IF(DONNEES!$E821="","",DONNEES!B821)</f>
        <v/>
      </c>
      <c r="C821" t="str">
        <f>IF(DONNEES!$E821="","",DONNEES!C821)</f>
        <v/>
      </c>
      <c r="D821" t="str">
        <f>IF(DONNEES!$E821="","",DONNEES!E821)</f>
        <v/>
      </c>
      <c r="E821" t="str">
        <f>IF(DONNEES!$E821="","",DONNEES!F821)</f>
        <v/>
      </c>
      <c r="F821" t="str">
        <f>IF(DONNEES!$E821="","",DONNEES!G821)</f>
        <v/>
      </c>
      <c r="G821" t="str">
        <f>IF(DONNEES!$E821="","",DONNEES!H821)</f>
        <v/>
      </c>
      <c r="H821" t="str">
        <f>IF(DONNEES!$E821="","",DONNEES!I821)</f>
        <v/>
      </c>
      <c r="I821" t="str">
        <f>IF(DONNEES!$E821="","",DONNEES!J821)</f>
        <v/>
      </c>
      <c r="J821" t="str">
        <f>IF(DONNEES!$E821="","",DONNEES!K821)</f>
        <v/>
      </c>
      <c r="K821" t="str">
        <f>IF(DONNEES!$E821="","",DONNEES!L821)</f>
        <v/>
      </c>
      <c r="L821" t="str">
        <f>IF(DONNEES!$E821="","",DONNEES!M821)</f>
        <v/>
      </c>
      <c r="M821" t="str">
        <f>IF(DONNEES!$E821="","",DONNEES!N821)</f>
        <v/>
      </c>
      <c r="N821" t="str">
        <f>IF(DONNEES!$E821="","",DONNEES!O821)</f>
        <v/>
      </c>
      <c r="O821" t="str">
        <f>IF(DONNEES!$E821="","",DONNEES!P821)</f>
        <v/>
      </c>
      <c r="P821" t="str">
        <f>IF(DONNEES!$E821="","",DONNEES!Q821)</f>
        <v/>
      </c>
      <c r="Q821" t="str">
        <f>IF(DONNEES!$E821="","",DONNEES!R821)</f>
        <v/>
      </c>
      <c r="R821" t="str">
        <f>IF(DONNEES!$E821="","",DONNEES!S821)</f>
        <v/>
      </c>
      <c r="S821" t="str">
        <f>IF(DONNEES!$E821="","",DONNEES!T821)</f>
        <v/>
      </c>
      <c r="T821" t="str">
        <f>IF(DONNEES!$E821="","",DONNEES!U821)</f>
        <v/>
      </c>
      <c r="U821" t="str">
        <f>IF(DONNEES!$E821="","",DONNEES!V821)</f>
        <v/>
      </c>
      <c r="V821" t="str">
        <f>IF(DONNEES!$E821="","",DONNEES!W821)</f>
        <v/>
      </c>
      <c r="W821" t="str">
        <f>IF(DONNEES!$E821="","",DONNEES!X821)</f>
        <v/>
      </c>
      <c r="X821" t="str">
        <f>IF(DONNEES!$E821="","",DONNEES!Y821)</f>
        <v/>
      </c>
      <c r="Y821" t="str">
        <f>IF(DONNEES!$E821="","",DONNEES!Z821)</f>
        <v/>
      </c>
      <c r="Z821" t="str">
        <f>IF(DONNEES!$E821="","",DONNEES!AQ821)</f>
        <v/>
      </c>
    </row>
    <row r="822" spans="1:26" ht="15" customHeight="1" x14ac:dyDescent="0.3">
      <c r="A822" t="str">
        <f>IF(DONNEES!$E822="","",DONNEES!A822)</f>
        <v/>
      </c>
      <c r="B822" t="str">
        <f>IF(DONNEES!$E822="","",DONNEES!B822)</f>
        <v/>
      </c>
      <c r="C822" t="str">
        <f>IF(DONNEES!$E822="","",DONNEES!C822)</f>
        <v/>
      </c>
      <c r="D822" t="str">
        <f>IF(DONNEES!$E822="","",DONNEES!E822)</f>
        <v/>
      </c>
      <c r="E822" t="str">
        <f>IF(DONNEES!$E822="","",DONNEES!F822)</f>
        <v/>
      </c>
      <c r="F822" t="str">
        <f>IF(DONNEES!$E822="","",DONNEES!G822)</f>
        <v/>
      </c>
      <c r="G822" t="str">
        <f>IF(DONNEES!$E822="","",DONNEES!H822)</f>
        <v/>
      </c>
      <c r="H822" t="str">
        <f>IF(DONNEES!$E822="","",DONNEES!I822)</f>
        <v/>
      </c>
      <c r="I822" t="str">
        <f>IF(DONNEES!$E822="","",DONNEES!J822)</f>
        <v/>
      </c>
      <c r="J822" t="str">
        <f>IF(DONNEES!$E822="","",DONNEES!K822)</f>
        <v/>
      </c>
      <c r="K822" t="str">
        <f>IF(DONNEES!$E822="","",DONNEES!L822)</f>
        <v/>
      </c>
      <c r="L822" t="str">
        <f>IF(DONNEES!$E822="","",DONNEES!M822)</f>
        <v/>
      </c>
      <c r="M822" t="str">
        <f>IF(DONNEES!$E822="","",DONNEES!N822)</f>
        <v/>
      </c>
      <c r="N822" t="str">
        <f>IF(DONNEES!$E822="","",DONNEES!O822)</f>
        <v/>
      </c>
      <c r="O822" t="str">
        <f>IF(DONNEES!$E822="","",DONNEES!P822)</f>
        <v/>
      </c>
      <c r="P822" t="str">
        <f>IF(DONNEES!$E822="","",DONNEES!Q822)</f>
        <v/>
      </c>
      <c r="Q822" t="str">
        <f>IF(DONNEES!$E822="","",DONNEES!R822)</f>
        <v/>
      </c>
      <c r="R822" t="str">
        <f>IF(DONNEES!$E822="","",DONNEES!S822)</f>
        <v/>
      </c>
      <c r="S822" t="str">
        <f>IF(DONNEES!$E822="","",DONNEES!T822)</f>
        <v/>
      </c>
      <c r="T822" t="str">
        <f>IF(DONNEES!$E822="","",DONNEES!U822)</f>
        <v/>
      </c>
      <c r="U822" t="str">
        <f>IF(DONNEES!$E822="","",DONNEES!V822)</f>
        <v/>
      </c>
      <c r="V822" t="str">
        <f>IF(DONNEES!$E822="","",DONNEES!W822)</f>
        <v/>
      </c>
      <c r="W822" t="str">
        <f>IF(DONNEES!$E822="","",DONNEES!X822)</f>
        <v/>
      </c>
      <c r="X822" t="str">
        <f>IF(DONNEES!$E822="","",DONNEES!Y822)</f>
        <v/>
      </c>
      <c r="Y822" t="str">
        <f>IF(DONNEES!$E822="","",DONNEES!Z822)</f>
        <v/>
      </c>
      <c r="Z822" t="str">
        <f>IF(DONNEES!$E822="","",DONNEES!AQ822)</f>
        <v/>
      </c>
    </row>
    <row r="823" spans="1:26" ht="15" customHeight="1" x14ac:dyDescent="0.3">
      <c r="A823" t="str">
        <f>IF(DONNEES!$E823="","",DONNEES!A823)</f>
        <v/>
      </c>
      <c r="B823" t="str">
        <f>IF(DONNEES!$E823="","",DONNEES!B823)</f>
        <v/>
      </c>
      <c r="C823" t="str">
        <f>IF(DONNEES!$E823="","",DONNEES!C823)</f>
        <v/>
      </c>
      <c r="D823" t="str">
        <f>IF(DONNEES!$E823="","",DONNEES!E823)</f>
        <v/>
      </c>
      <c r="E823" t="str">
        <f>IF(DONNEES!$E823="","",DONNEES!F823)</f>
        <v/>
      </c>
      <c r="F823" t="str">
        <f>IF(DONNEES!$E823="","",DONNEES!G823)</f>
        <v/>
      </c>
      <c r="G823" t="str">
        <f>IF(DONNEES!$E823="","",DONNEES!H823)</f>
        <v/>
      </c>
      <c r="H823" t="str">
        <f>IF(DONNEES!$E823="","",DONNEES!I823)</f>
        <v/>
      </c>
      <c r="I823" t="str">
        <f>IF(DONNEES!$E823="","",DONNEES!J823)</f>
        <v/>
      </c>
      <c r="J823" t="str">
        <f>IF(DONNEES!$E823="","",DONNEES!K823)</f>
        <v/>
      </c>
      <c r="K823" t="str">
        <f>IF(DONNEES!$E823="","",DONNEES!L823)</f>
        <v/>
      </c>
      <c r="L823" t="str">
        <f>IF(DONNEES!$E823="","",DONNEES!M823)</f>
        <v/>
      </c>
      <c r="M823" t="str">
        <f>IF(DONNEES!$E823="","",DONNEES!N823)</f>
        <v/>
      </c>
      <c r="N823" t="str">
        <f>IF(DONNEES!$E823="","",DONNEES!O823)</f>
        <v/>
      </c>
      <c r="O823" t="str">
        <f>IF(DONNEES!$E823="","",DONNEES!P823)</f>
        <v/>
      </c>
      <c r="P823" t="str">
        <f>IF(DONNEES!$E823="","",DONNEES!Q823)</f>
        <v/>
      </c>
      <c r="Q823" t="str">
        <f>IF(DONNEES!$E823="","",DONNEES!R823)</f>
        <v/>
      </c>
      <c r="R823" t="str">
        <f>IF(DONNEES!$E823="","",DONNEES!S823)</f>
        <v/>
      </c>
      <c r="S823" t="str">
        <f>IF(DONNEES!$E823="","",DONNEES!T823)</f>
        <v/>
      </c>
      <c r="T823" t="str">
        <f>IF(DONNEES!$E823="","",DONNEES!U823)</f>
        <v/>
      </c>
      <c r="U823" t="str">
        <f>IF(DONNEES!$E823="","",DONNEES!V823)</f>
        <v/>
      </c>
      <c r="V823" t="str">
        <f>IF(DONNEES!$E823="","",DONNEES!W823)</f>
        <v/>
      </c>
      <c r="W823" t="str">
        <f>IF(DONNEES!$E823="","",DONNEES!X823)</f>
        <v/>
      </c>
      <c r="X823" t="str">
        <f>IF(DONNEES!$E823="","",DONNEES!Y823)</f>
        <v/>
      </c>
      <c r="Y823" t="str">
        <f>IF(DONNEES!$E823="","",DONNEES!Z823)</f>
        <v/>
      </c>
      <c r="Z823" t="str">
        <f>IF(DONNEES!$E823="","",DONNEES!AQ823)</f>
        <v/>
      </c>
    </row>
    <row r="824" spans="1:26" ht="15" customHeight="1" x14ac:dyDescent="0.3">
      <c r="A824" t="str">
        <f>IF(DONNEES!$E824="","",DONNEES!A824)</f>
        <v/>
      </c>
      <c r="B824" t="str">
        <f>IF(DONNEES!$E824="","",DONNEES!B824)</f>
        <v/>
      </c>
      <c r="C824" t="str">
        <f>IF(DONNEES!$E824="","",DONNEES!C824)</f>
        <v/>
      </c>
      <c r="D824" t="str">
        <f>IF(DONNEES!$E824="","",DONNEES!E824)</f>
        <v/>
      </c>
      <c r="E824" t="str">
        <f>IF(DONNEES!$E824="","",DONNEES!F824)</f>
        <v/>
      </c>
      <c r="F824" t="str">
        <f>IF(DONNEES!$E824="","",DONNEES!G824)</f>
        <v/>
      </c>
      <c r="G824" t="str">
        <f>IF(DONNEES!$E824="","",DONNEES!H824)</f>
        <v/>
      </c>
      <c r="H824" t="str">
        <f>IF(DONNEES!$E824="","",DONNEES!I824)</f>
        <v/>
      </c>
      <c r="I824" t="str">
        <f>IF(DONNEES!$E824="","",DONNEES!J824)</f>
        <v/>
      </c>
      <c r="J824" t="str">
        <f>IF(DONNEES!$E824="","",DONNEES!K824)</f>
        <v/>
      </c>
      <c r="K824" t="str">
        <f>IF(DONNEES!$E824="","",DONNEES!L824)</f>
        <v/>
      </c>
      <c r="L824" t="str">
        <f>IF(DONNEES!$E824="","",DONNEES!M824)</f>
        <v/>
      </c>
      <c r="M824" t="str">
        <f>IF(DONNEES!$E824="","",DONNEES!N824)</f>
        <v/>
      </c>
      <c r="N824" t="str">
        <f>IF(DONNEES!$E824="","",DONNEES!O824)</f>
        <v/>
      </c>
      <c r="O824" t="str">
        <f>IF(DONNEES!$E824="","",DONNEES!P824)</f>
        <v/>
      </c>
      <c r="P824" t="str">
        <f>IF(DONNEES!$E824="","",DONNEES!Q824)</f>
        <v/>
      </c>
      <c r="Q824" t="str">
        <f>IF(DONNEES!$E824="","",DONNEES!R824)</f>
        <v/>
      </c>
      <c r="R824" t="str">
        <f>IF(DONNEES!$E824="","",DONNEES!S824)</f>
        <v/>
      </c>
      <c r="S824" t="str">
        <f>IF(DONNEES!$E824="","",DONNEES!T824)</f>
        <v/>
      </c>
      <c r="T824" t="str">
        <f>IF(DONNEES!$E824="","",DONNEES!U824)</f>
        <v/>
      </c>
      <c r="U824" t="str">
        <f>IF(DONNEES!$E824="","",DONNEES!V824)</f>
        <v/>
      </c>
      <c r="V824" t="str">
        <f>IF(DONNEES!$E824="","",DONNEES!W824)</f>
        <v/>
      </c>
      <c r="W824" t="str">
        <f>IF(DONNEES!$E824="","",DONNEES!X824)</f>
        <v/>
      </c>
      <c r="X824" t="str">
        <f>IF(DONNEES!$E824="","",DONNEES!Y824)</f>
        <v/>
      </c>
      <c r="Y824" t="str">
        <f>IF(DONNEES!$E824="","",DONNEES!Z824)</f>
        <v/>
      </c>
      <c r="Z824" t="str">
        <f>IF(DONNEES!$E824="","",DONNEES!AQ824)</f>
        <v/>
      </c>
    </row>
    <row r="825" spans="1:26" ht="15" customHeight="1" x14ac:dyDescent="0.3">
      <c r="A825" t="str">
        <f>IF(DONNEES!$E825="","",DONNEES!A825)</f>
        <v/>
      </c>
      <c r="B825" t="str">
        <f>IF(DONNEES!$E825="","",DONNEES!B825)</f>
        <v/>
      </c>
      <c r="C825" t="str">
        <f>IF(DONNEES!$E825="","",DONNEES!C825)</f>
        <v/>
      </c>
      <c r="D825" t="str">
        <f>IF(DONNEES!$E825="","",DONNEES!E825)</f>
        <v/>
      </c>
      <c r="E825" t="str">
        <f>IF(DONNEES!$E825="","",DONNEES!F825)</f>
        <v/>
      </c>
      <c r="F825" t="str">
        <f>IF(DONNEES!$E825="","",DONNEES!G825)</f>
        <v/>
      </c>
      <c r="G825" t="str">
        <f>IF(DONNEES!$E825="","",DONNEES!H825)</f>
        <v/>
      </c>
      <c r="H825" t="str">
        <f>IF(DONNEES!$E825="","",DONNEES!I825)</f>
        <v/>
      </c>
      <c r="I825" t="str">
        <f>IF(DONNEES!$E825="","",DONNEES!J825)</f>
        <v/>
      </c>
      <c r="J825" t="str">
        <f>IF(DONNEES!$E825="","",DONNEES!K825)</f>
        <v/>
      </c>
      <c r="K825" t="str">
        <f>IF(DONNEES!$E825="","",DONNEES!L825)</f>
        <v/>
      </c>
      <c r="L825" t="str">
        <f>IF(DONNEES!$E825="","",DONNEES!M825)</f>
        <v/>
      </c>
      <c r="M825" t="str">
        <f>IF(DONNEES!$E825="","",DONNEES!N825)</f>
        <v/>
      </c>
      <c r="N825" t="str">
        <f>IF(DONNEES!$E825="","",DONNEES!O825)</f>
        <v/>
      </c>
      <c r="O825" t="str">
        <f>IF(DONNEES!$E825="","",DONNEES!P825)</f>
        <v/>
      </c>
      <c r="P825" t="str">
        <f>IF(DONNEES!$E825="","",DONNEES!Q825)</f>
        <v/>
      </c>
      <c r="Q825" t="str">
        <f>IF(DONNEES!$E825="","",DONNEES!R825)</f>
        <v/>
      </c>
      <c r="R825" t="str">
        <f>IF(DONNEES!$E825="","",DONNEES!S825)</f>
        <v/>
      </c>
      <c r="S825" t="str">
        <f>IF(DONNEES!$E825="","",DONNEES!T825)</f>
        <v/>
      </c>
      <c r="T825" t="str">
        <f>IF(DONNEES!$E825="","",DONNEES!U825)</f>
        <v/>
      </c>
      <c r="U825" t="str">
        <f>IF(DONNEES!$E825="","",DONNEES!V825)</f>
        <v/>
      </c>
      <c r="V825" t="str">
        <f>IF(DONNEES!$E825="","",DONNEES!W825)</f>
        <v/>
      </c>
      <c r="W825" t="str">
        <f>IF(DONNEES!$E825="","",DONNEES!X825)</f>
        <v/>
      </c>
      <c r="X825" t="str">
        <f>IF(DONNEES!$E825="","",DONNEES!Y825)</f>
        <v/>
      </c>
      <c r="Y825" t="str">
        <f>IF(DONNEES!$E825="","",DONNEES!Z825)</f>
        <v/>
      </c>
      <c r="Z825" t="str">
        <f>IF(DONNEES!$E825="","",DONNEES!AQ825)</f>
        <v/>
      </c>
    </row>
    <row r="826" spans="1:26" ht="15" customHeight="1" x14ac:dyDescent="0.3">
      <c r="A826" t="str">
        <f>IF(DONNEES!$E826="","",DONNEES!A826)</f>
        <v/>
      </c>
      <c r="B826" t="str">
        <f>IF(DONNEES!$E826="","",DONNEES!B826)</f>
        <v/>
      </c>
      <c r="C826" t="str">
        <f>IF(DONNEES!$E826="","",DONNEES!C826)</f>
        <v/>
      </c>
      <c r="D826" t="str">
        <f>IF(DONNEES!$E826="","",DONNEES!E826)</f>
        <v/>
      </c>
      <c r="E826" t="str">
        <f>IF(DONNEES!$E826="","",DONNEES!F826)</f>
        <v/>
      </c>
      <c r="F826" t="str">
        <f>IF(DONNEES!$E826="","",DONNEES!G826)</f>
        <v/>
      </c>
      <c r="G826" t="str">
        <f>IF(DONNEES!$E826="","",DONNEES!H826)</f>
        <v/>
      </c>
      <c r="H826" t="str">
        <f>IF(DONNEES!$E826="","",DONNEES!I826)</f>
        <v/>
      </c>
      <c r="I826" t="str">
        <f>IF(DONNEES!$E826="","",DONNEES!J826)</f>
        <v/>
      </c>
      <c r="J826" t="str">
        <f>IF(DONNEES!$E826="","",DONNEES!K826)</f>
        <v/>
      </c>
      <c r="K826" t="str">
        <f>IF(DONNEES!$E826="","",DONNEES!L826)</f>
        <v/>
      </c>
      <c r="L826" t="str">
        <f>IF(DONNEES!$E826="","",DONNEES!M826)</f>
        <v/>
      </c>
      <c r="M826" t="str">
        <f>IF(DONNEES!$E826="","",DONNEES!N826)</f>
        <v/>
      </c>
      <c r="N826" t="str">
        <f>IF(DONNEES!$E826="","",DONNEES!O826)</f>
        <v/>
      </c>
      <c r="O826" t="str">
        <f>IF(DONNEES!$E826="","",DONNEES!P826)</f>
        <v/>
      </c>
      <c r="P826" t="str">
        <f>IF(DONNEES!$E826="","",DONNEES!Q826)</f>
        <v/>
      </c>
      <c r="Q826" t="str">
        <f>IF(DONNEES!$E826="","",DONNEES!R826)</f>
        <v/>
      </c>
      <c r="R826" t="str">
        <f>IF(DONNEES!$E826="","",DONNEES!S826)</f>
        <v/>
      </c>
      <c r="S826" t="str">
        <f>IF(DONNEES!$E826="","",DONNEES!T826)</f>
        <v/>
      </c>
      <c r="T826" t="str">
        <f>IF(DONNEES!$E826="","",DONNEES!U826)</f>
        <v/>
      </c>
      <c r="U826" t="str">
        <f>IF(DONNEES!$E826="","",DONNEES!V826)</f>
        <v/>
      </c>
      <c r="V826" t="str">
        <f>IF(DONNEES!$E826="","",DONNEES!W826)</f>
        <v/>
      </c>
      <c r="W826" t="str">
        <f>IF(DONNEES!$E826="","",DONNEES!X826)</f>
        <v/>
      </c>
      <c r="X826" t="str">
        <f>IF(DONNEES!$E826="","",DONNEES!Y826)</f>
        <v/>
      </c>
      <c r="Y826" t="str">
        <f>IF(DONNEES!$E826="","",DONNEES!Z826)</f>
        <v/>
      </c>
      <c r="Z826" t="str">
        <f>IF(DONNEES!$E826="","",DONNEES!AQ826)</f>
        <v/>
      </c>
    </row>
    <row r="827" spans="1:26" ht="15" customHeight="1" x14ac:dyDescent="0.3">
      <c r="A827" t="str">
        <f>IF(DONNEES!$E827="","",DONNEES!A827)</f>
        <v/>
      </c>
      <c r="B827" t="str">
        <f>IF(DONNEES!$E827="","",DONNEES!B827)</f>
        <v/>
      </c>
      <c r="C827" t="str">
        <f>IF(DONNEES!$E827="","",DONNEES!C827)</f>
        <v/>
      </c>
      <c r="D827" t="str">
        <f>IF(DONNEES!$E827="","",DONNEES!E827)</f>
        <v/>
      </c>
      <c r="E827" t="str">
        <f>IF(DONNEES!$E827="","",DONNEES!F827)</f>
        <v/>
      </c>
      <c r="F827" t="str">
        <f>IF(DONNEES!$E827="","",DONNEES!G827)</f>
        <v/>
      </c>
      <c r="G827" t="str">
        <f>IF(DONNEES!$E827="","",DONNEES!H827)</f>
        <v/>
      </c>
      <c r="H827" t="str">
        <f>IF(DONNEES!$E827="","",DONNEES!I827)</f>
        <v/>
      </c>
      <c r="I827" t="str">
        <f>IF(DONNEES!$E827="","",DONNEES!J827)</f>
        <v/>
      </c>
      <c r="J827" t="str">
        <f>IF(DONNEES!$E827="","",DONNEES!K827)</f>
        <v/>
      </c>
      <c r="K827" t="str">
        <f>IF(DONNEES!$E827="","",DONNEES!L827)</f>
        <v/>
      </c>
      <c r="L827" t="str">
        <f>IF(DONNEES!$E827="","",DONNEES!M827)</f>
        <v/>
      </c>
      <c r="M827" t="str">
        <f>IF(DONNEES!$E827="","",DONNEES!N827)</f>
        <v/>
      </c>
      <c r="N827" t="str">
        <f>IF(DONNEES!$E827="","",DONNEES!O827)</f>
        <v/>
      </c>
      <c r="O827" t="str">
        <f>IF(DONNEES!$E827="","",DONNEES!P827)</f>
        <v/>
      </c>
      <c r="P827" t="str">
        <f>IF(DONNEES!$E827="","",DONNEES!Q827)</f>
        <v/>
      </c>
      <c r="Q827" t="str">
        <f>IF(DONNEES!$E827="","",DONNEES!R827)</f>
        <v/>
      </c>
      <c r="R827" t="str">
        <f>IF(DONNEES!$E827="","",DONNEES!S827)</f>
        <v/>
      </c>
      <c r="S827" t="str">
        <f>IF(DONNEES!$E827="","",DONNEES!T827)</f>
        <v/>
      </c>
      <c r="T827" t="str">
        <f>IF(DONNEES!$E827="","",DONNEES!U827)</f>
        <v/>
      </c>
      <c r="U827" t="str">
        <f>IF(DONNEES!$E827="","",DONNEES!V827)</f>
        <v/>
      </c>
      <c r="V827" t="str">
        <f>IF(DONNEES!$E827="","",DONNEES!W827)</f>
        <v/>
      </c>
      <c r="W827" t="str">
        <f>IF(DONNEES!$E827="","",DONNEES!X827)</f>
        <v/>
      </c>
      <c r="X827" t="str">
        <f>IF(DONNEES!$E827="","",DONNEES!Y827)</f>
        <v/>
      </c>
      <c r="Y827" t="str">
        <f>IF(DONNEES!$E827="","",DONNEES!Z827)</f>
        <v/>
      </c>
      <c r="Z827" t="str">
        <f>IF(DONNEES!$E827="","",DONNEES!AQ827)</f>
        <v/>
      </c>
    </row>
    <row r="828" spans="1:26" ht="15" customHeight="1" x14ac:dyDescent="0.3">
      <c r="A828" t="str">
        <f>IF(DONNEES!$E828="","",DONNEES!A828)</f>
        <v/>
      </c>
      <c r="B828" t="str">
        <f>IF(DONNEES!$E828="","",DONNEES!B828)</f>
        <v/>
      </c>
      <c r="C828" t="str">
        <f>IF(DONNEES!$E828="","",DONNEES!C828)</f>
        <v/>
      </c>
      <c r="D828" t="str">
        <f>IF(DONNEES!$E828="","",DONNEES!E828)</f>
        <v/>
      </c>
      <c r="E828" t="str">
        <f>IF(DONNEES!$E828="","",DONNEES!F828)</f>
        <v/>
      </c>
      <c r="F828" t="str">
        <f>IF(DONNEES!$E828="","",DONNEES!G828)</f>
        <v/>
      </c>
      <c r="G828" t="str">
        <f>IF(DONNEES!$E828="","",DONNEES!H828)</f>
        <v/>
      </c>
      <c r="H828" t="str">
        <f>IF(DONNEES!$E828="","",DONNEES!I828)</f>
        <v/>
      </c>
      <c r="I828" t="str">
        <f>IF(DONNEES!$E828="","",DONNEES!J828)</f>
        <v/>
      </c>
      <c r="J828" t="str">
        <f>IF(DONNEES!$E828="","",DONNEES!K828)</f>
        <v/>
      </c>
      <c r="K828" t="str">
        <f>IF(DONNEES!$E828="","",DONNEES!L828)</f>
        <v/>
      </c>
      <c r="L828" t="str">
        <f>IF(DONNEES!$E828="","",DONNEES!M828)</f>
        <v/>
      </c>
      <c r="M828" t="str">
        <f>IF(DONNEES!$E828="","",DONNEES!N828)</f>
        <v/>
      </c>
      <c r="N828" t="str">
        <f>IF(DONNEES!$E828="","",DONNEES!O828)</f>
        <v/>
      </c>
      <c r="O828" t="str">
        <f>IF(DONNEES!$E828="","",DONNEES!P828)</f>
        <v/>
      </c>
      <c r="P828" t="str">
        <f>IF(DONNEES!$E828="","",DONNEES!Q828)</f>
        <v/>
      </c>
      <c r="Q828" t="str">
        <f>IF(DONNEES!$E828="","",DONNEES!R828)</f>
        <v/>
      </c>
      <c r="R828" t="str">
        <f>IF(DONNEES!$E828="","",DONNEES!S828)</f>
        <v/>
      </c>
      <c r="S828" t="str">
        <f>IF(DONNEES!$E828="","",DONNEES!T828)</f>
        <v/>
      </c>
      <c r="T828" t="str">
        <f>IF(DONNEES!$E828="","",DONNEES!U828)</f>
        <v/>
      </c>
      <c r="U828" t="str">
        <f>IF(DONNEES!$E828="","",DONNEES!V828)</f>
        <v/>
      </c>
      <c r="V828" t="str">
        <f>IF(DONNEES!$E828="","",DONNEES!W828)</f>
        <v/>
      </c>
      <c r="W828" t="str">
        <f>IF(DONNEES!$E828="","",DONNEES!X828)</f>
        <v/>
      </c>
      <c r="X828" t="str">
        <f>IF(DONNEES!$E828="","",DONNEES!Y828)</f>
        <v/>
      </c>
      <c r="Y828" t="str">
        <f>IF(DONNEES!$E828="","",DONNEES!Z828)</f>
        <v/>
      </c>
      <c r="Z828" t="str">
        <f>IF(DONNEES!$E828="","",DONNEES!AQ828)</f>
        <v/>
      </c>
    </row>
    <row r="829" spans="1:26" ht="15" customHeight="1" x14ac:dyDescent="0.3">
      <c r="A829" t="str">
        <f>IF(DONNEES!$E829="","",DONNEES!A829)</f>
        <v/>
      </c>
      <c r="B829" t="str">
        <f>IF(DONNEES!$E829="","",DONNEES!B829)</f>
        <v/>
      </c>
      <c r="C829" t="str">
        <f>IF(DONNEES!$E829="","",DONNEES!C829)</f>
        <v/>
      </c>
      <c r="D829" t="str">
        <f>IF(DONNEES!$E829="","",DONNEES!E829)</f>
        <v/>
      </c>
      <c r="E829" t="str">
        <f>IF(DONNEES!$E829="","",DONNEES!F829)</f>
        <v/>
      </c>
      <c r="F829" t="str">
        <f>IF(DONNEES!$E829="","",DONNEES!G829)</f>
        <v/>
      </c>
      <c r="G829" t="str">
        <f>IF(DONNEES!$E829="","",DONNEES!H829)</f>
        <v/>
      </c>
      <c r="H829" t="str">
        <f>IF(DONNEES!$E829="","",DONNEES!I829)</f>
        <v/>
      </c>
      <c r="I829" t="str">
        <f>IF(DONNEES!$E829="","",DONNEES!J829)</f>
        <v/>
      </c>
      <c r="J829" t="str">
        <f>IF(DONNEES!$E829="","",DONNEES!K829)</f>
        <v/>
      </c>
      <c r="K829" t="str">
        <f>IF(DONNEES!$E829="","",DONNEES!L829)</f>
        <v/>
      </c>
      <c r="L829" t="str">
        <f>IF(DONNEES!$E829="","",DONNEES!M829)</f>
        <v/>
      </c>
      <c r="M829" t="str">
        <f>IF(DONNEES!$E829="","",DONNEES!N829)</f>
        <v/>
      </c>
      <c r="N829" t="str">
        <f>IF(DONNEES!$E829="","",DONNEES!O829)</f>
        <v/>
      </c>
      <c r="O829" t="str">
        <f>IF(DONNEES!$E829="","",DONNEES!P829)</f>
        <v/>
      </c>
      <c r="P829" t="str">
        <f>IF(DONNEES!$E829="","",DONNEES!Q829)</f>
        <v/>
      </c>
      <c r="Q829" t="str">
        <f>IF(DONNEES!$E829="","",DONNEES!R829)</f>
        <v/>
      </c>
      <c r="R829" t="str">
        <f>IF(DONNEES!$E829="","",DONNEES!S829)</f>
        <v/>
      </c>
      <c r="S829" t="str">
        <f>IF(DONNEES!$E829="","",DONNEES!T829)</f>
        <v/>
      </c>
      <c r="T829" t="str">
        <f>IF(DONNEES!$E829="","",DONNEES!U829)</f>
        <v/>
      </c>
      <c r="U829" t="str">
        <f>IF(DONNEES!$E829="","",DONNEES!V829)</f>
        <v/>
      </c>
      <c r="V829" t="str">
        <f>IF(DONNEES!$E829="","",DONNEES!W829)</f>
        <v/>
      </c>
      <c r="W829" t="str">
        <f>IF(DONNEES!$E829="","",DONNEES!X829)</f>
        <v/>
      </c>
      <c r="X829" t="str">
        <f>IF(DONNEES!$E829="","",DONNEES!Y829)</f>
        <v/>
      </c>
      <c r="Y829" t="str">
        <f>IF(DONNEES!$E829="","",DONNEES!Z829)</f>
        <v/>
      </c>
      <c r="Z829" t="str">
        <f>IF(DONNEES!$E829="","",DONNEES!AQ829)</f>
        <v/>
      </c>
    </row>
    <row r="830" spans="1:26" ht="15" customHeight="1" x14ac:dyDescent="0.3">
      <c r="A830" t="str">
        <f>IF(DONNEES!$E830="","",DONNEES!A830)</f>
        <v/>
      </c>
      <c r="B830" t="str">
        <f>IF(DONNEES!$E830="","",DONNEES!B830)</f>
        <v/>
      </c>
      <c r="C830" t="str">
        <f>IF(DONNEES!$E830="","",DONNEES!C830)</f>
        <v/>
      </c>
      <c r="D830" t="str">
        <f>IF(DONNEES!$E830="","",DONNEES!E830)</f>
        <v/>
      </c>
      <c r="E830" t="str">
        <f>IF(DONNEES!$E830="","",DONNEES!F830)</f>
        <v/>
      </c>
      <c r="F830" t="str">
        <f>IF(DONNEES!$E830="","",DONNEES!G830)</f>
        <v/>
      </c>
      <c r="G830" t="str">
        <f>IF(DONNEES!$E830="","",DONNEES!H830)</f>
        <v/>
      </c>
      <c r="H830" t="str">
        <f>IF(DONNEES!$E830="","",DONNEES!I830)</f>
        <v/>
      </c>
      <c r="I830" t="str">
        <f>IF(DONNEES!$E830="","",DONNEES!J830)</f>
        <v/>
      </c>
      <c r="J830" t="str">
        <f>IF(DONNEES!$E830="","",DONNEES!K830)</f>
        <v/>
      </c>
      <c r="K830" t="str">
        <f>IF(DONNEES!$E830="","",DONNEES!L830)</f>
        <v/>
      </c>
      <c r="L830" t="str">
        <f>IF(DONNEES!$E830="","",DONNEES!M830)</f>
        <v/>
      </c>
      <c r="M830" t="str">
        <f>IF(DONNEES!$E830="","",DONNEES!N830)</f>
        <v/>
      </c>
      <c r="N830" t="str">
        <f>IF(DONNEES!$E830="","",DONNEES!O830)</f>
        <v/>
      </c>
      <c r="O830" t="str">
        <f>IF(DONNEES!$E830="","",DONNEES!P830)</f>
        <v/>
      </c>
      <c r="P830" t="str">
        <f>IF(DONNEES!$E830="","",DONNEES!Q830)</f>
        <v/>
      </c>
      <c r="Q830" t="str">
        <f>IF(DONNEES!$E830="","",DONNEES!R830)</f>
        <v/>
      </c>
      <c r="R830" t="str">
        <f>IF(DONNEES!$E830="","",DONNEES!S830)</f>
        <v/>
      </c>
      <c r="S830" t="str">
        <f>IF(DONNEES!$E830="","",DONNEES!T830)</f>
        <v/>
      </c>
      <c r="T830" t="str">
        <f>IF(DONNEES!$E830="","",DONNEES!U830)</f>
        <v/>
      </c>
      <c r="U830" t="str">
        <f>IF(DONNEES!$E830="","",DONNEES!V830)</f>
        <v/>
      </c>
      <c r="V830" t="str">
        <f>IF(DONNEES!$E830="","",DONNEES!W830)</f>
        <v/>
      </c>
      <c r="W830" t="str">
        <f>IF(DONNEES!$E830="","",DONNEES!X830)</f>
        <v/>
      </c>
      <c r="X830" t="str">
        <f>IF(DONNEES!$E830="","",DONNEES!Y830)</f>
        <v/>
      </c>
      <c r="Y830" t="str">
        <f>IF(DONNEES!$E830="","",DONNEES!Z830)</f>
        <v/>
      </c>
      <c r="Z830" t="str">
        <f>IF(DONNEES!$E830="","",DONNEES!AQ830)</f>
        <v/>
      </c>
    </row>
    <row r="831" spans="1:26" ht="15" customHeight="1" x14ac:dyDescent="0.3">
      <c r="A831" t="str">
        <f>IF(DONNEES!$E831="","",DONNEES!A831)</f>
        <v/>
      </c>
      <c r="B831" t="str">
        <f>IF(DONNEES!$E831="","",DONNEES!B831)</f>
        <v/>
      </c>
      <c r="C831" t="str">
        <f>IF(DONNEES!$E831="","",DONNEES!C831)</f>
        <v/>
      </c>
      <c r="D831" t="str">
        <f>IF(DONNEES!$E831="","",DONNEES!E831)</f>
        <v/>
      </c>
      <c r="E831" t="str">
        <f>IF(DONNEES!$E831="","",DONNEES!F831)</f>
        <v/>
      </c>
      <c r="F831" t="str">
        <f>IF(DONNEES!$E831="","",DONNEES!G831)</f>
        <v/>
      </c>
      <c r="G831" t="str">
        <f>IF(DONNEES!$E831="","",DONNEES!H831)</f>
        <v/>
      </c>
      <c r="H831" t="str">
        <f>IF(DONNEES!$E831="","",DONNEES!I831)</f>
        <v/>
      </c>
      <c r="I831" t="str">
        <f>IF(DONNEES!$E831="","",DONNEES!J831)</f>
        <v/>
      </c>
      <c r="J831" t="str">
        <f>IF(DONNEES!$E831="","",DONNEES!K831)</f>
        <v/>
      </c>
      <c r="K831" t="str">
        <f>IF(DONNEES!$E831="","",DONNEES!L831)</f>
        <v/>
      </c>
      <c r="L831" t="str">
        <f>IF(DONNEES!$E831="","",DONNEES!M831)</f>
        <v/>
      </c>
      <c r="M831" t="str">
        <f>IF(DONNEES!$E831="","",DONNEES!N831)</f>
        <v/>
      </c>
      <c r="N831" t="str">
        <f>IF(DONNEES!$E831="","",DONNEES!O831)</f>
        <v/>
      </c>
      <c r="O831" t="str">
        <f>IF(DONNEES!$E831="","",DONNEES!P831)</f>
        <v/>
      </c>
      <c r="P831" t="str">
        <f>IF(DONNEES!$E831="","",DONNEES!Q831)</f>
        <v/>
      </c>
      <c r="Q831" t="str">
        <f>IF(DONNEES!$E831="","",DONNEES!R831)</f>
        <v/>
      </c>
      <c r="R831" t="str">
        <f>IF(DONNEES!$E831="","",DONNEES!S831)</f>
        <v/>
      </c>
      <c r="S831" t="str">
        <f>IF(DONNEES!$E831="","",DONNEES!T831)</f>
        <v/>
      </c>
      <c r="T831" t="str">
        <f>IF(DONNEES!$E831="","",DONNEES!U831)</f>
        <v/>
      </c>
      <c r="U831" t="str">
        <f>IF(DONNEES!$E831="","",DONNEES!V831)</f>
        <v/>
      </c>
      <c r="V831" t="str">
        <f>IF(DONNEES!$E831="","",DONNEES!W831)</f>
        <v/>
      </c>
      <c r="W831" t="str">
        <f>IF(DONNEES!$E831="","",DONNEES!X831)</f>
        <v/>
      </c>
      <c r="X831" t="str">
        <f>IF(DONNEES!$E831="","",DONNEES!Y831)</f>
        <v/>
      </c>
      <c r="Y831" t="str">
        <f>IF(DONNEES!$E831="","",DONNEES!Z831)</f>
        <v/>
      </c>
      <c r="Z831" t="str">
        <f>IF(DONNEES!$E831="","",DONNEES!AQ831)</f>
        <v/>
      </c>
    </row>
    <row r="832" spans="1:26" ht="15" customHeight="1" x14ac:dyDescent="0.3">
      <c r="A832" t="str">
        <f>IF(DONNEES!$E832="","",DONNEES!A832)</f>
        <v/>
      </c>
      <c r="B832" t="str">
        <f>IF(DONNEES!$E832="","",DONNEES!B832)</f>
        <v/>
      </c>
      <c r="C832" t="str">
        <f>IF(DONNEES!$E832="","",DONNEES!C832)</f>
        <v/>
      </c>
      <c r="D832" t="str">
        <f>IF(DONNEES!$E832="","",DONNEES!E832)</f>
        <v/>
      </c>
      <c r="E832" t="str">
        <f>IF(DONNEES!$E832="","",DONNEES!F832)</f>
        <v/>
      </c>
      <c r="F832" t="str">
        <f>IF(DONNEES!$E832="","",DONNEES!G832)</f>
        <v/>
      </c>
      <c r="G832" t="str">
        <f>IF(DONNEES!$E832="","",DONNEES!H832)</f>
        <v/>
      </c>
      <c r="H832" t="str">
        <f>IF(DONNEES!$E832="","",DONNEES!I832)</f>
        <v/>
      </c>
      <c r="I832" t="str">
        <f>IF(DONNEES!$E832="","",DONNEES!J832)</f>
        <v/>
      </c>
      <c r="J832" t="str">
        <f>IF(DONNEES!$E832="","",DONNEES!K832)</f>
        <v/>
      </c>
      <c r="K832" t="str">
        <f>IF(DONNEES!$E832="","",DONNEES!L832)</f>
        <v/>
      </c>
      <c r="L832" t="str">
        <f>IF(DONNEES!$E832="","",DONNEES!M832)</f>
        <v/>
      </c>
      <c r="M832" t="str">
        <f>IF(DONNEES!$E832="","",DONNEES!N832)</f>
        <v/>
      </c>
      <c r="N832" t="str">
        <f>IF(DONNEES!$E832="","",DONNEES!O832)</f>
        <v/>
      </c>
      <c r="O832" t="str">
        <f>IF(DONNEES!$E832="","",DONNEES!P832)</f>
        <v/>
      </c>
      <c r="P832" t="str">
        <f>IF(DONNEES!$E832="","",DONNEES!Q832)</f>
        <v/>
      </c>
      <c r="Q832" t="str">
        <f>IF(DONNEES!$E832="","",DONNEES!R832)</f>
        <v/>
      </c>
      <c r="R832" t="str">
        <f>IF(DONNEES!$E832="","",DONNEES!S832)</f>
        <v/>
      </c>
      <c r="S832" t="str">
        <f>IF(DONNEES!$E832="","",DONNEES!T832)</f>
        <v/>
      </c>
      <c r="T832" t="str">
        <f>IF(DONNEES!$E832="","",DONNEES!U832)</f>
        <v/>
      </c>
      <c r="U832" t="str">
        <f>IF(DONNEES!$E832="","",DONNEES!V832)</f>
        <v/>
      </c>
      <c r="V832" t="str">
        <f>IF(DONNEES!$E832="","",DONNEES!W832)</f>
        <v/>
      </c>
      <c r="W832" t="str">
        <f>IF(DONNEES!$E832="","",DONNEES!X832)</f>
        <v/>
      </c>
      <c r="X832" t="str">
        <f>IF(DONNEES!$E832="","",DONNEES!Y832)</f>
        <v/>
      </c>
      <c r="Y832" t="str">
        <f>IF(DONNEES!$E832="","",DONNEES!Z832)</f>
        <v/>
      </c>
      <c r="Z832" t="str">
        <f>IF(DONNEES!$E832="","",DONNEES!AQ832)</f>
        <v/>
      </c>
    </row>
    <row r="833" spans="1:26" ht="15" customHeight="1" x14ac:dyDescent="0.3">
      <c r="A833" t="str">
        <f>IF(DONNEES!$E833="","",DONNEES!A833)</f>
        <v/>
      </c>
      <c r="B833" t="str">
        <f>IF(DONNEES!$E833="","",DONNEES!B833)</f>
        <v/>
      </c>
      <c r="C833" t="str">
        <f>IF(DONNEES!$E833="","",DONNEES!C833)</f>
        <v/>
      </c>
      <c r="D833" t="str">
        <f>IF(DONNEES!$E833="","",DONNEES!E833)</f>
        <v/>
      </c>
      <c r="E833" t="str">
        <f>IF(DONNEES!$E833="","",DONNEES!F833)</f>
        <v/>
      </c>
      <c r="F833" t="str">
        <f>IF(DONNEES!$E833="","",DONNEES!G833)</f>
        <v/>
      </c>
      <c r="G833" t="str">
        <f>IF(DONNEES!$E833="","",DONNEES!H833)</f>
        <v/>
      </c>
      <c r="H833" t="str">
        <f>IF(DONNEES!$E833="","",DONNEES!I833)</f>
        <v/>
      </c>
      <c r="I833" t="str">
        <f>IF(DONNEES!$E833="","",DONNEES!J833)</f>
        <v/>
      </c>
      <c r="J833" t="str">
        <f>IF(DONNEES!$E833="","",DONNEES!K833)</f>
        <v/>
      </c>
      <c r="K833" t="str">
        <f>IF(DONNEES!$E833="","",DONNEES!L833)</f>
        <v/>
      </c>
      <c r="L833" t="str">
        <f>IF(DONNEES!$E833="","",DONNEES!M833)</f>
        <v/>
      </c>
      <c r="M833" t="str">
        <f>IF(DONNEES!$E833="","",DONNEES!N833)</f>
        <v/>
      </c>
      <c r="N833" t="str">
        <f>IF(DONNEES!$E833="","",DONNEES!O833)</f>
        <v/>
      </c>
      <c r="O833" t="str">
        <f>IF(DONNEES!$E833="","",DONNEES!P833)</f>
        <v/>
      </c>
      <c r="P833" t="str">
        <f>IF(DONNEES!$E833="","",DONNEES!Q833)</f>
        <v/>
      </c>
      <c r="Q833" t="str">
        <f>IF(DONNEES!$E833="","",DONNEES!R833)</f>
        <v/>
      </c>
      <c r="R833" t="str">
        <f>IF(DONNEES!$E833="","",DONNEES!S833)</f>
        <v/>
      </c>
      <c r="S833" t="str">
        <f>IF(DONNEES!$E833="","",DONNEES!T833)</f>
        <v/>
      </c>
      <c r="T833" t="str">
        <f>IF(DONNEES!$E833="","",DONNEES!U833)</f>
        <v/>
      </c>
      <c r="U833" t="str">
        <f>IF(DONNEES!$E833="","",DONNEES!V833)</f>
        <v/>
      </c>
      <c r="V833" t="str">
        <f>IF(DONNEES!$E833="","",DONNEES!W833)</f>
        <v/>
      </c>
      <c r="W833" t="str">
        <f>IF(DONNEES!$E833="","",DONNEES!X833)</f>
        <v/>
      </c>
      <c r="X833" t="str">
        <f>IF(DONNEES!$E833="","",DONNEES!Y833)</f>
        <v/>
      </c>
      <c r="Y833" t="str">
        <f>IF(DONNEES!$E833="","",DONNEES!Z833)</f>
        <v/>
      </c>
      <c r="Z833" t="str">
        <f>IF(DONNEES!$E833="","",DONNEES!AQ833)</f>
        <v/>
      </c>
    </row>
    <row r="834" spans="1:26" ht="15" customHeight="1" x14ac:dyDescent="0.3">
      <c r="A834" t="str">
        <f>IF(DONNEES!$E834="","",DONNEES!A834)</f>
        <v/>
      </c>
      <c r="B834" t="str">
        <f>IF(DONNEES!$E834="","",DONNEES!B834)</f>
        <v/>
      </c>
      <c r="C834" t="str">
        <f>IF(DONNEES!$E834="","",DONNEES!C834)</f>
        <v/>
      </c>
      <c r="D834" t="str">
        <f>IF(DONNEES!$E834="","",DONNEES!E834)</f>
        <v/>
      </c>
      <c r="E834" t="str">
        <f>IF(DONNEES!$E834="","",DONNEES!F834)</f>
        <v/>
      </c>
      <c r="F834" t="str">
        <f>IF(DONNEES!$E834="","",DONNEES!G834)</f>
        <v/>
      </c>
      <c r="G834" t="str">
        <f>IF(DONNEES!$E834="","",DONNEES!H834)</f>
        <v/>
      </c>
      <c r="H834" t="str">
        <f>IF(DONNEES!$E834="","",DONNEES!I834)</f>
        <v/>
      </c>
      <c r="I834" t="str">
        <f>IF(DONNEES!$E834="","",DONNEES!J834)</f>
        <v/>
      </c>
      <c r="J834" t="str">
        <f>IF(DONNEES!$E834="","",DONNEES!K834)</f>
        <v/>
      </c>
      <c r="K834" t="str">
        <f>IF(DONNEES!$E834="","",DONNEES!L834)</f>
        <v/>
      </c>
      <c r="L834" t="str">
        <f>IF(DONNEES!$E834="","",DONNEES!M834)</f>
        <v/>
      </c>
      <c r="M834" t="str">
        <f>IF(DONNEES!$E834="","",DONNEES!N834)</f>
        <v/>
      </c>
      <c r="N834" t="str">
        <f>IF(DONNEES!$E834="","",DONNEES!O834)</f>
        <v/>
      </c>
      <c r="O834" t="str">
        <f>IF(DONNEES!$E834="","",DONNEES!P834)</f>
        <v/>
      </c>
      <c r="P834" t="str">
        <f>IF(DONNEES!$E834="","",DONNEES!Q834)</f>
        <v/>
      </c>
      <c r="Q834" t="str">
        <f>IF(DONNEES!$E834="","",DONNEES!R834)</f>
        <v/>
      </c>
      <c r="R834" t="str">
        <f>IF(DONNEES!$E834="","",DONNEES!S834)</f>
        <v/>
      </c>
      <c r="S834" t="str">
        <f>IF(DONNEES!$E834="","",DONNEES!T834)</f>
        <v/>
      </c>
      <c r="T834" t="str">
        <f>IF(DONNEES!$E834="","",DONNEES!U834)</f>
        <v/>
      </c>
      <c r="U834" t="str">
        <f>IF(DONNEES!$E834="","",DONNEES!V834)</f>
        <v/>
      </c>
      <c r="V834" t="str">
        <f>IF(DONNEES!$E834="","",DONNEES!W834)</f>
        <v/>
      </c>
      <c r="W834" t="str">
        <f>IF(DONNEES!$E834="","",DONNEES!X834)</f>
        <v/>
      </c>
      <c r="X834" t="str">
        <f>IF(DONNEES!$E834="","",DONNEES!Y834)</f>
        <v/>
      </c>
      <c r="Y834" t="str">
        <f>IF(DONNEES!$E834="","",DONNEES!Z834)</f>
        <v/>
      </c>
      <c r="Z834" t="str">
        <f>IF(DONNEES!$E834="","",DONNEES!AQ834)</f>
        <v/>
      </c>
    </row>
    <row r="835" spans="1:26" ht="15" customHeight="1" x14ac:dyDescent="0.3">
      <c r="A835" t="str">
        <f>IF(DONNEES!$E835="","",DONNEES!A835)</f>
        <v/>
      </c>
      <c r="B835" t="str">
        <f>IF(DONNEES!$E835="","",DONNEES!B835)</f>
        <v/>
      </c>
      <c r="C835" t="str">
        <f>IF(DONNEES!$E835="","",DONNEES!C835)</f>
        <v/>
      </c>
      <c r="D835" t="str">
        <f>IF(DONNEES!$E835="","",DONNEES!E835)</f>
        <v/>
      </c>
      <c r="E835" t="str">
        <f>IF(DONNEES!$E835="","",DONNEES!F835)</f>
        <v/>
      </c>
      <c r="F835" t="str">
        <f>IF(DONNEES!$E835="","",DONNEES!G835)</f>
        <v/>
      </c>
      <c r="G835" t="str">
        <f>IF(DONNEES!$E835="","",DONNEES!H835)</f>
        <v/>
      </c>
      <c r="H835" t="str">
        <f>IF(DONNEES!$E835="","",DONNEES!I835)</f>
        <v/>
      </c>
      <c r="I835" t="str">
        <f>IF(DONNEES!$E835="","",DONNEES!J835)</f>
        <v/>
      </c>
      <c r="J835" t="str">
        <f>IF(DONNEES!$E835="","",DONNEES!K835)</f>
        <v/>
      </c>
      <c r="K835" t="str">
        <f>IF(DONNEES!$E835="","",DONNEES!L835)</f>
        <v/>
      </c>
      <c r="L835" t="str">
        <f>IF(DONNEES!$E835="","",DONNEES!M835)</f>
        <v/>
      </c>
      <c r="M835" t="str">
        <f>IF(DONNEES!$E835="","",DONNEES!N835)</f>
        <v/>
      </c>
      <c r="N835" t="str">
        <f>IF(DONNEES!$E835="","",DONNEES!O835)</f>
        <v/>
      </c>
      <c r="O835" t="str">
        <f>IF(DONNEES!$E835="","",DONNEES!P835)</f>
        <v/>
      </c>
      <c r="P835" t="str">
        <f>IF(DONNEES!$E835="","",DONNEES!Q835)</f>
        <v/>
      </c>
      <c r="Q835" t="str">
        <f>IF(DONNEES!$E835="","",DONNEES!R835)</f>
        <v/>
      </c>
      <c r="R835" t="str">
        <f>IF(DONNEES!$E835="","",DONNEES!S835)</f>
        <v/>
      </c>
      <c r="S835" t="str">
        <f>IF(DONNEES!$E835="","",DONNEES!T835)</f>
        <v/>
      </c>
      <c r="T835" t="str">
        <f>IF(DONNEES!$E835="","",DONNEES!U835)</f>
        <v/>
      </c>
      <c r="U835" t="str">
        <f>IF(DONNEES!$E835="","",DONNEES!V835)</f>
        <v/>
      </c>
      <c r="V835" t="str">
        <f>IF(DONNEES!$E835="","",DONNEES!W835)</f>
        <v/>
      </c>
      <c r="W835" t="str">
        <f>IF(DONNEES!$E835="","",DONNEES!X835)</f>
        <v/>
      </c>
      <c r="X835" t="str">
        <f>IF(DONNEES!$E835="","",DONNEES!Y835)</f>
        <v/>
      </c>
      <c r="Y835" t="str">
        <f>IF(DONNEES!$E835="","",DONNEES!Z835)</f>
        <v/>
      </c>
      <c r="Z835" t="str">
        <f>IF(DONNEES!$E835="","",DONNEES!AQ835)</f>
        <v/>
      </c>
    </row>
    <row r="836" spans="1:26" ht="15" customHeight="1" x14ac:dyDescent="0.3">
      <c r="A836" t="str">
        <f>IF(DONNEES!$E836="","",DONNEES!A836)</f>
        <v/>
      </c>
      <c r="B836" t="str">
        <f>IF(DONNEES!$E836="","",DONNEES!B836)</f>
        <v/>
      </c>
      <c r="C836" t="str">
        <f>IF(DONNEES!$E836="","",DONNEES!C836)</f>
        <v/>
      </c>
      <c r="D836" t="str">
        <f>IF(DONNEES!$E836="","",DONNEES!E836)</f>
        <v/>
      </c>
      <c r="E836" t="str">
        <f>IF(DONNEES!$E836="","",DONNEES!F836)</f>
        <v/>
      </c>
      <c r="F836" t="str">
        <f>IF(DONNEES!$E836="","",DONNEES!G836)</f>
        <v/>
      </c>
      <c r="G836" t="str">
        <f>IF(DONNEES!$E836="","",DONNEES!H836)</f>
        <v/>
      </c>
      <c r="H836" t="str">
        <f>IF(DONNEES!$E836="","",DONNEES!I836)</f>
        <v/>
      </c>
      <c r="I836" t="str">
        <f>IF(DONNEES!$E836="","",DONNEES!J836)</f>
        <v/>
      </c>
      <c r="J836" t="str">
        <f>IF(DONNEES!$E836="","",DONNEES!K836)</f>
        <v/>
      </c>
      <c r="K836" t="str">
        <f>IF(DONNEES!$E836="","",DONNEES!L836)</f>
        <v/>
      </c>
      <c r="L836" t="str">
        <f>IF(DONNEES!$E836="","",DONNEES!M836)</f>
        <v/>
      </c>
      <c r="M836" t="str">
        <f>IF(DONNEES!$E836="","",DONNEES!N836)</f>
        <v/>
      </c>
      <c r="N836" t="str">
        <f>IF(DONNEES!$E836="","",DONNEES!O836)</f>
        <v/>
      </c>
      <c r="O836" t="str">
        <f>IF(DONNEES!$E836="","",DONNEES!P836)</f>
        <v/>
      </c>
      <c r="P836" t="str">
        <f>IF(DONNEES!$E836="","",DONNEES!Q836)</f>
        <v/>
      </c>
      <c r="Q836" t="str">
        <f>IF(DONNEES!$E836="","",DONNEES!R836)</f>
        <v/>
      </c>
      <c r="R836" t="str">
        <f>IF(DONNEES!$E836="","",DONNEES!S836)</f>
        <v/>
      </c>
      <c r="S836" t="str">
        <f>IF(DONNEES!$E836="","",DONNEES!T836)</f>
        <v/>
      </c>
      <c r="T836" t="str">
        <f>IF(DONNEES!$E836="","",DONNEES!U836)</f>
        <v/>
      </c>
      <c r="U836" t="str">
        <f>IF(DONNEES!$E836="","",DONNEES!V836)</f>
        <v/>
      </c>
      <c r="V836" t="str">
        <f>IF(DONNEES!$E836="","",DONNEES!W836)</f>
        <v/>
      </c>
      <c r="W836" t="str">
        <f>IF(DONNEES!$E836="","",DONNEES!X836)</f>
        <v/>
      </c>
      <c r="X836" t="str">
        <f>IF(DONNEES!$E836="","",DONNEES!Y836)</f>
        <v/>
      </c>
      <c r="Y836" t="str">
        <f>IF(DONNEES!$E836="","",DONNEES!Z836)</f>
        <v/>
      </c>
      <c r="Z836" t="str">
        <f>IF(DONNEES!$E836="","",DONNEES!AQ836)</f>
        <v/>
      </c>
    </row>
    <row r="837" spans="1:26" ht="15" customHeight="1" x14ac:dyDescent="0.3">
      <c r="A837" t="str">
        <f>IF(DONNEES!$E837="","",DONNEES!A837)</f>
        <v/>
      </c>
      <c r="B837" t="str">
        <f>IF(DONNEES!$E837="","",DONNEES!B837)</f>
        <v/>
      </c>
      <c r="C837" t="str">
        <f>IF(DONNEES!$E837="","",DONNEES!C837)</f>
        <v/>
      </c>
      <c r="D837" t="str">
        <f>IF(DONNEES!$E837="","",DONNEES!E837)</f>
        <v/>
      </c>
      <c r="E837" t="str">
        <f>IF(DONNEES!$E837="","",DONNEES!F837)</f>
        <v/>
      </c>
      <c r="F837" t="str">
        <f>IF(DONNEES!$E837="","",DONNEES!G837)</f>
        <v/>
      </c>
      <c r="G837" t="str">
        <f>IF(DONNEES!$E837="","",DONNEES!H837)</f>
        <v/>
      </c>
      <c r="H837" t="str">
        <f>IF(DONNEES!$E837="","",DONNEES!I837)</f>
        <v/>
      </c>
      <c r="I837" t="str">
        <f>IF(DONNEES!$E837="","",DONNEES!J837)</f>
        <v/>
      </c>
      <c r="J837" t="str">
        <f>IF(DONNEES!$E837="","",DONNEES!K837)</f>
        <v/>
      </c>
      <c r="K837" t="str">
        <f>IF(DONNEES!$E837="","",DONNEES!L837)</f>
        <v/>
      </c>
      <c r="L837" t="str">
        <f>IF(DONNEES!$E837="","",DONNEES!M837)</f>
        <v/>
      </c>
      <c r="M837" t="str">
        <f>IF(DONNEES!$E837="","",DONNEES!N837)</f>
        <v/>
      </c>
      <c r="N837" t="str">
        <f>IF(DONNEES!$E837="","",DONNEES!O837)</f>
        <v/>
      </c>
      <c r="O837" t="str">
        <f>IF(DONNEES!$E837="","",DONNEES!P837)</f>
        <v/>
      </c>
      <c r="P837" t="str">
        <f>IF(DONNEES!$E837="","",DONNEES!Q837)</f>
        <v/>
      </c>
      <c r="Q837" t="str">
        <f>IF(DONNEES!$E837="","",DONNEES!R837)</f>
        <v/>
      </c>
      <c r="R837" t="str">
        <f>IF(DONNEES!$E837="","",DONNEES!S837)</f>
        <v/>
      </c>
      <c r="S837" t="str">
        <f>IF(DONNEES!$E837="","",DONNEES!T837)</f>
        <v/>
      </c>
      <c r="T837" t="str">
        <f>IF(DONNEES!$E837="","",DONNEES!U837)</f>
        <v/>
      </c>
      <c r="U837" t="str">
        <f>IF(DONNEES!$E837="","",DONNEES!V837)</f>
        <v/>
      </c>
      <c r="V837" t="str">
        <f>IF(DONNEES!$E837="","",DONNEES!W837)</f>
        <v/>
      </c>
      <c r="W837" t="str">
        <f>IF(DONNEES!$E837="","",DONNEES!X837)</f>
        <v/>
      </c>
      <c r="X837" t="str">
        <f>IF(DONNEES!$E837="","",DONNEES!Y837)</f>
        <v/>
      </c>
      <c r="Y837" t="str">
        <f>IF(DONNEES!$E837="","",DONNEES!Z837)</f>
        <v/>
      </c>
      <c r="Z837" t="str">
        <f>IF(DONNEES!$E837="","",DONNEES!AQ837)</f>
        <v/>
      </c>
    </row>
    <row r="838" spans="1:26" ht="15" customHeight="1" x14ac:dyDescent="0.3">
      <c r="A838" t="str">
        <f>IF(DONNEES!$E838="","",DONNEES!A838)</f>
        <v/>
      </c>
      <c r="B838" t="str">
        <f>IF(DONNEES!$E838="","",DONNEES!B838)</f>
        <v/>
      </c>
      <c r="C838" t="str">
        <f>IF(DONNEES!$E838="","",DONNEES!C838)</f>
        <v/>
      </c>
      <c r="D838" t="str">
        <f>IF(DONNEES!$E838="","",DONNEES!E838)</f>
        <v/>
      </c>
      <c r="E838" t="str">
        <f>IF(DONNEES!$E838="","",DONNEES!F838)</f>
        <v/>
      </c>
      <c r="F838" t="str">
        <f>IF(DONNEES!$E838="","",DONNEES!G838)</f>
        <v/>
      </c>
      <c r="G838" t="str">
        <f>IF(DONNEES!$E838="","",DONNEES!H838)</f>
        <v/>
      </c>
      <c r="H838" t="str">
        <f>IF(DONNEES!$E838="","",DONNEES!I838)</f>
        <v/>
      </c>
      <c r="I838" t="str">
        <f>IF(DONNEES!$E838="","",DONNEES!J838)</f>
        <v/>
      </c>
      <c r="J838" t="str">
        <f>IF(DONNEES!$E838="","",DONNEES!K838)</f>
        <v/>
      </c>
      <c r="K838" t="str">
        <f>IF(DONNEES!$E838="","",DONNEES!L838)</f>
        <v/>
      </c>
      <c r="L838" t="str">
        <f>IF(DONNEES!$E838="","",DONNEES!M838)</f>
        <v/>
      </c>
      <c r="M838" t="str">
        <f>IF(DONNEES!$E838="","",DONNEES!N838)</f>
        <v/>
      </c>
      <c r="N838" t="str">
        <f>IF(DONNEES!$E838="","",DONNEES!O838)</f>
        <v/>
      </c>
      <c r="O838" t="str">
        <f>IF(DONNEES!$E838="","",DONNEES!P838)</f>
        <v/>
      </c>
      <c r="P838" t="str">
        <f>IF(DONNEES!$E838="","",DONNEES!Q838)</f>
        <v/>
      </c>
      <c r="Q838" t="str">
        <f>IF(DONNEES!$E838="","",DONNEES!R838)</f>
        <v/>
      </c>
      <c r="R838" t="str">
        <f>IF(DONNEES!$E838="","",DONNEES!S838)</f>
        <v/>
      </c>
      <c r="S838" t="str">
        <f>IF(DONNEES!$E838="","",DONNEES!T838)</f>
        <v/>
      </c>
      <c r="T838" t="str">
        <f>IF(DONNEES!$E838="","",DONNEES!U838)</f>
        <v/>
      </c>
      <c r="U838" t="str">
        <f>IF(DONNEES!$E838="","",DONNEES!V838)</f>
        <v/>
      </c>
      <c r="V838" t="str">
        <f>IF(DONNEES!$E838="","",DONNEES!W838)</f>
        <v/>
      </c>
      <c r="W838" t="str">
        <f>IF(DONNEES!$E838="","",DONNEES!X838)</f>
        <v/>
      </c>
      <c r="X838" t="str">
        <f>IF(DONNEES!$E838="","",DONNEES!Y838)</f>
        <v/>
      </c>
      <c r="Y838" t="str">
        <f>IF(DONNEES!$E838="","",DONNEES!Z838)</f>
        <v/>
      </c>
      <c r="Z838" t="str">
        <f>IF(DONNEES!$E838="","",DONNEES!AQ838)</f>
        <v/>
      </c>
    </row>
    <row r="839" spans="1:26" ht="15" customHeight="1" x14ac:dyDescent="0.3">
      <c r="A839" t="str">
        <f>IF(DONNEES!$E839="","",DONNEES!A839)</f>
        <v/>
      </c>
      <c r="B839" t="str">
        <f>IF(DONNEES!$E839="","",DONNEES!B839)</f>
        <v/>
      </c>
      <c r="C839" t="str">
        <f>IF(DONNEES!$E839="","",DONNEES!C839)</f>
        <v/>
      </c>
      <c r="D839" t="str">
        <f>IF(DONNEES!$E839="","",DONNEES!E839)</f>
        <v/>
      </c>
      <c r="E839" t="str">
        <f>IF(DONNEES!$E839="","",DONNEES!F839)</f>
        <v/>
      </c>
      <c r="F839" t="str">
        <f>IF(DONNEES!$E839="","",DONNEES!G839)</f>
        <v/>
      </c>
      <c r="G839" t="str">
        <f>IF(DONNEES!$E839="","",DONNEES!H839)</f>
        <v/>
      </c>
      <c r="H839" t="str">
        <f>IF(DONNEES!$E839="","",DONNEES!I839)</f>
        <v/>
      </c>
      <c r="I839" t="str">
        <f>IF(DONNEES!$E839="","",DONNEES!J839)</f>
        <v/>
      </c>
      <c r="J839" t="str">
        <f>IF(DONNEES!$E839="","",DONNEES!K839)</f>
        <v/>
      </c>
      <c r="K839" t="str">
        <f>IF(DONNEES!$E839="","",DONNEES!L839)</f>
        <v/>
      </c>
      <c r="L839" t="str">
        <f>IF(DONNEES!$E839="","",DONNEES!M839)</f>
        <v/>
      </c>
      <c r="M839" t="str">
        <f>IF(DONNEES!$E839="","",DONNEES!N839)</f>
        <v/>
      </c>
      <c r="N839" t="str">
        <f>IF(DONNEES!$E839="","",DONNEES!O839)</f>
        <v/>
      </c>
      <c r="O839" t="str">
        <f>IF(DONNEES!$E839="","",DONNEES!P839)</f>
        <v/>
      </c>
      <c r="P839" t="str">
        <f>IF(DONNEES!$E839="","",DONNEES!Q839)</f>
        <v/>
      </c>
      <c r="Q839" t="str">
        <f>IF(DONNEES!$E839="","",DONNEES!R839)</f>
        <v/>
      </c>
      <c r="R839" t="str">
        <f>IF(DONNEES!$E839="","",DONNEES!S839)</f>
        <v/>
      </c>
      <c r="S839" t="str">
        <f>IF(DONNEES!$E839="","",DONNEES!T839)</f>
        <v/>
      </c>
      <c r="T839" t="str">
        <f>IF(DONNEES!$E839="","",DONNEES!U839)</f>
        <v/>
      </c>
      <c r="U839" t="str">
        <f>IF(DONNEES!$E839="","",DONNEES!V839)</f>
        <v/>
      </c>
      <c r="V839" t="str">
        <f>IF(DONNEES!$E839="","",DONNEES!W839)</f>
        <v/>
      </c>
      <c r="W839" t="str">
        <f>IF(DONNEES!$E839="","",DONNEES!X839)</f>
        <v/>
      </c>
      <c r="X839" t="str">
        <f>IF(DONNEES!$E839="","",DONNEES!Y839)</f>
        <v/>
      </c>
      <c r="Y839" t="str">
        <f>IF(DONNEES!$E839="","",DONNEES!Z839)</f>
        <v/>
      </c>
      <c r="Z839" t="str">
        <f>IF(DONNEES!$E839="","",DONNEES!AQ839)</f>
        <v/>
      </c>
    </row>
    <row r="840" spans="1:26" ht="15" customHeight="1" x14ac:dyDescent="0.3">
      <c r="A840" t="str">
        <f>IF(DONNEES!$E840="","",DONNEES!A840)</f>
        <v/>
      </c>
      <c r="B840" t="str">
        <f>IF(DONNEES!$E840="","",DONNEES!B840)</f>
        <v/>
      </c>
      <c r="C840" t="str">
        <f>IF(DONNEES!$E840="","",DONNEES!C840)</f>
        <v/>
      </c>
      <c r="D840" t="str">
        <f>IF(DONNEES!$E840="","",DONNEES!E840)</f>
        <v/>
      </c>
      <c r="E840" t="str">
        <f>IF(DONNEES!$E840="","",DONNEES!F840)</f>
        <v/>
      </c>
      <c r="F840" t="str">
        <f>IF(DONNEES!$E840="","",DONNEES!G840)</f>
        <v/>
      </c>
      <c r="G840" t="str">
        <f>IF(DONNEES!$E840="","",DONNEES!H840)</f>
        <v/>
      </c>
      <c r="H840" t="str">
        <f>IF(DONNEES!$E840="","",DONNEES!I840)</f>
        <v/>
      </c>
      <c r="I840" t="str">
        <f>IF(DONNEES!$E840="","",DONNEES!J840)</f>
        <v/>
      </c>
      <c r="J840" t="str">
        <f>IF(DONNEES!$E840="","",DONNEES!K840)</f>
        <v/>
      </c>
      <c r="K840" t="str">
        <f>IF(DONNEES!$E840="","",DONNEES!L840)</f>
        <v/>
      </c>
      <c r="L840" t="str">
        <f>IF(DONNEES!$E840="","",DONNEES!M840)</f>
        <v/>
      </c>
      <c r="M840" t="str">
        <f>IF(DONNEES!$E840="","",DONNEES!N840)</f>
        <v/>
      </c>
      <c r="N840" t="str">
        <f>IF(DONNEES!$E840="","",DONNEES!O840)</f>
        <v/>
      </c>
      <c r="O840" t="str">
        <f>IF(DONNEES!$E840="","",DONNEES!P840)</f>
        <v/>
      </c>
      <c r="P840" t="str">
        <f>IF(DONNEES!$E840="","",DONNEES!Q840)</f>
        <v/>
      </c>
      <c r="Q840" t="str">
        <f>IF(DONNEES!$E840="","",DONNEES!R840)</f>
        <v/>
      </c>
      <c r="R840" t="str">
        <f>IF(DONNEES!$E840="","",DONNEES!S840)</f>
        <v/>
      </c>
      <c r="S840" t="str">
        <f>IF(DONNEES!$E840="","",DONNEES!T840)</f>
        <v/>
      </c>
      <c r="T840" t="str">
        <f>IF(DONNEES!$E840="","",DONNEES!U840)</f>
        <v/>
      </c>
      <c r="U840" t="str">
        <f>IF(DONNEES!$E840="","",DONNEES!V840)</f>
        <v/>
      </c>
      <c r="V840" t="str">
        <f>IF(DONNEES!$E840="","",DONNEES!W840)</f>
        <v/>
      </c>
      <c r="W840" t="str">
        <f>IF(DONNEES!$E840="","",DONNEES!X840)</f>
        <v/>
      </c>
      <c r="X840" t="str">
        <f>IF(DONNEES!$E840="","",DONNEES!Y840)</f>
        <v/>
      </c>
      <c r="Y840" t="str">
        <f>IF(DONNEES!$E840="","",DONNEES!Z840)</f>
        <v/>
      </c>
      <c r="Z840" t="str">
        <f>IF(DONNEES!$E840="","",DONNEES!AQ840)</f>
        <v/>
      </c>
    </row>
    <row r="841" spans="1:26" ht="15" customHeight="1" x14ac:dyDescent="0.3">
      <c r="A841" t="str">
        <f>IF(DONNEES!$E841="","",DONNEES!A841)</f>
        <v/>
      </c>
      <c r="B841" t="str">
        <f>IF(DONNEES!$E841="","",DONNEES!B841)</f>
        <v/>
      </c>
      <c r="C841" t="str">
        <f>IF(DONNEES!$E841="","",DONNEES!C841)</f>
        <v/>
      </c>
      <c r="D841" t="str">
        <f>IF(DONNEES!$E841="","",DONNEES!E841)</f>
        <v/>
      </c>
      <c r="E841" t="str">
        <f>IF(DONNEES!$E841="","",DONNEES!F841)</f>
        <v/>
      </c>
      <c r="F841" t="str">
        <f>IF(DONNEES!$E841="","",DONNEES!G841)</f>
        <v/>
      </c>
      <c r="G841" t="str">
        <f>IF(DONNEES!$E841="","",DONNEES!H841)</f>
        <v/>
      </c>
      <c r="H841" t="str">
        <f>IF(DONNEES!$E841="","",DONNEES!I841)</f>
        <v/>
      </c>
      <c r="I841" t="str">
        <f>IF(DONNEES!$E841="","",DONNEES!J841)</f>
        <v/>
      </c>
      <c r="J841" t="str">
        <f>IF(DONNEES!$E841="","",DONNEES!K841)</f>
        <v/>
      </c>
      <c r="K841" t="str">
        <f>IF(DONNEES!$E841="","",DONNEES!L841)</f>
        <v/>
      </c>
      <c r="L841" t="str">
        <f>IF(DONNEES!$E841="","",DONNEES!M841)</f>
        <v/>
      </c>
      <c r="M841" t="str">
        <f>IF(DONNEES!$E841="","",DONNEES!N841)</f>
        <v/>
      </c>
      <c r="N841" t="str">
        <f>IF(DONNEES!$E841="","",DONNEES!O841)</f>
        <v/>
      </c>
      <c r="O841" t="str">
        <f>IF(DONNEES!$E841="","",DONNEES!P841)</f>
        <v/>
      </c>
      <c r="P841" t="str">
        <f>IF(DONNEES!$E841="","",DONNEES!Q841)</f>
        <v/>
      </c>
      <c r="Q841" t="str">
        <f>IF(DONNEES!$E841="","",DONNEES!R841)</f>
        <v/>
      </c>
      <c r="R841" t="str">
        <f>IF(DONNEES!$E841="","",DONNEES!S841)</f>
        <v/>
      </c>
      <c r="S841" t="str">
        <f>IF(DONNEES!$E841="","",DONNEES!T841)</f>
        <v/>
      </c>
      <c r="T841" t="str">
        <f>IF(DONNEES!$E841="","",DONNEES!U841)</f>
        <v/>
      </c>
      <c r="U841" t="str">
        <f>IF(DONNEES!$E841="","",DONNEES!V841)</f>
        <v/>
      </c>
      <c r="V841" t="str">
        <f>IF(DONNEES!$E841="","",DONNEES!W841)</f>
        <v/>
      </c>
      <c r="W841" t="str">
        <f>IF(DONNEES!$E841="","",DONNEES!X841)</f>
        <v/>
      </c>
      <c r="X841" t="str">
        <f>IF(DONNEES!$E841="","",DONNEES!Y841)</f>
        <v/>
      </c>
      <c r="Y841" t="str">
        <f>IF(DONNEES!$E841="","",DONNEES!Z841)</f>
        <v/>
      </c>
      <c r="Z841" t="str">
        <f>IF(DONNEES!$E841="","",DONNEES!AQ841)</f>
        <v/>
      </c>
    </row>
    <row r="842" spans="1:26" ht="15" customHeight="1" x14ac:dyDescent="0.3">
      <c r="A842" t="str">
        <f>IF(DONNEES!$E842="","",DONNEES!A842)</f>
        <v/>
      </c>
      <c r="B842" t="str">
        <f>IF(DONNEES!$E842="","",DONNEES!B842)</f>
        <v/>
      </c>
      <c r="C842" t="str">
        <f>IF(DONNEES!$E842="","",DONNEES!C842)</f>
        <v/>
      </c>
      <c r="D842" t="str">
        <f>IF(DONNEES!$E842="","",DONNEES!E842)</f>
        <v/>
      </c>
      <c r="E842" t="str">
        <f>IF(DONNEES!$E842="","",DONNEES!F842)</f>
        <v/>
      </c>
      <c r="F842" t="str">
        <f>IF(DONNEES!$E842="","",DONNEES!G842)</f>
        <v/>
      </c>
      <c r="G842" t="str">
        <f>IF(DONNEES!$E842="","",DONNEES!H842)</f>
        <v/>
      </c>
      <c r="H842" t="str">
        <f>IF(DONNEES!$E842="","",DONNEES!I842)</f>
        <v/>
      </c>
      <c r="I842" t="str">
        <f>IF(DONNEES!$E842="","",DONNEES!J842)</f>
        <v/>
      </c>
      <c r="J842" t="str">
        <f>IF(DONNEES!$E842="","",DONNEES!K842)</f>
        <v/>
      </c>
      <c r="K842" t="str">
        <f>IF(DONNEES!$E842="","",DONNEES!L842)</f>
        <v/>
      </c>
      <c r="L842" t="str">
        <f>IF(DONNEES!$E842="","",DONNEES!M842)</f>
        <v/>
      </c>
      <c r="M842" t="str">
        <f>IF(DONNEES!$E842="","",DONNEES!N842)</f>
        <v/>
      </c>
      <c r="N842" t="str">
        <f>IF(DONNEES!$E842="","",DONNEES!O842)</f>
        <v/>
      </c>
      <c r="O842" t="str">
        <f>IF(DONNEES!$E842="","",DONNEES!P842)</f>
        <v/>
      </c>
      <c r="P842" t="str">
        <f>IF(DONNEES!$E842="","",DONNEES!Q842)</f>
        <v/>
      </c>
      <c r="Q842" t="str">
        <f>IF(DONNEES!$E842="","",DONNEES!R842)</f>
        <v/>
      </c>
      <c r="R842" t="str">
        <f>IF(DONNEES!$E842="","",DONNEES!S842)</f>
        <v/>
      </c>
      <c r="S842" t="str">
        <f>IF(DONNEES!$E842="","",DONNEES!T842)</f>
        <v/>
      </c>
      <c r="T842" t="str">
        <f>IF(DONNEES!$E842="","",DONNEES!U842)</f>
        <v/>
      </c>
      <c r="U842" t="str">
        <f>IF(DONNEES!$E842="","",DONNEES!V842)</f>
        <v/>
      </c>
      <c r="V842" t="str">
        <f>IF(DONNEES!$E842="","",DONNEES!W842)</f>
        <v/>
      </c>
      <c r="W842" t="str">
        <f>IF(DONNEES!$E842="","",DONNEES!X842)</f>
        <v/>
      </c>
      <c r="X842" t="str">
        <f>IF(DONNEES!$E842="","",DONNEES!Y842)</f>
        <v/>
      </c>
      <c r="Y842" t="str">
        <f>IF(DONNEES!$E842="","",DONNEES!Z842)</f>
        <v/>
      </c>
      <c r="Z842" t="str">
        <f>IF(DONNEES!$E842="","",DONNEES!AQ842)</f>
        <v/>
      </c>
    </row>
    <row r="843" spans="1:26" ht="15" customHeight="1" x14ac:dyDescent="0.3">
      <c r="A843" t="str">
        <f>IF(DONNEES!$E843="","",DONNEES!A843)</f>
        <v/>
      </c>
      <c r="B843" t="str">
        <f>IF(DONNEES!$E843="","",DONNEES!B843)</f>
        <v/>
      </c>
      <c r="C843" t="str">
        <f>IF(DONNEES!$E843="","",DONNEES!C843)</f>
        <v/>
      </c>
      <c r="D843" t="str">
        <f>IF(DONNEES!$E843="","",DONNEES!E843)</f>
        <v/>
      </c>
      <c r="E843" t="str">
        <f>IF(DONNEES!$E843="","",DONNEES!F843)</f>
        <v/>
      </c>
      <c r="F843" t="str">
        <f>IF(DONNEES!$E843="","",DONNEES!G843)</f>
        <v/>
      </c>
      <c r="G843" t="str">
        <f>IF(DONNEES!$E843="","",DONNEES!H843)</f>
        <v/>
      </c>
      <c r="H843" t="str">
        <f>IF(DONNEES!$E843="","",DONNEES!I843)</f>
        <v/>
      </c>
      <c r="I843" t="str">
        <f>IF(DONNEES!$E843="","",DONNEES!J843)</f>
        <v/>
      </c>
      <c r="J843" t="str">
        <f>IF(DONNEES!$E843="","",DONNEES!K843)</f>
        <v/>
      </c>
      <c r="K843" t="str">
        <f>IF(DONNEES!$E843="","",DONNEES!L843)</f>
        <v/>
      </c>
      <c r="L843" t="str">
        <f>IF(DONNEES!$E843="","",DONNEES!M843)</f>
        <v/>
      </c>
      <c r="M843" t="str">
        <f>IF(DONNEES!$E843="","",DONNEES!N843)</f>
        <v/>
      </c>
      <c r="N843" t="str">
        <f>IF(DONNEES!$E843="","",DONNEES!O843)</f>
        <v/>
      </c>
      <c r="O843" t="str">
        <f>IF(DONNEES!$E843="","",DONNEES!P843)</f>
        <v/>
      </c>
      <c r="P843" t="str">
        <f>IF(DONNEES!$E843="","",DONNEES!Q843)</f>
        <v/>
      </c>
      <c r="Q843" t="str">
        <f>IF(DONNEES!$E843="","",DONNEES!R843)</f>
        <v/>
      </c>
      <c r="R843" t="str">
        <f>IF(DONNEES!$E843="","",DONNEES!S843)</f>
        <v/>
      </c>
      <c r="S843" t="str">
        <f>IF(DONNEES!$E843="","",DONNEES!T843)</f>
        <v/>
      </c>
      <c r="T843" t="str">
        <f>IF(DONNEES!$E843="","",DONNEES!U843)</f>
        <v/>
      </c>
      <c r="U843" t="str">
        <f>IF(DONNEES!$E843="","",DONNEES!V843)</f>
        <v/>
      </c>
      <c r="V843" t="str">
        <f>IF(DONNEES!$E843="","",DONNEES!W843)</f>
        <v/>
      </c>
      <c r="W843" t="str">
        <f>IF(DONNEES!$E843="","",DONNEES!X843)</f>
        <v/>
      </c>
      <c r="X843" t="str">
        <f>IF(DONNEES!$E843="","",DONNEES!Y843)</f>
        <v/>
      </c>
      <c r="Y843" t="str">
        <f>IF(DONNEES!$E843="","",DONNEES!Z843)</f>
        <v/>
      </c>
      <c r="Z843" t="str">
        <f>IF(DONNEES!$E843="","",DONNEES!AQ843)</f>
        <v/>
      </c>
    </row>
    <row r="844" spans="1:26" ht="15" customHeight="1" x14ac:dyDescent="0.3">
      <c r="A844" t="str">
        <f>IF(DONNEES!$E844="","",DONNEES!A844)</f>
        <v/>
      </c>
      <c r="B844" t="str">
        <f>IF(DONNEES!$E844="","",DONNEES!B844)</f>
        <v/>
      </c>
      <c r="C844" t="str">
        <f>IF(DONNEES!$E844="","",DONNEES!C844)</f>
        <v/>
      </c>
      <c r="D844" t="str">
        <f>IF(DONNEES!$E844="","",DONNEES!E844)</f>
        <v/>
      </c>
      <c r="E844" t="str">
        <f>IF(DONNEES!$E844="","",DONNEES!F844)</f>
        <v/>
      </c>
      <c r="F844" t="str">
        <f>IF(DONNEES!$E844="","",DONNEES!G844)</f>
        <v/>
      </c>
      <c r="G844" t="str">
        <f>IF(DONNEES!$E844="","",DONNEES!H844)</f>
        <v/>
      </c>
      <c r="H844" t="str">
        <f>IF(DONNEES!$E844="","",DONNEES!I844)</f>
        <v/>
      </c>
      <c r="I844" t="str">
        <f>IF(DONNEES!$E844="","",DONNEES!J844)</f>
        <v/>
      </c>
      <c r="J844" t="str">
        <f>IF(DONNEES!$E844="","",DONNEES!K844)</f>
        <v/>
      </c>
      <c r="K844" t="str">
        <f>IF(DONNEES!$E844="","",DONNEES!L844)</f>
        <v/>
      </c>
      <c r="L844" t="str">
        <f>IF(DONNEES!$E844="","",DONNEES!M844)</f>
        <v/>
      </c>
      <c r="M844" t="str">
        <f>IF(DONNEES!$E844="","",DONNEES!N844)</f>
        <v/>
      </c>
      <c r="N844" t="str">
        <f>IF(DONNEES!$E844="","",DONNEES!O844)</f>
        <v/>
      </c>
      <c r="O844" t="str">
        <f>IF(DONNEES!$E844="","",DONNEES!P844)</f>
        <v/>
      </c>
      <c r="P844" t="str">
        <f>IF(DONNEES!$E844="","",DONNEES!Q844)</f>
        <v/>
      </c>
      <c r="Q844" t="str">
        <f>IF(DONNEES!$E844="","",DONNEES!R844)</f>
        <v/>
      </c>
      <c r="R844" t="str">
        <f>IF(DONNEES!$E844="","",DONNEES!S844)</f>
        <v/>
      </c>
      <c r="S844" t="str">
        <f>IF(DONNEES!$E844="","",DONNEES!T844)</f>
        <v/>
      </c>
      <c r="T844" t="str">
        <f>IF(DONNEES!$E844="","",DONNEES!U844)</f>
        <v/>
      </c>
      <c r="U844" t="str">
        <f>IF(DONNEES!$E844="","",DONNEES!V844)</f>
        <v/>
      </c>
      <c r="V844" t="str">
        <f>IF(DONNEES!$E844="","",DONNEES!W844)</f>
        <v/>
      </c>
      <c r="W844" t="str">
        <f>IF(DONNEES!$E844="","",DONNEES!X844)</f>
        <v/>
      </c>
      <c r="X844" t="str">
        <f>IF(DONNEES!$E844="","",DONNEES!Y844)</f>
        <v/>
      </c>
      <c r="Y844" t="str">
        <f>IF(DONNEES!$E844="","",DONNEES!Z844)</f>
        <v/>
      </c>
      <c r="Z844" t="str">
        <f>IF(DONNEES!$E844="","",DONNEES!AQ844)</f>
        <v/>
      </c>
    </row>
    <row r="845" spans="1:26" ht="15" customHeight="1" x14ac:dyDescent="0.3">
      <c r="A845" t="str">
        <f>IF(DONNEES!$E845="","",DONNEES!A845)</f>
        <v/>
      </c>
      <c r="B845" t="str">
        <f>IF(DONNEES!$E845="","",DONNEES!B845)</f>
        <v/>
      </c>
      <c r="C845" t="str">
        <f>IF(DONNEES!$E845="","",DONNEES!C845)</f>
        <v/>
      </c>
      <c r="D845" t="str">
        <f>IF(DONNEES!$E845="","",DONNEES!E845)</f>
        <v/>
      </c>
      <c r="E845" t="str">
        <f>IF(DONNEES!$E845="","",DONNEES!F845)</f>
        <v/>
      </c>
      <c r="F845" t="str">
        <f>IF(DONNEES!$E845="","",DONNEES!G845)</f>
        <v/>
      </c>
      <c r="G845" t="str">
        <f>IF(DONNEES!$E845="","",DONNEES!H845)</f>
        <v/>
      </c>
      <c r="H845" t="str">
        <f>IF(DONNEES!$E845="","",DONNEES!I845)</f>
        <v/>
      </c>
      <c r="I845" t="str">
        <f>IF(DONNEES!$E845="","",DONNEES!J845)</f>
        <v/>
      </c>
      <c r="J845" t="str">
        <f>IF(DONNEES!$E845="","",DONNEES!K845)</f>
        <v/>
      </c>
      <c r="K845" t="str">
        <f>IF(DONNEES!$E845="","",DONNEES!L845)</f>
        <v/>
      </c>
      <c r="L845" t="str">
        <f>IF(DONNEES!$E845="","",DONNEES!M845)</f>
        <v/>
      </c>
      <c r="M845" t="str">
        <f>IF(DONNEES!$E845="","",DONNEES!N845)</f>
        <v/>
      </c>
      <c r="N845" t="str">
        <f>IF(DONNEES!$E845="","",DONNEES!O845)</f>
        <v/>
      </c>
      <c r="O845" t="str">
        <f>IF(DONNEES!$E845="","",DONNEES!P845)</f>
        <v/>
      </c>
      <c r="P845" t="str">
        <f>IF(DONNEES!$E845="","",DONNEES!Q845)</f>
        <v/>
      </c>
      <c r="Q845" t="str">
        <f>IF(DONNEES!$E845="","",DONNEES!R845)</f>
        <v/>
      </c>
      <c r="R845" t="str">
        <f>IF(DONNEES!$E845="","",DONNEES!S845)</f>
        <v/>
      </c>
      <c r="S845" t="str">
        <f>IF(DONNEES!$E845="","",DONNEES!T845)</f>
        <v/>
      </c>
      <c r="T845" t="str">
        <f>IF(DONNEES!$E845="","",DONNEES!U845)</f>
        <v/>
      </c>
      <c r="U845" t="str">
        <f>IF(DONNEES!$E845="","",DONNEES!V845)</f>
        <v/>
      </c>
      <c r="V845" t="str">
        <f>IF(DONNEES!$E845="","",DONNEES!W845)</f>
        <v/>
      </c>
      <c r="W845" t="str">
        <f>IF(DONNEES!$E845="","",DONNEES!X845)</f>
        <v/>
      </c>
      <c r="X845" t="str">
        <f>IF(DONNEES!$E845="","",DONNEES!Y845)</f>
        <v/>
      </c>
      <c r="Y845" t="str">
        <f>IF(DONNEES!$E845="","",DONNEES!Z845)</f>
        <v/>
      </c>
      <c r="Z845" t="str">
        <f>IF(DONNEES!$E845="","",DONNEES!AQ845)</f>
        <v/>
      </c>
    </row>
    <row r="846" spans="1:26" ht="15" customHeight="1" x14ac:dyDescent="0.3">
      <c r="A846" t="str">
        <f>IF(DONNEES!$E846="","",DONNEES!A846)</f>
        <v/>
      </c>
      <c r="B846" t="str">
        <f>IF(DONNEES!$E846="","",DONNEES!B846)</f>
        <v/>
      </c>
      <c r="C846" t="str">
        <f>IF(DONNEES!$E846="","",DONNEES!C846)</f>
        <v/>
      </c>
      <c r="D846" t="str">
        <f>IF(DONNEES!$E846="","",DONNEES!E846)</f>
        <v/>
      </c>
      <c r="E846" t="str">
        <f>IF(DONNEES!$E846="","",DONNEES!F846)</f>
        <v/>
      </c>
      <c r="F846" t="str">
        <f>IF(DONNEES!$E846="","",DONNEES!G846)</f>
        <v/>
      </c>
      <c r="G846" t="str">
        <f>IF(DONNEES!$E846="","",DONNEES!H846)</f>
        <v/>
      </c>
      <c r="H846" t="str">
        <f>IF(DONNEES!$E846="","",DONNEES!I846)</f>
        <v/>
      </c>
      <c r="I846" t="str">
        <f>IF(DONNEES!$E846="","",DONNEES!J846)</f>
        <v/>
      </c>
      <c r="J846" t="str">
        <f>IF(DONNEES!$E846="","",DONNEES!K846)</f>
        <v/>
      </c>
      <c r="K846" t="str">
        <f>IF(DONNEES!$E846="","",DONNEES!L846)</f>
        <v/>
      </c>
      <c r="L846" t="str">
        <f>IF(DONNEES!$E846="","",DONNEES!M846)</f>
        <v/>
      </c>
      <c r="M846" t="str">
        <f>IF(DONNEES!$E846="","",DONNEES!N846)</f>
        <v/>
      </c>
      <c r="N846" t="str">
        <f>IF(DONNEES!$E846="","",DONNEES!O846)</f>
        <v/>
      </c>
      <c r="O846" t="str">
        <f>IF(DONNEES!$E846="","",DONNEES!P846)</f>
        <v/>
      </c>
      <c r="P846" t="str">
        <f>IF(DONNEES!$E846="","",DONNEES!Q846)</f>
        <v/>
      </c>
      <c r="Q846" t="str">
        <f>IF(DONNEES!$E846="","",DONNEES!R846)</f>
        <v/>
      </c>
      <c r="R846" t="str">
        <f>IF(DONNEES!$E846="","",DONNEES!S846)</f>
        <v/>
      </c>
      <c r="S846" t="str">
        <f>IF(DONNEES!$E846="","",DONNEES!T846)</f>
        <v/>
      </c>
      <c r="T846" t="str">
        <f>IF(DONNEES!$E846="","",DONNEES!U846)</f>
        <v/>
      </c>
      <c r="U846" t="str">
        <f>IF(DONNEES!$E846="","",DONNEES!V846)</f>
        <v/>
      </c>
      <c r="V846" t="str">
        <f>IF(DONNEES!$E846="","",DONNEES!W846)</f>
        <v/>
      </c>
      <c r="W846" t="str">
        <f>IF(DONNEES!$E846="","",DONNEES!X846)</f>
        <v/>
      </c>
      <c r="X846" t="str">
        <f>IF(DONNEES!$E846="","",DONNEES!Y846)</f>
        <v/>
      </c>
      <c r="Y846" t="str">
        <f>IF(DONNEES!$E846="","",DONNEES!Z846)</f>
        <v/>
      </c>
      <c r="Z846" t="str">
        <f>IF(DONNEES!$E846="","",DONNEES!AQ846)</f>
        <v/>
      </c>
    </row>
    <row r="847" spans="1:26" ht="15" customHeight="1" x14ac:dyDescent="0.3">
      <c r="A847" t="str">
        <f>IF(DONNEES!$E847="","",DONNEES!A847)</f>
        <v/>
      </c>
      <c r="B847" t="str">
        <f>IF(DONNEES!$E847="","",DONNEES!B847)</f>
        <v/>
      </c>
      <c r="C847" t="str">
        <f>IF(DONNEES!$E847="","",DONNEES!C847)</f>
        <v/>
      </c>
      <c r="D847" t="str">
        <f>IF(DONNEES!$E847="","",DONNEES!E847)</f>
        <v/>
      </c>
      <c r="E847" t="str">
        <f>IF(DONNEES!$E847="","",DONNEES!F847)</f>
        <v/>
      </c>
      <c r="F847" t="str">
        <f>IF(DONNEES!$E847="","",DONNEES!G847)</f>
        <v/>
      </c>
      <c r="G847" t="str">
        <f>IF(DONNEES!$E847="","",DONNEES!H847)</f>
        <v/>
      </c>
      <c r="H847" t="str">
        <f>IF(DONNEES!$E847="","",DONNEES!I847)</f>
        <v/>
      </c>
      <c r="I847" t="str">
        <f>IF(DONNEES!$E847="","",DONNEES!J847)</f>
        <v/>
      </c>
      <c r="J847" t="str">
        <f>IF(DONNEES!$E847="","",DONNEES!K847)</f>
        <v/>
      </c>
      <c r="K847" t="str">
        <f>IF(DONNEES!$E847="","",DONNEES!L847)</f>
        <v/>
      </c>
      <c r="L847" t="str">
        <f>IF(DONNEES!$E847="","",DONNEES!M847)</f>
        <v/>
      </c>
      <c r="M847" t="str">
        <f>IF(DONNEES!$E847="","",DONNEES!N847)</f>
        <v/>
      </c>
      <c r="N847" t="str">
        <f>IF(DONNEES!$E847="","",DONNEES!O847)</f>
        <v/>
      </c>
      <c r="O847" t="str">
        <f>IF(DONNEES!$E847="","",DONNEES!P847)</f>
        <v/>
      </c>
      <c r="P847" t="str">
        <f>IF(DONNEES!$E847="","",DONNEES!Q847)</f>
        <v/>
      </c>
      <c r="Q847" t="str">
        <f>IF(DONNEES!$E847="","",DONNEES!R847)</f>
        <v/>
      </c>
      <c r="R847" t="str">
        <f>IF(DONNEES!$E847="","",DONNEES!S847)</f>
        <v/>
      </c>
      <c r="S847" t="str">
        <f>IF(DONNEES!$E847="","",DONNEES!T847)</f>
        <v/>
      </c>
      <c r="T847" t="str">
        <f>IF(DONNEES!$E847="","",DONNEES!U847)</f>
        <v/>
      </c>
      <c r="U847" t="str">
        <f>IF(DONNEES!$E847="","",DONNEES!V847)</f>
        <v/>
      </c>
      <c r="V847" t="str">
        <f>IF(DONNEES!$E847="","",DONNEES!W847)</f>
        <v/>
      </c>
      <c r="W847" t="str">
        <f>IF(DONNEES!$E847="","",DONNEES!X847)</f>
        <v/>
      </c>
      <c r="X847" t="str">
        <f>IF(DONNEES!$E847="","",DONNEES!Y847)</f>
        <v/>
      </c>
      <c r="Y847" t="str">
        <f>IF(DONNEES!$E847="","",DONNEES!Z847)</f>
        <v/>
      </c>
      <c r="Z847" t="str">
        <f>IF(DONNEES!$E847="","",DONNEES!AQ847)</f>
        <v/>
      </c>
    </row>
    <row r="848" spans="1:26" ht="15" customHeight="1" x14ac:dyDescent="0.3">
      <c r="A848" t="str">
        <f>IF(DONNEES!$E848="","",DONNEES!A848)</f>
        <v/>
      </c>
      <c r="B848" t="str">
        <f>IF(DONNEES!$E848="","",DONNEES!B848)</f>
        <v/>
      </c>
      <c r="C848" t="str">
        <f>IF(DONNEES!$E848="","",DONNEES!C848)</f>
        <v/>
      </c>
      <c r="D848" t="str">
        <f>IF(DONNEES!$E848="","",DONNEES!E848)</f>
        <v/>
      </c>
      <c r="E848" t="str">
        <f>IF(DONNEES!$E848="","",DONNEES!F848)</f>
        <v/>
      </c>
      <c r="F848" t="str">
        <f>IF(DONNEES!$E848="","",DONNEES!G848)</f>
        <v/>
      </c>
      <c r="G848" t="str">
        <f>IF(DONNEES!$E848="","",DONNEES!H848)</f>
        <v/>
      </c>
      <c r="H848" t="str">
        <f>IF(DONNEES!$E848="","",DONNEES!I848)</f>
        <v/>
      </c>
      <c r="I848" t="str">
        <f>IF(DONNEES!$E848="","",DONNEES!J848)</f>
        <v/>
      </c>
      <c r="J848" t="str">
        <f>IF(DONNEES!$E848="","",DONNEES!K848)</f>
        <v/>
      </c>
      <c r="K848" t="str">
        <f>IF(DONNEES!$E848="","",DONNEES!L848)</f>
        <v/>
      </c>
      <c r="L848" t="str">
        <f>IF(DONNEES!$E848="","",DONNEES!M848)</f>
        <v/>
      </c>
      <c r="M848" t="str">
        <f>IF(DONNEES!$E848="","",DONNEES!N848)</f>
        <v/>
      </c>
      <c r="N848" t="str">
        <f>IF(DONNEES!$E848="","",DONNEES!O848)</f>
        <v/>
      </c>
      <c r="O848" t="str">
        <f>IF(DONNEES!$E848="","",DONNEES!P848)</f>
        <v/>
      </c>
      <c r="P848" t="str">
        <f>IF(DONNEES!$E848="","",DONNEES!Q848)</f>
        <v/>
      </c>
      <c r="Q848" t="str">
        <f>IF(DONNEES!$E848="","",DONNEES!R848)</f>
        <v/>
      </c>
      <c r="R848" t="str">
        <f>IF(DONNEES!$E848="","",DONNEES!S848)</f>
        <v/>
      </c>
      <c r="S848" t="str">
        <f>IF(DONNEES!$E848="","",DONNEES!T848)</f>
        <v/>
      </c>
      <c r="T848" t="str">
        <f>IF(DONNEES!$E848="","",DONNEES!U848)</f>
        <v/>
      </c>
      <c r="U848" t="str">
        <f>IF(DONNEES!$E848="","",DONNEES!V848)</f>
        <v/>
      </c>
      <c r="V848" t="str">
        <f>IF(DONNEES!$E848="","",DONNEES!W848)</f>
        <v/>
      </c>
      <c r="W848" t="str">
        <f>IF(DONNEES!$E848="","",DONNEES!X848)</f>
        <v/>
      </c>
      <c r="X848" t="str">
        <f>IF(DONNEES!$E848="","",DONNEES!Y848)</f>
        <v/>
      </c>
      <c r="Y848" t="str">
        <f>IF(DONNEES!$E848="","",DONNEES!Z848)</f>
        <v/>
      </c>
      <c r="Z848" t="str">
        <f>IF(DONNEES!$E848="","",DONNEES!AQ848)</f>
        <v/>
      </c>
    </row>
    <row r="849" spans="1:26" ht="15" customHeight="1" x14ac:dyDescent="0.3">
      <c r="A849" t="str">
        <f>IF(DONNEES!$E849="","",DONNEES!A849)</f>
        <v/>
      </c>
      <c r="B849" t="str">
        <f>IF(DONNEES!$E849="","",DONNEES!B849)</f>
        <v/>
      </c>
      <c r="C849" t="str">
        <f>IF(DONNEES!$E849="","",DONNEES!C849)</f>
        <v/>
      </c>
      <c r="D849" t="str">
        <f>IF(DONNEES!$E849="","",DONNEES!E849)</f>
        <v/>
      </c>
      <c r="E849" t="str">
        <f>IF(DONNEES!$E849="","",DONNEES!F849)</f>
        <v/>
      </c>
      <c r="F849" t="str">
        <f>IF(DONNEES!$E849="","",DONNEES!G849)</f>
        <v/>
      </c>
      <c r="G849" t="str">
        <f>IF(DONNEES!$E849="","",DONNEES!H849)</f>
        <v/>
      </c>
      <c r="H849" t="str">
        <f>IF(DONNEES!$E849="","",DONNEES!I849)</f>
        <v/>
      </c>
      <c r="I849" t="str">
        <f>IF(DONNEES!$E849="","",DONNEES!J849)</f>
        <v/>
      </c>
      <c r="J849" t="str">
        <f>IF(DONNEES!$E849="","",DONNEES!K849)</f>
        <v/>
      </c>
      <c r="K849" t="str">
        <f>IF(DONNEES!$E849="","",DONNEES!L849)</f>
        <v/>
      </c>
      <c r="L849" t="str">
        <f>IF(DONNEES!$E849="","",DONNEES!M849)</f>
        <v/>
      </c>
      <c r="M849" t="str">
        <f>IF(DONNEES!$E849="","",DONNEES!N849)</f>
        <v/>
      </c>
      <c r="N849" t="str">
        <f>IF(DONNEES!$E849="","",DONNEES!O849)</f>
        <v/>
      </c>
      <c r="O849" t="str">
        <f>IF(DONNEES!$E849="","",DONNEES!P849)</f>
        <v/>
      </c>
      <c r="P849" t="str">
        <f>IF(DONNEES!$E849="","",DONNEES!Q849)</f>
        <v/>
      </c>
      <c r="Q849" t="str">
        <f>IF(DONNEES!$E849="","",DONNEES!R849)</f>
        <v/>
      </c>
      <c r="R849" t="str">
        <f>IF(DONNEES!$E849="","",DONNEES!S849)</f>
        <v/>
      </c>
      <c r="S849" t="str">
        <f>IF(DONNEES!$E849="","",DONNEES!T849)</f>
        <v/>
      </c>
      <c r="T849" t="str">
        <f>IF(DONNEES!$E849="","",DONNEES!U849)</f>
        <v/>
      </c>
      <c r="U849" t="str">
        <f>IF(DONNEES!$E849="","",DONNEES!V849)</f>
        <v/>
      </c>
      <c r="V849" t="str">
        <f>IF(DONNEES!$E849="","",DONNEES!W849)</f>
        <v/>
      </c>
      <c r="W849" t="str">
        <f>IF(DONNEES!$E849="","",DONNEES!X849)</f>
        <v/>
      </c>
      <c r="X849" t="str">
        <f>IF(DONNEES!$E849="","",DONNEES!Y849)</f>
        <v/>
      </c>
      <c r="Y849" t="str">
        <f>IF(DONNEES!$E849="","",DONNEES!Z849)</f>
        <v/>
      </c>
      <c r="Z849" t="str">
        <f>IF(DONNEES!$E849="","",DONNEES!AQ849)</f>
        <v/>
      </c>
    </row>
    <row r="850" spans="1:26" ht="15" customHeight="1" x14ac:dyDescent="0.3">
      <c r="A850" t="str">
        <f>IF(DONNEES!$E850="","",DONNEES!A850)</f>
        <v/>
      </c>
      <c r="B850" t="str">
        <f>IF(DONNEES!$E850="","",DONNEES!B850)</f>
        <v/>
      </c>
      <c r="C850" t="str">
        <f>IF(DONNEES!$E850="","",DONNEES!C850)</f>
        <v/>
      </c>
      <c r="D850" t="str">
        <f>IF(DONNEES!$E850="","",DONNEES!E850)</f>
        <v/>
      </c>
      <c r="E850" t="str">
        <f>IF(DONNEES!$E850="","",DONNEES!F850)</f>
        <v/>
      </c>
      <c r="F850" t="str">
        <f>IF(DONNEES!$E850="","",DONNEES!G850)</f>
        <v/>
      </c>
      <c r="G850" t="str">
        <f>IF(DONNEES!$E850="","",DONNEES!H850)</f>
        <v/>
      </c>
      <c r="H850" t="str">
        <f>IF(DONNEES!$E850="","",DONNEES!I850)</f>
        <v/>
      </c>
      <c r="I850" t="str">
        <f>IF(DONNEES!$E850="","",DONNEES!J850)</f>
        <v/>
      </c>
      <c r="J850" t="str">
        <f>IF(DONNEES!$E850="","",DONNEES!K850)</f>
        <v/>
      </c>
      <c r="K850" t="str">
        <f>IF(DONNEES!$E850="","",DONNEES!L850)</f>
        <v/>
      </c>
      <c r="L850" t="str">
        <f>IF(DONNEES!$E850="","",DONNEES!M850)</f>
        <v/>
      </c>
      <c r="M850" t="str">
        <f>IF(DONNEES!$E850="","",DONNEES!N850)</f>
        <v/>
      </c>
      <c r="N850" t="str">
        <f>IF(DONNEES!$E850="","",DONNEES!O850)</f>
        <v/>
      </c>
      <c r="O850" t="str">
        <f>IF(DONNEES!$E850="","",DONNEES!P850)</f>
        <v/>
      </c>
      <c r="P850" t="str">
        <f>IF(DONNEES!$E850="","",DONNEES!Q850)</f>
        <v/>
      </c>
      <c r="Q850" t="str">
        <f>IF(DONNEES!$E850="","",DONNEES!R850)</f>
        <v/>
      </c>
      <c r="R850" t="str">
        <f>IF(DONNEES!$E850="","",DONNEES!S850)</f>
        <v/>
      </c>
      <c r="S850" t="str">
        <f>IF(DONNEES!$E850="","",DONNEES!T850)</f>
        <v/>
      </c>
      <c r="T850" t="str">
        <f>IF(DONNEES!$E850="","",DONNEES!U850)</f>
        <v/>
      </c>
      <c r="U850" t="str">
        <f>IF(DONNEES!$E850="","",DONNEES!V850)</f>
        <v/>
      </c>
      <c r="V850" t="str">
        <f>IF(DONNEES!$E850="","",DONNEES!W850)</f>
        <v/>
      </c>
      <c r="W850" t="str">
        <f>IF(DONNEES!$E850="","",DONNEES!X850)</f>
        <v/>
      </c>
      <c r="X850" t="str">
        <f>IF(DONNEES!$E850="","",DONNEES!Y850)</f>
        <v/>
      </c>
      <c r="Y850" t="str">
        <f>IF(DONNEES!$E850="","",DONNEES!Z850)</f>
        <v/>
      </c>
      <c r="Z850" t="str">
        <f>IF(DONNEES!$E850="","",DONNEES!AQ850)</f>
        <v/>
      </c>
    </row>
    <row r="851" spans="1:26" ht="15" customHeight="1" x14ac:dyDescent="0.3">
      <c r="A851" t="str">
        <f>IF(DONNEES!$E851="","",DONNEES!A851)</f>
        <v/>
      </c>
      <c r="B851" t="str">
        <f>IF(DONNEES!$E851="","",DONNEES!B851)</f>
        <v/>
      </c>
      <c r="C851" t="str">
        <f>IF(DONNEES!$E851="","",DONNEES!C851)</f>
        <v/>
      </c>
      <c r="D851" t="str">
        <f>IF(DONNEES!$E851="","",DONNEES!E851)</f>
        <v/>
      </c>
      <c r="E851" t="str">
        <f>IF(DONNEES!$E851="","",DONNEES!F851)</f>
        <v/>
      </c>
      <c r="F851" t="str">
        <f>IF(DONNEES!$E851="","",DONNEES!G851)</f>
        <v/>
      </c>
      <c r="G851" t="str">
        <f>IF(DONNEES!$E851="","",DONNEES!H851)</f>
        <v/>
      </c>
      <c r="H851" t="str">
        <f>IF(DONNEES!$E851="","",DONNEES!I851)</f>
        <v/>
      </c>
      <c r="I851" t="str">
        <f>IF(DONNEES!$E851="","",DONNEES!J851)</f>
        <v/>
      </c>
      <c r="J851" t="str">
        <f>IF(DONNEES!$E851="","",DONNEES!K851)</f>
        <v/>
      </c>
      <c r="K851" t="str">
        <f>IF(DONNEES!$E851="","",DONNEES!L851)</f>
        <v/>
      </c>
      <c r="L851" t="str">
        <f>IF(DONNEES!$E851="","",DONNEES!M851)</f>
        <v/>
      </c>
      <c r="M851" t="str">
        <f>IF(DONNEES!$E851="","",DONNEES!N851)</f>
        <v/>
      </c>
      <c r="N851" t="str">
        <f>IF(DONNEES!$E851="","",DONNEES!O851)</f>
        <v/>
      </c>
      <c r="O851" t="str">
        <f>IF(DONNEES!$E851="","",DONNEES!P851)</f>
        <v/>
      </c>
      <c r="P851" t="str">
        <f>IF(DONNEES!$E851="","",DONNEES!Q851)</f>
        <v/>
      </c>
      <c r="Q851" t="str">
        <f>IF(DONNEES!$E851="","",DONNEES!R851)</f>
        <v/>
      </c>
      <c r="R851" t="str">
        <f>IF(DONNEES!$E851="","",DONNEES!S851)</f>
        <v/>
      </c>
      <c r="S851" t="str">
        <f>IF(DONNEES!$E851="","",DONNEES!T851)</f>
        <v/>
      </c>
      <c r="T851" t="str">
        <f>IF(DONNEES!$E851="","",DONNEES!U851)</f>
        <v/>
      </c>
      <c r="U851" t="str">
        <f>IF(DONNEES!$E851="","",DONNEES!V851)</f>
        <v/>
      </c>
      <c r="V851" t="str">
        <f>IF(DONNEES!$E851="","",DONNEES!W851)</f>
        <v/>
      </c>
      <c r="W851" t="str">
        <f>IF(DONNEES!$E851="","",DONNEES!X851)</f>
        <v/>
      </c>
      <c r="X851" t="str">
        <f>IF(DONNEES!$E851="","",DONNEES!Y851)</f>
        <v/>
      </c>
      <c r="Y851" t="str">
        <f>IF(DONNEES!$E851="","",DONNEES!Z851)</f>
        <v/>
      </c>
      <c r="Z851" t="str">
        <f>IF(DONNEES!$E851="","",DONNEES!AQ851)</f>
        <v/>
      </c>
    </row>
    <row r="852" spans="1:26" ht="15" customHeight="1" x14ac:dyDescent="0.3">
      <c r="A852" t="str">
        <f>IF(DONNEES!$E852="","",DONNEES!A852)</f>
        <v/>
      </c>
      <c r="B852" t="str">
        <f>IF(DONNEES!$E852="","",DONNEES!B852)</f>
        <v/>
      </c>
      <c r="C852" t="str">
        <f>IF(DONNEES!$E852="","",DONNEES!C852)</f>
        <v/>
      </c>
      <c r="D852" t="str">
        <f>IF(DONNEES!$E852="","",DONNEES!E852)</f>
        <v/>
      </c>
      <c r="E852" t="str">
        <f>IF(DONNEES!$E852="","",DONNEES!F852)</f>
        <v/>
      </c>
      <c r="F852" t="str">
        <f>IF(DONNEES!$E852="","",DONNEES!G852)</f>
        <v/>
      </c>
      <c r="G852" t="str">
        <f>IF(DONNEES!$E852="","",DONNEES!H852)</f>
        <v/>
      </c>
      <c r="H852" t="str">
        <f>IF(DONNEES!$E852="","",DONNEES!I852)</f>
        <v/>
      </c>
      <c r="I852" t="str">
        <f>IF(DONNEES!$E852="","",DONNEES!J852)</f>
        <v/>
      </c>
      <c r="J852" t="str">
        <f>IF(DONNEES!$E852="","",DONNEES!K852)</f>
        <v/>
      </c>
      <c r="K852" t="str">
        <f>IF(DONNEES!$E852="","",DONNEES!L852)</f>
        <v/>
      </c>
      <c r="L852" t="str">
        <f>IF(DONNEES!$E852="","",DONNEES!M852)</f>
        <v/>
      </c>
      <c r="M852" t="str">
        <f>IF(DONNEES!$E852="","",DONNEES!N852)</f>
        <v/>
      </c>
      <c r="N852" t="str">
        <f>IF(DONNEES!$E852="","",DONNEES!O852)</f>
        <v/>
      </c>
      <c r="O852" t="str">
        <f>IF(DONNEES!$E852="","",DONNEES!P852)</f>
        <v/>
      </c>
      <c r="P852" t="str">
        <f>IF(DONNEES!$E852="","",DONNEES!Q852)</f>
        <v/>
      </c>
      <c r="Q852" t="str">
        <f>IF(DONNEES!$E852="","",DONNEES!R852)</f>
        <v/>
      </c>
      <c r="R852" t="str">
        <f>IF(DONNEES!$E852="","",DONNEES!S852)</f>
        <v/>
      </c>
      <c r="S852" t="str">
        <f>IF(DONNEES!$E852="","",DONNEES!T852)</f>
        <v/>
      </c>
      <c r="T852" t="str">
        <f>IF(DONNEES!$E852="","",DONNEES!U852)</f>
        <v/>
      </c>
      <c r="U852" t="str">
        <f>IF(DONNEES!$E852="","",DONNEES!V852)</f>
        <v/>
      </c>
      <c r="V852" t="str">
        <f>IF(DONNEES!$E852="","",DONNEES!W852)</f>
        <v/>
      </c>
      <c r="W852" t="str">
        <f>IF(DONNEES!$E852="","",DONNEES!X852)</f>
        <v/>
      </c>
      <c r="X852" t="str">
        <f>IF(DONNEES!$E852="","",DONNEES!Y852)</f>
        <v/>
      </c>
      <c r="Y852" t="str">
        <f>IF(DONNEES!$E852="","",DONNEES!Z852)</f>
        <v/>
      </c>
      <c r="Z852" t="str">
        <f>IF(DONNEES!$E852="","",DONNEES!AQ852)</f>
        <v/>
      </c>
    </row>
    <row r="853" spans="1:26" ht="15" customHeight="1" x14ac:dyDescent="0.3">
      <c r="A853" t="str">
        <f>IF(DONNEES!$E853="","",DONNEES!A853)</f>
        <v/>
      </c>
      <c r="B853" t="str">
        <f>IF(DONNEES!$E853="","",DONNEES!B853)</f>
        <v/>
      </c>
      <c r="C853" t="str">
        <f>IF(DONNEES!$E853="","",DONNEES!C853)</f>
        <v/>
      </c>
      <c r="D853" t="str">
        <f>IF(DONNEES!$E853="","",DONNEES!E853)</f>
        <v/>
      </c>
      <c r="E853" t="str">
        <f>IF(DONNEES!$E853="","",DONNEES!F853)</f>
        <v/>
      </c>
      <c r="F853" t="str">
        <f>IF(DONNEES!$E853="","",DONNEES!G853)</f>
        <v/>
      </c>
      <c r="G853" t="str">
        <f>IF(DONNEES!$E853="","",DONNEES!H853)</f>
        <v/>
      </c>
      <c r="H853" t="str">
        <f>IF(DONNEES!$E853="","",DONNEES!I853)</f>
        <v/>
      </c>
      <c r="I853" t="str">
        <f>IF(DONNEES!$E853="","",DONNEES!J853)</f>
        <v/>
      </c>
      <c r="J853" t="str">
        <f>IF(DONNEES!$E853="","",DONNEES!K853)</f>
        <v/>
      </c>
      <c r="K853" t="str">
        <f>IF(DONNEES!$E853="","",DONNEES!L853)</f>
        <v/>
      </c>
      <c r="L853" t="str">
        <f>IF(DONNEES!$E853="","",DONNEES!M853)</f>
        <v/>
      </c>
      <c r="M853" t="str">
        <f>IF(DONNEES!$E853="","",DONNEES!N853)</f>
        <v/>
      </c>
      <c r="N853" t="str">
        <f>IF(DONNEES!$E853="","",DONNEES!O853)</f>
        <v/>
      </c>
      <c r="O853" t="str">
        <f>IF(DONNEES!$E853="","",DONNEES!P853)</f>
        <v/>
      </c>
      <c r="P853" t="str">
        <f>IF(DONNEES!$E853="","",DONNEES!Q853)</f>
        <v/>
      </c>
      <c r="Q853" t="str">
        <f>IF(DONNEES!$E853="","",DONNEES!R853)</f>
        <v/>
      </c>
      <c r="R853" t="str">
        <f>IF(DONNEES!$E853="","",DONNEES!S853)</f>
        <v/>
      </c>
      <c r="S853" t="str">
        <f>IF(DONNEES!$E853="","",DONNEES!T853)</f>
        <v/>
      </c>
      <c r="T853" t="str">
        <f>IF(DONNEES!$E853="","",DONNEES!U853)</f>
        <v/>
      </c>
      <c r="U853" t="str">
        <f>IF(DONNEES!$E853="","",DONNEES!V853)</f>
        <v/>
      </c>
      <c r="V853" t="str">
        <f>IF(DONNEES!$E853="","",DONNEES!W853)</f>
        <v/>
      </c>
      <c r="W853" t="str">
        <f>IF(DONNEES!$E853="","",DONNEES!X853)</f>
        <v/>
      </c>
      <c r="X853" t="str">
        <f>IF(DONNEES!$E853="","",DONNEES!Y853)</f>
        <v/>
      </c>
      <c r="Y853" t="str">
        <f>IF(DONNEES!$E853="","",DONNEES!Z853)</f>
        <v/>
      </c>
      <c r="Z853" t="str">
        <f>IF(DONNEES!$E853="","",DONNEES!AQ853)</f>
        <v/>
      </c>
    </row>
    <row r="854" spans="1:26" ht="15" customHeight="1" x14ac:dyDescent="0.3">
      <c r="A854" t="str">
        <f>IF(DONNEES!$E854="","",DONNEES!A854)</f>
        <v/>
      </c>
      <c r="B854" t="str">
        <f>IF(DONNEES!$E854="","",DONNEES!B854)</f>
        <v/>
      </c>
      <c r="C854" t="str">
        <f>IF(DONNEES!$E854="","",DONNEES!C854)</f>
        <v/>
      </c>
      <c r="D854" t="str">
        <f>IF(DONNEES!$E854="","",DONNEES!E854)</f>
        <v/>
      </c>
      <c r="E854" t="str">
        <f>IF(DONNEES!$E854="","",DONNEES!F854)</f>
        <v/>
      </c>
      <c r="F854" t="str">
        <f>IF(DONNEES!$E854="","",DONNEES!G854)</f>
        <v/>
      </c>
      <c r="G854" t="str">
        <f>IF(DONNEES!$E854="","",DONNEES!H854)</f>
        <v/>
      </c>
      <c r="H854" t="str">
        <f>IF(DONNEES!$E854="","",DONNEES!I854)</f>
        <v/>
      </c>
      <c r="I854" t="str">
        <f>IF(DONNEES!$E854="","",DONNEES!J854)</f>
        <v/>
      </c>
      <c r="J854" t="str">
        <f>IF(DONNEES!$E854="","",DONNEES!K854)</f>
        <v/>
      </c>
      <c r="K854" t="str">
        <f>IF(DONNEES!$E854="","",DONNEES!L854)</f>
        <v/>
      </c>
      <c r="L854" t="str">
        <f>IF(DONNEES!$E854="","",DONNEES!M854)</f>
        <v/>
      </c>
      <c r="M854" t="str">
        <f>IF(DONNEES!$E854="","",DONNEES!N854)</f>
        <v/>
      </c>
      <c r="N854" t="str">
        <f>IF(DONNEES!$E854="","",DONNEES!O854)</f>
        <v/>
      </c>
      <c r="O854" t="str">
        <f>IF(DONNEES!$E854="","",DONNEES!P854)</f>
        <v/>
      </c>
      <c r="P854" t="str">
        <f>IF(DONNEES!$E854="","",DONNEES!Q854)</f>
        <v/>
      </c>
      <c r="Q854" t="str">
        <f>IF(DONNEES!$E854="","",DONNEES!R854)</f>
        <v/>
      </c>
      <c r="R854" t="str">
        <f>IF(DONNEES!$E854="","",DONNEES!S854)</f>
        <v/>
      </c>
      <c r="S854" t="str">
        <f>IF(DONNEES!$E854="","",DONNEES!T854)</f>
        <v/>
      </c>
      <c r="T854" t="str">
        <f>IF(DONNEES!$E854="","",DONNEES!U854)</f>
        <v/>
      </c>
      <c r="U854" t="str">
        <f>IF(DONNEES!$E854="","",DONNEES!V854)</f>
        <v/>
      </c>
      <c r="V854" t="str">
        <f>IF(DONNEES!$E854="","",DONNEES!W854)</f>
        <v/>
      </c>
      <c r="W854" t="str">
        <f>IF(DONNEES!$E854="","",DONNEES!X854)</f>
        <v/>
      </c>
      <c r="X854" t="str">
        <f>IF(DONNEES!$E854="","",DONNEES!Y854)</f>
        <v/>
      </c>
      <c r="Y854" t="str">
        <f>IF(DONNEES!$E854="","",DONNEES!Z854)</f>
        <v/>
      </c>
      <c r="Z854" t="str">
        <f>IF(DONNEES!$E854="","",DONNEES!AQ854)</f>
        <v/>
      </c>
    </row>
    <row r="855" spans="1:26" ht="15" customHeight="1" x14ac:dyDescent="0.3">
      <c r="A855" t="str">
        <f>IF(DONNEES!$E855="","",DONNEES!A855)</f>
        <v/>
      </c>
      <c r="B855" t="str">
        <f>IF(DONNEES!$E855="","",DONNEES!B855)</f>
        <v/>
      </c>
      <c r="C855" t="str">
        <f>IF(DONNEES!$E855="","",DONNEES!C855)</f>
        <v/>
      </c>
      <c r="D855" t="str">
        <f>IF(DONNEES!$E855="","",DONNEES!E855)</f>
        <v/>
      </c>
      <c r="E855" t="str">
        <f>IF(DONNEES!$E855="","",DONNEES!F855)</f>
        <v/>
      </c>
      <c r="F855" t="str">
        <f>IF(DONNEES!$E855="","",DONNEES!G855)</f>
        <v/>
      </c>
      <c r="G855" t="str">
        <f>IF(DONNEES!$E855="","",DONNEES!H855)</f>
        <v/>
      </c>
      <c r="H855" t="str">
        <f>IF(DONNEES!$E855="","",DONNEES!I855)</f>
        <v/>
      </c>
      <c r="I855" t="str">
        <f>IF(DONNEES!$E855="","",DONNEES!J855)</f>
        <v/>
      </c>
      <c r="J855" t="str">
        <f>IF(DONNEES!$E855="","",DONNEES!K855)</f>
        <v/>
      </c>
      <c r="K855" t="str">
        <f>IF(DONNEES!$E855="","",DONNEES!L855)</f>
        <v/>
      </c>
      <c r="L855" t="str">
        <f>IF(DONNEES!$E855="","",DONNEES!M855)</f>
        <v/>
      </c>
      <c r="M855" t="str">
        <f>IF(DONNEES!$E855="","",DONNEES!N855)</f>
        <v/>
      </c>
      <c r="N855" t="str">
        <f>IF(DONNEES!$E855="","",DONNEES!O855)</f>
        <v/>
      </c>
      <c r="O855" t="str">
        <f>IF(DONNEES!$E855="","",DONNEES!P855)</f>
        <v/>
      </c>
      <c r="P855" t="str">
        <f>IF(DONNEES!$E855="","",DONNEES!Q855)</f>
        <v/>
      </c>
      <c r="Q855" t="str">
        <f>IF(DONNEES!$E855="","",DONNEES!R855)</f>
        <v/>
      </c>
      <c r="R855" t="str">
        <f>IF(DONNEES!$E855="","",DONNEES!S855)</f>
        <v/>
      </c>
      <c r="S855" t="str">
        <f>IF(DONNEES!$E855="","",DONNEES!T855)</f>
        <v/>
      </c>
      <c r="T855" t="str">
        <f>IF(DONNEES!$E855="","",DONNEES!U855)</f>
        <v/>
      </c>
      <c r="U855" t="str">
        <f>IF(DONNEES!$E855="","",DONNEES!V855)</f>
        <v/>
      </c>
      <c r="V855" t="str">
        <f>IF(DONNEES!$E855="","",DONNEES!W855)</f>
        <v/>
      </c>
      <c r="W855" t="str">
        <f>IF(DONNEES!$E855="","",DONNEES!X855)</f>
        <v/>
      </c>
      <c r="X855" t="str">
        <f>IF(DONNEES!$E855="","",DONNEES!Y855)</f>
        <v/>
      </c>
      <c r="Y855" t="str">
        <f>IF(DONNEES!$E855="","",DONNEES!Z855)</f>
        <v/>
      </c>
      <c r="Z855" t="str">
        <f>IF(DONNEES!$E855="","",DONNEES!AQ855)</f>
        <v/>
      </c>
    </row>
    <row r="856" spans="1:26" ht="15" customHeight="1" x14ac:dyDescent="0.3">
      <c r="A856" t="str">
        <f>IF(DONNEES!$E856="","",DONNEES!A856)</f>
        <v/>
      </c>
      <c r="B856" t="str">
        <f>IF(DONNEES!$E856="","",DONNEES!B856)</f>
        <v/>
      </c>
      <c r="C856" t="str">
        <f>IF(DONNEES!$E856="","",DONNEES!C856)</f>
        <v/>
      </c>
      <c r="D856" t="str">
        <f>IF(DONNEES!$E856="","",DONNEES!E856)</f>
        <v/>
      </c>
      <c r="E856" t="str">
        <f>IF(DONNEES!$E856="","",DONNEES!F856)</f>
        <v/>
      </c>
      <c r="F856" t="str">
        <f>IF(DONNEES!$E856="","",DONNEES!G856)</f>
        <v/>
      </c>
      <c r="G856" t="str">
        <f>IF(DONNEES!$E856="","",DONNEES!H856)</f>
        <v/>
      </c>
      <c r="H856" t="str">
        <f>IF(DONNEES!$E856="","",DONNEES!I856)</f>
        <v/>
      </c>
      <c r="I856" t="str">
        <f>IF(DONNEES!$E856="","",DONNEES!J856)</f>
        <v/>
      </c>
      <c r="J856" t="str">
        <f>IF(DONNEES!$E856="","",DONNEES!K856)</f>
        <v/>
      </c>
      <c r="K856" t="str">
        <f>IF(DONNEES!$E856="","",DONNEES!L856)</f>
        <v/>
      </c>
      <c r="L856" t="str">
        <f>IF(DONNEES!$E856="","",DONNEES!M856)</f>
        <v/>
      </c>
      <c r="M856" t="str">
        <f>IF(DONNEES!$E856="","",DONNEES!N856)</f>
        <v/>
      </c>
      <c r="N856" t="str">
        <f>IF(DONNEES!$E856="","",DONNEES!O856)</f>
        <v/>
      </c>
      <c r="O856" t="str">
        <f>IF(DONNEES!$E856="","",DONNEES!P856)</f>
        <v/>
      </c>
      <c r="P856" t="str">
        <f>IF(DONNEES!$E856="","",DONNEES!Q856)</f>
        <v/>
      </c>
      <c r="Q856" t="str">
        <f>IF(DONNEES!$E856="","",DONNEES!R856)</f>
        <v/>
      </c>
      <c r="R856" t="str">
        <f>IF(DONNEES!$E856="","",DONNEES!S856)</f>
        <v/>
      </c>
      <c r="S856" t="str">
        <f>IF(DONNEES!$E856="","",DONNEES!T856)</f>
        <v/>
      </c>
      <c r="T856" t="str">
        <f>IF(DONNEES!$E856="","",DONNEES!U856)</f>
        <v/>
      </c>
      <c r="U856" t="str">
        <f>IF(DONNEES!$E856="","",DONNEES!V856)</f>
        <v/>
      </c>
      <c r="V856" t="str">
        <f>IF(DONNEES!$E856="","",DONNEES!W856)</f>
        <v/>
      </c>
      <c r="W856" t="str">
        <f>IF(DONNEES!$E856="","",DONNEES!X856)</f>
        <v/>
      </c>
      <c r="X856" t="str">
        <f>IF(DONNEES!$E856="","",DONNEES!Y856)</f>
        <v/>
      </c>
      <c r="Y856" t="str">
        <f>IF(DONNEES!$E856="","",DONNEES!Z856)</f>
        <v/>
      </c>
      <c r="Z856" t="str">
        <f>IF(DONNEES!$E856="","",DONNEES!AQ856)</f>
        <v/>
      </c>
    </row>
    <row r="857" spans="1:26" ht="15" customHeight="1" x14ac:dyDescent="0.3">
      <c r="A857" t="str">
        <f>IF(DONNEES!$E857="","",DONNEES!A857)</f>
        <v/>
      </c>
      <c r="B857" t="str">
        <f>IF(DONNEES!$E857="","",DONNEES!B857)</f>
        <v/>
      </c>
      <c r="C857" t="str">
        <f>IF(DONNEES!$E857="","",DONNEES!C857)</f>
        <v/>
      </c>
      <c r="D857" t="str">
        <f>IF(DONNEES!$E857="","",DONNEES!E857)</f>
        <v/>
      </c>
      <c r="E857" t="str">
        <f>IF(DONNEES!$E857="","",DONNEES!F857)</f>
        <v/>
      </c>
      <c r="F857" t="str">
        <f>IF(DONNEES!$E857="","",DONNEES!G857)</f>
        <v/>
      </c>
      <c r="G857" t="str">
        <f>IF(DONNEES!$E857="","",DONNEES!H857)</f>
        <v/>
      </c>
      <c r="H857" t="str">
        <f>IF(DONNEES!$E857="","",DONNEES!I857)</f>
        <v/>
      </c>
      <c r="I857" t="str">
        <f>IF(DONNEES!$E857="","",DONNEES!J857)</f>
        <v/>
      </c>
      <c r="J857" t="str">
        <f>IF(DONNEES!$E857="","",DONNEES!K857)</f>
        <v/>
      </c>
      <c r="K857" t="str">
        <f>IF(DONNEES!$E857="","",DONNEES!L857)</f>
        <v/>
      </c>
      <c r="L857" t="str">
        <f>IF(DONNEES!$E857="","",DONNEES!M857)</f>
        <v/>
      </c>
      <c r="M857" t="str">
        <f>IF(DONNEES!$E857="","",DONNEES!N857)</f>
        <v/>
      </c>
      <c r="N857" t="str">
        <f>IF(DONNEES!$E857="","",DONNEES!O857)</f>
        <v/>
      </c>
      <c r="O857" t="str">
        <f>IF(DONNEES!$E857="","",DONNEES!P857)</f>
        <v/>
      </c>
      <c r="P857" t="str">
        <f>IF(DONNEES!$E857="","",DONNEES!Q857)</f>
        <v/>
      </c>
      <c r="Q857" t="str">
        <f>IF(DONNEES!$E857="","",DONNEES!R857)</f>
        <v/>
      </c>
      <c r="R857" t="str">
        <f>IF(DONNEES!$E857="","",DONNEES!S857)</f>
        <v/>
      </c>
      <c r="S857" t="str">
        <f>IF(DONNEES!$E857="","",DONNEES!T857)</f>
        <v/>
      </c>
      <c r="T857" t="str">
        <f>IF(DONNEES!$E857="","",DONNEES!U857)</f>
        <v/>
      </c>
      <c r="U857" t="str">
        <f>IF(DONNEES!$E857="","",DONNEES!V857)</f>
        <v/>
      </c>
      <c r="V857" t="str">
        <f>IF(DONNEES!$E857="","",DONNEES!W857)</f>
        <v/>
      </c>
      <c r="W857" t="str">
        <f>IF(DONNEES!$E857="","",DONNEES!X857)</f>
        <v/>
      </c>
      <c r="X857" t="str">
        <f>IF(DONNEES!$E857="","",DONNEES!Y857)</f>
        <v/>
      </c>
      <c r="Y857" t="str">
        <f>IF(DONNEES!$E857="","",DONNEES!Z857)</f>
        <v/>
      </c>
      <c r="Z857" t="str">
        <f>IF(DONNEES!$E857="","",DONNEES!AQ857)</f>
        <v/>
      </c>
    </row>
    <row r="858" spans="1:26" ht="15" customHeight="1" x14ac:dyDescent="0.3">
      <c r="A858" t="str">
        <f>IF(DONNEES!$E858="","",DONNEES!A858)</f>
        <v/>
      </c>
      <c r="B858" t="str">
        <f>IF(DONNEES!$E858="","",DONNEES!B858)</f>
        <v/>
      </c>
      <c r="C858" t="str">
        <f>IF(DONNEES!$E858="","",DONNEES!C858)</f>
        <v/>
      </c>
      <c r="D858" t="str">
        <f>IF(DONNEES!$E858="","",DONNEES!E858)</f>
        <v/>
      </c>
      <c r="E858" t="str">
        <f>IF(DONNEES!$E858="","",DONNEES!F858)</f>
        <v/>
      </c>
      <c r="F858" t="str">
        <f>IF(DONNEES!$E858="","",DONNEES!G858)</f>
        <v/>
      </c>
      <c r="G858" t="str">
        <f>IF(DONNEES!$E858="","",DONNEES!H858)</f>
        <v/>
      </c>
      <c r="H858" t="str">
        <f>IF(DONNEES!$E858="","",DONNEES!I858)</f>
        <v/>
      </c>
      <c r="I858" t="str">
        <f>IF(DONNEES!$E858="","",DONNEES!J858)</f>
        <v/>
      </c>
      <c r="J858" t="str">
        <f>IF(DONNEES!$E858="","",DONNEES!K858)</f>
        <v/>
      </c>
      <c r="K858" t="str">
        <f>IF(DONNEES!$E858="","",DONNEES!L858)</f>
        <v/>
      </c>
      <c r="L858" t="str">
        <f>IF(DONNEES!$E858="","",DONNEES!M858)</f>
        <v/>
      </c>
      <c r="M858" t="str">
        <f>IF(DONNEES!$E858="","",DONNEES!N858)</f>
        <v/>
      </c>
      <c r="N858" t="str">
        <f>IF(DONNEES!$E858="","",DONNEES!O858)</f>
        <v/>
      </c>
      <c r="O858" t="str">
        <f>IF(DONNEES!$E858="","",DONNEES!P858)</f>
        <v/>
      </c>
      <c r="P858" t="str">
        <f>IF(DONNEES!$E858="","",DONNEES!Q858)</f>
        <v/>
      </c>
      <c r="Q858" t="str">
        <f>IF(DONNEES!$E858="","",DONNEES!R858)</f>
        <v/>
      </c>
      <c r="R858" t="str">
        <f>IF(DONNEES!$E858="","",DONNEES!S858)</f>
        <v/>
      </c>
      <c r="S858" t="str">
        <f>IF(DONNEES!$E858="","",DONNEES!T858)</f>
        <v/>
      </c>
      <c r="T858" t="str">
        <f>IF(DONNEES!$E858="","",DONNEES!U858)</f>
        <v/>
      </c>
      <c r="U858" t="str">
        <f>IF(DONNEES!$E858="","",DONNEES!V858)</f>
        <v/>
      </c>
      <c r="V858" t="str">
        <f>IF(DONNEES!$E858="","",DONNEES!W858)</f>
        <v/>
      </c>
      <c r="W858" t="str">
        <f>IF(DONNEES!$E858="","",DONNEES!X858)</f>
        <v/>
      </c>
      <c r="X858" t="str">
        <f>IF(DONNEES!$E858="","",DONNEES!Y858)</f>
        <v/>
      </c>
      <c r="Y858" t="str">
        <f>IF(DONNEES!$E858="","",DONNEES!Z858)</f>
        <v/>
      </c>
      <c r="Z858" t="str">
        <f>IF(DONNEES!$E858="","",DONNEES!AQ858)</f>
        <v/>
      </c>
    </row>
    <row r="859" spans="1:26" ht="15" customHeight="1" x14ac:dyDescent="0.3">
      <c r="A859" t="str">
        <f>IF(DONNEES!$E859="","",DONNEES!A859)</f>
        <v/>
      </c>
      <c r="B859" t="str">
        <f>IF(DONNEES!$E859="","",DONNEES!B859)</f>
        <v/>
      </c>
      <c r="C859" t="str">
        <f>IF(DONNEES!$E859="","",DONNEES!C859)</f>
        <v/>
      </c>
      <c r="D859" t="str">
        <f>IF(DONNEES!$E859="","",DONNEES!E859)</f>
        <v/>
      </c>
      <c r="E859" t="str">
        <f>IF(DONNEES!$E859="","",DONNEES!F859)</f>
        <v/>
      </c>
      <c r="F859" t="str">
        <f>IF(DONNEES!$E859="","",DONNEES!G859)</f>
        <v/>
      </c>
      <c r="G859" t="str">
        <f>IF(DONNEES!$E859="","",DONNEES!H859)</f>
        <v/>
      </c>
      <c r="H859" t="str">
        <f>IF(DONNEES!$E859="","",DONNEES!I859)</f>
        <v/>
      </c>
      <c r="I859" t="str">
        <f>IF(DONNEES!$E859="","",DONNEES!J859)</f>
        <v/>
      </c>
      <c r="J859" t="str">
        <f>IF(DONNEES!$E859="","",DONNEES!K859)</f>
        <v/>
      </c>
      <c r="K859" t="str">
        <f>IF(DONNEES!$E859="","",DONNEES!L859)</f>
        <v/>
      </c>
      <c r="L859" t="str">
        <f>IF(DONNEES!$E859="","",DONNEES!M859)</f>
        <v/>
      </c>
      <c r="M859" t="str">
        <f>IF(DONNEES!$E859="","",DONNEES!N859)</f>
        <v/>
      </c>
      <c r="N859" t="str">
        <f>IF(DONNEES!$E859="","",DONNEES!O859)</f>
        <v/>
      </c>
      <c r="O859" t="str">
        <f>IF(DONNEES!$E859="","",DONNEES!P859)</f>
        <v/>
      </c>
      <c r="P859" t="str">
        <f>IF(DONNEES!$E859="","",DONNEES!Q859)</f>
        <v/>
      </c>
      <c r="Q859" t="str">
        <f>IF(DONNEES!$E859="","",DONNEES!R859)</f>
        <v/>
      </c>
      <c r="R859" t="str">
        <f>IF(DONNEES!$E859="","",DONNEES!S859)</f>
        <v/>
      </c>
      <c r="S859" t="str">
        <f>IF(DONNEES!$E859="","",DONNEES!T859)</f>
        <v/>
      </c>
      <c r="T859" t="str">
        <f>IF(DONNEES!$E859="","",DONNEES!U859)</f>
        <v/>
      </c>
      <c r="U859" t="str">
        <f>IF(DONNEES!$E859="","",DONNEES!V859)</f>
        <v/>
      </c>
      <c r="V859" t="str">
        <f>IF(DONNEES!$E859="","",DONNEES!W859)</f>
        <v/>
      </c>
      <c r="W859" t="str">
        <f>IF(DONNEES!$E859="","",DONNEES!X859)</f>
        <v/>
      </c>
      <c r="X859" t="str">
        <f>IF(DONNEES!$E859="","",DONNEES!Y859)</f>
        <v/>
      </c>
      <c r="Y859" t="str">
        <f>IF(DONNEES!$E859="","",DONNEES!Z859)</f>
        <v/>
      </c>
      <c r="Z859" t="str">
        <f>IF(DONNEES!$E859="","",DONNEES!AQ859)</f>
        <v/>
      </c>
    </row>
    <row r="860" spans="1:26" ht="15" customHeight="1" x14ac:dyDescent="0.3">
      <c r="A860" t="str">
        <f>IF(DONNEES!$E860="","",DONNEES!A860)</f>
        <v/>
      </c>
      <c r="B860" t="str">
        <f>IF(DONNEES!$E860="","",DONNEES!B860)</f>
        <v/>
      </c>
      <c r="C860" t="str">
        <f>IF(DONNEES!$E860="","",DONNEES!C860)</f>
        <v/>
      </c>
      <c r="D860" t="str">
        <f>IF(DONNEES!$E860="","",DONNEES!E860)</f>
        <v/>
      </c>
      <c r="E860" t="str">
        <f>IF(DONNEES!$E860="","",DONNEES!F860)</f>
        <v/>
      </c>
      <c r="F860" t="str">
        <f>IF(DONNEES!$E860="","",DONNEES!G860)</f>
        <v/>
      </c>
      <c r="G860" t="str">
        <f>IF(DONNEES!$E860="","",DONNEES!H860)</f>
        <v/>
      </c>
      <c r="H860" t="str">
        <f>IF(DONNEES!$E860="","",DONNEES!I860)</f>
        <v/>
      </c>
      <c r="I860" t="str">
        <f>IF(DONNEES!$E860="","",DONNEES!J860)</f>
        <v/>
      </c>
      <c r="J860" t="str">
        <f>IF(DONNEES!$E860="","",DONNEES!K860)</f>
        <v/>
      </c>
      <c r="K860" t="str">
        <f>IF(DONNEES!$E860="","",DONNEES!L860)</f>
        <v/>
      </c>
      <c r="L860" t="str">
        <f>IF(DONNEES!$E860="","",DONNEES!M860)</f>
        <v/>
      </c>
      <c r="M860" t="str">
        <f>IF(DONNEES!$E860="","",DONNEES!N860)</f>
        <v/>
      </c>
      <c r="N860" t="str">
        <f>IF(DONNEES!$E860="","",DONNEES!O860)</f>
        <v/>
      </c>
      <c r="O860" t="str">
        <f>IF(DONNEES!$E860="","",DONNEES!P860)</f>
        <v/>
      </c>
      <c r="P860" t="str">
        <f>IF(DONNEES!$E860="","",DONNEES!Q860)</f>
        <v/>
      </c>
      <c r="Q860" t="str">
        <f>IF(DONNEES!$E860="","",DONNEES!R860)</f>
        <v/>
      </c>
      <c r="R860" t="str">
        <f>IF(DONNEES!$E860="","",DONNEES!S860)</f>
        <v/>
      </c>
      <c r="S860" t="str">
        <f>IF(DONNEES!$E860="","",DONNEES!T860)</f>
        <v/>
      </c>
      <c r="T860" t="str">
        <f>IF(DONNEES!$E860="","",DONNEES!U860)</f>
        <v/>
      </c>
      <c r="U860" t="str">
        <f>IF(DONNEES!$E860="","",DONNEES!V860)</f>
        <v/>
      </c>
      <c r="V860" t="str">
        <f>IF(DONNEES!$E860="","",DONNEES!W860)</f>
        <v/>
      </c>
      <c r="W860" t="str">
        <f>IF(DONNEES!$E860="","",DONNEES!X860)</f>
        <v/>
      </c>
      <c r="X860" t="str">
        <f>IF(DONNEES!$E860="","",DONNEES!Y860)</f>
        <v/>
      </c>
      <c r="Y860" t="str">
        <f>IF(DONNEES!$E860="","",DONNEES!Z860)</f>
        <v/>
      </c>
      <c r="Z860" t="str">
        <f>IF(DONNEES!$E860="","",DONNEES!AQ860)</f>
        <v/>
      </c>
    </row>
    <row r="861" spans="1:26" ht="15" customHeight="1" x14ac:dyDescent="0.3">
      <c r="A861" t="str">
        <f>IF(DONNEES!$E861="","",DONNEES!A861)</f>
        <v/>
      </c>
      <c r="B861" t="str">
        <f>IF(DONNEES!$E861="","",DONNEES!B861)</f>
        <v/>
      </c>
      <c r="C861" t="str">
        <f>IF(DONNEES!$E861="","",DONNEES!C861)</f>
        <v/>
      </c>
      <c r="D861" t="str">
        <f>IF(DONNEES!$E861="","",DONNEES!E861)</f>
        <v/>
      </c>
      <c r="E861" t="str">
        <f>IF(DONNEES!$E861="","",DONNEES!F861)</f>
        <v/>
      </c>
      <c r="F861" t="str">
        <f>IF(DONNEES!$E861="","",DONNEES!G861)</f>
        <v/>
      </c>
      <c r="G861" t="str">
        <f>IF(DONNEES!$E861="","",DONNEES!H861)</f>
        <v/>
      </c>
      <c r="H861" t="str">
        <f>IF(DONNEES!$E861="","",DONNEES!I861)</f>
        <v/>
      </c>
      <c r="I861" t="str">
        <f>IF(DONNEES!$E861="","",DONNEES!J861)</f>
        <v/>
      </c>
      <c r="J861" t="str">
        <f>IF(DONNEES!$E861="","",DONNEES!K861)</f>
        <v/>
      </c>
      <c r="K861" t="str">
        <f>IF(DONNEES!$E861="","",DONNEES!L861)</f>
        <v/>
      </c>
      <c r="L861" t="str">
        <f>IF(DONNEES!$E861="","",DONNEES!M861)</f>
        <v/>
      </c>
      <c r="M861" t="str">
        <f>IF(DONNEES!$E861="","",DONNEES!N861)</f>
        <v/>
      </c>
      <c r="N861" t="str">
        <f>IF(DONNEES!$E861="","",DONNEES!O861)</f>
        <v/>
      </c>
      <c r="O861" t="str">
        <f>IF(DONNEES!$E861="","",DONNEES!P861)</f>
        <v/>
      </c>
      <c r="P861" t="str">
        <f>IF(DONNEES!$E861="","",DONNEES!Q861)</f>
        <v/>
      </c>
      <c r="Q861" t="str">
        <f>IF(DONNEES!$E861="","",DONNEES!R861)</f>
        <v/>
      </c>
      <c r="R861" t="str">
        <f>IF(DONNEES!$E861="","",DONNEES!S861)</f>
        <v/>
      </c>
      <c r="S861" t="str">
        <f>IF(DONNEES!$E861="","",DONNEES!T861)</f>
        <v/>
      </c>
      <c r="T861" t="str">
        <f>IF(DONNEES!$E861="","",DONNEES!U861)</f>
        <v/>
      </c>
      <c r="U861" t="str">
        <f>IF(DONNEES!$E861="","",DONNEES!V861)</f>
        <v/>
      </c>
      <c r="V861" t="str">
        <f>IF(DONNEES!$E861="","",DONNEES!W861)</f>
        <v/>
      </c>
      <c r="W861" t="str">
        <f>IF(DONNEES!$E861="","",DONNEES!X861)</f>
        <v/>
      </c>
      <c r="X861" t="str">
        <f>IF(DONNEES!$E861="","",DONNEES!Y861)</f>
        <v/>
      </c>
      <c r="Y861" t="str">
        <f>IF(DONNEES!$E861="","",DONNEES!Z861)</f>
        <v/>
      </c>
      <c r="Z861" t="str">
        <f>IF(DONNEES!$E861="","",DONNEES!AQ861)</f>
        <v/>
      </c>
    </row>
    <row r="862" spans="1:26" ht="15" customHeight="1" x14ac:dyDescent="0.3">
      <c r="A862" t="str">
        <f>IF(DONNEES!$E862="","",DONNEES!A862)</f>
        <v/>
      </c>
      <c r="B862" t="str">
        <f>IF(DONNEES!$E862="","",DONNEES!B862)</f>
        <v/>
      </c>
      <c r="C862" t="str">
        <f>IF(DONNEES!$E862="","",DONNEES!C862)</f>
        <v/>
      </c>
      <c r="D862" t="str">
        <f>IF(DONNEES!$E862="","",DONNEES!E862)</f>
        <v/>
      </c>
      <c r="E862" t="str">
        <f>IF(DONNEES!$E862="","",DONNEES!F862)</f>
        <v/>
      </c>
      <c r="F862" t="str">
        <f>IF(DONNEES!$E862="","",DONNEES!G862)</f>
        <v/>
      </c>
      <c r="G862" t="str">
        <f>IF(DONNEES!$E862="","",DONNEES!H862)</f>
        <v/>
      </c>
      <c r="H862" t="str">
        <f>IF(DONNEES!$E862="","",DONNEES!I862)</f>
        <v/>
      </c>
      <c r="I862" t="str">
        <f>IF(DONNEES!$E862="","",DONNEES!J862)</f>
        <v/>
      </c>
      <c r="J862" t="str">
        <f>IF(DONNEES!$E862="","",DONNEES!K862)</f>
        <v/>
      </c>
      <c r="K862" t="str">
        <f>IF(DONNEES!$E862="","",DONNEES!L862)</f>
        <v/>
      </c>
      <c r="L862" t="str">
        <f>IF(DONNEES!$E862="","",DONNEES!M862)</f>
        <v/>
      </c>
      <c r="M862" t="str">
        <f>IF(DONNEES!$E862="","",DONNEES!N862)</f>
        <v/>
      </c>
      <c r="N862" t="str">
        <f>IF(DONNEES!$E862="","",DONNEES!O862)</f>
        <v/>
      </c>
      <c r="O862" t="str">
        <f>IF(DONNEES!$E862="","",DONNEES!P862)</f>
        <v/>
      </c>
      <c r="P862" t="str">
        <f>IF(DONNEES!$E862="","",DONNEES!Q862)</f>
        <v/>
      </c>
      <c r="Q862" t="str">
        <f>IF(DONNEES!$E862="","",DONNEES!R862)</f>
        <v/>
      </c>
      <c r="R862" t="str">
        <f>IF(DONNEES!$E862="","",DONNEES!S862)</f>
        <v/>
      </c>
      <c r="S862" t="str">
        <f>IF(DONNEES!$E862="","",DONNEES!T862)</f>
        <v/>
      </c>
      <c r="T862" t="str">
        <f>IF(DONNEES!$E862="","",DONNEES!U862)</f>
        <v/>
      </c>
      <c r="U862" t="str">
        <f>IF(DONNEES!$E862="","",DONNEES!V862)</f>
        <v/>
      </c>
      <c r="V862" t="str">
        <f>IF(DONNEES!$E862="","",DONNEES!W862)</f>
        <v/>
      </c>
      <c r="W862" t="str">
        <f>IF(DONNEES!$E862="","",DONNEES!X862)</f>
        <v/>
      </c>
      <c r="X862" t="str">
        <f>IF(DONNEES!$E862="","",DONNEES!Y862)</f>
        <v/>
      </c>
      <c r="Y862" t="str">
        <f>IF(DONNEES!$E862="","",DONNEES!Z862)</f>
        <v/>
      </c>
      <c r="Z862" t="str">
        <f>IF(DONNEES!$E862="","",DONNEES!AQ862)</f>
        <v/>
      </c>
    </row>
    <row r="863" spans="1:26" ht="15" customHeight="1" x14ac:dyDescent="0.3">
      <c r="A863" t="str">
        <f>IF(DONNEES!$E863="","",DONNEES!A863)</f>
        <v/>
      </c>
      <c r="B863" t="str">
        <f>IF(DONNEES!$E863="","",DONNEES!B863)</f>
        <v/>
      </c>
      <c r="C863" t="str">
        <f>IF(DONNEES!$E863="","",DONNEES!C863)</f>
        <v/>
      </c>
      <c r="D863" t="str">
        <f>IF(DONNEES!$E863="","",DONNEES!E863)</f>
        <v/>
      </c>
      <c r="E863" t="str">
        <f>IF(DONNEES!$E863="","",DONNEES!F863)</f>
        <v/>
      </c>
      <c r="F863" t="str">
        <f>IF(DONNEES!$E863="","",DONNEES!G863)</f>
        <v/>
      </c>
      <c r="G863" t="str">
        <f>IF(DONNEES!$E863="","",DONNEES!H863)</f>
        <v/>
      </c>
      <c r="H863" t="str">
        <f>IF(DONNEES!$E863="","",DONNEES!I863)</f>
        <v/>
      </c>
      <c r="I863" t="str">
        <f>IF(DONNEES!$E863="","",DONNEES!J863)</f>
        <v/>
      </c>
      <c r="J863" t="str">
        <f>IF(DONNEES!$E863="","",DONNEES!K863)</f>
        <v/>
      </c>
      <c r="K863" t="str">
        <f>IF(DONNEES!$E863="","",DONNEES!L863)</f>
        <v/>
      </c>
      <c r="L863" t="str">
        <f>IF(DONNEES!$E863="","",DONNEES!M863)</f>
        <v/>
      </c>
      <c r="M863" t="str">
        <f>IF(DONNEES!$E863="","",DONNEES!N863)</f>
        <v/>
      </c>
      <c r="N863" t="str">
        <f>IF(DONNEES!$E863="","",DONNEES!O863)</f>
        <v/>
      </c>
      <c r="O863" t="str">
        <f>IF(DONNEES!$E863="","",DONNEES!P863)</f>
        <v/>
      </c>
      <c r="P863" t="str">
        <f>IF(DONNEES!$E863="","",DONNEES!Q863)</f>
        <v/>
      </c>
      <c r="Q863" t="str">
        <f>IF(DONNEES!$E863="","",DONNEES!R863)</f>
        <v/>
      </c>
      <c r="R863" t="str">
        <f>IF(DONNEES!$E863="","",DONNEES!S863)</f>
        <v/>
      </c>
      <c r="S863" t="str">
        <f>IF(DONNEES!$E863="","",DONNEES!T863)</f>
        <v/>
      </c>
      <c r="T863" t="str">
        <f>IF(DONNEES!$E863="","",DONNEES!U863)</f>
        <v/>
      </c>
      <c r="U863" t="str">
        <f>IF(DONNEES!$E863="","",DONNEES!V863)</f>
        <v/>
      </c>
      <c r="V863" t="str">
        <f>IF(DONNEES!$E863="","",DONNEES!W863)</f>
        <v/>
      </c>
      <c r="W863" t="str">
        <f>IF(DONNEES!$E863="","",DONNEES!X863)</f>
        <v/>
      </c>
      <c r="X863" t="str">
        <f>IF(DONNEES!$E863="","",DONNEES!Y863)</f>
        <v/>
      </c>
      <c r="Y863" t="str">
        <f>IF(DONNEES!$E863="","",DONNEES!Z863)</f>
        <v/>
      </c>
      <c r="Z863" t="str">
        <f>IF(DONNEES!$E863="","",DONNEES!AQ863)</f>
        <v/>
      </c>
    </row>
    <row r="864" spans="1:26" ht="15" customHeight="1" x14ac:dyDescent="0.3">
      <c r="A864" t="str">
        <f>IF(DONNEES!$E864="","",DONNEES!A864)</f>
        <v/>
      </c>
      <c r="B864" t="str">
        <f>IF(DONNEES!$E864="","",DONNEES!B864)</f>
        <v/>
      </c>
      <c r="C864" t="str">
        <f>IF(DONNEES!$E864="","",DONNEES!C864)</f>
        <v/>
      </c>
      <c r="D864" t="str">
        <f>IF(DONNEES!$E864="","",DONNEES!E864)</f>
        <v/>
      </c>
      <c r="E864" t="str">
        <f>IF(DONNEES!$E864="","",DONNEES!F864)</f>
        <v/>
      </c>
      <c r="F864" t="str">
        <f>IF(DONNEES!$E864="","",DONNEES!G864)</f>
        <v/>
      </c>
      <c r="G864" t="str">
        <f>IF(DONNEES!$E864="","",DONNEES!H864)</f>
        <v/>
      </c>
      <c r="H864" t="str">
        <f>IF(DONNEES!$E864="","",DONNEES!I864)</f>
        <v/>
      </c>
      <c r="I864" t="str">
        <f>IF(DONNEES!$E864="","",DONNEES!J864)</f>
        <v/>
      </c>
      <c r="J864" t="str">
        <f>IF(DONNEES!$E864="","",DONNEES!K864)</f>
        <v/>
      </c>
      <c r="K864" t="str">
        <f>IF(DONNEES!$E864="","",DONNEES!L864)</f>
        <v/>
      </c>
      <c r="L864" t="str">
        <f>IF(DONNEES!$E864="","",DONNEES!M864)</f>
        <v/>
      </c>
      <c r="M864" t="str">
        <f>IF(DONNEES!$E864="","",DONNEES!N864)</f>
        <v/>
      </c>
      <c r="N864" t="str">
        <f>IF(DONNEES!$E864="","",DONNEES!O864)</f>
        <v/>
      </c>
      <c r="O864" t="str">
        <f>IF(DONNEES!$E864="","",DONNEES!P864)</f>
        <v/>
      </c>
      <c r="P864" t="str">
        <f>IF(DONNEES!$E864="","",DONNEES!Q864)</f>
        <v/>
      </c>
      <c r="Q864" t="str">
        <f>IF(DONNEES!$E864="","",DONNEES!R864)</f>
        <v/>
      </c>
      <c r="R864" t="str">
        <f>IF(DONNEES!$E864="","",DONNEES!S864)</f>
        <v/>
      </c>
      <c r="S864" t="str">
        <f>IF(DONNEES!$E864="","",DONNEES!T864)</f>
        <v/>
      </c>
      <c r="T864" t="str">
        <f>IF(DONNEES!$E864="","",DONNEES!U864)</f>
        <v/>
      </c>
      <c r="U864" t="str">
        <f>IF(DONNEES!$E864="","",DONNEES!V864)</f>
        <v/>
      </c>
      <c r="V864" t="str">
        <f>IF(DONNEES!$E864="","",DONNEES!W864)</f>
        <v/>
      </c>
      <c r="W864" t="str">
        <f>IF(DONNEES!$E864="","",DONNEES!X864)</f>
        <v/>
      </c>
      <c r="X864" t="str">
        <f>IF(DONNEES!$E864="","",DONNEES!Y864)</f>
        <v/>
      </c>
      <c r="Y864" t="str">
        <f>IF(DONNEES!$E864="","",DONNEES!Z864)</f>
        <v/>
      </c>
      <c r="Z864" t="str">
        <f>IF(DONNEES!$E864="","",DONNEES!AQ864)</f>
        <v/>
      </c>
    </row>
    <row r="865" spans="1:26" ht="15" customHeight="1" x14ac:dyDescent="0.3">
      <c r="A865" t="str">
        <f>IF(DONNEES!$E865="","",DONNEES!A865)</f>
        <v/>
      </c>
      <c r="B865" t="str">
        <f>IF(DONNEES!$E865="","",DONNEES!B865)</f>
        <v/>
      </c>
      <c r="C865" t="str">
        <f>IF(DONNEES!$E865="","",DONNEES!C865)</f>
        <v/>
      </c>
      <c r="D865" t="str">
        <f>IF(DONNEES!$E865="","",DONNEES!E865)</f>
        <v/>
      </c>
      <c r="E865" t="str">
        <f>IF(DONNEES!$E865="","",DONNEES!F865)</f>
        <v/>
      </c>
      <c r="F865" t="str">
        <f>IF(DONNEES!$E865="","",DONNEES!G865)</f>
        <v/>
      </c>
      <c r="G865" t="str">
        <f>IF(DONNEES!$E865="","",DONNEES!H865)</f>
        <v/>
      </c>
      <c r="H865" t="str">
        <f>IF(DONNEES!$E865="","",DONNEES!I865)</f>
        <v/>
      </c>
      <c r="I865" t="str">
        <f>IF(DONNEES!$E865="","",DONNEES!J865)</f>
        <v/>
      </c>
      <c r="J865" t="str">
        <f>IF(DONNEES!$E865="","",DONNEES!K865)</f>
        <v/>
      </c>
      <c r="K865" t="str">
        <f>IF(DONNEES!$E865="","",DONNEES!L865)</f>
        <v/>
      </c>
      <c r="L865" t="str">
        <f>IF(DONNEES!$E865="","",DONNEES!M865)</f>
        <v/>
      </c>
      <c r="M865" t="str">
        <f>IF(DONNEES!$E865="","",DONNEES!N865)</f>
        <v/>
      </c>
      <c r="N865" t="str">
        <f>IF(DONNEES!$E865="","",DONNEES!O865)</f>
        <v/>
      </c>
      <c r="O865" t="str">
        <f>IF(DONNEES!$E865="","",DONNEES!P865)</f>
        <v/>
      </c>
      <c r="P865" t="str">
        <f>IF(DONNEES!$E865="","",DONNEES!Q865)</f>
        <v/>
      </c>
      <c r="Q865" t="str">
        <f>IF(DONNEES!$E865="","",DONNEES!R865)</f>
        <v/>
      </c>
      <c r="R865" t="str">
        <f>IF(DONNEES!$E865="","",DONNEES!S865)</f>
        <v/>
      </c>
      <c r="S865" t="str">
        <f>IF(DONNEES!$E865="","",DONNEES!T865)</f>
        <v/>
      </c>
      <c r="T865" t="str">
        <f>IF(DONNEES!$E865="","",DONNEES!U865)</f>
        <v/>
      </c>
      <c r="U865" t="str">
        <f>IF(DONNEES!$E865="","",DONNEES!V865)</f>
        <v/>
      </c>
      <c r="V865" t="str">
        <f>IF(DONNEES!$E865="","",DONNEES!W865)</f>
        <v/>
      </c>
      <c r="W865" t="str">
        <f>IF(DONNEES!$E865="","",DONNEES!X865)</f>
        <v/>
      </c>
      <c r="X865" t="str">
        <f>IF(DONNEES!$E865="","",DONNEES!Y865)</f>
        <v/>
      </c>
      <c r="Y865" t="str">
        <f>IF(DONNEES!$E865="","",DONNEES!Z865)</f>
        <v/>
      </c>
      <c r="Z865" t="str">
        <f>IF(DONNEES!$E865="","",DONNEES!AQ865)</f>
        <v/>
      </c>
    </row>
    <row r="866" spans="1:26" ht="15" customHeight="1" x14ac:dyDescent="0.3">
      <c r="A866" t="str">
        <f>IF(DONNEES!$E866="","",DONNEES!A866)</f>
        <v/>
      </c>
      <c r="B866" t="str">
        <f>IF(DONNEES!$E866="","",DONNEES!B866)</f>
        <v/>
      </c>
      <c r="C866" t="str">
        <f>IF(DONNEES!$E866="","",DONNEES!C866)</f>
        <v/>
      </c>
      <c r="D866" t="str">
        <f>IF(DONNEES!$E866="","",DONNEES!E866)</f>
        <v/>
      </c>
      <c r="E866" t="str">
        <f>IF(DONNEES!$E866="","",DONNEES!F866)</f>
        <v/>
      </c>
      <c r="F866" t="str">
        <f>IF(DONNEES!$E866="","",DONNEES!G866)</f>
        <v/>
      </c>
      <c r="G866" t="str">
        <f>IF(DONNEES!$E866="","",DONNEES!H866)</f>
        <v/>
      </c>
      <c r="H866" t="str">
        <f>IF(DONNEES!$E866="","",DONNEES!I866)</f>
        <v/>
      </c>
      <c r="I866" t="str">
        <f>IF(DONNEES!$E866="","",DONNEES!J866)</f>
        <v/>
      </c>
      <c r="J866" t="str">
        <f>IF(DONNEES!$E866="","",DONNEES!K866)</f>
        <v/>
      </c>
      <c r="K866" t="str">
        <f>IF(DONNEES!$E866="","",DONNEES!L866)</f>
        <v/>
      </c>
      <c r="L866" t="str">
        <f>IF(DONNEES!$E866="","",DONNEES!M866)</f>
        <v/>
      </c>
      <c r="M866" t="str">
        <f>IF(DONNEES!$E866="","",DONNEES!N866)</f>
        <v/>
      </c>
      <c r="N866" t="str">
        <f>IF(DONNEES!$E866="","",DONNEES!O866)</f>
        <v/>
      </c>
      <c r="O866" t="str">
        <f>IF(DONNEES!$E866="","",DONNEES!P866)</f>
        <v/>
      </c>
      <c r="P866" t="str">
        <f>IF(DONNEES!$E866="","",DONNEES!Q866)</f>
        <v/>
      </c>
      <c r="Q866" t="str">
        <f>IF(DONNEES!$E866="","",DONNEES!R866)</f>
        <v/>
      </c>
      <c r="R866" t="str">
        <f>IF(DONNEES!$E866="","",DONNEES!S866)</f>
        <v/>
      </c>
      <c r="S866" t="str">
        <f>IF(DONNEES!$E866="","",DONNEES!T866)</f>
        <v/>
      </c>
      <c r="T866" t="str">
        <f>IF(DONNEES!$E866="","",DONNEES!U866)</f>
        <v/>
      </c>
      <c r="U866" t="str">
        <f>IF(DONNEES!$E866="","",DONNEES!V866)</f>
        <v/>
      </c>
      <c r="V866" t="str">
        <f>IF(DONNEES!$E866="","",DONNEES!W866)</f>
        <v/>
      </c>
      <c r="W866" t="str">
        <f>IF(DONNEES!$E866="","",DONNEES!X866)</f>
        <v/>
      </c>
      <c r="X866" t="str">
        <f>IF(DONNEES!$E866="","",DONNEES!Y866)</f>
        <v/>
      </c>
      <c r="Y866" t="str">
        <f>IF(DONNEES!$E866="","",DONNEES!Z866)</f>
        <v/>
      </c>
      <c r="Z866" t="str">
        <f>IF(DONNEES!$E866="","",DONNEES!AQ866)</f>
        <v/>
      </c>
    </row>
    <row r="867" spans="1:26" ht="15" customHeight="1" x14ac:dyDescent="0.3">
      <c r="A867" t="str">
        <f>IF(DONNEES!$E867="","",DONNEES!A867)</f>
        <v/>
      </c>
      <c r="B867" t="str">
        <f>IF(DONNEES!$E867="","",DONNEES!B867)</f>
        <v/>
      </c>
      <c r="C867" t="str">
        <f>IF(DONNEES!$E867="","",DONNEES!C867)</f>
        <v/>
      </c>
      <c r="D867" t="str">
        <f>IF(DONNEES!$E867="","",DONNEES!E867)</f>
        <v/>
      </c>
      <c r="E867" t="str">
        <f>IF(DONNEES!$E867="","",DONNEES!F867)</f>
        <v/>
      </c>
      <c r="F867" t="str">
        <f>IF(DONNEES!$E867="","",DONNEES!G867)</f>
        <v/>
      </c>
      <c r="G867" t="str">
        <f>IF(DONNEES!$E867="","",DONNEES!H867)</f>
        <v/>
      </c>
      <c r="H867" t="str">
        <f>IF(DONNEES!$E867="","",DONNEES!I867)</f>
        <v/>
      </c>
      <c r="I867" t="str">
        <f>IF(DONNEES!$E867="","",DONNEES!J867)</f>
        <v/>
      </c>
      <c r="J867" t="str">
        <f>IF(DONNEES!$E867="","",DONNEES!K867)</f>
        <v/>
      </c>
      <c r="K867" t="str">
        <f>IF(DONNEES!$E867="","",DONNEES!L867)</f>
        <v/>
      </c>
      <c r="L867" t="str">
        <f>IF(DONNEES!$E867="","",DONNEES!M867)</f>
        <v/>
      </c>
      <c r="M867" t="str">
        <f>IF(DONNEES!$E867="","",DONNEES!N867)</f>
        <v/>
      </c>
      <c r="N867" t="str">
        <f>IF(DONNEES!$E867="","",DONNEES!O867)</f>
        <v/>
      </c>
      <c r="O867" t="str">
        <f>IF(DONNEES!$E867="","",DONNEES!P867)</f>
        <v/>
      </c>
      <c r="P867" t="str">
        <f>IF(DONNEES!$E867="","",DONNEES!Q867)</f>
        <v/>
      </c>
      <c r="Q867" t="str">
        <f>IF(DONNEES!$E867="","",DONNEES!R867)</f>
        <v/>
      </c>
      <c r="R867" t="str">
        <f>IF(DONNEES!$E867="","",DONNEES!S867)</f>
        <v/>
      </c>
      <c r="S867" t="str">
        <f>IF(DONNEES!$E867="","",DONNEES!T867)</f>
        <v/>
      </c>
      <c r="T867" t="str">
        <f>IF(DONNEES!$E867="","",DONNEES!U867)</f>
        <v/>
      </c>
      <c r="U867" t="str">
        <f>IF(DONNEES!$E867="","",DONNEES!V867)</f>
        <v/>
      </c>
      <c r="V867" t="str">
        <f>IF(DONNEES!$E867="","",DONNEES!W867)</f>
        <v/>
      </c>
      <c r="W867" t="str">
        <f>IF(DONNEES!$E867="","",DONNEES!X867)</f>
        <v/>
      </c>
      <c r="X867" t="str">
        <f>IF(DONNEES!$E867="","",DONNEES!Y867)</f>
        <v/>
      </c>
      <c r="Y867" t="str">
        <f>IF(DONNEES!$E867="","",DONNEES!Z867)</f>
        <v/>
      </c>
      <c r="Z867" t="str">
        <f>IF(DONNEES!$E867="","",DONNEES!AQ867)</f>
        <v/>
      </c>
    </row>
    <row r="868" spans="1:26" ht="15" customHeight="1" x14ac:dyDescent="0.3">
      <c r="A868" t="str">
        <f>IF(DONNEES!$E868="","",DONNEES!A868)</f>
        <v/>
      </c>
      <c r="B868" t="str">
        <f>IF(DONNEES!$E868="","",DONNEES!B868)</f>
        <v/>
      </c>
      <c r="C868" t="str">
        <f>IF(DONNEES!$E868="","",DONNEES!C868)</f>
        <v/>
      </c>
      <c r="D868" t="str">
        <f>IF(DONNEES!$E868="","",DONNEES!E868)</f>
        <v/>
      </c>
      <c r="E868" t="str">
        <f>IF(DONNEES!$E868="","",DONNEES!F868)</f>
        <v/>
      </c>
      <c r="F868" t="str">
        <f>IF(DONNEES!$E868="","",DONNEES!G868)</f>
        <v/>
      </c>
      <c r="G868" t="str">
        <f>IF(DONNEES!$E868="","",DONNEES!H868)</f>
        <v/>
      </c>
      <c r="H868" t="str">
        <f>IF(DONNEES!$E868="","",DONNEES!I868)</f>
        <v/>
      </c>
      <c r="I868" t="str">
        <f>IF(DONNEES!$E868="","",DONNEES!J868)</f>
        <v/>
      </c>
      <c r="J868" t="str">
        <f>IF(DONNEES!$E868="","",DONNEES!K868)</f>
        <v/>
      </c>
      <c r="K868" t="str">
        <f>IF(DONNEES!$E868="","",DONNEES!L868)</f>
        <v/>
      </c>
      <c r="L868" t="str">
        <f>IF(DONNEES!$E868="","",DONNEES!M868)</f>
        <v/>
      </c>
      <c r="M868" t="str">
        <f>IF(DONNEES!$E868="","",DONNEES!N868)</f>
        <v/>
      </c>
      <c r="N868" t="str">
        <f>IF(DONNEES!$E868="","",DONNEES!O868)</f>
        <v/>
      </c>
      <c r="O868" t="str">
        <f>IF(DONNEES!$E868="","",DONNEES!P868)</f>
        <v/>
      </c>
      <c r="P868" t="str">
        <f>IF(DONNEES!$E868="","",DONNEES!Q868)</f>
        <v/>
      </c>
      <c r="Q868" t="str">
        <f>IF(DONNEES!$E868="","",DONNEES!R868)</f>
        <v/>
      </c>
      <c r="R868" t="str">
        <f>IF(DONNEES!$E868="","",DONNEES!S868)</f>
        <v/>
      </c>
      <c r="S868" t="str">
        <f>IF(DONNEES!$E868="","",DONNEES!T868)</f>
        <v/>
      </c>
      <c r="T868" t="str">
        <f>IF(DONNEES!$E868="","",DONNEES!U868)</f>
        <v/>
      </c>
      <c r="U868" t="str">
        <f>IF(DONNEES!$E868="","",DONNEES!V868)</f>
        <v/>
      </c>
      <c r="V868" t="str">
        <f>IF(DONNEES!$E868="","",DONNEES!W868)</f>
        <v/>
      </c>
      <c r="W868" t="str">
        <f>IF(DONNEES!$E868="","",DONNEES!X868)</f>
        <v/>
      </c>
      <c r="X868" t="str">
        <f>IF(DONNEES!$E868="","",DONNEES!Y868)</f>
        <v/>
      </c>
      <c r="Y868" t="str">
        <f>IF(DONNEES!$E868="","",DONNEES!Z868)</f>
        <v/>
      </c>
      <c r="Z868" t="str">
        <f>IF(DONNEES!$E868="","",DONNEES!AQ868)</f>
        <v/>
      </c>
    </row>
    <row r="869" spans="1:26" ht="15" customHeight="1" x14ac:dyDescent="0.3">
      <c r="A869" t="str">
        <f>IF(DONNEES!$E869="","",DONNEES!A869)</f>
        <v/>
      </c>
      <c r="B869" t="str">
        <f>IF(DONNEES!$E869="","",DONNEES!B869)</f>
        <v/>
      </c>
      <c r="C869" t="str">
        <f>IF(DONNEES!$E869="","",DONNEES!C869)</f>
        <v/>
      </c>
      <c r="D869" t="str">
        <f>IF(DONNEES!$E869="","",DONNEES!E869)</f>
        <v/>
      </c>
      <c r="E869" t="str">
        <f>IF(DONNEES!$E869="","",DONNEES!F869)</f>
        <v/>
      </c>
      <c r="F869" t="str">
        <f>IF(DONNEES!$E869="","",DONNEES!G869)</f>
        <v/>
      </c>
      <c r="G869" t="str">
        <f>IF(DONNEES!$E869="","",DONNEES!H869)</f>
        <v/>
      </c>
      <c r="H869" t="str">
        <f>IF(DONNEES!$E869="","",DONNEES!I869)</f>
        <v/>
      </c>
      <c r="I869" t="str">
        <f>IF(DONNEES!$E869="","",DONNEES!J869)</f>
        <v/>
      </c>
      <c r="J869" t="str">
        <f>IF(DONNEES!$E869="","",DONNEES!K869)</f>
        <v/>
      </c>
      <c r="K869" t="str">
        <f>IF(DONNEES!$E869="","",DONNEES!L869)</f>
        <v/>
      </c>
      <c r="L869" t="str">
        <f>IF(DONNEES!$E869="","",DONNEES!M869)</f>
        <v/>
      </c>
      <c r="M869" t="str">
        <f>IF(DONNEES!$E869="","",DONNEES!N869)</f>
        <v/>
      </c>
      <c r="N869" t="str">
        <f>IF(DONNEES!$E869="","",DONNEES!O869)</f>
        <v/>
      </c>
      <c r="O869" t="str">
        <f>IF(DONNEES!$E869="","",DONNEES!P869)</f>
        <v/>
      </c>
      <c r="P869" t="str">
        <f>IF(DONNEES!$E869="","",DONNEES!Q869)</f>
        <v/>
      </c>
      <c r="Q869" t="str">
        <f>IF(DONNEES!$E869="","",DONNEES!R869)</f>
        <v/>
      </c>
      <c r="R869" t="str">
        <f>IF(DONNEES!$E869="","",DONNEES!S869)</f>
        <v/>
      </c>
      <c r="S869" t="str">
        <f>IF(DONNEES!$E869="","",DONNEES!T869)</f>
        <v/>
      </c>
      <c r="T869" t="str">
        <f>IF(DONNEES!$E869="","",DONNEES!U869)</f>
        <v/>
      </c>
      <c r="U869" t="str">
        <f>IF(DONNEES!$E869="","",DONNEES!V869)</f>
        <v/>
      </c>
      <c r="V869" t="str">
        <f>IF(DONNEES!$E869="","",DONNEES!W869)</f>
        <v/>
      </c>
      <c r="W869" t="str">
        <f>IF(DONNEES!$E869="","",DONNEES!X869)</f>
        <v/>
      </c>
      <c r="X869" t="str">
        <f>IF(DONNEES!$E869="","",DONNEES!Y869)</f>
        <v/>
      </c>
      <c r="Y869" t="str">
        <f>IF(DONNEES!$E869="","",DONNEES!Z869)</f>
        <v/>
      </c>
      <c r="Z869" t="str">
        <f>IF(DONNEES!$E869="","",DONNEES!AQ869)</f>
        <v/>
      </c>
    </row>
    <row r="870" spans="1:26" ht="15" customHeight="1" x14ac:dyDescent="0.3">
      <c r="A870" t="str">
        <f>IF(DONNEES!$E870="","",DONNEES!A870)</f>
        <v/>
      </c>
      <c r="B870" t="str">
        <f>IF(DONNEES!$E870="","",DONNEES!B870)</f>
        <v/>
      </c>
      <c r="C870" t="str">
        <f>IF(DONNEES!$E870="","",DONNEES!C870)</f>
        <v/>
      </c>
      <c r="D870" t="str">
        <f>IF(DONNEES!$E870="","",DONNEES!E870)</f>
        <v/>
      </c>
      <c r="E870" t="str">
        <f>IF(DONNEES!$E870="","",DONNEES!F870)</f>
        <v/>
      </c>
      <c r="F870" t="str">
        <f>IF(DONNEES!$E870="","",DONNEES!G870)</f>
        <v/>
      </c>
      <c r="G870" t="str">
        <f>IF(DONNEES!$E870="","",DONNEES!H870)</f>
        <v/>
      </c>
      <c r="H870" t="str">
        <f>IF(DONNEES!$E870="","",DONNEES!I870)</f>
        <v/>
      </c>
      <c r="I870" t="str">
        <f>IF(DONNEES!$E870="","",DONNEES!J870)</f>
        <v/>
      </c>
      <c r="J870" t="str">
        <f>IF(DONNEES!$E870="","",DONNEES!K870)</f>
        <v/>
      </c>
      <c r="K870" t="str">
        <f>IF(DONNEES!$E870="","",DONNEES!L870)</f>
        <v/>
      </c>
      <c r="L870" t="str">
        <f>IF(DONNEES!$E870="","",DONNEES!M870)</f>
        <v/>
      </c>
      <c r="M870" t="str">
        <f>IF(DONNEES!$E870="","",DONNEES!N870)</f>
        <v/>
      </c>
      <c r="N870" t="str">
        <f>IF(DONNEES!$E870="","",DONNEES!O870)</f>
        <v/>
      </c>
      <c r="O870" t="str">
        <f>IF(DONNEES!$E870="","",DONNEES!P870)</f>
        <v/>
      </c>
      <c r="P870" t="str">
        <f>IF(DONNEES!$E870="","",DONNEES!Q870)</f>
        <v/>
      </c>
      <c r="Q870" t="str">
        <f>IF(DONNEES!$E870="","",DONNEES!R870)</f>
        <v/>
      </c>
      <c r="R870" t="str">
        <f>IF(DONNEES!$E870="","",DONNEES!S870)</f>
        <v/>
      </c>
      <c r="S870" t="str">
        <f>IF(DONNEES!$E870="","",DONNEES!T870)</f>
        <v/>
      </c>
      <c r="T870" t="str">
        <f>IF(DONNEES!$E870="","",DONNEES!U870)</f>
        <v/>
      </c>
      <c r="U870" t="str">
        <f>IF(DONNEES!$E870="","",DONNEES!V870)</f>
        <v/>
      </c>
      <c r="V870" t="str">
        <f>IF(DONNEES!$E870="","",DONNEES!W870)</f>
        <v/>
      </c>
      <c r="W870" t="str">
        <f>IF(DONNEES!$E870="","",DONNEES!X870)</f>
        <v/>
      </c>
      <c r="X870" t="str">
        <f>IF(DONNEES!$E870="","",DONNEES!Y870)</f>
        <v/>
      </c>
      <c r="Y870" t="str">
        <f>IF(DONNEES!$E870="","",DONNEES!Z870)</f>
        <v/>
      </c>
      <c r="Z870" t="str">
        <f>IF(DONNEES!$E870="","",DONNEES!AQ870)</f>
        <v/>
      </c>
    </row>
    <row r="871" spans="1:26" ht="15" customHeight="1" x14ac:dyDescent="0.3">
      <c r="A871" t="str">
        <f>IF(DONNEES!$E871="","",DONNEES!A871)</f>
        <v/>
      </c>
      <c r="B871" t="str">
        <f>IF(DONNEES!$E871="","",DONNEES!B871)</f>
        <v/>
      </c>
      <c r="C871" t="str">
        <f>IF(DONNEES!$E871="","",DONNEES!C871)</f>
        <v/>
      </c>
      <c r="D871" t="str">
        <f>IF(DONNEES!$E871="","",DONNEES!E871)</f>
        <v/>
      </c>
      <c r="E871" t="str">
        <f>IF(DONNEES!$E871="","",DONNEES!F871)</f>
        <v/>
      </c>
      <c r="F871" t="str">
        <f>IF(DONNEES!$E871="","",DONNEES!G871)</f>
        <v/>
      </c>
      <c r="G871" t="str">
        <f>IF(DONNEES!$E871="","",DONNEES!H871)</f>
        <v/>
      </c>
      <c r="H871" t="str">
        <f>IF(DONNEES!$E871="","",DONNEES!I871)</f>
        <v/>
      </c>
      <c r="I871" t="str">
        <f>IF(DONNEES!$E871="","",DONNEES!J871)</f>
        <v/>
      </c>
      <c r="J871" t="str">
        <f>IF(DONNEES!$E871="","",DONNEES!K871)</f>
        <v/>
      </c>
      <c r="K871" t="str">
        <f>IF(DONNEES!$E871="","",DONNEES!L871)</f>
        <v/>
      </c>
      <c r="L871" t="str">
        <f>IF(DONNEES!$E871="","",DONNEES!M871)</f>
        <v/>
      </c>
      <c r="M871" t="str">
        <f>IF(DONNEES!$E871="","",DONNEES!N871)</f>
        <v/>
      </c>
      <c r="N871" t="str">
        <f>IF(DONNEES!$E871="","",DONNEES!O871)</f>
        <v/>
      </c>
      <c r="O871" t="str">
        <f>IF(DONNEES!$E871="","",DONNEES!P871)</f>
        <v/>
      </c>
      <c r="P871" t="str">
        <f>IF(DONNEES!$E871="","",DONNEES!Q871)</f>
        <v/>
      </c>
      <c r="Q871" t="str">
        <f>IF(DONNEES!$E871="","",DONNEES!R871)</f>
        <v/>
      </c>
      <c r="R871" t="str">
        <f>IF(DONNEES!$E871="","",DONNEES!S871)</f>
        <v/>
      </c>
      <c r="S871" t="str">
        <f>IF(DONNEES!$E871="","",DONNEES!T871)</f>
        <v/>
      </c>
      <c r="T871" t="str">
        <f>IF(DONNEES!$E871="","",DONNEES!U871)</f>
        <v/>
      </c>
      <c r="U871" t="str">
        <f>IF(DONNEES!$E871="","",DONNEES!V871)</f>
        <v/>
      </c>
      <c r="V871" t="str">
        <f>IF(DONNEES!$E871="","",DONNEES!W871)</f>
        <v/>
      </c>
      <c r="W871" t="str">
        <f>IF(DONNEES!$E871="","",DONNEES!X871)</f>
        <v/>
      </c>
      <c r="X871" t="str">
        <f>IF(DONNEES!$E871="","",DONNEES!Y871)</f>
        <v/>
      </c>
      <c r="Y871" t="str">
        <f>IF(DONNEES!$E871="","",DONNEES!Z871)</f>
        <v/>
      </c>
      <c r="Z871" t="str">
        <f>IF(DONNEES!$E871="","",DONNEES!AQ871)</f>
        <v/>
      </c>
    </row>
    <row r="872" spans="1:26" ht="15" customHeight="1" x14ac:dyDescent="0.3">
      <c r="A872" t="str">
        <f>IF(DONNEES!$E872="","",DONNEES!A872)</f>
        <v/>
      </c>
      <c r="B872" t="str">
        <f>IF(DONNEES!$E872="","",DONNEES!B872)</f>
        <v/>
      </c>
      <c r="C872" t="str">
        <f>IF(DONNEES!$E872="","",DONNEES!C872)</f>
        <v/>
      </c>
      <c r="D872" t="str">
        <f>IF(DONNEES!$E872="","",DONNEES!E872)</f>
        <v/>
      </c>
      <c r="E872" t="str">
        <f>IF(DONNEES!$E872="","",DONNEES!F872)</f>
        <v/>
      </c>
      <c r="F872" t="str">
        <f>IF(DONNEES!$E872="","",DONNEES!G872)</f>
        <v/>
      </c>
      <c r="G872" t="str">
        <f>IF(DONNEES!$E872="","",DONNEES!H872)</f>
        <v/>
      </c>
      <c r="H872" t="str">
        <f>IF(DONNEES!$E872="","",DONNEES!I872)</f>
        <v/>
      </c>
      <c r="I872" t="str">
        <f>IF(DONNEES!$E872="","",DONNEES!J872)</f>
        <v/>
      </c>
      <c r="J872" t="str">
        <f>IF(DONNEES!$E872="","",DONNEES!K872)</f>
        <v/>
      </c>
      <c r="K872" t="str">
        <f>IF(DONNEES!$E872="","",DONNEES!L872)</f>
        <v/>
      </c>
      <c r="L872" t="str">
        <f>IF(DONNEES!$E872="","",DONNEES!M872)</f>
        <v/>
      </c>
      <c r="M872" t="str">
        <f>IF(DONNEES!$E872="","",DONNEES!N872)</f>
        <v/>
      </c>
      <c r="N872" t="str">
        <f>IF(DONNEES!$E872="","",DONNEES!O872)</f>
        <v/>
      </c>
      <c r="O872" t="str">
        <f>IF(DONNEES!$E872="","",DONNEES!P872)</f>
        <v/>
      </c>
      <c r="P872" t="str">
        <f>IF(DONNEES!$E872="","",DONNEES!Q872)</f>
        <v/>
      </c>
      <c r="Q872" t="str">
        <f>IF(DONNEES!$E872="","",DONNEES!R872)</f>
        <v/>
      </c>
      <c r="R872" t="str">
        <f>IF(DONNEES!$E872="","",DONNEES!S872)</f>
        <v/>
      </c>
      <c r="S872" t="str">
        <f>IF(DONNEES!$E872="","",DONNEES!T872)</f>
        <v/>
      </c>
      <c r="T872" t="str">
        <f>IF(DONNEES!$E872="","",DONNEES!U872)</f>
        <v/>
      </c>
      <c r="U872" t="str">
        <f>IF(DONNEES!$E872="","",DONNEES!V872)</f>
        <v/>
      </c>
      <c r="V872" t="str">
        <f>IF(DONNEES!$E872="","",DONNEES!W872)</f>
        <v/>
      </c>
      <c r="W872" t="str">
        <f>IF(DONNEES!$E872="","",DONNEES!X872)</f>
        <v/>
      </c>
      <c r="X872" t="str">
        <f>IF(DONNEES!$E872="","",DONNEES!Y872)</f>
        <v/>
      </c>
      <c r="Y872" t="str">
        <f>IF(DONNEES!$E872="","",DONNEES!Z872)</f>
        <v/>
      </c>
      <c r="Z872" t="str">
        <f>IF(DONNEES!$E872="","",DONNEES!AQ872)</f>
        <v/>
      </c>
    </row>
    <row r="873" spans="1:26" ht="15" customHeight="1" x14ac:dyDescent="0.3">
      <c r="A873" t="str">
        <f>IF(DONNEES!$E873="","",DONNEES!A873)</f>
        <v/>
      </c>
      <c r="B873" t="str">
        <f>IF(DONNEES!$E873="","",DONNEES!B873)</f>
        <v/>
      </c>
      <c r="C873" t="str">
        <f>IF(DONNEES!$E873="","",DONNEES!C873)</f>
        <v/>
      </c>
      <c r="D873" t="str">
        <f>IF(DONNEES!$E873="","",DONNEES!E873)</f>
        <v/>
      </c>
      <c r="E873" t="str">
        <f>IF(DONNEES!$E873="","",DONNEES!F873)</f>
        <v/>
      </c>
      <c r="F873" t="str">
        <f>IF(DONNEES!$E873="","",DONNEES!G873)</f>
        <v/>
      </c>
      <c r="G873" t="str">
        <f>IF(DONNEES!$E873="","",DONNEES!H873)</f>
        <v/>
      </c>
      <c r="H873" t="str">
        <f>IF(DONNEES!$E873="","",DONNEES!I873)</f>
        <v/>
      </c>
      <c r="I873" t="str">
        <f>IF(DONNEES!$E873="","",DONNEES!J873)</f>
        <v/>
      </c>
      <c r="J873" t="str">
        <f>IF(DONNEES!$E873="","",DONNEES!K873)</f>
        <v/>
      </c>
      <c r="K873" t="str">
        <f>IF(DONNEES!$E873="","",DONNEES!L873)</f>
        <v/>
      </c>
      <c r="L873" t="str">
        <f>IF(DONNEES!$E873="","",DONNEES!M873)</f>
        <v/>
      </c>
      <c r="M873" t="str">
        <f>IF(DONNEES!$E873="","",DONNEES!N873)</f>
        <v/>
      </c>
      <c r="N873" t="str">
        <f>IF(DONNEES!$E873="","",DONNEES!O873)</f>
        <v/>
      </c>
      <c r="O873" t="str">
        <f>IF(DONNEES!$E873="","",DONNEES!P873)</f>
        <v/>
      </c>
      <c r="P873" t="str">
        <f>IF(DONNEES!$E873="","",DONNEES!Q873)</f>
        <v/>
      </c>
      <c r="Q873" t="str">
        <f>IF(DONNEES!$E873="","",DONNEES!R873)</f>
        <v/>
      </c>
      <c r="R873" t="str">
        <f>IF(DONNEES!$E873="","",DONNEES!S873)</f>
        <v/>
      </c>
      <c r="S873" t="str">
        <f>IF(DONNEES!$E873="","",DONNEES!T873)</f>
        <v/>
      </c>
      <c r="T873" t="str">
        <f>IF(DONNEES!$E873="","",DONNEES!U873)</f>
        <v/>
      </c>
      <c r="U873" t="str">
        <f>IF(DONNEES!$E873="","",DONNEES!V873)</f>
        <v/>
      </c>
      <c r="V873" t="str">
        <f>IF(DONNEES!$E873="","",DONNEES!W873)</f>
        <v/>
      </c>
      <c r="W873" t="str">
        <f>IF(DONNEES!$E873="","",DONNEES!X873)</f>
        <v/>
      </c>
      <c r="X873" t="str">
        <f>IF(DONNEES!$E873="","",DONNEES!Y873)</f>
        <v/>
      </c>
      <c r="Y873" t="str">
        <f>IF(DONNEES!$E873="","",DONNEES!Z873)</f>
        <v/>
      </c>
      <c r="Z873" t="str">
        <f>IF(DONNEES!$E873="","",DONNEES!AQ873)</f>
        <v/>
      </c>
    </row>
    <row r="874" spans="1:26" ht="15" customHeight="1" x14ac:dyDescent="0.3">
      <c r="A874" t="str">
        <f>IF(DONNEES!$E874="","",DONNEES!A874)</f>
        <v/>
      </c>
      <c r="B874" t="str">
        <f>IF(DONNEES!$E874="","",DONNEES!B874)</f>
        <v/>
      </c>
      <c r="C874" t="str">
        <f>IF(DONNEES!$E874="","",DONNEES!C874)</f>
        <v/>
      </c>
      <c r="D874" t="str">
        <f>IF(DONNEES!$E874="","",DONNEES!E874)</f>
        <v/>
      </c>
      <c r="E874" t="str">
        <f>IF(DONNEES!$E874="","",DONNEES!F874)</f>
        <v/>
      </c>
      <c r="F874" t="str">
        <f>IF(DONNEES!$E874="","",DONNEES!G874)</f>
        <v/>
      </c>
      <c r="G874" t="str">
        <f>IF(DONNEES!$E874="","",DONNEES!H874)</f>
        <v/>
      </c>
      <c r="H874" t="str">
        <f>IF(DONNEES!$E874="","",DONNEES!I874)</f>
        <v/>
      </c>
      <c r="I874" t="str">
        <f>IF(DONNEES!$E874="","",DONNEES!J874)</f>
        <v/>
      </c>
      <c r="J874" t="str">
        <f>IF(DONNEES!$E874="","",DONNEES!K874)</f>
        <v/>
      </c>
      <c r="K874" t="str">
        <f>IF(DONNEES!$E874="","",DONNEES!L874)</f>
        <v/>
      </c>
      <c r="L874" t="str">
        <f>IF(DONNEES!$E874="","",DONNEES!M874)</f>
        <v/>
      </c>
      <c r="M874" t="str">
        <f>IF(DONNEES!$E874="","",DONNEES!N874)</f>
        <v/>
      </c>
      <c r="N874" t="str">
        <f>IF(DONNEES!$E874="","",DONNEES!O874)</f>
        <v/>
      </c>
      <c r="O874" t="str">
        <f>IF(DONNEES!$E874="","",DONNEES!P874)</f>
        <v/>
      </c>
      <c r="P874" t="str">
        <f>IF(DONNEES!$E874="","",DONNEES!Q874)</f>
        <v/>
      </c>
      <c r="Q874" t="str">
        <f>IF(DONNEES!$E874="","",DONNEES!R874)</f>
        <v/>
      </c>
      <c r="R874" t="str">
        <f>IF(DONNEES!$E874="","",DONNEES!S874)</f>
        <v/>
      </c>
      <c r="S874" t="str">
        <f>IF(DONNEES!$E874="","",DONNEES!T874)</f>
        <v/>
      </c>
      <c r="T874" t="str">
        <f>IF(DONNEES!$E874="","",DONNEES!U874)</f>
        <v/>
      </c>
      <c r="U874" t="str">
        <f>IF(DONNEES!$E874="","",DONNEES!V874)</f>
        <v/>
      </c>
      <c r="V874" t="str">
        <f>IF(DONNEES!$E874="","",DONNEES!W874)</f>
        <v/>
      </c>
      <c r="W874" t="str">
        <f>IF(DONNEES!$E874="","",DONNEES!X874)</f>
        <v/>
      </c>
      <c r="X874" t="str">
        <f>IF(DONNEES!$E874="","",DONNEES!Y874)</f>
        <v/>
      </c>
      <c r="Y874" t="str">
        <f>IF(DONNEES!$E874="","",DONNEES!Z874)</f>
        <v/>
      </c>
      <c r="Z874" t="str">
        <f>IF(DONNEES!$E874="","",DONNEES!AQ874)</f>
        <v/>
      </c>
    </row>
    <row r="875" spans="1:26" ht="15" customHeight="1" x14ac:dyDescent="0.3">
      <c r="A875" t="str">
        <f>IF(DONNEES!$E875="","",DONNEES!A875)</f>
        <v/>
      </c>
      <c r="B875" t="str">
        <f>IF(DONNEES!$E875="","",DONNEES!B875)</f>
        <v/>
      </c>
      <c r="C875" t="str">
        <f>IF(DONNEES!$E875="","",DONNEES!C875)</f>
        <v/>
      </c>
      <c r="D875" t="str">
        <f>IF(DONNEES!$E875="","",DONNEES!E875)</f>
        <v/>
      </c>
      <c r="E875" t="str">
        <f>IF(DONNEES!$E875="","",DONNEES!F875)</f>
        <v/>
      </c>
      <c r="F875" t="str">
        <f>IF(DONNEES!$E875="","",DONNEES!G875)</f>
        <v/>
      </c>
      <c r="G875" t="str">
        <f>IF(DONNEES!$E875="","",DONNEES!H875)</f>
        <v/>
      </c>
      <c r="H875" t="str">
        <f>IF(DONNEES!$E875="","",DONNEES!I875)</f>
        <v/>
      </c>
      <c r="I875" t="str">
        <f>IF(DONNEES!$E875="","",DONNEES!J875)</f>
        <v/>
      </c>
      <c r="J875" t="str">
        <f>IF(DONNEES!$E875="","",DONNEES!K875)</f>
        <v/>
      </c>
      <c r="K875" t="str">
        <f>IF(DONNEES!$E875="","",DONNEES!L875)</f>
        <v/>
      </c>
      <c r="L875" t="str">
        <f>IF(DONNEES!$E875="","",DONNEES!M875)</f>
        <v/>
      </c>
      <c r="M875" t="str">
        <f>IF(DONNEES!$E875="","",DONNEES!N875)</f>
        <v/>
      </c>
      <c r="N875" t="str">
        <f>IF(DONNEES!$E875="","",DONNEES!O875)</f>
        <v/>
      </c>
      <c r="O875" t="str">
        <f>IF(DONNEES!$E875="","",DONNEES!P875)</f>
        <v/>
      </c>
      <c r="P875" t="str">
        <f>IF(DONNEES!$E875="","",DONNEES!Q875)</f>
        <v/>
      </c>
      <c r="Q875" t="str">
        <f>IF(DONNEES!$E875="","",DONNEES!R875)</f>
        <v/>
      </c>
      <c r="R875" t="str">
        <f>IF(DONNEES!$E875="","",DONNEES!S875)</f>
        <v/>
      </c>
      <c r="S875" t="str">
        <f>IF(DONNEES!$E875="","",DONNEES!T875)</f>
        <v/>
      </c>
      <c r="T875" t="str">
        <f>IF(DONNEES!$E875="","",DONNEES!U875)</f>
        <v/>
      </c>
      <c r="U875" t="str">
        <f>IF(DONNEES!$E875="","",DONNEES!V875)</f>
        <v/>
      </c>
      <c r="V875" t="str">
        <f>IF(DONNEES!$E875="","",DONNEES!W875)</f>
        <v/>
      </c>
      <c r="W875" t="str">
        <f>IF(DONNEES!$E875="","",DONNEES!X875)</f>
        <v/>
      </c>
      <c r="X875" t="str">
        <f>IF(DONNEES!$E875="","",DONNEES!Y875)</f>
        <v/>
      </c>
      <c r="Y875" t="str">
        <f>IF(DONNEES!$E875="","",DONNEES!Z875)</f>
        <v/>
      </c>
      <c r="Z875" t="str">
        <f>IF(DONNEES!$E875="","",DONNEES!AQ875)</f>
        <v/>
      </c>
    </row>
    <row r="876" spans="1:26" ht="15" customHeight="1" x14ac:dyDescent="0.3">
      <c r="A876" t="str">
        <f>IF(DONNEES!$E876="","",DONNEES!A876)</f>
        <v/>
      </c>
      <c r="B876" t="str">
        <f>IF(DONNEES!$E876="","",DONNEES!B876)</f>
        <v/>
      </c>
      <c r="C876" t="str">
        <f>IF(DONNEES!$E876="","",DONNEES!C876)</f>
        <v/>
      </c>
      <c r="D876" t="str">
        <f>IF(DONNEES!$E876="","",DONNEES!E876)</f>
        <v/>
      </c>
      <c r="E876" t="str">
        <f>IF(DONNEES!$E876="","",DONNEES!F876)</f>
        <v/>
      </c>
      <c r="F876" t="str">
        <f>IF(DONNEES!$E876="","",DONNEES!G876)</f>
        <v/>
      </c>
      <c r="G876" t="str">
        <f>IF(DONNEES!$E876="","",DONNEES!H876)</f>
        <v/>
      </c>
      <c r="H876" t="str">
        <f>IF(DONNEES!$E876="","",DONNEES!I876)</f>
        <v/>
      </c>
      <c r="I876" t="str">
        <f>IF(DONNEES!$E876="","",DONNEES!J876)</f>
        <v/>
      </c>
      <c r="J876" t="str">
        <f>IF(DONNEES!$E876="","",DONNEES!K876)</f>
        <v/>
      </c>
      <c r="K876" t="str">
        <f>IF(DONNEES!$E876="","",DONNEES!L876)</f>
        <v/>
      </c>
      <c r="L876" t="str">
        <f>IF(DONNEES!$E876="","",DONNEES!M876)</f>
        <v/>
      </c>
      <c r="M876" t="str">
        <f>IF(DONNEES!$E876="","",DONNEES!N876)</f>
        <v/>
      </c>
      <c r="N876" t="str">
        <f>IF(DONNEES!$E876="","",DONNEES!O876)</f>
        <v/>
      </c>
      <c r="O876" t="str">
        <f>IF(DONNEES!$E876="","",DONNEES!P876)</f>
        <v/>
      </c>
      <c r="P876" t="str">
        <f>IF(DONNEES!$E876="","",DONNEES!Q876)</f>
        <v/>
      </c>
      <c r="Q876" t="str">
        <f>IF(DONNEES!$E876="","",DONNEES!R876)</f>
        <v/>
      </c>
      <c r="R876" t="str">
        <f>IF(DONNEES!$E876="","",DONNEES!S876)</f>
        <v/>
      </c>
      <c r="S876" t="str">
        <f>IF(DONNEES!$E876="","",DONNEES!T876)</f>
        <v/>
      </c>
      <c r="T876" t="str">
        <f>IF(DONNEES!$E876="","",DONNEES!U876)</f>
        <v/>
      </c>
      <c r="U876" t="str">
        <f>IF(DONNEES!$E876="","",DONNEES!V876)</f>
        <v/>
      </c>
      <c r="V876" t="str">
        <f>IF(DONNEES!$E876="","",DONNEES!W876)</f>
        <v/>
      </c>
      <c r="W876" t="str">
        <f>IF(DONNEES!$E876="","",DONNEES!X876)</f>
        <v/>
      </c>
      <c r="X876" t="str">
        <f>IF(DONNEES!$E876="","",DONNEES!Y876)</f>
        <v/>
      </c>
      <c r="Y876" t="str">
        <f>IF(DONNEES!$E876="","",DONNEES!Z876)</f>
        <v/>
      </c>
      <c r="Z876" t="str">
        <f>IF(DONNEES!$E876="","",DONNEES!AQ876)</f>
        <v/>
      </c>
    </row>
    <row r="877" spans="1:26" ht="15" customHeight="1" x14ac:dyDescent="0.3">
      <c r="A877" t="str">
        <f>IF(DONNEES!$E877="","",DONNEES!A877)</f>
        <v/>
      </c>
      <c r="B877" t="str">
        <f>IF(DONNEES!$E877="","",DONNEES!B877)</f>
        <v/>
      </c>
      <c r="C877" t="str">
        <f>IF(DONNEES!$E877="","",DONNEES!C877)</f>
        <v/>
      </c>
      <c r="D877" t="str">
        <f>IF(DONNEES!$E877="","",DONNEES!E877)</f>
        <v/>
      </c>
      <c r="E877" t="str">
        <f>IF(DONNEES!$E877="","",DONNEES!F877)</f>
        <v/>
      </c>
      <c r="F877" t="str">
        <f>IF(DONNEES!$E877="","",DONNEES!G877)</f>
        <v/>
      </c>
      <c r="G877" t="str">
        <f>IF(DONNEES!$E877="","",DONNEES!H877)</f>
        <v/>
      </c>
      <c r="H877" t="str">
        <f>IF(DONNEES!$E877="","",DONNEES!I877)</f>
        <v/>
      </c>
      <c r="I877" t="str">
        <f>IF(DONNEES!$E877="","",DONNEES!J877)</f>
        <v/>
      </c>
      <c r="J877" t="str">
        <f>IF(DONNEES!$E877="","",DONNEES!K877)</f>
        <v/>
      </c>
      <c r="K877" t="str">
        <f>IF(DONNEES!$E877="","",DONNEES!L877)</f>
        <v/>
      </c>
      <c r="L877" t="str">
        <f>IF(DONNEES!$E877="","",DONNEES!M877)</f>
        <v/>
      </c>
      <c r="M877" t="str">
        <f>IF(DONNEES!$E877="","",DONNEES!N877)</f>
        <v/>
      </c>
      <c r="N877" t="str">
        <f>IF(DONNEES!$E877="","",DONNEES!O877)</f>
        <v/>
      </c>
      <c r="O877" t="str">
        <f>IF(DONNEES!$E877="","",DONNEES!P877)</f>
        <v/>
      </c>
      <c r="P877" t="str">
        <f>IF(DONNEES!$E877="","",DONNEES!Q877)</f>
        <v/>
      </c>
      <c r="Q877" t="str">
        <f>IF(DONNEES!$E877="","",DONNEES!R877)</f>
        <v/>
      </c>
      <c r="R877" t="str">
        <f>IF(DONNEES!$E877="","",DONNEES!S877)</f>
        <v/>
      </c>
      <c r="S877" t="str">
        <f>IF(DONNEES!$E877="","",DONNEES!T877)</f>
        <v/>
      </c>
      <c r="T877" t="str">
        <f>IF(DONNEES!$E877="","",DONNEES!U877)</f>
        <v/>
      </c>
      <c r="U877" t="str">
        <f>IF(DONNEES!$E877="","",DONNEES!V877)</f>
        <v/>
      </c>
      <c r="V877" t="str">
        <f>IF(DONNEES!$E877="","",DONNEES!W877)</f>
        <v/>
      </c>
      <c r="W877" t="str">
        <f>IF(DONNEES!$E877="","",DONNEES!X877)</f>
        <v/>
      </c>
      <c r="X877" t="str">
        <f>IF(DONNEES!$E877="","",DONNEES!Y877)</f>
        <v/>
      </c>
      <c r="Y877" t="str">
        <f>IF(DONNEES!$E877="","",DONNEES!Z877)</f>
        <v/>
      </c>
      <c r="Z877" t="str">
        <f>IF(DONNEES!$E877="","",DONNEES!AQ877)</f>
        <v/>
      </c>
    </row>
    <row r="878" spans="1:26" ht="15" customHeight="1" x14ac:dyDescent="0.3">
      <c r="A878" t="str">
        <f>IF(DONNEES!$E878="","",DONNEES!A878)</f>
        <v/>
      </c>
      <c r="B878" t="str">
        <f>IF(DONNEES!$E878="","",DONNEES!B878)</f>
        <v/>
      </c>
      <c r="C878" t="str">
        <f>IF(DONNEES!$E878="","",DONNEES!C878)</f>
        <v/>
      </c>
      <c r="D878" t="str">
        <f>IF(DONNEES!$E878="","",DONNEES!E878)</f>
        <v/>
      </c>
      <c r="E878" t="str">
        <f>IF(DONNEES!$E878="","",DONNEES!F878)</f>
        <v/>
      </c>
      <c r="F878" t="str">
        <f>IF(DONNEES!$E878="","",DONNEES!G878)</f>
        <v/>
      </c>
      <c r="G878" t="str">
        <f>IF(DONNEES!$E878="","",DONNEES!H878)</f>
        <v/>
      </c>
      <c r="H878" t="str">
        <f>IF(DONNEES!$E878="","",DONNEES!I878)</f>
        <v/>
      </c>
      <c r="I878" t="str">
        <f>IF(DONNEES!$E878="","",DONNEES!J878)</f>
        <v/>
      </c>
      <c r="J878" t="str">
        <f>IF(DONNEES!$E878="","",DONNEES!K878)</f>
        <v/>
      </c>
      <c r="K878" t="str">
        <f>IF(DONNEES!$E878="","",DONNEES!L878)</f>
        <v/>
      </c>
      <c r="L878" t="str">
        <f>IF(DONNEES!$E878="","",DONNEES!M878)</f>
        <v/>
      </c>
      <c r="M878" t="str">
        <f>IF(DONNEES!$E878="","",DONNEES!N878)</f>
        <v/>
      </c>
      <c r="N878" t="str">
        <f>IF(DONNEES!$E878="","",DONNEES!O878)</f>
        <v/>
      </c>
      <c r="O878" t="str">
        <f>IF(DONNEES!$E878="","",DONNEES!P878)</f>
        <v/>
      </c>
      <c r="P878" t="str">
        <f>IF(DONNEES!$E878="","",DONNEES!Q878)</f>
        <v/>
      </c>
      <c r="Q878" t="str">
        <f>IF(DONNEES!$E878="","",DONNEES!R878)</f>
        <v/>
      </c>
      <c r="R878" t="str">
        <f>IF(DONNEES!$E878="","",DONNEES!S878)</f>
        <v/>
      </c>
      <c r="S878" t="str">
        <f>IF(DONNEES!$E878="","",DONNEES!T878)</f>
        <v/>
      </c>
      <c r="T878" t="str">
        <f>IF(DONNEES!$E878="","",DONNEES!U878)</f>
        <v/>
      </c>
      <c r="U878" t="str">
        <f>IF(DONNEES!$E878="","",DONNEES!V878)</f>
        <v/>
      </c>
      <c r="V878" t="str">
        <f>IF(DONNEES!$E878="","",DONNEES!W878)</f>
        <v/>
      </c>
      <c r="W878" t="str">
        <f>IF(DONNEES!$E878="","",DONNEES!X878)</f>
        <v/>
      </c>
      <c r="X878" t="str">
        <f>IF(DONNEES!$E878="","",DONNEES!Y878)</f>
        <v/>
      </c>
      <c r="Y878" t="str">
        <f>IF(DONNEES!$E878="","",DONNEES!Z878)</f>
        <v/>
      </c>
      <c r="Z878" t="str">
        <f>IF(DONNEES!$E878="","",DONNEES!AQ878)</f>
        <v/>
      </c>
    </row>
    <row r="879" spans="1:26" ht="15" customHeight="1" x14ac:dyDescent="0.3">
      <c r="A879" t="str">
        <f>IF(DONNEES!$E879="","",DONNEES!A879)</f>
        <v/>
      </c>
      <c r="B879" t="str">
        <f>IF(DONNEES!$E879="","",DONNEES!B879)</f>
        <v/>
      </c>
      <c r="C879" t="str">
        <f>IF(DONNEES!$E879="","",DONNEES!C879)</f>
        <v/>
      </c>
      <c r="D879" t="str">
        <f>IF(DONNEES!$E879="","",DONNEES!E879)</f>
        <v/>
      </c>
      <c r="E879" t="str">
        <f>IF(DONNEES!$E879="","",DONNEES!F879)</f>
        <v/>
      </c>
      <c r="F879" t="str">
        <f>IF(DONNEES!$E879="","",DONNEES!G879)</f>
        <v/>
      </c>
      <c r="G879" t="str">
        <f>IF(DONNEES!$E879="","",DONNEES!H879)</f>
        <v/>
      </c>
      <c r="H879" t="str">
        <f>IF(DONNEES!$E879="","",DONNEES!I879)</f>
        <v/>
      </c>
      <c r="I879" t="str">
        <f>IF(DONNEES!$E879="","",DONNEES!J879)</f>
        <v/>
      </c>
      <c r="J879" t="str">
        <f>IF(DONNEES!$E879="","",DONNEES!K879)</f>
        <v/>
      </c>
      <c r="K879" t="str">
        <f>IF(DONNEES!$E879="","",DONNEES!L879)</f>
        <v/>
      </c>
      <c r="L879" t="str">
        <f>IF(DONNEES!$E879="","",DONNEES!M879)</f>
        <v/>
      </c>
      <c r="M879" t="str">
        <f>IF(DONNEES!$E879="","",DONNEES!N879)</f>
        <v/>
      </c>
      <c r="N879" t="str">
        <f>IF(DONNEES!$E879="","",DONNEES!O879)</f>
        <v/>
      </c>
      <c r="O879" t="str">
        <f>IF(DONNEES!$E879="","",DONNEES!P879)</f>
        <v/>
      </c>
      <c r="P879" t="str">
        <f>IF(DONNEES!$E879="","",DONNEES!Q879)</f>
        <v/>
      </c>
      <c r="Q879" t="str">
        <f>IF(DONNEES!$E879="","",DONNEES!R879)</f>
        <v/>
      </c>
      <c r="R879" t="str">
        <f>IF(DONNEES!$E879="","",DONNEES!S879)</f>
        <v/>
      </c>
      <c r="S879" t="str">
        <f>IF(DONNEES!$E879="","",DONNEES!T879)</f>
        <v/>
      </c>
      <c r="T879" t="str">
        <f>IF(DONNEES!$E879="","",DONNEES!U879)</f>
        <v/>
      </c>
      <c r="U879" t="str">
        <f>IF(DONNEES!$E879="","",DONNEES!V879)</f>
        <v/>
      </c>
      <c r="V879" t="str">
        <f>IF(DONNEES!$E879="","",DONNEES!W879)</f>
        <v/>
      </c>
      <c r="W879" t="str">
        <f>IF(DONNEES!$E879="","",DONNEES!X879)</f>
        <v/>
      </c>
      <c r="X879" t="str">
        <f>IF(DONNEES!$E879="","",DONNEES!Y879)</f>
        <v/>
      </c>
      <c r="Y879" t="str">
        <f>IF(DONNEES!$E879="","",DONNEES!Z879)</f>
        <v/>
      </c>
      <c r="Z879" t="str">
        <f>IF(DONNEES!$E879="","",DONNEES!AQ879)</f>
        <v/>
      </c>
    </row>
    <row r="880" spans="1:26" ht="15" customHeight="1" x14ac:dyDescent="0.3">
      <c r="A880" t="str">
        <f>IF(DONNEES!$E880="","",DONNEES!A880)</f>
        <v/>
      </c>
      <c r="B880" t="str">
        <f>IF(DONNEES!$E880="","",DONNEES!B880)</f>
        <v/>
      </c>
      <c r="C880" t="str">
        <f>IF(DONNEES!$E880="","",DONNEES!C880)</f>
        <v/>
      </c>
      <c r="D880" t="str">
        <f>IF(DONNEES!$E880="","",DONNEES!E880)</f>
        <v/>
      </c>
      <c r="E880" t="str">
        <f>IF(DONNEES!$E880="","",DONNEES!F880)</f>
        <v/>
      </c>
      <c r="F880" t="str">
        <f>IF(DONNEES!$E880="","",DONNEES!G880)</f>
        <v/>
      </c>
      <c r="G880" t="str">
        <f>IF(DONNEES!$E880="","",DONNEES!H880)</f>
        <v/>
      </c>
      <c r="H880" t="str">
        <f>IF(DONNEES!$E880="","",DONNEES!I880)</f>
        <v/>
      </c>
      <c r="I880" t="str">
        <f>IF(DONNEES!$E880="","",DONNEES!J880)</f>
        <v/>
      </c>
      <c r="J880" t="str">
        <f>IF(DONNEES!$E880="","",DONNEES!K880)</f>
        <v/>
      </c>
      <c r="K880" t="str">
        <f>IF(DONNEES!$E880="","",DONNEES!L880)</f>
        <v/>
      </c>
      <c r="L880" t="str">
        <f>IF(DONNEES!$E880="","",DONNEES!M880)</f>
        <v/>
      </c>
      <c r="M880" t="str">
        <f>IF(DONNEES!$E880="","",DONNEES!N880)</f>
        <v/>
      </c>
      <c r="N880" t="str">
        <f>IF(DONNEES!$E880="","",DONNEES!O880)</f>
        <v/>
      </c>
      <c r="O880" t="str">
        <f>IF(DONNEES!$E880="","",DONNEES!P880)</f>
        <v/>
      </c>
      <c r="P880" t="str">
        <f>IF(DONNEES!$E880="","",DONNEES!Q880)</f>
        <v/>
      </c>
      <c r="Q880" t="str">
        <f>IF(DONNEES!$E880="","",DONNEES!R880)</f>
        <v/>
      </c>
      <c r="R880" t="str">
        <f>IF(DONNEES!$E880="","",DONNEES!S880)</f>
        <v/>
      </c>
      <c r="S880" t="str">
        <f>IF(DONNEES!$E880="","",DONNEES!T880)</f>
        <v/>
      </c>
      <c r="T880" t="str">
        <f>IF(DONNEES!$E880="","",DONNEES!U880)</f>
        <v/>
      </c>
      <c r="U880" t="str">
        <f>IF(DONNEES!$E880="","",DONNEES!V880)</f>
        <v/>
      </c>
      <c r="V880" t="str">
        <f>IF(DONNEES!$E880="","",DONNEES!W880)</f>
        <v/>
      </c>
      <c r="W880" t="str">
        <f>IF(DONNEES!$E880="","",DONNEES!X880)</f>
        <v/>
      </c>
      <c r="X880" t="str">
        <f>IF(DONNEES!$E880="","",DONNEES!Y880)</f>
        <v/>
      </c>
      <c r="Y880" t="str">
        <f>IF(DONNEES!$E880="","",DONNEES!Z880)</f>
        <v/>
      </c>
      <c r="Z880" t="str">
        <f>IF(DONNEES!$E880="","",DONNEES!AQ880)</f>
        <v/>
      </c>
    </row>
    <row r="881" spans="1:26" ht="15" customHeight="1" x14ac:dyDescent="0.3">
      <c r="A881" t="str">
        <f>IF(DONNEES!$E881="","",DONNEES!A881)</f>
        <v/>
      </c>
      <c r="B881" t="str">
        <f>IF(DONNEES!$E881="","",DONNEES!B881)</f>
        <v/>
      </c>
      <c r="C881" t="str">
        <f>IF(DONNEES!$E881="","",DONNEES!C881)</f>
        <v/>
      </c>
      <c r="D881" t="str">
        <f>IF(DONNEES!$E881="","",DONNEES!E881)</f>
        <v/>
      </c>
      <c r="E881" t="str">
        <f>IF(DONNEES!$E881="","",DONNEES!F881)</f>
        <v/>
      </c>
      <c r="F881" t="str">
        <f>IF(DONNEES!$E881="","",DONNEES!G881)</f>
        <v/>
      </c>
      <c r="G881" t="str">
        <f>IF(DONNEES!$E881="","",DONNEES!H881)</f>
        <v/>
      </c>
      <c r="H881" t="str">
        <f>IF(DONNEES!$E881="","",DONNEES!I881)</f>
        <v/>
      </c>
      <c r="I881" t="str">
        <f>IF(DONNEES!$E881="","",DONNEES!J881)</f>
        <v/>
      </c>
      <c r="J881" t="str">
        <f>IF(DONNEES!$E881="","",DONNEES!K881)</f>
        <v/>
      </c>
      <c r="K881" t="str">
        <f>IF(DONNEES!$E881="","",DONNEES!L881)</f>
        <v/>
      </c>
      <c r="L881" t="str">
        <f>IF(DONNEES!$E881="","",DONNEES!M881)</f>
        <v/>
      </c>
      <c r="M881" t="str">
        <f>IF(DONNEES!$E881="","",DONNEES!N881)</f>
        <v/>
      </c>
      <c r="N881" t="str">
        <f>IF(DONNEES!$E881="","",DONNEES!O881)</f>
        <v/>
      </c>
      <c r="O881" t="str">
        <f>IF(DONNEES!$E881="","",DONNEES!P881)</f>
        <v/>
      </c>
      <c r="P881" t="str">
        <f>IF(DONNEES!$E881="","",DONNEES!Q881)</f>
        <v/>
      </c>
      <c r="Q881" t="str">
        <f>IF(DONNEES!$E881="","",DONNEES!R881)</f>
        <v/>
      </c>
      <c r="R881" t="str">
        <f>IF(DONNEES!$E881="","",DONNEES!S881)</f>
        <v/>
      </c>
      <c r="S881" t="str">
        <f>IF(DONNEES!$E881="","",DONNEES!T881)</f>
        <v/>
      </c>
      <c r="T881" t="str">
        <f>IF(DONNEES!$E881="","",DONNEES!U881)</f>
        <v/>
      </c>
      <c r="U881" t="str">
        <f>IF(DONNEES!$E881="","",DONNEES!V881)</f>
        <v/>
      </c>
      <c r="V881" t="str">
        <f>IF(DONNEES!$E881="","",DONNEES!W881)</f>
        <v/>
      </c>
      <c r="W881" t="str">
        <f>IF(DONNEES!$E881="","",DONNEES!X881)</f>
        <v/>
      </c>
      <c r="X881" t="str">
        <f>IF(DONNEES!$E881="","",DONNEES!Y881)</f>
        <v/>
      </c>
      <c r="Y881" t="str">
        <f>IF(DONNEES!$E881="","",DONNEES!Z881)</f>
        <v/>
      </c>
      <c r="Z881" t="str">
        <f>IF(DONNEES!$E881="","",DONNEES!AQ881)</f>
        <v/>
      </c>
    </row>
    <row r="882" spans="1:26" ht="15" customHeight="1" x14ac:dyDescent="0.3">
      <c r="A882" t="str">
        <f>IF(DONNEES!$E882="","",DONNEES!A882)</f>
        <v/>
      </c>
      <c r="B882" t="str">
        <f>IF(DONNEES!$E882="","",DONNEES!B882)</f>
        <v/>
      </c>
      <c r="C882" t="str">
        <f>IF(DONNEES!$E882="","",DONNEES!C882)</f>
        <v/>
      </c>
      <c r="D882" t="str">
        <f>IF(DONNEES!$E882="","",DONNEES!E882)</f>
        <v/>
      </c>
      <c r="E882" t="str">
        <f>IF(DONNEES!$E882="","",DONNEES!F882)</f>
        <v/>
      </c>
      <c r="F882" t="str">
        <f>IF(DONNEES!$E882="","",DONNEES!G882)</f>
        <v/>
      </c>
      <c r="G882" t="str">
        <f>IF(DONNEES!$E882="","",DONNEES!H882)</f>
        <v/>
      </c>
      <c r="H882" t="str">
        <f>IF(DONNEES!$E882="","",DONNEES!I882)</f>
        <v/>
      </c>
      <c r="I882" t="str">
        <f>IF(DONNEES!$E882="","",DONNEES!J882)</f>
        <v/>
      </c>
      <c r="J882" t="str">
        <f>IF(DONNEES!$E882="","",DONNEES!K882)</f>
        <v/>
      </c>
      <c r="K882" t="str">
        <f>IF(DONNEES!$E882="","",DONNEES!L882)</f>
        <v/>
      </c>
      <c r="L882" t="str">
        <f>IF(DONNEES!$E882="","",DONNEES!M882)</f>
        <v/>
      </c>
      <c r="M882" t="str">
        <f>IF(DONNEES!$E882="","",DONNEES!N882)</f>
        <v/>
      </c>
      <c r="N882" t="str">
        <f>IF(DONNEES!$E882="","",DONNEES!O882)</f>
        <v/>
      </c>
      <c r="O882" t="str">
        <f>IF(DONNEES!$E882="","",DONNEES!P882)</f>
        <v/>
      </c>
      <c r="P882" t="str">
        <f>IF(DONNEES!$E882="","",DONNEES!Q882)</f>
        <v/>
      </c>
      <c r="Q882" t="str">
        <f>IF(DONNEES!$E882="","",DONNEES!R882)</f>
        <v/>
      </c>
      <c r="R882" t="str">
        <f>IF(DONNEES!$E882="","",DONNEES!S882)</f>
        <v/>
      </c>
      <c r="S882" t="str">
        <f>IF(DONNEES!$E882="","",DONNEES!T882)</f>
        <v/>
      </c>
      <c r="T882" t="str">
        <f>IF(DONNEES!$E882="","",DONNEES!U882)</f>
        <v/>
      </c>
      <c r="U882" t="str">
        <f>IF(DONNEES!$E882="","",DONNEES!V882)</f>
        <v/>
      </c>
      <c r="V882" t="str">
        <f>IF(DONNEES!$E882="","",DONNEES!W882)</f>
        <v/>
      </c>
      <c r="W882" t="str">
        <f>IF(DONNEES!$E882="","",DONNEES!X882)</f>
        <v/>
      </c>
      <c r="X882" t="str">
        <f>IF(DONNEES!$E882="","",DONNEES!Y882)</f>
        <v/>
      </c>
      <c r="Y882" t="str">
        <f>IF(DONNEES!$E882="","",DONNEES!Z882)</f>
        <v/>
      </c>
      <c r="Z882" t="str">
        <f>IF(DONNEES!$E882="","",DONNEES!AQ882)</f>
        <v/>
      </c>
    </row>
    <row r="883" spans="1:26" ht="15" customHeight="1" x14ac:dyDescent="0.3">
      <c r="A883" t="str">
        <f>IF(DONNEES!$E883="","",DONNEES!A883)</f>
        <v/>
      </c>
      <c r="B883" t="str">
        <f>IF(DONNEES!$E883="","",DONNEES!B883)</f>
        <v/>
      </c>
      <c r="C883" t="str">
        <f>IF(DONNEES!$E883="","",DONNEES!C883)</f>
        <v/>
      </c>
      <c r="D883" t="str">
        <f>IF(DONNEES!$E883="","",DONNEES!E883)</f>
        <v/>
      </c>
      <c r="E883" t="str">
        <f>IF(DONNEES!$E883="","",DONNEES!F883)</f>
        <v/>
      </c>
      <c r="F883" t="str">
        <f>IF(DONNEES!$E883="","",DONNEES!G883)</f>
        <v/>
      </c>
      <c r="G883" t="str">
        <f>IF(DONNEES!$E883="","",DONNEES!H883)</f>
        <v/>
      </c>
      <c r="H883" t="str">
        <f>IF(DONNEES!$E883="","",DONNEES!I883)</f>
        <v/>
      </c>
      <c r="I883" t="str">
        <f>IF(DONNEES!$E883="","",DONNEES!J883)</f>
        <v/>
      </c>
      <c r="J883" t="str">
        <f>IF(DONNEES!$E883="","",DONNEES!K883)</f>
        <v/>
      </c>
      <c r="K883" t="str">
        <f>IF(DONNEES!$E883="","",DONNEES!L883)</f>
        <v/>
      </c>
      <c r="L883" t="str">
        <f>IF(DONNEES!$E883="","",DONNEES!M883)</f>
        <v/>
      </c>
      <c r="M883" t="str">
        <f>IF(DONNEES!$E883="","",DONNEES!N883)</f>
        <v/>
      </c>
      <c r="N883" t="str">
        <f>IF(DONNEES!$E883="","",DONNEES!O883)</f>
        <v/>
      </c>
      <c r="O883" t="str">
        <f>IF(DONNEES!$E883="","",DONNEES!P883)</f>
        <v/>
      </c>
      <c r="P883" t="str">
        <f>IF(DONNEES!$E883="","",DONNEES!Q883)</f>
        <v/>
      </c>
      <c r="Q883" t="str">
        <f>IF(DONNEES!$E883="","",DONNEES!R883)</f>
        <v/>
      </c>
      <c r="R883" t="str">
        <f>IF(DONNEES!$E883="","",DONNEES!S883)</f>
        <v/>
      </c>
      <c r="S883" t="str">
        <f>IF(DONNEES!$E883="","",DONNEES!T883)</f>
        <v/>
      </c>
      <c r="T883" t="str">
        <f>IF(DONNEES!$E883="","",DONNEES!U883)</f>
        <v/>
      </c>
      <c r="U883" t="str">
        <f>IF(DONNEES!$E883="","",DONNEES!V883)</f>
        <v/>
      </c>
      <c r="V883" t="str">
        <f>IF(DONNEES!$E883="","",DONNEES!W883)</f>
        <v/>
      </c>
      <c r="W883" t="str">
        <f>IF(DONNEES!$E883="","",DONNEES!X883)</f>
        <v/>
      </c>
      <c r="X883" t="str">
        <f>IF(DONNEES!$E883="","",DONNEES!Y883)</f>
        <v/>
      </c>
      <c r="Y883" t="str">
        <f>IF(DONNEES!$E883="","",DONNEES!Z883)</f>
        <v/>
      </c>
      <c r="Z883" t="str">
        <f>IF(DONNEES!$E883="","",DONNEES!AQ883)</f>
        <v/>
      </c>
    </row>
    <row r="884" spans="1:26" ht="15" customHeight="1" x14ac:dyDescent="0.3">
      <c r="A884" t="str">
        <f>IF(DONNEES!$E884="","",DONNEES!A884)</f>
        <v/>
      </c>
      <c r="B884" t="str">
        <f>IF(DONNEES!$E884="","",DONNEES!B884)</f>
        <v/>
      </c>
      <c r="C884" t="str">
        <f>IF(DONNEES!$E884="","",DONNEES!C884)</f>
        <v/>
      </c>
      <c r="D884" t="str">
        <f>IF(DONNEES!$E884="","",DONNEES!E884)</f>
        <v/>
      </c>
      <c r="E884" t="str">
        <f>IF(DONNEES!$E884="","",DONNEES!F884)</f>
        <v/>
      </c>
      <c r="F884" t="str">
        <f>IF(DONNEES!$E884="","",DONNEES!G884)</f>
        <v/>
      </c>
      <c r="G884" t="str">
        <f>IF(DONNEES!$E884="","",DONNEES!H884)</f>
        <v/>
      </c>
      <c r="H884" t="str">
        <f>IF(DONNEES!$E884="","",DONNEES!I884)</f>
        <v/>
      </c>
      <c r="I884" t="str">
        <f>IF(DONNEES!$E884="","",DONNEES!J884)</f>
        <v/>
      </c>
      <c r="J884" t="str">
        <f>IF(DONNEES!$E884="","",DONNEES!K884)</f>
        <v/>
      </c>
      <c r="K884" t="str">
        <f>IF(DONNEES!$E884="","",DONNEES!L884)</f>
        <v/>
      </c>
      <c r="L884" t="str">
        <f>IF(DONNEES!$E884="","",DONNEES!M884)</f>
        <v/>
      </c>
      <c r="M884" t="str">
        <f>IF(DONNEES!$E884="","",DONNEES!N884)</f>
        <v/>
      </c>
      <c r="N884" t="str">
        <f>IF(DONNEES!$E884="","",DONNEES!O884)</f>
        <v/>
      </c>
      <c r="O884" t="str">
        <f>IF(DONNEES!$E884="","",DONNEES!P884)</f>
        <v/>
      </c>
      <c r="P884" t="str">
        <f>IF(DONNEES!$E884="","",DONNEES!Q884)</f>
        <v/>
      </c>
      <c r="Q884" t="str">
        <f>IF(DONNEES!$E884="","",DONNEES!R884)</f>
        <v/>
      </c>
      <c r="R884" t="str">
        <f>IF(DONNEES!$E884="","",DONNEES!S884)</f>
        <v/>
      </c>
      <c r="S884" t="str">
        <f>IF(DONNEES!$E884="","",DONNEES!T884)</f>
        <v/>
      </c>
      <c r="T884" t="str">
        <f>IF(DONNEES!$E884="","",DONNEES!U884)</f>
        <v/>
      </c>
      <c r="U884" t="str">
        <f>IF(DONNEES!$E884="","",DONNEES!V884)</f>
        <v/>
      </c>
      <c r="V884" t="str">
        <f>IF(DONNEES!$E884="","",DONNEES!W884)</f>
        <v/>
      </c>
      <c r="W884" t="str">
        <f>IF(DONNEES!$E884="","",DONNEES!X884)</f>
        <v/>
      </c>
      <c r="X884" t="str">
        <f>IF(DONNEES!$E884="","",DONNEES!Y884)</f>
        <v/>
      </c>
      <c r="Y884" t="str">
        <f>IF(DONNEES!$E884="","",DONNEES!Z884)</f>
        <v/>
      </c>
      <c r="Z884" t="str">
        <f>IF(DONNEES!$E884="","",DONNEES!AQ884)</f>
        <v/>
      </c>
    </row>
    <row r="885" spans="1:26" ht="15" customHeight="1" x14ac:dyDescent="0.3">
      <c r="A885" t="str">
        <f>IF(DONNEES!$E885="","",DONNEES!A885)</f>
        <v/>
      </c>
      <c r="B885" t="str">
        <f>IF(DONNEES!$E885="","",DONNEES!B885)</f>
        <v/>
      </c>
      <c r="C885" t="str">
        <f>IF(DONNEES!$E885="","",DONNEES!C885)</f>
        <v/>
      </c>
      <c r="D885" t="str">
        <f>IF(DONNEES!$E885="","",DONNEES!E885)</f>
        <v/>
      </c>
      <c r="E885" t="str">
        <f>IF(DONNEES!$E885="","",DONNEES!F885)</f>
        <v/>
      </c>
      <c r="F885" t="str">
        <f>IF(DONNEES!$E885="","",DONNEES!G885)</f>
        <v/>
      </c>
      <c r="G885" t="str">
        <f>IF(DONNEES!$E885="","",DONNEES!H885)</f>
        <v/>
      </c>
      <c r="H885" t="str">
        <f>IF(DONNEES!$E885="","",DONNEES!I885)</f>
        <v/>
      </c>
      <c r="I885" t="str">
        <f>IF(DONNEES!$E885="","",DONNEES!J885)</f>
        <v/>
      </c>
      <c r="J885" t="str">
        <f>IF(DONNEES!$E885="","",DONNEES!K885)</f>
        <v/>
      </c>
      <c r="K885" t="str">
        <f>IF(DONNEES!$E885="","",DONNEES!L885)</f>
        <v/>
      </c>
      <c r="L885" t="str">
        <f>IF(DONNEES!$E885="","",DONNEES!M885)</f>
        <v/>
      </c>
      <c r="M885" t="str">
        <f>IF(DONNEES!$E885="","",DONNEES!N885)</f>
        <v/>
      </c>
      <c r="N885" t="str">
        <f>IF(DONNEES!$E885="","",DONNEES!O885)</f>
        <v/>
      </c>
      <c r="O885" t="str">
        <f>IF(DONNEES!$E885="","",DONNEES!P885)</f>
        <v/>
      </c>
      <c r="P885" t="str">
        <f>IF(DONNEES!$E885="","",DONNEES!Q885)</f>
        <v/>
      </c>
      <c r="Q885" t="str">
        <f>IF(DONNEES!$E885="","",DONNEES!R885)</f>
        <v/>
      </c>
      <c r="R885" t="str">
        <f>IF(DONNEES!$E885="","",DONNEES!S885)</f>
        <v/>
      </c>
      <c r="S885" t="str">
        <f>IF(DONNEES!$E885="","",DONNEES!T885)</f>
        <v/>
      </c>
      <c r="T885" t="str">
        <f>IF(DONNEES!$E885="","",DONNEES!U885)</f>
        <v/>
      </c>
      <c r="U885" t="str">
        <f>IF(DONNEES!$E885="","",DONNEES!V885)</f>
        <v/>
      </c>
      <c r="V885" t="str">
        <f>IF(DONNEES!$E885="","",DONNEES!W885)</f>
        <v/>
      </c>
      <c r="W885" t="str">
        <f>IF(DONNEES!$E885="","",DONNEES!X885)</f>
        <v/>
      </c>
      <c r="X885" t="str">
        <f>IF(DONNEES!$E885="","",DONNEES!Y885)</f>
        <v/>
      </c>
      <c r="Y885" t="str">
        <f>IF(DONNEES!$E885="","",DONNEES!Z885)</f>
        <v/>
      </c>
      <c r="Z885" t="str">
        <f>IF(DONNEES!$E885="","",DONNEES!AQ885)</f>
        <v/>
      </c>
    </row>
    <row r="886" spans="1:26" ht="15" customHeight="1" x14ac:dyDescent="0.3">
      <c r="A886" t="str">
        <f>IF(DONNEES!$E886="","",DONNEES!A886)</f>
        <v/>
      </c>
      <c r="B886" t="str">
        <f>IF(DONNEES!$E886="","",DONNEES!B886)</f>
        <v/>
      </c>
      <c r="C886" t="str">
        <f>IF(DONNEES!$E886="","",DONNEES!C886)</f>
        <v/>
      </c>
      <c r="D886" t="str">
        <f>IF(DONNEES!$E886="","",DONNEES!E886)</f>
        <v/>
      </c>
      <c r="E886" t="str">
        <f>IF(DONNEES!$E886="","",DONNEES!F886)</f>
        <v/>
      </c>
      <c r="F886" t="str">
        <f>IF(DONNEES!$E886="","",DONNEES!G886)</f>
        <v/>
      </c>
      <c r="G886" t="str">
        <f>IF(DONNEES!$E886="","",DONNEES!H886)</f>
        <v/>
      </c>
      <c r="H886" t="str">
        <f>IF(DONNEES!$E886="","",DONNEES!I886)</f>
        <v/>
      </c>
      <c r="I886" t="str">
        <f>IF(DONNEES!$E886="","",DONNEES!J886)</f>
        <v/>
      </c>
      <c r="J886" t="str">
        <f>IF(DONNEES!$E886="","",DONNEES!K886)</f>
        <v/>
      </c>
      <c r="K886" t="str">
        <f>IF(DONNEES!$E886="","",DONNEES!L886)</f>
        <v/>
      </c>
      <c r="L886" t="str">
        <f>IF(DONNEES!$E886="","",DONNEES!M886)</f>
        <v/>
      </c>
      <c r="M886" t="str">
        <f>IF(DONNEES!$E886="","",DONNEES!N886)</f>
        <v/>
      </c>
      <c r="N886" t="str">
        <f>IF(DONNEES!$E886="","",DONNEES!O886)</f>
        <v/>
      </c>
      <c r="O886" t="str">
        <f>IF(DONNEES!$E886="","",DONNEES!P886)</f>
        <v/>
      </c>
      <c r="P886" t="str">
        <f>IF(DONNEES!$E886="","",DONNEES!Q886)</f>
        <v/>
      </c>
      <c r="Q886" t="str">
        <f>IF(DONNEES!$E886="","",DONNEES!R886)</f>
        <v/>
      </c>
      <c r="R886" t="str">
        <f>IF(DONNEES!$E886="","",DONNEES!S886)</f>
        <v/>
      </c>
      <c r="S886" t="str">
        <f>IF(DONNEES!$E886="","",DONNEES!T886)</f>
        <v/>
      </c>
      <c r="T886" t="str">
        <f>IF(DONNEES!$E886="","",DONNEES!U886)</f>
        <v/>
      </c>
      <c r="U886" t="str">
        <f>IF(DONNEES!$E886="","",DONNEES!V886)</f>
        <v/>
      </c>
      <c r="V886" t="str">
        <f>IF(DONNEES!$E886="","",DONNEES!W886)</f>
        <v/>
      </c>
      <c r="W886" t="str">
        <f>IF(DONNEES!$E886="","",DONNEES!X886)</f>
        <v/>
      </c>
      <c r="X886" t="str">
        <f>IF(DONNEES!$E886="","",DONNEES!Y886)</f>
        <v/>
      </c>
      <c r="Y886" t="str">
        <f>IF(DONNEES!$E886="","",DONNEES!Z886)</f>
        <v/>
      </c>
      <c r="Z886" t="str">
        <f>IF(DONNEES!$E886="","",DONNEES!AQ886)</f>
        <v/>
      </c>
    </row>
    <row r="887" spans="1:26" ht="15" customHeight="1" x14ac:dyDescent="0.3">
      <c r="A887" t="str">
        <f>IF(DONNEES!$E887="","",DONNEES!A887)</f>
        <v/>
      </c>
      <c r="B887" t="str">
        <f>IF(DONNEES!$E887="","",DONNEES!B887)</f>
        <v/>
      </c>
      <c r="C887" t="str">
        <f>IF(DONNEES!$E887="","",DONNEES!C887)</f>
        <v/>
      </c>
      <c r="D887" t="str">
        <f>IF(DONNEES!$E887="","",DONNEES!E887)</f>
        <v/>
      </c>
      <c r="E887" t="str">
        <f>IF(DONNEES!$E887="","",DONNEES!F887)</f>
        <v/>
      </c>
      <c r="F887" t="str">
        <f>IF(DONNEES!$E887="","",DONNEES!G887)</f>
        <v/>
      </c>
      <c r="G887" t="str">
        <f>IF(DONNEES!$E887="","",DONNEES!H887)</f>
        <v/>
      </c>
      <c r="H887" t="str">
        <f>IF(DONNEES!$E887="","",DONNEES!I887)</f>
        <v/>
      </c>
      <c r="I887" t="str">
        <f>IF(DONNEES!$E887="","",DONNEES!J887)</f>
        <v/>
      </c>
      <c r="J887" t="str">
        <f>IF(DONNEES!$E887="","",DONNEES!K887)</f>
        <v/>
      </c>
      <c r="K887" t="str">
        <f>IF(DONNEES!$E887="","",DONNEES!L887)</f>
        <v/>
      </c>
      <c r="L887" t="str">
        <f>IF(DONNEES!$E887="","",DONNEES!M887)</f>
        <v/>
      </c>
      <c r="M887" t="str">
        <f>IF(DONNEES!$E887="","",DONNEES!N887)</f>
        <v/>
      </c>
      <c r="N887" t="str">
        <f>IF(DONNEES!$E887="","",DONNEES!O887)</f>
        <v/>
      </c>
      <c r="O887" t="str">
        <f>IF(DONNEES!$E887="","",DONNEES!P887)</f>
        <v/>
      </c>
      <c r="P887" t="str">
        <f>IF(DONNEES!$E887="","",DONNEES!Q887)</f>
        <v/>
      </c>
      <c r="Q887" t="str">
        <f>IF(DONNEES!$E887="","",DONNEES!R887)</f>
        <v/>
      </c>
      <c r="R887" t="str">
        <f>IF(DONNEES!$E887="","",DONNEES!S887)</f>
        <v/>
      </c>
      <c r="S887" t="str">
        <f>IF(DONNEES!$E887="","",DONNEES!T887)</f>
        <v/>
      </c>
      <c r="T887" t="str">
        <f>IF(DONNEES!$E887="","",DONNEES!U887)</f>
        <v/>
      </c>
      <c r="U887" t="str">
        <f>IF(DONNEES!$E887="","",DONNEES!V887)</f>
        <v/>
      </c>
      <c r="V887" t="str">
        <f>IF(DONNEES!$E887="","",DONNEES!W887)</f>
        <v/>
      </c>
      <c r="W887" t="str">
        <f>IF(DONNEES!$E887="","",DONNEES!X887)</f>
        <v/>
      </c>
      <c r="X887" t="str">
        <f>IF(DONNEES!$E887="","",DONNEES!Y887)</f>
        <v/>
      </c>
      <c r="Y887" t="str">
        <f>IF(DONNEES!$E887="","",DONNEES!Z887)</f>
        <v/>
      </c>
      <c r="Z887" t="str">
        <f>IF(DONNEES!$E887="","",DONNEES!AQ887)</f>
        <v/>
      </c>
    </row>
    <row r="888" spans="1:26" ht="15" customHeight="1" x14ac:dyDescent="0.3">
      <c r="A888" t="str">
        <f>IF(DONNEES!$E888="","",DONNEES!A888)</f>
        <v/>
      </c>
      <c r="B888" t="str">
        <f>IF(DONNEES!$E888="","",DONNEES!B888)</f>
        <v/>
      </c>
      <c r="C888" t="str">
        <f>IF(DONNEES!$E888="","",DONNEES!C888)</f>
        <v/>
      </c>
      <c r="D888" t="str">
        <f>IF(DONNEES!$E888="","",DONNEES!E888)</f>
        <v/>
      </c>
      <c r="E888" t="str">
        <f>IF(DONNEES!$E888="","",DONNEES!F888)</f>
        <v/>
      </c>
      <c r="F888" t="str">
        <f>IF(DONNEES!$E888="","",DONNEES!G888)</f>
        <v/>
      </c>
      <c r="G888" t="str">
        <f>IF(DONNEES!$E888="","",DONNEES!H888)</f>
        <v/>
      </c>
      <c r="H888" t="str">
        <f>IF(DONNEES!$E888="","",DONNEES!I888)</f>
        <v/>
      </c>
      <c r="I888" t="str">
        <f>IF(DONNEES!$E888="","",DONNEES!J888)</f>
        <v/>
      </c>
      <c r="J888" t="str">
        <f>IF(DONNEES!$E888="","",DONNEES!K888)</f>
        <v/>
      </c>
      <c r="K888" t="str">
        <f>IF(DONNEES!$E888="","",DONNEES!L888)</f>
        <v/>
      </c>
      <c r="L888" t="str">
        <f>IF(DONNEES!$E888="","",DONNEES!M888)</f>
        <v/>
      </c>
      <c r="M888" t="str">
        <f>IF(DONNEES!$E888="","",DONNEES!N888)</f>
        <v/>
      </c>
      <c r="N888" t="str">
        <f>IF(DONNEES!$E888="","",DONNEES!O888)</f>
        <v/>
      </c>
      <c r="O888" t="str">
        <f>IF(DONNEES!$E888="","",DONNEES!P888)</f>
        <v/>
      </c>
      <c r="P888" t="str">
        <f>IF(DONNEES!$E888="","",DONNEES!Q888)</f>
        <v/>
      </c>
      <c r="Q888" t="str">
        <f>IF(DONNEES!$E888="","",DONNEES!R888)</f>
        <v/>
      </c>
      <c r="R888" t="str">
        <f>IF(DONNEES!$E888="","",DONNEES!S888)</f>
        <v/>
      </c>
      <c r="S888" t="str">
        <f>IF(DONNEES!$E888="","",DONNEES!T888)</f>
        <v/>
      </c>
      <c r="T888" t="str">
        <f>IF(DONNEES!$E888="","",DONNEES!U888)</f>
        <v/>
      </c>
      <c r="U888" t="str">
        <f>IF(DONNEES!$E888="","",DONNEES!V888)</f>
        <v/>
      </c>
      <c r="V888" t="str">
        <f>IF(DONNEES!$E888="","",DONNEES!W888)</f>
        <v/>
      </c>
      <c r="W888" t="str">
        <f>IF(DONNEES!$E888="","",DONNEES!X888)</f>
        <v/>
      </c>
      <c r="X888" t="str">
        <f>IF(DONNEES!$E888="","",DONNEES!Y888)</f>
        <v/>
      </c>
      <c r="Y888" t="str">
        <f>IF(DONNEES!$E888="","",DONNEES!Z888)</f>
        <v/>
      </c>
      <c r="Z888" t="str">
        <f>IF(DONNEES!$E888="","",DONNEES!AQ888)</f>
        <v/>
      </c>
    </row>
    <row r="889" spans="1:26" ht="15" customHeight="1" x14ac:dyDescent="0.3">
      <c r="A889" t="str">
        <f>IF(DONNEES!$E889="","",DONNEES!A889)</f>
        <v/>
      </c>
      <c r="B889" t="str">
        <f>IF(DONNEES!$E889="","",DONNEES!B889)</f>
        <v/>
      </c>
      <c r="C889" t="str">
        <f>IF(DONNEES!$E889="","",DONNEES!C889)</f>
        <v/>
      </c>
      <c r="D889" t="str">
        <f>IF(DONNEES!$E889="","",DONNEES!E889)</f>
        <v/>
      </c>
      <c r="E889" t="str">
        <f>IF(DONNEES!$E889="","",DONNEES!F889)</f>
        <v/>
      </c>
      <c r="F889" t="str">
        <f>IF(DONNEES!$E889="","",DONNEES!G889)</f>
        <v/>
      </c>
      <c r="G889" t="str">
        <f>IF(DONNEES!$E889="","",DONNEES!H889)</f>
        <v/>
      </c>
      <c r="H889" t="str">
        <f>IF(DONNEES!$E889="","",DONNEES!I889)</f>
        <v/>
      </c>
      <c r="I889" t="str">
        <f>IF(DONNEES!$E889="","",DONNEES!J889)</f>
        <v/>
      </c>
      <c r="J889" t="str">
        <f>IF(DONNEES!$E889="","",DONNEES!K889)</f>
        <v/>
      </c>
      <c r="K889" t="str">
        <f>IF(DONNEES!$E889="","",DONNEES!L889)</f>
        <v/>
      </c>
      <c r="L889" t="str">
        <f>IF(DONNEES!$E889="","",DONNEES!M889)</f>
        <v/>
      </c>
      <c r="M889" t="str">
        <f>IF(DONNEES!$E889="","",DONNEES!N889)</f>
        <v/>
      </c>
      <c r="N889" t="str">
        <f>IF(DONNEES!$E889="","",DONNEES!O889)</f>
        <v/>
      </c>
      <c r="O889" t="str">
        <f>IF(DONNEES!$E889="","",DONNEES!P889)</f>
        <v/>
      </c>
      <c r="P889" t="str">
        <f>IF(DONNEES!$E889="","",DONNEES!Q889)</f>
        <v/>
      </c>
      <c r="Q889" t="str">
        <f>IF(DONNEES!$E889="","",DONNEES!R889)</f>
        <v/>
      </c>
      <c r="R889" t="str">
        <f>IF(DONNEES!$E889="","",DONNEES!S889)</f>
        <v/>
      </c>
      <c r="S889" t="str">
        <f>IF(DONNEES!$E889="","",DONNEES!T889)</f>
        <v/>
      </c>
      <c r="T889" t="str">
        <f>IF(DONNEES!$E889="","",DONNEES!U889)</f>
        <v/>
      </c>
      <c r="U889" t="str">
        <f>IF(DONNEES!$E889="","",DONNEES!V889)</f>
        <v/>
      </c>
      <c r="V889" t="str">
        <f>IF(DONNEES!$E889="","",DONNEES!W889)</f>
        <v/>
      </c>
      <c r="W889" t="str">
        <f>IF(DONNEES!$E889="","",DONNEES!X889)</f>
        <v/>
      </c>
      <c r="X889" t="str">
        <f>IF(DONNEES!$E889="","",DONNEES!Y889)</f>
        <v/>
      </c>
      <c r="Y889" t="str">
        <f>IF(DONNEES!$E889="","",DONNEES!Z889)</f>
        <v/>
      </c>
      <c r="Z889" t="str">
        <f>IF(DONNEES!$E889="","",DONNEES!AQ889)</f>
        <v/>
      </c>
    </row>
    <row r="890" spans="1:26" ht="15" customHeight="1" x14ac:dyDescent="0.3">
      <c r="A890" t="str">
        <f>IF(DONNEES!$E890="","",DONNEES!A890)</f>
        <v/>
      </c>
      <c r="B890" t="str">
        <f>IF(DONNEES!$E890="","",DONNEES!B890)</f>
        <v/>
      </c>
      <c r="C890" t="str">
        <f>IF(DONNEES!$E890="","",DONNEES!C890)</f>
        <v/>
      </c>
      <c r="D890" t="str">
        <f>IF(DONNEES!$E890="","",DONNEES!E890)</f>
        <v/>
      </c>
      <c r="E890" t="str">
        <f>IF(DONNEES!$E890="","",DONNEES!F890)</f>
        <v/>
      </c>
      <c r="F890" t="str">
        <f>IF(DONNEES!$E890="","",DONNEES!G890)</f>
        <v/>
      </c>
      <c r="G890" t="str">
        <f>IF(DONNEES!$E890="","",DONNEES!H890)</f>
        <v/>
      </c>
      <c r="H890" t="str">
        <f>IF(DONNEES!$E890="","",DONNEES!I890)</f>
        <v/>
      </c>
      <c r="I890" t="str">
        <f>IF(DONNEES!$E890="","",DONNEES!J890)</f>
        <v/>
      </c>
      <c r="J890" t="str">
        <f>IF(DONNEES!$E890="","",DONNEES!K890)</f>
        <v/>
      </c>
      <c r="K890" t="str">
        <f>IF(DONNEES!$E890="","",DONNEES!L890)</f>
        <v/>
      </c>
      <c r="L890" t="str">
        <f>IF(DONNEES!$E890="","",DONNEES!M890)</f>
        <v/>
      </c>
      <c r="M890" t="str">
        <f>IF(DONNEES!$E890="","",DONNEES!N890)</f>
        <v/>
      </c>
      <c r="N890" t="str">
        <f>IF(DONNEES!$E890="","",DONNEES!O890)</f>
        <v/>
      </c>
      <c r="O890" t="str">
        <f>IF(DONNEES!$E890="","",DONNEES!P890)</f>
        <v/>
      </c>
      <c r="P890" t="str">
        <f>IF(DONNEES!$E890="","",DONNEES!Q890)</f>
        <v/>
      </c>
      <c r="Q890" t="str">
        <f>IF(DONNEES!$E890="","",DONNEES!R890)</f>
        <v/>
      </c>
      <c r="R890" t="str">
        <f>IF(DONNEES!$E890="","",DONNEES!S890)</f>
        <v/>
      </c>
      <c r="S890" t="str">
        <f>IF(DONNEES!$E890="","",DONNEES!T890)</f>
        <v/>
      </c>
      <c r="T890" t="str">
        <f>IF(DONNEES!$E890="","",DONNEES!U890)</f>
        <v/>
      </c>
      <c r="U890" t="str">
        <f>IF(DONNEES!$E890="","",DONNEES!V890)</f>
        <v/>
      </c>
      <c r="V890" t="str">
        <f>IF(DONNEES!$E890="","",DONNEES!W890)</f>
        <v/>
      </c>
      <c r="W890" t="str">
        <f>IF(DONNEES!$E890="","",DONNEES!X890)</f>
        <v/>
      </c>
      <c r="X890" t="str">
        <f>IF(DONNEES!$E890="","",DONNEES!Y890)</f>
        <v/>
      </c>
      <c r="Y890" t="str">
        <f>IF(DONNEES!$E890="","",DONNEES!Z890)</f>
        <v/>
      </c>
      <c r="Z890" t="str">
        <f>IF(DONNEES!$E890="","",DONNEES!AQ890)</f>
        <v/>
      </c>
    </row>
    <row r="891" spans="1:26" ht="15" customHeight="1" x14ac:dyDescent="0.3">
      <c r="A891" t="str">
        <f>IF(DONNEES!$E891="","",DONNEES!A891)</f>
        <v/>
      </c>
      <c r="B891" t="str">
        <f>IF(DONNEES!$E891="","",DONNEES!B891)</f>
        <v/>
      </c>
      <c r="C891" t="str">
        <f>IF(DONNEES!$E891="","",DONNEES!C891)</f>
        <v/>
      </c>
      <c r="D891" t="str">
        <f>IF(DONNEES!$E891="","",DONNEES!E891)</f>
        <v/>
      </c>
      <c r="E891" t="str">
        <f>IF(DONNEES!$E891="","",DONNEES!F891)</f>
        <v/>
      </c>
      <c r="F891" t="str">
        <f>IF(DONNEES!$E891="","",DONNEES!G891)</f>
        <v/>
      </c>
      <c r="G891" t="str">
        <f>IF(DONNEES!$E891="","",DONNEES!H891)</f>
        <v/>
      </c>
      <c r="H891" t="str">
        <f>IF(DONNEES!$E891="","",DONNEES!I891)</f>
        <v/>
      </c>
      <c r="I891" t="str">
        <f>IF(DONNEES!$E891="","",DONNEES!J891)</f>
        <v/>
      </c>
      <c r="J891" t="str">
        <f>IF(DONNEES!$E891="","",DONNEES!K891)</f>
        <v/>
      </c>
      <c r="K891" t="str">
        <f>IF(DONNEES!$E891="","",DONNEES!L891)</f>
        <v/>
      </c>
      <c r="L891" t="str">
        <f>IF(DONNEES!$E891="","",DONNEES!M891)</f>
        <v/>
      </c>
      <c r="M891" t="str">
        <f>IF(DONNEES!$E891="","",DONNEES!N891)</f>
        <v/>
      </c>
      <c r="N891" t="str">
        <f>IF(DONNEES!$E891="","",DONNEES!O891)</f>
        <v/>
      </c>
      <c r="O891" t="str">
        <f>IF(DONNEES!$E891="","",DONNEES!P891)</f>
        <v/>
      </c>
      <c r="P891" t="str">
        <f>IF(DONNEES!$E891="","",DONNEES!Q891)</f>
        <v/>
      </c>
      <c r="Q891" t="str">
        <f>IF(DONNEES!$E891="","",DONNEES!R891)</f>
        <v/>
      </c>
      <c r="R891" t="str">
        <f>IF(DONNEES!$E891="","",DONNEES!S891)</f>
        <v/>
      </c>
      <c r="S891" t="str">
        <f>IF(DONNEES!$E891="","",DONNEES!T891)</f>
        <v/>
      </c>
      <c r="T891" t="str">
        <f>IF(DONNEES!$E891="","",DONNEES!U891)</f>
        <v/>
      </c>
      <c r="U891" t="str">
        <f>IF(DONNEES!$E891="","",DONNEES!V891)</f>
        <v/>
      </c>
      <c r="V891" t="str">
        <f>IF(DONNEES!$E891="","",DONNEES!W891)</f>
        <v/>
      </c>
      <c r="W891" t="str">
        <f>IF(DONNEES!$E891="","",DONNEES!X891)</f>
        <v/>
      </c>
      <c r="X891" t="str">
        <f>IF(DONNEES!$E891="","",DONNEES!Y891)</f>
        <v/>
      </c>
      <c r="Y891" t="str">
        <f>IF(DONNEES!$E891="","",DONNEES!Z891)</f>
        <v/>
      </c>
      <c r="Z891" t="str">
        <f>IF(DONNEES!$E891="","",DONNEES!AQ891)</f>
        <v/>
      </c>
    </row>
    <row r="892" spans="1:26" ht="15" customHeight="1" x14ac:dyDescent="0.3">
      <c r="A892" t="str">
        <f>IF(DONNEES!$E892="","",DONNEES!A892)</f>
        <v/>
      </c>
      <c r="B892" t="str">
        <f>IF(DONNEES!$E892="","",DONNEES!B892)</f>
        <v/>
      </c>
      <c r="C892" t="str">
        <f>IF(DONNEES!$E892="","",DONNEES!C892)</f>
        <v/>
      </c>
      <c r="D892" t="str">
        <f>IF(DONNEES!$E892="","",DONNEES!E892)</f>
        <v/>
      </c>
      <c r="E892" t="str">
        <f>IF(DONNEES!$E892="","",DONNEES!F892)</f>
        <v/>
      </c>
      <c r="F892" t="str">
        <f>IF(DONNEES!$E892="","",DONNEES!G892)</f>
        <v/>
      </c>
      <c r="G892" t="str">
        <f>IF(DONNEES!$E892="","",DONNEES!H892)</f>
        <v/>
      </c>
      <c r="H892" t="str">
        <f>IF(DONNEES!$E892="","",DONNEES!I892)</f>
        <v/>
      </c>
      <c r="I892" t="str">
        <f>IF(DONNEES!$E892="","",DONNEES!J892)</f>
        <v/>
      </c>
      <c r="J892" t="str">
        <f>IF(DONNEES!$E892="","",DONNEES!K892)</f>
        <v/>
      </c>
      <c r="K892" t="str">
        <f>IF(DONNEES!$E892="","",DONNEES!L892)</f>
        <v/>
      </c>
      <c r="L892" t="str">
        <f>IF(DONNEES!$E892="","",DONNEES!M892)</f>
        <v/>
      </c>
      <c r="M892" t="str">
        <f>IF(DONNEES!$E892="","",DONNEES!N892)</f>
        <v/>
      </c>
      <c r="N892" t="str">
        <f>IF(DONNEES!$E892="","",DONNEES!O892)</f>
        <v/>
      </c>
      <c r="O892" t="str">
        <f>IF(DONNEES!$E892="","",DONNEES!P892)</f>
        <v/>
      </c>
      <c r="P892" t="str">
        <f>IF(DONNEES!$E892="","",DONNEES!Q892)</f>
        <v/>
      </c>
      <c r="Q892" t="str">
        <f>IF(DONNEES!$E892="","",DONNEES!R892)</f>
        <v/>
      </c>
      <c r="R892" t="str">
        <f>IF(DONNEES!$E892="","",DONNEES!S892)</f>
        <v/>
      </c>
      <c r="S892" t="str">
        <f>IF(DONNEES!$E892="","",DONNEES!T892)</f>
        <v/>
      </c>
      <c r="T892" t="str">
        <f>IF(DONNEES!$E892="","",DONNEES!U892)</f>
        <v/>
      </c>
      <c r="U892" t="str">
        <f>IF(DONNEES!$E892="","",DONNEES!V892)</f>
        <v/>
      </c>
      <c r="V892" t="str">
        <f>IF(DONNEES!$E892="","",DONNEES!W892)</f>
        <v/>
      </c>
      <c r="W892" t="str">
        <f>IF(DONNEES!$E892="","",DONNEES!X892)</f>
        <v/>
      </c>
      <c r="X892" t="str">
        <f>IF(DONNEES!$E892="","",DONNEES!Y892)</f>
        <v/>
      </c>
      <c r="Y892" t="str">
        <f>IF(DONNEES!$E892="","",DONNEES!Z892)</f>
        <v/>
      </c>
      <c r="Z892" t="str">
        <f>IF(DONNEES!$E892="","",DONNEES!AQ892)</f>
        <v/>
      </c>
    </row>
    <row r="893" spans="1:26" ht="15" customHeight="1" x14ac:dyDescent="0.3">
      <c r="A893" t="str">
        <f>IF(DONNEES!$E893="","",DONNEES!A893)</f>
        <v/>
      </c>
      <c r="B893" t="str">
        <f>IF(DONNEES!$E893="","",DONNEES!B893)</f>
        <v/>
      </c>
      <c r="C893" t="str">
        <f>IF(DONNEES!$E893="","",DONNEES!C893)</f>
        <v/>
      </c>
      <c r="D893" t="str">
        <f>IF(DONNEES!$E893="","",DONNEES!E893)</f>
        <v/>
      </c>
      <c r="E893" t="str">
        <f>IF(DONNEES!$E893="","",DONNEES!F893)</f>
        <v/>
      </c>
      <c r="F893" t="str">
        <f>IF(DONNEES!$E893="","",DONNEES!G893)</f>
        <v/>
      </c>
      <c r="G893" t="str">
        <f>IF(DONNEES!$E893="","",DONNEES!H893)</f>
        <v/>
      </c>
      <c r="H893" t="str">
        <f>IF(DONNEES!$E893="","",DONNEES!I893)</f>
        <v/>
      </c>
      <c r="I893" t="str">
        <f>IF(DONNEES!$E893="","",DONNEES!J893)</f>
        <v/>
      </c>
      <c r="J893" t="str">
        <f>IF(DONNEES!$E893="","",DONNEES!K893)</f>
        <v/>
      </c>
      <c r="K893" t="str">
        <f>IF(DONNEES!$E893="","",DONNEES!L893)</f>
        <v/>
      </c>
      <c r="L893" t="str">
        <f>IF(DONNEES!$E893="","",DONNEES!M893)</f>
        <v/>
      </c>
      <c r="M893" t="str">
        <f>IF(DONNEES!$E893="","",DONNEES!N893)</f>
        <v/>
      </c>
      <c r="N893" t="str">
        <f>IF(DONNEES!$E893="","",DONNEES!O893)</f>
        <v/>
      </c>
      <c r="O893" t="str">
        <f>IF(DONNEES!$E893="","",DONNEES!P893)</f>
        <v/>
      </c>
      <c r="P893" t="str">
        <f>IF(DONNEES!$E893="","",DONNEES!Q893)</f>
        <v/>
      </c>
      <c r="Q893" t="str">
        <f>IF(DONNEES!$E893="","",DONNEES!R893)</f>
        <v/>
      </c>
      <c r="R893" t="str">
        <f>IF(DONNEES!$E893="","",DONNEES!S893)</f>
        <v/>
      </c>
      <c r="S893" t="str">
        <f>IF(DONNEES!$E893="","",DONNEES!T893)</f>
        <v/>
      </c>
      <c r="T893" t="str">
        <f>IF(DONNEES!$E893="","",DONNEES!U893)</f>
        <v/>
      </c>
      <c r="U893" t="str">
        <f>IF(DONNEES!$E893="","",DONNEES!V893)</f>
        <v/>
      </c>
      <c r="V893" t="str">
        <f>IF(DONNEES!$E893="","",DONNEES!W893)</f>
        <v/>
      </c>
      <c r="W893" t="str">
        <f>IF(DONNEES!$E893="","",DONNEES!X893)</f>
        <v/>
      </c>
      <c r="X893" t="str">
        <f>IF(DONNEES!$E893="","",DONNEES!Y893)</f>
        <v/>
      </c>
      <c r="Y893" t="str">
        <f>IF(DONNEES!$E893="","",DONNEES!Z893)</f>
        <v/>
      </c>
      <c r="Z893" t="str">
        <f>IF(DONNEES!$E893="","",DONNEES!AQ893)</f>
        <v/>
      </c>
    </row>
    <row r="894" spans="1:26" ht="15" customHeight="1" x14ac:dyDescent="0.3">
      <c r="A894" t="str">
        <f>IF(DONNEES!$E894="","",DONNEES!A894)</f>
        <v/>
      </c>
      <c r="B894" t="str">
        <f>IF(DONNEES!$E894="","",DONNEES!B894)</f>
        <v/>
      </c>
      <c r="C894" t="str">
        <f>IF(DONNEES!$E894="","",DONNEES!C894)</f>
        <v/>
      </c>
      <c r="D894" t="str">
        <f>IF(DONNEES!$E894="","",DONNEES!E894)</f>
        <v/>
      </c>
      <c r="E894" t="str">
        <f>IF(DONNEES!$E894="","",DONNEES!F894)</f>
        <v/>
      </c>
      <c r="F894" t="str">
        <f>IF(DONNEES!$E894="","",DONNEES!G894)</f>
        <v/>
      </c>
      <c r="G894" t="str">
        <f>IF(DONNEES!$E894="","",DONNEES!H894)</f>
        <v/>
      </c>
      <c r="H894" t="str">
        <f>IF(DONNEES!$E894="","",DONNEES!I894)</f>
        <v/>
      </c>
      <c r="I894" t="str">
        <f>IF(DONNEES!$E894="","",DONNEES!J894)</f>
        <v/>
      </c>
      <c r="J894" t="str">
        <f>IF(DONNEES!$E894="","",DONNEES!K894)</f>
        <v/>
      </c>
      <c r="K894" t="str">
        <f>IF(DONNEES!$E894="","",DONNEES!L894)</f>
        <v/>
      </c>
      <c r="L894" t="str">
        <f>IF(DONNEES!$E894="","",DONNEES!M894)</f>
        <v/>
      </c>
      <c r="M894" t="str">
        <f>IF(DONNEES!$E894="","",DONNEES!N894)</f>
        <v/>
      </c>
      <c r="N894" t="str">
        <f>IF(DONNEES!$E894="","",DONNEES!O894)</f>
        <v/>
      </c>
      <c r="O894" t="str">
        <f>IF(DONNEES!$E894="","",DONNEES!P894)</f>
        <v/>
      </c>
      <c r="P894" t="str">
        <f>IF(DONNEES!$E894="","",DONNEES!Q894)</f>
        <v/>
      </c>
      <c r="Q894" t="str">
        <f>IF(DONNEES!$E894="","",DONNEES!R894)</f>
        <v/>
      </c>
      <c r="R894" t="str">
        <f>IF(DONNEES!$E894="","",DONNEES!S894)</f>
        <v/>
      </c>
      <c r="S894" t="str">
        <f>IF(DONNEES!$E894="","",DONNEES!T894)</f>
        <v/>
      </c>
      <c r="T894" t="str">
        <f>IF(DONNEES!$E894="","",DONNEES!U894)</f>
        <v/>
      </c>
      <c r="U894" t="str">
        <f>IF(DONNEES!$E894="","",DONNEES!V894)</f>
        <v/>
      </c>
      <c r="V894" t="str">
        <f>IF(DONNEES!$E894="","",DONNEES!W894)</f>
        <v/>
      </c>
      <c r="W894" t="str">
        <f>IF(DONNEES!$E894="","",DONNEES!X894)</f>
        <v/>
      </c>
      <c r="X894" t="str">
        <f>IF(DONNEES!$E894="","",DONNEES!Y894)</f>
        <v/>
      </c>
      <c r="Y894" t="str">
        <f>IF(DONNEES!$E894="","",DONNEES!Z894)</f>
        <v/>
      </c>
      <c r="Z894" t="str">
        <f>IF(DONNEES!$E894="","",DONNEES!AQ894)</f>
        <v/>
      </c>
    </row>
    <row r="895" spans="1:26" ht="15" customHeight="1" x14ac:dyDescent="0.3">
      <c r="A895" t="str">
        <f>IF(DONNEES!$E895="","",DONNEES!A895)</f>
        <v/>
      </c>
      <c r="B895" t="str">
        <f>IF(DONNEES!$E895="","",DONNEES!B895)</f>
        <v/>
      </c>
      <c r="C895" t="str">
        <f>IF(DONNEES!$E895="","",DONNEES!C895)</f>
        <v/>
      </c>
      <c r="D895" t="str">
        <f>IF(DONNEES!$E895="","",DONNEES!E895)</f>
        <v/>
      </c>
      <c r="E895" t="str">
        <f>IF(DONNEES!$E895="","",DONNEES!F895)</f>
        <v/>
      </c>
      <c r="F895" t="str">
        <f>IF(DONNEES!$E895="","",DONNEES!G895)</f>
        <v/>
      </c>
      <c r="G895" t="str">
        <f>IF(DONNEES!$E895="","",DONNEES!H895)</f>
        <v/>
      </c>
      <c r="H895" t="str">
        <f>IF(DONNEES!$E895="","",DONNEES!I895)</f>
        <v/>
      </c>
      <c r="I895" t="str">
        <f>IF(DONNEES!$E895="","",DONNEES!J895)</f>
        <v/>
      </c>
      <c r="J895" t="str">
        <f>IF(DONNEES!$E895="","",DONNEES!K895)</f>
        <v/>
      </c>
      <c r="K895" t="str">
        <f>IF(DONNEES!$E895="","",DONNEES!L895)</f>
        <v/>
      </c>
      <c r="L895" t="str">
        <f>IF(DONNEES!$E895="","",DONNEES!M895)</f>
        <v/>
      </c>
      <c r="M895" t="str">
        <f>IF(DONNEES!$E895="","",DONNEES!N895)</f>
        <v/>
      </c>
      <c r="N895" t="str">
        <f>IF(DONNEES!$E895="","",DONNEES!O895)</f>
        <v/>
      </c>
      <c r="O895" t="str">
        <f>IF(DONNEES!$E895="","",DONNEES!P895)</f>
        <v/>
      </c>
      <c r="P895" t="str">
        <f>IF(DONNEES!$E895="","",DONNEES!Q895)</f>
        <v/>
      </c>
      <c r="Q895" t="str">
        <f>IF(DONNEES!$E895="","",DONNEES!R895)</f>
        <v/>
      </c>
      <c r="R895" t="str">
        <f>IF(DONNEES!$E895="","",DONNEES!S895)</f>
        <v/>
      </c>
      <c r="S895" t="str">
        <f>IF(DONNEES!$E895="","",DONNEES!T895)</f>
        <v/>
      </c>
      <c r="T895" t="str">
        <f>IF(DONNEES!$E895="","",DONNEES!U895)</f>
        <v/>
      </c>
      <c r="U895" t="str">
        <f>IF(DONNEES!$E895="","",DONNEES!V895)</f>
        <v/>
      </c>
      <c r="V895" t="str">
        <f>IF(DONNEES!$E895="","",DONNEES!W895)</f>
        <v/>
      </c>
      <c r="W895" t="str">
        <f>IF(DONNEES!$E895="","",DONNEES!X895)</f>
        <v/>
      </c>
      <c r="X895" t="str">
        <f>IF(DONNEES!$E895="","",DONNEES!Y895)</f>
        <v/>
      </c>
      <c r="Y895" t="str">
        <f>IF(DONNEES!$E895="","",DONNEES!Z895)</f>
        <v/>
      </c>
      <c r="Z895" t="str">
        <f>IF(DONNEES!$E895="","",DONNEES!AQ895)</f>
        <v/>
      </c>
    </row>
    <row r="896" spans="1:26" ht="15" customHeight="1" x14ac:dyDescent="0.3">
      <c r="A896" t="str">
        <f>IF(DONNEES!$E896="","",DONNEES!A896)</f>
        <v/>
      </c>
      <c r="B896" t="str">
        <f>IF(DONNEES!$E896="","",DONNEES!B896)</f>
        <v/>
      </c>
      <c r="C896" t="str">
        <f>IF(DONNEES!$E896="","",DONNEES!C896)</f>
        <v/>
      </c>
      <c r="D896" t="str">
        <f>IF(DONNEES!$E896="","",DONNEES!E896)</f>
        <v/>
      </c>
      <c r="E896" t="str">
        <f>IF(DONNEES!$E896="","",DONNEES!F896)</f>
        <v/>
      </c>
      <c r="F896" t="str">
        <f>IF(DONNEES!$E896="","",DONNEES!G896)</f>
        <v/>
      </c>
      <c r="G896" t="str">
        <f>IF(DONNEES!$E896="","",DONNEES!H896)</f>
        <v/>
      </c>
      <c r="H896" t="str">
        <f>IF(DONNEES!$E896="","",DONNEES!I896)</f>
        <v/>
      </c>
      <c r="I896" t="str">
        <f>IF(DONNEES!$E896="","",DONNEES!J896)</f>
        <v/>
      </c>
      <c r="J896" t="str">
        <f>IF(DONNEES!$E896="","",DONNEES!K896)</f>
        <v/>
      </c>
      <c r="K896" t="str">
        <f>IF(DONNEES!$E896="","",DONNEES!L896)</f>
        <v/>
      </c>
      <c r="L896" t="str">
        <f>IF(DONNEES!$E896="","",DONNEES!M896)</f>
        <v/>
      </c>
      <c r="M896" t="str">
        <f>IF(DONNEES!$E896="","",DONNEES!N896)</f>
        <v/>
      </c>
      <c r="N896" t="str">
        <f>IF(DONNEES!$E896="","",DONNEES!O896)</f>
        <v/>
      </c>
      <c r="O896" t="str">
        <f>IF(DONNEES!$E896="","",DONNEES!P896)</f>
        <v/>
      </c>
      <c r="P896" t="str">
        <f>IF(DONNEES!$E896="","",DONNEES!Q896)</f>
        <v/>
      </c>
      <c r="Q896" t="str">
        <f>IF(DONNEES!$E896="","",DONNEES!R896)</f>
        <v/>
      </c>
      <c r="R896" t="str">
        <f>IF(DONNEES!$E896="","",DONNEES!S896)</f>
        <v/>
      </c>
      <c r="S896" t="str">
        <f>IF(DONNEES!$E896="","",DONNEES!T896)</f>
        <v/>
      </c>
      <c r="T896" t="str">
        <f>IF(DONNEES!$E896="","",DONNEES!U896)</f>
        <v/>
      </c>
      <c r="U896" t="str">
        <f>IF(DONNEES!$E896="","",DONNEES!V896)</f>
        <v/>
      </c>
      <c r="V896" t="str">
        <f>IF(DONNEES!$E896="","",DONNEES!W896)</f>
        <v/>
      </c>
      <c r="W896" t="str">
        <f>IF(DONNEES!$E896="","",DONNEES!X896)</f>
        <v/>
      </c>
      <c r="X896" t="str">
        <f>IF(DONNEES!$E896="","",DONNEES!Y896)</f>
        <v/>
      </c>
      <c r="Y896" t="str">
        <f>IF(DONNEES!$E896="","",DONNEES!Z896)</f>
        <v/>
      </c>
      <c r="Z896" t="str">
        <f>IF(DONNEES!$E896="","",DONNEES!AQ896)</f>
        <v/>
      </c>
    </row>
    <row r="897" spans="1:26" ht="15" customHeight="1" x14ac:dyDescent="0.3">
      <c r="A897" t="str">
        <f>IF(DONNEES!$E897="","",DONNEES!A897)</f>
        <v/>
      </c>
      <c r="B897" t="str">
        <f>IF(DONNEES!$E897="","",DONNEES!B897)</f>
        <v/>
      </c>
      <c r="C897" t="str">
        <f>IF(DONNEES!$E897="","",DONNEES!C897)</f>
        <v/>
      </c>
      <c r="D897" t="str">
        <f>IF(DONNEES!$E897="","",DONNEES!E897)</f>
        <v/>
      </c>
      <c r="E897" t="str">
        <f>IF(DONNEES!$E897="","",DONNEES!F897)</f>
        <v/>
      </c>
      <c r="F897" t="str">
        <f>IF(DONNEES!$E897="","",DONNEES!G897)</f>
        <v/>
      </c>
      <c r="G897" t="str">
        <f>IF(DONNEES!$E897="","",DONNEES!H897)</f>
        <v/>
      </c>
      <c r="H897" t="str">
        <f>IF(DONNEES!$E897="","",DONNEES!I897)</f>
        <v/>
      </c>
      <c r="I897" t="str">
        <f>IF(DONNEES!$E897="","",DONNEES!J897)</f>
        <v/>
      </c>
      <c r="J897" t="str">
        <f>IF(DONNEES!$E897="","",DONNEES!K897)</f>
        <v/>
      </c>
      <c r="K897" t="str">
        <f>IF(DONNEES!$E897="","",DONNEES!L897)</f>
        <v/>
      </c>
      <c r="L897" t="str">
        <f>IF(DONNEES!$E897="","",DONNEES!M897)</f>
        <v/>
      </c>
      <c r="M897" t="str">
        <f>IF(DONNEES!$E897="","",DONNEES!N897)</f>
        <v/>
      </c>
      <c r="N897" t="str">
        <f>IF(DONNEES!$E897="","",DONNEES!O897)</f>
        <v/>
      </c>
      <c r="O897" t="str">
        <f>IF(DONNEES!$E897="","",DONNEES!P897)</f>
        <v/>
      </c>
      <c r="P897" t="str">
        <f>IF(DONNEES!$E897="","",DONNEES!Q897)</f>
        <v/>
      </c>
      <c r="Q897" t="str">
        <f>IF(DONNEES!$E897="","",DONNEES!R897)</f>
        <v/>
      </c>
      <c r="R897" t="str">
        <f>IF(DONNEES!$E897="","",DONNEES!S897)</f>
        <v/>
      </c>
      <c r="S897" t="str">
        <f>IF(DONNEES!$E897="","",DONNEES!T897)</f>
        <v/>
      </c>
      <c r="T897" t="str">
        <f>IF(DONNEES!$E897="","",DONNEES!U897)</f>
        <v/>
      </c>
      <c r="U897" t="str">
        <f>IF(DONNEES!$E897="","",DONNEES!V897)</f>
        <v/>
      </c>
      <c r="V897" t="str">
        <f>IF(DONNEES!$E897="","",DONNEES!W897)</f>
        <v/>
      </c>
      <c r="W897" t="str">
        <f>IF(DONNEES!$E897="","",DONNEES!X897)</f>
        <v/>
      </c>
      <c r="X897" t="str">
        <f>IF(DONNEES!$E897="","",DONNEES!Y897)</f>
        <v/>
      </c>
      <c r="Y897" t="str">
        <f>IF(DONNEES!$E897="","",DONNEES!Z897)</f>
        <v/>
      </c>
      <c r="Z897" t="str">
        <f>IF(DONNEES!$E897="","",DONNEES!AQ897)</f>
        <v/>
      </c>
    </row>
    <row r="898" spans="1:26" ht="15" customHeight="1" x14ac:dyDescent="0.3">
      <c r="A898" t="str">
        <f>IF(DONNEES!$E898="","",DONNEES!A898)</f>
        <v/>
      </c>
      <c r="B898" t="str">
        <f>IF(DONNEES!$E898="","",DONNEES!B898)</f>
        <v/>
      </c>
      <c r="C898" t="str">
        <f>IF(DONNEES!$E898="","",DONNEES!C898)</f>
        <v/>
      </c>
      <c r="D898" t="str">
        <f>IF(DONNEES!$E898="","",DONNEES!E898)</f>
        <v/>
      </c>
      <c r="E898" t="str">
        <f>IF(DONNEES!$E898="","",DONNEES!F898)</f>
        <v/>
      </c>
      <c r="F898" t="str">
        <f>IF(DONNEES!$E898="","",DONNEES!G898)</f>
        <v/>
      </c>
      <c r="G898" t="str">
        <f>IF(DONNEES!$E898="","",DONNEES!H898)</f>
        <v/>
      </c>
      <c r="H898" t="str">
        <f>IF(DONNEES!$E898="","",DONNEES!I898)</f>
        <v/>
      </c>
      <c r="I898" t="str">
        <f>IF(DONNEES!$E898="","",DONNEES!J898)</f>
        <v/>
      </c>
      <c r="J898" t="str">
        <f>IF(DONNEES!$E898="","",DONNEES!K898)</f>
        <v/>
      </c>
      <c r="K898" t="str">
        <f>IF(DONNEES!$E898="","",DONNEES!L898)</f>
        <v/>
      </c>
      <c r="L898" t="str">
        <f>IF(DONNEES!$E898="","",DONNEES!M898)</f>
        <v/>
      </c>
      <c r="M898" t="str">
        <f>IF(DONNEES!$E898="","",DONNEES!N898)</f>
        <v/>
      </c>
      <c r="N898" t="str">
        <f>IF(DONNEES!$E898="","",DONNEES!O898)</f>
        <v/>
      </c>
      <c r="O898" t="str">
        <f>IF(DONNEES!$E898="","",DONNEES!P898)</f>
        <v/>
      </c>
      <c r="P898" t="str">
        <f>IF(DONNEES!$E898="","",DONNEES!Q898)</f>
        <v/>
      </c>
      <c r="Q898" t="str">
        <f>IF(DONNEES!$E898="","",DONNEES!R898)</f>
        <v/>
      </c>
      <c r="R898" t="str">
        <f>IF(DONNEES!$E898="","",DONNEES!S898)</f>
        <v/>
      </c>
      <c r="S898" t="str">
        <f>IF(DONNEES!$E898="","",DONNEES!T898)</f>
        <v/>
      </c>
      <c r="T898" t="str">
        <f>IF(DONNEES!$E898="","",DONNEES!U898)</f>
        <v/>
      </c>
      <c r="U898" t="str">
        <f>IF(DONNEES!$E898="","",DONNEES!V898)</f>
        <v/>
      </c>
      <c r="V898" t="str">
        <f>IF(DONNEES!$E898="","",DONNEES!W898)</f>
        <v/>
      </c>
      <c r="W898" t="str">
        <f>IF(DONNEES!$E898="","",DONNEES!X898)</f>
        <v/>
      </c>
      <c r="X898" t="str">
        <f>IF(DONNEES!$E898="","",DONNEES!Y898)</f>
        <v/>
      </c>
      <c r="Y898" t="str">
        <f>IF(DONNEES!$E898="","",DONNEES!Z898)</f>
        <v/>
      </c>
      <c r="Z898" t="str">
        <f>IF(DONNEES!$E898="","",DONNEES!AQ898)</f>
        <v/>
      </c>
    </row>
    <row r="899" spans="1:26" ht="15" customHeight="1" x14ac:dyDescent="0.3">
      <c r="A899" t="str">
        <f>IF(DONNEES!$E899="","",DONNEES!A899)</f>
        <v/>
      </c>
      <c r="B899" t="str">
        <f>IF(DONNEES!$E899="","",DONNEES!B899)</f>
        <v/>
      </c>
      <c r="C899" t="str">
        <f>IF(DONNEES!$E899="","",DONNEES!C899)</f>
        <v/>
      </c>
      <c r="D899" t="str">
        <f>IF(DONNEES!$E899="","",DONNEES!E899)</f>
        <v/>
      </c>
      <c r="E899" t="str">
        <f>IF(DONNEES!$E899="","",DONNEES!F899)</f>
        <v/>
      </c>
      <c r="F899" t="str">
        <f>IF(DONNEES!$E899="","",DONNEES!G899)</f>
        <v/>
      </c>
      <c r="G899" t="str">
        <f>IF(DONNEES!$E899="","",DONNEES!H899)</f>
        <v/>
      </c>
      <c r="H899" t="str">
        <f>IF(DONNEES!$E899="","",DONNEES!I899)</f>
        <v/>
      </c>
      <c r="I899" t="str">
        <f>IF(DONNEES!$E899="","",DONNEES!J899)</f>
        <v/>
      </c>
      <c r="J899" t="str">
        <f>IF(DONNEES!$E899="","",DONNEES!K899)</f>
        <v/>
      </c>
      <c r="K899" t="str">
        <f>IF(DONNEES!$E899="","",DONNEES!L899)</f>
        <v/>
      </c>
      <c r="L899" t="str">
        <f>IF(DONNEES!$E899="","",DONNEES!M899)</f>
        <v/>
      </c>
      <c r="M899" t="str">
        <f>IF(DONNEES!$E899="","",DONNEES!N899)</f>
        <v/>
      </c>
      <c r="N899" t="str">
        <f>IF(DONNEES!$E899="","",DONNEES!O899)</f>
        <v/>
      </c>
      <c r="O899" t="str">
        <f>IF(DONNEES!$E899="","",DONNEES!P899)</f>
        <v/>
      </c>
      <c r="P899" t="str">
        <f>IF(DONNEES!$E899="","",DONNEES!Q899)</f>
        <v/>
      </c>
      <c r="Q899" t="str">
        <f>IF(DONNEES!$E899="","",DONNEES!R899)</f>
        <v/>
      </c>
      <c r="R899" t="str">
        <f>IF(DONNEES!$E899="","",DONNEES!S899)</f>
        <v/>
      </c>
      <c r="S899" t="str">
        <f>IF(DONNEES!$E899="","",DONNEES!T899)</f>
        <v/>
      </c>
      <c r="T899" t="str">
        <f>IF(DONNEES!$E899="","",DONNEES!U899)</f>
        <v/>
      </c>
      <c r="U899" t="str">
        <f>IF(DONNEES!$E899="","",DONNEES!V899)</f>
        <v/>
      </c>
      <c r="V899" t="str">
        <f>IF(DONNEES!$E899="","",DONNEES!W899)</f>
        <v/>
      </c>
      <c r="W899" t="str">
        <f>IF(DONNEES!$E899="","",DONNEES!X899)</f>
        <v/>
      </c>
      <c r="X899" t="str">
        <f>IF(DONNEES!$E899="","",DONNEES!Y899)</f>
        <v/>
      </c>
      <c r="Y899" t="str">
        <f>IF(DONNEES!$E899="","",DONNEES!Z899)</f>
        <v/>
      </c>
      <c r="Z899" t="str">
        <f>IF(DONNEES!$E899="","",DONNEES!AQ899)</f>
        <v/>
      </c>
    </row>
    <row r="900" spans="1:26" ht="15" customHeight="1" x14ac:dyDescent="0.3">
      <c r="A900" t="str">
        <f>IF(DONNEES!$E900="","",DONNEES!A900)</f>
        <v/>
      </c>
      <c r="B900" t="str">
        <f>IF(DONNEES!$E900="","",DONNEES!B900)</f>
        <v/>
      </c>
      <c r="C900" t="str">
        <f>IF(DONNEES!$E900="","",DONNEES!C900)</f>
        <v/>
      </c>
      <c r="D900" t="str">
        <f>IF(DONNEES!$E900="","",DONNEES!E900)</f>
        <v/>
      </c>
      <c r="E900" t="str">
        <f>IF(DONNEES!$E900="","",DONNEES!F900)</f>
        <v/>
      </c>
      <c r="F900" t="str">
        <f>IF(DONNEES!$E900="","",DONNEES!G900)</f>
        <v/>
      </c>
      <c r="G900" t="str">
        <f>IF(DONNEES!$E900="","",DONNEES!H900)</f>
        <v/>
      </c>
      <c r="H900" t="str">
        <f>IF(DONNEES!$E900="","",DONNEES!I900)</f>
        <v/>
      </c>
      <c r="I900" t="str">
        <f>IF(DONNEES!$E900="","",DONNEES!J900)</f>
        <v/>
      </c>
      <c r="J900" t="str">
        <f>IF(DONNEES!$E900="","",DONNEES!K900)</f>
        <v/>
      </c>
      <c r="K900" t="str">
        <f>IF(DONNEES!$E900="","",DONNEES!L900)</f>
        <v/>
      </c>
      <c r="L900" t="str">
        <f>IF(DONNEES!$E900="","",DONNEES!M900)</f>
        <v/>
      </c>
      <c r="M900" t="str">
        <f>IF(DONNEES!$E900="","",DONNEES!N900)</f>
        <v/>
      </c>
      <c r="N900" t="str">
        <f>IF(DONNEES!$E900="","",DONNEES!O900)</f>
        <v/>
      </c>
      <c r="O900" t="str">
        <f>IF(DONNEES!$E900="","",DONNEES!P900)</f>
        <v/>
      </c>
      <c r="P900" t="str">
        <f>IF(DONNEES!$E900="","",DONNEES!Q900)</f>
        <v/>
      </c>
      <c r="Q900" t="str">
        <f>IF(DONNEES!$E900="","",DONNEES!R900)</f>
        <v/>
      </c>
      <c r="R900" t="str">
        <f>IF(DONNEES!$E900="","",DONNEES!S900)</f>
        <v/>
      </c>
      <c r="S900" t="str">
        <f>IF(DONNEES!$E900="","",DONNEES!T900)</f>
        <v/>
      </c>
      <c r="T900" t="str">
        <f>IF(DONNEES!$E900="","",DONNEES!U900)</f>
        <v/>
      </c>
      <c r="U900" t="str">
        <f>IF(DONNEES!$E900="","",DONNEES!V900)</f>
        <v/>
      </c>
      <c r="V900" t="str">
        <f>IF(DONNEES!$E900="","",DONNEES!W900)</f>
        <v/>
      </c>
      <c r="W900" t="str">
        <f>IF(DONNEES!$E900="","",DONNEES!X900)</f>
        <v/>
      </c>
      <c r="X900" t="str">
        <f>IF(DONNEES!$E900="","",DONNEES!Y900)</f>
        <v/>
      </c>
      <c r="Y900" t="str">
        <f>IF(DONNEES!$E900="","",DONNEES!Z900)</f>
        <v/>
      </c>
      <c r="Z900" t="str">
        <f>IF(DONNEES!$E900="","",DONNEES!AQ900)</f>
        <v/>
      </c>
    </row>
    <row r="901" spans="1:26" ht="15" customHeight="1" x14ac:dyDescent="0.3">
      <c r="A901" t="str">
        <f>IF(DONNEES!$E901="","",DONNEES!A901)</f>
        <v/>
      </c>
      <c r="B901" t="str">
        <f>IF(DONNEES!$E901="","",DONNEES!B901)</f>
        <v/>
      </c>
      <c r="C901" t="str">
        <f>IF(DONNEES!$E901="","",DONNEES!C901)</f>
        <v/>
      </c>
      <c r="D901" t="str">
        <f>IF(DONNEES!$E901="","",DONNEES!E901)</f>
        <v/>
      </c>
      <c r="E901" t="str">
        <f>IF(DONNEES!$E901="","",DONNEES!F901)</f>
        <v/>
      </c>
      <c r="F901" t="str">
        <f>IF(DONNEES!$E901="","",DONNEES!G901)</f>
        <v/>
      </c>
      <c r="G901" t="str">
        <f>IF(DONNEES!$E901="","",DONNEES!H901)</f>
        <v/>
      </c>
      <c r="H901" t="str">
        <f>IF(DONNEES!$E901="","",DONNEES!I901)</f>
        <v/>
      </c>
      <c r="I901" t="str">
        <f>IF(DONNEES!$E901="","",DONNEES!J901)</f>
        <v/>
      </c>
      <c r="J901" t="str">
        <f>IF(DONNEES!$E901="","",DONNEES!K901)</f>
        <v/>
      </c>
      <c r="K901" t="str">
        <f>IF(DONNEES!$E901="","",DONNEES!L901)</f>
        <v/>
      </c>
      <c r="L901" t="str">
        <f>IF(DONNEES!$E901="","",DONNEES!M901)</f>
        <v/>
      </c>
      <c r="M901" t="str">
        <f>IF(DONNEES!$E901="","",DONNEES!N901)</f>
        <v/>
      </c>
      <c r="N901" t="str">
        <f>IF(DONNEES!$E901="","",DONNEES!O901)</f>
        <v/>
      </c>
      <c r="O901" t="str">
        <f>IF(DONNEES!$E901="","",DONNEES!P901)</f>
        <v/>
      </c>
      <c r="P901" t="str">
        <f>IF(DONNEES!$E901="","",DONNEES!Q901)</f>
        <v/>
      </c>
      <c r="Q901" t="str">
        <f>IF(DONNEES!$E901="","",DONNEES!R901)</f>
        <v/>
      </c>
      <c r="R901" t="str">
        <f>IF(DONNEES!$E901="","",DONNEES!S901)</f>
        <v/>
      </c>
      <c r="S901" t="str">
        <f>IF(DONNEES!$E901="","",DONNEES!T901)</f>
        <v/>
      </c>
      <c r="T901" t="str">
        <f>IF(DONNEES!$E901="","",DONNEES!U901)</f>
        <v/>
      </c>
      <c r="U901" t="str">
        <f>IF(DONNEES!$E901="","",DONNEES!V901)</f>
        <v/>
      </c>
      <c r="V901" t="str">
        <f>IF(DONNEES!$E901="","",DONNEES!W901)</f>
        <v/>
      </c>
      <c r="W901" t="str">
        <f>IF(DONNEES!$E901="","",DONNEES!X901)</f>
        <v/>
      </c>
      <c r="X901" t="str">
        <f>IF(DONNEES!$E901="","",DONNEES!Y901)</f>
        <v/>
      </c>
      <c r="Y901" t="str">
        <f>IF(DONNEES!$E901="","",DONNEES!Z901)</f>
        <v/>
      </c>
      <c r="Z901" t="str">
        <f>IF(DONNEES!$E901="","",DONNEES!AQ901)</f>
        <v/>
      </c>
    </row>
    <row r="902" spans="1:26" ht="15" customHeight="1" x14ac:dyDescent="0.3">
      <c r="A902" t="str">
        <f>IF(DONNEES!$E902="","",DONNEES!A902)</f>
        <v/>
      </c>
      <c r="B902" t="str">
        <f>IF(DONNEES!$E902="","",DONNEES!B902)</f>
        <v/>
      </c>
      <c r="C902" t="str">
        <f>IF(DONNEES!$E902="","",DONNEES!C902)</f>
        <v/>
      </c>
      <c r="D902" t="str">
        <f>IF(DONNEES!$E902="","",DONNEES!E902)</f>
        <v/>
      </c>
      <c r="E902" t="str">
        <f>IF(DONNEES!$E902="","",DONNEES!F902)</f>
        <v/>
      </c>
      <c r="F902" t="str">
        <f>IF(DONNEES!$E902="","",DONNEES!G902)</f>
        <v/>
      </c>
      <c r="G902" t="str">
        <f>IF(DONNEES!$E902="","",DONNEES!H902)</f>
        <v/>
      </c>
      <c r="H902" t="str">
        <f>IF(DONNEES!$E902="","",DONNEES!I902)</f>
        <v/>
      </c>
      <c r="I902" t="str">
        <f>IF(DONNEES!$E902="","",DONNEES!J902)</f>
        <v/>
      </c>
      <c r="J902" t="str">
        <f>IF(DONNEES!$E902="","",DONNEES!K902)</f>
        <v/>
      </c>
      <c r="K902" t="str">
        <f>IF(DONNEES!$E902="","",DONNEES!L902)</f>
        <v/>
      </c>
      <c r="L902" t="str">
        <f>IF(DONNEES!$E902="","",DONNEES!M902)</f>
        <v/>
      </c>
      <c r="M902" t="str">
        <f>IF(DONNEES!$E902="","",DONNEES!N902)</f>
        <v/>
      </c>
      <c r="N902" t="str">
        <f>IF(DONNEES!$E902="","",DONNEES!O902)</f>
        <v/>
      </c>
      <c r="O902" t="str">
        <f>IF(DONNEES!$E902="","",DONNEES!P902)</f>
        <v/>
      </c>
      <c r="P902" t="str">
        <f>IF(DONNEES!$E902="","",DONNEES!Q902)</f>
        <v/>
      </c>
      <c r="Q902" t="str">
        <f>IF(DONNEES!$E902="","",DONNEES!R902)</f>
        <v/>
      </c>
      <c r="R902" t="str">
        <f>IF(DONNEES!$E902="","",DONNEES!S902)</f>
        <v/>
      </c>
      <c r="S902" t="str">
        <f>IF(DONNEES!$E902="","",DONNEES!T902)</f>
        <v/>
      </c>
      <c r="T902" t="str">
        <f>IF(DONNEES!$E902="","",DONNEES!U902)</f>
        <v/>
      </c>
      <c r="U902" t="str">
        <f>IF(DONNEES!$E902="","",DONNEES!V902)</f>
        <v/>
      </c>
      <c r="V902" t="str">
        <f>IF(DONNEES!$E902="","",DONNEES!W902)</f>
        <v/>
      </c>
      <c r="W902" t="str">
        <f>IF(DONNEES!$E902="","",DONNEES!X902)</f>
        <v/>
      </c>
      <c r="X902" t="str">
        <f>IF(DONNEES!$E902="","",DONNEES!Y902)</f>
        <v/>
      </c>
      <c r="Y902" t="str">
        <f>IF(DONNEES!$E902="","",DONNEES!Z902)</f>
        <v/>
      </c>
      <c r="Z902" t="str">
        <f>IF(DONNEES!$E902="","",DONNEES!AQ902)</f>
        <v/>
      </c>
    </row>
    <row r="903" spans="1:26" ht="15" customHeight="1" x14ac:dyDescent="0.3">
      <c r="A903" t="str">
        <f>IF(DONNEES!$E903="","",DONNEES!A903)</f>
        <v/>
      </c>
      <c r="B903" t="str">
        <f>IF(DONNEES!$E903="","",DONNEES!B903)</f>
        <v/>
      </c>
      <c r="C903" t="str">
        <f>IF(DONNEES!$E903="","",DONNEES!C903)</f>
        <v/>
      </c>
      <c r="D903" t="str">
        <f>IF(DONNEES!$E903="","",DONNEES!E903)</f>
        <v/>
      </c>
      <c r="E903" t="str">
        <f>IF(DONNEES!$E903="","",DONNEES!F903)</f>
        <v/>
      </c>
      <c r="F903" t="str">
        <f>IF(DONNEES!$E903="","",DONNEES!G903)</f>
        <v/>
      </c>
      <c r="G903" t="str">
        <f>IF(DONNEES!$E903="","",DONNEES!H903)</f>
        <v/>
      </c>
      <c r="H903" t="str">
        <f>IF(DONNEES!$E903="","",DONNEES!I903)</f>
        <v/>
      </c>
      <c r="I903" t="str">
        <f>IF(DONNEES!$E903="","",DONNEES!J903)</f>
        <v/>
      </c>
      <c r="J903" t="str">
        <f>IF(DONNEES!$E903="","",DONNEES!K903)</f>
        <v/>
      </c>
      <c r="K903" t="str">
        <f>IF(DONNEES!$E903="","",DONNEES!L903)</f>
        <v/>
      </c>
      <c r="L903" t="str">
        <f>IF(DONNEES!$E903="","",DONNEES!M903)</f>
        <v/>
      </c>
      <c r="M903" t="str">
        <f>IF(DONNEES!$E903="","",DONNEES!N903)</f>
        <v/>
      </c>
      <c r="N903" t="str">
        <f>IF(DONNEES!$E903="","",DONNEES!O903)</f>
        <v/>
      </c>
      <c r="O903" t="str">
        <f>IF(DONNEES!$E903="","",DONNEES!P903)</f>
        <v/>
      </c>
      <c r="P903" t="str">
        <f>IF(DONNEES!$E903="","",DONNEES!Q903)</f>
        <v/>
      </c>
      <c r="Q903" t="str">
        <f>IF(DONNEES!$E903="","",DONNEES!R903)</f>
        <v/>
      </c>
      <c r="R903" t="str">
        <f>IF(DONNEES!$E903="","",DONNEES!S903)</f>
        <v/>
      </c>
      <c r="S903" t="str">
        <f>IF(DONNEES!$E903="","",DONNEES!T903)</f>
        <v/>
      </c>
      <c r="T903" t="str">
        <f>IF(DONNEES!$E903="","",DONNEES!U903)</f>
        <v/>
      </c>
      <c r="U903" t="str">
        <f>IF(DONNEES!$E903="","",DONNEES!V903)</f>
        <v/>
      </c>
      <c r="V903" t="str">
        <f>IF(DONNEES!$E903="","",DONNEES!W903)</f>
        <v/>
      </c>
      <c r="W903" t="str">
        <f>IF(DONNEES!$E903="","",DONNEES!X903)</f>
        <v/>
      </c>
      <c r="X903" t="str">
        <f>IF(DONNEES!$E903="","",DONNEES!Y903)</f>
        <v/>
      </c>
      <c r="Y903" t="str">
        <f>IF(DONNEES!$E903="","",DONNEES!Z903)</f>
        <v/>
      </c>
      <c r="Z903" t="str">
        <f>IF(DONNEES!$E903="","",DONNEES!AQ903)</f>
        <v/>
      </c>
    </row>
    <row r="904" spans="1:26" ht="15" customHeight="1" x14ac:dyDescent="0.3">
      <c r="A904" t="str">
        <f>IF(DONNEES!$E904="","",DONNEES!A904)</f>
        <v/>
      </c>
      <c r="B904" t="str">
        <f>IF(DONNEES!$E904="","",DONNEES!B904)</f>
        <v/>
      </c>
      <c r="C904" t="str">
        <f>IF(DONNEES!$E904="","",DONNEES!C904)</f>
        <v/>
      </c>
      <c r="D904" t="str">
        <f>IF(DONNEES!$E904="","",DONNEES!E904)</f>
        <v/>
      </c>
      <c r="E904" t="str">
        <f>IF(DONNEES!$E904="","",DONNEES!F904)</f>
        <v/>
      </c>
      <c r="F904" t="str">
        <f>IF(DONNEES!$E904="","",DONNEES!G904)</f>
        <v/>
      </c>
      <c r="G904" t="str">
        <f>IF(DONNEES!$E904="","",DONNEES!H904)</f>
        <v/>
      </c>
      <c r="H904" t="str">
        <f>IF(DONNEES!$E904="","",DONNEES!I904)</f>
        <v/>
      </c>
      <c r="I904" t="str">
        <f>IF(DONNEES!$E904="","",DONNEES!J904)</f>
        <v/>
      </c>
      <c r="J904" t="str">
        <f>IF(DONNEES!$E904="","",DONNEES!K904)</f>
        <v/>
      </c>
      <c r="K904" t="str">
        <f>IF(DONNEES!$E904="","",DONNEES!L904)</f>
        <v/>
      </c>
      <c r="L904" t="str">
        <f>IF(DONNEES!$E904="","",DONNEES!M904)</f>
        <v/>
      </c>
      <c r="M904" t="str">
        <f>IF(DONNEES!$E904="","",DONNEES!N904)</f>
        <v/>
      </c>
      <c r="N904" t="str">
        <f>IF(DONNEES!$E904="","",DONNEES!O904)</f>
        <v/>
      </c>
      <c r="O904" t="str">
        <f>IF(DONNEES!$E904="","",DONNEES!P904)</f>
        <v/>
      </c>
      <c r="P904" t="str">
        <f>IF(DONNEES!$E904="","",DONNEES!Q904)</f>
        <v/>
      </c>
      <c r="Q904" t="str">
        <f>IF(DONNEES!$E904="","",DONNEES!R904)</f>
        <v/>
      </c>
      <c r="R904" t="str">
        <f>IF(DONNEES!$E904="","",DONNEES!S904)</f>
        <v/>
      </c>
      <c r="S904" t="str">
        <f>IF(DONNEES!$E904="","",DONNEES!T904)</f>
        <v/>
      </c>
      <c r="T904" t="str">
        <f>IF(DONNEES!$E904="","",DONNEES!U904)</f>
        <v/>
      </c>
      <c r="U904" t="str">
        <f>IF(DONNEES!$E904="","",DONNEES!V904)</f>
        <v/>
      </c>
      <c r="V904" t="str">
        <f>IF(DONNEES!$E904="","",DONNEES!W904)</f>
        <v/>
      </c>
      <c r="W904" t="str">
        <f>IF(DONNEES!$E904="","",DONNEES!X904)</f>
        <v/>
      </c>
      <c r="X904" t="str">
        <f>IF(DONNEES!$E904="","",DONNEES!Y904)</f>
        <v/>
      </c>
      <c r="Y904" t="str">
        <f>IF(DONNEES!$E904="","",DONNEES!Z904)</f>
        <v/>
      </c>
      <c r="Z904" t="str">
        <f>IF(DONNEES!$E904="","",DONNEES!AQ904)</f>
        <v/>
      </c>
    </row>
    <row r="905" spans="1:26" ht="15" customHeight="1" x14ac:dyDescent="0.3">
      <c r="A905" t="str">
        <f>IF(DONNEES!$E905="","",DONNEES!A905)</f>
        <v/>
      </c>
      <c r="B905" t="str">
        <f>IF(DONNEES!$E905="","",DONNEES!B905)</f>
        <v/>
      </c>
      <c r="C905" t="str">
        <f>IF(DONNEES!$E905="","",DONNEES!C905)</f>
        <v/>
      </c>
      <c r="D905" t="str">
        <f>IF(DONNEES!$E905="","",DONNEES!E905)</f>
        <v/>
      </c>
      <c r="E905" t="str">
        <f>IF(DONNEES!$E905="","",DONNEES!F905)</f>
        <v/>
      </c>
      <c r="F905" t="str">
        <f>IF(DONNEES!$E905="","",DONNEES!G905)</f>
        <v/>
      </c>
      <c r="G905" t="str">
        <f>IF(DONNEES!$E905="","",DONNEES!H905)</f>
        <v/>
      </c>
      <c r="H905" t="str">
        <f>IF(DONNEES!$E905="","",DONNEES!I905)</f>
        <v/>
      </c>
      <c r="I905" t="str">
        <f>IF(DONNEES!$E905="","",DONNEES!J905)</f>
        <v/>
      </c>
      <c r="J905" t="str">
        <f>IF(DONNEES!$E905="","",DONNEES!K905)</f>
        <v/>
      </c>
      <c r="K905" t="str">
        <f>IF(DONNEES!$E905="","",DONNEES!L905)</f>
        <v/>
      </c>
      <c r="L905" t="str">
        <f>IF(DONNEES!$E905="","",DONNEES!M905)</f>
        <v/>
      </c>
      <c r="M905" t="str">
        <f>IF(DONNEES!$E905="","",DONNEES!N905)</f>
        <v/>
      </c>
      <c r="N905" t="str">
        <f>IF(DONNEES!$E905="","",DONNEES!O905)</f>
        <v/>
      </c>
      <c r="O905" t="str">
        <f>IF(DONNEES!$E905="","",DONNEES!P905)</f>
        <v/>
      </c>
      <c r="P905" t="str">
        <f>IF(DONNEES!$E905="","",DONNEES!Q905)</f>
        <v/>
      </c>
      <c r="Q905" t="str">
        <f>IF(DONNEES!$E905="","",DONNEES!R905)</f>
        <v/>
      </c>
      <c r="R905" t="str">
        <f>IF(DONNEES!$E905="","",DONNEES!S905)</f>
        <v/>
      </c>
      <c r="S905" t="str">
        <f>IF(DONNEES!$E905="","",DONNEES!T905)</f>
        <v/>
      </c>
      <c r="T905" t="str">
        <f>IF(DONNEES!$E905="","",DONNEES!U905)</f>
        <v/>
      </c>
      <c r="U905" t="str">
        <f>IF(DONNEES!$E905="","",DONNEES!V905)</f>
        <v/>
      </c>
      <c r="V905" t="str">
        <f>IF(DONNEES!$E905="","",DONNEES!W905)</f>
        <v/>
      </c>
      <c r="W905" t="str">
        <f>IF(DONNEES!$E905="","",DONNEES!X905)</f>
        <v/>
      </c>
      <c r="X905" t="str">
        <f>IF(DONNEES!$E905="","",DONNEES!Y905)</f>
        <v/>
      </c>
      <c r="Y905" t="str">
        <f>IF(DONNEES!$E905="","",DONNEES!Z905)</f>
        <v/>
      </c>
      <c r="Z905" t="str">
        <f>IF(DONNEES!$E905="","",DONNEES!AQ905)</f>
        <v/>
      </c>
    </row>
    <row r="906" spans="1:26" ht="15" customHeight="1" x14ac:dyDescent="0.3">
      <c r="A906" t="str">
        <f>IF(DONNEES!$E906="","",DONNEES!A906)</f>
        <v/>
      </c>
      <c r="B906" t="str">
        <f>IF(DONNEES!$E906="","",DONNEES!B906)</f>
        <v/>
      </c>
      <c r="C906" t="str">
        <f>IF(DONNEES!$E906="","",DONNEES!C906)</f>
        <v/>
      </c>
      <c r="D906" t="str">
        <f>IF(DONNEES!$E906="","",DONNEES!E906)</f>
        <v/>
      </c>
      <c r="E906" t="str">
        <f>IF(DONNEES!$E906="","",DONNEES!F906)</f>
        <v/>
      </c>
      <c r="F906" t="str">
        <f>IF(DONNEES!$E906="","",DONNEES!G906)</f>
        <v/>
      </c>
      <c r="G906" t="str">
        <f>IF(DONNEES!$E906="","",DONNEES!H906)</f>
        <v/>
      </c>
      <c r="H906" t="str">
        <f>IF(DONNEES!$E906="","",DONNEES!I906)</f>
        <v/>
      </c>
      <c r="I906" t="str">
        <f>IF(DONNEES!$E906="","",DONNEES!J906)</f>
        <v/>
      </c>
      <c r="J906" t="str">
        <f>IF(DONNEES!$E906="","",DONNEES!K906)</f>
        <v/>
      </c>
      <c r="K906" t="str">
        <f>IF(DONNEES!$E906="","",DONNEES!L906)</f>
        <v/>
      </c>
      <c r="L906" t="str">
        <f>IF(DONNEES!$E906="","",DONNEES!M906)</f>
        <v/>
      </c>
      <c r="M906" t="str">
        <f>IF(DONNEES!$E906="","",DONNEES!N906)</f>
        <v/>
      </c>
      <c r="N906" t="str">
        <f>IF(DONNEES!$E906="","",DONNEES!O906)</f>
        <v/>
      </c>
      <c r="O906" t="str">
        <f>IF(DONNEES!$E906="","",DONNEES!P906)</f>
        <v/>
      </c>
      <c r="P906" t="str">
        <f>IF(DONNEES!$E906="","",DONNEES!Q906)</f>
        <v/>
      </c>
      <c r="Q906" t="str">
        <f>IF(DONNEES!$E906="","",DONNEES!R906)</f>
        <v/>
      </c>
      <c r="R906" t="str">
        <f>IF(DONNEES!$E906="","",DONNEES!S906)</f>
        <v/>
      </c>
      <c r="S906" t="str">
        <f>IF(DONNEES!$E906="","",DONNEES!T906)</f>
        <v/>
      </c>
      <c r="T906" t="str">
        <f>IF(DONNEES!$E906="","",DONNEES!U906)</f>
        <v/>
      </c>
      <c r="U906" t="str">
        <f>IF(DONNEES!$E906="","",DONNEES!V906)</f>
        <v/>
      </c>
      <c r="V906" t="str">
        <f>IF(DONNEES!$E906="","",DONNEES!W906)</f>
        <v/>
      </c>
      <c r="W906" t="str">
        <f>IF(DONNEES!$E906="","",DONNEES!X906)</f>
        <v/>
      </c>
      <c r="X906" t="str">
        <f>IF(DONNEES!$E906="","",DONNEES!Y906)</f>
        <v/>
      </c>
      <c r="Y906" t="str">
        <f>IF(DONNEES!$E906="","",DONNEES!Z906)</f>
        <v/>
      </c>
      <c r="Z906" t="str">
        <f>IF(DONNEES!$E906="","",DONNEES!AQ906)</f>
        <v/>
      </c>
    </row>
    <row r="907" spans="1:26" ht="15" customHeight="1" x14ac:dyDescent="0.3">
      <c r="A907" t="str">
        <f>IF(DONNEES!$E907="","",DONNEES!A907)</f>
        <v/>
      </c>
      <c r="B907" t="str">
        <f>IF(DONNEES!$E907="","",DONNEES!B907)</f>
        <v/>
      </c>
      <c r="C907" t="str">
        <f>IF(DONNEES!$E907="","",DONNEES!C907)</f>
        <v/>
      </c>
      <c r="D907" t="str">
        <f>IF(DONNEES!$E907="","",DONNEES!E907)</f>
        <v/>
      </c>
      <c r="E907" t="str">
        <f>IF(DONNEES!$E907="","",DONNEES!F907)</f>
        <v/>
      </c>
      <c r="F907" t="str">
        <f>IF(DONNEES!$E907="","",DONNEES!G907)</f>
        <v/>
      </c>
      <c r="G907" t="str">
        <f>IF(DONNEES!$E907="","",DONNEES!H907)</f>
        <v/>
      </c>
      <c r="H907" t="str">
        <f>IF(DONNEES!$E907="","",DONNEES!I907)</f>
        <v/>
      </c>
      <c r="I907" t="str">
        <f>IF(DONNEES!$E907="","",DONNEES!J907)</f>
        <v/>
      </c>
      <c r="J907" t="str">
        <f>IF(DONNEES!$E907="","",DONNEES!K907)</f>
        <v/>
      </c>
      <c r="K907" t="str">
        <f>IF(DONNEES!$E907="","",DONNEES!L907)</f>
        <v/>
      </c>
      <c r="L907" t="str">
        <f>IF(DONNEES!$E907="","",DONNEES!M907)</f>
        <v/>
      </c>
      <c r="M907" t="str">
        <f>IF(DONNEES!$E907="","",DONNEES!N907)</f>
        <v/>
      </c>
      <c r="N907" t="str">
        <f>IF(DONNEES!$E907="","",DONNEES!O907)</f>
        <v/>
      </c>
      <c r="O907" t="str">
        <f>IF(DONNEES!$E907="","",DONNEES!P907)</f>
        <v/>
      </c>
      <c r="P907" t="str">
        <f>IF(DONNEES!$E907="","",DONNEES!Q907)</f>
        <v/>
      </c>
      <c r="Q907" t="str">
        <f>IF(DONNEES!$E907="","",DONNEES!R907)</f>
        <v/>
      </c>
      <c r="R907" t="str">
        <f>IF(DONNEES!$E907="","",DONNEES!S907)</f>
        <v/>
      </c>
      <c r="S907" t="str">
        <f>IF(DONNEES!$E907="","",DONNEES!T907)</f>
        <v/>
      </c>
      <c r="T907" t="str">
        <f>IF(DONNEES!$E907="","",DONNEES!U907)</f>
        <v/>
      </c>
      <c r="U907" t="str">
        <f>IF(DONNEES!$E907="","",DONNEES!V907)</f>
        <v/>
      </c>
      <c r="V907" t="str">
        <f>IF(DONNEES!$E907="","",DONNEES!W907)</f>
        <v/>
      </c>
      <c r="W907" t="str">
        <f>IF(DONNEES!$E907="","",DONNEES!X907)</f>
        <v/>
      </c>
      <c r="X907" t="str">
        <f>IF(DONNEES!$E907="","",DONNEES!Y907)</f>
        <v/>
      </c>
      <c r="Y907" t="str">
        <f>IF(DONNEES!$E907="","",DONNEES!Z907)</f>
        <v/>
      </c>
      <c r="Z907" t="str">
        <f>IF(DONNEES!$E907="","",DONNEES!AQ907)</f>
        <v/>
      </c>
    </row>
    <row r="908" spans="1:26" ht="15" customHeight="1" x14ac:dyDescent="0.3">
      <c r="A908" t="str">
        <f>IF(DONNEES!$E908="","",DONNEES!A908)</f>
        <v/>
      </c>
      <c r="B908" t="str">
        <f>IF(DONNEES!$E908="","",DONNEES!B908)</f>
        <v/>
      </c>
      <c r="C908" t="str">
        <f>IF(DONNEES!$E908="","",DONNEES!C908)</f>
        <v/>
      </c>
      <c r="D908" t="str">
        <f>IF(DONNEES!$E908="","",DONNEES!E908)</f>
        <v/>
      </c>
      <c r="E908" t="str">
        <f>IF(DONNEES!$E908="","",DONNEES!F908)</f>
        <v/>
      </c>
      <c r="F908" t="str">
        <f>IF(DONNEES!$E908="","",DONNEES!G908)</f>
        <v/>
      </c>
      <c r="G908" t="str">
        <f>IF(DONNEES!$E908="","",DONNEES!H908)</f>
        <v/>
      </c>
      <c r="H908" t="str">
        <f>IF(DONNEES!$E908="","",DONNEES!I908)</f>
        <v/>
      </c>
      <c r="I908" t="str">
        <f>IF(DONNEES!$E908="","",DONNEES!J908)</f>
        <v/>
      </c>
      <c r="J908" t="str">
        <f>IF(DONNEES!$E908="","",DONNEES!K908)</f>
        <v/>
      </c>
      <c r="K908" t="str">
        <f>IF(DONNEES!$E908="","",DONNEES!L908)</f>
        <v/>
      </c>
      <c r="L908" t="str">
        <f>IF(DONNEES!$E908="","",DONNEES!M908)</f>
        <v/>
      </c>
      <c r="M908" t="str">
        <f>IF(DONNEES!$E908="","",DONNEES!N908)</f>
        <v/>
      </c>
      <c r="N908" t="str">
        <f>IF(DONNEES!$E908="","",DONNEES!O908)</f>
        <v/>
      </c>
      <c r="O908" t="str">
        <f>IF(DONNEES!$E908="","",DONNEES!P908)</f>
        <v/>
      </c>
      <c r="P908" t="str">
        <f>IF(DONNEES!$E908="","",DONNEES!Q908)</f>
        <v/>
      </c>
      <c r="Q908" t="str">
        <f>IF(DONNEES!$E908="","",DONNEES!R908)</f>
        <v/>
      </c>
      <c r="R908" t="str">
        <f>IF(DONNEES!$E908="","",DONNEES!S908)</f>
        <v/>
      </c>
      <c r="S908" t="str">
        <f>IF(DONNEES!$E908="","",DONNEES!T908)</f>
        <v/>
      </c>
      <c r="T908" t="str">
        <f>IF(DONNEES!$E908="","",DONNEES!U908)</f>
        <v/>
      </c>
      <c r="U908" t="str">
        <f>IF(DONNEES!$E908="","",DONNEES!V908)</f>
        <v/>
      </c>
      <c r="V908" t="str">
        <f>IF(DONNEES!$E908="","",DONNEES!W908)</f>
        <v/>
      </c>
      <c r="W908" t="str">
        <f>IF(DONNEES!$E908="","",DONNEES!X908)</f>
        <v/>
      </c>
      <c r="X908" t="str">
        <f>IF(DONNEES!$E908="","",DONNEES!Y908)</f>
        <v/>
      </c>
      <c r="Y908" t="str">
        <f>IF(DONNEES!$E908="","",DONNEES!Z908)</f>
        <v/>
      </c>
      <c r="Z908" t="str">
        <f>IF(DONNEES!$E908="","",DONNEES!AQ908)</f>
        <v/>
      </c>
    </row>
    <row r="909" spans="1:26" ht="15" customHeight="1" x14ac:dyDescent="0.3">
      <c r="A909" t="str">
        <f>IF(DONNEES!$E909="","",DONNEES!A909)</f>
        <v/>
      </c>
      <c r="B909" t="str">
        <f>IF(DONNEES!$E909="","",DONNEES!B909)</f>
        <v/>
      </c>
      <c r="C909" t="str">
        <f>IF(DONNEES!$E909="","",DONNEES!C909)</f>
        <v/>
      </c>
      <c r="D909" t="str">
        <f>IF(DONNEES!$E909="","",DONNEES!E909)</f>
        <v/>
      </c>
      <c r="E909" t="str">
        <f>IF(DONNEES!$E909="","",DONNEES!F909)</f>
        <v/>
      </c>
      <c r="F909" t="str">
        <f>IF(DONNEES!$E909="","",DONNEES!G909)</f>
        <v/>
      </c>
      <c r="G909" t="str">
        <f>IF(DONNEES!$E909="","",DONNEES!H909)</f>
        <v/>
      </c>
      <c r="H909" t="str">
        <f>IF(DONNEES!$E909="","",DONNEES!I909)</f>
        <v/>
      </c>
      <c r="I909" t="str">
        <f>IF(DONNEES!$E909="","",DONNEES!J909)</f>
        <v/>
      </c>
      <c r="J909" t="str">
        <f>IF(DONNEES!$E909="","",DONNEES!K909)</f>
        <v/>
      </c>
      <c r="K909" t="str">
        <f>IF(DONNEES!$E909="","",DONNEES!L909)</f>
        <v/>
      </c>
      <c r="L909" t="str">
        <f>IF(DONNEES!$E909="","",DONNEES!M909)</f>
        <v/>
      </c>
      <c r="M909" t="str">
        <f>IF(DONNEES!$E909="","",DONNEES!N909)</f>
        <v/>
      </c>
      <c r="N909" t="str">
        <f>IF(DONNEES!$E909="","",DONNEES!O909)</f>
        <v/>
      </c>
      <c r="O909" t="str">
        <f>IF(DONNEES!$E909="","",DONNEES!P909)</f>
        <v/>
      </c>
      <c r="P909" t="str">
        <f>IF(DONNEES!$E909="","",DONNEES!Q909)</f>
        <v/>
      </c>
      <c r="Q909" t="str">
        <f>IF(DONNEES!$E909="","",DONNEES!R909)</f>
        <v/>
      </c>
      <c r="R909" t="str">
        <f>IF(DONNEES!$E909="","",DONNEES!S909)</f>
        <v/>
      </c>
      <c r="S909" t="str">
        <f>IF(DONNEES!$E909="","",DONNEES!T909)</f>
        <v/>
      </c>
      <c r="T909" t="str">
        <f>IF(DONNEES!$E909="","",DONNEES!U909)</f>
        <v/>
      </c>
      <c r="U909" t="str">
        <f>IF(DONNEES!$E909="","",DONNEES!V909)</f>
        <v/>
      </c>
      <c r="V909" t="str">
        <f>IF(DONNEES!$E909="","",DONNEES!W909)</f>
        <v/>
      </c>
      <c r="W909" t="str">
        <f>IF(DONNEES!$E909="","",DONNEES!X909)</f>
        <v/>
      </c>
      <c r="X909" t="str">
        <f>IF(DONNEES!$E909="","",DONNEES!Y909)</f>
        <v/>
      </c>
      <c r="Y909" t="str">
        <f>IF(DONNEES!$E909="","",DONNEES!Z909)</f>
        <v/>
      </c>
      <c r="Z909" t="str">
        <f>IF(DONNEES!$E909="","",DONNEES!AQ909)</f>
        <v/>
      </c>
    </row>
    <row r="910" spans="1:26" ht="15" customHeight="1" x14ac:dyDescent="0.3">
      <c r="A910" t="str">
        <f>IF(DONNEES!$E910="","",DONNEES!A910)</f>
        <v/>
      </c>
      <c r="B910" t="str">
        <f>IF(DONNEES!$E910="","",DONNEES!B910)</f>
        <v/>
      </c>
      <c r="C910" t="str">
        <f>IF(DONNEES!$E910="","",DONNEES!C910)</f>
        <v/>
      </c>
      <c r="D910" t="str">
        <f>IF(DONNEES!$E910="","",DONNEES!E910)</f>
        <v/>
      </c>
      <c r="E910" t="str">
        <f>IF(DONNEES!$E910="","",DONNEES!F910)</f>
        <v/>
      </c>
      <c r="F910" t="str">
        <f>IF(DONNEES!$E910="","",DONNEES!G910)</f>
        <v/>
      </c>
      <c r="G910" t="str">
        <f>IF(DONNEES!$E910="","",DONNEES!H910)</f>
        <v/>
      </c>
      <c r="H910" t="str">
        <f>IF(DONNEES!$E910="","",DONNEES!I910)</f>
        <v/>
      </c>
      <c r="I910" t="str">
        <f>IF(DONNEES!$E910="","",DONNEES!J910)</f>
        <v/>
      </c>
      <c r="J910" t="str">
        <f>IF(DONNEES!$E910="","",DONNEES!K910)</f>
        <v/>
      </c>
      <c r="K910" t="str">
        <f>IF(DONNEES!$E910="","",DONNEES!L910)</f>
        <v/>
      </c>
      <c r="L910" t="str">
        <f>IF(DONNEES!$E910="","",DONNEES!M910)</f>
        <v/>
      </c>
      <c r="M910" t="str">
        <f>IF(DONNEES!$E910="","",DONNEES!N910)</f>
        <v/>
      </c>
      <c r="N910" t="str">
        <f>IF(DONNEES!$E910="","",DONNEES!O910)</f>
        <v/>
      </c>
      <c r="O910" t="str">
        <f>IF(DONNEES!$E910="","",DONNEES!P910)</f>
        <v/>
      </c>
      <c r="P910" t="str">
        <f>IF(DONNEES!$E910="","",DONNEES!Q910)</f>
        <v/>
      </c>
      <c r="Q910" t="str">
        <f>IF(DONNEES!$E910="","",DONNEES!R910)</f>
        <v/>
      </c>
      <c r="R910" t="str">
        <f>IF(DONNEES!$E910="","",DONNEES!S910)</f>
        <v/>
      </c>
      <c r="S910" t="str">
        <f>IF(DONNEES!$E910="","",DONNEES!T910)</f>
        <v/>
      </c>
      <c r="T910" t="str">
        <f>IF(DONNEES!$E910="","",DONNEES!U910)</f>
        <v/>
      </c>
      <c r="U910" t="str">
        <f>IF(DONNEES!$E910="","",DONNEES!V910)</f>
        <v/>
      </c>
      <c r="V910" t="str">
        <f>IF(DONNEES!$E910="","",DONNEES!W910)</f>
        <v/>
      </c>
      <c r="W910" t="str">
        <f>IF(DONNEES!$E910="","",DONNEES!X910)</f>
        <v/>
      </c>
      <c r="X910" t="str">
        <f>IF(DONNEES!$E910="","",DONNEES!Y910)</f>
        <v/>
      </c>
      <c r="Y910" t="str">
        <f>IF(DONNEES!$E910="","",DONNEES!Z910)</f>
        <v/>
      </c>
      <c r="Z910" t="str">
        <f>IF(DONNEES!$E910="","",DONNEES!AQ910)</f>
        <v/>
      </c>
    </row>
    <row r="911" spans="1:26" ht="15" customHeight="1" x14ac:dyDescent="0.3">
      <c r="A911" t="str">
        <f>IF(DONNEES!$E911="","",DONNEES!A911)</f>
        <v/>
      </c>
      <c r="B911" t="str">
        <f>IF(DONNEES!$E911="","",DONNEES!B911)</f>
        <v/>
      </c>
      <c r="C911" t="str">
        <f>IF(DONNEES!$E911="","",DONNEES!C911)</f>
        <v/>
      </c>
      <c r="D911" t="str">
        <f>IF(DONNEES!$E911="","",DONNEES!E911)</f>
        <v/>
      </c>
      <c r="E911" t="str">
        <f>IF(DONNEES!$E911="","",DONNEES!F911)</f>
        <v/>
      </c>
      <c r="F911" t="str">
        <f>IF(DONNEES!$E911="","",DONNEES!G911)</f>
        <v/>
      </c>
      <c r="G911" t="str">
        <f>IF(DONNEES!$E911="","",DONNEES!H911)</f>
        <v/>
      </c>
      <c r="H911" t="str">
        <f>IF(DONNEES!$E911="","",DONNEES!I911)</f>
        <v/>
      </c>
      <c r="I911" t="str">
        <f>IF(DONNEES!$E911="","",DONNEES!J911)</f>
        <v/>
      </c>
      <c r="J911" t="str">
        <f>IF(DONNEES!$E911="","",DONNEES!K911)</f>
        <v/>
      </c>
      <c r="K911" t="str">
        <f>IF(DONNEES!$E911="","",DONNEES!L911)</f>
        <v/>
      </c>
      <c r="L911" t="str">
        <f>IF(DONNEES!$E911="","",DONNEES!M911)</f>
        <v/>
      </c>
      <c r="M911" t="str">
        <f>IF(DONNEES!$E911="","",DONNEES!N911)</f>
        <v/>
      </c>
      <c r="N911" t="str">
        <f>IF(DONNEES!$E911="","",DONNEES!O911)</f>
        <v/>
      </c>
      <c r="O911" t="str">
        <f>IF(DONNEES!$E911="","",DONNEES!P911)</f>
        <v/>
      </c>
      <c r="P911" t="str">
        <f>IF(DONNEES!$E911="","",DONNEES!Q911)</f>
        <v/>
      </c>
      <c r="Q911" t="str">
        <f>IF(DONNEES!$E911="","",DONNEES!R911)</f>
        <v/>
      </c>
      <c r="R911" t="str">
        <f>IF(DONNEES!$E911="","",DONNEES!S911)</f>
        <v/>
      </c>
      <c r="S911" t="str">
        <f>IF(DONNEES!$E911="","",DONNEES!T911)</f>
        <v/>
      </c>
      <c r="T911" t="str">
        <f>IF(DONNEES!$E911="","",DONNEES!U911)</f>
        <v/>
      </c>
      <c r="U911" t="str">
        <f>IF(DONNEES!$E911="","",DONNEES!V911)</f>
        <v/>
      </c>
      <c r="V911" t="str">
        <f>IF(DONNEES!$E911="","",DONNEES!W911)</f>
        <v/>
      </c>
      <c r="W911" t="str">
        <f>IF(DONNEES!$E911="","",DONNEES!X911)</f>
        <v/>
      </c>
      <c r="X911" t="str">
        <f>IF(DONNEES!$E911="","",DONNEES!Y911)</f>
        <v/>
      </c>
      <c r="Y911" t="str">
        <f>IF(DONNEES!$E911="","",DONNEES!Z911)</f>
        <v/>
      </c>
      <c r="Z911" t="str">
        <f>IF(DONNEES!$E911="","",DONNEES!AQ911)</f>
        <v/>
      </c>
    </row>
    <row r="912" spans="1:26" ht="15" customHeight="1" x14ac:dyDescent="0.3">
      <c r="A912" t="str">
        <f>IF(DONNEES!$E912="","",DONNEES!A912)</f>
        <v/>
      </c>
      <c r="B912" t="str">
        <f>IF(DONNEES!$E912="","",DONNEES!B912)</f>
        <v/>
      </c>
      <c r="C912" t="str">
        <f>IF(DONNEES!$E912="","",DONNEES!C912)</f>
        <v/>
      </c>
      <c r="D912" t="str">
        <f>IF(DONNEES!$E912="","",DONNEES!E912)</f>
        <v/>
      </c>
      <c r="E912" t="str">
        <f>IF(DONNEES!$E912="","",DONNEES!F912)</f>
        <v/>
      </c>
      <c r="F912" t="str">
        <f>IF(DONNEES!$E912="","",DONNEES!G912)</f>
        <v/>
      </c>
      <c r="G912" t="str">
        <f>IF(DONNEES!$E912="","",DONNEES!H912)</f>
        <v/>
      </c>
      <c r="H912" t="str">
        <f>IF(DONNEES!$E912="","",DONNEES!I912)</f>
        <v/>
      </c>
      <c r="I912" t="str">
        <f>IF(DONNEES!$E912="","",DONNEES!J912)</f>
        <v/>
      </c>
      <c r="J912" t="str">
        <f>IF(DONNEES!$E912="","",DONNEES!K912)</f>
        <v/>
      </c>
      <c r="K912" t="str">
        <f>IF(DONNEES!$E912="","",DONNEES!L912)</f>
        <v/>
      </c>
      <c r="L912" t="str">
        <f>IF(DONNEES!$E912="","",DONNEES!M912)</f>
        <v/>
      </c>
      <c r="M912" t="str">
        <f>IF(DONNEES!$E912="","",DONNEES!N912)</f>
        <v/>
      </c>
      <c r="N912" t="str">
        <f>IF(DONNEES!$E912="","",DONNEES!O912)</f>
        <v/>
      </c>
      <c r="O912" t="str">
        <f>IF(DONNEES!$E912="","",DONNEES!P912)</f>
        <v/>
      </c>
      <c r="P912" t="str">
        <f>IF(DONNEES!$E912="","",DONNEES!Q912)</f>
        <v/>
      </c>
      <c r="Q912" t="str">
        <f>IF(DONNEES!$E912="","",DONNEES!R912)</f>
        <v/>
      </c>
      <c r="R912" t="str">
        <f>IF(DONNEES!$E912="","",DONNEES!S912)</f>
        <v/>
      </c>
      <c r="S912" t="str">
        <f>IF(DONNEES!$E912="","",DONNEES!T912)</f>
        <v/>
      </c>
      <c r="T912" t="str">
        <f>IF(DONNEES!$E912="","",DONNEES!U912)</f>
        <v/>
      </c>
      <c r="U912" t="str">
        <f>IF(DONNEES!$E912="","",DONNEES!V912)</f>
        <v/>
      </c>
      <c r="V912" t="str">
        <f>IF(DONNEES!$E912="","",DONNEES!W912)</f>
        <v/>
      </c>
      <c r="W912" t="str">
        <f>IF(DONNEES!$E912="","",DONNEES!X912)</f>
        <v/>
      </c>
      <c r="X912" t="str">
        <f>IF(DONNEES!$E912="","",DONNEES!Y912)</f>
        <v/>
      </c>
      <c r="Y912" t="str">
        <f>IF(DONNEES!$E912="","",DONNEES!Z912)</f>
        <v/>
      </c>
      <c r="Z912" t="str">
        <f>IF(DONNEES!$E912="","",DONNEES!AQ912)</f>
        <v/>
      </c>
    </row>
    <row r="913" spans="1:26" ht="15" customHeight="1" x14ac:dyDescent="0.3">
      <c r="A913" t="str">
        <f>IF(DONNEES!$E913="","",DONNEES!A913)</f>
        <v/>
      </c>
      <c r="B913" t="str">
        <f>IF(DONNEES!$E913="","",DONNEES!B913)</f>
        <v/>
      </c>
      <c r="C913" t="str">
        <f>IF(DONNEES!$E913="","",DONNEES!C913)</f>
        <v/>
      </c>
      <c r="D913" t="str">
        <f>IF(DONNEES!$E913="","",DONNEES!E913)</f>
        <v/>
      </c>
      <c r="E913" t="str">
        <f>IF(DONNEES!$E913="","",DONNEES!F913)</f>
        <v/>
      </c>
      <c r="F913" t="str">
        <f>IF(DONNEES!$E913="","",DONNEES!G913)</f>
        <v/>
      </c>
      <c r="G913" t="str">
        <f>IF(DONNEES!$E913="","",DONNEES!H913)</f>
        <v/>
      </c>
      <c r="H913" t="str">
        <f>IF(DONNEES!$E913="","",DONNEES!I913)</f>
        <v/>
      </c>
      <c r="I913" t="str">
        <f>IF(DONNEES!$E913="","",DONNEES!J913)</f>
        <v/>
      </c>
      <c r="J913" t="str">
        <f>IF(DONNEES!$E913="","",DONNEES!K913)</f>
        <v/>
      </c>
      <c r="K913" t="str">
        <f>IF(DONNEES!$E913="","",DONNEES!L913)</f>
        <v/>
      </c>
      <c r="L913" t="str">
        <f>IF(DONNEES!$E913="","",DONNEES!M913)</f>
        <v/>
      </c>
      <c r="M913" t="str">
        <f>IF(DONNEES!$E913="","",DONNEES!N913)</f>
        <v/>
      </c>
      <c r="N913" t="str">
        <f>IF(DONNEES!$E913="","",DONNEES!O913)</f>
        <v/>
      </c>
      <c r="O913" t="str">
        <f>IF(DONNEES!$E913="","",DONNEES!P913)</f>
        <v/>
      </c>
      <c r="P913" t="str">
        <f>IF(DONNEES!$E913="","",DONNEES!Q913)</f>
        <v/>
      </c>
      <c r="Q913" t="str">
        <f>IF(DONNEES!$E913="","",DONNEES!R913)</f>
        <v/>
      </c>
      <c r="R913" t="str">
        <f>IF(DONNEES!$E913="","",DONNEES!S913)</f>
        <v/>
      </c>
      <c r="S913" t="str">
        <f>IF(DONNEES!$E913="","",DONNEES!T913)</f>
        <v/>
      </c>
      <c r="T913" t="str">
        <f>IF(DONNEES!$E913="","",DONNEES!U913)</f>
        <v/>
      </c>
      <c r="U913" t="str">
        <f>IF(DONNEES!$E913="","",DONNEES!V913)</f>
        <v/>
      </c>
      <c r="V913" t="str">
        <f>IF(DONNEES!$E913="","",DONNEES!W913)</f>
        <v/>
      </c>
      <c r="W913" t="str">
        <f>IF(DONNEES!$E913="","",DONNEES!X913)</f>
        <v/>
      </c>
      <c r="X913" t="str">
        <f>IF(DONNEES!$E913="","",DONNEES!Y913)</f>
        <v/>
      </c>
      <c r="Y913" t="str">
        <f>IF(DONNEES!$E913="","",DONNEES!Z913)</f>
        <v/>
      </c>
      <c r="Z913" t="str">
        <f>IF(DONNEES!$E913="","",DONNEES!AQ913)</f>
        <v/>
      </c>
    </row>
    <row r="914" spans="1:26" ht="15" customHeight="1" x14ac:dyDescent="0.3">
      <c r="A914" t="str">
        <f>IF(DONNEES!$E914="","",DONNEES!A914)</f>
        <v/>
      </c>
      <c r="B914" t="str">
        <f>IF(DONNEES!$E914="","",DONNEES!B914)</f>
        <v/>
      </c>
      <c r="C914" t="str">
        <f>IF(DONNEES!$E914="","",DONNEES!C914)</f>
        <v/>
      </c>
      <c r="D914" t="str">
        <f>IF(DONNEES!$E914="","",DONNEES!E914)</f>
        <v/>
      </c>
      <c r="E914" t="str">
        <f>IF(DONNEES!$E914="","",DONNEES!F914)</f>
        <v/>
      </c>
      <c r="F914" t="str">
        <f>IF(DONNEES!$E914="","",DONNEES!G914)</f>
        <v/>
      </c>
      <c r="G914" t="str">
        <f>IF(DONNEES!$E914="","",DONNEES!H914)</f>
        <v/>
      </c>
      <c r="H914" t="str">
        <f>IF(DONNEES!$E914="","",DONNEES!I914)</f>
        <v/>
      </c>
      <c r="I914" t="str">
        <f>IF(DONNEES!$E914="","",DONNEES!J914)</f>
        <v/>
      </c>
      <c r="J914" t="str">
        <f>IF(DONNEES!$E914="","",DONNEES!K914)</f>
        <v/>
      </c>
      <c r="K914" t="str">
        <f>IF(DONNEES!$E914="","",DONNEES!L914)</f>
        <v/>
      </c>
      <c r="L914" t="str">
        <f>IF(DONNEES!$E914="","",DONNEES!M914)</f>
        <v/>
      </c>
      <c r="M914" t="str">
        <f>IF(DONNEES!$E914="","",DONNEES!N914)</f>
        <v/>
      </c>
      <c r="N914" t="str">
        <f>IF(DONNEES!$E914="","",DONNEES!O914)</f>
        <v/>
      </c>
      <c r="O914" t="str">
        <f>IF(DONNEES!$E914="","",DONNEES!P914)</f>
        <v/>
      </c>
      <c r="P914" t="str">
        <f>IF(DONNEES!$E914="","",DONNEES!Q914)</f>
        <v/>
      </c>
      <c r="Q914" t="str">
        <f>IF(DONNEES!$E914="","",DONNEES!R914)</f>
        <v/>
      </c>
      <c r="R914" t="str">
        <f>IF(DONNEES!$E914="","",DONNEES!S914)</f>
        <v/>
      </c>
      <c r="S914" t="str">
        <f>IF(DONNEES!$E914="","",DONNEES!T914)</f>
        <v/>
      </c>
      <c r="T914" t="str">
        <f>IF(DONNEES!$E914="","",DONNEES!U914)</f>
        <v/>
      </c>
      <c r="U914" t="str">
        <f>IF(DONNEES!$E914="","",DONNEES!V914)</f>
        <v/>
      </c>
      <c r="V914" t="str">
        <f>IF(DONNEES!$E914="","",DONNEES!W914)</f>
        <v/>
      </c>
      <c r="W914" t="str">
        <f>IF(DONNEES!$E914="","",DONNEES!X914)</f>
        <v/>
      </c>
      <c r="X914" t="str">
        <f>IF(DONNEES!$E914="","",DONNEES!Y914)</f>
        <v/>
      </c>
      <c r="Y914" t="str">
        <f>IF(DONNEES!$E914="","",DONNEES!Z914)</f>
        <v/>
      </c>
      <c r="Z914" t="str">
        <f>IF(DONNEES!$E914="","",DONNEES!AQ914)</f>
        <v/>
      </c>
    </row>
    <row r="915" spans="1:26" ht="15" customHeight="1" x14ac:dyDescent="0.3">
      <c r="A915" t="str">
        <f>IF(DONNEES!$E915="","",DONNEES!A915)</f>
        <v/>
      </c>
      <c r="B915" t="str">
        <f>IF(DONNEES!$E915="","",DONNEES!B915)</f>
        <v/>
      </c>
      <c r="C915" t="str">
        <f>IF(DONNEES!$E915="","",DONNEES!C915)</f>
        <v/>
      </c>
      <c r="D915" t="str">
        <f>IF(DONNEES!$E915="","",DONNEES!E915)</f>
        <v/>
      </c>
      <c r="E915" t="str">
        <f>IF(DONNEES!$E915="","",DONNEES!F915)</f>
        <v/>
      </c>
      <c r="F915" t="str">
        <f>IF(DONNEES!$E915="","",DONNEES!G915)</f>
        <v/>
      </c>
      <c r="G915" t="str">
        <f>IF(DONNEES!$E915="","",DONNEES!H915)</f>
        <v/>
      </c>
      <c r="H915" t="str">
        <f>IF(DONNEES!$E915="","",DONNEES!I915)</f>
        <v/>
      </c>
      <c r="I915" t="str">
        <f>IF(DONNEES!$E915="","",DONNEES!J915)</f>
        <v/>
      </c>
      <c r="J915" t="str">
        <f>IF(DONNEES!$E915="","",DONNEES!K915)</f>
        <v/>
      </c>
      <c r="K915" t="str">
        <f>IF(DONNEES!$E915="","",DONNEES!L915)</f>
        <v/>
      </c>
      <c r="L915" t="str">
        <f>IF(DONNEES!$E915="","",DONNEES!M915)</f>
        <v/>
      </c>
      <c r="M915" t="str">
        <f>IF(DONNEES!$E915="","",DONNEES!N915)</f>
        <v/>
      </c>
      <c r="N915" t="str">
        <f>IF(DONNEES!$E915="","",DONNEES!O915)</f>
        <v/>
      </c>
      <c r="O915" t="str">
        <f>IF(DONNEES!$E915="","",DONNEES!P915)</f>
        <v/>
      </c>
      <c r="P915" t="str">
        <f>IF(DONNEES!$E915="","",DONNEES!Q915)</f>
        <v/>
      </c>
      <c r="Q915" t="str">
        <f>IF(DONNEES!$E915="","",DONNEES!R915)</f>
        <v/>
      </c>
      <c r="R915" t="str">
        <f>IF(DONNEES!$E915="","",DONNEES!S915)</f>
        <v/>
      </c>
      <c r="S915" t="str">
        <f>IF(DONNEES!$E915="","",DONNEES!T915)</f>
        <v/>
      </c>
      <c r="T915" t="str">
        <f>IF(DONNEES!$E915="","",DONNEES!U915)</f>
        <v/>
      </c>
      <c r="U915" t="str">
        <f>IF(DONNEES!$E915="","",DONNEES!V915)</f>
        <v/>
      </c>
      <c r="V915" t="str">
        <f>IF(DONNEES!$E915="","",DONNEES!W915)</f>
        <v/>
      </c>
      <c r="W915" t="str">
        <f>IF(DONNEES!$E915="","",DONNEES!X915)</f>
        <v/>
      </c>
      <c r="X915" t="str">
        <f>IF(DONNEES!$E915="","",DONNEES!Y915)</f>
        <v/>
      </c>
      <c r="Y915" t="str">
        <f>IF(DONNEES!$E915="","",DONNEES!Z915)</f>
        <v/>
      </c>
      <c r="Z915" t="str">
        <f>IF(DONNEES!$E915="","",DONNEES!AQ915)</f>
        <v/>
      </c>
    </row>
    <row r="916" spans="1:26" ht="15" customHeight="1" x14ac:dyDescent="0.3">
      <c r="A916" t="str">
        <f>IF(DONNEES!$E916="","",DONNEES!A916)</f>
        <v/>
      </c>
      <c r="B916" t="str">
        <f>IF(DONNEES!$E916="","",DONNEES!B916)</f>
        <v/>
      </c>
      <c r="C916" t="str">
        <f>IF(DONNEES!$E916="","",DONNEES!C916)</f>
        <v/>
      </c>
      <c r="D916" t="str">
        <f>IF(DONNEES!$E916="","",DONNEES!E916)</f>
        <v/>
      </c>
      <c r="E916" t="str">
        <f>IF(DONNEES!$E916="","",DONNEES!F916)</f>
        <v/>
      </c>
      <c r="F916" t="str">
        <f>IF(DONNEES!$E916="","",DONNEES!G916)</f>
        <v/>
      </c>
      <c r="G916" t="str">
        <f>IF(DONNEES!$E916="","",DONNEES!H916)</f>
        <v/>
      </c>
      <c r="H916" t="str">
        <f>IF(DONNEES!$E916="","",DONNEES!I916)</f>
        <v/>
      </c>
      <c r="I916" t="str">
        <f>IF(DONNEES!$E916="","",DONNEES!J916)</f>
        <v/>
      </c>
      <c r="J916" t="str">
        <f>IF(DONNEES!$E916="","",DONNEES!K916)</f>
        <v/>
      </c>
      <c r="K916" t="str">
        <f>IF(DONNEES!$E916="","",DONNEES!L916)</f>
        <v/>
      </c>
      <c r="L916" t="str">
        <f>IF(DONNEES!$E916="","",DONNEES!M916)</f>
        <v/>
      </c>
      <c r="M916" t="str">
        <f>IF(DONNEES!$E916="","",DONNEES!N916)</f>
        <v/>
      </c>
      <c r="N916" t="str">
        <f>IF(DONNEES!$E916="","",DONNEES!O916)</f>
        <v/>
      </c>
      <c r="O916" t="str">
        <f>IF(DONNEES!$E916="","",DONNEES!P916)</f>
        <v/>
      </c>
      <c r="P916" t="str">
        <f>IF(DONNEES!$E916="","",DONNEES!Q916)</f>
        <v/>
      </c>
      <c r="Q916" t="str">
        <f>IF(DONNEES!$E916="","",DONNEES!R916)</f>
        <v/>
      </c>
      <c r="R916" t="str">
        <f>IF(DONNEES!$E916="","",DONNEES!S916)</f>
        <v/>
      </c>
      <c r="S916" t="str">
        <f>IF(DONNEES!$E916="","",DONNEES!T916)</f>
        <v/>
      </c>
      <c r="T916" t="str">
        <f>IF(DONNEES!$E916="","",DONNEES!U916)</f>
        <v/>
      </c>
      <c r="U916" t="str">
        <f>IF(DONNEES!$E916="","",DONNEES!V916)</f>
        <v/>
      </c>
      <c r="V916" t="str">
        <f>IF(DONNEES!$E916="","",DONNEES!W916)</f>
        <v/>
      </c>
      <c r="W916" t="str">
        <f>IF(DONNEES!$E916="","",DONNEES!X916)</f>
        <v/>
      </c>
      <c r="X916" t="str">
        <f>IF(DONNEES!$E916="","",DONNEES!Y916)</f>
        <v/>
      </c>
      <c r="Y916" t="str">
        <f>IF(DONNEES!$E916="","",DONNEES!Z916)</f>
        <v/>
      </c>
      <c r="Z916" t="str">
        <f>IF(DONNEES!$E916="","",DONNEES!AQ916)</f>
        <v/>
      </c>
    </row>
    <row r="917" spans="1:26" ht="15" customHeight="1" x14ac:dyDescent="0.3">
      <c r="A917" t="str">
        <f>IF(DONNEES!$E917="","",DONNEES!A917)</f>
        <v/>
      </c>
      <c r="B917" t="str">
        <f>IF(DONNEES!$E917="","",DONNEES!B917)</f>
        <v/>
      </c>
      <c r="C917" t="str">
        <f>IF(DONNEES!$E917="","",DONNEES!C917)</f>
        <v/>
      </c>
      <c r="D917" t="str">
        <f>IF(DONNEES!$E917="","",DONNEES!E917)</f>
        <v/>
      </c>
      <c r="E917" t="str">
        <f>IF(DONNEES!$E917="","",DONNEES!F917)</f>
        <v/>
      </c>
      <c r="F917" t="str">
        <f>IF(DONNEES!$E917="","",DONNEES!G917)</f>
        <v/>
      </c>
      <c r="G917" t="str">
        <f>IF(DONNEES!$E917="","",DONNEES!H917)</f>
        <v/>
      </c>
      <c r="H917" t="str">
        <f>IF(DONNEES!$E917="","",DONNEES!I917)</f>
        <v/>
      </c>
      <c r="I917" t="str">
        <f>IF(DONNEES!$E917="","",DONNEES!J917)</f>
        <v/>
      </c>
      <c r="J917" t="str">
        <f>IF(DONNEES!$E917="","",DONNEES!K917)</f>
        <v/>
      </c>
      <c r="K917" t="str">
        <f>IF(DONNEES!$E917="","",DONNEES!L917)</f>
        <v/>
      </c>
      <c r="L917" t="str">
        <f>IF(DONNEES!$E917="","",DONNEES!M917)</f>
        <v/>
      </c>
      <c r="M917" t="str">
        <f>IF(DONNEES!$E917="","",DONNEES!N917)</f>
        <v/>
      </c>
      <c r="N917" t="str">
        <f>IF(DONNEES!$E917="","",DONNEES!O917)</f>
        <v/>
      </c>
      <c r="O917" t="str">
        <f>IF(DONNEES!$E917="","",DONNEES!P917)</f>
        <v/>
      </c>
      <c r="P917" t="str">
        <f>IF(DONNEES!$E917="","",DONNEES!Q917)</f>
        <v/>
      </c>
      <c r="Q917" t="str">
        <f>IF(DONNEES!$E917="","",DONNEES!R917)</f>
        <v/>
      </c>
      <c r="R917" t="str">
        <f>IF(DONNEES!$E917="","",DONNEES!S917)</f>
        <v/>
      </c>
      <c r="S917" t="str">
        <f>IF(DONNEES!$E917="","",DONNEES!T917)</f>
        <v/>
      </c>
      <c r="T917" t="str">
        <f>IF(DONNEES!$E917="","",DONNEES!U917)</f>
        <v/>
      </c>
      <c r="U917" t="str">
        <f>IF(DONNEES!$E917="","",DONNEES!V917)</f>
        <v/>
      </c>
      <c r="V917" t="str">
        <f>IF(DONNEES!$E917="","",DONNEES!W917)</f>
        <v/>
      </c>
      <c r="W917" t="str">
        <f>IF(DONNEES!$E917="","",DONNEES!X917)</f>
        <v/>
      </c>
      <c r="X917" t="str">
        <f>IF(DONNEES!$E917="","",DONNEES!Y917)</f>
        <v/>
      </c>
      <c r="Y917" t="str">
        <f>IF(DONNEES!$E917="","",DONNEES!Z917)</f>
        <v/>
      </c>
      <c r="Z917" t="str">
        <f>IF(DONNEES!$E917="","",DONNEES!AQ917)</f>
        <v/>
      </c>
    </row>
    <row r="918" spans="1:26" ht="15" customHeight="1" x14ac:dyDescent="0.3">
      <c r="A918" t="str">
        <f>IF(DONNEES!$E918="","",DONNEES!A918)</f>
        <v/>
      </c>
      <c r="B918" t="str">
        <f>IF(DONNEES!$E918="","",DONNEES!B918)</f>
        <v/>
      </c>
      <c r="C918" t="str">
        <f>IF(DONNEES!$E918="","",DONNEES!C918)</f>
        <v/>
      </c>
      <c r="D918" t="str">
        <f>IF(DONNEES!$E918="","",DONNEES!E918)</f>
        <v/>
      </c>
      <c r="E918" t="str">
        <f>IF(DONNEES!$E918="","",DONNEES!F918)</f>
        <v/>
      </c>
      <c r="F918" t="str">
        <f>IF(DONNEES!$E918="","",DONNEES!G918)</f>
        <v/>
      </c>
      <c r="G918" t="str">
        <f>IF(DONNEES!$E918="","",DONNEES!H918)</f>
        <v/>
      </c>
      <c r="H918" t="str">
        <f>IF(DONNEES!$E918="","",DONNEES!I918)</f>
        <v/>
      </c>
      <c r="I918" t="str">
        <f>IF(DONNEES!$E918="","",DONNEES!J918)</f>
        <v/>
      </c>
      <c r="J918" t="str">
        <f>IF(DONNEES!$E918="","",DONNEES!K918)</f>
        <v/>
      </c>
      <c r="K918" t="str">
        <f>IF(DONNEES!$E918="","",DONNEES!L918)</f>
        <v/>
      </c>
      <c r="L918" t="str">
        <f>IF(DONNEES!$E918="","",DONNEES!M918)</f>
        <v/>
      </c>
      <c r="M918" t="str">
        <f>IF(DONNEES!$E918="","",DONNEES!N918)</f>
        <v/>
      </c>
      <c r="N918" t="str">
        <f>IF(DONNEES!$E918="","",DONNEES!O918)</f>
        <v/>
      </c>
      <c r="O918" t="str">
        <f>IF(DONNEES!$E918="","",DONNEES!P918)</f>
        <v/>
      </c>
      <c r="P918" t="str">
        <f>IF(DONNEES!$E918="","",DONNEES!Q918)</f>
        <v/>
      </c>
      <c r="Q918" t="str">
        <f>IF(DONNEES!$E918="","",DONNEES!R918)</f>
        <v/>
      </c>
      <c r="R918" t="str">
        <f>IF(DONNEES!$E918="","",DONNEES!S918)</f>
        <v/>
      </c>
      <c r="S918" t="str">
        <f>IF(DONNEES!$E918="","",DONNEES!T918)</f>
        <v/>
      </c>
      <c r="T918" t="str">
        <f>IF(DONNEES!$E918="","",DONNEES!U918)</f>
        <v/>
      </c>
      <c r="U918" t="str">
        <f>IF(DONNEES!$E918="","",DONNEES!V918)</f>
        <v/>
      </c>
      <c r="V918" t="str">
        <f>IF(DONNEES!$E918="","",DONNEES!W918)</f>
        <v/>
      </c>
      <c r="W918" t="str">
        <f>IF(DONNEES!$E918="","",DONNEES!X918)</f>
        <v/>
      </c>
      <c r="X918" t="str">
        <f>IF(DONNEES!$E918="","",DONNEES!Y918)</f>
        <v/>
      </c>
      <c r="Y918" t="str">
        <f>IF(DONNEES!$E918="","",DONNEES!Z918)</f>
        <v/>
      </c>
      <c r="Z918" t="str">
        <f>IF(DONNEES!$E918="","",DONNEES!AQ918)</f>
        <v/>
      </c>
    </row>
    <row r="919" spans="1:26" ht="15" customHeight="1" x14ac:dyDescent="0.3">
      <c r="A919" t="str">
        <f>IF(DONNEES!$E919="","",DONNEES!A919)</f>
        <v/>
      </c>
      <c r="B919" t="str">
        <f>IF(DONNEES!$E919="","",DONNEES!B919)</f>
        <v/>
      </c>
      <c r="C919" t="str">
        <f>IF(DONNEES!$E919="","",DONNEES!C919)</f>
        <v/>
      </c>
      <c r="D919" t="str">
        <f>IF(DONNEES!$E919="","",DONNEES!E919)</f>
        <v/>
      </c>
      <c r="E919" t="str">
        <f>IF(DONNEES!$E919="","",DONNEES!F919)</f>
        <v/>
      </c>
      <c r="F919" t="str">
        <f>IF(DONNEES!$E919="","",DONNEES!G919)</f>
        <v/>
      </c>
      <c r="G919" t="str">
        <f>IF(DONNEES!$E919="","",DONNEES!H919)</f>
        <v/>
      </c>
      <c r="H919" t="str">
        <f>IF(DONNEES!$E919="","",DONNEES!I919)</f>
        <v/>
      </c>
      <c r="I919" t="str">
        <f>IF(DONNEES!$E919="","",DONNEES!J919)</f>
        <v/>
      </c>
      <c r="J919" t="str">
        <f>IF(DONNEES!$E919="","",DONNEES!K919)</f>
        <v/>
      </c>
      <c r="K919" t="str">
        <f>IF(DONNEES!$E919="","",DONNEES!L919)</f>
        <v/>
      </c>
      <c r="L919" t="str">
        <f>IF(DONNEES!$E919="","",DONNEES!M919)</f>
        <v/>
      </c>
      <c r="M919" t="str">
        <f>IF(DONNEES!$E919="","",DONNEES!N919)</f>
        <v/>
      </c>
      <c r="N919" t="str">
        <f>IF(DONNEES!$E919="","",DONNEES!O919)</f>
        <v/>
      </c>
      <c r="O919" t="str">
        <f>IF(DONNEES!$E919="","",DONNEES!P919)</f>
        <v/>
      </c>
      <c r="P919" t="str">
        <f>IF(DONNEES!$E919="","",DONNEES!Q919)</f>
        <v/>
      </c>
      <c r="Q919" t="str">
        <f>IF(DONNEES!$E919="","",DONNEES!R919)</f>
        <v/>
      </c>
      <c r="R919" t="str">
        <f>IF(DONNEES!$E919="","",DONNEES!S919)</f>
        <v/>
      </c>
      <c r="S919" t="str">
        <f>IF(DONNEES!$E919="","",DONNEES!T919)</f>
        <v/>
      </c>
      <c r="T919" t="str">
        <f>IF(DONNEES!$E919="","",DONNEES!U919)</f>
        <v/>
      </c>
      <c r="U919" t="str">
        <f>IF(DONNEES!$E919="","",DONNEES!V919)</f>
        <v/>
      </c>
      <c r="V919" t="str">
        <f>IF(DONNEES!$E919="","",DONNEES!W919)</f>
        <v/>
      </c>
      <c r="W919" t="str">
        <f>IF(DONNEES!$E919="","",DONNEES!X919)</f>
        <v/>
      </c>
      <c r="X919" t="str">
        <f>IF(DONNEES!$E919="","",DONNEES!Y919)</f>
        <v/>
      </c>
      <c r="Y919" t="str">
        <f>IF(DONNEES!$E919="","",DONNEES!Z919)</f>
        <v/>
      </c>
      <c r="Z919" t="str">
        <f>IF(DONNEES!$E919="","",DONNEES!AQ919)</f>
        <v/>
      </c>
    </row>
    <row r="920" spans="1:26" ht="15" customHeight="1" x14ac:dyDescent="0.3">
      <c r="A920" t="str">
        <f>IF(DONNEES!$E920="","",DONNEES!A920)</f>
        <v/>
      </c>
      <c r="B920" t="str">
        <f>IF(DONNEES!$E920="","",DONNEES!B920)</f>
        <v/>
      </c>
      <c r="C920" t="str">
        <f>IF(DONNEES!$E920="","",DONNEES!C920)</f>
        <v/>
      </c>
      <c r="D920" t="str">
        <f>IF(DONNEES!$E920="","",DONNEES!E920)</f>
        <v/>
      </c>
      <c r="E920" t="str">
        <f>IF(DONNEES!$E920="","",DONNEES!F920)</f>
        <v/>
      </c>
      <c r="F920" t="str">
        <f>IF(DONNEES!$E920="","",DONNEES!G920)</f>
        <v/>
      </c>
      <c r="G920" t="str">
        <f>IF(DONNEES!$E920="","",DONNEES!H920)</f>
        <v/>
      </c>
      <c r="H920" t="str">
        <f>IF(DONNEES!$E920="","",DONNEES!I920)</f>
        <v/>
      </c>
      <c r="I920" t="str">
        <f>IF(DONNEES!$E920="","",DONNEES!J920)</f>
        <v/>
      </c>
      <c r="J920" t="str">
        <f>IF(DONNEES!$E920="","",DONNEES!K920)</f>
        <v/>
      </c>
      <c r="K920" t="str">
        <f>IF(DONNEES!$E920="","",DONNEES!L920)</f>
        <v/>
      </c>
      <c r="L920" t="str">
        <f>IF(DONNEES!$E920="","",DONNEES!M920)</f>
        <v/>
      </c>
      <c r="M920" t="str">
        <f>IF(DONNEES!$E920="","",DONNEES!N920)</f>
        <v/>
      </c>
      <c r="N920" t="str">
        <f>IF(DONNEES!$E920="","",DONNEES!O920)</f>
        <v/>
      </c>
      <c r="O920" t="str">
        <f>IF(DONNEES!$E920="","",DONNEES!P920)</f>
        <v/>
      </c>
      <c r="P920" t="str">
        <f>IF(DONNEES!$E920="","",DONNEES!Q920)</f>
        <v/>
      </c>
      <c r="Q920" t="str">
        <f>IF(DONNEES!$E920="","",DONNEES!R920)</f>
        <v/>
      </c>
      <c r="R920" t="str">
        <f>IF(DONNEES!$E920="","",DONNEES!S920)</f>
        <v/>
      </c>
      <c r="S920" t="str">
        <f>IF(DONNEES!$E920="","",DONNEES!T920)</f>
        <v/>
      </c>
      <c r="T920" t="str">
        <f>IF(DONNEES!$E920="","",DONNEES!U920)</f>
        <v/>
      </c>
      <c r="U920" t="str">
        <f>IF(DONNEES!$E920="","",DONNEES!V920)</f>
        <v/>
      </c>
      <c r="V920" t="str">
        <f>IF(DONNEES!$E920="","",DONNEES!W920)</f>
        <v/>
      </c>
      <c r="W920" t="str">
        <f>IF(DONNEES!$E920="","",DONNEES!X920)</f>
        <v/>
      </c>
      <c r="X920" t="str">
        <f>IF(DONNEES!$E920="","",DONNEES!Y920)</f>
        <v/>
      </c>
      <c r="Y920" t="str">
        <f>IF(DONNEES!$E920="","",DONNEES!Z920)</f>
        <v/>
      </c>
      <c r="Z920" t="str">
        <f>IF(DONNEES!$E920="","",DONNEES!AQ920)</f>
        <v/>
      </c>
    </row>
    <row r="921" spans="1:26" ht="15" customHeight="1" x14ac:dyDescent="0.3">
      <c r="A921" t="str">
        <f>IF(DONNEES!$E921="","",DONNEES!A921)</f>
        <v/>
      </c>
      <c r="B921" t="str">
        <f>IF(DONNEES!$E921="","",DONNEES!B921)</f>
        <v/>
      </c>
      <c r="C921" t="str">
        <f>IF(DONNEES!$E921="","",DONNEES!C921)</f>
        <v/>
      </c>
      <c r="D921" t="str">
        <f>IF(DONNEES!$E921="","",DONNEES!E921)</f>
        <v/>
      </c>
      <c r="E921" t="str">
        <f>IF(DONNEES!$E921="","",DONNEES!F921)</f>
        <v/>
      </c>
      <c r="F921" t="str">
        <f>IF(DONNEES!$E921="","",DONNEES!G921)</f>
        <v/>
      </c>
      <c r="G921" t="str">
        <f>IF(DONNEES!$E921="","",DONNEES!H921)</f>
        <v/>
      </c>
      <c r="H921" t="str">
        <f>IF(DONNEES!$E921="","",DONNEES!I921)</f>
        <v/>
      </c>
      <c r="I921" t="str">
        <f>IF(DONNEES!$E921="","",DONNEES!J921)</f>
        <v/>
      </c>
      <c r="J921" t="str">
        <f>IF(DONNEES!$E921="","",DONNEES!K921)</f>
        <v/>
      </c>
      <c r="K921" t="str">
        <f>IF(DONNEES!$E921="","",DONNEES!L921)</f>
        <v/>
      </c>
      <c r="L921" t="str">
        <f>IF(DONNEES!$E921="","",DONNEES!M921)</f>
        <v/>
      </c>
      <c r="M921" t="str">
        <f>IF(DONNEES!$E921="","",DONNEES!N921)</f>
        <v/>
      </c>
      <c r="N921" t="str">
        <f>IF(DONNEES!$E921="","",DONNEES!O921)</f>
        <v/>
      </c>
      <c r="O921" t="str">
        <f>IF(DONNEES!$E921="","",DONNEES!P921)</f>
        <v/>
      </c>
      <c r="P921" t="str">
        <f>IF(DONNEES!$E921="","",DONNEES!Q921)</f>
        <v/>
      </c>
      <c r="Q921" t="str">
        <f>IF(DONNEES!$E921="","",DONNEES!R921)</f>
        <v/>
      </c>
      <c r="R921" t="str">
        <f>IF(DONNEES!$E921="","",DONNEES!S921)</f>
        <v/>
      </c>
      <c r="S921" t="str">
        <f>IF(DONNEES!$E921="","",DONNEES!T921)</f>
        <v/>
      </c>
      <c r="T921" t="str">
        <f>IF(DONNEES!$E921="","",DONNEES!U921)</f>
        <v/>
      </c>
      <c r="U921" t="str">
        <f>IF(DONNEES!$E921="","",DONNEES!V921)</f>
        <v/>
      </c>
      <c r="V921" t="str">
        <f>IF(DONNEES!$E921="","",DONNEES!W921)</f>
        <v/>
      </c>
      <c r="W921" t="str">
        <f>IF(DONNEES!$E921="","",DONNEES!X921)</f>
        <v/>
      </c>
      <c r="X921" t="str">
        <f>IF(DONNEES!$E921="","",DONNEES!Y921)</f>
        <v/>
      </c>
      <c r="Y921" t="str">
        <f>IF(DONNEES!$E921="","",DONNEES!Z921)</f>
        <v/>
      </c>
      <c r="Z921" t="str">
        <f>IF(DONNEES!$E921="","",DONNEES!AQ921)</f>
        <v/>
      </c>
    </row>
    <row r="922" spans="1:26" ht="15" customHeight="1" x14ac:dyDescent="0.3">
      <c r="A922" t="str">
        <f>IF(DONNEES!$E922="","",DONNEES!A922)</f>
        <v/>
      </c>
      <c r="B922" t="str">
        <f>IF(DONNEES!$E922="","",DONNEES!B922)</f>
        <v/>
      </c>
      <c r="C922" t="str">
        <f>IF(DONNEES!$E922="","",DONNEES!C922)</f>
        <v/>
      </c>
      <c r="D922" t="str">
        <f>IF(DONNEES!$E922="","",DONNEES!E922)</f>
        <v/>
      </c>
      <c r="E922" t="str">
        <f>IF(DONNEES!$E922="","",DONNEES!F922)</f>
        <v/>
      </c>
      <c r="F922" t="str">
        <f>IF(DONNEES!$E922="","",DONNEES!G922)</f>
        <v/>
      </c>
      <c r="G922" t="str">
        <f>IF(DONNEES!$E922="","",DONNEES!H922)</f>
        <v/>
      </c>
      <c r="H922" t="str">
        <f>IF(DONNEES!$E922="","",DONNEES!I922)</f>
        <v/>
      </c>
      <c r="I922" t="str">
        <f>IF(DONNEES!$E922="","",DONNEES!J922)</f>
        <v/>
      </c>
      <c r="J922" t="str">
        <f>IF(DONNEES!$E922="","",DONNEES!K922)</f>
        <v/>
      </c>
      <c r="K922" t="str">
        <f>IF(DONNEES!$E922="","",DONNEES!L922)</f>
        <v/>
      </c>
      <c r="L922" t="str">
        <f>IF(DONNEES!$E922="","",DONNEES!M922)</f>
        <v/>
      </c>
      <c r="M922" t="str">
        <f>IF(DONNEES!$E922="","",DONNEES!N922)</f>
        <v/>
      </c>
      <c r="N922" t="str">
        <f>IF(DONNEES!$E922="","",DONNEES!O922)</f>
        <v/>
      </c>
      <c r="O922" t="str">
        <f>IF(DONNEES!$E922="","",DONNEES!P922)</f>
        <v/>
      </c>
      <c r="P922" t="str">
        <f>IF(DONNEES!$E922="","",DONNEES!Q922)</f>
        <v/>
      </c>
      <c r="Q922" t="str">
        <f>IF(DONNEES!$E922="","",DONNEES!R922)</f>
        <v/>
      </c>
      <c r="R922" t="str">
        <f>IF(DONNEES!$E922="","",DONNEES!S922)</f>
        <v/>
      </c>
      <c r="S922" t="str">
        <f>IF(DONNEES!$E922="","",DONNEES!T922)</f>
        <v/>
      </c>
      <c r="T922" t="str">
        <f>IF(DONNEES!$E922="","",DONNEES!U922)</f>
        <v/>
      </c>
      <c r="U922" t="str">
        <f>IF(DONNEES!$E922="","",DONNEES!V922)</f>
        <v/>
      </c>
      <c r="V922" t="str">
        <f>IF(DONNEES!$E922="","",DONNEES!W922)</f>
        <v/>
      </c>
      <c r="W922" t="str">
        <f>IF(DONNEES!$E922="","",DONNEES!X922)</f>
        <v/>
      </c>
      <c r="X922" t="str">
        <f>IF(DONNEES!$E922="","",DONNEES!Y922)</f>
        <v/>
      </c>
      <c r="Y922" t="str">
        <f>IF(DONNEES!$E922="","",DONNEES!Z922)</f>
        <v/>
      </c>
      <c r="Z922" t="str">
        <f>IF(DONNEES!$E922="","",DONNEES!AQ922)</f>
        <v/>
      </c>
    </row>
    <row r="923" spans="1:26" ht="15" customHeight="1" x14ac:dyDescent="0.3">
      <c r="A923" t="str">
        <f>IF(DONNEES!$E923="","",DONNEES!A923)</f>
        <v/>
      </c>
      <c r="B923" t="str">
        <f>IF(DONNEES!$E923="","",DONNEES!B923)</f>
        <v/>
      </c>
      <c r="C923" t="str">
        <f>IF(DONNEES!$E923="","",DONNEES!C923)</f>
        <v/>
      </c>
      <c r="D923" t="str">
        <f>IF(DONNEES!$E923="","",DONNEES!E923)</f>
        <v/>
      </c>
      <c r="E923" t="str">
        <f>IF(DONNEES!$E923="","",DONNEES!F923)</f>
        <v/>
      </c>
      <c r="F923" t="str">
        <f>IF(DONNEES!$E923="","",DONNEES!G923)</f>
        <v/>
      </c>
      <c r="G923" t="str">
        <f>IF(DONNEES!$E923="","",DONNEES!H923)</f>
        <v/>
      </c>
      <c r="H923" t="str">
        <f>IF(DONNEES!$E923="","",DONNEES!I923)</f>
        <v/>
      </c>
      <c r="I923" t="str">
        <f>IF(DONNEES!$E923="","",DONNEES!J923)</f>
        <v/>
      </c>
      <c r="J923" t="str">
        <f>IF(DONNEES!$E923="","",DONNEES!K923)</f>
        <v/>
      </c>
      <c r="K923" t="str">
        <f>IF(DONNEES!$E923="","",DONNEES!L923)</f>
        <v/>
      </c>
      <c r="L923" t="str">
        <f>IF(DONNEES!$E923="","",DONNEES!M923)</f>
        <v/>
      </c>
      <c r="M923" t="str">
        <f>IF(DONNEES!$E923="","",DONNEES!N923)</f>
        <v/>
      </c>
      <c r="N923" t="str">
        <f>IF(DONNEES!$E923="","",DONNEES!O923)</f>
        <v/>
      </c>
      <c r="O923" t="str">
        <f>IF(DONNEES!$E923="","",DONNEES!P923)</f>
        <v/>
      </c>
      <c r="P923" t="str">
        <f>IF(DONNEES!$E923="","",DONNEES!Q923)</f>
        <v/>
      </c>
      <c r="Q923" t="str">
        <f>IF(DONNEES!$E923="","",DONNEES!R923)</f>
        <v/>
      </c>
      <c r="R923" t="str">
        <f>IF(DONNEES!$E923="","",DONNEES!S923)</f>
        <v/>
      </c>
      <c r="S923" t="str">
        <f>IF(DONNEES!$E923="","",DONNEES!T923)</f>
        <v/>
      </c>
      <c r="T923" t="str">
        <f>IF(DONNEES!$E923="","",DONNEES!U923)</f>
        <v/>
      </c>
      <c r="U923" t="str">
        <f>IF(DONNEES!$E923="","",DONNEES!V923)</f>
        <v/>
      </c>
      <c r="V923" t="str">
        <f>IF(DONNEES!$E923="","",DONNEES!W923)</f>
        <v/>
      </c>
      <c r="W923" t="str">
        <f>IF(DONNEES!$E923="","",DONNEES!X923)</f>
        <v/>
      </c>
      <c r="X923" t="str">
        <f>IF(DONNEES!$E923="","",DONNEES!Y923)</f>
        <v/>
      </c>
      <c r="Y923" t="str">
        <f>IF(DONNEES!$E923="","",DONNEES!Z923)</f>
        <v/>
      </c>
      <c r="Z923" t="str">
        <f>IF(DONNEES!$E923="","",DONNEES!AQ923)</f>
        <v/>
      </c>
    </row>
    <row r="924" spans="1:26" ht="15" customHeight="1" x14ac:dyDescent="0.3">
      <c r="A924" t="str">
        <f>IF(DONNEES!$E924="","",DONNEES!A924)</f>
        <v/>
      </c>
      <c r="B924" t="str">
        <f>IF(DONNEES!$E924="","",DONNEES!B924)</f>
        <v/>
      </c>
      <c r="C924" t="str">
        <f>IF(DONNEES!$E924="","",DONNEES!C924)</f>
        <v/>
      </c>
      <c r="D924" t="str">
        <f>IF(DONNEES!$E924="","",DONNEES!E924)</f>
        <v/>
      </c>
      <c r="E924" t="str">
        <f>IF(DONNEES!$E924="","",DONNEES!F924)</f>
        <v/>
      </c>
      <c r="F924" t="str">
        <f>IF(DONNEES!$E924="","",DONNEES!G924)</f>
        <v/>
      </c>
      <c r="G924" t="str">
        <f>IF(DONNEES!$E924="","",DONNEES!H924)</f>
        <v/>
      </c>
      <c r="H924" t="str">
        <f>IF(DONNEES!$E924="","",DONNEES!I924)</f>
        <v/>
      </c>
      <c r="I924" t="str">
        <f>IF(DONNEES!$E924="","",DONNEES!J924)</f>
        <v/>
      </c>
      <c r="J924" t="str">
        <f>IF(DONNEES!$E924="","",DONNEES!K924)</f>
        <v/>
      </c>
      <c r="K924" t="str">
        <f>IF(DONNEES!$E924="","",DONNEES!L924)</f>
        <v/>
      </c>
      <c r="L924" t="str">
        <f>IF(DONNEES!$E924="","",DONNEES!M924)</f>
        <v/>
      </c>
      <c r="M924" t="str">
        <f>IF(DONNEES!$E924="","",DONNEES!N924)</f>
        <v/>
      </c>
      <c r="N924" t="str">
        <f>IF(DONNEES!$E924="","",DONNEES!O924)</f>
        <v/>
      </c>
      <c r="O924" t="str">
        <f>IF(DONNEES!$E924="","",DONNEES!P924)</f>
        <v/>
      </c>
      <c r="P924" t="str">
        <f>IF(DONNEES!$E924="","",DONNEES!Q924)</f>
        <v/>
      </c>
      <c r="Q924" t="str">
        <f>IF(DONNEES!$E924="","",DONNEES!R924)</f>
        <v/>
      </c>
      <c r="R924" t="str">
        <f>IF(DONNEES!$E924="","",DONNEES!S924)</f>
        <v/>
      </c>
      <c r="S924" t="str">
        <f>IF(DONNEES!$E924="","",DONNEES!T924)</f>
        <v/>
      </c>
      <c r="T924" t="str">
        <f>IF(DONNEES!$E924="","",DONNEES!U924)</f>
        <v/>
      </c>
      <c r="U924" t="str">
        <f>IF(DONNEES!$E924="","",DONNEES!V924)</f>
        <v/>
      </c>
      <c r="V924" t="str">
        <f>IF(DONNEES!$E924="","",DONNEES!W924)</f>
        <v/>
      </c>
      <c r="W924" t="str">
        <f>IF(DONNEES!$E924="","",DONNEES!X924)</f>
        <v/>
      </c>
      <c r="X924" t="str">
        <f>IF(DONNEES!$E924="","",DONNEES!Y924)</f>
        <v/>
      </c>
      <c r="Y924" t="str">
        <f>IF(DONNEES!$E924="","",DONNEES!Z924)</f>
        <v/>
      </c>
      <c r="Z924" t="str">
        <f>IF(DONNEES!$E924="","",DONNEES!AQ924)</f>
        <v/>
      </c>
    </row>
    <row r="925" spans="1:26" ht="15" customHeight="1" x14ac:dyDescent="0.3">
      <c r="A925" t="str">
        <f>IF(DONNEES!$E925="","",DONNEES!A925)</f>
        <v/>
      </c>
      <c r="B925" t="str">
        <f>IF(DONNEES!$E925="","",DONNEES!B925)</f>
        <v/>
      </c>
      <c r="C925" t="str">
        <f>IF(DONNEES!$E925="","",DONNEES!C925)</f>
        <v/>
      </c>
      <c r="D925" t="str">
        <f>IF(DONNEES!$E925="","",DONNEES!E925)</f>
        <v/>
      </c>
      <c r="E925" t="str">
        <f>IF(DONNEES!$E925="","",DONNEES!F925)</f>
        <v/>
      </c>
      <c r="F925" t="str">
        <f>IF(DONNEES!$E925="","",DONNEES!G925)</f>
        <v/>
      </c>
      <c r="G925" t="str">
        <f>IF(DONNEES!$E925="","",DONNEES!H925)</f>
        <v/>
      </c>
      <c r="H925" t="str">
        <f>IF(DONNEES!$E925="","",DONNEES!I925)</f>
        <v/>
      </c>
      <c r="I925" t="str">
        <f>IF(DONNEES!$E925="","",DONNEES!J925)</f>
        <v/>
      </c>
      <c r="J925" t="str">
        <f>IF(DONNEES!$E925="","",DONNEES!K925)</f>
        <v/>
      </c>
      <c r="K925" t="str">
        <f>IF(DONNEES!$E925="","",DONNEES!L925)</f>
        <v/>
      </c>
      <c r="L925" t="str">
        <f>IF(DONNEES!$E925="","",DONNEES!M925)</f>
        <v/>
      </c>
      <c r="M925" t="str">
        <f>IF(DONNEES!$E925="","",DONNEES!N925)</f>
        <v/>
      </c>
      <c r="N925" t="str">
        <f>IF(DONNEES!$E925="","",DONNEES!O925)</f>
        <v/>
      </c>
      <c r="O925" t="str">
        <f>IF(DONNEES!$E925="","",DONNEES!P925)</f>
        <v/>
      </c>
      <c r="P925" t="str">
        <f>IF(DONNEES!$E925="","",DONNEES!Q925)</f>
        <v/>
      </c>
      <c r="Q925" t="str">
        <f>IF(DONNEES!$E925="","",DONNEES!R925)</f>
        <v/>
      </c>
      <c r="R925" t="str">
        <f>IF(DONNEES!$E925="","",DONNEES!S925)</f>
        <v/>
      </c>
      <c r="S925" t="str">
        <f>IF(DONNEES!$E925="","",DONNEES!T925)</f>
        <v/>
      </c>
      <c r="T925" t="str">
        <f>IF(DONNEES!$E925="","",DONNEES!U925)</f>
        <v/>
      </c>
      <c r="U925" t="str">
        <f>IF(DONNEES!$E925="","",DONNEES!V925)</f>
        <v/>
      </c>
      <c r="V925" t="str">
        <f>IF(DONNEES!$E925="","",DONNEES!W925)</f>
        <v/>
      </c>
      <c r="W925" t="str">
        <f>IF(DONNEES!$E925="","",DONNEES!X925)</f>
        <v/>
      </c>
      <c r="X925" t="str">
        <f>IF(DONNEES!$E925="","",DONNEES!Y925)</f>
        <v/>
      </c>
      <c r="Y925" t="str">
        <f>IF(DONNEES!$E925="","",DONNEES!Z925)</f>
        <v/>
      </c>
      <c r="Z925" t="str">
        <f>IF(DONNEES!$E925="","",DONNEES!AQ925)</f>
        <v/>
      </c>
    </row>
    <row r="926" spans="1:26" ht="15" customHeight="1" x14ac:dyDescent="0.3">
      <c r="A926" t="str">
        <f>IF(DONNEES!$E926="","",DONNEES!A926)</f>
        <v/>
      </c>
      <c r="B926" t="str">
        <f>IF(DONNEES!$E926="","",DONNEES!B926)</f>
        <v/>
      </c>
      <c r="C926" t="str">
        <f>IF(DONNEES!$E926="","",DONNEES!C926)</f>
        <v/>
      </c>
      <c r="D926" t="str">
        <f>IF(DONNEES!$E926="","",DONNEES!E926)</f>
        <v/>
      </c>
      <c r="E926" t="str">
        <f>IF(DONNEES!$E926="","",DONNEES!F926)</f>
        <v/>
      </c>
      <c r="F926" t="str">
        <f>IF(DONNEES!$E926="","",DONNEES!G926)</f>
        <v/>
      </c>
      <c r="G926" t="str">
        <f>IF(DONNEES!$E926="","",DONNEES!H926)</f>
        <v/>
      </c>
      <c r="H926" t="str">
        <f>IF(DONNEES!$E926="","",DONNEES!I926)</f>
        <v/>
      </c>
      <c r="I926" t="str">
        <f>IF(DONNEES!$E926="","",DONNEES!J926)</f>
        <v/>
      </c>
      <c r="J926" t="str">
        <f>IF(DONNEES!$E926="","",DONNEES!K926)</f>
        <v/>
      </c>
      <c r="K926" t="str">
        <f>IF(DONNEES!$E926="","",DONNEES!L926)</f>
        <v/>
      </c>
      <c r="L926" t="str">
        <f>IF(DONNEES!$E926="","",DONNEES!M926)</f>
        <v/>
      </c>
      <c r="M926" t="str">
        <f>IF(DONNEES!$E926="","",DONNEES!N926)</f>
        <v/>
      </c>
      <c r="N926" t="str">
        <f>IF(DONNEES!$E926="","",DONNEES!O926)</f>
        <v/>
      </c>
      <c r="O926" t="str">
        <f>IF(DONNEES!$E926="","",DONNEES!P926)</f>
        <v/>
      </c>
      <c r="P926" t="str">
        <f>IF(DONNEES!$E926="","",DONNEES!Q926)</f>
        <v/>
      </c>
      <c r="Q926" t="str">
        <f>IF(DONNEES!$E926="","",DONNEES!R926)</f>
        <v/>
      </c>
      <c r="R926" t="str">
        <f>IF(DONNEES!$E926="","",DONNEES!S926)</f>
        <v/>
      </c>
      <c r="S926" t="str">
        <f>IF(DONNEES!$E926="","",DONNEES!T926)</f>
        <v/>
      </c>
      <c r="T926" t="str">
        <f>IF(DONNEES!$E926="","",DONNEES!U926)</f>
        <v/>
      </c>
      <c r="U926" t="str">
        <f>IF(DONNEES!$E926="","",DONNEES!V926)</f>
        <v/>
      </c>
      <c r="V926" t="str">
        <f>IF(DONNEES!$E926="","",DONNEES!W926)</f>
        <v/>
      </c>
      <c r="W926" t="str">
        <f>IF(DONNEES!$E926="","",DONNEES!X926)</f>
        <v/>
      </c>
      <c r="X926" t="str">
        <f>IF(DONNEES!$E926="","",DONNEES!Y926)</f>
        <v/>
      </c>
      <c r="Y926" t="str">
        <f>IF(DONNEES!$E926="","",DONNEES!Z926)</f>
        <v/>
      </c>
      <c r="Z926" t="str">
        <f>IF(DONNEES!$E926="","",DONNEES!AQ926)</f>
        <v/>
      </c>
    </row>
    <row r="927" spans="1:26" ht="15" customHeight="1" x14ac:dyDescent="0.3">
      <c r="A927" t="str">
        <f>IF(DONNEES!$E927="","",DONNEES!A927)</f>
        <v/>
      </c>
      <c r="B927" t="str">
        <f>IF(DONNEES!$E927="","",DONNEES!B927)</f>
        <v/>
      </c>
      <c r="C927" t="str">
        <f>IF(DONNEES!$E927="","",DONNEES!C927)</f>
        <v/>
      </c>
      <c r="D927" t="str">
        <f>IF(DONNEES!$E927="","",DONNEES!E927)</f>
        <v/>
      </c>
      <c r="E927" t="str">
        <f>IF(DONNEES!$E927="","",DONNEES!F927)</f>
        <v/>
      </c>
      <c r="F927" t="str">
        <f>IF(DONNEES!$E927="","",DONNEES!G927)</f>
        <v/>
      </c>
      <c r="G927" t="str">
        <f>IF(DONNEES!$E927="","",DONNEES!H927)</f>
        <v/>
      </c>
      <c r="H927" t="str">
        <f>IF(DONNEES!$E927="","",DONNEES!I927)</f>
        <v/>
      </c>
      <c r="I927" t="str">
        <f>IF(DONNEES!$E927="","",DONNEES!J927)</f>
        <v/>
      </c>
      <c r="J927" t="str">
        <f>IF(DONNEES!$E927="","",DONNEES!K927)</f>
        <v/>
      </c>
      <c r="K927" t="str">
        <f>IF(DONNEES!$E927="","",DONNEES!L927)</f>
        <v/>
      </c>
      <c r="L927" t="str">
        <f>IF(DONNEES!$E927="","",DONNEES!M927)</f>
        <v/>
      </c>
      <c r="M927" t="str">
        <f>IF(DONNEES!$E927="","",DONNEES!N927)</f>
        <v/>
      </c>
      <c r="N927" t="str">
        <f>IF(DONNEES!$E927="","",DONNEES!O927)</f>
        <v/>
      </c>
      <c r="O927" t="str">
        <f>IF(DONNEES!$E927="","",DONNEES!P927)</f>
        <v/>
      </c>
      <c r="P927" t="str">
        <f>IF(DONNEES!$E927="","",DONNEES!Q927)</f>
        <v/>
      </c>
      <c r="Q927" t="str">
        <f>IF(DONNEES!$E927="","",DONNEES!R927)</f>
        <v/>
      </c>
      <c r="R927" t="str">
        <f>IF(DONNEES!$E927="","",DONNEES!S927)</f>
        <v/>
      </c>
      <c r="S927" t="str">
        <f>IF(DONNEES!$E927="","",DONNEES!T927)</f>
        <v/>
      </c>
      <c r="T927" t="str">
        <f>IF(DONNEES!$E927="","",DONNEES!U927)</f>
        <v/>
      </c>
      <c r="U927" t="str">
        <f>IF(DONNEES!$E927="","",DONNEES!V927)</f>
        <v/>
      </c>
      <c r="V927" t="str">
        <f>IF(DONNEES!$E927="","",DONNEES!W927)</f>
        <v/>
      </c>
      <c r="W927" t="str">
        <f>IF(DONNEES!$E927="","",DONNEES!X927)</f>
        <v/>
      </c>
      <c r="X927" t="str">
        <f>IF(DONNEES!$E927="","",DONNEES!Y927)</f>
        <v/>
      </c>
      <c r="Y927" t="str">
        <f>IF(DONNEES!$E927="","",DONNEES!Z927)</f>
        <v/>
      </c>
      <c r="Z927" t="str">
        <f>IF(DONNEES!$E927="","",DONNEES!AQ927)</f>
        <v/>
      </c>
    </row>
    <row r="928" spans="1:26" ht="15" customHeight="1" x14ac:dyDescent="0.3">
      <c r="A928" t="str">
        <f>IF(DONNEES!$E928="","",DONNEES!A928)</f>
        <v/>
      </c>
      <c r="B928" t="str">
        <f>IF(DONNEES!$E928="","",DONNEES!B928)</f>
        <v/>
      </c>
      <c r="C928" t="str">
        <f>IF(DONNEES!$E928="","",DONNEES!C928)</f>
        <v/>
      </c>
      <c r="D928" t="str">
        <f>IF(DONNEES!$E928="","",DONNEES!E928)</f>
        <v/>
      </c>
      <c r="E928" t="str">
        <f>IF(DONNEES!$E928="","",DONNEES!F928)</f>
        <v/>
      </c>
      <c r="F928" t="str">
        <f>IF(DONNEES!$E928="","",DONNEES!G928)</f>
        <v/>
      </c>
      <c r="G928" t="str">
        <f>IF(DONNEES!$E928="","",DONNEES!H928)</f>
        <v/>
      </c>
      <c r="H928" t="str">
        <f>IF(DONNEES!$E928="","",DONNEES!I928)</f>
        <v/>
      </c>
      <c r="I928" t="str">
        <f>IF(DONNEES!$E928="","",DONNEES!J928)</f>
        <v/>
      </c>
      <c r="J928" t="str">
        <f>IF(DONNEES!$E928="","",DONNEES!K928)</f>
        <v/>
      </c>
      <c r="K928" t="str">
        <f>IF(DONNEES!$E928="","",DONNEES!L928)</f>
        <v/>
      </c>
      <c r="L928" t="str">
        <f>IF(DONNEES!$E928="","",DONNEES!M928)</f>
        <v/>
      </c>
      <c r="M928" t="str">
        <f>IF(DONNEES!$E928="","",DONNEES!N928)</f>
        <v/>
      </c>
      <c r="N928" t="str">
        <f>IF(DONNEES!$E928="","",DONNEES!O928)</f>
        <v/>
      </c>
      <c r="O928" t="str">
        <f>IF(DONNEES!$E928="","",DONNEES!P928)</f>
        <v/>
      </c>
      <c r="P928" t="str">
        <f>IF(DONNEES!$E928="","",DONNEES!Q928)</f>
        <v/>
      </c>
      <c r="Q928" t="str">
        <f>IF(DONNEES!$E928="","",DONNEES!R928)</f>
        <v/>
      </c>
      <c r="R928" t="str">
        <f>IF(DONNEES!$E928="","",DONNEES!S928)</f>
        <v/>
      </c>
      <c r="S928" t="str">
        <f>IF(DONNEES!$E928="","",DONNEES!T928)</f>
        <v/>
      </c>
      <c r="T928" t="str">
        <f>IF(DONNEES!$E928="","",DONNEES!U928)</f>
        <v/>
      </c>
      <c r="U928" t="str">
        <f>IF(DONNEES!$E928="","",DONNEES!V928)</f>
        <v/>
      </c>
      <c r="V928" t="str">
        <f>IF(DONNEES!$E928="","",DONNEES!W928)</f>
        <v/>
      </c>
      <c r="W928" t="str">
        <f>IF(DONNEES!$E928="","",DONNEES!X928)</f>
        <v/>
      </c>
      <c r="X928" t="str">
        <f>IF(DONNEES!$E928="","",DONNEES!Y928)</f>
        <v/>
      </c>
      <c r="Y928" t="str">
        <f>IF(DONNEES!$E928="","",DONNEES!Z928)</f>
        <v/>
      </c>
      <c r="Z928" t="str">
        <f>IF(DONNEES!$E928="","",DONNEES!AQ928)</f>
        <v/>
      </c>
    </row>
    <row r="929" spans="1:26" ht="15" customHeight="1" x14ac:dyDescent="0.3">
      <c r="A929" t="str">
        <f>IF(DONNEES!$E929="","",DONNEES!A929)</f>
        <v/>
      </c>
      <c r="B929" t="str">
        <f>IF(DONNEES!$E929="","",DONNEES!B929)</f>
        <v/>
      </c>
      <c r="C929" t="str">
        <f>IF(DONNEES!$E929="","",DONNEES!C929)</f>
        <v/>
      </c>
      <c r="D929" t="str">
        <f>IF(DONNEES!$E929="","",DONNEES!E929)</f>
        <v/>
      </c>
      <c r="E929" t="str">
        <f>IF(DONNEES!$E929="","",DONNEES!F929)</f>
        <v/>
      </c>
      <c r="F929" t="str">
        <f>IF(DONNEES!$E929="","",DONNEES!G929)</f>
        <v/>
      </c>
      <c r="G929" t="str">
        <f>IF(DONNEES!$E929="","",DONNEES!H929)</f>
        <v/>
      </c>
      <c r="H929" t="str">
        <f>IF(DONNEES!$E929="","",DONNEES!I929)</f>
        <v/>
      </c>
      <c r="I929" t="str">
        <f>IF(DONNEES!$E929="","",DONNEES!J929)</f>
        <v/>
      </c>
      <c r="J929" t="str">
        <f>IF(DONNEES!$E929="","",DONNEES!K929)</f>
        <v/>
      </c>
      <c r="K929" t="str">
        <f>IF(DONNEES!$E929="","",DONNEES!L929)</f>
        <v/>
      </c>
      <c r="L929" t="str">
        <f>IF(DONNEES!$E929="","",DONNEES!M929)</f>
        <v/>
      </c>
      <c r="M929" t="str">
        <f>IF(DONNEES!$E929="","",DONNEES!N929)</f>
        <v/>
      </c>
      <c r="N929" t="str">
        <f>IF(DONNEES!$E929="","",DONNEES!O929)</f>
        <v/>
      </c>
      <c r="O929" t="str">
        <f>IF(DONNEES!$E929="","",DONNEES!P929)</f>
        <v/>
      </c>
      <c r="P929" t="str">
        <f>IF(DONNEES!$E929="","",DONNEES!Q929)</f>
        <v/>
      </c>
      <c r="Q929" t="str">
        <f>IF(DONNEES!$E929="","",DONNEES!R929)</f>
        <v/>
      </c>
      <c r="R929" t="str">
        <f>IF(DONNEES!$E929="","",DONNEES!S929)</f>
        <v/>
      </c>
      <c r="S929" t="str">
        <f>IF(DONNEES!$E929="","",DONNEES!T929)</f>
        <v/>
      </c>
      <c r="T929" t="str">
        <f>IF(DONNEES!$E929="","",DONNEES!U929)</f>
        <v/>
      </c>
      <c r="U929" t="str">
        <f>IF(DONNEES!$E929="","",DONNEES!V929)</f>
        <v/>
      </c>
      <c r="V929" t="str">
        <f>IF(DONNEES!$E929="","",DONNEES!W929)</f>
        <v/>
      </c>
      <c r="W929" t="str">
        <f>IF(DONNEES!$E929="","",DONNEES!X929)</f>
        <v/>
      </c>
      <c r="X929" t="str">
        <f>IF(DONNEES!$E929="","",DONNEES!Y929)</f>
        <v/>
      </c>
      <c r="Y929" t="str">
        <f>IF(DONNEES!$E929="","",DONNEES!Z929)</f>
        <v/>
      </c>
      <c r="Z929" t="str">
        <f>IF(DONNEES!$E929="","",DONNEES!AQ929)</f>
        <v/>
      </c>
    </row>
    <row r="930" spans="1:26" ht="15" customHeight="1" x14ac:dyDescent="0.3">
      <c r="A930" t="str">
        <f>IF(DONNEES!$E930="","",DONNEES!A930)</f>
        <v/>
      </c>
      <c r="B930" t="str">
        <f>IF(DONNEES!$E930="","",DONNEES!B930)</f>
        <v/>
      </c>
      <c r="C930" t="str">
        <f>IF(DONNEES!$E930="","",DONNEES!C930)</f>
        <v/>
      </c>
      <c r="D930" t="str">
        <f>IF(DONNEES!$E930="","",DONNEES!E930)</f>
        <v/>
      </c>
      <c r="E930" t="str">
        <f>IF(DONNEES!$E930="","",DONNEES!F930)</f>
        <v/>
      </c>
      <c r="F930" t="str">
        <f>IF(DONNEES!$E930="","",DONNEES!G930)</f>
        <v/>
      </c>
      <c r="G930" t="str">
        <f>IF(DONNEES!$E930="","",DONNEES!H930)</f>
        <v/>
      </c>
      <c r="H930" t="str">
        <f>IF(DONNEES!$E930="","",DONNEES!I930)</f>
        <v/>
      </c>
      <c r="I930" t="str">
        <f>IF(DONNEES!$E930="","",DONNEES!J930)</f>
        <v/>
      </c>
      <c r="J930" t="str">
        <f>IF(DONNEES!$E930="","",DONNEES!K930)</f>
        <v/>
      </c>
      <c r="K930" t="str">
        <f>IF(DONNEES!$E930="","",DONNEES!L930)</f>
        <v/>
      </c>
      <c r="L930" t="str">
        <f>IF(DONNEES!$E930="","",DONNEES!M930)</f>
        <v/>
      </c>
      <c r="M930" t="str">
        <f>IF(DONNEES!$E930="","",DONNEES!N930)</f>
        <v/>
      </c>
      <c r="N930" t="str">
        <f>IF(DONNEES!$E930="","",DONNEES!O930)</f>
        <v/>
      </c>
      <c r="O930" t="str">
        <f>IF(DONNEES!$E930="","",DONNEES!P930)</f>
        <v/>
      </c>
      <c r="P930" t="str">
        <f>IF(DONNEES!$E930="","",DONNEES!Q930)</f>
        <v/>
      </c>
      <c r="Q930" t="str">
        <f>IF(DONNEES!$E930="","",DONNEES!R930)</f>
        <v/>
      </c>
      <c r="R930" t="str">
        <f>IF(DONNEES!$E930="","",DONNEES!S930)</f>
        <v/>
      </c>
      <c r="S930" t="str">
        <f>IF(DONNEES!$E930="","",DONNEES!T930)</f>
        <v/>
      </c>
      <c r="T930" t="str">
        <f>IF(DONNEES!$E930="","",DONNEES!U930)</f>
        <v/>
      </c>
      <c r="U930" t="str">
        <f>IF(DONNEES!$E930="","",DONNEES!V930)</f>
        <v/>
      </c>
      <c r="V930" t="str">
        <f>IF(DONNEES!$E930="","",DONNEES!W930)</f>
        <v/>
      </c>
      <c r="W930" t="str">
        <f>IF(DONNEES!$E930="","",DONNEES!X930)</f>
        <v/>
      </c>
      <c r="X930" t="str">
        <f>IF(DONNEES!$E930="","",DONNEES!Y930)</f>
        <v/>
      </c>
      <c r="Y930" t="str">
        <f>IF(DONNEES!$E930="","",DONNEES!Z930)</f>
        <v/>
      </c>
      <c r="Z930" t="str">
        <f>IF(DONNEES!$E930="","",DONNEES!AQ930)</f>
        <v/>
      </c>
    </row>
    <row r="931" spans="1:26" ht="15" customHeight="1" x14ac:dyDescent="0.3">
      <c r="A931" t="str">
        <f>IF(DONNEES!$E931="","",DONNEES!A931)</f>
        <v/>
      </c>
      <c r="B931" t="str">
        <f>IF(DONNEES!$E931="","",DONNEES!B931)</f>
        <v/>
      </c>
      <c r="C931" t="str">
        <f>IF(DONNEES!$E931="","",DONNEES!C931)</f>
        <v/>
      </c>
      <c r="D931" t="str">
        <f>IF(DONNEES!$E931="","",DONNEES!E931)</f>
        <v/>
      </c>
      <c r="E931" t="str">
        <f>IF(DONNEES!$E931="","",DONNEES!F931)</f>
        <v/>
      </c>
      <c r="F931" t="str">
        <f>IF(DONNEES!$E931="","",DONNEES!G931)</f>
        <v/>
      </c>
      <c r="G931" t="str">
        <f>IF(DONNEES!$E931="","",DONNEES!H931)</f>
        <v/>
      </c>
      <c r="H931" t="str">
        <f>IF(DONNEES!$E931="","",DONNEES!I931)</f>
        <v/>
      </c>
      <c r="I931" t="str">
        <f>IF(DONNEES!$E931="","",DONNEES!J931)</f>
        <v/>
      </c>
      <c r="J931" t="str">
        <f>IF(DONNEES!$E931="","",DONNEES!K931)</f>
        <v/>
      </c>
      <c r="K931" t="str">
        <f>IF(DONNEES!$E931="","",DONNEES!L931)</f>
        <v/>
      </c>
      <c r="L931" t="str">
        <f>IF(DONNEES!$E931="","",DONNEES!M931)</f>
        <v/>
      </c>
      <c r="M931" t="str">
        <f>IF(DONNEES!$E931="","",DONNEES!N931)</f>
        <v/>
      </c>
      <c r="N931" t="str">
        <f>IF(DONNEES!$E931="","",DONNEES!O931)</f>
        <v/>
      </c>
      <c r="O931" t="str">
        <f>IF(DONNEES!$E931="","",DONNEES!P931)</f>
        <v/>
      </c>
      <c r="P931" t="str">
        <f>IF(DONNEES!$E931="","",DONNEES!Q931)</f>
        <v/>
      </c>
      <c r="Q931" t="str">
        <f>IF(DONNEES!$E931="","",DONNEES!R931)</f>
        <v/>
      </c>
      <c r="R931" t="str">
        <f>IF(DONNEES!$E931="","",DONNEES!S931)</f>
        <v/>
      </c>
      <c r="S931" t="str">
        <f>IF(DONNEES!$E931="","",DONNEES!T931)</f>
        <v/>
      </c>
      <c r="T931" t="str">
        <f>IF(DONNEES!$E931="","",DONNEES!U931)</f>
        <v/>
      </c>
      <c r="U931" t="str">
        <f>IF(DONNEES!$E931="","",DONNEES!V931)</f>
        <v/>
      </c>
      <c r="V931" t="str">
        <f>IF(DONNEES!$E931="","",DONNEES!W931)</f>
        <v/>
      </c>
      <c r="W931" t="str">
        <f>IF(DONNEES!$E931="","",DONNEES!X931)</f>
        <v/>
      </c>
      <c r="X931" t="str">
        <f>IF(DONNEES!$E931="","",DONNEES!Y931)</f>
        <v/>
      </c>
      <c r="Y931" t="str">
        <f>IF(DONNEES!$E931="","",DONNEES!Z931)</f>
        <v/>
      </c>
      <c r="Z931" t="str">
        <f>IF(DONNEES!$E931="","",DONNEES!AQ931)</f>
        <v/>
      </c>
    </row>
    <row r="932" spans="1:26" ht="15" customHeight="1" x14ac:dyDescent="0.3">
      <c r="A932" t="str">
        <f>IF(DONNEES!$E932="","",DONNEES!A932)</f>
        <v/>
      </c>
      <c r="B932" t="str">
        <f>IF(DONNEES!$E932="","",DONNEES!B932)</f>
        <v/>
      </c>
      <c r="C932" t="str">
        <f>IF(DONNEES!$E932="","",DONNEES!C932)</f>
        <v/>
      </c>
      <c r="D932" t="str">
        <f>IF(DONNEES!$E932="","",DONNEES!E932)</f>
        <v/>
      </c>
      <c r="E932" t="str">
        <f>IF(DONNEES!$E932="","",DONNEES!F932)</f>
        <v/>
      </c>
      <c r="F932" t="str">
        <f>IF(DONNEES!$E932="","",DONNEES!G932)</f>
        <v/>
      </c>
      <c r="G932" t="str">
        <f>IF(DONNEES!$E932="","",DONNEES!H932)</f>
        <v/>
      </c>
      <c r="H932" t="str">
        <f>IF(DONNEES!$E932="","",DONNEES!I932)</f>
        <v/>
      </c>
      <c r="I932" t="str">
        <f>IF(DONNEES!$E932="","",DONNEES!J932)</f>
        <v/>
      </c>
      <c r="J932" t="str">
        <f>IF(DONNEES!$E932="","",DONNEES!K932)</f>
        <v/>
      </c>
      <c r="K932" t="str">
        <f>IF(DONNEES!$E932="","",DONNEES!L932)</f>
        <v/>
      </c>
      <c r="L932" t="str">
        <f>IF(DONNEES!$E932="","",DONNEES!M932)</f>
        <v/>
      </c>
      <c r="M932" t="str">
        <f>IF(DONNEES!$E932="","",DONNEES!N932)</f>
        <v/>
      </c>
      <c r="N932" t="str">
        <f>IF(DONNEES!$E932="","",DONNEES!O932)</f>
        <v/>
      </c>
      <c r="O932" t="str">
        <f>IF(DONNEES!$E932="","",DONNEES!P932)</f>
        <v/>
      </c>
      <c r="P932" t="str">
        <f>IF(DONNEES!$E932="","",DONNEES!Q932)</f>
        <v/>
      </c>
      <c r="Q932" t="str">
        <f>IF(DONNEES!$E932="","",DONNEES!R932)</f>
        <v/>
      </c>
      <c r="R932" t="str">
        <f>IF(DONNEES!$E932="","",DONNEES!S932)</f>
        <v/>
      </c>
      <c r="S932" t="str">
        <f>IF(DONNEES!$E932="","",DONNEES!T932)</f>
        <v/>
      </c>
      <c r="T932" t="str">
        <f>IF(DONNEES!$E932="","",DONNEES!U932)</f>
        <v/>
      </c>
      <c r="U932" t="str">
        <f>IF(DONNEES!$E932="","",DONNEES!V932)</f>
        <v/>
      </c>
      <c r="V932" t="str">
        <f>IF(DONNEES!$E932="","",DONNEES!W932)</f>
        <v/>
      </c>
      <c r="W932" t="str">
        <f>IF(DONNEES!$E932="","",DONNEES!X932)</f>
        <v/>
      </c>
      <c r="X932" t="str">
        <f>IF(DONNEES!$E932="","",DONNEES!Y932)</f>
        <v/>
      </c>
      <c r="Y932" t="str">
        <f>IF(DONNEES!$E932="","",DONNEES!Z932)</f>
        <v/>
      </c>
      <c r="Z932" t="str">
        <f>IF(DONNEES!$E932="","",DONNEES!AQ932)</f>
        <v/>
      </c>
    </row>
    <row r="933" spans="1:26" ht="15" customHeight="1" x14ac:dyDescent="0.3">
      <c r="A933" t="str">
        <f>IF(DONNEES!$E933="","",DONNEES!A933)</f>
        <v/>
      </c>
      <c r="B933" t="str">
        <f>IF(DONNEES!$E933="","",DONNEES!B933)</f>
        <v/>
      </c>
      <c r="C933" t="str">
        <f>IF(DONNEES!$E933="","",DONNEES!C933)</f>
        <v/>
      </c>
      <c r="D933" t="str">
        <f>IF(DONNEES!$E933="","",DONNEES!E933)</f>
        <v/>
      </c>
      <c r="E933" t="str">
        <f>IF(DONNEES!$E933="","",DONNEES!F933)</f>
        <v/>
      </c>
      <c r="F933" t="str">
        <f>IF(DONNEES!$E933="","",DONNEES!G933)</f>
        <v/>
      </c>
      <c r="G933" t="str">
        <f>IF(DONNEES!$E933="","",DONNEES!H933)</f>
        <v/>
      </c>
      <c r="H933" t="str">
        <f>IF(DONNEES!$E933="","",DONNEES!I933)</f>
        <v/>
      </c>
      <c r="I933" t="str">
        <f>IF(DONNEES!$E933="","",DONNEES!J933)</f>
        <v/>
      </c>
      <c r="J933" t="str">
        <f>IF(DONNEES!$E933="","",DONNEES!K933)</f>
        <v/>
      </c>
      <c r="K933" t="str">
        <f>IF(DONNEES!$E933="","",DONNEES!L933)</f>
        <v/>
      </c>
      <c r="L933" t="str">
        <f>IF(DONNEES!$E933="","",DONNEES!M933)</f>
        <v/>
      </c>
      <c r="M933" t="str">
        <f>IF(DONNEES!$E933="","",DONNEES!N933)</f>
        <v/>
      </c>
      <c r="N933" t="str">
        <f>IF(DONNEES!$E933="","",DONNEES!O933)</f>
        <v/>
      </c>
      <c r="O933" t="str">
        <f>IF(DONNEES!$E933="","",DONNEES!P933)</f>
        <v/>
      </c>
      <c r="P933" t="str">
        <f>IF(DONNEES!$E933="","",DONNEES!Q933)</f>
        <v/>
      </c>
      <c r="Q933" t="str">
        <f>IF(DONNEES!$E933="","",DONNEES!R933)</f>
        <v/>
      </c>
      <c r="R933" t="str">
        <f>IF(DONNEES!$E933="","",DONNEES!S933)</f>
        <v/>
      </c>
      <c r="S933" t="str">
        <f>IF(DONNEES!$E933="","",DONNEES!T933)</f>
        <v/>
      </c>
      <c r="T933" t="str">
        <f>IF(DONNEES!$E933="","",DONNEES!U933)</f>
        <v/>
      </c>
      <c r="U933" t="str">
        <f>IF(DONNEES!$E933="","",DONNEES!V933)</f>
        <v/>
      </c>
      <c r="V933" t="str">
        <f>IF(DONNEES!$E933="","",DONNEES!W933)</f>
        <v/>
      </c>
      <c r="W933" t="str">
        <f>IF(DONNEES!$E933="","",DONNEES!X933)</f>
        <v/>
      </c>
      <c r="X933" t="str">
        <f>IF(DONNEES!$E933="","",DONNEES!Y933)</f>
        <v/>
      </c>
      <c r="Y933" t="str">
        <f>IF(DONNEES!$E933="","",DONNEES!Z933)</f>
        <v/>
      </c>
      <c r="Z933" t="str">
        <f>IF(DONNEES!$E933="","",DONNEES!AQ933)</f>
        <v/>
      </c>
    </row>
    <row r="934" spans="1:26" ht="15" customHeight="1" x14ac:dyDescent="0.3">
      <c r="A934" t="str">
        <f>IF(DONNEES!$E934="","",DONNEES!A934)</f>
        <v/>
      </c>
      <c r="B934" t="str">
        <f>IF(DONNEES!$E934="","",DONNEES!B934)</f>
        <v/>
      </c>
      <c r="C934" t="str">
        <f>IF(DONNEES!$E934="","",DONNEES!C934)</f>
        <v/>
      </c>
      <c r="D934" t="str">
        <f>IF(DONNEES!$E934="","",DONNEES!E934)</f>
        <v/>
      </c>
      <c r="E934" t="str">
        <f>IF(DONNEES!$E934="","",DONNEES!F934)</f>
        <v/>
      </c>
      <c r="F934" t="str">
        <f>IF(DONNEES!$E934="","",DONNEES!G934)</f>
        <v/>
      </c>
      <c r="G934" t="str">
        <f>IF(DONNEES!$E934="","",DONNEES!H934)</f>
        <v/>
      </c>
      <c r="H934" t="str">
        <f>IF(DONNEES!$E934="","",DONNEES!I934)</f>
        <v/>
      </c>
      <c r="I934" t="str">
        <f>IF(DONNEES!$E934="","",DONNEES!J934)</f>
        <v/>
      </c>
      <c r="J934" t="str">
        <f>IF(DONNEES!$E934="","",DONNEES!K934)</f>
        <v/>
      </c>
      <c r="K934" t="str">
        <f>IF(DONNEES!$E934="","",DONNEES!L934)</f>
        <v/>
      </c>
      <c r="L934" t="str">
        <f>IF(DONNEES!$E934="","",DONNEES!M934)</f>
        <v/>
      </c>
      <c r="M934" t="str">
        <f>IF(DONNEES!$E934="","",DONNEES!N934)</f>
        <v/>
      </c>
      <c r="N934" t="str">
        <f>IF(DONNEES!$E934="","",DONNEES!O934)</f>
        <v/>
      </c>
      <c r="O934" t="str">
        <f>IF(DONNEES!$E934="","",DONNEES!P934)</f>
        <v/>
      </c>
      <c r="P934" t="str">
        <f>IF(DONNEES!$E934="","",DONNEES!Q934)</f>
        <v/>
      </c>
      <c r="Q934" t="str">
        <f>IF(DONNEES!$E934="","",DONNEES!R934)</f>
        <v/>
      </c>
      <c r="R934" t="str">
        <f>IF(DONNEES!$E934="","",DONNEES!S934)</f>
        <v/>
      </c>
      <c r="S934" t="str">
        <f>IF(DONNEES!$E934="","",DONNEES!T934)</f>
        <v/>
      </c>
      <c r="T934" t="str">
        <f>IF(DONNEES!$E934="","",DONNEES!U934)</f>
        <v/>
      </c>
      <c r="U934" t="str">
        <f>IF(DONNEES!$E934="","",DONNEES!V934)</f>
        <v/>
      </c>
      <c r="V934" t="str">
        <f>IF(DONNEES!$E934="","",DONNEES!W934)</f>
        <v/>
      </c>
      <c r="W934" t="str">
        <f>IF(DONNEES!$E934="","",DONNEES!X934)</f>
        <v/>
      </c>
      <c r="X934" t="str">
        <f>IF(DONNEES!$E934="","",DONNEES!Y934)</f>
        <v/>
      </c>
      <c r="Y934" t="str">
        <f>IF(DONNEES!$E934="","",DONNEES!Z934)</f>
        <v/>
      </c>
      <c r="Z934" t="str">
        <f>IF(DONNEES!$E934="","",DONNEES!AQ934)</f>
        <v/>
      </c>
    </row>
    <row r="935" spans="1:26" ht="15" customHeight="1" x14ac:dyDescent="0.3">
      <c r="A935" t="str">
        <f>IF(DONNEES!$E935="","",DONNEES!A935)</f>
        <v/>
      </c>
      <c r="B935" t="str">
        <f>IF(DONNEES!$E935="","",DONNEES!B935)</f>
        <v/>
      </c>
      <c r="C935" t="str">
        <f>IF(DONNEES!$E935="","",DONNEES!C935)</f>
        <v/>
      </c>
      <c r="D935" t="str">
        <f>IF(DONNEES!$E935="","",DONNEES!E935)</f>
        <v/>
      </c>
      <c r="E935" t="str">
        <f>IF(DONNEES!$E935="","",DONNEES!F935)</f>
        <v/>
      </c>
      <c r="F935" t="str">
        <f>IF(DONNEES!$E935="","",DONNEES!G935)</f>
        <v/>
      </c>
      <c r="G935" t="str">
        <f>IF(DONNEES!$E935="","",DONNEES!H935)</f>
        <v/>
      </c>
      <c r="H935" t="str">
        <f>IF(DONNEES!$E935="","",DONNEES!I935)</f>
        <v/>
      </c>
      <c r="I935" t="str">
        <f>IF(DONNEES!$E935="","",DONNEES!J935)</f>
        <v/>
      </c>
      <c r="J935" t="str">
        <f>IF(DONNEES!$E935="","",DONNEES!K935)</f>
        <v/>
      </c>
      <c r="K935" t="str">
        <f>IF(DONNEES!$E935="","",DONNEES!L935)</f>
        <v/>
      </c>
      <c r="L935" t="str">
        <f>IF(DONNEES!$E935="","",DONNEES!M935)</f>
        <v/>
      </c>
      <c r="M935" t="str">
        <f>IF(DONNEES!$E935="","",DONNEES!N935)</f>
        <v/>
      </c>
      <c r="N935" t="str">
        <f>IF(DONNEES!$E935="","",DONNEES!O935)</f>
        <v/>
      </c>
      <c r="O935" t="str">
        <f>IF(DONNEES!$E935="","",DONNEES!P935)</f>
        <v/>
      </c>
      <c r="P935" t="str">
        <f>IF(DONNEES!$E935="","",DONNEES!Q935)</f>
        <v/>
      </c>
      <c r="Q935" t="str">
        <f>IF(DONNEES!$E935="","",DONNEES!R935)</f>
        <v/>
      </c>
      <c r="R935" t="str">
        <f>IF(DONNEES!$E935="","",DONNEES!S935)</f>
        <v/>
      </c>
      <c r="S935" t="str">
        <f>IF(DONNEES!$E935="","",DONNEES!T935)</f>
        <v/>
      </c>
      <c r="T935" t="str">
        <f>IF(DONNEES!$E935="","",DONNEES!U935)</f>
        <v/>
      </c>
      <c r="U935" t="str">
        <f>IF(DONNEES!$E935="","",DONNEES!V935)</f>
        <v/>
      </c>
      <c r="V935" t="str">
        <f>IF(DONNEES!$E935="","",DONNEES!W935)</f>
        <v/>
      </c>
      <c r="W935" t="str">
        <f>IF(DONNEES!$E935="","",DONNEES!X935)</f>
        <v/>
      </c>
      <c r="X935" t="str">
        <f>IF(DONNEES!$E935="","",DONNEES!Y935)</f>
        <v/>
      </c>
      <c r="Y935" t="str">
        <f>IF(DONNEES!$E935="","",DONNEES!Z935)</f>
        <v/>
      </c>
      <c r="Z935" t="str">
        <f>IF(DONNEES!$E935="","",DONNEES!AQ935)</f>
        <v/>
      </c>
    </row>
    <row r="936" spans="1:26" ht="15" customHeight="1" x14ac:dyDescent="0.3">
      <c r="A936" t="str">
        <f>IF(DONNEES!$E936="","",DONNEES!A936)</f>
        <v/>
      </c>
      <c r="B936" t="str">
        <f>IF(DONNEES!$E936="","",DONNEES!B936)</f>
        <v/>
      </c>
      <c r="C936" t="str">
        <f>IF(DONNEES!$E936="","",DONNEES!C936)</f>
        <v/>
      </c>
      <c r="D936" t="str">
        <f>IF(DONNEES!$E936="","",DONNEES!E936)</f>
        <v/>
      </c>
      <c r="E936" t="str">
        <f>IF(DONNEES!$E936="","",DONNEES!F936)</f>
        <v/>
      </c>
      <c r="F936" t="str">
        <f>IF(DONNEES!$E936="","",DONNEES!G936)</f>
        <v/>
      </c>
      <c r="G936" t="str">
        <f>IF(DONNEES!$E936="","",DONNEES!H936)</f>
        <v/>
      </c>
      <c r="H936" t="str">
        <f>IF(DONNEES!$E936="","",DONNEES!I936)</f>
        <v/>
      </c>
      <c r="I936" t="str">
        <f>IF(DONNEES!$E936="","",DONNEES!J936)</f>
        <v/>
      </c>
      <c r="J936" t="str">
        <f>IF(DONNEES!$E936="","",DONNEES!K936)</f>
        <v/>
      </c>
      <c r="K936" t="str">
        <f>IF(DONNEES!$E936="","",DONNEES!L936)</f>
        <v/>
      </c>
      <c r="L936" t="str">
        <f>IF(DONNEES!$E936="","",DONNEES!M936)</f>
        <v/>
      </c>
      <c r="M936" t="str">
        <f>IF(DONNEES!$E936="","",DONNEES!N936)</f>
        <v/>
      </c>
      <c r="N936" t="str">
        <f>IF(DONNEES!$E936="","",DONNEES!O936)</f>
        <v/>
      </c>
      <c r="O936" t="str">
        <f>IF(DONNEES!$E936="","",DONNEES!P936)</f>
        <v/>
      </c>
      <c r="P936" t="str">
        <f>IF(DONNEES!$E936="","",DONNEES!Q936)</f>
        <v/>
      </c>
      <c r="Q936" t="str">
        <f>IF(DONNEES!$E936="","",DONNEES!R936)</f>
        <v/>
      </c>
      <c r="R936" t="str">
        <f>IF(DONNEES!$E936="","",DONNEES!S936)</f>
        <v/>
      </c>
      <c r="S936" t="str">
        <f>IF(DONNEES!$E936="","",DONNEES!T936)</f>
        <v/>
      </c>
      <c r="T936" t="str">
        <f>IF(DONNEES!$E936="","",DONNEES!U936)</f>
        <v/>
      </c>
      <c r="U936" t="str">
        <f>IF(DONNEES!$E936="","",DONNEES!V936)</f>
        <v/>
      </c>
      <c r="V936" t="str">
        <f>IF(DONNEES!$E936="","",DONNEES!W936)</f>
        <v/>
      </c>
      <c r="W936" t="str">
        <f>IF(DONNEES!$E936="","",DONNEES!X936)</f>
        <v/>
      </c>
      <c r="X936" t="str">
        <f>IF(DONNEES!$E936="","",DONNEES!Y936)</f>
        <v/>
      </c>
      <c r="Y936" t="str">
        <f>IF(DONNEES!$E936="","",DONNEES!Z936)</f>
        <v/>
      </c>
      <c r="Z936" t="str">
        <f>IF(DONNEES!$E936="","",DONNEES!AQ936)</f>
        <v/>
      </c>
    </row>
    <row r="937" spans="1:26" ht="15" customHeight="1" x14ac:dyDescent="0.3">
      <c r="A937" t="str">
        <f>IF(DONNEES!$E937="","",DONNEES!A937)</f>
        <v/>
      </c>
      <c r="B937" t="str">
        <f>IF(DONNEES!$E937="","",DONNEES!B937)</f>
        <v/>
      </c>
      <c r="C937" t="str">
        <f>IF(DONNEES!$E937="","",DONNEES!C937)</f>
        <v/>
      </c>
      <c r="D937" t="str">
        <f>IF(DONNEES!$E937="","",DONNEES!E937)</f>
        <v/>
      </c>
      <c r="E937" t="str">
        <f>IF(DONNEES!$E937="","",DONNEES!F937)</f>
        <v/>
      </c>
      <c r="F937" t="str">
        <f>IF(DONNEES!$E937="","",DONNEES!G937)</f>
        <v/>
      </c>
      <c r="G937" t="str">
        <f>IF(DONNEES!$E937="","",DONNEES!H937)</f>
        <v/>
      </c>
      <c r="H937" t="str">
        <f>IF(DONNEES!$E937="","",DONNEES!I937)</f>
        <v/>
      </c>
      <c r="I937" t="str">
        <f>IF(DONNEES!$E937="","",DONNEES!J937)</f>
        <v/>
      </c>
      <c r="J937" t="str">
        <f>IF(DONNEES!$E937="","",DONNEES!K937)</f>
        <v/>
      </c>
      <c r="K937" t="str">
        <f>IF(DONNEES!$E937="","",DONNEES!L937)</f>
        <v/>
      </c>
      <c r="L937" t="str">
        <f>IF(DONNEES!$E937="","",DONNEES!M937)</f>
        <v/>
      </c>
      <c r="M937" t="str">
        <f>IF(DONNEES!$E937="","",DONNEES!N937)</f>
        <v/>
      </c>
      <c r="N937" t="str">
        <f>IF(DONNEES!$E937="","",DONNEES!O937)</f>
        <v/>
      </c>
      <c r="O937" t="str">
        <f>IF(DONNEES!$E937="","",DONNEES!P937)</f>
        <v/>
      </c>
      <c r="P937" t="str">
        <f>IF(DONNEES!$E937="","",DONNEES!Q937)</f>
        <v/>
      </c>
      <c r="Q937" t="str">
        <f>IF(DONNEES!$E937="","",DONNEES!R937)</f>
        <v/>
      </c>
      <c r="R937" t="str">
        <f>IF(DONNEES!$E937="","",DONNEES!S937)</f>
        <v/>
      </c>
      <c r="S937" t="str">
        <f>IF(DONNEES!$E937="","",DONNEES!T937)</f>
        <v/>
      </c>
      <c r="T937" t="str">
        <f>IF(DONNEES!$E937="","",DONNEES!U937)</f>
        <v/>
      </c>
      <c r="U937" t="str">
        <f>IF(DONNEES!$E937="","",DONNEES!V937)</f>
        <v/>
      </c>
      <c r="V937" t="str">
        <f>IF(DONNEES!$E937="","",DONNEES!W937)</f>
        <v/>
      </c>
      <c r="W937" t="str">
        <f>IF(DONNEES!$E937="","",DONNEES!X937)</f>
        <v/>
      </c>
      <c r="X937" t="str">
        <f>IF(DONNEES!$E937="","",DONNEES!Y937)</f>
        <v/>
      </c>
      <c r="Y937" t="str">
        <f>IF(DONNEES!$E937="","",DONNEES!Z937)</f>
        <v/>
      </c>
      <c r="Z937" t="str">
        <f>IF(DONNEES!$E937="","",DONNEES!AQ937)</f>
        <v/>
      </c>
    </row>
    <row r="938" spans="1:26" ht="15" customHeight="1" x14ac:dyDescent="0.3">
      <c r="A938" t="str">
        <f>IF(DONNEES!$E938="","",DONNEES!A938)</f>
        <v/>
      </c>
      <c r="B938" t="str">
        <f>IF(DONNEES!$E938="","",DONNEES!B938)</f>
        <v/>
      </c>
      <c r="C938" t="str">
        <f>IF(DONNEES!$E938="","",DONNEES!C938)</f>
        <v/>
      </c>
      <c r="D938" t="str">
        <f>IF(DONNEES!$E938="","",DONNEES!E938)</f>
        <v/>
      </c>
      <c r="E938" t="str">
        <f>IF(DONNEES!$E938="","",DONNEES!F938)</f>
        <v/>
      </c>
      <c r="F938" t="str">
        <f>IF(DONNEES!$E938="","",DONNEES!G938)</f>
        <v/>
      </c>
      <c r="G938" t="str">
        <f>IF(DONNEES!$E938="","",DONNEES!H938)</f>
        <v/>
      </c>
      <c r="H938" t="str">
        <f>IF(DONNEES!$E938="","",DONNEES!I938)</f>
        <v/>
      </c>
      <c r="I938" t="str">
        <f>IF(DONNEES!$E938="","",DONNEES!J938)</f>
        <v/>
      </c>
      <c r="J938" t="str">
        <f>IF(DONNEES!$E938="","",DONNEES!K938)</f>
        <v/>
      </c>
      <c r="K938" t="str">
        <f>IF(DONNEES!$E938="","",DONNEES!L938)</f>
        <v/>
      </c>
      <c r="L938" t="str">
        <f>IF(DONNEES!$E938="","",DONNEES!M938)</f>
        <v/>
      </c>
      <c r="M938" t="str">
        <f>IF(DONNEES!$E938="","",DONNEES!N938)</f>
        <v/>
      </c>
      <c r="N938" t="str">
        <f>IF(DONNEES!$E938="","",DONNEES!O938)</f>
        <v/>
      </c>
      <c r="O938" t="str">
        <f>IF(DONNEES!$E938="","",DONNEES!P938)</f>
        <v/>
      </c>
      <c r="P938" t="str">
        <f>IF(DONNEES!$E938="","",DONNEES!Q938)</f>
        <v/>
      </c>
      <c r="Q938" t="str">
        <f>IF(DONNEES!$E938="","",DONNEES!R938)</f>
        <v/>
      </c>
      <c r="R938" t="str">
        <f>IF(DONNEES!$E938="","",DONNEES!S938)</f>
        <v/>
      </c>
      <c r="S938" t="str">
        <f>IF(DONNEES!$E938="","",DONNEES!T938)</f>
        <v/>
      </c>
      <c r="T938" t="str">
        <f>IF(DONNEES!$E938="","",DONNEES!U938)</f>
        <v/>
      </c>
      <c r="U938" t="str">
        <f>IF(DONNEES!$E938="","",DONNEES!V938)</f>
        <v/>
      </c>
      <c r="V938" t="str">
        <f>IF(DONNEES!$E938="","",DONNEES!W938)</f>
        <v/>
      </c>
      <c r="W938" t="str">
        <f>IF(DONNEES!$E938="","",DONNEES!X938)</f>
        <v/>
      </c>
      <c r="X938" t="str">
        <f>IF(DONNEES!$E938="","",DONNEES!Y938)</f>
        <v/>
      </c>
      <c r="Y938" t="str">
        <f>IF(DONNEES!$E938="","",DONNEES!Z938)</f>
        <v/>
      </c>
      <c r="Z938" t="str">
        <f>IF(DONNEES!$E938="","",DONNEES!AQ938)</f>
        <v/>
      </c>
    </row>
    <row r="939" spans="1:26" ht="15" customHeight="1" x14ac:dyDescent="0.3">
      <c r="A939" t="str">
        <f>IF(DONNEES!$E939="","",DONNEES!A939)</f>
        <v/>
      </c>
      <c r="B939" t="str">
        <f>IF(DONNEES!$E939="","",DONNEES!B939)</f>
        <v/>
      </c>
      <c r="C939" t="str">
        <f>IF(DONNEES!$E939="","",DONNEES!C939)</f>
        <v/>
      </c>
      <c r="D939" t="str">
        <f>IF(DONNEES!$E939="","",DONNEES!E939)</f>
        <v/>
      </c>
      <c r="E939" t="str">
        <f>IF(DONNEES!$E939="","",DONNEES!F939)</f>
        <v/>
      </c>
      <c r="F939" t="str">
        <f>IF(DONNEES!$E939="","",DONNEES!G939)</f>
        <v/>
      </c>
      <c r="G939" t="str">
        <f>IF(DONNEES!$E939="","",DONNEES!H939)</f>
        <v/>
      </c>
      <c r="H939" t="str">
        <f>IF(DONNEES!$E939="","",DONNEES!I939)</f>
        <v/>
      </c>
      <c r="I939" t="str">
        <f>IF(DONNEES!$E939="","",DONNEES!J939)</f>
        <v/>
      </c>
      <c r="J939" t="str">
        <f>IF(DONNEES!$E939="","",DONNEES!K939)</f>
        <v/>
      </c>
      <c r="K939" t="str">
        <f>IF(DONNEES!$E939="","",DONNEES!L939)</f>
        <v/>
      </c>
      <c r="L939" t="str">
        <f>IF(DONNEES!$E939="","",DONNEES!M939)</f>
        <v/>
      </c>
      <c r="M939" t="str">
        <f>IF(DONNEES!$E939="","",DONNEES!N939)</f>
        <v/>
      </c>
      <c r="N939" t="str">
        <f>IF(DONNEES!$E939="","",DONNEES!O939)</f>
        <v/>
      </c>
      <c r="O939" t="str">
        <f>IF(DONNEES!$E939="","",DONNEES!P939)</f>
        <v/>
      </c>
      <c r="P939" t="str">
        <f>IF(DONNEES!$E939="","",DONNEES!Q939)</f>
        <v/>
      </c>
      <c r="Q939" t="str">
        <f>IF(DONNEES!$E939="","",DONNEES!R939)</f>
        <v/>
      </c>
      <c r="R939" t="str">
        <f>IF(DONNEES!$E939="","",DONNEES!S939)</f>
        <v/>
      </c>
      <c r="S939" t="str">
        <f>IF(DONNEES!$E939="","",DONNEES!T939)</f>
        <v/>
      </c>
      <c r="T939" t="str">
        <f>IF(DONNEES!$E939="","",DONNEES!U939)</f>
        <v/>
      </c>
      <c r="U939" t="str">
        <f>IF(DONNEES!$E939="","",DONNEES!V939)</f>
        <v/>
      </c>
      <c r="V939" t="str">
        <f>IF(DONNEES!$E939="","",DONNEES!W939)</f>
        <v/>
      </c>
      <c r="W939" t="str">
        <f>IF(DONNEES!$E939="","",DONNEES!X939)</f>
        <v/>
      </c>
      <c r="X939" t="str">
        <f>IF(DONNEES!$E939="","",DONNEES!Y939)</f>
        <v/>
      </c>
      <c r="Y939" t="str">
        <f>IF(DONNEES!$E939="","",DONNEES!Z939)</f>
        <v/>
      </c>
      <c r="Z939" t="str">
        <f>IF(DONNEES!$E939="","",DONNEES!AQ939)</f>
        <v/>
      </c>
    </row>
    <row r="940" spans="1:26" ht="15" customHeight="1" x14ac:dyDescent="0.3">
      <c r="A940" t="str">
        <f>IF(DONNEES!$E940="","",DONNEES!A940)</f>
        <v/>
      </c>
      <c r="B940" t="str">
        <f>IF(DONNEES!$E940="","",DONNEES!B940)</f>
        <v/>
      </c>
      <c r="C940" t="str">
        <f>IF(DONNEES!$E940="","",DONNEES!C940)</f>
        <v/>
      </c>
      <c r="D940" t="str">
        <f>IF(DONNEES!$E940="","",DONNEES!E940)</f>
        <v/>
      </c>
      <c r="E940" t="str">
        <f>IF(DONNEES!$E940="","",DONNEES!F940)</f>
        <v/>
      </c>
      <c r="F940" t="str">
        <f>IF(DONNEES!$E940="","",DONNEES!G940)</f>
        <v/>
      </c>
      <c r="G940" t="str">
        <f>IF(DONNEES!$E940="","",DONNEES!H940)</f>
        <v/>
      </c>
      <c r="H940" t="str">
        <f>IF(DONNEES!$E940="","",DONNEES!I940)</f>
        <v/>
      </c>
      <c r="I940" t="str">
        <f>IF(DONNEES!$E940="","",DONNEES!J940)</f>
        <v/>
      </c>
      <c r="J940" t="str">
        <f>IF(DONNEES!$E940="","",DONNEES!K940)</f>
        <v/>
      </c>
      <c r="K940" t="str">
        <f>IF(DONNEES!$E940="","",DONNEES!L940)</f>
        <v/>
      </c>
      <c r="L940" t="str">
        <f>IF(DONNEES!$E940="","",DONNEES!M940)</f>
        <v/>
      </c>
      <c r="M940" t="str">
        <f>IF(DONNEES!$E940="","",DONNEES!N940)</f>
        <v/>
      </c>
      <c r="N940" t="str">
        <f>IF(DONNEES!$E940="","",DONNEES!O940)</f>
        <v/>
      </c>
      <c r="O940" t="str">
        <f>IF(DONNEES!$E940="","",DONNEES!P940)</f>
        <v/>
      </c>
      <c r="P940" t="str">
        <f>IF(DONNEES!$E940="","",DONNEES!Q940)</f>
        <v/>
      </c>
      <c r="Q940" t="str">
        <f>IF(DONNEES!$E940="","",DONNEES!R940)</f>
        <v/>
      </c>
      <c r="R940" t="str">
        <f>IF(DONNEES!$E940="","",DONNEES!S940)</f>
        <v/>
      </c>
      <c r="S940" t="str">
        <f>IF(DONNEES!$E940="","",DONNEES!T940)</f>
        <v/>
      </c>
      <c r="T940" t="str">
        <f>IF(DONNEES!$E940="","",DONNEES!U940)</f>
        <v/>
      </c>
      <c r="U940" t="str">
        <f>IF(DONNEES!$E940="","",DONNEES!V940)</f>
        <v/>
      </c>
      <c r="V940" t="str">
        <f>IF(DONNEES!$E940="","",DONNEES!W940)</f>
        <v/>
      </c>
      <c r="W940" t="str">
        <f>IF(DONNEES!$E940="","",DONNEES!X940)</f>
        <v/>
      </c>
      <c r="X940" t="str">
        <f>IF(DONNEES!$E940="","",DONNEES!Y940)</f>
        <v/>
      </c>
      <c r="Y940" t="str">
        <f>IF(DONNEES!$E940="","",DONNEES!Z940)</f>
        <v/>
      </c>
      <c r="Z940" t="str">
        <f>IF(DONNEES!$E940="","",DONNEES!AQ940)</f>
        <v/>
      </c>
    </row>
    <row r="941" spans="1:26" ht="15" customHeight="1" x14ac:dyDescent="0.3">
      <c r="A941" t="str">
        <f>IF(DONNEES!$E941="","",DONNEES!A941)</f>
        <v/>
      </c>
      <c r="B941" t="str">
        <f>IF(DONNEES!$E941="","",DONNEES!B941)</f>
        <v/>
      </c>
      <c r="C941" t="str">
        <f>IF(DONNEES!$E941="","",DONNEES!C941)</f>
        <v/>
      </c>
      <c r="D941" t="str">
        <f>IF(DONNEES!$E941="","",DONNEES!E941)</f>
        <v/>
      </c>
      <c r="E941" t="str">
        <f>IF(DONNEES!$E941="","",DONNEES!F941)</f>
        <v/>
      </c>
      <c r="F941" t="str">
        <f>IF(DONNEES!$E941="","",DONNEES!G941)</f>
        <v/>
      </c>
      <c r="G941" t="str">
        <f>IF(DONNEES!$E941="","",DONNEES!H941)</f>
        <v/>
      </c>
      <c r="H941" t="str">
        <f>IF(DONNEES!$E941="","",DONNEES!I941)</f>
        <v/>
      </c>
      <c r="I941" t="str">
        <f>IF(DONNEES!$E941="","",DONNEES!J941)</f>
        <v/>
      </c>
      <c r="J941" t="str">
        <f>IF(DONNEES!$E941="","",DONNEES!K941)</f>
        <v/>
      </c>
      <c r="K941" t="str">
        <f>IF(DONNEES!$E941="","",DONNEES!L941)</f>
        <v/>
      </c>
      <c r="L941" t="str">
        <f>IF(DONNEES!$E941="","",DONNEES!M941)</f>
        <v/>
      </c>
      <c r="M941" t="str">
        <f>IF(DONNEES!$E941="","",DONNEES!N941)</f>
        <v/>
      </c>
      <c r="N941" t="str">
        <f>IF(DONNEES!$E941="","",DONNEES!O941)</f>
        <v/>
      </c>
      <c r="O941" t="str">
        <f>IF(DONNEES!$E941="","",DONNEES!P941)</f>
        <v/>
      </c>
      <c r="P941" t="str">
        <f>IF(DONNEES!$E941="","",DONNEES!Q941)</f>
        <v/>
      </c>
      <c r="Q941" t="str">
        <f>IF(DONNEES!$E941="","",DONNEES!R941)</f>
        <v/>
      </c>
      <c r="R941" t="str">
        <f>IF(DONNEES!$E941="","",DONNEES!S941)</f>
        <v/>
      </c>
      <c r="S941" t="str">
        <f>IF(DONNEES!$E941="","",DONNEES!T941)</f>
        <v/>
      </c>
      <c r="T941" t="str">
        <f>IF(DONNEES!$E941="","",DONNEES!U941)</f>
        <v/>
      </c>
      <c r="U941" t="str">
        <f>IF(DONNEES!$E941="","",DONNEES!V941)</f>
        <v/>
      </c>
      <c r="V941" t="str">
        <f>IF(DONNEES!$E941="","",DONNEES!W941)</f>
        <v/>
      </c>
      <c r="W941" t="str">
        <f>IF(DONNEES!$E941="","",DONNEES!X941)</f>
        <v/>
      </c>
      <c r="X941" t="str">
        <f>IF(DONNEES!$E941="","",DONNEES!Y941)</f>
        <v/>
      </c>
      <c r="Y941" t="str">
        <f>IF(DONNEES!$E941="","",DONNEES!Z941)</f>
        <v/>
      </c>
      <c r="Z941" t="str">
        <f>IF(DONNEES!$E941="","",DONNEES!AQ941)</f>
        <v/>
      </c>
    </row>
    <row r="942" spans="1:26" ht="15" customHeight="1" x14ac:dyDescent="0.3">
      <c r="A942" t="str">
        <f>IF(DONNEES!$E942="","",DONNEES!A942)</f>
        <v/>
      </c>
      <c r="B942" t="str">
        <f>IF(DONNEES!$E942="","",DONNEES!B942)</f>
        <v/>
      </c>
      <c r="C942" t="str">
        <f>IF(DONNEES!$E942="","",DONNEES!C942)</f>
        <v/>
      </c>
      <c r="D942" t="str">
        <f>IF(DONNEES!$E942="","",DONNEES!E942)</f>
        <v/>
      </c>
      <c r="E942" t="str">
        <f>IF(DONNEES!$E942="","",DONNEES!F942)</f>
        <v/>
      </c>
      <c r="F942" t="str">
        <f>IF(DONNEES!$E942="","",DONNEES!G942)</f>
        <v/>
      </c>
      <c r="G942" t="str">
        <f>IF(DONNEES!$E942="","",DONNEES!H942)</f>
        <v/>
      </c>
      <c r="H942" t="str">
        <f>IF(DONNEES!$E942="","",DONNEES!I942)</f>
        <v/>
      </c>
      <c r="I942" t="str">
        <f>IF(DONNEES!$E942="","",DONNEES!J942)</f>
        <v/>
      </c>
      <c r="J942" t="str">
        <f>IF(DONNEES!$E942="","",DONNEES!K942)</f>
        <v/>
      </c>
      <c r="K942" t="str">
        <f>IF(DONNEES!$E942="","",DONNEES!L942)</f>
        <v/>
      </c>
      <c r="L942" t="str">
        <f>IF(DONNEES!$E942="","",DONNEES!M942)</f>
        <v/>
      </c>
      <c r="M942" t="str">
        <f>IF(DONNEES!$E942="","",DONNEES!N942)</f>
        <v/>
      </c>
      <c r="N942" t="str">
        <f>IF(DONNEES!$E942="","",DONNEES!O942)</f>
        <v/>
      </c>
      <c r="O942" t="str">
        <f>IF(DONNEES!$E942="","",DONNEES!P942)</f>
        <v/>
      </c>
      <c r="P942" t="str">
        <f>IF(DONNEES!$E942="","",DONNEES!Q942)</f>
        <v/>
      </c>
      <c r="Q942" t="str">
        <f>IF(DONNEES!$E942="","",DONNEES!R942)</f>
        <v/>
      </c>
      <c r="R942" t="str">
        <f>IF(DONNEES!$E942="","",DONNEES!S942)</f>
        <v/>
      </c>
      <c r="S942" t="str">
        <f>IF(DONNEES!$E942="","",DONNEES!T942)</f>
        <v/>
      </c>
      <c r="T942" t="str">
        <f>IF(DONNEES!$E942="","",DONNEES!U942)</f>
        <v/>
      </c>
      <c r="U942" t="str">
        <f>IF(DONNEES!$E942="","",DONNEES!V942)</f>
        <v/>
      </c>
      <c r="V942" t="str">
        <f>IF(DONNEES!$E942="","",DONNEES!W942)</f>
        <v/>
      </c>
      <c r="W942" t="str">
        <f>IF(DONNEES!$E942="","",DONNEES!X942)</f>
        <v/>
      </c>
      <c r="X942" t="str">
        <f>IF(DONNEES!$E942="","",DONNEES!Y942)</f>
        <v/>
      </c>
      <c r="Y942" t="str">
        <f>IF(DONNEES!$E942="","",DONNEES!Z942)</f>
        <v/>
      </c>
      <c r="Z942" t="str">
        <f>IF(DONNEES!$E942="","",DONNEES!AQ942)</f>
        <v/>
      </c>
    </row>
    <row r="943" spans="1:26" ht="15" customHeight="1" x14ac:dyDescent="0.3">
      <c r="A943" t="str">
        <f>IF(DONNEES!$E943="","",DONNEES!A943)</f>
        <v/>
      </c>
      <c r="B943" t="str">
        <f>IF(DONNEES!$E943="","",DONNEES!B943)</f>
        <v/>
      </c>
      <c r="C943" t="str">
        <f>IF(DONNEES!$E943="","",DONNEES!C943)</f>
        <v/>
      </c>
      <c r="D943" t="str">
        <f>IF(DONNEES!$E943="","",DONNEES!E943)</f>
        <v/>
      </c>
      <c r="E943" t="str">
        <f>IF(DONNEES!$E943="","",DONNEES!F943)</f>
        <v/>
      </c>
      <c r="F943" t="str">
        <f>IF(DONNEES!$E943="","",DONNEES!G943)</f>
        <v/>
      </c>
      <c r="G943" t="str">
        <f>IF(DONNEES!$E943="","",DONNEES!H943)</f>
        <v/>
      </c>
      <c r="H943" t="str">
        <f>IF(DONNEES!$E943="","",DONNEES!I943)</f>
        <v/>
      </c>
      <c r="I943" t="str">
        <f>IF(DONNEES!$E943="","",DONNEES!J943)</f>
        <v/>
      </c>
      <c r="J943" t="str">
        <f>IF(DONNEES!$E943="","",DONNEES!K943)</f>
        <v/>
      </c>
      <c r="K943" t="str">
        <f>IF(DONNEES!$E943="","",DONNEES!L943)</f>
        <v/>
      </c>
      <c r="L943" t="str">
        <f>IF(DONNEES!$E943="","",DONNEES!M943)</f>
        <v/>
      </c>
      <c r="M943" t="str">
        <f>IF(DONNEES!$E943="","",DONNEES!N943)</f>
        <v/>
      </c>
      <c r="N943" t="str">
        <f>IF(DONNEES!$E943="","",DONNEES!O943)</f>
        <v/>
      </c>
      <c r="O943" t="str">
        <f>IF(DONNEES!$E943="","",DONNEES!P943)</f>
        <v/>
      </c>
      <c r="P943" t="str">
        <f>IF(DONNEES!$E943="","",DONNEES!Q943)</f>
        <v/>
      </c>
      <c r="Q943" t="str">
        <f>IF(DONNEES!$E943="","",DONNEES!R943)</f>
        <v/>
      </c>
      <c r="R943" t="str">
        <f>IF(DONNEES!$E943="","",DONNEES!S943)</f>
        <v/>
      </c>
      <c r="S943" t="str">
        <f>IF(DONNEES!$E943="","",DONNEES!T943)</f>
        <v/>
      </c>
      <c r="T943" t="str">
        <f>IF(DONNEES!$E943="","",DONNEES!U943)</f>
        <v/>
      </c>
      <c r="U943" t="str">
        <f>IF(DONNEES!$E943="","",DONNEES!V943)</f>
        <v/>
      </c>
      <c r="V943" t="str">
        <f>IF(DONNEES!$E943="","",DONNEES!W943)</f>
        <v/>
      </c>
      <c r="W943" t="str">
        <f>IF(DONNEES!$E943="","",DONNEES!X943)</f>
        <v/>
      </c>
      <c r="X943" t="str">
        <f>IF(DONNEES!$E943="","",DONNEES!Y943)</f>
        <v/>
      </c>
      <c r="Y943" t="str">
        <f>IF(DONNEES!$E943="","",DONNEES!Z943)</f>
        <v/>
      </c>
      <c r="Z943" t="str">
        <f>IF(DONNEES!$E943="","",DONNEES!AQ943)</f>
        <v/>
      </c>
    </row>
    <row r="944" spans="1:26" ht="15" customHeight="1" x14ac:dyDescent="0.3">
      <c r="A944" t="str">
        <f>IF(DONNEES!$E944="","",DONNEES!A944)</f>
        <v/>
      </c>
      <c r="B944" t="str">
        <f>IF(DONNEES!$E944="","",DONNEES!B944)</f>
        <v/>
      </c>
      <c r="C944" t="str">
        <f>IF(DONNEES!$E944="","",DONNEES!C944)</f>
        <v/>
      </c>
      <c r="D944" t="str">
        <f>IF(DONNEES!$E944="","",DONNEES!E944)</f>
        <v/>
      </c>
      <c r="E944" t="str">
        <f>IF(DONNEES!$E944="","",DONNEES!F944)</f>
        <v/>
      </c>
      <c r="F944" t="str">
        <f>IF(DONNEES!$E944="","",DONNEES!G944)</f>
        <v/>
      </c>
      <c r="G944" t="str">
        <f>IF(DONNEES!$E944="","",DONNEES!H944)</f>
        <v/>
      </c>
      <c r="H944" t="str">
        <f>IF(DONNEES!$E944="","",DONNEES!I944)</f>
        <v/>
      </c>
      <c r="I944" t="str">
        <f>IF(DONNEES!$E944="","",DONNEES!J944)</f>
        <v/>
      </c>
      <c r="J944" t="str">
        <f>IF(DONNEES!$E944="","",DONNEES!K944)</f>
        <v/>
      </c>
      <c r="K944" t="str">
        <f>IF(DONNEES!$E944="","",DONNEES!L944)</f>
        <v/>
      </c>
      <c r="L944" t="str">
        <f>IF(DONNEES!$E944="","",DONNEES!M944)</f>
        <v/>
      </c>
      <c r="M944" t="str">
        <f>IF(DONNEES!$E944="","",DONNEES!N944)</f>
        <v/>
      </c>
      <c r="N944" t="str">
        <f>IF(DONNEES!$E944="","",DONNEES!O944)</f>
        <v/>
      </c>
      <c r="O944" t="str">
        <f>IF(DONNEES!$E944="","",DONNEES!P944)</f>
        <v/>
      </c>
      <c r="P944" t="str">
        <f>IF(DONNEES!$E944="","",DONNEES!Q944)</f>
        <v/>
      </c>
      <c r="Q944" t="str">
        <f>IF(DONNEES!$E944="","",DONNEES!R944)</f>
        <v/>
      </c>
      <c r="R944" t="str">
        <f>IF(DONNEES!$E944="","",DONNEES!S944)</f>
        <v/>
      </c>
      <c r="S944" t="str">
        <f>IF(DONNEES!$E944="","",DONNEES!T944)</f>
        <v/>
      </c>
      <c r="T944" t="str">
        <f>IF(DONNEES!$E944="","",DONNEES!U944)</f>
        <v/>
      </c>
      <c r="U944" t="str">
        <f>IF(DONNEES!$E944="","",DONNEES!V944)</f>
        <v/>
      </c>
      <c r="V944" t="str">
        <f>IF(DONNEES!$E944="","",DONNEES!W944)</f>
        <v/>
      </c>
      <c r="W944" t="str">
        <f>IF(DONNEES!$E944="","",DONNEES!X944)</f>
        <v/>
      </c>
      <c r="X944" t="str">
        <f>IF(DONNEES!$E944="","",DONNEES!Y944)</f>
        <v/>
      </c>
      <c r="Y944" t="str">
        <f>IF(DONNEES!$E944="","",DONNEES!Z944)</f>
        <v/>
      </c>
      <c r="Z944" t="str">
        <f>IF(DONNEES!$E944="","",DONNEES!AQ944)</f>
        <v/>
      </c>
    </row>
    <row r="945" spans="1:26" ht="15" customHeight="1" x14ac:dyDescent="0.3">
      <c r="A945" t="str">
        <f>IF(DONNEES!$E945="","",DONNEES!A945)</f>
        <v/>
      </c>
      <c r="B945" t="str">
        <f>IF(DONNEES!$E945="","",DONNEES!B945)</f>
        <v/>
      </c>
      <c r="C945" t="str">
        <f>IF(DONNEES!$E945="","",DONNEES!C945)</f>
        <v/>
      </c>
      <c r="D945" t="str">
        <f>IF(DONNEES!$E945="","",DONNEES!E945)</f>
        <v/>
      </c>
      <c r="E945" t="str">
        <f>IF(DONNEES!$E945="","",DONNEES!F945)</f>
        <v/>
      </c>
      <c r="F945" t="str">
        <f>IF(DONNEES!$E945="","",DONNEES!G945)</f>
        <v/>
      </c>
      <c r="G945" t="str">
        <f>IF(DONNEES!$E945="","",DONNEES!H945)</f>
        <v/>
      </c>
      <c r="H945" t="str">
        <f>IF(DONNEES!$E945="","",DONNEES!I945)</f>
        <v/>
      </c>
      <c r="I945" t="str">
        <f>IF(DONNEES!$E945="","",DONNEES!J945)</f>
        <v/>
      </c>
      <c r="J945" t="str">
        <f>IF(DONNEES!$E945="","",DONNEES!K945)</f>
        <v/>
      </c>
      <c r="K945" t="str">
        <f>IF(DONNEES!$E945="","",DONNEES!L945)</f>
        <v/>
      </c>
      <c r="L945" t="str">
        <f>IF(DONNEES!$E945="","",DONNEES!M945)</f>
        <v/>
      </c>
      <c r="M945" t="str">
        <f>IF(DONNEES!$E945="","",DONNEES!N945)</f>
        <v/>
      </c>
      <c r="N945" t="str">
        <f>IF(DONNEES!$E945="","",DONNEES!O945)</f>
        <v/>
      </c>
      <c r="O945" t="str">
        <f>IF(DONNEES!$E945="","",DONNEES!P945)</f>
        <v/>
      </c>
      <c r="P945" t="str">
        <f>IF(DONNEES!$E945="","",DONNEES!Q945)</f>
        <v/>
      </c>
      <c r="Q945" t="str">
        <f>IF(DONNEES!$E945="","",DONNEES!R945)</f>
        <v/>
      </c>
      <c r="R945" t="str">
        <f>IF(DONNEES!$E945="","",DONNEES!S945)</f>
        <v/>
      </c>
      <c r="S945" t="str">
        <f>IF(DONNEES!$E945="","",DONNEES!T945)</f>
        <v/>
      </c>
      <c r="T945" t="str">
        <f>IF(DONNEES!$E945="","",DONNEES!U945)</f>
        <v/>
      </c>
      <c r="U945" t="str">
        <f>IF(DONNEES!$E945="","",DONNEES!V945)</f>
        <v/>
      </c>
      <c r="V945" t="str">
        <f>IF(DONNEES!$E945="","",DONNEES!W945)</f>
        <v/>
      </c>
      <c r="W945" t="str">
        <f>IF(DONNEES!$E945="","",DONNEES!X945)</f>
        <v/>
      </c>
      <c r="X945" t="str">
        <f>IF(DONNEES!$E945="","",DONNEES!Y945)</f>
        <v/>
      </c>
      <c r="Y945" t="str">
        <f>IF(DONNEES!$E945="","",DONNEES!Z945)</f>
        <v/>
      </c>
      <c r="Z945" t="str">
        <f>IF(DONNEES!$E945="","",DONNEES!AQ945)</f>
        <v/>
      </c>
    </row>
    <row r="946" spans="1:26" ht="15" customHeight="1" x14ac:dyDescent="0.3">
      <c r="A946" t="str">
        <f>IF(DONNEES!$E946="","",DONNEES!A946)</f>
        <v/>
      </c>
      <c r="B946" t="str">
        <f>IF(DONNEES!$E946="","",DONNEES!B946)</f>
        <v/>
      </c>
      <c r="C946" t="str">
        <f>IF(DONNEES!$E946="","",DONNEES!C946)</f>
        <v/>
      </c>
      <c r="D946" t="str">
        <f>IF(DONNEES!$E946="","",DONNEES!E946)</f>
        <v/>
      </c>
      <c r="E946" t="str">
        <f>IF(DONNEES!$E946="","",DONNEES!F946)</f>
        <v/>
      </c>
      <c r="F946" t="str">
        <f>IF(DONNEES!$E946="","",DONNEES!G946)</f>
        <v/>
      </c>
      <c r="G946" t="str">
        <f>IF(DONNEES!$E946="","",DONNEES!H946)</f>
        <v/>
      </c>
      <c r="H946" t="str">
        <f>IF(DONNEES!$E946="","",DONNEES!I946)</f>
        <v/>
      </c>
      <c r="I946" t="str">
        <f>IF(DONNEES!$E946="","",DONNEES!J946)</f>
        <v/>
      </c>
      <c r="J946" t="str">
        <f>IF(DONNEES!$E946="","",DONNEES!K946)</f>
        <v/>
      </c>
      <c r="K946" t="str">
        <f>IF(DONNEES!$E946="","",DONNEES!L946)</f>
        <v/>
      </c>
      <c r="L946" t="str">
        <f>IF(DONNEES!$E946="","",DONNEES!M946)</f>
        <v/>
      </c>
      <c r="M946" t="str">
        <f>IF(DONNEES!$E946="","",DONNEES!N946)</f>
        <v/>
      </c>
      <c r="N946" t="str">
        <f>IF(DONNEES!$E946="","",DONNEES!O946)</f>
        <v/>
      </c>
      <c r="O946" t="str">
        <f>IF(DONNEES!$E946="","",DONNEES!P946)</f>
        <v/>
      </c>
      <c r="P946" t="str">
        <f>IF(DONNEES!$E946="","",DONNEES!Q946)</f>
        <v/>
      </c>
      <c r="Q946" t="str">
        <f>IF(DONNEES!$E946="","",DONNEES!R946)</f>
        <v/>
      </c>
      <c r="R946" t="str">
        <f>IF(DONNEES!$E946="","",DONNEES!S946)</f>
        <v/>
      </c>
      <c r="S946" t="str">
        <f>IF(DONNEES!$E946="","",DONNEES!T946)</f>
        <v/>
      </c>
      <c r="T946" t="str">
        <f>IF(DONNEES!$E946="","",DONNEES!U946)</f>
        <v/>
      </c>
      <c r="U946" t="str">
        <f>IF(DONNEES!$E946="","",DONNEES!V946)</f>
        <v/>
      </c>
      <c r="V946" t="str">
        <f>IF(DONNEES!$E946="","",DONNEES!W946)</f>
        <v/>
      </c>
      <c r="W946" t="str">
        <f>IF(DONNEES!$E946="","",DONNEES!X946)</f>
        <v/>
      </c>
      <c r="X946" t="str">
        <f>IF(DONNEES!$E946="","",DONNEES!Y946)</f>
        <v/>
      </c>
      <c r="Y946" t="str">
        <f>IF(DONNEES!$E946="","",DONNEES!Z946)</f>
        <v/>
      </c>
      <c r="Z946" t="str">
        <f>IF(DONNEES!$E946="","",DONNEES!AQ946)</f>
        <v/>
      </c>
    </row>
    <row r="947" spans="1:26" ht="15" customHeight="1" x14ac:dyDescent="0.3">
      <c r="A947" t="str">
        <f>IF(DONNEES!$E947="","",DONNEES!A947)</f>
        <v/>
      </c>
      <c r="B947" t="str">
        <f>IF(DONNEES!$E947="","",DONNEES!B947)</f>
        <v/>
      </c>
      <c r="C947" t="str">
        <f>IF(DONNEES!$E947="","",DONNEES!C947)</f>
        <v/>
      </c>
      <c r="D947" t="str">
        <f>IF(DONNEES!$E947="","",DONNEES!E947)</f>
        <v/>
      </c>
      <c r="E947" t="str">
        <f>IF(DONNEES!$E947="","",DONNEES!F947)</f>
        <v/>
      </c>
      <c r="F947" t="str">
        <f>IF(DONNEES!$E947="","",DONNEES!G947)</f>
        <v/>
      </c>
      <c r="G947" t="str">
        <f>IF(DONNEES!$E947="","",DONNEES!H947)</f>
        <v/>
      </c>
      <c r="H947" t="str">
        <f>IF(DONNEES!$E947="","",DONNEES!I947)</f>
        <v/>
      </c>
      <c r="I947" t="str">
        <f>IF(DONNEES!$E947="","",DONNEES!J947)</f>
        <v/>
      </c>
      <c r="J947" t="str">
        <f>IF(DONNEES!$E947="","",DONNEES!K947)</f>
        <v/>
      </c>
      <c r="K947" t="str">
        <f>IF(DONNEES!$E947="","",DONNEES!L947)</f>
        <v/>
      </c>
      <c r="L947" t="str">
        <f>IF(DONNEES!$E947="","",DONNEES!M947)</f>
        <v/>
      </c>
      <c r="M947" t="str">
        <f>IF(DONNEES!$E947="","",DONNEES!N947)</f>
        <v/>
      </c>
      <c r="N947" t="str">
        <f>IF(DONNEES!$E947="","",DONNEES!O947)</f>
        <v/>
      </c>
      <c r="O947" t="str">
        <f>IF(DONNEES!$E947="","",DONNEES!P947)</f>
        <v/>
      </c>
      <c r="P947" t="str">
        <f>IF(DONNEES!$E947="","",DONNEES!Q947)</f>
        <v/>
      </c>
      <c r="Q947" t="str">
        <f>IF(DONNEES!$E947="","",DONNEES!R947)</f>
        <v/>
      </c>
      <c r="R947" t="str">
        <f>IF(DONNEES!$E947="","",DONNEES!S947)</f>
        <v/>
      </c>
      <c r="S947" t="str">
        <f>IF(DONNEES!$E947="","",DONNEES!T947)</f>
        <v/>
      </c>
      <c r="T947" t="str">
        <f>IF(DONNEES!$E947="","",DONNEES!U947)</f>
        <v/>
      </c>
      <c r="U947" t="str">
        <f>IF(DONNEES!$E947="","",DONNEES!V947)</f>
        <v/>
      </c>
      <c r="V947" t="str">
        <f>IF(DONNEES!$E947="","",DONNEES!W947)</f>
        <v/>
      </c>
      <c r="W947" t="str">
        <f>IF(DONNEES!$E947="","",DONNEES!X947)</f>
        <v/>
      </c>
      <c r="X947" t="str">
        <f>IF(DONNEES!$E947="","",DONNEES!Y947)</f>
        <v/>
      </c>
      <c r="Y947" t="str">
        <f>IF(DONNEES!$E947="","",DONNEES!Z947)</f>
        <v/>
      </c>
      <c r="Z947" t="str">
        <f>IF(DONNEES!$E947="","",DONNEES!AQ947)</f>
        <v/>
      </c>
    </row>
    <row r="948" spans="1:26" ht="15" customHeight="1" x14ac:dyDescent="0.3">
      <c r="A948" t="str">
        <f>IF(DONNEES!$E948="","",DONNEES!A948)</f>
        <v/>
      </c>
      <c r="B948" t="str">
        <f>IF(DONNEES!$E948="","",DONNEES!B948)</f>
        <v/>
      </c>
      <c r="C948" t="str">
        <f>IF(DONNEES!$E948="","",DONNEES!C948)</f>
        <v/>
      </c>
      <c r="D948" t="str">
        <f>IF(DONNEES!$E948="","",DONNEES!E948)</f>
        <v/>
      </c>
      <c r="E948" t="str">
        <f>IF(DONNEES!$E948="","",DONNEES!F948)</f>
        <v/>
      </c>
      <c r="F948" t="str">
        <f>IF(DONNEES!$E948="","",DONNEES!G948)</f>
        <v/>
      </c>
      <c r="G948" t="str">
        <f>IF(DONNEES!$E948="","",DONNEES!H948)</f>
        <v/>
      </c>
      <c r="H948" t="str">
        <f>IF(DONNEES!$E948="","",DONNEES!I948)</f>
        <v/>
      </c>
      <c r="I948" t="str">
        <f>IF(DONNEES!$E948="","",DONNEES!J948)</f>
        <v/>
      </c>
      <c r="J948" t="str">
        <f>IF(DONNEES!$E948="","",DONNEES!K948)</f>
        <v/>
      </c>
      <c r="K948" t="str">
        <f>IF(DONNEES!$E948="","",DONNEES!L948)</f>
        <v/>
      </c>
      <c r="L948" t="str">
        <f>IF(DONNEES!$E948="","",DONNEES!M948)</f>
        <v/>
      </c>
      <c r="M948" t="str">
        <f>IF(DONNEES!$E948="","",DONNEES!N948)</f>
        <v/>
      </c>
      <c r="N948" t="str">
        <f>IF(DONNEES!$E948="","",DONNEES!O948)</f>
        <v/>
      </c>
      <c r="O948" t="str">
        <f>IF(DONNEES!$E948="","",DONNEES!P948)</f>
        <v/>
      </c>
      <c r="P948" t="str">
        <f>IF(DONNEES!$E948="","",DONNEES!Q948)</f>
        <v/>
      </c>
      <c r="Q948" t="str">
        <f>IF(DONNEES!$E948="","",DONNEES!R948)</f>
        <v/>
      </c>
      <c r="R948" t="str">
        <f>IF(DONNEES!$E948="","",DONNEES!S948)</f>
        <v/>
      </c>
      <c r="S948" t="str">
        <f>IF(DONNEES!$E948="","",DONNEES!T948)</f>
        <v/>
      </c>
      <c r="T948" t="str">
        <f>IF(DONNEES!$E948="","",DONNEES!U948)</f>
        <v/>
      </c>
      <c r="U948" t="str">
        <f>IF(DONNEES!$E948="","",DONNEES!V948)</f>
        <v/>
      </c>
      <c r="V948" t="str">
        <f>IF(DONNEES!$E948="","",DONNEES!W948)</f>
        <v/>
      </c>
      <c r="W948" t="str">
        <f>IF(DONNEES!$E948="","",DONNEES!X948)</f>
        <v/>
      </c>
      <c r="X948" t="str">
        <f>IF(DONNEES!$E948="","",DONNEES!Y948)</f>
        <v/>
      </c>
      <c r="Y948" t="str">
        <f>IF(DONNEES!$E948="","",DONNEES!Z948)</f>
        <v/>
      </c>
      <c r="Z948" t="str">
        <f>IF(DONNEES!$E948="","",DONNEES!AQ948)</f>
        <v/>
      </c>
    </row>
    <row r="949" spans="1:26" ht="15" customHeight="1" x14ac:dyDescent="0.3">
      <c r="A949" t="str">
        <f>IF(DONNEES!$E949="","",DONNEES!A949)</f>
        <v/>
      </c>
      <c r="B949" t="str">
        <f>IF(DONNEES!$E949="","",DONNEES!B949)</f>
        <v/>
      </c>
      <c r="C949" t="str">
        <f>IF(DONNEES!$E949="","",DONNEES!C949)</f>
        <v/>
      </c>
      <c r="D949" t="str">
        <f>IF(DONNEES!$E949="","",DONNEES!E949)</f>
        <v/>
      </c>
      <c r="E949" t="str">
        <f>IF(DONNEES!$E949="","",DONNEES!F949)</f>
        <v/>
      </c>
      <c r="F949" t="str">
        <f>IF(DONNEES!$E949="","",DONNEES!G949)</f>
        <v/>
      </c>
      <c r="G949" t="str">
        <f>IF(DONNEES!$E949="","",DONNEES!H949)</f>
        <v/>
      </c>
      <c r="H949" t="str">
        <f>IF(DONNEES!$E949="","",DONNEES!I949)</f>
        <v/>
      </c>
      <c r="I949" t="str">
        <f>IF(DONNEES!$E949="","",DONNEES!J949)</f>
        <v/>
      </c>
      <c r="J949" t="str">
        <f>IF(DONNEES!$E949="","",DONNEES!K949)</f>
        <v/>
      </c>
      <c r="K949" t="str">
        <f>IF(DONNEES!$E949="","",DONNEES!L949)</f>
        <v/>
      </c>
      <c r="L949" t="str">
        <f>IF(DONNEES!$E949="","",DONNEES!M949)</f>
        <v/>
      </c>
      <c r="M949" t="str">
        <f>IF(DONNEES!$E949="","",DONNEES!N949)</f>
        <v/>
      </c>
      <c r="N949" t="str">
        <f>IF(DONNEES!$E949="","",DONNEES!O949)</f>
        <v/>
      </c>
      <c r="O949" t="str">
        <f>IF(DONNEES!$E949="","",DONNEES!P949)</f>
        <v/>
      </c>
      <c r="P949" t="str">
        <f>IF(DONNEES!$E949="","",DONNEES!Q949)</f>
        <v/>
      </c>
      <c r="Q949" t="str">
        <f>IF(DONNEES!$E949="","",DONNEES!R949)</f>
        <v/>
      </c>
      <c r="R949" t="str">
        <f>IF(DONNEES!$E949="","",DONNEES!S949)</f>
        <v/>
      </c>
      <c r="S949" t="str">
        <f>IF(DONNEES!$E949="","",DONNEES!T949)</f>
        <v/>
      </c>
      <c r="T949" t="str">
        <f>IF(DONNEES!$E949="","",DONNEES!U949)</f>
        <v/>
      </c>
      <c r="U949" t="str">
        <f>IF(DONNEES!$E949="","",DONNEES!V949)</f>
        <v/>
      </c>
      <c r="V949" t="str">
        <f>IF(DONNEES!$E949="","",DONNEES!W949)</f>
        <v/>
      </c>
      <c r="W949" t="str">
        <f>IF(DONNEES!$E949="","",DONNEES!X949)</f>
        <v/>
      </c>
      <c r="X949" t="str">
        <f>IF(DONNEES!$E949="","",DONNEES!Y949)</f>
        <v/>
      </c>
      <c r="Y949" t="str">
        <f>IF(DONNEES!$E949="","",DONNEES!Z949)</f>
        <v/>
      </c>
      <c r="Z949" t="str">
        <f>IF(DONNEES!$E949="","",DONNEES!AQ949)</f>
        <v/>
      </c>
    </row>
    <row r="950" spans="1:26" ht="15" customHeight="1" x14ac:dyDescent="0.3">
      <c r="A950" t="str">
        <f>IF(DONNEES!$E950="","",DONNEES!A950)</f>
        <v/>
      </c>
      <c r="B950" t="str">
        <f>IF(DONNEES!$E950="","",DONNEES!B950)</f>
        <v/>
      </c>
      <c r="C950" t="str">
        <f>IF(DONNEES!$E950="","",DONNEES!C950)</f>
        <v/>
      </c>
      <c r="D950" t="str">
        <f>IF(DONNEES!$E950="","",DONNEES!E950)</f>
        <v/>
      </c>
      <c r="E950" t="str">
        <f>IF(DONNEES!$E950="","",DONNEES!F950)</f>
        <v/>
      </c>
      <c r="F950" t="str">
        <f>IF(DONNEES!$E950="","",DONNEES!G950)</f>
        <v/>
      </c>
      <c r="G950" t="str">
        <f>IF(DONNEES!$E950="","",DONNEES!H950)</f>
        <v/>
      </c>
      <c r="H950" t="str">
        <f>IF(DONNEES!$E950="","",DONNEES!I950)</f>
        <v/>
      </c>
      <c r="I950" t="str">
        <f>IF(DONNEES!$E950="","",DONNEES!J950)</f>
        <v/>
      </c>
      <c r="J950" t="str">
        <f>IF(DONNEES!$E950="","",DONNEES!K950)</f>
        <v/>
      </c>
      <c r="K950" t="str">
        <f>IF(DONNEES!$E950="","",DONNEES!L950)</f>
        <v/>
      </c>
      <c r="L950" t="str">
        <f>IF(DONNEES!$E950="","",DONNEES!M950)</f>
        <v/>
      </c>
      <c r="M950" t="str">
        <f>IF(DONNEES!$E950="","",DONNEES!N950)</f>
        <v/>
      </c>
      <c r="N950" t="str">
        <f>IF(DONNEES!$E950="","",DONNEES!O950)</f>
        <v/>
      </c>
      <c r="O950" t="str">
        <f>IF(DONNEES!$E950="","",DONNEES!P950)</f>
        <v/>
      </c>
      <c r="P950" t="str">
        <f>IF(DONNEES!$E950="","",DONNEES!Q950)</f>
        <v/>
      </c>
      <c r="Q950" t="str">
        <f>IF(DONNEES!$E950="","",DONNEES!R950)</f>
        <v/>
      </c>
      <c r="R950" t="str">
        <f>IF(DONNEES!$E950="","",DONNEES!S950)</f>
        <v/>
      </c>
      <c r="S950" t="str">
        <f>IF(DONNEES!$E950="","",DONNEES!T950)</f>
        <v/>
      </c>
      <c r="T950" t="str">
        <f>IF(DONNEES!$E950="","",DONNEES!U950)</f>
        <v/>
      </c>
      <c r="U950" t="str">
        <f>IF(DONNEES!$E950="","",DONNEES!V950)</f>
        <v/>
      </c>
      <c r="V950" t="str">
        <f>IF(DONNEES!$E950="","",DONNEES!W950)</f>
        <v/>
      </c>
      <c r="W950" t="str">
        <f>IF(DONNEES!$E950="","",DONNEES!X950)</f>
        <v/>
      </c>
      <c r="X950" t="str">
        <f>IF(DONNEES!$E950="","",DONNEES!Y950)</f>
        <v/>
      </c>
      <c r="Y950" t="str">
        <f>IF(DONNEES!$E950="","",DONNEES!Z950)</f>
        <v/>
      </c>
      <c r="Z950" t="str">
        <f>IF(DONNEES!$E950="","",DONNEES!AQ950)</f>
        <v/>
      </c>
    </row>
    <row r="951" spans="1:26" ht="15" customHeight="1" x14ac:dyDescent="0.3">
      <c r="A951" t="str">
        <f>IF(DONNEES!$E951="","",DONNEES!A951)</f>
        <v/>
      </c>
      <c r="B951" t="str">
        <f>IF(DONNEES!$E951="","",DONNEES!B951)</f>
        <v/>
      </c>
      <c r="C951" t="str">
        <f>IF(DONNEES!$E951="","",DONNEES!C951)</f>
        <v/>
      </c>
      <c r="D951" t="str">
        <f>IF(DONNEES!$E951="","",DONNEES!E951)</f>
        <v/>
      </c>
      <c r="E951" t="str">
        <f>IF(DONNEES!$E951="","",DONNEES!F951)</f>
        <v/>
      </c>
      <c r="F951" t="str">
        <f>IF(DONNEES!$E951="","",DONNEES!G951)</f>
        <v/>
      </c>
      <c r="G951" t="str">
        <f>IF(DONNEES!$E951="","",DONNEES!H951)</f>
        <v/>
      </c>
      <c r="H951" t="str">
        <f>IF(DONNEES!$E951="","",DONNEES!I951)</f>
        <v/>
      </c>
      <c r="I951" t="str">
        <f>IF(DONNEES!$E951="","",DONNEES!J951)</f>
        <v/>
      </c>
      <c r="J951" t="str">
        <f>IF(DONNEES!$E951="","",DONNEES!K951)</f>
        <v/>
      </c>
      <c r="K951" t="str">
        <f>IF(DONNEES!$E951="","",DONNEES!L951)</f>
        <v/>
      </c>
      <c r="L951" t="str">
        <f>IF(DONNEES!$E951="","",DONNEES!M951)</f>
        <v/>
      </c>
      <c r="M951" t="str">
        <f>IF(DONNEES!$E951="","",DONNEES!N951)</f>
        <v/>
      </c>
      <c r="N951" t="str">
        <f>IF(DONNEES!$E951="","",DONNEES!O951)</f>
        <v/>
      </c>
      <c r="O951" t="str">
        <f>IF(DONNEES!$E951="","",DONNEES!P951)</f>
        <v/>
      </c>
      <c r="P951" t="str">
        <f>IF(DONNEES!$E951="","",DONNEES!Q951)</f>
        <v/>
      </c>
      <c r="Q951" t="str">
        <f>IF(DONNEES!$E951="","",DONNEES!R951)</f>
        <v/>
      </c>
      <c r="R951" t="str">
        <f>IF(DONNEES!$E951="","",DONNEES!S951)</f>
        <v/>
      </c>
      <c r="S951" t="str">
        <f>IF(DONNEES!$E951="","",DONNEES!T951)</f>
        <v/>
      </c>
      <c r="T951" t="str">
        <f>IF(DONNEES!$E951="","",DONNEES!U951)</f>
        <v/>
      </c>
      <c r="U951" t="str">
        <f>IF(DONNEES!$E951="","",DONNEES!V951)</f>
        <v/>
      </c>
      <c r="V951" t="str">
        <f>IF(DONNEES!$E951="","",DONNEES!W951)</f>
        <v/>
      </c>
      <c r="W951" t="str">
        <f>IF(DONNEES!$E951="","",DONNEES!X951)</f>
        <v/>
      </c>
      <c r="X951" t="str">
        <f>IF(DONNEES!$E951="","",DONNEES!Y951)</f>
        <v/>
      </c>
      <c r="Y951" t="str">
        <f>IF(DONNEES!$E951="","",DONNEES!Z951)</f>
        <v/>
      </c>
      <c r="Z951" t="str">
        <f>IF(DONNEES!$E951="","",DONNEES!AQ951)</f>
        <v/>
      </c>
    </row>
    <row r="952" spans="1:26" ht="15" customHeight="1" x14ac:dyDescent="0.3">
      <c r="A952" t="str">
        <f>IF(DONNEES!$E952="","",DONNEES!A952)</f>
        <v/>
      </c>
      <c r="B952" t="str">
        <f>IF(DONNEES!$E952="","",DONNEES!B952)</f>
        <v/>
      </c>
      <c r="C952" t="str">
        <f>IF(DONNEES!$E952="","",DONNEES!C952)</f>
        <v/>
      </c>
      <c r="D952" t="str">
        <f>IF(DONNEES!$E952="","",DONNEES!E952)</f>
        <v/>
      </c>
      <c r="E952" t="str">
        <f>IF(DONNEES!$E952="","",DONNEES!F952)</f>
        <v/>
      </c>
      <c r="F952" t="str">
        <f>IF(DONNEES!$E952="","",DONNEES!G952)</f>
        <v/>
      </c>
      <c r="G952" t="str">
        <f>IF(DONNEES!$E952="","",DONNEES!H952)</f>
        <v/>
      </c>
      <c r="H952" t="str">
        <f>IF(DONNEES!$E952="","",DONNEES!I952)</f>
        <v/>
      </c>
      <c r="I952" t="str">
        <f>IF(DONNEES!$E952="","",DONNEES!J952)</f>
        <v/>
      </c>
      <c r="J952" t="str">
        <f>IF(DONNEES!$E952="","",DONNEES!K952)</f>
        <v/>
      </c>
      <c r="K952" t="str">
        <f>IF(DONNEES!$E952="","",DONNEES!L952)</f>
        <v/>
      </c>
      <c r="L952" t="str">
        <f>IF(DONNEES!$E952="","",DONNEES!M952)</f>
        <v/>
      </c>
      <c r="M952" t="str">
        <f>IF(DONNEES!$E952="","",DONNEES!N952)</f>
        <v/>
      </c>
      <c r="N952" t="str">
        <f>IF(DONNEES!$E952="","",DONNEES!O952)</f>
        <v/>
      </c>
      <c r="O952" t="str">
        <f>IF(DONNEES!$E952="","",DONNEES!P952)</f>
        <v/>
      </c>
      <c r="P952" t="str">
        <f>IF(DONNEES!$E952="","",DONNEES!Q952)</f>
        <v/>
      </c>
      <c r="Q952" t="str">
        <f>IF(DONNEES!$E952="","",DONNEES!R952)</f>
        <v/>
      </c>
      <c r="R952" t="str">
        <f>IF(DONNEES!$E952="","",DONNEES!S952)</f>
        <v/>
      </c>
      <c r="S952" t="str">
        <f>IF(DONNEES!$E952="","",DONNEES!T952)</f>
        <v/>
      </c>
      <c r="T952" t="str">
        <f>IF(DONNEES!$E952="","",DONNEES!U952)</f>
        <v/>
      </c>
      <c r="U952" t="str">
        <f>IF(DONNEES!$E952="","",DONNEES!V952)</f>
        <v/>
      </c>
      <c r="V952" t="str">
        <f>IF(DONNEES!$E952="","",DONNEES!W952)</f>
        <v/>
      </c>
      <c r="W952" t="str">
        <f>IF(DONNEES!$E952="","",DONNEES!X952)</f>
        <v/>
      </c>
      <c r="X952" t="str">
        <f>IF(DONNEES!$E952="","",DONNEES!Y952)</f>
        <v/>
      </c>
      <c r="Y952" t="str">
        <f>IF(DONNEES!$E952="","",DONNEES!Z952)</f>
        <v/>
      </c>
      <c r="Z952" t="str">
        <f>IF(DONNEES!$E952="","",DONNEES!AQ952)</f>
        <v/>
      </c>
    </row>
    <row r="953" spans="1:26" ht="15" customHeight="1" x14ac:dyDescent="0.3">
      <c r="A953" t="str">
        <f>IF(DONNEES!$E953="","",DONNEES!A953)</f>
        <v/>
      </c>
      <c r="B953" t="str">
        <f>IF(DONNEES!$E953="","",DONNEES!B953)</f>
        <v/>
      </c>
      <c r="C953" t="str">
        <f>IF(DONNEES!$E953="","",DONNEES!C953)</f>
        <v/>
      </c>
      <c r="D953" t="str">
        <f>IF(DONNEES!$E953="","",DONNEES!E953)</f>
        <v/>
      </c>
      <c r="E953" t="str">
        <f>IF(DONNEES!$E953="","",DONNEES!F953)</f>
        <v/>
      </c>
      <c r="F953" t="str">
        <f>IF(DONNEES!$E953="","",DONNEES!G953)</f>
        <v/>
      </c>
      <c r="G953" t="str">
        <f>IF(DONNEES!$E953="","",DONNEES!H953)</f>
        <v/>
      </c>
      <c r="H953" t="str">
        <f>IF(DONNEES!$E953="","",DONNEES!I953)</f>
        <v/>
      </c>
      <c r="I953" t="str">
        <f>IF(DONNEES!$E953="","",DONNEES!J953)</f>
        <v/>
      </c>
      <c r="J953" t="str">
        <f>IF(DONNEES!$E953="","",DONNEES!K953)</f>
        <v/>
      </c>
      <c r="K953" t="str">
        <f>IF(DONNEES!$E953="","",DONNEES!L953)</f>
        <v/>
      </c>
      <c r="L953" t="str">
        <f>IF(DONNEES!$E953="","",DONNEES!M953)</f>
        <v/>
      </c>
      <c r="M953" t="str">
        <f>IF(DONNEES!$E953="","",DONNEES!N953)</f>
        <v/>
      </c>
      <c r="N953" t="str">
        <f>IF(DONNEES!$E953="","",DONNEES!O953)</f>
        <v/>
      </c>
      <c r="O953" t="str">
        <f>IF(DONNEES!$E953="","",DONNEES!P953)</f>
        <v/>
      </c>
      <c r="P953" t="str">
        <f>IF(DONNEES!$E953="","",DONNEES!Q953)</f>
        <v/>
      </c>
      <c r="Q953" t="str">
        <f>IF(DONNEES!$E953="","",DONNEES!R953)</f>
        <v/>
      </c>
      <c r="R953" t="str">
        <f>IF(DONNEES!$E953="","",DONNEES!S953)</f>
        <v/>
      </c>
      <c r="S953" t="str">
        <f>IF(DONNEES!$E953="","",DONNEES!T953)</f>
        <v/>
      </c>
      <c r="T953" t="str">
        <f>IF(DONNEES!$E953="","",DONNEES!U953)</f>
        <v/>
      </c>
      <c r="U953" t="str">
        <f>IF(DONNEES!$E953="","",DONNEES!V953)</f>
        <v/>
      </c>
      <c r="V953" t="str">
        <f>IF(DONNEES!$E953="","",DONNEES!W953)</f>
        <v/>
      </c>
      <c r="W953" t="str">
        <f>IF(DONNEES!$E953="","",DONNEES!X953)</f>
        <v/>
      </c>
      <c r="X953" t="str">
        <f>IF(DONNEES!$E953="","",DONNEES!Y953)</f>
        <v/>
      </c>
      <c r="Y953" t="str">
        <f>IF(DONNEES!$E953="","",DONNEES!Z953)</f>
        <v/>
      </c>
      <c r="Z953" t="str">
        <f>IF(DONNEES!$E953="","",DONNEES!AQ953)</f>
        <v/>
      </c>
    </row>
    <row r="954" spans="1:26" ht="15" customHeight="1" x14ac:dyDescent="0.3">
      <c r="A954" t="str">
        <f>IF(DONNEES!$E954="","",DONNEES!A954)</f>
        <v/>
      </c>
      <c r="B954" t="str">
        <f>IF(DONNEES!$E954="","",DONNEES!B954)</f>
        <v/>
      </c>
      <c r="C954" t="str">
        <f>IF(DONNEES!$E954="","",DONNEES!C954)</f>
        <v/>
      </c>
      <c r="D954" t="str">
        <f>IF(DONNEES!$E954="","",DONNEES!E954)</f>
        <v/>
      </c>
      <c r="E954" t="str">
        <f>IF(DONNEES!$E954="","",DONNEES!F954)</f>
        <v/>
      </c>
      <c r="F954" t="str">
        <f>IF(DONNEES!$E954="","",DONNEES!G954)</f>
        <v/>
      </c>
      <c r="G954" t="str">
        <f>IF(DONNEES!$E954="","",DONNEES!H954)</f>
        <v/>
      </c>
      <c r="H954" t="str">
        <f>IF(DONNEES!$E954="","",DONNEES!I954)</f>
        <v/>
      </c>
      <c r="I954" t="str">
        <f>IF(DONNEES!$E954="","",DONNEES!J954)</f>
        <v/>
      </c>
      <c r="J954" t="str">
        <f>IF(DONNEES!$E954="","",DONNEES!K954)</f>
        <v/>
      </c>
      <c r="K954" t="str">
        <f>IF(DONNEES!$E954="","",DONNEES!L954)</f>
        <v/>
      </c>
      <c r="L954" t="str">
        <f>IF(DONNEES!$E954="","",DONNEES!M954)</f>
        <v/>
      </c>
      <c r="M954" t="str">
        <f>IF(DONNEES!$E954="","",DONNEES!N954)</f>
        <v/>
      </c>
      <c r="N954" t="str">
        <f>IF(DONNEES!$E954="","",DONNEES!O954)</f>
        <v/>
      </c>
      <c r="O954" t="str">
        <f>IF(DONNEES!$E954="","",DONNEES!P954)</f>
        <v/>
      </c>
      <c r="P954" t="str">
        <f>IF(DONNEES!$E954="","",DONNEES!Q954)</f>
        <v/>
      </c>
      <c r="Q954" t="str">
        <f>IF(DONNEES!$E954="","",DONNEES!R954)</f>
        <v/>
      </c>
      <c r="R954" t="str">
        <f>IF(DONNEES!$E954="","",DONNEES!S954)</f>
        <v/>
      </c>
      <c r="S954" t="str">
        <f>IF(DONNEES!$E954="","",DONNEES!T954)</f>
        <v/>
      </c>
      <c r="T954" t="str">
        <f>IF(DONNEES!$E954="","",DONNEES!U954)</f>
        <v/>
      </c>
      <c r="U954" t="str">
        <f>IF(DONNEES!$E954="","",DONNEES!V954)</f>
        <v/>
      </c>
      <c r="V954" t="str">
        <f>IF(DONNEES!$E954="","",DONNEES!W954)</f>
        <v/>
      </c>
      <c r="W954" t="str">
        <f>IF(DONNEES!$E954="","",DONNEES!X954)</f>
        <v/>
      </c>
      <c r="X954" t="str">
        <f>IF(DONNEES!$E954="","",DONNEES!Y954)</f>
        <v/>
      </c>
      <c r="Y954" t="str">
        <f>IF(DONNEES!$E954="","",DONNEES!Z954)</f>
        <v/>
      </c>
      <c r="Z954" t="str">
        <f>IF(DONNEES!$E954="","",DONNEES!AQ954)</f>
        <v/>
      </c>
    </row>
    <row r="955" spans="1:26" ht="15" customHeight="1" x14ac:dyDescent="0.3">
      <c r="A955" t="str">
        <f>IF(DONNEES!$E955="","",DONNEES!A955)</f>
        <v/>
      </c>
      <c r="B955" t="str">
        <f>IF(DONNEES!$E955="","",DONNEES!B955)</f>
        <v/>
      </c>
      <c r="C955" t="str">
        <f>IF(DONNEES!$E955="","",DONNEES!C955)</f>
        <v/>
      </c>
      <c r="D955" t="str">
        <f>IF(DONNEES!$E955="","",DONNEES!E955)</f>
        <v/>
      </c>
      <c r="E955" t="str">
        <f>IF(DONNEES!$E955="","",DONNEES!F955)</f>
        <v/>
      </c>
      <c r="F955" t="str">
        <f>IF(DONNEES!$E955="","",DONNEES!G955)</f>
        <v/>
      </c>
      <c r="G955" t="str">
        <f>IF(DONNEES!$E955="","",DONNEES!H955)</f>
        <v/>
      </c>
      <c r="H955" t="str">
        <f>IF(DONNEES!$E955="","",DONNEES!I955)</f>
        <v/>
      </c>
      <c r="I955" t="str">
        <f>IF(DONNEES!$E955="","",DONNEES!J955)</f>
        <v/>
      </c>
      <c r="J955" t="str">
        <f>IF(DONNEES!$E955="","",DONNEES!K955)</f>
        <v/>
      </c>
      <c r="K955" t="str">
        <f>IF(DONNEES!$E955="","",DONNEES!L955)</f>
        <v/>
      </c>
      <c r="L955" t="str">
        <f>IF(DONNEES!$E955="","",DONNEES!M955)</f>
        <v/>
      </c>
      <c r="M955" t="str">
        <f>IF(DONNEES!$E955="","",DONNEES!N955)</f>
        <v/>
      </c>
      <c r="N955" t="str">
        <f>IF(DONNEES!$E955="","",DONNEES!O955)</f>
        <v/>
      </c>
      <c r="O955" t="str">
        <f>IF(DONNEES!$E955="","",DONNEES!P955)</f>
        <v/>
      </c>
      <c r="P955" t="str">
        <f>IF(DONNEES!$E955="","",DONNEES!Q955)</f>
        <v/>
      </c>
      <c r="Q955" t="str">
        <f>IF(DONNEES!$E955="","",DONNEES!R955)</f>
        <v/>
      </c>
      <c r="R955" t="str">
        <f>IF(DONNEES!$E955="","",DONNEES!S955)</f>
        <v/>
      </c>
      <c r="S955" t="str">
        <f>IF(DONNEES!$E955="","",DONNEES!T955)</f>
        <v/>
      </c>
      <c r="T955" t="str">
        <f>IF(DONNEES!$E955="","",DONNEES!U955)</f>
        <v/>
      </c>
      <c r="U955" t="str">
        <f>IF(DONNEES!$E955="","",DONNEES!V955)</f>
        <v/>
      </c>
      <c r="V955" t="str">
        <f>IF(DONNEES!$E955="","",DONNEES!W955)</f>
        <v/>
      </c>
      <c r="W955" t="str">
        <f>IF(DONNEES!$E955="","",DONNEES!X955)</f>
        <v/>
      </c>
      <c r="X955" t="str">
        <f>IF(DONNEES!$E955="","",DONNEES!Y955)</f>
        <v/>
      </c>
      <c r="Y955" t="str">
        <f>IF(DONNEES!$E955="","",DONNEES!Z955)</f>
        <v/>
      </c>
      <c r="Z955" t="str">
        <f>IF(DONNEES!$E955="","",DONNEES!AQ955)</f>
        <v/>
      </c>
    </row>
    <row r="956" spans="1:26" ht="15" customHeight="1" x14ac:dyDescent="0.3">
      <c r="A956" t="str">
        <f>IF(DONNEES!$E956="","",DONNEES!A956)</f>
        <v/>
      </c>
      <c r="B956" t="str">
        <f>IF(DONNEES!$E956="","",DONNEES!B956)</f>
        <v/>
      </c>
      <c r="C956" t="str">
        <f>IF(DONNEES!$E956="","",DONNEES!C956)</f>
        <v/>
      </c>
      <c r="D956" t="str">
        <f>IF(DONNEES!$E956="","",DONNEES!E956)</f>
        <v/>
      </c>
      <c r="E956" t="str">
        <f>IF(DONNEES!$E956="","",DONNEES!F956)</f>
        <v/>
      </c>
      <c r="F956" t="str">
        <f>IF(DONNEES!$E956="","",DONNEES!G956)</f>
        <v/>
      </c>
      <c r="G956" t="str">
        <f>IF(DONNEES!$E956="","",DONNEES!H956)</f>
        <v/>
      </c>
      <c r="H956" t="str">
        <f>IF(DONNEES!$E956="","",DONNEES!I956)</f>
        <v/>
      </c>
      <c r="I956" t="str">
        <f>IF(DONNEES!$E956="","",DONNEES!J956)</f>
        <v/>
      </c>
      <c r="J956" t="str">
        <f>IF(DONNEES!$E956="","",DONNEES!K956)</f>
        <v/>
      </c>
      <c r="K956" t="str">
        <f>IF(DONNEES!$E956="","",DONNEES!L956)</f>
        <v/>
      </c>
      <c r="L956" t="str">
        <f>IF(DONNEES!$E956="","",DONNEES!M956)</f>
        <v/>
      </c>
      <c r="M956" t="str">
        <f>IF(DONNEES!$E956="","",DONNEES!N956)</f>
        <v/>
      </c>
      <c r="N956" t="str">
        <f>IF(DONNEES!$E956="","",DONNEES!O956)</f>
        <v/>
      </c>
      <c r="O956" t="str">
        <f>IF(DONNEES!$E956="","",DONNEES!P956)</f>
        <v/>
      </c>
      <c r="P956" t="str">
        <f>IF(DONNEES!$E956="","",DONNEES!Q956)</f>
        <v/>
      </c>
      <c r="Q956" t="str">
        <f>IF(DONNEES!$E956="","",DONNEES!R956)</f>
        <v/>
      </c>
      <c r="R956" t="str">
        <f>IF(DONNEES!$E956="","",DONNEES!S956)</f>
        <v/>
      </c>
      <c r="S956" t="str">
        <f>IF(DONNEES!$E956="","",DONNEES!T956)</f>
        <v/>
      </c>
      <c r="T956" t="str">
        <f>IF(DONNEES!$E956="","",DONNEES!U956)</f>
        <v/>
      </c>
      <c r="U956" t="str">
        <f>IF(DONNEES!$E956="","",DONNEES!V956)</f>
        <v/>
      </c>
      <c r="V956" t="str">
        <f>IF(DONNEES!$E956="","",DONNEES!W956)</f>
        <v/>
      </c>
      <c r="W956" t="str">
        <f>IF(DONNEES!$E956="","",DONNEES!X956)</f>
        <v/>
      </c>
      <c r="X956" t="str">
        <f>IF(DONNEES!$E956="","",DONNEES!Y956)</f>
        <v/>
      </c>
      <c r="Y956" t="str">
        <f>IF(DONNEES!$E956="","",DONNEES!Z956)</f>
        <v/>
      </c>
      <c r="Z956" t="str">
        <f>IF(DONNEES!$E956="","",DONNEES!AQ956)</f>
        <v/>
      </c>
    </row>
    <row r="957" spans="1:26" ht="15" customHeight="1" x14ac:dyDescent="0.3">
      <c r="A957" t="str">
        <f>IF(DONNEES!$E957="","",DONNEES!A957)</f>
        <v/>
      </c>
      <c r="B957" t="str">
        <f>IF(DONNEES!$E957="","",DONNEES!B957)</f>
        <v/>
      </c>
      <c r="C957" t="str">
        <f>IF(DONNEES!$E957="","",DONNEES!C957)</f>
        <v/>
      </c>
      <c r="D957" t="str">
        <f>IF(DONNEES!$E957="","",DONNEES!E957)</f>
        <v/>
      </c>
      <c r="E957" t="str">
        <f>IF(DONNEES!$E957="","",DONNEES!F957)</f>
        <v/>
      </c>
      <c r="F957" t="str">
        <f>IF(DONNEES!$E957="","",DONNEES!G957)</f>
        <v/>
      </c>
      <c r="G957" t="str">
        <f>IF(DONNEES!$E957="","",DONNEES!H957)</f>
        <v/>
      </c>
      <c r="H957" t="str">
        <f>IF(DONNEES!$E957="","",DONNEES!I957)</f>
        <v/>
      </c>
      <c r="I957" t="str">
        <f>IF(DONNEES!$E957="","",DONNEES!J957)</f>
        <v/>
      </c>
      <c r="J957" t="str">
        <f>IF(DONNEES!$E957="","",DONNEES!K957)</f>
        <v/>
      </c>
      <c r="K957" t="str">
        <f>IF(DONNEES!$E957="","",DONNEES!L957)</f>
        <v/>
      </c>
      <c r="L957" t="str">
        <f>IF(DONNEES!$E957="","",DONNEES!M957)</f>
        <v/>
      </c>
      <c r="M957" t="str">
        <f>IF(DONNEES!$E957="","",DONNEES!N957)</f>
        <v/>
      </c>
      <c r="N957" t="str">
        <f>IF(DONNEES!$E957="","",DONNEES!O957)</f>
        <v/>
      </c>
      <c r="O957" t="str">
        <f>IF(DONNEES!$E957="","",DONNEES!P957)</f>
        <v/>
      </c>
      <c r="P957" t="str">
        <f>IF(DONNEES!$E957="","",DONNEES!Q957)</f>
        <v/>
      </c>
      <c r="Q957" t="str">
        <f>IF(DONNEES!$E957="","",DONNEES!R957)</f>
        <v/>
      </c>
      <c r="R957" t="str">
        <f>IF(DONNEES!$E957="","",DONNEES!S957)</f>
        <v/>
      </c>
      <c r="S957" t="str">
        <f>IF(DONNEES!$E957="","",DONNEES!T957)</f>
        <v/>
      </c>
      <c r="T957" t="str">
        <f>IF(DONNEES!$E957="","",DONNEES!U957)</f>
        <v/>
      </c>
      <c r="U957" t="str">
        <f>IF(DONNEES!$E957="","",DONNEES!V957)</f>
        <v/>
      </c>
      <c r="V957" t="str">
        <f>IF(DONNEES!$E957="","",DONNEES!W957)</f>
        <v/>
      </c>
      <c r="W957" t="str">
        <f>IF(DONNEES!$E957="","",DONNEES!X957)</f>
        <v/>
      </c>
      <c r="X957" t="str">
        <f>IF(DONNEES!$E957="","",DONNEES!Y957)</f>
        <v/>
      </c>
      <c r="Y957" t="str">
        <f>IF(DONNEES!$E957="","",DONNEES!Z957)</f>
        <v/>
      </c>
      <c r="Z957" t="str">
        <f>IF(DONNEES!$E957="","",DONNEES!AQ957)</f>
        <v/>
      </c>
    </row>
    <row r="958" spans="1:26" ht="15" customHeight="1" x14ac:dyDescent="0.3">
      <c r="A958" t="str">
        <f>IF(DONNEES!$E958="","",DONNEES!A958)</f>
        <v/>
      </c>
      <c r="B958" t="str">
        <f>IF(DONNEES!$E958="","",DONNEES!B958)</f>
        <v/>
      </c>
      <c r="C958" t="str">
        <f>IF(DONNEES!$E958="","",DONNEES!C958)</f>
        <v/>
      </c>
      <c r="D958" t="str">
        <f>IF(DONNEES!$E958="","",DONNEES!E958)</f>
        <v/>
      </c>
      <c r="E958" t="str">
        <f>IF(DONNEES!$E958="","",DONNEES!F958)</f>
        <v/>
      </c>
      <c r="F958" t="str">
        <f>IF(DONNEES!$E958="","",DONNEES!G958)</f>
        <v/>
      </c>
      <c r="G958" t="str">
        <f>IF(DONNEES!$E958="","",DONNEES!H958)</f>
        <v/>
      </c>
      <c r="H958" t="str">
        <f>IF(DONNEES!$E958="","",DONNEES!I958)</f>
        <v/>
      </c>
      <c r="I958" t="str">
        <f>IF(DONNEES!$E958="","",DONNEES!J958)</f>
        <v/>
      </c>
      <c r="J958" t="str">
        <f>IF(DONNEES!$E958="","",DONNEES!K958)</f>
        <v/>
      </c>
      <c r="K958" t="str">
        <f>IF(DONNEES!$E958="","",DONNEES!L958)</f>
        <v/>
      </c>
      <c r="L958" t="str">
        <f>IF(DONNEES!$E958="","",DONNEES!M958)</f>
        <v/>
      </c>
      <c r="M958" t="str">
        <f>IF(DONNEES!$E958="","",DONNEES!N958)</f>
        <v/>
      </c>
      <c r="N958" t="str">
        <f>IF(DONNEES!$E958="","",DONNEES!O958)</f>
        <v/>
      </c>
      <c r="O958" t="str">
        <f>IF(DONNEES!$E958="","",DONNEES!P958)</f>
        <v/>
      </c>
      <c r="P958" t="str">
        <f>IF(DONNEES!$E958="","",DONNEES!Q958)</f>
        <v/>
      </c>
      <c r="Q958" t="str">
        <f>IF(DONNEES!$E958="","",DONNEES!R958)</f>
        <v/>
      </c>
      <c r="R958" t="str">
        <f>IF(DONNEES!$E958="","",DONNEES!S958)</f>
        <v/>
      </c>
      <c r="S958" t="str">
        <f>IF(DONNEES!$E958="","",DONNEES!T958)</f>
        <v/>
      </c>
      <c r="T958" t="str">
        <f>IF(DONNEES!$E958="","",DONNEES!U958)</f>
        <v/>
      </c>
      <c r="U958" t="str">
        <f>IF(DONNEES!$E958="","",DONNEES!V958)</f>
        <v/>
      </c>
      <c r="V958" t="str">
        <f>IF(DONNEES!$E958="","",DONNEES!W958)</f>
        <v/>
      </c>
      <c r="W958" t="str">
        <f>IF(DONNEES!$E958="","",DONNEES!X958)</f>
        <v/>
      </c>
      <c r="X958" t="str">
        <f>IF(DONNEES!$E958="","",DONNEES!Y958)</f>
        <v/>
      </c>
      <c r="Y958" t="str">
        <f>IF(DONNEES!$E958="","",DONNEES!Z958)</f>
        <v/>
      </c>
      <c r="Z958" t="str">
        <f>IF(DONNEES!$E958="","",DONNEES!AQ958)</f>
        <v/>
      </c>
    </row>
    <row r="959" spans="1:26" ht="15" customHeight="1" x14ac:dyDescent="0.3">
      <c r="A959" t="str">
        <f>IF(DONNEES!$E959="","",DONNEES!A959)</f>
        <v/>
      </c>
      <c r="B959" t="str">
        <f>IF(DONNEES!$E959="","",DONNEES!B959)</f>
        <v/>
      </c>
      <c r="C959" t="str">
        <f>IF(DONNEES!$E959="","",DONNEES!C959)</f>
        <v/>
      </c>
      <c r="D959" t="str">
        <f>IF(DONNEES!$E959="","",DONNEES!E959)</f>
        <v/>
      </c>
      <c r="E959" t="str">
        <f>IF(DONNEES!$E959="","",DONNEES!F959)</f>
        <v/>
      </c>
      <c r="F959" t="str">
        <f>IF(DONNEES!$E959="","",DONNEES!G959)</f>
        <v/>
      </c>
      <c r="G959" t="str">
        <f>IF(DONNEES!$E959="","",DONNEES!H959)</f>
        <v/>
      </c>
      <c r="H959" t="str">
        <f>IF(DONNEES!$E959="","",DONNEES!I959)</f>
        <v/>
      </c>
      <c r="I959" t="str">
        <f>IF(DONNEES!$E959="","",DONNEES!J959)</f>
        <v/>
      </c>
      <c r="J959" t="str">
        <f>IF(DONNEES!$E959="","",DONNEES!K959)</f>
        <v/>
      </c>
      <c r="K959" t="str">
        <f>IF(DONNEES!$E959="","",DONNEES!L959)</f>
        <v/>
      </c>
      <c r="L959" t="str">
        <f>IF(DONNEES!$E959="","",DONNEES!M959)</f>
        <v/>
      </c>
      <c r="M959" t="str">
        <f>IF(DONNEES!$E959="","",DONNEES!N959)</f>
        <v/>
      </c>
      <c r="N959" t="str">
        <f>IF(DONNEES!$E959="","",DONNEES!O959)</f>
        <v/>
      </c>
      <c r="O959" t="str">
        <f>IF(DONNEES!$E959="","",DONNEES!P959)</f>
        <v/>
      </c>
      <c r="P959" t="str">
        <f>IF(DONNEES!$E959="","",DONNEES!Q959)</f>
        <v/>
      </c>
      <c r="Q959" t="str">
        <f>IF(DONNEES!$E959="","",DONNEES!R959)</f>
        <v/>
      </c>
      <c r="R959" t="str">
        <f>IF(DONNEES!$E959="","",DONNEES!S959)</f>
        <v/>
      </c>
      <c r="S959" t="str">
        <f>IF(DONNEES!$E959="","",DONNEES!T959)</f>
        <v/>
      </c>
      <c r="T959" t="str">
        <f>IF(DONNEES!$E959="","",DONNEES!U959)</f>
        <v/>
      </c>
      <c r="U959" t="str">
        <f>IF(DONNEES!$E959="","",DONNEES!V959)</f>
        <v/>
      </c>
      <c r="V959" t="str">
        <f>IF(DONNEES!$E959="","",DONNEES!W959)</f>
        <v/>
      </c>
      <c r="W959" t="str">
        <f>IF(DONNEES!$E959="","",DONNEES!X959)</f>
        <v/>
      </c>
      <c r="X959" t="str">
        <f>IF(DONNEES!$E959="","",DONNEES!Y959)</f>
        <v/>
      </c>
      <c r="Y959" t="str">
        <f>IF(DONNEES!$E959="","",DONNEES!Z959)</f>
        <v/>
      </c>
      <c r="Z959" t="str">
        <f>IF(DONNEES!$E959="","",DONNEES!AQ959)</f>
        <v/>
      </c>
    </row>
    <row r="960" spans="1:26" ht="15" customHeight="1" x14ac:dyDescent="0.3">
      <c r="A960" t="str">
        <f>IF(DONNEES!$E960="","",DONNEES!A960)</f>
        <v/>
      </c>
      <c r="B960" t="str">
        <f>IF(DONNEES!$E960="","",DONNEES!B960)</f>
        <v/>
      </c>
      <c r="C960" t="str">
        <f>IF(DONNEES!$E960="","",DONNEES!C960)</f>
        <v/>
      </c>
      <c r="D960" t="str">
        <f>IF(DONNEES!$E960="","",DONNEES!E960)</f>
        <v/>
      </c>
      <c r="E960" t="str">
        <f>IF(DONNEES!$E960="","",DONNEES!F960)</f>
        <v/>
      </c>
      <c r="F960" t="str">
        <f>IF(DONNEES!$E960="","",DONNEES!G960)</f>
        <v/>
      </c>
      <c r="G960" t="str">
        <f>IF(DONNEES!$E960="","",DONNEES!H960)</f>
        <v/>
      </c>
      <c r="H960" t="str">
        <f>IF(DONNEES!$E960="","",DONNEES!I960)</f>
        <v/>
      </c>
      <c r="I960" t="str">
        <f>IF(DONNEES!$E960="","",DONNEES!J960)</f>
        <v/>
      </c>
      <c r="J960" t="str">
        <f>IF(DONNEES!$E960="","",DONNEES!K960)</f>
        <v/>
      </c>
      <c r="K960" t="str">
        <f>IF(DONNEES!$E960="","",DONNEES!L960)</f>
        <v/>
      </c>
      <c r="L960" t="str">
        <f>IF(DONNEES!$E960="","",DONNEES!M960)</f>
        <v/>
      </c>
      <c r="M960" t="str">
        <f>IF(DONNEES!$E960="","",DONNEES!N960)</f>
        <v/>
      </c>
      <c r="N960" t="str">
        <f>IF(DONNEES!$E960="","",DONNEES!O960)</f>
        <v/>
      </c>
      <c r="O960" t="str">
        <f>IF(DONNEES!$E960="","",DONNEES!P960)</f>
        <v/>
      </c>
      <c r="P960" t="str">
        <f>IF(DONNEES!$E960="","",DONNEES!Q960)</f>
        <v/>
      </c>
      <c r="Q960" t="str">
        <f>IF(DONNEES!$E960="","",DONNEES!R960)</f>
        <v/>
      </c>
      <c r="R960" t="str">
        <f>IF(DONNEES!$E960="","",DONNEES!S960)</f>
        <v/>
      </c>
      <c r="S960" t="str">
        <f>IF(DONNEES!$E960="","",DONNEES!T960)</f>
        <v/>
      </c>
      <c r="T960" t="str">
        <f>IF(DONNEES!$E960="","",DONNEES!U960)</f>
        <v/>
      </c>
      <c r="U960" t="str">
        <f>IF(DONNEES!$E960="","",DONNEES!V960)</f>
        <v/>
      </c>
      <c r="V960" t="str">
        <f>IF(DONNEES!$E960="","",DONNEES!W960)</f>
        <v/>
      </c>
      <c r="W960" t="str">
        <f>IF(DONNEES!$E960="","",DONNEES!X960)</f>
        <v/>
      </c>
      <c r="X960" t="str">
        <f>IF(DONNEES!$E960="","",DONNEES!Y960)</f>
        <v/>
      </c>
      <c r="Y960" t="str">
        <f>IF(DONNEES!$E960="","",DONNEES!Z960)</f>
        <v/>
      </c>
      <c r="Z960" t="str">
        <f>IF(DONNEES!$E960="","",DONNEES!AQ960)</f>
        <v/>
      </c>
    </row>
    <row r="961" spans="1:26" ht="15" customHeight="1" x14ac:dyDescent="0.3">
      <c r="A961" t="str">
        <f>IF(DONNEES!$E961="","",DONNEES!A961)</f>
        <v/>
      </c>
      <c r="B961" t="str">
        <f>IF(DONNEES!$E961="","",DONNEES!B961)</f>
        <v/>
      </c>
      <c r="C961" t="str">
        <f>IF(DONNEES!$E961="","",DONNEES!C961)</f>
        <v/>
      </c>
      <c r="D961" t="str">
        <f>IF(DONNEES!$E961="","",DONNEES!E961)</f>
        <v/>
      </c>
      <c r="E961" t="str">
        <f>IF(DONNEES!$E961="","",DONNEES!F961)</f>
        <v/>
      </c>
      <c r="F961" t="str">
        <f>IF(DONNEES!$E961="","",DONNEES!G961)</f>
        <v/>
      </c>
      <c r="G961" t="str">
        <f>IF(DONNEES!$E961="","",DONNEES!H961)</f>
        <v/>
      </c>
      <c r="H961" t="str">
        <f>IF(DONNEES!$E961="","",DONNEES!I961)</f>
        <v/>
      </c>
      <c r="I961" t="str">
        <f>IF(DONNEES!$E961="","",DONNEES!J961)</f>
        <v/>
      </c>
      <c r="J961" t="str">
        <f>IF(DONNEES!$E961="","",DONNEES!K961)</f>
        <v/>
      </c>
      <c r="K961" t="str">
        <f>IF(DONNEES!$E961="","",DONNEES!L961)</f>
        <v/>
      </c>
      <c r="L961" t="str">
        <f>IF(DONNEES!$E961="","",DONNEES!M961)</f>
        <v/>
      </c>
      <c r="M961" t="str">
        <f>IF(DONNEES!$E961="","",DONNEES!N961)</f>
        <v/>
      </c>
      <c r="N961" t="str">
        <f>IF(DONNEES!$E961="","",DONNEES!O961)</f>
        <v/>
      </c>
      <c r="O961" t="str">
        <f>IF(DONNEES!$E961="","",DONNEES!P961)</f>
        <v/>
      </c>
      <c r="P961" t="str">
        <f>IF(DONNEES!$E961="","",DONNEES!Q961)</f>
        <v/>
      </c>
      <c r="Q961" t="str">
        <f>IF(DONNEES!$E961="","",DONNEES!R961)</f>
        <v/>
      </c>
      <c r="R961" t="str">
        <f>IF(DONNEES!$E961="","",DONNEES!S961)</f>
        <v/>
      </c>
      <c r="S961" t="str">
        <f>IF(DONNEES!$E961="","",DONNEES!T961)</f>
        <v/>
      </c>
      <c r="T961" t="str">
        <f>IF(DONNEES!$E961="","",DONNEES!U961)</f>
        <v/>
      </c>
      <c r="U961" t="str">
        <f>IF(DONNEES!$E961="","",DONNEES!V961)</f>
        <v/>
      </c>
      <c r="V961" t="str">
        <f>IF(DONNEES!$E961="","",DONNEES!W961)</f>
        <v/>
      </c>
      <c r="W961" t="str">
        <f>IF(DONNEES!$E961="","",DONNEES!X961)</f>
        <v/>
      </c>
      <c r="X961" t="str">
        <f>IF(DONNEES!$E961="","",DONNEES!Y961)</f>
        <v/>
      </c>
      <c r="Y961" t="str">
        <f>IF(DONNEES!$E961="","",DONNEES!Z961)</f>
        <v/>
      </c>
      <c r="Z961" t="str">
        <f>IF(DONNEES!$E961="","",DONNEES!AQ961)</f>
        <v/>
      </c>
    </row>
    <row r="962" spans="1:26" ht="15" customHeight="1" x14ac:dyDescent="0.3">
      <c r="A962" t="str">
        <f>IF(DONNEES!$E962="","",DONNEES!A962)</f>
        <v/>
      </c>
      <c r="B962" t="str">
        <f>IF(DONNEES!$E962="","",DONNEES!B962)</f>
        <v/>
      </c>
      <c r="C962" t="str">
        <f>IF(DONNEES!$E962="","",DONNEES!C962)</f>
        <v/>
      </c>
      <c r="D962" t="str">
        <f>IF(DONNEES!$E962="","",DONNEES!E962)</f>
        <v/>
      </c>
      <c r="E962" t="str">
        <f>IF(DONNEES!$E962="","",DONNEES!F962)</f>
        <v/>
      </c>
      <c r="F962" t="str">
        <f>IF(DONNEES!$E962="","",DONNEES!G962)</f>
        <v/>
      </c>
      <c r="G962" t="str">
        <f>IF(DONNEES!$E962="","",DONNEES!H962)</f>
        <v/>
      </c>
      <c r="H962" t="str">
        <f>IF(DONNEES!$E962="","",DONNEES!I962)</f>
        <v/>
      </c>
      <c r="I962" t="str">
        <f>IF(DONNEES!$E962="","",DONNEES!J962)</f>
        <v/>
      </c>
      <c r="J962" t="str">
        <f>IF(DONNEES!$E962="","",DONNEES!K962)</f>
        <v/>
      </c>
      <c r="K962" t="str">
        <f>IF(DONNEES!$E962="","",DONNEES!L962)</f>
        <v/>
      </c>
      <c r="L962" t="str">
        <f>IF(DONNEES!$E962="","",DONNEES!M962)</f>
        <v/>
      </c>
      <c r="M962" t="str">
        <f>IF(DONNEES!$E962="","",DONNEES!N962)</f>
        <v/>
      </c>
      <c r="N962" t="str">
        <f>IF(DONNEES!$E962="","",DONNEES!O962)</f>
        <v/>
      </c>
      <c r="O962" t="str">
        <f>IF(DONNEES!$E962="","",DONNEES!P962)</f>
        <v/>
      </c>
      <c r="P962" t="str">
        <f>IF(DONNEES!$E962="","",DONNEES!Q962)</f>
        <v/>
      </c>
      <c r="Q962" t="str">
        <f>IF(DONNEES!$E962="","",DONNEES!R962)</f>
        <v/>
      </c>
      <c r="R962" t="str">
        <f>IF(DONNEES!$E962="","",DONNEES!S962)</f>
        <v/>
      </c>
      <c r="S962" t="str">
        <f>IF(DONNEES!$E962="","",DONNEES!T962)</f>
        <v/>
      </c>
      <c r="T962" t="str">
        <f>IF(DONNEES!$E962="","",DONNEES!U962)</f>
        <v/>
      </c>
      <c r="U962" t="str">
        <f>IF(DONNEES!$E962="","",DONNEES!V962)</f>
        <v/>
      </c>
      <c r="V962" t="str">
        <f>IF(DONNEES!$E962="","",DONNEES!W962)</f>
        <v/>
      </c>
      <c r="W962" t="str">
        <f>IF(DONNEES!$E962="","",DONNEES!X962)</f>
        <v/>
      </c>
      <c r="X962" t="str">
        <f>IF(DONNEES!$E962="","",DONNEES!Y962)</f>
        <v/>
      </c>
      <c r="Y962" t="str">
        <f>IF(DONNEES!$E962="","",DONNEES!Z962)</f>
        <v/>
      </c>
      <c r="Z962" t="str">
        <f>IF(DONNEES!$E962="","",DONNEES!AQ962)</f>
        <v/>
      </c>
    </row>
    <row r="963" spans="1:26" ht="15" customHeight="1" x14ac:dyDescent="0.3">
      <c r="A963" t="str">
        <f>IF(DONNEES!$E963="","",DONNEES!A963)</f>
        <v/>
      </c>
      <c r="B963" t="str">
        <f>IF(DONNEES!$E963="","",DONNEES!B963)</f>
        <v/>
      </c>
      <c r="C963" t="str">
        <f>IF(DONNEES!$E963="","",DONNEES!C963)</f>
        <v/>
      </c>
      <c r="D963" t="str">
        <f>IF(DONNEES!$E963="","",DONNEES!E963)</f>
        <v/>
      </c>
      <c r="E963" t="str">
        <f>IF(DONNEES!$E963="","",DONNEES!F963)</f>
        <v/>
      </c>
      <c r="F963" t="str">
        <f>IF(DONNEES!$E963="","",DONNEES!G963)</f>
        <v/>
      </c>
      <c r="G963" t="str">
        <f>IF(DONNEES!$E963="","",DONNEES!H963)</f>
        <v/>
      </c>
      <c r="H963" t="str">
        <f>IF(DONNEES!$E963="","",DONNEES!I963)</f>
        <v/>
      </c>
      <c r="I963" t="str">
        <f>IF(DONNEES!$E963="","",DONNEES!J963)</f>
        <v/>
      </c>
      <c r="J963" t="str">
        <f>IF(DONNEES!$E963="","",DONNEES!K963)</f>
        <v/>
      </c>
      <c r="K963" t="str">
        <f>IF(DONNEES!$E963="","",DONNEES!L963)</f>
        <v/>
      </c>
      <c r="L963" t="str">
        <f>IF(DONNEES!$E963="","",DONNEES!M963)</f>
        <v/>
      </c>
      <c r="M963" t="str">
        <f>IF(DONNEES!$E963="","",DONNEES!N963)</f>
        <v/>
      </c>
      <c r="N963" t="str">
        <f>IF(DONNEES!$E963="","",DONNEES!O963)</f>
        <v/>
      </c>
      <c r="O963" t="str">
        <f>IF(DONNEES!$E963="","",DONNEES!P963)</f>
        <v/>
      </c>
      <c r="P963" t="str">
        <f>IF(DONNEES!$E963="","",DONNEES!Q963)</f>
        <v/>
      </c>
      <c r="Q963" t="str">
        <f>IF(DONNEES!$E963="","",DONNEES!R963)</f>
        <v/>
      </c>
      <c r="R963" t="str">
        <f>IF(DONNEES!$E963="","",DONNEES!S963)</f>
        <v/>
      </c>
      <c r="S963" t="str">
        <f>IF(DONNEES!$E963="","",DONNEES!T963)</f>
        <v/>
      </c>
      <c r="T963" t="str">
        <f>IF(DONNEES!$E963="","",DONNEES!U963)</f>
        <v/>
      </c>
      <c r="U963" t="str">
        <f>IF(DONNEES!$E963="","",DONNEES!V963)</f>
        <v/>
      </c>
      <c r="V963" t="str">
        <f>IF(DONNEES!$E963="","",DONNEES!W963)</f>
        <v/>
      </c>
      <c r="W963" t="str">
        <f>IF(DONNEES!$E963="","",DONNEES!X963)</f>
        <v/>
      </c>
      <c r="X963" t="str">
        <f>IF(DONNEES!$E963="","",DONNEES!Y963)</f>
        <v/>
      </c>
      <c r="Y963" t="str">
        <f>IF(DONNEES!$E963="","",DONNEES!Z963)</f>
        <v/>
      </c>
      <c r="Z963" t="str">
        <f>IF(DONNEES!$E963="","",DONNEES!AQ963)</f>
        <v/>
      </c>
    </row>
    <row r="964" spans="1:26" ht="15" customHeight="1" x14ac:dyDescent="0.3">
      <c r="A964" t="str">
        <f>IF(DONNEES!$E964="","",DONNEES!A964)</f>
        <v/>
      </c>
      <c r="B964" t="str">
        <f>IF(DONNEES!$E964="","",DONNEES!B964)</f>
        <v/>
      </c>
      <c r="C964" t="str">
        <f>IF(DONNEES!$E964="","",DONNEES!C964)</f>
        <v/>
      </c>
      <c r="D964" t="str">
        <f>IF(DONNEES!$E964="","",DONNEES!E964)</f>
        <v/>
      </c>
      <c r="E964" t="str">
        <f>IF(DONNEES!$E964="","",DONNEES!F964)</f>
        <v/>
      </c>
      <c r="F964" t="str">
        <f>IF(DONNEES!$E964="","",DONNEES!G964)</f>
        <v/>
      </c>
      <c r="G964" t="str">
        <f>IF(DONNEES!$E964="","",DONNEES!H964)</f>
        <v/>
      </c>
      <c r="H964" t="str">
        <f>IF(DONNEES!$E964="","",DONNEES!I964)</f>
        <v/>
      </c>
      <c r="I964" t="str">
        <f>IF(DONNEES!$E964="","",DONNEES!J964)</f>
        <v/>
      </c>
      <c r="J964" t="str">
        <f>IF(DONNEES!$E964="","",DONNEES!K964)</f>
        <v/>
      </c>
      <c r="K964" t="str">
        <f>IF(DONNEES!$E964="","",DONNEES!L964)</f>
        <v/>
      </c>
      <c r="L964" t="str">
        <f>IF(DONNEES!$E964="","",DONNEES!M964)</f>
        <v/>
      </c>
      <c r="M964" t="str">
        <f>IF(DONNEES!$E964="","",DONNEES!N964)</f>
        <v/>
      </c>
      <c r="N964" t="str">
        <f>IF(DONNEES!$E964="","",DONNEES!O964)</f>
        <v/>
      </c>
      <c r="O964" t="str">
        <f>IF(DONNEES!$E964="","",DONNEES!P964)</f>
        <v/>
      </c>
      <c r="P964" t="str">
        <f>IF(DONNEES!$E964="","",DONNEES!Q964)</f>
        <v/>
      </c>
      <c r="Q964" t="str">
        <f>IF(DONNEES!$E964="","",DONNEES!R964)</f>
        <v/>
      </c>
      <c r="R964" t="str">
        <f>IF(DONNEES!$E964="","",DONNEES!S964)</f>
        <v/>
      </c>
      <c r="S964" t="str">
        <f>IF(DONNEES!$E964="","",DONNEES!T964)</f>
        <v/>
      </c>
      <c r="T964" t="str">
        <f>IF(DONNEES!$E964="","",DONNEES!U964)</f>
        <v/>
      </c>
      <c r="U964" t="str">
        <f>IF(DONNEES!$E964="","",DONNEES!V964)</f>
        <v/>
      </c>
      <c r="V964" t="str">
        <f>IF(DONNEES!$E964="","",DONNEES!W964)</f>
        <v/>
      </c>
      <c r="W964" t="str">
        <f>IF(DONNEES!$E964="","",DONNEES!X964)</f>
        <v/>
      </c>
      <c r="X964" t="str">
        <f>IF(DONNEES!$E964="","",DONNEES!Y964)</f>
        <v/>
      </c>
      <c r="Y964" t="str">
        <f>IF(DONNEES!$E964="","",DONNEES!Z964)</f>
        <v/>
      </c>
      <c r="Z964" t="str">
        <f>IF(DONNEES!$E964="","",DONNEES!AQ964)</f>
        <v/>
      </c>
    </row>
    <row r="965" spans="1:26" ht="15" customHeight="1" x14ac:dyDescent="0.3">
      <c r="A965" t="str">
        <f>IF(DONNEES!$E965="","",DONNEES!A965)</f>
        <v/>
      </c>
      <c r="B965" t="str">
        <f>IF(DONNEES!$E965="","",DONNEES!B965)</f>
        <v/>
      </c>
      <c r="C965" t="str">
        <f>IF(DONNEES!$E965="","",DONNEES!C965)</f>
        <v/>
      </c>
      <c r="D965" t="str">
        <f>IF(DONNEES!$E965="","",DONNEES!E965)</f>
        <v/>
      </c>
      <c r="E965" t="str">
        <f>IF(DONNEES!$E965="","",DONNEES!F965)</f>
        <v/>
      </c>
      <c r="F965" t="str">
        <f>IF(DONNEES!$E965="","",DONNEES!G965)</f>
        <v/>
      </c>
      <c r="G965" t="str">
        <f>IF(DONNEES!$E965="","",DONNEES!H965)</f>
        <v/>
      </c>
      <c r="H965" t="str">
        <f>IF(DONNEES!$E965="","",DONNEES!I965)</f>
        <v/>
      </c>
      <c r="I965" t="str">
        <f>IF(DONNEES!$E965="","",DONNEES!J965)</f>
        <v/>
      </c>
      <c r="J965" t="str">
        <f>IF(DONNEES!$E965="","",DONNEES!K965)</f>
        <v/>
      </c>
      <c r="K965" t="str">
        <f>IF(DONNEES!$E965="","",DONNEES!L965)</f>
        <v/>
      </c>
      <c r="L965" t="str">
        <f>IF(DONNEES!$E965="","",DONNEES!M965)</f>
        <v/>
      </c>
      <c r="M965" t="str">
        <f>IF(DONNEES!$E965="","",DONNEES!N965)</f>
        <v/>
      </c>
      <c r="N965" t="str">
        <f>IF(DONNEES!$E965="","",DONNEES!O965)</f>
        <v/>
      </c>
      <c r="O965" t="str">
        <f>IF(DONNEES!$E965="","",DONNEES!P965)</f>
        <v/>
      </c>
      <c r="P965" t="str">
        <f>IF(DONNEES!$E965="","",DONNEES!Q965)</f>
        <v/>
      </c>
      <c r="Q965" t="str">
        <f>IF(DONNEES!$E965="","",DONNEES!R965)</f>
        <v/>
      </c>
      <c r="R965" t="str">
        <f>IF(DONNEES!$E965="","",DONNEES!S965)</f>
        <v/>
      </c>
      <c r="S965" t="str">
        <f>IF(DONNEES!$E965="","",DONNEES!T965)</f>
        <v/>
      </c>
      <c r="T965" t="str">
        <f>IF(DONNEES!$E965="","",DONNEES!U965)</f>
        <v/>
      </c>
      <c r="U965" t="str">
        <f>IF(DONNEES!$E965="","",DONNEES!V965)</f>
        <v/>
      </c>
      <c r="V965" t="str">
        <f>IF(DONNEES!$E965="","",DONNEES!W965)</f>
        <v/>
      </c>
      <c r="W965" t="str">
        <f>IF(DONNEES!$E965="","",DONNEES!X965)</f>
        <v/>
      </c>
      <c r="X965" t="str">
        <f>IF(DONNEES!$E965="","",DONNEES!Y965)</f>
        <v/>
      </c>
      <c r="Y965" t="str">
        <f>IF(DONNEES!$E965="","",DONNEES!Z965)</f>
        <v/>
      </c>
      <c r="Z965" t="str">
        <f>IF(DONNEES!$E965="","",DONNEES!AQ965)</f>
        <v/>
      </c>
    </row>
    <row r="966" spans="1:26" ht="15" customHeight="1" x14ac:dyDescent="0.3">
      <c r="A966" t="str">
        <f>IF(DONNEES!$E966="","",DONNEES!A966)</f>
        <v/>
      </c>
      <c r="B966" t="str">
        <f>IF(DONNEES!$E966="","",DONNEES!B966)</f>
        <v/>
      </c>
      <c r="C966" t="str">
        <f>IF(DONNEES!$E966="","",DONNEES!C966)</f>
        <v/>
      </c>
      <c r="D966" t="str">
        <f>IF(DONNEES!$E966="","",DONNEES!E966)</f>
        <v/>
      </c>
      <c r="E966" t="str">
        <f>IF(DONNEES!$E966="","",DONNEES!F966)</f>
        <v/>
      </c>
      <c r="F966" t="str">
        <f>IF(DONNEES!$E966="","",DONNEES!G966)</f>
        <v/>
      </c>
      <c r="G966" t="str">
        <f>IF(DONNEES!$E966="","",DONNEES!H966)</f>
        <v/>
      </c>
      <c r="H966" t="str">
        <f>IF(DONNEES!$E966="","",DONNEES!I966)</f>
        <v/>
      </c>
      <c r="I966" t="str">
        <f>IF(DONNEES!$E966="","",DONNEES!J966)</f>
        <v/>
      </c>
      <c r="J966" t="str">
        <f>IF(DONNEES!$E966="","",DONNEES!K966)</f>
        <v/>
      </c>
      <c r="K966" t="str">
        <f>IF(DONNEES!$E966="","",DONNEES!L966)</f>
        <v/>
      </c>
      <c r="L966" t="str">
        <f>IF(DONNEES!$E966="","",DONNEES!M966)</f>
        <v/>
      </c>
      <c r="M966" t="str">
        <f>IF(DONNEES!$E966="","",DONNEES!N966)</f>
        <v/>
      </c>
      <c r="N966" t="str">
        <f>IF(DONNEES!$E966="","",DONNEES!O966)</f>
        <v/>
      </c>
      <c r="O966" t="str">
        <f>IF(DONNEES!$E966="","",DONNEES!P966)</f>
        <v/>
      </c>
      <c r="P966" t="str">
        <f>IF(DONNEES!$E966="","",DONNEES!Q966)</f>
        <v/>
      </c>
      <c r="Q966" t="str">
        <f>IF(DONNEES!$E966="","",DONNEES!R966)</f>
        <v/>
      </c>
      <c r="R966" t="str">
        <f>IF(DONNEES!$E966="","",DONNEES!S966)</f>
        <v/>
      </c>
      <c r="S966" t="str">
        <f>IF(DONNEES!$E966="","",DONNEES!T966)</f>
        <v/>
      </c>
      <c r="T966" t="str">
        <f>IF(DONNEES!$E966="","",DONNEES!U966)</f>
        <v/>
      </c>
      <c r="U966" t="str">
        <f>IF(DONNEES!$E966="","",DONNEES!V966)</f>
        <v/>
      </c>
      <c r="V966" t="str">
        <f>IF(DONNEES!$E966="","",DONNEES!W966)</f>
        <v/>
      </c>
      <c r="W966" t="str">
        <f>IF(DONNEES!$E966="","",DONNEES!X966)</f>
        <v/>
      </c>
      <c r="X966" t="str">
        <f>IF(DONNEES!$E966="","",DONNEES!Y966)</f>
        <v/>
      </c>
      <c r="Y966" t="str">
        <f>IF(DONNEES!$E966="","",DONNEES!Z966)</f>
        <v/>
      </c>
      <c r="Z966" t="str">
        <f>IF(DONNEES!$E966="","",DONNEES!AQ966)</f>
        <v/>
      </c>
    </row>
    <row r="967" spans="1:26" ht="15" customHeight="1" x14ac:dyDescent="0.3">
      <c r="A967" t="str">
        <f>IF(DONNEES!$E967="","",DONNEES!A967)</f>
        <v/>
      </c>
      <c r="B967" t="str">
        <f>IF(DONNEES!$E967="","",DONNEES!B967)</f>
        <v/>
      </c>
      <c r="C967" t="str">
        <f>IF(DONNEES!$E967="","",DONNEES!C967)</f>
        <v/>
      </c>
      <c r="D967" t="str">
        <f>IF(DONNEES!$E967="","",DONNEES!E967)</f>
        <v/>
      </c>
      <c r="E967" t="str">
        <f>IF(DONNEES!$E967="","",DONNEES!F967)</f>
        <v/>
      </c>
      <c r="F967" t="str">
        <f>IF(DONNEES!$E967="","",DONNEES!G967)</f>
        <v/>
      </c>
      <c r="G967" t="str">
        <f>IF(DONNEES!$E967="","",DONNEES!H967)</f>
        <v/>
      </c>
      <c r="H967" t="str">
        <f>IF(DONNEES!$E967="","",DONNEES!I967)</f>
        <v/>
      </c>
      <c r="I967" t="str">
        <f>IF(DONNEES!$E967="","",DONNEES!J967)</f>
        <v/>
      </c>
      <c r="J967" t="str">
        <f>IF(DONNEES!$E967="","",DONNEES!K967)</f>
        <v/>
      </c>
      <c r="K967" t="str">
        <f>IF(DONNEES!$E967="","",DONNEES!L967)</f>
        <v/>
      </c>
      <c r="L967" t="str">
        <f>IF(DONNEES!$E967="","",DONNEES!M967)</f>
        <v/>
      </c>
      <c r="M967" t="str">
        <f>IF(DONNEES!$E967="","",DONNEES!N967)</f>
        <v/>
      </c>
      <c r="N967" t="str">
        <f>IF(DONNEES!$E967="","",DONNEES!O967)</f>
        <v/>
      </c>
      <c r="O967" t="str">
        <f>IF(DONNEES!$E967="","",DONNEES!P967)</f>
        <v/>
      </c>
      <c r="P967" t="str">
        <f>IF(DONNEES!$E967="","",DONNEES!Q967)</f>
        <v/>
      </c>
      <c r="Q967" t="str">
        <f>IF(DONNEES!$E967="","",DONNEES!R967)</f>
        <v/>
      </c>
      <c r="R967" t="str">
        <f>IF(DONNEES!$E967="","",DONNEES!S967)</f>
        <v/>
      </c>
      <c r="S967" t="str">
        <f>IF(DONNEES!$E967="","",DONNEES!T967)</f>
        <v/>
      </c>
      <c r="T967" t="str">
        <f>IF(DONNEES!$E967="","",DONNEES!U967)</f>
        <v/>
      </c>
      <c r="U967" t="str">
        <f>IF(DONNEES!$E967="","",DONNEES!V967)</f>
        <v/>
      </c>
      <c r="V967" t="str">
        <f>IF(DONNEES!$E967="","",DONNEES!W967)</f>
        <v/>
      </c>
      <c r="W967" t="str">
        <f>IF(DONNEES!$E967="","",DONNEES!X967)</f>
        <v/>
      </c>
      <c r="X967" t="str">
        <f>IF(DONNEES!$E967="","",DONNEES!Y967)</f>
        <v/>
      </c>
      <c r="Y967" t="str">
        <f>IF(DONNEES!$E967="","",DONNEES!Z967)</f>
        <v/>
      </c>
      <c r="Z967" t="str">
        <f>IF(DONNEES!$E967="","",DONNEES!AQ967)</f>
        <v/>
      </c>
    </row>
    <row r="968" spans="1:26" ht="15" customHeight="1" x14ac:dyDescent="0.3">
      <c r="A968" t="str">
        <f>IF(DONNEES!$E968="","",DONNEES!A968)</f>
        <v/>
      </c>
      <c r="B968" t="str">
        <f>IF(DONNEES!$E968="","",DONNEES!B968)</f>
        <v/>
      </c>
      <c r="C968" t="str">
        <f>IF(DONNEES!$E968="","",DONNEES!C968)</f>
        <v/>
      </c>
      <c r="D968" t="str">
        <f>IF(DONNEES!$E968="","",DONNEES!E968)</f>
        <v/>
      </c>
      <c r="E968" t="str">
        <f>IF(DONNEES!$E968="","",DONNEES!F968)</f>
        <v/>
      </c>
      <c r="F968" t="str">
        <f>IF(DONNEES!$E968="","",DONNEES!G968)</f>
        <v/>
      </c>
      <c r="G968" t="str">
        <f>IF(DONNEES!$E968="","",DONNEES!H968)</f>
        <v/>
      </c>
      <c r="H968" t="str">
        <f>IF(DONNEES!$E968="","",DONNEES!I968)</f>
        <v/>
      </c>
      <c r="I968" t="str">
        <f>IF(DONNEES!$E968="","",DONNEES!J968)</f>
        <v/>
      </c>
      <c r="J968" t="str">
        <f>IF(DONNEES!$E968="","",DONNEES!K968)</f>
        <v/>
      </c>
      <c r="K968" t="str">
        <f>IF(DONNEES!$E968="","",DONNEES!L968)</f>
        <v/>
      </c>
      <c r="L968" t="str">
        <f>IF(DONNEES!$E968="","",DONNEES!M968)</f>
        <v/>
      </c>
      <c r="M968" t="str">
        <f>IF(DONNEES!$E968="","",DONNEES!N968)</f>
        <v/>
      </c>
      <c r="N968" t="str">
        <f>IF(DONNEES!$E968="","",DONNEES!O968)</f>
        <v/>
      </c>
      <c r="O968" t="str">
        <f>IF(DONNEES!$E968="","",DONNEES!P968)</f>
        <v/>
      </c>
      <c r="P968" t="str">
        <f>IF(DONNEES!$E968="","",DONNEES!Q968)</f>
        <v/>
      </c>
      <c r="Q968" t="str">
        <f>IF(DONNEES!$E968="","",DONNEES!R968)</f>
        <v/>
      </c>
      <c r="R968" t="str">
        <f>IF(DONNEES!$E968="","",DONNEES!S968)</f>
        <v/>
      </c>
      <c r="S968" t="str">
        <f>IF(DONNEES!$E968="","",DONNEES!T968)</f>
        <v/>
      </c>
      <c r="T968" t="str">
        <f>IF(DONNEES!$E968="","",DONNEES!U968)</f>
        <v/>
      </c>
      <c r="U968" t="str">
        <f>IF(DONNEES!$E968="","",DONNEES!V968)</f>
        <v/>
      </c>
      <c r="V968" t="str">
        <f>IF(DONNEES!$E968="","",DONNEES!W968)</f>
        <v/>
      </c>
      <c r="W968" t="str">
        <f>IF(DONNEES!$E968="","",DONNEES!X968)</f>
        <v/>
      </c>
      <c r="X968" t="str">
        <f>IF(DONNEES!$E968="","",DONNEES!Y968)</f>
        <v/>
      </c>
      <c r="Y968" t="str">
        <f>IF(DONNEES!$E968="","",DONNEES!Z968)</f>
        <v/>
      </c>
      <c r="Z968" t="str">
        <f>IF(DONNEES!$E968="","",DONNEES!AQ968)</f>
        <v/>
      </c>
    </row>
    <row r="969" spans="1:26" ht="15" customHeight="1" x14ac:dyDescent="0.3">
      <c r="A969" t="str">
        <f>IF(DONNEES!$E969="","",DONNEES!A969)</f>
        <v/>
      </c>
      <c r="B969" t="str">
        <f>IF(DONNEES!$E969="","",DONNEES!B969)</f>
        <v/>
      </c>
      <c r="C969" t="str">
        <f>IF(DONNEES!$E969="","",DONNEES!C969)</f>
        <v/>
      </c>
      <c r="D969" t="str">
        <f>IF(DONNEES!$E969="","",DONNEES!E969)</f>
        <v/>
      </c>
      <c r="E969" t="str">
        <f>IF(DONNEES!$E969="","",DONNEES!F969)</f>
        <v/>
      </c>
      <c r="F969" t="str">
        <f>IF(DONNEES!$E969="","",DONNEES!G969)</f>
        <v/>
      </c>
      <c r="G969" t="str">
        <f>IF(DONNEES!$E969="","",DONNEES!H969)</f>
        <v/>
      </c>
      <c r="H969" t="str">
        <f>IF(DONNEES!$E969="","",DONNEES!I969)</f>
        <v/>
      </c>
      <c r="I969" t="str">
        <f>IF(DONNEES!$E969="","",DONNEES!J969)</f>
        <v/>
      </c>
      <c r="J969" t="str">
        <f>IF(DONNEES!$E969="","",DONNEES!K969)</f>
        <v/>
      </c>
      <c r="K969" t="str">
        <f>IF(DONNEES!$E969="","",DONNEES!L969)</f>
        <v/>
      </c>
      <c r="L969" t="str">
        <f>IF(DONNEES!$E969="","",DONNEES!M969)</f>
        <v/>
      </c>
      <c r="M969" t="str">
        <f>IF(DONNEES!$E969="","",DONNEES!N969)</f>
        <v/>
      </c>
      <c r="N969" t="str">
        <f>IF(DONNEES!$E969="","",DONNEES!O969)</f>
        <v/>
      </c>
      <c r="O969" t="str">
        <f>IF(DONNEES!$E969="","",DONNEES!P969)</f>
        <v/>
      </c>
      <c r="P969" t="str">
        <f>IF(DONNEES!$E969="","",DONNEES!Q969)</f>
        <v/>
      </c>
      <c r="Q969" t="str">
        <f>IF(DONNEES!$E969="","",DONNEES!R969)</f>
        <v/>
      </c>
      <c r="R969" t="str">
        <f>IF(DONNEES!$E969="","",DONNEES!S969)</f>
        <v/>
      </c>
      <c r="S969" t="str">
        <f>IF(DONNEES!$E969="","",DONNEES!T969)</f>
        <v/>
      </c>
      <c r="T969" t="str">
        <f>IF(DONNEES!$E969="","",DONNEES!U969)</f>
        <v/>
      </c>
      <c r="U969" t="str">
        <f>IF(DONNEES!$E969="","",DONNEES!V969)</f>
        <v/>
      </c>
      <c r="V969" t="str">
        <f>IF(DONNEES!$E969="","",DONNEES!W969)</f>
        <v/>
      </c>
      <c r="W969" t="str">
        <f>IF(DONNEES!$E969="","",DONNEES!X969)</f>
        <v/>
      </c>
      <c r="X969" t="str">
        <f>IF(DONNEES!$E969="","",DONNEES!Y969)</f>
        <v/>
      </c>
      <c r="Y969" t="str">
        <f>IF(DONNEES!$E969="","",DONNEES!Z969)</f>
        <v/>
      </c>
      <c r="Z969" t="str">
        <f>IF(DONNEES!$E969="","",DONNEES!AQ969)</f>
        <v/>
      </c>
    </row>
    <row r="970" spans="1:26" ht="15" customHeight="1" x14ac:dyDescent="0.3">
      <c r="A970" t="str">
        <f>IF(DONNEES!$E970="","",DONNEES!A970)</f>
        <v/>
      </c>
      <c r="B970" t="str">
        <f>IF(DONNEES!$E970="","",DONNEES!B970)</f>
        <v/>
      </c>
      <c r="C970" t="str">
        <f>IF(DONNEES!$E970="","",DONNEES!C970)</f>
        <v/>
      </c>
      <c r="D970" t="str">
        <f>IF(DONNEES!$E970="","",DONNEES!E970)</f>
        <v/>
      </c>
      <c r="E970" t="str">
        <f>IF(DONNEES!$E970="","",DONNEES!F970)</f>
        <v/>
      </c>
      <c r="F970" t="str">
        <f>IF(DONNEES!$E970="","",DONNEES!G970)</f>
        <v/>
      </c>
      <c r="G970" t="str">
        <f>IF(DONNEES!$E970="","",DONNEES!H970)</f>
        <v/>
      </c>
      <c r="H970" t="str">
        <f>IF(DONNEES!$E970="","",DONNEES!I970)</f>
        <v/>
      </c>
      <c r="I970" t="str">
        <f>IF(DONNEES!$E970="","",DONNEES!J970)</f>
        <v/>
      </c>
      <c r="J970" t="str">
        <f>IF(DONNEES!$E970="","",DONNEES!K970)</f>
        <v/>
      </c>
      <c r="K970" t="str">
        <f>IF(DONNEES!$E970="","",DONNEES!L970)</f>
        <v/>
      </c>
      <c r="L970" t="str">
        <f>IF(DONNEES!$E970="","",DONNEES!M970)</f>
        <v/>
      </c>
      <c r="M970" t="str">
        <f>IF(DONNEES!$E970="","",DONNEES!N970)</f>
        <v/>
      </c>
      <c r="N970" t="str">
        <f>IF(DONNEES!$E970="","",DONNEES!O970)</f>
        <v/>
      </c>
      <c r="O970" t="str">
        <f>IF(DONNEES!$E970="","",DONNEES!P970)</f>
        <v/>
      </c>
      <c r="P970" t="str">
        <f>IF(DONNEES!$E970="","",DONNEES!Q970)</f>
        <v/>
      </c>
      <c r="Q970" t="str">
        <f>IF(DONNEES!$E970="","",DONNEES!R970)</f>
        <v/>
      </c>
      <c r="R970" t="str">
        <f>IF(DONNEES!$E970="","",DONNEES!S970)</f>
        <v/>
      </c>
      <c r="S970" t="str">
        <f>IF(DONNEES!$E970="","",DONNEES!T970)</f>
        <v/>
      </c>
      <c r="T970" t="str">
        <f>IF(DONNEES!$E970="","",DONNEES!U970)</f>
        <v/>
      </c>
      <c r="U970" t="str">
        <f>IF(DONNEES!$E970="","",DONNEES!V970)</f>
        <v/>
      </c>
      <c r="V970" t="str">
        <f>IF(DONNEES!$E970="","",DONNEES!W970)</f>
        <v/>
      </c>
      <c r="W970" t="str">
        <f>IF(DONNEES!$E970="","",DONNEES!X970)</f>
        <v/>
      </c>
      <c r="X970" t="str">
        <f>IF(DONNEES!$E970="","",DONNEES!Y970)</f>
        <v/>
      </c>
      <c r="Y970" t="str">
        <f>IF(DONNEES!$E970="","",DONNEES!Z970)</f>
        <v/>
      </c>
      <c r="Z970" t="str">
        <f>IF(DONNEES!$E970="","",DONNEES!AQ970)</f>
        <v/>
      </c>
    </row>
    <row r="971" spans="1:26" ht="15" customHeight="1" x14ac:dyDescent="0.3">
      <c r="A971" t="str">
        <f>IF(DONNEES!$E971="","",DONNEES!A971)</f>
        <v/>
      </c>
      <c r="B971" t="str">
        <f>IF(DONNEES!$E971="","",DONNEES!B971)</f>
        <v/>
      </c>
      <c r="C971" t="str">
        <f>IF(DONNEES!$E971="","",DONNEES!C971)</f>
        <v/>
      </c>
      <c r="D971" t="str">
        <f>IF(DONNEES!$E971="","",DONNEES!E971)</f>
        <v/>
      </c>
      <c r="E971" t="str">
        <f>IF(DONNEES!$E971="","",DONNEES!F971)</f>
        <v/>
      </c>
      <c r="F971" t="str">
        <f>IF(DONNEES!$E971="","",DONNEES!G971)</f>
        <v/>
      </c>
      <c r="G971" t="str">
        <f>IF(DONNEES!$E971="","",DONNEES!H971)</f>
        <v/>
      </c>
      <c r="H971" t="str">
        <f>IF(DONNEES!$E971="","",DONNEES!I971)</f>
        <v/>
      </c>
      <c r="I971" t="str">
        <f>IF(DONNEES!$E971="","",DONNEES!J971)</f>
        <v/>
      </c>
      <c r="J971" t="str">
        <f>IF(DONNEES!$E971="","",DONNEES!K971)</f>
        <v/>
      </c>
      <c r="K971" t="str">
        <f>IF(DONNEES!$E971="","",DONNEES!L971)</f>
        <v/>
      </c>
      <c r="L971" t="str">
        <f>IF(DONNEES!$E971="","",DONNEES!M971)</f>
        <v/>
      </c>
      <c r="M971" t="str">
        <f>IF(DONNEES!$E971="","",DONNEES!N971)</f>
        <v/>
      </c>
      <c r="N971" t="str">
        <f>IF(DONNEES!$E971="","",DONNEES!O971)</f>
        <v/>
      </c>
      <c r="O971" t="str">
        <f>IF(DONNEES!$E971="","",DONNEES!P971)</f>
        <v/>
      </c>
      <c r="P971" t="str">
        <f>IF(DONNEES!$E971="","",DONNEES!Q971)</f>
        <v/>
      </c>
      <c r="Q971" t="str">
        <f>IF(DONNEES!$E971="","",DONNEES!R971)</f>
        <v/>
      </c>
      <c r="R971" t="str">
        <f>IF(DONNEES!$E971="","",DONNEES!S971)</f>
        <v/>
      </c>
      <c r="S971" t="str">
        <f>IF(DONNEES!$E971="","",DONNEES!T971)</f>
        <v/>
      </c>
      <c r="T971" t="str">
        <f>IF(DONNEES!$E971="","",DONNEES!U971)</f>
        <v/>
      </c>
      <c r="U971" t="str">
        <f>IF(DONNEES!$E971="","",DONNEES!V971)</f>
        <v/>
      </c>
      <c r="V971" t="str">
        <f>IF(DONNEES!$E971="","",DONNEES!W971)</f>
        <v/>
      </c>
      <c r="W971" t="str">
        <f>IF(DONNEES!$E971="","",DONNEES!X971)</f>
        <v/>
      </c>
      <c r="X971" t="str">
        <f>IF(DONNEES!$E971="","",DONNEES!Y971)</f>
        <v/>
      </c>
      <c r="Y971" t="str">
        <f>IF(DONNEES!$E971="","",DONNEES!Z971)</f>
        <v/>
      </c>
      <c r="Z971" t="str">
        <f>IF(DONNEES!$E971="","",DONNEES!AQ971)</f>
        <v/>
      </c>
    </row>
    <row r="972" spans="1:26" ht="15" customHeight="1" x14ac:dyDescent="0.3">
      <c r="A972" t="str">
        <f>IF(DONNEES!$E972="","",DONNEES!A972)</f>
        <v/>
      </c>
      <c r="B972" t="str">
        <f>IF(DONNEES!$E972="","",DONNEES!B972)</f>
        <v/>
      </c>
      <c r="C972" t="str">
        <f>IF(DONNEES!$E972="","",DONNEES!C972)</f>
        <v/>
      </c>
      <c r="D972" t="str">
        <f>IF(DONNEES!$E972="","",DONNEES!E972)</f>
        <v/>
      </c>
      <c r="E972" t="str">
        <f>IF(DONNEES!$E972="","",DONNEES!F972)</f>
        <v/>
      </c>
      <c r="F972" t="str">
        <f>IF(DONNEES!$E972="","",DONNEES!G972)</f>
        <v/>
      </c>
      <c r="G972" t="str">
        <f>IF(DONNEES!$E972="","",DONNEES!H972)</f>
        <v/>
      </c>
      <c r="H972" t="str">
        <f>IF(DONNEES!$E972="","",DONNEES!I972)</f>
        <v/>
      </c>
      <c r="I972" t="str">
        <f>IF(DONNEES!$E972="","",DONNEES!J972)</f>
        <v/>
      </c>
      <c r="J972" t="str">
        <f>IF(DONNEES!$E972="","",DONNEES!K972)</f>
        <v/>
      </c>
      <c r="K972" t="str">
        <f>IF(DONNEES!$E972="","",DONNEES!L972)</f>
        <v/>
      </c>
      <c r="L972" t="str">
        <f>IF(DONNEES!$E972="","",DONNEES!M972)</f>
        <v/>
      </c>
      <c r="M972" t="str">
        <f>IF(DONNEES!$E972="","",DONNEES!N972)</f>
        <v/>
      </c>
      <c r="N972" t="str">
        <f>IF(DONNEES!$E972="","",DONNEES!O972)</f>
        <v/>
      </c>
      <c r="O972" t="str">
        <f>IF(DONNEES!$E972="","",DONNEES!P972)</f>
        <v/>
      </c>
      <c r="P972" t="str">
        <f>IF(DONNEES!$E972="","",DONNEES!Q972)</f>
        <v/>
      </c>
      <c r="Q972" t="str">
        <f>IF(DONNEES!$E972="","",DONNEES!R972)</f>
        <v/>
      </c>
      <c r="R972" t="str">
        <f>IF(DONNEES!$E972="","",DONNEES!S972)</f>
        <v/>
      </c>
      <c r="S972" t="str">
        <f>IF(DONNEES!$E972="","",DONNEES!T972)</f>
        <v/>
      </c>
      <c r="T972" t="str">
        <f>IF(DONNEES!$E972="","",DONNEES!U972)</f>
        <v/>
      </c>
      <c r="U972" t="str">
        <f>IF(DONNEES!$E972="","",DONNEES!V972)</f>
        <v/>
      </c>
      <c r="V972" t="str">
        <f>IF(DONNEES!$E972="","",DONNEES!W972)</f>
        <v/>
      </c>
      <c r="W972" t="str">
        <f>IF(DONNEES!$E972="","",DONNEES!X972)</f>
        <v/>
      </c>
      <c r="X972" t="str">
        <f>IF(DONNEES!$E972="","",DONNEES!Y972)</f>
        <v/>
      </c>
      <c r="Y972" t="str">
        <f>IF(DONNEES!$E972="","",DONNEES!Z972)</f>
        <v/>
      </c>
      <c r="Z972" t="str">
        <f>IF(DONNEES!$E972="","",DONNEES!AQ972)</f>
        <v/>
      </c>
    </row>
    <row r="973" spans="1:26" ht="15" customHeight="1" x14ac:dyDescent="0.3">
      <c r="A973" t="str">
        <f>IF(DONNEES!$E973="","",DONNEES!A973)</f>
        <v/>
      </c>
      <c r="B973" t="str">
        <f>IF(DONNEES!$E973="","",DONNEES!B973)</f>
        <v/>
      </c>
      <c r="C973" t="str">
        <f>IF(DONNEES!$E973="","",DONNEES!C973)</f>
        <v/>
      </c>
      <c r="D973" t="str">
        <f>IF(DONNEES!$E973="","",DONNEES!E973)</f>
        <v/>
      </c>
      <c r="E973" t="str">
        <f>IF(DONNEES!$E973="","",DONNEES!F973)</f>
        <v/>
      </c>
      <c r="F973" t="str">
        <f>IF(DONNEES!$E973="","",DONNEES!G973)</f>
        <v/>
      </c>
      <c r="G973" t="str">
        <f>IF(DONNEES!$E973="","",DONNEES!H973)</f>
        <v/>
      </c>
      <c r="H973" t="str">
        <f>IF(DONNEES!$E973="","",DONNEES!I973)</f>
        <v/>
      </c>
      <c r="I973" t="str">
        <f>IF(DONNEES!$E973="","",DONNEES!J973)</f>
        <v/>
      </c>
      <c r="J973" t="str">
        <f>IF(DONNEES!$E973="","",DONNEES!K973)</f>
        <v/>
      </c>
      <c r="K973" t="str">
        <f>IF(DONNEES!$E973="","",DONNEES!L973)</f>
        <v/>
      </c>
      <c r="L973" t="str">
        <f>IF(DONNEES!$E973="","",DONNEES!M973)</f>
        <v/>
      </c>
      <c r="M973" t="str">
        <f>IF(DONNEES!$E973="","",DONNEES!N973)</f>
        <v/>
      </c>
      <c r="N973" t="str">
        <f>IF(DONNEES!$E973="","",DONNEES!O973)</f>
        <v/>
      </c>
      <c r="O973" t="str">
        <f>IF(DONNEES!$E973="","",DONNEES!P973)</f>
        <v/>
      </c>
      <c r="P973" t="str">
        <f>IF(DONNEES!$E973="","",DONNEES!Q973)</f>
        <v/>
      </c>
      <c r="Q973" t="str">
        <f>IF(DONNEES!$E973="","",DONNEES!R973)</f>
        <v/>
      </c>
      <c r="R973" t="str">
        <f>IF(DONNEES!$E973="","",DONNEES!S973)</f>
        <v/>
      </c>
      <c r="S973" t="str">
        <f>IF(DONNEES!$E973="","",DONNEES!T973)</f>
        <v/>
      </c>
      <c r="T973" t="str">
        <f>IF(DONNEES!$E973="","",DONNEES!U973)</f>
        <v/>
      </c>
      <c r="U973" t="str">
        <f>IF(DONNEES!$E973="","",DONNEES!V973)</f>
        <v/>
      </c>
      <c r="V973" t="str">
        <f>IF(DONNEES!$E973="","",DONNEES!W973)</f>
        <v/>
      </c>
      <c r="W973" t="str">
        <f>IF(DONNEES!$E973="","",DONNEES!X973)</f>
        <v/>
      </c>
      <c r="X973" t="str">
        <f>IF(DONNEES!$E973="","",DONNEES!Y973)</f>
        <v/>
      </c>
      <c r="Y973" t="str">
        <f>IF(DONNEES!$E973="","",DONNEES!Z973)</f>
        <v/>
      </c>
      <c r="Z973" t="str">
        <f>IF(DONNEES!$E973="","",DONNEES!AQ973)</f>
        <v/>
      </c>
    </row>
    <row r="974" spans="1:26" ht="15" customHeight="1" x14ac:dyDescent="0.3">
      <c r="A974" t="str">
        <f>IF(DONNEES!$E974="","",DONNEES!A974)</f>
        <v/>
      </c>
      <c r="B974" t="str">
        <f>IF(DONNEES!$E974="","",DONNEES!B974)</f>
        <v/>
      </c>
      <c r="C974" t="str">
        <f>IF(DONNEES!$E974="","",DONNEES!C974)</f>
        <v/>
      </c>
      <c r="D974" t="str">
        <f>IF(DONNEES!$E974="","",DONNEES!E974)</f>
        <v/>
      </c>
      <c r="E974" t="str">
        <f>IF(DONNEES!$E974="","",DONNEES!F974)</f>
        <v/>
      </c>
      <c r="F974" t="str">
        <f>IF(DONNEES!$E974="","",DONNEES!G974)</f>
        <v/>
      </c>
      <c r="G974" t="str">
        <f>IF(DONNEES!$E974="","",DONNEES!H974)</f>
        <v/>
      </c>
      <c r="H974" t="str">
        <f>IF(DONNEES!$E974="","",DONNEES!I974)</f>
        <v/>
      </c>
      <c r="I974" t="str">
        <f>IF(DONNEES!$E974="","",DONNEES!J974)</f>
        <v/>
      </c>
      <c r="J974" t="str">
        <f>IF(DONNEES!$E974="","",DONNEES!K974)</f>
        <v/>
      </c>
      <c r="K974" t="str">
        <f>IF(DONNEES!$E974="","",DONNEES!L974)</f>
        <v/>
      </c>
      <c r="L974" t="str">
        <f>IF(DONNEES!$E974="","",DONNEES!M974)</f>
        <v/>
      </c>
      <c r="M974" t="str">
        <f>IF(DONNEES!$E974="","",DONNEES!N974)</f>
        <v/>
      </c>
      <c r="N974" t="str">
        <f>IF(DONNEES!$E974="","",DONNEES!O974)</f>
        <v/>
      </c>
      <c r="O974" t="str">
        <f>IF(DONNEES!$E974="","",DONNEES!P974)</f>
        <v/>
      </c>
      <c r="P974" t="str">
        <f>IF(DONNEES!$E974="","",DONNEES!Q974)</f>
        <v/>
      </c>
      <c r="Q974" t="str">
        <f>IF(DONNEES!$E974="","",DONNEES!R974)</f>
        <v/>
      </c>
      <c r="R974" t="str">
        <f>IF(DONNEES!$E974="","",DONNEES!S974)</f>
        <v/>
      </c>
      <c r="S974" t="str">
        <f>IF(DONNEES!$E974="","",DONNEES!T974)</f>
        <v/>
      </c>
      <c r="T974" t="str">
        <f>IF(DONNEES!$E974="","",DONNEES!U974)</f>
        <v/>
      </c>
      <c r="U974" t="str">
        <f>IF(DONNEES!$E974="","",DONNEES!V974)</f>
        <v/>
      </c>
      <c r="V974" t="str">
        <f>IF(DONNEES!$E974="","",DONNEES!W974)</f>
        <v/>
      </c>
      <c r="W974" t="str">
        <f>IF(DONNEES!$E974="","",DONNEES!X974)</f>
        <v/>
      </c>
      <c r="X974" t="str">
        <f>IF(DONNEES!$E974="","",DONNEES!Y974)</f>
        <v/>
      </c>
      <c r="Y974" t="str">
        <f>IF(DONNEES!$E974="","",DONNEES!Z974)</f>
        <v/>
      </c>
      <c r="Z974" t="str">
        <f>IF(DONNEES!$E974="","",DONNEES!AQ974)</f>
        <v/>
      </c>
    </row>
    <row r="975" spans="1:26" ht="15" customHeight="1" x14ac:dyDescent="0.3">
      <c r="A975" t="str">
        <f>IF(DONNEES!$E975="","",DONNEES!A975)</f>
        <v/>
      </c>
      <c r="B975" t="str">
        <f>IF(DONNEES!$E975="","",DONNEES!B975)</f>
        <v/>
      </c>
      <c r="C975" t="str">
        <f>IF(DONNEES!$E975="","",DONNEES!C975)</f>
        <v/>
      </c>
      <c r="D975" t="str">
        <f>IF(DONNEES!$E975="","",DONNEES!E975)</f>
        <v/>
      </c>
      <c r="E975" t="str">
        <f>IF(DONNEES!$E975="","",DONNEES!F975)</f>
        <v/>
      </c>
      <c r="F975" t="str">
        <f>IF(DONNEES!$E975="","",DONNEES!G975)</f>
        <v/>
      </c>
      <c r="G975" t="str">
        <f>IF(DONNEES!$E975="","",DONNEES!H975)</f>
        <v/>
      </c>
      <c r="H975" t="str">
        <f>IF(DONNEES!$E975="","",DONNEES!I975)</f>
        <v/>
      </c>
      <c r="I975" t="str">
        <f>IF(DONNEES!$E975="","",DONNEES!J975)</f>
        <v/>
      </c>
      <c r="J975" t="str">
        <f>IF(DONNEES!$E975="","",DONNEES!K975)</f>
        <v/>
      </c>
      <c r="K975" t="str">
        <f>IF(DONNEES!$E975="","",DONNEES!L975)</f>
        <v/>
      </c>
      <c r="L975" t="str">
        <f>IF(DONNEES!$E975="","",DONNEES!M975)</f>
        <v/>
      </c>
      <c r="M975" t="str">
        <f>IF(DONNEES!$E975="","",DONNEES!N975)</f>
        <v/>
      </c>
      <c r="N975" t="str">
        <f>IF(DONNEES!$E975="","",DONNEES!O975)</f>
        <v/>
      </c>
      <c r="O975" t="str">
        <f>IF(DONNEES!$E975="","",DONNEES!P975)</f>
        <v/>
      </c>
      <c r="P975" t="str">
        <f>IF(DONNEES!$E975="","",DONNEES!Q975)</f>
        <v/>
      </c>
      <c r="Q975" t="str">
        <f>IF(DONNEES!$E975="","",DONNEES!R975)</f>
        <v/>
      </c>
      <c r="R975" t="str">
        <f>IF(DONNEES!$E975="","",DONNEES!S975)</f>
        <v/>
      </c>
      <c r="S975" t="str">
        <f>IF(DONNEES!$E975="","",DONNEES!T975)</f>
        <v/>
      </c>
      <c r="T975" t="str">
        <f>IF(DONNEES!$E975="","",DONNEES!U975)</f>
        <v/>
      </c>
      <c r="U975" t="str">
        <f>IF(DONNEES!$E975="","",DONNEES!V975)</f>
        <v/>
      </c>
      <c r="V975" t="str">
        <f>IF(DONNEES!$E975="","",DONNEES!W975)</f>
        <v/>
      </c>
      <c r="W975" t="str">
        <f>IF(DONNEES!$E975="","",DONNEES!X975)</f>
        <v/>
      </c>
      <c r="X975" t="str">
        <f>IF(DONNEES!$E975="","",DONNEES!Y975)</f>
        <v/>
      </c>
      <c r="Y975" t="str">
        <f>IF(DONNEES!$E975="","",DONNEES!Z975)</f>
        <v/>
      </c>
      <c r="Z975" t="str">
        <f>IF(DONNEES!$E975="","",DONNEES!AQ975)</f>
        <v/>
      </c>
    </row>
    <row r="976" spans="1:26" ht="15" customHeight="1" x14ac:dyDescent="0.3">
      <c r="A976" t="str">
        <f>IF(DONNEES!$E976="","",DONNEES!A976)</f>
        <v/>
      </c>
      <c r="B976" t="str">
        <f>IF(DONNEES!$E976="","",DONNEES!B976)</f>
        <v/>
      </c>
      <c r="C976" t="str">
        <f>IF(DONNEES!$E976="","",DONNEES!C976)</f>
        <v/>
      </c>
      <c r="D976" t="str">
        <f>IF(DONNEES!$E976="","",DONNEES!E976)</f>
        <v/>
      </c>
      <c r="E976" t="str">
        <f>IF(DONNEES!$E976="","",DONNEES!F976)</f>
        <v/>
      </c>
      <c r="F976" t="str">
        <f>IF(DONNEES!$E976="","",DONNEES!G976)</f>
        <v/>
      </c>
      <c r="G976" t="str">
        <f>IF(DONNEES!$E976="","",DONNEES!H976)</f>
        <v/>
      </c>
      <c r="H976" t="str">
        <f>IF(DONNEES!$E976="","",DONNEES!I976)</f>
        <v/>
      </c>
      <c r="I976" t="str">
        <f>IF(DONNEES!$E976="","",DONNEES!J976)</f>
        <v/>
      </c>
      <c r="J976" t="str">
        <f>IF(DONNEES!$E976="","",DONNEES!K976)</f>
        <v/>
      </c>
      <c r="K976" t="str">
        <f>IF(DONNEES!$E976="","",DONNEES!L976)</f>
        <v/>
      </c>
      <c r="L976" t="str">
        <f>IF(DONNEES!$E976="","",DONNEES!M976)</f>
        <v/>
      </c>
      <c r="M976" t="str">
        <f>IF(DONNEES!$E976="","",DONNEES!N976)</f>
        <v/>
      </c>
      <c r="N976" t="str">
        <f>IF(DONNEES!$E976="","",DONNEES!O976)</f>
        <v/>
      </c>
      <c r="O976" t="str">
        <f>IF(DONNEES!$E976="","",DONNEES!P976)</f>
        <v/>
      </c>
      <c r="P976" t="str">
        <f>IF(DONNEES!$E976="","",DONNEES!Q976)</f>
        <v/>
      </c>
      <c r="Q976" t="str">
        <f>IF(DONNEES!$E976="","",DONNEES!R976)</f>
        <v/>
      </c>
      <c r="R976" t="str">
        <f>IF(DONNEES!$E976="","",DONNEES!S976)</f>
        <v/>
      </c>
      <c r="S976" t="str">
        <f>IF(DONNEES!$E976="","",DONNEES!T976)</f>
        <v/>
      </c>
      <c r="T976" t="str">
        <f>IF(DONNEES!$E976="","",DONNEES!U976)</f>
        <v/>
      </c>
      <c r="U976" t="str">
        <f>IF(DONNEES!$E976="","",DONNEES!V976)</f>
        <v/>
      </c>
      <c r="V976" t="str">
        <f>IF(DONNEES!$E976="","",DONNEES!W976)</f>
        <v/>
      </c>
      <c r="W976" t="str">
        <f>IF(DONNEES!$E976="","",DONNEES!X976)</f>
        <v/>
      </c>
      <c r="X976" t="str">
        <f>IF(DONNEES!$E976="","",DONNEES!Y976)</f>
        <v/>
      </c>
      <c r="Y976" t="str">
        <f>IF(DONNEES!$E976="","",DONNEES!Z976)</f>
        <v/>
      </c>
      <c r="Z976" t="str">
        <f>IF(DONNEES!$E976="","",DONNEES!AQ976)</f>
        <v/>
      </c>
    </row>
    <row r="977" spans="1:26" ht="15" customHeight="1" x14ac:dyDescent="0.3">
      <c r="A977" t="str">
        <f>IF(DONNEES!$E977="","",DONNEES!A977)</f>
        <v/>
      </c>
      <c r="B977" t="str">
        <f>IF(DONNEES!$E977="","",DONNEES!B977)</f>
        <v/>
      </c>
      <c r="C977" t="str">
        <f>IF(DONNEES!$E977="","",DONNEES!C977)</f>
        <v/>
      </c>
      <c r="D977" t="str">
        <f>IF(DONNEES!$E977="","",DONNEES!E977)</f>
        <v/>
      </c>
      <c r="E977" t="str">
        <f>IF(DONNEES!$E977="","",DONNEES!F977)</f>
        <v/>
      </c>
      <c r="F977" t="str">
        <f>IF(DONNEES!$E977="","",DONNEES!G977)</f>
        <v/>
      </c>
      <c r="G977" t="str">
        <f>IF(DONNEES!$E977="","",DONNEES!H977)</f>
        <v/>
      </c>
      <c r="H977" t="str">
        <f>IF(DONNEES!$E977="","",DONNEES!I977)</f>
        <v/>
      </c>
      <c r="I977" t="str">
        <f>IF(DONNEES!$E977="","",DONNEES!J977)</f>
        <v/>
      </c>
      <c r="J977" t="str">
        <f>IF(DONNEES!$E977="","",DONNEES!K977)</f>
        <v/>
      </c>
      <c r="K977" t="str">
        <f>IF(DONNEES!$E977="","",DONNEES!L977)</f>
        <v/>
      </c>
      <c r="L977" t="str">
        <f>IF(DONNEES!$E977="","",DONNEES!M977)</f>
        <v/>
      </c>
      <c r="M977" t="str">
        <f>IF(DONNEES!$E977="","",DONNEES!N977)</f>
        <v/>
      </c>
      <c r="N977" t="str">
        <f>IF(DONNEES!$E977="","",DONNEES!O977)</f>
        <v/>
      </c>
      <c r="O977" t="str">
        <f>IF(DONNEES!$E977="","",DONNEES!P977)</f>
        <v/>
      </c>
      <c r="P977" t="str">
        <f>IF(DONNEES!$E977="","",DONNEES!Q977)</f>
        <v/>
      </c>
      <c r="Q977" t="str">
        <f>IF(DONNEES!$E977="","",DONNEES!R977)</f>
        <v/>
      </c>
      <c r="R977" t="str">
        <f>IF(DONNEES!$E977="","",DONNEES!S977)</f>
        <v/>
      </c>
      <c r="S977" t="str">
        <f>IF(DONNEES!$E977="","",DONNEES!T977)</f>
        <v/>
      </c>
      <c r="T977" t="str">
        <f>IF(DONNEES!$E977="","",DONNEES!U977)</f>
        <v/>
      </c>
      <c r="U977" t="str">
        <f>IF(DONNEES!$E977="","",DONNEES!V977)</f>
        <v/>
      </c>
      <c r="V977" t="str">
        <f>IF(DONNEES!$E977="","",DONNEES!W977)</f>
        <v/>
      </c>
      <c r="W977" t="str">
        <f>IF(DONNEES!$E977="","",DONNEES!X977)</f>
        <v/>
      </c>
      <c r="X977" t="str">
        <f>IF(DONNEES!$E977="","",DONNEES!Y977)</f>
        <v/>
      </c>
      <c r="Y977" t="str">
        <f>IF(DONNEES!$E977="","",DONNEES!Z977)</f>
        <v/>
      </c>
      <c r="Z977" t="str">
        <f>IF(DONNEES!$E977="","",DONNEES!AQ977)</f>
        <v/>
      </c>
    </row>
    <row r="978" spans="1:26" ht="15" customHeight="1" x14ac:dyDescent="0.3">
      <c r="A978" t="str">
        <f>IF(DONNEES!$E978="","",DONNEES!A978)</f>
        <v/>
      </c>
      <c r="B978" t="str">
        <f>IF(DONNEES!$E978="","",DONNEES!B978)</f>
        <v/>
      </c>
      <c r="C978" t="str">
        <f>IF(DONNEES!$E978="","",DONNEES!C978)</f>
        <v/>
      </c>
      <c r="D978" t="str">
        <f>IF(DONNEES!$E978="","",DONNEES!E978)</f>
        <v/>
      </c>
      <c r="E978" t="str">
        <f>IF(DONNEES!$E978="","",DONNEES!F978)</f>
        <v/>
      </c>
      <c r="F978" t="str">
        <f>IF(DONNEES!$E978="","",DONNEES!G978)</f>
        <v/>
      </c>
      <c r="G978" t="str">
        <f>IF(DONNEES!$E978="","",DONNEES!H978)</f>
        <v/>
      </c>
      <c r="H978" t="str">
        <f>IF(DONNEES!$E978="","",DONNEES!I978)</f>
        <v/>
      </c>
      <c r="I978" t="str">
        <f>IF(DONNEES!$E978="","",DONNEES!J978)</f>
        <v/>
      </c>
      <c r="J978" t="str">
        <f>IF(DONNEES!$E978="","",DONNEES!K978)</f>
        <v/>
      </c>
      <c r="K978" t="str">
        <f>IF(DONNEES!$E978="","",DONNEES!L978)</f>
        <v/>
      </c>
      <c r="L978" t="str">
        <f>IF(DONNEES!$E978="","",DONNEES!M978)</f>
        <v/>
      </c>
      <c r="M978" t="str">
        <f>IF(DONNEES!$E978="","",DONNEES!N978)</f>
        <v/>
      </c>
      <c r="N978" t="str">
        <f>IF(DONNEES!$E978="","",DONNEES!O978)</f>
        <v/>
      </c>
      <c r="O978" t="str">
        <f>IF(DONNEES!$E978="","",DONNEES!P978)</f>
        <v/>
      </c>
      <c r="P978" t="str">
        <f>IF(DONNEES!$E978="","",DONNEES!Q978)</f>
        <v/>
      </c>
      <c r="Q978" t="str">
        <f>IF(DONNEES!$E978="","",DONNEES!R978)</f>
        <v/>
      </c>
      <c r="R978" t="str">
        <f>IF(DONNEES!$E978="","",DONNEES!S978)</f>
        <v/>
      </c>
      <c r="S978" t="str">
        <f>IF(DONNEES!$E978="","",DONNEES!T978)</f>
        <v/>
      </c>
      <c r="T978" t="str">
        <f>IF(DONNEES!$E978="","",DONNEES!U978)</f>
        <v/>
      </c>
      <c r="U978" t="str">
        <f>IF(DONNEES!$E978="","",DONNEES!V978)</f>
        <v/>
      </c>
      <c r="V978" t="str">
        <f>IF(DONNEES!$E978="","",DONNEES!W978)</f>
        <v/>
      </c>
      <c r="W978" t="str">
        <f>IF(DONNEES!$E978="","",DONNEES!X978)</f>
        <v/>
      </c>
      <c r="X978" t="str">
        <f>IF(DONNEES!$E978="","",DONNEES!Y978)</f>
        <v/>
      </c>
      <c r="Y978" t="str">
        <f>IF(DONNEES!$E978="","",DONNEES!Z978)</f>
        <v/>
      </c>
      <c r="Z978" t="str">
        <f>IF(DONNEES!$E978="","",DONNEES!AQ978)</f>
        <v/>
      </c>
    </row>
    <row r="979" spans="1:26" ht="15" customHeight="1" x14ac:dyDescent="0.3">
      <c r="A979" t="str">
        <f>IF(DONNEES!$E979="","",DONNEES!A979)</f>
        <v/>
      </c>
      <c r="B979" t="str">
        <f>IF(DONNEES!$E979="","",DONNEES!B979)</f>
        <v/>
      </c>
      <c r="C979" t="str">
        <f>IF(DONNEES!$E979="","",DONNEES!C979)</f>
        <v/>
      </c>
      <c r="D979" t="str">
        <f>IF(DONNEES!$E979="","",DONNEES!E979)</f>
        <v/>
      </c>
      <c r="E979" t="str">
        <f>IF(DONNEES!$E979="","",DONNEES!F979)</f>
        <v/>
      </c>
      <c r="F979" t="str">
        <f>IF(DONNEES!$E979="","",DONNEES!G979)</f>
        <v/>
      </c>
      <c r="G979" t="str">
        <f>IF(DONNEES!$E979="","",DONNEES!H979)</f>
        <v/>
      </c>
      <c r="H979" t="str">
        <f>IF(DONNEES!$E979="","",DONNEES!I979)</f>
        <v/>
      </c>
      <c r="I979" t="str">
        <f>IF(DONNEES!$E979="","",DONNEES!J979)</f>
        <v/>
      </c>
      <c r="J979" t="str">
        <f>IF(DONNEES!$E979="","",DONNEES!K979)</f>
        <v/>
      </c>
      <c r="K979" t="str">
        <f>IF(DONNEES!$E979="","",DONNEES!L979)</f>
        <v/>
      </c>
      <c r="L979" t="str">
        <f>IF(DONNEES!$E979="","",DONNEES!M979)</f>
        <v/>
      </c>
      <c r="M979" t="str">
        <f>IF(DONNEES!$E979="","",DONNEES!N979)</f>
        <v/>
      </c>
      <c r="N979" t="str">
        <f>IF(DONNEES!$E979="","",DONNEES!O979)</f>
        <v/>
      </c>
      <c r="O979" t="str">
        <f>IF(DONNEES!$E979="","",DONNEES!P979)</f>
        <v/>
      </c>
      <c r="P979" t="str">
        <f>IF(DONNEES!$E979="","",DONNEES!Q979)</f>
        <v/>
      </c>
      <c r="Q979" t="str">
        <f>IF(DONNEES!$E979="","",DONNEES!R979)</f>
        <v/>
      </c>
      <c r="R979" t="str">
        <f>IF(DONNEES!$E979="","",DONNEES!S979)</f>
        <v/>
      </c>
      <c r="S979" t="str">
        <f>IF(DONNEES!$E979="","",DONNEES!T979)</f>
        <v/>
      </c>
      <c r="T979" t="str">
        <f>IF(DONNEES!$E979="","",DONNEES!U979)</f>
        <v/>
      </c>
      <c r="U979" t="str">
        <f>IF(DONNEES!$E979="","",DONNEES!V979)</f>
        <v/>
      </c>
      <c r="V979" t="str">
        <f>IF(DONNEES!$E979="","",DONNEES!W979)</f>
        <v/>
      </c>
      <c r="W979" t="str">
        <f>IF(DONNEES!$E979="","",DONNEES!X979)</f>
        <v/>
      </c>
      <c r="X979" t="str">
        <f>IF(DONNEES!$E979="","",DONNEES!Y979)</f>
        <v/>
      </c>
      <c r="Y979" t="str">
        <f>IF(DONNEES!$E979="","",DONNEES!Z979)</f>
        <v/>
      </c>
      <c r="Z979" t="str">
        <f>IF(DONNEES!$E979="","",DONNEES!AQ979)</f>
        <v/>
      </c>
    </row>
    <row r="980" spans="1:26" ht="15" customHeight="1" x14ac:dyDescent="0.3">
      <c r="A980" t="str">
        <f>IF(DONNEES!$E980="","",DONNEES!A980)</f>
        <v/>
      </c>
      <c r="B980" t="str">
        <f>IF(DONNEES!$E980="","",DONNEES!B980)</f>
        <v/>
      </c>
      <c r="C980" t="str">
        <f>IF(DONNEES!$E980="","",DONNEES!C980)</f>
        <v/>
      </c>
      <c r="D980" t="str">
        <f>IF(DONNEES!$E980="","",DONNEES!E980)</f>
        <v/>
      </c>
      <c r="E980" t="str">
        <f>IF(DONNEES!$E980="","",DONNEES!F980)</f>
        <v/>
      </c>
      <c r="F980" t="str">
        <f>IF(DONNEES!$E980="","",DONNEES!G980)</f>
        <v/>
      </c>
      <c r="G980" t="str">
        <f>IF(DONNEES!$E980="","",DONNEES!H980)</f>
        <v/>
      </c>
      <c r="H980" t="str">
        <f>IF(DONNEES!$E980="","",DONNEES!I980)</f>
        <v/>
      </c>
      <c r="I980" t="str">
        <f>IF(DONNEES!$E980="","",DONNEES!J980)</f>
        <v/>
      </c>
      <c r="J980" t="str">
        <f>IF(DONNEES!$E980="","",DONNEES!K980)</f>
        <v/>
      </c>
      <c r="K980" t="str">
        <f>IF(DONNEES!$E980="","",DONNEES!L980)</f>
        <v/>
      </c>
      <c r="L980" t="str">
        <f>IF(DONNEES!$E980="","",DONNEES!M980)</f>
        <v/>
      </c>
      <c r="M980" t="str">
        <f>IF(DONNEES!$E980="","",DONNEES!N980)</f>
        <v/>
      </c>
      <c r="N980" t="str">
        <f>IF(DONNEES!$E980="","",DONNEES!O980)</f>
        <v/>
      </c>
      <c r="O980" t="str">
        <f>IF(DONNEES!$E980="","",DONNEES!P980)</f>
        <v/>
      </c>
      <c r="P980" t="str">
        <f>IF(DONNEES!$E980="","",DONNEES!Q980)</f>
        <v/>
      </c>
      <c r="Q980" t="str">
        <f>IF(DONNEES!$E980="","",DONNEES!R980)</f>
        <v/>
      </c>
      <c r="R980" t="str">
        <f>IF(DONNEES!$E980="","",DONNEES!S980)</f>
        <v/>
      </c>
      <c r="S980" t="str">
        <f>IF(DONNEES!$E980="","",DONNEES!T980)</f>
        <v/>
      </c>
      <c r="T980" t="str">
        <f>IF(DONNEES!$E980="","",DONNEES!U980)</f>
        <v/>
      </c>
      <c r="U980" t="str">
        <f>IF(DONNEES!$E980="","",DONNEES!V980)</f>
        <v/>
      </c>
      <c r="V980" t="str">
        <f>IF(DONNEES!$E980="","",DONNEES!W980)</f>
        <v/>
      </c>
      <c r="W980" t="str">
        <f>IF(DONNEES!$E980="","",DONNEES!X980)</f>
        <v/>
      </c>
      <c r="X980" t="str">
        <f>IF(DONNEES!$E980="","",DONNEES!Y980)</f>
        <v/>
      </c>
      <c r="Y980" t="str">
        <f>IF(DONNEES!$E980="","",DONNEES!Z980)</f>
        <v/>
      </c>
      <c r="Z980" t="str">
        <f>IF(DONNEES!$E980="","",DONNEES!AQ980)</f>
        <v/>
      </c>
    </row>
    <row r="981" spans="1:26" ht="15" customHeight="1" x14ac:dyDescent="0.3">
      <c r="A981" t="str">
        <f>IF(DONNEES!$E981="","",DONNEES!A981)</f>
        <v/>
      </c>
      <c r="B981" t="str">
        <f>IF(DONNEES!$E981="","",DONNEES!B981)</f>
        <v/>
      </c>
      <c r="C981" t="str">
        <f>IF(DONNEES!$E981="","",DONNEES!C981)</f>
        <v/>
      </c>
      <c r="D981" t="str">
        <f>IF(DONNEES!$E981="","",DONNEES!E981)</f>
        <v/>
      </c>
      <c r="E981" t="str">
        <f>IF(DONNEES!$E981="","",DONNEES!F981)</f>
        <v/>
      </c>
      <c r="F981" t="str">
        <f>IF(DONNEES!$E981="","",DONNEES!G981)</f>
        <v/>
      </c>
      <c r="G981" t="str">
        <f>IF(DONNEES!$E981="","",DONNEES!H981)</f>
        <v/>
      </c>
      <c r="H981" t="str">
        <f>IF(DONNEES!$E981="","",DONNEES!I981)</f>
        <v/>
      </c>
      <c r="I981" t="str">
        <f>IF(DONNEES!$E981="","",DONNEES!J981)</f>
        <v/>
      </c>
      <c r="J981" t="str">
        <f>IF(DONNEES!$E981="","",DONNEES!K981)</f>
        <v/>
      </c>
      <c r="K981" t="str">
        <f>IF(DONNEES!$E981="","",DONNEES!L981)</f>
        <v/>
      </c>
      <c r="L981" t="str">
        <f>IF(DONNEES!$E981="","",DONNEES!M981)</f>
        <v/>
      </c>
      <c r="M981" t="str">
        <f>IF(DONNEES!$E981="","",DONNEES!N981)</f>
        <v/>
      </c>
      <c r="N981" t="str">
        <f>IF(DONNEES!$E981="","",DONNEES!O981)</f>
        <v/>
      </c>
      <c r="O981" t="str">
        <f>IF(DONNEES!$E981="","",DONNEES!P981)</f>
        <v/>
      </c>
      <c r="P981" t="str">
        <f>IF(DONNEES!$E981="","",DONNEES!Q981)</f>
        <v/>
      </c>
      <c r="Q981" t="str">
        <f>IF(DONNEES!$E981="","",DONNEES!R981)</f>
        <v/>
      </c>
      <c r="R981" t="str">
        <f>IF(DONNEES!$E981="","",DONNEES!S981)</f>
        <v/>
      </c>
      <c r="S981" t="str">
        <f>IF(DONNEES!$E981="","",DONNEES!T981)</f>
        <v/>
      </c>
      <c r="T981" t="str">
        <f>IF(DONNEES!$E981="","",DONNEES!U981)</f>
        <v/>
      </c>
      <c r="U981" t="str">
        <f>IF(DONNEES!$E981="","",DONNEES!V981)</f>
        <v/>
      </c>
      <c r="V981" t="str">
        <f>IF(DONNEES!$E981="","",DONNEES!W981)</f>
        <v/>
      </c>
      <c r="W981" t="str">
        <f>IF(DONNEES!$E981="","",DONNEES!X981)</f>
        <v/>
      </c>
      <c r="X981" t="str">
        <f>IF(DONNEES!$E981="","",DONNEES!Y981)</f>
        <v/>
      </c>
      <c r="Y981" t="str">
        <f>IF(DONNEES!$E981="","",DONNEES!Z981)</f>
        <v/>
      </c>
      <c r="Z981" t="str">
        <f>IF(DONNEES!$E981="","",DONNEES!AQ981)</f>
        <v/>
      </c>
    </row>
    <row r="982" spans="1:26" ht="15" customHeight="1" x14ac:dyDescent="0.3">
      <c r="A982" t="str">
        <f>IF(DONNEES!$E982="","",DONNEES!A982)</f>
        <v/>
      </c>
      <c r="B982" t="str">
        <f>IF(DONNEES!$E982="","",DONNEES!B982)</f>
        <v/>
      </c>
      <c r="C982" t="str">
        <f>IF(DONNEES!$E982="","",DONNEES!C982)</f>
        <v/>
      </c>
      <c r="D982" t="str">
        <f>IF(DONNEES!$E982="","",DONNEES!E982)</f>
        <v/>
      </c>
      <c r="E982" t="str">
        <f>IF(DONNEES!$E982="","",DONNEES!F982)</f>
        <v/>
      </c>
      <c r="F982" t="str">
        <f>IF(DONNEES!$E982="","",DONNEES!G982)</f>
        <v/>
      </c>
      <c r="G982" t="str">
        <f>IF(DONNEES!$E982="","",DONNEES!H982)</f>
        <v/>
      </c>
      <c r="H982" t="str">
        <f>IF(DONNEES!$E982="","",DONNEES!I982)</f>
        <v/>
      </c>
      <c r="I982" t="str">
        <f>IF(DONNEES!$E982="","",DONNEES!J982)</f>
        <v/>
      </c>
      <c r="J982" t="str">
        <f>IF(DONNEES!$E982="","",DONNEES!K982)</f>
        <v/>
      </c>
      <c r="K982" t="str">
        <f>IF(DONNEES!$E982="","",DONNEES!L982)</f>
        <v/>
      </c>
      <c r="L982" t="str">
        <f>IF(DONNEES!$E982="","",DONNEES!M982)</f>
        <v/>
      </c>
      <c r="M982" t="str">
        <f>IF(DONNEES!$E982="","",DONNEES!N982)</f>
        <v/>
      </c>
      <c r="N982" t="str">
        <f>IF(DONNEES!$E982="","",DONNEES!O982)</f>
        <v/>
      </c>
      <c r="O982" t="str">
        <f>IF(DONNEES!$E982="","",DONNEES!P982)</f>
        <v/>
      </c>
      <c r="P982" t="str">
        <f>IF(DONNEES!$E982="","",DONNEES!Q982)</f>
        <v/>
      </c>
      <c r="Q982" t="str">
        <f>IF(DONNEES!$E982="","",DONNEES!R982)</f>
        <v/>
      </c>
      <c r="R982" t="str">
        <f>IF(DONNEES!$E982="","",DONNEES!S982)</f>
        <v/>
      </c>
      <c r="S982" t="str">
        <f>IF(DONNEES!$E982="","",DONNEES!T982)</f>
        <v/>
      </c>
      <c r="T982" t="str">
        <f>IF(DONNEES!$E982="","",DONNEES!U982)</f>
        <v/>
      </c>
      <c r="U982" t="str">
        <f>IF(DONNEES!$E982="","",DONNEES!V982)</f>
        <v/>
      </c>
      <c r="V982" t="str">
        <f>IF(DONNEES!$E982="","",DONNEES!W982)</f>
        <v/>
      </c>
      <c r="W982" t="str">
        <f>IF(DONNEES!$E982="","",DONNEES!X982)</f>
        <v/>
      </c>
      <c r="X982" t="str">
        <f>IF(DONNEES!$E982="","",DONNEES!Y982)</f>
        <v/>
      </c>
      <c r="Y982" t="str">
        <f>IF(DONNEES!$E982="","",DONNEES!Z982)</f>
        <v/>
      </c>
      <c r="Z982" t="str">
        <f>IF(DONNEES!$E982="","",DONNEES!AQ982)</f>
        <v/>
      </c>
    </row>
    <row r="983" spans="1:26" ht="15" customHeight="1" x14ac:dyDescent="0.3">
      <c r="A983" t="str">
        <f>IF(DONNEES!$E983="","",DONNEES!A983)</f>
        <v/>
      </c>
      <c r="B983" t="str">
        <f>IF(DONNEES!$E983="","",DONNEES!B983)</f>
        <v/>
      </c>
      <c r="C983" t="str">
        <f>IF(DONNEES!$E983="","",DONNEES!C983)</f>
        <v/>
      </c>
      <c r="D983" t="str">
        <f>IF(DONNEES!$E983="","",DONNEES!E983)</f>
        <v/>
      </c>
      <c r="E983" t="str">
        <f>IF(DONNEES!$E983="","",DONNEES!F983)</f>
        <v/>
      </c>
      <c r="F983" t="str">
        <f>IF(DONNEES!$E983="","",DONNEES!G983)</f>
        <v/>
      </c>
      <c r="G983" t="str">
        <f>IF(DONNEES!$E983="","",DONNEES!H983)</f>
        <v/>
      </c>
      <c r="H983" t="str">
        <f>IF(DONNEES!$E983="","",DONNEES!I983)</f>
        <v/>
      </c>
      <c r="I983" t="str">
        <f>IF(DONNEES!$E983="","",DONNEES!J983)</f>
        <v/>
      </c>
      <c r="J983" t="str">
        <f>IF(DONNEES!$E983="","",DONNEES!K983)</f>
        <v/>
      </c>
      <c r="K983" t="str">
        <f>IF(DONNEES!$E983="","",DONNEES!L983)</f>
        <v/>
      </c>
      <c r="L983" t="str">
        <f>IF(DONNEES!$E983="","",DONNEES!M983)</f>
        <v/>
      </c>
      <c r="M983" t="str">
        <f>IF(DONNEES!$E983="","",DONNEES!N983)</f>
        <v/>
      </c>
      <c r="N983" t="str">
        <f>IF(DONNEES!$E983="","",DONNEES!O983)</f>
        <v/>
      </c>
      <c r="O983" t="str">
        <f>IF(DONNEES!$E983="","",DONNEES!P983)</f>
        <v/>
      </c>
      <c r="P983" t="str">
        <f>IF(DONNEES!$E983="","",DONNEES!Q983)</f>
        <v/>
      </c>
      <c r="Q983" t="str">
        <f>IF(DONNEES!$E983="","",DONNEES!R983)</f>
        <v/>
      </c>
      <c r="R983" t="str">
        <f>IF(DONNEES!$E983="","",DONNEES!S983)</f>
        <v/>
      </c>
      <c r="S983" t="str">
        <f>IF(DONNEES!$E983="","",DONNEES!T983)</f>
        <v/>
      </c>
      <c r="T983" t="str">
        <f>IF(DONNEES!$E983="","",DONNEES!U983)</f>
        <v/>
      </c>
      <c r="U983" t="str">
        <f>IF(DONNEES!$E983="","",DONNEES!V983)</f>
        <v/>
      </c>
      <c r="V983" t="str">
        <f>IF(DONNEES!$E983="","",DONNEES!W983)</f>
        <v/>
      </c>
      <c r="W983" t="str">
        <f>IF(DONNEES!$E983="","",DONNEES!X983)</f>
        <v/>
      </c>
      <c r="X983" t="str">
        <f>IF(DONNEES!$E983="","",DONNEES!Y983)</f>
        <v/>
      </c>
      <c r="Y983" t="str">
        <f>IF(DONNEES!$E983="","",DONNEES!Z983)</f>
        <v/>
      </c>
      <c r="Z983" t="str">
        <f>IF(DONNEES!$E983="","",DONNEES!AQ983)</f>
        <v/>
      </c>
    </row>
    <row r="984" spans="1:26" ht="15" customHeight="1" x14ac:dyDescent="0.3">
      <c r="A984" t="str">
        <f>IF(DONNEES!$E984="","",DONNEES!A984)</f>
        <v/>
      </c>
      <c r="B984" t="str">
        <f>IF(DONNEES!$E984="","",DONNEES!B984)</f>
        <v/>
      </c>
      <c r="C984" t="str">
        <f>IF(DONNEES!$E984="","",DONNEES!C984)</f>
        <v/>
      </c>
      <c r="D984" t="str">
        <f>IF(DONNEES!$E984="","",DONNEES!E984)</f>
        <v/>
      </c>
      <c r="E984" t="str">
        <f>IF(DONNEES!$E984="","",DONNEES!F984)</f>
        <v/>
      </c>
      <c r="F984" t="str">
        <f>IF(DONNEES!$E984="","",DONNEES!G984)</f>
        <v/>
      </c>
      <c r="G984" t="str">
        <f>IF(DONNEES!$E984="","",DONNEES!H984)</f>
        <v/>
      </c>
      <c r="H984" t="str">
        <f>IF(DONNEES!$E984="","",DONNEES!I984)</f>
        <v/>
      </c>
      <c r="I984" t="str">
        <f>IF(DONNEES!$E984="","",DONNEES!J984)</f>
        <v/>
      </c>
      <c r="J984" t="str">
        <f>IF(DONNEES!$E984="","",DONNEES!K984)</f>
        <v/>
      </c>
      <c r="K984" t="str">
        <f>IF(DONNEES!$E984="","",DONNEES!L984)</f>
        <v/>
      </c>
      <c r="L984" t="str">
        <f>IF(DONNEES!$E984="","",DONNEES!M984)</f>
        <v/>
      </c>
      <c r="M984" t="str">
        <f>IF(DONNEES!$E984="","",DONNEES!N984)</f>
        <v/>
      </c>
      <c r="N984" t="str">
        <f>IF(DONNEES!$E984="","",DONNEES!O984)</f>
        <v/>
      </c>
      <c r="O984" t="str">
        <f>IF(DONNEES!$E984="","",DONNEES!P984)</f>
        <v/>
      </c>
      <c r="P984" t="str">
        <f>IF(DONNEES!$E984="","",DONNEES!Q984)</f>
        <v/>
      </c>
      <c r="Q984" t="str">
        <f>IF(DONNEES!$E984="","",DONNEES!R984)</f>
        <v/>
      </c>
      <c r="R984" t="str">
        <f>IF(DONNEES!$E984="","",DONNEES!S984)</f>
        <v/>
      </c>
      <c r="S984" t="str">
        <f>IF(DONNEES!$E984="","",DONNEES!T984)</f>
        <v/>
      </c>
      <c r="T984" t="str">
        <f>IF(DONNEES!$E984="","",DONNEES!U984)</f>
        <v/>
      </c>
      <c r="U984" t="str">
        <f>IF(DONNEES!$E984="","",DONNEES!V984)</f>
        <v/>
      </c>
      <c r="V984" t="str">
        <f>IF(DONNEES!$E984="","",DONNEES!W984)</f>
        <v/>
      </c>
      <c r="W984" t="str">
        <f>IF(DONNEES!$E984="","",DONNEES!X984)</f>
        <v/>
      </c>
      <c r="X984" t="str">
        <f>IF(DONNEES!$E984="","",DONNEES!Y984)</f>
        <v/>
      </c>
      <c r="Y984" t="str">
        <f>IF(DONNEES!$E984="","",DONNEES!Z984)</f>
        <v/>
      </c>
      <c r="Z984" t="str">
        <f>IF(DONNEES!$E984="","",DONNEES!AQ984)</f>
        <v/>
      </c>
    </row>
    <row r="985" spans="1:26" ht="15" customHeight="1" x14ac:dyDescent="0.3">
      <c r="A985" t="str">
        <f>IF(DONNEES!$E985="","",DONNEES!A985)</f>
        <v/>
      </c>
      <c r="B985" t="str">
        <f>IF(DONNEES!$E985="","",DONNEES!B985)</f>
        <v/>
      </c>
      <c r="C985" t="str">
        <f>IF(DONNEES!$E985="","",DONNEES!C985)</f>
        <v/>
      </c>
      <c r="D985" t="str">
        <f>IF(DONNEES!$E985="","",DONNEES!E985)</f>
        <v/>
      </c>
      <c r="E985" t="str">
        <f>IF(DONNEES!$E985="","",DONNEES!F985)</f>
        <v/>
      </c>
      <c r="F985" t="str">
        <f>IF(DONNEES!$E985="","",DONNEES!G985)</f>
        <v/>
      </c>
      <c r="G985" t="str">
        <f>IF(DONNEES!$E985="","",DONNEES!H985)</f>
        <v/>
      </c>
      <c r="H985" t="str">
        <f>IF(DONNEES!$E985="","",DONNEES!I985)</f>
        <v/>
      </c>
      <c r="I985" t="str">
        <f>IF(DONNEES!$E985="","",DONNEES!J985)</f>
        <v/>
      </c>
      <c r="J985" t="str">
        <f>IF(DONNEES!$E985="","",DONNEES!K985)</f>
        <v/>
      </c>
      <c r="K985" t="str">
        <f>IF(DONNEES!$E985="","",DONNEES!L985)</f>
        <v/>
      </c>
      <c r="L985" t="str">
        <f>IF(DONNEES!$E985="","",DONNEES!M985)</f>
        <v/>
      </c>
      <c r="M985" t="str">
        <f>IF(DONNEES!$E985="","",DONNEES!N985)</f>
        <v/>
      </c>
      <c r="N985" t="str">
        <f>IF(DONNEES!$E985="","",DONNEES!O985)</f>
        <v/>
      </c>
      <c r="O985" t="str">
        <f>IF(DONNEES!$E985="","",DONNEES!P985)</f>
        <v/>
      </c>
      <c r="P985" t="str">
        <f>IF(DONNEES!$E985="","",DONNEES!Q985)</f>
        <v/>
      </c>
      <c r="Q985" t="str">
        <f>IF(DONNEES!$E985="","",DONNEES!R985)</f>
        <v/>
      </c>
      <c r="R985" t="str">
        <f>IF(DONNEES!$E985="","",DONNEES!S985)</f>
        <v/>
      </c>
      <c r="S985" t="str">
        <f>IF(DONNEES!$E985="","",DONNEES!T985)</f>
        <v/>
      </c>
      <c r="T985" t="str">
        <f>IF(DONNEES!$E985="","",DONNEES!U985)</f>
        <v/>
      </c>
      <c r="U985" t="str">
        <f>IF(DONNEES!$E985="","",DONNEES!V985)</f>
        <v/>
      </c>
      <c r="V985" t="str">
        <f>IF(DONNEES!$E985="","",DONNEES!W985)</f>
        <v/>
      </c>
      <c r="W985" t="str">
        <f>IF(DONNEES!$E985="","",DONNEES!X985)</f>
        <v/>
      </c>
      <c r="X985" t="str">
        <f>IF(DONNEES!$E985="","",DONNEES!Y985)</f>
        <v/>
      </c>
      <c r="Y985" t="str">
        <f>IF(DONNEES!$E985="","",DONNEES!Z985)</f>
        <v/>
      </c>
      <c r="Z985" t="str">
        <f>IF(DONNEES!$E985="","",DONNEES!AQ985)</f>
        <v/>
      </c>
    </row>
    <row r="986" spans="1:26" ht="15" customHeight="1" x14ac:dyDescent="0.3">
      <c r="A986" t="str">
        <f>IF(DONNEES!$E986="","",DONNEES!A986)</f>
        <v/>
      </c>
      <c r="B986" t="str">
        <f>IF(DONNEES!$E986="","",DONNEES!B986)</f>
        <v/>
      </c>
      <c r="C986" t="str">
        <f>IF(DONNEES!$E986="","",DONNEES!C986)</f>
        <v/>
      </c>
      <c r="D986" t="str">
        <f>IF(DONNEES!$E986="","",DONNEES!E986)</f>
        <v/>
      </c>
      <c r="E986" t="str">
        <f>IF(DONNEES!$E986="","",DONNEES!F986)</f>
        <v/>
      </c>
      <c r="F986" t="str">
        <f>IF(DONNEES!$E986="","",DONNEES!G986)</f>
        <v/>
      </c>
      <c r="G986" t="str">
        <f>IF(DONNEES!$E986="","",DONNEES!H986)</f>
        <v/>
      </c>
      <c r="H986" t="str">
        <f>IF(DONNEES!$E986="","",DONNEES!I986)</f>
        <v/>
      </c>
      <c r="I986" t="str">
        <f>IF(DONNEES!$E986="","",DONNEES!J986)</f>
        <v/>
      </c>
      <c r="J986" t="str">
        <f>IF(DONNEES!$E986="","",DONNEES!K986)</f>
        <v/>
      </c>
      <c r="K986" t="str">
        <f>IF(DONNEES!$E986="","",DONNEES!L986)</f>
        <v/>
      </c>
      <c r="L986" t="str">
        <f>IF(DONNEES!$E986="","",DONNEES!M986)</f>
        <v/>
      </c>
      <c r="M986" t="str">
        <f>IF(DONNEES!$E986="","",DONNEES!N986)</f>
        <v/>
      </c>
      <c r="N986" t="str">
        <f>IF(DONNEES!$E986="","",DONNEES!O986)</f>
        <v/>
      </c>
      <c r="O986" t="str">
        <f>IF(DONNEES!$E986="","",DONNEES!P986)</f>
        <v/>
      </c>
      <c r="P986" t="str">
        <f>IF(DONNEES!$E986="","",DONNEES!Q986)</f>
        <v/>
      </c>
      <c r="Q986" t="str">
        <f>IF(DONNEES!$E986="","",DONNEES!R986)</f>
        <v/>
      </c>
      <c r="R986" t="str">
        <f>IF(DONNEES!$E986="","",DONNEES!S986)</f>
        <v/>
      </c>
      <c r="S986" t="str">
        <f>IF(DONNEES!$E986="","",DONNEES!T986)</f>
        <v/>
      </c>
      <c r="T986" t="str">
        <f>IF(DONNEES!$E986="","",DONNEES!U986)</f>
        <v/>
      </c>
      <c r="U986" t="str">
        <f>IF(DONNEES!$E986="","",DONNEES!V986)</f>
        <v/>
      </c>
      <c r="V986" t="str">
        <f>IF(DONNEES!$E986="","",DONNEES!W986)</f>
        <v/>
      </c>
      <c r="W986" t="str">
        <f>IF(DONNEES!$E986="","",DONNEES!X986)</f>
        <v/>
      </c>
      <c r="X986" t="str">
        <f>IF(DONNEES!$E986="","",DONNEES!Y986)</f>
        <v/>
      </c>
      <c r="Y986" t="str">
        <f>IF(DONNEES!$E986="","",DONNEES!Z986)</f>
        <v/>
      </c>
      <c r="Z986" t="str">
        <f>IF(DONNEES!$E986="","",DONNEES!AQ986)</f>
        <v/>
      </c>
    </row>
    <row r="987" spans="1:26" ht="15" customHeight="1" x14ac:dyDescent="0.3">
      <c r="A987" t="str">
        <f>IF(DONNEES!$E987="","",DONNEES!A987)</f>
        <v/>
      </c>
      <c r="B987" t="str">
        <f>IF(DONNEES!$E987="","",DONNEES!B987)</f>
        <v/>
      </c>
      <c r="C987" t="str">
        <f>IF(DONNEES!$E987="","",DONNEES!C987)</f>
        <v/>
      </c>
      <c r="D987" t="str">
        <f>IF(DONNEES!$E987="","",DONNEES!E987)</f>
        <v/>
      </c>
      <c r="E987" t="str">
        <f>IF(DONNEES!$E987="","",DONNEES!F987)</f>
        <v/>
      </c>
      <c r="F987" t="str">
        <f>IF(DONNEES!$E987="","",DONNEES!G987)</f>
        <v/>
      </c>
      <c r="G987" t="str">
        <f>IF(DONNEES!$E987="","",DONNEES!H987)</f>
        <v/>
      </c>
      <c r="H987" t="str">
        <f>IF(DONNEES!$E987="","",DONNEES!I987)</f>
        <v/>
      </c>
      <c r="I987" t="str">
        <f>IF(DONNEES!$E987="","",DONNEES!J987)</f>
        <v/>
      </c>
      <c r="J987" t="str">
        <f>IF(DONNEES!$E987="","",DONNEES!K987)</f>
        <v/>
      </c>
      <c r="K987" t="str">
        <f>IF(DONNEES!$E987="","",DONNEES!L987)</f>
        <v/>
      </c>
      <c r="L987" t="str">
        <f>IF(DONNEES!$E987="","",DONNEES!M987)</f>
        <v/>
      </c>
      <c r="M987" t="str">
        <f>IF(DONNEES!$E987="","",DONNEES!N987)</f>
        <v/>
      </c>
      <c r="N987" t="str">
        <f>IF(DONNEES!$E987="","",DONNEES!O987)</f>
        <v/>
      </c>
      <c r="O987" t="str">
        <f>IF(DONNEES!$E987="","",DONNEES!P987)</f>
        <v/>
      </c>
      <c r="P987" t="str">
        <f>IF(DONNEES!$E987="","",DONNEES!Q987)</f>
        <v/>
      </c>
      <c r="Q987" t="str">
        <f>IF(DONNEES!$E987="","",DONNEES!R987)</f>
        <v/>
      </c>
      <c r="R987" t="str">
        <f>IF(DONNEES!$E987="","",DONNEES!S987)</f>
        <v/>
      </c>
      <c r="S987" t="str">
        <f>IF(DONNEES!$E987="","",DONNEES!T987)</f>
        <v/>
      </c>
      <c r="T987" t="str">
        <f>IF(DONNEES!$E987="","",DONNEES!U987)</f>
        <v/>
      </c>
      <c r="U987" t="str">
        <f>IF(DONNEES!$E987="","",DONNEES!V987)</f>
        <v/>
      </c>
      <c r="V987" t="str">
        <f>IF(DONNEES!$E987="","",DONNEES!W987)</f>
        <v/>
      </c>
      <c r="W987" t="str">
        <f>IF(DONNEES!$E987="","",DONNEES!X987)</f>
        <v/>
      </c>
      <c r="X987" t="str">
        <f>IF(DONNEES!$E987="","",DONNEES!Y987)</f>
        <v/>
      </c>
      <c r="Y987" t="str">
        <f>IF(DONNEES!$E987="","",DONNEES!Z987)</f>
        <v/>
      </c>
      <c r="Z987" t="str">
        <f>IF(DONNEES!$E987="","",DONNEES!AQ987)</f>
        <v/>
      </c>
    </row>
    <row r="988" spans="1:26" ht="15" customHeight="1" x14ac:dyDescent="0.3">
      <c r="A988" t="str">
        <f>IF(DONNEES!$E988="","",DONNEES!A988)</f>
        <v/>
      </c>
      <c r="B988" t="str">
        <f>IF(DONNEES!$E988="","",DONNEES!B988)</f>
        <v/>
      </c>
      <c r="C988" t="str">
        <f>IF(DONNEES!$E988="","",DONNEES!C988)</f>
        <v/>
      </c>
      <c r="D988" t="str">
        <f>IF(DONNEES!$E988="","",DONNEES!E988)</f>
        <v/>
      </c>
      <c r="E988" t="str">
        <f>IF(DONNEES!$E988="","",DONNEES!F988)</f>
        <v/>
      </c>
      <c r="F988" t="str">
        <f>IF(DONNEES!$E988="","",DONNEES!G988)</f>
        <v/>
      </c>
      <c r="G988" t="str">
        <f>IF(DONNEES!$E988="","",DONNEES!H988)</f>
        <v/>
      </c>
      <c r="H988" t="str">
        <f>IF(DONNEES!$E988="","",DONNEES!I988)</f>
        <v/>
      </c>
      <c r="I988" t="str">
        <f>IF(DONNEES!$E988="","",DONNEES!J988)</f>
        <v/>
      </c>
      <c r="J988" t="str">
        <f>IF(DONNEES!$E988="","",DONNEES!K988)</f>
        <v/>
      </c>
      <c r="K988" t="str">
        <f>IF(DONNEES!$E988="","",DONNEES!L988)</f>
        <v/>
      </c>
      <c r="L988" t="str">
        <f>IF(DONNEES!$E988="","",DONNEES!M988)</f>
        <v/>
      </c>
      <c r="M988" t="str">
        <f>IF(DONNEES!$E988="","",DONNEES!N988)</f>
        <v/>
      </c>
      <c r="N988" t="str">
        <f>IF(DONNEES!$E988="","",DONNEES!O988)</f>
        <v/>
      </c>
      <c r="O988" t="str">
        <f>IF(DONNEES!$E988="","",DONNEES!P988)</f>
        <v/>
      </c>
      <c r="P988" t="str">
        <f>IF(DONNEES!$E988="","",DONNEES!Q988)</f>
        <v/>
      </c>
      <c r="Q988" t="str">
        <f>IF(DONNEES!$E988="","",DONNEES!R988)</f>
        <v/>
      </c>
      <c r="R988" t="str">
        <f>IF(DONNEES!$E988="","",DONNEES!S988)</f>
        <v/>
      </c>
      <c r="S988" t="str">
        <f>IF(DONNEES!$E988="","",DONNEES!T988)</f>
        <v/>
      </c>
      <c r="T988" t="str">
        <f>IF(DONNEES!$E988="","",DONNEES!U988)</f>
        <v/>
      </c>
      <c r="U988" t="str">
        <f>IF(DONNEES!$E988="","",DONNEES!V988)</f>
        <v/>
      </c>
      <c r="V988" t="str">
        <f>IF(DONNEES!$E988="","",DONNEES!W988)</f>
        <v/>
      </c>
      <c r="W988" t="str">
        <f>IF(DONNEES!$E988="","",DONNEES!X988)</f>
        <v/>
      </c>
      <c r="X988" t="str">
        <f>IF(DONNEES!$E988="","",DONNEES!Y988)</f>
        <v/>
      </c>
      <c r="Y988" t="str">
        <f>IF(DONNEES!$E988="","",DONNEES!Z988)</f>
        <v/>
      </c>
      <c r="Z988" t="str">
        <f>IF(DONNEES!$E988="","",DONNEES!AQ988)</f>
        <v/>
      </c>
    </row>
    <row r="989" spans="1:26" ht="15" customHeight="1" x14ac:dyDescent="0.3">
      <c r="A989" t="str">
        <f>IF(DONNEES!$E989="","",DONNEES!A989)</f>
        <v/>
      </c>
      <c r="B989" t="str">
        <f>IF(DONNEES!$E989="","",DONNEES!B989)</f>
        <v/>
      </c>
      <c r="C989" t="str">
        <f>IF(DONNEES!$E989="","",DONNEES!C989)</f>
        <v/>
      </c>
      <c r="D989" t="str">
        <f>IF(DONNEES!$E989="","",DONNEES!E989)</f>
        <v/>
      </c>
      <c r="E989" t="str">
        <f>IF(DONNEES!$E989="","",DONNEES!F989)</f>
        <v/>
      </c>
      <c r="F989" t="str">
        <f>IF(DONNEES!$E989="","",DONNEES!G989)</f>
        <v/>
      </c>
      <c r="G989" t="str">
        <f>IF(DONNEES!$E989="","",DONNEES!H989)</f>
        <v/>
      </c>
      <c r="H989" t="str">
        <f>IF(DONNEES!$E989="","",DONNEES!I989)</f>
        <v/>
      </c>
      <c r="I989" t="str">
        <f>IF(DONNEES!$E989="","",DONNEES!J989)</f>
        <v/>
      </c>
      <c r="J989" t="str">
        <f>IF(DONNEES!$E989="","",DONNEES!K989)</f>
        <v/>
      </c>
      <c r="K989" t="str">
        <f>IF(DONNEES!$E989="","",DONNEES!L989)</f>
        <v/>
      </c>
      <c r="L989" t="str">
        <f>IF(DONNEES!$E989="","",DONNEES!M989)</f>
        <v/>
      </c>
      <c r="M989" t="str">
        <f>IF(DONNEES!$E989="","",DONNEES!N989)</f>
        <v/>
      </c>
      <c r="N989" t="str">
        <f>IF(DONNEES!$E989="","",DONNEES!O989)</f>
        <v/>
      </c>
      <c r="O989" t="str">
        <f>IF(DONNEES!$E989="","",DONNEES!P989)</f>
        <v/>
      </c>
      <c r="P989" t="str">
        <f>IF(DONNEES!$E989="","",DONNEES!Q989)</f>
        <v/>
      </c>
      <c r="Q989" t="str">
        <f>IF(DONNEES!$E989="","",DONNEES!R989)</f>
        <v/>
      </c>
      <c r="R989" t="str">
        <f>IF(DONNEES!$E989="","",DONNEES!S989)</f>
        <v/>
      </c>
      <c r="S989" t="str">
        <f>IF(DONNEES!$E989="","",DONNEES!T989)</f>
        <v/>
      </c>
      <c r="T989" t="str">
        <f>IF(DONNEES!$E989="","",DONNEES!U989)</f>
        <v/>
      </c>
      <c r="U989" t="str">
        <f>IF(DONNEES!$E989="","",DONNEES!V989)</f>
        <v/>
      </c>
      <c r="V989" t="str">
        <f>IF(DONNEES!$E989="","",DONNEES!W989)</f>
        <v/>
      </c>
      <c r="W989" t="str">
        <f>IF(DONNEES!$E989="","",DONNEES!X989)</f>
        <v/>
      </c>
      <c r="X989" t="str">
        <f>IF(DONNEES!$E989="","",DONNEES!Y989)</f>
        <v/>
      </c>
      <c r="Y989" t="str">
        <f>IF(DONNEES!$E989="","",DONNEES!Z989)</f>
        <v/>
      </c>
      <c r="Z989" t="str">
        <f>IF(DONNEES!$E989="","",DONNEES!AQ989)</f>
        <v/>
      </c>
    </row>
    <row r="990" spans="1:26" ht="15" customHeight="1" x14ac:dyDescent="0.3">
      <c r="A990" t="str">
        <f>IF(DONNEES!$E990="","",DONNEES!A990)</f>
        <v/>
      </c>
      <c r="B990" t="str">
        <f>IF(DONNEES!$E990="","",DONNEES!B990)</f>
        <v/>
      </c>
      <c r="C990" t="str">
        <f>IF(DONNEES!$E990="","",DONNEES!C990)</f>
        <v/>
      </c>
      <c r="D990" t="str">
        <f>IF(DONNEES!$E990="","",DONNEES!E990)</f>
        <v/>
      </c>
      <c r="E990" t="str">
        <f>IF(DONNEES!$E990="","",DONNEES!F990)</f>
        <v/>
      </c>
      <c r="F990" t="str">
        <f>IF(DONNEES!$E990="","",DONNEES!G990)</f>
        <v/>
      </c>
      <c r="G990" t="str">
        <f>IF(DONNEES!$E990="","",DONNEES!H990)</f>
        <v/>
      </c>
      <c r="H990" t="str">
        <f>IF(DONNEES!$E990="","",DONNEES!I990)</f>
        <v/>
      </c>
      <c r="I990" t="str">
        <f>IF(DONNEES!$E990="","",DONNEES!J990)</f>
        <v/>
      </c>
      <c r="J990" t="str">
        <f>IF(DONNEES!$E990="","",DONNEES!K990)</f>
        <v/>
      </c>
      <c r="K990" t="str">
        <f>IF(DONNEES!$E990="","",DONNEES!L990)</f>
        <v/>
      </c>
      <c r="L990" t="str">
        <f>IF(DONNEES!$E990="","",DONNEES!M990)</f>
        <v/>
      </c>
      <c r="M990" t="str">
        <f>IF(DONNEES!$E990="","",DONNEES!N990)</f>
        <v/>
      </c>
      <c r="N990" t="str">
        <f>IF(DONNEES!$E990="","",DONNEES!O990)</f>
        <v/>
      </c>
      <c r="O990" t="str">
        <f>IF(DONNEES!$E990="","",DONNEES!P990)</f>
        <v/>
      </c>
      <c r="P990" t="str">
        <f>IF(DONNEES!$E990="","",DONNEES!Q990)</f>
        <v/>
      </c>
      <c r="Q990" t="str">
        <f>IF(DONNEES!$E990="","",DONNEES!R990)</f>
        <v/>
      </c>
      <c r="R990" t="str">
        <f>IF(DONNEES!$E990="","",DONNEES!S990)</f>
        <v/>
      </c>
      <c r="S990" t="str">
        <f>IF(DONNEES!$E990="","",DONNEES!T990)</f>
        <v/>
      </c>
      <c r="T990" t="str">
        <f>IF(DONNEES!$E990="","",DONNEES!U990)</f>
        <v/>
      </c>
      <c r="U990" t="str">
        <f>IF(DONNEES!$E990="","",DONNEES!V990)</f>
        <v/>
      </c>
      <c r="V990" t="str">
        <f>IF(DONNEES!$E990="","",DONNEES!W990)</f>
        <v/>
      </c>
      <c r="W990" t="str">
        <f>IF(DONNEES!$E990="","",DONNEES!X990)</f>
        <v/>
      </c>
      <c r="X990" t="str">
        <f>IF(DONNEES!$E990="","",DONNEES!Y990)</f>
        <v/>
      </c>
      <c r="Y990" t="str">
        <f>IF(DONNEES!$E990="","",DONNEES!Z990)</f>
        <v/>
      </c>
      <c r="Z990" t="str">
        <f>IF(DONNEES!$E990="","",DONNEES!AQ990)</f>
        <v/>
      </c>
    </row>
    <row r="991" spans="1:26" ht="15" customHeight="1" x14ac:dyDescent="0.3">
      <c r="A991" t="str">
        <f>IF(DONNEES!$E991="","",DONNEES!A991)</f>
        <v/>
      </c>
      <c r="B991" t="str">
        <f>IF(DONNEES!$E991="","",DONNEES!B991)</f>
        <v/>
      </c>
      <c r="C991" t="str">
        <f>IF(DONNEES!$E991="","",DONNEES!C991)</f>
        <v/>
      </c>
      <c r="D991" t="str">
        <f>IF(DONNEES!$E991="","",DONNEES!E991)</f>
        <v/>
      </c>
      <c r="E991" t="str">
        <f>IF(DONNEES!$E991="","",DONNEES!F991)</f>
        <v/>
      </c>
      <c r="F991" t="str">
        <f>IF(DONNEES!$E991="","",DONNEES!G991)</f>
        <v/>
      </c>
      <c r="G991" t="str">
        <f>IF(DONNEES!$E991="","",DONNEES!H991)</f>
        <v/>
      </c>
      <c r="H991" t="str">
        <f>IF(DONNEES!$E991="","",DONNEES!I991)</f>
        <v/>
      </c>
      <c r="I991" t="str">
        <f>IF(DONNEES!$E991="","",DONNEES!J991)</f>
        <v/>
      </c>
      <c r="J991" t="str">
        <f>IF(DONNEES!$E991="","",DONNEES!K991)</f>
        <v/>
      </c>
      <c r="K991" t="str">
        <f>IF(DONNEES!$E991="","",DONNEES!L991)</f>
        <v/>
      </c>
      <c r="L991" t="str">
        <f>IF(DONNEES!$E991="","",DONNEES!M991)</f>
        <v/>
      </c>
      <c r="M991" t="str">
        <f>IF(DONNEES!$E991="","",DONNEES!N991)</f>
        <v/>
      </c>
      <c r="N991" t="str">
        <f>IF(DONNEES!$E991="","",DONNEES!O991)</f>
        <v/>
      </c>
      <c r="O991" t="str">
        <f>IF(DONNEES!$E991="","",DONNEES!P991)</f>
        <v/>
      </c>
      <c r="P991" t="str">
        <f>IF(DONNEES!$E991="","",DONNEES!Q991)</f>
        <v/>
      </c>
      <c r="Q991" t="str">
        <f>IF(DONNEES!$E991="","",DONNEES!R991)</f>
        <v/>
      </c>
      <c r="R991" t="str">
        <f>IF(DONNEES!$E991="","",DONNEES!S991)</f>
        <v/>
      </c>
      <c r="S991" t="str">
        <f>IF(DONNEES!$E991="","",DONNEES!T991)</f>
        <v/>
      </c>
      <c r="T991" t="str">
        <f>IF(DONNEES!$E991="","",DONNEES!U991)</f>
        <v/>
      </c>
      <c r="U991" t="str">
        <f>IF(DONNEES!$E991="","",DONNEES!V991)</f>
        <v/>
      </c>
      <c r="V991" t="str">
        <f>IF(DONNEES!$E991="","",DONNEES!W991)</f>
        <v/>
      </c>
      <c r="W991" t="str">
        <f>IF(DONNEES!$E991="","",DONNEES!X991)</f>
        <v/>
      </c>
      <c r="X991" t="str">
        <f>IF(DONNEES!$E991="","",DONNEES!Y991)</f>
        <v/>
      </c>
      <c r="Y991" t="str">
        <f>IF(DONNEES!$E991="","",DONNEES!Z991)</f>
        <v/>
      </c>
      <c r="Z991" t="str">
        <f>IF(DONNEES!$E991="","",DONNEES!AQ991)</f>
        <v/>
      </c>
    </row>
    <row r="992" spans="1:26" ht="15" customHeight="1" x14ac:dyDescent="0.3">
      <c r="A992" t="str">
        <f>IF(DONNEES!$E992="","",DONNEES!A992)</f>
        <v/>
      </c>
      <c r="B992" t="str">
        <f>IF(DONNEES!$E992="","",DONNEES!B992)</f>
        <v/>
      </c>
      <c r="C992" t="str">
        <f>IF(DONNEES!$E992="","",DONNEES!C992)</f>
        <v/>
      </c>
      <c r="D992" t="str">
        <f>IF(DONNEES!$E992="","",DONNEES!E992)</f>
        <v/>
      </c>
      <c r="E992" t="str">
        <f>IF(DONNEES!$E992="","",DONNEES!F992)</f>
        <v/>
      </c>
      <c r="F992" t="str">
        <f>IF(DONNEES!$E992="","",DONNEES!G992)</f>
        <v/>
      </c>
      <c r="G992" t="str">
        <f>IF(DONNEES!$E992="","",DONNEES!H992)</f>
        <v/>
      </c>
      <c r="H992" t="str">
        <f>IF(DONNEES!$E992="","",DONNEES!I992)</f>
        <v/>
      </c>
      <c r="I992" t="str">
        <f>IF(DONNEES!$E992="","",DONNEES!J992)</f>
        <v/>
      </c>
      <c r="J992" t="str">
        <f>IF(DONNEES!$E992="","",DONNEES!K992)</f>
        <v/>
      </c>
      <c r="K992" t="str">
        <f>IF(DONNEES!$E992="","",DONNEES!L992)</f>
        <v/>
      </c>
      <c r="L992" t="str">
        <f>IF(DONNEES!$E992="","",DONNEES!M992)</f>
        <v/>
      </c>
      <c r="M992" t="str">
        <f>IF(DONNEES!$E992="","",DONNEES!N992)</f>
        <v/>
      </c>
      <c r="N992" t="str">
        <f>IF(DONNEES!$E992="","",DONNEES!O992)</f>
        <v/>
      </c>
      <c r="O992" t="str">
        <f>IF(DONNEES!$E992="","",DONNEES!P992)</f>
        <v/>
      </c>
      <c r="P992" t="str">
        <f>IF(DONNEES!$E992="","",DONNEES!Q992)</f>
        <v/>
      </c>
      <c r="Q992" t="str">
        <f>IF(DONNEES!$E992="","",DONNEES!R992)</f>
        <v/>
      </c>
      <c r="R992" t="str">
        <f>IF(DONNEES!$E992="","",DONNEES!S992)</f>
        <v/>
      </c>
      <c r="S992" t="str">
        <f>IF(DONNEES!$E992="","",DONNEES!T992)</f>
        <v/>
      </c>
      <c r="T992" t="str">
        <f>IF(DONNEES!$E992="","",DONNEES!U992)</f>
        <v/>
      </c>
      <c r="U992" t="str">
        <f>IF(DONNEES!$E992="","",DONNEES!V992)</f>
        <v/>
      </c>
      <c r="V992" t="str">
        <f>IF(DONNEES!$E992="","",DONNEES!W992)</f>
        <v/>
      </c>
      <c r="W992" t="str">
        <f>IF(DONNEES!$E992="","",DONNEES!X992)</f>
        <v/>
      </c>
      <c r="X992" t="str">
        <f>IF(DONNEES!$E992="","",DONNEES!Y992)</f>
        <v/>
      </c>
      <c r="Y992" t="str">
        <f>IF(DONNEES!$E992="","",DONNEES!Z992)</f>
        <v/>
      </c>
      <c r="Z992" t="str">
        <f>IF(DONNEES!$E992="","",DONNEES!AQ992)</f>
        <v/>
      </c>
    </row>
    <row r="993" spans="1:26" ht="15" customHeight="1" x14ac:dyDescent="0.3">
      <c r="A993" t="str">
        <f>IF(DONNEES!$E993="","",DONNEES!A993)</f>
        <v/>
      </c>
      <c r="B993" t="str">
        <f>IF(DONNEES!$E993="","",DONNEES!B993)</f>
        <v/>
      </c>
      <c r="C993" t="str">
        <f>IF(DONNEES!$E993="","",DONNEES!C993)</f>
        <v/>
      </c>
      <c r="D993" t="str">
        <f>IF(DONNEES!$E993="","",DONNEES!E993)</f>
        <v/>
      </c>
      <c r="E993" t="str">
        <f>IF(DONNEES!$E993="","",DONNEES!F993)</f>
        <v/>
      </c>
      <c r="F993" t="str">
        <f>IF(DONNEES!$E993="","",DONNEES!G993)</f>
        <v/>
      </c>
      <c r="G993" t="str">
        <f>IF(DONNEES!$E993="","",DONNEES!H993)</f>
        <v/>
      </c>
      <c r="H993" t="str">
        <f>IF(DONNEES!$E993="","",DONNEES!I993)</f>
        <v/>
      </c>
      <c r="I993" t="str">
        <f>IF(DONNEES!$E993="","",DONNEES!J993)</f>
        <v/>
      </c>
      <c r="J993" t="str">
        <f>IF(DONNEES!$E993="","",DONNEES!K993)</f>
        <v/>
      </c>
      <c r="K993" t="str">
        <f>IF(DONNEES!$E993="","",DONNEES!L993)</f>
        <v/>
      </c>
      <c r="L993" t="str">
        <f>IF(DONNEES!$E993="","",DONNEES!M993)</f>
        <v/>
      </c>
      <c r="M993" t="str">
        <f>IF(DONNEES!$E993="","",DONNEES!N993)</f>
        <v/>
      </c>
      <c r="N993" t="str">
        <f>IF(DONNEES!$E993="","",DONNEES!O993)</f>
        <v/>
      </c>
      <c r="O993" t="str">
        <f>IF(DONNEES!$E993="","",DONNEES!P993)</f>
        <v/>
      </c>
      <c r="P993" t="str">
        <f>IF(DONNEES!$E993="","",DONNEES!Q993)</f>
        <v/>
      </c>
      <c r="Q993" t="str">
        <f>IF(DONNEES!$E993="","",DONNEES!R993)</f>
        <v/>
      </c>
      <c r="R993" t="str">
        <f>IF(DONNEES!$E993="","",DONNEES!S993)</f>
        <v/>
      </c>
      <c r="S993" t="str">
        <f>IF(DONNEES!$E993="","",DONNEES!T993)</f>
        <v/>
      </c>
      <c r="T993" t="str">
        <f>IF(DONNEES!$E993="","",DONNEES!U993)</f>
        <v/>
      </c>
      <c r="U993" t="str">
        <f>IF(DONNEES!$E993="","",DONNEES!V993)</f>
        <v/>
      </c>
      <c r="V993" t="str">
        <f>IF(DONNEES!$E993="","",DONNEES!W993)</f>
        <v/>
      </c>
      <c r="W993" t="str">
        <f>IF(DONNEES!$E993="","",DONNEES!X993)</f>
        <v/>
      </c>
      <c r="X993" t="str">
        <f>IF(DONNEES!$E993="","",DONNEES!Y993)</f>
        <v/>
      </c>
      <c r="Y993" t="str">
        <f>IF(DONNEES!$E993="","",DONNEES!Z993)</f>
        <v/>
      </c>
      <c r="Z993" t="str">
        <f>IF(DONNEES!$E993="","",DONNEES!AQ993)</f>
        <v/>
      </c>
    </row>
    <row r="994" spans="1:26" ht="15" customHeight="1" x14ac:dyDescent="0.3">
      <c r="A994" t="str">
        <f>IF(DONNEES!$E994="","",DONNEES!A994)</f>
        <v/>
      </c>
      <c r="B994" t="str">
        <f>IF(DONNEES!$E994="","",DONNEES!B994)</f>
        <v/>
      </c>
      <c r="C994" t="str">
        <f>IF(DONNEES!$E994="","",DONNEES!C994)</f>
        <v/>
      </c>
      <c r="D994" t="str">
        <f>IF(DONNEES!$E994="","",DONNEES!E994)</f>
        <v/>
      </c>
      <c r="E994" t="str">
        <f>IF(DONNEES!$E994="","",DONNEES!F994)</f>
        <v/>
      </c>
      <c r="F994" t="str">
        <f>IF(DONNEES!$E994="","",DONNEES!G994)</f>
        <v/>
      </c>
      <c r="G994" t="str">
        <f>IF(DONNEES!$E994="","",DONNEES!H994)</f>
        <v/>
      </c>
      <c r="H994" t="str">
        <f>IF(DONNEES!$E994="","",DONNEES!I994)</f>
        <v/>
      </c>
      <c r="I994" t="str">
        <f>IF(DONNEES!$E994="","",DONNEES!J994)</f>
        <v/>
      </c>
      <c r="J994" t="str">
        <f>IF(DONNEES!$E994="","",DONNEES!K994)</f>
        <v/>
      </c>
      <c r="K994" t="str">
        <f>IF(DONNEES!$E994="","",DONNEES!L994)</f>
        <v/>
      </c>
      <c r="L994" t="str">
        <f>IF(DONNEES!$E994="","",DONNEES!M994)</f>
        <v/>
      </c>
      <c r="M994" t="str">
        <f>IF(DONNEES!$E994="","",DONNEES!N994)</f>
        <v/>
      </c>
      <c r="N994" t="str">
        <f>IF(DONNEES!$E994="","",DONNEES!O994)</f>
        <v/>
      </c>
      <c r="O994" t="str">
        <f>IF(DONNEES!$E994="","",DONNEES!P994)</f>
        <v/>
      </c>
      <c r="P994" t="str">
        <f>IF(DONNEES!$E994="","",DONNEES!Q994)</f>
        <v/>
      </c>
      <c r="Q994" t="str">
        <f>IF(DONNEES!$E994="","",DONNEES!R994)</f>
        <v/>
      </c>
      <c r="R994" t="str">
        <f>IF(DONNEES!$E994="","",DONNEES!S994)</f>
        <v/>
      </c>
      <c r="S994" t="str">
        <f>IF(DONNEES!$E994="","",DONNEES!T994)</f>
        <v/>
      </c>
      <c r="T994" t="str">
        <f>IF(DONNEES!$E994="","",DONNEES!U994)</f>
        <v/>
      </c>
      <c r="U994" t="str">
        <f>IF(DONNEES!$E994="","",DONNEES!V994)</f>
        <v/>
      </c>
      <c r="V994" t="str">
        <f>IF(DONNEES!$E994="","",DONNEES!W994)</f>
        <v/>
      </c>
      <c r="W994" t="str">
        <f>IF(DONNEES!$E994="","",DONNEES!X994)</f>
        <v/>
      </c>
      <c r="X994" t="str">
        <f>IF(DONNEES!$E994="","",DONNEES!Y994)</f>
        <v/>
      </c>
      <c r="Y994" t="str">
        <f>IF(DONNEES!$E994="","",DONNEES!Z994)</f>
        <v/>
      </c>
      <c r="Z994" t="str">
        <f>IF(DONNEES!$E994="","",DONNEES!AQ994)</f>
        <v/>
      </c>
    </row>
    <row r="995" spans="1:26" ht="15" customHeight="1" x14ac:dyDescent="0.3">
      <c r="A995" t="str">
        <f>IF(DONNEES!$E995="","",DONNEES!A995)</f>
        <v/>
      </c>
      <c r="B995" t="str">
        <f>IF(DONNEES!$E995="","",DONNEES!B995)</f>
        <v/>
      </c>
      <c r="C995" t="str">
        <f>IF(DONNEES!$E995="","",DONNEES!C995)</f>
        <v/>
      </c>
      <c r="D995" t="str">
        <f>IF(DONNEES!$E995="","",DONNEES!E995)</f>
        <v/>
      </c>
      <c r="E995" t="str">
        <f>IF(DONNEES!$E995="","",DONNEES!F995)</f>
        <v/>
      </c>
      <c r="F995" t="str">
        <f>IF(DONNEES!$E995="","",DONNEES!G995)</f>
        <v/>
      </c>
      <c r="G995" t="str">
        <f>IF(DONNEES!$E995="","",DONNEES!H995)</f>
        <v/>
      </c>
      <c r="H995" t="str">
        <f>IF(DONNEES!$E995="","",DONNEES!I995)</f>
        <v/>
      </c>
      <c r="I995" t="str">
        <f>IF(DONNEES!$E995="","",DONNEES!J995)</f>
        <v/>
      </c>
      <c r="J995" t="str">
        <f>IF(DONNEES!$E995="","",DONNEES!K995)</f>
        <v/>
      </c>
      <c r="K995" t="str">
        <f>IF(DONNEES!$E995="","",DONNEES!L995)</f>
        <v/>
      </c>
      <c r="L995" t="str">
        <f>IF(DONNEES!$E995="","",DONNEES!M995)</f>
        <v/>
      </c>
      <c r="M995" t="str">
        <f>IF(DONNEES!$E995="","",DONNEES!N995)</f>
        <v/>
      </c>
      <c r="N995" t="str">
        <f>IF(DONNEES!$E995="","",DONNEES!O995)</f>
        <v/>
      </c>
      <c r="O995" t="str">
        <f>IF(DONNEES!$E995="","",DONNEES!P995)</f>
        <v/>
      </c>
      <c r="P995" t="str">
        <f>IF(DONNEES!$E995="","",DONNEES!Q995)</f>
        <v/>
      </c>
      <c r="Q995" t="str">
        <f>IF(DONNEES!$E995="","",DONNEES!R995)</f>
        <v/>
      </c>
      <c r="R995" t="str">
        <f>IF(DONNEES!$E995="","",DONNEES!S995)</f>
        <v/>
      </c>
      <c r="S995" t="str">
        <f>IF(DONNEES!$E995="","",DONNEES!T995)</f>
        <v/>
      </c>
      <c r="T995" t="str">
        <f>IF(DONNEES!$E995="","",DONNEES!U995)</f>
        <v/>
      </c>
      <c r="U995" t="str">
        <f>IF(DONNEES!$E995="","",DONNEES!V995)</f>
        <v/>
      </c>
      <c r="V995" t="str">
        <f>IF(DONNEES!$E995="","",DONNEES!W995)</f>
        <v/>
      </c>
      <c r="W995" t="str">
        <f>IF(DONNEES!$E995="","",DONNEES!X995)</f>
        <v/>
      </c>
      <c r="X995" t="str">
        <f>IF(DONNEES!$E995="","",DONNEES!Y995)</f>
        <v/>
      </c>
      <c r="Y995" t="str">
        <f>IF(DONNEES!$E995="","",DONNEES!Z995)</f>
        <v/>
      </c>
      <c r="Z995" t="str">
        <f>IF(DONNEES!$E995="","",DONNEES!AQ995)</f>
        <v/>
      </c>
    </row>
    <row r="996" spans="1:26" ht="15" customHeight="1" x14ac:dyDescent="0.3">
      <c r="A996" t="str">
        <f>IF(DONNEES!$E996="","",DONNEES!A996)</f>
        <v/>
      </c>
      <c r="B996" t="str">
        <f>IF(DONNEES!$E996="","",DONNEES!B996)</f>
        <v/>
      </c>
      <c r="C996" t="str">
        <f>IF(DONNEES!$E996="","",DONNEES!C996)</f>
        <v/>
      </c>
      <c r="D996" t="str">
        <f>IF(DONNEES!$E996="","",DONNEES!E996)</f>
        <v/>
      </c>
      <c r="E996" t="str">
        <f>IF(DONNEES!$E996="","",DONNEES!F996)</f>
        <v/>
      </c>
      <c r="F996" t="str">
        <f>IF(DONNEES!$E996="","",DONNEES!G996)</f>
        <v/>
      </c>
      <c r="G996" t="str">
        <f>IF(DONNEES!$E996="","",DONNEES!H996)</f>
        <v/>
      </c>
      <c r="H996" t="str">
        <f>IF(DONNEES!$E996="","",DONNEES!I996)</f>
        <v/>
      </c>
      <c r="I996" t="str">
        <f>IF(DONNEES!$E996="","",DONNEES!J996)</f>
        <v/>
      </c>
      <c r="J996" t="str">
        <f>IF(DONNEES!$E996="","",DONNEES!K996)</f>
        <v/>
      </c>
      <c r="K996" t="str">
        <f>IF(DONNEES!$E996="","",DONNEES!L996)</f>
        <v/>
      </c>
      <c r="L996" t="str">
        <f>IF(DONNEES!$E996="","",DONNEES!M996)</f>
        <v/>
      </c>
      <c r="M996" t="str">
        <f>IF(DONNEES!$E996="","",DONNEES!N996)</f>
        <v/>
      </c>
      <c r="N996" t="str">
        <f>IF(DONNEES!$E996="","",DONNEES!O996)</f>
        <v/>
      </c>
      <c r="O996" t="str">
        <f>IF(DONNEES!$E996="","",DONNEES!P996)</f>
        <v/>
      </c>
      <c r="P996" t="str">
        <f>IF(DONNEES!$E996="","",DONNEES!Q996)</f>
        <v/>
      </c>
      <c r="Q996" t="str">
        <f>IF(DONNEES!$E996="","",DONNEES!R996)</f>
        <v/>
      </c>
      <c r="R996" t="str">
        <f>IF(DONNEES!$E996="","",DONNEES!S996)</f>
        <v/>
      </c>
      <c r="S996" t="str">
        <f>IF(DONNEES!$E996="","",DONNEES!T996)</f>
        <v/>
      </c>
      <c r="T996" t="str">
        <f>IF(DONNEES!$E996="","",DONNEES!U996)</f>
        <v/>
      </c>
      <c r="U996" t="str">
        <f>IF(DONNEES!$E996="","",DONNEES!V996)</f>
        <v/>
      </c>
      <c r="V996" t="str">
        <f>IF(DONNEES!$E996="","",DONNEES!W996)</f>
        <v/>
      </c>
      <c r="W996" t="str">
        <f>IF(DONNEES!$E996="","",DONNEES!X996)</f>
        <v/>
      </c>
      <c r="X996" t="str">
        <f>IF(DONNEES!$E996="","",DONNEES!Y996)</f>
        <v/>
      </c>
      <c r="Y996" t="str">
        <f>IF(DONNEES!$E996="","",DONNEES!Z996)</f>
        <v/>
      </c>
      <c r="Z996" t="str">
        <f>IF(DONNEES!$E996="","",DONNEES!AQ996)</f>
        <v/>
      </c>
    </row>
    <row r="997" spans="1:26" ht="15" customHeight="1" x14ac:dyDescent="0.3">
      <c r="A997" t="str">
        <f>IF(DONNEES!$E997="","",DONNEES!A997)</f>
        <v/>
      </c>
      <c r="B997" t="str">
        <f>IF(DONNEES!$E997="","",DONNEES!B997)</f>
        <v/>
      </c>
      <c r="C997" t="str">
        <f>IF(DONNEES!$E997="","",DONNEES!C997)</f>
        <v/>
      </c>
      <c r="D997" t="str">
        <f>IF(DONNEES!$E997="","",DONNEES!E997)</f>
        <v/>
      </c>
      <c r="E997" t="str">
        <f>IF(DONNEES!$E997="","",DONNEES!F997)</f>
        <v/>
      </c>
      <c r="F997" t="str">
        <f>IF(DONNEES!$E997="","",DONNEES!G997)</f>
        <v/>
      </c>
      <c r="G997" t="str">
        <f>IF(DONNEES!$E997="","",DONNEES!H997)</f>
        <v/>
      </c>
      <c r="H997" t="str">
        <f>IF(DONNEES!$E997="","",DONNEES!I997)</f>
        <v/>
      </c>
      <c r="I997" t="str">
        <f>IF(DONNEES!$E997="","",DONNEES!J997)</f>
        <v/>
      </c>
      <c r="J997" t="str">
        <f>IF(DONNEES!$E997="","",DONNEES!K997)</f>
        <v/>
      </c>
      <c r="K997" t="str">
        <f>IF(DONNEES!$E997="","",DONNEES!L997)</f>
        <v/>
      </c>
      <c r="L997" t="str">
        <f>IF(DONNEES!$E997="","",DONNEES!M997)</f>
        <v/>
      </c>
      <c r="M997" t="str">
        <f>IF(DONNEES!$E997="","",DONNEES!N997)</f>
        <v/>
      </c>
      <c r="N997" t="str">
        <f>IF(DONNEES!$E997="","",DONNEES!O997)</f>
        <v/>
      </c>
      <c r="O997" t="str">
        <f>IF(DONNEES!$E997="","",DONNEES!P997)</f>
        <v/>
      </c>
      <c r="P997" t="str">
        <f>IF(DONNEES!$E997="","",DONNEES!Q997)</f>
        <v/>
      </c>
      <c r="Q997" t="str">
        <f>IF(DONNEES!$E997="","",DONNEES!R997)</f>
        <v/>
      </c>
      <c r="R997" t="str">
        <f>IF(DONNEES!$E997="","",DONNEES!S997)</f>
        <v/>
      </c>
      <c r="S997" t="str">
        <f>IF(DONNEES!$E997="","",DONNEES!T997)</f>
        <v/>
      </c>
      <c r="T997" t="str">
        <f>IF(DONNEES!$E997="","",DONNEES!U997)</f>
        <v/>
      </c>
      <c r="U997" t="str">
        <f>IF(DONNEES!$E997="","",DONNEES!V997)</f>
        <v/>
      </c>
      <c r="V997" t="str">
        <f>IF(DONNEES!$E997="","",DONNEES!W997)</f>
        <v/>
      </c>
      <c r="W997" t="str">
        <f>IF(DONNEES!$E997="","",DONNEES!X997)</f>
        <v/>
      </c>
      <c r="X997" t="str">
        <f>IF(DONNEES!$E997="","",DONNEES!Y997)</f>
        <v/>
      </c>
      <c r="Y997" t="str">
        <f>IF(DONNEES!$E997="","",DONNEES!Z997)</f>
        <v/>
      </c>
      <c r="Z997" t="str">
        <f>IF(DONNEES!$E997="","",DONNEES!AQ997)</f>
        <v/>
      </c>
    </row>
    <row r="998" spans="1:26" ht="15" customHeight="1" x14ac:dyDescent="0.3">
      <c r="A998" t="str">
        <f>IF(DONNEES!$E998="","",DONNEES!A998)</f>
        <v/>
      </c>
      <c r="B998" t="str">
        <f>IF(DONNEES!$E998="","",DONNEES!B998)</f>
        <v/>
      </c>
      <c r="C998" t="str">
        <f>IF(DONNEES!$E998="","",DONNEES!C998)</f>
        <v/>
      </c>
      <c r="D998" t="str">
        <f>IF(DONNEES!$E998="","",DONNEES!E998)</f>
        <v/>
      </c>
      <c r="E998" t="str">
        <f>IF(DONNEES!$E998="","",DONNEES!F998)</f>
        <v/>
      </c>
      <c r="F998" t="str">
        <f>IF(DONNEES!$E998="","",DONNEES!G998)</f>
        <v/>
      </c>
      <c r="G998" t="str">
        <f>IF(DONNEES!$E998="","",DONNEES!H998)</f>
        <v/>
      </c>
      <c r="H998" t="str">
        <f>IF(DONNEES!$E998="","",DONNEES!I998)</f>
        <v/>
      </c>
      <c r="I998" t="str">
        <f>IF(DONNEES!$E998="","",DONNEES!J998)</f>
        <v/>
      </c>
      <c r="J998" t="str">
        <f>IF(DONNEES!$E998="","",DONNEES!K998)</f>
        <v/>
      </c>
      <c r="K998" t="str">
        <f>IF(DONNEES!$E998="","",DONNEES!L998)</f>
        <v/>
      </c>
      <c r="L998" t="str">
        <f>IF(DONNEES!$E998="","",DONNEES!M998)</f>
        <v/>
      </c>
      <c r="M998" t="str">
        <f>IF(DONNEES!$E998="","",DONNEES!N998)</f>
        <v/>
      </c>
      <c r="N998" t="str">
        <f>IF(DONNEES!$E998="","",DONNEES!O998)</f>
        <v/>
      </c>
      <c r="O998" t="str">
        <f>IF(DONNEES!$E998="","",DONNEES!P998)</f>
        <v/>
      </c>
      <c r="P998" t="str">
        <f>IF(DONNEES!$E998="","",DONNEES!Q998)</f>
        <v/>
      </c>
      <c r="Q998" t="str">
        <f>IF(DONNEES!$E998="","",DONNEES!R998)</f>
        <v/>
      </c>
      <c r="R998" t="str">
        <f>IF(DONNEES!$E998="","",DONNEES!S998)</f>
        <v/>
      </c>
      <c r="S998" t="str">
        <f>IF(DONNEES!$E998="","",DONNEES!T998)</f>
        <v/>
      </c>
      <c r="T998" t="str">
        <f>IF(DONNEES!$E998="","",DONNEES!U998)</f>
        <v/>
      </c>
      <c r="U998" t="str">
        <f>IF(DONNEES!$E998="","",DONNEES!V998)</f>
        <v/>
      </c>
      <c r="V998" t="str">
        <f>IF(DONNEES!$E998="","",DONNEES!W998)</f>
        <v/>
      </c>
      <c r="W998" t="str">
        <f>IF(DONNEES!$E998="","",DONNEES!X998)</f>
        <v/>
      </c>
      <c r="X998" t="str">
        <f>IF(DONNEES!$E998="","",DONNEES!Y998)</f>
        <v/>
      </c>
      <c r="Y998" t="str">
        <f>IF(DONNEES!$E998="","",DONNEES!Z998)</f>
        <v/>
      </c>
      <c r="Z998" t="str">
        <f>IF(DONNEES!$E998="","",DONNEES!AQ998)</f>
        <v/>
      </c>
    </row>
    <row r="999" spans="1:26" ht="15" customHeight="1" x14ac:dyDescent="0.3">
      <c r="A999" t="str">
        <f>IF(DONNEES!$E999="","",DONNEES!A999)</f>
        <v/>
      </c>
      <c r="B999" t="str">
        <f>IF(DONNEES!$E999="","",DONNEES!B999)</f>
        <v/>
      </c>
      <c r="C999" t="str">
        <f>IF(DONNEES!$E999="","",DONNEES!C999)</f>
        <v/>
      </c>
      <c r="D999" t="str">
        <f>IF(DONNEES!$E999="","",DONNEES!E999)</f>
        <v/>
      </c>
      <c r="E999" t="str">
        <f>IF(DONNEES!$E999="","",DONNEES!F999)</f>
        <v/>
      </c>
      <c r="F999" t="str">
        <f>IF(DONNEES!$E999="","",DONNEES!G999)</f>
        <v/>
      </c>
      <c r="G999" t="str">
        <f>IF(DONNEES!$E999="","",DONNEES!H999)</f>
        <v/>
      </c>
      <c r="H999" t="str">
        <f>IF(DONNEES!$E999="","",DONNEES!I999)</f>
        <v/>
      </c>
      <c r="I999" t="str">
        <f>IF(DONNEES!$E999="","",DONNEES!J999)</f>
        <v/>
      </c>
      <c r="J999" t="str">
        <f>IF(DONNEES!$E999="","",DONNEES!K999)</f>
        <v/>
      </c>
      <c r="K999" t="str">
        <f>IF(DONNEES!$E999="","",DONNEES!L999)</f>
        <v/>
      </c>
      <c r="L999" t="str">
        <f>IF(DONNEES!$E999="","",DONNEES!M999)</f>
        <v/>
      </c>
      <c r="M999" t="str">
        <f>IF(DONNEES!$E999="","",DONNEES!N999)</f>
        <v/>
      </c>
      <c r="N999" t="str">
        <f>IF(DONNEES!$E999="","",DONNEES!O999)</f>
        <v/>
      </c>
      <c r="O999" t="str">
        <f>IF(DONNEES!$E999="","",DONNEES!P999)</f>
        <v/>
      </c>
      <c r="P999" t="str">
        <f>IF(DONNEES!$E999="","",DONNEES!Q999)</f>
        <v/>
      </c>
      <c r="Q999" t="str">
        <f>IF(DONNEES!$E999="","",DONNEES!R999)</f>
        <v/>
      </c>
      <c r="R999" t="str">
        <f>IF(DONNEES!$E999="","",DONNEES!S999)</f>
        <v/>
      </c>
      <c r="S999" t="str">
        <f>IF(DONNEES!$E999="","",DONNEES!T999)</f>
        <v/>
      </c>
      <c r="T999" t="str">
        <f>IF(DONNEES!$E999="","",DONNEES!U999)</f>
        <v/>
      </c>
      <c r="U999" t="str">
        <f>IF(DONNEES!$E999="","",DONNEES!V999)</f>
        <v/>
      </c>
      <c r="V999" t="str">
        <f>IF(DONNEES!$E999="","",DONNEES!W999)</f>
        <v/>
      </c>
      <c r="W999" t="str">
        <f>IF(DONNEES!$E999="","",DONNEES!X999)</f>
        <v/>
      </c>
      <c r="X999" t="str">
        <f>IF(DONNEES!$E999="","",DONNEES!Y999)</f>
        <v/>
      </c>
      <c r="Y999" t="str">
        <f>IF(DONNEES!$E999="","",DONNEES!Z999)</f>
        <v/>
      </c>
      <c r="Z999" t="str">
        <f>IF(DONNEES!$E999="","",DONNEES!AQ999)</f>
        <v/>
      </c>
    </row>
    <row r="1000" spans="1:26" ht="15" customHeight="1" x14ac:dyDescent="0.3">
      <c r="A1000" t="str">
        <f>IF(DONNEES!$E1000="","",DONNEES!A1000)</f>
        <v/>
      </c>
      <c r="B1000" t="str">
        <f>IF(DONNEES!$E1000="","",DONNEES!B1000)</f>
        <v/>
      </c>
      <c r="C1000" t="str">
        <f>IF(DONNEES!$E1000="","",DONNEES!C1000)</f>
        <v/>
      </c>
      <c r="D1000" t="str">
        <f>IF(DONNEES!$E1000="","",DONNEES!E1000)</f>
        <v/>
      </c>
      <c r="E1000" t="str">
        <f>IF(DONNEES!$E1000="","",DONNEES!F1000)</f>
        <v/>
      </c>
      <c r="F1000" t="str">
        <f>IF(DONNEES!$E1000="","",DONNEES!G1000)</f>
        <v/>
      </c>
      <c r="G1000" t="str">
        <f>IF(DONNEES!$E1000="","",DONNEES!H1000)</f>
        <v/>
      </c>
      <c r="H1000" t="str">
        <f>IF(DONNEES!$E1000="","",DONNEES!I1000)</f>
        <v/>
      </c>
      <c r="I1000" t="str">
        <f>IF(DONNEES!$E1000="","",DONNEES!J1000)</f>
        <v/>
      </c>
      <c r="J1000" t="str">
        <f>IF(DONNEES!$E1000="","",DONNEES!K1000)</f>
        <v/>
      </c>
      <c r="K1000" t="str">
        <f>IF(DONNEES!$E1000="","",DONNEES!L1000)</f>
        <v/>
      </c>
      <c r="L1000" t="str">
        <f>IF(DONNEES!$E1000="","",DONNEES!M1000)</f>
        <v/>
      </c>
      <c r="M1000" t="str">
        <f>IF(DONNEES!$E1000="","",DONNEES!N1000)</f>
        <v/>
      </c>
      <c r="N1000" t="str">
        <f>IF(DONNEES!$E1000="","",DONNEES!O1000)</f>
        <v/>
      </c>
      <c r="O1000" t="str">
        <f>IF(DONNEES!$E1000="","",DONNEES!P1000)</f>
        <v/>
      </c>
      <c r="P1000" t="str">
        <f>IF(DONNEES!$E1000="","",DONNEES!Q1000)</f>
        <v/>
      </c>
      <c r="Q1000" t="str">
        <f>IF(DONNEES!$E1000="","",DONNEES!R1000)</f>
        <v/>
      </c>
      <c r="R1000" t="str">
        <f>IF(DONNEES!$E1000="","",DONNEES!S1000)</f>
        <v/>
      </c>
      <c r="S1000" t="str">
        <f>IF(DONNEES!$E1000="","",DONNEES!T1000)</f>
        <v/>
      </c>
      <c r="T1000" t="str">
        <f>IF(DONNEES!$E1000="","",DONNEES!U1000)</f>
        <v/>
      </c>
      <c r="U1000" t="str">
        <f>IF(DONNEES!$E1000="","",DONNEES!V1000)</f>
        <v/>
      </c>
      <c r="V1000" t="str">
        <f>IF(DONNEES!$E1000="","",DONNEES!W1000)</f>
        <v/>
      </c>
      <c r="W1000" t="str">
        <f>IF(DONNEES!$E1000="","",DONNEES!X1000)</f>
        <v/>
      </c>
      <c r="X1000" t="str">
        <f>IF(DONNEES!$E1000="","",DONNEES!Y1000)</f>
        <v/>
      </c>
      <c r="Y1000" t="str">
        <f>IF(DONNEES!$E1000="","",DONNEES!Z1000)</f>
        <v/>
      </c>
      <c r="Z1000" t="str">
        <f>IF(DONNEES!$E1000="","",DONNEES!AQ1000)</f>
        <v/>
      </c>
    </row>
    <row r="1001" spans="1:26" ht="15" customHeight="1" x14ac:dyDescent="0.3">
      <c r="A1001" t="str">
        <f>IF(DONNEES!$E1001="","",DONNEES!A1001)</f>
        <v/>
      </c>
      <c r="B1001" t="str">
        <f>IF(DONNEES!$E1001="","",DONNEES!B1001)</f>
        <v/>
      </c>
      <c r="C1001" t="str">
        <f>IF(DONNEES!$E1001="","",DONNEES!C1001)</f>
        <v/>
      </c>
      <c r="D1001" t="str">
        <f>IF(DONNEES!$E1001="","",DONNEES!E1001)</f>
        <v/>
      </c>
      <c r="E1001" t="str">
        <f>IF(DONNEES!$E1001="","",DONNEES!F1001)</f>
        <v/>
      </c>
      <c r="F1001" t="str">
        <f>IF(DONNEES!$E1001="","",DONNEES!G1001)</f>
        <v/>
      </c>
      <c r="G1001" t="str">
        <f>IF(DONNEES!$E1001="","",DONNEES!H1001)</f>
        <v/>
      </c>
      <c r="H1001" t="str">
        <f>IF(DONNEES!$E1001="","",DONNEES!I1001)</f>
        <v/>
      </c>
      <c r="I1001" t="str">
        <f>IF(DONNEES!$E1001="","",DONNEES!J1001)</f>
        <v/>
      </c>
      <c r="J1001" t="str">
        <f>IF(DONNEES!$E1001="","",DONNEES!K1001)</f>
        <v/>
      </c>
      <c r="K1001" t="str">
        <f>IF(DONNEES!$E1001="","",DONNEES!L1001)</f>
        <v/>
      </c>
      <c r="L1001" t="str">
        <f>IF(DONNEES!$E1001="","",DONNEES!M1001)</f>
        <v/>
      </c>
      <c r="M1001" t="str">
        <f>IF(DONNEES!$E1001="","",DONNEES!N1001)</f>
        <v/>
      </c>
      <c r="N1001" t="str">
        <f>IF(DONNEES!$E1001="","",DONNEES!O1001)</f>
        <v/>
      </c>
      <c r="O1001" t="str">
        <f>IF(DONNEES!$E1001="","",DONNEES!P1001)</f>
        <v/>
      </c>
      <c r="P1001" t="str">
        <f>IF(DONNEES!$E1001="","",DONNEES!Q1001)</f>
        <v/>
      </c>
      <c r="Q1001" t="str">
        <f>IF(DONNEES!$E1001="","",DONNEES!R1001)</f>
        <v/>
      </c>
      <c r="R1001" t="str">
        <f>IF(DONNEES!$E1001="","",DONNEES!S1001)</f>
        <v/>
      </c>
      <c r="S1001" t="str">
        <f>IF(DONNEES!$E1001="","",DONNEES!T1001)</f>
        <v/>
      </c>
      <c r="T1001" t="str">
        <f>IF(DONNEES!$E1001="","",DONNEES!U1001)</f>
        <v/>
      </c>
      <c r="U1001" t="str">
        <f>IF(DONNEES!$E1001="","",DONNEES!V1001)</f>
        <v/>
      </c>
      <c r="V1001" t="str">
        <f>IF(DONNEES!$E1001="","",DONNEES!W1001)</f>
        <v/>
      </c>
      <c r="W1001" t="str">
        <f>IF(DONNEES!$E1001="","",DONNEES!X1001)</f>
        <v/>
      </c>
      <c r="X1001" t="str">
        <f>IF(DONNEES!$E1001="","",DONNEES!Y1001)</f>
        <v/>
      </c>
      <c r="Y1001" t="str">
        <f>IF(DONNEES!$E1001="","",DONNEES!Z1001)</f>
        <v/>
      </c>
      <c r="Z1001" t="str">
        <f>IF(DONNEES!$E1001="","",DONNEES!AQ1001)</f>
        <v/>
      </c>
    </row>
    <row r="1002" spans="1:26" ht="15" customHeight="1" x14ac:dyDescent="0.3">
      <c r="A1002" t="str">
        <f>IF(DONNEES!$E1002="","",DONNEES!A1002)</f>
        <v/>
      </c>
      <c r="B1002" t="str">
        <f>IF(DONNEES!$E1002="","",DONNEES!B1002)</f>
        <v/>
      </c>
      <c r="C1002" t="str">
        <f>IF(DONNEES!$E1002="","",DONNEES!C1002)</f>
        <v/>
      </c>
      <c r="D1002" t="str">
        <f>IF(DONNEES!$E1002="","",DONNEES!E1002)</f>
        <v/>
      </c>
      <c r="E1002" t="str">
        <f>IF(DONNEES!$E1002="","",DONNEES!F1002)</f>
        <v/>
      </c>
      <c r="F1002" t="str">
        <f>IF(DONNEES!$E1002="","",DONNEES!G1002)</f>
        <v/>
      </c>
      <c r="G1002" t="str">
        <f>IF(DONNEES!$E1002="","",DONNEES!H1002)</f>
        <v/>
      </c>
      <c r="H1002" t="str">
        <f>IF(DONNEES!$E1002="","",DONNEES!I1002)</f>
        <v/>
      </c>
      <c r="I1002" t="str">
        <f>IF(DONNEES!$E1002="","",DONNEES!J1002)</f>
        <v/>
      </c>
      <c r="J1002" t="str">
        <f>IF(DONNEES!$E1002="","",DONNEES!K1002)</f>
        <v/>
      </c>
      <c r="K1002" t="str">
        <f>IF(DONNEES!$E1002="","",DONNEES!L1002)</f>
        <v/>
      </c>
      <c r="L1002" t="str">
        <f>IF(DONNEES!$E1002="","",DONNEES!M1002)</f>
        <v/>
      </c>
      <c r="M1002" t="str">
        <f>IF(DONNEES!$E1002="","",DONNEES!N1002)</f>
        <v/>
      </c>
      <c r="N1002" t="str">
        <f>IF(DONNEES!$E1002="","",DONNEES!O1002)</f>
        <v/>
      </c>
      <c r="O1002" t="str">
        <f>IF(DONNEES!$E1002="","",DONNEES!P1002)</f>
        <v/>
      </c>
      <c r="P1002" t="str">
        <f>IF(DONNEES!$E1002="","",DONNEES!Q1002)</f>
        <v/>
      </c>
      <c r="Q1002" t="str">
        <f>IF(DONNEES!$E1002="","",DONNEES!R1002)</f>
        <v/>
      </c>
      <c r="R1002" t="str">
        <f>IF(DONNEES!$E1002="","",DONNEES!S1002)</f>
        <v/>
      </c>
      <c r="S1002" t="str">
        <f>IF(DONNEES!$E1002="","",DONNEES!T1002)</f>
        <v/>
      </c>
      <c r="T1002" t="str">
        <f>IF(DONNEES!$E1002="","",DONNEES!U1002)</f>
        <v/>
      </c>
      <c r="U1002" t="str">
        <f>IF(DONNEES!$E1002="","",DONNEES!V1002)</f>
        <v/>
      </c>
      <c r="V1002" t="str">
        <f>IF(DONNEES!$E1002="","",DONNEES!W1002)</f>
        <v/>
      </c>
      <c r="W1002" t="str">
        <f>IF(DONNEES!$E1002="","",DONNEES!X1002)</f>
        <v/>
      </c>
      <c r="X1002" t="str">
        <f>IF(DONNEES!$E1002="","",DONNEES!Y1002)</f>
        <v/>
      </c>
      <c r="Y1002" t="str">
        <f>IF(DONNEES!$E1002="","",DONNEES!Z1002)</f>
        <v/>
      </c>
      <c r="Z1002" t="str">
        <f>IF(DONNEES!$E1002="","",DONNEES!AQ1002)</f>
        <v/>
      </c>
    </row>
    <row r="1003" spans="1:26" ht="15" customHeight="1" x14ac:dyDescent="0.3">
      <c r="A1003" t="str">
        <f>IF(DONNEES!$E1003="","",DONNEES!A1003)</f>
        <v/>
      </c>
      <c r="B1003" t="str">
        <f>IF(DONNEES!$E1003="","",DONNEES!B1003)</f>
        <v/>
      </c>
      <c r="C1003" t="str">
        <f>IF(DONNEES!$E1003="","",DONNEES!C1003)</f>
        <v/>
      </c>
      <c r="D1003" t="str">
        <f>IF(DONNEES!$E1003="","",DONNEES!E1003)</f>
        <v/>
      </c>
      <c r="E1003" t="str">
        <f>IF(DONNEES!$E1003="","",DONNEES!F1003)</f>
        <v/>
      </c>
      <c r="F1003" t="str">
        <f>IF(DONNEES!$E1003="","",DONNEES!G1003)</f>
        <v/>
      </c>
      <c r="G1003" t="str">
        <f>IF(DONNEES!$E1003="","",DONNEES!H1003)</f>
        <v/>
      </c>
      <c r="H1003" t="str">
        <f>IF(DONNEES!$E1003="","",DONNEES!I1003)</f>
        <v/>
      </c>
      <c r="I1003" t="str">
        <f>IF(DONNEES!$E1003="","",DONNEES!J1003)</f>
        <v/>
      </c>
      <c r="J1003" t="str">
        <f>IF(DONNEES!$E1003="","",DONNEES!K1003)</f>
        <v/>
      </c>
      <c r="K1003" t="str">
        <f>IF(DONNEES!$E1003="","",DONNEES!L1003)</f>
        <v/>
      </c>
      <c r="L1003" t="str">
        <f>IF(DONNEES!$E1003="","",DONNEES!M1003)</f>
        <v/>
      </c>
      <c r="M1003" t="str">
        <f>IF(DONNEES!$E1003="","",DONNEES!N1003)</f>
        <v/>
      </c>
      <c r="N1003" t="str">
        <f>IF(DONNEES!$E1003="","",DONNEES!O1003)</f>
        <v/>
      </c>
      <c r="O1003" t="str">
        <f>IF(DONNEES!$E1003="","",DONNEES!P1003)</f>
        <v/>
      </c>
      <c r="P1003" t="str">
        <f>IF(DONNEES!$E1003="","",DONNEES!Q1003)</f>
        <v/>
      </c>
      <c r="Q1003" t="str">
        <f>IF(DONNEES!$E1003="","",DONNEES!R1003)</f>
        <v/>
      </c>
      <c r="R1003" t="str">
        <f>IF(DONNEES!$E1003="","",DONNEES!S1003)</f>
        <v/>
      </c>
      <c r="S1003" t="str">
        <f>IF(DONNEES!$E1003="","",DONNEES!T1003)</f>
        <v/>
      </c>
      <c r="T1003" t="str">
        <f>IF(DONNEES!$E1003="","",DONNEES!U1003)</f>
        <v/>
      </c>
      <c r="U1003" t="str">
        <f>IF(DONNEES!$E1003="","",DONNEES!V1003)</f>
        <v/>
      </c>
      <c r="V1003" t="str">
        <f>IF(DONNEES!$E1003="","",DONNEES!W1003)</f>
        <v/>
      </c>
      <c r="W1003" t="str">
        <f>IF(DONNEES!$E1003="","",DONNEES!X1003)</f>
        <v/>
      </c>
      <c r="X1003" t="str">
        <f>IF(DONNEES!$E1003="","",DONNEES!Y1003)</f>
        <v/>
      </c>
      <c r="Y1003" t="str">
        <f>IF(DONNEES!$E1003="","",DONNEES!Z1003)</f>
        <v/>
      </c>
      <c r="Z1003" t="str">
        <f>IF(DONNEES!$E1003="","",DONNEES!AQ1003)</f>
        <v/>
      </c>
    </row>
    <row r="1004" spans="1:26" ht="15" customHeight="1" x14ac:dyDescent="0.3">
      <c r="A1004" t="str">
        <f>IF(DONNEES!$E1004="","",DONNEES!A1004)</f>
        <v/>
      </c>
      <c r="B1004" t="str">
        <f>IF(DONNEES!$E1004="","",DONNEES!B1004)</f>
        <v/>
      </c>
      <c r="C1004" t="str">
        <f>IF(DONNEES!$E1004="","",DONNEES!C1004)</f>
        <v/>
      </c>
      <c r="D1004" t="str">
        <f>IF(DONNEES!$E1004="","",DONNEES!E1004)</f>
        <v/>
      </c>
      <c r="E1004" t="str">
        <f>IF(DONNEES!$E1004="","",DONNEES!F1004)</f>
        <v/>
      </c>
      <c r="F1004" t="str">
        <f>IF(DONNEES!$E1004="","",DONNEES!G1004)</f>
        <v/>
      </c>
      <c r="G1004" t="str">
        <f>IF(DONNEES!$E1004="","",DONNEES!H1004)</f>
        <v/>
      </c>
      <c r="H1004" t="str">
        <f>IF(DONNEES!$E1004="","",DONNEES!I1004)</f>
        <v/>
      </c>
      <c r="I1004" t="str">
        <f>IF(DONNEES!$E1004="","",DONNEES!J1004)</f>
        <v/>
      </c>
      <c r="J1004" t="str">
        <f>IF(DONNEES!$E1004="","",DONNEES!K1004)</f>
        <v/>
      </c>
      <c r="K1004" t="str">
        <f>IF(DONNEES!$E1004="","",DONNEES!L1004)</f>
        <v/>
      </c>
      <c r="L1004" t="str">
        <f>IF(DONNEES!$E1004="","",DONNEES!M1004)</f>
        <v/>
      </c>
      <c r="M1004" t="str">
        <f>IF(DONNEES!$E1004="","",DONNEES!N1004)</f>
        <v/>
      </c>
      <c r="N1004" t="str">
        <f>IF(DONNEES!$E1004="","",DONNEES!O1004)</f>
        <v/>
      </c>
      <c r="O1004" t="str">
        <f>IF(DONNEES!$E1004="","",DONNEES!P1004)</f>
        <v/>
      </c>
      <c r="P1004" t="str">
        <f>IF(DONNEES!$E1004="","",DONNEES!Q1004)</f>
        <v/>
      </c>
      <c r="Q1004" t="str">
        <f>IF(DONNEES!$E1004="","",DONNEES!R1004)</f>
        <v/>
      </c>
      <c r="R1004" t="str">
        <f>IF(DONNEES!$E1004="","",DONNEES!S1004)</f>
        <v/>
      </c>
      <c r="S1004" t="str">
        <f>IF(DONNEES!$E1004="","",DONNEES!T1004)</f>
        <v/>
      </c>
      <c r="T1004" t="str">
        <f>IF(DONNEES!$E1004="","",DONNEES!U1004)</f>
        <v/>
      </c>
      <c r="U1004" t="str">
        <f>IF(DONNEES!$E1004="","",DONNEES!V1004)</f>
        <v/>
      </c>
      <c r="V1004" t="str">
        <f>IF(DONNEES!$E1004="","",DONNEES!W1004)</f>
        <v/>
      </c>
      <c r="W1004" t="str">
        <f>IF(DONNEES!$E1004="","",DONNEES!X1004)</f>
        <v/>
      </c>
      <c r="X1004" t="str">
        <f>IF(DONNEES!$E1004="","",DONNEES!Y1004)</f>
        <v/>
      </c>
      <c r="Y1004" t="str">
        <f>IF(DONNEES!$E1004="","",DONNEES!Z1004)</f>
        <v/>
      </c>
      <c r="Z1004" t="str">
        <f>IF(DONNEES!$E1004="","",DONNEES!AQ1004)</f>
        <v/>
      </c>
    </row>
    <row r="1005" spans="1:26" ht="15" customHeight="1" x14ac:dyDescent="0.3">
      <c r="A1005" t="str">
        <f>IF(DONNEES!$E1005="","",DONNEES!A1005)</f>
        <v/>
      </c>
      <c r="B1005" t="str">
        <f>IF(DONNEES!$E1005="","",DONNEES!B1005)</f>
        <v/>
      </c>
      <c r="C1005" t="str">
        <f>IF(DONNEES!$E1005="","",DONNEES!C1005)</f>
        <v/>
      </c>
      <c r="D1005" t="str">
        <f>IF(DONNEES!$E1005="","",DONNEES!E1005)</f>
        <v/>
      </c>
      <c r="E1005" t="str">
        <f>IF(DONNEES!$E1005="","",DONNEES!F1005)</f>
        <v/>
      </c>
      <c r="F1005" t="str">
        <f>IF(DONNEES!$E1005="","",DONNEES!G1005)</f>
        <v/>
      </c>
      <c r="G1005" t="str">
        <f>IF(DONNEES!$E1005="","",DONNEES!H1005)</f>
        <v/>
      </c>
      <c r="H1005" t="str">
        <f>IF(DONNEES!$E1005="","",DONNEES!I1005)</f>
        <v/>
      </c>
      <c r="I1005" t="str">
        <f>IF(DONNEES!$E1005="","",DONNEES!J1005)</f>
        <v/>
      </c>
      <c r="J1005" t="str">
        <f>IF(DONNEES!$E1005="","",DONNEES!K1005)</f>
        <v/>
      </c>
      <c r="K1005" t="str">
        <f>IF(DONNEES!$E1005="","",DONNEES!L1005)</f>
        <v/>
      </c>
      <c r="L1005" t="str">
        <f>IF(DONNEES!$E1005="","",DONNEES!M1005)</f>
        <v/>
      </c>
      <c r="M1005" t="str">
        <f>IF(DONNEES!$E1005="","",DONNEES!N1005)</f>
        <v/>
      </c>
      <c r="N1005" t="str">
        <f>IF(DONNEES!$E1005="","",DONNEES!O1005)</f>
        <v/>
      </c>
      <c r="O1005" t="str">
        <f>IF(DONNEES!$E1005="","",DONNEES!P1005)</f>
        <v/>
      </c>
      <c r="P1005" t="str">
        <f>IF(DONNEES!$E1005="","",DONNEES!Q1005)</f>
        <v/>
      </c>
      <c r="Q1005" t="str">
        <f>IF(DONNEES!$E1005="","",DONNEES!R1005)</f>
        <v/>
      </c>
      <c r="R1005" t="str">
        <f>IF(DONNEES!$E1005="","",DONNEES!S1005)</f>
        <v/>
      </c>
      <c r="S1005" t="str">
        <f>IF(DONNEES!$E1005="","",DONNEES!T1005)</f>
        <v/>
      </c>
      <c r="T1005" t="str">
        <f>IF(DONNEES!$E1005="","",DONNEES!U1005)</f>
        <v/>
      </c>
      <c r="U1005" t="str">
        <f>IF(DONNEES!$E1005="","",DONNEES!V1005)</f>
        <v/>
      </c>
      <c r="V1005" t="str">
        <f>IF(DONNEES!$E1005="","",DONNEES!W1005)</f>
        <v/>
      </c>
      <c r="W1005" t="str">
        <f>IF(DONNEES!$E1005="","",DONNEES!X1005)</f>
        <v/>
      </c>
      <c r="X1005" t="str">
        <f>IF(DONNEES!$E1005="","",DONNEES!Y1005)</f>
        <v/>
      </c>
      <c r="Y1005" t="str">
        <f>IF(DONNEES!$E1005="","",DONNEES!Z1005)</f>
        <v/>
      </c>
      <c r="Z1005" t="str">
        <f>IF(DONNEES!$E1005="","",DONNEES!AQ1005)</f>
        <v/>
      </c>
    </row>
    <row r="1006" spans="1:26" ht="15" customHeight="1" x14ac:dyDescent="0.3">
      <c r="A1006" t="str">
        <f>IF(DONNEES!$E1006="","",DONNEES!A1006)</f>
        <v/>
      </c>
      <c r="B1006" t="str">
        <f>IF(DONNEES!$E1006="","",DONNEES!B1006)</f>
        <v/>
      </c>
      <c r="C1006" t="str">
        <f>IF(DONNEES!$E1006="","",DONNEES!C1006)</f>
        <v/>
      </c>
      <c r="D1006" t="str">
        <f>IF(DONNEES!$E1006="","",DONNEES!E1006)</f>
        <v/>
      </c>
      <c r="E1006" t="str">
        <f>IF(DONNEES!$E1006="","",DONNEES!F1006)</f>
        <v/>
      </c>
      <c r="F1006" t="str">
        <f>IF(DONNEES!$E1006="","",DONNEES!G1006)</f>
        <v/>
      </c>
      <c r="G1006" t="str">
        <f>IF(DONNEES!$E1006="","",DONNEES!H1006)</f>
        <v/>
      </c>
      <c r="H1006" t="str">
        <f>IF(DONNEES!$E1006="","",DONNEES!I1006)</f>
        <v/>
      </c>
      <c r="I1006" t="str">
        <f>IF(DONNEES!$E1006="","",DONNEES!J1006)</f>
        <v/>
      </c>
      <c r="J1006" t="str">
        <f>IF(DONNEES!$E1006="","",DONNEES!K1006)</f>
        <v/>
      </c>
      <c r="K1006" t="str">
        <f>IF(DONNEES!$E1006="","",DONNEES!L1006)</f>
        <v/>
      </c>
      <c r="L1006" t="str">
        <f>IF(DONNEES!$E1006="","",DONNEES!M1006)</f>
        <v/>
      </c>
      <c r="M1006" t="str">
        <f>IF(DONNEES!$E1006="","",DONNEES!N1006)</f>
        <v/>
      </c>
      <c r="N1006" t="str">
        <f>IF(DONNEES!$E1006="","",DONNEES!O1006)</f>
        <v/>
      </c>
      <c r="O1006" t="str">
        <f>IF(DONNEES!$E1006="","",DONNEES!P1006)</f>
        <v/>
      </c>
      <c r="P1006" t="str">
        <f>IF(DONNEES!$E1006="","",DONNEES!Q1006)</f>
        <v/>
      </c>
      <c r="Q1006" t="str">
        <f>IF(DONNEES!$E1006="","",DONNEES!R1006)</f>
        <v/>
      </c>
      <c r="R1006" t="str">
        <f>IF(DONNEES!$E1006="","",DONNEES!S1006)</f>
        <v/>
      </c>
      <c r="S1006" t="str">
        <f>IF(DONNEES!$E1006="","",DONNEES!T1006)</f>
        <v/>
      </c>
      <c r="T1006" t="str">
        <f>IF(DONNEES!$E1006="","",DONNEES!U1006)</f>
        <v/>
      </c>
      <c r="U1006" t="str">
        <f>IF(DONNEES!$E1006="","",DONNEES!V1006)</f>
        <v/>
      </c>
      <c r="V1006" t="str">
        <f>IF(DONNEES!$E1006="","",DONNEES!W1006)</f>
        <v/>
      </c>
      <c r="W1006" t="str">
        <f>IF(DONNEES!$E1006="","",DONNEES!X1006)</f>
        <v/>
      </c>
      <c r="X1006" t="str">
        <f>IF(DONNEES!$E1006="","",DONNEES!Y1006)</f>
        <v/>
      </c>
      <c r="Y1006" t="str">
        <f>IF(DONNEES!$E1006="","",DONNEES!Z1006)</f>
        <v/>
      </c>
      <c r="Z1006" t="str">
        <f>IF(DONNEES!$E1006="","",DONNEES!AQ1006)</f>
        <v/>
      </c>
    </row>
    <row r="1007" spans="1:26" ht="15" customHeight="1" x14ac:dyDescent="0.3">
      <c r="A1007" t="str">
        <f>IF(DONNEES!$E1007="","",DONNEES!A1007)</f>
        <v/>
      </c>
      <c r="B1007" t="str">
        <f>IF(DONNEES!$E1007="","",DONNEES!B1007)</f>
        <v/>
      </c>
      <c r="C1007" t="str">
        <f>IF(DONNEES!$E1007="","",DONNEES!C1007)</f>
        <v/>
      </c>
      <c r="D1007" t="str">
        <f>IF(DONNEES!$E1007="","",DONNEES!E1007)</f>
        <v/>
      </c>
      <c r="E1007" t="str">
        <f>IF(DONNEES!$E1007="","",DONNEES!F1007)</f>
        <v/>
      </c>
      <c r="F1007" t="str">
        <f>IF(DONNEES!$E1007="","",DONNEES!G1007)</f>
        <v/>
      </c>
      <c r="G1007" t="str">
        <f>IF(DONNEES!$E1007="","",DONNEES!H1007)</f>
        <v/>
      </c>
      <c r="H1007" t="str">
        <f>IF(DONNEES!$E1007="","",DONNEES!I1007)</f>
        <v/>
      </c>
      <c r="I1007" t="str">
        <f>IF(DONNEES!$E1007="","",DONNEES!J1007)</f>
        <v/>
      </c>
      <c r="J1007" t="str">
        <f>IF(DONNEES!$E1007="","",DONNEES!K1007)</f>
        <v/>
      </c>
      <c r="K1007" t="str">
        <f>IF(DONNEES!$E1007="","",DONNEES!L1007)</f>
        <v/>
      </c>
      <c r="L1007" t="str">
        <f>IF(DONNEES!$E1007="","",DONNEES!M1007)</f>
        <v/>
      </c>
      <c r="M1007" t="str">
        <f>IF(DONNEES!$E1007="","",DONNEES!N1007)</f>
        <v/>
      </c>
      <c r="N1007" t="str">
        <f>IF(DONNEES!$E1007="","",DONNEES!O1007)</f>
        <v/>
      </c>
      <c r="O1007" t="str">
        <f>IF(DONNEES!$E1007="","",DONNEES!P1007)</f>
        <v/>
      </c>
      <c r="P1007" t="str">
        <f>IF(DONNEES!$E1007="","",DONNEES!Q1007)</f>
        <v/>
      </c>
      <c r="Q1007" t="str">
        <f>IF(DONNEES!$E1007="","",DONNEES!R1007)</f>
        <v/>
      </c>
      <c r="R1007" t="str">
        <f>IF(DONNEES!$E1007="","",DONNEES!S1007)</f>
        <v/>
      </c>
      <c r="S1007" t="str">
        <f>IF(DONNEES!$E1007="","",DONNEES!T1007)</f>
        <v/>
      </c>
      <c r="T1007" t="str">
        <f>IF(DONNEES!$E1007="","",DONNEES!U1007)</f>
        <v/>
      </c>
      <c r="U1007" t="str">
        <f>IF(DONNEES!$E1007="","",DONNEES!V1007)</f>
        <v/>
      </c>
      <c r="V1007" t="str">
        <f>IF(DONNEES!$E1007="","",DONNEES!W1007)</f>
        <v/>
      </c>
      <c r="W1007" t="str">
        <f>IF(DONNEES!$E1007="","",DONNEES!X1007)</f>
        <v/>
      </c>
      <c r="X1007" t="str">
        <f>IF(DONNEES!$E1007="","",DONNEES!Y1007)</f>
        <v/>
      </c>
      <c r="Y1007" t="str">
        <f>IF(DONNEES!$E1007="","",DONNEES!Z1007)</f>
        <v/>
      </c>
      <c r="Z1007" t="str">
        <f>IF(DONNEES!$E1007="","",DONNEES!AQ1007)</f>
        <v/>
      </c>
    </row>
    <row r="1008" spans="1:26" ht="15" customHeight="1" x14ac:dyDescent="0.3">
      <c r="A1008" t="str">
        <f>IF(DONNEES!$E1008="","",DONNEES!A1008)</f>
        <v/>
      </c>
      <c r="B1008" t="str">
        <f>IF(DONNEES!$E1008="","",DONNEES!B1008)</f>
        <v/>
      </c>
      <c r="C1008" t="str">
        <f>IF(DONNEES!$E1008="","",DONNEES!C1008)</f>
        <v/>
      </c>
      <c r="D1008" t="str">
        <f>IF(DONNEES!$E1008="","",DONNEES!E1008)</f>
        <v/>
      </c>
      <c r="E1008" t="str">
        <f>IF(DONNEES!$E1008="","",DONNEES!F1008)</f>
        <v/>
      </c>
      <c r="F1008" t="str">
        <f>IF(DONNEES!$E1008="","",DONNEES!G1008)</f>
        <v/>
      </c>
      <c r="G1008" t="str">
        <f>IF(DONNEES!$E1008="","",DONNEES!H1008)</f>
        <v/>
      </c>
      <c r="H1008" t="str">
        <f>IF(DONNEES!$E1008="","",DONNEES!I1008)</f>
        <v/>
      </c>
      <c r="I1008" t="str">
        <f>IF(DONNEES!$E1008="","",DONNEES!J1008)</f>
        <v/>
      </c>
      <c r="J1008" t="str">
        <f>IF(DONNEES!$E1008="","",DONNEES!K1008)</f>
        <v/>
      </c>
      <c r="K1008" t="str">
        <f>IF(DONNEES!$E1008="","",DONNEES!L1008)</f>
        <v/>
      </c>
      <c r="L1008" t="str">
        <f>IF(DONNEES!$E1008="","",DONNEES!M1008)</f>
        <v/>
      </c>
      <c r="M1008" t="str">
        <f>IF(DONNEES!$E1008="","",DONNEES!N1008)</f>
        <v/>
      </c>
      <c r="N1008" t="str">
        <f>IF(DONNEES!$E1008="","",DONNEES!O1008)</f>
        <v/>
      </c>
      <c r="O1008" t="str">
        <f>IF(DONNEES!$E1008="","",DONNEES!P1008)</f>
        <v/>
      </c>
      <c r="P1008" t="str">
        <f>IF(DONNEES!$E1008="","",DONNEES!Q1008)</f>
        <v/>
      </c>
      <c r="Q1008" t="str">
        <f>IF(DONNEES!$E1008="","",DONNEES!R1008)</f>
        <v/>
      </c>
      <c r="R1008" t="str">
        <f>IF(DONNEES!$E1008="","",DONNEES!S1008)</f>
        <v/>
      </c>
      <c r="S1008" t="str">
        <f>IF(DONNEES!$E1008="","",DONNEES!T1008)</f>
        <v/>
      </c>
      <c r="T1008" t="str">
        <f>IF(DONNEES!$E1008="","",DONNEES!U1008)</f>
        <v/>
      </c>
      <c r="U1008" t="str">
        <f>IF(DONNEES!$E1008="","",DONNEES!V1008)</f>
        <v/>
      </c>
      <c r="V1008" t="str">
        <f>IF(DONNEES!$E1008="","",DONNEES!W1008)</f>
        <v/>
      </c>
      <c r="W1008" t="str">
        <f>IF(DONNEES!$E1008="","",DONNEES!X1008)</f>
        <v/>
      </c>
      <c r="X1008" t="str">
        <f>IF(DONNEES!$E1008="","",DONNEES!Y1008)</f>
        <v/>
      </c>
      <c r="Y1008" t="str">
        <f>IF(DONNEES!$E1008="","",DONNEES!Z1008)</f>
        <v/>
      </c>
      <c r="Z1008" t="str">
        <f>IF(DONNEES!$E1008="","",DONNEES!AQ1008)</f>
        <v/>
      </c>
    </row>
    <row r="1009" spans="1:26" ht="15" customHeight="1" x14ac:dyDescent="0.3">
      <c r="A1009" t="str">
        <f>IF(DONNEES!$E1009="","",DONNEES!A1009)</f>
        <v/>
      </c>
      <c r="B1009" t="str">
        <f>IF(DONNEES!$E1009="","",DONNEES!B1009)</f>
        <v/>
      </c>
      <c r="C1009" t="str">
        <f>IF(DONNEES!$E1009="","",DONNEES!C1009)</f>
        <v/>
      </c>
      <c r="D1009" t="str">
        <f>IF(DONNEES!$E1009="","",DONNEES!E1009)</f>
        <v/>
      </c>
      <c r="E1009" t="str">
        <f>IF(DONNEES!$E1009="","",DONNEES!F1009)</f>
        <v/>
      </c>
      <c r="F1009" t="str">
        <f>IF(DONNEES!$E1009="","",DONNEES!G1009)</f>
        <v/>
      </c>
      <c r="G1009" t="str">
        <f>IF(DONNEES!$E1009="","",DONNEES!H1009)</f>
        <v/>
      </c>
      <c r="H1009" t="str">
        <f>IF(DONNEES!$E1009="","",DONNEES!I1009)</f>
        <v/>
      </c>
      <c r="I1009" t="str">
        <f>IF(DONNEES!$E1009="","",DONNEES!J1009)</f>
        <v/>
      </c>
      <c r="J1009" t="str">
        <f>IF(DONNEES!$E1009="","",DONNEES!K1009)</f>
        <v/>
      </c>
      <c r="K1009" t="str">
        <f>IF(DONNEES!$E1009="","",DONNEES!L1009)</f>
        <v/>
      </c>
      <c r="L1009" t="str">
        <f>IF(DONNEES!$E1009="","",DONNEES!M1009)</f>
        <v/>
      </c>
      <c r="M1009" t="str">
        <f>IF(DONNEES!$E1009="","",DONNEES!N1009)</f>
        <v/>
      </c>
      <c r="N1009" t="str">
        <f>IF(DONNEES!$E1009="","",DONNEES!O1009)</f>
        <v/>
      </c>
      <c r="O1009" t="str">
        <f>IF(DONNEES!$E1009="","",DONNEES!P1009)</f>
        <v/>
      </c>
      <c r="P1009" t="str">
        <f>IF(DONNEES!$E1009="","",DONNEES!Q1009)</f>
        <v/>
      </c>
      <c r="Q1009" t="str">
        <f>IF(DONNEES!$E1009="","",DONNEES!R1009)</f>
        <v/>
      </c>
      <c r="R1009" t="str">
        <f>IF(DONNEES!$E1009="","",DONNEES!S1009)</f>
        <v/>
      </c>
      <c r="S1009" t="str">
        <f>IF(DONNEES!$E1009="","",DONNEES!T1009)</f>
        <v/>
      </c>
      <c r="T1009" t="str">
        <f>IF(DONNEES!$E1009="","",DONNEES!U1009)</f>
        <v/>
      </c>
      <c r="U1009" t="str">
        <f>IF(DONNEES!$E1009="","",DONNEES!V1009)</f>
        <v/>
      </c>
      <c r="V1009" t="str">
        <f>IF(DONNEES!$E1009="","",DONNEES!W1009)</f>
        <v/>
      </c>
      <c r="W1009" t="str">
        <f>IF(DONNEES!$E1009="","",DONNEES!X1009)</f>
        <v/>
      </c>
      <c r="X1009" t="str">
        <f>IF(DONNEES!$E1009="","",DONNEES!Y1009)</f>
        <v/>
      </c>
      <c r="Y1009" t="str">
        <f>IF(DONNEES!$E1009="","",DONNEES!Z1009)</f>
        <v/>
      </c>
      <c r="Z1009" t="str">
        <f>IF(DONNEES!$E1009="","",DONNEES!AQ1009)</f>
        <v/>
      </c>
    </row>
    <row r="1010" spans="1:26" ht="15" customHeight="1" x14ac:dyDescent="0.3">
      <c r="A1010" t="str">
        <f>IF(DONNEES!$E1010="","",DONNEES!A1010)</f>
        <v/>
      </c>
      <c r="B1010" t="str">
        <f>IF(DONNEES!$E1010="","",DONNEES!B1010)</f>
        <v/>
      </c>
      <c r="C1010" t="str">
        <f>IF(DONNEES!$E1010="","",DONNEES!C1010)</f>
        <v/>
      </c>
      <c r="D1010" t="str">
        <f>IF(DONNEES!$E1010="","",DONNEES!E1010)</f>
        <v/>
      </c>
      <c r="E1010" t="str">
        <f>IF(DONNEES!$E1010="","",DONNEES!F1010)</f>
        <v/>
      </c>
      <c r="F1010" t="str">
        <f>IF(DONNEES!$E1010="","",DONNEES!G1010)</f>
        <v/>
      </c>
      <c r="G1010" t="str">
        <f>IF(DONNEES!$E1010="","",DONNEES!H1010)</f>
        <v/>
      </c>
      <c r="H1010" t="str">
        <f>IF(DONNEES!$E1010="","",DONNEES!I1010)</f>
        <v/>
      </c>
      <c r="I1010" t="str">
        <f>IF(DONNEES!$E1010="","",DONNEES!J1010)</f>
        <v/>
      </c>
      <c r="J1010" t="str">
        <f>IF(DONNEES!$E1010="","",DONNEES!K1010)</f>
        <v/>
      </c>
      <c r="K1010" t="str">
        <f>IF(DONNEES!$E1010="","",DONNEES!L1010)</f>
        <v/>
      </c>
      <c r="L1010" t="str">
        <f>IF(DONNEES!$E1010="","",DONNEES!M1010)</f>
        <v/>
      </c>
      <c r="M1010" t="str">
        <f>IF(DONNEES!$E1010="","",DONNEES!N1010)</f>
        <v/>
      </c>
      <c r="N1010" t="str">
        <f>IF(DONNEES!$E1010="","",DONNEES!O1010)</f>
        <v/>
      </c>
      <c r="O1010" t="str">
        <f>IF(DONNEES!$E1010="","",DONNEES!P1010)</f>
        <v/>
      </c>
      <c r="P1010" t="str">
        <f>IF(DONNEES!$E1010="","",DONNEES!Q1010)</f>
        <v/>
      </c>
      <c r="Q1010" t="str">
        <f>IF(DONNEES!$E1010="","",DONNEES!R1010)</f>
        <v/>
      </c>
      <c r="R1010" t="str">
        <f>IF(DONNEES!$E1010="","",DONNEES!S1010)</f>
        <v/>
      </c>
      <c r="S1010" t="str">
        <f>IF(DONNEES!$E1010="","",DONNEES!T1010)</f>
        <v/>
      </c>
      <c r="T1010" t="str">
        <f>IF(DONNEES!$E1010="","",DONNEES!U1010)</f>
        <v/>
      </c>
      <c r="U1010" t="str">
        <f>IF(DONNEES!$E1010="","",DONNEES!V1010)</f>
        <v/>
      </c>
      <c r="V1010" t="str">
        <f>IF(DONNEES!$E1010="","",DONNEES!W1010)</f>
        <v/>
      </c>
      <c r="W1010" t="str">
        <f>IF(DONNEES!$E1010="","",DONNEES!X1010)</f>
        <v/>
      </c>
      <c r="X1010" t="str">
        <f>IF(DONNEES!$E1010="","",DONNEES!Y1010)</f>
        <v/>
      </c>
      <c r="Y1010" t="str">
        <f>IF(DONNEES!$E1010="","",DONNEES!Z1010)</f>
        <v/>
      </c>
      <c r="Z1010" t="str">
        <f>IF(DONNEES!$E1010="","",DONNEES!AQ1010)</f>
        <v/>
      </c>
    </row>
    <row r="1011" spans="1:26" ht="15" customHeight="1" x14ac:dyDescent="0.3">
      <c r="A1011" t="str">
        <f>IF(DONNEES!$E1011="","",DONNEES!A1011)</f>
        <v/>
      </c>
      <c r="B1011" t="str">
        <f>IF(DONNEES!$E1011="","",DONNEES!B1011)</f>
        <v/>
      </c>
      <c r="C1011" t="str">
        <f>IF(DONNEES!$E1011="","",DONNEES!C1011)</f>
        <v/>
      </c>
      <c r="D1011" t="str">
        <f>IF(DONNEES!$E1011="","",DONNEES!E1011)</f>
        <v/>
      </c>
      <c r="E1011" t="str">
        <f>IF(DONNEES!$E1011="","",DONNEES!F1011)</f>
        <v/>
      </c>
      <c r="F1011" t="str">
        <f>IF(DONNEES!$E1011="","",DONNEES!G1011)</f>
        <v/>
      </c>
      <c r="G1011" t="str">
        <f>IF(DONNEES!$E1011="","",DONNEES!H1011)</f>
        <v/>
      </c>
      <c r="H1011" t="str">
        <f>IF(DONNEES!$E1011="","",DONNEES!I1011)</f>
        <v/>
      </c>
      <c r="I1011" t="str">
        <f>IF(DONNEES!$E1011="","",DONNEES!J1011)</f>
        <v/>
      </c>
      <c r="J1011" t="str">
        <f>IF(DONNEES!$E1011="","",DONNEES!K1011)</f>
        <v/>
      </c>
      <c r="K1011" t="str">
        <f>IF(DONNEES!$E1011="","",DONNEES!L1011)</f>
        <v/>
      </c>
      <c r="L1011" t="str">
        <f>IF(DONNEES!$E1011="","",DONNEES!M1011)</f>
        <v/>
      </c>
      <c r="M1011" t="str">
        <f>IF(DONNEES!$E1011="","",DONNEES!N1011)</f>
        <v/>
      </c>
      <c r="N1011" t="str">
        <f>IF(DONNEES!$E1011="","",DONNEES!O1011)</f>
        <v/>
      </c>
      <c r="O1011" t="str">
        <f>IF(DONNEES!$E1011="","",DONNEES!P1011)</f>
        <v/>
      </c>
      <c r="P1011" t="str">
        <f>IF(DONNEES!$E1011="","",DONNEES!Q1011)</f>
        <v/>
      </c>
      <c r="Q1011" t="str">
        <f>IF(DONNEES!$E1011="","",DONNEES!R1011)</f>
        <v/>
      </c>
      <c r="R1011" t="str">
        <f>IF(DONNEES!$E1011="","",DONNEES!S1011)</f>
        <v/>
      </c>
      <c r="S1011" t="str">
        <f>IF(DONNEES!$E1011="","",DONNEES!T1011)</f>
        <v/>
      </c>
      <c r="T1011" t="str">
        <f>IF(DONNEES!$E1011="","",DONNEES!U1011)</f>
        <v/>
      </c>
      <c r="U1011" t="str">
        <f>IF(DONNEES!$E1011="","",DONNEES!V1011)</f>
        <v/>
      </c>
      <c r="V1011" t="str">
        <f>IF(DONNEES!$E1011="","",DONNEES!W1011)</f>
        <v/>
      </c>
      <c r="W1011" t="str">
        <f>IF(DONNEES!$E1011="","",DONNEES!X1011)</f>
        <v/>
      </c>
      <c r="X1011" t="str">
        <f>IF(DONNEES!$E1011="","",DONNEES!Y1011)</f>
        <v/>
      </c>
      <c r="Y1011" t="str">
        <f>IF(DONNEES!$E1011="","",DONNEES!Z1011)</f>
        <v/>
      </c>
      <c r="Z1011" t="str">
        <f>IF(DONNEES!$E1011="","",DONNEES!AQ1011)</f>
        <v/>
      </c>
    </row>
    <row r="1012" spans="1:26" ht="15" customHeight="1" x14ac:dyDescent="0.3">
      <c r="A1012" t="str">
        <f>IF(DONNEES!$E1012="","",DONNEES!A1012)</f>
        <v/>
      </c>
      <c r="B1012" t="str">
        <f>IF(DONNEES!$E1012="","",DONNEES!B1012)</f>
        <v/>
      </c>
      <c r="C1012" t="str">
        <f>IF(DONNEES!$E1012="","",DONNEES!C1012)</f>
        <v/>
      </c>
      <c r="D1012" t="str">
        <f>IF(DONNEES!$E1012="","",DONNEES!E1012)</f>
        <v/>
      </c>
      <c r="E1012" t="str">
        <f>IF(DONNEES!$E1012="","",DONNEES!F1012)</f>
        <v/>
      </c>
      <c r="F1012" t="str">
        <f>IF(DONNEES!$E1012="","",DONNEES!G1012)</f>
        <v/>
      </c>
      <c r="G1012" t="str">
        <f>IF(DONNEES!$E1012="","",DONNEES!H1012)</f>
        <v/>
      </c>
      <c r="H1012" t="str">
        <f>IF(DONNEES!$E1012="","",DONNEES!I1012)</f>
        <v/>
      </c>
      <c r="I1012" t="str">
        <f>IF(DONNEES!$E1012="","",DONNEES!J1012)</f>
        <v/>
      </c>
      <c r="J1012" t="str">
        <f>IF(DONNEES!$E1012="","",DONNEES!K1012)</f>
        <v/>
      </c>
      <c r="K1012" t="str">
        <f>IF(DONNEES!$E1012="","",DONNEES!L1012)</f>
        <v/>
      </c>
      <c r="L1012" t="str">
        <f>IF(DONNEES!$E1012="","",DONNEES!M1012)</f>
        <v/>
      </c>
      <c r="M1012" t="str">
        <f>IF(DONNEES!$E1012="","",DONNEES!N1012)</f>
        <v/>
      </c>
      <c r="N1012" t="str">
        <f>IF(DONNEES!$E1012="","",DONNEES!O1012)</f>
        <v/>
      </c>
      <c r="O1012" t="str">
        <f>IF(DONNEES!$E1012="","",DONNEES!P1012)</f>
        <v/>
      </c>
      <c r="P1012" t="str">
        <f>IF(DONNEES!$E1012="","",DONNEES!Q1012)</f>
        <v/>
      </c>
      <c r="Q1012" t="str">
        <f>IF(DONNEES!$E1012="","",DONNEES!R1012)</f>
        <v/>
      </c>
      <c r="R1012" t="str">
        <f>IF(DONNEES!$E1012="","",DONNEES!S1012)</f>
        <v/>
      </c>
      <c r="S1012" t="str">
        <f>IF(DONNEES!$E1012="","",DONNEES!T1012)</f>
        <v/>
      </c>
      <c r="T1012" t="str">
        <f>IF(DONNEES!$E1012="","",DONNEES!U1012)</f>
        <v/>
      </c>
      <c r="U1012" t="str">
        <f>IF(DONNEES!$E1012="","",DONNEES!V1012)</f>
        <v/>
      </c>
      <c r="V1012" t="str">
        <f>IF(DONNEES!$E1012="","",DONNEES!W1012)</f>
        <v/>
      </c>
      <c r="W1012" t="str">
        <f>IF(DONNEES!$E1012="","",DONNEES!X1012)</f>
        <v/>
      </c>
      <c r="X1012" t="str">
        <f>IF(DONNEES!$E1012="","",DONNEES!Y1012)</f>
        <v/>
      </c>
      <c r="Y1012" t="str">
        <f>IF(DONNEES!$E1012="","",DONNEES!Z1012)</f>
        <v/>
      </c>
      <c r="Z1012" t="str">
        <f>IF(DONNEES!$E1012="","",DONNEES!AQ1012)</f>
        <v/>
      </c>
    </row>
    <row r="1013" spans="1:26" ht="15" customHeight="1" x14ac:dyDescent="0.3">
      <c r="A1013" t="str">
        <f>IF(DONNEES!$E1013="","",DONNEES!A1013)</f>
        <v/>
      </c>
      <c r="B1013" t="str">
        <f>IF(DONNEES!$E1013="","",DONNEES!B1013)</f>
        <v/>
      </c>
      <c r="C1013" t="str">
        <f>IF(DONNEES!$E1013="","",DONNEES!C1013)</f>
        <v/>
      </c>
      <c r="D1013" t="str">
        <f>IF(DONNEES!$E1013="","",DONNEES!E1013)</f>
        <v/>
      </c>
      <c r="E1013" t="str">
        <f>IF(DONNEES!$E1013="","",DONNEES!F1013)</f>
        <v/>
      </c>
      <c r="F1013" t="str">
        <f>IF(DONNEES!$E1013="","",DONNEES!G1013)</f>
        <v/>
      </c>
      <c r="G1013" t="str">
        <f>IF(DONNEES!$E1013="","",DONNEES!H1013)</f>
        <v/>
      </c>
      <c r="H1013" t="str">
        <f>IF(DONNEES!$E1013="","",DONNEES!I1013)</f>
        <v/>
      </c>
      <c r="I1013" t="str">
        <f>IF(DONNEES!$E1013="","",DONNEES!J1013)</f>
        <v/>
      </c>
      <c r="J1013" t="str">
        <f>IF(DONNEES!$E1013="","",DONNEES!K1013)</f>
        <v/>
      </c>
      <c r="K1013" t="str">
        <f>IF(DONNEES!$E1013="","",DONNEES!L1013)</f>
        <v/>
      </c>
      <c r="L1013" t="str">
        <f>IF(DONNEES!$E1013="","",DONNEES!M1013)</f>
        <v/>
      </c>
      <c r="M1013" t="str">
        <f>IF(DONNEES!$E1013="","",DONNEES!N1013)</f>
        <v/>
      </c>
      <c r="N1013" t="str">
        <f>IF(DONNEES!$E1013="","",DONNEES!O1013)</f>
        <v/>
      </c>
      <c r="O1013" t="str">
        <f>IF(DONNEES!$E1013="","",DONNEES!P1013)</f>
        <v/>
      </c>
      <c r="P1013" t="str">
        <f>IF(DONNEES!$E1013="","",DONNEES!Q1013)</f>
        <v/>
      </c>
      <c r="Q1013" t="str">
        <f>IF(DONNEES!$E1013="","",DONNEES!R1013)</f>
        <v/>
      </c>
      <c r="R1013" t="str">
        <f>IF(DONNEES!$E1013="","",DONNEES!S1013)</f>
        <v/>
      </c>
      <c r="S1013" t="str">
        <f>IF(DONNEES!$E1013="","",DONNEES!T1013)</f>
        <v/>
      </c>
      <c r="T1013" t="str">
        <f>IF(DONNEES!$E1013="","",DONNEES!U1013)</f>
        <v/>
      </c>
      <c r="U1013" t="str">
        <f>IF(DONNEES!$E1013="","",DONNEES!V1013)</f>
        <v/>
      </c>
      <c r="V1013" t="str">
        <f>IF(DONNEES!$E1013="","",DONNEES!W1013)</f>
        <v/>
      </c>
      <c r="W1013" t="str">
        <f>IF(DONNEES!$E1013="","",DONNEES!X1013)</f>
        <v/>
      </c>
      <c r="X1013" t="str">
        <f>IF(DONNEES!$E1013="","",DONNEES!Y1013)</f>
        <v/>
      </c>
      <c r="Y1013" t="str">
        <f>IF(DONNEES!$E1013="","",DONNEES!Z1013)</f>
        <v/>
      </c>
      <c r="Z1013" t="str">
        <f>IF(DONNEES!$E1013="","",DONNEES!AQ1013)</f>
        <v/>
      </c>
    </row>
    <row r="1014" spans="1:26" ht="15" customHeight="1" x14ac:dyDescent="0.3">
      <c r="A1014" t="str">
        <f>IF(DONNEES!$E1014="","",DONNEES!A1014)</f>
        <v/>
      </c>
      <c r="B1014" t="str">
        <f>IF(DONNEES!$E1014="","",DONNEES!B1014)</f>
        <v/>
      </c>
      <c r="C1014" t="str">
        <f>IF(DONNEES!$E1014="","",DONNEES!C1014)</f>
        <v/>
      </c>
      <c r="D1014" t="str">
        <f>IF(DONNEES!$E1014="","",DONNEES!E1014)</f>
        <v/>
      </c>
      <c r="E1014" t="str">
        <f>IF(DONNEES!$E1014="","",DONNEES!F1014)</f>
        <v/>
      </c>
      <c r="F1014" t="str">
        <f>IF(DONNEES!$E1014="","",DONNEES!G1014)</f>
        <v/>
      </c>
      <c r="G1014" t="str">
        <f>IF(DONNEES!$E1014="","",DONNEES!H1014)</f>
        <v/>
      </c>
      <c r="H1014" t="str">
        <f>IF(DONNEES!$E1014="","",DONNEES!I1014)</f>
        <v/>
      </c>
      <c r="I1014" t="str">
        <f>IF(DONNEES!$E1014="","",DONNEES!J1014)</f>
        <v/>
      </c>
      <c r="J1014" t="str">
        <f>IF(DONNEES!$E1014="","",DONNEES!K1014)</f>
        <v/>
      </c>
      <c r="K1014" t="str">
        <f>IF(DONNEES!$E1014="","",DONNEES!L1014)</f>
        <v/>
      </c>
      <c r="L1014" t="str">
        <f>IF(DONNEES!$E1014="","",DONNEES!M1014)</f>
        <v/>
      </c>
      <c r="M1014" t="str">
        <f>IF(DONNEES!$E1014="","",DONNEES!N1014)</f>
        <v/>
      </c>
      <c r="N1014" t="str">
        <f>IF(DONNEES!$E1014="","",DONNEES!O1014)</f>
        <v/>
      </c>
      <c r="O1014" t="str">
        <f>IF(DONNEES!$E1014="","",DONNEES!P1014)</f>
        <v/>
      </c>
      <c r="P1014" t="str">
        <f>IF(DONNEES!$E1014="","",DONNEES!Q1014)</f>
        <v/>
      </c>
      <c r="Q1014" t="str">
        <f>IF(DONNEES!$E1014="","",DONNEES!R1014)</f>
        <v/>
      </c>
      <c r="R1014" t="str">
        <f>IF(DONNEES!$E1014="","",DONNEES!S1014)</f>
        <v/>
      </c>
      <c r="S1014" t="str">
        <f>IF(DONNEES!$E1014="","",DONNEES!T1014)</f>
        <v/>
      </c>
      <c r="T1014" t="str">
        <f>IF(DONNEES!$E1014="","",DONNEES!U1014)</f>
        <v/>
      </c>
      <c r="U1014" t="str">
        <f>IF(DONNEES!$E1014="","",DONNEES!V1014)</f>
        <v/>
      </c>
      <c r="V1014" t="str">
        <f>IF(DONNEES!$E1014="","",DONNEES!W1014)</f>
        <v/>
      </c>
      <c r="W1014" t="str">
        <f>IF(DONNEES!$E1014="","",DONNEES!X1014)</f>
        <v/>
      </c>
      <c r="X1014" t="str">
        <f>IF(DONNEES!$E1014="","",DONNEES!Y1014)</f>
        <v/>
      </c>
      <c r="Y1014" t="str">
        <f>IF(DONNEES!$E1014="","",DONNEES!Z1014)</f>
        <v/>
      </c>
      <c r="Z1014" t="str">
        <f>IF(DONNEES!$E1014="","",DONNEES!AQ1014)</f>
        <v/>
      </c>
    </row>
    <row r="1015" spans="1:26" ht="15" customHeight="1" x14ac:dyDescent="0.3">
      <c r="A1015" t="str">
        <f>IF(DONNEES!$E1015="","",DONNEES!A1015)</f>
        <v/>
      </c>
      <c r="B1015" t="str">
        <f>IF(DONNEES!$E1015="","",DONNEES!B1015)</f>
        <v/>
      </c>
      <c r="C1015" t="str">
        <f>IF(DONNEES!$E1015="","",DONNEES!C1015)</f>
        <v/>
      </c>
      <c r="D1015" t="str">
        <f>IF(DONNEES!$E1015="","",DONNEES!E1015)</f>
        <v/>
      </c>
      <c r="E1015" t="str">
        <f>IF(DONNEES!$E1015="","",DONNEES!F1015)</f>
        <v/>
      </c>
      <c r="F1015" t="str">
        <f>IF(DONNEES!$E1015="","",DONNEES!G1015)</f>
        <v/>
      </c>
      <c r="G1015" t="str">
        <f>IF(DONNEES!$E1015="","",DONNEES!H1015)</f>
        <v/>
      </c>
      <c r="H1015" t="str">
        <f>IF(DONNEES!$E1015="","",DONNEES!I1015)</f>
        <v/>
      </c>
      <c r="I1015" t="str">
        <f>IF(DONNEES!$E1015="","",DONNEES!J1015)</f>
        <v/>
      </c>
      <c r="J1015" t="str">
        <f>IF(DONNEES!$E1015="","",DONNEES!K1015)</f>
        <v/>
      </c>
      <c r="K1015" t="str">
        <f>IF(DONNEES!$E1015="","",DONNEES!L1015)</f>
        <v/>
      </c>
      <c r="L1015" t="str">
        <f>IF(DONNEES!$E1015="","",DONNEES!M1015)</f>
        <v/>
      </c>
      <c r="M1015" t="str">
        <f>IF(DONNEES!$E1015="","",DONNEES!N1015)</f>
        <v/>
      </c>
      <c r="N1015" t="str">
        <f>IF(DONNEES!$E1015="","",DONNEES!O1015)</f>
        <v/>
      </c>
      <c r="O1015" t="str">
        <f>IF(DONNEES!$E1015="","",DONNEES!P1015)</f>
        <v/>
      </c>
      <c r="P1015" t="str">
        <f>IF(DONNEES!$E1015="","",DONNEES!Q1015)</f>
        <v/>
      </c>
      <c r="Q1015" t="str">
        <f>IF(DONNEES!$E1015="","",DONNEES!R1015)</f>
        <v/>
      </c>
      <c r="R1015" t="str">
        <f>IF(DONNEES!$E1015="","",DONNEES!S1015)</f>
        <v/>
      </c>
      <c r="S1015" t="str">
        <f>IF(DONNEES!$E1015="","",DONNEES!T1015)</f>
        <v/>
      </c>
      <c r="T1015" t="str">
        <f>IF(DONNEES!$E1015="","",DONNEES!U1015)</f>
        <v/>
      </c>
      <c r="U1015" t="str">
        <f>IF(DONNEES!$E1015="","",DONNEES!V1015)</f>
        <v/>
      </c>
      <c r="V1015" t="str">
        <f>IF(DONNEES!$E1015="","",DONNEES!W1015)</f>
        <v/>
      </c>
      <c r="W1015" t="str">
        <f>IF(DONNEES!$E1015="","",DONNEES!X1015)</f>
        <v/>
      </c>
      <c r="X1015" t="str">
        <f>IF(DONNEES!$E1015="","",DONNEES!Y1015)</f>
        <v/>
      </c>
      <c r="Y1015" t="str">
        <f>IF(DONNEES!$E1015="","",DONNEES!Z1015)</f>
        <v/>
      </c>
      <c r="Z1015" t="str">
        <f>IF(DONNEES!$E1015="","",DONNEES!AQ1015)</f>
        <v/>
      </c>
    </row>
    <row r="1016" spans="1:26" ht="15" customHeight="1" x14ac:dyDescent="0.3">
      <c r="A1016" t="str">
        <f>IF(DONNEES!$E1016="","",DONNEES!A1016)</f>
        <v/>
      </c>
      <c r="B1016" t="str">
        <f>IF(DONNEES!$E1016="","",DONNEES!B1016)</f>
        <v/>
      </c>
      <c r="C1016" t="str">
        <f>IF(DONNEES!$E1016="","",DONNEES!C1016)</f>
        <v/>
      </c>
      <c r="D1016" t="str">
        <f>IF(DONNEES!$E1016="","",DONNEES!E1016)</f>
        <v/>
      </c>
      <c r="E1016" t="str">
        <f>IF(DONNEES!$E1016="","",DONNEES!F1016)</f>
        <v/>
      </c>
      <c r="F1016" t="str">
        <f>IF(DONNEES!$E1016="","",DONNEES!G1016)</f>
        <v/>
      </c>
      <c r="G1016" t="str">
        <f>IF(DONNEES!$E1016="","",DONNEES!H1016)</f>
        <v/>
      </c>
      <c r="H1016" t="str">
        <f>IF(DONNEES!$E1016="","",DONNEES!I1016)</f>
        <v/>
      </c>
      <c r="I1016" t="str">
        <f>IF(DONNEES!$E1016="","",DONNEES!J1016)</f>
        <v/>
      </c>
      <c r="J1016" t="str">
        <f>IF(DONNEES!$E1016="","",DONNEES!K1016)</f>
        <v/>
      </c>
      <c r="K1016" t="str">
        <f>IF(DONNEES!$E1016="","",DONNEES!L1016)</f>
        <v/>
      </c>
      <c r="L1016" t="str">
        <f>IF(DONNEES!$E1016="","",DONNEES!M1016)</f>
        <v/>
      </c>
      <c r="M1016" t="str">
        <f>IF(DONNEES!$E1016="","",DONNEES!N1016)</f>
        <v/>
      </c>
      <c r="N1016" t="str">
        <f>IF(DONNEES!$E1016="","",DONNEES!O1016)</f>
        <v/>
      </c>
      <c r="O1016" t="str">
        <f>IF(DONNEES!$E1016="","",DONNEES!P1016)</f>
        <v/>
      </c>
      <c r="P1016" t="str">
        <f>IF(DONNEES!$E1016="","",DONNEES!Q1016)</f>
        <v/>
      </c>
      <c r="Q1016" t="str">
        <f>IF(DONNEES!$E1016="","",DONNEES!R1016)</f>
        <v/>
      </c>
      <c r="R1016" t="str">
        <f>IF(DONNEES!$E1016="","",DONNEES!S1016)</f>
        <v/>
      </c>
      <c r="S1016" t="str">
        <f>IF(DONNEES!$E1016="","",DONNEES!T1016)</f>
        <v/>
      </c>
      <c r="T1016" t="str">
        <f>IF(DONNEES!$E1016="","",DONNEES!U1016)</f>
        <v/>
      </c>
      <c r="U1016" t="str">
        <f>IF(DONNEES!$E1016="","",DONNEES!V1016)</f>
        <v/>
      </c>
      <c r="V1016" t="str">
        <f>IF(DONNEES!$E1016="","",DONNEES!W1016)</f>
        <v/>
      </c>
      <c r="W1016" t="str">
        <f>IF(DONNEES!$E1016="","",DONNEES!X1016)</f>
        <v/>
      </c>
      <c r="X1016" t="str">
        <f>IF(DONNEES!$E1016="","",DONNEES!Y1016)</f>
        <v/>
      </c>
      <c r="Y1016" t="str">
        <f>IF(DONNEES!$E1016="","",DONNEES!Z1016)</f>
        <v/>
      </c>
      <c r="Z1016" t="str">
        <f>IF(DONNEES!$E1016="","",DONNEES!AQ1016)</f>
        <v/>
      </c>
    </row>
    <row r="1017" spans="1:26" ht="15" customHeight="1" x14ac:dyDescent="0.3">
      <c r="A1017" t="str">
        <f>IF(DONNEES!$E1017="","",DONNEES!A1017)</f>
        <v/>
      </c>
      <c r="B1017" t="str">
        <f>IF(DONNEES!$E1017="","",DONNEES!B1017)</f>
        <v/>
      </c>
      <c r="C1017" t="str">
        <f>IF(DONNEES!$E1017="","",DONNEES!C1017)</f>
        <v/>
      </c>
      <c r="D1017" t="str">
        <f>IF(DONNEES!$E1017="","",DONNEES!E1017)</f>
        <v/>
      </c>
      <c r="E1017" t="str">
        <f>IF(DONNEES!$E1017="","",DONNEES!F1017)</f>
        <v/>
      </c>
      <c r="F1017" t="str">
        <f>IF(DONNEES!$E1017="","",DONNEES!G1017)</f>
        <v/>
      </c>
      <c r="G1017" t="str">
        <f>IF(DONNEES!$E1017="","",DONNEES!H1017)</f>
        <v/>
      </c>
      <c r="H1017" t="str">
        <f>IF(DONNEES!$E1017="","",DONNEES!I1017)</f>
        <v/>
      </c>
      <c r="I1017" t="str">
        <f>IF(DONNEES!$E1017="","",DONNEES!J1017)</f>
        <v/>
      </c>
      <c r="J1017" t="str">
        <f>IF(DONNEES!$E1017="","",DONNEES!K1017)</f>
        <v/>
      </c>
      <c r="K1017" t="str">
        <f>IF(DONNEES!$E1017="","",DONNEES!L1017)</f>
        <v/>
      </c>
      <c r="L1017" t="str">
        <f>IF(DONNEES!$E1017="","",DONNEES!M1017)</f>
        <v/>
      </c>
      <c r="M1017" t="str">
        <f>IF(DONNEES!$E1017="","",DONNEES!N1017)</f>
        <v/>
      </c>
      <c r="N1017" t="str">
        <f>IF(DONNEES!$E1017="","",DONNEES!O1017)</f>
        <v/>
      </c>
      <c r="O1017" t="str">
        <f>IF(DONNEES!$E1017="","",DONNEES!P1017)</f>
        <v/>
      </c>
      <c r="P1017" t="str">
        <f>IF(DONNEES!$E1017="","",DONNEES!Q1017)</f>
        <v/>
      </c>
      <c r="Q1017" t="str">
        <f>IF(DONNEES!$E1017="","",DONNEES!R1017)</f>
        <v/>
      </c>
      <c r="R1017" t="str">
        <f>IF(DONNEES!$E1017="","",DONNEES!S1017)</f>
        <v/>
      </c>
      <c r="S1017" t="str">
        <f>IF(DONNEES!$E1017="","",DONNEES!T1017)</f>
        <v/>
      </c>
      <c r="T1017" t="str">
        <f>IF(DONNEES!$E1017="","",DONNEES!U1017)</f>
        <v/>
      </c>
      <c r="U1017" t="str">
        <f>IF(DONNEES!$E1017="","",DONNEES!V1017)</f>
        <v/>
      </c>
      <c r="V1017" t="str">
        <f>IF(DONNEES!$E1017="","",DONNEES!W1017)</f>
        <v/>
      </c>
      <c r="W1017" t="str">
        <f>IF(DONNEES!$E1017="","",DONNEES!X1017)</f>
        <v/>
      </c>
      <c r="X1017" t="str">
        <f>IF(DONNEES!$E1017="","",DONNEES!Y1017)</f>
        <v/>
      </c>
      <c r="Y1017" t="str">
        <f>IF(DONNEES!$E1017="","",DONNEES!Z1017)</f>
        <v/>
      </c>
      <c r="Z1017" t="str">
        <f>IF(DONNEES!$E1017="","",DONNEES!AQ1017)</f>
        <v/>
      </c>
    </row>
    <row r="1018" spans="1:26" ht="15" customHeight="1" x14ac:dyDescent="0.3">
      <c r="A1018" t="str">
        <f>IF(DONNEES!$E1018="","",DONNEES!A1018)</f>
        <v/>
      </c>
      <c r="B1018" t="str">
        <f>IF(DONNEES!$E1018="","",DONNEES!B1018)</f>
        <v/>
      </c>
      <c r="C1018" t="str">
        <f>IF(DONNEES!$E1018="","",DONNEES!C1018)</f>
        <v/>
      </c>
      <c r="D1018" t="str">
        <f>IF(DONNEES!$E1018="","",DONNEES!E1018)</f>
        <v/>
      </c>
      <c r="E1018" t="str">
        <f>IF(DONNEES!$E1018="","",DONNEES!F1018)</f>
        <v/>
      </c>
      <c r="F1018" t="str">
        <f>IF(DONNEES!$E1018="","",DONNEES!G1018)</f>
        <v/>
      </c>
      <c r="G1018" t="str">
        <f>IF(DONNEES!$E1018="","",DONNEES!H1018)</f>
        <v/>
      </c>
      <c r="H1018" t="str">
        <f>IF(DONNEES!$E1018="","",DONNEES!I1018)</f>
        <v/>
      </c>
      <c r="I1018" t="str">
        <f>IF(DONNEES!$E1018="","",DONNEES!J1018)</f>
        <v/>
      </c>
      <c r="J1018" t="str">
        <f>IF(DONNEES!$E1018="","",DONNEES!K1018)</f>
        <v/>
      </c>
      <c r="K1018" t="str">
        <f>IF(DONNEES!$E1018="","",DONNEES!L1018)</f>
        <v/>
      </c>
      <c r="L1018" t="str">
        <f>IF(DONNEES!$E1018="","",DONNEES!M1018)</f>
        <v/>
      </c>
      <c r="M1018" t="str">
        <f>IF(DONNEES!$E1018="","",DONNEES!N1018)</f>
        <v/>
      </c>
      <c r="N1018" t="str">
        <f>IF(DONNEES!$E1018="","",DONNEES!O1018)</f>
        <v/>
      </c>
      <c r="O1018" t="str">
        <f>IF(DONNEES!$E1018="","",DONNEES!P1018)</f>
        <v/>
      </c>
      <c r="P1018" t="str">
        <f>IF(DONNEES!$E1018="","",DONNEES!Q1018)</f>
        <v/>
      </c>
      <c r="Q1018" t="str">
        <f>IF(DONNEES!$E1018="","",DONNEES!R1018)</f>
        <v/>
      </c>
      <c r="R1018" t="str">
        <f>IF(DONNEES!$E1018="","",DONNEES!S1018)</f>
        <v/>
      </c>
      <c r="S1018" t="str">
        <f>IF(DONNEES!$E1018="","",DONNEES!T1018)</f>
        <v/>
      </c>
      <c r="T1018" t="str">
        <f>IF(DONNEES!$E1018="","",DONNEES!U1018)</f>
        <v/>
      </c>
      <c r="U1018" t="str">
        <f>IF(DONNEES!$E1018="","",DONNEES!V1018)</f>
        <v/>
      </c>
      <c r="V1018" t="str">
        <f>IF(DONNEES!$E1018="","",DONNEES!W1018)</f>
        <v/>
      </c>
      <c r="W1018" t="str">
        <f>IF(DONNEES!$E1018="","",DONNEES!X1018)</f>
        <v/>
      </c>
      <c r="X1018" t="str">
        <f>IF(DONNEES!$E1018="","",DONNEES!Y1018)</f>
        <v/>
      </c>
      <c r="Y1018" t="str">
        <f>IF(DONNEES!$E1018="","",DONNEES!Z1018)</f>
        <v/>
      </c>
      <c r="Z1018" t="str">
        <f>IF(DONNEES!$E1018="","",DONNEES!AQ1018)</f>
        <v/>
      </c>
    </row>
    <row r="1019" spans="1:26" ht="15" customHeight="1" x14ac:dyDescent="0.3">
      <c r="A1019" t="str">
        <f>IF(DONNEES!$E1019="","",DONNEES!A1019)</f>
        <v/>
      </c>
      <c r="B1019" t="str">
        <f>IF(DONNEES!$E1019="","",DONNEES!B1019)</f>
        <v/>
      </c>
      <c r="C1019" t="str">
        <f>IF(DONNEES!$E1019="","",DONNEES!C1019)</f>
        <v/>
      </c>
      <c r="D1019" t="str">
        <f>IF(DONNEES!$E1019="","",DONNEES!E1019)</f>
        <v/>
      </c>
      <c r="E1019" t="str">
        <f>IF(DONNEES!$E1019="","",DONNEES!F1019)</f>
        <v/>
      </c>
      <c r="F1019" t="str">
        <f>IF(DONNEES!$E1019="","",DONNEES!G1019)</f>
        <v/>
      </c>
      <c r="G1019" t="str">
        <f>IF(DONNEES!$E1019="","",DONNEES!H1019)</f>
        <v/>
      </c>
      <c r="H1019" t="str">
        <f>IF(DONNEES!$E1019="","",DONNEES!I1019)</f>
        <v/>
      </c>
      <c r="I1019" t="str">
        <f>IF(DONNEES!$E1019="","",DONNEES!J1019)</f>
        <v/>
      </c>
      <c r="J1019" t="str">
        <f>IF(DONNEES!$E1019="","",DONNEES!K1019)</f>
        <v/>
      </c>
      <c r="K1019" t="str">
        <f>IF(DONNEES!$E1019="","",DONNEES!L1019)</f>
        <v/>
      </c>
      <c r="L1019" t="str">
        <f>IF(DONNEES!$E1019="","",DONNEES!M1019)</f>
        <v/>
      </c>
      <c r="M1019" t="str">
        <f>IF(DONNEES!$E1019="","",DONNEES!N1019)</f>
        <v/>
      </c>
      <c r="N1019" t="str">
        <f>IF(DONNEES!$E1019="","",DONNEES!O1019)</f>
        <v/>
      </c>
      <c r="O1019" t="str">
        <f>IF(DONNEES!$E1019="","",DONNEES!P1019)</f>
        <v/>
      </c>
      <c r="P1019" t="str">
        <f>IF(DONNEES!$E1019="","",DONNEES!Q1019)</f>
        <v/>
      </c>
      <c r="Q1019" t="str">
        <f>IF(DONNEES!$E1019="","",DONNEES!R1019)</f>
        <v/>
      </c>
      <c r="R1019" t="str">
        <f>IF(DONNEES!$E1019="","",DONNEES!S1019)</f>
        <v/>
      </c>
      <c r="S1019" t="str">
        <f>IF(DONNEES!$E1019="","",DONNEES!T1019)</f>
        <v/>
      </c>
      <c r="T1019" t="str">
        <f>IF(DONNEES!$E1019="","",DONNEES!U1019)</f>
        <v/>
      </c>
      <c r="U1019" t="str">
        <f>IF(DONNEES!$E1019="","",DONNEES!V1019)</f>
        <v/>
      </c>
      <c r="V1019" t="str">
        <f>IF(DONNEES!$E1019="","",DONNEES!W1019)</f>
        <v/>
      </c>
      <c r="W1019" t="str">
        <f>IF(DONNEES!$E1019="","",DONNEES!X1019)</f>
        <v/>
      </c>
      <c r="X1019" t="str">
        <f>IF(DONNEES!$E1019="","",DONNEES!Y1019)</f>
        <v/>
      </c>
      <c r="Y1019" t="str">
        <f>IF(DONNEES!$E1019="","",DONNEES!Z1019)</f>
        <v/>
      </c>
      <c r="Z1019" t="str">
        <f>IF(DONNEES!$E1019="","",DONNEES!AQ1019)</f>
        <v/>
      </c>
    </row>
    <row r="1020" spans="1:26" ht="15" customHeight="1" x14ac:dyDescent="0.3">
      <c r="A1020" t="str">
        <f>IF(DONNEES!$E1020="","",DONNEES!A1020)</f>
        <v/>
      </c>
      <c r="B1020" t="str">
        <f>IF(DONNEES!$E1020="","",DONNEES!B1020)</f>
        <v/>
      </c>
      <c r="C1020" t="str">
        <f>IF(DONNEES!$E1020="","",DONNEES!C1020)</f>
        <v/>
      </c>
      <c r="D1020" t="str">
        <f>IF(DONNEES!$E1020="","",DONNEES!E1020)</f>
        <v/>
      </c>
      <c r="E1020" t="str">
        <f>IF(DONNEES!$E1020="","",DONNEES!F1020)</f>
        <v/>
      </c>
      <c r="F1020" t="str">
        <f>IF(DONNEES!$E1020="","",DONNEES!G1020)</f>
        <v/>
      </c>
      <c r="G1020" t="str">
        <f>IF(DONNEES!$E1020="","",DONNEES!H1020)</f>
        <v/>
      </c>
      <c r="H1020" t="str">
        <f>IF(DONNEES!$E1020="","",DONNEES!I1020)</f>
        <v/>
      </c>
      <c r="I1020" t="str">
        <f>IF(DONNEES!$E1020="","",DONNEES!J1020)</f>
        <v/>
      </c>
      <c r="J1020" t="str">
        <f>IF(DONNEES!$E1020="","",DONNEES!K1020)</f>
        <v/>
      </c>
      <c r="K1020" t="str">
        <f>IF(DONNEES!$E1020="","",DONNEES!L1020)</f>
        <v/>
      </c>
      <c r="L1020" t="str">
        <f>IF(DONNEES!$E1020="","",DONNEES!M1020)</f>
        <v/>
      </c>
      <c r="M1020" t="str">
        <f>IF(DONNEES!$E1020="","",DONNEES!N1020)</f>
        <v/>
      </c>
      <c r="N1020" t="str">
        <f>IF(DONNEES!$E1020="","",DONNEES!O1020)</f>
        <v/>
      </c>
      <c r="O1020" t="str">
        <f>IF(DONNEES!$E1020="","",DONNEES!P1020)</f>
        <v/>
      </c>
      <c r="P1020" t="str">
        <f>IF(DONNEES!$E1020="","",DONNEES!Q1020)</f>
        <v/>
      </c>
      <c r="Q1020" t="str">
        <f>IF(DONNEES!$E1020="","",DONNEES!R1020)</f>
        <v/>
      </c>
      <c r="R1020" t="str">
        <f>IF(DONNEES!$E1020="","",DONNEES!S1020)</f>
        <v/>
      </c>
      <c r="S1020" t="str">
        <f>IF(DONNEES!$E1020="","",DONNEES!T1020)</f>
        <v/>
      </c>
      <c r="T1020" t="str">
        <f>IF(DONNEES!$E1020="","",DONNEES!U1020)</f>
        <v/>
      </c>
      <c r="U1020" t="str">
        <f>IF(DONNEES!$E1020="","",DONNEES!V1020)</f>
        <v/>
      </c>
      <c r="V1020" t="str">
        <f>IF(DONNEES!$E1020="","",DONNEES!W1020)</f>
        <v/>
      </c>
      <c r="W1020" t="str">
        <f>IF(DONNEES!$E1020="","",DONNEES!X1020)</f>
        <v/>
      </c>
      <c r="X1020" t="str">
        <f>IF(DONNEES!$E1020="","",DONNEES!Y1020)</f>
        <v/>
      </c>
      <c r="Y1020" t="str">
        <f>IF(DONNEES!$E1020="","",DONNEES!Z1020)</f>
        <v/>
      </c>
      <c r="Z1020" t="str">
        <f>IF(DONNEES!$E1020="","",DONNEES!AQ1020)</f>
        <v/>
      </c>
    </row>
    <row r="1021" spans="1:26" ht="15" customHeight="1" x14ac:dyDescent="0.3">
      <c r="A1021" t="str">
        <f>IF(DONNEES!$E1021="","",DONNEES!A1021)</f>
        <v/>
      </c>
      <c r="B1021" t="str">
        <f>IF(DONNEES!$E1021="","",DONNEES!B1021)</f>
        <v/>
      </c>
      <c r="C1021" t="str">
        <f>IF(DONNEES!$E1021="","",DONNEES!C1021)</f>
        <v/>
      </c>
      <c r="D1021" t="str">
        <f>IF(DONNEES!$E1021="","",DONNEES!E1021)</f>
        <v/>
      </c>
      <c r="E1021" t="str">
        <f>IF(DONNEES!$E1021="","",DONNEES!F1021)</f>
        <v/>
      </c>
      <c r="F1021" t="str">
        <f>IF(DONNEES!$E1021="","",DONNEES!G1021)</f>
        <v/>
      </c>
      <c r="G1021" t="str">
        <f>IF(DONNEES!$E1021="","",DONNEES!H1021)</f>
        <v/>
      </c>
      <c r="H1021" t="str">
        <f>IF(DONNEES!$E1021="","",DONNEES!I1021)</f>
        <v/>
      </c>
      <c r="I1021" t="str">
        <f>IF(DONNEES!$E1021="","",DONNEES!J1021)</f>
        <v/>
      </c>
      <c r="J1021" t="str">
        <f>IF(DONNEES!$E1021="","",DONNEES!K1021)</f>
        <v/>
      </c>
      <c r="K1021" t="str">
        <f>IF(DONNEES!$E1021="","",DONNEES!L1021)</f>
        <v/>
      </c>
      <c r="L1021" t="str">
        <f>IF(DONNEES!$E1021="","",DONNEES!M1021)</f>
        <v/>
      </c>
      <c r="M1021" t="str">
        <f>IF(DONNEES!$E1021="","",DONNEES!N1021)</f>
        <v/>
      </c>
      <c r="N1021" t="str">
        <f>IF(DONNEES!$E1021="","",DONNEES!O1021)</f>
        <v/>
      </c>
      <c r="O1021" t="str">
        <f>IF(DONNEES!$E1021="","",DONNEES!P1021)</f>
        <v/>
      </c>
      <c r="P1021" t="str">
        <f>IF(DONNEES!$E1021="","",DONNEES!Q1021)</f>
        <v/>
      </c>
      <c r="Q1021" t="str">
        <f>IF(DONNEES!$E1021="","",DONNEES!R1021)</f>
        <v/>
      </c>
      <c r="R1021" t="str">
        <f>IF(DONNEES!$E1021="","",DONNEES!S1021)</f>
        <v/>
      </c>
      <c r="S1021" t="str">
        <f>IF(DONNEES!$E1021="","",DONNEES!T1021)</f>
        <v/>
      </c>
      <c r="T1021" t="str">
        <f>IF(DONNEES!$E1021="","",DONNEES!U1021)</f>
        <v/>
      </c>
      <c r="U1021" t="str">
        <f>IF(DONNEES!$E1021="","",DONNEES!V1021)</f>
        <v/>
      </c>
      <c r="V1021" t="str">
        <f>IF(DONNEES!$E1021="","",DONNEES!W1021)</f>
        <v/>
      </c>
      <c r="W1021" t="str">
        <f>IF(DONNEES!$E1021="","",DONNEES!X1021)</f>
        <v/>
      </c>
      <c r="X1021" t="str">
        <f>IF(DONNEES!$E1021="","",DONNEES!Y1021)</f>
        <v/>
      </c>
      <c r="Y1021" t="str">
        <f>IF(DONNEES!$E1021="","",DONNEES!Z1021)</f>
        <v/>
      </c>
      <c r="Z1021" t="str">
        <f>IF(DONNEES!$E1021="","",DONNEES!AQ1021)</f>
        <v/>
      </c>
    </row>
    <row r="1022" spans="1:26" ht="15" customHeight="1" x14ac:dyDescent="0.3">
      <c r="A1022" t="str">
        <f>IF(DONNEES!$E1022="","",DONNEES!A1022)</f>
        <v/>
      </c>
      <c r="B1022" t="str">
        <f>IF(DONNEES!$E1022="","",DONNEES!B1022)</f>
        <v/>
      </c>
      <c r="C1022" t="str">
        <f>IF(DONNEES!$E1022="","",DONNEES!C1022)</f>
        <v/>
      </c>
      <c r="D1022" t="str">
        <f>IF(DONNEES!$E1022="","",DONNEES!E1022)</f>
        <v/>
      </c>
      <c r="E1022" t="str">
        <f>IF(DONNEES!$E1022="","",DONNEES!F1022)</f>
        <v/>
      </c>
      <c r="F1022" t="str">
        <f>IF(DONNEES!$E1022="","",DONNEES!G1022)</f>
        <v/>
      </c>
      <c r="G1022" t="str">
        <f>IF(DONNEES!$E1022="","",DONNEES!H1022)</f>
        <v/>
      </c>
      <c r="H1022" t="str">
        <f>IF(DONNEES!$E1022="","",DONNEES!I1022)</f>
        <v/>
      </c>
      <c r="I1022" t="str">
        <f>IF(DONNEES!$E1022="","",DONNEES!J1022)</f>
        <v/>
      </c>
      <c r="J1022" t="str">
        <f>IF(DONNEES!$E1022="","",DONNEES!K1022)</f>
        <v/>
      </c>
      <c r="K1022" t="str">
        <f>IF(DONNEES!$E1022="","",DONNEES!L1022)</f>
        <v/>
      </c>
      <c r="L1022" t="str">
        <f>IF(DONNEES!$E1022="","",DONNEES!M1022)</f>
        <v/>
      </c>
      <c r="M1022" t="str">
        <f>IF(DONNEES!$E1022="","",DONNEES!N1022)</f>
        <v/>
      </c>
      <c r="N1022" t="str">
        <f>IF(DONNEES!$E1022="","",DONNEES!O1022)</f>
        <v/>
      </c>
      <c r="O1022" t="str">
        <f>IF(DONNEES!$E1022="","",DONNEES!P1022)</f>
        <v/>
      </c>
      <c r="P1022" t="str">
        <f>IF(DONNEES!$E1022="","",DONNEES!Q1022)</f>
        <v/>
      </c>
      <c r="Q1022" t="str">
        <f>IF(DONNEES!$E1022="","",DONNEES!R1022)</f>
        <v/>
      </c>
      <c r="R1022" t="str">
        <f>IF(DONNEES!$E1022="","",DONNEES!S1022)</f>
        <v/>
      </c>
      <c r="S1022" t="str">
        <f>IF(DONNEES!$E1022="","",DONNEES!T1022)</f>
        <v/>
      </c>
      <c r="T1022" t="str">
        <f>IF(DONNEES!$E1022="","",DONNEES!U1022)</f>
        <v/>
      </c>
      <c r="U1022" t="str">
        <f>IF(DONNEES!$E1022="","",DONNEES!V1022)</f>
        <v/>
      </c>
      <c r="V1022" t="str">
        <f>IF(DONNEES!$E1022="","",DONNEES!W1022)</f>
        <v/>
      </c>
      <c r="W1022" t="str">
        <f>IF(DONNEES!$E1022="","",DONNEES!X1022)</f>
        <v/>
      </c>
      <c r="X1022" t="str">
        <f>IF(DONNEES!$E1022="","",DONNEES!Y1022)</f>
        <v/>
      </c>
      <c r="Y1022" t="str">
        <f>IF(DONNEES!$E1022="","",DONNEES!Z1022)</f>
        <v/>
      </c>
      <c r="Z1022" t="str">
        <f>IF(DONNEES!$E1022="","",DONNEES!AQ1022)</f>
        <v/>
      </c>
    </row>
    <row r="1023" spans="1:26" ht="15" customHeight="1" x14ac:dyDescent="0.3">
      <c r="A1023" t="str">
        <f>IF(DONNEES!$E1023="","",DONNEES!A1023)</f>
        <v/>
      </c>
      <c r="B1023" t="str">
        <f>IF(DONNEES!$E1023="","",DONNEES!B1023)</f>
        <v/>
      </c>
      <c r="C1023" t="str">
        <f>IF(DONNEES!$E1023="","",DONNEES!C1023)</f>
        <v/>
      </c>
      <c r="D1023" t="str">
        <f>IF(DONNEES!$E1023="","",DONNEES!E1023)</f>
        <v/>
      </c>
      <c r="E1023" t="str">
        <f>IF(DONNEES!$E1023="","",DONNEES!F1023)</f>
        <v/>
      </c>
      <c r="F1023" t="str">
        <f>IF(DONNEES!$E1023="","",DONNEES!G1023)</f>
        <v/>
      </c>
      <c r="G1023" t="str">
        <f>IF(DONNEES!$E1023="","",DONNEES!H1023)</f>
        <v/>
      </c>
      <c r="H1023" t="str">
        <f>IF(DONNEES!$E1023="","",DONNEES!I1023)</f>
        <v/>
      </c>
      <c r="I1023" t="str">
        <f>IF(DONNEES!$E1023="","",DONNEES!J1023)</f>
        <v/>
      </c>
      <c r="J1023" t="str">
        <f>IF(DONNEES!$E1023="","",DONNEES!K1023)</f>
        <v/>
      </c>
      <c r="K1023" t="str">
        <f>IF(DONNEES!$E1023="","",DONNEES!L1023)</f>
        <v/>
      </c>
      <c r="L1023" t="str">
        <f>IF(DONNEES!$E1023="","",DONNEES!M1023)</f>
        <v/>
      </c>
      <c r="M1023" t="str">
        <f>IF(DONNEES!$E1023="","",DONNEES!N1023)</f>
        <v/>
      </c>
      <c r="N1023" t="str">
        <f>IF(DONNEES!$E1023="","",DONNEES!O1023)</f>
        <v/>
      </c>
      <c r="O1023" t="str">
        <f>IF(DONNEES!$E1023="","",DONNEES!P1023)</f>
        <v/>
      </c>
      <c r="P1023" t="str">
        <f>IF(DONNEES!$E1023="","",DONNEES!Q1023)</f>
        <v/>
      </c>
      <c r="Q1023" t="str">
        <f>IF(DONNEES!$E1023="","",DONNEES!R1023)</f>
        <v/>
      </c>
      <c r="R1023" t="str">
        <f>IF(DONNEES!$E1023="","",DONNEES!S1023)</f>
        <v/>
      </c>
      <c r="S1023" t="str">
        <f>IF(DONNEES!$E1023="","",DONNEES!T1023)</f>
        <v/>
      </c>
      <c r="T1023" t="str">
        <f>IF(DONNEES!$E1023="","",DONNEES!U1023)</f>
        <v/>
      </c>
      <c r="U1023" t="str">
        <f>IF(DONNEES!$E1023="","",DONNEES!V1023)</f>
        <v/>
      </c>
      <c r="V1023" t="str">
        <f>IF(DONNEES!$E1023="","",DONNEES!W1023)</f>
        <v/>
      </c>
      <c r="W1023" t="str">
        <f>IF(DONNEES!$E1023="","",DONNEES!X1023)</f>
        <v/>
      </c>
      <c r="X1023" t="str">
        <f>IF(DONNEES!$E1023="","",DONNEES!Y1023)</f>
        <v/>
      </c>
      <c r="Y1023" t="str">
        <f>IF(DONNEES!$E1023="","",DONNEES!Z1023)</f>
        <v/>
      </c>
      <c r="Z1023" t="str">
        <f>IF(DONNEES!$E1023="","",DONNEES!AQ1023)</f>
        <v/>
      </c>
    </row>
    <row r="1024" spans="1:26" ht="15" customHeight="1" x14ac:dyDescent="0.3">
      <c r="A1024" t="str">
        <f>IF(DONNEES!$E1024="","",DONNEES!A1024)</f>
        <v/>
      </c>
      <c r="B1024" t="str">
        <f>IF(DONNEES!$E1024="","",DONNEES!B1024)</f>
        <v/>
      </c>
      <c r="C1024" t="str">
        <f>IF(DONNEES!$E1024="","",DONNEES!C1024)</f>
        <v/>
      </c>
      <c r="D1024" t="str">
        <f>IF(DONNEES!$E1024="","",DONNEES!E1024)</f>
        <v/>
      </c>
      <c r="E1024" t="str">
        <f>IF(DONNEES!$E1024="","",DONNEES!F1024)</f>
        <v/>
      </c>
      <c r="F1024" t="str">
        <f>IF(DONNEES!$E1024="","",DONNEES!G1024)</f>
        <v/>
      </c>
      <c r="G1024" t="str">
        <f>IF(DONNEES!$E1024="","",DONNEES!H1024)</f>
        <v/>
      </c>
      <c r="H1024" t="str">
        <f>IF(DONNEES!$E1024="","",DONNEES!I1024)</f>
        <v/>
      </c>
      <c r="I1024" t="str">
        <f>IF(DONNEES!$E1024="","",DONNEES!J1024)</f>
        <v/>
      </c>
      <c r="J1024" t="str">
        <f>IF(DONNEES!$E1024="","",DONNEES!K1024)</f>
        <v/>
      </c>
      <c r="K1024" t="str">
        <f>IF(DONNEES!$E1024="","",DONNEES!L1024)</f>
        <v/>
      </c>
      <c r="L1024" t="str">
        <f>IF(DONNEES!$E1024="","",DONNEES!M1024)</f>
        <v/>
      </c>
      <c r="M1024" t="str">
        <f>IF(DONNEES!$E1024="","",DONNEES!N1024)</f>
        <v/>
      </c>
      <c r="N1024" t="str">
        <f>IF(DONNEES!$E1024="","",DONNEES!O1024)</f>
        <v/>
      </c>
      <c r="O1024" t="str">
        <f>IF(DONNEES!$E1024="","",DONNEES!P1024)</f>
        <v/>
      </c>
      <c r="P1024" t="str">
        <f>IF(DONNEES!$E1024="","",DONNEES!Q1024)</f>
        <v/>
      </c>
      <c r="Q1024" t="str">
        <f>IF(DONNEES!$E1024="","",DONNEES!R1024)</f>
        <v/>
      </c>
      <c r="R1024" t="str">
        <f>IF(DONNEES!$E1024="","",DONNEES!S1024)</f>
        <v/>
      </c>
      <c r="S1024" t="str">
        <f>IF(DONNEES!$E1024="","",DONNEES!T1024)</f>
        <v/>
      </c>
      <c r="T1024" t="str">
        <f>IF(DONNEES!$E1024="","",DONNEES!U1024)</f>
        <v/>
      </c>
      <c r="U1024" t="str">
        <f>IF(DONNEES!$E1024="","",DONNEES!V1024)</f>
        <v/>
      </c>
      <c r="V1024" t="str">
        <f>IF(DONNEES!$E1024="","",DONNEES!W1024)</f>
        <v/>
      </c>
      <c r="W1024" t="str">
        <f>IF(DONNEES!$E1024="","",DONNEES!X1024)</f>
        <v/>
      </c>
      <c r="X1024" t="str">
        <f>IF(DONNEES!$E1024="","",DONNEES!Y1024)</f>
        <v/>
      </c>
      <c r="Y1024" t="str">
        <f>IF(DONNEES!$E1024="","",DONNEES!Z1024)</f>
        <v/>
      </c>
      <c r="Z1024" t="str">
        <f>IF(DONNEES!$E1024="","",DONNEES!AQ1024)</f>
        <v/>
      </c>
    </row>
    <row r="1025" spans="1:26" ht="15" customHeight="1" x14ac:dyDescent="0.3">
      <c r="A1025" t="str">
        <f>IF(DONNEES!$E1025="","",DONNEES!A1025)</f>
        <v/>
      </c>
      <c r="B1025" t="str">
        <f>IF(DONNEES!$E1025="","",DONNEES!B1025)</f>
        <v/>
      </c>
      <c r="C1025" t="str">
        <f>IF(DONNEES!$E1025="","",DONNEES!C1025)</f>
        <v/>
      </c>
      <c r="D1025" t="str">
        <f>IF(DONNEES!$E1025="","",DONNEES!E1025)</f>
        <v/>
      </c>
      <c r="E1025" t="str">
        <f>IF(DONNEES!$E1025="","",DONNEES!F1025)</f>
        <v/>
      </c>
      <c r="F1025" t="str">
        <f>IF(DONNEES!$E1025="","",DONNEES!G1025)</f>
        <v/>
      </c>
      <c r="G1025" t="str">
        <f>IF(DONNEES!$E1025="","",DONNEES!H1025)</f>
        <v/>
      </c>
      <c r="H1025" t="str">
        <f>IF(DONNEES!$E1025="","",DONNEES!I1025)</f>
        <v/>
      </c>
      <c r="I1025" t="str">
        <f>IF(DONNEES!$E1025="","",DONNEES!J1025)</f>
        <v/>
      </c>
      <c r="J1025" t="str">
        <f>IF(DONNEES!$E1025="","",DONNEES!K1025)</f>
        <v/>
      </c>
      <c r="K1025" t="str">
        <f>IF(DONNEES!$E1025="","",DONNEES!L1025)</f>
        <v/>
      </c>
      <c r="L1025" t="str">
        <f>IF(DONNEES!$E1025="","",DONNEES!M1025)</f>
        <v/>
      </c>
      <c r="M1025" t="str">
        <f>IF(DONNEES!$E1025="","",DONNEES!N1025)</f>
        <v/>
      </c>
      <c r="N1025" t="str">
        <f>IF(DONNEES!$E1025="","",DONNEES!O1025)</f>
        <v/>
      </c>
      <c r="O1025" t="str">
        <f>IF(DONNEES!$E1025="","",DONNEES!P1025)</f>
        <v/>
      </c>
      <c r="P1025" t="str">
        <f>IF(DONNEES!$E1025="","",DONNEES!Q1025)</f>
        <v/>
      </c>
      <c r="Q1025" t="str">
        <f>IF(DONNEES!$E1025="","",DONNEES!R1025)</f>
        <v/>
      </c>
      <c r="R1025" t="str">
        <f>IF(DONNEES!$E1025="","",DONNEES!S1025)</f>
        <v/>
      </c>
      <c r="S1025" t="str">
        <f>IF(DONNEES!$E1025="","",DONNEES!T1025)</f>
        <v/>
      </c>
      <c r="T1025" t="str">
        <f>IF(DONNEES!$E1025="","",DONNEES!U1025)</f>
        <v/>
      </c>
      <c r="U1025" t="str">
        <f>IF(DONNEES!$E1025="","",DONNEES!V1025)</f>
        <v/>
      </c>
      <c r="V1025" t="str">
        <f>IF(DONNEES!$E1025="","",DONNEES!W1025)</f>
        <v/>
      </c>
      <c r="W1025" t="str">
        <f>IF(DONNEES!$E1025="","",DONNEES!X1025)</f>
        <v/>
      </c>
      <c r="X1025" t="str">
        <f>IF(DONNEES!$E1025="","",DONNEES!Y1025)</f>
        <v/>
      </c>
      <c r="Y1025" t="str">
        <f>IF(DONNEES!$E1025="","",DONNEES!Z1025)</f>
        <v/>
      </c>
      <c r="Z1025" t="str">
        <f>IF(DONNEES!$E1025="","",DONNEES!AQ1025)</f>
        <v/>
      </c>
    </row>
    <row r="1026" spans="1:26" ht="15" customHeight="1" x14ac:dyDescent="0.3">
      <c r="A1026" t="str">
        <f>IF(DONNEES!$E1026="","",DONNEES!A1026)</f>
        <v/>
      </c>
      <c r="B1026" t="str">
        <f>IF(DONNEES!$E1026="","",DONNEES!B1026)</f>
        <v/>
      </c>
      <c r="C1026" t="str">
        <f>IF(DONNEES!$E1026="","",DONNEES!C1026)</f>
        <v/>
      </c>
      <c r="D1026" t="str">
        <f>IF(DONNEES!$E1026="","",DONNEES!E1026)</f>
        <v/>
      </c>
      <c r="E1026" t="str">
        <f>IF(DONNEES!$E1026="","",DONNEES!F1026)</f>
        <v/>
      </c>
      <c r="F1026" t="str">
        <f>IF(DONNEES!$E1026="","",DONNEES!G1026)</f>
        <v/>
      </c>
      <c r="G1026" t="str">
        <f>IF(DONNEES!$E1026="","",DONNEES!H1026)</f>
        <v/>
      </c>
      <c r="H1026" t="str">
        <f>IF(DONNEES!$E1026="","",DONNEES!I1026)</f>
        <v/>
      </c>
      <c r="I1026" t="str">
        <f>IF(DONNEES!$E1026="","",DONNEES!J1026)</f>
        <v/>
      </c>
      <c r="J1026" t="str">
        <f>IF(DONNEES!$E1026="","",DONNEES!K1026)</f>
        <v/>
      </c>
      <c r="K1026" t="str">
        <f>IF(DONNEES!$E1026="","",DONNEES!L1026)</f>
        <v/>
      </c>
      <c r="L1026" t="str">
        <f>IF(DONNEES!$E1026="","",DONNEES!M1026)</f>
        <v/>
      </c>
      <c r="M1026" t="str">
        <f>IF(DONNEES!$E1026="","",DONNEES!N1026)</f>
        <v/>
      </c>
      <c r="N1026" t="str">
        <f>IF(DONNEES!$E1026="","",DONNEES!O1026)</f>
        <v/>
      </c>
      <c r="O1026" t="str">
        <f>IF(DONNEES!$E1026="","",DONNEES!P1026)</f>
        <v/>
      </c>
      <c r="P1026" t="str">
        <f>IF(DONNEES!$E1026="","",DONNEES!Q1026)</f>
        <v/>
      </c>
      <c r="Q1026" t="str">
        <f>IF(DONNEES!$E1026="","",DONNEES!R1026)</f>
        <v/>
      </c>
      <c r="R1026" t="str">
        <f>IF(DONNEES!$E1026="","",DONNEES!S1026)</f>
        <v/>
      </c>
      <c r="S1026" t="str">
        <f>IF(DONNEES!$E1026="","",DONNEES!T1026)</f>
        <v/>
      </c>
      <c r="T1026" t="str">
        <f>IF(DONNEES!$E1026="","",DONNEES!U1026)</f>
        <v/>
      </c>
      <c r="U1026" t="str">
        <f>IF(DONNEES!$E1026="","",DONNEES!V1026)</f>
        <v/>
      </c>
      <c r="V1026" t="str">
        <f>IF(DONNEES!$E1026="","",DONNEES!W1026)</f>
        <v/>
      </c>
      <c r="W1026" t="str">
        <f>IF(DONNEES!$E1026="","",DONNEES!X1026)</f>
        <v/>
      </c>
      <c r="X1026" t="str">
        <f>IF(DONNEES!$E1026="","",DONNEES!Y1026)</f>
        <v/>
      </c>
      <c r="Y1026" t="str">
        <f>IF(DONNEES!$E1026="","",DONNEES!Z1026)</f>
        <v/>
      </c>
      <c r="Z1026" t="str">
        <f>IF(DONNEES!$E1026="","",DONNEES!AQ1026)</f>
        <v/>
      </c>
    </row>
    <row r="1027" spans="1:26" ht="15" customHeight="1" x14ac:dyDescent="0.3">
      <c r="A1027" t="str">
        <f>IF(DONNEES!$E1027="","",DONNEES!A1027)</f>
        <v/>
      </c>
      <c r="B1027" t="str">
        <f>IF(DONNEES!$E1027="","",DONNEES!B1027)</f>
        <v/>
      </c>
      <c r="C1027" t="str">
        <f>IF(DONNEES!$E1027="","",DONNEES!C1027)</f>
        <v/>
      </c>
      <c r="D1027" t="str">
        <f>IF(DONNEES!$E1027="","",DONNEES!E1027)</f>
        <v/>
      </c>
      <c r="E1027" t="str">
        <f>IF(DONNEES!$E1027="","",DONNEES!F1027)</f>
        <v/>
      </c>
      <c r="F1027" t="str">
        <f>IF(DONNEES!$E1027="","",DONNEES!G1027)</f>
        <v/>
      </c>
      <c r="G1027" t="str">
        <f>IF(DONNEES!$E1027="","",DONNEES!H1027)</f>
        <v/>
      </c>
      <c r="H1027" t="str">
        <f>IF(DONNEES!$E1027="","",DONNEES!I1027)</f>
        <v/>
      </c>
      <c r="I1027" t="str">
        <f>IF(DONNEES!$E1027="","",DONNEES!J1027)</f>
        <v/>
      </c>
      <c r="J1027" t="str">
        <f>IF(DONNEES!$E1027="","",DONNEES!K1027)</f>
        <v/>
      </c>
      <c r="K1027" t="str">
        <f>IF(DONNEES!$E1027="","",DONNEES!L1027)</f>
        <v/>
      </c>
      <c r="L1027" t="str">
        <f>IF(DONNEES!$E1027="","",DONNEES!M1027)</f>
        <v/>
      </c>
      <c r="M1027" t="str">
        <f>IF(DONNEES!$E1027="","",DONNEES!N1027)</f>
        <v/>
      </c>
      <c r="N1027" t="str">
        <f>IF(DONNEES!$E1027="","",DONNEES!O1027)</f>
        <v/>
      </c>
      <c r="O1027" t="str">
        <f>IF(DONNEES!$E1027="","",DONNEES!P1027)</f>
        <v/>
      </c>
      <c r="P1027" t="str">
        <f>IF(DONNEES!$E1027="","",DONNEES!Q1027)</f>
        <v/>
      </c>
      <c r="Q1027" t="str">
        <f>IF(DONNEES!$E1027="","",DONNEES!R1027)</f>
        <v/>
      </c>
      <c r="R1027" t="str">
        <f>IF(DONNEES!$E1027="","",DONNEES!S1027)</f>
        <v/>
      </c>
      <c r="S1027" t="str">
        <f>IF(DONNEES!$E1027="","",DONNEES!T1027)</f>
        <v/>
      </c>
      <c r="T1027" t="str">
        <f>IF(DONNEES!$E1027="","",DONNEES!U1027)</f>
        <v/>
      </c>
      <c r="U1027" t="str">
        <f>IF(DONNEES!$E1027="","",DONNEES!V1027)</f>
        <v/>
      </c>
      <c r="V1027" t="str">
        <f>IF(DONNEES!$E1027="","",DONNEES!W1027)</f>
        <v/>
      </c>
      <c r="W1027" t="str">
        <f>IF(DONNEES!$E1027="","",DONNEES!X1027)</f>
        <v/>
      </c>
      <c r="X1027" t="str">
        <f>IF(DONNEES!$E1027="","",DONNEES!Y1027)</f>
        <v/>
      </c>
      <c r="Y1027" t="str">
        <f>IF(DONNEES!$E1027="","",DONNEES!Z1027)</f>
        <v/>
      </c>
      <c r="Z1027" t="str">
        <f>IF(DONNEES!$E1027="","",DONNEES!AQ1027)</f>
        <v/>
      </c>
    </row>
    <row r="1028" spans="1:26" ht="15" customHeight="1" x14ac:dyDescent="0.3">
      <c r="A1028" t="str">
        <f>IF(DONNEES!$E1028="","",DONNEES!A1028)</f>
        <v/>
      </c>
      <c r="B1028" t="str">
        <f>IF(DONNEES!$E1028="","",DONNEES!B1028)</f>
        <v/>
      </c>
      <c r="C1028" t="str">
        <f>IF(DONNEES!$E1028="","",DONNEES!C1028)</f>
        <v/>
      </c>
      <c r="D1028" t="str">
        <f>IF(DONNEES!$E1028="","",DONNEES!E1028)</f>
        <v/>
      </c>
      <c r="E1028" t="str">
        <f>IF(DONNEES!$E1028="","",DONNEES!F1028)</f>
        <v/>
      </c>
      <c r="F1028" t="str">
        <f>IF(DONNEES!$E1028="","",DONNEES!G1028)</f>
        <v/>
      </c>
      <c r="G1028" t="str">
        <f>IF(DONNEES!$E1028="","",DONNEES!H1028)</f>
        <v/>
      </c>
      <c r="H1028" t="str">
        <f>IF(DONNEES!$E1028="","",DONNEES!I1028)</f>
        <v/>
      </c>
      <c r="I1028" t="str">
        <f>IF(DONNEES!$E1028="","",DONNEES!J1028)</f>
        <v/>
      </c>
      <c r="J1028" t="str">
        <f>IF(DONNEES!$E1028="","",DONNEES!K1028)</f>
        <v/>
      </c>
      <c r="K1028" t="str">
        <f>IF(DONNEES!$E1028="","",DONNEES!L1028)</f>
        <v/>
      </c>
      <c r="L1028" t="str">
        <f>IF(DONNEES!$E1028="","",DONNEES!M1028)</f>
        <v/>
      </c>
      <c r="M1028" t="str">
        <f>IF(DONNEES!$E1028="","",DONNEES!N1028)</f>
        <v/>
      </c>
      <c r="N1028" t="str">
        <f>IF(DONNEES!$E1028="","",DONNEES!O1028)</f>
        <v/>
      </c>
      <c r="O1028" t="str">
        <f>IF(DONNEES!$E1028="","",DONNEES!P1028)</f>
        <v/>
      </c>
      <c r="P1028" t="str">
        <f>IF(DONNEES!$E1028="","",DONNEES!Q1028)</f>
        <v/>
      </c>
      <c r="Q1028" t="str">
        <f>IF(DONNEES!$E1028="","",DONNEES!R1028)</f>
        <v/>
      </c>
      <c r="R1028" t="str">
        <f>IF(DONNEES!$E1028="","",DONNEES!S1028)</f>
        <v/>
      </c>
      <c r="S1028" t="str">
        <f>IF(DONNEES!$E1028="","",DONNEES!T1028)</f>
        <v/>
      </c>
      <c r="T1028" t="str">
        <f>IF(DONNEES!$E1028="","",DONNEES!U1028)</f>
        <v/>
      </c>
      <c r="U1028" t="str">
        <f>IF(DONNEES!$E1028="","",DONNEES!V1028)</f>
        <v/>
      </c>
      <c r="V1028" t="str">
        <f>IF(DONNEES!$E1028="","",DONNEES!W1028)</f>
        <v/>
      </c>
      <c r="W1028" t="str">
        <f>IF(DONNEES!$E1028="","",DONNEES!X1028)</f>
        <v/>
      </c>
      <c r="X1028" t="str">
        <f>IF(DONNEES!$E1028="","",DONNEES!Y1028)</f>
        <v/>
      </c>
      <c r="Y1028" t="str">
        <f>IF(DONNEES!$E1028="","",DONNEES!Z1028)</f>
        <v/>
      </c>
      <c r="Z1028" t="str">
        <f>IF(DONNEES!$E1028="","",DONNEES!AQ1028)</f>
        <v/>
      </c>
    </row>
    <row r="1029" spans="1:26" ht="15" customHeight="1" x14ac:dyDescent="0.3">
      <c r="A1029" t="str">
        <f>IF(DONNEES!$E1029="","",DONNEES!A1029)</f>
        <v/>
      </c>
      <c r="B1029" t="str">
        <f>IF(DONNEES!$E1029="","",DONNEES!B1029)</f>
        <v/>
      </c>
      <c r="C1029" t="str">
        <f>IF(DONNEES!$E1029="","",DONNEES!C1029)</f>
        <v/>
      </c>
      <c r="D1029" t="str">
        <f>IF(DONNEES!$E1029="","",DONNEES!E1029)</f>
        <v/>
      </c>
      <c r="E1029" t="str">
        <f>IF(DONNEES!$E1029="","",DONNEES!F1029)</f>
        <v/>
      </c>
      <c r="F1029" t="str">
        <f>IF(DONNEES!$E1029="","",DONNEES!G1029)</f>
        <v/>
      </c>
      <c r="G1029" t="str">
        <f>IF(DONNEES!$E1029="","",DONNEES!H1029)</f>
        <v/>
      </c>
      <c r="H1029" t="str">
        <f>IF(DONNEES!$E1029="","",DONNEES!I1029)</f>
        <v/>
      </c>
      <c r="I1029" t="str">
        <f>IF(DONNEES!$E1029="","",DONNEES!J1029)</f>
        <v/>
      </c>
      <c r="J1029" t="str">
        <f>IF(DONNEES!$E1029="","",DONNEES!K1029)</f>
        <v/>
      </c>
      <c r="K1029" t="str">
        <f>IF(DONNEES!$E1029="","",DONNEES!L1029)</f>
        <v/>
      </c>
      <c r="L1029" t="str">
        <f>IF(DONNEES!$E1029="","",DONNEES!M1029)</f>
        <v/>
      </c>
      <c r="M1029" t="str">
        <f>IF(DONNEES!$E1029="","",DONNEES!N1029)</f>
        <v/>
      </c>
      <c r="N1029" t="str">
        <f>IF(DONNEES!$E1029="","",DONNEES!O1029)</f>
        <v/>
      </c>
      <c r="O1029" t="str">
        <f>IF(DONNEES!$E1029="","",DONNEES!P1029)</f>
        <v/>
      </c>
      <c r="P1029" t="str">
        <f>IF(DONNEES!$E1029="","",DONNEES!Q1029)</f>
        <v/>
      </c>
      <c r="Q1029" t="str">
        <f>IF(DONNEES!$E1029="","",DONNEES!R1029)</f>
        <v/>
      </c>
      <c r="R1029" t="str">
        <f>IF(DONNEES!$E1029="","",DONNEES!S1029)</f>
        <v/>
      </c>
      <c r="S1029" t="str">
        <f>IF(DONNEES!$E1029="","",DONNEES!T1029)</f>
        <v/>
      </c>
      <c r="T1029" t="str">
        <f>IF(DONNEES!$E1029="","",DONNEES!U1029)</f>
        <v/>
      </c>
      <c r="U1029" t="str">
        <f>IF(DONNEES!$E1029="","",DONNEES!V1029)</f>
        <v/>
      </c>
      <c r="V1029" t="str">
        <f>IF(DONNEES!$E1029="","",DONNEES!W1029)</f>
        <v/>
      </c>
      <c r="W1029" t="str">
        <f>IF(DONNEES!$E1029="","",DONNEES!X1029)</f>
        <v/>
      </c>
      <c r="X1029" t="str">
        <f>IF(DONNEES!$E1029="","",DONNEES!Y1029)</f>
        <v/>
      </c>
      <c r="Y1029" t="str">
        <f>IF(DONNEES!$E1029="","",DONNEES!Z1029)</f>
        <v/>
      </c>
      <c r="Z1029" t="str">
        <f>IF(DONNEES!$E1029="","",DONNEES!AQ1029)</f>
        <v/>
      </c>
    </row>
    <row r="1030" spans="1:26" ht="15" customHeight="1" x14ac:dyDescent="0.3">
      <c r="A1030" t="str">
        <f>IF(DONNEES!$E1030="","",DONNEES!A1030)</f>
        <v/>
      </c>
      <c r="B1030" t="str">
        <f>IF(DONNEES!$E1030="","",DONNEES!B1030)</f>
        <v/>
      </c>
      <c r="C1030" t="str">
        <f>IF(DONNEES!$E1030="","",DONNEES!C1030)</f>
        <v/>
      </c>
      <c r="D1030" t="str">
        <f>IF(DONNEES!$E1030="","",DONNEES!E1030)</f>
        <v/>
      </c>
      <c r="E1030" t="str">
        <f>IF(DONNEES!$E1030="","",DONNEES!F1030)</f>
        <v/>
      </c>
      <c r="F1030" t="str">
        <f>IF(DONNEES!$E1030="","",DONNEES!G1030)</f>
        <v/>
      </c>
      <c r="G1030" t="str">
        <f>IF(DONNEES!$E1030="","",DONNEES!H1030)</f>
        <v/>
      </c>
      <c r="H1030" t="str">
        <f>IF(DONNEES!$E1030="","",DONNEES!I1030)</f>
        <v/>
      </c>
      <c r="I1030" t="str">
        <f>IF(DONNEES!$E1030="","",DONNEES!J1030)</f>
        <v/>
      </c>
      <c r="J1030" t="str">
        <f>IF(DONNEES!$E1030="","",DONNEES!K1030)</f>
        <v/>
      </c>
      <c r="K1030" t="str">
        <f>IF(DONNEES!$E1030="","",DONNEES!L1030)</f>
        <v/>
      </c>
      <c r="L1030" t="str">
        <f>IF(DONNEES!$E1030="","",DONNEES!M1030)</f>
        <v/>
      </c>
      <c r="M1030" t="str">
        <f>IF(DONNEES!$E1030="","",DONNEES!N1030)</f>
        <v/>
      </c>
      <c r="N1030" t="str">
        <f>IF(DONNEES!$E1030="","",DONNEES!O1030)</f>
        <v/>
      </c>
      <c r="O1030" t="str">
        <f>IF(DONNEES!$E1030="","",DONNEES!P1030)</f>
        <v/>
      </c>
      <c r="P1030" t="str">
        <f>IF(DONNEES!$E1030="","",DONNEES!Q1030)</f>
        <v/>
      </c>
      <c r="Q1030" t="str">
        <f>IF(DONNEES!$E1030="","",DONNEES!R1030)</f>
        <v/>
      </c>
      <c r="R1030" t="str">
        <f>IF(DONNEES!$E1030="","",DONNEES!S1030)</f>
        <v/>
      </c>
      <c r="S1030" t="str">
        <f>IF(DONNEES!$E1030="","",DONNEES!T1030)</f>
        <v/>
      </c>
      <c r="T1030" t="str">
        <f>IF(DONNEES!$E1030="","",DONNEES!U1030)</f>
        <v/>
      </c>
      <c r="U1030" t="str">
        <f>IF(DONNEES!$E1030="","",DONNEES!V1030)</f>
        <v/>
      </c>
      <c r="V1030" t="str">
        <f>IF(DONNEES!$E1030="","",DONNEES!W1030)</f>
        <v/>
      </c>
      <c r="W1030" t="str">
        <f>IF(DONNEES!$E1030="","",DONNEES!X1030)</f>
        <v/>
      </c>
      <c r="X1030" t="str">
        <f>IF(DONNEES!$E1030="","",DONNEES!Y1030)</f>
        <v/>
      </c>
      <c r="Y1030" t="str">
        <f>IF(DONNEES!$E1030="","",DONNEES!Z1030)</f>
        <v/>
      </c>
      <c r="Z1030" t="str">
        <f>IF(DONNEES!$E1030="","",DONNEES!AQ1030)</f>
        <v/>
      </c>
    </row>
    <row r="1031" spans="1:26" ht="15" customHeight="1" x14ac:dyDescent="0.3">
      <c r="A1031" t="str">
        <f>IF(DONNEES!$E1031="","",DONNEES!A1031)</f>
        <v/>
      </c>
      <c r="B1031" t="str">
        <f>IF(DONNEES!$E1031="","",DONNEES!B1031)</f>
        <v/>
      </c>
      <c r="C1031" t="str">
        <f>IF(DONNEES!$E1031="","",DONNEES!C1031)</f>
        <v/>
      </c>
      <c r="D1031" t="str">
        <f>IF(DONNEES!$E1031="","",DONNEES!E1031)</f>
        <v/>
      </c>
      <c r="E1031" t="str">
        <f>IF(DONNEES!$E1031="","",DONNEES!F1031)</f>
        <v/>
      </c>
      <c r="F1031" t="str">
        <f>IF(DONNEES!$E1031="","",DONNEES!G1031)</f>
        <v/>
      </c>
      <c r="G1031" t="str">
        <f>IF(DONNEES!$E1031="","",DONNEES!H1031)</f>
        <v/>
      </c>
      <c r="H1031" t="str">
        <f>IF(DONNEES!$E1031="","",DONNEES!I1031)</f>
        <v/>
      </c>
      <c r="I1031" t="str">
        <f>IF(DONNEES!$E1031="","",DONNEES!J1031)</f>
        <v/>
      </c>
      <c r="J1031" t="str">
        <f>IF(DONNEES!$E1031="","",DONNEES!K1031)</f>
        <v/>
      </c>
      <c r="K1031" t="str">
        <f>IF(DONNEES!$E1031="","",DONNEES!L1031)</f>
        <v/>
      </c>
      <c r="L1031" t="str">
        <f>IF(DONNEES!$E1031="","",DONNEES!M1031)</f>
        <v/>
      </c>
      <c r="M1031" t="str">
        <f>IF(DONNEES!$E1031="","",DONNEES!N1031)</f>
        <v/>
      </c>
      <c r="N1031" t="str">
        <f>IF(DONNEES!$E1031="","",DONNEES!O1031)</f>
        <v/>
      </c>
      <c r="O1031" t="str">
        <f>IF(DONNEES!$E1031="","",DONNEES!P1031)</f>
        <v/>
      </c>
      <c r="P1031" t="str">
        <f>IF(DONNEES!$E1031="","",DONNEES!Q1031)</f>
        <v/>
      </c>
      <c r="Q1031" t="str">
        <f>IF(DONNEES!$E1031="","",DONNEES!R1031)</f>
        <v/>
      </c>
      <c r="R1031" t="str">
        <f>IF(DONNEES!$E1031="","",DONNEES!S1031)</f>
        <v/>
      </c>
      <c r="S1031" t="str">
        <f>IF(DONNEES!$E1031="","",DONNEES!T1031)</f>
        <v/>
      </c>
      <c r="T1031" t="str">
        <f>IF(DONNEES!$E1031="","",DONNEES!U1031)</f>
        <v/>
      </c>
      <c r="U1031" t="str">
        <f>IF(DONNEES!$E1031="","",DONNEES!V1031)</f>
        <v/>
      </c>
      <c r="V1031" t="str">
        <f>IF(DONNEES!$E1031="","",DONNEES!W1031)</f>
        <v/>
      </c>
      <c r="W1031" t="str">
        <f>IF(DONNEES!$E1031="","",DONNEES!X1031)</f>
        <v/>
      </c>
      <c r="X1031" t="str">
        <f>IF(DONNEES!$E1031="","",DONNEES!Y1031)</f>
        <v/>
      </c>
      <c r="Y1031" t="str">
        <f>IF(DONNEES!$E1031="","",DONNEES!Z1031)</f>
        <v/>
      </c>
      <c r="Z1031" t="str">
        <f>IF(DONNEES!$E1031="","",DONNEES!AQ1031)</f>
        <v/>
      </c>
    </row>
    <row r="1032" spans="1:26" ht="15" customHeight="1" x14ac:dyDescent="0.3">
      <c r="A1032" t="str">
        <f>IF(DONNEES!$E1032="","",DONNEES!A1032)</f>
        <v/>
      </c>
      <c r="B1032" t="str">
        <f>IF(DONNEES!$E1032="","",DONNEES!B1032)</f>
        <v/>
      </c>
      <c r="C1032" t="str">
        <f>IF(DONNEES!$E1032="","",DONNEES!C1032)</f>
        <v/>
      </c>
      <c r="D1032" t="str">
        <f>IF(DONNEES!$E1032="","",DONNEES!E1032)</f>
        <v/>
      </c>
      <c r="E1032" t="str">
        <f>IF(DONNEES!$E1032="","",DONNEES!F1032)</f>
        <v/>
      </c>
      <c r="F1032" t="str">
        <f>IF(DONNEES!$E1032="","",DONNEES!G1032)</f>
        <v/>
      </c>
      <c r="G1032" t="str">
        <f>IF(DONNEES!$E1032="","",DONNEES!H1032)</f>
        <v/>
      </c>
      <c r="H1032" t="str">
        <f>IF(DONNEES!$E1032="","",DONNEES!I1032)</f>
        <v/>
      </c>
      <c r="I1032" t="str">
        <f>IF(DONNEES!$E1032="","",DONNEES!J1032)</f>
        <v/>
      </c>
      <c r="J1032" t="str">
        <f>IF(DONNEES!$E1032="","",DONNEES!K1032)</f>
        <v/>
      </c>
      <c r="K1032" t="str">
        <f>IF(DONNEES!$E1032="","",DONNEES!L1032)</f>
        <v/>
      </c>
      <c r="L1032" t="str">
        <f>IF(DONNEES!$E1032="","",DONNEES!M1032)</f>
        <v/>
      </c>
      <c r="M1032" t="str">
        <f>IF(DONNEES!$E1032="","",DONNEES!N1032)</f>
        <v/>
      </c>
      <c r="N1032" t="str">
        <f>IF(DONNEES!$E1032="","",DONNEES!O1032)</f>
        <v/>
      </c>
      <c r="O1032" t="str">
        <f>IF(DONNEES!$E1032="","",DONNEES!P1032)</f>
        <v/>
      </c>
      <c r="P1032" t="str">
        <f>IF(DONNEES!$E1032="","",DONNEES!Q1032)</f>
        <v/>
      </c>
      <c r="Q1032" t="str">
        <f>IF(DONNEES!$E1032="","",DONNEES!R1032)</f>
        <v/>
      </c>
      <c r="R1032" t="str">
        <f>IF(DONNEES!$E1032="","",DONNEES!S1032)</f>
        <v/>
      </c>
      <c r="S1032" t="str">
        <f>IF(DONNEES!$E1032="","",DONNEES!T1032)</f>
        <v/>
      </c>
      <c r="T1032" t="str">
        <f>IF(DONNEES!$E1032="","",DONNEES!U1032)</f>
        <v/>
      </c>
      <c r="U1032" t="str">
        <f>IF(DONNEES!$E1032="","",DONNEES!V1032)</f>
        <v/>
      </c>
      <c r="V1032" t="str">
        <f>IF(DONNEES!$E1032="","",DONNEES!W1032)</f>
        <v/>
      </c>
      <c r="W1032" t="str">
        <f>IF(DONNEES!$E1032="","",DONNEES!X1032)</f>
        <v/>
      </c>
      <c r="X1032" t="str">
        <f>IF(DONNEES!$E1032="","",DONNEES!Y1032)</f>
        <v/>
      </c>
      <c r="Y1032" t="str">
        <f>IF(DONNEES!$E1032="","",DONNEES!Z1032)</f>
        <v/>
      </c>
      <c r="Z1032" t="str">
        <f>IF(DONNEES!$E1032="","",DONNEES!AQ1032)</f>
        <v/>
      </c>
    </row>
    <row r="1033" spans="1:26" ht="15" customHeight="1" x14ac:dyDescent="0.3">
      <c r="A1033" t="str">
        <f>IF(DONNEES!$E1033="","",DONNEES!A1033)</f>
        <v/>
      </c>
      <c r="B1033" t="str">
        <f>IF(DONNEES!$E1033="","",DONNEES!B1033)</f>
        <v/>
      </c>
      <c r="C1033" t="str">
        <f>IF(DONNEES!$E1033="","",DONNEES!C1033)</f>
        <v/>
      </c>
      <c r="D1033" t="str">
        <f>IF(DONNEES!$E1033="","",DONNEES!E1033)</f>
        <v/>
      </c>
      <c r="E1033" t="str">
        <f>IF(DONNEES!$E1033="","",DONNEES!F1033)</f>
        <v/>
      </c>
      <c r="F1033" t="str">
        <f>IF(DONNEES!$E1033="","",DONNEES!G1033)</f>
        <v/>
      </c>
      <c r="G1033" t="str">
        <f>IF(DONNEES!$E1033="","",DONNEES!H1033)</f>
        <v/>
      </c>
      <c r="H1033" t="str">
        <f>IF(DONNEES!$E1033="","",DONNEES!I1033)</f>
        <v/>
      </c>
      <c r="I1033" t="str">
        <f>IF(DONNEES!$E1033="","",DONNEES!J1033)</f>
        <v/>
      </c>
      <c r="J1033" t="str">
        <f>IF(DONNEES!$E1033="","",DONNEES!K1033)</f>
        <v/>
      </c>
      <c r="K1033" t="str">
        <f>IF(DONNEES!$E1033="","",DONNEES!L1033)</f>
        <v/>
      </c>
      <c r="L1033" t="str">
        <f>IF(DONNEES!$E1033="","",DONNEES!M1033)</f>
        <v/>
      </c>
      <c r="M1033" t="str">
        <f>IF(DONNEES!$E1033="","",DONNEES!N1033)</f>
        <v/>
      </c>
      <c r="N1033" t="str">
        <f>IF(DONNEES!$E1033="","",DONNEES!O1033)</f>
        <v/>
      </c>
      <c r="O1033" t="str">
        <f>IF(DONNEES!$E1033="","",DONNEES!P1033)</f>
        <v/>
      </c>
      <c r="P1033" t="str">
        <f>IF(DONNEES!$E1033="","",DONNEES!Q1033)</f>
        <v/>
      </c>
      <c r="Q1033" t="str">
        <f>IF(DONNEES!$E1033="","",DONNEES!R1033)</f>
        <v/>
      </c>
      <c r="R1033" t="str">
        <f>IF(DONNEES!$E1033="","",DONNEES!S1033)</f>
        <v/>
      </c>
      <c r="S1033" t="str">
        <f>IF(DONNEES!$E1033="","",DONNEES!T1033)</f>
        <v/>
      </c>
      <c r="T1033" t="str">
        <f>IF(DONNEES!$E1033="","",DONNEES!U1033)</f>
        <v/>
      </c>
      <c r="U1033" t="str">
        <f>IF(DONNEES!$E1033="","",DONNEES!V1033)</f>
        <v/>
      </c>
      <c r="V1033" t="str">
        <f>IF(DONNEES!$E1033="","",DONNEES!W1033)</f>
        <v/>
      </c>
      <c r="W1033" t="str">
        <f>IF(DONNEES!$E1033="","",DONNEES!X1033)</f>
        <v/>
      </c>
      <c r="X1033" t="str">
        <f>IF(DONNEES!$E1033="","",DONNEES!Y1033)</f>
        <v/>
      </c>
      <c r="Y1033" t="str">
        <f>IF(DONNEES!$E1033="","",DONNEES!Z1033)</f>
        <v/>
      </c>
      <c r="Z1033" t="str">
        <f>IF(DONNEES!$E1033="","",DONNEES!AQ1033)</f>
        <v/>
      </c>
    </row>
    <row r="1034" spans="1:26" ht="15" customHeight="1" x14ac:dyDescent="0.3">
      <c r="A1034" t="str">
        <f>IF(DONNEES!$E1034="","",DONNEES!A1034)</f>
        <v/>
      </c>
      <c r="B1034" t="str">
        <f>IF(DONNEES!$E1034="","",DONNEES!B1034)</f>
        <v/>
      </c>
      <c r="C1034" t="str">
        <f>IF(DONNEES!$E1034="","",DONNEES!C1034)</f>
        <v/>
      </c>
      <c r="D1034" t="str">
        <f>IF(DONNEES!$E1034="","",DONNEES!E1034)</f>
        <v/>
      </c>
      <c r="E1034" t="str">
        <f>IF(DONNEES!$E1034="","",DONNEES!F1034)</f>
        <v/>
      </c>
      <c r="F1034" t="str">
        <f>IF(DONNEES!$E1034="","",DONNEES!G1034)</f>
        <v/>
      </c>
      <c r="G1034" t="str">
        <f>IF(DONNEES!$E1034="","",DONNEES!H1034)</f>
        <v/>
      </c>
      <c r="H1034" t="str">
        <f>IF(DONNEES!$E1034="","",DONNEES!I1034)</f>
        <v/>
      </c>
      <c r="I1034" t="str">
        <f>IF(DONNEES!$E1034="","",DONNEES!J1034)</f>
        <v/>
      </c>
      <c r="J1034" t="str">
        <f>IF(DONNEES!$E1034="","",DONNEES!K1034)</f>
        <v/>
      </c>
      <c r="K1034" t="str">
        <f>IF(DONNEES!$E1034="","",DONNEES!L1034)</f>
        <v/>
      </c>
      <c r="L1034" t="str">
        <f>IF(DONNEES!$E1034="","",DONNEES!M1034)</f>
        <v/>
      </c>
      <c r="M1034" t="str">
        <f>IF(DONNEES!$E1034="","",DONNEES!N1034)</f>
        <v/>
      </c>
      <c r="N1034" t="str">
        <f>IF(DONNEES!$E1034="","",DONNEES!O1034)</f>
        <v/>
      </c>
      <c r="O1034" t="str">
        <f>IF(DONNEES!$E1034="","",DONNEES!P1034)</f>
        <v/>
      </c>
      <c r="P1034" t="str">
        <f>IF(DONNEES!$E1034="","",DONNEES!Q1034)</f>
        <v/>
      </c>
      <c r="Q1034" t="str">
        <f>IF(DONNEES!$E1034="","",DONNEES!R1034)</f>
        <v/>
      </c>
      <c r="R1034" t="str">
        <f>IF(DONNEES!$E1034="","",DONNEES!S1034)</f>
        <v/>
      </c>
      <c r="S1034" t="str">
        <f>IF(DONNEES!$E1034="","",DONNEES!T1034)</f>
        <v/>
      </c>
      <c r="T1034" t="str">
        <f>IF(DONNEES!$E1034="","",DONNEES!U1034)</f>
        <v/>
      </c>
      <c r="U1034" t="str">
        <f>IF(DONNEES!$E1034="","",DONNEES!V1034)</f>
        <v/>
      </c>
      <c r="V1034" t="str">
        <f>IF(DONNEES!$E1034="","",DONNEES!W1034)</f>
        <v/>
      </c>
      <c r="W1034" t="str">
        <f>IF(DONNEES!$E1034="","",DONNEES!X1034)</f>
        <v/>
      </c>
      <c r="X1034" t="str">
        <f>IF(DONNEES!$E1034="","",DONNEES!Y1034)</f>
        <v/>
      </c>
      <c r="Y1034" t="str">
        <f>IF(DONNEES!$E1034="","",DONNEES!Z1034)</f>
        <v/>
      </c>
      <c r="Z1034" t="str">
        <f>IF(DONNEES!$E1034="","",DONNEES!AQ1034)</f>
        <v/>
      </c>
    </row>
    <row r="1035" spans="1:26" ht="15" customHeight="1" x14ac:dyDescent="0.3">
      <c r="A1035" t="str">
        <f>IF(DONNEES!$E1035="","",DONNEES!A1035)</f>
        <v/>
      </c>
      <c r="B1035" t="str">
        <f>IF(DONNEES!$E1035="","",DONNEES!B1035)</f>
        <v/>
      </c>
      <c r="C1035" t="str">
        <f>IF(DONNEES!$E1035="","",DONNEES!C1035)</f>
        <v/>
      </c>
      <c r="D1035" t="str">
        <f>IF(DONNEES!$E1035="","",DONNEES!E1035)</f>
        <v/>
      </c>
      <c r="E1035" t="str">
        <f>IF(DONNEES!$E1035="","",DONNEES!F1035)</f>
        <v/>
      </c>
      <c r="F1035" t="str">
        <f>IF(DONNEES!$E1035="","",DONNEES!G1035)</f>
        <v/>
      </c>
      <c r="G1035" t="str">
        <f>IF(DONNEES!$E1035="","",DONNEES!H1035)</f>
        <v/>
      </c>
      <c r="H1035" t="str">
        <f>IF(DONNEES!$E1035="","",DONNEES!I1035)</f>
        <v/>
      </c>
      <c r="I1035" t="str">
        <f>IF(DONNEES!$E1035="","",DONNEES!J1035)</f>
        <v/>
      </c>
      <c r="J1035" t="str">
        <f>IF(DONNEES!$E1035="","",DONNEES!K1035)</f>
        <v/>
      </c>
      <c r="K1035" t="str">
        <f>IF(DONNEES!$E1035="","",DONNEES!L1035)</f>
        <v/>
      </c>
      <c r="L1035" t="str">
        <f>IF(DONNEES!$E1035="","",DONNEES!M1035)</f>
        <v/>
      </c>
      <c r="M1035" t="str">
        <f>IF(DONNEES!$E1035="","",DONNEES!N1035)</f>
        <v/>
      </c>
      <c r="N1035" t="str">
        <f>IF(DONNEES!$E1035="","",DONNEES!O1035)</f>
        <v/>
      </c>
      <c r="O1035" t="str">
        <f>IF(DONNEES!$E1035="","",DONNEES!P1035)</f>
        <v/>
      </c>
      <c r="P1035" t="str">
        <f>IF(DONNEES!$E1035="","",DONNEES!Q1035)</f>
        <v/>
      </c>
      <c r="Q1035" t="str">
        <f>IF(DONNEES!$E1035="","",DONNEES!R1035)</f>
        <v/>
      </c>
      <c r="R1035" t="str">
        <f>IF(DONNEES!$E1035="","",DONNEES!S1035)</f>
        <v/>
      </c>
      <c r="S1035" t="str">
        <f>IF(DONNEES!$E1035="","",DONNEES!T1035)</f>
        <v/>
      </c>
      <c r="T1035" t="str">
        <f>IF(DONNEES!$E1035="","",DONNEES!U1035)</f>
        <v/>
      </c>
      <c r="U1035" t="str">
        <f>IF(DONNEES!$E1035="","",DONNEES!V1035)</f>
        <v/>
      </c>
      <c r="V1035" t="str">
        <f>IF(DONNEES!$E1035="","",DONNEES!W1035)</f>
        <v/>
      </c>
      <c r="W1035" t="str">
        <f>IF(DONNEES!$E1035="","",DONNEES!X1035)</f>
        <v/>
      </c>
      <c r="X1035" t="str">
        <f>IF(DONNEES!$E1035="","",DONNEES!Y1035)</f>
        <v/>
      </c>
      <c r="Y1035" t="str">
        <f>IF(DONNEES!$E1035="","",DONNEES!Z1035)</f>
        <v/>
      </c>
      <c r="Z1035" t="str">
        <f>IF(DONNEES!$E1035="","",DONNEES!AQ1035)</f>
        <v/>
      </c>
    </row>
    <row r="1036" spans="1:26" ht="15" customHeight="1" x14ac:dyDescent="0.3">
      <c r="A1036" t="str">
        <f>IF(DONNEES!$E1036="","",DONNEES!A1036)</f>
        <v/>
      </c>
      <c r="B1036" t="str">
        <f>IF(DONNEES!$E1036="","",DONNEES!B1036)</f>
        <v/>
      </c>
      <c r="C1036" t="str">
        <f>IF(DONNEES!$E1036="","",DONNEES!C1036)</f>
        <v/>
      </c>
      <c r="D1036" t="str">
        <f>IF(DONNEES!$E1036="","",DONNEES!E1036)</f>
        <v/>
      </c>
      <c r="E1036" t="str">
        <f>IF(DONNEES!$E1036="","",DONNEES!F1036)</f>
        <v/>
      </c>
      <c r="F1036" t="str">
        <f>IF(DONNEES!$E1036="","",DONNEES!G1036)</f>
        <v/>
      </c>
      <c r="G1036" t="str">
        <f>IF(DONNEES!$E1036="","",DONNEES!H1036)</f>
        <v/>
      </c>
      <c r="H1036" t="str">
        <f>IF(DONNEES!$E1036="","",DONNEES!I1036)</f>
        <v/>
      </c>
      <c r="I1036" t="str">
        <f>IF(DONNEES!$E1036="","",DONNEES!J1036)</f>
        <v/>
      </c>
      <c r="J1036" t="str">
        <f>IF(DONNEES!$E1036="","",DONNEES!K1036)</f>
        <v/>
      </c>
      <c r="K1036" t="str">
        <f>IF(DONNEES!$E1036="","",DONNEES!L1036)</f>
        <v/>
      </c>
      <c r="L1036" t="str">
        <f>IF(DONNEES!$E1036="","",DONNEES!M1036)</f>
        <v/>
      </c>
      <c r="M1036" t="str">
        <f>IF(DONNEES!$E1036="","",DONNEES!N1036)</f>
        <v/>
      </c>
      <c r="N1036" t="str">
        <f>IF(DONNEES!$E1036="","",DONNEES!O1036)</f>
        <v/>
      </c>
      <c r="O1036" t="str">
        <f>IF(DONNEES!$E1036="","",DONNEES!P1036)</f>
        <v/>
      </c>
      <c r="P1036" t="str">
        <f>IF(DONNEES!$E1036="","",DONNEES!Q1036)</f>
        <v/>
      </c>
      <c r="Q1036" t="str">
        <f>IF(DONNEES!$E1036="","",DONNEES!R1036)</f>
        <v/>
      </c>
      <c r="R1036" t="str">
        <f>IF(DONNEES!$E1036="","",DONNEES!S1036)</f>
        <v/>
      </c>
      <c r="S1036" t="str">
        <f>IF(DONNEES!$E1036="","",DONNEES!T1036)</f>
        <v/>
      </c>
      <c r="T1036" t="str">
        <f>IF(DONNEES!$E1036="","",DONNEES!U1036)</f>
        <v/>
      </c>
      <c r="U1036" t="str">
        <f>IF(DONNEES!$E1036="","",DONNEES!V1036)</f>
        <v/>
      </c>
      <c r="V1036" t="str">
        <f>IF(DONNEES!$E1036="","",DONNEES!W1036)</f>
        <v/>
      </c>
      <c r="W1036" t="str">
        <f>IF(DONNEES!$E1036="","",DONNEES!X1036)</f>
        <v/>
      </c>
      <c r="X1036" t="str">
        <f>IF(DONNEES!$E1036="","",DONNEES!Y1036)</f>
        <v/>
      </c>
      <c r="Y1036" t="str">
        <f>IF(DONNEES!$E1036="","",DONNEES!Z1036)</f>
        <v/>
      </c>
      <c r="Z1036" t="str">
        <f>IF(DONNEES!$E1036="","",DONNEES!AQ1036)</f>
        <v/>
      </c>
    </row>
    <row r="1037" spans="1:26" ht="15" customHeight="1" x14ac:dyDescent="0.3">
      <c r="A1037" t="str">
        <f>IF(DONNEES!$E1037="","",DONNEES!A1037)</f>
        <v/>
      </c>
      <c r="B1037" t="str">
        <f>IF(DONNEES!$E1037="","",DONNEES!B1037)</f>
        <v/>
      </c>
      <c r="C1037" t="str">
        <f>IF(DONNEES!$E1037="","",DONNEES!C1037)</f>
        <v/>
      </c>
      <c r="D1037" t="str">
        <f>IF(DONNEES!$E1037="","",DONNEES!E1037)</f>
        <v/>
      </c>
      <c r="E1037" t="str">
        <f>IF(DONNEES!$E1037="","",DONNEES!F1037)</f>
        <v/>
      </c>
      <c r="F1037" t="str">
        <f>IF(DONNEES!$E1037="","",DONNEES!G1037)</f>
        <v/>
      </c>
      <c r="G1037" t="str">
        <f>IF(DONNEES!$E1037="","",DONNEES!H1037)</f>
        <v/>
      </c>
      <c r="H1037" t="str">
        <f>IF(DONNEES!$E1037="","",DONNEES!I1037)</f>
        <v/>
      </c>
      <c r="I1037" t="str">
        <f>IF(DONNEES!$E1037="","",DONNEES!J1037)</f>
        <v/>
      </c>
      <c r="J1037" t="str">
        <f>IF(DONNEES!$E1037="","",DONNEES!K1037)</f>
        <v/>
      </c>
      <c r="K1037" t="str">
        <f>IF(DONNEES!$E1037="","",DONNEES!L1037)</f>
        <v/>
      </c>
      <c r="L1037" t="str">
        <f>IF(DONNEES!$E1037="","",DONNEES!M1037)</f>
        <v/>
      </c>
      <c r="M1037" t="str">
        <f>IF(DONNEES!$E1037="","",DONNEES!N1037)</f>
        <v/>
      </c>
      <c r="N1037" t="str">
        <f>IF(DONNEES!$E1037="","",DONNEES!O1037)</f>
        <v/>
      </c>
      <c r="O1037" t="str">
        <f>IF(DONNEES!$E1037="","",DONNEES!P1037)</f>
        <v/>
      </c>
      <c r="P1037" t="str">
        <f>IF(DONNEES!$E1037="","",DONNEES!Q1037)</f>
        <v/>
      </c>
      <c r="Q1037" t="str">
        <f>IF(DONNEES!$E1037="","",DONNEES!R1037)</f>
        <v/>
      </c>
      <c r="R1037" t="str">
        <f>IF(DONNEES!$E1037="","",DONNEES!S1037)</f>
        <v/>
      </c>
      <c r="S1037" t="str">
        <f>IF(DONNEES!$E1037="","",DONNEES!T1037)</f>
        <v/>
      </c>
      <c r="T1037" t="str">
        <f>IF(DONNEES!$E1037="","",DONNEES!U1037)</f>
        <v/>
      </c>
      <c r="U1037" t="str">
        <f>IF(DONNEES!$E1037="","",DONNEES!V1037)</f>
        <v/>
      </c>
      <c r="V1037" t="str">
        <f>IF(DONNEES!$E1037="","",DONNEES!W1037)</f>
        <v/>
      </c>
      <c r="W1037" t="str">
        <f>IF(DONNEES!$E1037="","",DONNEES!X1037)</f>
        <v/>
      </c>
      <c r="X1037" t="str">
        <f>IF(DONNEES!$E1037="","",DONNEES!Y1037)</f>
        <v/>
      </c>
      <c r="Y1037" t="str">
        <f>IF(DONNEES!$E1037="","",DONNEES!Z1037)</f>
        <v/>
      </c>
      <c r="Z1037" t="str">
        <f>IF(DONNEES!$E1037="","",DONNEES!AQ1037)</f>
        <v/>
      </c>
    </row>
    <row r="1038" spans="1:26" ht="15" customHeight="1" x14ac:dyDescent="0.3">
      <c r="A1038" t="str">
        <f>IF(DONNEES!$E1038="","",DONNEES!A1038)</f>
        <v/>
      </c>
      <c r="B1038" t="str">
        <f>IF(DONNEES!$E1038="","",DONNEES!B1038)</f>
        <v/>
      </c>
      <c r="C1038" t="str">
        <f>IF(DONNEES!$E1038="","",DONNEES!C1038)</f>
        <v/>
      </c>
      <c r="D1038" t="str">
        <f>IF(DONNEES!$E1038="","",DONNEES!E1038)</f>
        <v/>
      </c>
      <c r="E1038" t="str">
        <f>IF(DONNEES!$E1038="","",DONNEES!F1038)</f>
        <v/>
      </c>
      <c r="F1038" t="str">
        <f>IF(DONNEES!$E1038="","",DONNEES!G1038)</f>
        <v/>
      </c>
      <c r="G1038" t="str">
        <f>IF(DONNEES!$E1038="","",DONNEES!H1038)</f>
        <v/>
      </c>
      <c r="H1038" t="str">
        <f>IF(DONNEES!$E1038="","",DONNEES!I1038)</f>
        <v/>
      </c>
      <c r="I1038" t="str">
        <f>IF(DONNEES!$E1038="","",DONNEES!J1038)</f>
        <v/>
      </c>
      <c r="J1038" t="str">
        <f>IF(DONNEES!$E1038="","",DONNEES!K1038)</f>
        <v/>
      </c>
      <c r="K1038" t="str">
        <f>IF(DONNEES!$E1038="","",DONNEES!L1038)</f>
        <v/>
      </c>
      <c r="L1038" t="str">
        <f>IF(DONNEES!$E1038="","",DONNEES!M1038)</f>
        <v/>
      </c>
      <c r="M1038" t="str">
        <f>IF(DONNEES!$E1038="","",DONNEES!N1038)</f>
        <v/>
      </c>
      <c r="N1038" t="str">
        <f>IF(DONNEES!$E1038="","",DONNEES!O1038)</f>
        <v/>
      </c>
      <c r="O1038" t="str">
        <f>IF(DONNEES!$E1038="","",DONNEES!P1038)</f>
        <v/>
      </c>
      <c r="P1038" t="str">
        <f>IF(DONNEES!$E1038="","",DONNEES!Q1038)</f>
        <v/>
      </c>
      <c r="Q1038" t="str">
        <f>IF(DONNEES!$E1038="","",DONNEES!R1038)</f>
        <v/>
      </c>
      <c r="R1038" t="str">
        <f>IF(DONNEES!$E1038="","",DONNEES!S1038)</f>
        <v/>
      </c>
      <c r="S1038" t="str">
        <f>IF(DONNEES!$E1038="","",DONNEES!T1038)</f>
        <v/>
      </c>
      <c r="T1038" t="str">
        <f>IF(DONNEES!$E1038="","",DONNEES!U1038)</f>
        <v/>
      </c>
      <c r="U1038" t="str">
        <f>IF(DONNEES!$E1038="","",DONNEES!V1038)</f>
        <v/>
      </c>
      <c r="V1038" t="str">
        <f>IF(DONNEES!$E1038="","",DONNEES!W1038)</f>
        <v/>
      </c>
      <c r="W1038" t="str">
        <f>IF(DONNEES!$E1038="","",DONNEES!X1038)</f>
        <v/>
      </c>
      <c r="X1038" t="str">
        <f>IF(DONNEES!$E1038="","",DONNEES!Y1038)</f>
        <v/>
      </c>
      <c r="Y1038" t="str">
        <f>IF(DONNEES!$E1038="","",DONNEES!Z1038)</f>
        <v/>
      </c>
      <c r="Z1038" t="str">
        <f>IF(DONNEES!$E1038="","",DONNEES!AQ1038)</f>
        <v/>
      </c>
    </row>
    <row r="1039" spans="1:26" ht="15" customHeight="1" x14ac:dyDescent="0.3">
      <c r="A1039" t="str">
        <f>IF(DONNEES!$E1039="","",DONNEES!A1039)</f>
        <v/>
      </c>
      <c r="B1039" t="str">
        <f>IF(DONNEES!$E1039="","",DONNEES!B1039)</f>
        <v/>
      </c>
      <c r="C1039" t="str">
        <f>IF(DONNEES!$E1039="","",DONNEES!C1039)</f>
        <v/>
      </c>
      <c r="D1039" t="str">
        <f>IF(DONNEES!$E1039="","",DONNEES!E1039)</f>
        <v/>
      </c>
      <c r="E1039" t="str">
        <f>IF(DONNEES!$E1039="","",DONNEES!F1039)</f>
        <v/>
      </c>
      <c r="F1039" t="str">
        <f>IF(DONNEES!$E1039="","",DONNEES!G1039)</f>
        <v/>
      </c>
      <c r="G1039" t="str">
        <f>IF(DONNEES!$E1039="","",DONNEES!H1039)</f>
        <v/>
      </c>
      <c r="H1039" t="str">
        <f>IF(DONNEES!$E1039="","",DONNEES!I1039)</f>
        <v/>
      </c>
      <c r="I1039" t="str">
        <f>IF(DONNEES!$E1039="","",DONNEES!J1039)</f>
        <v/>
      </c>
      <c r="J1039" t="str">
        <f>IF(DONNEES!$E1039="","",DONNEES!K1039)</f>
        <v/>
      </c>
      <c r="K1039" t="str">
        <f>IF(DONNEES!$E1039="","",DONNEES!L1039)</f>
        <v/>
      </c>
      <c r="L1039" t="str">
        <f>IF(DONNEES!$E1039="","",DONNEES!M1039)</f>
        <v/>
      </c>
      <c r="M1039" t="str">
        <f>IF(DONNEES!$E1039="","",DONNEES!N1039)</f>
        <v/>
      </c>
      <c r="N1039" t="str">
        <f>IF(DONNEES!$E1039="","",DONNEES!O1039)</f>
        <v/>
      </c>
      <c r="O1039" t="str">
        <f>IF(DONNEES!$E1039="","",DONNEES!P1039)</f>
        <v/>
      </c>
      <c r="P1039" t="str">
        <f>IF(DONNEES!$E1039="","",DONNEES!Q1039)</f>
        <v/>
      </c>
      <c r="Q1039" t="str">
        <f>IF(DONNEES!$E1039="","",DONNEES!R1039)</f>
        <v/>
      </c>
      <c r="R1039" t="str">
        <f>IF(DONNEES!$E1039="","",DONNEES!S1039)</f>
        <v/>
      </c>
      <c r="S1039" t="str">
        <f>IF(DONNEES!$E1039="","",DONNEES!T1039)</f>
        <v/>
      </c>
      <c r="T1039" t="str">
        <f>IF(DONNEES!$E1039="","",DONNEES!U1039)</f>
        <v/>
      </c>
      <c r="U1039" t="str">
        <f>IF(DONNEES!$E1039="","",DONNEES!V1039)</f>
        <v/>
      </c>
      <c r="V1039" t="str">
        <f>IF(DONNEES!$E1039="","",DONNEES!W1039)</f>
        <v/>
      </c>
      <c r="W1039" t="str">
        <f>IF(DONNEES!$E1039="","",DONNEES!X1039)</f>
        <v/>
      </c>
      <c r="X1039" t="str">
        <f>IF(DONNEES!$E1039="","",DONNEES!Y1039)</f>
        <v/>
      </c>
      <c r="Y1039" t="str">
        <f>IF(DONNEES!$E1039="","",DONNEES!Z1039)</f>
        <v/>
      </c>
      <c r="Z1039" t="str">
        <f>IF(DONNEES!$E1039="","",DONNEES!AQ1039)</f>
        <v/>
      </c>
    </row>
    <row r="1040" spans="1:26" ht="15" customHeight="1" x14ac:dyDescent="0.3">
      <c r="A1040" t="str">
        <f>IF(DONNEES!$E1040="","",DONNEES!A1040)</f>
        <v/>
      </c>
      <c r="B1040" t="str">
        <f>IF(DONNEES!$E1040="","",DONNEES!B1040)</f>
        <v/>
      </c>
      <c r="C1040" t="str">
        <f>IF(DONNEES!$E1040="","",DONNEES!C1040)</f>
        <v/>
      </c>
      <c r="D1040" t="str">
        <f>IF(DONNEES!$E1040="","",DONNEES!E1040)</f>
        <v/>
      </c>
      <c r="E1040" t="str">
        <f>IF(DONNEES!$E1040="","",DONNEES!F1040)</f>
        <v/>
      </c>
      <c r="F1040" t="str">
        <f>IF(DONNEES!$E1040="","",DONNEES!G1040)</f>
        <v/>
      </c>
      <c r="G1040" t="str">
        <f>IF(DONNEES!$E1040="","",DONNEES!H1040)</f>
        <v/>
      </c>
      <c r="H1040" t="str">
        <f>IF(DONNEES!$E1040="","",DONNEES!I1040)</f>
        <v/>
      </c>
      <c r="I1040" t="str">
        <f>IF(DONNEES!$E1040="","",DONNEES!J1040)</f>
        <v/>
      </c>
      <c r="J1040" t="str">
        <f>IF(DONNEES!$E1040="","",DONNEES!K1040)</f>
        <v/>
      </c>
      <c r="K1040" t="str">
        <f>IF(DONNEES!$E1040="","",DONNEES!L1040)</f>
        <v/>
      </c>
      <c r="L1040" t="str">
        <f>IF(DONNEES!$E1040="","",DONNEES!M1040)</f>
        <v/>
      </c>
      <c r="M1040" t="str">
        <f>IF(DONNEES!$E1040="","",DONNEES!N1040)</f>
        <v/>
      </c>
      <c r="N1040" t="str">
        <f>IF(DONNEES!$E1040="","",DONNEES!O1040)</f>
        <v/>
      </c>
      <c r="O1040" t="str">
        <f>IF(DONNEES!$E1040="","",DONNEES!P1040)</f>
        <v/>
      </c>
      <c r="P1040" t="str">
        <f>IF(DONNEES!$E1040="","",DONNEES!Q1040)</f>
        <v/>
      </c>
      <c r="Q1040" t="str">
        <f>IF(DONNEES!$E1040="","",DONNEES!R1040)</f>
        <v/>
      </c>
      <c r="R1040" t="str">
        <f>IF(DONNEES!$E1040="","",DONNEES!S1040)</f>
        <v/>
      </c>
      <c r="S1040" t="str">
        <f>IF(DONNEES!$E1040="","",DONNEES!T1040)</f>
        <v/>
      </c>
      <c r="T1040" t="str">
        <f>IF(DONNEES!$E1040="","",DONNEES!U1040)</f>
        <v/>
      </c>
      <c r="U1040" t="str">
        <f>IF(DONNEES!$E1040="","",DONNEES!V1040)</f>
        <v/>
      </c>
      <c r="V1040" t="str">
        <f>IF(DONNEES!$E1040="","",DONNEES!W1040)</f>
        <v/>
      </c>
      <c r="W1040" t="str">
        <f>IF(DONNEES!$E1040="","",DONNEES!X1040)</f>
        <v/>
      </c>
      <c r="X1040" t="str">
        <f>IF(DONNEES!$E1040="","",DONNEES!Y1040)</f>
        <v/>
      </c>
      <c r="Y1040" t="str">
        <f>IF(DONNEES!$E1040="","",DONNEES!Z1040)</f>
        <v/>
      </c>
      <c r="Z1040" t="str">
        <f>IF(DONNEES!$E1040="","",DONNEES!AQ1040)</f>
        <v/>
      </c>
    </row>
    <row r="1041" spans="1:26" ht="15" customHeight="1" x14ac:dyDescent="0.3">
      <c r="A1041" t="str">
        <f>IF(DONNEES!$E1041="","",DONNEES!A1041)</f>
        <v/>
      </c>
      <c r="B1041" t="str">
        <f>IF(DONNEES!$E1041="","",DONNEES!B1041)</f>
        <v/>
      </c>
      <c r="C1041" t="str">
        <f>IF(DONNEES!$E1041="","",DONNEES!C1041)</f>
        <v/>
      </c>
      <c r="D1041" t="str">
        <f>IF(DONNEES!$E1041="","",DONNEES!E1041)</f>
        <v/>
      </c>
      <c r="E1041" t="str">
        <f>IF(DONNEES!$E1041="","",DONNEES!F1041)</f>
        <v/>
      </c>
      <c r="F1041" t="str">
        <f>IF(DONNEES!$E1041="","",DONNEES!G1041)</f>
        <v/>
      </c>
      <c r="G1041" t="str">
        <f>IF(DONNEES!$E1041="","",DONNEES!H1041)</f>
        <v/>
      </c>
      <c r="H1041" t="str">
        <f>IF(DONNEES!$E1041="","",DONNEES!I1041)</f>
        <v/>
      </c>
      <c r="I1041" t="str">
        <f>IF(DONNEES!$E1041="","",DONNEES!J1041)</f>
        <v/>
      </c>
      <c r="J1041" t="str">
        <f>IF(DONNEES!$E1041="","",DONNEES!K1041)</f>
        <v/>
      </c>
      <c r="K1041" t="str">
        <f>IF(DONNEES!$E1041="","",DONNEES!L1041)</f>
        <v/>
      </c>
      <c r="L1041" t="str">
        <f>IF(DONNEES!$E1041="","",DONNEES!M1041)</f>
        <v/>
      </c>
      <c r="M1041" t="str">
        <f>IF(DONNEES!$E1041="","",DONNEES!N1041)</f>
        <v/>
      </c>
      <c r="N1041" t="str">
        <f>IF(DONNEES!$E1041="","",DONNEES!O1041)</f>
        <v/>
      </c>
      <c r="O1041" t="str">
        <f>IF(DONNEES!$E1041="","",DONNEES!P1041)</f>
        <v/>
      </c>
      <c r="P1041" t="str">
        <f>IF(DONNEES!$E1041="","",DONNEES!Q1041)</f>
        <v/>
      </c>
      <c r="Q1041" t="str">
        <f>IF(DONNEES!$E1041="","",DONNEES!R1041)</f>
        <v/>
      </c>
      <c r="R1041" t="str">
        <f>IF(DONNEES!$E1041="","",DONNEES!S1041)</f>
        <v/>
      </c>
      <c r="S1041" t="str">
        <f>IF(DONNEES!$E1041="","",DONNEES!T1041)</f>
        <v/>
      </c>
      <c r="T1041" t="str">
        <f>IF(DONNEES!$E1041="","",DONNEES!U1041)</f>
        <v/>
      </c>
      <c r="U1041" t="str">
        <f>IF(DONNEES!$E1041="","",DONNEES!V1041)</f>
        <v/>
      </c>
      <c r="V1041" t="str">
        <f>IF(DONNEES!$E1041="","",DONNEES!W1041)</f>
        <v/>
      </c>
      <c r="W1041" t="str">
        <f>IF(DONNEES!$E1041="","",DONNEES!X1041)</f>
        <v/>
      </c>
      <c r="X1041" t="str">
        <f>IF(DONNEES!$E1041="","",DONNEES!Y1041)</f>
        <v/>
      </c>
      <c r="Y1041" t="str">
        <f>IF(DONNEES!$E1041="","",DONNEES!Z1041)</f>
        <v/>
      </c>
      <c r="Z1041" t="str">
        <f>IF(DONNEES!$E1041="","",DONNEES!AQ1041)</f>
        <v/>
      </c>
    </row>
    <row r="1042" spans="1:26" ht="15" customHeight="1" x14ac:dyDescent="0.3">
      <c r="A1042" t="str">
        <f>IF(DONNEES!$E1042="","",DONNEES!A1042)</f>
        <v/>
      </c>
      <c r="B1042" t="str">
        <f>IF(DONNEES!$E1042="","",DONNEES!B1042)</f>
        <v/>
      </c>
      <c r="C1042" t="str">
        <f>IF(DONNEES!$E1042="","",DONNEES!C1042)</f>
        <v/>
      </c>
      <c r="D1042" t="str">
        <f>IF(DONNEES!$E1042="","",DONNEES!E1042)</f>
        <v/>
      </c>
      <c r="E1042" t="str">
        <f>IF(DONNEES!$E1042="","",DONNEES!F1042)</f>
        <v/>
      </c>
      <c r="F1042" t="str">
        <f>IF(DONNEES!$E1042="","",DONNEES!G1042)</f>
        <v/>
      </c>
      <c r="G1042" t="str">
        <f>IF(DONNEES!$E1042="","",DONNEES!H1042)</f>
        <v/>
      </c>
      <c r="H1042" t="str">
        <f>IF(DONNEES!$E1042="","",DONNEES!I1042)</f>
        <v/>
      </c>
      <c r="I1042" t="str">
        <f>IF(DONNEES!$E1042="","",DONNEES!J1042)</f>
        <v/>
      </c>
      <c r="J1042" t="str">
        <f>IF(DONNEES!$E1042="","",DONNEES!K1042)</f>
        <v/>
      </c>
      <c r="K1042" t="str">
        <f>IF(DONNEES!$E1042="","",DONNEES!L1042)</f>
        <v/>
      </c>
      <c r="L1042" t="str">
        <f>IF(DONNEES!$E1042="","",DONNEES!M1042)</f>
        <v/>
      </c>
      <c r="M1042" t="str">
        <f>IF(DONNEES!$E1042="","",DONNEES!N1042)</f>
        <v/>
      </c>
      <c r="N1042" t="str">
        <f>IF(DONNEES!$E1042="","",DONNEES!O1042)</f>
        <v/>
      </c>
      <c r="O1042" t="str">
        <f>IF(DONNEES!$E1042="","",DONNEES!P1042)</f>
        <v/>
      </c>
      <c r="P1042" t="str">
        <f>IF(DONNEES!$E1042="","",DONNEES!Q1042)</f>
        <v/>
      </c>
      <c r="Q1042" t="str">
        <f>IF(DONNEES!$E1042="","",DONNEES!R1042)</f>
        <v/>
      </c>
      <c r="R1042" t="str">
        <f>IF(DONNEES!$E1042="","",DONNEES!S1042)</f>
        <v/>
      </c>
      <c r="S1042" t="str">
        <f>IF(DONNEES!$E1042="","",DONNEES!T1042)</f>
        <v/>
      </c>
      <c r="T1042" t="str">
        <f>IF(DONNEES!$E1042="","",DONNEES!U1042)</f>
        <v/>
      </c>
      <c r="U1042" t="str">
        <f>IF(DONNEES!$E1042="","",DONNEES!V1042)</f>
        <v/>
      </c>
      <c r="V1042" t="str">
        <f>IF(DONNEES!$E1042="","",DONNEES!W1042)</f>
        <v/>
      </c>
      <c r="W1042" t="str">
        <f>IF(DONNEES!$E1042="","",DONNEES!X1042)</f>
        <v/>
      </c>
      <c r="X1042" t="str">
        <f>IF(DONNEES!$E1042="","",DONNEES!Y1042)</f>
        <v/>
      </c>
      <c r="Y1042" t="str">
        <f>IF(DONNEES!$E1042="","",DONNEES!Z1042)</f>
        <v/>
      </c>
      <c r="Z1042" t="str">
        <f>IF(DONNEES!$E1042="","",DONNEES!AQ1042)</f>
        <v/>
      </c>
    </row>
    <row r="1043" spans="1:26" ht="15" customHeight="1" x14ac:dyDescent="0.3">
      <c r="A1043" t="str">
        <f>IF(DONNEES!$E1043="","",DONNEES!A1043)</f>
        <v/>
      </c>
      <c r="B1043" t="str">
        <f>IF(DONNEES!$E1043="","",DONNEES!B1043)</f>
        <v/>
      </c>
      <c r="C1043" t="str">
        <f>IF(DONNEES!$E1043="","",DONNEES!C1043)</f>
        <v/>
      </c>
      <c r="D1043" t="str">
        <f>IF(DONNEES!$E1043="","",DONNEES!E1043)</f>
        <v/>
      </c>
      <c r="E1043" t="str">
        <f>IF(DONNEES!$E1043="","",DONNEES!F1043)</f>
        <v/>
      </c>
      <c r="F1043" t="str">
        <f>IF(DONNEES!$E1043="","",DONNEES!G1043)</f>
        <v/>
      </c>
      <c r="G1043" t="str">
        <f>IF(DONNEES!$E1043="","",DONNEES!H1043)</f>
        <v/>
      </c>
      <c r="H1043" t="str">
        <f>IF(DONNEES!$E1043="","",DONNEES!I1043)</f>
        <v/>
      </c>
      <c r="I1043" t="str">
        <f>IF(DONNEES!$E1043="","",DONNEES!J1043)</f>
        <v/>
      </c>
      <c r="J1043" t="str">
        <f>IF(DONNEES!$E1043="","",DONNEES!K1043)</f>
        <v/>
      </c>
      <c r="K1043" t="str">
        <f>IF(DONNEES!$E1043="","",DONNEES!L1043)</f>
        <v/>
      </c>
      <c r="L1043" t="str">
        <f>IF(DONNEES!$E1043="","",DONNEES!M1043)</f>
        <v/>
      </c>
      <c r="M1043" t="str">
        <f>IF(DONNEES!$E1043="","",DONNEES!N1043)</f>
        <v/>
      </c>
      <c r="N1043" t="str">
        <f>IF(DONNEES!$E1043="","",DONNEES!O1043)</f>
        <v/>
      </c>
      <c r="O1043" t="str">
        <f>IF(DONNEES!$E1043="","",DONNEES!P1043)</f>
        <v/>
      </c>
      <c r="P1043" t="str">
        <f>IF(DONNEES!$E1043="","",DONNEES!Q1043)</f>
        <v/>
      </c>
      <c r="Q1043" t="str">
        <f>IF(DONNEES!$E1043="","",DONNEES!R1043)</f>
        <v/>
      </c>
      <c r="R1043" t="str">
        <f>IF(DONNEES!$E1043="","",DONNEES!S1043)</f>
        <v/>
      </c>
      <c r="S1043" t="str">
        <f>IF(DONNEES!$E1043="","",DONNEES!T1043)</f>
        <v/>
      </c>
      <c r="T1043" t="str">
        <f>IF(DONNEES!$E1043="","",DONNEES!U1043)</f>
        <v/>
      </c>
      <c r="U1043" t="str">
        <f>IF(DONNEES!$E1043="","",DONNEES!V1043)</f>
        <v/>
      </c>
      <c r="V1043" t="str">
        <f>IF(DONNEES!$E1043="","",DONNEES!W1043)</f>
        <v/>
      </c>
      <c r="W1043" t="str">
        <f>IF(DONNEES!$E1043="","",DONNEES!X1043)</f>
        <v/>
      </c>
      <c r="X1043" t="str">
        <f>IF(DONNEES!$E1043="","",DONNEES!Y1043)</f>
        <v/>
      </c>
      <c r="Y1043" t="str">
        <f>IF(DONNEES!$E1043="","",DONNEES!Z1043)</f>
        <v/>
      </c>
      <c r="Z1043" t="str">
        <f>IF(DONNEES!$E1043="","",DONNEES!AQ1043)</f>
        <v/>
      </c>
    </row>
    <row r="1044" spans="1:26" ht="15" customHeight="1" x14ac:dyDescent="0.3">
      <c r="A1044" t="str">
        <f>IF(DONNEES!$E1044="","",DONNEES!A1044)</f>
        <v/>
      </c>
      <c r="B1044" t="str">
        <f>IF(DONNEES!$E1044="","",DONNEES!B1044)</f>
        <v/>
      </c>
      <c r="C1044" t="str">
        <f>IF(DONNEES!$E1044="","",DONNEES!C1044)</f>
        <v/>
      </c>
      <c r="D1044" t="str">
        <f>IF(DONNEES!$E1044="","",DONNEES!E1044)</f>
        <v/>
      </c>
      <c r="E1044" t="str">
        <f>IF(DONNEES!$E1044="","",DONNEES!F1044)</f>
        <v/>
      </c>
      <c r="F1044" t="str">
        <f>IF(DONNEES!$E1044="","",DONNEES!G1044)</f>
        <v/>
      </c>
      <c r="G1044" t="str">
        <f>IF(DONNEES!$E1044="","",DONNEES!H1044)</f>
        <v/>
      </c>
      <c r="H1044" t="str">
        <f>IF(DONNEES!$E1044="","",DONNEES!I1044)</f>
        <v/>
      </c>
      <c r="I1044" t="str">
        <f>IF(DONNEES!$E1044="","",DONNEES!J1044)</f>
        <v/>
      </c>
      <c r="J1044" t="str">
        <f>IF(DONNEES!$E1044="","",DONNEES!K1044)</f>
        <v/>
      </c>
      <c r="K1044" t="str">
        <f>IF(DONNEES!$E1044="","",DONNEES!L1044)</f>
        <v/>
      </c>
      <c r="L1044" t="str">
        <f>IF(DONNEES!$E1044="","",DONNEES!M1044)</f>
        <v/>
      </c>
      <c r="M1044" t="str">
        <f>IF(DONNEES!$E1044="","",DONNEES!N1044)</f>
        <v/>
      </c>
      <c r="N1044" t="str">
        <f>IF(DONNEES!$E1044="","",DONNEES!O1044)</f>
        <v/>
      </c>
      <c r="O1044" t="str">
        <f>IF(DONNEES!$E1044="","",DONNEES!P1044)</f>
        <v/>
      </c>
      <c r="P1044" t="str">
        <f>IF(DONNEES!$E1044="","",DONNEES!Q1044)</f>
        <v/>
      </c>
      <c r="Q1044" t="str">
        <f>IF(DONNEES!$E1044="","",DONNEES!R1044)</f>
        <v/>
      </c>
      <c r="R1044" t="str">
        <f>IF(DONNEES!$E1044="","",DONNEES!S1044)</f>
        <v/>
      </c>
      <c r="S1044" t="str">
        <f>IF(DONNEES!$E1044="","",DONNEES!T1044)</f>
        <v/>
      </c>
      <c r="T1044" t="str">
        <f>IF(DONNEES!$E1044="","",DONNEES!U1044)</f>
        <v/>
      </c>
      <c r="U1044" t="str">
        <f>IF(DONNEES!$E1044="","",DONNEES!V1044)</f>
        <v/>
      </c>
      <c r="V1044" t="str">
        <f>IF(DONNEES!$E1044="","",DONNEES!W1044)</f>
        <v/>
      </c>
      <c r="W1044" t="str">
        <f>IF(DONNEES!$E1044="","",DONNEES!X1044)</f>
        <v/>
      </c>
      <c r="X1044" t="str">
        <f>IF(DONNEES!$E1044="","",DONNEES!Y1044)</f>
        <v/>
      </c>
      <c r="Y1044" t="str">
        <f>IF(DONNEES!$E1044="","",DONNEES!Z1044)</f>
        <v/>
      </c>
      <c r="Z1044" t="str">
        <f>IF(DONNEES!$E1044="","",DONNEES!AQ1044)</f>
        <v/>
      </c>
    </row>
    <row r="1045" spans="1:26" ht="15" customHeight="1" x14ac:dyDescent="0.3">
      <c r="A1045" t="str">
        <f>IF(DONNEES!$E1045="","",DONNEES!A1045)</f>
        <v/>
      </c>
      <c r="B1045" t="str">
        <f>IF(DONNEES!$E1045="","",DONNEES!B1045)</f>
        <v/>
      </c>
      <c r="C1045" t="str">
        <f>IF(DONNEES!$E1045="","",DONNEES!C1045)</f>
        <v/>
      </c>
      <c r="D1045" t="str">
        <f>IF(DONNEES!$E1045="","",DONNEES!E1045)</f>
        <v/>
      </c>
      <c r="E1045" t="str">
        <f>IF(DONNEES!$E1045="","",DONNEES!F1045)</f>
        <v/>
      </c>
      <c r="F1045" t="str">
        <f>IF(DONNEES!$E1045="","",DONNEES!G1045)</f>
        <v/>
      </c>
      <c r="G1045" t="str">
        <f>IF(DONNEES!$E1045="","",DONNEES!H1045)</f>
        <v/>
      </c>
      <c r="H1045" t="str">
        <f>IF(DONNEES!$E1045="","",DONNEES!I1045)</f>
        <v/>
      </c>
      <c r="I1045" t="str">
        <f>IF(DONNEES!$E1045="","",DONNEES!J1045)</f>
        <v/>
      </c>
      <c r="J1045" t="str">
        <f>IF(DONNEES!$E1045="","",DONNEES!K1045)</f>
        <v/>
      </c>
      <c r="K1045" t="str">
        <f>IF(DONNEES!$E1045="","",DONNEES!L1045)</f>
        <v/>
      </c>
      <c r="L1045" t="str">
        <f>IF(DONNEES!$E1045="","",DONNEES!M1045)</f>
        <v/>
      </c>
      <c r="M1045" t="str">
        <f>IF(DONNEES!$E1045="","",DONNEES!N1045)</f>
        <v/>
      </c>
      <c r="N1045" t="str">
        <f>IF(DONNEES!$E1045="","",DONNEES!O1045)</f>
        <v/>
      </c>
      <c r="O1045" t="str">
        <f>IF(DONNEES!$E1045="","",DONNEES!P1045)</f>
        <v/>
      </c>
      <c r="P1045" t="str">
        <f>IF(DONNEES!$E1045="","",DONNEES!Q1045)</f>
        <v/>
      </c>
      <c r="Q1045" t="str">
        <f>IF(DONNEES!$E1045="","",DONNEES!R1045)</f>
        <v/>
      </c>
      <c r="R1045" t="str">
        <f>IF(DONNEES!$E1045="","",DONNEES!S1045)</f>
        <v/>
      </c>
      <c r="S1045" t="str">
        <f>IF(DONNEES!$E1045="","",DONNEES!T1045)</f>
        <v/>
      </c>
      <c r="T1045" t="str">
        <f>IF(DONNEES!$E1045="","",DONNEES!U1045)</f>
        <v/>
      </c>
      <c r="U1045" t="str">
        <f>IF(DONNEES!$E1045="","",DONNEES!V1045)</f>
        <v/>
      </c>
      <c r="V1045" t="str">
        <f>IF(DONNEES!$E1045="","",DONNEES!W1045)</f>
        <v/>
      </c>
      <c r="W1045" t="str">
        <f>IF(DONNEES!$E1045="","",DONNEES!X1045)</f>
        <v/>
      </c>
      <c r="X1045" t="str">
        <f>IF(DONNEES!$E1045="","",DONNEES!Y1045)</f>
        <v/>
      </c>
      <c r="Y1045" t="str">
        <f>IF(DONNEES!$E1045="","",DONNEES!Z1045)</f>
        <v/>
      </c>
      <c r="Z1045" t="str">
        <f>IF(DONNEES!$E1045="","",DONNEES!AQ1045)</f>
        <v/>
      </c>
    </row>
    <row r="1046" spans="1:26" ht="15" customHeight="1" x14ac:dyDescent="0.3">
      <c r="A1046" t="str">
        <f>IF(DONNEES!$E1046="","",DONNEES!A1046)</f>
        <v/>
      </c>
      <c r="B1046" t="str">
        <f>IF(DONNEES!$E1046="","",DONNEES!B1046)</f>
        <v/>
      </c>
      <c r="C1046" t="str">
        <f>IF(DONNEES!$E1046="","",DONNEES!C1046)</f>
        <v/>
      </c>
      <c r="D1046" t="str">
        <f>IF(DONNEES!$E1046="","",DONNEES!E1046)</f>
        <v/>
      </c>
      <c r="E1046" t="str">
        <f>IF(DONNEES!$E1046="","",DONNEES!F1046)</f>
        <v/>
      </c>
      <c r="F1046" t="str">
        <f>IF(DONNEES!$E1046="","",DONNEES!G1046)</f>
        <v/>
      </c>
      <c r="G1046" t="str">
        <f>IF(DONNEES!$E1046="","",DONNEES!H1046)</f>
        <v/>
      </c>
      <c r="H1046" t="str">
        <f>IF(DONNEES!$E1046="","",DONNEES!I1046)</f>
        <v/>
      </c>
      <c r="I1046" t="str">
        <f>IF(DONNEES!$E1046="","",DONNEES!J1046)</f>
        <v/>
      </c>
      <c r="J1046" t="str">
        <f>IF(DONNEES!$E1046="","",DONNEES!K1046)</f>
        <v/>
      </c>
      <c r="K1046" t="str">
        <f>IF(DONNEES!$E1046="","",DONNEES!L1046)</f>
        <v/>
      </c>
      <c r="L1046" t="str">
        <f>IF(DONNEES!$E1046="","",DONNEES!M1046)</f>
        <v/>
      </c>
      <c r="M1046" t="str">
        <f>IF(DONNEES!$E1046="","",DONNEES!N1046)</f>
        <v/>
      </c>
      <c r="N1046" t="str">
        <f>IF(DONNEES!$E1046="","",DONNEES!O1046)</f>
        <v/>
      </c>
      <c r="O1046" t="str">
        <f>IF(DONNEES!$E1046="","",DONNEES!P1046)</f>
        <v/>
      </c>
      <c r="P1046" t="str">
        <f>IF(DONNEES!$E1046="","",DONNEES!Q1046)</f>
        <v/>
      </c>
      <c r="Q1046" t="str">
        <f>IF(DONNEES!$E1046="","",DONNEES!R1046)</f>
        <v/>
      </c>
      <c r="R1046" t="str">
        <f>IF(DONNEES!$E1046="","",DONNEES!S1046)</f>
        <v/>
      </c>
      <c r="S1046" t="str">
        <f>IF(DONNEES!$E1046="","",DONNEES!T1046)</f>
        <v/>
      </c>
      <c r="T1046" t="str">
        <f>IF(DONNEES!$E1046="","",DONNEES!U1046)</f>
        <v/>
      </c>
      <c r="U1046" t="str">
        <f>IF(DONNEES!$E1046="","",DONNEES!V1046)</f>
        <v/>
      </c>
      <c r="V1046" t="str">
        <f>IF(DONNEES!$E1046="","",DONNEES!W1046)</f>
        <v/>
      </c>
      <c r="W1046" t="str">
        <f>IF(DONNEES!$E1046="","",DONNEES!X1046)</f>
        <v/>
      </c>
      <c r="X1046" t="str">
        <f>IF(DONNEES!$E1046="","",DONNEES!Y1046)</f>
        <v/>
      </c>
      <c r="Y1046" t="str">
        <f>IF(DONNEES!$E1046="","",DONNEES!Z1046)</f>
        <v/>
      </c>
      <c r="Z1046" t="str">
        <f>IF(DONNEES!$E1046="","",DONNEES!AQ1046)</f>
        <v/>
      </c>
    </row>
    <row r="1047" spans="1:26" ht="15" customHeight="1" x14ac:dyDescent="0.3">
      <c r="A1047" t="str">
        <f>IF(DONNEES!$E1047="","",DONNEES!A1047)</f>
        <v/>
      </c>
      <c r="B1047" t="str">
        <f>IF(DONNEES!$E1047="","",DONNEES!B1047)</f>
        <v/>
      </c>
      <c r="C1047" t="str">
        <f>IF(DONNEES!$E1047="","",DONNEES!C1047)</f>
        <v/>
      </c>
      <c r="D1047" t="str">
        <f>IF(DONNEES!$E1047="","",DONNEES!E1047)</f>
        <v/>
      </c>
      <c r="E1047" t="str">
        <f>IF(DONNEES!$E1047="","",DONNEES!F1047)</f>
        <v/>
      </c>
      <c r="F1047" t="str">
        <f>IF(DONNEES!$E1047="","",DONNEES!G1047)</f>
        <v/>
      </c>
      <c r="G1047" t="str">
        <f>IF(DONNEES!$E1047="","",DONNEES!H1047)</f>
        <v/>
      </c>
      <c r="H1047" t="str">
        <f>IF(DONNEES!$E1047="","",DONNEES!I1047)</f>
        <v/>
      </c>
      <c r="I1047" t="str">
        <f>IF(DONNEES!$E1047="","",DONNEES!J1047)</f>
        <v/>
      </c>
      <c r="J1047" t="str">
        <f>IF(DONNEES!$E1047="","",DONNEES!K1047)</f>
        <v/>
      </c>
      <c r="K1047" t="str">
        <f>IF(DONNEES!$E1047="","",DONNEES!L1047)</f>
        <v/>
      </c>
      <c r="L1047" t="str">
        <f>IF(DONNEES!$E1047="","",DONNEES!M1047)</f>
        <v/>
      </c>
      <c r="M1047" t="str">
        <f>IF(DONNEES!$E1047="","",DONNEES!N1047)</f>
        <v/>
      </c>
      <c r="N1047" t="str">
        <f>IF(DONNEES!$E1047="","",DONNEES!O1047)</f>
        <v/>
      </c>
      <c r="O1047" t="str">
        <f>IF(DONNEES!$E1047="","",DONNEES!P1047)</f>
        <v/>
      </c>
      <c r="P1047" t="str">
        <f>IF(DONNEES!$E1047="","",DONNEES!Q1047)</f>
        <v/>
      </c>
      <c r="Q1047" t="str">
        <f>IF(DONNEES!$E1047="","",DONNEES!R1047)</f>
        <v/>
      </c>
      <c r="R1047" t="str">
        <f>IF(DONNEES!$E1047="","",DONNEES!S1047)</f>
        <v/>
      </c>
      <c r="S1047" t="str">
        <f>IF(DONNEES!$E1047="","",DONNEES!T1047)</f>
        <v/>
      </c>
      <c r="T1047" t="str">
        <f>IF(DONNEES!$E1047="","",DONNEES!U1047)</f>
        <v/>
      </c>
      <c r="U1047" t="str">
        <f>IF(DONNEES!$E1047="","",DONNEES!V1047)</f>
        <v/>
      </c>
      <c r="V1047" t="str">
        <f>IF(DONNEES!$E1047="","",DONNEES!W1047)</f>
        <v/>
      </c>
      <c r="W1047" t="str">
        <f>IF(DONNEES!$E1047="","",DONNEES!X1047)</f>
        <v/>
      </c>
      <c r="X1047" t="str">
        <f>IF(DONNEES!$E1047="","",DONNEES!Y1047)</f>
        <v/>
      </c>
      <c r="Y1047" t="str">
        <f>IF(DONNEES!$E1047="","",DONNEES!Z1047)</f>
        <v/>
      </c>
      <c r="Z1047" t="str">
        <f>IF(DONNEES!$E1047="","",DONNEES!AQ1047)</f>
        <v/>
      </c>
    </row>
    <row r="1048" spans="1:26" ht="15" customHeight="1" x14ac:dyDescent="0.3">
      <c r="A1048" t="str">
        <f>IF(DONNEES!$E1048="","",DONNEES!A1048)</f>
        <v/>
      </c>
      <c r="B1048" t="str">
        <f>IF(DONNEES!$E1048="","",DONNEES!B1048)</f>
        <v/>
      </c>
      <c r="C1048" t="str">
        <f>IF(DONNEES!$E1048="","",DONNEES!C1048)</f>
        <v/>
      </c>
      <c r="D1048" t="str">
        <f>IF(DONNEES!$E1048="","",DONNEES!E1048)</f>
        <v/>
      </c>
      <c r="E1048" t="str">
        <f>IF(DONNEES!$E1048="","",DONNEES!F1048)</f>
        <v/>
      </c>
      <c r="F1048" t="str">
        <f>IF(DONNEES!$E1048="","",DONNEES!G1048)</f>
        <v/>
      </c>
      <c r="G1048" t="str">
        <f>IF(DONNEES!$E1048="","",DONNEES!H1048)</f>
        <v/>
      </c>
      <c r="H1048" t="str">
        <f>IF(DONNEES!$E1048="","",DONNEES!I1048)</f>
        <v/>
      </c>
      <c r="I1048" t="str">
        <f>IF(DONNEES!$E1048="","",DONNEES!J1048)</f>
        <v/>
      </c>
      <c r="J1048" t="str">
        <f>IF(DONNEES!$E1048="","",DONNEES!K1048)</f>
        <v/>
      </c>
      <c r="K1048" t="str">
        <f>IF(DONNEES!$E1048="","",DONNEES!L1048)</f>
        <v/>
      </c>
      <c r="L1048" t="str">
        <f>IF(DONNEES!$E1048="","",DONNEES!M1048)</f>
        <v/>
      </c>
      <c r="M1048" t="str">
        <f>IF(DONNEES!$E1048="","",DONNEES!N1048)</f>
        <v/>
      </c>
      <c r="N1048" t="str">
        <f>IF(DONNEES!$E1048="","",DONNEES!O1048)</f>
        <v/>
      </c>
      <c r="O1048" t="str">
        <f>IF(DONNEES!$E1048="","",DONNEES!P1048)</f>
        <v/>
      </c>
      <c r="P1048" t="str">
        <f>IF(DONNEES!$E1048="","",DONNEES!Q1048)</f>
        <v/>
      </c>
      <c r="Q1048" t="str">
        <f>IF(DONNEES!$E1048="","",DONNEES!R1048)</f>
        <v/>
      </c>
      <c r="R1048" t="str">
        <f>IF(DONNEES!$E1048="","",DONNEES!S1048)</f>
        <v/>
      </c>
      <c r="S1048" t="str">
        <f>IF(DONNEES!$E1048="","",DONNEES!T1048)</f>
        <v/>
      </c>
      <c r="T1048" t="str">
        <f>IF(DONNEES!$E1048="","",DONNEES!U1048)</f>
        <v/>
      </c>
      <c r="U1048" t="str">
        <f>IF(DONNEES!$E1048="","",DONNEES!V1048)</f>
        <v/>
      </c>
      <c r="V1048" t="str">
        <f>IF(DONNEES!$E1048="","",DONNEES!W1048)</f>
        <v/>
      </c>
      <c r="W1048" t="str">
        <f>IF(DONNEES!$E1048="","",DONNEES!X1048)</f>
        <v/>
      </c>
      <c r="X1048" t="str">
        <f>IF(DONNEES!$E1048="","",DONNEES!Y1048)</f>
        <v/>
      </c>
      <c r="Y1048" t="str">
        <f>IF(DONNEES!$E1048="","",DONNEES!Z1048)</f>
        <v/>
      </c>
      <c r="Z1048" t="str">
        <f>IF(DONNEES!$E1048="","",DONNEES!AQ1048)</f>
        <v/>
      </c>
    </row>
    <row r="1049" spans="1:26" ht="15" customHeight="1" x14ac:dyDescent="0.3">
      <c r="A1049" t="str">
        <f>IF(DONNEES!$E1049="","",DONNEES!A1049)</f>
        <v/>
      </c>
      <c r="B1049" t="str">
        <f>IF(DONNEES!$E1049="","",DONNEES!B1049)</f>
        <v/>
      </c>
      <c r="C1049" t="str">
        <f>IF(DONNEES!$E1049="","",DONNEES!C1049)</f>
        <v/>
      </c>
      <c r="D1049" t="str">
        <f>IF(DONNEES!$E1049="","",DONNEES!E1049)</f>
        <v/>
      </c>
      <c r="E1049" t="str">
        <f>IF(DONNEES!$E1049="","",DONNEES!F1049)</f>
        <v/>
      </c>
      <c r="F1049" t="str">
        <f>IF(DONNEES!$E1049="","",DONNEES!G1049)</f>
        <v/>
      </c>
      <c r="G1049" t="str">
        <f>IF(DONNEES!$E1049="","",DONNEES!H1049)</f>
        <v/>
      </c>
      <c r="H1049" t="str">
        <f>IF(DONNEES!$E1049="","",DONNEES!I1049)</f>
        <v/>
      </c>
      <c r="I1049" t="str">
        <f>IF(DONNEES!$E1049="","",DONNEES!J1049)</f>
        <v/>
      </c>
      <c r="J1049" t="str">
        <f>IF(DONNEES!$E1049="","",DONNEES!K1049)</f>
        <v/>
      </c>
      <c r="K1049" t="str">
        <f>IF(DONNEES!$E1049="","",DONNEES!L1049)</f>
        <v/>
      </c>
      <c r="L1049" t="str">
        <f>IF(DONNEES!$E1049="","",DONNEES!M1049)</f>
        <v/>
      </c>
      <c r="M1049" t="str">
        <f>IF(DONNEES!$E1049="","",DONNEES!N1049)</f>
        <v/>
      </c>
      <c r="N1049" t="str">
        <f>IF(DONNEES!$E1049="","",DONNEES!O1049)</f>
        <v/>
      </c>
      <c r="O1049" t="str">
        <f>IF(DONNEES!$E1049="","",DONNEES!P1049)</f>
        <v/>
      </c>
      <c r="P1049" t="str">
        <f>IF(DONNEES!$E1049="","",DONNEES!Q1049)</f>
        <v/>
      </c>
      <c r="Q1049" t="str">
        <f>IF(DONNEES!$E1049="","",DONNEES!R1049)</f>
        <v/>
      </c>
      <c r="R1049" t="str">
        <f>IF(DONNEES!$E1049="","",DONNEES!S1049)</f>
        <v/>
      </c>
      <c r="S1049" t="str">
        <f>IF(DONNEES!$E1049="","",DONNEES!T1049)</f>
        <v/>
      </c>
      <c r="T1049" t="str">
        <f>IF(DONNEES!$E1049="","",DONNEES!U1049)</f>
        <v/>
      </c>
      <c r="U1049" t="str">
        <f>IF(DONNEES!$E1049="","",DONNEES!V1049)</f>
        <v/>
      </c>
      <c r="V1049" t="str">
        <f>IF(DONNEES!$E1049="","",DONNEES!W1049)</f>
        <v/>
      </c>
      <c r="W1049" t="str">
        <f>IF(DONNEES!$E1049="","",DONNEES!X1049)</f>
        <v/>
      </c>
      <c r="X1049" t="str">
        <f>IF(DONNEES!$E1049="","",DONNEES!Y1049)</f>
        <v/>
      </c>
      <c r="Y1049" t="str">
        <f>IF(DONNEES!$E1049="","",DONNEES!Z1049)</f>
        <v/>
      </c>
      <c r="Z1049" t="str">
        <f>IF(DONNEES!$E1049="","",DONNEES!AQ1049)</f>
        <v/>
      </c>
    </row>
    <row r="1050" spans="1:26" ht="15" customHeight="1" x14ac:dyDescent="0.3">
      <c r="A1050" t="str">
        <f>IF(DONNEES!$E1050="","",DONNEES!A1050)</f>
        <v/>
      </c>
      <c r="B1050" t="str">
        <f>IF(DONNEES!$E1050="","",DONNEES!B1050)</f>
        <v/>
      </c>
      <c r="C1050" t="str">
        <f>IF(DONNEES!$E1050="","",DONNEES!C1050)</f>
        <v/>
      </c>
      <c r="D1050" t="str">
        <f>IF(DONNEES!$E1050="","",DONNEES!E1050)</f>
        <v/>
      </c>
      <c r="E1050" t="str">
        <f>IF(DONNEES!$E1050="","",DONNEES!F1050)</f>
        <v/>
      </c>
      <c r="F1050" t="str">
        <f>IF(DONNEES!$E1050="","",DONNEES!G1050)</f>
        <v/>
      </c>
      <c r="G1050" t="str">
        <f>IF(DONNEES!$E1050="","",DONNEES!H1050)</f>
        <v/>
      </c>
      <c r="H1050" t="str">
        <f>IF(DONNEES!$E1050="","",DONNEES!I1050)</f>
        <v/>
      </c>
      <c r="I1050" t="str">
        <f>IF(DONNEES!$E1050="","",DONNEES!J1050)</f>
        <v/>
      </c>
      <c r="J1050" t="str">
        <f>IF(DONNEES!$E1050="","",DONNEES!K1050)</f>
        <v/>
      </c>
      <c r="K1050" t="str">
        <f>IF(DONNEES!$E1050="","",DONNEES!L1050)</f>
        <v/>
      </c>
      <c r="L1050" t="str">
        <f>IF(DONNEES!$E1050="","",DONNEES!M1050)</f>
        <v/>
      </c>
      <c r="M1050" t="str">
        <f>IF(DONNEES!$E1050="","",DONNEES!N1050)</f>
        <v/>
      </c>
      <c r="N1050" t="str">
        <f>IF(DONNEES!$E1050="","",DONNEES!O1050)</f>
        <v/>
      </c>
      <c r="O1050" t="str">
        <f>IF(DONNEES!$E1050="","",DONNEES!P1050)</f>
        <v/>
      </c>
      <c r="P1050" t="str">
        <f>IF(DONNEES!$E1050="","",DONNEES!Q1050)</f>
        <v/>
      </c>
      <c r="Q1050" t="str">
        <f>IF(DONNEES!$E1050="","",DONNEES!R1050)</f>
        <v/>
      </c>
      <c r="R1050" t="str">
        <f>IF(DONNEES!$E1050="","",DONNEES!S1050)</f>
        <v/>
      </c>
      <c r="S1050" t="str">
        <f>IF(DONNEES!$E1050="","",DONNEES!T1050)</f>
        <v/>
      </c>
      <c r="T1050" t="str">
        <f>IF(DONNEES!$E1050="","",DONNEES!U1050)</f>
        <v/>
      </c>
      <c r="U1050" t="str">
        <f>IF(DONNEES!$E1050="","",DONNEES!V1050)</f>
        <v/>
      </c>
      <c r="V1050" t="str">
        <f>IF(DONNEES!$E1050="","",DONNEES!W1050)</f>
        <v/>
      </c>
      <c r="W1050" t="str">
        <f>IF(DONNEES!$E1050="","",DONNEES!X1050)</f>
        <v/>
      </c>
      <c r="X1050" t="str">
        <f>IF(DONNEES!$E1050="","",DONNEES!Y1050)</f>
        <v/>
      </c>
      <c r="Y1050" t="str">
        <f>IF(DONNEES!$E1050="","",DONNEES!Z1050)</f>
        <v/>
      </c>
      <c r="Z1050" t="str">
        <f>IF(DONNEES!$E1050="","",DONNEES!AQ1050)</f>
        <v/>
      </c>
    </row>
    <row r="1051" spans="1:26" ht="15" customHeight="1" x14ac:dyDescent="0.3">
      <c r="A1051" t="str">
        <f>IF(DONNEES!$E1051="","",DONNEES!A1051)</f>
        <v/>
      </c>
      <c r="B1051" t="str">
        <f>IF(DONNEES!$E1051="","",DONNEES!B1051)</f>
        <v/>
      </c>
      <c r="C1051" t="str">
        <f>IF(DONNEES!$E1051="","",DONNEES!C1051)</f>
        <v/>
      </c>
      <c r="D1051" t="str">
        <f>IF(DONNEES!$E1051="","",DONNEES!E1051)</f>
        <v/>
      </c>
      <c r="E1051" t="str">
        <f>IF(DONNEES!$E1051="","",DONNEES!F1051)</f>
        <v/>
      </c>
      <c r="F1051" t="str">
        <f>IF(DONNEES!$E1051="","",DONNEES!G1051)</f>
        <v/>
      </c>
      <c r="G1051" t="str">
        <f>IF(DONNEES!$E1051="","",DONNEES!H1051)</f>
        <v/>
      </c>
      <c r="H1051" t="str">
        <f>IF(DONNEES!$E1051="","",DONNEES!I1051)</f>
        <v/>
      </c>
      <c r="I1051" t="str">
        <f>IF(DONNEES!$E1051="","",DONNEES!J1051)</f>
        <v/>
      </c>
      <c r="J1051" t="str">
        <f>IF(DONNEES!$E1051="","",DONNEES!K1051)</f>
        <v/>
      </c>
      <c r="K1051" t="str">
        <f>IF(DONNEES!$E1051="","",DONNEES!L1051)</f>
        <v/>
      </c>
      <c r="L1051" t="str">
        <f>IF(DONNEES!$E1051="","",DONNEES!M1051)</f>
        <v/>
      </c>
      <c r="M1051" t="str">
        <f>IF(DONNEES!$E1051="","",DONNEES!N1051)</f>
        <v/>
      </c>
      <c r="N1051" t="str">
        <f>IF(DONNEES!$E1051="","",DONNEES!O1051)</f>
        <v/>
      </c>
      <c r="O1051" t="str">
        <f>IF(DONNEES!$E1051="","",DONNEES!P1051)</f>
        <v/>
      </c>
      <c r="P1051" t="str">
        <f>IF(DONNEES!$E1051="","",DONNEES!Q1051)</f>
        <v/>
      </c>
      <c r="Q1051" t="str">
        <f>IF(DONNEES!$E1051="","",DONNEES!R1051)</f>
        <v/>
      </c>
      <c r="R1051" t="str">
        <f>IF(DONNEES!$E1051="","",DONNEES!S1051)</f>
        <v/>
      </c>
      <c r="S1051" t="str">
        <f>IF(DONNEES!$E1051="","",DONNEES!T1051)</f>
        <v/>
      </c>
      <c r="T1051" t="str">
        <f>IF(DONNEES!$E1051="","",DONNEES!U1051)</f>
        <v/>
      </c>
      <c r="U1051" t="str">
        <f>IF(DONNEES!$E1051="","",DONNEES!V1051)</f>
        <v/>
      </c>
      <c r="V1051" t="str">
        <f>IF(DONNEES!$E1051="","",DONNEES!W1051)</f>
        <v/>
      </c>
      <c r="W1051" t="str">
        <f>IF(DONNEES!$E1051="","",DONNEES!X1051)</f>
        <v/>
      </c>
      <c r="X1051" t="str">
        <f>IF(DONNEES!$E1051="","",DONNEES!Y1051)</f>
        <v/>
      </c>
      <c r="Y1051" t="str">
        <f>IF(DONNEES!$E1051="","",DONNEES!Z1051)</f>
        <v/>
      </c>
      <c r="Z1051" t="str">
        <f>IF(DONNEES!$E1051="","",DONNEES!AQ1051)</f>
        <v/>
      </c>
    </row>
    <row r="1052" spans="1:26" ht="15" customHeight="1" x14ac:dyDescent="0.3">
      <c r="A1052" t="str">
        <f>IF(DONNEES!$E1052="","",DONNEES!A1052)</f>
        <v/>
      </c>
      <c r="B1052" t="str">
        <f>IF(DONNEES!$E1052="","",DONNEES!B1052)</f>
        <v/>
      </c>
      <c r="C1052" t="str">
        <f>IF(DONNEES!$E1052="","",DONNEES!C1052)</f>
        <v/>
      </c>
      <c r="D1052" t="str">
        <f>IF(DONNEES!$E1052="","",DONNEES!E1052)</f>
        <v/>
      </c>
      <c r="E1052" t="str">
        <f>IF(DONNEES!$E1052="","",DONNEES!F1052)</f>
        <v/>
      </c>
      <c r="F1052" t="str">
        <f>IF(DONNEES!$E1052="","",DONNEES!G1052)</f>
        <v/>
      </c>
      <c r="G1052" t="str">
        <f>IF(DONNEES!$E1052="","",DONNEES!H1052)</f>
        <v/>
      </c>
      <c r="H1052" t="str">
        <f>IF(DONNEES!$E1052="","",DONNEES!I1052)</f>
        <v/>
      </c>
      <c r="I1052" t="str">
        <f>IF(DONNEES!$E1052="","",DONNEES!J1052)</f>
        <v/>
      </c>
      <c r="J1052" t="str">
        <f>IF(DONNEES!$E1052="","",DONNEES!K1052)</f>
        <v/>
      </c>
      <c r="K1052" t="str">
        <f>IF(DONNEES!$E1052="","",DONNEES!L1052)</f>
        <v/>
      </c>
      <c r="L1052" t="str">
        <f>IF(DONNEES!$E1052="","",DONNEES!M1052)</f>
        <v/>
      </c>
      <c r="M1052" t="str">
        <f>IF(DONNEES!$E1052="","",DONNEES!N1052)</f>
        <v/>
      </c>
      <c r="N1052" t="str">
        <f>IF(DONNEES!$E1052="","",DONNEES!O1052)</f>
        <v/>
      </c>
      <c r="O1052" t="str">
        <f>IF(DONNEES!$E1052="","",DONNEES!P1052)</f>
        <v/>
      </c>
      <c r="P1052" t="str">
        <f>IF(DONNEES!$E1052="","",DONNEES!Q1052)</f>
        <v/>
      </c>
      <c r="Q1052" t="str">
        <f>IF(DONNEES!$E1052="","",DONNEES!R1052)</f>
        <v/>
      </c>
      <c r="R1052" t="str">
        <f>IF(DONNEES!$E1052="","",DONNEES!S1052)</f>
        <v/>
      </c>
      <c r="S1052" t="str">
        <f>IF(DONNEES!$E1052="","",DONNEES!T1052)</f>
        <v/>
      </c>
      <c r="T1052" t="str">
        <f>IF(DONNEES!$E1052="","",DONNEES!U1052)</f>
        <v/>
      </c>
      <c r="U1052" t="str">
        <f>IF(DONNEES!$E1052="","",DONNEES!V1052)</f>
        <v/>
      </c>
      <c r="V1052" t="str">
        <f>IF(DONNEES!$E1052="","",DONNEES!W1052)</f>
        <v/>
      </c>
      <c r="W1052" t="str">
        <f>IF(DONNEES!$E1052="","",DONNEES!X1052)</f>
        <v/>
      </c>
      <c r="X1052" t="str">
        <f>IF(DONNEES!$E1052="","",DONNEES!Y1052)</f>
        <v/>
      </c>
      <c r="Y1052" t="str">
        <f>IF(DONNEES!$E1052="","",DONNEES!Z1052)</f>
        <v/>
      </c>
      <c r="Z1052" t="str">
        <f>IF(DONNEES!$E1052="","",DONNEES!AQ1052)</f>
        <v/>
      </c>
    </row>
    <row r="1053" spans="1:26" ht="15" customHeight="1" x14ac:dyDescent="0.3">
      <c r="A1053" t="str">
        <f>IF(DONNEES!$E1053="","",DONNEES!A1053)</f>
        <v/>
      </c>
      <c r="B1053" t="str">
        <f>IF(DONNEES!$E1053="","",DONNEES!B1053)</f>
        <v/>
      </c>
      <c r="C1053" t="str">
        <f>IF(DONNEES!$E1053="","",DONNEES!C1053)</f>
        <v/>
      </c>
      <c r="D1053" t="str">
        <f>IF(DONNEES!$E1053="","",DONNEES!E1053)</f>
        <v/>
      </c>
      <c r="E1053" t="str">
        <f>IF(DONNEES!$E1053="","",DONNEES!F1053)</f>
        <v/>
      </c>
      <c r="F1053" t="str">
        <f>IF(DONNEES!$E1053="","",DONNEES!G1053)</f>
        <v/>
      </c>
      <c r="G1053" t="str">
        <f>IF(DONNEES!$E1053="","",DONNEES!H1053)</f>
        <v/>
      </c>
      <c r="H1053" t="str">
        <f>IF(DONNEES!$E1053="","",DONNEES!I1053)</f>
        <v/>
      </c>
      <c r="I1053" t="str">
        <f>IF(DONNEES!$E1053="","",DONNEES!J1053)</f>
        <v/>
      </c>
      <c r="J1053" t="str">
        <f>IF(DONNEES!$E1053="","",DONNEES!K1053)</f>
        <v/>
      </c>
      <c r="K1053" t="str">
        <f>IF(DONNEES!$E1053="","",DONNEES!L1053)</f>
        <v/>
      </c>
      <c r="L1053" t="str">
        <f>IF(DONNEES!$E1053="","",DONNEES!M1053)</f>
        <v/>
      </c>
      <c r="M1053" t="str">
        <f>IF(DONNEES!$E1053="","",DONNEES!N1053)</f>
        <v/>
      </c>
      <c r="N1053" t="str">
        <f>IF(DONNEES!$E1053="","",DONNEES!O1053)</f>
        <v/>
      </c>
      <c r="O1053" t="str">
        <f>IF(DONNEES!$E1053="","",DONNEES!P1053)</f>
        <v/>
      </c>
      <c r="P1053" t="str">
        <f>IF(DONNEES!$E1053="","",DONNEES!Q1053)</f>
        <v/>
      </c>
      <c r="Q1053" t="str">
        <f>IF(DONNEES!$E1053="","",DONNEES!R1053)</f>
        <v/>
      </c>
      <c r="R1053" t="str">
        <f>IF(DONNEES!$E1053="","",DONNEES!S1053)</f>
        <v/>
      </c>
      <c r="S1053" t="str">
        <f>IF(DONNEES!$E1053="","",DONNEES!T1053)</f>
        <v/>
      </c>
      <c r="T1053" t="str">
        <f>IF(DONNEES!$E1053="","",DONNEES!U1053)</f>
        <v/>
      </c>
      <c r="U1053" t="str">
        <f>IF(DONNEES!$E1053="","",DONNEES!V1053)</f>
        <v/>
      </c>
      <c r="V1053" t="str">
        <f>IF(DONNEES!$E1053="","",DONNEES!W1053)</f>
        <v/>
      </c>
      <c r="W1053" t="str">
        <f>IF(DONNEES!$E1053="","",DONNEES!X1053)</f>
        <v/>
      </c>
      <c r="X1053" t="str">
        <f>IF(DONNEES!$E1053="","",DONNEES!Y1053)</f>
        <v/>
      </c>
      <c r="Y1053" t="str">
        <f>IF(DONNEES!$E1053="","",DONNEES!Z1053)</f>
        <v/>
      </c>
      <c r="Z1053" t="str">
        <f>IF(DONNEES!$E1053="","",DONNEES!AQ1053)</f>
        <v/>
      </c>
    </row>
    <row r="1054" spans="1:26" ht="15" customHeight="1" x14ac:dyDescent="0.3">
      <c r="A1054" t="str">
        <f>IF(DONNEES!$E1054="","",DONNEES!A1054)</f>
        <v/>
      </c>
      <c r="B1054" t="str">
        <f>IF(DONNEES!$E1054="","",DONNEES!B1054)</f>
        <v/>
      </c>
      <c r="C1054" t="str">
        <f>IF(DONNEES!$E1054="","",DONNEES!C1054)</f>
        <v/>
      </c>
      <c r="D1054" t="str">
        <f>IF(DONNEES!$E1054="","",DONNEES!E1054)</f>
        <v/>
      </c>
      <c r="E1054" t="str">
        <f>IF(DONNEES!$E1054="","",DONNEES!F1054)</f>
        <v/>
      </c>
      <c r="F1054" t="str">
        <f>IF(DONNEES!$E1054="","",DONNEES!G1054)</f>
        <v/>
      </c>
      <c r="G1054" t="str">
        <f>IF(DONNEES!$E1054="","",DONNEES!H1054)</f>
        <v/>
      </c>
      <c r="H1054" t="str">
        <f>IF(DONNEES!$E1054="","",DONNEES!I1054)</f>
        <v/>
      </c>
      <c r="I1054" t="str">
        <f>IF(DONNEES!$E1054="","",DONNEES!J1054)</f>
        <v/>
      </c>
      <c r="J1054" t="str">
        <f>IF(DONNEES!$E1054="","",DONNEES!K1054)</f>
        <v/>
      </c>
      <c r="K1054" t="str">
        <f>IF(DONNEES!$E1054="","",DONNEES!L1054)</f>
        <v/>
      </c>
      <c r="L1054" t="str">
        <f>IF(DONNEES!$E1054="","",DONNEES!M1054)</f>
        <v/>
      </c>
      <c r="M1054" t="str">
        <f>IF(DONNEES!$E1054="","",DONNEES!N1054)</f>
        <v/>
      </c>
      <c r="N1054" t="str">
        <f>IF(DONNEES!$E1054="","",DONNEES!O1054)</f>
        <v/>
      </c>
      <c r="O1054" t="str">
        <f>IF(DONNEES!$E1054="","",DONNEES!P1054)</f>
        <v/>
      </c>
      <c r="P1054" t="str">
        <f>IF(DONNEES!$E1054="","",DONNEES!Q1054)</f>
        <v/>
      </c>
      <c r="Q1054" t="str">
        <f>IF(DONNEES!$E1054="","",DONNEES!R1054)</f>
        <v/>
      </c>
      <c r="R1054" t="str">
        <f>IF(DONNEES!$E1054="","",DONNEES!S1054)</f>
        <v/>
      </c>
      <c r="S1054" t="str">
        <f>IF(DONNEES!$E1054="","",DONNEES!T1054)</f>
        <v/>
      </c>
      <c r="T1054" t="str">
        <f>IF(DONNEES!$E1054="","",DONNEES!U1054)</f>
        <v/>
      </c>
      <c r="U1054" t="str">
        <f>IF(DONNEES!$E1054="","",DONNEES!V1054)</f>
        <v/>
      </c>
      <c r="V1054" t="str">
        <f>IF(DONNEES!$E1054="","",DONNEES!W1054)</f>
        <v/>
      </c>
      <c r="W1054" t="str">
        <f>IF(DONNEES!$E1054="","",DONNEES!X1054)</f>
        <v/>
      </c>
      <c r="X1054" t="str">
        <f>IF(DONNEES!$E1054="","",DONNEES!Y1054)</f>
        <v/>
      </c>
      <c r="Y1054" t="str">
        <f>IF(DONNEES!$E1054="","",DONNEES!Z1054)</f>
        <v/>
      </c>
      <c r="Z1054" t="str">
        <f>IF(DONNEES!$E1054="","",DONNEES!AQ1054)</f>
        <v/>
      </c>
    </row>
    <row r="1055" spans="1:26" ht="15" customHeight="1" x14ac:dyDescent="0.3">
      <c r="A1055" t="str">
        <f>IF(DONNEES!$E1055="","",DONNEES!A1055)</f>
        <v/>
      </c>
      <c r="B1055" t="str">
        <f>IF(DONNEES!$E1055="","",DONNEES!B1055)</f>
        <v/>
      </c>
      <c r="C1055" t="str">
        <f>IF(DONNEES!$E1055="","",DONNEES!C1055)</f>
        <v/>
      </c>
      <c r="D1055" t="str">
        <f>IF(DONNEES!$E1055="","",DONNEES!E1055)</f>
        <v/>
      </c>
      <c r="E1055" t="str">
        <f>IF(DONNEES!$E1055="","",DONNEES!F1055)</f>
        <v/>
      </c>
      <c r="F1055" t="str">
        <f>IF(DONNEES!$E1055="","",DONNEES!G1055)</f>
        <v/>
      </c>
      <c r="G1055" t="str">
        <f>IF(DONNEES!$E1055="","",DONNEES!H1055)</f>
        <v/>
      </c>
      <c r="H1055" t="str">
        <f>IF(DONNEES!$E1055="","",DONNEES!I1055)</f>
        <v/>
      </c>
      <c r="I1055" t="str">
        <f>IF(DONNEES!$E1055="","",DONNEES!J1055)</f>
        <v/>
      </c>
      <c r="J1055" t="str">
        <f>IF(DONNEES!$E1055="","",DONNEES!K1055)</f>
        <v/>
      </c>
      <c r="K1055" t="str">
        <f>IF(DONNEES!$E1055="","",DONNEES!L1055)</f>
        <v/>
      </c>
      <c r="L1055" t="str">
        <f>IF(DONNEES!$E1055="","",DONNEES!M1055)</f>
        <v/>
      </c>
      <c r="M1055" t="str">
        <f>IF(DONNEES!$E1055="","",DONNEES!N1055)</f>
        <v/>
      </c>
      <c r="N1055" t="str">
        <f>IF(DONNEES!$E1055="","",DONNEES!O1055)</f>
        <v/>
      </c>
      <c r="O1055" t="str">
        <f>IF(DONNEES!$E1055="","",DONNEES!P1055)</f>
        <v/>
      </c>
      <c r="P1055" t="str">
        <f>IF(DONNEES!$E1055="","",DONNEES!Q1055)</f>
        <v/>
      </c>
      <c r="Q1055" t="str">
        <f>IF(DONNEES!$E1055="","",DONNEES!R1055)</f>
        <v/>
      </c>
      <c r="R1055" t="str">
        <f>IF(DONNEES!$E1055="","",DONNEES!S1055)</f>
        <v/>
      </c>
      <c r="S1055" t="str">
        <f>IF(DONNEES!$E1055="","",DONNEES!T1055)</f>
        <v/>
      </c>
      <c r="T1055" t="str">
        <f>IF(DONNEES!$E1055="","",DONNEES!U1055)</f>
        <v/>
      </c>
      <c r="U1055" t="str">
        <f>IF(DONNEES!$E1055="","",DONNEES!V1055)</f>
        <v/>
      </c>
      <c r="V1055" t="str">
        <f>IF(DONNEES!$E1055="","",DONNEES!W1055)</f>
        <v/>
      </c>
      <c r="W1055" t="str">
        <f>IF(DONNEES!$E1055="","",DONNEES!X1055)</f>
        <v/>
      </c>
      <c r="X1055" t="str">
        <f>IF(DONNEES!$E1055="","",DONNEES!Y1055)</f>
        <v/>
      </c>
      <c r="Y1055" t="str">
        <f>IF(DONNEES!$E1055="","",DONNEES!Z1055)</f>
        <v/>
      </c>
      <c r="Z1055" t="str">
        <f>IF(DONNEES!$E1055="","",DONNEES!AQ1055)</f>
        <v/>
      </c>
    </row>
    <row r="1056" spans="1:26" ht="15" customHeight="1" x14ac:dyDescent="0.3">
      <c r="A1056" t="str">
        <f>IF(DONNEES!$E1056="","",DONNEES!A1056)</f>
        <v/>
      </c>
      <c r="B1056" t="str">
        <f>IF(DONNEES!$E1056="","",DONNEES!B1056)</f>
        <v/>
      </c>
      <c r="C1056" t="str">
        <f>IF(DONNEES!$E1056="","",DONNEES!C1056)</f>
        <v/>
      </c>
      <c r="D1056" t="str">
        <f>IF(DONNEES!$E1056="","",DONNEES!E1056)</f>
        <v/>
      </c>
      <c r="E1056" t="str">
        <f>IF(DONNEES!$E1056="","",DONNEES!F1056)</f>
        <v/>
      </c>
      <c r="F1056" t="str">
        <f>IF(DONNEES!$E1056="","",DONNEES!G1056)</f>
        <v/>
      </c>
      <c r="G1056" t="str">
        <f>IF(DONNEES!$E1056="","",DONNEES!H1056)</f>
        <v/>
      </c>
      <c r="H1056" t="str">
        <f>IF(DONNEES!$E1056="","",DONNEES!I1056)</f>
        <v/>
      </c>
      <c r="I1056" t="str">
        <f>IF(DONNEES!$E1056="","",DONNEES!J1056)</f>
        <v/>
      </c>
      <c r="J1056" t="str">
        <f>IF(DONNEES!$E1056="","",DONNEES!K1056)</f>
        <v/>
      </c>
      <c r="K1056" t="str">
        <f>IF(DONNEES!$E1056="","",DONNEES!L1056)</f>
        <v/>
      </c>
      <c r="L1056" t="str">
        <f>IF(DONNEES!$E1056="","",DONNEES!M1056)</f>
        <v/>
      </c>
      <c r="M1056" t="str">
        <f>IF(DONNEES!$E1056="","",DONNEES!N1056)</f>
        <v/>
      </c>
      <c r="N1056" t="str">
        <f>IF(DONNEES!$E1056="","",DONNEES!O1056)</f>
        <v/>
      </c>
      <c r="O1056" t="str">
        <f>IF(DONNEES!$E1056="","",DONNEES!P1056)</f>
        <v/>
      </c>
      <c r="P1056" t="str">
        <f>IF(DONNEES!$E1056="","",DONNEES!Q1056)</f>
        <v/>
      </c>
      <c r="Q1056" t="str">
        <f>IF(DONNEES!$E1056="","",DONNEES!R1056)</f>
        <v/>
      </c>
      <c r="R1056" t="str">
        <f>IF(DONNEES!$E1056="","",DONNEES!S1056)</f>
        <v/>
      </c>
      <c r="S1056" t="str">
        <f>IF(DONNEES!$E1056="","",DONNEES!T1056)</f>
        <v/>
      </c>
      <c r="T1056" t="str">
        <f>IF(DONNEES!$E1056="","",DONNEES!U1056)</f>
        <v/>
      </c>
      <c r="U1056" t="str">
        <f>IF(DONNEES!$E1056="","",DONNEES!V1056)</f>
        <v/>
      </c>
      <c r="V1056" t="str">
        <f>IF(DONNEES!$E1056="","",DONNEES!W1056)</f>
        <v/>
      </c>
      <c r="W1056" t="str">
        <f>IF(DONNEES!$E1056="","",DONNEES!X1056)</f>
        <v/>
      </c>
      <c r="X1056" t="str">
        <f>IF(DONNEES!$E1056="","",DONNEES!Y1056)</f>
        <v/>
      </c>
      <c r="Y1056" t="str">
        <f>IF(DONNEES!$E1056="","",DONNEES!Z1056)</f>
        <v/>
      </c>
      <c r="Z1056" t="str">
        <f>IF(DONNEES!$E1056="","",DONNEES!AQ1056)</f>
        <v/>
      </c>
    </row>
    <row r="1057" spans="1:26" ht="15" customHeight="1" x14ac:dyDescent="0.3">
      <c r="A1057" t="str">
        <f>IF(DONNEES!$E1057="","",DONNEES!A1057)</f>
        <v/>
      </c>
      <c r="B1057" t="str">
        <f>IF(DONNEES!$E1057="","",DONNEES!B1057)</f>
        <v/>
      </c>
      <c r="C1057" t="str">
        <f>IF(DONNEES!$E1057="","",DONNEES!C1057)</f>
        <v/>
      </c>
      <c r="D1057" t="str">
        <f>IF(DONNEES!$E1057="","",DONNEES!E1057)</f>
        <v/>
      </c>
      <c r="E1057" t="str">
        <f>IF(DONNEES!$E1057="","",DONNEES!F1057)</f>
        <v/>
      </c>
      <c r="F1057" t="str">
        <f>IF(DONNEES!$E1057="","",DONNEES!G1057)</f>
        <v/>
      </c>
      <c r="G1057" t="str">
        <f>IF(DONNEES!$E1057="","",DONNEES!H1057)</f>
        <v/>
      </c>
      <c r="H1057" t="str">
        <f>IF(DONNEES!$E1057="","",DONNEES!I1057)</f>
        <v/>
      </c>
      <c r="I1057" t="str">
        <f>IF(DONNEES!$E1057="","",DONNEES!J1057)</f>
        <v/>
      </c>
      <c r="J1057" t="str">
        <f>IF(DONNEES!$E1057="","",DONNEES!K1057)</f>
        <v/>
      </c>
      <c r="K1057" t="str">
        <f>IF(DONNEES!$E1057="","",DONNEES!L1057)</f>
        <v/>
      </c>
      <c r="L1057" t="str">
        <f>IF(DONNEES!$E1057="","",DONNEES!M1057)</f>
        <v/>
      </c>
      <c r="M1057" t="str">
        <f>IF(DONNEES!$E1057="","",DONNEES!N1057)</f>
        <v/>
      </c>
      <c r="N1057" t="str">
        <f>IF(DONNEES!$E1057="","",DONNEES!O1057)</f>
        <v/>
      </c>
      <c r="O1057" t="str">
        <f>IF(DONNEES!$E1057="","",DONNEES!P1057)</f>
        <v/>
      </c>
      <c r="P1057" t="str">
        <f>IF(DONNEES!$E1057="","",DONNEES!Q1057)</f>
        <v/>
      </c>
      <c r="Q1057" t="str">
        <f>IF(DONNEES!$E1057="","",DONNEES!R1057)</f>
        <v/>
      </c>
      <c r="R1057" t="str">
        <f>IF(DONNEES!$E1057="","",DONNEES!S1057)</f>
        <v/>
      </c>
      <c r="S1057" t="str">
        <f>IF(DONNEES!$E1057="","",DONNEES!T1057)</f>
        <v/>
      </c>
      <c r="T1057" t="str">
        <f>IF(DONNEES!$E1057="","",DONNEES!U1057)</f>
        <v/>
      </c>
      <c r="U1057" t="str">
        <f>IF(DONNEES!$E1057="","",DONNEES!V1057)</f>
        <v/>
      </c>
      <c r="V1057" t="str">
        <f>IF(DONNEES!$E1057="","",DONNEES!W1057)</f>
        <v/>
      </c>
      <c r="W1057" t="str">
        <f>IF(DONNEES!$E1057="","",DONNEES!X1057)</f>
        <v/>
      </c>
      <c r="X1057" t="str">
        <f>IF(DONNEES!$E1057="","",DONNEES!Y1057)</f>
        <v/>
      </c>
      <c r="Y1057" t="str">
        <f>IF(DONNEES!$E1057="","",DONNEES!Z1057)</f>
        <v/>
      </c>
      <c r="Z1057" t="str">
        <f>IF(DONNEES!$E1057="","",DONNEES!AQ1057)</f>
        <v/>
      </c>
    </row>
    <row r="1058" spans="1:26" ht="15" customHeight="1" x14ac:dyDescent="0.3">
      <c r="A1058" t="str">
        <f>IF(DONNEES!$E1058="","",DONNEES!A1058)</f>
        <v/>
      </c>
      <c r="B1058" t="str">
        <f>IF(DONNEES!$E1058="","",DONNEES!B1058)</f>
        <v/>
      </c>
      <c r="C1058" t="str">
        <f>IF(DONNEES!$E1058="","",DONNEES!C1058)</f>
        <v/>
      </c>
      <c r="D1058" t="str">
        <f>IF(DONNEES!$E1058="","",DONNEES!E1058)</f>
        <v/>
      </c>
      <c r="E1058" t="str">
        <f>IF(DONNEES!$E1058="","",DONNEES!F1058)</f>
        <v/>
      </c>
      <c r="F1058" t="str">
        <f>IF(DONNEES!$E1058="","",DONNEES!G1058)</f>
        <v/>
      </c>
      <c r="G1058" t="str">
        <f>IF(DONNEES!$E1058="","",DONNEES!H1058)</f>
        <v/>
      </c>
      <c r="H1058" t="str">
        <f>IF(DONNEES!$E1058="","",DONNEES!I1058)</f>
        <v/>
      </c>
      <c r="I1058" t="str">
        <f>IF(DONNEES!$E1058="","",DONNEES!J1058)</f>
        <v/>
      </c>
      <c r="J1058" t="str">
        <f>IF(DONNEES!$E1058="","",DONNEES!K1058)</f>
        <v/>
      </c>
      <c r="K1058" t="str">
        <f>IF(DONNEES!$E1058="","",DONNEES!L1058)</f>
        <v/>
      </c>
      <c r="L1058" t="str">
        <f>IF(DONNEES!$E1058="","",DONNEES!M1058)</f>
        <v/>
      </c>
      <c r="M1058" t="str">
        <f>IF(DONNEES!$E1058="","",DONNEES!N1058)</f>
        <v/>
      </c>
      <c r="N1058" t="str">
        <f>IF(DONNEES!$E1058="","",DONNEES!O1058)</f>
        <v/>
      </c>
      <c r="O1058" t="str">
        <f>IF(DONNEES!$E1058="","",DONNEES!P1058)</f>
        <v/>
      </c>
      <c r="P1058" t="str">
        <f>IF(DONNEES!$E1058="","",DONNEES!Q1058)</f>
        <v/>
      </c>
      <c r="Q1058" t="str">
        <f>IF(DONNEES!$E1058="","",DONNEES!R1058)</f>
        <v/>
      </c>
      <c r="R1058" t="str">
        <f>IF(DONNEES!$E1058="","",DONNEES!S1058)</f>
        <v/>
      </c>
      <c r="S1058" t="str">
        <f>IF(DONNEES!$E1058="","",DONNEES!T1058)</f>
        <v/>
      </c>
      <c r="T1058" t="str">
        <f>IF(DONNEES!$E1058="","",DONNEES!U1058)</f>
        <v/>
      </c>
      <c r="U1058" t="str">
        <f>IF(DONNEES!$E1058="","",DONNEES!V1058)</f>
        <v/>
      </c>
      <c r="V1058" t="str">
        <f>IF(DONNEES!$E1058="","",DONNEES!W1058)</f>
        <v/>
      </c>
      <c r="W1058" t="str">
        <f>IF(DONNEES!$E1058="","",DONNEES!X1058)</f>
        <v/>
      </c>
      <c r="X1058" t="str">
        <f>IF(DONNEES!$E1058="","",DONNEES!Y1058)</f>
        <v/>
      </c>
      <c r="Y1058" t="str">
        <f>IF(DONNEES!$E1058="","",DONNEES!Z1058)</f>
        <v/>
      </c>
      <c r="Z1058" t="str">
        <f>IF(DONNEES!$E1058="","",DONNEES!AQ1058)</f>
        <v/>
      </c>
    </row>
    <row r="1059" spans="1:26" ht="15" customHeight="1" x14ac:dyDescent="0.3">
      <c r="A1059" t="str">
        <f>IF(DONNEES!$E1059="","",DONNEES!A1059)</f>
        <v/>
      </c>
      <c r="B1059" t="str">
        <f>IF(DONNEES!$E1059="","",DONNEES!B1059)</f>
        <v/>
      </c>
      <c r="C1059" t="str">
        <f>IF(DONNEES!$E1059="","",DONNEES!C1059)</f>
        <v/>
      </c>
      <c r="D1059" t="str">
        <f>IF(DONNEES!$E1059="","",DONNEES!E1059)</f>
        <v/>
      </c>
      <c r="E1059" t="str">
        <f>IF(DONNEES!$E1059="","",DONNEES!F1059)</f>
        <v/>
      </c>
      <c r="F1059" t="str">
        <f>IF(DONNEES!$E1059="","",DONNEES!G1059)</f>
        <v/>
      </c>
      <c r="G1059" t="str">
        <f>IF(DONNEES!$E1059="","",DONNEES!H1059)</f>
        <v/>
      </c>
      <c r="H1059" t="str">
        <f>IF(DONNEES!$E1059="","",DONNEES!I1059)</f>
        <v/>
      </c>
      <c r="I1059" t="str">
        <f>IF(DONNEES!$E1059="","",DONNEES!J1059)</f>
        <v/>
      </c>
      <c r="J1059" t="str">
        <f>IF(DONNEES!$E1059="","",DONNEES!K1059)</f>
        <v/>
      </c>
      <c r="K1059" t="str">
        <f>IF(DONNEES!$E1059="","",DONNEES!L1059)</f>
        <v/>
      </c>
      <c r="L1059" t="str">
        <f>IF(DONNEES!$E1059="","",DONNEES!M1059)</f>
        <v/>
      </c>
      <c r="M1059" t="str">
        <f>IF(DONNEES!$E1059="","",DONNEES!N1059)</f>
        <v/>
      </c>
      <c r="N1059" t="str">
        <f>IF(DONNEES!$E1059="","",DONNEES!O1059)</f>
        <v/>
      </c>
      <c r="O1059" t="str">
        <f>IF(DONNEES!$E1059="","",DONNEES!P1059)</f>
        <v/>
      </c>
      <c r="P1059" t="str">
        <f>IF(DONNEES!$E1059="","",DONNEES!Q1059)</f>
        <v/>
      </c>
      <c r="Q1059" t="str">
        <f>IF(DONNEES!$E1059="","",DONNEES!R1059)</f>
        <v/>
      </c>
      <c r="R1059" t="str">
        <f>IF(DONNEES!$E1059="","",DONNEES!S1059)</f>
        <v/>
      </c>
      <c r="S1059" t="str">
        <f>IF(DONNEES!$E1059="","",DONNEES!T1059)</f>
        <v/>
      </c>
      <c r="T1059" t="str">
        <f>IF(DONNEES!$E1059="","",DONNEES!U1059)</f>
        <v/>
      </c>
      <c r="U1059" t="str">
        <f>IF(DONNEES!$E1059="","",DONNEES!V1059)</f>
        <v/>
      </c>
      <c r="V1059" t="str">
        <f>IF(DONNEES!$E1059="","",DONNEES!W1059)</f>
        <v/>
      </c>
      <c r="W1059" t="str">
        <f>IF(DONNEES!$E1059="","",DONNEES!X1059)</f>
        <v/>
      </c>
      <c r="X1059" t="str">
        <f>IF(DONNEES!$E1059="","",DONNEES!Y1059)</f>
        <v/>
      </c>
      <c r="Y1059" t="str">
        <f>IF(DONNEES!$E1059="","",DONNEES!Z1059)</f>
        <v/>
      </c>
      <c r="Z1059" t="str">
        <f>IF(DONNEES!$E1059="","",DONNEES!AQ1059)</f>
        <v/>
      </c>
    </row>
    <row r="1060" spans="1:26" ht="15" customHeight="1" x14ac:dyDescent="0.3">
      <c r="A1060" t="str">
        <f>IF(DONNEES!$E1060="","",DONNEES!A1060)</f>
        <v/>
      </c>
      <c r="B1060" t="str">
        <f>IF(DONNEES!$E1060="","",DONNEES!B1060)</f>
        <v/>
      </c>
      <c r="C1060" t="str">
        <f>IF(DONNEES!$E1060="","",DONNEES!C1060)</f>
        <v/>
      </c>
      <c r="D1060" t="str">
        <f>IF(DONNEES!$E1060="","",DONNEES!E1060)</f>
        <v/>
      </c>
      <c r="E1060" t="str">
        <f>IF(DONNEES!$E1060="","",DONNEES!F1060)</f>
        <v/>
      </c>
      <c r="F1060" t="str">
        <f>IF(DONNEES!$E1060="","",DONNEES!G1060)</f>
        <v/>
      </c>
      <c r="G1060" t="str">
        <f>IF(DONNEES!$E1060="","",DONNEES!H1060)</f>
        <v/>
      </c>
      <c r="H1060" t="str">
        <f>IF(DONNEES!$E1060="","",DONNEES!I1060)</f>
        <v/>
      </c>
      <c r="I1060" t="str">
        <f>IF(DONNEES!$E1060="","",DONNEES!J1060)</f>
        <v/>
      </c>
      <c r="J1060" t="str">
        <f>IF(DONNEES!$E1060="","",DONNEES!K1060)</f>
        <v/>
      </c>
      <c r="K1060" t="str">
        <f>IF(DONNEES!$E1060="","",DONNEES!L1060)</f>
        <v/>
      </c>
      <c r="L1060" t="str">
        <f>IF(DONNEES!$E1060="","",DONNEES!M1060)</f>
        <v/>
      </c>
      <c r="M1060" t="str">
        <f>IF(DONNEES!$E1060="","",DONNEES!N1060)</f>
        <v/>
      </c>
      <c r="N1060" t="str">
        <f>IF(DONNEES!$E1060="","",DONNEES!O1060)</f>
        <v/>
      </c>
      <c r="O1060" t="str">
        <f>IF(DONNEES!$E1060="","",DONNEES!P1060)</f>
        <v/>
      </c>
      <c r="P1060" t="str">
        <f>IF(DONNEES!$E1060="","",DONNEES!Q1060)</f>
        <v/>
      </c>
      <c r="Q1060" t="str">
        <f>IF(DONNEES!$E1060="","",DONNEES!R1060)</f>
        <v/>
      </c>
      <c r="R1060" t="str">
        <f>IF(DONNEES!$E1060="","",DONNEES!S1060)</f>
        <v/>
      </c>
      <c r="S1060" t="str">
        <f>IF(DONNEES!$E1060="","",DONNEES!T1060)</f>
        <v/>
      </c>
      <c r="T1060" t="str">
        <f>IF(DONNEES!$E1060="","",DONNEES!U1060)</f>
        <v/>
      </c>
      <c r="U1060" t="str">
        <f>IF(DONNEES!$E1060="","",DONNEES!V1060)</f>
        <v/>
      </c>
      <c r="V1060" t="str">
        <f>IF(DONNEES!$E1060="","",DONNEES!W1060)</f>
        <v/>
      </c>
      <c r="W1060" t="str">
        <f>IF(DONNEES!$E1060="","",DONNEES!X1060)</f>
        <v/>
      </c>
      <c r="X1060" t="str">
        <f>IF(DONNEES!$E1060="","",DONNEES!Y1060)</f>
        <v/>
      </c>
      <c r="Y1060" t="str">
        <f>IF(DONNEES!$E1060="","",DONNEES!Z1060)</f>
        <v/>
      </c>
      <c r="Z1060" t="str">
        <f>IF(DONNEES!$E1060="","",DONNEES!AQ1060)</f>
        <v/>
      </c>
    </row>
    <row r="1061" spans="1:26" ht="15" customHeight="1" x14ac:dyDescent="0.3">
      <c r="A1061" t="str">
        <f>IF(DONNEES!$E1061="","",DONNEES!A1061)</f>
        <v/>
      </c>
      <c r="B1061" t="str">
        <f>IF(DONNEES!$E1061="","",DONNEES!B1061)</f>
        <v/>
      </c>
      <c r="C1061" t="str">
        <f>IF(DONNEES!$E1061="","",DONNEES!C1061)</f>
        <v/>
      </c>
      <c r="D1061" t="str">
        <f>IF(DONNEES!$E1061="","",DONNEES!E1061)</f>
        <v/>
      </c>
      <c r="E1061" t="str">
        <f>IF(DONNEES!$E1061="","",DONNEES!F1061)</f>
        <v/>
      </c>
      <c r="F1061" t="str">
        <f>IF(DONNEES!$E1061="","",DONNEES!G1061)</f>
        <v/>
      </c>
      <c r="G1061" t="str">
        <f>IF(DONNEES!$E1061="","",DONNEES!H1061)</f>
        <v/>
      </c>
      <c r="H1061" t="str">
        <f>IF(DONNEES!$E1061="","",DONNEES!I1061)</f>
        <v/>
      </c>
      <c r="I1061" t="str">
        <f>IF(DONNEES!$E1061="","",DONNEES!J1061)</f>
        <v/>
      </c>
      <c r="J1061" t="str">
        <f>IF(DONNEES!$E1061="","",DONNEES!K1061)</f>
        <v/>
      </c>
      <c r="K1061" t="str">
        <f>IF(DONNEES!$E1061="","",DONNEES!L1061)</f>
        <v/>
      </c>
      <c r="L1061" t="str">
        <f>IF(DONNEES!$E1061="","",DONNEES!M1061)</f>
        <v/>
      </c>
      <c r="M1061" t="str">
        <f>IF(DONNEES!$E1061="","",DONNEES!N1061)</f>
        <v/>
      </c>
      <c r="N1061" t="str">
        <f>IF(DONNEES!$E1061="","",DONNEES!O1061)</f>
        <v/>
      </c>
      <c r="O1061" t="str">
        <f>IF(DONNEES!$E1061="","",DONNEES!P1061)</f>
        <v/>
      </c>
      <c r="P1061" t="str">
        <f>IF(DONNEES!$E1061="","",DONNEES!Q1061)</f>
        <v/>
      </c>
      <c r="Q1061" t="str">
        <f>IF(DONNEES!$E1061="","",DONNEES!R1061)</f>
        <v/>
      </c>
      <c r="R1061" t="str">
        <f>IF(DONNEES!$E1061="","",DONNEES!S1061)</f>
        <v/>
      </c>
      <c r="S1061" t="str">
        <f>IF(DONNEES!$E1061="","",DONNEES!T1061)</f>
        <v/>
      </c>
      <c r="T1061" t="str">
        <f>IF(DONNEES!$E1061="","",DONNEES!U1061)</f>
        <v/>
      </c>
      <c r="U1061" t="str">
        <f>IF(DONNEES!$E1061="","",DONNEES!V1061)</f>
        <v/>
      </c>
      <c r="V1061" t="str">
        <f>IF(DONNEES!$E1061="","",DONNEES!W1061)</f>
        <v/>
      </c>
      <c r="W1061" t="str">
        <f>IF(DONNEES!$E1061="","",DONNEES!X1061)</f>
        <v/>
      </c>
      <c r="X1061" t="str">
        <f>IF(DONNEES!$E1061="","",DONNEES!Y1061)</f>
        <v/>
      </c>
      <c r="Y1061" t="str">
        <f>IF(DONNEES!$E1061="","",DONNEES!Z1061)</f>
        <v/>
      </c>
      <c r="Z1061" t="str">
        <f>IF(DONNEES!$E1061="","",DONNEES!AQ1061)</f>
        <v/>
      </c>
    </row>
    <row r="1062" spans="1:26" ht="15" customHeight="1" x14ac:dyDescent="0.3">
      <c r="A1062" t="str">
        <f>IF(DONNEES!$E1062="","",DONNEES!A1062)</f>
        <v/>
      </c>
      <c r="B1062" t="str">
        <f>IF(DONNEES!$E1062="","",DONNEES!B1062)</f>
        <v/>
      </c>
      <c r="C1062" t="str">
        <f>IF(DONNEES!$E1062="","",DONNEES!C1062)</f>
        <v/>
      </c>
      <c r="D1062" t="str">
        <f>IF(DONNEES!$E1062="","",DONNEES!E1062)</f>
        <v/>
      </c>
      <c r="E1062" t="str">
        <f>IF(DONNEES!$E1062="","",DONNEES!F1062)</f>
        <v/>
      </c>
      <c r="F1062" t="str">
        <f>IF(DONNEES!$E1062="","",DONNEES!G1062)</f>
        <v/>
      </c>
      <c r="G1062" t="str">
        <f>IF(DONNEES!$E1062="","",DONNEES!H1062)</f>
        <v/>
      </c>
      <c r="H1062" t="str">
        <f>IF(DONNEES!$E1062="","",DONNEES!I1062)</f>
        <v/>
      </c>
      <c r="I1062" t="str">
        <f>IF(DONNEES!$E1062="","",DONNEES!J1062)</f>
        <v/>
      </c>
      <c r="J1062" t="str">
        <f>IF(DONNEES!$E1062="","",DONNEES!K1062)</f>
        <v/>
      </c>
      <c r="K1062" t="str">
        <f>IF(DONNEES!$E1062="","",DONNEES!L1062)</f>
        <v/>
      </c>
      <c r="L1062" t="str">
        <f>IF(DONNEES!$E1062="","",DONNEES!M1062)</f>
        <v/>
      </c>
      <c r="M1062" t="str">
        <f>IF(DONNEES!$E1062="","",DONNEES!N1062)</f>
        <v/>
      </c>
      <c r="N1062" t="str">
        <f>IF(DONNEES!$E1062="","",DONNEES!O1062)</f>
        <v/>
      </c>
      <c r="O1062" t="str">
        <f>IF(DONNEES!$E1062="","",DONNEES!P1062)</f>
        <v/>
      </c>
      <c r="P1062" t="str">
        <f>IF(DONNEES!$E1062="","",DONNEES!Q1062)</f>
        <v/>
      </c>
      <c r="Q1062" t="str">
        <f>IF(DONNEES!$E1062="","",DONNEES!R1062)</f>
        <v/>
      </c>
      <c r="R1062" t="str">
        <f>IF(DONNEES!$E1062="","",DONNEES!S1062)</f>
        <v/>
      </c>
      <c r="S1062" t="str">
        <f>IF(DONNEES!$E1062="","",DONNEES!T1062)</f>
        <v/>
      </c>
      <c r="T1062" t="str">
        <f>IF(DONNEES!$E1062="","",DONNEES!U1062)</f>
        <v/>
      </c>
      <c r="U1062" t="str">
        <f>IF(DONNEES!$E1062="","",DONNEES!V1062)</f>
        <v/>
      </c>
      <c r="V1062" t="str">
        <f>IF(DONNEES!$E1062="","",DONNEES!W1062)</f>
        <v/>
      </c>
      <c r="W1062" t="str">
        <f>IF(DONNEES!$E1062="","",DONNEES!X1062)</f>
        <v/>
      </c>
      <c r="X1062" t="str">
        <f>IF(DONNEES!$E1062="","",DONNEES!Y1062)</f>
        <v/>
      </c>
      <c r="Y1062" t="str">
        <f>IF(DONNEES!$E1062="","",DONNEES!Z1062)</f>
        <v/>
      </c>
      <c r="Z1062" t="str">
        <f>IF(DONNEES!$E1062="","",DONNEES!AQ1062)</f>
        <v/>
      </c>
    </row>
    <row r="1063" spans="1:26" ht="15" customHeight="1" x14ac:dyDescent="0.3">
      <c r="A1063" t="str">
        <f>IF(DONNEES!$E1063="","",DONNEES!A1063)</f>
        <v/>
      </c>
      <c r="B1063" t="str">
        <f>IF(DONNEES!$E1063="","",DONNEES!B1063)</f>
        <v/>
      </c>
      <c r="C1063" t="str">
        <f>IF(DONNEES!$E1063="","",DONNEES!C1063)</f>
        <v/>
      </c>
      <c r="D1063" t="str">
        <f>IF(DONNEES!$E1063="","",DONNEES!E1063)</f>
        <v/>
      </c>
      <c r="E1063" t="str">
        <f>IF(DONNEES!$E1063="","",DONNEES!F1063)</f>
        <v/>
      </c>
      <c r="F1063" t="str">
        <f>IF(DONNEES!$E1063="","",DONNEES!G1063)</f>
        <v/>
      </c>
      <c r="G1063" t="str">
        <f>IF(DONNEES!$E1063="","",DONNEES!H1063)</f>
        <v/>
      </c>
      <c r="H1063" t="str">
        <f>IF(DONNEES!$E1063="","",DONNEES!I1063)</f>
        <v/>
      </c>
      <c r="I1063" t="str">
        <f>IF(DONNEES!$E1063="","",DONNEES!J1063)</f>
        <v/>
      </c>
      <c r="J1063" t="str">
        <f>IF(DONNEES!$E1063="","",DONNEES!K1063)</f>
        <v/>
      </c>
      <c r="K1063" t="str">
        <f>IF(DONNEES!$E1063="","",DONNEES!L1063)</f>
        <v/>
      </c>
      <c r="L1063" t="str">
        <f>IF(DONNEES!$E1063="","",DONNEES!M1063)</f>
        <v/>
      </c>
      <c r="M1063" t="str">
        <f>IF(DONNEES!$E1063="","",DONNEES!N1063)</f>
        <v/>
      </c>
      <c r="N1063" t="str">
        <f>IF(DONNEES!$E1063="","",DONNEES!O1063)</f>
        <v/>
      </c>
      <c r="O1063" t="str">
        <f>IF(DONNEES!$E1063="","",DONNEES!P1063)</f>
        <v/>
      </c>
      <c r="P1063" t="str">
        <f>IF(DONNEES!$E1063="","",DONNEES!Q1063)</f>
        <v/>
      </c>
      <c r="Q1063" t="str">
        <f>IF(DONNEES!$E1063="","",DONNEES!R1063)</f>
        <v/>
      </c>
      <c r="R1063" t="str">
        <f>IF(DONNEES!$E1063="","",DONNEES!S1063)</f>
        <v/>
      </c>
      <c r="S1063" t="str">
        <f>IF(DONNEES!$E1063="","",DONNEES!T1063)</f>
        <v/>
      </c>
      <c r="T1063" t="str">
        <f>IF(DONNEES!$E1063="","",DONNEES!U1063)</f>
        <v/>
      </c>
      <c r="U1063" t="str">
        <f>IF(DONNEES!$E1063="","",DONNEES!V1063)</f>
        <v/>
      </c>
      <c r="V1063" t="str">
        <f>IF(DONNEES!$E1063="","",DONNEES!W1063)</f>
        <v/>
      </c>
      <c r="W1063" t="str">
        <f>IF(DONNEES!$E1063="","",DONNEES!X1063)</f>
        <v/>
      </c>
      <c r="X1063" t="str">
        <f>IF(DONNEES!$E1063="","",DONNEES!Y1063)</f>
        <v/>
      </c>
      <c r="Y1063" t="str">
        <f>IF(DONNEES!$E1063="","",DONNEES!Z1063)</f>
        <v/>
      </c>
      <c r="Z1063" t="str">
        <f>IF(DONNEES!$E1063="","",DONNEES!AQ1063)</f>
        <v/>
      </c>
    </row>
    <row r="1064" spans="1:26" ht="15" customHeight="1" x14ac:dyDescent="0.3">
      <c r="A1064" t="str">
        <f>IF(DONNEES!$E1064="","",DONNEES!A1064)</f>
        <v/>
      </c>
      <c r="B1064" t="str">
        <f>IF(DONNEES!$E1064="","",DONNEES!B1064)</f>
        <v/>
      </c>
      <c r="C1064" t="str">
        <f>IF(DONNEES!$E1064="","",DONNEES!C1064)</f>
        <v/>
      </c>
      <c r="D1064" t="str">
        <f>IF(DONNEES!$E1064="","",DONNEES!E1064)</f>
        <v/>
      </c>
      <c r="E1064" t="str">
        <f>IF(DONNEES!$E1064="","",DONNEES!F1064)</f>
        <v/>
      </c>
      <c r="F1064" t="str">
        <f>IF(DONNEES!$E1064="","",DONNEES!G1064)</f>
        <v/>
      </c>
      <c r="G1064" t="str">
        <f>IF(DONNEES!$E1064="","",DONNEES!H1064)</f>
        <v/>
      </c>
      <c r="H1064" t="str">
        <f>IF(DONNEES!$E1064="","",DONNEES!I1064)</f>
        <v/>
      </c>
      <c r="I1064" t="str">
        <f>IF(DONNEES!$E1064="","",DONNEES!J1064)</f>
        <v/>
      </c>
      <c r="J1064" t="str">
        <f>IF(DONNEES!$E1064="","",DONNEES!K1064)</f>
        <v/>
      </c>
      <c r="K1064" t="str">
        <f>IF(DONNEES!$E1064="","",DONNEES!L1064)</f>
        <v/>
      </c>
      <c r="L1064" t="str">
        <f>IF(DONNEES!$E1064="","",DONNEES!M1064)</f>
        <v/>
      </c>
      <c r="M1064" t="str">
        <f>IF(DONNEES!$E1064="","",DONNEES!N1064)</f>
        <v/>
      </c>
      <c r="N1064" t="str">
        <f>IF(DONNEES!$E1064="","",DONNEES!O1064)</f>
        <v/>
      </c>
      <c r="O1064" t="str">
        <f>IF(DONNEES!$E1064="","",DONNEES!P1064)</f>
        <v/>
      </c>
      <c r="P1064" t="str">
        <f>IF(DONNEES!$E1064="","",DONNEES!Q1064)</f>
        <v/>
      </c>
      <c r="Q1064" t="str">
        <f>IF(DONNEES!$E1064="","",DONNEES!R1064)</f>
        <v/>
      </c>
      <c r="R1064" t="str">
        <f>IF(DONNEES!$E1064="","",DONNEES!S1064)</f>
        <v/>
      </c>
      <c r="S1064" t="str">
        <f>IF(DONNEES!$E1064="","",DONNEES!T1064)</f>
        <v/>
      </c>
      <c r="T1064" t="str">
        <f>IF(DONNEES!$E1064="","",DONNEES!U1064)</f>
        <v/>
      </c>
      <c r="U1064" t="str">
        <f>IF(DONNEES!$E1064="","",DONNEES!V1064)</f>
        <v/>
      </c>
      <c r="V1064" t="str">
        <f>IF(DONNEES!$E1064="","",DONNEES!W1064)</f>
        <v/>
      </c>
      <c r="W1064" t="str">
        <f>IF(DONNEES!$E1064="","",DONNEES!X1064)</f>
        <v/>
      </c>
      <c r="X1064" t="str">
        <f>IF(DONNEES!$E1064="","",DONNEES!Y1064)</f>
        <v/>
      </c>
      <c r="Y1064" t="str">
        <f>IF(DONNEES!$E1064="","",DONNEES!Z1064)</f>
        <v/>
      </c>
      <c r="Z1064" t="str">
        <f>IF(DONNEES!$E1064="","",DONNEES!AQ1064)</f>
        <v/>
      </c>
    </row>
    <row r="1065" spans="1:26" ht="15" customHeight="1" x14ac:dyDescent="0.3">
      <c r="A1065" t="str">
        <f>IF(DONNEES!$E1065="","",DONNEES!A1065)</f>
        <v/>
      </c>
      <c r="B1065" t="str">
        <f>IF(DONNEES!$E1065="","",DONNEES!B1065)</f>
        <v/>
      </c>
      <c r="C1065" t="str">
        <f>IF(DONNEES!$E1065="","",DONNEES!C1065)</f>
        <v/>
      </c>
      <c r="D1065" t="str">
        <f>IF(DONNEES!$E1065="","",DONNEES!E1065)</f>
        <v/>
      </c>
      <c r="E1065" t="str">
        <f>IF(DONNEES!$E1065="","",DONNEES!F1065)</f>
        <v/>
      </c>
      <c r="F1065" t="str">
        <f>IF(DONNEES!$E1065="","",DONNEES!G1065)</f>
        <v/>
      </c>
      <c r="G1065" t="str">
        <f>IF(DONNEES!$E1065="","",DONNEES!H1065)</f>
        <v/>
      </c>
      <c r="H1065" t="str">
        <f>IF(DONNEES!$E1065="","",DONNEES!I1065)</f>
        <v/>
      </c>
      <c r="I1065" t="str">
        <f>IF(DONNEES!$E1065="","",DONNEES!J1065)</f>
        <v/>
      </c>
      <c r="J1065" t="str">
        <f>IF(DONNEES!$E1065="","",DONNEES!K1065)</f>
        <v/>
      </c>
      <c r="K1065" t="str">
        <f>IF(DONNEES!$E1065="","",DONNEES!L1065)</f>
        <v/>
      </c>
      <c r="L1065" t="str">
        <f>IF(DONNEES!$E1065="","",DONNEES!M1065)</f>
        <v/>
      </c>
      <c r="M1065" t="str">
        <f>IF(DONNEES!$E1065="","",DONNEES!N1065)</f>
        <v/>
      </c>
      <c r="N1065" t="str">
        <f>IF(DONNEES!$E1065="","",DONNEES!O1065)</f>
        <v/>
      </c>
      <c r="O1065" t="str">
        <f>IF(DONNEES!$E1065="","",DONNEES!P1065)</f>
        <v/>
      </c>
      <c r="P1065" t="str">
        <f>IF(DONNEES!$E1065="","",DONNEES!Q1065)</f>
        <v/>
      </c>
      <c r="Q1065" t="str">
        <f>IF(DONNEES!$E1065="","",DONNEES!R1065)</f>
        <v/>
      </c>
      <c r="R1065" t="str">
        <f>IF(DONNEES!$E1065="","",DONNEES!S1065)</f>
        <v/>
      </c>
      <c r="S1065" t="str">
        <f>IF(DONNEES!$E1065="","",DONNEES!T1065)</f>
        <v/>
      </c>
      <c r="T1065" t="str">
        <f>IF(DONNEES!$E1065="","",DONNEES!U1065)</f>
        <v/>
      </c>
      <c r="U1065" t="str">
        <f>IF(DONNEES!$E1065="","",DONNEES!V1065)</f>
        <v/>
      </c>
      <c r="V1065" t="str">
        <f>IF(DONNEES!$E1065="","",DONNEES!W1065)</f>
        <v/>
      </c>
      <c r="W1065" t="str">
        <f>IF(DONNEES!$E1065="","",DONNEES!X1065)</f>
        <v/>
      </c>
      <c r="X1065" t="str">
        <f>IF(DONNEES!$E1065="","",DONNEES!Y1065)</f>
        <v/>
      </c>
      <c r="Y1065" t="str">
        <f>IF(DONNEES!$E1065="","",DONNEES!Z1065)</f>
        <v/>
      </c>
      <c r="Z1065" t="str">
        <f>IF(DONNEES!$E1065="","",DONNEES!AQ1065)</f>
        <v/>
      </c>
    </row>
    <row r="1066" spans="1:26" ht="15" customHeight="1" x14ac:dyDescent="0.3">
      <c r="A1066" t="str">
        <f>IF(DONNEES!$E1066="","",DONNEES!A1066)</f>
        <v/>
      </c>
      <c r="B1066" t="str">
        <f>IF(DONNEES!$E1066="","",DONNEES!B1066)</f>
        <v/>
      </c>
      <c r="C1066" t="str">
        <f>IF(DONNEES!$E1066="","",DONNEES!C1066)</f>
        <v/>
      </c>
      <c r="D1066" t="str">
        <f>IF(DONNEES!$E1066="","",DONNEES!E1066)</f>
        <v/>
      </c>
      <c r="E1066" t="str">
        <f>IF(DONNEES!$E1066="","",DONNEES!F1066)</f>
        <v/>
      </c>
      <c r="F1066" t="str">
        <f>IF(DONNEES!$E1066="","",DONNEES!G1066)</f>
        <v/>
      </c>
      <c r="G1066" t="str">
        <f>IF(DONNEES!$E1066="","",DONNEES!H1066)</f>
        <v/>
      </c>
      <c r="H1066" t="str">
        <f>IF(DONNEES!$E1066="","",DONNEES!I1066)</f>
        <v/>
      </c>
      <c r="I1066" t="str">
        <f>IF(DONNEES!$E1066="","",DONNEES!J1066)</f>
        <v/>
      </c>
      <c r="J1066" t="str">
        <f>IF(DONNEES!$E1066="","",DONNEES!K1066)</f>
        <v/>
      </c>
      <c r="K1066" t="str">
        <f>IF(DONNEES!$E1066="","",DONNEES!L1066)</f>
        <v/>
      </c>
      <c r="L1066" t="str">
        <f>IF(DONNEES!$E1066="","",DONNEES!M1066)</f>
        <v/>
      </c>
      <c r="M1066" t="str">
        <f>IF(DONNEES!$E1066="","",DONNEES!N1066)</f>
        <v/>
      </c>
      <c r="N1066" t="str">
        <f>IF(DONNEES!$E1066="","",DONNEES!O1066)</f>
        <v/>
      </c>
      <c r="O1066" t="str">
        <f>IF(DONNEES!$E1066="","",DONNEES!P1066)</f>
        <v/>
      </c>
      <c r="P1066" t="str">
        <f>IF(DONNEES!$E1066="","",DONNEES!Q1066)</f>
        <v/>
      </c>
      <c r="Q1066" t="str">
        <f>IF(DONNEES!$E1066="","",DONNEES!R1066)</f>
        <v/>
      </c>
      <c r="R1066" t="str">
        <f>IF(DONNEES!$E1066="","",DONNEES!S1066)</f>
        <v/>
      </c>
      <c r="S1066" t="str">
        <f>IF(DONNEES!$E1066="","",DONNEES!T1066)</f>
        <v/>
      </c>
      <c r="T1066" t="str">
        <f>IF(DONNEES!$E1066="","",DONNEES!U1066)</f>
        <v/>
      </c>
      <c r="U1066" t="str">
        <f>IF(DONNEES!$E1066="","",DONNEES!V1066)</f>
        <v/>
      </c>
      <c r="V1066" t="str">
        <f>IF(DONNEES!$E1066="","",DONNEES!W1066)</f>
        <v/>
      </c>
      <c r="W1066" t="str">
        <f>IF(DONNEES!$E1066="","",DONNEES!X1066)</f>
        <v/>
      </c>
      <c r="X1066" t="str">
        <f>IF(DONNEES!$E1066="","",DONNEES!Y1066)</f>
        <v/>
      </c>
      <c r="Y1066" t="str">
        <f>IF(DONNEES!$E1066="","",DONNEES!Z1066)</f>
        <v/>
      </c>
      <c r="Z1066" t="str">
        <f>IF(DONNEES!$E1066="","",DONNEES!AQ1066)</f>
        <v/>
      </c>
    </row>
    <row r="1067" spans="1:26" ht="15" customHeight="1" x14ac:dyDescent="0.3">
      <c r="A1067" t="str">
        <f>IF(DONNEES!$E1067="","",DONNEES!A1067)</f>
        <v/>
      </c>
      <c r="B1067" t="str">
        <f>IF(DONNEES!$E1067="","",DONNEES!B1067)</f>
        <v/>
      </c>
      <c r="C1067" t="str">
        <f>IF(DONNEES!$E1067="","",DONNEES!C1067)</f>
        <v/>
      </c>
      <c r="D1067" t="str">
        <f>IF(DONNEES!$E1067="","",DONNEES!E1067)</f>
        <v/>
      </c>
      <c r="E1067" t="str">
        <f>IF(DONNEES!$E1067="","",DONNEES!F1067)</f>
        <v/>
      </c>
      <c r="F1067" t="str">
        <f>IF(DONNEES!$E1067="","",DONNEES!G1067)</f>
        <v/>
      </c>
      <c r="G1067" t="str">
        <f>IF(DONNEES!$E1067="","",DONNEES!H1067)</f>
        <v/>
      </c>
      <c r="H1067" t="str">
        <f>IF(DONNEES!$E1067="","",DONNEES!I1067)</f>
        <v/>
      </c>
      <c r="I1067" t="str">
        <f>IF(DONNEES!$E1067="","",DONNEES!J1067)</f>
        <v/>
      </c>
      <c r="J1067" t="str">
        <f>IF(DONNEES!$E1067="","",DONNEES!K1067)</f>
        <v/>
      </c>
      <c r="K1067" t="str">
        <f>IF(DONNEES!$E1067="","",DONNEES!L1067)</f>
        <v/>
      </c>
      <c r="L1067" t="str">
        <f>IF(DONNEES!$E1067="","",DONNEES!M1067)</f>
        <v/>
      </c>
      <c r="M1067" t="str">
        <f>IF(DONNEES!$E1067="","",DONNEES!N1067)</f>
        <v/>
      </c>
      <c r="N1067" t="str">
        <f>IF(DONNEES!$E1067="","",DONNEES!O1067)</f>
        <v/>
      </c>
      <c r="O1067" t="str">
        <f>IF(DONNEES!$E1067="","",DONNEES!P1067)</f>
        <v/>
      </c>
      <c r="P1067" t="str">
        <f>IF(DONNEES!$E1067="","",DONNEES!Q1067)</f>
        <v/>
      </c>
      <c r="Q1067" t="str">
        <f>IF(DONNEES!$E1067="","",DONNEES!R1067)</f>
        <v/>
      </c>
      <c r="R1067" t="str">
        <f>IF(DONNEES!$E1067="","",DONNEES!S1067)</f>
        <v/>
      </c>
      <c r="S1067" t="str">
        <f>IF(DONNEES!$E1067="","",DONNEES!T1067)</f>
        <v/>
      </c>
      <c r="T1067" t="str">
        <f>IF(DONNEES!$E1067="","",DONNEES!U1067)</f>
        <v/>
      </c>
      <c r="U1067" t="str">
        <f>IF(DONNEES!$E1067="","",DONNEES!V1067)</f>
        <v/>
      </c>
      <c r="V1067" t="str">
        <f>IF(DONNEES!$E1067="","",DONNEES!W1067)</f>
        <v/>
      </c>
      <c r="W1067" t="str">
        <f>IF(DONNEES!$E1067="","",DONNEES!X1067)</f>
        <v/>
      </c>
      <c r="X1067" t="str">
        <f>IF(DONNEES!$E1067="","",DONNEES!Y1067)</f>
        <v/>
      </c>
      <c r="Y1067" t="str">
        <f>IF(DONNEES!$E1067="","",DONNEES!Z1067)</f>
        <v/>
      </c>
      <c r="Z1067" t="str">
        <f>IF(DONNEES!$E1067="","",DONNEES!AQ1067)</f>
        <v/>
      </c>
    </row>
    <row r="1068" spans="1:26" ht="15" customHeight="1" x14ac:dyDescent="0.3">
      <c r="A1068" t="str">
        <f>IF(DONNEES!$E1068="","",DONNEES!A1068)</f>
        <v/>
      </c>
      <c r="B1068" t="str">
        <f>IF(DONNEES!$E1068="","",DONNEES!B1068)</f>
        <v/>
      </c>
      <c r="C1068" t="str">
        <f>IF(DONNEES!$E1068="","",DONNEES!C1068)</f>
        <v/>
      </c>
      <c r="D1068" t="str">
        <f>IF(DONNEES!$E1068="","",DONNEES!E1068)</f>
        <v/>
      </c>
      <c r="E1068" t="str">
        <f>IF(DONNEES!$E1068="","",DONNEES!F1068)</f>
        <v/>
      </c>
      <c r="F1068" t="str">
        <f>IF(DONNEES!$E1068="","",DONNEES!G1068)</f>
        <v/>
      </c>
      <c r="G1068" t="str">
        <f>IF(DONNEES!$E1068="","",DONNEES!H1068)</f>
        <v/>
      </c>
      <c r="H1068" t="str">
        <f>IF(DONNEES!$E1068="","",DONNEES!I1068)</f>
        <v/>
      </c>
      <c r="I1068" t="str">
        <f>IF(DONNEES!$E1068="","",DONNEES!J1068)</f>
        <v/>
      </c>
      <c r="J1068" t="str">
        <f>IF(DONNEES!$E1068="","",DONNEES!K1068)</f>
        <v/>
      </c>
      <c r="K1068" t="str">
        <f>IF(DONNEES!$E1068="","",DONNEES!L1068)</f>
        <v/>
      </c>
      <c r="L1068" t="str">
        <f>IF(DONNEES!$E1068="","",DONNEES!M1068)</f>
        <v/>
      </c>
      <c r="M1068" t="str">
        <f>IF(DONNEES!$E1068="","",DONNEES!N1068)</f>
        <v/>
      </c>
      <c r="N1068" t="str">
        <f>IF(DONNEES!$E1068="","",DONNEES!O1068)</f>
        <v/>
      </c>
      <c r="O1068" t="str">
        <f>IF(DONNEES!$E1068="","",DONNEES!P1068)</f>
        <v/>
      </c>
      <c r="P1068" t="str">
        <f>IF(DONNEES!$E1068="","",DONNEES!Q1068)</f>
        <v/>
      </c>
      <c r="Q1068" t="str">
        <f>IF(DONNEES!$E1068="","",DONNEES!R1068)</f>
        <v/>
      </c>
      <c r="R1068" t="str">
        <f>IF(DONNEES!$E1068="","",DONNEES!S1068)</f>
        <v/>
      </c>
      <c r="S1068" t="str">
        <f>IF(DONNEES!$E1068="","",DONNEES!T1068)</f>
        <v/>
      </c>
      <c r="T1068" t="str">
        <f>IF(DONNEES!$E1068="","",DONNEES!U1068)</f>
        <v/>
      </c>
      <c r="U1068" t="str">
        <f>IF(DONNEES!$E1068="","",DONNEES!V1068)</f>
        <v/>
      </c>
      <c r="V1068" t="str">
        <f>IF(DONNEES!$E1068="","",DONNEES!W1068)</f>
        <v/>
      </c>
      <c r="W1068" t="str">
        <f>IF(DONNEES!$E1068="","",DONNEES!X1068)</f>
        <v/>
      </c>
      <c r="X1068" t="str">
        <f>IF(DONNEES!$E1068="","",DONNEES!Y1068)</f>
        <v/>
      </c>
      <c r="Y1068" t="str">
        <f>IF(DONNEES!$E1068="","",DONNEES!Z1068)</f>
        <v/>
      </c>
      <c r="Z1068" t="str">
        <f>IF(DONNEES!$E1068="","",DONNEES!AQ1068)</f>
        <v/>
      </c>
    </row>
    <row r="1069" spans="1:26" ht="15" customHeight="1" x14ac:dyDescent="0.3">
      <c r="A1069" t="str">
        <f>IF(DONNEES!$E1069="","",DONNEES!A1069)</f>
        <v/>
      </c>
      <c r="B1069" t="str">
        <f>IF(DONNEES!$E1069="","",DONNEES!B1069)</f>
        <v/>
      </c>
      <c r="C1069" t="str">
        <f>IF(DONNEES!$E1069="","",DONNEES!C1069)</f>
        <v/>
      </c>
      <c r="D1069" t="str">
        <f>IF(DONNEES!$E1069="","",DONNEES!E1069)</f>
        <v/>
      </c>
      <c r="E1069" t="str">
        <f>IF(DONNEES!$E1069="","",DONNEES!F1069)</f>
        <v/>
      </c>
      <c r="F1069" t="str">
        <f>IF(DONNEES!$E1069="","",DONNEES!G1069)</f>
        <v/>
      </c>
      <c r="G1069" t="str">
        <f>IF(DONNEES!$E1069="","",DONNEES!H1069)</f>
        <v/>
      </c>
      <c r="H1069" t="str">
        <f>IF(DONNEES!$E1069="","",DONNEES!I1069)</f>
        <v/>
      </c>
      <c r="I1069" t="str">
        <f>IF(DONNEES!$E1069="","",DONNEES!J1069)</f>
        <v/>
      </c>
      <c r="J1069" t="str">
        <f>IF(DONNEES!$E1069="","",DONNEES!K1069)</f>
        <v/>
      </c>
      <c r="K1069" t="str">
        <f>IF(DONNEES!$E1069="","",DONNEES!L1069)</f>
        <v/>
      </c>
      <c r="L1069" t="str">
        <f>IF(DONNEES!$E1069="","",DONNEES!M1069)</f>
        <v/>
      </c>
      <c r="M1069" t="str">
        <f>IF(DONNEES!$E1069="","",DONNEES!N1069)</f>
        <v/>
      </c>
      <c r="N1069" t="str">
        <f>IF(DONNEES!$E1069="","",DONNEES!O1069)</f>
        <v/>
      </c>
      <c r="O1069" t="str">
        <f>IF(DONNEES!$E1069="","",DONNEES!P1069)</f>
        <v/>
      </c>
      <c r="P1069" t="str">
        <f>IF(DONNEES!$E1069="","",DONNEES!Q1069)</f>
        <v/>
      </c>
      <c r="Q1069" t="str">
        <f>IF(DONNEES!$E1069="","",DONNEES!R1069)</f>
        <v/>
      </c>
      <c r="R1069" t="str">
        <f>IF(DONNEES!$E1069="","",DONNEES!S1069)</f>
        <v/>
      </c>
      <c r="S1069" t="str">
        <f>IF(DONNEES!$E1069="","",DONNEES!T1069)</f>
        <v/>
      </c>
      <c r="T1069" t="str">
        <f>IF(DONNEES!$E1069="","",DONNEES!U1069)</f>
        <v/>
      </c>
      <c r="U1069" t="str">
        <f>IF(DONNEES!$E1069="","",DONNEES!V1069)</f>
        <v/>
      </c>
      <c r="V1069" t="str">
        <f>IF(DONNEES!$E1069="","",DONNEES!W1069)</f>
        <v/>
      </c>
      <c r="W1069" t="str">
        <f>IF(DONNEES!$E1069="","",DONNEES!X1069)</f>
        <v/>
      </c>
      <c r="X1069" t="str">
        <f>IF(DONNEES!$E1069="","",DONNEES!Y1069)</f>
        <v/>
      </c>
      <c r="Y1069" t="str">
        <f>IF(DONNEES!$E1069="","",DONNEES!Z1069)</f>
        <v/>
      </c>
      <c r="Z1069" t="str">
        <f>IF(DONNEES!$E1069="","",DONNEES!AQ1069)</f>
        <v/>
      </c>
    </row>
    <row r="1070" spans="1:26" ht="15" customHeight="1" x14ac:dyDescent="0.3">
      <c r="A1070" t="str">
        <f>IF(DONNEES!$E1070="","",DONNEES!A1070)</f>
        <v/>
      </c>
      <c r="B1070" t="str">
        <f>IF(DONNEES!$E1070="","",DONNEES!B1070)</f>
        <v/>
      </c>
      <c r="C1070" t="str">
        <f>IF(DONNEES!$E1070="","",DONNEES!C1070)</f>
        <v/>
      </c>
      <c r="D1070" t="str">
        <f>IF(DONNEES!$E1070="","",DONNEES!E1070)</f>
        <v/>
      </c>
      <c r="E1070" t="str">
        <f>IF(DONNEES!$E1070="","",DONNEES!F1070)</f>
        <v/>
      </c>
      <c r="F1070" t="str">
        <f>IF(DONNEES!$E1070="","",DONNEES!G1070)</f>
        <v/>
      </c>
      <c r="G1070" t="str">
        <f>IF(DONNEES!$E1070="","",DONNEES!H1070)</f>
        <v/>
      </c>
      <c r="H1070" t="str">
        <f>IF(DONNEES!$E1070="","",DONNEES!I1070)</f>
        <v/>
      </c>
      <c r="I1070" t="str">
        <f>IF(DONNEES!$E1070="","",DONNEES!J1070)</f>
        <v/>
      </c>
      <c r="J1070" t="str">
        <f>IF(DONNEES!$E1070="","",DONNEES!K1070)</f>
        <v/>
      </c>
      <c r="K1070" t="str">
        <f>IF(DONNEES!$E1070="","",DONNEES!L1070)</f>
        <v/>
      </c>
      <c r="L1070" t="str">
        <f>IF(DONNEES!$E1070="","",DONNEES!M1070)</f>
        <v/>
      </c>
      <c r="M1070" t="str">
        <f>IF(DONNEES!$E1070="","",DONNEES!N1070)</f>
        <v/>
      </c>
      <c r="N1070" t="str">
        <f>IF(DONNEES!$E1070="","",DONNEES!O1070)</f>
        <v/>
      </c>
      <c r="O1070" t="str">
        <f>IF(DONNEES!$E1070="","",DONNEES!P1070)</f>
        <v/>
      </c>
      <c r="P1070" t="str">
        <f>IF(DONNEES!$E1070="","",DONNEES!Q1070)</f>
        <v/>
      </c>
      <c r="Q1070" t="str">
        <f>IF(DONNEES!$E1070="","",DONNEES!R1070)</f>
        <v/>
      </c>
      <c r="R1070" t="str">
        <f>IF(DONNEES!$E1070="","",DONNEES!S1070)</f>
        <v/>
      </c>
      <c r="S1070" t="str">
        <f>IF(DONNEES!$E1070="","",DONNEES!T1070)</f>
        <v/>
      </c>
      <c r="T1070" t="str">
        <f>IF(DONNEES!$E1070="","",DONNEES!U1070)</f>
        <v/>
      </c>
      <c r="U1070" t="str">
        <f>IF(DONNEES!$E1070="","",DONNEES!V1070)</f>
        <v/>
      </c>
      <c r="V1070" t="str">
        <f>IF(DONNEES!$E1070="","",DONNEES!W1070)</f>
        <v/>
      </c>
      <c r="W1070" t="str">
        <f>IF(DONNEES!$E1070="","",DONNEES!X1070)</f>
        <v/>
      </c>
      <c r="X1070" t="str">
        <f>IF(DONNEES!$E1070="","",DONNEES!Y1070)</f>
        <v/>
      </c>
      <c r="Y1070" t="str">
        <f>IF(DONNEES!$E1070="","",DONNEES!Z1070)</f>
        <v/>
      </c>
      <c r="Z1070" t="str">
        <f>IF(DONNEES!$E1070="","",DONNEES!AQ1070)</f>
        <v/>
      </c>
    </row>
    <row r="1071" spans="1:26" ht="15" customHeight="1" x14ac:dyDescent="0.3">
      <c r="A1071" t="str">
        <f>IF(DONNEES!$E1071="","",DONNEES!A1071)</f>
        <v/>
      </c>
      <c r="B1071" t="str">
        <f>IF(DONNEES!$E1071="","",DONNEES!B1071)</f>
        <v/>
      </c>
      <c r="C1071" t="str">
        <f>IF(DONNEES!$E1071="","",DONNEES!C1071)</f>
        <v/>
      </c>
      <c r="D1071" t="str">
        <f>IF(DONNEES!$E1071="","",DONNEES!E1071)</f>
        <v/>
      </c>
      <c r="E1071" t="str">
        <f>IF(DONNEES!$E1071="","",DONNEES!F1071)</f>
        <v/>
      </c>
      <c r="F1071" t="str">
        <f>IF(DONNEES!$E1071="","",DONNEES!G1071)</f>
        <v/>
      </c>
      <c r="G1071" t="str">
        <f>IF(DONNEES!$E1071="","",DONNEES!H1071)</f>
        <v/>
      </c>
      <c r="H1071" t="str">
        <f>IF(DONNEES!$E1071="","",DONNEES!I1071)</f>
        <v/>
      </c>
      <c r="I1071" t="str">
        <f>IF(DONNEES!$E1071="","",DONNEES!J1071)</f>
        <v/>
      </c>
      <c r="J1071" t="str">
        <f>IF(DONNEES!$E1071="","",DONNEES!K1071)</f>
        <v/>
      </c>
      <c r="K1071" t="str">
        <f>IF(DONNEES!$E1071="","",DONNEES!L1071)</f>
        <v/>
      </c>
      <c r="L1071" t="str">
        <f>IF(DONNEES!$E1071="","",DONNEES!M1071)</f>
        <v/>
      </c>
      <c r="M1071" t="str">
        <f>IF(DONNEES!$E1071="","",DONNEES!N1071)</f>
        <v/>
      </c>
      <c r="N1071" t="str">
        <f>IF(DONNEES!$E1071="","",DONNEES!O1071)</f>
        <v/>
      </c>
      <c r="O1071" t="str">
        <f>IF(DONNEES!$E1071="","",DONNEES!P1071)</f>
        <v/>
      </c>
      <c r="P1071" t="str">
        <f>IF(DONNEES!$E1071="","",DONNEES!Q1071)</f>
        <v/>
      </c>
      <c r="Q1071" t="str">
        <f>IF(DONNEES!$E1071="","",DONNEES!R1071)</f>
        <v/>
      </c>
      <c r="R1071" t="str">
        <f>IF(DONNEES!$E1071="","",DONNEES!S1071)</f>
        <v/>
      </c>
      <c r="S1071" t="str">
        <f>IF(DONNEES!$E1071="","",DONNEES!T1071)</f>
        <v/>
      </c>
      <c r="T1071" t="str">
        <f>IF(DONNEES!$E1071="","",DONNEES!U1071)</f>
        <v/>
      </c>
      <c r="U1071" t="str">
        <f>IF(DONNEES!$E1071="","",DONNEES!V1071)</f>
        <v/>
      </c>
      <c r="V1071" t="str">
        <f>IF(DONNEES!$E1071="","",DONNEES!W1071)</f>
        <v/>
      </c>
      <c r="W1071" t="str">
        <f>IF(DONNEES!$E1071="","",DONNEES!X1071)</f>
        <v/>
      </c>
      <c r="X1071" t="str">
        <f>IF(DONNEES!$E1071="","",DONNEES!Y1071)</f>
        <v/>
      </c>
      <c r="Y1071" t="str">
        <f>IF(DONNEES!$E1071="","",DONNEES!Z1071)</f>
        <v/>
      </c>
      <c r="Z1071" t="str">
        <f>IF(DONNEES!$E1071="","",DONNEES!AQ1071)</f>
        <v/>
      </c>
    </row>
    <row r="1072" spans="1:26" ht="15" customHeight="1" x14ac:dyDescent="0.3">
      <c r="A1072" t="str">
        <f>IF(DONNEES!$E1072="","",DONNEES!A1072)</f>
        <v/>
      </c>
      <c r="B1072" t="str">
        <f>IF(DONNEES!$E1072="","",DONNEES!B1072)</f>
        <v/>
      </c>
      <c r="C1072" t="str">
        <f>IF(DONNEES!$E1072="","",DONNEES!C1072)</f>
        <v/>
      </c>
      <c r="D1072" t="str">
        <f>IF(DONNEES!$E1072="","",DONNEES!E1072)</f>
        <v/>
      </c>
      <c r="E1072" t="str">
        <f>IF(DONNEES!$E1072="","",DONNEES!F1072)</f>
        <v/>
      </c>
      <c r="F1072" t="str">
        <f>IF(DONNEES!$E1072="","",DONNEES!G1072)</f>
        <v/>
      </c>
      <c r="G1072" t="str">
        <f>IF(DONNEES!$E1072="","",DONNEES!H1072)</f>
        <v/>
      </c>
      <c r="H1072" t="str">
        <f>IF(DONNEES!$E1072="","",DONNEES!I1072)</f>
        <v/>
      </c>
      <c r="I1072" t="str">
        <f>IF(DONNEES!$E1072="","",DONNEES!J1072)</f>
        <v/>
      </c>
      <c r="J1072" t="str">
        <f>IF(DONNEES!$E1072="","",DONNEES!K1072)</f>
        <v/>
      </c>
      <c r="K1072" t="str">
        <f>IF(DONNEES!$E1072="","",DONNEES!L1072)</f>
        <v/>
      </c>
      <c r="L1072" t="str">
        <f>IF(DONNEES!$E1072="","",DONNEES!M1072)</f>
        <v/>
      </c>
      <c r="M1072" t="str">
        <f>IF(DONNEES!$E1072="","",DONNEES!N1072)</f>
        <v/>
      </c>
      <c r="N1072" t="str">
        <f>IF(DONNEES!$E1072="","",DONNEES!O1072)</f>
        <v/>
      </c>
      <c r="O1072" t="str">
        <f>IF(DONNEES!$E1072="","",DONNEES!P1072)</f>
        <v/>
      </c>
      <c r="P1072" t="str">
        <f>IF(DONNEES!$E1072="","",DONNEES!Q1072)</f>
        <v/>
      </c>
      <c r="Q1072" t="str">
        <f>IF(DONNEES!$E1072="","",DONNEES!R1072)</f>
        <v/>
      </c>
      <c r="R1072" t="str">
        <f>IF(DONNEES!$E1072="","",DONNEES!S1072)</f>
        <v/>
      </c>
      <c r="S1072" t="str">
        <f>IF(DONNEES!$E1072="","",DONNEES!T1072)</f>
        <v/>
      </c>
      <c r="T1072" t="str">
        <f>IF(DONNEES!$E1072="","",DONNEES!U1072)</f>
        <v/>
      </c>
      <c r="U1072" t="str">
        <f>IF(DONNEES!$E1072="","",DONNEES!V1072)</f>
        <v/>
      </c>
      <c r="V1072" t="str">
        <f>IF(DONNEES!$E1072="","",DONNEES!W1072)</f>
        <v/>
      </c>
      <c r="W1072" t="str">
        <f>IF(DONNEES!$E1072="","",DONNEES!X1072)</f>
        <v/>
      </c>
      <c r="X1072" t="str">
        <f>IF(DONNEES!$E1072="","",DONNEES!Y1072)</f>
        <v/>
      </c>
      <c r="Y1072" t="str">
        <f>IF(DONNEES!$E1072="","",DONNEES!Z1072)</f>
        <v/>
      </c>
      <c r="Z1072" t="str">
        <f>IF(DONNEES!$E1072="","",DONNEES!AQ1072)</f>
        <v/>
      </c>
    </row>
    <row r="1073" spans="1:26" ht="15" customHeight="1" x14ac:dyDescent="0.3">
      <c r="A1073" t="str">
        <f>IF(DONNEES!$E1073="","",DONNEES!A1073)</f>
        <v/>
      </c>
      <c r="B1073" t="str">
        <f>IF(DONNEES!$E1073="","",DONNEES!B1073)</f>
        <v/>
      </c>
      <c r="C1073" t="str">
        <f>IF(DONNEES!$E1073="","",DONNEES!C1073)</f>
        <v/>
      </c>
      <c r="D1073" t="str">
        <f>IF(DONNEES!$E1073="","",DONNEES!E1073)</f>
        <v/>
      </c>
      <c r="E1073" t="str">
        <f>IF(DONNEES!$E1073="","",DONNEES!F1073)</f>
        <v/>
      </c>
      <c r="F1073" t="str">
        <f>IF(DONNEES!$E1073="","",DONNEES!G1073)</f>
        <v/>
      </c>
      <c r="G1073" t="str">
        <f>IF(DONNEES!$E1073="","",DONNEES!H1073)</f>
        <v/>
      </c>
      <c r="H1073" t="str">
        <f>IF(DONNEES!$E1073="","",DONNEES!I1073)</f>
        <v/>
      </c>
      <c r="I1073" t="str">
        <f>IF(DONNEES!$E1073="","",DONNEES!J1073)</f>
        <v/>
      </c>
      <c r="J1073" t="str">
        <f>IF(DONNEES!$E1073="","",DONNEES!K1073)</f>
        <v/>
      </c>
      <c r="K1073" t="str">
        <f>IF(DONNEES!$E1073="","",DONNEES!L1073)</f>
        <v/>
      </c>
      <c r="L1073" t="str">
        <f>IF(DONNEES!$E1073="","",DONNEES!M1073)</f>
        <v/>
      </c>
      <c r="M1073" t="str">
        <f>IF(DONNEES!$E1073="","",DONNEES!N1073)</f>
        <v/>
      </c>
      <c r="N1073" t="str">
        <f>IF(DONNEES!$E1073="","",DONNEES!O1073)</f>
        <v/>
      </c>
      <c r="O1073" t="str">
        <f>IF(DONNEES!$E1073="","",DONNEES!P1073)</f>
        <v/>
      </c>
      <c r="P1073" t="str">
        <f>IF(DONNEES!$E1073="","",DONNEES!Q1073)</f>
        <v/>
      </c>
      <c r="Q1073" t="str">
        <f>IF(DONNEES!$E1073="","",DONNEES!R1073)</f>
        <v/>
      </c>
      <c r="R1073" t="str">
        <f>IF(DONNEES!$E1073="","",DONNEES!S1073)</f>
        <v/>
      </c>
      <c r="S1073" t="str">
        <f>IF(DONNEES!$E1073="","",DONNEES!T1073)</f>
        <v/>
      </c>
      <c r="T1073" t="str">
        <f>IF(DONNEES!$E1073="","",DONNEES!U1073)</f>
        <v/>
      </c>
      <c r="U1073" t="str">
        <f>IF(DONNEES!$E1073="","",DONNEES!V1073)</f>
        <v/>
      </c>
      <c r="V1073" t="str">
        <f>IF(DONNEES!$E1073="","",DONNEES!W1073)</f>
        <v/>
      </c>
      <c r="W1073" t="str">
        <f>IF(DONNEES!$E1073="","",DONNEES!X1073)</f>
        <v/>
      </c>
      <c r="X1073" t="str">
        <f>IF(DONNEES!$E1073="","",DONNEES!Y1073)</f>
        <v/>
      </c>
      <c r="Y1073" t="str">
        <f>IF(DONNEES!$E1073="","",DONNEES!Z1073)</f>
        <v/>
      </c>
      <c r="Z1073" t="str">
        <f>IF(DONNEES!$E1073="","",DONNEES!AQ1073)</f>
        <v/>
      </c>
    </row>
    <row r="1074" spans="1:26" ht="15" customHeight="1" x14ac:dyDescent="0.3">
      <c r="A1074" t="str">
        <f>IF(DONNEES!$E1074="","",DONNEES!A1074)</f>
        <v/>
      </c>
      <c r="B1074" t="str">
        <f>IF(DONNEES!$E1074="","",DONNEES!B1074)</f>
        <v/>
      </c>
      <c r="C1074" t="str">
        <f>IF(DONNEES!$E1074="","",DONNEES!C1074)</f>
        <v/>
      </c>
      <c r="D1074" t="str">
        <f>IF(DONNEES!$E1074="","",DONNEES!E1074)</f>
        <v/>
      </c>
      <c r="E1074" t="str">
        <f>IF(DONNEES!$E1074="","",DONNEES!F1074)</f>
        <v/>
      </c>
      <c r="F1074" t="str">
        <f>IF(DONNEES!$E1074="","",DONNEES!G1074)</f>
        <v/>
      </c>
      <c r="G1074" t="str">
        <f>IF(DONNEES!$E1074="","",DONNEES!H1074)</f>
        <v/>
      </c>
      <c r="H1074" t="str">
        <f>IF(DONNEES!$E1074="","",DONNEES!I1074)</f>
        <v/>
      </c>
      <c r="I1074" t="str">
        <f>IF(DONNEES!$E1074="","",DONNEES!J1074)</f>
        <v/>
      </c>
      <c r="J1074" t="str">
        <f>IF(DONNEES!$E1074="","",DONNEES!K1074)</f>
        <v/>
      </c>
      <c r="K1074" t="str">
        <f>IF(DONNEES!$E1074="","",DONNEES!L1074)</f>
        <v/>
      </c>
      <c r="L1074" t="str">
        <f>IF(DONNEES!$E1074="","",DONNEES!M1074)</f>
        <v/>
      </c>
      <c r="M1074" t="str">
        <f>IF(DONNEES!$E1074="","",DONNEES!N1074)</f>
        <v/>
      </c>
      <c r="N1074" t="str">
        <f>IF(DONNEES!$E1074="","",DONNEES!O1074)</f>
        <v/>
      </c>
      <c r="O1074" t="str">
        <f>IF(DONNEES!$E1074="","",DONNEES!P1074)</f>
        <v/>
      </c>
      <c r="P1074" t="str">
        <f>IF(DONNEES!$E1074="","",DONNEES!Q1074)</f>
        <v/>
      </c>
      <c r="Q1074" t="str">
        <f>IF(DONNEES!$E1074="","",DONNEES!R1074)</f>
        <v/>
      </c>
      <c r="R1074" t="str">
        <f>IF(DONNEES!$E1074="","",DONNEES!S1074)</f>
        <v/>
      </c>
      <c r="S1074" t="str">
        <f>IF(DONNEES!$E1074="","",DONNEES!T1074)</f>
        <v/>
      </c>
      <c r="T1074" t="str">
        <f>IF(DONNEES!$E1074="","",DONNEES!U1074)</f>
        <v/>
      </c>
      <c r="U1074" t="str">
        <f>IF(DONNEES!$E1074="","",DONNEES!V1074)</f>
        <v/>
      </c>
      <c r="V1074" t="str">
        <f>IF(DONNEES!$E1074="","",DONNEES!W1074)</f>
        <v/>
      </c>
      <c r="W1074" t="str">
        <f>IF(DONNEES!$E1074="","",DONNEES!X1074)</f>
        <v/>
      </c>
      <c r="X1074" t="str">
        <f>IF(DONNEES!$E1074="","",DONNEES!Y1074)</f>
        <v/>
      </c>
      <c r="Y1074" t="str">
        <f>IF(DONNEES!$E1074="","",DONNEES!Z1074)</f>
        <v/>
      </c>
      <c r="Z1074" t="str">
        <f>IF(DONNEES!$E1074="","",DONNEES!AQ1074)</f>
        <v/>
      </c>
    </row>
    <row r="1075" spans="1:26" ht="15" customHeight="1" x14ac:dyDescent="0.3">
      <c r="A1075" t="str">
        <f>IF(DONNEES!$E1075="","",DONNEES!A1075)</f>
        <v/>
      </c>
      <c r="B1075" t="str">
        <f>IF(DONNEES!$E1075="","",DONNEES!B1075)</f>
        <v/>
      </c>
      <c r="C1075" t="str">
        <f>IF(DONNEES!$E1075="","",DONNEES!C1075)</f>
        <v/>
      </c>
      <c r="D1075" t="str">
        <f>IF(DONNEES!$E1075="","",DONNEES!E1075)</f>
        <v/>
      </c>
      <c r="E1075" t="str">
        <f>IF(DONNEES!$E1075="","",DONNEES!F1075)</f>
        <v/>
      </c>
      <c r="F1075" t="str">
        <f>IF(DONNEES!$E1075="","",DONNEES!G1075)</f>
        <v/>
      </c>
      <c r="G1075" t="str">
        <f>IF(DONNEES!$E1075="","",DONNEES!H1075)</f>
        <v/>
      </c>
      <c r="H1075" t="str">
        <f>IF(DONNEES!$E1075="","",DONNEES!I1075)</f>
        <v/>
      </c>
      <c r="I1075" t="str">
        <f>IF(DONNEES!$E1075="","",DONNEES!J1075)</f>
        <v/>
      </c>
      <c r="J1075" t="str">
        <f>IF(DONNEES!$E1075="","",DONNEES!K1075)</f>
        <v/>
      </c>
      <c r="K1075" t="str">
        <f>IF(DONNEES!$E1075="","",DONNEES!L1075)</f>
        <v/>
      </c>
      <c r="L1075" t="str">
        <f>IF(DONNEES!$E1075="","",DONNEES!M1075)</f>
        <v/>
      </c>
      <c r="M1075" t="str">
        <f>IF(DONNEES!$E1075="","",DONNEES!N1075)</f>
        <v/>
      </c>
      <c r="N1075" t="str">
        <f>IF(DONNEES!$E1075="","",DONNEES!O1075)</f>
        <v/>
      </c>
      <c r="O1075" t="str">
        <f>IF(DONNEES!$E1075="","",DONNEES!P1075)</f>
        <v/>
      </c>
      <c r="P1075" t="str">
        <f>IF(DONNEES!$E1075="","",DONNEES!Q1075)</f>
        <v/>
      </c>
      <c r="Q1075" t="str">
        <f>IF(DONNEES!$E1075="","",DONNEES!R1075)</f>
        <v/>
      </c>
      <c r="R1075" t="str">
        <f>IF(DONNEES!$E1075="","",DONNEES!S1075)</f>
        <v/>
      </c>
      <c r="S1075" t="str">
        <f>IF(DONNEES!$E1075="","",DONNEES!T1075)</f>
        <v/>
      </c>
      <c r="T1075" t="str">
        <f>IF(DONNEES!$E1075="","",DONNEES!U1075)</f>
        <v/>
      </c>
      <c r="U1075" t="str">
        <f>IF(DONNEES!$E1075="","",DONNEES!V1075)</f>
        <v/>
      </c>
      <c r="V1075" t="str">
        <f>IF(DONNEES!$E1075="","",DONNEES!W1075)</f>
        <v/>
      </c>
      <c r="W1075" t="str">
        <f>IF(DONNEES!$E1075="","",DONNEES!X1075)</f>
        <v/>
      </c>
      <c r="X1075" t="str">
        <f>IF(DONNEES!$E1075="","",DONNEES!Y1075)</f>
        <v/>
      </c>
      <c r="Y1075" t="str">
        <f>IF(DONNEES!$E1075="","",DONNEES!Z1075)</f>
        <v/>
      </c>
      <c r="Z1075" t="str">
        <f>IF(DONNEES!$E1075="","",DONNEES!AQ1075)</f>
        <v/>
      </c>
    </row>
    <row r="1076" spans="1:26" ht="15" customHeight="1" x14ac:dyDescent="0.3">
      <c r="A1076" t="str">
        <f>IF(DONNEES!$E1076="","",DONNEES!A1076)</f>
        <v/>
      </c>
      <c r="B1076" t="str">
        <f>IF(DONNEES!$E1076="","",DONNEES!B1076)</f>
        <v/>
      </c>
      <c r="C1076" t="str">
        <f>IF(DONNEES!$E1076="","",DONNEES!C1076)</f>
        <v/>
      </c>
      <c r="D1076" t="str">
        <f>IF(DONNEES!$E1076="","",DONNEES!E1076)</f>
        <v/>
      </c>
      <c r="E1076" t="str">
        <f>IF(DONNEES!$E1076="","",DONNEES!F1076)</f>
        <v/>
      </c>
      <c r="F1076" t="str">
        <f>IF(DONNEES!$E1076="","",DONNEES!G1076)</f>
        <v/>
      </c>
      <c r="G1076" t="str">
        <f>IF(DONNEES!$E1076="","",DONNEES!H1076)</f>
        <v/>
      </c>
      <c r="H1076" t="str">
        <f>IF(DONNEES!$E1076="","",DONNEES!I1076)</f>
        <v/>
      </c>
      <c r="I1076" t="str">
        <f>IF(DONNEES!$E1076="","",DONNEES!J1076)</f>
        <v/>
      </c>
      <c r="J1076" t="str">
        <f>IF(DONNEES!$E1076="","",DONNEES!K1076)</f>
        <v/>
      </c>
      <c r="K1076" t="str">
        <f>IF(DONNEES!$E1076="","",DONNEES!L1076)</f>
        <v/>
      </c>
      <c r="L1076" t="str">
        <f>IF(DONNEES!$E1076="","",DONNEES!M1076)</f>
        <v/>
      </c>
      <c r="M1076" t="str">
        <f>IF(DONNEES!$E1076="","",DONNEES!N1076)</f>
        <v/>
      </c>
      <c r="N1076" t="str">
        <f>IF(DONNEES!$E1076="","",DONNEES!O1076)</f>
        <v/>
      </c>
      <c r="O1076" t="str">
        <f>IF(DONNEES!$E1076="","",DONNEES!P1076)</f>
        <v/>
      </c>
      <c r="P1076" t="str">
        <f>IF(DONNEES!$E1076="","",DONNEES!Q1076)</f>
        <v/>
      </c>
      <c r="Q1076" t="str">
        <f>IF(DONNEES!$E1076="","",DONNEES!R1076)</f>
        <v/>
      </c>
      <c r="R1076" t="str">
        <f>IF(DONNEES!$E1076="","",DONNEES!S1076)</f>
        <v/>
      </c>
      <c r="S1076" t="str">
        <f>IF(DONNEES!$E1076="","",DONNEES!T1076)</f>
        <v/>
      </c>
      <c r="T1076" t="str">
        <f>IF(DONNEES!$E1076="","",DONNEES!U1076)</f>
        <v/>
      </c>
      <c r="U1076" t="str">
        <f>IF(DONNEES!$E1076="","",DONNEES!V1076)</f>
        <v/>
      </c>
      <c r="V1076" t="str">
        <f>IF(DONNEES!$E1076="","",DONNEES!W1076)</f>
        <v/>
      </c>
      <c r="W1076" t="str">
        <f>IF(DONNEES!$E1076="","",DONNEES!X1076)</f>
        <v/>
      </c>
      <c r="X1076" t="str">
        <f>IF(DONNEES!$E1076="","",DONNEES!Y1076)</f>
        <v/>
      </c>
      <c r="Y1076" t="str">
        <f>IF(DONNEES!$E1076="","",DONNEES!Z1076)</f>
        <v/>
      </c>
      <c r="Z1076" t="str">
        <f>IF(DONNEES!$E1076="","",DONNEES!AQ1076)</f>
        <v/>
      </c>
    </row>
    <row r="1077" spans="1:26" ht="15" customHeight="1" x14ac:dyDescent="0.3">
      <c r="A1077" t="str">
        <f>IF(DONNEES!$E1077="","",DONNEES!A1077)</f>
        <v/>
      </c>
      <c r="B1077" t="str">
        <f>IF(DONNEES!$E1077="","",DONNEES!B1077)</f>
        <v/>
      </c>
      <c r="C1077" t="str">
        <f>IF(DONNEES!$E1077="","",DONNEES!C1077)</f>
        <v/>
      </c>
      <c r="D1077" t="str">
        <f>IF(DONNEES!$E1077="","",DONNEES!E1077)</f>
        <v/>
      </c>
      <c r="E1077" t="str">
        <f>IF(DONNEES!$E1077="","",DONNEES!F1077)</f>
        <v/>
      </c>
      <c r="F1077" t="str">
        <f>IF(DONNEES!$E1077="","",DONNEES!G1077)</f>
        <v/>
      </c>
      <c r="G1077" t="str">
        <f>IF(DONNEES!$E1077="","",DONNEES!H1077)</f>
        <v/>
      </c>
      <c r="H1077" t="str">
        <f>IF(DONNEES!$E1077="","",DONNEES!I1077)</f>
        <v/>
      </c>
      <c r="I1077" t="str">
        <f>IF(DONNEES!$E1077="","",DONNEES!J1077)</f>
        <v/>
      </c>
      <c r="J1077" t="str">
        <f>IF(DONNEES!$E1077="","",DONNEES!K1077)</f>
        <v/>
      </c>
      <c r="K1077" t="str">
        <f>IF(DONNEES!$E1077="","",DONNEES!L1077)</f>
        <v/>
      </c>
      <c r="L1077" t="str">
        <f>IF(DONNEES!$E1077="","",DONNEES!M1077)</f>
        <v/>
      </c>
      <c r="M1077" t="str">
        <f>IF(DONNEES!$E1077="","",DONNEES!N1077)</f>
        <v/>
      </c>
      <c r="N1077" t="str">
        <f>IF(DONNEES!$E1077="","",DONNEES!O1077)</f>
        <v/>
      </c>
      <c r="O1077" t="str">
        <f>IF(DONNEES!$E1077="","",DONNEES!P1077)</f>
        <v/>
      </c>
      <c r="P1077" t="str">
        <f>IF(DONNEES!$E1077="","",DONNEES!Q1077)</f>
        <v/>
      </c>
      <c r="Q1077" t="str">
        <f>IF(DONNEES!$E1077="","",DONNEES!R1077)</f>
        <v/>
      </c>
      <c r="R1077" t="str">
        <f>IF(DONNEES!$E1077="","",DONNEES!S1077)</f>
        <v/>
      </c>
      <c r="S1077" t="str">
        <f>IF(DONNEES!$E1077="","",DONNEES!T1077)</f>
        <v/>
      </c>
      <c r="T1077" t="str">
        <f>IF(DONNEES!$E1077="","",DONNEES!U1077)</f>
        <v/>
      </c>
      <c r="U1077" t="str">
        <f>IF(DONNEES!$E1077="","",DONNEES!V1077)</f>
        <v/>
      </c>
      <c r="V1077" t="str">
        <f>IF(DONNEES!$E1077="","",DONNEES!W1077)</f>
        <v/>
      </c>
      <c r="W1077" t="str">
        <f>IF(DONNEES!$E1077="","",DONNEES!X1077)</f>
        <v/>
      </c>
      <c r="X1077" t="str">
        <f>IF(DONNEES!$E1077="","",DONNEES!Y1077)</f>
        <v/>
      </c>
      <c r="Y1077" t="str">
        <f>IF(DONNEES!$E1077="","",DONNEES!Z1077)</f>
        <v/>
      </c>
      <c r="Z1077" t="str">
        <f>IF(DONNEES!$E1077="","",DONNEES!AQ1077)</f>
        <v/>
      </c>
    </row>
    <row r="1078" spans="1:26" ht="15" customHeight="1" x14ac:dyDescent="0.3">
      <c r="A1078" t="str">
        <f>IF(DONNEES!$E1078="","",DONNEES!A1078)</f>
        <v/>
      </c>
      <c r="B1078" t="str">
        <f>IF(DONNEES!$E1078="","",DONNEES!B1078)</f>
        <v/>
      </c>
      <c r="C1078" t="str">
        <f>IF(DONNEES!$E1078="","",DONNEES!C1078)</f>
        <v/>
      </c>
      <c r="D1078" t="str">
        <f>IF(DONNEES!$E1078="","",DONNEES!E1078)</f>
        <v/>
      </c>
      <c r="E1078" t="str">
        <f>IF(DONNEES!$E1078="","",DONNEES!F1078)</f>
        <v/>
      </c>
      <c r="F1078" t="str">
        <f>IF(DONNEES!$E1078="","",DONNEES!G1078)</f>
        <v/>
      </c>
      <c r="G1078" t="str">
        <f>IF(DONNEES!$E1078="","",DONNEES!H1078)</f>
        <v/>
      </c>
      <c r="H1078" t="str">
        <f>IF(DONNEES!$E1078="","",DONNEES!I1078)</f>
        <v/>
      </c>
      <c r="I1078" t="str">
        <f>IF(DONNEES!$E1078="","",DONNEES!J1078)</f>
        <v/>
      </c>
      <c r="J1078" t="str">
        <f>IF(DONNEES!$E1078="","",DONNEES!K1078)</f>
        <v/>
      </c>
      <c r="K1078" t="str">
        <f>IF(DONNEES!$E1078="","",DONNEES!L1078)</f>
        <v/>
      </c>
      <c r="L1078" t="str">
        <f>IF(DONNEES!$E1078="","",DONNEES!M1078)</f>
        <v/>
      </c>
      <c r="M1078" t="str">
        <f>IF(DONNEES!$E1078="","",DONNEES!N1078)</f>
        <v/>
      </c>
      <c r="N1078" t="str">
        <f>IF(DONNEES!$E1078="","",DONNEES!O1078)</f>
        <v/>
      </c>
      <c r="O1078" t="str">
        <f>IF(DONNEES!$E1078="","",DONNEES!P1078)</f>
        <v/>
      </c>
      <c r="P1078" t="str">
        <f>IF(DONNEES!$E1078="","",DONNEES!Q1078)</f>
        <v/>
      </c>
      <c r="Q1078" t="str">
        <f>IF(DONNEES!$E1078="","",DONNEES!R1078)</f>
        <v/>
      </c>
      <c r="R1078" t="str">
        <f>IF(DONNEES!$E1078="","",DONNEES!S1078)</f>
        <v/>
      </c>
      <c r="S1078" t="str">
        <f>IF(DONNEES!$E1078="","",DONNEES!T1078)</f>
        <v/>
      </c>
      <c r="T1078" t="str">
        <f>IF(DONNEES!$E1078="","",DONNEES!U1078)</f>
        <v/>
      </c>
      <c r="U1078" t="str">
        <f>IF(DONNEES!$E1078="","",DONNEES!V1078)</f>
        <v/>
      </c>
      <c r="V1078" t="str">
        <f>IF(DONNEES!$E1078="","",DONNEES!W1078)</f>
        <v/>
      </c>
      <c r="W1078" t="str">
        <f>IF(DONNEES!$E1078="","",DONNEES!X1078)</f>
        <v/>
      </c>
      <c r="X1078" t="str">
        <f>IF(DONNEES!$E1078="","",DONNEES!Y1078)</f>
        <v/>
      </c>
      <c r="Y1078" t="str">
        <f>IF(DONNEES!$E1078="","",DONNEES!Z1078)</f>
        <v/>
      </c>
      <c r="Z1078" t="str">
        <f>IF(DONNEES!$E1078="","",DONNEES!AQ1078)</f>
        <v/>
      </c>
    </row>
    <row r="1079" spans="1:26" ht="15" customHeight="1" x14ac:dyDescent="0.3">
      <c r="A1079" t="str">
        <f>IF(DONNEES!$E1079="","",DONNEES!A1079)</f>
        <v/>
      </c>
      <c r="B1079" t="str">
        <f>IF(DONNEES!$E1079="","",DONNEES!B1079)</f>
        <v/>
      </c>
      <c r="C1079" t="str">
        <f>IF(DONNEES!$E1079="","",DONNEES!C1079)</f>
        <v/>
      </c>
      <c r="D1079" t="str">
        <f>IF(DONNEES!$E1079="","",DONNEES!E1079)</f>
        <v/>
      </c>
      <c r="E1079" t="str">
        <f>IF(DONNEES!$E1079="","",DONNEES!F1079)</f>
        <v/>
      </c>
      <c r="F1079" t="str">
        <f>IF(DONNEES!$E1079="","",DONNEES!G1079)</f>
        <v/>
      </c>
      <c r="G1079" t="str">
        <f>IF(DONNEES!$E1079="","",DONNEES!H1079)</f>
        <v/>
      </c>
      <c r="H1079" t="str">
        <f>IF(DONNEES!$E1079="","",DONNEES!I1079)</f>
        <v/>
      </c>
      <c r="I1079" t="str">
        <f>IF(DONNEES!$E1079="","",DONNEES!J1079)</f>
        <v/>
      </c>
      <c r="J1079" t="str">
        <f>IF(DONNEES!$E1079="","",DONNEES!K1079)</f>
        <v/>
      </c>
      <c r="K1079" t="str">
        <f>IF(DONNEES!$E1079="","",DONNEES!L1079)</f>
        <v/>
      </c>
      <c r="L1079" t="str">
        <f>IF(DONNEES!$E1079="","",DONNEES!M1079)</f>
        <v/>
      </c>
      <c r="M1079" t="str">
        <f>IF(DONNEES!$E1079="","",DONNEES!N1079)</f>
        <v/>
      </c>
      <c r="N1079" t="str">
        <f>IF(DONNEES!$E1079="","",DONNEES!O1079)</f>
        <v/>
      </c>
      <c r="O1079" t="str">
        <f>IF(DONNEES!$E1079="","",DONNEES!P1079)</f>
        <v/>
      </c>
      <c r="P1079" t="str">
        <f>IF(DONNEES!$E1079="","",DONNEES!Q1079)</f>
        <v/>
      </c>
      <c r="Q1079" t="str">
        <f>IF(DONNEES!$E1079="","",DONNEES!R1079)</f>
        <v/>
      </c>
      <c r="R1079" t="str">
        <f>IF(DONNEES!$E1079="","",DONNEES!S1079)</f>
        <v/>
      </c>
      <c r="S1079" t="str">
        <f>IF(DONNEES!$E1079="","",DONNEES!T1079)</f>
        <v/>
      </c>
      <c r="T1079" t="str">
        <f>IF(DONNEES!$E1079="","",DONNEES!U1079)</f>
        <v/>
      </c>
      <c r="U1079" t="str">
        <f>IF(DONNEES!$E1079="","",DONNEES!V1079)</f>
        <v/>
      </c>
      <c r="V1079" t="str">
        <f>IF(DONNEES!$E1079="","",DONNEES!W1079)</f>
        <v/>
      </c>
      <c r="W1079" t="str">
        <f>IF(DONNEES!$E1079="","",DONNEES!X1079)</f>
        <v/>
      </c>
      <c r="X1079" t="str">
        <f>IF(DONNEES!$E1079="","",DONNEES!Y1079)</f>
        <v/>
      </c>
      <c r="Y1079" t="str">
        <f>IF(DONNEES!$E1079="","",DONNEES!Z1079)</f>
        <v/>
      </c>
      <c r="Z1079" t="str">
        <f>IF(DONNEES!$E1079="","",DONNEES!AQ1079)</f>
        <v/>
      </c>
    </row>
    <row r="1080" spans="1:26" ht="15" customHeight="1" x14ac:dyDescent="0.3">
      <c r="A1080" t="str">
        <f>IF(DONNEES!$E1080="","",DONNEES!A1080)</f>
        <v/>
      </c>
      <c r="B1080" t="str">
        <f>IF(DONNEES!$E1080="","",DONNEES!B1080)</f>
        <v/>
      </c>
      <c r="C1080" t="str">
        <f>IF(DONNEES!$E1080="","",DONNEES!C1080)</f>
        <v/>
      </c>
      <c r="D1080" t="str">
        <f>IF(DONNEES!$E1080="","",DONNEES!E1080)</f>
        <v/>
      </c>
      <c r="E1080" t="str">
        <f>IF(DONNEES!$E1080="","",DONNEES!F1080)</f>
        <v/>
      </c>
      <c r="F1080" t="str">
        <f>IF(DONNEES!$E1080="","",DONNEES!G1080)</f>
        <v/>
      </c>
      <c r="G1080" t="str">
        <f>IF(DONNEES!$E1080="","",DONNEES!H1080)</f>
        <v/>
      </c>
      <c r="H1080" t="str">
        <f>IF(DONNEES!$E1080="","",DONNEES!I1080)</f>
        <v/>
      </c>
      <c r="I1080" t="str">
        <f>IF(DONNEES!$E1080="","",DONNEES!J1080)</f>
        <v/>
      </c>
      <c r="J1080" t="str">
        <f>IF(DONNEES!$E1080="","",DONNEES!K1080)</f>
        <v/>
      </c>
      <c r="K1080" t="str">
        <f>IF(DONNEES!$E1080="","",DONNEES!L1080)</f>
        <v/>
      </c>
      <c r="L1080" t="str">
        <f>IF(DONNEES!$E1080="","",DONNEES!M1080)</f>
        <v/>
      </c>
      <c r="M1080" t="str">
        <f>IF(DONNEES!$E1080="","",DONNEES!N1080)</f>
        <v/>
      </c>
      <c r="N1080" t="str">
        <f>IF(DONNEES!$E1080="","",DONNEES!O1080)</f>
        <v/>
      </c>
      <c r="O1080" t="str">
        <f>IF(DONNEES!$E1080="","",DONNEES!P1080)</f>
        <v/>
      </c>
      <c r="P1080" t="str">
        <f>IF(DONNEES!$E1080="","",DONNEES!Q1080)</f>
        <v/>
      </c>
      <c r="Q1080" t="str">
        <f>IF(DONNEES!$E1080="","",DONNEES!R1080)</f>
        <v/>
      </c>
      <c r="R1080" t="str">
        <f>IF(DONNEES!$E1080="","",DONNEES!S1080)</f>
        <v/>
      </c>
      <c r="S1080" t="str">
        <f>IF(DONNEES!$E1080="","",DONNEES!T1080)</f>
        <v/>
      </c>
      <c r="T1080" t="str">
        <f>IF(DONNEES!$E1080="","",DONNEES!U1080)</f>
        <v/>
      </c>
      <c r="U1080" t="str">
        <f>IF(DONNEES!$E1080="","",DONNEES!V1080)</f>
        <v/>
      </c>
      <c r="V1080" t="str">
        <f>IF(DONNEES!$E1080="","",DONNEES!W1080)</f>
        <v/>
      </c>
      <c r="W1080" t="str">
        <f>IF(DONNEES!$E1080="","",DONNEES!X1080)</f>
        <v/>
      </c>
      <c r="X1080" t="str">
        <f>IF(DONNEES!$E1080="","",DONNEES!Y1080)</f>
        <v/>
      </c>
      <c r="Y1080" t="str">
        <f>IF(DONNEES!$E1080="","",DONNEES!Z1080)</f>
        <v/>
      </c>
      <c r="Z1080" t="str">
        <f>IF(DONNEES!$E1080="","",DONNEES!AQ1080)</f>
        <v/>
      </c>
    </row>
    <row r="1081" spans="1:26" ht="15" customHeight="1" x14ac:dyDescent="0.3">
      <c r="A1081" t="str">
        <f>IF(DONNEES!$E1081="","",DONNEES!A1081)</f>
        <v/>
      </c>
      <c r="B1081" t="str">
        <f>IF(DONNEES!$E1081="","",DONNEES!B1081)</f>
        <v/>
      </c>
      <c r="C1081" t="str">
        <f>IF(DONNEES!$E1081="","",DONNEES!C1081)</f>
        <v/>
      </c>
      <c r="D1081" t="str">
        <f>IF(DONNEES!$E1081="","",DONNEES!E1081)</f>
        <v/>
      </c>
      <c r="E1081" t="str">
        <f>IF(DONNEES!$E1081="","",DONNEES!F1081)</f>
        <v/>
      </c>
      <c r="F1081" t="str">
        <f>IF(DONNEES!$E1081="","",DONNEES!G1081)</f>
        <v/>
      </c>
      <c r="G1081" t="str">
        <f>IF(DONNEES!$E1081="","",DONNEES!H1081)</f>
        <v/>
      </c>
      <c r="H1081" t="str">
        <f>IF(DONNEES!$E1081="","",DONNEES!I1081)</f>
        <v/>
      </c>
      <c r="I1081" t="str">
        <f>IF(DONNEES!$E1081="","",DONNEES!J1081)</f>
        <v/>
      </c>
      <c r="J1081" t="str">
        <f>IF(DONNEES!$E1081="","",DONNEES!K1081)</f>
        <v/>
      </c>
      <c r="K1081" t="str">
        <f>IF(DONNEES!$E1081="","",DONNEES!L1081)</f>
        <v/>
      </c>
      <c r="L1081" t="str">
        <f>IF(DONNEES!$E1081="","",DONNEES!M1081)</f>
        <v/>
      </c>
      <c r="M1081" t="str">
        <f>IF(DONNEES!$E1081="","",DONNEES!N1081)</f>
        <v/>
      </c>
      <c r="N1081" t="str">
        <f>IF(DONNEES!$E1081="","",DONNEES!O1081)</f>
        <v/>
      </c>
      <c r="O1081" t="str">
        <f>IF(DONNEES!$E1081="","",DONNEES!P1081)</f>
        <v/>
      </c>
      <c r="P1081" t="str">
        <f>IF(DONNEES!$E1081="","",DONNEES!Q1081)</f>
        <v/>
      </c>
      <c r="Q1081" t="str">
        <f>IF(DONNEES!$E1081="","",DONNEES!R1081)</f>
        <v/>
      </c>
      <c r="R1081" t="str">
        <f>IF(DONNEES!$E1081="","",DONNEES!S1081)</f>
        <v/>
      </c>
      <c r="S1081" t="str">
        <f>IF(DONNEES!$E1081="","",DONNEES!T1081)</f>
        <v/>
      </c>
      <c r="T1081" t="str">
        <f>IF(DONNEES!$E1081="","",DONNEES!U1081)</f>
        <v/>
      </c>
      <c r="U1081" t="str">
        <f>IF(DONNEES!$E1081="","",DONNEES!V1081)</f>
        <v/>
      </c>
      <c r="V1081" t="str">
        <f>IF(DONNEES!$E1081="","",DONNEES!W1081)</f>
        <v/>
      </c>
      <c r="W1081" t="str">
        <f>IF(DONNEES!$E1081="","",DONNEES!X1081)</f>
        <v/>
      </c>
      <c r="X1081" t="str">
        <f>IF(DONNEES!$E1081="","",DONNEES!Y1081)</f>
        <v/>
      </c>
      <c r="Y1081" t="str">
        <f>IF(DONNEES!$E1081="","",DONNEES!Z1081)</f>
        <v/>
      </c>
      <c r="Z1081" t="str">
        <f>IF(DONNEES!$E1081="","",DONNEES!AQ1081)</f>
        <v/>
      </c>
    </row>
    <row r="1082" spans="1:26" ht="15" customHeight="1" x14ac:dyDescent="0.3">
      <c r="A1082" t="str">
        <f>IF(DONNEES!$E1082="","",DONNEES!A1082)</f>
        <v/>
      </c>
      <c r="B1082" t="str">
        <f>IF(DONNEES!$E1082="","",DONNEES!B1082)</f>
        <v/>
      </c>
      <c r="C1082" t="str">
        <f>IF(DONNEES!$E1082="","",DONNEES!C1082)</f>
        <v/>
      </c>
      <c r="D1082" t="str">
        <f>IF(DONNEES!$E1082="","",DONNEES!E1082)</f>
        <v/>
      </c>
      <c r="E1082" t="str">
        <f>IF(DONNEES!$E1082="","",DONNEES!F1082)</f>
        <v/>
      </c>
      <c r="F1082" t="str">
        <f>IF(DONNEES!$E1082="","",DONNEES!G1082)</f>
        <v/>
      </c>
      <c r="G1082" t="str">
        <f>IF(DONNEES!$E1082="","",DONNEES!H1082)</f>
        <v/>
      </c>
      <c r="H1082" t="str">
        <f>IF(DONNEES!$E1082="","",DONNEES!I1082)</f>
        <v/>
      </c>
      <c r="I1082" t="str">
        <f>IF(DONNEES!$E1082="","",DONNEES!J1082)</f>
        <v/>
      </c>
      <c r="J1082" t="str">
        <f>IF(DONNEES!$E1082="","",DONNEES!K1082)</f>
        <v/>
      </c>
      <c r="K1082" t="str">
        <f>IF(DONNEES!$E1082="","",DONNEES!L1082)</f>
        <v/>
      </c>
      <c r="L1082" t="str">
        <f>IF(DONNEES!$E1082="","",DONNEES!M1082)</f>
        <v/>
      </c>
      <c r="M1082" t="str">
        <f>IF(DONNEES!$E1082="","",DONNEES!N1082)</f>
        <v/>
      </c>
      <c r="N1082" t="str">
        <f>IF(DONNEES!$E1082="","",DONNEES!O1082)</f>
        <v/>
      </c>
      <c r="O1082" t="str">
        <f>IF(DONNEES!$E1082="","",DONNEES!P1082)</f>
        <v/>
      </c>
      <c r="P1082" t="str">
        <f>IF(DONNEES!$E1082="","",DONNEES!Q1082)</f>
        <v/>
      </c>
      <c r="Q1082" t="str">
        <f>IF(DONNEES!$E1082="","",DONNEES!R1082)</f>
        <v/>
      </c>
      <c r="R1082" t="str">
        <f>IF(DONNEES!$E1082="","",DONNEES!S1082)</f>
        <v/>
      </c>
      <c r="S1082" t="str">
        <f>IF(DONNEES!$E1082="","",DONNEES!T1082)</f>
        <v/>
      </c>
      <c r="T1082" t="str">
        <f>IF(DONNEES!$E1082="","",DONNEES!U1082)</f>
        <v/>
      </c>
      <c r="U1082" t="str">
        <f>IF(DONNEES!$E1082="","",DONNEES!V1082)</f>
        <v/>
      </c>
      <c r="V1082" t="str">
        <f>IF(DONNEES!$E1082="","",DONNEES!W1082)</f>
        <v/>
      </c>
      <c r="W1082" t="str">
        <f>IF(DONNEES!$E1082="","",DONNEES!X1082)</f>
        <v/>
      </c>
      <c r="X1082" t="str">
        <f>IF(DONNEES!$E1082="","",DONNEES!Y1082)</f>
        <v/>
      </c>
      <c r="Y1082" t="str">
        <f>IF(DONNEES!$E1082="","",DONNEES!Z1082)</f>
        <v/>
      </c>
      <c r="Z1082" t="str">
        <f>IF(DONNEES!$E1082="","",DONNEES!AQ1082)</f>
        <v/>
      </c>
    </row>
    <row r="1083" spans="1:26" ht="15" customHeight="1" x14ac:dyDescent="0.3">
      <c r="A1083" t="str">
        <f>IF(DONNEES!$E1083="","",DONNEES!A1083)</f>
        <v/>
      </c>
      <c r="B1083" t="str">
        <f>IF(DONNEES!$E1083="","",DONNEES!B1083)</f>
        <v/>
      </c>
      <c r="C1083" t="str">
        <f>IF(DONNEES!$E1083="","",DONNEES!C1083)</f>
        <v/>
      </c>
      <c r="D1083" t="str">
        <f>IF(DONNEES!$E1083="","",DONNEES!E1083)</f>
        <v/>
      </c>
      <c r="E1083" t="str">
        <f>IF(DONNEES!$E1083="","",DONNEES!F1083)</f>
        <v/>
      </c>
      <c r="F1083" t="str">
        <f>IF(DONNEES!$E1083="","",DONNEES!G1083)</f>
        <v/>
      </c>
      <c r="G1083" t="str">
        <f>IF(DONNEES!$E1083="","",DONNEES!H1083)</f>
        <v/>
      </c>
      <c r="H1083" t="str">
        <f>IF(DONNEES!$E1083="","",DONNEES!I1083)</f>
        <v/>
      </c>
      <c r="I1083" t="str">
        <f>IF(DONNEES!$E1083="","",DONNEES!J1083)</f>
        <v/>
      </c>
      <c r="J1083" t="str">
        <f>IF(DONNEES!$E1083="","",DONNEES!K1083)</f>
        <v/>
      </c>
      <c r="K1083" t="str">
        <f>IF(DONNEES!$E1083="","",DONNEES!L1083)</f>
        <v/>
      </c>
      <c r="L1083" t="str">
        <f>IF(DONNEES!$E1083="","",DONNEES!M1083)</f>
        <v/>
      </c>
      <c r="M1083" t="str">
        <f>IF(DONNEES!$E1083="","",DONNEES!N1083)</f>
        <v/>
      </c>
      <c r="N1083" t="str">
        <f>IF(DONNEES!$E1083="","",DONNEES!O1083)</f>
        <v/>
      </c>
      <c r="O1083" t="str">
        <f>IF(DONNEES!$E1083="","",DONNEES!P1083)</f>
        <v/>
      </c>
      <c r="P1083" t="str">
        <f>IF(DONNEES!$E1083="","",DONNEES!Q1083)</f>
        <v/>
      </c>
      <c r="Q1083" t="str">
        <f>IF(DONNEES!$E1083="","",DONNEES!R1083)</f>
        <v/>
      </c>
      <c r="R1083" t="str">
        <f>IF(DONNEES!$E1083="","",DONNEES!S1083)</f>
        <v/>
      </c>
      <c r="S1083" t="str">
        <f>IF(DONNEES!$E1083="","",DONNEES!T1083)</f>
        <v/>
      </c>
      <c r="T1083" t="str">
        <f>IF(DONNEES!$E1083="","",DONNEES!U1083)</f>
        <v/>
      </c>
      <c r="U1083" t="str">
        <f>IF(DONNEES!$E1083="","",DONNEES!V1083)</f>
        <v/>
      </c>
      <c r="V1083" t="str">
        <f>IF(DONNEES!$E1083="","",DONNEES!W1083)</f>
        <v/>
      </c>
      <c r="W1083" t="str">
        <f>IF(DONNEES!$E1083="","",DONNEES!X1083)</f>
        <v/>
      </c>
      <c r="X1083" t="str">
        <f>IF(DONNEES!$E1083="","",DONNEES!Y1083)</f>
        <v/>
      </c>
      <c r="Y1083" t="str">
        <f>IF(DONNEES!$E1083="","",DONNEES!Z1083)</f>
        <v/>
      </c>
      <c r="Z1083" t="str">
        <f>IF(DONNEES!$E1083="","",DONNEES!AQ1083)</f>
        <v/>
      </c>
    </row>
    <row r="1084" spans="1:26" ht="15" customHeight="1" x14ac:dyDescent="0.3">
      <c r="A1084" t="str">
        <f>IF(DONNEES!$E1084="","",DONNEES!A1084)</f>
        <v/>
      </c>
      <c r="B1084" t="str">
        <f>IF(DONNEES!$E1084="","",DONNEES!B1084)</f>
        <v/>
      </c>
      <c r="C1084" t="str">
        <f>IF(DONNEES!$E1084="","",DONNEES!C1084)</f>
        <v/>
      </c>
      <c r="D1084" t="str">
        <f>IF(DONNEES!$E1084="","",DONNEES!E1084)</f>
        <v/>
      </c>
      <c r="E1084" t="str">
        <f>IF(DONNEES!$E1084="","",DONNEES!F1084)</f>
        <v/>
      </c>
      <c r="F1084" t="str">
        <f>IF(DONNEES!$E1084="","",DONNEES!G1084)</f>
        <v/>
      </c>
      <c r="G1084" t="str">
        <f>IF(DONNEES!$E1084="","",DONNEES!H1084)</f>
        <v/>
      </c>
      <c r="H1084" t="str">
        <f>IF(DONNEES!$E1084="","",DONNEES!I1084)</f>
        <v/>
      </c>
      <c r="I1084" t="str">
        <f>IF(DONNEES!$E1084="","",DONNEES!J1084)</f>
        <v/>
      </c>
      <c r="J1084" t="str">
        <f>IF(DONNEES!$E1084="","",DONNEES!K1084)</f>
        <v/>
      </c>
      <c r="K1084" t="str">
        <f>IF(DONNEES!$E1084="","",DONNEES!L1084)</f>
        <v/>
      </c>
      <c r="L1084" t="str">
        <f>IF(DONNEES!$E1084="","",DONNEES!M1084)</f>
        <v/>
      </c>
      <c r="M1084" t="str">
        <f>IF(DONNEES!$E1084="","",DONNEES!N1084)</f>
        <v/>
      </c>
      <c r="N1084" t="str">
        <f>IF(DONNEES!$E1084="","",DONNEES!O1084)</f>
        <v/>
      </c>
      <c r="O1084" t="str">
        <f>IF(DONNEES!$E1084="","",DONNEES!P1084)</f>
        <v/>
      </c>
      <c r="P1084" t="str">
        <f>IF(DONNEES!$E1084="","",DONNEES!Q1084)</f>
        <v/>
      </c>
      <c r="Q1084" t="str">
        <f>IF(DONNEES!$E1084="","",DONNEES!R1084)</f>
        <v/>
      </c>
      <c r="R1084" t="str">
        <f>IF(DONNEES!$E1084="","",DONNEES!S1084)</f>
        <v/>
      </c>
      <c r="S1084" t="str">
        <f>IF(DONNEES!$E1084="","",DONNEES!T1084)</f>
        <v/>
      </c>
      <c r="T1084" t="str">
        <f>IF(DONNEES!$E1084="","",DONNEES!U1084)</f>
        <v/>
      </c>
      <c r="U1084" t="str">
        <f>IF(DONNEES!$E1084="","",DONNEES!V1084)</f>
        <v/>
      </c>
      <c r="V1084" t="str">
        <f>IF(DONNEES!$E1084="","",DONNEES!W1084)</f>
        <v/>
      </c>
      <c r="W1084" t="str">
        <f>IF(DONNEES!$E1084="","",DONNEES!X1084)</f>
        <v/>
      </c>
      <c r="X1084" t="str">
        <f>IF(DONNEES!$E1084="","",DONNEES!Y1084)</f>
        <v/>
      </c>
      <c r="Y1084" t="str">
        <f>IF(DONNEES!$E1084="","",DONNEES!Z1084)</f>
        <v/>
      </c>
      <c r="Z1084" t="str">
        <f>IF(DONNEES!$E1084="","",DONNEES!AQ1084)</f>
        <v/>
      </c>
    </row>
    <row r="1085" spans="1:26" ht="15" customHeight="1" x14ac:dyDescent="0.3">
      <c r="A1085" t="str">
        <f>IF(DONNEES!$E1085="","",DONNEES!A1085)</f>
        <v/>
      </c>
      <c r="B1085" t="str">
        <f>IF(DONNEES!$E1085="","",DONNEES!B1085)</f>
        <v/>
      </c>
      <c r="C1085" t="str">
        <f>IF(DONNEES!$E1085="","",DONNEES!C1085)</f>
        <v/>
      </c>
      <c r="D1085" t="str">
        <f>IF(DONNEES!$E1085="","",DONNEES!E1085)</f>
        <v/>
      </c>
      <c r="E1085" t="str">
        <f>IF(DONNEES!$E1085="","",DONNEES!F1085)</f>
        <v/>
      </c>
      <c r="F1085" t="str">
        <f>IF(DONNEES!$E1085="","",DONNEES!G1085)</f>
        <v/>
      </c>
      <c r="G1085" t="str">
        <f>IF(DONNEES!$E1085="","",DONNEES!H1085)</f>
        <v/>
      </c>
      <c r="H1085" t="str">
        <f>IF(DONNEES!$E1085="","",DONNEES!I1085)</f>
        <v/>
      </c>
      <c r="I1085" t="str">
        <f>IF(DONNEES!$E1085="","",DONNEES!J1085)</f>
        <v/>
      </c>
      <c r="J1085" t="str">
        <f>IF(DONNEES!$E1085="","",DONNEES!K1085)</f>
        <v/>
      </c>
      <c r="K1085" t="str">
        <f>IF(DONNEES!$E1085="","",DONNEES!L1085)</f>
        <v/>
      </c>
      <c r="L1085" t="str">
        <f>IF(DONNEES!$E1085="","",DONNEES!M1085)</f>
        <v/>
      </c>
      <c r="M1085" t="str">
        <f>IF(DONNEES!$E1085="","",DONNEES!N1085)</f>
        <v/>
      </c>
      <c r="N1085" t="str">
        <f>IF(DONNEES!$E1085="","",DONNEES!O1085)</f>
        <v/>
      </c>
      <c r="O1085" t="str">
        <f>IF(DONNEES!$E1085="","",DONNEES!P1085)</f>
        <v/>
      </c>
      <c r="P1085" t="str">
        <f>IF(DONNEES!$E1085="","",DONNEES!Q1085)</f>
        <v/>
      </c>
      <c r="Q1085" t="str">
        <f>IF(DONNEES!$E1085="","",DONNEES!R1085)</f>
        <v/>
      </c>
      <c r="R1085" t="str">
        <f>IF(DONNEES!$E1085="","",DONNEES!S1085)</f>
        <v/>
      </c>
      <c r="S1085" t="str">
        <f>IF(DONNEES!$E1085="","",DONNEES!T1085)</f>
        <v/>
      </c>
      <c r="T1085" t="str">
        <f>IF(DONNEES!$E1085="","",DONNEES!U1085)</f>
        <v/>
      </c>
      <c r="U1085" t="str">
        <f>IF(DONNEES!$E1085="","",DONNEES!V1085)</f>
        <v/>
      </c>
      <c r="V1085" t="str">
        <f>IF(DONNEES!$E1085="","",DONNEES!W1085)</f>
        <v/>
      </c>
      <c r="W1085" t="str">
        <f>IF(DONNEES!$E1085="","",DONNEES!X1085)</f>
        <v/>
      </c>
      <c r="X1085" t="str">
        <f>IF(DONNEES!$E1085="","",DONNEES!Y1085)</f>
        <v/>
      </c>
      <c r="Y1085" t="str">
        <f>IF(DONNEES!$E1085="","",DONNEES!Z1085)</f>
        <v/>
      </c>
      <c r="Z1085" t="str">
        <f>IF(DONNEES!$E1085="","",DONNEES!AQ1085)</f>
        <v/>
      </c>
    </row>
    <row r="1086" spans="1:26" ht="15" customHeight="1" x14ac:dyDescent="0.3">
      <c r="A1086" t="str">
        <f>IF(DONNEES!$E1086="","",DONNEES!A1086)</f>
        <v/>
      </c>
      <c r="B1086" t="str">
        <f>IF(DONNEES!$E1086="","",DONNEES!B1086)</f>
        <v/>
      </c>
      <c r="C1086" t="str">
        <f>IF(DONNEES!$E1086="","",DONNEES!C1086)</f>
        <v/>
      </c>
      <c r="D1086" t="str">
        <f>IF(DONNEES!$E1086="","",DONNEES!E1086)</f>
        <v/>
      </c>
      <c r="E1086" t="str">
        <f>IF(DONNEES!$E1086="","",DONNEES!F1086)</f>
        <v/>
      </c>
      <c r="F1086" t="str">
        <f>IF(DONNEES!$E1086="","",DONNEES!G1086)</f>
        <v/>
      </c>
      <c r="G1086" t="str">
        <f>IF(DONNEES!$E1086="","",DONNEES!H1086)</f>
        <v/>
      </c>
      <c r="H1086" t="str">
        <f>IF(DONNEES!$E1086="","",DONNEES!I1086)</f>
        <v/>
      </c>
      <c r="I1086" t="str">
        <f>IF(DONNEES!$E1086="","",DONNEES!J1086)</f>
        <v/>
      </c>
      <c r="J1086" t="str">
        <f>IF(DONNEES!$E1086="","",DONNEES!K1086)</f>
        <v/>
      </c>
      <c r="K1086" t="str">
        <f>IF(DONNEES!$E1086="","",DONNEES!L1086)</f>
        <v/>
      </c>
      <c r="L1086" t="str">
        <f>IF(DONNEES!$E1086="","",DONNEES!M1086)</f>
        <v/>
      </c>
      <c r="M1086" t="str">
        <f>IF(DONNEES!$E1086="","",DONNEES!N1086)</f>
        <v/>
      </c>
      <c r="N1086" t="str">
        <f>IF(DONNEES!$E1086="","",DONNEES!O1086)</f>
        <v/>
      </c>
      <c r="O1086" t="str">
        <f>IF(DONNEES!$E1086="","",DONNEES!P1086)</f>
        <v/>
      </c>
      <c r="P1086" t="str">
        <f>IF(DONNEES!$E1086="","",DONNEES!Q1086)</f>
        <v/>
      </c>
      <c r="Q1086" t="str">
        <f>IF(DONNEES!$E1086="","",DONNEES!R1086)</f>
        <v/>
      </c>
      <c r="R1086" t="str">
        <f>IF(DONNEES!$E1086="","",DONNEES!S1086)</f>
        <v/>
      </c>
      <c r="S1086" t="str">
        <f>IF(DONNEES!$E1086="","",DONNEES!T1086)</f>
        <v/>
      </c>
      <c r="T1086" t="str">
        <f>IF(DONNEES!$E1086="","",DONNEES!U1086)</f>
        <v/>
      </c>
      <c r="U1086" t="str">
        <f>IF(DONNEES!$E1086="","",DONNEES!V1086)</f>
        <v/>
      </c>
      <c r="V1086" t="str">
        <f>IF(DONNEES!$E1086="","",DONNEES!W1086)</f>
        <v/>
      </c>
      <c r="W1086" t="str">
        <f>IF(DONNEES!$E1086="","",DONNEES!X1086)</f>
        <v/>
      </c>
      <c r="X1086" t="str">
        <f>IF(DONNEES!$E1086="","",DONNEES!Y1086)</f>
        <v/>
      </c>
      <c r="Y1086" t="str">
        <f>IF(DONNEES!$E1086="","",DONNEES!Z1086)</f>
        <v/>
      </c>
      <c r="Z1086" t="str">
        <f>IF(DONNEES!$E1086="","",DONNEES!AQ1086)</f>
        <v/>
      </c>
    </row>
    <row r="1087" spans="1:26" ht="15" customHeight="1" x14ac:dyDescent="0.3">
      <c r="A1087" t="str">
        <f>IF(DONNEES!$E1087="","",DONNEES!A1087)</f>
        <v/>
      </c>
      <c r="B1087" t="str">
        <f>IF(DONNEES!$E1087="","",DONNEES!B1087)</f>
        <v/>
      </c>
      <c r="C1087" t="str">
        <f>IF(DONNEES!$E1087="","",DONNEES!C1087)</f>
        <v/>
      </c>
      <c r="D1087" t="str">
        <f>IF(DONNEES!$E1087="","",DONNEES!E1087)</f>
        <v/>
      </c>
      <c r="E1087" t="str">
        <f>IF(DONNEES!$E1087="","",DONNEES!F1087)</f>
        <v/>
      </c>
      <c r="F1087" t="str">
        <f>IF(DONNEES!$E1087="","",DONNEES!G1087)</f>
        <v/>
      </c>
      <c r="G1087" t="str">
        <f>IF(DONNEES!$E1087="","",DONNEES!H1087)</f>
        <v/>
      </c>
      <c r="H1087" t="str">
        <f>IF(DONNEES!$E1087="","",DONNEES!I1087)</f>
        <v/>
      </c>
      <c r="I1087" t="str">
        <f>IF(DONNEES!$E1087="","",DONNEES!J1087)</f>
        <v/>
      </c>
      <c r="J1087" t="str">
        <f>IF(DONNEES!$E1087="","",DONNEES!K1087)</f>
        <v/>
      </c>
      <c r="K1087" t="str">
        <f>IF(DONNEES!$E1087="","",DONNEES!L1087)</f>
        <v/>
      </c>
      <c r="L1087" t="str">
        <f>IF(DONNEES!$E1087="","",DONNEES!M1087)</f>
        <v/>
      </c>
      <c r="M1087" t="str">
        <f>IF(DONNEES!$E1087="","",DONNEES!N1087)</f>
        <v/>
      </c>
      <c r="N1087" t="str">
        <f>IF(DONNEES!$E1087="","",DONNEES!O1087)</f>
        <v/>
      </c>
      <c r="O1087" t="str">
        <f>IF(DONNEES!$E1087="","",DONNEES!P1087)</f>
        <v/>
      </c>
      <c r="P1087" t="str">
        <f>IF(DONNEES!$E1087="","",DONNEES!Q1087)</f>
        <v/>
      </c>
      <c r="Q1087" t="str">
        <f>IF(DONNEES!$E1087="","",DONNEES!R1087)</f>
        <v/>
      </c>
      <c r="R1087" t="str">
        <f>IF(DONNEES!$E1087="","",DONNEES!S1087)</f>
        <v/>
      </c>
      <c r="S1087" t="str">
        <f>IF(DONNEES!$E1087="","",DONNEES!T1087)</f>
        <v/>
      </c>
      <c r="T1087" t="str">
        <f>IF(DONNEES!$E1087="","",DONNEES!U1087)</f>
        <v/>
      </c>
      <c r="U1087" t="str">
        <f>IF(DONNEES!$E1087="","",DONNEES!V1087)</f>
        <v/>
      </c>
      <c r="V1087" t="str">
        <f>IF(DONNEES!$E1087="","",DONNEES!W1087)</f>
        <v/>
      </c>
      <c r="W1087" t="str">
        <f>IF(DONNEES!$E1087="","",DONNEES!X1087)</f>
        <v/>
      </c>
      <c r="X1087" t="str">
        <f>IF(DONNEES!$E1087="","",DONNEES!Y1087)</f>
        <v/>
      </c>
      <c r="Y1087" t="str">
        <f>IF(DONNEES!$E1087="","",DONNEES!Z1087)</f>
        <v/>
      </c>
      <c r="Z1087" t="str">
        <f>IF(DONNEES!$E1087="","",DONNEES!AQ1087)</f>
        <v/>
      </c>
    </row>
    <row r="1088" spans="1:26" ht="15" customHeight="1" x14ac:dyDescent="0.3">
      <c r="A1088" t="str">
        <f>IF(DONNEES!$E1088="","",DONNEES!A1088)</f>
        <v/>
      </c>
      <c r="B1088" t="str">
        <f>IF(DONNEES!$E1088="","",DONNEES!B1088)</f>
        <v/>
      </c>
      <c r="C1088" t="str">
        <f>IF(DONNEES!$E1088="","",DONNEES!C1088)</f>
        <v/>
      </c>
      <c r="D1088" t="str">
        <f>IF(DONNEES!$E1088="","",DONNEES!E1088)</f>
        <v/>
      </c>
      <c r="E1088" t="str">
        <f>IF(DONNEES!$E1088="","",DONNEES!F1088)</f>
        <v/>
      </c>
      <c r="F1088" t="str">
        <f>IF(DONNEES!$E1088="","",DONNEES!G1088)</f>
        <v/>
      </c>
      <c r="G1088" t="str">
        <f>IF(DONNEES!$E1088="","",DONNEES!H1088)</f>
        <v/>
      </c>
      <c r="H1088" t="str">
        <f>IF(DONNEES!$E1088="","",DONNEES!I1088)</f>
        <v/>
      </c>
      <c r="I1088" t="str">
        <f>IF(DONNEES!$E1088="","",DONNEES!J1088)</f>
        <v/>
      </c>
      <c r="J1088" t="str">
        <f>IF(DONNEES!$E1088="","",DONNEES!K1088)</f>
        <v/>
      </c>
      <c r="K1088" t="str">
        <f>IF(DONNEES!$E1088="","",DONNEES!L1088)</f>
        <v/>
      </c>
      <c r="L1088" t="str">
        <f>IF(DONNEES!$E1088="","",DONNEES!M1088)</f>
        <v/>
      </c>
      <c r="M1088" t="str">
        <f>IF(DONNEES!$E1088="","",DONNEES!N1088)</f>
        <v/>
      </c>
      <c r="N1088" t="str">
        <f>IF(DONNEES!$E1088="","",DONNEES!O1088)</f>
        <v/>
      </c>
      <c r="O1088" t="str">
        <f>IF(DONNEES!$E1088="","",DONNEES!P1088)</f>
        <v/>
      </c>
      <c r="P1088" t="str">
        <f>IF(DONNEES!$E1088="","",DONNEES!Q1088)</f>
        <v/>
      </c>
      <c r="Q1088" t="str">
        <f>IF(DONNEES!$E1088="","",DONNEES!R1088)</f>
        <v/>
      </c>
      <c r="R1088" t="str">
        <f>IF(DONNEES!$E1088="","",DONNEES!S1088)</f>
        <v/>
      </c>
      <c r="S1088" t="str">
        <f>IF(DONNEES!$E1088="","",DONNEES!T1088)</f>
        <v/>
      </c>
      <c r="T1088" t="str">
        <f>IF(DONNEES!$E1088="","",DONNEES!U1088)</f>
        <v/>
      </c>
      <c r="U1088" t="str">
        <f>IF(DONNEES!$E1088="","",DONNEES!V1088)</f>
        <v/>
      </c>
      <c r="V1088" t="str">
        <f>IF(DONNEES!$E1088="","",DONNEES!W1088)</f>
        <v/>
      </c>
      <c r="W1088" t="str">
        <f>IF(DONNEES!$E1088="","",DONNEES!X1088)</f>
        <v/>
      </c>
      <c r="X1088" t="str">
        <f>IF(DONNEES!$E1088="","",DONNEES!Y1088)</f>
        <v/>
      </c>
      <c r="Y1088" t="str">
        <f>IF(DONNEES!$E1088="","",DONNEES!Z1088)</f>
        <v/>
      </c>
      <c r="Z1088" t="str">
        <f>IF(DONNEES!$E1088="","",DONNEES!AQ1088)</f>
        <v/>
      </c>
    </row>
    <row r="1089" spans="1:26" ht="15" customHeight="1" x14ac:dyDescent="0.3">
      <c r="A1089" t="str">
        <f>IF(DONNEES!$E1089="","",DONNEES!A1089)</f>
        <v/>
      </c>
      <c r="B1089" t="str">
        <f>IF(DONNEES!$E1089="","",DONNEES!B1089)</f>
        <v/>
      </c>
      <c r="C1089" t="str">
        <f>IF(DONNEES!$E1089="","",DONNEES!C1089)</f>
        <v/>
      </c>
      <c r="D1089" t="str">
        <f>IF(DONNEES!$E1089="","",DONNEES!E1089)</f>
        <v/>
      </c>
      <c r="E1089" t="str">
        <f>IF(DONNEES!$E1089="","",DONNEES!F1089)</f>
        <v/>
      </c>
      <c r="F1089" t="str">
        <f>IF(DONNEES!$E1089="","",DONNEES!G1089)</f>
        <v/>
      </c>
      <c r="G1089" t="str">
        <f>IF(DONNEES!$E1089="","",DONNEES!H1089)</f>
        <v/>
      </c>
      <c r="H1089" t="str">
        <f>IF(DONNEES!$E1089="","",DONNEES!I1089)</f>
        <v/>
      </c>
      <c r="I1089" t="str">
        <f>IF(DONNEES!$E1089="","",DONNEES!J1089)</f>
        <v/>
      </c>
      <c r="J1089" t="str">
        <f>IF(DONNEES!$E1089="","",DONNEES!K1089)</f>
        <v/>
      </c>
      <c r="K1089" t="str">
        <f>IF(DONNEES!$E1089="","",DONNEES!L1089)</f>
        <v/>
      </c>
      <c r="L1089" t="str">
        <f>IF(DONNEES!$E1089="","",DONNEES!M1089)</f>
        <v/>
      </c>
      <c r="M1089" t="str">
        <f>IF(DONNEES!$E1089="","",DONNEES!N1089)</f>
        <v/>
      </c>
      <c r="N1089" t="str">
        <f>IF(DONNEES!$E1089="","",DONNEES!O1089)</f>
        <v/>
      </c>
      <c r="O1089" t="str">
        <f>IF(DONNEES!$E1089="","",DONNEES!P1089)</f>
        <v/>
      </c>
      <c r="P1089" t="str">
        <f>IF(DONNEES!$E1089="","",DONNEES!Q1089)</f>
        <v/>
      </c>
      <c r="Q1089" t="str">
        <f>IF(DONNEES!$E1089="","",DONNEES!R1089)</f>
        <v/>
      </c>
      <c r="R1089" t="str">
        <f>IF(DONNEES!$E1089="","",DONNEES!S1089)</f>
        <v/>
      </c>
      <c r="S1089" t="str">
        <f>IF(DONNEES!$E1089="","",DONNEES!T1089)</f>
        <v/>
      </c>
      <c r="T1089" t="str">
        <f>IF(DONNEES!$E1089="","",DONNEES!U1089)</f>
        <v/>
      </c>
      <c r="U1089" t="str">
        <f>IF(DONNEES!$E1089="","",DONNEES!V1089)</f>
        <v/>
      </c>
      <c r="V1089" t="str">
        <f>IF(DONNEES!$E1089="","",DONNEES!W1089)</f>
        <v/>
      </c>
      <c r="W1089" t="str">
        <f>IF(DONNEES!$E1089="","",DONNEES!X1089)</f>
        <v/>
      </c>
      <c r="X1089" t="str">
        <f>IF(DONNEES!$E1089="","",DONNEES!Y1089)</f>
        <v/>
      </c>
      <c r="Y1089" t="str">
        <f>IF(DONNEES!$E1089="","",DONNEES!Z1089)</f>
        <v/>
      </c>
      <c r="Z1089" t="str">
        <f>IF(DONNEES!$E1089="","",DONNEES!AQ1089)</f>
        <v/>
      </c>
    </row>
    <row r="1090" spans="1:26" ht="15" customHeight="1" x14ac:dyDescent="0.3">
      <c r="A1090" t="str">
        <f>IF(DONNEES!$E1090="","",DONNEES!A1090)</f>
        <v/>
      </c>
      <c r="B1090" t="str">
        <f>IF(DONNEES!$E1090="","",DONNEES!B1090)</f>
        <v/>
      </c>
      <c r="C1090" t="str">
        <f>IF(DONNEES!$E1090="","",DONNEES!C1090)</f>
        <v/>
      </c>
      <c r="D1090" t="str">
        <f>IF(DONNEES!$E1090="","",DONNEES!E1090)</f>
        <v/>
      </c>
      <c r="E1090" t="str">
        <f>IF(DONNEES!$E1090="","",DONNEES!F1090)</f>
        <v/>
      </c>
      <c r="F1090" t="str">
        <f>IF(DONNEES!$E1090="","",DONNEES!G1090)</f>
        <v/>
      </c>
      <c r="G1090" t="str">
        <f>IF(DONNEES!$E1090="","",DONNEES!H1090)</f>
        <v/>
      </c>
      <c r="H1090" t="str">
        <f>IF(DONNEES!$E1090="","",DONNEES!I1090)</f>
        <v/>
      </c>
      <c r="I1090" t="str">
        <f>IF(DONNEES!$E1090="","",DONNEES!J1090)</f>
        <v/>
      </c>
      <c r="J1090" t="str">
        <f>IF(DONNEES!$E1090="","",DONNEES!K1090)</f>
        <v/>
      </c>
      <c r="K1090" t="str">
        <f>IF(DONNEES!$E1090="","",DONNEES!L1090)</f>
        <v/>
      </c>
      <c r="L1090" t="str">
        <f>IF(DONNEES!$E1090="","",DONNEES!M1090)</f>
        <v/>
      </c>
      <c r="M1090" t="str">
        <f>IF(DONNEES!$E1090="","",DONNEES!N1090)</f>
        <v/>
      </c>
      <c r="N1090" t="str">
        <f>IF(DONNEES!$E1090="","",DONNEES!O1090)</f>
        <v/>
      </c>
      <c r="O1090" t="str">
        <f>IF(DONNEES!$E1090="","",DONNEES!P1090)</f>
        <v/>
      </c>
      <c r="P1090" t="str">
        <f>IF(DONNEES!$E1090="","",DONNEES!Q1090)</f>
        <v/>
      </c>
      <c r="Q1090" t="str">
        <f>IF(DONNEES!$E1090="","",DONNEES!R1090)</f>
        <v/>
      </c>
      <c r="R1090" t="str">
        <f>IF(DONNEES!$E1090="","",DONNEES!S1090)</f>
        <v/>
      </c>
      <c r="S1090" t="str">
        <f>IF(DONNEES!$E1090="","",DONNEES!T1090)</f>
        <v/>
      </c>
      <c r="T1090" t="str">
        <f>IF(DONNEES!$E1090="","",DONNEES!U1090)</f>
        <v/>
      </c>
      <c r="U1090" t="str">
        <f>IF(DONNEES!$E1090="","",DONNEES!V1090)</f>
        <v/>
      </c>
      <c r="V1090" t="str">
        <f>IF(DONNEES!$E1090="","",DONNEES!W1090)</f>
        <v/>
      </c>
      <c r="W1090" t="str">
        <f>IF(DONNEES!$E1090="","",DONNEES!X1090)</f>
        <v/>
      </c>
      <c r="X1090" t="str">
        <f>IF(DONNEES!$E1090="","",DONNEES!Y1090)</f>
        <v/>
      </c>
      <c r="Y1090" t="str">
        <f>IF(DONNEES!$E1090="","",DONNEES!Z1090)</f>
        <v/>
      </c>
      <c r="Z1090" t="str">
        <f>IF(DONNEES!$E1090="","",DONNEES!AQ1090)</f>
        <v/>
      </c>
    </row>
    <row r="1091" spans="1:26" ht="15" customHeight="1" x14ac:dyDescent="0.3">
      <c r="A1091" t="str">
        <f>IF(DONNEES!$E1091="","",DONNEES!A1091)</f>
        <v/>
      </c>
      <c r="B1091" t="str">
        <f>IF(DONNEES!$E1091="","",DONNEES!B1091)</f>
        <v/>
      </c>
      <c r="C1091" t="str">
        <f>IF(DONNEES!$E1091="","",DONNEES!C1091)</f>
        <v/>
      </c>
      <c r="D1091" t="str">
        <f>IF(DONNEES!$E1091="","",DONNEES!E1091)</f>
        <v/>
      </c>
      <c r="E1091" t="str">
        <f>IF(DONNEES!$E1091="","",DONNEES!F1091)</f>
        <v/>
      </c>
      <c r="F1091" t="str">
        <f>IF(DONNEES!$E1091="","",DONNEES!G1091)</f>
        <v/>
      </c>
      <c r="G1091" t="str">
        <f>IF(DONNEES!$E1091="","",DONNEES!H1091)</f>
        <v/>
      </c>
      <c r="H1091" t="str">
        <f>IF(DONNEES!$E1091="","",DONNEES!I1091)</f>
        <v/>
      </c>
      <c r="I1091" t="str">
        <f>IF(DONNEES!$E1091="","",DONNEES!J1091)</f>
        <v/>
      </c>
      <c r="J1091" t="str">
        <f>IF(DONNEES!$E1091="","",DONNEES!K1091)</f>
        <v/>
      </c>
      <c r="K1091" t="str">
        <f>IF(DONNEES!$E1091="","",DONNEES!L1091)</f>
        <v/>
      </c>
      <c r="L1091" t="str">
        <f>IF(DONNEES!$E1091="","",DONNEES!M1091)</f>
        <v/>
      </c>
      <c r="M1091" t="str">
        <f>IF(DONNEES!$E1091="","",DONNEES!N1091)</f>
        <v/>
      </c>
      <c r="N1091" t="str">
        <f>IF(DONNEES!$E1091="","",DONNEES!O1091)</f>
        <v/>
      </c>
      <c r="O1091" t="str">
        <f>IF(DONNEES!$E1091="","",DONNEES!P1091)</f>
        <v/>
      </c>
      <c r="P1091" t="str">
        <f>IF(DONNEES!$E1091="","",DONNEES!Q1091)</f>
        <v/>
      </c>
      <c r="Q1091" t="str">
        <f>IF(DONNEES!$E1091="","",DONNEES!R1091)</f>
        <v/>
      </c>
      <c r="R1091" t="str">
        <f>IF(DONNEES!$E1091="","",DONNEES!S1091)</f>
        <v/>
      </c>
      <c r="S1091" t="str">
        <f>IF(DONNEES!$E1091="","",DONNEES!T1091)</f>
        <v/>
      </c>
      <c r="T1091" t="str">
        <f>IF(DONNEES!$E1091="","",DONNEES!U1091)</f>
        <v/>
      </c>
      <c r="U1091" t="str">
        <f>IF(DONNEES!$E1091="","",DONNEES!V1091)</f>
        <v/>
      </c>
      <c r="V1091" t="str">
        <f>IF(DONNEES!$E1091="","",DONNEES!W1091)</f>
        <v/>
      </c>
      <c r="W1091" t="str">
        <f>IF(DONNEES!$E1091="","",DONNEES!X1091)</f>
        <v/>
      </c>
      <c r="X1091" t="str">
        <f>IF(DONNEES!$E1091="","",DONNEES!Y1091)</f>
        <v/>
      </c>
      <c r="Y1091" t="str">
        <f>IF(DONNEES!$E1091="","",DONNEES!Z1091)</f>
        <v/>
      </c>
      <c r="Z1091" t="str">
        <f>IF(DONNEES!$E1091="","",DONNEES!AQ1091)</f>
        <v/>
      </c>
    </row>
    <row r="1092" spans="1:26" ht="15" customHeight="1" x14ac:dyDescent="0.3">
      <c r="A1092" t="str">
        <f>IF(DONNEES!$E1092="","",DONNEES!A1092)</f>
        <v/>
      </c>
      <c r="B1092" t="str">
        <f>IF(DONNEES!$E1092="","",DONNEES!B1092)</f>
        <v/>
      </c>
      <c r="C1092" t="str">
        <f>IF(DONNEES!$E1092="","",DONNEES!C1092)</f>
        <v/>
      </c>
      <c r="D1092" t="str">
        <f>IF(DONNEES!$E1092="","",DONNEES!E1092)</f>
        <v/>
      </c>
      <c r="E1092" t="str">
        <f>IF(DONNEES!$E1092="","",DONNEES!F1092)</f>
        <v/>
      </c>
      <c r="F1092" t="str">
        <f>IF(DONNEES!$E1092="","",DONNEES!G1092)</f>
        <v/>
      </c>
      <c r="G1092" t="str">
        <f>IF(DONNEES!$E1092="","",DONNEES!H1092)</f>
        <v/>
      </c>
      <c r="H1092" t="str">
        <f>IF(DONNEES!$E1092="","",DONNEES!I1092)</f>
        <v/>
      </c>
      <c r="I1092" t="str">
        <f>IF(DONNEES!$E1092="","",DONNEES!J1092)</f>
        <v/>
      </c>
      <c r="J1092" t="str">
        <f>IF(DONNEES!$E1092="","",DONNEES!K1092)</f>
        <v/>
      </c>
      <c r="K1092" t="str">
        <f>IF(DONNEES!$E1092="","",DONNEES!L1092)</f>
        <v/>
      </c>
      <c r="L1092" t="str">
        <f>IF(DONNEES!$E1092="","",DONNEES!M1092)</f>
        <v/>
      </c>
      <c r="M1092" t="str">
        <f>IF(DONNEES!$E1092="","",DONNEES!N1092)</f>
        <v/>
      </c>
      <c r="N1092" t="str">
        <f>IF(DONNEES!$E1092="","",DONNEES!O1092)</f>
        <v/>
      </c>
      <c r="O1092" t="str">
        <f>IF(DONNEES!$E1092="","",DONNEES!P1092)</f>
        <v/>
      </c>
      <c r="P1092" t="str">
        <f>IF(DONNEES!$E1092="","",DONNEES!Q1092)</f>
        <v/>
      </c>
      <c r="Q1092" t="str">
        <f>IF(DONNEES!$E1092="","",DONNEES!R1092)</f>
        <v/>
      </c>
      <c r="R1092" t="str">
        <f>IF(DONNEES!$E1092="","",DONNEES!S1092)</f>
        <v/>
      </c>
      <c r="S1092" t="str">
        <f>IF(DONNEES!$E1092="","",DONNEES!T1092)</f>
        <v/>
      </c>
      <c r="T1092" t="str">
        <f>IF(DONNEES!$E1092="","",DONNEES!U1092)</f>
        <v/>
      </c>
      <c r="U1092" t="str">
        <f>IF(DONNEES!$E1092="","",DONNEES!V1092)</f>
        <v/>
      </c>
      <c r="V1092" t="str">
        <f>IF(DONNEES!$E1092="","",DONNEES!W1092)</f>
        <v/>
      </c>
      <c r="W1092" t="str">
        <f>IF(DONNEES!$E1092="","",DONNEES!X1092)</f>
        <v/>
      </c>
      <c r="X1092" t="str">
        <f>IF(DONNEES!$E1092="","",DONNEES!Y1092)</f>
        <v/>
      </c>
      <c r="Y1092" t="str">
        <f>IF(DONNEES!$E1092="","",DONNEES!Z1092)</f>
        <v/>
      </c>
      <c r="Z1092" t="str">
        <f>IF(DONNEES!$E1092="","",DONNEES!AQ1092)</f>
        <v/>
      </c>
    </row>
    <row r="1093" spans="1:26" ht="15" customHeight="1" x14ac:dyDescent="0.3">
      <c r="A1093" t="str">
        <f>IF(DONNEES!$E1093="","",DONNEES!A1093)</f>
        <v/>
      </c>
      <c r="B1093" t="str">
        <f>IF(DONNEES!$E1093="","",DONNEES!B1093)</f>
        <v/>
      </c>
      <c r="C1093" t="str">
        <f>IF(DONNEES!$E1093="","",DONNEES!C1093)</f>
        <v/>
      </c>
      <c r="D1093" t="str">
        <f>IF(DONNEES!$E1093="","",DONNEES!E1093)</f>
        <v/>
      </c>
      <c r="E1093" t="str">
        <f>IF(DONNEES!$E1093="","",DONNEES!F1093)</f>
        <v/>
      </c>
      <c r="F1093" t="str">
        <f>IF(DONNEES!$E1093="","",DONNEES!G1093)</f>
        <v/>
      </c>
      <c r="G1093" t="str">
        <f>IF(DONNEES!$E1093="","",DONNEES!H1093)</f>
        <v/>
      </c>
      <c r="H1093" t="str">
        <f>IF(DONNEES!$E1093="","",DONNEES!I1093)</f>
        <v/>
      </c>
      <c r="I1093" t="str">
        <f>IF(DONNEES!$E1093="","",DONNEES!J1093)</f>
        <v/>
      </c>
      <c r="J1093" t="str">
        <f>IF(DONNEES!$E1093="","",DONNEES!K1093)</f>
        <v/>
      </c>
      <c r="K1093" t="str">
        <f>IF(DONNEES!$E1093="","",DONNEES!L1093)</f>
        <v/>
      </c>
      <c r="L1093" t="str">
        <f>IF(DONNEES!$E1093="","",DONNEES!M1093)</f>
        <v/>
      </c>
      <c r="M1093" t="str">
        <f>IF(DONNEES!$E1093="","",DONNEES!N1093)</f>
        <v/>
      </c>
      <c r="N1093" t="str">
        <f>IF(DONNEES!$E1093="","",DONNEES!O1093)</f>
        <v/>
      </c>
      <c r="O1093" t="str">
        <f>IF(DONNEES!$E1093="","",DONNEES!P1093)</f>
        <v/>
      </c>
      <c r="P1093" t="str">
        <f>IF(DONNEES!$E1093="","",DONNEES!Q1093)</f>
        <v/>
      </c>
      <c r="Q1093" t="str">
        <f>IF(DONNEES!$E1093="","",DONNEES!R1093)</f>
        <v/>
      </c>
      <c r="R1093" t="str">
        <f>IF(DONNEES!$E1093="","",DONNEES!S1093)</f>
        <v/>
      </c>
      <c r="S1093" t="str">
        <f>IF(DONNEES!$E1093="","",DONNEES!T1093)</f>
        <v/>
      </c>
      <c r="T1093" t="str">
        <f>IF(DONNEES!$E1093="","",DONNEES!U1093)</f>
        <v/>
      </c>
      <c r="U1093" t="str">
        <f>IF(DONNEES!$E1093="","",DONNEES!V1093)</f>
        <v/>
      </c>
      <c r="V1093" t="str">
        <f>IF(DONNEES!$E1093="","",DONNEES!W1093)</f>
        <v/>
      </c>
      <c r="W1093" t="str">
        <f>IF(DONNEES!$E1093="","",DONNEES!X1093)</f>
        <v/>
      </c>
      <c r="X1093" t="str">
        <f>IF(DONNEES!$E1093="","",DONNEES!Y1093)</f>
        <v/>
      </c>
      <c r="Y1093" t="str">
        <f>IF(DONNEES!$E1093="","",DONNEES!Z1093)</f>
        <v/>
      </c>
      <c r="Z1093" t="str">
        <f>IF(DONNEES!$E1093="","",DONNEES!AQ1093)</f>
        <v/>
      </c>
    </row>
    <row r="1094" spans="1:26" ht="15" customHeight="1" x14ac:dyDescent="0.3">
      <c r="A1094" t="str">
        <f>IF(DONNEES!$E1094="","",DONNEES!A1094)</f>
        <v/>
      </c>
      <c r="B1094" t="str">
        <f>IF(DONNEES!$E1094="","",DONNEES!B1094)</f>
        <v/>
      </c>
      <c r="C1094" t="str">
        <f>IF(DONNEES!$E1094="","",DONNEES!C1094)</f>
        <v/>
      </c>
      <c r="D1094" t="str">
        <f>IF(DONNEES!$E1094="","",DONNEES!E1094)</f>
        <v/>
      </c>
      <c r="E1094" t="str">
        <f>IF(DONNEES!$E1094="","",DONNEES!F1094)</f>
        <v/>
      </c>
      <c r="F1094" t="str">
        <f>IF(DONNEES!$E1094="","",DONNEES!G1094)</f>
        <v/>
      </c>
      <c r="G1094" t="str">
        <f>IF(DONNEES!$E1094="","",DONNEES!H1094)</f>
        <v/>
      </c>
      <c r="H1094" t="str">
        <f>IF(DONNEES!$E1094="","",DONNEES!I1094)</f>
        <v/>
      </c>
      <c r="I1094" t="str">
        <f>IF(DONNEES!$E1094="","",DONNEES!J1094)</f>
        <v/>
      </c>
      <c r="J1094" t="str">
        <f>IF(DONNEES!$E1094="","",DONNEES!K1094)</f>
        <v/>
      </c>
      <c r="K1094" t="str">
        <f>IF(DONNEES!$E1094="","",DONNEES!L1094)</f>
        <v/>
      </c>
      <c r="L1094" t="str">
        <f>IF(DONNEES!$E1094="","",DONNEES!M1094)</f>
        <v/>
      </c>
      <c r="M1094" t="str">
        <f>IF(DONNEES!$E1094="","",DONNEES!N1094)</f>
        <v/>
      </c>
      <c r="N1094" t="str">
        <f>IF(DONNEES!$E1094="","",DONNEES!O1094)</f>
        <v/>
      </c>
      <c r="O1094" t="str">
        <f>IF(DONNEES!$E1094="","",DONNEES!P1094)</f>
        <v/>
      </c>
      <c r="P1094" t="str">
        <f>IF(DONNEES!$E1094="","",DONNEES!Q1094)</f>
        <v/>
      </c>
      <c r="Q1094" t="str">
        <f>IF(DONNEES!$E1094="","",DONNEES!R1094)</f>
        <v/>
      </c>
      <c r="R1094" t="str">
        <f>IF(DONNEES!$E1094="","",DONNEES!S1094)</f>
        <v/>
      </c>
      <c r="S1094" t="str">
        <f>IF(DONNEES!$E1094="","",DONNEES!T1094)</f>
        <v/>
      </c>
      <c r="T1094" t="str">
        <f>IF(DONNEES!$E1094="","",DONNEES!U1094)</f>
        <v/>
      </c>
      <c r="U1094" t="str">
        <f>IF(DONNEES!$E1094="","",DONNEES!V1094)</f>
        <v/>
      </c>
      <c r="V1094" t="str">
        <f>IF(DONNEES!$E1094="","",DONNEES!W1094)</f>
        <v/>
      </c>
      <c r="W1094" t="str">
        <f>IF(DONNEES!$E1094="","",DONNEES!X1094)</f>
        <v/>
      </c>
      <c r="X1094" t="str">
        <f>IF(DONNEES!$E1094="","",DONNEES!Y1094)</f>
        <v/>
      </c>
      <c r="Y1094" t="str">
        <f>IF(DONNEES!$E1094="","",DONNEES!Z1094)</f>
        <v/>
      </c>
      <c r="Z1094" t="str">
        <f>IF(DONNEES!$E1094="","",DONNEES!AQ1094)</f>
        <v/>
      </c>
    </row>
    <row r="1095" spans="1:26" ht="15" customHeight="1" x14ac:dyDescent="0.3">
      <c r="A1095" t="str">
        <f>IF(DONNEES!$E1095="","",DONNEES!A1095)</f>
        <v/>
      </c>
      <c r="B1095" t="str">
        <f>IF(DONNEES!$E1095="","",DONNEES!B1095)</f>
        <v/>
      </c>
      <c r="C1095" t="str">
        <f>IF(DONNEES!$E1095="","",DONNEES!C1095)</f>
        <v/>
      </c>
      <c r="D1095" t="str">
        <f>IF(DONNEES!$E1095="","",DONNEES!E1095)</f>
        <v/>
      </c>
      <c r="E1095" t="str">
        <f>IF(DONNEES!$E1095="","",DONNEES!F1095)</f>
        <v/>
      </c>
      <c r="F1095" t="str">
        <f>IF(DONNEES!$E1095="","",DONNEES!G1095)</f>
        <v/>
      </c>
      <c r="G1095" t="str">
        <f>IF(DONNEES!$E1095="","",DONNEES!H1095)</f>
        <v/>
      </c>
      <c r="H1095" t="str">
        <f>IF(DONNEES!$E1095="","",DONNEES!I1095)</f>
        <v/>
      </c>
      <c r="I1095" t="str">
        <f>IF(DONNEES!$E1095="","",DONNEES!J1095)</f>
        <v/>
      </c>
      <c r="J1095" t="str">
        <f>IF(DONNEES!$E1095="","",DONNEES!K1095)</f>
        <v/>
      </c>
      <c r="K1095" t="str">
        <f>IF(DONNEES!$E1095="","",DONNEES!L1095)</f>
        <v/>
      </c>
      <c r="L1095" t="str">
        <f>IF(DONNEES!$E1095="","",DONNEES!M1095)</f>
        <v/>
      </c>
      <c r="M1095" t="str">
        <f>IF(DONNEES!$E1095="","",DONNEES!N1095)</f>
        <v/>
      </c>
      <c r="N1095" t="str">
        <f>IF(DONNEES!$E1095="","",DONNEES!O1095)</f>
        <v/>
      </c>
      <c r="O1095" t="str">
        <f>IF(DONNEES!$E1095="","",DONNEES!P1095)</f>
        <v/>
      </c>
      <c r="P1095" t="str">
        <f>IF(DONNEES!$E1095="","",DONNEES!Q1095)</f>
        <v/>
      </c>
      <c r="Q1095" t="str">
        <f>IF(DONNEES!$E1095="","",DONNEES!R1095)</f>
        <v/>
      </c>
      <c r="R1095" t="str">
        <f>IF(DONNEES!$E1095="","",DONNEES!S1095)</f>
        <v/>
      </c>
      <c r="S1095" t="str">
        <f>IF(DONNEES!$E1095="","",DONNEES!T1095)</f>
        <v/>
      </c>
      <c r="T1095" t="str">
        <f>IF(DONNEES!$E1095="","",DONNEES!U1095)</f>
        <v/>
      </c>
      <c r="U1095" t="str">
        <f>IF(DONNEES!$E1095="","",DONNEES!V1095)</f>
        <v/>
      </c>
      <c r="V1095" t="str">
        <f>IF(DONNEES!$E1095="","",DONNEES!W1095)</f>
        <v/>
      </c>
      <c r="W1095" t="str">
        <f>IF(DONNEES!$E1095="","",DONNEES!X1095)</f>
        <v/>
      </c>
      <c r="X1095" t="str">
        <f>IF(DONNEES!$E1095="","",DONNEES!Y1095)</f>
        <v/>
      </c>
      <c r="Y1095" t="str">
        <f>IF(DONNEES!$E1095="","",DONNEES!Z1095)</f>
        <v/>
      </c>
      <c r="Z1095" t="str">
        <f>IF(DONNEES!$E1095="","",DONNEES!AQ1095)</f>
        <v/>
      </c>
    </row>
    <row r="1096" spans="1:26" ht="15" customHeight="1" x14ac:dyDescent="0.3">
      <c r="A1096" t="str">
        <f>IF(DONNEES!$E1096="","",DONNEES!A1096)</f>
        <v/>
      </c>
      <c r="B1096" t="str">
        <f>IF(DONNEES!$E1096="","",DONNEES!B1096)</f>
        <v/>
      </c>
      <c r="C1096" t="str">
        <f>IF(DONNEES!$E1096="","",DONNEES!C1096)</f>
        <v/>
      </c>
      <c r="D1096" t="str">
        <f>IF(DONNEES!$E1096="","",DONNEES!E1096)</f>
        <v/>
      </c>
      <c r="E1096" t="str">
        <f>IF(DONNEES!$E1096="","",DONNEES!F1096)</f>
        <v/>
      </c>
      <c r="F1096" t="str">
        <f>IF(DONNEES!$E1096="","",DONNEES!G1096)</f>
        <v/>
      </c>
      <c r="G1096" t="str">
        <f>IF(DONNEES!$E1096="","",DONNEES!H1096)</f>
        <v/>
      </c>
      <c r="H1096" t="str">
        <f>IF(DONNEES!$E1096="","",DONNEES!I1096)</f>
        <v/>
      </c>
      <c r="I1096" t="str">
        <f>IF(DONNEES!$E1096="","",DONNEES!J1096)</f>
        <v/>
      </c>
      <c r="J1096" t="str">
        <f>IF(DONNEES!$E1096="","",DONNEES!K1096)</f>
        <v/>
      </c>
      <c r="K1096" t="str">
        <f>IF(DONNEES!$E1096="","",DONNEES!L1096)</f>
        <v/>
      </c>
      <c r="L1096" t="str">
        <f>IF(DONNEES!$E1096="","",DONNEES!M1096)</f>
        <v/>
      </c>
      <c r="M1096" t="str">
        <f>IF(DONNEES!$E1096="","",DONNEES!N1096)</f>
        <v/>
      </c>
      <c r="N1096" t="str">
        <f>IF(DONNEES!$E1096="","",DONNEES!O1096)</f>
        <v/>
      </c>
      <c r="O1096" t="str">
        <f>IF(DONNEES!$E1096="","",DONNEES!P1096)</f>
        <v/>
      </c>
      <c r="P1096" t="str">
        <f>IF(DONNEES!$E1096="","",DONNEES!Q1096)</f>
        <v/>
      </c>
      <c r="Q1096" t="str">
        <f>IF(DONNEES!$E1096="","",DONNEES!R1096)</f>
        <v/>
      </c>
      <c r="R1096" t="str">
        <f>IF(DONNEES!$E1096="","",DONNEES!S1096)</f>
        <v/>
      </c>
      <c r="S1096" t="str">
        <f>IF(DONNEES!$E1096="","",DONNEES!T1096)</f>
        <v/>
      </c>
      <c r="T1096" t="str">
        <f>IF(DONNEES!$E1096="","",DONNEES!U1096)</f>
        <v/>
      </c>
      <c r="U1096" t="str">
        <f>IF(DONNEES!$E1096="","",DONNEES!V1096)</f>
        <v/>
      </c>
      <c r="V1096" t="str">
        <f>IF(DONNEES!$E1096="","",DONNEES!W1096)</f>
        <v/>
      </c>
      <c r="W1096" t="str">
        <f>IF(DONNEES!$E1096="","",DONNEES!X1096)</f>
        <v/>
      </c>
      <c r="X1096" t="str">
        <f>IF(DONNEES!$E1096="","",DONNEES!Y1096)</f>
        <v/>
      </c>
      <c r="Y1096" t="str">
        <f>IF(DONNEES!$E1096="","",DONNEES!Z1096)</f>
        <v/>
      </c>
      <c r="Z1096" t="str">
        <f>IF(DONNEES!$E1096="","",DONNEES!AQ1096)</f>
        <v/>
      </c>
    </row>
    <row r="1097" spans="1:26" ht="15" customHeight="1" x14ac:dyDescent="0.3">
      <c r="A1097" t="str">
        <f>IF(DONNEES!$E1097="","",DONNEES!A1097)</f>
        <v/>
      </c>
      <c r="B1097" t="str">
        <f>IF(DONNEES!$E1097="","",DONNEES!B1097)</f>
        <v/>
      </c>
      <c r="C1097" t="str">
        <f>IF(DONNEES!$E1097="","",DONNEES!C1097)</f>
        <v/>
      </c>
      <c r="D1097" t="str">
        <f>IF(DONNEES!$E1097="","",DONNEES!E1097)</f>
        <v/>
      </c>
      <c r="E1097" t="str">
        <f>IF(DONNEES!$E1097="","",DONNEES!F1097)</f>
        <v/>
      </c>
      <c r="F1097" t="str">
        <f>IF(DONNEES!$E1097="","",DONNEES!G1097)</f>
        <v/>
      </c>
      <c r="G1097" t="str">
        <f>IF(DONNEES!$E1097="","",DONNEES!H1097)</f>
        <v/>
      </c>
      <c r="H1097" t="str">
        <f>IF(DONNEES!$E1097="","",DONNEES!I1097)</f>
        <v/>
      </c>
      <c r="I1097" t="str">
        <f>IF(DONNEES!$E1097="","",DONNEES!J1097)</f>
        <v/>
      </c>
      <c r="J1097" t="str">
        <f>IF(DONNEES!$E1097="","",DONNEES!K1097)</f>
        <v/>
      </c>
      <c r="K1097" t="str">
        <f>IF(DONNEES!$E1097="","",DONNEES!L1097)</f>
        <v/>
      </c>
      <c r="L1097" t="str">
        <f>IF(DONNEES!$E1097="","",DONNEES!M1097)</f>
        <v/>
      </c>
      <c r="M1097" t="str">
        <f>IF(DONNEES!$E1097="","",DONNEES!N1097)</f>
        <v/>
      </c>
      <c r="N1097" t="str">
        <f>IF(DONNEES!$E1097="","",DONNEES!O1097)</f>
        <v/>
      </c>
      <c r="O1097" t="str">
        <f>IF(DONNEES!$E1097="","",DONNEES!P1097)</f>
        <v/>
      </c>
      <c r="P1097" t="str">
        <f>IF(DONNEES!$E1097="","",DONNEES!Q1097)</f>
        <v/>
      </c>
      <c r="Q1097" t="str">
        <f>IF(DONNEES!$E1097="","",DONNEES!R1097)</f>
        <v/>
      </c>
      <c r="R1097" t="str">
        <f>IF(DONNEES!$E1097="","",DONNEES!S1097)</f>
        <v/>
      </c>
      <c r="S1097" t="str">
        <f>IF(DONNEES!$E1097="","",DONNEES!T1097)</f>
        <v/>
      </c>
      <c r="T1097" t="str">
        <f>IF(DONNEES!$E1097="","",DONNEES!U1097)</f>
        <v/>
      </c>
      <c r="U1097" t="str">
        <f>IF(DONNEES!$E1097="","",DONNEES!V1097)</f>
        <v/>
      </c>
      <c r="V1097" t="str">
        <f>IF(DONNEES!$E1097="","",DONNEES!W1097)</f>
        <v/>
      </c>
      <c r="W1097" t="str">
        <f>IF(DONNEES!$E1097="","",DONNEES!X1097)</f>
        <v/>
      </c>
      <c r="X1097" t="str">
        <f>IF(DONNEES!$E1097="","",DONNEES!Y1097)</f>
        <v/>
      </c>
      <c r="Y1097" t="str">
        <f>IF(DONNEES!$E1097="","",DONNEES!Z1097)</f>
        <v/>
      </c>
      <c r="Z1097" t="str">
        <f>IF(DONNEES!$E1097="","",DONNEES!AQ1097)</f>
        <v/>
      </c>
    </row>
    <row r="1098" spans="1:26" ht="15" customHeight="1" x14ac:dyDescent="0.3">
      <c r="A1098" t="str">
        <f>IF(DONNEES!$E1098="","",DONNEES!A1098)</f>
        <v/>
      </c>
      <c r="B1098" t="str">
        <f>IF(DONNEES!$E1098="","",DONNEES!B1098)</f>
        <v/>
      </c>
      <c r="C1098" t="str">
        <f>IF(DONNEES!$E1098="","",DONNEES!C1098)</f>
        <v/>
      </c>
      <c r="D1098" t="str">
        <f>IF(DONNEES!$E1098="","",DONNEES!E1098)</f>
        <v/>
      </c>
      <c r="E1098" t="str">
        <f>IF(DONNEES!$E1098="","",DONNEES!F1098)</f>
        <v/>
      </c>
      <c r="F1098" t="str">
        <f>IF(DONNEES!$E1098="","",DONNEES!G1098)</f>
        <v/>
      </c>
      <c r="G1098" t="str">
        <f>IF(DONNEES!$E1098="","",DONNEES!H1098)</f>
        <v/>
      </c>
      <c r="H1098" t="str">
        <f>IF(DONNEES!$E1098="","",DONNEES!I1098)</f>
        <v/>
      </c>
      <c r="I1098" t="str">
        <f>IF(DONNEES!$E1098="","",DONNEES!J1098)</f>
        <v/>
      </c>
      <c r="J1098" t="str">
        <f>IF(DONNEES!$E1098="","",DONNEES!K1098)</f>
        <v/>
      </c>
      <c r="K1098" t="str">
        <f>IF(DONNEES!$E1098="","",DONNEES!L1098)</f>
        <v/>
      </c>
      <c r="L1098" t="str">
        <f>IF(DONNEES!$E1098="","",DONNEES!M1098)</f>
        <v/>
      </c>
      <c r="M1098" t="str">
        <f>IF(DONNEES!$E1098="","",DONNEES!N1098)</f>
        <v/>
      </c>
      <c r="N1098" t="str">
        <f>IF(DONNEES!$E1098="","",DONNEES!O1098)</f>
        <v/>
      </c>
      <c r="O1098" t="str">
        <f>IF(DONNEES!$E1098="","",DONNEES!P1098)</f>
        <v/>
      </c>
      <c r="P1098" t="str">
        <f>IF(DONNEES!$E1098="","",DONNEES!Q1098)</f>
        <v/>
      </c>
      <c r="Q1098" t="str">
        <f>IF(DONNEES!$E1098="","",DONNEES!R1098)</f>
        <v/>
      </c>
      <c r="R1098" t="str">
        <f>IF(DONNEES!$E1098="","",DONNEES!S1098)</f>
        <v/>
      </c>
      <c r="S1098" t="str">
        <f>IF(DONNEES!$E1098="","",DONNEES!T1098)</f>
        <v/>
      </c>
      <c r="T1098" t="str">
        <f>IF(DONNEES!$E1098="","",DONNEES!U1098)</f>
        <v/>
      </c>
      <c r="U1098" t="str">
        <f>IF(DONNEES!$E1098="","",DONNEES!V1098)</f>
        <v/>
      </c>
      <c r="V1098" t="str">
        <f>IF(DONNEES!$E1098="","",DONNEES!W1098)</f>
        <v/>
      </c>
      <c r="W1098" t="str">
        <f>IF(DONNEES!$E1098="","",DONNEES!X1098)</f>
        <v/>
      </c>
      <c r="X1098" t="str">
        <f>IF(DONNEES!$E1098="","",DONNEES!Y1098)</f>
        <v/>
      </c>
      <c r="Y1098" t="str">
        <f>IF(DONNEES!$E1098="","",DONNEES!Z1098)</f>
        <v/>
      </c>
      <c r="Z1098" t="str">
        <f>IF(DONNEES!$E1098="","",DONNEES!AQ1098)</f>
        <v/>
      </c>
    </row>
    <row r="1099" spans="1:26" ht="15" customHeight="1" x14ac:dyDescent="0.3">
      <c r="A1099" t="str">
        <f>IF(DONNEES!$E1099="","",DONNEES!A1099)</f>
        <v/>
      </c>
      <c r="B1099" t="str">
        <f>IF(DONNEES!$E1099="","",DONNEES!B1099)</f>
        <v/>
      </c>
      <c r="C1099" t="str">
        <f>IF(DONNEES!$E1099="","",DONNEES!C1099)</f>
        <v/>
      </c>
      <c r="D1099" t="str">
        <f>IF(DONNEES!$E1099="","",DONNEES!E1099)</f>
        <v/>
      </c>
      <c r="E1099" t="str">
        <f>IF(DONNEES!$E1099="","",DONNEES!F1099)</f>
        <v/>
      </c>
      <c r="F1099" t="str">
        <f>IF(DONNEES!$E1099="","",DONNEES!G1099)</f>
        <v/>
      </c>
      <c r="G1099" t="str">
        <f>IF(DONNEES!$E1099="","",DONNEES!H1099)</f>
        <v/>
      </c>
      <c r="H1099" t="str">
        <f>IF(DONNEES!$E1099="","",DONNEES!I1099)</f>
        <v/>
      </c>
      <c r="I1099" t="str">
        <f>IF(DONNEES!$E1099="","",DONNEES!J1099)</f>
        <v/>
      </c>
      <c r="J1099" t="str">
        <f>IF(DONNEES!$E1099="","",DONNEES!K1099)</f>
        <v/>
      </c>
      <c r="K1099" t="str">
        <f>IF(DONNEES!$E1099="","",DONNEES!L1099)</f>
        <v/>
      </c>
      <c r="L1099" t="str">
        <f>IF(DONNEES!$E1099="","",DONNEES!M1099)</f>
        <v/>
      </c>
      <c r="M1099" t="str">
        <f>IF(DONNEES!$E1099="","",DONNEES!N1099)</f>
        <v/>
      </c>
      <c r="N1099" t="str">
        <f>IF(DONNEES!$E1099="","",DONNEES!O1099)</f>
        <v/>
      </c>
      <c r="O1099" t="str">
        <f>IF(DONNEES!$E1099="","",DONNEES!P1099)</f>
        <v/>
      </c>
      <c r="P1099" t="str">
        <f>IF(DONNEES!$E1099="","",DONNEES!Q1099)</f>
        <v/>
      </c>
      <c r="Q1099" t="str">
        <f>IF(DONNEES!$E1099="","",DONNEES!R1099)</f>
        <v/>
      </c>
      <c r="R1099" t="str">
        <f>IF(DONNEES!$E1099="","",DONNEES!S1099)</f>
        <v/>
      </c>
      <c r="S1099" t="str">
        <f>IF(DONNEES!$E1099="","",DONNEES!T1099)</f>
        <v/>
      </c>
      <c r="T1099" t="str">
        <f>IF(DONNEES!$E1099="","",DONNEES!U1099)</f>
        <v/>
      </c>
      <c r="U1099" t="str">
        <f>IF(DONNEES!$E1099="","",DONNEES!V1099)</f>
        <v/>
      </c>
      <c r="V1099" t="str">
        <f>IF(DONNEES!$E1099="","",DONNEES!W1099)</f>
        <v/>
      </c>
      <c r="W1099" t="str">
        <f>IF(DONNEES!$E1099="","",DONNEES!X1099)</f>
        <v/>
      </c>
      <c r="X1099" t="str">
        <f>IF(DONNEES!$E1099="","",DONNEES!Y1099)</f>
        <v/>
      </c>
      <c r="Y1099" t="str">
        <f>IF(DONNEES!$E1099="","",DONNEES!Z1099)</f>
        <v/>
      </c>
      <c r="Z1099" t="str">
        <f>IF(DONNEES!$E1099="","",DONNEES!AQ1099)</f>
        <v/>
      </c>
    </row>
    <row r="1100" spans="1:26" ht="15" customHeight="1" x14ac:dyDescent="0.3">
      <c r="A1100" t="str">
        <f>IF(DONNEES!$E1100="","",DONNEES!A1100)</f>
        <v/>
      </c>
      <c r="B1100" t="str">
        <f>IF(DONNEES!$E1100="","",DONNEES!B1100)</f>
        <v/>
      </c>
      <c r="C1100" t="str">
        <f>IF(DONNEES!$E1100="","",DONNEES!C1100)</f>
        <v/>
      </c>
      <c r="D1100" t="str">
        <f>IF(DONNEES!$E1100="","",DONNEES!E1100)</f>
        <v/>
      </c>
      <c r="E1100" t="str">
        <f>IF(DONNEES!$E1100="","",DONNEES!F1100)</f>
        <v/>
      </c>
      <c r="F1100" t="str">
        <f>IF(DONNEES!$E1100="","",DONNEES!G1100)</f>
        <v/>
      </c>
      <c r="G1100" t="str">
        <f>IF(DONNEES!$E1100="","",DONNEES!H1100)</f>
        <v/>
      </c>
      <c r="H1100" t="str">
        <f>IF(DONNEES!$E1100="","",DONNEES!I1100)</f>
        <v/>
      </c>
      <c r="I1100" t="str">
        <f>IF(DONNEES!$E1100="","",DONNEES!J1100)</f>
        <v/>
      </c>
      <c r="J1100" t="str">
        <f>IF(DONNEES!$E1100="","",DONNEES!K1100)</f>
        <v/>
      </c>
      <c r="K1100" t="str">
        <f>IF(DONNEES!$E1100="","",DONNEES!L1100)</f>
        <v/>
      </c>
      <c r="L1100" t="str">
        <f>IF(DONNEES!$E1100="","",DONNEES!M1100)</f>
        <v/>
      </c>
      <c r="M1100" t="str">
        <f>IF(DONNEES!$E1100="","",DONNEES!N1100)</f>
        <v/>
      </c>
      <c r="N1100" t="str">
        <f>IF(DONNEES!$E1100="","",DONNEES!O1100)</f>
        <v/>
      </c>
      <c r="O1100" t="str">
        <f>IF(DONNEES!$E1100="","",DONNEES!P1100)</f>
        <v/>
      </c>
      <c r="P1100" t="str">
        <f>IF(DONNEES!$E1100="","",DONNEES!Q1100)</f>
        <v/>
      </c>
      <c r="Q1100" t="str">
        <f>IF(DONNEES!$E1100="","",DONNEES!R1100)</f>
        <v/>
      </c>
      <c r="R1100" t="str">
        <f>IF(DONNEES!$E1100="","",DONNEES!S1100)</f>
        <v/>
      </c>
      <c r="S1100" t="str">
        <f>IF(DONNEES!$E1100="","",DONNEES!T1100)</f>
        <v/>
      </c>
      <c r="T1100" t="str">
        <f>IF(DONNEES!$E1100="","",DONNEES!U1100)</f>
        <v/>
      </c>
      <c r="U1100" t="str">
        <f>IF(DONNEES!$E1100="","",DONNEES!V1100)</f>
        <v/>
      </c>
      <c r="V1100" t="str">
        <f>IF(DONNEES!$E1100="","",DONNEES!W1100)</f>
        <v/>
      </c>
      <c r="W1100" t="str">
        <f>IF(DONNEES!$E1100="","",DONNEES!X1100)</f>
        <v/>
      </c>
      <c r="X1100" t="str">
        <f>IF(DONNEES!$E1100="","",DONNEES!Y1100)</f>
        <v/>
      </c>
      <c r="Y1100" t="str">
        <f>IF(DONNEES!$E1100="","",DONNEES!Z1100)</f>
        <v/>
      </c>
      <c r="Z1100" t="str">
        <f>IF(DONNEES!$E1100="","",DONNEES!AQ1100)</f>
        <v/>
      </c>
    </row>
    <row r="1101" spans="1:26" ht="15" customHeight="1" x14ac:dyDescent="0.3">
      <c r="A1101" t="str">
        <f>IF(DONNEES!$E1101="","",DONNEES!A1101)</f>
        <v/>
      </c>
      <c r="B1101" t="str">
        <f>IF(DONNEES!$E1101="","",DONNEES!B1101)</f>
        <v/>
      </c>
      <c r="C1101" t="str">
        <f>IF(DONNEES!$E1101="","",DONNEES!C1101)</f>
        <v/>
      </c>
      <c r="D1101" t="str">
        <f>IF(DONNEES!$E1101="","",DONNEES!E1101)</f>
        <v/>
      </c>
      <c r="E1101" t="str">
        <f>IF(DONNEES!$E1101="","",DONNEES!F1101)</f>
        <v/>
      </c>
      <c r="F1101" t="str">
        <f>IF(DONNEES!$E1101="","",DONNEES!G1101)</f>
        <v/>
      </c>
      <c r="G1101" t="str">
        <f>IF(DONNEES!$E1101="","",DONNEES!H1101)</f>
        <v/>
      </c>
      <c r="H1101" t="str">
        <f>IF(DONNEES!$E1101="","",DONNEES!I1101)</f>
        <v/>
      </c>
      <c r="I1101" t="str">
        <f>IF(DONNEES!$E1101="","",DONNEES!J1101)</f>
        <v/>
      </c>
      <c r="J1101" t="str">
        <f>IF(DONNEES!$E1101="","",DONNEES!K1101)</f>
        <v/>
      </c>
      <c r="K1101" t="str">
        <f>IF(DONNEES!$E1101="","",DONNEES!L1101)</f>
        <v/>
      </c>
      <c r="L1101" t="str">
        <f>IF(DONNEES!$E1101="","",DONNEES!M1101)</f>
        <v/>
      </c>
      <c r="M1101" t="str">
        <f>IF(DONNEES!$E1101="","",DONNEES!N1101)</f>
        <v/>
      </c>
      <c r="N1101" t="str">
        <f>IF(DONNEES!$E1101="","",DONNEES!O1101)</f>
        <v/>
      </c>
      <c r="O1101" t="str">
        <f>IF(DONNEES!$E1101="","",DONNEES!P1101)</f>
        <v/>
      </c>
      <c r="P1101" t="str">
        <f>IF(DONNEES!$E1101="","",DONNEES!Q1101)</f>
        <v/>
      </c>
      <c r="Q1101" t="str">
        <f>IF(DONNEES!$E1101="","",DONNEES!R1101)</f>
        <v/>
      </c>
      <c r="R1101" t="str">
        <f>IF(DONNEES!$E1101="","",DONNEES!S1101)</f>
        <v/>
      </c>
      <c r="S1101" t="str">
        <f>IF(DONNEES!$E1101="","",DONNEES!T1101)</f>
        <v/>
      </c>
      <c r="T1101" t="str">
        <f>IF(DONNEES!$E1101="","",DONNEES!U1101)</f>
        <v/>
      </c>
      <c r="U1101" t="str">
        <f>IF(DONNEES!$E1101="","",DONNEES!V1101)</f>
        <v/>
      </c>
      <c r="V1101" t="str">
        <f>IF(DONNEES!$E1101="","",DONNEES!W1101)</f>
        <v/>
      </c>
      <c r="W1101" t="str">
        <f>IF(DONNEES!$E1101="","",DONNEES!X1101)</f>
        <v/>
      </c>
      <c r="X1101" t="str">
        <f>IF(DONNEES!$E1101="","",DONNEES!Y1101)</f>
        <v/>
      </c>
      <c r="Y1101" t="str">
        <f>IF(DONNEES!$E1101="","",DONNEES!Z1101)</f>
        <v/>
      </c>
      <c r="Z1101" t="str">
        <f>IF(DONNEES!$E1101="","",DONNEES!AQ1101)</f>
        <v/>
      </c>
    </row>
    <row r="1102" spans="1:26" ht="15" customHeight="1" x14ac:dyDescent="0.3">
      <c r="A1102" t="str">
        <f>IF(DONNEES!$E1102="","",DONNEES!A1102)</f>
        <v/>
      </c>
      <c r="B1102" t="str">
        <f>IF(DONNEES!$E1102="","",DONNEES!B1102)</f>
        <v/>
      </c>
      <c r="C1102" t="str">
        <f>IF(DONNEES!$E1102="","",DONNEES!C1102)</f>
        <v/>
      </c>
      <c r="D1102" t="str">
        <f>IF(DONNEES!$E1102="","",DONNEES!E1102)</f>
        <v/>
      </c>
      <c r="E1102" t="str">
        <f>IF(DONNEES!$E1102="","",DONNEES!F1102)</f>
        <v/>
      </c>
      <c r="F1102" t="str">
        <f>IF(DONNEES!$E1102="","",DONNEES!G1102)</f>
        <v/>
      </c>
      <c r="G1102" t="str">
        <f>IF(DONNEES!$E1102="","",DONNEES!H1102)</f>
        <v/>
      </c>
      <c r="H1102" t="str">
        <f>IF(DONNEES!$E1102="","",DONNEES!I1102)</f>
        <v/>
      </c>
      <c r="I1102" t="str">
        <f>IF(DONNEES!$E1102="","",DONNEES!J1102)</f>
        <v/>
      </c>
      <c r="J1102" t="str">
        <f>IF(DONNEES!$E1102="","",DONNEES!K1102)</f>
        <v/>
      </c>
      <c r="K1102" t="str">
        <f>IF(DONNEES!$E1102="","",DONNEES!L1102)</f>
        <v/>
      </c>
      <c r="L1102" t="str">
        <f>IF(DONNEES!$E1102="","",DONNEES!M1102)</f>
        <v/>
      </c>
      <c r="M1102" t="str">
        <f>IF(DONNEES!$E1102="","",DONNEES!N1102)</f>
        <v/>
      </c>
      <c r="N1102" t="str">
        <f>IF(DONNEES!$E1102="","",DONNEES!O1102)</f>
        <v/>
      </c>
      <c r="O1102" t="str">
        <f>IF(DONNEES!$E1102="","",DONNEES!P1102)</f>
        <v/>
      </c>
      <c r="P1102" t="str">
        <f>IF(DONNEES!$E1102="","",DONNEES!Q1102)</f>
        <v/>
      </c>
      <c r="Q1102" t="str">
        <f>IF(DONNEES!$E1102="","",DONNEES!R1102)</f>
        <v/>
      </c>
      <c r="R1102" t="str">
        <f>IF(DONNEES!$E1102="","",DONNEES!S1102)</f>
        <v/>
      </c>
      <c r="S1102" t="str">
        <f>IF(DONNEES!$E1102="","",DONNEES!T1102)</f>
        <v/>
      </c>
      <c r="T1102" t="str">
        <f>IF(DONNEES!$E1102="","",DONNEES!U1102)</f>
        <v/>
      </c>
      <c r="U1102" t="str">
        <f>IF(DONNEES!$E1102="","",DONNEES!V1102)</f>
        <v/>
      </c>
      <c r="V1102" t="str">
        <f>IF(DONNEES!$E1102="","",DONNEES!W1102)</f>
        <v/>
      </c>
      <c r="W1102" t="str">
        <f>IF(DONNEES!$E1102="","",DONNEES!X1102)</f>
        <v/>
      </c>
      <c r="X1102" t="str">
        <f>IF(DONNEES!$E1102="","",DONNEES!Y1102)</f>
        <v/>
      </c>
      <c r="Y1102" t="str">
        <f>IF(DONNEES!$E1102="","",DONNEES!Z1102)</f>
        <v/>
      </c>
      <c r="Z1102" t="str">
        <f>IF(DONNEES!$E1102="","",DONNEES!AQ1102)</f>
        <v/>
      </c>
    </row>
    <row r="1103" spans="1:26" ht="15" customHeight="1" x14ac:dyDescent="0.3">
      <c r="A1103" t="str">
        <f>IF(DONNEES!$E1103="","",DONNEES!A1103)</f>
        <v/>
      </c>
      <c r="B1103" t="str">
        <f>IF(DONNEES!$E1103="","",DONNEES!B1103)</f>
        <v/>
      </c>
      <c r="C1103" t="str">
        <f>IF(DONNEES!$E1103="","",DONNEES!C1103)</f>
        <v/>
      </c>
      <c r="D1103" t="str">
        <f>IF(DONNEES!$E1103="","",DONNEES!E1103)</f>
        <v/>
      </c>
      <c r="E1103" t="str">
        <f>IF(DONNEES!$E1103="","",DONNEES!F1103)</f>
        <v/>
      </c>
      <c r="F1103" t="str">
        <f>IF(DONNEES!$E1103="","",DONNEES!G1103)</f>
        <v/>
      </c>
      <c r="G1103" t="str">
        <f>IF(DONNEES!$E1103="","",DONNEES!H1103)</f>
        <v/>
      </c>
      <c r="H1103" t="str">
        <f>IF(DONNEES!$E1103="","",DONNEES!I1103)</f>
        <v/>
      </c>
      <c r="I1103" t="str">
        <f>IF(DONNEES!$E1103="","",DONNEES!J1103)</f>
        <v/>
      </c>
      <c r="J1103" t="str">
        <f>IF(DONNEES!$E1103="","",DONNEES!K1103)</f>
        <v/>
      </c>
      <c r="K1103" t="str">
        <f>IF(DONNEES!$E1103="","",DONNEES!L1103)</f>
        <v/>
      </c>
      <c r="L1103" t="str">
        <f>IF(DONNEES!$E1103="","",DONNEES!M1103)</f>
        <v/>
      </c>
      <c r="M1103" t="str">
        <f>IF(DONNEES!$E1103="","",DONNEES!N1103)</f>
        <v/>
      </c>
      <c r="N1103" t="str">
        <f>IF(DONNEES!$E1103="","",DONNEES!O1103)</f>
        <v/>
      </c>
      <c r="O1103" t="str">
        <f>IF(DONNEES!$E1103="","",DONNEES!P1103)</f>
        <v/>
      </c>
      <c r="P1103" t="str">
        <f>IF(DONNEES!$E1103="","",DONNEES!Q1103)</f>
        <v/>
      </c>
      <c r="Q1103" t="str">
        <f>IF(DONNEES!$E1103="","",DONNEES!R1103)</f>
        <v/>
      </c>
      <c r="R1103" t="str">
        <f>IF(DONNEES!$E1103="","",DONNEES!S1103)</f>
        <v/>
      </c>
      <c r="S1103" t="str">
        <f>IF(DONNEES!$E1103="","",DONNEES!T1103)</f>
        <v/>
      </c>
      <c r="T1103" t="str">
        <f>IF(DONNEES!$E1103="","",DONNEES!U1103)</f>
        <v/>
      </c>
      <c r="U1103" t="str">
        <f>IF(DONNEES!$E1103="","",DONNEES!V1103)</f>
        <v/>
      </c>
      <c r="V1103" t="str">
        <f>IF(DONNEES!$E1103="","",DONNEES!W1103)</f>
        <v/>
      </c>
      <c r="W1103" t="str">
        <f>IF(DONNEES!$E1103="","",DONNEES!X1103)</f>
        <v/>
      </c>
      <c r="X1103" t="str">
        <f>IF(DONNEES!$E1103="","",DONNEES!Y1103)</f>
        <v/>
      </c>
      <c r="Y1103" t="str">
        <f>IF(DONNEES!$E1103="","",DONNEES!Z1103)</f>
        <v/>
      </c>
      <c r="Z1103" t="str">
        <f>IF(DONNEES!$E1103="","",DONNEES!AQ1103)</f>
        <v/>
      </c>
    </row>
    <row r="1104" spans="1:26" ht="15" customHeight="1" x14ac:dyDescent="0.3">
      <c r="A1104" t="str">
        <f>IF(DONNEES!$E1104="","",DONNEES!A1104)</f>
        <v/>
      </c>
      <c r="B1104" t="str">
        <f>IF(DONNEES!$E1104="","",DONNEES!B1104)</f>
        <v/>
      </c>
      <c r="C1104" t="str">
        <f>IF(DONNEES!$E1104="","",DONNEES!C1104)</f>
        <v/>
      </c>
      <c r="D1104" t="str">
        <f>IF(DONNEES!$E1104="","",DONNEES!E1104)</f>
        <v/>
      </c>
      <c r="E1104" t="str">
        <f>IF(DONNEES!$E1104="","",DONNEES!F1104)</f>
        <v/>
      </c>
      <c r="F1104" t="str">
        <f>IF(DONNEES!$E1104="","",DONNEES!G1104)</f>
        <v/>
      </c>
      <c r="G1104" t="str">
        <f>IF(DONNEES!$E1104="","",DONNEES!H1104)</f>
        <v/>
      </c>
      <c r="H1104" t="str">
        <f>IF(DONNEES!$E1104="","",DONNEES!I1104)</f>
        <v/>
      </c>
      <c r="I1104" t="str">
        <f>IF(DONNEES!$E1104="","",DONNEES!J1104)</f>
        <v/>
      </c>
      <c r="J1104" t="str">
        <f>IF(DONNEES!$E1104="","",DONNEES!K1104)</f>
        <v/>
      </c>
      <c r="K1104" t="str">
        <f>IF(DONNEES!$E1104="","",DONNEES!L1104)</f>
        <v/>
      </c>
      <c r="L1104" t="str">
        <f>IF(DONNEES!$E1104="","",DONNEES!M1104)</f>
        <v/>
      </c>
      <c r="M1104" t="str">
        <f>IF(DONNEES!$E1104="","",DONNEES!N1104)</f>
        <v/>
      </c>
      <c r="N1104" t="str">
        <f>IF(DONNEES!$E1104="","",DONNEES!O1104)</f>
        <v/>
      </c>
      <c r="O1104" t="str">
        <f>IF(DONNEES!$E1104="","",DONNEES!P1104)</f>
        <v/>
      </c>
      <c r="P1104" t="str">
        <f>IF(DONNEES!$E1104="","",DONNEES!Q1104)</f>
        <v/>
      </c>
      <c r="Q1104" t="str">
        <f>IF(DONNEES!$E1104="","",DONNEES!R1104)</f>
        <v/>
      </c>
      <c r="R1104" t="str">
        <f>IF(DONNEES!$E1104="","",DONNEES!S1104)</f>
        <v/>
      </c>
      <c r="S1104" t="str">
        <f>IF(DONNEES!$E1104="","",DONNEES!T1104)</f>
        <v/>
      </c>
      <c r="T1104" t="str">
        <f>IF(DONNEES!$E1104="","",DONNEES!U1104)</f>
        <v/>
      </c>
      <c r="U1104" t="str">
        <f>IF(DONNEES!$E1104="","",DONNEES!V1104)</f>
        <v/>
      </c>
      <c r="V1104" t="str">
        <f>IF(DONNEES!$E1104="","",DONNEES!W1104)</f>
        <v/>
      </c>
      <c r="W1104" t="str">
        <f>IF(DONNEES!$E1104="","",DONNEES!X1104)</f>
        <v/>
      </c>
      <c r="X1104" t="str">
        <f>IF(DONNEES!$E1104="","",DONNEES!Y1104)</f>
        <v/>
      </c>
      <c r="Y1104" t="str">
        <f>IF(DONNEES!$E1104="","",DONNEES!Z1104)</f>
        <v/>
      </c>
      <c r="Z1104" t="str">
        <f>IF(DONNEES!$E1104="","",DONNEES!AQ1104)</f>
        <v/>
      </c>
    </row>
    <row r="1105" spans="1:26" ht="15" customHeight="1" x14ac:dyDescent="0.3">
      <c r="A1105" t="str">
        <f>IF(DONNEES!$E1105="","",DONNEES!A1105)</f>
        <v/>
      </c>
      <c r="B1105" t="str">
        <f>IF(DONNEES!$E1105="","",DONNEES!B1105)</f>
        <v/>
      </c>
      <c r="C1105" t="str">
        <f>IF(DONNEES!$E1105="","",DONNEES!C1105)</f>
        <v/>
      </c>
      <c r="D1105" t="str">
        <f>IF(DONNEES!$E1105="","",DONNEES!E1105)</f>
        <v/>
      </c>
      <c r="E1105" t="str">
        <f>IF(DONNEES!$E1105="","",DONNEES!F1105)</f>
        <v/>
      </c>
      <c r="F1105" t="str">
        <f>IF(DONNEES!$E1105="","",DONNEES!G1105)</f>
        <v/>
      </c>
      <c r="G1105" t="str">
        <f>IF(DONNEES!$E1105="","",DONNEES!H1105)</f>
        <v/>
      </c>
      <c r="H1105" t="str">
        <f>IF(DONNEES!$E1105="","",DONNEES!I1105)</f>
        <v/>
      </c>
      <c r="I1105" t="str">
        <f>IF(DONNEES!$E1105="","",DONNEES!J1105)</f>
        <v/>
      </c>
      <c r="J1105" t="str">
        <f>IF(DONNEES!$E1105="","",DONNEES!K1105)</f>
        <v/>
      </c>
      <c r="K1105" t="str">
        <f>IF(DONNEES!$E1105="","",DONNEES!L1105)</f>
        <v/>
      </c>
      <c r="L1105" t="str">
        <f>IF(DONNEES!$E1105="","",DONNEES!M1105)</f>
        <v/>
      </c>
      <c r="M1105" t="str">
        <f>IF(DONNEES!$E1105="","",DONNEES!N1105)</f>
        <v/>
      </c>
      <c r="N1105" t="str">
        <f>IF(DONNEES!$E1105="","",DONNEES!O1105)</f>
        <v/>
      </c>
      <c r="O1105" t="str">
        <f>IF(DONNEES!$E1105="","",DONNEES!P1105)</f>
        <v/>
      </c>
      <c r="P1105" t="str">
        <f>IF(DONNEES!$E1105="","",DONNEES!Q1105)</f>
        <v/>
      </c>
      <c r="Q1105" t="str">
        <f>IF(DONNEES!$E1105="","",DONNEES!R1105)</f>
        <v/>
      </c>
      <c r="R1105" t="str">
        <f>IF(DONNEES!$E1105="","",DONNEES!S1105)</f>
        <v/>
      </c>
      <c r="S1105" t="str">
        <f>IF(DONNEES!$E1105="","",DONNEES!T1105)</f>
        <v/>
      </c>
      <c r="T1105" t="str">
        <f>IF(DONNEES!$E1105="","",DONNEES!U1105)</f>
        <v/>
      </c>
      <c r="U1105" t="str">
        <f>IF(DONNEES!$E1105="","",DONNEES!V1105)</f>
        <v/>
      </c>
      <c r="V1105" t="str">
        <f>IF(DONNEES!$E1105="","",DONNEES!W1105)</f>
        <v/>
      </c>
      <c r="W1105" t="str">
        <f>IF(DONNEES!$E1105="","",DONNEES!X1105)</f>
        <v/>
      </c>
      <c r="X1105" t="str">
        <f>IF(DONNEES!$E1105="","",DONNEES!Y1105)</f>
        <v/>
      </c>
      <c r="Y1105" t="str">
        <f>IF(DONNEES!$E1105="","",DONNEES!Z1105)</f>
        <v/>
      </c>
      <c r="Z1105" t="str">
        <f>IF(DONNEES!$E1105="","",DONNEES!AQ1105)</f>
        <v/>
      </c>
    </row>
    <row r="1106" spans="1:26" ht="15" customHeight="1" x14ac:dyDescent="0.3">
      <c r="A1106" t="str">
        <f>IF(DONNEES!$E1106="","",DONNEES!A1106)</f>
        <v/>
      </c>
      <c r="B1106" t="str">
        <f>IF(DONNEES!$E1106="","",DONNEES!B1106)</f>
        <v/>
      </c>
      <c r="C1106" t="str">
        <f>IF(DONNEES!$E1106="","",DONNEES!C1106)</f>
        <v/>
      </c>
      <c r="D1106" t="str">
        <f>IF(DONNEES!$E1106="","",DONNEES!E1106)</f>
        <v/>
      </c>
      <c r="E1106" t="str">
        <f>IF(DONNEES!$E1106="","",DONNEES!F1106)</f>
        <v/>
      </c>
      <c r="F1106" t="str">
        <f>IF(DONNEES!$E1106="","",DONNEES!G1106)</f>
        <v/>
      </c>
      <c r="G1106" t="str">
        <f>IF(DONNEES!$E1106="","",DONNEES!H1106)</f>
        <v/>
      </c>
      <c r="H1106" t="str">
        <f>IF(DONNEES!$E1106="","",DONNEES!I1106)</f>
        <v/>
      </c>
      <c r="I1106" t="str">
        <f>IF(DONNEES!$E1106="","",DONNEES!J1106)</f>
        <v/>
      </c>
      <c r="J1106" t="str">
        <f>IF(DONNEES!$E1106="","",DONNEES!K1106)</f>
        <v/>
      </c>
      <c r="K1106" t="str">
        <f>IF(DONNEES!$E1106="","",DONNEES!L1106)</f>
        <v/>
      </c>
      <c r="L1106" t="str">
        <f>IF(DONNEES!$E1106="","",DONNEES!M1106)</f>
        <v/>
      </c>
      <c r="M1106" t="str">
        <f>IF(DONNEES!$E1106="","",DONNEES!N1106)</f>
        <v/>
      </c>
      <c r="N1106" t="str">
        <f>IF(DONNEES!$E1106="","",DONNEES!O1106)</f>
        <v/>
      </c>
      <c r="O1106" t="str">
        <f>IF(DONNEES!$E1106="","",DONNEES!P1106)</f>
        <v/>
      </c>
      <c r="P1106" t="str">
        <f>IF(DONNEES!$E1106="","",DONNEES!Q1106)</f>
        <v/>
      </c>
      <c r="Q1106" t="str">
        <f>IF(DONNEES!$E1106="","",DONNEES!R1106)</f>
        <v/>
      </c>
      <c r="R1106" t="str">
        <f>IF(DONNEES!$E1106="","",DONNEES!S1106)</f>
        <v/>
      </c>
      <c r="S1106" t="str">
        <f>IF(DONNEES!$E1106="","",DONNEES!T1106)</f>
        <v/>
      </c>
      <c r="T1106" t="str">
        <f>IF(DONNEES!$E1106="","",DONNEES!U1106)</f>
        <v/>
      </c>
      <c r="U1106" t="str">
        <f>IF(DONNEES!$E1106="","",DONNEES!V1106)</f>
        <v/>
      </c>
      <c r="V1106" t="str">
        <f>IF(DONNEES!$E1106="","",DONNEES!W1106)</f>
        <v/>
      </c>
      <c r="W1106" t="str">
        <f>IF(DONNEES!$E1106="","",DONNEES!X1106)</f>
        <v/>
      </c>
      <c r="X1106" t="str">
        <f>IF(DONNEES!$E1106="","",DONNEES!Y1106)</f>
        <v/>
      </c>
      <c r="Y1106" t="str">
        <f>IF(DONNEES!$E1106="","",DONNEES!Z1106)</f>
        <v/>
      </c>
      <c r="Z1106" t="str">
        <f>IF(DONNEES!$E1106="","",DONNEES!AQ1106)</f>
        <v/>
      </c>
    </row>
    <row r="1107" spans="1:26" ht="15" customHeight="1" x14ac:dyDescent="0.3">
      <c r="A1107" t="str">
        <f>IF(DONNEES!$E1107="","",DONNEES!A1107)</f>
        <v/>
      </c>
      <c r="B1107" t="str">
        <f>IF(DONNEES!$E1107="","",DONNEES!B1107)</f>
        <v/>
      </c>
      <c r="C1107" t="str">
        <f>IF(DONNEES!$E1107="","",DONNEES!C1107)</f>
        <v/>
      </c>
      <c r="D1107" t="str">
        <f>IF(DONNEES!$E1107="","",DONNEES!E1107)</f>
        <v/>
      </c>
      <c r="E1107" t="str">
        <f>IF(DONNEES!$E1107="","",DONNEES!F1107)</f>
        <v/>
      </c>
      <c r="F1107" t="str">
        <f>IF(DONNEES!$E1107="","",DONNEES!G1107)</f>
        <v/>
      </c>
      <c r="G1107" t="str">
        <f>IF(DONNEES!$E1107="","",DONNEES!H1107)</f>
        <v/>
      </c>
      <c r="H1107" t="str">
        <f>IF(DONNEES!$E1107="","",DONNEES!I1107)</f>
        <v/>
      </c>
      <c r="I1107" t="str">
        <f>IF(DONNEES!$E1107="","",DONNEES!J1107)</f>
        <v/>
      </c>
      <c r="J1107" t="str">
        <f>IF(DONNEES!$E1107="","",DONNEES!K1107)</f>
        <v/>
      </c>
      <c r="K1107" t="str">
        <f>IF(DONNEES!$E1107="","",DONNEES!L1107)</f>
        <v/>
      </c>
      <c r="L1107" t="str">
        <f>IF(DONNEES!$E1107="","",DONNEES!M1107)</f>
        <v/>
      </c>
      <c r="M1107" t="str">
        <f>IF(DONNEES!$E1107="","",DONNEES!N1107)</f>
        <v/>
      </c>
      <c r="N1107" t="str">
        <f>IF(DONNEES!$E1107="","",DONNEES!O1107)</f>
        <v/>
      </c>
      <c r="O1107" t="str">
        <f>IF(DONNEES!$E1107="","",DONNEES!P1107)</f>
        <v/>
      </c>
      <c r="P1107" t="str">
        <f>IF(DONNEES!$E1107="","",DONNEES!Q1107)</f>
        <v/>
      </c>
      <c r="Q1107" t="str">
        <f>IF(DONNEES!$E1107="","",DONNEES!R1107)</f>
        <v/>
      </c>
      <c r="R1107" t="str">
        <f>IF(DONNEES!$E1107="","",DONNEES!S1107)</f>
        <v/>
      </c>
      <c r="S1107" t="str">
        <f>IF(DONNEES!$E1107="","",DONNEES!T1107)</f>
        <v/>
      </c>
      <c r="T1107" t="str">
        <f>IF(DONNEES!$E1107="","",DONNEES!U1107)</f>
        <v/>
      </c>
      <c r="U1107" t="str">
        <f>IF(DONNEES!$E1107="","",DONNEES!V1107)</f>
        <v/>
      </c>
      <c r="V1107" t="str">
        <f>IF(DONNEES!$E1107="","",DONNEES!W1107)</f>
        <v/>
      </c>
      <c r="W1107" t="str">
        <f>IF(DONNEES!$E1107="","",DONNEES!X1107)</f>
        <v/>
      </c>
      <c r="X1107" t="str">
        <f>IF(DONNEES!$E1107="","",DONNEES!Y1107)</f>
        <v/>
      </c>
      <c r="Y1107" t="str">
        <f>IF(DONNEES!$E1107="","",DONNEES!Z1107)</f>
        <v/>
      </c>
      <c r="Z1107" t="str">
        <f>IF(DONNEES!$E1107="","",DONNEES!AQ1107)</f>
        <v/>
      </c>
    </row>
    <row r="1108" spans="1:26" ht="15" customHeight="1" x14ac:dyDescent="0.3">
      <c r="A1108" t="str">
        <f>IF(DONNEES!$E1108="","",DONNEES!A1108)</f>
        <v/>
      </c>
      <c r="B1108" t="str">
        <f>IF(DONNEES!$E1108="","",DONNEES!B1108)</f>
        <v/>
      </c>
      <c r="C1108" t="str">
        <f>IF(DONNEES!$E1108="","",DONNEES!C1108)</f>
        <v/>
      </c>
      <c r="D1108" t="str">
        <f>IF(DONNEES!$E1108="","",DONNEES!E1108)</f>
        <v/>
      </c>
      <c r="E1108" t="str">
        <f>IF(DONNEES!$E1108="","",DONNEES!F1108)</f>
        <v/>
      </c>
      <c r="F1108" t="str">
        <f>IF(DONNEES!$E1108="","",DONNEES!G1108)</f>
        <v/>
      </c>
      <c r="G1108" t="str">
        <f>IF(DONNEES!$E1108="","",DONNEES!H1108)</f>
        <v/>
      </c>
      <c r="H1108" t="str">
        <f>IF(DONNEES!$E1108="","",DONNEES!I1108)</f>
        <v/>
      </c>
      <c r="I1108" t="str">
        <f>IF(DONNEES!$E1108="","",DONNEES!J1108)</f>
        <v/>
      </c>
      <c r="J1108" t="str">
        <f>IF(DONNEES!$E1108="","",DONNEES!K1108)</f>
        <v/>
      </c>
      <c r="K1108" t="str">
        <f>IF(DONNEES!$E1108="","",DONNEES!L1108)</f>
        <v/>
      </c>
      <c r="L1108" t="str">
        <f>IF(DONNEES!$E1108="","",DONNEES!M1108)</f>
        <v/>
      </c>
      <c r="M1108" t="str">
        <f>IF(DONNEES!$E1108="","",DONNEES!N1108)</f>
        <v/>
      </c>
      <c r="N1108" t="str">
        <f>IF(DONNEES!$E1108="","",DONNEES!O1108)</f>
        <v/>
      </c>
      <c r="O1108" t="str">
        <f>IF(DONNEES!$E1108="","",DONNEES!P1108)</f>
        <v/>
      </c>
      <c r="P1108" t="str">
        <f>IF(DONNEES!$E1108="","",DONNEES!Q1108)</f>
        <v/>
      </c>
      <c r="Q1108" t="str">
        <f>IF(DONNEES!$E1108="","",DONNEES!R1108)</f>
        <v/>
      </c>
      <c r="R1108" t="str">
        <f>IF(DONNEES!$E1108="","",DONNEES!S1108)</f>
        <v/>
      </c>
      <c r="S1108" t="str">
        <f>IF(DONNEES!$E1108="","",DONNEES!T1108)</f>
        <v/>
      </c>
      <c r="T1108" t="str">
        <f>IF(DONNEES!$E1108="","",DONNEES!U1108)</f>
        <v/>
      </c>
      <c r="U1108" t="str">
        <f>IF(DONNEES!$E1108="","",DONNEES!V1108)</f>
        <v/>
      </c>
      <c r="V1108" t="str">
        <f>IF(DONNEES!$E1108="","",DONNEES!W1108)</f>
        <v/>
      </c>
      <c r="W1108" t="str">
        <f>IF(DONNEES!$E1108="","",DONNEES!X1108)</f>
        <v/>
      </c>
      <c r="X1108" t="str">
        <f>IF(DONNEES!$E1108="","",DONNEES!Y1108)</f>
        <v/>
      </c>
      <c r="Y1108" t="str">
        <f>IF(DONNEES!$E1108="","",DONNEES!Z1108)</f>
        <v/>
      </c>
      <c r="Z1108" t="str">
        <f>IF(DONNEES!$E1108="","",DONNEES!AQ1108)</f>
        <v/>
      </c>
    </row>
    <row r="1109" spans="1:26" ht="15" customHeight="1" x14ac:dyDescent="0.3">
      <c r="A1109" t="str">
        <f>IF(DONNEES!$E1109="","",DONNEES!A1109)</f>
        <v/>
      </c>
      <c r="B1109" t="str">
        <f>IF(DONNEES!$E1109="","",DONNEES!B1109)</f>
        <v/>
      </c>
      <c r="C1109" t="str">
        <f>IF(DONNEES!$E1109="","",DONNEES!C1109)</f>
        <v/>
      </c>
      <c r="D1109" t="str">
        <f>IF(DONNEES!$E1109="","",DONNEES!E1109)</f>
        <v/>
      </c>
      <c r="E1109" t="str">
        <f>IF(DONNEES!$E1109="","",DONNEES!F1109)</f>
        <v/>
      </c>
      <c r="F1109" t="str">
        <f>IF(DONNEES!$E1109="","",DONNEES!G1109)</f>
        <v/>
      </c>
      <c r="G1109" t="str">
        <f>IF(DONNEES!$E1109="","",DONNEES!H1109)</f>
        <v/>
      </c>
      <c r="H1109" t="str">
        <f>IF(DONNEES!$E1109="","",DONNEES!I1109)</f>
        <v/>
      </c>
      <c r="I1109" t="str">
        <f>IF(DONNEES!$E1109="","",DONNEES!J1109)</f>
        <v/>
      </c>
      <c r="J1109" t="str">
        <f>IF(DONNEES!$E1109="","",DONNEES!K1109)</f>
        <v/>
      </c>
      <c r="K1109" t="str">
        <f>IF(DONNEES!$E1109="","",DONNEES!L1109)</f>
        <v/>
      </c>
      <c r="L1109" t="str">
        <f>IF(DONNEES!$E1109="","",DONNEES!M1109)</f>
        <v/>
      </c>
      <c r="M1109" t="str">
        <f>IF(DONNEES!$E1109="","",DONNEES!N1109)</f>
        <v/>
      </c>
      <c r="N1109" t="str">
        <f>IF(DONNEES!$E1109="","",DONNEES!O1109)</f>
        <v/>
      </c>
      <c r="O1109" t="str">
        <f>IF(DONNEES!$E1109="","",DONNEES!P1109)</f>
        <v/>
      </c>
      <c r="P1109" t="str">
        <f>IF(DONNEES!$E1109="","",DONNEES!Q1109)</f>
        <v/>
      </c>
      <c r="Q1109" t="str">
        <f>IF(DONNEES!$E1109="","",DONNEES!R1109)</f>
        <v/>
      </c>
      <c r="R1109" t="str">
        <f>IF(DONNEES!$E1109="","",DONNEES!S1109)</f>
        <v/>
      </c>
      <c r="S1109" t="str">
        <f>IF(DONNEES!$E1109="","",DONNEES!T1109)</f>
        <v/>
      </c>
      <c r="T1109" t="str">
        <f>IF(DONNEES!$E1109="","",DONNEES!U1109)</f>
        <v/>
      </c>
      <c r="U1109" t="str">
        <f>IF(DONNEES!$E1109="","",DONNEES!V1109)</f>
        <v/>
      </c>
      <c r="V1109" t="str">
        <f>IF(DONNEES!$E1109="","",DONNEES!W1109)</f>
        <v/>
      </c>
      <c r="W1109" t="str">
        <f>IF(DONNEES!$E1109="","",DONNEES!X1109)</f>
        <v/>
      </c>
      <c r="X1109" t="str">
        <f>IF(DONNEES!$E1109="","",DONNEES!Y1109)</f>
        <v/>
      </c>
      <c r="Y1109" t="str">
        <f>IF(DONNEES!$E1109="","",DONNEES!Z1109)</f>
        <v/>
      </c>
      <c r="Z1109" t="str">
        <f>IF(DONNEES!$E1109="","",DONNEES!AQ1109)</f>
        <v/>
      </c>
    </row>
    <row r="1110" spans="1:26" ht="15" customHeight="1" x14ac:dyDescent="0.3">
      <c r="A1110" t="str">
        <f>IF(DONNEES!$E1110="","",DONNEES!A1110)</f>
        <v/>
      </c>
      <c r="B1110" t="str">
        <f>IF(DONNEES!$E1110="","",DONNEES!B1110)</f>
        <v/>
      </c>
      <c r="C1110" t="str">
        <f>IF(DONNEES!$E1110="","",DONNEES!C1110)</f>
        <v/>
      </c>
      <c r="D1110" t="str">
        <f>IF(DONNEES!$E1110="","",DONNEES!E1110)</f>
        <v/>
      </c>
      <c r="E1110" t="str">
        <f>IF(DONNEES!$E1110="","",DONNEES!F1110)</f>
        <v/>
      </c>
      <c r="F1110" t="str">
        <f>IF(DONNEES!$E1110="","",DONNEES!G1110)</f>
        <v/>
      </c>
      <c r="G1110" t="str">
        <f>IF(DONNEES!$E1110="","",DONNEES!H1110)</f>
        <v/>
      </c>
      <c r="H1110" t="str">
        <f>IF(DONNEES!$E1110="","",DONNEES!I1110)</f>
        <v/>
      </c>
      <c r="I1110" t="str">
        <f>IF(DONNEES!$E1110="","",DONNEES!J1110)</f>
        <v/>
      </c>
      <c r="J1110" t="str">
        <f>IF(DONNEES!$E1110="","",DONNEES!K1110)</f>
        <v/>
      </c>
      <c r="K1110" t="str">
        <f>IF(DONNEES!$E1110="","",DONNEES!L1110)</f>
        <v/>
      </c>
      <c r="L1110" t="str">
        <f>IF(DONNEES!$E1110="","",DONNEES!M1110)</f>
        <v/>
      </c>
      <c r="M1110" t="str">
        <f>IF(DONNEES!$E1110="","",DONNEES!N1110)</f>
        <v/>
      </c>
      <c r="N1110" t="str">
        <f>IF(DONNEES!$E1110="","",DONNEES!O1110)</f>
        <v/>
      </c>
      <c r="O1110" t="str">
        <f>IF(DONNEES!$E1110="","",DONNEES!P1110)</f>
        <v/>
      </c>
      <c r="P1110" t="str">
        <f>IF(DONNEES!$E1110="","",DONNEES!Q1110)</f>
        <v/>
      </c>
      <c r="Q1110" t="str">
        <f>IF(DONNEES!$E1110="","",DONNEES!R1110)</f>
        <v/>
      </c>
      <c r="R1110" t="str">
        <f>IF(DONNEES!$E1110="","",DONNEES!S1110)</f>
        <v/>
      </c>
      <c r="S1110" t="str">
        <f>IF(DONNEES!$E1110="","",DONNEES!T1110)</f>
        <v/>
      </c>
      <c r="T1110" t="str">
        <f>IF(DONNEES!$E1110="","",DONNEES!U1110)</f>
        <v/>
      </c>
      <c r="U1110" t="str">
        <f>IF(DONNEES!$E1110="","",DONNEES!V1110)</f>
        <v/>
      </c>
      <c r="V1110" t="str">
        <f>IF(DONNEES!$E1110="","",DONNEES!W1110)</f>
        <v/>
      </c>
      <c r="W1110" t="str">
        <f>IF(DONNEES!$E1110="","",DONNEES!X1110)</f>
        <v/>
      </c>
      <c r="X1110" t="str">
        <f>IF(DONNEES!$E1110="","",DONNEES!Y1110)</f>
        <v/>
      </c>
      <c r="Y1110" t="str">
        <f>IF(DONNEES!$E1110="","",DONNEES!Z1110)</f>
        <v/>
      </c>
      <c r="Z1110" t="str">
        <f>IF(DONNEES!$E1110="","",DONNEES!AQ1110)</f>
        <v/>
      </c>
    </row>
    <row r="1111" spans="1:26" ht="15" customHeight="1" x14ac:dyDescent="0.3">
      <c r="A1111" t="str">
        <f>IF(DONNEES!$E1111="","",DONNEES!A1111)</f>
        <v/>
      </c>
      <c r="B1111" t="str">
        <f>IF(DONNEES!$E1111="","",DONNEES!B1111)</f>
        <v/>
      </c>
      <c r="C1111" t="str">
        <f>IF(DONNEES!$E1111="","",DONNEES!C1111)</f>
        <v/>
      </c>
      <c r="D1111" t="str">
        <f>IF(DONNEES!$E1111="","",DONNEES!E1111)</f>
        <v/>
      </c>
      <c r="E1111" t="str">
        <f>IF(DONNEES!$E1111="","",DONNEES!F1111)</f>
        <v/>
      </c>
      <c r="F1111" t="str">
        <f>IF(DONNEES!$E1111="","",DONNEES!G1111)</f>
        <v/>
      </c>
      <c r="G1111" t="str">
        <f>IF(DONNEES!$E1111="","",DONNEES!H1111)</f>
        <v/>
      </c>
      <c r="H1111" t="str">
        <f>IF(DONNEES!$E1111="","",DONNEES!I1111)</f>
        <v/>
      </c>
      <c r="I1111" t="str">
        <f>IF(DONNEES!$E1111="","",DONNEES!J1111)</f>
        <v/>
      </c>
      <c r="J1111" t="str">
        <f>IF(DONNEES!$E1111="","",DONNEES!K1111)</f>
        <v/>
      </c>
      <c r="K1111" t="str">
        <f>IF(DONNEES!$E1111="","",DONNEES!L1111)</f>
        <v/>
      </c>
      <c r="L1111" t="str">
        <f>IF(DONNEES!$E1111="","",DONNEES!M1111)</f>
        <v/>
      </c>
      <c r="M1111" t="str">
        <f>IF(DONNEES!$E1111="","",DONNEES!N1111)</f>
        <v/>
      </c>
      <c r="N1111" t="str">
        <f>IF(DONNEES!$E1111="","",DONNEES!O1111)</f>
        <v/>
      </c>
      <c r="O1111" t="str">
        <f>IF(DONNEES!$E1111="","",DONNEES!P1111)</f>
        <v/>
      </c>
      <c r="P1111" t="str">
        <f>IF(DONNEES!$E1111="","",DONNEES!Q1111)</f>
        <v/>
      </c>
      <c r="Q1111" t="str">
        <f>IF(DONNEES!$E1111="","",DONNEES!R1111)</f>
        <v/>
      </c>
      <c r="R1111" t="str">
        <f>IF(DONNEES!$E1111="","",DONNEES!S1111)</f>
        <v/>
      </c>
      <c r="S1111" t="str">
        <f>IF(DONNEES!$E1111="","",DONNEES!T1111)</f>
        <v/>
      </c>
      <c r="T1111" t="str">
        <f>IF(DONNEES!$E1111="","",DONNEES!U1111)</f>
        <v/>
      </c>
      <c r="U1111" t="str">
        <f>IF(DONNEES!$E1111="","",DONNEES!V1111)</f>
        <v/>
      </c>
      <c r="V1111" t="str">
        <f>IF(DONNEES!$E1111="","",DONNEES!W1111)</f>
        <v/>
      </c>
      <c r="W1111" t="str">
        <f>IF(DONNEES!$E1111="","",DONNEES!X1111)</f>
        <v/>
      </c>
      <c r="X1111" t="str">
        <f>IF(DONNEES!$E1111="","",DONNEES!Y1111)</f>
        <v/>
      </c>
      <c r="Y1111" t="str">
        <f>IF(DONNEES!$E1111="","",DONNEES!Z1111)</f>
        <v/>
      </c>
      <c r="Z1111" t="str">
        <f>IF(DONNEES!$E1111="","",DONNEES!AQ1111)</f>
        <v/>
      </c>
    </row>
    <row r="1112" spans="1:26" ht="15" customHeight="1" x14ac:dyDescent="0.3">
      <c r="A1112" t="str">
        <f>IF(DONNEES!$E1112="","",DONNEES!A1112)</f>
        <v/>
      </c>
      <c r="B1112" t="str">
        <f>IF(DONNEES!$E1112="","",DONNEES!B1112)</f>
        <v/>
      </c>
      <c r="C1112" t="str">
        <f>IF(DONNEES!$E1112="","",DONNEES!C1112)</f>
        <v/>
      </c>
      <c r="D1112" t="str">
        <f>IF(DONNEES!$E1112="","",DONNEES!E1112)</f>
        <v/>
      </c>
      <c r="E1112" t="str">
        <f>IF(DONNEES!$E1112="","",DONNEES!F1112)</f>
        <v/>
      </c>
      <c r="F1112" t="str">
        <f>IF(DONNEES!$E1112="","",DONNEES!G1112)</f>
        <v/>
      </c>
      <c r="G1112" t="str">
        <f>IF(DONNEES!$E1112="","",DONNEES!H1112)</f>
        <v/>
      </c>
      <c r="H1112" t="str">
        <f>IF(DONNEES!$E1112="","",DONNEES!I1112)</f>
        <v/>
      </c>
      <c r="I1112" t="str">
        <f>IF(DONNEES!$E1112="","",DONNEES!J1112)</f>
        <v/>
      </c>
      <c r="J1112" t="str">
        <f>IF(DONNEES!$E1112="","",DONNEES!K1112)</f>
        <v/>
      </c>
      <c r="K1112" t="str">
        <f>IF(DONNEES!$E1112="","",DONNEES!L1112)</f>
        <v/>
      </c>
      <c r="L1112" t="str">
        <f>IF(DONNEES!$E1112="","",DONNEES!M1112)</f>
        <v/>
      </c>
      <c r="M1112" t="str">
        <f>IF(DONNEES!$E1112="","",DONNEES!N1112)</f>
        <v/>
      </c>
      <c r="N1112" t="str">
        <f>IF(DONNEES!$E1112="","",DONNEES!O1112)</f>
        <v/>
      </c>
      <c r="O1112" t="str">
        <f>IF(DONNEES!$E1112="","",DONNEES!P1112)</f>
        <v/>
      </c>
      <c r="P1112" t="str">
        <f>IF(DONNEES!$E1112="","",DONNEES!Q1112)</f>
        <v/>
      </c>
      <c r="Q1112" t="str">
        <f>IF(DONNEES!$E1112="","",DONNEES!R1112)</f>
        <v/>
      </c>
      <c r="R1112" t="str">
        <f>IF(DONNEES!$E1112="","",DONNEES!S1112)</f>
        <v/>
      </c>
      <c r="S1112" t="str">
        <f>IF(DONNEES!$E1112="","",DONNEES!T1112)</f>
        <v/>
      </c>
      <c r="T1112" t="str">
        <f>IF(DONNEES!$E1112="","",DONNEES!U1112)</f>
        <v/>
      </c>
      <c r="U1112" t="str">
        <f>IF(DONNEES!$E1112="","",DONNEES!V1112)</f>
        <v/>
      </c>
      <c r="V1112" t="str">
        <f>IF(DONNEES!$E1112="","",DONNEES!W1112)</f>
        <v/>
      </c>
      <c r="W1112" t="str">
        <f>IF(DONNEES!$E1112="","",DONNEES!X1112)</f>
        <v/>
      </c>
      <c r="X1112" t="str">
        <f>IF(DONNEES!$E1112="","",DONNEES!Y1112)</f>
        <v/>
      </c>
      <c r="Y1112" t="str">
        <f>IF(DONNEES!$E1112="","",DONNEES!Z1112)</f>
        <v/>
      </c>
      <c r="Z1112" t="str">
        <f>IF(DONNEES!$E1112="","",DONNEES!AQ1112)</f>
        <v/>
      </c>
    </row>
    <row r="1113" spans="1:26" ht="15" customHeight="1" x14ac:dyDescent="0.3">
      <c r="A1113" t="str">
        <f>IF(DONNEES!$E1113="","",DONNEES!A1113)</f>
        <v/>
      </c>
      <c r="B1113" t="str">
        <f>IF(DONNEES!$E1113="","",DONNEES!B1113)</f>
        <v/>
      </c>
      <c r="C1113" t="str">
        <f>IF(DONNEES!$E1113="","",DONNEES!C1113)</f>
        <v/>
      </c>
      <c r="D1113" t="str">
        <f>IF(DONNEES!$E1113="","",DONNEES!E1113)</f>
        <v/>
      </c>
      <c r="E1113" t="str">
        <f>IF(DONNEES!$E1113="","",DONNEES!F1113)</f>
        <v/>
      </c>
      <c r="F1113" t="str">
        <f>IF(DONNEES!$E1113="","",DONNEES!G1113)</f>
        <v/>
      </c>
      <c r="G1113" t="str">
        <f>IF(DONNEES!$E1113="","",DONNEES!H1113)</f>
        <v/>
      </c>
      <c r="H1113" t="str">
        <f>IF(DONNEES!$E1113="","",DONNEES!I1113)</f>
        <v/>
      </c>
      <c r="I1113" t="str">
        <f>IF(DONNEES!$E1113="","",DONNEES!J1113)</f>
        <v/>
      </c>
      <c r="J1113" t="str">
        <f>IF(DONNEES!$E1113="","",DONNEES!K1113)</f>
        <v/>
      </c>
      <c r="K1113" t="str">
        <f>IF(DONNEES!$E1113="","",DONNEES!L1113)</f>
        <v/>
      </c>
      <c r="L1113" t="str">
        <f>IF(DONNEES!$E1113="","",DONNEES!M1113)</f>
        <v/>
      </c>
      <c r="M1113" t="str">
        <f>IF(DONNEES!$E1113="","",DONNEES!N1113)</f>
        <v/>
      </c>
      <c r="N1113" t="str">
        <f>IF(DONNEES!$E1113="","",DONNEES!O1113)</f>
        <v/>
      </c>
      <c r="O1113" t="str">
        <f>IF(DONNEES!$E1113="","",DONNEES!P1113)</f>
        <v/>
      </c>
      <c r="P1113" t="str">
        <f>IF(DONNEES!$E1113="","",DONNEES!Q1113)</f>
        <v/>
      </c>
      <c r="Q1113" t="str">
        <f>IF(DONNEES!$E1113="","",DONNEES!R1113)</f>
        <v/>
      </c>
      <c r="R1113" t="str">
        <f>IF(DONNEES!$E1113="","",DONNEES!S1113)</f>
        <v/>
      </c>
      <c r="S1113" t="str">
        <f>IF(DONNEES!$E1113="","",DONNEES!T1113)</f>
        <v/>
      </c>
      <c r="T1113" t="str">
        <f>IF(DONNEES!$E1113="","",DONNEES!U1113)</f>
        <v/>
      </c>
      <c r="U1113" t="str">
        <f>IF(DONNEES!$E1113="","",DONNEES!V1113)</f>
        <v/>
      </c>
      <c r="V1113" t="str">
        <f>IF(DONNEES!$E1113="","",DONNEES!W1113)</f>
        <v/>
      </c>
      <c r="W1113" t="str">
        <f>IF(DONNEES!$E1113="","",DONNEES!X1113)</f>
        <v/>
      </c>
      <c r="X1113" t="str">
        <f>IF(DONNEES!$E1113="","",DONNEES!Y1113)</f>
        <v/>
      </c>
      <c r="Y1113" t="str">
        <f>IF(DONNEES!$E1113="","",DONNEES!Z1113)</f>
        <v/>
      </c>
      <c r="Z1113" t="str">
        <f>IF(DONNEES!$E1113="","",DONNEES!AQ1113)</f>
        <v/>
      </c>
    </row>
    <row r="1114" spans="1:26" ht="15" customHeight="1" x14ac:dyDescent="0.3">
      <c r="A1114" t="str">
        <f>IF(DONNEES!$E1114="","",DONNEES!A1114)</f>
        <v/>
      </c>
      <c r="B1114" t="str">
        <f>IF(DONNEES!$E1114="","",DONNEES!B1114)</f>
        <v/>
      </c>
      <c r="C1114" t="str">
        <f>IF(DONNEES!$E1114="","",DONNEES!C1114)</f>
        <v/>
      </c>
      <c r="D1114" t="str">
        <f>IF(DONNEES!$E1114="","",DONNEES!E1114)</f>
        <v/>
      </c>
      <c r="E1114" t="str">
        <f>IF(DONNEES!$E1114="","",DONNEES!F1114)</f>
        <v/>
      </c>
      <c r="F1114" t="str">
        <f>IF(DONNEES!$E1114="","",DONNEES!G1114)</f>
        <v/>
      </c>
      <c r="G1114" t="str">
        <f>IF(DONNEES!$E1114="","",DONNEES!H1114)</f>
        <v/>
      </c>
      <c r="H1114" t="str">
        <f>IF(DONNEES!$E1114="","",DONNEES!I1114)</f>
        <v/>
      </c>
      <c r="I1114" t="str">
        <f>IF(DONNEES!$E1114="","",DONNEES!J1114)</f>
        <v/>
      </c>
      <c r="J1114" t="str">
        <f>IF(DONNEES!$E1114="","",DONNEES!K1114)</f>
        <v/>
      </c>
      <c r="K1114" t="str">
        <f>IF(DONNEES!$E1114="","",DONNEES!L1114)</f>
        <v/>
      </c>
      <c r="L1114" t="str">
        <f>IF(DONNEES!$E1114="","",DONNEES!M1114)</f>
        <v/>
      </c>
      <c r="M1114" t="str">
        <f>IF(DONNEES!$E1114="","",DONNEES!N1114)</f>
        <v/>
      </c>
      <c r="N1114" t="str">
        <f>IF(DONNEES!$E1114="","",DONNEES!O1114)</f>
        <v/>
      </c>
      <c r="O1114" t="str">
        <f>IF(DONNEES!$E1114="","",DONNEES!P1114)</f>
        <v/>
      </c>
      <c r="P1114" t="str">
        <f>IF(DONNEES!$E1114="","",DONNEES!Q1114)</f>
        <v/>
      </c>
      <c r="Q1114" t="str">
        <f>IF(DONNEES!$E1114="","",DONNEES!R1114)</f>
        <v/>
      </c>
      <c r="R1114" t="str">
        <f>IF(DONNEES!$E1114="","",DONNEES!S1114)</f>
        <v/>
      </c>
      <c r="S1114" t="str">
        <f>IF(DONNEES!$E1114="","",DONNEES!T1114)</f>
        <v/>
      </c>
      <c r="T1114" t="str">
        <f>IF(DONNEES!$E1114="","",DONNEES!U1114)</f>
        <v/>
      </c>
      <c r="U1114" t="str">
        <f>IF(DONNEES!$E1114="","",DONNEES!V1114)</f>
        <v/>
      </c>
      <c r="V1114" t="str">
        <f>IF(DONNEES!$E1114="","",DONNEES!W1114)</f>
        <v/>
      </c>
      <c r="W1114" t="str">
        <f>IF(DONNEES!$E1114="","",DONNEES!X1114)</f>
        <v/>
      </c>
      <c r="X1114" t="str">
        <f>IF(DONNEES!$E1114="","",DONNEES!Y1114)</f>
        <v/>
      </c>
      <c r="Y1114" t="str">
        <f>IF(DONNEES!$E1114="","",DONNEES!Z1114)</f>
        <v/>
      </c>
      <c r="Z1114" t="str">
        <f>IF(DONNEES!$E1114="","",DONNEES!AQ1114)</f>
        <v/>
      </c>
    </row>
    <row r="1115" spans="1:26" ht="15" customHeight="1" x14ac:dyDescent="0.3">
      <c r="A1115" t="str">
        <f>IF(DONNEES!$E1115="","",DONNEES!A1115)</f>
        <v/>
      </c>
      <c r="B1115" t="str">
        <f>IF(DONNEES!$E1115="","",DONNEES!B1115)</f>
        <v/>
      </c>
      <c r="C1115" t="str">
        <f>IF(DONNEES!$E1115="","",DONNEES!C1115)</f>
        <v/>
      </c>
      <c r="D1115" t="str">
        <f>IF(DONNEES!$E1115="","",DONNEES!E1115)</f>
        <v/>
      </c>
      <c r="E1115" t="str">
        <f>IF(DONNEES!$E1115="","",DONNEES!F1115)</f>
        <v/>
      </c>
      <c r="F1115" t="str">
        <f>IF(DONNEES!$E1115="","",DONNEES!G1115)</f>
        <v/>
      </c>
      <c r="G1115" t="str">
        <f>IF(DONNEES!$E1115="","",DONNEES!H1115)</f>
        <v/>
      </c>
      <c r="H1115" t="str">
        <f>IF(DONNEES!$E1115="","",DONNEES!I1115)</f>
        <v/>
      </c>
      <c r="I1115" t="str">
        <f>IF(DONNEES!$E1115="","",DONNEES!J1115)</f>
        <v/>
      </c>
      <c r="J1115" t="str">
        <f>IF(DONNEES!$E1115="","",DONNEES!K1115)</f>
        <v/>
      </c>
      <c r="K1115" t="str">
        <f>IF(DONNEES!$E1115="","",DONNEES!L1115)</f>
        <v/>
      </c>
      <c r="L1115" t="str">
        <f>IF(DONNEES!$E1115="","",DONNEES!M1115)</f>
        <v/>
      </c>
      <c r="M1115" t="str">
        <f>IF(DONNEES!$E1115="","",DONNEES!N1115)</f>
        <v/>
      </c>
      <c r="N1115" t="str">
        <f>IF(DONNEES!$E1115="","",DONNEES!O1115)</f>
        <v/>
      </c>
      <c r="O1115" t="str">
        <f>IF(DONNEES!$E1115="","",DONNEES!P1115)</f>
        <v/>
      </c>
      <c r="P1115" t="str">
        <f>IF(DONNEES!$E1115="","",DONNEES!Q1115)</f>
        <v/>
      </c>
      <c r="Q1115" t="str">
        <f>IF(DONNEES!$E1115="","",DONNEES!R1115)</f>
        <v/>
      </c>
      <c r="R1115" t="str">
        <f>IF(DONNEES!$E1115="","",DONNEES!S1115)</f>
        <v/>
      </c>
      <c r="S1115" t="str">
        <f>IF(DONNEES!$E1115="","",DONNEES!T1115)</f>
        <v/>
      </c>
      <c r="T1115" t="str">
        <f>IF(DONNEES!$E1115="","",DONNEES!U1115)</f>
        <v/>
      </c>
      <c r="U1115" t="str">
        <f>IF(DONNEES!$E1115="","",DONNEES!V1115)</f>
        <v/>
      </c>
      <c r="V1115" t="str">
        <f>IF(DONNEES!$E1115="","",DONNEES!W1115)</f>
        <v/>
      </c>
      <c r="W1115" t="str">
        <f>IF(DONNEES!$E1115="","",DONNEES!X1115)</f>
        <v/>
      </c>
      <c r="X1115" t="str">
        <f>IF(DONNEES!$E1115="","",DONNEES!Y1115)</f>
        <v/>
      </c>
      <c r="Y1115" t="str">
        <f>IF(DONNEES!$E1115="","",DONNEES!Z1115)</f>
        <v/>
      </c>
      <c r="Z1115" t="str">
        <f>IF(DONNEES!$E1115="","",DONNEES!AQ1115)</f>
        <v/>
      </c>
    </row>
    <row r="1116" spans="1:26" ht="15" customHeight="1" x14ac:dyDescent="0.3">
      <c r="A1116" t="str">
        <f>IF(DONNEES!$E1116="","",DONNEES!A1116)</f>
        <v/>
      </c>
      <c r="B1116" t="str">
        <f>IF(DONNEES!$E1116="","",DONNEES!B1116)</f>
        <v/>
      </c>
      <c r="C1116" t="str">
        <f>IF(DONNEES!$E1116="","",DONNEES!C1116)</f>
        <v/>
      </c>
      <c r="D1116" t="str">
        <f>IF(DONNEES!$E1116="","",DONNEES!E1116)</f>
        <v/>
      </c>
      <c r="E1116" t="str">
        <f>IF(DONNEES!$E1116="","",DONNEES!F1116)</f>
        <v/>
      </c>
      <c r="F1116" t="str">
        <f>IF(DONNEES!$E1116="","",DONNEES!G1116)</f>
        <v/>
      </c>
      <c r="G1116" t="str">
        <f>IF(DONNEES!$E1116="","",DONNEES!H1116)</f>
        <v/>
      </c>
      <c r="H1116" t="str">
        <f>IF(DONNEES!$E1116="","",DONNEES!I1116)</f>
        <v/>
      </c>
      <c r="I1116" t="str">
        <f>IF(DONNEES!$E1116="","",DONNEES!J1116)</f>
        <v/>
      </c>
      <c r="J1116" t="str">
        <f>IF(DONNEES!$E1116="","",DONNEES!K1116)</f>
        <v/>
      </c>
      <c r="K1116" t="str">
        <f>IF(DONNEES!$E1116="","",DONNEES!L1116)</f>
        <v/>
      </c>
      <c r="L1116" t="str">
        <f>IF(DONNEES!$E1116="","",DONNEES!M1116)</f>
        <v/>
      </c>
      <c r="M1116" t="str">
        <f>IF(DONNEES!$E1116="","",DONNEES!N1116)</f>
        <v/>
      </c>
      <c r="N1116" t="str">
        <f>IF(DONNEES!$E1116="","",DONNEES!O1116)</f>
        <v/>
      </c>
      <c r="O1116" t="str">
        <f>IF(DONNEES!$E1116="","",DONNEES!P1116)</f>
        <v/>
      </c>
      <c r="P1116" t="str">
        <f>IF(DONNEES!$E1116="","",DONNEES!Q1116)</f>
        <v/>
      </c>
      <c r="Q1116" t="str">
        <f>IF(DONNEES!$E1116="","",DONNEES!R1116)</f>
        <v/>
      </c>
      <c r="R1116" t="str">
        <f>IF(DONNEES!$E1116="","",DONNEES!S1116)</f>
        <v/>
      </c>
      <c r="S1116" t="str">
        <f>IF(DONNEES!$E1116="","",DONNEES!T1116)</f>
        <v/>
      </c>
      <c r="T1116" t="str">
        <f>IF(DONNEES!$E1116="","",DONNEES!U1116)</f>
        <v/>
      </c>
      <c r="U1116" t="str">
        <f>IF(DONNEES!$E1116="","",DONNEES!V1116)</f>
        <v/>
      </c>
      <c r="V1116" t="str">
        <f>IF(DONNEES!$E1116="","",DONNEES!W1116)</f>
        <v/>
      </c>
      <c r="W1116" t="str">
        <f>IF(DONNEES!$E1116="","",DONNEES!X1116)</f>
        <v/>
      </c>
      <c r="X1116" t="str">
        <f>IF(DONNEES!$E1116="","",DONNEES!Y1116)</f>
        <v/>
      </c>
      <c r="Y1116" t="str">
        <f>IF(DONNEES!$E1116="","",DONNEES!Z1116)</f>
        <v/>
      </c>
      <c r="Z1116" t="str">
        <f>IF(DONNEES!$E1116="","",DONNEES!AQ1116)</f>
        <v/>
      </c>
    </row>
    <row r="1117" spans="1:26" ht="15" customHeight="1" x14ac:dyDescent="0.3">
      <c r="A1117" t="str">
        <f>IF(DONNEES!$E1117="","",DONNEES!A1117)</f>
        <v/>
      </c>
      <c r="B1117" t="str">
        <f>IF(DONNEES!$E1117="","",DONNEES!B1117)</f>
        <v/>
      </c>
      <c r="C1117" t="str">
        <f>IF(DONNEES!$E1117="","",DONNEES!C1117)</f>
        <v/>
      </c>
      <c r="D1117" t="str">
        <f>IF(DONNEES!$E1117="","",DONNEES!E1117)</f>
        <v/>
      </c>
      <c r="E1117" t="str">
        <f>IF(DONNEES!$E1117="","",DONNEES!F1117)</f>
        <v/>
      </c>
      <c r="F1117" t="str">
        <f>IF(DONNEES!$E1117="","",DONNEES!G1117)</f>
        <v/>
      </c>
      <c r="G1117" t="str">
        <f>IF(DONNEES!$E1117="","",DONNEES!H1117)</f>
        <v/>
      </c>
      <c r="H1117" t="str">
        <f>IF(DONNEES!$E1117="","",DONNEES!I1117)</f>
        <v/>
      </c>
      <c r="I1117" t="str">
        <f>IF(DONNEES!$E1117="","",DONNEES!J1117)</f>
        <v/>
      </c>
      <c r="J1117" t="str">
        <f>IF(DONNEES!$E1117="","",DONNEES!K1117)</f>
        <v/>
      </c>
      <c r="K1117" t="str">
        <f>IF(DONNEES!$E1117="","",DONNEES!L1117)</f>
        <v/>
      </c>
      <c r="L1117" t="str">
        <f>IF(DONNEES!$E1117="","",DONNEES!M1117)</f>
        <v/>
      </c>
      <c r="M1117" t="str">
        <f>IF(DONNEES!$E1117="","",DONNEES!N1117)</f>
        <v/>
      </c>
      <c r="N1117" t="str">
        <f>IF(DONNEES!$E1117="","",DONNEES!O1117)</f>
        <v/>
      </c>
      <c r="O1117" t="str">
        <f>IF(DONNEES!$E1117="","",DONNEES!P1117)</f>
        <v/>
      </c>
      <c r="P1117" t="str">
        <f>IF(DONNEES!$E1117="","",DONNEES!Q1117)</f>
        <v/>
      </c>
      <c r="Q1117" t="str">
        <f>IF(DONNEES!$E1117="","",DONNEES!R1117)</f>
        <v/>
      </c>
      <c r="R1117" t="str">
        <f>IF(DONNEES!$E1117="","",DONNEES!S1117)</f>
        <v/>
      </c>
      <c r="S1117" t="str">
        <f>IF(DONNEES!$E1117="","",DONNEES!T1117)</f>
        <v/>
      </c>
      <c r="T1117" t="str">
        <f>IF(DONNEES!$E1117="","",DONNEES!U1117)</f>
        <v/>
      </c>
      <c r="U1117" t="str">
        <f>IF(DONNEES!$E1117="","",DONNEES!V1117)</f>
        <v/>
      </c>
      <c r="V1117" t="str">
        <f>IF(DONNEES!$E1117="","",DONNEES!W1117)</f>
        <v/>
      </c>
      <c r="W1117" t="str">
        <f>IF(DONNEES!$E1117="","",DONNEES!X1117)</f>
        <v/>
      </c>
      <c r="X1117" t="str">
        <f>IF(DONNEES!$E1117="","",DONNEES!Y1117)</f>
        <v/>
      </c>
      <c r="Y1117" t="str">
        <f>IF(DONNEES!$E1117="","",DONNEES!Z1117)</f>
        <v/>
      </c>
      <c r="Z1117" t="str">
        <f>IF(DONNEES!$E1117="","",DONNEES!AQ1117)</f>
        <v/>
      </c>
    </row>
    <row r="1118" spans="1:26" ht="15" customHeight="1" x14ac:dyDescent="0.3">
      <c r="A1118" t="str">
        <f>IF(DONNEES!$E1118="","",DONNEES!A1118)</f>
        <v/>
      </c>
      <c r="B1118" t="str">
        <f>IF(DONNEES!$E1118="","",DONNEES!B1118)</f>
        <v/>
      </c>
      <c r="C1118" t="str">
        <f>IF(DONNEES!$E1118="","",DONNEES!C1118)</f>
        <v/>
      </c>
      <c r="D1118" t="str">
        <f>IF(DONNEES!$E1118="","",DONNEES!E1118)</f>
        <v/>
      </c>
      <c r="E1118" t="str">
        <f>IF(DONNEES!$E1118="","",DONNEES!F1118)</f>
        <v/>
      </c>
      <c r="F1118" t="str">
        <f>IF(DONNEES!$E1118="","",DONNEES!G1118)</f>
        <v/>
      </c>
      <c r="G1118" t="str">
        <f>IF(DONNEES!$E1118="","",DONNEES!H1118)</f>
        <v/>
      </c>
      <c r="H1118" t="str">
        <f>IF(DONNEES!$E1118="","",DONNEES!I1118)</f>
        <v/>
      </c>
      <c r="I1118" t="str">
        <f>IF(DONNEES!$E1118="","",DONNEES!J1118)</f>
        <v/>
      </c>
      <c r="J1118" t="str">
        <f>IF(DONNEES!$E1118="","",DONNEES!K1118)</f>
        <v/>
      </c>
      <c r="K1118" t="str">
        <f>IF(DONNEES!$E1118="","",DONNEES!L1118)</f>
        <v/>
      </c>
      <c r="L1118" t="str">
        <f>IF(DONNEES!$E1118="","",DONNEES!M1118)</f>
        <v/>
      </c>
      <c r="M1118" t="str">
        <f>IF(DONNEES!$E1118="","",DONNEES!N1118)</f>
        <v/>
      </c>
      <c r="N1118" t="str">
        <f>IF(DONNEES!$E1118="","",DONNEES!O1118)</f>
        <v/>
      </c>
      <c r="O1118" t="str">
        <f>IF(DONNEES!$E1118="","",DONNEES!P1118)</f>
        <v/>
      </c>
      <c r="P1118" t="str">
        <f>IF(DONNEES!$E1118="","",DONNEES!Q1118)</f>
        <v/>
      </c>
      <c r="Q1118" t="str">
        <f>IF(DONNEES!$E1118="","",DONNEES!R1118)</f>
        <v/>
      </c>
      <c r="R1118" t="str">
        <f>IF(DONNEES!$E1118="","",DONNEES!S1118)</f>
        <v/>
      </c>
      <c r="S1118" t="str">
        <f>IF(DONNEES!$E1118="","",DONNEES!T1118)</f>
        <v/>
      </c>
      <c r="T1118" t="str">
        <f>IF(DONNEES!$E1118="","",DONNEES!U1118)</f>
        <v/>
      </c>
      <c r="U1118" t="str">
        <f>IF(DONNEES!$E1118="","",DONNEES!V1118)</f>
        <v/>
      </c>
      <c r="V1118" t="str">
        <f>IF(DONNEES!$E1118="","",DONNEES!W1118)</f>
        <v/>
      </c>
      <c r="W1118" t="str">
        <f>IF(DONNEES!$E1118="","",DONNEES!X1118)</f>
        <v/>
      </c>
      <c r="X1118" t="str">
        <f>IF(DONNEES!$E1118="","",DONNEES!Y1118)</f>
        <v/>
      </c>
      <c r="Y1118" t="str">
        <f>IF(DONNEES!$E1118="","",DONNEES!Z1118)</f>
        <v/>
      </c>
      <c r="Z1118" t="str">
        <f>IF(DONNEES!$E1118="","",DONNEES!AQ1118)</f>
        <v/>
      </c>
    </row>
    <row r="1119" spans="1:26" ht="15" customHeight="1" x14ac:dyDescent="0.3">
      <c r="A1119" t="str">
        <f>IF(DONNEES!$E1119="","",DONNEES!A1119)</f>
        <v/>
      </c>
      <c r="B1119" t="str">
        <f>IF(DONNEES!$E1119="","",DONNEES!B1119)</f>
        <v/>
      </c>
      <c r="C1119" t="str">
        <f>IF(DONNEES!$E1119="","",DONNEES!C1119)</f>
        <v/>
      </c>
      <c r="D1119" t="str">
        <f>IF(DONNEES!$E1119="","",DONNEES!E1119)</f>
        <v/>
      </c>
      <c r="E1119" t="str">
        <f>IF(DONNEES!$E1119="","",DONNEES!F1119)</f>
        <v/>
      </c>
      <c r="F1119" t="str">
        <f>IF(DONNEES!$E1119="","",DONNEES!G1119)</f>
        <v/>
      </c>
      <c r="G1119" t="str">
        <f>IF(DONNEES!$E1119="","",DONNEES!H1119)</f>
        <v/>
      </c>
      <c r="H1119" t="str">
        <f>IF(DONNEES!$E1119="","",DONNEES!I1119)</f>
        <v/>
      </c>
      <c r="I1119" t="str">
        <f>IF(DONNEES!$E1119="","",DONNEES!J1119)</f>
        <v/>
      </c>
      <c r="J1119" t="str">
        <f>IF(DONNEES!$E1119="","",DONNEES!K1119)</f>
        <v/>
      </c>
      <c r="K1119" t="str">
        <f>IF(DONNEES!$E1119="","",DONNEES!L1119)</f>
        <v/>
      </c>
      <c r="L1119" t="str">
        <f>IF(DONNEES!$E1119="","",DONNEES!M1119)</f>
        <v/>
      </c>
      <c r="M1119" t="str">
        <f>IF(DONNEES!$E1119="","",DONNEES!N1119)</f>
        <v/>
      </c>
      <c r="N1119" t="str">
        <f>IF(DONNEES!$E1119="","",DONNEES!O1119)</f>
        <v/>
      </c>
      <c r="O1119" t="str">
        <f>IF(DONNEES!$E1119="","",DONNEES!P1119)</f>
        <v/>
      </c>
      <c r="P1119" t="str">
        <f>IF(DONNEES!$E1119="","",DONNEES!Q1119)</f>
        <v/>
      </c>
      <c r="Q1119" t="str">
        <f>IF(DONNEES!$E1119="","",DONNEES!R1119)</f>
        <v/>
      </c>
      <c r="R1119" t="str">
        <f>IF(DONNEES!$E1119="","",DONNEES!S1119)</f>
        <v/>
      </c>
      <c r="S1119" t="str">
        <f>IF(DONNEES!$E1119="","",DONNEES!T1119)</f>
        <v/>
      </c>
      <c r="T1119" t="str">
        <f>IF(DONNEES!$E1119="","",DONNEES!U1119)</f>
        <v/>
      </c>
      <c r="U1119" t="str">
        <f>IF(DONNEES!$E1119="","",DONNEES!V1119)</f>
        <v/>
      </c>
      <c r="V1119" t="str">
        <f>IF(DONNEES!$E1119="","",DONNEES!W1119)</f>
        <v/>
      </c>
      <c r="W1119" t="str">
        <f>IF(DONNEES!$E1119="","",DONNEES!X1119)</f>
        <v/>
      </c>
      <c r="X1119" t="str">
        <f>IF(DONNEES!$E1119="","",DONNEES!Y1119)</f>
        <v/>
      </c>
      <c r="Y1119" t="str">
        <f>IF(DONNEES!$E1119="","",DONNEES!Z1119)</f>
        <v/>
      </c>
      <c r="Z1119" t="str">
        <f>IF(DONNEES!$E1119="","",DONNEES!AQ1119)</f>
        <v/>
      </c>
    </row>
    <row r="1120" spans="1:26" ht="15" customHeight="1" x14ac:dyDescent="0.3">
      <c r="A1120" t="str">
        <f>IF(DONNEES!$E1120="","",DONNEES!A1120)</f>
        <v/>
      </c>
      <c r="B1120" t="str">
        <f>IF(DONNEES!$E1120="","",DONNEES!B1120)</f>
        <v/>
      </c>
      <c r="C1120" t="str">
        <f>IF(DONNEES!$E1120="","",DONNEES!C1120)</f>
        <v/>
      </c>
      <c r="D1120" t="str">
        <f>IF(DONNEES!$E1120="","",DONNEES!E1120)</f>
        <v/>
      </c>
      <c r="E1120" t="str">
        <f>IF(DONNEES!$E1120="","",DONNEES!F1120)</f>
        <v/>
      </c>
      <c r="F1120" t="str">
        <f>IF(DONNEES!$E1120="","",DONNEES!G1120)</f>
        <v/>
      </c>
      <c r="G1120" t="str">
        <f>IF(DONNEES!$E1120="","",DONNEES!H1120)</f>
        <v/>
      </c>
      <c r="H1120" t="str">
        <f>IF(DONNEES!$E1120="","",DONNEES!I1120)</f>
        <v/>
      </c>
      <c r="I1120" t="str">
        <f>IF(DONNEES!$E1120="","",DONNEES!J1120)</f>
        <v/>
      </c>
      <c r="J1120" t="str">
        <f>IF(DONNEES!$E1120="","",DONNEES!K1120)</f>
        <v/>
      </c>
      <c r="K1120" t="str">
        <f>IF(DONNEES!$E1120="","",DONNEES!L1120)</f>
        <v/>
      </c>
      <c r="L1120" t="str">
        <f>IF(DONNEES!$E1120="","",DONNEES!M1120)</f>
        <v/>
      </c>
      <c r="M1120" t="str">
        <f>IF(DONNEES!$E1120="","",DONNEES!N1120)</f>
        <v/>
      </c>
      <c r="N1120" t="str">
        <f>IF(DONNEES!$E1120="","",DONNEES!O1120)</f>
        <v/>
      </c>
      <c r="O1120" t="str">
        <f>IF(DONNEES!$E1120="","",DONNEES!P1120)</f>
        <v/>
      </c>
      <c r="P1120" t="str">
        <f>IF(DONNEES!$E1120="","",DONNEES!Q1120)</f>
        <v/>
      </c>
      <c r="Q1120" t="str">
        <f>IF(DONNEES!$E1120="","",DONNEES!R1120)</f>
        <v/>
      </c>
      <c r="R1120" t="str">
        <f>IF(DONNEES!$E1120="","",DONNEES!S1120)</f>
        <v/>
      </c>
      <c r="S1120" t="str">
        <f>IF(DONNEES!$E1120="","",DONNEES!T1120)</f>
        <v/>
      </c>
      <c r="T1120" t="str">
        <f>IF(DONNEES!$E1120="","",DONNEES!U1120)</f>
        <v/>
      </c>
      <c r="U1120" t="str">
        <f>IF(DONNEES!$E1120="","",DONNEES!V1120)</f>
        <v/>
      </c>
      <c r="V1120" t="str">
        <f>IF(DONNEES!$E1120="","",DONNEES!W1120)</f>
        <v/>
      </c>
      <c r="W1120" t="str">
        <f>IF(DONNEES!$E1120="","",DONNEES!X1120)</f>
        <v/>
      </c>
      <c r="X1120" t="str">
        <f>IF(DONNEES!$E1120="","",DONNEES!Y1120)</f>
        <v/>
      </c>
      <c r="Y1120" t="str">
        <f>IF(DONNEES!$E1120="","",DONNEES!Z1120)</f>
        <v/>
      </c>
      <c r="Z1120" t="str">
        <f>IF(DONNEES!$E1120="","",DONNEES!AQ1120)</f>
        <v/>
      </c>
    </row>
    <row r="1121" spans="1:26" ht="15" customHeight="1" x14ac:dyDescent="0.3">
      <c r="A1121" t="str">
        <f>IF(DONNEES!$E1121="","",DONNEES!A1121)</f>
        <v/>
      </c>
      <c r="B1121" t="str">
        <f>IF(DONNEES!$E1121="","",DONNEES!B1121)</f>
        <v/>
      </c>
      <c r="C1121" t="str">
        <f>IF(DONNEES!$E1121="","",DONNEES!C1121)</f>
        <v/>
      </c>
      <c r="D1121" t="str">
        <f>IF(DONNEES!$E1121="","",DONNEES!E1121)</f>
        <v/>
      </c>
      <c r="E1121" t="str">
        <f>IF(DONNEES!$E1121="","",DONNEES!F1121)</f>
        <v/>
      </c>
      <c r="F1121" t="str">
        <f>IF(DONNEES!$E1121="","",DONNEES!G1121)</f>
        <v/>
      </c>
      <c r="G1121" t="str">
        <f>IF(DONNEES!$E1121="","",DONNEES!H1121)</f>
        <v/>
      </c>
      <c r="H1121" t="str">
        <f>IF(DONNEES!$E1121="","",DONNEES!I1121)</f>
        <v/>
      </c>
      <c r="I1121" t="str">
        <f>IF(DONNEES!$E1121="","",DONNEES!J1121)</f>
        <v/>
      </c>
      <c r="J1121" t="str">
        <f>IF(DONNEES!$E1121="","",DONNEES!K1121)</f>
        <v/>
      </c>
      <c r="K1121" t="str">
        <f>IF(DONNEES!$E1121="","",DONNEES!L1121)</f>
        <v/>
      </c>
      <c r="L1121" t="str">
        <f>IF(DONNEES!$E1121="","",DONNEES!M1121)</f>
        <v/>
      </c>
      <c r="M1121" t="str">
        <f>IF(DONNEES!$E1121="","",DONNEES!N1121)</f>
        <v/>
      </c>
      <c r="N1121" t="str">
        <f>IF(DONNEES!$E1121="","",DONNEES!O1121)</f>
        <v/>
      </c>
      <c r="O1121" t="str">
        <f>IF(DONNEES!$E1121="","",DONNEES!P1121)</f>
        <v/>
      </c>
      <c r="P1121" t="str">
        <f>IF(DONNEES!$E1121="","",DONNEES!Q1121)</f>
        <v/>
      </c>
      <c r="Q1121" t="str">
        <f>IF(DONNEES!$E1121="","",DONNEES!R1121)</f>
        <v/>
      </c>
      <c r="R1121" t="str">
        <f>IF(DONNEES!$E1121="","",DONNEES!S1121)</f>
        <v/>
      </c>
      <c r="S1121" t="str">
        <f>IF(DONNEES!$E1121="","",DONNEES!T1121)</f>
        <v/>
      </c>
      <c r="T1121" t="str">
        <f>IF(DONNEES!$E1121="","",DONNEES!U1121)</f>
        <v/>
      </c>
      <c r="U1121" t="str">
        <f>IF(DONNEES!$E1121="","",DONNEES!V1121)</f>
        <v/>
      </c>
      <c r="V1121" t="str">
        <f>IF(DONNEES!$E1121="","",DONNEES!W1121)</f>
        <v/>
      </c>
      <c r="W1121" t="str">
        <f>IF(DONNEES!$E1121="","",DONNEES!X1121)</f>
        <v/>
      </c>
      <c r="X1121" t="str">
        <f>IF(DONNEES!$E1121="","",DONNEES!Y1121)</f>
        <v/>
      </c>
      <c r="Y1121" t="str">
        <f>IF(DONNEES!$E1121="","",DONNEES!Z1121)</f>
        <v/>
      </c>
      <c r="Z1121" t="str">
        <f>IF(DONNEES!$E1121="","",DONNEES!AQ1121)</f>
        <v/>
      </c>
    </row>
    <row r="1122" spans="1:26" ht="15" customHeight="1" x14ac:dyDescent="0.3">
      <c r="A1122" t="str">
        <f>IF(DONNEES!$E1122="","",DONNEES!A1122)</f>
        <v/>
      </c>
      <c r="B1122" t="str">
        <f>IF(DONNEES!$E1122="","",DONNEES!B1122)</f>
        <v/>
      </c>
      <c r="C1122" t="str">
        <f>IF(DONNEES!$E1122="","",DONNEES!C1122)</f>
        <v/>
      </c>
      <c r="D1122" t="str">
        <f>IF(DONNEES!$E1122="","",DONNEES!E1122)</f>
        <v/>
      </c>
      <c r="E1122" t="str">
        <f>IF(DONNEES!$E1122="","",DONNEES!F1122)</f>
        <v/>
      </c>
      <c r="F1122" t="str">
        <f>IF(DONNEES!$E1122="","",DONNEES!G1122)</f>
        <v/>
      </c>
      <c r="G1122" t="str">
        <f>IF(DONNEES!$E1122="","",DONNEES!H1122)</f>
        <v/>
      </c>
      <c r="H1122" t="str">
        <f>IF(DONNEES!$E1122="","",DONNEES!I1122)</f>
        <v/>
      </c>
      <c r="I1122" t="str">
        <f>IF(DONNEES!$E1122="","",DONNEES!J1122)</f>
        <v/>
      </c>
      <c r="J1122" t="str">
        <f>IF(DONNEES!$E1122="","",DONNEES!K1122)</f>
        <v/>
      </c>
      <c r="K1122" t="str">
        <f>IF(DONNEES!$E1122="","",DONNEES!L1122)</f>
        <v/>
      </c>
      <c r="L1122" t="str">
        <f>IF(DONNEES!$E1122="","",DONNEES!M1122)</f>
        <v/>
      </c>
      <c r="M1122" t="str">
        <f>IF(DONNEES!$E1122="","",DONNEES!N1122)</f>
        <v/>
      </c>
      <c r="N1122" t="str">
        <f>IF(DONNEES!$E1122="","",DONNEES!O1122)</f>
        <v/>
      </c>
      <c r="O1122" t="str">
        <f>IF(DONNEES!$E1122="","",DONNEES!P1122)</f>
        <v/>
      </c>
      <c r="P1122" t="str">
        <f>IF(DONNEES!$E1122="","",DONNEES!Q1122)</f>
        <v/>
      </c>
      <c r="Q1122" t="str">
        <f>IF(DONNEES!$E1122="","",DONNEES!R1122)</f>
        <v/>
      </c>
      <c r="R1122" t="str">
        <f>IF(DONNEES!$E1122="","",DONNEES!S1122)</f>
        <v/>
      </c>
      <c r="S1122" t="str">
        <f>IF(DONNEES!$E1122="","",DONNEES!T1122)</f>
        <v/>
      </c>
      <c r="T1122" t="str">
        <f>IF(DONNEES!$E1122="","",DONNEES!U1122)</f>
        <v/>
      </c>
      <c r="U1122" t="str">
        <f>IF(DONNEES!$E1122="","",DONNEES!V1122)</f>
        <v/>
      </c>
      <c r="V1122" t="str">
        <f>IF(DONNEES!$E1122="","",DONNEES!W1122)</f>
        <v/>
      </c>
      <c r="W1122" t="str">
        <f>IF(DONNEES!$E1122="","",DONNEES!X1122)</f>
        <v/>
      </c>
      <c r="X1122" t="str">
        <f>IF(DONNEES!$E1122="","",DONNEES!Y1122)</f>
        <v/>
      </c>
      <c r="Y1122" t="str">
        <f>IF(DONNEES!$E1122="","",DONNEES!Z1122)</f>
        <v/>
      </c>
      <c r="Z1122" t="str">
        <f>IF(DONNEES!$E1122="","",DONNEES!AQ1122)</f>
        <v/>
      </c>
    </row>
    <row r="1123" spans="1:26" ht="15" customHeight="1" x14ac:dyDescent="0.3">
      <c r="A1123" t="str">
        <f>IF(DONNEES!$E1123="","",DONNEES!A1123)</f>
        <v/>
      </c>
      <c r="B1123" t="str">
        <f>IF(DONNEES!$E1123="","",DONNEES!B1123)</f>
        <v/>
      </c>
      <c r="C1123" t="str">
        <f>IF(DONNEES!$E1123="","",DONNEES!C1123)</f>
        <v/>
      </c>
      <c r="D1123" t="str">
        <f>IF(DONNEES!$E1123="","",DONNEES!E1123)</f>
        <v/>
      </c>
      <c r="E1123" t="str">
        <f>IF(DONNEES!$E1123="","",DONNEES!F1123)</f>
        <v/>
      </c>
      <c r="F1123" t="str">
        <f>IF(DONNEES!$E1123="","",DONNEES!G1123)</f>
        <v/>
      </c>
      <c r="G1123" t="str">
        <f>IF(DONNEES!$E1123="","",DONNEES!H1123)</f>
        <v/>
      </c>
      <c r="H1123" t="str">
        <f>IF(DONNEES!$E1123="","",DONNEES!I1123)</f>
        <v/>
      </c>
      <c r="I1123" t="str">
        <f>IF(DONNEES!$E1123="","",DONNEES!J1123)</f>
        <v/>
      </c>
      <c r="J1123" t="str">
        <f>IF(DONNEES!$E1123="","",DONNEES!K1123)</f>
        <v/>
      </c>
      <c r="K1123" t="str">
        <f>IF(DONNEES!$E1123="","",DONNEES!L1123)</f>
        <v/>
      </c>
      <c r="L1123" t="str">
        <f>IF(DONNEES!$E1123="","",DONNEES!M1123)</f>
        <v/>
      </c>
      <c r="M1123" t="str">
        <f>IF(DONNEES!$E1123="","",DONNEES!N1123)</f>
        <v/>
      </c>
      <c r="N1123" t="str">
        <f>IF(DONNEES!$E1123="","",DONNEES!O1123)</f>
        <v/>
      </c>
      <c r="O1123" t="str">
        <f>IF(DONNEES!$E1123="","",DONNEES!P1123)</f>
        <v/>
      </c>
      <c r="P1123" t="str">
        <f>IF(DONNEES!$E1123="","",DONNEES!Q1123)</f>
        <v/>
      </c>
      <c r="Q1123" t="str">
        <f>IF(DONNEES!$E1123="","",DONNEES!R1123)</f>
        <v/>
      </c>
      <c r="R1123" t="str">
        <f>IF(DONNEES!$E1123="","",DONNEES!S1123)</f>
        <v/>
      </c>
      <c r="S1123" t="str">
        <f>IF(DONNEES!$E1123="","",DONNEES!T1123)</f>
        <v/>
      </c>
      <c r="T1123" t="str">
        <f>IF(DONNEES!$E1123="","",DONNEES!U1123)</f>
        <v/>
      </c>
      <c r="U1123" t="str">
        <f>IF(DONNEES!$E1123="","",DONNEES!V1123)</f>
        <v/>
      </c>
      <c r="V1123" t="str">
        <f>IF(DONNEES!$E1123="","",DONNEES!W1123)</f>
        <v/>
      </c>
      <c r="W1123" t="str">
        <f>IF(DONNEES!$E1123="","",DONNEES!X1123)</f>
        <v/>
      </c>
      <c r="X1123" t="str">
        <f>IF(DONNEES!$E1123="","",DONNEES!Y1123)</f>
        <v/>
      </c>
      <c r="Y1123" t="str">
        <f>IF(DONNEES!$E1123="","",DONNEES!Z1123)</f>
        <v/>
      </c>
      <c r="Z1123" t="str">
        <f>IF(DONNEES!$E1123="","",DONNEES!AQ1123)</f>
        <v/>
      </c>
    </row>
    <row r="1124" spans="1:26" ht="15" customHeight="1" x14ac:dyDescent="0.3">
      <c r="A1124" t="str">
        <f>IF(DONNEES!$E1124="","",DONNEES!A1124)</f>
        <v/>
      </c>
      <c r="B1124" t="str">
        <f>IF(DONNEES!$E1124="","",DONNEES!B1124)</f>
        <v/>
      </c>
      <c r="C1124" t="str">
        <f>IF(DONNEES!$E1124="","",DONNEES!C1124)</f>
        <v/>
      </c>
      <c r="D1124" t="str">
        <f>IF(DONNEES!$E1124="","",DONNEES!E1124)</f>
        <v/>
      </c>
      <c r="E1124" t="str">
        <f>IF(DONNEES!$E1124="","",DONNEES!F1124)</f>
        <v/>
      </c>
      <c r="F1124" t="str">
        <f>IF(DONNEES!$E1124="","",DONNEES!G1124)</f>
        <v/>
      </c>
      <c r="G1124" t="str">
        <f>IF(DONNEES!$E1124="","",DONNEES!H1124)</f>
        <v/>
      </c>
      <c r="H1124" t="str">
        <f>IF(DONNEES!$E1124="","",DONNEES!I1124)</f>
        <v/>
      </c>
      <c r="I1124" t="str">
        <f>IF(DONNEES!$E1124="","",DONNEES!J1124)</f>
        <v/>
      </c>
      <c r="J1124" t="str">
        <f>IF(DONNEES!$E1124="","",DONNEES!K1124)</f>
        <v/>
      </c>
      <c r="K1124" t="str">
        <f>IF(DONNEES!$E1124="","",DONNEES!L1124)</f>
        <v/>
      </c>
      <c r="L1124" t="str">
        <f>IF(DONNEES!$E1124="","",DONNEES!M1124)</f>
        <v/>
      </c>
      <c r="M1124" t="str">
        <f>IF(DONNEES!$E1124="","",DONNEES!N1124)</f>
        <v/>
      </c>
      <c r="N1124" t="str">
        <f>IF(DONNEES!$E1124="","",DONNEES!O1124)</f>
        <v/>
      </c>
      <c r="O1124" t="str">
        <f>IF(DONNEES!$E1124="","",DONNEES!P1124)</f>
        <v/>
      </c>
      <c r="P1124" t="str">
        <f>IF(DONNEES!$E1124="","",DONNEES!Q1124)</f>
        <v/>
      </c>
      <c r="Q1124" t="str">
        <f>IF(DONNEES!$E1124="","",DONNEES!R1124)</f>
        <v/>
      </c>
      <c r="R1124" t="str">
        <f>IF(DONNEES!$E1124="","",DONNEES!S1124)</f>
        <v/>
      </c>
      <c r="S1124" t="str">
        <f>IF(DONNEES!$E1124="","",DONNEES!T1124)</f>
        <v/>
      </c>
      <c r="T1124" t="str">
        <f>IF(DONNEES!$E1124="","",DONNEES!U1124)</f>
        <v/>
      </c>
      <c r="U1124" t="str">
        <f>IF(DONNEES!$E1124="","",DONNEES!V1124)</f>
        <v/>
      </c>
      <c r="V1124" t="str">
        <f>IF(DONNEES!$E1124="","",DONNEES!W1124)</f>
        <v/>
      </c>
      <c r="W1124" t="str">
        <f>IF(DONNEES!$E1124="","",DONNEES!X1124)</f>
        <v/>
      </c>
      <c r="X1124" t="str">
        <f>IF(DONNEES!$E1124="","",DONNEES!Y1124)</f>
        <v/>
      </c>
      <c r="Y1124" t="str">
        <f>IF(DONNEES!$E1124="","",DONNEES!Z1124)</f>
        <v/>
      </c>
      <c r="Z1124" t="str">
        <f>IF(DONNEES!$E1124="","",DONNEES!AQ1124)</f>
        <v/>
      </c>
    </row>
    <row r="1125" spans="1:26" ht="15" customHeight="1" x14ac:dyDescent="0.3">
      <c r="A1125" t="str">
        <f>IF(DONNEES!$E1125="","",DONNEES!A1125)</f>
        <v/>
      </c>
      <c r="B1125" t="str">
        <f>IF(DONNEES!$E1125="","",DONNEES!B1125)</f>
        <v/>
      </c>
      <c r="C1125" t="str">
        <f>IF(DONNEES!$E1125="","",DONNEES!C1125)</f>
        <v/>
      </c>
      <c r="D1125" t="str">
        <f>IF(DONNEES!$E1125="","",DONNEES!E1125)</f>
        <v/>
      </c>
      <c r="E1125" t="str">
        <f>IF(DONNEES!$E1125="","",DONNEES!F1125)</f>
        <v/>
      </c>
      <c r="F1125" t="str">
        <f>IF(DONNEES!$E1125="","",DONNEES!G1125)</f>
        <v/>
      </c>
      <c r="G1125" t="str">
        <f>IF(DONNEES!$E1125="","",DONNEES!H1125)</f>
        <v/>
      </c>
      <c r="H1125" t="str">
        <f>IF(DONNEES!$E1125="","",DONNEES!I1125)</f>
        <v/>
      </c>
      <c r="I1125" t="str">
        <f>IF(DONNEES!$E1125="","",DONNEES!J1125)</f>
        <v/>
      </c>
      <c r="J1125" t="str">
        <f>IF(DONNEES!$E1125="","",DONNEES!K1125)</f>
        <v/>
      </c>
      <c r="K1125" t="str">
        <f>IF(DONNEES!$E1125="","",DONNEES!L1125)</f>
        <v/>
      </c>
      <c r="L1125" t="str">
        <f>IF(DONNEES!$E1125="","",DONNEES!M1125)</f>
        <v/>
      </c>
      <c r="M1125" t="str">
        <f>IF(DONNEES!$E1125="","",DONNEES!N1125)</f>
        <v/>
      </c>
      <c r="N1125" t="str">
        <f>IF(DONNEES!$E1125="","",DONNEES!O1125)</f>
        <v/>
      </c>
      <c r="O1125" t="str">
        <f>IF(DONNEES!$E1125="","",DONNEES!P1125)</f>
        <v/>
      </c>
      <c r="P1125" t="str">
        <f>IF(DONNEES!$E1125="","",DONNEES!Q1125)</f>
        <v/>
      </c>
      <c r="Q1125" t="str">
        <f>IF(DONNEES!$E1125="","",DONNEES!R1125)</f>
        <v/>
      </c>
      <c r="R1125" t="str">
        <f>IF(DONNEES!$E1125="","",DONNEES!S1125)</f>
        <v/>
      </c>
      <c r="S1125" t="str">
        <f>IF(DONNEES!$E1125="","",DONNEES!T1125)</f>
        <v/>
      </c>
      <c r="T1125" t="str">
        <f>IF(DONNEES!$E1125="","",DONNEES!U1125)</f>
        <v/>
      </c>
      <c r="U1125" t="str">
        <f>IF(DONNEES!$E1125="","",DONNEES!V1125)</f>
        <v/>
      </c>
      <c r="V1125" t="str">
        <f>IF(DONNEES!$E1125="","",DONNEES!W1125)</f>
        <v/>
      </c>
      <c r="W1125" t="str">
        <f>IF(DONNEES!$E1125="","",DONNEES!X1125)</f>
        <v/>
      </c>
      <c r="X1125" t="str">
        <f>IF(DONNEES!$E1125="","",DONNEES!Y1125)</f>
        <v/>
      </c>
      <c r="Y1125" t="str">
        <f>IF(DONNEES!$E1125="","",DONNEES!Z1125)</f>
        <v/>
      </c>
      <c r="Z1125" t="str">
        <f>IF(DONNEES!$E1125="","",DONNEES!AQ1125)</f>
        <v/>
      </c>
    </row>
    <row r="1126" spans="1:26" ht="15" customHeight="1" x14ac:dyDescent="0.3">
      <c r="A1126" t="str">
        <f>IF(DONNEES!$E1126="","",DONNEES!A1126)</f>
        <v/>
      </c>
      <c r="B1126" t="str">
        <f>IF(DONNEES!$E1126="","",DONNEES!B1126)</f>
        <v/>
      </c>
      <c r="C1126" t="str">
        <f>IF(DONNEES!$E1126="","",DONNEES!C1126)</f>
        <v/>
      </c>
      <c r="D1126" t="str">
        <f>IF(DONNEES!$E1126="","",DONNEES!E1126)</f>
        <v/>
      </c>
      <c r="E1126" t="str">
        <f>IF(DONNEES!$E1126="","",DONNEES!F1126)</f>
        <v/>
      </c>
      <c r="F1126" t="str">
        <f>IF(DONNEES!$E1126="","",DONNEES!G1126)</f>
        <v/>
      </c>
      <c r="G1126" t="str">
        <f>IF(DONNEES!$E1126="","",DONNEES!H1126)</f>
        <v/>
      </c>
      <c r="H1126" t="str">
        <f>IF(DONNEES!$E1126="","",DONNEES!I1126)</f>
        <v/>
      </c>
      <c r="I1126" t="str">
        <f>IF(DONNEES!$E1126="","",DONNEES!J1126)</f>
        <v/>
      </c>
      <c r="J1126" t="str">
        <f>IF(DONNEES!$E1126="","",DONNEES!K1126)</f>
        <v/>
      </c>
      <c r="K1126" t="str">
        <f>IF(DONNEES!$E1126="","",DONNEES!L1126)</f>
        <v/>
      </c>
      <c r="L1126" t="str">
        <f>IF(DONNEES!$E1126="","",DONNEES!M1126)</f>
        <v/>
      </c>
      <c r="M1126" t="str">
        <f>IF(DONNEES!$E1126="","",DONNEES!N1126)</f>
        <v/>
      </c>
      <c r="N1126" t="str">
        <f>IF(DONNEES!$E1126="","",DONNEES!O1126)</f>
        <v/>
      </c>
      <c r="O1126" t="str">
        <f>IF(DONNEES!$E1126="","",DONNEES!P1126)</f>
        <v/>
      </c>
      <c r="P1126" t="str">
        <f>IF(DONNEES!$E1126="","",DONNEES!Q1126)</f>
        <v/>
      </c>
      <c r="Q1126" t="str">
        <f>IF(DONNEES!$E1126="","",DONNEES!R1126)</f>
        <v/>
      </c>
      <c r="R1126" t="str">
        <f>IF(DONNEES!$E1126="","",DONNEES!S1126)</f>
        <v/>
      </c>
      <c r="S1126" t="str">
        <f>IF(DONNEES!$E1126="","",DONNEES!T1126)</f>
        <v/>
      </c>
      <c r="T1126" t="str">
        <f>IF(DONNEES!$E1126="","",DONNEES!U1126)</f>
        <v/>
      </c>
      <c r="U1126" t="str">
        <f>IF(DONNEES!$E1126="","",DONNEES!V1126)</f>
        <v/>
      </c>
      <c r="V1126" t="str">
        <f>IF(DONNEES!$E1126="","",DONNEES!W1126)</f>
        <v/>
      </c>
      <c r="W1126" t="str">
        <f>IF(DONNEES!$E1126="","",DONNEES!X1126)</f>
        <v/>
      </c>
      <c r="X1126" t="str">
        <f>IF(DONNEES!$E1126="","",DONNEES!Y1126)</f>
        <v/>
      </c>
      <c r="Y1126" t="str">
        <f>IF(DONNEES!$E1126="","",DONNEES!Z1126)</f>
        <v/>
      </c>
      <c r="Z1126" t="str">
        <f>IF(DONNEES!$E1126="","",DONNEES!AQ1126)</f>
        <v/>
      </c>
    </row>
    <row r="1127" spans="1:26" ht="15" customHeight="1" x14ac:dyDescent="0.3">
      <c r="A1127" t="str">
        <f>IF(DONNEES!$E1127="","",DONNEES!A1127)</f>
        <v/>
      </c>
      <c r="B1127" t="str">
        <f>IF(DONNEES!$E1127="","",DONNEES!B1127)</f>
        <v/>
      </c>
      <c r="C1127" t="str">
        <f>IF(DONNEES!$E1127="","",DONNEES!C1127)</f>
        <v/>
      </c>
      <c r="D1127" t="str">
        <f>IF(DONNEES!$E1127="","",DONNEES!E1127)</f>
        <v/>
      </c>
      <c r="E1127" t="str">
        <f>IF(DONNEES!$E1127="","",DONNEES!F1127)</f>
        <v/>
      </c>
      <c r="F1127" t="str">
        <f>IF(DONNEES!$E1127="","",DONNEES!G1127)</f>
        <v/>
      </c>
      <c r="G1127" t="str">
        <f>IF(DONNEES!$E1127="","",DONNEES!H1127)</f>
        <v/>
      </c>
      <c r="H1127" t="str">
        <f>IF(DONNEES!$E1127="","",DONNEES!I1127)</f>
        <v/>
      </c>
      <c r="I1127" t="str">
        <f>IF(DONNEES!$E1127="","",DONNEES!J1127)</f>
        <v/>
      </c>
      <c r="J1127" t="str">
        <f>IF(DONNEES!$E1127="","",DONNEES!K1127)</f>
        <v/>
      </c>
      <c r="K1127" t="str">
        <f>IF(DONNEES!$E1127="","",DONNEES!L1127)</f>
        <v/>
      </c>
      <c r="L1127" t="str">
        <f>IF(DONNEES!$E1127="","",DONNEES!M1127)</f>
        <v/>
      </c>
      <c r="M1127" t="str">
        <f>IF(DONNEES!$E1127="","",DONNEES!N1127)</f>
        <v/>
      </c>
      <c r="N1127" t="str">
        <f>IF(DONNEES!$E1127="","",DONNEES!O1127)</f>
        <v/>
      </c>
      <c r="O1127" t="str">
        <f>IF(DONNEES!$E1127="","",DONNEES!P1127)</f>
        <v/>
      </c>
      <c r="P1127" t="str">
        <f>IF(DONNEES!$E1127="","",DONNEES!Q1127)</f>
        <v/>
      </c>
      <c r="Q1127" t="str">
        <f>IF(DONNEES!$E1127="","",DONNEES!R1127)</f>
        <v/>
      </c>
      <c r="R1127" t="str">
        <f>IF(DONNEES!$E1127="","",DONNEES!S1127)</f>
        <v/>
      </c>
      <c r="S1127" t="str">
        <f>IF(DONNEES!$E1127="","",DONNEES!T1127)</f>
        <v/>
      </c>
      <c r="T1127" t="str">
        <f>IF(DONNEES!$E1127="","",DONNEES!U1127)</f>
        <v/>
      </c>
      <c r="U1127" t="str">
        <f>IF(DONNEES!$E1127="","",DONNEES!V1127)</f>
        <v/>
      </c>
      <c r="V1127" t="str">
        <f>IF(DONNEES!$E1127="","",DONNEES!W1127)</f>
        <v/>
      </c>
      <c r="W1127" t="str">
        <f>IF(DONNEES!$E1127="","",DONNEES!X1127)</f>
        <v/>
      </c>
      <c r="X1127" t="str">
        <f>IF(DONNEES!$E1127="","",DONNEES!Y1127)</f>
        <v/>
      </c>
      <c r="Y1127" t="str">
        <f>IF(DONNEES!$E1127="","",DONNEES!Z1127)</f>
        <v/>
      </c>
      <c r="Z1127" t="str">
        <f>IF(DONNEES!$E1127="","",DONNEES!AQ1127)</f>
        <v/>
      </c>
    </row>
    <row r="1128" spans="1:26" ht="15" customHeight="1" x14ac:dyDescent="0.3">
      <c r="A1128" t="str">
        <f>IF(DONNEES!$E1128="","",DONNEES!A1128)</f>
        <v/>
      </c>
      <c r="B1128" t="str">
        <f>IF(DONNEES!$E1128="","",DONNEES!B1128)</f>
        <v/>
      </c>
      <c r="C1128" t="str">
        <f>IF(DONNEES!$E1128="","",DONNEES!C1128)</f>
        <v/>
      </c>
      <c r="D1128" t="str">
        <f>IF(DONNEES!$E1128="","",DONNEES!E1128)</f>
        <v/>
      </c>
      <c r="E1128" t="str">
        <f>IF(DONNEES!$E1128="","",DONNEES!F1128)</f>
        <v/>
      </c>
      <c r="F1128" t="str">
        <f>IF(DONNEES!$E1128="","",DONNEES!G1128)</f>
        <v/>
      </c>
      <c r="G1128" t="str">
        <f>IF(DONNEES!$E1128="","",DONNEES!H1128)</f>
        <v/>
      </c>
      <c r="H1128" t="str">
        <f>IF(DONNEES!$E1128="","",DONNEES!I1128)</f>
        <v/>
      </c>
      <c r="I1128" t="str">
        <f>IF(DONNEES!$E1128="","",DONNEES!J1128)</f>
        <v/>
      </c>
      <c r="J1128" t="str">
        <f>IF(DONNEES!$E1128="","",DONNEES!K1128)</f>
        <v/>
      </c>
      <c r="K1128" t="str">
        <f>IF(DONNEES!$E1128="","",DONNEES!L1128)</f>
        <v/>
      </c>
      <c r="L1128" t="str">
        <f>IF(DONNEES!$E1128="","",DONNEES!M1128)</f>
        <v/>
      </c>
      <c r="M1128" t="str">
        <f>IF(DONNEES!$E1128="","",DONNEES!N1128)</f>
        <v/>
      </c>
      <c r="N1128" t="str">
        <f>IF(DONNEES!$E1128="","",DONNEES!O1128)</f>
        <v/>
      </c>
      <c r="O1128" t="str">
        <f>IF(DONNEES!$E1128="","",DONNEES!P1128)</f>
        <v/>
      </c>
      <c r="P1128" t="str">
        <f>IF(DONNEES!$E1128="","",DONNEES!Q1128)</f>
        <v/>
      </c>
      <c r="Q1128" t="str">
        <f>IF(DONNEES!$E1128="","",DONNEES!R1128)</f>
        <v/>
      </c>
      <c r="R1128" t="str">
        <f>IF(DONNEES!$E1128="","",DONNEES!S1128)</f>
        <v/>
      </c>
      <c r="S1128" t="str">
        <f>IF(DONNEES!$E1128="","",DONNEES!T1128)</f>
        <v/>
      </c>
      <c r="T1128" t="str">
        <f>IF(DONNEES!$E1128="","",DONNEES!U1128)</f>
        <v/>
      </c>
      <c r="U1128" t="str">
        <f>IF(DONNEES!$E1128="","",DONNEES!V1128)</f>
        <v/>
      </c>
      <c r="V1128" t="str">
        <f>IF(DONNEES!$E1128="","",DONNEES!W1128)</f>
        <v/>
      </c>
      <c r="W1128" t="str">
        <f>IF(DONNEES!$E1128="","",DONNEES!X1128)</f>
        <v/>
      </c>
      <c r="X1128" t="str">
        <f>IF(DONNEES!$E1128="","",DONNEES!Y1128)</f>
        <v/>
      </c>
      <c r="Y1128" t="str">
        <f>IF(DONNEES!$E1128="","",DONNEES!Z1128)</f>
        <v/>
      </c>
      <c r="Z1128" t="str">
        <f>IF(DONNEES!$E1128="","",DONNEES!AQ1128)</f>
        <v/>
      </c>
    </row>
    <row r="1129" spans="1:26" ht="15" customHeight="1" x14ac:dyDescent="0.3">
      <c r="A1129" t="str">
        <f>IF(DONNEES!$E1129="","",DONNEES!A1129)</f>
        <v/>
      </c>
      <c r="B1129" t="str">
        <f>IF(DONNEES!$E1129="","",DONNEES!B1129)</f>
        <v/>
      </c>
      <c r="C1129" t="str">
        <f>IF(DONNEES!$E1129="","",DONNEES!C1129)</f>
        <v/>
      </c>
      <c r="D1129" t="str">
        <f>IF(DONNEES!$E1129="","",DONNEES!E1129)</f>
        <v/>
      </c>
      <c r="E1129" t="str">
        <f>IF(DONNEES!$E1129="","",DONNEES!F1129)</f>
        <v/>
      </c>
      <c r="F1129" t="str">
        <f>IF(DONNEES!$E1129="","",DONNEES!G1129)</f>
        <v/>
      </c>
      <c r="G1129" t="str">
        <f>IF(DONNEES!$E1129="","",DONNEES!H1129)</f>
        <v/>
      </c>
      <c r="H1129" t="str">
        <f>IF(DONNEES!$E1129="","",DONNEES!I1129)</f>
        <v/>
      </c>
      <c r="I1129" t="str">
        <f>IF(DONNEES!$E1129="","",DONNEES!J1129)</f>
        <v/>
      </c>
      <c r="J1129" t="str">
        <f>IF(DONNEES!$E1129="","",DONNEES!K1129)</f>
        <v/>
      </c>
      <c r="K1129" t="str">
        <f>IF(DONNEES!$E1129="","",DONNEES!L1129)</f>
        <v/>
      </c>
      <c r="L1129" t="str">
        <f>IF(DONNEES!$E1129="","",DONNEES!M1129)</f>
        <v/>
      </c>
      <c r="M1129" t="str">
        <f>IF(DONNEES!$E1129="","",DONNEES!N1129)</f>
        <v/>
      </c>
      <c r="N1129" t="str">
        <f>IF(DONNEES!$E1129="","",DONNEES!O1129)</f>
        <v/>
      </c>
      <c r="O1129" t="str">
        <f>IF(DONNEES!$E1129="","",DONNEES!P1129)</f>
        <v/>
      </c>
      <c r="P1129" t="str">
        <f>IF(DONNEES!$E1129="","",DONNEES!Q1129)</f>
        <v/>
      </c>
      <c r="Q1129" t="str">
        <f>IF(DONNEES!$E1129="","",DONNEES!R1129)</f>
        <v/>
      </c>
      <c r="R1129" t="str">
        <f>IF(DONNEES!$E1129="","",DONNEES!S1129)</f>
        <v/>
      </c>
      <c r="S1129" t="str">
        <f>IF(DONNEES!$E1129="","",DONNEES!T1129)</f>
        <v/>
      </c>
      <c r="T1129" t="str">
        <f>IF(DONNEES!$E1129="","",DONNEES!U1129)</f>
        <v/>
      </c>
      <c r="U1129" t="str">
        <f>IF(DONNEES!$E1129="","",DONNEES!V1129)</f>
        <v/>
      </c>
      <c r="V1129" t="str">
        <f>IF(DONNEES!$E1129="","",DONNEES!W1129)</f>
        <v/>
      </c>
      <c r="W1129" t="str">
        <f>IF(DONNEES!$E1129="","",DONNEES!X1129)</f>
        <v/>
      </c>
      <c r="X1129" t="str">
        <f>IF(DONNEES!$E1129="","",DONNEES!Y1129)</f>
        <v/>
      </c>
      <c r="Y1129" t="str">
        <f>IF(DONNEES!$E1129="","",DONNEES!Z1129)</f>
        <v/>
      </c>
      <c r="Z1129" t="str">
        <f>IF(DONNEES!$E1129="","",DONNEES!AQ1129)</f>
        <v/>
      </c>
    </row>
    <row r="1130" spans="1:26" ht="15" customHeight="1" x14ac:dyDescent="0.3">
      <c r="A1130" t="str">
        <f>IF(DONNEES!$E1130="","",DONNEES!A1130)</f>
        <v/>
      </c>
      <c r="B1130" t="str">
        <f>IF(DONNEES!$E1130="","",DONNEES!B1130)</f>
        <v/>
      </c>
      <c r="C1130" t="str">
        <f>IF(DONNEES!$E1130="","",DONNEES!C1130)</f>
        <v/>
      </c>
      <c r="D1130" t="str">
        <f>IF(DONNEES!$E1130="","",DONNEES!E1130)</f>
        <v/>
      </c>
      <c r="E1130" t="str">
        <f>IF(DONNEES!$E1130="","",DONNEES!F1130)</f>
        <v/>
      </c>
      <c r="F1130" t="str">
        <f>IF(DONNEES!$E1130="","",DONNEES!G1130)</f>
        <v/>
      </c>
      <c r="G1130" t="str">
        <f>IF(DONNEES!$E1130="","",DONNEES!H1130)</f>
        <v/>
      </c>
      <c r="H1130" t="str">
        <f>IF(DONNEES!$E1130="","",DONNEES!I1130)</f>
        <v/>
      </c>
      <c r="I1130" t="str">
        <f>IF(DONNEES!$E1130="","",DONNEES!J1130)</f>
        <v/>
      </c>
      <c r="J1130" t="str">
        <f>IF(DONNEES!$E1130="","",DONNEES!K1130)</f>
        <v/>
      </c>
      <c r="K1130" t="str">
        <f>IF(DONNEES!$E1130="","",DONNEES!L1130)</f>
        <v/>
      </c>
      <c r="L1130" t="str">
        <f>IF(DONNEES!$E1130="","",DONNEES!M1130)</f>
        <v/>
      </c>
      <c r="M1130" t="str">
        <f>IF(DONNEES!$E1130="","",DONNEES!N1130)</f>
        <v/>
      </c>
      <c r="N1130" t="str">
        <f>IF(DONNEES!$E1130="","",DONNEES!O1130)</f>
        <v/>
      </c>
      <c r="O1130" t="str">
        <f>IF(DONNEES!$E1130="","",DONNEES!P1130)</f>
        <v/>
      </c>
      <c r="P1130" t="str">
        <f>IF(DONNEES!$E1130="","",DONNEES!Q1130)</f>
        <v/>
      </c>
      <c r="Q1130" t="str">
        <f>IF(DONNEES!$E1130="","",DONNEES!R1130)</f>
        <v/>
      </c>
      <c r="R1130" t="str">
        <f>IF(DONNEES!$E1130="","",DONNEES!S1130)</f>
        <v/>
      </c>
      <c r="S1130" t="str">
        <f>IF(DONNEES!$E1130="","",DONNEES!T1130)</f>
        <v/>
      </c>
      <c r="T1130" t="str">
        <f>IF(DONNEES!$E1130="","",DONNEES!U1130)</f>
        <v/>
      </c>
      <c r="U1130" t="str">
        <f>IF(DONNEES!$E1130="","",DONNEES!V1130)</f>
        <v/>
      </c>
      <c r="V1130" t="str">
        <f>IF(DONNEES!$E1130="","",DONNEES!W1130)</f>
        <v/>
      </c>
      <c r="W1130" t="str">
        <f>IF(DONNEES!$E1130="","",DONNEES!X1130)</f>
        <v/>
      </c>
      <c r="X1130" t="str">
        <f>IF(DONNEES!$E1130="","",DONNEES!Y1130)</f>
        <v/>
      </c>
      <c r="Y1130" t="str">
        <f>IF(DONNEES!$E1130="","",DONNEES!Z1130)</f>
        <v/>
      </c>
      <c r="Z1130" t="str">
        <f>IF(DONNEES!$E1130="","",DONNEES!AQ1130)</f>
        <v/>
      </c>
    </row>
    <row r="1131" spans="1:26" ht="15" customHeight="1" x14ac:dyDescent="0.3">
      <c r="A1131" t="str">
        <f>IF(DONNEES!$E1131="","",DONNEES!A1131)</f>
        <v/>
      </c>
      <c r="B1131" t="str">
        <f>IF(DONNEES!$E1131="","",DONNEES!B1131)</f>
        <v/>
      </c>
      <c r="C1131" t="str">
        <f>IF(DONNEES!$E1131="","",DONNEES!C1131)</f>
        <v/>
      </c>
      <c r="D1131" t="str">
        <f>IF(DONNEES!$E1131="","",DONNEES!E1131)</f>
        <v/>
      </c>
      <c r="E1131" t="str">
        <f>IF(DONNEES!$E1131="","",DONNEES!F1131)</f>
        <v/>
      </c>
      <c r="F1131" t="str">
        <f>IF(DONNEES!$E1131="","",DONNEES!G1131)</f>
        <v/>
      </c>
      <c r="G1131" t="str">
        <f>IF(DONNEES!$E1131="","",DONNEES!H1131)</f>
        <v/>
      </c>
      <c r="H1131" t="str">
        <f>IF(DONNEES!$E1131="","",DONNEES!I1131)</f>
        <v/>
      </c>
      <c r="I1131" t="str">
        <f>IF(DONNEES!$E1131="","",DONNEES!J1131)</f>
        <v/>
      </c>
      <c r="J1131" t="str">
        <f>IF(DONNEES!$E1131="","",DONNEES!K1131)</f>
        <v/>
      </c>
      <c r="K1131" t="str">
        <f>IF(DONNEES!$E1131="","",DONNEES!L1131)</f>
        <v/>
      </c>
      <c r="L1131" t="str">
        <f>IF(DONNEES!$E1131="","",DONNEES!M1131)</f>
        <v/>
      </c>
      <c r="M1131" t="str">
        <f>IF(DONNEES!$E1131="","",DONNEES!N1131)</f>
        <v/>
      </c>
      <c r="N1131" t="str">
        <f>IF(DONNEES!$E1131="","",DONNEES!O1131)</f>
        <v/>
      </c>
      <c r="O1131" t="str">
        <f>IF(DONNEES!$E1131="","",DONNEES!P1131)</f>
        <v/>
      </c>
      <c r="P1131" t="str">
        <f>IF(DONNEES!$E1131="","",DONNEES!Q1131)</f>
        <v/>
      </c>
      <c r="Q1131" t="str">
        <f>IF(DONNEES!$E1131="","",DONNEES!R1131)</f>
        <v/>
      </c>
      <c r="R1131" t="str">
        <f>IF(DONNEES!$E1131="","",DONNEES!S1131)</f>
        <v/>
      </c>
      <c r="S1131" t="str">
        <f>IF(DONNEES!$E1131="","",DONNEES!T1131)</f>
        <v/>
      </c>
      <c r="T1131" t="str">
        <f>IF(DONNEES!$E1131="","",DONNEES!U1131)</f>
        <v/>
      </c>
      <c r="U1131" t="str">
        <f>IF(DONNEES!$E1131="","",DONNEES!V1131)</f>
        <v/>
      </c>
      <c r="V1131" t="str">
        <f>IF(DONNEES!$E1131="","",DONNEES!W1131)</f>
        <v/>
      </c>
      <c r="W1131" t="str">
        <f>IF(DONNEES!$E1131="","",DONNEES!X1131)</f>
        <v/>
      </c>
      <c r="X1131" t="str">
        <f>IF(DONNEES!$E1131="","",DONNEES!Y1131)</f>
        <v/>
      </c>
      <c r="Y1131" t="str">
        <f>IF(DONNEES!$E1131="","",DONNEES!Z1131)</f>
        <v/>
      </c>
      <c r="Z1131" t="str">
        <f>IF(DONNEES!$E1131="","",DONNEES!AQ1131)</f>
        <v/>
      </c>
    </row>
    <row r="1132" spans="1:26" ht="15" customHeight="1" x14ac:dyDescent="0.3">
      <c r="A1132" t="str">
        <f>IF(DONNEES!$E1132="","",DONNEES!A1132)</f>
        <v/>
      </c>
      <c r="B1132" t="str">
        <f>IF(DONNEES!$E1132="","",DONNEES!B1132)</f>
        <v/>
      </c>
      <c r="C1132" t="str">
        <f>IF(DONNEES!$E1132="","",DONNEES!C1132)</f>
        <v/>
      </c>
      <c r="D1132" t="str">
        <f>IF(DONNEES!$E1132="","",DONNEES!E1132)</f>
        <v/>
      </c>
      <c r="E1132" t="str">
        <f>IF(DONNEES!$E1132="","",DONNEES!F1132)</f>
        <v/>
      </c>
      <c r="F1132" t="str">
        <f>IF(DONNEES!$E1132="","",DONNEES!G1132)</f>
        <v/>
      </c>
      <c r="G1132" t="str">
        <f>IF(DONNEES!$E1132="","",DONNEES!H1132)</f>
        <v/>
      </c>
      <c r="H1132" t="str">
        <f>IF(DONNEES!$E1132="","",DONNEES!I1132)</f>
        <v/>
      </c>
      <c r="I1132" t="str">
        <f>IF(DONNEES!$E1132="","",DONNEES!J1132)</f>
        <v/>
      </c>
      <c r="J1132" t="str">
        <f>IF(DONNEES!$E1132="","",DONNEES!K1132)</f>
        <v/>
      </c>
      <c r="K1132" t="str">
        <f>IF(DONNEES!$E1132="","",DONNEES!L1132)</f>
        <v/>
      </c>
      <c r="L1132" t="str">
        <f>IF(DONNEES!$E1132="","",DONNEES!M1132)</f>
        <v/>
      </c>
      <c r="M1132" t="str">
        <f>IF(DONNEES!$E1132="","",DONNEES!N1132)</f>
        <v/>
      </c>
      <c r="N1132" t="str">
        <f>IF(DONNEES!$E1132="","",DONNEES!O1132)</f>
        <v/>
      </c>
      <c r="O1132" t="str">
        <f>IF(DONNEES!$E1132="","",DONNEES!P1132)</f>
        <v/>
      </c>
      <c r="P1132" t="str">
        <f>IF(DONNEES!$E1132="","",DONNEES!Q1132)</f>
        <v/>
      </c>
      <c r="Q1132" t="str">
        <f>IF(DONNEES!$E1132="","",DONNEES!R1132)</f>
        <v/>
      </c>
      <c r="R1132" t="str">
        <f>IF(DONNEES!$E1132="","",DONNEES!S1132)</f>
        <v/>
      </c>
      <c r="S1132" t="str">
        <f>IF(DONNEES!$E1132="","",DONNEES!T1132)</f>
        <v/>
      </c>
      <c r="T1132" t="str">
        <f>IF(DONNEES!$E1132="","",DONNEES!U1132)</f>
        <v/>
      </c>
      <c r="U1132" t="str">
        <f>IF(DONNEES!$E1132="","",DONNEES!V1132)</f>
        <v/>
      </c>
      <c r="V1132" t="str">
        <f>IF(DONNEES!$E1132="","",DONNEES!W1132)</f>
        <v/>
      </c>
      <c r="W1132" t="str">
        <f>IF(DONNEES!$E1132="","",DONNEES!X1132)</f>
        <v/>
      </c>
      <c r="X1132" t="str">
        <f>IF(DONNEES!$E1132="","",DONNEES!Y1132)</f>
        <v/>
      </c>
      <c r="Y1132" t="str">
        <f>IF(DONNEES!$E1132="","",DONNEES!Z1132)</f>
        <v/>
      </c>
      <c r="Z1132" t="str">
        <f>IF(DONNEES!$E1132="","",DONNEES!AQ1132)</f>
        <v/>
      </c>
    </row>
    <row r="1133" spans="1:26" ht="15" customHeight="1" x14ac:dyDescent="0.3">
      <c r="A1133" t="str">
        <f>IF(DONNEES!$E1133="","",DONNEES!A1133)</f>
        <v/>
      </c>
      <c r="B1133" t="str">
        <f>IF(DONNEES!$E1133="","",DONNEES!B1133)</f>
        <v/>
      </c>
      <c r="C1133" t="str">
        <f>IF(DONNEES!$E1133="","",DONNEES!C1133)</f>
        <v/>
      </c>
      <c r="D1133" t="str">
        <f>IF(DONNEES!$E1133="","",DONNEES!E1133)</f>
        <v/>
      </c>
      <c r="E1133" t="str">
        <f>IF(DONNEES!$E1133="","",DONNEES!F1133)</f>
        <v/>
      </c>
      <c r="F1133" t="str">
        <f>IF(DONNEES!$E1133="","",DONNEES!G1133)</f>
        <v/>
      </c>
      <c r="G1133" t="str">
        <f>IF(DONNEES!$E1133="","",DONNEES!H1133)</f>
        <v/>
      </c>
      <c r="H1133" t="str">
        <f>IF(DONNEES!$E1133="","",DONNEES!I1133)</f>
        <v/>
      </c>
      <c r="I1133" t="str">
        <f>IF(DONNEES!$E1133="","",DONNEES!J1133)</f>
        <v/>
      </c>
      <c r="J1133" t="str">
        <f>IF(DONNEES!$E1133="","",DONNEES!K1133)</f>
        <v/>
      </c>
      <c r="K1133" t="str">
        <f>IF(DONNEES!$E1133="","",DONNEES!L1133)</f>
        <v/>
      </c>
      <c r="L1133" t="str">
        <f>IF(DONNEES!$E1133="","",DONNEES!M1133)</f>
        <v/>
      </c>
      <c r="M1133" t="str">
        <f>IF(DONNEES!$E1133="","",DONNEES!N1133)</f>
        <v/>
      </c>
      <c r="N1133" t="str">
        <f>IF(DONNEES!$E1133="","",DONNEES!O1133)</f>
        <v/>
      </c>
      <c r="O1133" t="str">
        <f>IF(DONNEES!$E1133="","",DONNEES!P1133)</f>
        <v/>
      </c>
      <c r="P1133" t="str">
        <f>IF(DONNEES!$E1133="","",DONNEES!Q1133)</f>
        <v/>
      </c>
      <c r="Q1133" t="str">
        <f>IF(DONNEES!$E1133="","",DONNEES!R1133)</f>
        <v/>
      </c>
      <c r="R1133" t="str">
        <f>IF(DONNEES!$E1133="","",DONNEES!S1133)</f>
        <v/>
      </c>
      <c r="S1133" t="str">
        <f>IF(DONNEES!$E1133="","",DONNEES!T1133)</f>
        <v/>
      </c>
      <c r="T1133" t="str">
        <f>IF(DONNEES!$E1133="","",DONNEES!U1133)</f>
        <v/>
      </c>
      <c r="U1133" t="str">
        <f>IF(DONNEES!$E1133="","",DONNEES!V1133)</f>
        <v/>
      </c>
      <c r="V1133" t="str">
        <f>IF(DONNEES!$E1133="","",DONNEES!W1133)</f>
        <v/>
      </c>
      <c r="W1133" t="str">
        <f>IF(DONNEES!$E1133="","",DONNEES!X1133)</f>
        <v/>
      </c>
      <c r="X1133" t="str">
        <f>IF(DONNEES!$E1133="","",DONNEES!Y1133)</f>
        <v/>
      </c>
      <c r="Y1133" t="str">
        <f>IF(DONNEES!$E1133="","",DONNEES!Z1133)</f>
        <v/>
      </c>
      <c r="Z1133" t="str">
        <f>IF(DONNEES!$E1133="","",DONNEES!AQ1133)</f>
        <v/>
      </c>
    </row>
    <row r="1134" spans="1:26" ht="15" customHeight="1" x14ac:dyDescent="0.3">
      <c r="A1134" t="str">
        <f>IF(DONNEES!$E1134="","",DONNEES!A1134)</f>
        <v/>
      </c>
      <c r="B1134" t="str">
        <f>IF(DONNEES!$E1134="","",DONNEES!B1134)</f>
        <v/>
      </c>
      <c r="C1134" t="str">
        <f>IF(DONNEES!$E1134="","",DONNEES!C1134)</f>
        <v/>
      </c>
      <c r="D1134" t="str">
        <f>IF(DONNEES!$E1134="","",DONNEES!E1134)</f>
        <v/>
      </c>
      <c r="E1134" t="str">
        <f>IF(DONNEES!$E1134="","",DONNEES!F1134)</f>
        <v/>
      </c>
      <c r="F1134" t="str">
        <f>IF(DONNEES!$E1134="","",DONNEES!G1134)</f>
        <v/>
      </c>
      <c r="G1134" t="str">
        <f>IF(DONNEES!$E1134="","",DONNEES!H1134)</f>
        <v/>
      </c>
      <c r="H1134" t="str">
        <f>IF(DONNEES!$E1134="","",DONNEES!I1134)</f>
        <v/>
      </c>
      <c r="I1134" t="str">
        <f>IF(DONNEES!$E1134="","",DONNEES!J1134)</f>
        <v/>
      </c>
      <c r="J1134" t="str">
        <f>IF(DONNEES!$E1134="","",DONNEES!K1134)</f>
        <v/>
      </c>
      <c r="K1134" t="str">
        <f>IF(DONNEES!$E1134="","",DONNEES!L1134)</f>
        <v/>
      </c>
      <c r="L1134" t="str">
        <f>IF(DONNEES!$E1134="","",DONNEES!M1134)</f>
        <v/>
      </c>
      <c r="M1134" t="str">
        <f>IF(DONNEES!$E1134="","",DONNEES!N1134)</f>
        <v/>
      </c>
      <c r="N1134" t="str">
        <f>IF(DONNEES!$E1134="","",DONNEES!O1134)</f>
        <v/>
      </c>
      <c r="O1134" t="str">
        <f>IF(DONNEES!$E1134="","",DONNEES!P1134)</f>
        <v/>
      </c>
      <c r="P1134" t="str">
        <f>IF(DONNEES!$E1134="","",DONNEES!Q1134)</f>
        <v/>
      </c>
      <c r="Q1134" t="str">
        <f>IF(DONNEES!$E1134="","",DONNEES!R1134)</f>
        <v/>
      </c>
      <c r="R1134" t="str">
        <f>IF(DONNEES!$E1134="","",DONNEES!S1134)</f>
        <v/>
      </c>
      <c r="S1134" t="str">
        <f>IF(DONNEES!$E1134="","",DONNEES!T1134)</f>
        <v/>
      </c>
      <c r="T1134" t="str">
        <f>IF(DONNEES!$E1134="","",DONNEES!U1134)</f>
        <v/>
      </c>
      <c r="U1134" t="str">
        <f>IF(DONNEES!$E1134="","",DONNEES!V1134)</f>
        <v/>
      </c>
      <c r="V1134" t="str">
        <f>IF(DONNEES!$E1134="","",DONNEES!W1134)</f>
        <v/>
      </c>
      <c r="W1134" t="str">
        <f>IF(DONNEES!$E1134="","",DONNEES!X1134)</f>
        <v/>
      </c>
      <c r="X1134" t="str">
        <f>IF(DONNEES!$E1134="","",DONNEES!Y1134)</f>
        <v/>
      </c>
      <c r="Y1134" t="str">
        <f>IF(DONNEES!$E1134="","",DONNEES!Z1134)</f>
        <v/>
      </c>
      <c r="Z1134" t="str">
        <f>IF(DONNEES!$E1134="","",DONNEES!AQ1134)</f>
        <v/>
      </c>
    </row>
    <row r="1135" spans="1:26" ht="15" customHeight="1" x14ac:dyDescent="0.3">
      <c r="A1135" t="str">
        <f>IF(DONNEES!$E1135="","",DONNEES!A1135)</f>
        <v/>
      </c>
      <c r="B1135" t="str">
        <f>IF(DONNEES!$E1135="","",DONNEES!B1135)</f>
        <v/>
      </c>
      <c r="C1135" t="str">
        <f>IF(DONNEES!$E1135="","",DONNEES!C1135)</f>
        <v/>
      </c>
      <c r="D1135" t="str">
        <f>IF(DONNEES!$E1135="","",DONNEES!E1135)</f>
        <v/>
      </c>
      <c r="E1135" t="str">
        <f>IF(DONNEES!$E1135="","",DONNEES!F1135)</f>
        <v/>
      </c>
      <c r="F1135" t="str">
        <f>IF(DONNEES!$E1135="","",DONNEES!G1135)</f>
        <v/>
      </c>
      <c r="G1135" t="str">
        <f>IF(DONNEES!$E1135="","",DONNEES!H1135)</f>
        <v/>
      </c>
      <c r="H1135" t="str">
        <f>IF(DONNEES!$E1135="","",DONNEES!I1135)</f>
        <v/>
      </c>
      <c r="I1135" t="str">
        <f>IF(DONNEES!$E1135="","",DONNEES!J1135)</f>
        <v/>
      </c>
      <c r="J1135" t="str">
        <f>IF(DONNEES!$E1135="","",DONNEES!K1135)</f>
        <v/>
      </c>
      <c r="K1135" t="str">
        <f>IF(DONNEES!$E1135="","",DONNEES!L1135)</f>
        <v/>
      </c>
      <c r="L1135" t="str">
        <f>IF(DONNEES!$E1135="","",DONNEES!M1135)</f>
        <v/>
      </c>
      <c r="M1135" t="str">
        <f>IF(DONNEES!$E1135="","",DONNEES!N1135)</f>
        <v/>
      </c>
      <c r="N1135" t="str">
        <f>IF(DONNEES!$E1135="","",DONNEES!O1135)</f>
        <v/>
      </c>
      <c r="O1135" t="str">
        <f>IF(DONNEES!$E1135="","",DONNEES!P1135)</f>
        <v/>
      </c>
      <c r="P1135" t="str">
        <f>IF(DONNEES!$E1135="","",DONNEES!Q1135)</f>
        <v/>
      </c>
      <c r="Q1135" t="str">
        <f>IF(DONNEES!$E1135="","",DONNEES!R1135)</f>
        <v/>
      </c>
      <c r="R1135" t="str">
        <f>IF(DONNEES!$E1135="","",DONNEES!S1135)</f>
        <v/>
      </c>
      <c r="S1135" t="str">
        <f>IF(DONNEES!$E1135="","",DONNEES!T1135)</f>
        <v/>
      </c>
      <c r="T1135" t="str">
        <f>IF(DONNEES!$E1135="","",DONNEES!U1135)</f>
        <v/>
      </c>
      <c r="U1135" t="str">
        <f>IF(DONNEES!$E1135="","",DONNEES!V1135)</f>
        <v/>
      </c>
      <c r="V1135" t="str">
        <f>IF(DONNEES!$E1135="","",DONNEES!W1135)</f>
        <v/>
      </c>
      <c r="W1135" t="str">
        <f>IF(DONNEES!$E1135="","",DONNEES!X1135)</f>
        <v/>
      </c>
      <c r="X1135" t="str">
        <f>IF(DONNEES!$E1135="","",DONNEES!Y1135)</f>
        <v/>
      </c>
      <c r="Y1135" t="str">
        <f>IF(DONNEES!$E1135="","",DONNEES!Z1135)</f>
        <v/>
      </c>
      <c r="Z1135" t="str">
        <f>IF(DONNEES!$E1135="","",DONNEES!AQ1135)</f>
        <v/>
      </c>
    </row>
    <row r="1136" spans="1:26" ht="15" customHeight="1" x14ac:dyDescent="0.3">
      <c r="A1136" t="str">
        <f>IF(DONNEES!$E1136="","",DONNEES!A1136)</f>
        <v/>
      </c>
      <c r="B1136" t="str">
        <f>IF(DONNEES!$E1136="","",DONNEES!B1136)</f>
        <v/>
      </c>
      <c r="C1136" t="str">
        <f>IF(DONNEES!$E1136="","",DONNEES!C1136)</f>
        <v/>
      </c>
      <c r="D1136" t="str">
        <f>IF(DONNEES!$E1136="","",DONNEES!E1136)</f>
        <v/>
      </c>
      <c r="E1136" t="str">
        <f>IF(DONNEES!$E1136="","",DONNEES!F1136)</f>
        <v/>
      </c>
      <c r="F1136" t="str">
        <f>IF(DONNEES!$E1136="","",DONNEES!G1136)</f>
        <v/>
      </c>
      <c r="G1136" t="str">
        <f>IF(DONNEES!$E1136="","",DONNEES!H1136)</f>
        <v/>
      </c>
      <c r="H1136" t="str">
        <f>IF(DONNEES!$E1136="","",DONNEES!I1136)</f>
        <v/>
      </c>
      <c r="I1136" t="str">
        <f>IF(DONNEES!$E1136="","",DONNEES!J1136)</f>
        <v/>
      </c>
      <c r="J1136" t="str">
        <f>IF(DONNEES!$E1136="","",DONNEES!K1136)</f>
        <v/>
      </c>
      <c r="K1136" t="str">
        <f>IF(DONNEES!$E1136="","",DONNEES!L1136)</f>
        <v/>
      </c>
      <c r="L1136" t="str">
        <f>IF(DONNEES!$E1136="","",DONNEES!M1136)</f>
        <v/>
      </c>
      <c r="M1136" t="str">
        <f>IF(DONNEES!$E1136="","",DONNEES!N1136)</f>
        <v/>
      </c>
      <c r="N1136" t="str">
        <f>IF(DONNEES!$E1136="","",DONNEES!O1136)</f>
        <v/>
      </c>
      <c r="O1136" t="str">
        <f>IF(DONNEES!$E1136="","",DONNEES!P1136)</f>
        <v/>
      </c>
      <c r="P1136" t="str">
        <f>IF(DONNEES!$E1136="","",DONNEES!Q1136)</f>
        <v/>
      </c>
      <c r="Q1136" t="str">
        <f>IF(DONNEES!$E1136="","",DONNEES!R1136)</f>
        <v/>
      </c>
      <c r="R1136" t="str">
        <f>IF(DONNEES!$E1136="","",DONNEES!S1136)</f>
        <v/>
      </c>
      <c r="S1136" t="str">
        <f>IF(DONNEES!$E1136="","",DONNEES!T1136)</f>
        <v/>
      </c>
      <c r="T1136" t="str">
        <f>IF(DONNEES!$E1136="","",DONNEES!U1136)</f>
        <v/>
      </c>
      <c r="U1136" t="str">
        <f>IF(DONNEES!$E1136="","",DONNEES!V1136)</f>
        <v/>
      </c>
      <c r="V1136" t="str">
        <f>IF(DONNEES!$E1136="","",DONNEES!W1136)</f>
        <v/>
      </c>
      <c r="W1136" t="str">
        <f>IF(DONNEES!$E1136="","",DONNEES!X1136)</f>
        <v/>
      </c>
      <c r="X1136" t="str">
        <f>IF(DONNEES!$E1136="","",DONNEES!Y1136)</f>
        <v/>
      </c>
      <c r="Y1136" t="str">
        <f>IF(DONNEES!$E1136="","",DONNEES!Z1136)</f>
        <v/>
      </c>
      <c r="Z1136" t="str">
        <f>IF(DONNEES!$E1136="","",DONNEES!AQ1136)</f>
        <v/>
      </c>
    </row>
    <row r="1137" spans="1:26" ht="15" customHeight="1" x14ac:dyDescent="0.3">
      <c r="A1137" t="str">
        <f>IF(DONNEES!$E1137="","",DONNEES!A1137)</f>
        <v/>
      </c>
      <c r="B1137" t="str">
        <f>IF(DONNEES!$E1137="","",DONNEES!B1137)</f>
        <v/>
      </c>
      <c r="C1137" t="str">
        <f>IF(DONNEES!$E1137="","",DONNEES!C1137)</f>
        <v/>
      </c>
      <c r="D1137" t="str">
        <f>IF(DONNEES!$E1137="","",DONNEES!E1137)</f>
        <v/>
      </c>
      <c r="E1137" t="str">
        <f>IF(DONNEES!$E1137="","",DONNEES!F1137)</f>
        <v/>
      </c>
      <c r="F1137" t="str">
        <f>IF(DONNEES!$E1137="","",DONNEES!G1137)</f>
        <v/>
      </c>
      <c r="G1137" t="str">
        <f>IF(DONNEES!$E1137="","",DONNEES!H1137)</f>
        <v/>
      </c>
      <c r="H1137" t="str">
        <f>IF(DONNEES!$E1137="","",DONNEES!I1137)</f>
        <v/>
      </c>
      <c r="I1137" t="str">
        <f>IF(DONNEES!$E1137="","",DONNEES!J1137)</f>
        <v/>
      </c>
      <c r="J1137" t="str">
        <f>IF(DONNEES!$E1137="","",DONNEES!K1137)</f>
        <v/>
      </c>
      <c r="K1137" t="str">
        <f>IF(DONNEES!$E1137="","",DONNEES!L1137)</f>
        <v/>
      </c>
      <c r="L1137" t="str">
        <f>IF(DONNEES!$E1137="","",DONNEES!M1137)</f>
        <v/>
      </c>
      <c r="M1137" t="str">
        <f>IF(DONNEES!$E1137="","",DONNEES!N1137)</f>
        <v/>
      </c>
      <c r="N1137" t="str">
        <f>IF(DONNEES!$E1137="","",DONNEES!O1137)</f>
        <v/>
      </c>
      <c r="O1137" t="str">
        <f>IF(DONNEES!$E1137="","",DONNEES!P1137)</f>
        <v/>
      </c>
      <c r="P1137" t="str">
        <f>IF(DONNEES!$E1137="","",DONNEES!Q1137)</f>
        <v/>
      </c>
      <c r="Q1137" t="str">
        <f>IF(DONNEES!$E1137="","",DONNEES!R1137)</f>
        <v/>
      </c>
      <c r="R1137" t="str">
        <f>IF(DONNEES!$E1137="","",DONNEES!S1137)</f>
        <v/>
      </c>
      <c r="S1137" t="str">
        <f>IF(DONNEES!$E1137="","",DONNEES!T1137)</f>
        <v/>
      </c>
      <c r="T1137" t="str">
        <f>IF(DONNEES!$E1137="","",DONNEES!U1137)</f>
        <v/>
      </c>
      <c r="U1137" t="str">
        <f>IF(DONNEES!$E1137="","",DONNEES!V1137)</f>
        <v/>
      </c>
      <c r="V1137" t="str">
        <f>IF(DONNEES!$E1137="","",DONNEES!W1137)</f>
        <v/>
      </c>
      <c r="W1137" t="str">
        <f>IF(DONNEES!$E1137="","",DONNEES!X1137)</f>
        <v/>
      </c>
      <c r="X1137" t="str">
        <f>IF(DONNEES!$E1137="","",DONNEES!Y1137)</f>
        <v/>
      </c>
      <c r="Y1137" t="str">
        <f>IF(DONNEES!$E1137="","",DONNEES!Z1137)</f>
        <v/>
      </c>
      <c r="Z1137" t="str">
        <f>IF(DONNEES!$E1137="","",DONNEES!AQ1137)</f>
        <v/>
      </c>
    </row>
    <row r="1138" spans="1:26" ht="15" customHeight="1" x14ac:dyDescent="0.3">
      <c r="A1138" t="str">
        <f>IF(DONNEES!$E1138="","",DONNEES!A1138)</f>
        <v/>
      </c>
      <c r="B1138" t="str">
        <f>IF(DONNEES!$E1138="","",DONNEES!B1138)</f>
        <v/>
      </c>
      <c r="C1138" t="str">
        <f>IF(DONNEES!$E1138="","",DONNEES!C1138)</f>
        <v/>
      </c>
      <c r="D1138" t="str">
        <f>IF(DONNEES!$E1138="","",DONNEES!E1138)</f>
        <v/>
      </c>
      <c r="E1138" t="str">
        <f>IF(DONNEES!$E1138="","",DONNEES!F1138)</f>
        <v/>
      </c>
      <c r="F1138" t="str">
        <f>IF(DONNEES!$E1138="","",DONNEES!G1138)</f>
        <v/>
      </c>
      <c r="G1138" t="str">
        <f>IF(DONNEES!$E1138="","",DONNEES!H1138)</f>
        <v/>
      </c>
      <c r="H1138" t="str">
        <f>IF(DONNEES!$E1138="","",DONNEES!I1138)</f>
        <v/>
      </c>
      <c r="I1138" t="str">
        <f>IF(DONNEES!$E1138="","",DONNEES!J1138)</f>
        <v/>
      </c>
      <c r="J1138" t="str">
        <f>IF(DONNEES!$E1138="","",DONNEES!K1138)</f>
        <v/>
      </c>
      <c r="K1138" t="str">
        <f>IF(DONNEES!$E1138="","",DONNEES!L1138)</f>
        <v/>
      </c>
      <c r="L1138" t="str">
        <f>IF(DONNEES!$E1138="","",DONNEES!M1138)</f>
        <v/>
      </c>
      <c r="M1138" t="str">
        <f>IF(DONNEES!$E1138="","",DONNEES!N1138)</f>
        <v/>
      </c>
      <c r="N1138" t="str">
        <f>IF(DONNEES!$E1138="","",DONNEES!O1138)</f>
        <v/>
      </c>
      <c r="O1138" t="str">
        <f>IF(DONNEES!$E1138="","",DONNEES!P1138)</f>
        <v/>
      </c>
      <c r="P1138" t="str">
        <f>IF(DONNEES!$E1138="","",DONNEES!Q1138)</f>
        <v/>
      </c>
      <c r="Q1138" t="str">
        <f>IF(DONNEES!$E1138="","",DONNEES!R1138)</f>
        <v/>
      </c>
      <c r="R1138" t="str">
        <f>IF(DONNEES!$E1138="","",DONNEES!S1138)</f>
        <v/>
      </c>
      <c r="S1138" t="str">
        <f>IF(DONNEES!$E1138="","",DONNEES!T1138)</f>
        <v/>
      </c>
      <c r="T1138" t="str">
        <f>IF(DONNEES!$E1138="","",DONNEES!U1138)</f>
        <v/>
      </c>
      <c r="U1138" t="str">
        <f>IF(DONNEES!$E1138="","",DONNEES!V1138)</f>
        <v/>
      </c>
      <c r="V1138" t="str">
        <f>IF(DONNEES!$E1138="","",DONNEES!W1138)</f>
        <v/>
      </c>
      <c r="W1138" t="str">
        <f>IF(DONNEES!$E1138="","",DONNEES!X1138)</f>
        <v/>
      </c>
      <c r="X1138" t="str">
        <f>IF(DONNEES!$E1138="","",DONNEES!Y1138)</f>
        <v/>
      </c>
      <c r="Y1138" t="str">
        <f>IF(DONNEES!$E1138="","",DONNEES!Z1138)</f>
        <v/>
      </c>
      <c r="Z1138" t="str">
        <f>IF(DONNEES!$E1138="","",DONNEES!AQ1138)</f>
        <v/>
      </c>
    </row>
    <row r="1139" spans="1:26" ht="15" customHeight="1" x14ac:dyDescent="0.3">
      <c r="A1139" t="str">
        <f>IF(DONNEES!$E1139="","",DONNEES!A1139)</f>
        <v/>
      </c>
      <c r="B1139" t="str">
        <f>IF(DONNEES!$E1139="","",DONNEES!B1139)</f>
        <v/>
      </c>
      <c r="C1139" t="str">
        <f>IF(DONNEES!$E1139="","",DONNEES!C1139)</f>
        <v/>
      </c>
      <c r="D1139" t="str">
        <f>IF(DONNEES!$E1139="","",DONNEES!E1139)</f>
        <v/>
      </c>
      <c r="E1139" t="str">
        <f>IF(DONNEES!$E1139="","",DONNEES!F1139)</f>
        <v/>
      </c>
      <c r="F1139" t="str">
        <f>IF(DONNEES!$E1139="","",DONNEES!G1139)</f>
        <v/>
      </c>
      <c r="G1139" t="str">
        <f>IF(DONNEES!$E1139="","",DONNEES!H1139)</f>
        <v/>
      </c>
      <c r="H1139" t="str">
        <f>IF(DONNEES!$E1139="","",DONNEES!I1139)</f>
        <v/>
      </c>
      <c r="I1139" t="str">
        <f>IF(DONNEES!$E1139="","",DONNEES!J1139)</f>
        <v/>
      </c>
      <c r="J1139" t="str">
        <f>IF(DONNEES!$E1139="","",DONNEES!K1139)</f>
        <v/>
      </c>
      <c r="K1139" t="str">
        <f>IF(DONNEES!$E1139="","",DONNEES!L1139)</f>
        <v/>
      </c>
      <c r="L1139" t="str">
        <f>IF(DONNEES!$E1139="","",DONNEES!M1139)</f>
        <v/>
      </c>
      <c r="M1139" t="str">
        <f>IF(DONNEES!$E1139="","",DONNEES!N1139)</f>
        <v/>
      </c>
      <c r="N1139" t="str">
        <f>IF(DONNEES!$E1139="","",DONNEES!O1139)</f>
        <v/>
      </c>
      <c r="O1139" t="str">
        <f>IF(DONNEES!$E1139="","",DONNEES!P1139)</f>
        <v/>
      </c>
      <c r="P1139" t="str">
        <f>IF(DONNEES!$E1139="","",DONNEES!Q1139)</f>
        <v/>
      </c>
      <c r="Q1139" t="str">
        <f>IF(DONNEES!$E1139="","",DONNEES!R1139)</f>
        <v/>
      </c>
      <c r="R1139" t="str">
        <f>IF(DONNEES!$E1139="","",DONNEES!S1139)</f>
        <v/>
      </c>
      <c r="S1139" t="str">
        <f>IF(DONNEES!$E1139="","",DONNEES!T1139)</f>
        <v/>
      </c>
      <c r="T1139" t="str">
        <f>IF(DONNEES!$E1139="","",DONNEES!U1139)</f>
        <v/>
      </c>
      <c r="U1139" t="str">
        <f>IF(DONNEES!$E1139="","",DONNEES!V1139)</f>
        <v/>
      </c>
      <c r="V1139" t="str">
        <f>IF(DONNEES!$E1139="","",DONNEES!W1139)</f>
        <v/>
      </c>
      <c r="W1139" t="str">
        <f>IF(DONNEES!$E1139="","",DONNEES!X1139)</f>
        <v/>
      </c>
      <c r="X1139" t="str">
        <f>IF(DONNEES!$E1139="","",DONNEES!Y1139)</f>
        <v/>
      </c>
      <c r="Y1139" t="str">
        <f>IF(DONNEES!$E1139="","",DONNEES!Z1139)</f>
        <v/>
      </c>
      <c r="Z1139" t="str">
        <f>IF(DONNEES!$E1139="","",DONNEES!AQ1139)</f>
        <v/>
      </c>
    </row>
    <row r="1140" spans="1:26" ht="15" customHeight="1" x14ac:dyDescent="0.3">
      <c r="A1140" t="str">
        <f>IF(DONNEES!$E1140="","",DONNEES!A1140)</f>
        <v/>
      </c>
      <c r="B1140" t="str">
        <f>IF(DONNEES!$E1140="","",DONNEES!B1140)</f>
        <v/>
      </c>
      <c r="C1140" t="str">
        <f>IF(DONNEES!$E1140="","",DONNEES!C1140)</f>
        <v/>
      </c>
      <c r="D1140" t="str">
        <f>IF(DONNEES!$E1140="","",DONNEES!E1140)</f>
        <v/>
      </c>
      <c r="E1140" t="str">
        <f>IF(DONNEES!$E1140="","",DONNEES!F1140)</f>
        <v/>
      </c>
      <c r="F1140" t="str">
        <f>IF(DONNEES!$E1140="","",DONNEES!G1140)</f>
        <v/>
      </c>
      <c r="G1140" t="str">
        <f>IF(DONNEES!$E1140="","",DONNEES!H1140)</f>
        <v/>
      </c>
      <c r="H1140" t="str">
        <f>IF(DONNEES!$E1140="","",DONNEES!I1140)</f>
        <v/>
      </c>
      <c r="I1140" t="str">
        <f>IF(DONNEES!$E1140="","",DONNEES!J1140)</f>
        <v/>
      </c>
      <c r="J1140" t="str">
        <f>IF(DONNEES!$E1140="","",DONNEES!K1140)</f>
        <v/>
      </c>
      <c r="K1140" t="str">
        <f>IF(DONNEES!$E1140="","",DONNEES!L1140)</f>
        <v/>
      </c>
      <c r="L1140" t="str">
        <f>IF(DONNEES!$E1140="","",DONNEES!M1140)</f>
        <v/>
      </c>
      <c r="M1140" t="str">
        <f>IF(DONNEES!$E1140="","",DONNEES!N1140)</f>
        <v/>
      </c>
      <c r="N1140" t="str">
        <f>IF(DONNEES!$E1140="","",DONNEES!O1140)</f>
        <v/>
      </c>
      <c r="O1140" t="str">
        <f>IF(DONNEES!$E1140="","",DONNEES!P1140)</f>
        <v/>
      </c>
      <c r="P1140" t="str">
        <f>IF(DONNEES!$E1140="","",DONNEES!Q1140)</f>
        <v/>
      </c>
      <c r="Q1140" t="str">
        <f>IF(DONNEES!$E1140="","",DONNEES!R1140)</f>
        <v/>
      </c>
      <c r="R1140" t="str">
        <f>IF(DONNEES!$E1140="","",DONNEES!S1140)</f>
        <v/>
      </c>
      <c r="S1140" t="str">
        <f>IF(DONNEES!$E1140="","",DONNEES!T1140)</f>
        <v/>
      </c>
      <c r="T1140" t="str">
        <f>IF(DONNEES!$E1140="","",DONNEES!U1140)</f>
        <v/>
      </c>
      <c r="U1140" t="str">
        <f>IF(DONNEES!$E1140="","",DONNEES!V1140)</f>
        <v/>
      </c>
      <c r="V1140" t="str">
        <f>IF(DONNEES!$E1140="","",DONNEES!W1140)</f>
        <v/>
      </c>
      <c r="W1140" t="str">
        <f>IF(DONNEES!$E1140="","",DONNEES!X1140)</f>
        <v/>
      </c>
      <c r="X1140" t="str">
        <f>IF(DONNEES!$E1140="","",DONNEES!Y1140)</f>
        <v/>
      </c>
      <c r="Y1140" t="str">
        <f>IF(DONNEES!$E1140="","",DONNEES!Z1140)</f>
        <v/>
      </c>
      <c r="Z1140" t="str">
        <f>IF(DONNEES!$E1140="","",DONNEES!AQ1140)</f>
        <v/>
      </c>
    </row>
    <row r="1141" spans="1:26" ht="15" customHeight="1" x14ac:dyDescent="0.3">
      <c r="A1141" t="str">
        <f>IF(DONNEES!$E1141="","",DONNEES!A1141)</f>
        <v/>
      </c>
      <c r="B1141" t="str">
        <f>IF(DONNEES!$E1141="","",DONNEES!B1141)</f>
        <v/>
      </c>
      <c r="C1141" t="str">
        <f>IF(DONNEES!$E1141="","",DONNEES!C1141)</f>
        <v/>
      </c>
      <c r="D1141" t="str">
        <f>IF(DONNEES!$E1141="","",DONNEES!E1141)</f>
        <v/>
      </c>
      <c r="E1141" t="str">
        <f>IF(DONNEES!$E1141="","",DONNEES!F1141)</f>
        <v/>
      </c>
      <c r="F1141" t="str">
        <f>IF(DONNEES!$E1141="","",DONNEES!G1141)</f>
        <v/>
      </c>
      <c r="G1141" t="str">
        <f>IF(DONNEES!$E1141="","",DONNEES!H1141)</f>
        <v/>
      </c>
      <c r="H1141" t="str">
        <f>IF(DONNEES!$E1141="","",DONNEES!I1141)</f>
        <v/>
      </c>
      <c r="I1141" t="str">
        <f>IF(DONNEES!$E1141="","",DONNEES!J1141)</f>
        <v/>
      </c>
      <c r="J1141" t="str">
        <f>IF(DONNEES!$E1141="","",DONNEES!K1141)</f>
        <v/>
      </c>
      <c r="K1141" t="str">
        <f>IF(DONNEES!$E1141="","",DONNEES!L1141)</f>
        <v/>
      </c>
      <c r="L1141" t="str">
        <f>IF(DONNEES!$E1141="","",DONNEES!M1141)</f>
        <v/>
      </c>
      <c r="M1141" t="str">
        <f>IF(DONNEES!$E1141="","",DONNEES!N1141)</f>
        <v/>
      </c>
      <c r="N1141" t="str">
        <f>IF(DONNEES!$E1141="","",DONNEES!O1141)</f>
        <v/>
      </c>
      <c r="O1141" t="str">
        <f>IF(DONNEES!$E1141="","",DONNEES!P1141)</f>
        <v/>
      </c>
      <c r="P1141" t="str">
        <f>IF(DONNEES!$E1141="","",DONNEES!Q1141)</f>
        <v/>
      </c>
      <c r="Q1141" t="str">
        <f>IF(DONNEES!$E1141="","",DONNEES!R1141)</f>
        <v/>
      </c>
      <c r="R1141" t="str">
        <f>IF(DONNEES!$E1141="","",DONNEES!S1141)</f>
        <v/>
      </c>
      <c r="S1141" t="str">
        <f>IF(DONNEES!$E1141="","",DONNEES!T1141)</f>
        <v/>
      </c>
      <c r="T1141" t="str">
        <f>IF(DONNEES!$E1141="","",DONNEES!U1141)</f>
        <v/>
      </c>
      <c r="U1141" t="str">
        <f>IF(DONNEES!$E1141="","",DONNEES!V1141)</f>
        <v/>
      </c>
      <c r="V1141" t="str">
        <f>IF(DONNEES!$E1141="","",DONNEES!W1141)</f>
        <v/>
      </c>
      <c r="W1141" t="str">
        <f>IF(DONNEES!$E1141="","",DONNEES!X1141)</f>
        <v/>
      </c>
      <c r="X1141" t="str">
        <f>IF(DONNEES!$E1141="","",DONNEES!Y1141)</f>
        <v/>
      </c>
      <c r="Y1141" t="str">
        <f>IF(DONNEES!$E1141="","",DONNEES!Z1141)</f>
        <v/>
      </c>
      <c r="Z1141" t="str">
        <f>IF(DONNEES!$E1141="","",DONNEES!AQ1141)</f>
        <v/>
      </c>
    </row>
    <row r="1142" spans="1:26" ht="15" customHeight="1" x14ac:dyDescent="0.3">
      <c r="A1142" t="str">
        <f>IF(DONNEES!$E1142="","",DONNEES!A1142)</f>
        <v/>
      </c>
      <c r="B1142" t="str">
        <f>IF(DONNEES!$E1142="","",DONNEES!B1142)</f>
        <v/>
      </c>
      <c r="C1142" t="str">
        <f>IF(DONNEES!$E1142="","",DONNEES!C1142)</f>
        <v/>
      </c>
      <c r="D1142" t="str">
        <f>IF(DONNEES!$E1142="","",DONNEES!E1142)</f>
        <v/>
      </c>
      <c r="E1142" t="str">
        <f>IF(DONNEES!$E1142="","",DONNEES!F1142)</f>
        <v/>
      </c>
      <c r="F1142" t="str">
        <f>IF(DONNEES!$E1142="","",DONNEES!G1142)</f>
        <v/>
      </c>
      <c r="G1142" t="str">
        <f>IF(DONNEES!$E1142="","",DONNEES!H1142)</f>
        <v/>
      </c>
      <c r="H1142" t="str">
        <f>IF(DONNEES!$E1142="","",DONNEES!I1142)</f>
        <v/>
      </c>
      <c r="I1142" t="str">
        <f>IF(DONNEES!$E1142="","",DONNEES!J1142)</f>
        <v/>
      </c>
      <c r="J1142" t="str">
        <f>IF(DONNEES!$E1142="","",DONNEES!K1142)</f>
        <v/>
      </c>
      <c r="K1142" t="str">
        <f>IF(DONNEES!$E1142="","",DONNEES!L1142)</f>
        <v/>
      </c>
      <c r="L1142" t="str">
        <f>IF(DONNEES!$E1142="","",DONNEES!M1142)</f>
        <v/>
      </c>
      <c r="M1142" t="str">
        <f>IF(DONNEES!$E1142="","",DONNEES!N1142)</f>
        <v/>
      </c>
      <c r="N1142" t="str">
        <f>IF(DONNEES!$E1142="","",DONNEES!O1142)</f>
        <v/>
      </c>
      <c r="O1142" t="str">
        <f>IF(DONNEES!$E1142="","",DONNEES!P1142)</f>
        <v/>
      </c>
      <c r="P1142" t="str">
        <f>IF(DONNEES!$E1142="","",DONNEES!Q1142)</f>
        <v/>
      </c>
      <c r="Q1142" t="str">
        <f>IF(DONNEES!$E1142="","",DONNEES!R1142)</f>
        <v/>
      </c>
      <c r="R1142" t="str">
        <f>IF(DONNEES!$E1142="","",DONNEES!S1142)</f>
        <v/>
      </c>
      <c r="S1142" t="str">
        <f>IF(DONNEES!$E1142="","",DONNEES!T1142)</f>
        <v/>
      </c>
      <c r="T1142" t="str">
        <f>IF(DONNEES!$E1142="","",DONNEES!U1142)</f>
        <v/>
      </c>
      <c r="U1142" t="str">
        <f>IF(DONNEES!$E1142="","",DONNEES!V1142)</f>
        <v/>
      </c>
      <c r="V1142" t="str">
        <f>IF(DONNEES!$E1142="","",DONNEES!W1142)</f>
        <v/>
      </c>
      <c r="W1142" t="str">
        <f>IF(DONNEES!$E1142="","",DONNEES!X1142)</f>
        <v/>
      </c>
      <c r="X1142" t="str">
        <f>IF(DONNEES!$E1142="","",DONNEES!Y1142)</f>
        <v/>
      </c>
      <c r="Y1142" t="str">
        <f>IF(DONNEES!$E1142="","",DONNEES!Z1142)</f>
        <v/>
      </c>
      <c r="Z1142" t="str">
        <f>IF(DONNEES!$E1142="","",DONNEES!AQ1142)</f>
        <v/>
      </c>
    </row>
    <row r="1143" spans="1:26" ht="15" customHeight="1" x14ac:dyDescent="0.3">
      <c r="A1143" t="str">
        <f>IF(DONNEES!$E1143="","",DONNEES!A1143)</f>
        <v/>
      </c>
      <c r="B1143" t="str">
        <f>IF(DONNEES!$E1143="","",DONNEES!B1143)</f>
        <v/>
      </c>
      <c r="C1143" t="str">
        <f>IF(DONNEES!$E1143="","",DONNEES!C1143)</f>
        <v/>
      </c>
      <c r="D1143" t="str">
        <f>IF(DONNEES!$E1143="","",DONNEES!E1143)</f>
        <v/>
      </c>
      <c r="E1143" t="str">
        <f>IF(DONNEES!$E1143="","",DONNEES!F1143)</f>
        <v/>
      </c>
      <c r="F1143" t="str">
        <f>IF(DONNEES!$E1143="","",DONNEES!G1143)</f>
        <v/>
      </c>
      <c r="G1143" t="str">
        <f>IF(DONNEES!$E1143="","",DONNEES!H1143)</f>
        <v/>
      </c>
      <c r="H1143" t="str">
        <f>IF(DONNEES!$E1143="","",DONNEES!I1143)</f>
        <v/>
      </c>
      <c r="I1143" t="str">
        <f>IF(DONNEES!$E1143="","",DONNEES!J1143)</f>
        <v/>
      </c>
      <c r="J1143" t="str">
        <f>IF(DONNEES!$E1143="","",DONNEES!K1143)</f>
        <v/>
      </c>
      <c r="K1143" t="str">
        <f>IF(DONNEES!$E1143="","",DONNEES!L1143)</f>
        <v/>
      </c>
      <c r="L1143" t="str">
        <f>IF(DONNEES!$E1143="","",DONNEES!M1143)</f>
        <v/>
      </c>
      <c r="M1143" t="str">
        <f>IF(DONNEES!$E1143="","",DONNEES!N1143)</f>
        <v/>
      </c>
      <c r="N1143" t="str">
        <f>IF(DONNEES!$E1143="","",DONNEES!O1143)</f>
        <v/>
      </c>
      <c r="O1143" t="str">
        <f>IF(DONNEES!$E1143="","",DONNEES!P1143)</f>
        <v/>
      </c>
      <c r="P1143" t="str">
        <f>IF(DONNEES!$E1143="","",DONNEES!Q1143)</f>
        <v/>
      </c>
      <c r="Q1143" t="str">
        <f>IF(DONNEES!$E1143="","",DONNEES!R1143)</f>
        <v/>
      </c>
      <c r="R1143" t="str">
        <f>IF(DONNEES!$E1143="","",DONNEES!S1143)</f>
        <v/>
      </c>
      <c r="S1143" t="str">
        <f>IF(DONNEES!$E1143="","",DONNEES!T1143)</f>
        <v/>
      </c>
      <c r="T1143" t="str">
        <f>IF(DONNEES!$E1143="","",DONNEES!U1143)</f>
        <v/>
      </c>
      <c r="U1143" t="str">
        <f>IF(DONNEES!$E1143="","",DONNEES!V1143)</f>
        <v/>
      </c>
      <c r="V1143" t="str">
        <f>IF(DONNEES!$E1143="","",DONNEES!W1143)</f>
        <v/>
      </c>
      <c r="W1143" t="str">
        <f>IF(DONNEES!$E1143="","",DONNEES!X1143)</f>
        <v/>
      </c>
      <c r="X1143" t="str">
        <f>IF(DONNEES!$E1143="","",DONNEES!Y1143)</f>
        <v/>
      </c>
      <c r="Y1143" t="str">
        <f>IF(DONNEES!$E1143="","",DONNEES!Z1143)</f>
        <v/>
      </c>
      <c r="Z1143" t="str">
        <f>IF(DONNEES!$E1143="","",DONNEES!AQ1143)</f>
        <v/>
      </c>
    </row>
    <row r="1144" spans="1:26" ht="15" customHeight="1" x14ac:dyDescent="0.3">
      <c r="A1144" t="str">
        <f>IF(DONNEES!$E1144="","",DONNEES!A1144)</f>
        <v/>
      </c>
      <c r="B1144" t="str">
        <f>IF(DONNEES!$E1144="","",DONNEES!B1144)</f>
        <v/>
      </c>
      <c r="C1144" t="str">
        <f>IF(DONNEES!$E1144="","",DONNEES!C1144)</f>
        <v/>
      </c>
      <c r="D1144" t="str">
        <f>IF(DONNEES!$E1144="","",DONNEES!E1144)</f>
        <v/>
      </c>
      <c r="E1144" t="str">
        <f>IF(DONNEES!$E1144="","",DONNEES!F1144)</f>
        <v/>
      </c>
      <c r="F1144" t="str">
        <f>IF(DONNEES!$E1144="","",DONNEES!G1144)</f>
        <v/>
      </c>
      <c r="G1144" t="str">
        <f>IF(DONNEES!$E1144="","",DONNEES!H1144)</f>
        <v/>
      </c>
      <c r="H1144" t="str">
        <f>IF(DONNEES!$E1144="","",DONNEES!I1144)</f>
        <v/>
      </c>
      <c r="I1144" t="str">
        <f>IF(DONNEES!$E1144="","",DONNEES!J1144)</f>
        <v/>
      </c>
      <c r="J1144" t="str">
        <f>IF(DONNEES!$E1144="","",DONNEES!K1144)</f>
        <v/>
      </c>
      <c r="K1144" t="str">
        <f>IF(DONNEES!$E1144="","",DONNEES!L1144)</f>
        <v/>
      </c>
      <c r="L1144" t="str">
        <f>IF(DONNEES!$E1144="","",DONNEES!M1144)</f>
        <v/>
      </c>
      <c r="M1144" t="str">
        <f>IF(DONNEES!$E1144="","",DONNEES!N1144)</f>
        <v/>
      </c>
      <c r="N1144" t="str">
        <f>IF(DONNEES!$E1144="","",DONNEES!O1144)</f>
        <v/>
      </c>
      <c r="O1144" t="str">
        <f>IF(DONNEES!$E1144="","",DONNEES!P1144)</f>
        <v/>
      </c>
      <c r="P1144" t="str">
        <f>IF(DONNEES!$E1144="","",DONNEES!Q1144)</f>
        <v/>
      </c>
      <c r="Q1144" t="str">
        <f>IF(DONNEES!$E1144="","",DONNEES!R1144)</f>
        <v/>
      </c>
      <c r="R1144" t="str">
        <f>IF(DONNEES!$E1144="","",DONNEES!S1144)</f>
        <v/>
      </c>
      <c r="S1144" t="str">
        <f>IF(DONNEES!$E1144="","",DONNEES!T1144)</f>
        <v/>
      </c>
      <c r="T1144" t="str">
        <f>IF(DONNEES!$E1144="","",DONNEES!U1144)</f>
        <v/>
      </c>
      <c r="U1144" t="str">
        <f>IF(DONNEES!$E1144="","",DONNEES!V1144)</f>
        <v/>
      </c>
      <c r="V1144" t="str">
        <f>IF(DONNEES!$E1144="","",DONNEES!W1144)</f>
        <v/>
      </c>
      <c r="W1144" t="str">
        <f>IF(DONNEES!$E1144="","",DONNEES!X1144)</f>
        <v/>
      </c>
      <c r="X1144" t="str">
        <f>IF(DONNEES!$E1144="","",DONNEES!Y1144)</f>
        <v/>
      </c>
      <c r="Y1144" t="str">
        <f>IF(DONNEES!$E1144="","",DONNEES!Z1144)</f>
        <v/>
      </c>
      <c r="Z1144" t="str">
        <f>IF(DONNEES!$E1144="","",DONNEES!AQ1144)</f>
        <v/>
      </c>
    </row>
    <row r="1145" spans="1:26" ht="15" customHeight="1" x14ac:dyDescent="0.3">
      <c r="A1145" t="str">
        <f>IF(DONNEES!$E1145="","",DONNEES!A1145)</f>
        <v/>
      </c>
      <c r="B1145" t="str">
        <f>IF(DONNEES!$E1145="","",DONNEES!B1145)</f>
        <v/>
      </c>
      <c r="C1145" t="str">
        <f>IF(DONNEES!$E1145="","",DONNEES!C1145)</f>
        <v/>
      </c>
      <c r="D1145" t="str">
        <f>IF(DONNEES!$E1145="","",DONNEES!E1145)</f>
        <v/>
      </c>
      <c r="E1145" t="str">
        <f>IF(DONNEES!$E1145="","",DONNEES!F1145)</f>
        <v/>
      </c>
      <c r="F1145" t="str">
        <f>IF(DONNEES!$E1145="","",DONNEES!G1145)</f>
        <v/>
      </c>
      <c r="G1145" t="str">
        <f>IF(DONNEES!$E1145="","",DONNEES!H1145)</f>
        <v/>
      </c>
      <c r="H1145" t="str">
        <f>IF(DONNEES!$E1145="","",DONNEES!I1145)</f>
        <v/>
      </c>
      <c r="I1145" t="str">
        <f>IF(DONNEES!$E1145="","",DONNEES!J1145)</f>
        <v/>
      </c>
      <c r="J1145" t="str">
        <f>IF(DONNEES!$E1145="","",DONNEES!K1145)</f>
        <v/>
      </c>
      <c r="K1145" t="str">
        <f>IF(DONNEES!$E1145="","",DONNEES!L1145)</f>
        <v/>
      </c>
      <c r="L1145" t="str">
        <f>IF(DONNEES!$E1145="","",DONNEES!M1145)</f>
        <v/>
      </c>
      <c r="M1145" t="str">
        <f>IF(DONNEES!$E1145="","",DONNEES!N1145)</f>
        <v/>
      </c>
      <c r="N1145" t="str">
        <f>IF(DONNEES!$E1145="","",DONNEES!O1145)</f>
        <v/>
      </c>
      <c r="O1145" t="str">
        <f>IF(DONNEES!$E1145="","",DONNEES!P1145)</f>
        <v/>
      </c>
      <c r="P1145" t="str">
        <f>IF(DONNEES!$E1145="","",DONNEES!Q1145)</f>
        <v/>
      </c>
      <c r="Q1145" t="str">
        <f>IF(DONNEES!$E1145="","",DONNEES!R1145)</f>
        <v/>
      </c>
      <c r="R1145" t="str">
        <f>IF(DONNEES!$E1145="","",DONNEES!S1145)</f>
        <v/>
      </c>
      <c r="S1145" t="str">
        <f>IF(DONNEES!$E1145="","",DONNEES!T1145)</f>
        <v/>
      </c>
      <c r="T1145" t="str">
        <f>IF(DONNEES!$E1145="","",DONNEES!U1145)</f>
        <v/>
      </c>
      <c r="U1145" t="str">
        <f>IF(DONNEES!$E1145="","",DONNEES!V1145)</f>
        <v/>
      </c>
      <c r="V1145" t="str">
        <f>IF(DONNEES!$E1145="","",DONNEES!W1145)</f>
        <v/>
      </c>
      <c r="W1145" t="str">
        <f>IF(DONNEES!$E1145="","",DONNEES!X1145)</f>
        <v/>
      </c>
      <c r="X1145" t="str">
        <f>IF(DONNEES!$E1145="","",DONNEES!Y1145)</f>
        <v/>
      </c>
      <c r="Y1145" t="str">
        <f>IF(DONNEES!$E1145="","",DONNEES!Z1145)</f>
        <v/>
      </c>
      <c r="Z1145" t="str">
        <f>IF(DONNEES!$E1145="","",DONNEES!AQ1145)</f>
        <v/>
      </c>
    </row>
    <row r="1146" spans="1:26" ht="15" customHeight="1" x14ac:dyDescent="0.3">
      <c r="A1146" t="str">
        <f>IF(DONNEES!$E1146="","",DONNEES!A1146)</f>
        <v/>
      </c>
      <c r="B1146" t="str">
        <f>IF(DONNEES!$E1146="","",DONNEES!B1146)</f>
        <v/>
      </c>
      <c r="C1146" t="str">
        <f>IF(DONNEES!$E1146="","",DONNEES!C1146)</f>
        <v/>
      </c>
      <c r="D1146" t="str">
        <f>IF(DONNEES!$E1146="","",DONNEES!E1146)</f>
        <v/>
      </c>
      <c r="E1146" t="str">
        <f>IF(DONNEES!$E1146="","",DONNEES!F1146)</f>
        <v/>
      </c>
      <c r="F1146" t="str">
        <f>IF(DONNEES!$E1146="","",DONNEES!G1146)</f>
        <v/>
      </c>
      <c r="G1146" t="str">
        <f>IF(DONNEES!$E1146="","",DONNEES!H1146)</f>
        <v/>
      </c>
      <c r="H1146" t="str">
        <f>IF(DONNEES!$E1146="","",DONNEES!I1146)</f>
        <v/>
      </c>
      <c r="I1146" t="str">
        <f>IF(DONNEES!$E1146="","",DONNEES!J1146)</f>
        <v/>
      </c>
      <c r="J1146" t="str">
        <f>IF(DONNEES!$E1146="","",DONNEES!K1146)</f>
        <v/>
      </c>
      <c r="K1146" t="str">
        <f>IF(DONNEES!$E1146="","",DONNEES!L1146)</f>
        <v/>
      </c>
      <c r="L1146" t="str">
        <f>IF(DONNEES!$E1146="","",DONNEES!M1146)</f>
        <v/>
      </c>
      <c r="M1146" t="str">
        <f>IF(DONNEES!$E1146="","",DONNEES!N1146)</f>
        <v/>
      </c>
      <c r="N1146" t="str">
        <f>IF(DONNEES!$E1146="","",DONNEES!O1146)</f>
        <v/>
      </c>
      <c r="O1146" t="str">
        <f>IF(DONNEES!$E1146="","",DONNEES!P1146)</f>
        <v/>
      </c>
      <c r="P1146" t="str">
        <f>IF(DONNEES!$E1146="","",DONNEES!Q1146)</f>
        <v/>
      </c>
      <c r="Q1146" t="str">
        <f>IF(DONNEES!$E1146="","",DONNEES!R1146)</f>
        <v/>
      </c>
      <c r="R1146" t="str">
        <f>IF(DONNEES!$E1146="","",DONNEES!S1146)</f>
        <v/>
      </c>
      <c r="S1146" t="str">
        <f>IF(DONNEES!$E1146="","",DONNEES!T1146)</f>
        <v/>
      </c>
      <c r="T1146" t="str">
        <f>IF(DONNEES!$E1146="","",DONNEES!U1146)</f>
        <v/>
      </c>
      <c r="U1146" t="str">
        <f>IF(DONNEES!$E1146="","",DONNEES!V1146)</f>
        <v/>
      </c>
      <c r="V1146" t="str">
        <f>IF(DONNEES!$E1146="","",DONNEES!W1146)</f>
        <v/>
      </c>
      <c r="W1146" t="str">
        <f>IF(DONNEES!$E1146="","",DONNEES!X1146)</f>
        <v/>
      </c>
      <c r="X1146" t="str">
        <f>IF(DONNEES!$E1146="","",DONNEES!Y1146)</f>
        <v/>
      </c>
      <c r="Y1146" t="str">
        <f>IF(DONNEES!$E1146="","",DONNEES!Z1146)</f>
        <v/>
      </c>
      <c r="Z1146" t="str">
        <f>IF(DONNEES!$E1146="","",DONNEES!AQ1146)</f>
        <v/>
      </c>
    </row>
    <row r="1147" spans="1:26" ht="15" customHeight="1" x14ac:dyDescent="0.3">
      <c r="A1147" t="str">
        <f>IF(DONNEES!$E1147="","",DONNEES!A1147)</f>
        <v/>
      </c>
      <c r="B1147" t="str">
        <f>IF(DONNEES!$E1147="","",DONNEES!B1147)</f>
        <v/>
      </c>
      <c r="C1147" t="str">
        <f>IF(DONNEES!$E1147="","",DONNEES!C1147)</f>
        <v/>
      </c>
      <c r="D1147" t="str">
        <f>IF(DONNEES!$E1147="","",DONNEES!E1147)</f>
        <v/>
      </c>
      <c r="E1147" t="str">
        <f>IF(DONNEES!$E1147="","",DONNEES!F1147)</f>
        <v/>
      </c>
      <c r="F1147" t="str">
        <f>IF(DONNEES!$E1147="","",DONNEES!G1147)</f>
        <v/>
      </c>
      <c r="G1147" t="str">
        <f>IF(DONNEES!$E1147="","",DONNEES!H1147)</f>
        <v/>
      </c>
      <c r="H1147" t="str">
        <f>IF(DONNEES!$E1147="","",DONNEES!I1147)</f>
        <v/>
      </c>
      <c r="I1147" t="str">
        <f>IF(DONNEES!$E1147="","",DONNEES!J1147)</f>
        <v/>
      </c>
      <c r="J1147" t="str">
        <f>IF(DONNEES!$E1147="","",DONNEES!K1147)</f>
        <v/>
      </c>
      <c r="K1147" t="str">
        <f>IF(DONNEES!$E1147="","",DONNEES!L1147)</f>
        <v/>
      </c>
      <c r="L1147" t="str">
        <f>IF(DONNEES!$E1147="","",DONNEES!M1147)</f>
        <v/>
      </c>
      <c r="M1147" t="str">
        <f>IF(DONNEES!$E1147="","",DONNEES!N1147)</f>
        <v/>
      </c>
      <c r="N1147" t="str">
        <f>IF(DONNEES!$E1147="","",DONNEES!O1147)</f>
        <v/>
      </c>
      <c r="O1147" t="str">
        <f>IF(DONNEES!$E1147="","",DONNEES!P1147)</f>
        <v/>
      </c>
      <c r="P1147" t="str">
        <f>IF(DONNEES!$E1147="","",DONNEES!Q1147)</f>
        <v/>
      </c>
      <c r="Q1147" t="str">
        <f>IF(DONNEES!$E1147="","",DONNEES!R1147)</f>
        <v/>
      </c>
      <c r="R1147" t="str">
        <f>IF(DONNEES!$E1147="","",DONNEES!S1147)</f>
        <v/>
      </c>
      <c r="S1147" t="str">
        <f>IF(DONNEES!$E1147="","",DONNEES!T1147)</f>
        <v/>
      </c>
      <c r="T1147" t="str">
        <f>IF(DONNEES!$E1147="","",DONNEES!U1147)</f>
        <v/>
      </c>
      <c r="U1147" t="str">
        <f>IF(DONNEES!$E1147="","",DONNEES!V1147)</f>
        <v/>
      </c>
      <c r="V1147" t="str">
        <f>IF(DONNEES!$E1147="","",DONNEES!W1147)</f>
        <v/>
      </c>
      <c r="W1147" t="str">
        <f>IF(DONNEES!$E1147="","",DONNEES!X1147)</f>
        <v/>
      </c>
      <c r="X1147" t="str">
        <f>IF(DONNEES!$E1147="","",DONNEES!Y1147)</f>
        <v/>
      </c>
      <c r="Y1147" t="str">
        <f>IF(DONNEES!$E1147="","",DONNEES!Z1147)</f>
        <v/>
      </c>
      <c r="Z1147" t="str">
        <f>IF(DONNEES!$E1147="","",DONNEES!AQ1147)</f>
        <v/>
      </c>
    </row>
    <row r="1148" spans="1:26" ht="15" customHeight="1" x14ac:dyDescent="0.3">
      <c r="A1148" t="str">
        <f>IF(DONNEES!$E1148="","",DONNEES!A1148)</f>
        <v/>
      </c>
      <c r="B1148" t="str">
        <f>IF(DONNEES!$E1148="","",DONNEES!B1148)</f>
        <v/>
      </c>
      <c r="C1148" t="str">
        <f>IF(DONNEES!$E1148="","",DONNEES!C1148)</f>
        <v/>
      </c>
      <c r="D1148" t="str">
        <f>IF(DONNEES!$E1148="","",DONNEES!E1148)</f>
        <v/>
      </c>
      <c r="E1148" t="str">
        <f>IF(DONNEES!$E1148="","",DONNEES!F1148)</f>
        <v/>
      </c>
      <c r="F1148" t="str">
        <f>IF(DONNEES!$E1148="","",DONNEES!G1148)</f>
        <v/>
      </c>
      <c r="G1148" t="str">
        <f>IF(DONNEES!$E1148="","",DONNEES!H1148)</f>
        <v/>
      </c>
      <c r="H1148" t="str">
        <f>IF(DONNEES!$E1148="","",DONNEES!I1148)</f>
        <v/>
      </c>
      <c r="I1148" t="str">
        <f>IF(DONNEES!$E1148="","",DONNEES!J1148)</f>
        <v/>
      </c>
      <c r="J1148" t="str">
        <f>IF(DONNEES!$E1148="","",DONNEES!K1148)</f>
        <v/>
      </c>
      <c r="K1148" t="str">
        <f>IF(DONNEES!$E1148="","",DONNEES!L1148)</f>
        <v/>
      </c>
      <c r="L1148" t="str">
        <f>IF(DONNEES!$E1148="","",DONNEES!M1148)</f>
        <v/>
      </c>
      <c r="M1148" t="str">
        <f>IF(DONNEES!$E1148="","",DONNEES!N1148)</f>
        <v/>
      </c>
      <c r="N1148" t="str">
        <f>IF(DONNEES!$E1148="","",DONNEES!O1148)</f>
        <v/>
      </c>
      <c r="O1148" t="str">
        <f>IF(DONNEES!$E1148="","",DONNEES!P1148)</f>
        <v/>
      </c>
      <c r="P1148" t="str">
        <f>IF(DONNEES!$E1148="","",DONNEES!Q1148)</f>
        <v/>
      </c>
      <c r="Q1148" t="str">
        <f>IF(DONNEES!$E1148="","",DONNEES!R1148)</f>
        <v/>
      </c>
      <c r="R1148" t="str">
        <f>IF(DONNEES!$E1148="","",DONNEES!S1148)</f>
        <v/>
      </c>
      <c r="S1148" t="str">
        <f>IF(DONNEES!$E1148="","",DONNEES!T1148)</f>
        <v/>
      </c>
      <c r="T1148" t="str">
        <f>IF(DONNEES!$E1148="","",DONNEES!U1148)</f>
        <v/>
      </c>
      <c r="U1148" t="str">
        <f>IF(DONNEES!$E1148="","",DONNEES!V1148)</f>
        <v/>
      </c>
      <c r="V1148" t="str">
        <f>IF(DONNEES!$E1148="","",DONNEES!W1148)</f>
        <v/>
      </c>
      <c r="W1148" t="str">
        <f>IF(DONNEES!$E1148="","",DONNEES!X1148)</f>
        <v/>
      </c>
      <c r="X1148" t="str">
        <f>IF(DONNEES!$E1148="","",DONNEES!Y1148)</f>
        <v/>
      </c>
      <c r="Y1148" t="str">
        <f>IF(DONNEES!$E1148="","",DONNEES!Z1148)</f>
        <v/>
      </c>
      <c r="Z1148" t="str">
        <f>IF(DONNEES!$E1148="","",DONNEES!AQ1148)</f>
        <v/>
      </c>
    </row>
    <row r="1149" spans="1:26" ht="15" customHeight="1" x14ac:dyDescent="0.3">
      <c r="A1149" t="str">
        <f>IF(DONNEES!$E1149="","",DONNEES!A1149)</f>
        <v/>
      </c>
      <c r="B1149" t="str">
        <f>IF(DONNEES!$E1149="","",DONNEES!B1149)</f>
        <v/>
      </c>
      <c r="C1149" t="str">
        <f>IF(DONNEES!$E1149="","",DONNEES!C1149)</f>
        <v/>
      </c>
      <c r="D1149" t="str">
        <f>IF(DONNEES!$E1149="","",DONNEES!E1149)</f>
        <v/>
      </c>
      <c r="E1149" t="str">
        <f>IF(DONNEES!$E1149="","",DONNEES!F1149)</f>
        <v/>
      </c>
      <c r="F1149" t="str">
        <f>IF(DONNEES!$E1149="","",DONNEES!G1149)</f>
        <v/>
      </c>
      <c r="G1149" t="str">
        <f>IF(DONNEES!$E1149="","",DONNEES!H1149)</f>
        <v/>
      </c>
      <c r="H1149" t="str">
        <f>IF(DONNEES!$E1149="","",DONNEES!I1149)</f>
        <v/>
      </c>
      <c r="I1149" t="str">
        <f>IF(DONNEES!$E1149="","",DONNEES!J1149)</f>
        <v/>
      </c>
      <c r="J1149" t="str">
        <f>IF(DONNEES!$E1149="","",DONNEES!K1149)</f>
        <v/>
      </c>
      <c r="K1149" t="str">
        <f>IF(DONNEES!$E1149="","",DONNEES!L1149)</f>
        <v/>
      </c>
      <c r="L1149" t="str">
        <f>IF(DONNEES!$E1149="","",DONNEES!M1149)</f>
        <v/>
      </c>
      <c r="M1149" t="str">
        <f>IF(DONNEES!$E1149="","",DONNEES!N1149)</f>
        <v/>
      </c>
      <c r="N1149" t="str">
        <f>IF(DONNEES!$E1149="","",DONNEES!O1149)</f>
        <v/>
      </c>
      <c r="O1149" t="str">
        <f>IF(DONNEES!$E1149="","",DONNEES!P1149)</f>
        <v/>
      </c>
      <c r="P1149" t="str">
        <f>IF(DONNEES!$E1149="","",DONNEES!Q1149)</f>
        <v/>
      </c>
      <c r="Q1149" t="str">
        <f>IF(DONNEES!$E1149="","",DONNEES!R1149)</f>
        <v/>
      </c>
      <c r="R1149" t="str">
        <f>IF(DONNEES!$E1149="","",DONNEES!S1149)</f>
        <v/>
      </c>
      <c r="S1149" t="str">
        <f>IF(DONNEES!$E1149="","",DONNEES!T1149)</f>
        <v/>
      </c>
      <c r="T1149" t="str">
        <f>IF(DONNEES!$E1149="","",DONNEES!U1149)</f>
        <v/>
      </c>
      <c r="U1149" t="str">
        <f>IF(DONNEES!$E1149="","",DONNEES!V1149)</f>
        <v/>
      </c>
      <c r="V1149" t="str">
        <f>IF(DONNEES!$E1149="","",DONNEES!W1149)</f>
        <v/>
      </c>
      <c r="W1149" t="str">
        <f>IF(DONNEES!$E1149="","",DONNEES!X1149)</f>
        <v/>
      </c>
      <c r="X1149" t="str">
        <f>IF(DONNEES!$E1149="","",DONNEES!Y1149)</f>
        <v/>
      </c>
      <c r="Y1149" t="str">
        <f>IF(DONNEES!$E1149="","",DONNEES!Z1149)</f>
        <v/>
      </c>
      <c r="Z1149" t="str">
        <f>IF(DONNEES!$E1149="","",DONNEES!AQ1149)</f>
        <v/>
      </c>
    </row>
    <row r="1150" spans="1:26" ht="15" customHeight="1" x14ac:dyDescent="0.3">
      <c r="A1150" t="str">
        <f>IF(DONNEES!$E1150="","",DONNEES!A1150)</f>
        <v/>
      </c>
      <c r="B1150" t="str">
        <f>IF(DONNEES!$E1150="","",DONNEES!B1150)</f>
        <v/>
      </c>
      <c r="C1150" t="str">
        <f>IF(DONNEES!$E1150="","",DONNEES!C1150)</f>
        <v/>
      </c>
      <c r="D1150" t="str">
        <f>IF(DONNEES!$E1150="","",DONNEES!E1150)</f>
        <v/>
      </c>
      <c r="E1150" t="str">
        <f>IF(DONNEES!$E1150="","",DONNEES!F1150)</f>
        <v/>
      </c>
      <c r="F1150" t="str">
        <f>IF(DONNEES!$E1150="","",DONNEES!G1150)</f>
        <v/>
      </c>
      <c r="G1150" t="str">
        <f>IF(DONNEES!$E1150="","",DONNEES!H1150)</f>
        <v/>
      </c>
      <c r="H1150" t="str">
        <f>IF(DONNEES!$E1150="","",DONNEES!I1150)</f>
        <v/>
      </c>
      <c r="I1150" t="str">
        <f>IF(DONNEES!$E1150="","",DONNEES!J1150)</f>
        <v/>
      </c>
      <c r="J1150" t="str">
        <f>IF(DONNEES!$E1150="","",DONNEES!K1150)</f>
        <v/>
      </c>
      <c r="K1150" t="str">
        <f>IF(DONNEES!$E1150="","",DONNEES!L1150)</f>
        <v/>
      </c>
      <c r="L1150" t="str">
        <f>IF(DONNEES!$E1150="","",DONNEES!M1150)</f>
        <v/>
      </c>
      <c r="M1150" t="str">
        <f>IF(DONNEES!$E1150="","",DONNEES!N1150)</f>
        <v/>
      </c>
      <c r="N1150" t="str">
        <f>IF(DONNEES!$E1150="","",DONNEES!O1150)</f>
        <v/>
      </c>
      <c r="O1150" t="str">
        <f>IF(DONNEES!$E1150="","",DONNEES!P1150)</f>
        <v/>
      </c>
      <c r="P1150" t="str">
        <f>IF(DONNEES!$E1150="","",DONNEES!Q1150)</f>
        <v/>
      </c>
      <c r="Q1150" t="str">
        <f>IF(DONNEES!$E1150="","",DONNEES!R1150)</f>
        <v/>
      </c>
      <c r="R1150" t="str">
        <f>IF(DONNEES!$E1150="","",DONNEES!S1150)</f>
        <v/>
      </c>
      <c r="S1150" t="str">
        <f>IF(DONNEES!$E1150="","",DONNEES!T1150)</f>
        <v/>
      </c>
      <c r="T1150" t="str">
        <f>IF(DONNEES!$E1150="","",DONNEES!U1150)</f>
        <v/>
      </c>
      <c r="U1150" t="str">
        <f>IF(DONNEES!$E1150="","",DONNEES!V1150)</f>
        <v/>
      </c>
      <c r="V1150" t="str">
        <f>IF(DONNEES!$E1150="","",DONNEES!W1150)</f>
        <v/>
      </c>
      <c r="W1150" t="str">
        <f>IF(DONNEES!$E1150="","",DONNEES!X1150)</f>
        <v/>
      </c>
      <c r="X1150" t="str">
        <f>IF(DONNEES!$E1150="","",DONNEES!Y1150)</f>
        <v/>
      </c>
      <c r="Y1150" t="str">
        <f>IF(DONNEES!$E1150="","",DONNEES!Z1150)</f>
        <v/>
      </c>
      <c r="Z1150" t="str">
        <f>IF(DONNEES!$E1150="","",DONNEES!AQ1150)</f>
        <v/>
      </c>
    </row>
    <row r="1151" spans="1:26" ht="15" customHeight="1" x14ac:dyDescent="0.3">
      <c r="A1151" t="str">
        <f>IF(DONNEES!$E1151="","",DONNEES!A1151)</f>
        <v/>
      </c>
      <c r="B1151" t="str">
        <f>IF(DONNEES!$E1151="","",DONNEES!B1151)</f>
        <v/>
      </c>
      <c r="C1151" t="str">
        <f>IF(DONNEES!$E1151="","",DONNEES!C1151)</f>
        <v/>
      </c>
      <c r="D1151" t="str">
        <f>IF(DONNEES!$E1151="","",DONNEES!E1151)</f>
        <v/>
      </c>
      <c r="E1151" t="str">
        <f>IF(DONNEES!$E1151="","",DONNEES!F1151)</f>
        <v/>
      </c>
      <c r="F1151" t="str">
        <f>IF(DONNEES!$E1151="","",DONNEES!G1151)</f>
        <v/>
      </c>
      <c r="G1151" t="str">
        <f>IF(DONNEES!$E1151="","",DONNEES!H1151)</f>
        <v/>
      </c>
      <c r="H1151" t="str">
        <f>IF(DONNEES!$E1151="","",DONNEES!I1151)</f>
        <v/>
      </c>
      <c r="I1151" t="str">
        <f>IF(DONNEES!$E1151="","",DONNEES!J1151)</f>
        <v/>
      </c>
      <c r="J1151" t="str">
        <f>IF(DONNEES!$E1151="","",DONNEES!K1151)</f>
        <v/>
      </c>
      <c r="K1151" t="str">
        <f>IF(DONNEES!$E1151="","",DONNEES!L1151)</f>
        <v/>
      </c>
      <c r="L1151" t="str">
        <f>IF(DONNEES!$E1151="","",DONNEES!M1151)</f>
        <v/>
      </c>
      <c r="M1151" t="str">
        <f>IF(DONNEES!$E1151="","",DONNEES!N1151)</f>
        <v/>
      </c>
      <c r="N1151" t="str">
        <f>IF(DONNEES!$E1151="","",DONNEES!O1151)</f>
        <v/>
      </c>
      <c r="O1151" t="str">
        <f>IF(DONNEES!$E1151="","",DONNEES!P1151)</f>
        <v/>
      </c>
      <c r="P1151" t="str">
        <f>IF(DONNEES!$E1151="","",DONNEES!Q1151)</f>
        <v/>
      </c>
      <c r="Q1151" t="str">
        <f>IF(DONNEES!$E1151="","",DONNEES!R1151)</f>
        <v/>
      </c>
      <c r="R1151" t="str">
        <f>IF(DONNEES!$E1151="","",DONNEES!S1151)</f>
        <v/>
      </c>
      <c r="S1151" t="str">
        <f>IF(DONNEES!$E1151="","",DONNEES!T1151)</f>
        <v/>
      </c>
      <c r="T1151" t="str">
        <f>IF(DONNEES!$E1151="","",DONNEES!U1151)</f>
        <v/>
      </c>
      <c r="U1151" t="str">
        <f>IF(DONNEES!$E1151="","",DONNEES!V1151)</f>
        <v/>
      </c>
      <c r="V1151" t="str">
        <f>IF(DONNEES!$E1151="","",DONNEES!W1151)</f>
        <v/>
      </c>
      <c r="W1151" t="str">
        <f>IF(DONNEES!$E1151="","",DONNEES!X1151)</f>
        <v/>
      </c>
      <c r="X1151" t="str">
        <f>IF(DONNEES!$E1151="","",DONNEES!Y1151)</f>
        <v/>
      </c>
      <c r="Y1151" t="str">
        <f>IF(DONNEES!$E1151="","",DONNEES!Z1151)</f>
        <v/>
      </c>
      <c r="Z1151" t="str">
        <f>IF(DONNEES!$E1151="","",DONNEES!AQ1151)</f>
        <v/>
      </c>
    </row>
    <row r="1152" spans="1:26" ht="15" customHeight="1" x14ac:dyDescent="0.3">
      <c r="A1152" t="str">
        <f>IF(DONNEES!$E1152="","",DONNEES!A1152)</f>
        <v/>
      </c>
      <c r="B1152" t="str">
        <f>IF(DONNEES!$E1152="","",DONNEES!B1152)</f>
        <v/>
      </c>
      <c r="C1152" t="str">
        <f>IF(DONNEES!$E1152="","",DONNEES!C1152)</f>
        <v/>
      </c>
      <c r="D1152" t="str">
        <f>IF(DONNEES!$E1152="","",DONNEES!E1152)</f>
        <v/>
      </c>
      <c r="E1152" t="str">
        <f>IF(DONNEES!$E1152="","",DONNEES!F1152)</f>
        <v/>
      </c>
      <c r="F1152" t="str">
        <f>IF(DONNEES!$E1152="","",DONNEES!G1152)</f>
        <v/>
      </c>
      <c r="G1152" t="str">
        <f>IF(DONNEES!$E1152="","",DONNEES!H1152)</f>
        <v/>
      </c>
      <c r="H1152" t="str">
        <f>IF(DONNEES!$E1152="","",DONNEES!I1152)</f>
        <v/>
      </c>
      <c r="I1152" t="str">
        <f>IF(DONNEES!$E1152="","",DONNEES!J1152)</f>
        <v/>
      </c>
      <c r="J1152" t="str">
        <f>IF(DONNEES!$E1152="","",DONNEES!K1152)</f>
        <v/>
      </c>
      <c r="K1152" t="str">
        <f>IF(DONNEES!$E1152="","",DONNEES!L1152)</f>
        <v/>
      </c>
      <c r="L1152" t="str">
        <f>IF(DONNEES!$E1152="","",DONNEES!M1152)</f>
        <v/>
      </c>
      <c r="M1152" t="str">
        <f>IF(DONNEES!$E1152="","",DONNEES!N1152)</f>
        <v/>
      </c>
      <c r="N1152" t="str">
        <f>IF(DONNEES!$E1152="","",DONNEES!O1152)</f>
        <v/>
      </c>
      <c r="O1152" t="str">
        <f>IF(DONNEES!$E1152="","",DONNEES!P1152)</f>
        <v/>
      </c>
      <c r="P1152" t="str">
        <f>IF(DONNEES!$E1152="","",DONNEES!Q1152)</f>
        <v/>
      </c>
      <c r="Q1152" t="str">
        <f>IF(DONNEES!$E1152="","",DONNEES!R1152)</f>
        <v/>
      </c>
      <c r="R1152" t="str">
        <f>IF(DONNEES!$E1152="","",DONNEES!S1152)</f>
        <v/>
      </c>
      <c r="S1152" t="str">
        <f>IF(DONNEES!$E1152="","",DONNEES!T1152)</f>
        <v/>
      </c>
      <c r="T1152" t="str">
        <f>IF(DONNEES!$E1152="","",DONNEES!U1152)</f>
        <v/>
      </c>
      <c r="U1152" t="str">
        <f>IF(DONNEES!$E1152="","",DONNEES!V1152)</f>
        <v/>
      </c>
      <c r="V1152" t="str">
        <f>IF(DONNEES!$E1152="","",DONNEES!W1152)</f>
        <v/>
      </c>
      <c r="W1152" t="str">
        <f>IF(DONNEES!$E1152="","",DONNEES!X1152)</f>
        <v/>
      </c>
      <c r="X1152" t="str">
        <f>IF(DONNEES!$E1152="","",DONNEES!Y1152)</f>
        <v/>
      </c>
      <c r="Y1152" t="str">
        <f>IF(DONNEES!$E1152="","",DONNEES!Z1152)</f>
        <v/>
      </c>
      <c r="Z1152" t="str">
        <f>IF(DONNEES!$E1152="","",DONNEES!AQ1152)</f>
        <v/>
      </c>
    </row>
    <row r="1153" spans="1:26" ht="15" customHeight="1" x14ac:dyDescent="0.3">
      <c r="A1153" t="str">
        <f>IF(DONNEES!$E1153="","",DONNEES!A1153)</f>
        <v/>
      </c>
      <c r="B1153" t="str">
        <f>IF(DONNEES!$E1153="","",DONNEES!B1153)</f>
        <v/>
      </c>
      <c r="C1153" t="str">
        <f>IF(DONNEES!$E1153="","",DONNEES!C1153)</f>
        <v/>
      </c>
      <c r="D1153" t="str">
        <f>IF(DONNEES!$E1153="","",DONNEES!E1153)</f>
        <v/>
      </c>
      <c r="E1153" t="str">
        <f>IF(DONNEES!$E1153="","",DONNEES!F1153)</f>
        <v/>
      </c>
      <c r="F1153" t="str">
        <f>IF(DONNEES!$E1153="","",DONNEES!G1153)</f>
        <v/>
      </c>
      <c r="G1153" t="str">
        <f>IF(DONNEES!$E1153="","",DONNEES!H1153)</f>
        <v/>
      </c>
      <c r="H1153" t="str">
        <f>IF(DONNEES!$E1153="","",DONNEES!I1153)</f>
        <v/>
      </c>
      <c r="I1153" t="str">
        <f>IF(DONNEES!$E1153="","",DONNEES!J1153)</f>
        <v/>
      </c>
      <c r="J1153" t="str">
        <f>IF(DONNEES!$E1153="","",DONNEES!K1153)</f>
        <v/>
      </c>
      <c r="K1153" t="str">
        <f>IF(DONNEES!$E1153="","",DONNEES!L1153)</f>
        <v/>
      </c>
      <c r="L1153" t="str">
        <f>IF(DONNEES!$E1153="","",DONNEES!M1153)</f>
        <v/>
      </c>
      <c r="M1153" t="str">
        <f>IF(DONNEES!$E1153="","",DONNEES!N1153)</f>
        <v/>
      </c>
      <c r="N1153" t="str">
        <f>IF(DONNEES!$E1153="","",DONNEES!O1153)</f>
        <v/>
      </c>
      <c r="O1153" t="str">
        <f>IF(DONNEES!$E1153="","",DONNEES!P1153)</f>
        <v/>
      </c>
      <c r="P1153" t="str">
        <f>IF(DONNEES!$E1153="","",DONNEES!Q1153)</f>
        <v/>
      </c>
      <c r="Q1153" t="str">
        <f>IF(DONNEES!$E1153="","",DONNEES!R1153)</f>
        <v/>
      </c>
      <c r="R1153" t="str">
        <f>IF(DONNEES!$E1153="","",DONNEES!S1153)</f>
        <v/>
      </c>
      <c r="S1153" t="str">
        <f>IF(DONNEES!$E1153="","",DONNEES!T1153)</f>
        <v/>
      </c>
      <c r="T1153" t="str">
        <f>IF(DONNEES!$E1153="","",DONNEES!U1153)</f>
        <v/>
      </c>
      <c r="U1153" t="str">
        <f>IF(DONNEES!$E1153="","",DONNEES!V1153)</f>
        <v/>
      </c>
      <c r="V1153" t="str">
        <f>IF(DONNEES!$E1153="","",DONNEES!W1153)</f>
        <v/>
      </c>
      <c r="W1153" t="str">
        <f>IF(DONNEES!$E1153="","",DONNEES!X1153)</f>
        <v/>
      </c>
      <c r="X1153" t="str">
        <f>IF(DONNEES!$E1153="","",DONNEES!Y1153)</f>
        <v/>
      </c>
      <c r="Y1153" t="str">
        <f>IF(DONNEES!$E1153="","",DONNEES!Z1153)</f>
        <v/>
      </c>
      <c r="Z1153" t="str">
        <f>IF(DONNEES!$E1153="","",DONNEES!AQ1153)</f>
        <v/>
      </c>
    </row>
    <row r="1154" spans="1:26" ht="15" customHeight="1" x14ac:dyDescent="0.3">
      <c r="A1154" t="str">
        <f>IF(DONNEES!$E1154="","",DONNEES!A1154)</f>
        <v/>
      </c>
      <c r="B1154" t="str">
        <f>IF(DONNEES!$E1154="","",DONNEES!B1154)</f>
        <v/>
      </c>
      <c r="C1154" t="str">
        <f>IF(DONNEES!$E1154="","",DONNEES!C1154)</f>
        <v/>
      </c>
      <c r="D1154" t="str">
        <f>IF(DONNEES!$E1154="","",DONNEES!E1154)</f>
        <v/>
      </c>
      <c r="E1154" t="str">
        <f>IF(DONNEES!$E1154="","",DONNEES!F1154)</f>
        <v/>
      </c>
      <c r="F1154" t="str">
        <f>IF(DONNEES!$E1154="","",DONNEES!G1154)</f>
        <v/>
      </c>
      <c r="G1154" t="str">
        <f>IF(DONNEES!$E1154="","",DONNEES!H1154)</f>
        <v/>
      </c>
      <c r="H1154" t="str">
        <f>IF(DONNEES!$E1154="","",DONNEES!I1154)</f>
        <v/>
      </c>
      <c r="I1154" t="str">
        <f>IF(DONNEES!$E1154="","",DONNEES!J1154)</f>
        <v/>
      </c>
      <c r="J1154" t="str">
        <f>IF(DONNEES!$E1154="","",DONNEES!K1154)</f>
        <v/>
      </c>
      <c r="K1154" t="str">
        <f>IF(DONNEES!$E1154="","",DONNEES!L1154)</f>
        <v/>
      </c>
      <c r="L1154" t="str">
        <f>IF(DONNEES!$E1154="","",DONNEES!M1154)</f>
        <v/>
      </c>
      <c r="M1154" t="str">
        <f>IF(DONNEES!$E1154="","",DONNEES!N1154)</f>
        <v/>
      </c>
      <c r="N1154" t="str">
        <f>IF(DONNEES!$E1154="","",DONNEES!O1154)</f>
        <v/>
      </c>
      <c r="O1154" t="str">
        <f>IF(DONNEES!$E1154="","",DONNEES!P1154)</f>
        <v/>
      </c>
      <c r="P1154" t="str">
        <f>IF(DONNEES!$E1154="","",DONNEES!Q1154)</f>
        <v/>
      </c>
      <c r="Q1154" t="str">
        <f>IF(DONNEES!$E1154="","",DONNEES!R1154)</f>
        <v/>
      </c>
      <c r="R1154" t="str">
        <f>IF(DONNEES!$E1154="","",DONNEES!S1154)</f>
        <v/>
      </c>
      <c r="S1154" t="str">
        <f>IF(DONNEES!$E1154="","",DONNEES!T1154)</f>
        <v/>
      </c>
      <c r="T1154" t="str">
        <f>IF(DONNEES!$E1154="","",DONNEES!U1154)</f>
        <v/>
      </c>
      <c r="U1154" t="str">
        <f>IF(DONNEES!$E1154="","",DONNEES!V1154)</f>
        <v/>
      </c>
      <c r="V1154" t="str">
        <f>IF(DONNEES!$E1154="","",DONNEES!W1154)</f>
        <v/>
      </c>
      <c r="W1154" t="str">
        <f>IF(DONNEES!$E1154="","",DONNEES!X1154)</f>
        <v/>
      </c>
      <c r="X1154" t="str">
        <f>IF(DONNEES!$E1154="","",DONNEES!Y1154)</f>
        <v/>
      </c>
      <c r="Y1154" t="str">
        <f>IF(DONNEES!$E1154="","",DONNEES!Z1154)</f>
        <v/>
      </c>
      <c r="Z1154" t="str">
        <f>IF(DONNEES!$E1154="","",DONNEES!AQ1154)</f>
        <v/>
      </c>
    </row>
    <row r="1155" spans="1:26" ht="15" customHeight="1" x14ac:dyDescent="0.3">
      <c r="A1155" t="str">
        <f>IF(DONNEES!$E1155="","",DONNEES!A1155)</f>
        <v/>
      </c>
      <c r="B1155" t="str">
        <f>IF(DONNEES!$E1155="","",DONNEES!B1155)</f>
        <v/>
      </c>
      <c r="C1155" t="str">
        <f>IF(DONNEES!$E1155="","",DONNEES!C1155)</f>
        <v/>
      </c>
      <c r="D1155" t="str">
        <f>IF(DONNEES!$E1155="","",DONNEES!E1155)</f>
        <v/>
      </c>
      <c r="E1155" t="str">
        <f>IF(DONNEES!$E1155="","",DONNEES!F1155)</f>
        <v/>
      </c>
      <c r="F1155" t="str">
        <f>IF(DONNEES!$E1155="","",DONNEES!G1155)</f>
        <v/>
      </c>
      <c r="G1155" t="str">
        <f>IF(DONNEES!$E1155="","",DONNEES!H1155)</f>
        <v/>
      </c>
      <c r="H1155" t="str">
        <f>IF(DONNEES!$E1155="","",DONNEES!I1155)</f>
        <v/>
      </c>
      <c r="I1155" t="str">
        <f>IF(DONNEES!$E1155="","",DONNEES!J1155)</f>
        <v/>
      </c>
      <c r="J1155" t="str">
        <f>IF(DONNEES!$E1155="","",DONNEES!K1155)</f>
        <v/>
      </c>
      <c r="K1155" t="str">
        <f>IF(DONNEES!$E1155="","",DONNEES!L1155)</f>
        <v/>
      </c>
      <c r="L1155" t="str">
        <f>IF(DONNEES!$E1155="","",DONNEES!M1155)</f>
        <v/>
      </c>
      <c r="M1155" t="str">
        <f>IF(DONNEES!$E1155="","",DONNEES!N1155)</f>
        <v/>
      </c>
      <c r="N1155" t="str">
        <f>IF(DONNEES!$E1155="","",DONNEES!O1155)</f>
        <v/>
      </c>
      <c r="O1155" t="str">
        <f>IF(DONNEES!$E1155="","",DONNEES!P1155)</f>
        <v/>
      </c>
      <c r="P1155" t="str">
        <f>IF(DONNEES!$E1155="","",DONNEES!Q1155)</f>
        <v/>
      </c>
      <c r="Q1155" t="str">
        <f>IF(DONNEES!$E1155="","",DONNEES!R1155)</f>
        <v/>
      </c>
      <c r="R1155" t="str">
        <f>IF(DONNEES!$E1155="","",DONNEES!S1155)</f>
        <v/>
      </c>
      <c r="S1155" t="str">
        <f>IF(DONNEES!$E1155="","",DONNEES!T1155)</f>
        <v/>
      </c>
      <c r="T1155" t="str">
        <f>IF(DONNEES!$E1155="","",DONNEES!U1155)</f>
        <v/>
      </c>
      <c r="U1155" t="str">
        <f>IF(DONNEES!$E1155="","",DONNEES!V1155)</f>
        <v/>
      </c>
      <c r="V1155" t="str">
        <f>IF(DONNEES!$E1155="","",DONNEES!W1155)</f>
        <v/>
      </c>
      <c r="W1155" t="str">
        <f>IF(DONNEES!$E1155="","",DONNEES!X1155)</f>
        <v/>
      </c>
      <c r="X1155" t="str">
        <f>IF(DONNEES!$E1155="","",DONNEES!Y1155)</f>
        <v/>
      </c>
      <c r="Y1155" t="str">
        <f>IF(DONNEES!$E1155="","",DONNEES!Z1155)</f>
        <v/>
      </c>
      <c r="Z1155" t="str">
        <f>IF(DONNEES!$E1155="","",DONNEES!AQ1155)</f>
        <v/>
      </c>
    </row>
    <row r="1156" spans="1:26" ht="15" customHeight="1" x14ac:dyDescent="0.3">
      <c r="A1156" t="str">
        <f>IF(DONNEES!$E1156="","",DONNEES!A1156)</f>
        <v/>
      </c>
      <c r="B1156" t="str">
        <f>IF(DONNEES!$E1156="","",DONNEES!B1156)</f>
        <v/>
      </c>
      <c r="C1156" t="str">
        <f>IF(DONNEES!$E1156="","",DONNEES!C1156)</f>
        <v/>
      </c>
      <c r="D1156" t="str">
        <f>IF(DONNEES!$E1156="","",DONNEES!E1156)</f>
        <v/>
      </c>
      <c r="E1156" t="str">
        <f>IF(DONNEES!$E1156="","",DONNEES!F1156)</f>
        <v/>
      </c>
      <c r="F1156" t="str">
        <f>IF(DONNEES!$E1156="","",DONNEES!G1156)</f>
        <v/>
      </c>
      <c r="G1156" t="str">
        <f>IF(DONNEES!$E1156="","",DONNEES!H1156)</f>
        <v/>
      </c>
      <c r="H1156" t="str">
        <f>IF(DONNEES!$E1156="","",DONNEES!I1156)</f>
        <v/>
      </c>
      <c r="I1156" t="str">
        <f>IF(DONNEES!$E1156="","",DONNEES!J1156)</f>
        <v/>
      </c>
      <c r="J1156" t="str">
        <f>IF(DONNEES!$E1156="","",DONNEES!K1156)</f>
        <v/>
      </c>
      <c r="K1156" t="str">
        <f>IF(DONNEES!$E1156="","",DONNEES!L1156)</f>
        <v/>
      </c>
      <c r="L1156" t="str">
        <f>IF(DONNEES!$E1156="","",DONNEES!M1156)</f>
        <v/>
      </c>
      <c r="M1156" t="str">
        <f>IF(DONNEES!$E1156="","",DONNEES!N1156)</f>
        <v/>
      </c>
      <c r="N1156" t="str">
        <f>IF(DONNEES!$E1156="","",DONNEES!O1156)</f>
        <v/>
      </c>
      <c r="O1156" t="str">
        <f>IF(DONNEES!$E1156="","",DONNEES!P1156)</f>
        <v/>
      </c>
      <c r="P1156" t="str">
        <f>IF(DONNEES!$E1156="","",DONNEES!Q1156)</f>
        <v/>
      </c>
      <c r="Q1156" t="str">
        <f>IF(DONNEES!$E1156="","",DONNEES!R1156)</f>
        <v/>
      </c>
      <c r="R1156" t="str">
        <f>IF(DONNEES!$E1156="","",DONNEES!S1156)</f>
        <v/>
      </c>
      <c r="S1156" t="str">
        <f>IF(DONNEES!$E1156="","",DONNEES!T1156)</f>
        <v/>
      </c>
      <c r="T1156" t="str">
        <f>IF(DONNEES!$E1156="","",DONNEES!U1156)</f>
        <v/>
      </c>
      <c r="U1156" t="str">
        <f>IF(DONNEES!$E1156="","",DONNEES!V1156)</f>
        <v/>
      </c>
      <c r="V1156" t="str">
        <f>IF(DONNEES!$E1156="","",DONNEES!W1156)</f>
        <v/>
      </c>
      <c r="W1156" t="str">
        <f>IF(DONNEES!$E1156="","",DONNEES!X1156)</f>
        <v/>
      </c>
      <c r="X1156" t="str">
        <f>IF(DONNEES!$E1156="","",DONNEES!Y1156)</f>
        <v/>
      </c>
      <c r="Y1156" t="str">
        <f>IF(DONNEES!$E1156="","",DONNEES!Z1156)</f>
        <v/>
      </c>
      <c r="Z1156" t="str">
        <f>IF(DONNEES!$E1156="","",DONNEES!AQ1156)</f>
        <v/>
      </c>
    </row>
    <row r="1157" spans="1:26" ht="15" customHeight="1" x14ac:dyDescent="0.3">
      <c r="A1157" t="str">
        <f>IF(DONNEES!$E1157="","",DONNEES!A1157)</f>
        <v/>
      </c>
      <c r="B1157" t="str">
        <f>IF(DONNEES!$E1157="","",DONNEES!B1157)</f>
        <v/>
      </c>
      <c r="C1157" t="str">
        <f>IF(DONNEES!$E1157="","",DONNEES!C1157)</f>
        <v/>
      </c>
      <c r="D1157" t="str">
        <f>IF(DONNEES!$E1157="","",DONNEES!E1157)</f>
        <v/>
      </c>
      <c r="E1157" t="str">
        <f>IF(DONNEES!$E1157="","",DONNEES!F1157)</f>
        <v/>
      </c>
      <c r="F1157" t="str">
        <f>IF(DONNEES!$E1157="","",DONNEES!G1157)</f>
        <v/>
      </c>
      <c r="G1157" t="str">
        <f>IF(DONNEES!$E1157="","",DONNEES!H1157)</f>
        <v/>
      </c>
      <c r="H1157" t="str">
        <f>IF(DONNEES!$E1157="","",DONNEES!I1157)</f>
        <v/>
      </c>
      <c r="I1157" t="str">
        <f>IF(DONNEES!$E1157="","",DONNEES!J1157)</f>
        <v/>
      </c>
      <c r="J1157" t="str">
        <f>IF(DONNEES!$E1157="","",DONNEES!K1157)</f>
        <v/>
      </c>
      <c r="K1157" t="str">
        <f>IF(DONNEES!$E1157="","",DONNEES!L1157)</f>
        <v/>
      </c>
      <c r="L1157" t="str">
        <f>IF(DONNEES!$E1157="","",DONNEES!M1157)</f>
        <v/>
      </c>
      <c r="M1157" t="str">
        <f>IF(DONNEES!$E1157="","",DONNEES!N1157)</f>
        <v/>
      </c>
      <c r="N1157" t="str">
        <f>IF(DONNEES!$E1157="","",DONNEES!O1157)</f>
        <v/>
      </c>
      <c r="O1157" t="str">
        <f>IF(DONNEES!$E1157="","",DONNEES!P1157)</f>
        <v/>
      </c>
      <c r="P1157" t="str">
        <f>IF(DONNEES!$E1157="","",DONNEES!Q1157)</f>
        <v/>
      </c>
      <c r="Q1157" t="str">
        <f>IF(DONNEES!$E1157="","",DONNEES!R1157)</f>
        <v/>
      </c>
      <c r="R1157" t="str">
        <f>IF(DONNEES!$E1157="","",DONNEES!S1157)</f>
        <v/>
      </c>
      <c r="S1157" t="str">
        <f>IF(DONNEES!$E1157="","",DONNEES!T1157)</f>
        <v/>
      </c>
      <c r="T1157" t="str">
        <f>IF(DONNEES!$E1157="","",DONNEES!U1157)</f>
        <v/>
      </c>
      <c r="U1157" t="str">
        <f>IF(DONNEES!$E1157="","",DONNEES!V1157)</f>
        <v/>
      </c>
      <c r="V1157" t="str">
        <f>IF(DONNEES!$E1157="","",DONNEES!W1157)</f>
        <v/>
      </c>
      <c r="W1157" t="str">
        <f>IF(DONNEES!$E1157="","",DONNEES!X1157)</f>
        <v/>
      </c>
      <c r="X1157" t="str">
        <f>IF(DONNEES!$E1157="","",DONNEES!Y1157)</f>
        <v/>
      </c>
      <c r="Y1157" t="str">
        <f>IF(DONNEES!$E1157="","",DONNEES!Z1157)</f>
        <v/>
      </c>
      <c r="Z1157" t="str">
        <f>IF(DONNEES!$E1157="","",DONNEES!AQ1157)</f>
        <v/>
      </c>
    </row>
    <row r="1158" spans="1:26" ht="15" customHeight="1" x14ac:dyDescent="0.3">
      <c r="A1158" t="str">
        <f>IF(DONNEES!$E1158="","",DONNEES!A1158)</f>
        <v/>
      </c>
      <c r="B1158" t="str">
        <f>IF(DONNEES!$E1158="","",DONNEES!B1158)</f>
        <v/>
      </c>
      <c r="C1158" t="str">
        <f>IF(DONNEES!$E1158="","",DONNEES!C1158)</f>
        <v/>
      </c>
      <c r="D1158" t="str">
        <f>IF(DONNEES!$E1158="","",DONNEES!E1158)</f>
        <v/>
      </c>
      <c r="E1158" t="str">
        <f>IF(DONNEES!$E1158="","",DONNEES!F1158)</f>
        <v/>
      </c>
      <c r="F1158" t="str">
        <f>IF(DONNEES!$E1158="","",DONNEES!G1158)</f>
        <v/>
      </c>
      <c r="G1158" t="str">
        <f>IF(DONNEES!$E1158="","",DONNEES!H1158)</f>
        <v/>
      </c>
      <c r="H1158" t="str">
        <f>IF(DONNEES!$E1158="","",DONNEES!I1158)</f>
        <v/>
      </c>
      <c r="I1158" t="str">
        <f>IF(DONNEES!$E1158="","",DONNEES!J1158)</f>
        <v/>
      </c>
      <c r="J1158" t="str">
        <f>IF(DONNEES!$E1158="","",DONNEES!K1158)</f>
        <v/>
      </c>
      <c r="K1158" t="str">
        <f>IF(DONNEES!$E1158="","",DONNEES!L1158)</f>
        <v/>
      </c>
      <c r="L1158" t="str">
        <f>IF(DONNEES!$E1158="","",DONNEES!M1158)</f>
        <v/>
      </c>
      <c r="M1158" t="str">
        <f>IF(DONNEES!$E1158="","",DONNEES!N1158)</f>
        <v/>
      </c>
      <c r="N1158" t="str">
        <f>IF(DONNEES!$E1158="","",DONNEES!O1158)</f>
        <v/>
      </c>
      <c r="O1158" t="str">
        <f>IF(DONNEES!$E1158="","",DONNEES!P1158)</f>
        <v/>
      </c>
      <c r="P1158" t="str">
        <f>IF(DONNEES!$E1158="","",DONNEES!Q1158)</f>
        <v/>
      </c>
      <c r="Q1158" t="str">
        <f>IF(DONNEES!$E1158="","",DONNEES!R1158)</f>
        <v/>
      </c>
      <c r="R1158" t="str">
        <f>IF(DONNEES!$E1158="","",DONNEES!S1158)</f>
        <v/>
      </c>
      <c r="S1158" t="str">
        <f>IF(DONNEES!$E1158="","",DONNEES!T1158)</f>
        <v/>
      </c>
      <c r="T1158" t="str">
        <f>IF(DONNEES!$E1158="","",DONNEES!U1158)</f>
        <v/>
      </c>
      <c r="U1158" t="str">
        <f>IF(DONNEES!$E1158="","",DONNEES!V1158)</f>
        <v/>
      </c>
      <c r="V1158" t="str">
        <f>IF(DONNEES!$E1158="","",DONNEES!W1158)</f>
        <v/>
      </c>
      <c r="W1158" t="str">
        <f>IF(DONNEES!$E1158="","",DONNEES!X1158)</f>
        <v/>
      </c>
      <c r="X1158" t="str">
        <f>IF(DONNEES!$E1158="","",DONNEES!Y1158)</f>
        <v/>
      </c>
      <c r="Y1158" t="str">
        <f>IF(DONNEES!$E1158="","",DONNEES!Z1158)</f>
        <v/>
      </c>
      <c r="Z1158" t="str">
        <f>IF(DONNEES!$E1158="","",DONNEES!AQ1158)</f>
        <v/>
      </c>
    </row>
    <row r="1159" spans="1:26" ht="15" customHeight="1" x14ac:dyDescent="0.3">
      <c r="A1159" t="str">
        <f>IF(DONNEES!$E1159="","",DONNEES!A1159)</f>
        <v/>
      </c>
      <c r="B1159" t="str">
        <f>IF(DONNEES!$E1159="","",DONNEES!B1159)</f>
        <v/>
      </c>
      <c r="C1159" t="str">
        <f>IF(DONNEES!$E1159="","",DONNEES!C1159)</f>
        <v/>
      </c>
      <c r="D1159" t="str">
        <f>IF(DONNEES!$E1159="","",DONNEES!E1159)</f>
        <v/>
      </c>
      <c r="E1159" t="str">
        <f>IF(DONNEES!$E1159="","",DONNEES!F1159)</f>
        <v/>
      </c>
      <c r="F1159" t="str">
        <f>IF(DONNEES!$E1159="","",DONNEES!G1159)</f>
        <v/>
      </c>
      <c r="G1159" t="str">
        <f>IF(DONNEES!$E1159="","",DONNEES!H1159)</f>
        <v/>
      </c>
      <c r="H1159" t="str">
        <f>IF(DONNEES!$E1159="","",DONNEES!I1159)</f>
        <v/>
      </c>
      <c r="I1159" t="str">
        <f>IF(DONNEES!$E1159="","",DONNEES!J1159)</f>
        <v/>
      </c>
      <c r="J1159" t="str">
        <f>IF(DONNEES!$E1159="","",DONNEES!K1159)</f>
        <v/>
      </c>
      <c r="K1159" t="str">
        <f>IF(DONNEES!$E1159="","",DONNEES!L1159)</f>
        <v/>
      </c>
      <c r="L1159" t="str">
        <f>IF(DONNEES!$E1159="","",DONNEES!M1159)</f>
        <v/>
      </c>
      <c r="M1159" t="str">
        <f>IF(DONNEES!$E1159="","",DONNEES!N1159)</f>
        <v/>
      </c>
      <c r="N1159" t="str">
        <f>IF(DONNEES!$E1159="","",DONNEES!O1159)</f>
        <v/>
      </c>
      <c r="O1159" t="str">
        <f>IF(DONNEES!$E1159="","",DONNEES!P1159)</f>
        <v/>
      </c>
      <c r="P1159" t="str">
        <f>IF(DONNEES!$E1159="","",DONNEES!Q1159)</f>
        <v/>
      </c>
      <c r="Q1159" t="str">
        <f>IF(DONNEES!$E1159="","",DONNEES!R1159)</f>
        <v/>
      </c>
      <c r="R1159" t="str">
        <f>IF(DONNEES!$E1159="","",DONNEES!S1159)</f>
        <v/>
      </c>
      <c r="S1159" t="str">
        <f>IF(DONNEES!$E1159="","",DONNEES!T1159)</f>
        <v/>
      </c>
      <c r="T1159" t="str">
        <f>IF(DONNEES!$E1159="","",DONNEES!U1159)</f>
        <v/>
      </c>
      <c r="U1159" t="str">
        <f>IF(DONNEES!$E1159="","",DONNEES!V1159)</f>
        <v/>
      </c>
      <c r="V1159" t="str">
        <f>IF(DONNEES!$E1159="","",DONNEES!W1159)</f>
        <v/>
      </c>
      <c r="W1159" t="str">
        <f>IF(DONNEES!$E1159="","",DONNEES!X1159)</f>
        <v/>
      </c>
      <c r="X1159" t="str">
        <f>IF(DONNEES!$E1159="","",DONNEES!Y1159)</f>
        <v/>
      </c>
      <c r="Y1159" t="str">
        <f>IF(DONNEES!$E1159="","",DONNEES!Z1159)</f>
        <v/>
      </c>
      <c r="Z1159" t="str">
        <f>IF(DONNEES!$E1159="","",DONNEES!AQ1159)</f>
        <v/>
      </c>
    </row>
    <row r="1160" spans="1:26" ht="15" customHeight="1" x14ac:dyDescent="0.3">
      <c r="A1160" t="str">
        <f>IF(DONNEES!$E1160="","",DONNEES!A1160)</f>
        <v/>
      </c>
      <c r="B1160" t="str">
        <f>IF(DONNEES!$E1160="","",DONNEES!B1160)</f>
        <v/>
      </c>
      <c r="C1160" t="str">
        <f>IF(DONNEES!$E1160="","",DONNEES!C1160)</f>
        <v/>
      </c>
      <c r="D1160" t="str">
        <f>IF(DONNEES!$E1160="","",DONNEES!E1160)</f>
        <v/>
      </c>
      <c r="E1160" t="str">
        <f>IF(DONNEES!$E1160="","",DONNEES!F1160)</f>
        <v/>
      </c>
      <c r="F1160" t="str">
        <f>IF(DONNEES!$E1160="","",DONNEES!G1160)</f>
        <v/>
      </c>
      <c r="G1160" t="str">
        <f>IF(DONNEES!$E1160="","",DONNEES!H1160)</f>
        <v/>
      </c>
      <c r="H1160" t="str">
        <f>IF(DONNEES!$E1160="","",DONNEES!I1160)</f>
        <v/>
      </c>
      <c r="I1160" t="str">
        <f>IF(DONNEES!$E1160="","",DONNEES!J1160)</f>
        <v/>
      </c>
      <c r="J1160" t="str">
        <f>IF(DONNEES!$E1160="","",DONNEES!K1160)</f>
        <v/>
      </c>
      <c r="K1160" t="str">
        <f>IF(DONNEES!$E1160="","",DONNEES!L1160)</f>
        <v/>
      </c>
      <c r="L1160" t="str">
        <f>IF(DONNEES!$E1160="","",DONNEES!M1160)</f>
        <v/>
      </c>
      <c r="M1160" t="str">
        <f>IF(DONNEES!$E1160="","",DONNEES!N1160)</f>
        <v/>
      </c>
      <c r="N1160" t="str">
        <f>IF(DONNEES!$E1160="","",DONNEES!O1160)</f>
        <v/>
      </c>
      <c r="O1160" t="str">
        <f>IF(DONNEES!$E1160="","",DONNEES!P1160)</f>
        <v/>
      </c>
      <c r="P1160" t="str">
        <f>IF(DONNEES!$E1160="","",DONNEES!Q1160)</f>
        <v/>
      </c>
      <c r="Q1160" t="str">
        <f>IF(DONNEES!$E1160="","",DONNEES!R1160)</f>
        <v/>
      </c>
      <c r="R1160" t="str">
        <f>IF(DONNEES!$E1160="","",DONNEES!S1160)</f>
        <v/>
      </c>
      <c r="S1160" t="str">
        <f>IF(DONNEES!$E1160="","",DONNEES!T1160)</f>
        <v/>
      </c>
      <c r="T1160" t="str">
        <f>IF(DONNEES!$E1160="","",DONNEES!U1160)</f>
        <v/>
      </c>
      <c r="U1160" t="str">
        <f>IF(DONNEES!$E1160="","",DONNEES!V1160)</f>
        <v/>
      </c>
      <c r="V1160" t="str">
        <f>IF(DONNEES!$E1160="","",DONNEES!W1160)</f>
        <v/>
      </c>
      <c r="W1160" t="str">
        <f>IF(DONNEES!$E1160="","",DONNEES!X1160)</f>
        <v/>
      </c>
      <c r="X1160" t="str">
        <f>IF(DONNEES!$E1160="","",DONNEES!Y1160)</f>
        <v/>
      </c>
      <c r="Y1160" t="str">
        <f>IF(DONNEES!$E1160="","",DONNEES!Z1160)</f>
        <v/>
      </c>
      <c r="Z1160" t="str">
        <f>IF(DONNEES!$E1160="","",DONNEES!AQ1160)</f>
        <v/>
      </c>
    </row>
    <row r="1161" spans="1:26" ht="15" customHeight="1" x14ac:dyDescent="0.3">
      <c r="A1161" t="str">
        <f>IF(DONNEES!$E1161="","",DONNEES!A1161)</f>
        <v/>
      </c>
      <c r="B1161" t="str">
        <f>IF(DONNEES!$E1161="","",DONNEES!B1161)</f>
        <v/>
      </c>
      <c r="C1161" t="str">
        <f>IF(DONNEES!$E1161="","",DONNEES!C1161)</f>
        <v/>
      </c>
      <c r="D1161" t="str">
        <f>IF(DONNEES!$E1161="","",DONNEES!E1161)</f>
        <v/>
      </c>
      <c r="E1161" t="str">
        <f>IF(DONNEES!$E1161="","",DONNEES!F1161)</f>
        <v/>
      </c>
      <c r="F1161" t="str">
        <f>IF(DONNEES!$E1161="","",DONNEES!G1161)</f>
        <v/>
      </c>
      <c r="G1161" t="str">
        <f>IF(DONNEES!$E1161="","",DONNEES!H1161)</f>
        <v/>
      </c>
      <c r="H1161" t="str">
        <f>IF(DONNEES!$E1161="","",DONNEES!I1161)</f>
        <v/>
      </c>
      <c r="I1161" t="str">
        <f>IF(DONNEES!$E1161="","",DONNEES!J1161)</f>
        <v/>
      </c>
      <c r="J1161" t="str">
        <f>IF(DONNEES!$E1161="","",DONNEES!K1161)</f>
        <v/>
      </c>
      <c r="K1161" t="str">
        <f>IF(DONNEES!$E1161="","",DONNEES!L1161)</f>
        <v/>
      </c>
      <c r="L1161" t="str">
        <f>IF(DONNEES!$E1161="","",DONNEES!M1161)</f>
        <v/>
      </c>
      <c r="M1161" t="str">
        <f>IF(DONNEES!$E1161="","",DONNEES!N1161)</f>
        <v/>
      </c>
      <c r="N1161" t="str">
        <f>IF(DONNEES!$E1161="","",DONNEES!O1161)</f>
        <v/>
      </c>
      <c r="O1161" t="str">
        <f>IF(DONNEES!$E1161="","",DONNEES!P1161)</f>
        <v/>
      </c>
      <c r="P1161" t="str">
        <f>IF(DONNEES!$E1161="","",DONNEES!Q1161)</f>
        <v/>
      </c>
      <c r="Q1161" t="str">
        <f>IF(DONNEES!$E1161="","",DONNEES!R1161)</f>
        <v/>
      </c>
      <c r="R1161" t="str">
        <f>IF(DONNEES!$E1161="","",DONNEES!S1161)</f>
        <v/>
      </c>
      <c r="S1161" t="str">
        <f>IF(DONNEES!$E1161="","",DONNEES!T1161)</f>
        <v/>
      </c>
      <c r="T1161" t="str">
        <f>IF(DONNEES!$E1161="","",DONNEES!U1161)</f>
        <v/>
      </c>
      <c r="U1161" t="str">
        <f>IF(DONNEES!$E1161="","",DONNEES!V1161)</f>
        <v/>
      </c>
      <c r="V1161" t="str">
        <f>IF(DONNEES!$E1161="","",DONNEES!W1161)</f>
        <v/>
      </c>
      <c r="W1161" t="str">
        <f>IF(DONNEES!$E1161="","",DONNEES!X1161)</f>
        <v/>
      </c>
      <c r="X1161" t="str">
        <f>IF(DONNEES!$E1161="","",DONNEES!Y1161)</f>
        <v/>
      </c>
      <c r="Y1161" t="str">
        <f>IF(DONNEES!$E1161="","",DONNEES!Z1161)</f>
        <v/>
      </c>
      <c r="Z1161" t="str">
        <f>IF(DONNEES!$E1161="","",DONNEES!AQ1161)</f>
        <v/>
      </c>
    </row>
    <row r="1162" spans="1:26" ht="15" customHeight="1" x14ac:dyDescent="0.3">
      <c r="A1162" t="str">
        <f>IF(DONNEES!$E1162="","",DONNEES!A1162)</f>
        <v/>
      </c>
      <c r="B1162" t="str">
        <f>IF(DONNEES!$E1162="","",DONNEES!B1162)</f>
        <v/>
      </c>
      <c r="C1162" t="str">
        <f>IF(DONNEES!$E1162="","",DONNEES!C1162)</f>
        <v/>
      </c>
      <c r="D1162" t="str">
        <f>IF(DONNEES!$E1162="","",DONNEES!E1162)</f>
        <v/>
      </c>
      <c r="E1162" t="str">
        <f>IF(DONNEES!$E1162="","",DONNEES!F1162)</f>
        <v/>
      </c>
      <c r="F1162" t="str">
        <f>IF(DONNEES!$E1162="","",DONNEES!G1162)</f>
        <v/>
      </c>
      <c r="G1162" t="str">
        <f>IF(DONNEES!$E1162="","",DONNEES!H1162)</f>
        <v/>
      </c>
      <c r="H1162" t="str">
        <f>IF(DONNEES!$E1162="","",DONNEES!I1162)</f>
        <v/>
      </c>
      <c r="I1162" t="str">
        <f>IF(DONNEES!$E1162="","",DONNEES!J1162)</f>
        <v/>
      </c>
      <c r="J1162" t="str">
        <f>IF(DONNEES!$E1162="","",DONNEES!K1162)</f>
        <v/>
      </c>
      <c r="K1162" t="str">
        <f>IF(DONNEES!$E1162="","",DONNEES!L1162)</f>
        <v/>
      </c>
      <c r="L1162" t="str">
        <f>IF(DONNEES!$E1162="","",DONNEES!M1162)</f>
        <v/>
      </c>
      <c r="M1162" t="str">
        <f>IF(DONNEES!$E1162="","",DONNEES!N1162)</f>
        <v/>
      </c>
      <c r="N1162" t="str">
        <f>IF(DONNEES!$E1162="","",DONNEES!O1162)</f>
        <v/>
      </c>
      <c r="O1162" t="str">
        <f>IF(DONNEES!$E1162="","",DONNEES!P1162)</f>
        <v/>
      </c>
      <c r="P1162" t="str">
        <f>IF(DONNEES!$E1162="","",DONNEES!Q1162)</f>
        <v/>
      </c>
      <c r="Q1162" t="str">
        <f>IF(DONNEES!$E1162="","",DONNEES!R1162)</f>
        <v/>
      </c>
      <c r="R1162" t="str">
        <f>IF(DONNEES!$E1162="","",DONNEES!S1162)</f>
        <v/>
      </c>
      <c r="S1162" t="str">
        <f>IF(DONNEES!$E1162="","",DONNEES!T1162)</f>
        <v/>
      </c>
      <c r="T1162" t="str">
        <f>IF(DONNEES!$E1162="","",DONNEES!U1162)</f>
        <v/>
      </c>
      <c r="U1162" t="str">
        <f>IF(DONNEES!$E1162="","",DONNEES!V1162)</f>
        <v/>
      </c>
      <c r="V1162" t="str">
        <f>IF(DONNEES!$E1162="","",DONNEES!W1162)</f>
        <v/>
      </c>
      <c r="W1162" t="str">
        <f>IF(DONNEES!$E1162="","",DONNEES!X1162)</f>
        <v/>
      </c>
      <c r="X1162" t="str">
        <f>IF(DONNEES!$E1162="","",DONNEES!Y1162)</f>
        <v/>
      </c>
      <c r="Y1162" t="str">
        <f>IF(DONNEES!$E1162="","",DONNEES!Z1162)</f>
        <v/>
      </c>
      <c r="Z1162" t="str">
        <f>IF(DONNEES!$E1162="","",DONNEES!AQ1162)</f>
        <v/>
      </c>
    </row>
    <row r="1163" spans="1:26" ht="15" customHeight="1" x14ac:dyDescent="0.3">
      <c r="A1163" t="str">
        <f>IF(DONNEES!$E1163="","",DONNEES!A1163)</f>
        <v/>
      </c>
      <c r="B1163" t="str">
        <f>IF(DONNEES!$E1163="","",DONNEES!B1163)</f>
        <v/>
      </c>
      <c r="C1163" t="str">
        <f>IF(DONNEES!$E1163="","",DONNEES!C1163)</f>
        <v/>
      </c>
      <c r="D1163" t="str">
        <f>IF(DONNEES!$E1163="","",DONNEES!E1163)</f>
        <v/>
      </c>
      <c r="E1163" t="str">
        <f>IF(DONNEES!$E1163="","",DONNEES!F1163)</f>
        <v/>
      </c>
      <c r="F1163" t="str">
        <f>IF(DONNEES!$E1163="","",DONNEES!G1163)</f>
        <v/>
      </c>
      <c r="G1163" t="str">
        <f>IF(DONNEES!$E1163="","",DONNEES!H1163)</f>
        <v/>
      </c>
      <c r="H1163" t="str">
        <f>IF(DONNEES!$E1163="","",DONNEES!I1163)</f>
        <v/>
      </c>
      <c r="I1163" t="str">
        <f>IF(DONNEES!$E1163="","",DONNEES!J1163)</f>
        <v/>
      </c>
      <c r="J1163" t="str">
        <f>IF(DONNEES!$E1163="","",DONNEES!K1163)</f>
        <v/>
      </c>
      <c r="K1163" t="str">
        <f>IF(DONNEES!$E1163="","",DONNEES!L1163)</f>
        <v/>
      </c>
      <c r="L1163" t="str">
        <f>IF(DONNEES!$E1163="","",DONNEES!M1163)</f>
        <v/>
      </c>
      <c r="M1163" t="str">
        <f>IF(DONNEES!$E1163="","",DONNEES!N1163)</f>
        <v/>
      </c>
      <c r="N1163" t="str">
        <f>IF(DONNEES!$E1163="","",DONNEES!O1163)</f>
        <v/>
      </c>
      <c r="O1163" t="str">
        <f>IF(DONNEES!$E1163="","",DONNEES!P1163)</f>
        <v/>
      </c>
      <c r="P1163" t="str">
        <f>IF(DONNEES!$E1163="","",DONNEES!Q1163)</f>
        <v/>
      </c>
      <c r="Q1163" t="str">
        <f>IF(DONNEES!$E1163="","",DONNEES!R1163)</f>
        <v/>
      </c>
      <c r="R1163" t="str">
        <f>IF(DONNEES!$E1163="","",DONNEES!S1163)</f>
        <v/>
      </c>
      <c r="S1163" t="str">
        <f>IF(DONNEES!$E1163="","",DONNEES!T1163)</f>
        <v/>
      </c>
      <c r="T1163" t="str">
        <f>IF(DONNEES!$E1163="","",DONNEES!U1163)</f>
        <v/>
      </c>
      <c r="U1163" t="str">
        <f>IF(DONNEES!$E1163="","",DONNEES!V1163)</f>
        <v/>
      </c>
      <c r="V1163" t="str">
        <f>IF(DONNEES!$E1163="","",DONNEES!W1163)</f>
        <v/>
      </c>
      <c r="W1163" t="str">
        <f>IF(DONNEES!$E1163="","",DONNEES!X1163)</f>
        <v/>
      </c>
      <c r="X1163" t="str">
        <f>IF(DONNEES!$E1163="","",DONNEES!Y1163)</f>
        <v/>
      </c>
      <c r="Y1163" t="str">
        <f>IF(DONNEES!$E1163="","",DONNEES!Z1163)</f>
        <v/>
      </c>
      <c r="Z1163" t="str">
        <f>IF(DONNEES!$E1163="","",DONNEES!AQ1163)</f>
        <v/>
      </c>
    </row>
    <row r="1164" spans="1:26" ht="15" customHeight="1" x14ac:dyDescent="0.3">
      <c r="A1164" t="str">
        <f>IF(DONNEES!$E1164="","",DONNEES!A1164)</f>
        <v/>
      </c>
      <c r="B1164" t="str">
        <f>IF(DONNEES!$E1164="","",DONNEES!B1164)</f>
        <v/>
      </c>
      <c r="C1164" t="str">
        <f>IF(DONNEES!$E1164="","",DONNEES!C1164)</f>
        <v/>
      </c>
      <c r="D1164" t="str">
        <f>IF(DONNEES!$E1164="","",DONNEES!E1164)</f>
        <v/>
      </c>
      <c r="E1164" t="str">
        <f>IF(DONNEES!$E1164="","",DONNEES!F1164)</f>
        <v/>
      </c>
      <c r="F1164" t="str">
        <f>IF(DONNEES!$E1164="","",DONNEES!G1164)</f>
        <v/>
      </c>
      <c r="G1164" t="str">
        <f>IF(DONNEES!$E1164="","",DONNEES!H1164)</f>
        <v/>
      </c>
      <c r="H1164" t="str">
        <f>IF(DONNEES!$E1164="","",DONNEES!I1164)</f>
        <v/>
      </c>
      <c r="I1164" t="str">
        <f>IF(DONNEES!$E1164="","",DONNEES!J1164)</f>
        <v/>
      </c>
      <c r="J1164" t="str">
        <f>IF(DONNEES!$E1164="","",DONNEES!K1164)</f>
        <v/>
      </c>
      <c r="K1164" t="str">
        <f>IF(DONNEES!$E1164="","",DONNEES!L1164)</f>
        <v/>
      </c>
      <c r="L1164" t="str">
        <f>IF(DONNEES!$E1164="","",DONNEES!M1164)</f>
        <v/>
      </c>
      <c r="M1164" t="str">
        <f>IF(DONNEES!$E1164="","",DONNEES!N1164)</f>
        <v/>
      </c>
      <c r="N1164" t="str">
        <f>IF(DONNEES!$E1164="","",DONNEES!O1164)</f>
        <v/>
      </c>
      <c r="O1164" t="str">
        <f>IF(DONNEES!$E1164="","",DONNEES!P1164)</f>
        <v/>
      </c>
      <c r="P1164" t="str">
        <f>IF(DONNEES!$E1164="","",DONNEES!Q1164)</f>
        <v/>
      </c>
      <c r="Q1164" t="str">
        <f>IF(DONNEES!$E1164="","",DONNEES!R1164)</f>
        <v/>
      </c>
      <c r="R1164" t="str">
        <f>IF(DONNEES!$E1164="","",DONNEES!S1164)</f>
        <v/>
      </c>
      <c r="S1164" t="str">
        <f>IF(DONNEES!$E1164="","",DONNEES!T1164)</f>
        <v/>
      </c>
      <c r="T1164" t="str">
        <f>IF(DONNEES!$E1164="","",DONNEES!U1164)</f>
        <v/>
      </c>
      <c r="U1164" t="str">
        <f>IF(DONNEES!$E1164="","",DONNEES!V1164)</f>
        <v/>
      </c>
      <c r="V1164" t="str">
        <f>IF(DONNEES!$E1164="","",DONNEES!W1164)</f>
        <v/>
      </c>
      <c r="W1164" t="str">
        <f>IF(DONNEES!$E1164="","",DONNEES!X1164)</f>
        <v/>
      </c>
      <c r="X1164" t="str">
        <f>IF(DONNEES!$E1164="","",DONNEES!Y1164)</f>
        <v/>
      </c>
      <c r="Y1164" t="str">
        <f>IF(DONNEES!$E1164="","",DONNEES!Z1164)</f>
        <v/>
      </c>
      <c r="Z1164" t="str">
        <f>IF(DONNEES!$E1164="","",DONNEES!AQ1164)</f>
        <v/>
      </c>
    </row>
    <row r="1165" spans="1:26" ht="15" customHeight="1" x14ac:dyDescent="0.3">
      <c r="A1165" t="str">
        <f>IF(DONNEES!$E1165="","",DONNEES!A1165)</f>
        <v/>
      </c>
      <c r="B1165" t="str">
        <f>IF(DONNEES!$E1165="","",DONNEES!B1165)</f>
        <v/>
      </c>
      <c r="C1165" t="str">
        <f>IF(DONNEES!$E1165="","",DONNEES!C1165)</f>
        <v/>
      </c>
      <c r="D1165" t="str">
        <f>IF(DONNEES!$E1165="","",DONNEES!E1165)</f>
        <v/>
      </c>
      <c r="E1165" t="str">
        <f>IF(DONNEES!$E1165="","",DONNEES!F1165)</f>
        <v/>
      </c>
      <c r="F1165" t="str">
        <f>IF(DONNEES!$E1165="","",DONNEES!G1165)</f>
        <v/>
      </c>
      <c r="G1165" t="str">
        <f>IF(DONNEES!$E1165="","",DONNEES!H1165)</f>
        <v/>
      </c>
      <c r="H1165" t="str">
        <f>IF(DONNEES!$E1165="","",DONNEES!I1165)</f>
        <v/>
      </c>
      <c r="I1165" t="str">
        <f>IF(DONNEES!$E1165="","",DONNEES!J1165)</f>
        <v/>
      </c>
      <c r="J1165" t="str">
        <f>IF(DONNEES!$E1165="","",DONNEES!K1165)</f>
        <v/>
      </c>
      <c r="K1165" t="str">
        <f>IF(DONNEES!$E1165="","",DONNEES!L1165)</f>
        <v/>
      </c>
      <c r="L1165" t="str">
        <f>IF(DONNEES!$E1165="","",DONNEES!M1165)</f>
        <v/>
      </c>
      <c r="M1165" t="str">
        <f>IF(DONNEES!$E1165="","",DONNEES!N1165)</f>
        <v/>
      </c>
      <c r="N1165" t="str">
        <f>IF(DONNEES!$E1165="","",DONNEES!O1165)</f>
        <v/>
      </c>
      <c r="O1165" t="str">
        <f>IF(DONNEES!$E1165="","",DONNEES!P1165)</f>
        <v/>
      </c>
      <c r="P1165" t="str">
        <f>IF(DONNEES!$E1165="","",DONNEES!Q1165)</f>
        <v/>
      </c>
      <c r="Q1165" t="str">
        <f>IF(DONNEES!$E1165="","",DONNEES!R1165)</f>
        <v/>
      </c>
      <c r="R1165" t="str">
        <f>IF(DONNEES!$E1165="","",DONNEES!S1165)</f>
        <v/>
      </c>
      <c r="S1165" t="str">
        <f>IF(DONNEES!$E1165="","",DONNEES!T1165)</f>
        <v/>
      </c>
      <c r="T1165" t="str">
        <f>IF(DONNEES!$E1165="","",DONNEES!U1165)</f>
        <v/>
      </c>
      <c r="U1165" t="str">
        <f>IF(DONNEES!$E1165="","",DONNEES!V1165)</f>
        <v/>
      </c>
      <c r="V1165" t="str">
        <f>IF(DONNEES!$E1165="","",DONNEES!W1165)</f>
        <v/>
      </c>
      <c r="W1165" t="str">
        <f>IF(DONNEES!$E1165="","",DONNEES!X1165)</f>
        <v/>
      </c>
      <c r="X1165" t="str">
        <f>IF(DONNEES!$E1165="","",DONNEES!Y1165)</f>
        <v/>
      </c>
      <c r="Y1165" t="str">
        <f>IF(DONNEES!$E1165="","",DONNEES!Z1165)</f>
        <v/>
      </c>
      <c r="Z1165" t="str">
        <f>IF(DONNEES!$E1165="","",DONNEES!AQ1165)</f>
        <v/>
      </c>
    </row>
    <row r="1166" spans="1:26" ht="15" customHeight="1" x14ac:dyDescent="0.3">
      <c r="A1166" t="str">
        <f>IF(DONNEES!$E1166="","",DONNEES!A1166)</f>
        <v/>
      </c>
      <c r="B1166" t="str">
        <f>IF(DONNEES!$E1166="","",DONNEES!B1166)</f>
        <v/>
      </c>
      <c r="C1166" t="str">
        <f>IF(DONNEES!$E1166="","",DONNEES!C1166)</f>
        <v/>
      </c>
      <c r="D1166" t="str">
        <f>IF(DONNEES!$E1166="","",DONNEES!E1166)</f>
        <v/>
      </c>
      <c r="E1166" t="str">
        <f>IF(DONNEES!$E1166="","",DONNEES!F1166)</f>
        <v/>
      </c>
      <c r="F1166" t="str">
        <f>IF(DONNEES!$E1166="","",DONNEES!G1166)</f>
        <v/>
      </c>
      <c r="G1166" t="str">
        <f>IF(DONNEES!$E1166="","",DONNEES!H1166)</f>
        <v/>
      </c>
      <c r="H1166" t="str">
        <f>IF(DONNEES!$E1166="","",DONNEES!I1166)</f>
        <v/>
      </c>
      <c r="I1166" t="str">
        <f>IF(DONNEES!$E1166="","",DONNEES!J1166)</f>
        <v/>
      </c>
      <c r="J1166" t="str">
        <f>IF(DONNEES!$E1166="","",DONNEES!K1166)</f>
        <v/>
      </c>
      <c r="K1166" t="str">
        <f>IF(DONNEES!$E1166="","",DONNEES!L1166)</f>
        <v/>
      </c>
      <c r="L1166" t="str">
        <f>IF(DONNEES!$E1166="","",DONNEES!M1166)</f>
        <v/>
      </c>
      <c r="M1166" t="str">
        <f>IF(DONNEES!$E1166="","",DONNEES!N1166)</f>
        <v/>
      </c>
      <c r="N1166" t="str">
        <f>IF(DONNEES!$E1166="","",DONNEES!O1166)</f>
        <v/>
      </c>
      <c r="O1166" t="str">
        <f>IF(DONNEES!$E1166="","",DONNEES!P1166)</f>
        <v/>
      </c>
      <c r="P1166" t="str">
        <f>IF(DONNEES!$E1166="","",DONNEES!Q1166)</f>
        <v/>
      </c>
      <c r="Q1166" t="str">
        <f>IF(DONNEES!$E1166="","",DONNEES!R1166)</f>
        <v/>
      </c>
      <c r="R1166" t="str">
        <f>IF(DONNEES!$E1166="","",DONNEES!S1166)</f>
        <v/>
      </c>
      <c r="S1166" t="str">
        <f>IF(DONNEES!$E1166="","",DONNEES!T1166)</f>
        <v/>
      </c>
      <c r="T1166" t="str">
        <f>IF(DONNEES!$E1166="","",DONNEES!U1166)</f>
        <v/>
      </c>
      <c r="U1166" t="str">
        <f>IF(DONNEES!$E1166="","",DONNEES!V1166)</f>
        <v/>
      </c>
      <c r="V1166" t="str">
        <f>IF(DONNEES!$E1166="","",DONNEES!W1166)</f>
        <v/>
      </c>
      <c r="W1166" t="str">
        <f>IF(DONNEES!$E1166="","",DONNEES!X1166)</f>
        <v/>
      </c>
      <c r="X1166" t="str">
        <f>IF(DONNEES!$E1166="","",DONNEES!Y1166)</f>
        <v/>
      </c>
      <c r="Y1166" t="str">
        <f>IF(DONNEES!$E1166="","",DONNEES!Z1166)</f>
        <v/>
      </c>
      <c r="Z1166" t="str">
        <f>IF(DONNEES!$E1166="","",DONNEES!AQ1166)</f>
        <v/>
      </c>
    </row>
    <row r="1167" spans="1:26" ht="15" customHeight="1" x14ac:dyDescent="0.3">
      <c r="A1167" t="str">
        <f>IF(DONNEES!$E1167="","",DONNEES!A1167)</f>
        <v/>
      </c>
      <c r="B1167" t="str">
        <f>IF(DONNEES!$E1167="","",DONNEES!B1167)</f>
        <v/>
      </c>
      <c r="C1167" t="str">
        <f>IF(DONNEES!$E1167="","",DONNEES!C1167)</f>
        <v/>
      </c>
      <c r="D1167" t="str">
        <f>IF(DONNEES!$E1167="","",DONNEES!E1167)</f>
        <v/>
      </c>
      <c r="E1167" t="str">
        <f>IF(DONNEES!$E1167="","",DONNEES!F1167)</f>
        <v/>
      </c>
      <c r="F1167" t="str">
        <f>IF(DONNEES!$E1167="","",DONNEES!G1167)</f>
        <v/>
      </c>
      <c r="G1167" t="str">
        <f>IF(DONNEES!$E1167="","",DONNEES!H1167)</f>
        <v/>
      </c>
      <c r="H1167" t="str">
        <f>IF(DONNEES!$E1167="","",DONNEES!I1167)</f>
        <v/>
      </c>
      <c r="I1167" t="str">
        <f>IF(DONNEES!$E1167="","",DONNEES!J1167)</f>
        <v/>
      </c>
      <c r="J1167" t="str">
        <f>IF(DONNEES!$E1167="","",DONNEES!K1167)</f>
        <v/>
      </c>
      <c r="K1167" t="str">
        <f>IF(DONNEES!$E1167="","",DONNEES!L1167)</f>
        <v/>
      </c>
      <c r="L1167" t="str">
        <f>IF(DONNEES!$E1167="","",DONNEES!M1167)</f>
        <v/>
      </c>
      <c r="M1167" t="str">
        <f>IF(DONNEES!$E1167="","",DONNEES!N1167)</f>
        <v/>
      </c>
      <c r="N1167" t="str">
        <f>IF(DONNEES!$E1167="","",DONNEES!O1167)</f>
        <v/>
      </c>
      <c r="O1167" t="str">
        <f>IF(DONNEES!$E1167="","",DONNEES!P1167)</f>
        <v/>
      </c>
      <c r="P1167" t="str">
        <f>IF(DONNEES!$E1167="","",DONNEES!Q1167)</f>
        <v/>
      </c>
      <c r="Q1167" t="str">
        <f>IF(DONNEES!$E1167="","",DONNEES!R1167)</f>
        <v/>
      </c>
      <c r="R1167" t="str">
        <f>IF(DONNEES!$E1167="","",DONNEES!S1167)</f>
        <v/>
      </c>
      <c r="S1167" t="str">
        <f>IF(DONNEES!$E1167="","",DONNEES!T1167)</f>
        <v/>
      </c>
      <c r="T1167" t="str">
        <f>IF(DONNEES!$E1167="","",DONNEES!U1167)</f>
        <v/>
      </c>
      <c r="U1167" t="str">
        <f>IF(DONNEES!$E1167="","",DONNEES!V1167)</f>
        <v/>
      </c>
      <c r="V1167" t="str">
        <f>IF(DONNEES!$E1167="","",DONNEES!W1167)</f>
        <v/>
      </c>
      <c r="W1167" t="str">
        <f>IF(DONNEES!$E1167="","",DONNEES!X1167)</f>
        <v/>
      </c>
      <c r="X1167" t="str">
        <f>IF(DONNEES!$E1167="","",DONNEES!Y1167)</f>
        <v/>
      </c>
      <c r="Y1167" t="str">
        <f>IF(DONNEES!$E1167="","",DONNEES!Z1167)</f>
        <v/>
      </c>
      <c r="Z1167" t="str">
        <f>IF(DONNEES!$E1167="","",DONNEES!AQ1167)</f>
        <v/>
      </c>
    </row>
    <row r="1168" spans="1:26" ht="15" customHeight="1" x14ac:dyDescent="0.3">
      <c r="A1168" t="str">
        <f>IF(DONNEES!$E1168="","",DONNEES!A1168)</f>
        <v/>
      </c>
      <c r="B1168" t="str">
        <f>IF(DONNEES!$E1168="","",DONNEES!B1168)</f>
        <v/>
      </c>
      <c r="C1168" t="str">
        <f>IF(DONNEES!$E1168="","",DONNEES!C1168)</f>
        <v/>
      </c>
      <c r="D1168" t="str">
        <f>IF(DONNEES!$E1168="","",DONNEES!E1168)</f>
        <v/>
      </c>
      <c r="E1168" t="str">
        <f>IF(DONNEES!$E1168="","",DONNEES!F1168)</f>
        <v/>
      </c>
      <c r="F1168" t="str">
        <f>IF(DONNEES!$E1168="","",DONNEES!G1168)</f>
        <v/>
      </c>
      <c r="G1168" t="str">
        <f>IF(DONNEES!$E1168="","",DONNEES!H1168)</f>
        <v/>
      </c>
      <c r="H1168" t="str">
        <f>IF(DONNEES!$E1168="","",DONNEES!I1168)</f>
        <v/>
      </c>
      <c r="I1168" t="str">
        <f>IF(DONNEES!$E1168="","",DONNEES!J1168)</f>
        <v/>
      </c>
      <c r="J1168" t="str">
        <f>IF(DONNEES!$E1168="","",DONNEES!K1168)</f>
        <v/>
      </c>
      <c r="K1168" t="str">
        <f>IF(DONNEES!$E1168="","",DONNEES!L1168)</f>
        <v/>
      </c>
      <c r="L1168" t="str">
        <f>IF(DONNEES!$E1168="","",DONNEES!M1168)</f>
        <v/>
      </c>
      <c r="M1168" t="str">
        <f>IF(DONNEES!$E1168="","",DONNEES!N1168)</f>
        <v/>
      </c>
      <c r="N1168" t="str">
        <f>IF(DONNEES!$E1168="","",DONNEES!O1168)</f>
        <v/>
      </c>
      <c r="O1168" t="str">
        <f>IF(DONNEES!$E1168="","",DONNEES!P1168)</f>
        <v/>
      </c>
      <c r="P1168" t="str">
        <f>IF(DONNEES!$E1168="","",DONNEES!Q1168)</f>
        <v/>
      </c>
      <c r="Q1168" t="str">
        <f>IF(DONNEES!$E1168="","",DONNEES!R1168)</f>
        <v/>
      </c>
      <c r="R1168" t="str">
        <f>IF(DONNEES!$E1168="","",DONNEES!S1168)</f>
        <v/>
      </c>
      <c r="S1168" t="str">
        <f>IF(DONNEES!$E1168="","",DONNEES!T1168)</f>
        <v/>
      </c>
      <c r="T1168" t="str">
        <f>IF(DONNEES!$E1168="","",DONNEES!U1168)</f>
        <v/>
      </c>
      <c r="U1168" t="str">
        <f>IF(DONNEES!$E1168="","",DONNEES!V1168)</f>
        <v/>
      </c>
      <c r="V1168" t="str">
        <f>IF(DONNEES!$E1168="","",DONNEES!W1168)</f>
        <v/>
      </c>
      <c r="W1168" t="str">
        <f>IF(DONNEES!$E1168="","",DONNEES!X1168)</f>
        <v/>
      </c>
      <c r="X1168" t="str">
        <f>IF(DONNEES!$E1168="","",DONNEES!Y1168)</f>
        <v/>
      </c>
      <c r="Y1168" t="str">
        <f>IF(DONNEES!$E1168="","",DONNEES!Z1168)</f>
        <v/>
      </c>
      <c r="Z1168" t="str">
        <f>IF(DONNEES!$E1168="","",DONNEES!AQ1168)</f>
        <v/>
      </c>
    </row>
    <row r="1169" spans="1:26" ht="15" customHeight="1" x14ac:dyDescent="0.3">
      <c r="A1169" t="str">
        <f>IF(DONNEES!$E1169="","",DONNEES!A1169)</f>
        <v/>
      </c>
      <c r="B1169" t="str">
        <f>IF(DONNEES!$E1169="","",DONNEES!B1169)</f>
        <v/>
      </c>
      <c r="C1169" t="str">
        <f>IF(DONNEES!$E1169="","",DONNEES!C1169)</f>
        <v/>
      </c>
      <c r="D1169" t="str">
        <f>IF(DONNEES!$E1169="","",DONNEES!E1169)</f>
        <v/>
      </c>
      <c r="E1169" t="str">
        <f>IF(DONNEES!$E1169="","",DONNEES!F1169)</f>
        <v/>
      </c>
      <c r="F1169" t="str">
        <f>IF(DONNEES!$E1169="","",DONNEES!G1169)</f>
        <v/>
      </c>
      <c r="G1169" t="str">
        <f>IF(DONNEES!$E1169="","",DONNEES!H1169)</f>
        <v/>
      </c>
      <c r="H1169" t="str">
        <f>IF(DONNEES!$E1169="","",DONNEES!I1169)</f>
        <v/>
      </c>
      <c r="I1169" t="str">
        <f>IF(DONNEES!$E1169="","",DONNEES!J1169)</f>
        <v/>
      </c>
      <c r="J1169" t="str">
        <f>IF(DONNEES!$E1169="","",DONNEES!K1169)</f>
        <v/>
      </c>
      <c r="K1169" t="str">
        <f>IF(DONNEES!$E1169="","",DONNEES!L1169)</f>
        <v/>
      </c>
      <c r="L1169" t="str">
        <f>IF(DONNEES!$E1169="","",DONNEES!M1169)</f>
        <v/>
      </c>
      <c r="M1169" t="str">
        <f>IF(DONNEES!$E1169="","",DONNEES!N1169)</f>
        <v/>
      </c>
      <c r="N1169" t="str">
        <f>IF(DONNEES!$E1169="","",DONNEES!O1169)</f>
        <v/>
      </c>
      <c r="O1169" t="str">
        <f>IF(DONNEES!$E1169="","",DONNEES!P1169)</f>
        <v/>
      </c>
      <c r="P1169" t="str">
        <f>IF(DONNEES!$E1169="","",DONNEES!Q1169)</f>
        <v/>
      </c>
      <c r="Q1169" t="str">
        <f>IF(DONNEES!$E1169="","",DONNEES!R1169)</f>
        <v/>
      </c>
      <c r="R1169" t="str">
        <f>IF(DONNEES!$E1169="","",DONNEES!S1169)</f>
        <v/>
      </c>
      <c r="S1169" t="str">
        <f>IF(DONNEES!$E1169="","",DONNEES!T1169)</f>
        <v/>
      </c>
      <c r="T1169" t="str">
        <f>IF(DONNEES!$E1169="","",DONNEES!U1169)</f>
        <v/>
      </c>
      <c r="U1169" t="str">
        <f>IF(DONNEES!$E1169="","",DONNEES!V1169)</f>
        <v/>
      </c>
      <c r="V1169" t="str">
        <f>IF(DONNEES!$E1169="","",DONNEES!W1169)</f>
        <v/>
      </c>
      <c r="W1169" t="str">
        <f>IF(DONNEES!$E1169="","",DONNEES!X1169)</f>
        <v/>
      </c>
      <c r="X1169" t="str">
        <f>IF(DONNEES!$E1169="","",DONNEES!Y1169)</f>
        <v/>
      </c>
      <c r="Y1169" t="str">
        <f>IF(DONNEES!$E1169="","",DONNEES!Z1169)</f>
        <v/>
      </c>
      <c r="Z1169" t="str">
        <f>IF(DONNEES!$E1169="","",DONNEES!AQ1169)</f>
        <v/>
      </c>
    </row>
    <row r="1170" spans="1:26" ht="15" customHeight="1" x14ac:dyDescent="0.3">
      <c r="A1170" t="str">
        <f>IF(DONNEES!$E1170="","",DONNEES!A1170)</f>
        <v/>
      </c>
      <c r="B1170" t="str">
        <f>IF(DONNEES!$E1170="","",DONNEES!B1170)</f>
        <v/>
      </c>
      <c r="C1170" t="str">
        <f>IF(DONNEES!$E1170="","",DONNEES!C1170)</f>
        <v/>
      </c>
      <c r="D1170" t="str">
        <f>IF(DONNEES!$E1170="","",DONNEES!E1170)</f>
        <v/>
      </c>
      <c r="E1170" t="str">
        <f>IF(DONNEES!$E1170="","",DONNEES!F1170)</f>
        <v/>
      </c>
      <c r="F1170" t="str">
        <f>IF(DONNEES!$E1170="","",DONNEES!G1170)</f>
        <v/>
      </c>
      <c r="G1170" t="str">
        <f>IF(DONNEES!$E1170="","",DONNEES!H1170)</f>
        <v/>
      </c>
      <c r="H1170" t="str">
        <f>IF(DONNEES!$E1170="","",DONNEES!I1170)</f>
        <v/>
      </c>
      <c r="I1170" t="str">
        <f>IF(DONNEES!$E1170="","",DONNEES!J1170)</f>
        <v/>
      </c>
      <c r="J1170" t="str">
        <f>IF(DONNEES!$E1170="","",DONNEES!K1170)</f>
        <v/>
      </c>
      <c r="K1170" t="str">
        <f>IF(DONNEES!$E1170="","",DONNEES!L1170)</f>
        <v/>
      </c>
      <c r="L1170" t="str">
        <f>IF(DONNEES!$E1170="","",DONNEES!M1170)</f>
        <v/>
      </c>
      <c r="M1170" t="str">
        <f>IF(DONNEES!$E1170="","",DONNEES!N1170)</f>
        <v/>
      </c>
      <c r="N1170" t="str">
        <f>IF(DONNEES!$E1170="","",DONNEES!O1170)</f>
        <v/>
      </c>
      <c r="O1170" t="str">
        <f>IF(DONNEES!$E1170="","",DONNEES!P1170)</f>
        <v/>
      </c>
      <c r="P1170" t="str">
        <f>IF(DONNEES!$E1170="","",DONNEES!Q1170)</f>
        <v/>
      </c>
      <c r="Q1170" t="str">
        <f>IF(DONNEES!$E1170="","",DONNEES!R1170)</f>
        <v/>
      </c>
      <c r="R1170" t="str">
        <f>IF(DONNEES!$E1170="","",DONNEES!S1170)</f>
        <v/>
      </c>
      <c r="S1170" t="str">
        <f>IF(DONNEES!$E1170="","",DONNEES!T1170)</f>
        <v/>
      </c>
      <c r="T1170" t="str">
        <f>IF(DONNEES!$E1170="","",DONNEES!U1170)</f>
        <v/>
      </c>
      <c r="U1170" t="str">
        <f>IF(DONNEES!$E1170="","",DONNEES!V1170)</f>
        <v/>
      </c>
      <c r="V1170" t="str">
        <f>IF(DONNEES!$E1170="","",DONNEES!W1170)</f>
        <v/>
      </c>
      <c r="W1170" t="str">
        <f>IF(DONNEES!$E1170="","",DONNEES!X1170)</f>
        <v/>
      </c>
      <c r="X1170" t="str">
        <f>IF(DONNEES!$E1170="","",DONNEES!Y1170)</f>
        <v/>
      </c>
      <c r="Y1170" t="str">
        <f>IF(DONNEES!$E1170="","",DONNEES!Z1170)</f>
        <v/>
      </c>
      <c r="Z1170" t="str">
        <f>IF(DONNEES!$E1170="","",DONNEES!AQ1170)</f>
        <v/>
      </c>
    </row>
    <row r="1171" spans="1:26" ht="15" customHeight="1" x14ac:dyDescent="0.3">
      <c r="A1171" t="str">
        <f>IF(DONNEES!$E1171="","",DONNEES!A1171)</f>
        <v/>
      </c>
      <c r="B1171" t="str">
        <f>IF(DONNEES!$E1171="","",DONNEES!B1171)</f>
        <v/>
      </c>
      <c r="C1171" t="str">
        <f>IF(DONNEES!$E1171="","",DONNEES!C1171)</f>
        <v/>
      </c>
      <c r="D1171" t="str">
        <f>IF(DONNEES!$E1171="","",DONNEES!E1171)</f>
        <v/>
      </c>
      <c r="E1171" t="str">
        <f>IF(DONNEES!$E1171="","",DONNEES!F1171)</f>
        <v/>
      </c>
      <c r="F1171" t="str">
        <f>IF(DONNEES!$E1171="","",DONNEES!G1171)</f>
        <v/>
      </c>
      <c r="G1171" t="str">
        <f>IF(DONNEES!$E1171="","",DONNEES!H1171)</f>
        <v/>
      </c>
      <c r="H1171" t="str">
        <f>IF(DONNEES!$E1171="","",DONNEES!I1171)</f>
        <v/>
      </c>
      <c r="I1171" t="str">
        <f>IF(DONNEES!$E1171="","",DONNEES!J1171)</f>
        <v/>
      </c>
      <c r="J1171" t="str">
        <f>IF(DONNEES!$E1171="","",DONNEES!K1171)</f>
        <v/>
      </c>
      <c r="K1171" t="str">
        <f>IF(DONNEES!$E1171="","",DONNEES!L1171)</f>
        <v/>
      </c>
      <c r="L1171" t="str">
        <f>IF(DONNEES!$E1171="","",DONNEES!M1171)</f>
        <v/>
      </c>
      <c r="M1171" t="str">
        <f>IF(DONNEES!$E1171="","",DONNEES!N1171)</f>
        <v/>
      </c>
      <c r="N1171" t="str">
        <f>IF(DONNEES!$E1171="","",DONNEES!O1171)</f>
        <v/>
      </c>
      <c r="O1171" t="str">
        <f>IF(DONNEES!$E1171="","",DONNEES!P1171)</f>
        <v/>
      </c>
      <c r="P1171" t="str">
        <f>IF(DONNEES!$E1171="","",DONNEES!Q1171)</f>
        <v/>
      </c>
      <c r="Q1171" t="str">
        <f>IF(DONNEES!$E1171="","",DONNEES!R1171)</f>
        <v/>
      </c>
      <c r="R1171" t="str">
        <f>IF(DONNEES!$E1171="","",DONNEES!S1171)</f>
        <v/>
      </c>
      <c r="S1171" t="str">
        <f>IF(DONNEES!$E1171="","",DONNEES!T1171)</f>
        <v/>
      </c>
      <c r="T1171" t="str">
        <f>IF(DONNEES!$E1171="","",DONNEES!U1171)</f>
        <v/>
      </c>
      <c r="U1171" t="str">
        <f>IF(DONNEES!$E1171="","",DONNEES!V1171)</f>
        <v/>
      </c>
      <c r="V1171" t="str">
        <f>IF(DONNEES!$E1171="","",DONNEES!W1171)</f>
        <v/>
      </c>
      <c r="W1171" t="str">
        <f>IF(DONNEES!$E1171="","",DONNEES!X1171)</f>
        <v/>
      </c>
      <c r="X1171" t="str">
        <f>IF(DONNEES!$E1171="","",DONNEES!Y1171)</f>
        <v/>
      </c>
      <c r="Y1171" t="str">
        <f>IF(DONNEES!$E1171="","",DONNEES!Z1171)</f>
        <v/>
      </c>
      <c r="Z1171" t="str">
        <f>IF(DONNEES!$E1171="","",DONNEES!AQ1171)</f>
        <v/>
      </c>
    </row>
    <row r="1172" spans="1:26" ht="15" customHeight="1" x14ac:dyDescent="0.3">
      <c r="A1172" t="str">
        <f>IF(DONNEES!$E1172="","",DONNEES!A1172)</f>
        <v/>
      </c>
      <c r="B1172" t="str">
        <f>IF(DONNEES!$E1172="","",DONNEES!B1172)</f>
        <v/>
      </c>
      <c r="C1172" t="str">
        <f>IF(DONNEES!$E1172="","",DONNEES!C1172)</f>
        <v/>
      </c>
      <c r="D1172" t="str">
        <f>IF(DONNEES!$E1172="","",DONNEES!E1172)</f>
        <v/>
      </c>
      <c r="E1172" t="str">
        <f>IF(DONNEES!$E1172="","",DONNEES!F1172)</f>
        <v/>
      </c>
      <c r="F1172" t="str">
        <f>IF(DONNEES!$E1172="","",DONNEES!G1172)</f>
        <v/>
      </c>
      <c r="G1172" t="str">
        <f>IF(DONNEES!$E1172="","",DONNEES!H1172)</f>
        <v/>
      </c>
      <c r="H1172" t="str">
        <f>IF(DONNEES!$E1172="","",DONNEES!I1172)</f>
        <v/>
      </c>
      <c r="I1172" t="str">
        <f>IF(DONNEES!$E1172="","",DONNEES!J1172)</f>
        <v/>
      </c>
      <c r="J1172" t="str">
        <f>IF(DONNEES!$E1172="","",DONNEES!K1172)</f>
        <v/>
      </c>
      <c r="K1172" t="str">
        <f>IF(DONNEES!$E1172="","",DONNEES!L1172)</f>
        <v/>
      </c>
      <c r="L1172" t="str">
        <f>IF(DONNEES!$E1172="","",DONNEES!M1172)</f>
        <v/>
      </c>
      <c r="M1172" t="str">
        <f>IF(DONNEES!$E1172="","",DONNEES!N1172)</f>
        <v/>
      </c>
      <c r="N1172" t="str">
        <f>IF(DONNEES!$E1172="","",DONNEES!O1172)</f>
        <v/>
      </c>
      <c r="O1172" t="str">
        <f>IF(DONNEES!$E1172="","",DONNEES!P1172)</f>
        <v/>
      </c>
      <c r="P1172" t="str">
        <f>IF(DONNEES!$E1172="","",DONNEES!Q1172)</f>
        <v/>
      </c>
      <c r="Q1172" t="str">
        <f>IF(DONNEES!$E1172="","",DONNEES!R1172)</f>
        <v/>
      </c>
      <c r="R1172" t="str">
        <f>IF(DONNEES!$E1172="","",DONNEES!S1172)</f>
        <v/>
      </c>
      <c r="S1172" t="str">
        <f>IF(DONNEES!$E1172="","",DONNEES!T1172)</f>
        <v/>
      </c>
      <c r="T1172" t="str">
        <f>IF(DONNEES!$E1172="","",DONNEES!U1172)</f>
        <v/>
      </c>
      <c r="U1172" t="str">
        <f>IF(DONNEES!$E1172="","",DONNEES!V1172)</f>
        <v/>
      </c>
      <c r="V1172" t="str">
        <f>IF(DONNEES!$E1172="","",DONNEES!W1172)</f>
        <v/>
      </c>
      <c r="W1172" t="str">
        <f>IF(DONNEES!$E1172="","",DONNEES!X1172)</f>
        <v/>
      </c>
      <c r="X1172" t="str">
        <f>IF(DONNEES!$E1172="","",DONNEES!Y1172)</f>
        <v/>
      </c>
      <c r="Y1172" t="str">
        <f>IF(DONNEES!$E1172="","",DONNEES!Z1172)</f>
        <v/>
      </c>
      <c r="Z1172" t="str">
        <f>IF(DONNEES!$E1172="","",DONNEES!AQ1172)</f>
        <v/>
      </c>
    </row>
    <row r="1173" spans="1:26" ht="15" customHeight="1" x14ac:dyDescent="0.3">
      <c r="A1173" t="str">
        <f>IF(DONNEES!$E1173="","",DONNEES!A1173)</f>
        <v/>
      </c>
      <c r="B1173" t="str">
        <f>IF(DONNEES!$E1173="","",DONNEES!B1173)</f>
        <v/>
      </c>
      <c r="C1173" t="str">
        <f>IF(DONNEES!$E1173="","",DONNEES!C1173)</f>
        <v/>
      </c>
      <c r="D1173" t="str">
        <f>IF(DONNEES!$E1173="","",DONNEES!E1173)</f>
        <v/>
      </c>
      <c r="E1173" t="str">
        <f>IF(DONNEES!$E1173="","",DONNEES!F1173)</f>
        <v/>
      </c>
      <c r="F1173" t="str">
        <f>IF(DONNEES!$E1173="","",DONNEES!G1173)</f>
        <v/>
      </c>
      <c r="G1173" t="str">
        <f>IF(DONNEES!$E1173="","",DONNEES!H1173)</f>
        <v/>
      </c>
      <c r="H1173" t="str">
        <f>IF(DONNEES!$E1173="","",DONNEES!I1173)</f>
        <v/>
      </c>
      <c r="I1173" t="str">
        <f>IF(DONNEES!$E1173="","",DONNEES!J1173)</f>
        <v/>
      </c>
      <c r="J1173" t="str">
        <f>IF(DONNEES!$E1173="","",DONNEES!K1173)</f>
        <v/>
      </c>
      <c r="K1173" t="str">
        <f>IF(DONNEES!$E1173="","",DONNEES!L1173)</f>
        <v/>
      </c>
      <c r="L1173" t="str">
        <f>IF(DONNEES!$E1173="","",DONNEES!M1173)</f>
        <v/>
      </c>
      <c r="M1173" t="str">
        <f>IF(DONNEES!$E1173="","",DONNEES!N1173)</f>
        <v/>
      </c>
      <c r="N1173" t="str">
        <f>IF(DONNEES!$E1173="","",DONNEES!O1173)</f>
        <v/>
      </c>
      <c r="O1173" t="str">
        <f>IF(DONNEES!$E1173="","",DONNEES!P1173)</f>
        <v/>
      </c>
      <c r="P1173" t="str">
        <f>IF(DONNEES!$E1173="","",DONNEES!Q1173)</f>
        <v/>
      </c>
      <c r="Q1173" t="str">
        <f>IF(DONNEES!$E1173="","",DONNEES!R1173)</f>
        <v/>
      </c>
      <c r="R1173" t="str">
        <f>IF(DONNEES!$E1173="","",DONNEES!S1173)</f>
        <v/>
      </c>
      <c r="S1173" t="str">
        <f>IF(DONNEES!$E1173="","",DONNEES!T1173)</f>
        <v/>
      </c>
      <c r="T1173" t="str">
        <f>IF(DONNEES!$E1173="","",DONNEES!U1173)</f>
        <v/>
      </c>
      <c r="U1173" t="str">
        <f>IF(DONNEES!$E1173="","",DONNEES!V1173)</f>
        <v/>
      </c>
      <c r="V1173" t="str">
        <f>IF(DONNEES!$E1173="","",DONNEES!W1173)</f>
        <v/>
      </c>
      <c r="W1173" t="str">
        <f>IF(DONNEES!$E1173="","",DONNEES!X1173)</f>
        <v/>
      </c>
      <c r="X1173" t="str">
        <f>IF(DONNEES!$E1173="","",DONNEES!Y1173)</f>
        <v/>
      </c>
      <c r="Y1173" t="str">
        <f>IF(DONNEES!$E1173="","",DONNEES!Z1173)</f>
        <v/>
      </c>
      <c r="Z1173" t="str">
        <f>IF(DONNEES!$E1173="","",DONNEES!AQ1173)</f>
        <v/>
      </c>
    </row>
    <row r="1174" spans="1:26" ht="15" customHeight="1" x14ac:dyDescent="0.3">
      <c r="A1174" t="str">
        <f>IF(DONNEES!$E1174="","",DONNEES!A1174)</f>
        <v/>
      </c>
      <c r="B1174" t="str">
        <f>IF(DONNEES!$E1174="","",DONNEES!B1174)</f>
        <v/>
      </c>
      <c r="C1174" t="str">
        <f>IF(DONNEES!$E1174="","",DONNEES!C1174)</f>
        <v/>
      </c>
      <c r="D1174" t="str">
        <f>IF(DONNEES!$E1174="","",DONNEES!E1174)</f>
        <v/>
      </c>
      <c r="E1174" t="str">
        <f>IF(DONNEES!$E1174="","",DONNEES!F1174)</f>
        <v/>
      </c>
      <c r="F1174" t="str">
        <f>IF(DONNEES!$E1174="","",DONNEES!G1174)</f>
        <v/>
      </c>
      <c r="G1174" t="str">
        <f>IF(DONNEES!$E1174="","",DONNEES!H1174)</f>
        <v/>
      </c>
      <c r="H1174" t="str">
        <f>IF(DONNEES!$E1174="","",DONNEES!I1174)</f>
        <v/>
      </c>
      <c r="I1174" t="str">
        <f>IF(DONNEES!$E1174="","",DONNEES!J1174)</f>
        <v/>
      </c>
      <c r="J1174" t="str">
        <f>IF(DONNEES!$E1174="","",DONNEES!K1174)</f>
        <v/>
      </c>
      <c r="K1174" t="str">
        <f>IF(DONNEES!$E1174="","",DONNEES!L1174)</f>
        <v/>
      </c>
      <c r="L1174" t="str">
        <f>IF(DONNEES!$E1174="","",DONNEES!M1174)</f>
        <v/>
      </c>
      <c r="M1174" t="str">
        <f>IF(DONNEES!$E1174="","",DONNEES!N1174)</f>
        <v/>
      </c>
      <c r="N1174" t="str">
        <f>IF(DONNEES!$E1174="","",DONNEES!O1174)</f>
        <v/>
      </c>
      <c r="O1174" t="str">
        <f>IF(DONNEES!$E1174="","",DONNEES!P1174)</f>
        <v/>
      </c>
      <c r="P1174" t="str">
        <f>IF(DONNEES!$E1174="","",DONNEES!Q1174)</f>
        <v/>
      </c>
      <c r="Q1174" t="str">
        <f>IF(DONNEES!$E1174="","",DONNEES!R1174)</f>
        <v/>
      </c>
      <c r="R1174" t="str">
        <f>IF(DONNEES!$E1174="","",DONNEES!S1174)</f>
        <v/>
      </c>
      <c r="S1174" t="str">
        <f>IF(DONNEES!$E1174="","",DONNEES!T1174)</f>
        <v/>
      </c>
      <c r="T1174" t="str">
        <f>IF(DONNEES!$E1174="","",DONNEES!U1174)</f>
        <v/>
      </c>
      <c r="U1174" t="str">
        <f>IF(DONNEES!$E1174="","",DONNEES!V1174)</f>
        <v/>
      </c>
      <c r="V1174" t="str">
        <f>IF(DONNEES!$E1174="","",DONNEES!W1174)</f>
        <v/>
      </c>
      <c r="W1174" t="str">
        <f>IF(DONNEES!$E1174="","",DONNEES!X1174)</f>
        <v/>
      </c>
      <c r="X1174" t="str">
        <f>IF(DONNEES!$E1174="","",DONNEES!Y1174)</f>
        <v/>
      </c>
      <c r="Y1174" t="str">
        <f>IF(DONNEES!$E1174="","",DONNEES!Z1174)</f>
        <v/>
      </c>
      <c r="Z1174" t="str">
        <f>IF(DONNEES!$E1174="","",DONNEES!AQ1174)</f>
        <v/>
      </c>
    </row>
    <row r="1175" spans="1:26" ht="15" customHeight="1" x14ac:dyDescent="0.3">
      <c r="A1175" t="str">
        <f>IF(DONNEES!$E1175="","",DONNEES!A1175)</f>
        <v/>
      </c>
      <c r="B1175" t="str">
        <f>IF(DONNEES!$E1175="","",DONNEES!B1175)</f>
        <v/>
      </c>
      <c r="C1175" t="str">
        <f>IF(DONNEES!$E1175="","",DONNEES!C1175)</f>
        <v/>
      </c>
      <c r="D1175" t="str">
        <f>IF(DONNEES!$E1175="","",DONNEES!E1175)</f>
        <v/>
      </c>
      <c r="E1175" t="str">
        <f>IF(DONNEES!$E1175="","",DONNEES!F1175)</f>
        <v/>
      </c>
      <c r="F1175" t="str">
        <f>IF(DONNEES!$E1175="","",DONNEES!G1175)</f>
        <v/>
      </c>
      <c r="G1175" t="str">
        <f>IF(DONNEES!$E1175="","",DONNEES!H1175)</f>
        <v/>
      </c>
      <c r="H1175" t="str">
        <f>IF(DONNEES!$E1175="","",DONNEES!I1175)</f>
        <v/>
      </c>
      <c r="I1175" t="str">
        <f>IF(DONNEES!$E1175="","",DONNEES!J1175)</f>
        <v/>
      </c>
      <c r="J1175" t="str">
        <f>IF(DONNEES!$E1175="","",DONNEES!K1175)</f>
        <v/>
      </c>
      <c r="K1175" t="str">
        <f>IF(DONNEES!$E1175="","",DONNEES!L1175)</f>
        <v/>
      </c>
      <c r="L1175" t="str">
        <f>IF(DONNEES!$E1175="","",DONNEES!M1175)</f>
        <v/>
      </c>
      <c r="M1175" t="str">
        <f>IF(DONNEES!$E1175="","",DONNEES!N1175)</f>
        <v/>
      </c>
      <c r="N1175" t="str">
        <f>IF(DONNEES!$E1175="","",DONNEES!O1175)</f>
        <v/>
      </c>
      <c r="O1175" t="str">
        <f>IF(DONNEES!$E1175="","",DONNEES!P1175)</f>
        <v/>
      </c>
      <c r="P1175" t="str">
        <f>IF(DONNEES!$E1175="","",DONNEES!Q1175)</f>
        <v/>
      </c>
      <c r="Q1175" t="str">
        <f>IF(DONNEES!$E1175="","",DONNEES!R1175)</f>
        <v/>
      </c>
      <c r="R1175" t="str">
        <f>IF(DONNEES!$E1175="","",DONNEES!S1175)</f>
        <v/>
      </c>
      <c r="S1175" t="str">
        <f>IF(DONNEES!$E1175="","",DONNEES!T1175)</f>
        <v/>
      </c>
      <c r="T1175" t="str">
        <f>IF(DONNEES!$E1175="","",DONNEES!U1175)</f>
        <v/>
      </c>
      <c r="U1175" t="str">
        <f>IF(DONNEES!$E1175="","",DONNEES!V1175)</f>
        <v/>
      </c>
      <c r="V1175" t="str">
        <f>IF(DONNEES!$E1175="","",DONNEES!W1175)</f>
        <v/>
      </c>
      <c r="W1175" t="str">
        <f>IF(DONNEES!$E1175="","",DONNEES!X1175)</f>
        <v/>
      </c>
      <c r="X1175" t="str">
        <f>IF(DONNEES!$E1175="","",DONNEES!Y1175)</f>
        <v/>
      </c>
      <c r="Y1175" t="str">
        <f>IF(DONNEES!$E1175="","",DONNEES!Z1175)</f>
        <v/>
      </c>
      <c r="Z1175" t="str">
        <f>IF(DONNEES!$E1175="","",DONNEES!AQ1175)</f>
        <v/>
      </c>
    </row>
    <row r="1176" spans="1:26" ht="15" customHeight="1" x14ac:dyDescent="0.3">
      <c r="A1176" t="str">
        <f>IF(DONNEES!$E1176="","",DONNEES!A1176)</f>
        <v/>
      </c>
      <c r="B1176" t="str">
        <f>IF(DONNEES!$E1176="","",DONNEES!B1176)</f>
        <v/>
      </c>
      <c r="C1176" t="str">
        <f>IF(DONNEES!$E1176="","",DONNEES!C1176)</f>
        <v/>
      </c>
      <c r="D1176" t="str">
        <f>IF(DONNEES!$E1176="","",DONNEES!E1176)</f>
        <v/>
      </c>
      <c r="E1176" t="str">
        <f>IF(DONNEES!$E1176="","",DONNEES!F1176)</f>
        <v/>
      </c>
      <c r="F1176" t="str">
        <f>IF(DONNEES!$E1176="","",DONNEES!G1176)</f>
        <v/>
      </c>
      <c r="G1176" t="str">
        <f>IF(DONNEES!$E1176="","",DONNEES!H1176)</f>
        <v/>
      </c>
      <c r="H1176" t="str">
        <f>IF(DONNEES!$E1176="","",DONNEES!I1176)</f>
        <v/>
      </c>
      <c r="I1176" t="str">
        <f>IF(DONNEES!$E1176="","",DONNEES!J1176)</f>
        <v/>
      </c>
      <c r="J1176" t="str">
        <f>IF(DONNEES!$E1176="","",DONNEES!K1176)</f>
        <v/>
      </c>
      <c r="K1176" t="str">
        <f>IF(DONNEES!$E1176="","",DONNEES!L1176)</f>
        <v/>
      </c>
      <c r="L1176" t="str">
        <f>IF(DONNEES!$E1176="","",DONNEES!M1176)</f>
        <v/>
      </c>
      <c r="M1176" t="str">
        <f>IF(DONNEES!$E1176="","",DONNEES!N1176)</f>
        <v/>
      </c>
      <c r="N1176" t="str">
        <f>IF(DONNEES!$E1176="","",DONNEES!O1176)</f>
        <v/>
      </c>
      <c r="O1176" t="str">
        <f>IF(DONNEES!$E1176="","",DONNEES!P1176)</f>
        <v/>
      </c>
      <c r="P1176" t="str">
        <f>IF(DONNEES!$E1176="","",DONNEES!Q1176)</f>
        <v/>
      </c>
      <c r="Q1176" t="str">
        <f>IF(DONNEES!$E1176="","",DONNEES!R1176)</f>
        <v/>
      </c>
      <c r="R1176" t="str">
        <f>IF(DONNEES!$E1176="","",DONNEES!S1176)</f>
        <v/>
      </c>
      <c r="S1176" t="str">
        <f>IF(DONNEES!$E1176="","",DONNEES!T1176)</f>
        <v/>
      </c>
      <c r="T1176" t="str">
        <f>IF(DONNEES!$E1176="","",DONNEES!U1176)</f>
        <v/>
      </c>
      <c r="U1176" t="str">
        <f>IF(DONNEES!$E1176="","",DONNEES!V1176)</f>
        <v/>
      </c>
      <c r="V1176" t="str">
        <f>IF(DONNEES!$E1176="","",DONNEES!W1176)</f>
        <v/>
      </c>
      <c r="W1176" t="str">
        <f>IF(DONNEES!$E1176="","",DONNEES!X1176)</f>
        <v/>
      </c>
      <c r="X1176" t="str">
        <f>IF(DONNEES!$E1176="","",DONNEES!Y1176)</f>
        <v/>
      </c>
      <c r="Y1176" t="str">
        <f>IF(DONNEES!$E1176="","",DONNEES!Z1176)</f>
        <v/>
      </c>
      <c r="Z1176" t="str">
        <f>IF(DONNEES!$E1176="","",DONNEES!AQ1176)</f>
        <v/>
      </c>
    </row>
    <row r="1177" spans="1:26" ht="15" customHeight="1" x14ac:dyDescent="0.3">
      <c r="A1177" t="str">
        <f>IF(DONNEES!$E1177="","",DONNEES!A1177)</f>
        <v/>
      </c>
      <c r="B1177" t="str">
        <f>IF(DONNEES!$E1177="","",DONNEES!B1177)</f>
        <v/>
      </c>
      <c r="C1177" t="str">
        <f>IF(DONNEES!$E1177="","",DONNEES!C1177)</f>
        <v/>
      </c>
      <c r="D1177" t="str">
        <f>IF(DONNEES!$E1177="","",DONNEES!E1177)</f>
        <v/>
      </c>
      <c r="E1177" t="str">
        <f>IF(DONNEES!$E1177="","",DONNEES!F1177)</f>
        <v/>
      </c>
      <c r="F1177" t="str">
        <f>IF(DONNEES!$E1177="","",DONNEES!G1177)</f>
        <v/>
      </c>
      <c r="G1177" t="str">
        <f>IF(DONNEES!$E1177="","",DONNEES!H1177)</f>
        <v/>
      </c>
      <c r="H1177" t="str">
        <f>IF(DONNEES!$E1177="","",DONNEES!I1177)</f>
        <v/>
      </c>
      <c r="I1177" t="str">
        <f>IF(DONNEES!$E1177="","",DONNEES!J1177)</f>
        <v/>
      </c>
      <c r="J1177" t="str">
        <f>IF(DONNEES!$E1177="","",DONNEES!K1177)</f>
        <v/>
      </c>
      <c r="K1177" t="str">
        <f>IF(DONNEES!$E1177="","",DONNEES!L1177)</f>
        <v/>
      </c>
      <c r="L1177" t="str">
        <f>IF(DONNEES!$E1177="","",DONNEES!M1177)</f>
        <v/>
      </c>
      <c r="M1177" t="str">
        <f>IF(DONNEES!$E1177="","",DONNEES!N1177)</f>
        <v/>
      </c>
      <c r="N1177" t="str">
        <f>IF(DONNEES!$E1177="","",DONNEES!O1177)</f>
        <v/>
      </c>
      <c r="O1177" t="str">
        <f>IF(DONNEES!$E1177="","",DONNEES!P1177)</f>
        <v/>
      </c>
      <c r="P1177" t="str">
        <f>IF(DONNEES!$E1177="","",DONNEES!Q1177)</f>
        <v/>
      </c>
      <c r="Q1177" t="str">
        <f>IF(DONNEES!$E1177="","",DONNEES!R1177)</f>
        <v/>
      </c>
      <c r="R1177" t="str">
        <f>IF(DONNEES!$E1177="","",DONNEES!S1177)</f>
        <v/>
      </c>
      <c r="S1177" t="str">
        <f>IF(DONNEES!$E1177="","",DONNEES!T1177)</f>
        <v/>
      </c>
      <c r="T1177" t="str">
        <f>IF(DONNEES!$E1177="","",DONNEES!U1177)</f>
        <v/>
      </c>
      <c r="U1177" t="str">
        <f>IF(DONNEES!$E1177="","",DONNEES!V1177)</f>
        <v/>
      </c>
      <c r="V1177" t="str">
        <f>IF(DONNEES!$E1177="","",DONNEES!W1177)</f>
        <v/>
      </c>
      <c r="W1177" t="str">
        <f>IF(DONNEES!$E1177="","",DONNEES!X1177)</f>
        <v/>
      </c>
      <c r="X1177" t="str">
        <f>IF(DONNEES!$E1177="","",DONNEES!Y1177)</f>
        <v/>
      </c>
      <c r="Y1177" t="str">
        <f>IF(DONNEES!$E1177="","",DONNEES!Z1177)</f>
        <v/>
      </c>
      <c r="Z1177" t="str">
        <f>IF(DONNEES!$E1177="","",DONNEES!AQ1177)</f>
        <v/>
      </c>
    </row>
    <row r="1178" spans="1:26" ht="15" customHeight="1" x14ac:dyDescent="0.3">
      <c r="A1178" t="str">
        <f>IF(DONNEES!$E1178="","",DONNEES!A1178)</f>
        <v/>
      </c>
      <c r="B1178" t="str">
        <f>IF(DONNEES!$E1178="","",DONNEES!B1178)</f>
        <v/>
      </c>
      <c r="C1178" t="str">
        <f>IF(DONNEES!$E1178="","",DONNEES!C1178)</f>
        <v/>
      </c>
      <c r="D1178" t="str">
        <f>IF(DONNEES!$E1178="","",DONNEES!E1178)</f>
        <v/>
      </c>
      <c r="E1178" t="str">
        <f>IF(DONNEES!$E1178="","",DONNEES!F1178)</f>
        <v/>
      </c>
      <c r="F1178" t="str">
        <f>IF(DONNEES!$E1178="","",DONNEES!G1178)</f>
        <v/>
      </c>
      <c r="G1178" t="str">
        <f>IF(DONNEES!$E1178="","",DONNEES!H1178)</f>
        <v/>
      </c>
      <c r="H1178" t="str">
        <f>IF(DONNEES!$E1178="","",DONNEES!I1178)</f>
        <v/>
      </c>
      <c r="I1178" t="str">
        <f>IF(DONNEES!$E1178="","",DONNEES!J1178)</f>
        <v/>
      </c>
      <c r="J1178" t="str">
        <f>IF(DONNEES!$E1178="","",DONNEES!K1178)</f>
        <v/>
      </c>
      <c r="K1178" t="str">
        <f>IF(DONNEES!$E1178="","",DONNEES!L1178)</f>
        <v/>
      </c>
      <c r="L1178" t="str">
        <f>IF(DONNEES!$E1178="","",DONNEES!M1178)</f>
        <v/>
      </c>
      <c r="M1178" t="str">
        <f>IF(DONNEES!$E1178="","",DONNEES!N1178)</f>
        <v/>
      </c>
      <c r="N1178" t="str">
        <f>IF(DONNEES!$E1178="","",DONNEES!O1178)</f>
        <v/>
      </c>
      <c r="O1178" t="str">
        <f>IF(DONNEES!$E1178="","",DONNEES!P1178)</f>
        <v/>
      </c>
      <c r="P1178" t="str">
        <f>IF(DONNEES!$E1178="","",DONNEES!Q1178)</f>
        <v/>
      </c>
      <c r="Q1178" t="str">
        <f>IF(DONNEES!$E1178="","",DONNEES!R1178)</f>
        <v/>
      </c>
      <c r="R1178" t="str">
        <f>IF(DONNEES!$E1178="","",DONNEES!S1178)</f>
        <v/>
      </c>
      <c r="S1178" t="str">
        <f>IF(DONNEES!$E1178="","",DONNEES!T1178)</f>
        <v/>
      </c>
      <c r="T1178" t="str">
        <f>IF(DONNEES!$E1178="","",DONNEES!U1178)</f>
        <v/>
      </c>
      <c r="U1178" t="str">
        <f>IF(DONNEES!$E1178="","",DONNEES!V1178)</f>
        <v/>
      </c>
      <c r="V1178" t="str">
        <f>IF(DONNEES!$E1178="","",DONNEES!W1178)</f>
        <v/>
      </c>
      <c r="W1178" t="str">
        <f>IF(DONNEES!$E1178="","",DONNEES!X1178)</f>
        <v/>
      </c>
      <c r="X1178" t="str">
        <f>IF(DONNEES!$E1178="","",DONNEES!Y1178)</f>
        <v/>
      </c>
      <c r="Y1178" t="str">
        <f>IF(DONNEES!$E1178="","",DONNEES!Z1178)</f>
        <v/>
      </c>
      <c r="Z1178" t="str">
        <f>IF(DONNEES!$E1178="","",DONNEES!AQ1178)</f>
        <v/>
      </c>
    </row>
    <row r="1179" spans="1:26" ht="15" customHeight="1" x14ac:dyDescent="0.3">
      <c r="A1179" t="str">
        <f>IF(DONNEES!$E1179="","",DONNEES!A1179)</f>
        <v/>
      </c>
      <c r="B1179" t="str">
        <f>IF(DONNEES!$E1179="","",DONNEES!B1179)</f>
        <v/>
      </c>
      <c r="C1179" t="str">
        <f>IF(DONNEES!$E1179="","",DONNEES!C1179)</f>
        <v/>
      </c>
      <c r="D1179" t="str">
        <f>IF(DONNEES!$E1179="","",DONNEES!E1179)</f>
        <v/>
      </c>
      <c r="E1179" t="str">
        <f>IF(DONNEES!$E1179="","",DONNEES!F1179)</f>
        <v/>
      </c>
      <c r="F1179" t="str">
        <f>IF(DONNEES!$E1179="","",DONNEES!G1179)</f>
        <v/>
      </c>
      <c r="G1179" t="str">
        <f>IF(DONNEES!$E1179="","",DONNEES!H1179)</f>
        <v/>
      </c>
      <c r="H1179" t="str">
        <f>IF(DONNEES!$E1179="","",DONNEES!I1179)</f>
        <v/>
      </c>
      <c r="I1179" t="str">
        <f>IF(DONNEES!$E1179="","",DONNEES!J1179)</f>
        <v/>
      </c>
      <c r="J1179" t="str">
        <f>IF(DONNEES!$E1179="","",DONNEES!K1179)</f>
        <v/>
      </c>
      <c r="K1179" t="str">
        <f>IF(DONNEES!$E1179="","",DONNEES!L1179)</f>
        <v/>
      </c>
      <c r="L1179" t="str">
        <f>IF(DONNEES!$E1179="","",DONNEES!M1179)</f>
        <v/>
      </c>
      <c r="M1179" t="str">
        <f>IF(DONNEES!$E1179="","",DONNEES!N1179)</f>
        <v/>
      </c>
      <c r="N1179" t="str">
        <f>IF(DONNEES!$E1179="","",DONNEES!O1179)</f>
        <v/>
      </c>
      <c r="O1179" t="str">
        <f>IF(DONNEES!$E1179="","",DONNEES!P1179)</f>
        <v/>
      </c>
      <c r="P1179" t="str">
        <f>IF(DONNEES!$E1179="","",DONNEES!Q1179)</f>
        <v/>
      </c>
      <c r="Q1179" t="str">
        <f>IF(DONNEES!$E1179="","",DONNEES!R1179)</f>
        <v/>
      </c>
      <c r="R1179" t="str">
        <f>IF(DONNEES!$E1179="","",DONNEES!S1179)</f>
        <v/>
      </c>
      <c r="S1179" t="str">
        <f>IF(DONNEES!$E1179="","",DONNEES!T1179)</f>
        <v/>
      </c>
      <c r="T1179" t="str">
        <f>IF(DONNEES!$E1179="","",DONNEES!U1179)</f>
        <v/>
      </c>
      <c r="U1179" t="str">
        <f>IF(DONNEES!$E1179="","",DONNEES!V1179)</f>
        <v/>
      </c>
      <c r="V1179" t="str">
        <f>IF(DONNEES!$E1179="","",DONNEES!W1179)</f>
        <v/>
      </c>
      <c r="W1179" t="str">
        <f>IF(DONNEES!$E1179="","",DONNEES!X1179)</f>
        <v/>
      </c>
      <c r="X1179" t="str">
        <f>IF(DONNEES!$E1179="","",DONNEES!Y1179)</f>
        <v/>
      </c>
      <c r="Y1179" t="str">
        <f>IF(DONNEES!$E1179="","",DONNEES!Z1179)</f>
        <v/>
      </c>
      <c r="Z1179" t="str">
        <f>IF(DONNEES!$E1179="","",DONNEES!AQ1179)</f>
        <v/>
      </c>
    </row>
    <row r="1180" spans="1:26" ht="15" customHeight="1" x14ac:dyDescent="0.3">
      <c r="A1180" t="str">
        <f>IF(DONNEES!$E1180="","",DONNEES!A1180)</f>
        <v/>
      </c>
      <c r="B1180" t="str">
        <f>IF(DONNEES!$E1180="","",DONNEES!B1180)</f>
        <v/>
      </c>
      <c r="C1180" t="str">
        <f>IF(DONNEES!$E1180="","",DONNEES!C1180)</f>
        <v/>
      </c>
      <c r="D1180" t="str">
        <f>IF(DONNEES!$E1180="","",DONNEES!E1180)</f>
        <v/>
      </c>
      <c r="E1180" t="str">
        <f>IF(DONNEES!$E1180="","",DONNEES!F1180)</f>
        <v/>
      </c>
      <c r="F1180" t="str">
        <f>IF(DONNEES!$E1180="","",DONNEES!G1180)</f>
        <v/>
      </c>
      <c r="G1180" t="str">
        <f>IF(DONNEES!$E1180="","",DONNEES!H1180)</f>
        <v/>
      </c>
      <c r="H1180" t="str">
        <f>IF(DONNEES!$E1180="","",DONNEES!I1180)</f>
        <v/>
      </c>
      <c r="I1180" t="str">
        <f>IF(DONNEES!$E1180="","",DONNEES!J1180)</f>
        <v/>
      </c>
      <c r="J1180" t="str">
        <f>IF(DONNEES!$E1180="","",DONNEES!K1180)</f>
        <v/>
      </c>
      <c r="K1180" t="str">
        <f>IF(DONNEES!$E1180="","",DONNEES!L1180)</f>
        <v/>
      </c>
      <c r="L1180" t="str">
        <f>IF(DONNEES!$E1180="","",DONNEES!M1180)</f>
        <v/>
      </c>
      <c r="M1180" t="str">
        <f>IF(DONNEES!$E1180="","",DONNEES!N1180)</f>
        <v/>
      </c>
      <c r="N1180" t="str">
        <f>IF(DONNEES!$E1180="","",DONNEES!O1180)</f>
        <v/>
      </c>
      <c r="O1180" t="str">
        <f>IF(DONNEES!$E1180="","",DONNEES!P1180)</f>
        <v/>
      </c>
      <c r="P1180" t="str">
        <f>IF(DONNEES!$E1180="","",DONNEES!Q1180)</f>
        <v/>
      </c>
      <c r="Q1180" t="str">
        <f>IF(DONNEES!$E1180="","",DONNEES!R1180)</f>
        <v/>
      </c>
      <c r="R1180" t="str">
        <f>IF(DONNEES!$E1180="","",DONNEES!S1180)</f>
        <v/>
      </c>
      <c r="S1180" t="str">
        <f>IF(DONNEES!$E1180="","",DONNEES!T1180)</f>
        <v/>
      </c>
      <c r="T1180" t="str">
        <f>IF(DONNEES!$E1180="","",DONNEES!U1180)</f>
        <v/>
      </c>
      <c r="U1180" t="str">
        <f>IF(DONNEES!$E1180="","",DONNEES!V1180)</f>
        <v/>
      </c>
      <c r="V1180" t="str">
        <f>IF(DONNEES!$E1180="","",DONNEES!W1180)</f>
        <v/>
      </c>
      <c r="W1180" t="str">
        <f>IF(DONNEES!$E1180="","",DONNEES!X1180)</f>
        <v/>
      </c>
      <c r="X1180" t="str">
        <f>IF(DONNEES!$E1180="","",DONNEES!Y1180)</f>
        <v/>
      </c>
      <c r="Y1180" t="str">
        <f>IF(DONNEES!$E1180="","",DONNEES!Z1180)</f>
        <v/>
      </c>
      <c r="Z1180" t="str">
        <f>IF(DONNEES!$E1180="","",DONNEES!AQ1180)</f>
        <v/>
      </c>
    </row>
    <row r="1181" spans="1:26" ht="15" customHeight="1" x14ac:dyDescent="0.3">
      <c r="A1181" t="str">
        <f>IF(DONNEES!$E1181="","",DONNEES!A1181)</f>
        <v/>
      </c>
      <c r="B1181" t="str">
        <f>IF(DONNEES!$E1181="","",DONNEES!B1181)</f>
        <v/>
      </c>
      <c r="C1181" t="str">
        <f>IF(DONNEES!$E1181="","",DONNEES!C1181)</f>
        <v/>
      </c>
      <c r="D1181" t="str">
        <f>IF(DONNEES!$E1181="","",DONNEES!E1181)</f>
        <v/>
      </c>
      <c r="E1181" t="str">
        <f>IF(DONNEES!$E1181="","",DONNEES!F1181)</f>
        <v/>
      </c>
      <c r="F1181" t="str">
        <f>IF(DONNEES!$E1181="","",DONNEES!G1181)</f>
        <v/>
      </c>
      <c r="G1181" t="str">
        <f>IF(DONNEES!$E1181="","",DONNEES!H1181)</f>
        <v/>
      </c>
      <c r="H1181" t="str">
        <f>IF(DONNEES!$E1181="","",DONNEES!I1181)</f>
        <v/>
      </c>
      <c r="I1181" t="str">
        <f>IF(DONNEES!$E1181="","",DONNEES!J1181)</f>
        <v/>
      </c>
      <c r="J1181" t="str">
        <f>IF(DONNEES!$E1181="","",DONNEES!K1181)</f>
        <v/>
      </c>
      <c r="K1181" t="str">
        <f>IF(DONNEES!$E1181="","",DONNEES!L1181)</f>
        <v/>
      </c>
      <c r="L1181" t="str">
        <f>IF(DONNEES!$E1181="","",DONNEES!M1181)</f>
        <v/>
      </c>
      <c r="M1181" t="str">
        <f>IF(DONNEES!$E1181="","",DONNEES!N1181)</f>
        <v/>
      </c>
      <c r="N1181" t="str">
        <f>IF(DONNEES!$E1181="","",DONNEES!O1181)</f>
        <v/>
      </c>
      <c r="O1181" t="str">
        <f>IF(DONNEES!$E1181="","",DONNEES!P1181)</f>
        <v/>
      </c>
      <c r="P1181" t="str">
        <f>IF(DONNEES!$E1181="","",DONNEES!Q1181)</f>
        <v/>
      </c>
      <c r="Q1181" t="str">
        <f>IF(DONNEES!$E1181="","",DONNEES!R1181)</f>
        <v/>
      </c>
      <c r="R1181" t="str">
        <f>IF(DONNEES!$E1181="","",DONNEES!S1181)</f>
        <v/>
      </c>
      <c r="S1181" t="str">
        <f>IF(DONNEES!$E1181="","",DONNEES!T1181)</f>
        <v/>
      </c>
      <c r="T1181" t="str">
        <f>IF(DONNEES!$E1181="","",DONNEES!U1181)</f>
        <v/>
      </c>
      <c r="U1181" t="str">
        <f>IF(DONNEES!$E1181="","",DONNEES!V1181)</f>
        <v/>
      </c>
      <c r="V1181" t="str">
        <f>IF(DONNEES!$E1181="","",DONNEES!W1181)</f>
        <v/>
      </c>
      <c r="W1181" t="str">
        <f>IF(DONNEES!$E1181="","",DONNEES!X1181)</f>
        <v/>
      </c>
      <c r="X1181" t="str">
        <f>IF(DONNEES!$E1181="","",DONNEES!Y1181)</f>
        <v/>
      </c>
      <c r="Y1181" t="str">
        <f>IF(DONNEES!$E1181="","",DONNEES!Z1181)</f>
        <v/>
      </c>
      <c r="Z1181" t="str">
        <f>IF(DONNEES!$E1181="","",DONNEES!AQ1181)</f>
        <v/>
      </c>
    </row>
    <row r="1182" spans="1:26" ht="15" customHeight="1" x14ac:dyDescent="0.3">
      <c r="A1182" t="str">
        <f>IF(DONNEES!$E1182="","",DONNEES!A1182)</f>
        <v/>
      </c>
      <c r="B1182" t="str">
        <f>IF(DONNEES!$E1182="","",DONNEES!B1182)</f>
        <v/>
      </c>
      <c r="C1182" t="str">
        <f>IF(DONNEES!$E1182="","",DONNEES!C1182)</f>
        <v/>
      </c>
      <c r="D1182" t="str">
        <f>IF(DONNEES!$E1182="","",DONNEES!E1182)</f>
        <v/>
      </c>
      <c r="E1182" t="str">
        <f>IF(DONNEES!$E1182="","",DONNEES!F1182)</f>
        <v/>
      </c>
      <c r="F1182" t="str">
        <f>IF(DONNEES!$E1182="","",DONNEES!G1182)</f>
        <v/>
      </c>
      <c r="G1182" t="str">
        <f>IF(DONNEES!$E1182="","",DONNEES!H1182)</f>
        <v/>
      </c>
      <c r="H1182" t="str">
        <f>IF(DONNEES!$E1182="","",DONNEES!I1182)</f>
        <v/>
      </c>
      <c r="I1182" t="str">
        <f>IF(DONNEES!$E1182="","",DONNEES!J1182)</f>
        <v/>
      </c>
      <c r="J1182" t="str">
        <f>IF(DONNEES!$E1182="","",DONNEES!K1182)</f>
        <v/>
      </c>
      <c r="K1182" t="str">
        <f>IF(DONNEES!$E1182="","",DONNEES!L1182)</f>
        <v/>
      </c>
      <c r="L1182" t="str">
        <f>IF(DONNEES!$E1182="","",DONNEES!M1182)</f>
        <v/>
      </c>
      <c r="M1182" t="str">
        <f>IF(DONNEES!$E1182="","",DONNEES!N1182)</f>
        <v/>
      </c>
      <c r="N1182" t="str">
        <f>IF(DONNEES!$E1182="","",DONNEES!O1182)</f>
        <v/>
      </c>
      <c r="O1182" t="str">
        <f>IF(DONNEES!$E1182="","",DONNEES!P1182)</f>
        <v/>
      </c>
      <c r="P1182" t="str">
        <f>IF(DONNEES!$E1182="","",DONNEES!Q1182)</f>
        <v/>
      </c>
      <c r="Q1182" t="str">
        <f>IF(DONNEES!$E1182="","",DONNEES!R1182)</f>
        <v/>
      </c>
      <c r="R1182" t="str">
        <f>IF(DONNEES!$E1182="","",DONNEES!S1182)</f>
        <v/>
      </c>
      <c r="S1182" t="str">
        <f>IF(DONNEES!$E1182="","",DONNEES!T1182)</f>
        <v/>
      </c>
      <c r="T1182" t="str">
        <f>IF(DONNEES!$E1182="","",DONNEES!U1182)</f>
        <v/>
      </c>
      <c r="U1182" t="str">
        <f>IF(DONNEES!$E1182="","",DONNEES!V1182)</f>
        <v/>
      </c>
      <c r="V1182" t="str">
        <f>IF(DONNEES!$E1182="","",DONNEES!W1182)</f>
        <v/>
      </c>
      <c r="W1182" t="str">
        <f>IF(DONNEES!$E1182="","",DONNEES!X1182)</f>
        <v/>
      </c>
      <c r="X1182" t="str">
        <f>IF(DONNEES!$E1182="","",DONNEES!Y1182)</f>
        <v/>
      </c>
      <c r="Y1182" t="str">
        <f>IF(DONNEES!$E1182="","",DONNEES!Z1182)</f>
        <v/>
      </c>
      <c r="Z1182" t="str">
        <f>IF(DONNEES!$E1182="","",DONNEES!AQ1182)</f>
        <v/>
      </c>
    </row>
    <row r="1183" spans="1:26" ht="15" customHeight="1" x14ac:dyDescent="0.3">
      <c r="A1183" t="str">
        <f>IF(DONNEES!$E1183="","",DONNEES!A1183)</f>
        <v/>
      </c>
      <c r="B1183" t="str">
        <f>IF(DONNEES!$E1183="","",DONNEES!B1183)</f>
        <v/>
      </c>
      <c r="C1183" t="str">
        <f>IF(DONNEES!$E1183="","",DONNEES!C1183)</f>
        <v/>
      </c>
      <c r="D1183" t="str">
        <f>IF(DONNEES!$E1183="","",DONNEES!E1183)</f>
        <v/>
      </c>
      <c r="E1183" t="str">
        <f>IF(DONNEES!$E1183="","",DONNEES!F1183)</f>
        <v/>
      </c>
      <c r="F1183" t="str">
        <f>IF(DONNEES!$E1183="","",DONNEES!G1183)</f>
        <v/>
      </c>
      <c r="G1183" t="str">
        <f>IF(DONNEES!$E1183="","",DONNEES!H1183)</f>
        <v/>
      </c>
      <c r="H1183" t="str">
        <f>IF(DONNEES!$E1183="","",DONNEES!I1183)</f>
        <v/>
      </c>
      <c r="I1183" t="str">
        <f>IF(DONNEES!$E1183="","",DONNEES!J1183)</f>
        <v/>
      </c>
      <c r="J1183" t="str">
        <f>IF(DONNEES!$E1183="","",DONNEES!K1183)</f>
        <v/>
      </c>
      <c r="K1183" t="str">
        <f>IF(DONNEES!$E1183="","",DONNEES!L1183)</f>
        <v/>
      </c>
      <c r="L1183" t="str">
        <f>IF(DONNEES!$E1183="","",DONNEES!M1183)</f>
        <v/>
      </c>
      <c r="M1183" t="str">
        <f>IF(DONNEES!$E1183="","",DONNEES!N1183)</f>
        <v/>
      </c>
      <c r="N1183" t="str">
        <f>IF(DONNEES!$E1183="","",DONNEES!O1183)</f>
        <v/>
      </c>
      <c r="O1183" t="str">
        <f>IF(DONNEES!$E1183="","",DONNEES!P1183)</f>
        <v/>
      </c>
      <c r="P1183" t="str">
        <f>IF(DONNEES!$E1183="","",DONNEES!Q1183)</f>
        <v/>
      </c>
      <c r="Q1183" t="str">
        <f>IF(DONNEES!$E1183="","",DONNEES!R1183)</f>
        <v/>
      </c>
      <c r="R1183" t="str">
        <f>IF(DONNEES!$E1183="","",DONNEES!S1183)</f>
        <v/>
      </c>
      <c r="S1183" t="str">
        <f>IF(DONNEES!$E1183="","",DONNEES!T1183)</f>
        <v/>
      </c>
      <c r="T1183" t="str">
        <f>IF(DONNEES!$E1183="","",DONNEES!U1183)</f>
        <v/>
      </c>
      <c r="U1183" t="str">
        <f>IF(DONNEES!$E1183="","",DONNEES!V1183)</f>
        <v/>
      </c>
      <c r="V1183" t="str">
        <f>IF(DONNEES!$E1183="","",DONNEES!W1183)</f>
        <v/>
      </c>
      <c r="W1183" t="str">
        <f>IF(DONNEES!$E1183="","",DONNEES!X1183)</f>
        <v/>
      </c>
      <c r="X1183" t="str">
        <f>IF(DONNEES!$E1183="","",DONNEES!Y1183)</f>
        <v/>
      </c>
      <c r="Y1183" t="str">
        <f>IF(DONNEES!$E1183="","",DONNEES!Z1183)</f>
        <v/>
      </c>
      <c r="Z1183" t="str">
        <f>IF(DONNEES!$E1183="","",DONNEES!AQ1183)</f>
        <v/>
      </c>
    </row>
    <row r="1184" spans="1:26" ht="15" customHeight="1" x14ac:dyDescent="0.3">
      <c r="A1184" t="str">
        <f>IF(DONNEES!$E1184="","",DONNEES!A1184)</f>
        <v/>
      </c>
      <c r="B1184" t="str">
        <f>IF(DONNEES!$E1184="","",DONNEES!B1184)</f>
        <v/>
      </c>
      <c r="C1184" t="str">
        <f>IF(DONNEES!$E1184="","",DONNEES!C1184)</f>
        <v/>
      </c>
      <c r="D1184" t="str">
        <f>IF(DONNEES!$E1184="","",DONNEES!E1184)</f>
        <v/>
      </c>
      <c r="E1184" t="str">
        <f>IF(DONNEES!$E1184="","",DONNEES!F1184)</f>
        <v/>
      </c>
      <c r="F1184" t="str">
        <f>IF(DONNEES!$E1184="","",DONNEES!G1184)</f>
        <v/>
      </c>
      <c r="G1184" t="str">
        <f>IF(DONNEES!$E1184="","",DONNEES!H1184)</f>
        <v/>
      </c>
      <c r="H1184" t="str">
        <f>IF(DONNEES!$E1184="","",DONNEES!I1184)</f>
        <v/>
      </c>
      <c r="I1184" t="str">
        <f>IF(DONNEES!$E1184="","",DONNEES!J1184)</f>
        <v/>
      </c>
      <c r="J1184" t="str">
        <f>IF(DONNEES!$E1184="","",DONNEES!K1184)</f>
        <v/>
      </c>
      <c r="K1184" t="str">
        <f>IF(DONNEES!$E1184="","",DONNEES!L1184)</f>
        <v/>
      </c>
      <c r="L1184" t="str">
        <f>IF(DONNEES!$E1184="","",DONNEES!M1184)</f>
        <v/>
      </c>
      <c r="M1184" t="str">
        <f>IF(DONNEES!$E1184="","",DONNEES!N1184)</f>
        <v/>
      </c>
      <c r="N1184" t="str">
        <f>IF(DONNEES!$E1184="","",DONNEES!O1184)</f>
        <v/>
      </c>
      <c r="O1184" t="str">
        <f>IF(DONNEES!$E1184="","",DONNEES!P1184)</f>
        <v/>
      </c>
      <c r="P1184" t="str">
        <f>IF(DONNEES!$E1184="","",DONNEES!Q1184)</f>
        <v/>
      </c>
      <c r="Q1184" t="str">
        <f>IF(DONNEES!$E1184="","",DONNEES!R1184)</f>
        <v/>
      </c>
      <c r="R1184" t="str">
        <f>IF(DONNEES!$E1184="","",DONNEES!S1184)</f>
        <v/>
      </c>
      <c r="S1184" t="str">
        <f>IF(DONNEES!$E1184="","",DONNEES!T1184)</f>
        <v/>
      </c>
      <c r="T1184" t="str">
        <f>IF(DONNEES!$E1184="","",DONNEES!U1184)</f>
        <v/>
      </c>
      <c r="U1184" t="str">
        <f>IF(DONNEES!$E1184="","",DONNEES!V1184)</f>
        <v/>
      </c>
      <c r="V1184" t="str">
        <f>IF(DONNEES!$E1184="","",DONNEES!W1184)</f>
        <v/>
      </c>
      <c r="W1184" t="str">
        <f>IF(DONNEES!$E1184="","",DONNEES!X1184)</f>
        <v/>
      </c>
      <c r="X1184" t="str">
        <f>IF(DONNEES!$E1184="","",DONNEES!Y1184)</f>
        <v/>
      </c>
      <c r="Y1184" t="str">
        <f>IF(DONNEES!$E1184="","",DONNEES!Z1184)</f>
        <v/>
      </c>
      <c r="Z1184" t="str">
        <f>IF(DONNEES!$E1184="","",DONNEES!AQ1184)</f>
        <v/>
      </c>
    </row>
    <row r="1185" spans="1:26" ht="15" customHeight="1" x14ac:dyDescent="0.3">
      <c r="A1185" t="str">
        <f>IF(DONNEES!$E1185="","",DONNEES!A1185)</f>
        <v/>
      </c>
      <c r="B1185" t="str">
        <f>IF(DONNEES!$E1185="","",DONNEES!B1185)</f>
        <v/>
      </c>
      <c r="C1185" t="str">
        <f>IF(DONNEES!$E1185="","",DONNEES!C1185)</f>
        <v/>
      </c>
      <c r="D1185" t="str">
        <f>IF(DONNEES!$E1185="","",DONNEES!E1185)</f>
        <v/>
      </c>
      <c r="E1185" t="str">
        <f>IF(DONNEES!$E1185="","",DONNEES!F1185)</f>
        <v/>
      </c>
      <c r="F1185" t="str">
        <f>IF(DONNEES!$E1185="","",DONNEES!G1185)</f>
        <v/>
      </c>
      <c r="G1185" t="str">
        <f>IF(DONNEES!$E1185="","",DONNEES!H1185)</f>
        <v/>
      </c>
      <c r="H1185" t="str">
        <f>IF(DONNEES!$E1185="","",DONNEES!I1185)</f>
        <v/>
      </c>
      <c r="I1185" t="str">
        <f>IF(DONNEES!$E1185="","",DONNEES!J1185)</f>
        <v/>
      </c>
      <c r="J1185" t="str">
        <f>IF(DONNEES!$E1185="","",DONNEES!K1185)</f>
        <v/>
      </c>
      <c r="K1185" t="str">
        <f>IF(DONNEES!$E1185="","",DONNEES!L1185)</f>
        <v/>
      </c>
      <c r="L1185" t="str">
        <f>IF(DONNEES!$E1185="","",DONNEES!M1185)</f>
        <v/>
      </c>
      <c r="M1185" t="str">
        <f>IF(DONNEES!$E1185="","",DONNEES!N1185)</f>
        <v/>
      </c>
      <c r="N1185" t="str">
        <f>IF(DONNEES!$E1185="","",DONNEES!O1185)</f>
        <v/>
      </c>
      <c r="O1185" t="str">
        <f>IF(DONNEES!$E1185="","",DONNEES!P1185)</f>
        <v/>
      </c>
      <c r="P1185" t="str">
        <f>IF(DONNEES!$E1185="","",DONNEES!Q1185)</f>
        <v/>
      </c>
      <c r="Q1185" t="str">
        <f>IF(DONNEES!$E1185="","",DONNEES!R1185)</f>
        <v/>
      </c>
      <c r="R1185" t="str">
        <f>IF(DONNEES!$E1185="","",DONNEES!S1185)</f>
        <v/>
      </c>
      <c r="S1185" t="str">
        <f>IF(DONNEES!$E1185="","",DONNEES!T1185)</f>
        <v/>
      </c>
      <c r="T1185" t="str">
        <f>IF(DONNEES!$E1185="","",DONNEES!U1185)</f>
        <v/>
      </c>
      <c r="U1185" t="str">
        <f>IF(DONNEES!$E1185="","",DONNEES!V1185)</f>
        <v/>
      </c>
      <c r="V1185" t="str">
        <f>IF(DONNEES!$E1185="","",DONNEES!W1185)</f>
        <v/>
      </c>
      <c r="W1185" t="str">
        <f>IF(DONNEES!$E1185="","",DONNEES!X1185)</f>
        <v/>
      </c>
      <c r="X1185" t="str">
        <f>IF(DONNEES!$E1185="","",DONNEES!Y1185)</f>
        <v/>
      </c>
      <c r="Y1185" t="str">
        <f>IF(DONNEES!$E1185="","",DONNEES!Z1185)</f>
        <v/>
      </c>
      <c r="Z1185" t="str">
        <f>IF(DONNEES!$E1185="","",DONNEES!AQ1185)</f>
        <v/>
      </c>
    </row>
    <row r="1186" spans="1:26" ht="15" customHeight="1" x14ac:dyDescent="0.3">
      <c r="A1186" t="str">
        <f>IF(DONNEES!$E1186="","",DONNEES!A1186)</f>
        <v/>
      </c>
      <c r="B1186" t="str">
        <f>IF(DONNEES!$E1186="","",DONNEES!B1186)</f>
        <v/>
      </c>
      <c r="C1186" t="str">
        <f>IF(DONNEES!$E1186="","",DONNEES!C1186)</f>
        <v/>
      </c>
      <c r="D1186" t="str">
        <f>IF(DONNEES!$E1186="","",DONNEES!E1186)</f>
        <v/>
      </c>
      <c r="E1186" t="str">
        <f>IF(DONNEES!$E1186="","",DONNEES!F1186)</f>
        <v/>
      </c>
      <c r="F1186" t="str">
        <f>IF(DONNEES!$E1186="","",DONNEES!G1186)</f>
        <v/>
      </c>
      <c r="G1186" t="str">
        <f>IF(DONNEES!$E1186="","",DONNEES!H1186)</f>
        <v/>
      </c>
      <c r="H1186" t="str">
        <f>IF(DONNEES!$E1186="","",DONNEES!I1186)</f>
        <v/>
      </c>
      <c r="I1186" t="str">
        <f>IF(DONNEES!$E1186="","",DONNEES!J1186)</f>
        <v/>
      </c>
      <c r="J1186" t="str">
        <f>IF(DONNEES!$E1186="","",DONNEES!K1186)</f>
        <v/>
      </c>
      <c r="K1186" t="str">
        <f>IF(DONNEES!$E1186="","",DONNEES!L1186)</f>
        <v/>
      </c>
      <c r="L1186" t="str">
        <f>IF(DONNEES!$E1186="","",DONNEES!M1186)</f>
        <v/>
      </c>
      <c r="M1186" t="str">
        <f>IF(DONNEES!$E1186="","",DONNEES!N1186)</f>
        <v/>
      </c>
      <c r="N1186" t="str">
        <f>IF(DONNEES!$E1186="","",DONNEES!O1186)</f>
        <v/>
      </c>
      <c r="O1186" t="str">
        <f>IF(DONNEES!$E1186="","",DONNEES!P1186)</f>
        <v/>
      </c>
      <c r="P1186" t="str">
        <f>IF(DONNEES!$E1186="","",DONNEES!Q1186)</f>
        <v/>
      </c>
      <c r="Q1186" t="str">
        <f>IF(DONNEES!$E1186="","",DONNEES!R1186)</f>
        <v/>
      </c>
      <c r="R1186" t="str">
        <f>IF(DONNEES!$E1186="","",DONNEES!S1186)</f>
        <v/>
      </c>
      <c r="S1186" t="str">
        <f>IF(DONNEES!$E1186="","",DONNEES!T1186)</f>
        <v/>
      </c>
      <c r="T1186" t="str">
        <f>IF(DONNEES!$E1186="","",DONNEES!U1186)</f>
        <v/>
      </c>
      <c r="U1186" t="str">
        <f>IF(DONNEES!$E1186="","",DONNEES!V1186)</f>
        <v/>
      </c>
      <c r="V1186" t="str">
        <f>IF(DONNEES!$E1186="","",DONNEES!W1186)</f>
        <v/>
      </c>
      <c r="W1186" t="str">
        <f>IF(DONNEES!$E1186="","",DONNEES!X1186)</f>
        <v/>
      </c>
      <c r="X1186" t="str">
        <f>IF(DONNEES!$E1186="","",DONNEES!Y1186)</f>
        <v/>
      </c>
      <c r="Y1186" t="str">
        <f>IF(DONNEES!$E1186="","",DONNEES!Z1186)</f>
        <v/>
      </c>
      <c r="Z1186" t="str">
        <f>IF(DONNEES!$E1186="","",DONNEES!AQ1186)</f>
        <v/>
      </c>
    </row>
    <row r="1187" spans="1:26" ht="15" customHeight="1" x14ac:dyDescent="0.3">
      <c r="A1187" t="str">
        <f>IF(DONNEES!$E1187="","",DONNEES!A1187)</f>
        <v/>
      </c>
      <c r="B1187" t="str">
        <f>IF(DONNEES!$E1187="","",DONNEES!B1187)</f>
        <v/>
      </c>
      <c r="C1187" t="str">
        <f>IF(DONNEES!$E1187="","",DONNEES!C1187)</f>
        <v/>
      </c>
      <c r="D1187" t="str">
        <f>IF(DONNEES!$E1187="","",DONNEES!E1187)</f>
        <v/>
      </c>
      <c r="E1187" t="str">
        <f>IF(DONNEES!$E1187="","",DONNEES!F1187)</f>
        <v/>
      </c>
      <c r="F1187" t="str">
        <f>IF(DONNEES!$E1187="","",DONNEES!G1187)</f>
        <v/>
      </c>
      <c r="G1187" t="str">
        <f>IF(DONNEES!$E1187="","",DONNEES!H1187)</f>
        <v/>
      </c>
      <c r="H1187" t="str">
        <f>IF(DONNEES!$E1187="","",DONNEES!I1187)</f>
        <v/>
      </c>
      <c r="I1187" t="str">
        <f>IF(DONNEES!$E1187="","",DONNEES!J1187)</f>
        <v/>
      </c>
      <c r="J1187" t="str">
        <f>IF(DONNEES!$E1187="","",DONNEES!K1187)</f>
        <v/>
      </c>
      <c r="K1187" t="str">
        <f>IF(DONNEES!$E1187="","",DONNEES!L1187)</f>
        <v/>
      </c>
      <c r="L1187" t="str">
        <f>IF(DONNEES!$E1187="","",DONNEES!M1187)</f>
        <v/>
      </c>
      <c r="M1187" t="str">
        <f>IF(DONNEES!$E1187="","",DONNEES!N1187)</f>
        <v/>
      </c>
      <c r="N1187" t="str">
        <f>IF(DONNEES!$E1187="","",DONNEES!O1187)</f>
        <v/>
      </c>
      <c r="O1187" t="str">
        <f>IF(DONNEES!$E1187="","",DONNEES!P1187)</f>
        <v/>
      </c>
      <c r="P1187" t="str">
        <f>IF(DONNEES!$E1187="","",DONNEES!Q1187)</f>
        <v/>
      </c>
      <c r="Q1187" t="str">
        <f>IF(DONNEES!$E1187="","",DONNEES!R1187)</f>
        <v/>
      </c>
      <c r="R1187" t="str">
        <f>IF(DONNEES!$E1187="","",DONNEES!S1187)</f>
        <v/>
      </c>
      <c r="S1187" t="str">
        <f>IF(DONNEES!$E1187="","",DONNEES!T1187)</f>
        <v/>
      </c>
      <c r="T1187" t="str">
        <f>IF(DONNEES!$E1187="","",DONNEES!U1187)</f>
        <v/>
      </c>
      <c r="U1187" t="str">
        <f>IF(DONNEES!$E1187="","",DONNEES!V1187)</f>
        <v/>
      </c>
      <c r="V1187" t="str">
        <f>IF(DONNEES!$E1187="","",DONNEES!W1187)</f>
        <v/>
      </c>
      <c r="W1187" t="str">
        <f>IF(DONNEES!$E1187="","",DONNEES!X1187)</f>
        <v/>
      </c>
      <c r="X1187" t="str">
        <f>IF(DONNEES!$E1187="","",DONNEES!Y1187)</f>
        <v/>
      </c>
      <c r="Y1187" t="str">
        <f>IF(DONNEES!$E1187="","",DONNEES!Z1187)</f>
        <v/>
      </c>
      <c r="Z1187" t="str">
        <f>IF(DONNEES!$E1187="","",DONNEES!AQ1187)</f>
        <v/>
      </c>
    </row>
    <row r="1188" spans="1:26" ht="15" customHeight="1" x14ac:dyDescent="0.3">
      <c r="A1188" t="str">
        <f>IF(DONNEES!$E1188="","",DONNEES!A1188)</f>
        <v/>
      </c>
      <c r="B1188" t="str">
        <f>IF(DONNEES!$E1188="","",DONNEES!B1188)</f>
        <v/>
      </c>
      <c r="C1188" t="str">
        <f>IF(DONNEES!$E1188="","",DONNEES!C1188)</f>
        <v/>
      </c>
      <c r="D1188" t="str">
        <f>IF(DONNEES!$E1188="","",DONNEES!E1188)</f>
        <v/>
      </c>
      <c r="E1188" t="str">
        <f>IF(DONNEES!$E1188="","",DONNEES!F1188)</f>
        <v/>
      </c>
      <c r="F1188" t="str">
        <f>IF(DONNEES!$E1188="","",DONNEES!G1188)</f>
        <v/>
      </c>
      <c r="G1188" t="str">
        <f>IF(DONNEES!$E1188="","",DONNEES!H1188)</f>
        <v/>
      </c>
      <c r="H1188" t="str">
        <f>IF(DONNEES!$E1188="","",DONNEES!I1188)</f>
        <v/>
      </c>
      <c r="I1188" t="str">
        <f>IF(DONNEES!$E1188="","",DONNEES!J1188)</f>
        <v/>
      </c>
      <c r="J1188" t="str">
        <f>IF(DONNEES!$E1188="","",DONNEES!K1188)</f>
        <v/>
      </c>
      <c r="K1188" t="str">
        <f>IF(DONNEES!$E1188="","",DONNEES!L1188)</f>
        <v/>
      </c>
      <c r="L1188" t="str">
        <f>IF(DONNEES!$E1188="","",DONNEES!M1188)</f>
        <v/>
      </c>
      <c r="M1188" t="str">
        <f>IF(DONNEES!$E1188="","",DONNEES!N1188)</f>
        <v/>
      </c>
      <c r="N1188" t="str">
        <f>IF(DONNEES!$E1188="","",DONNEES!O1188)</f>
        <v/>
      </c>
      <c r="O1188" t="str">
        <f>IF(DONNEES!$E1188="","",DONNEES!P1188)</f>
        <v/>
      </c>
      <c r="P1188" t="str">
        <f>IF(DONNEES!$E1188="","",DONNEES!Q1188)</f>
        <v/>
      </c>
      <c r="Q1188" t="str">
        <f>IF(DONNEES!$E1188="","",DONNEES!R1188)</f>
        <v/>
      </c>
      <c r="R1188" t="str">
        <f>IF(DONNEES!$E1188="","",DONNEES!S1188)</f>
        <v/>
      </c>
      <c r="S1188" t="str">
        <f>IF(DONNEES!$E1188="","",DONNEES!T1188)</f>
        <v/>
      </c>
      <c r="T1188" t="str">
        <f>IF(DONNEES!$E1188="","",DONNEES!U1188)</f>
        <v/>
      </c>
      <c r="U1188" t="str">
        <f>IF(DONNEES!$E1188="","",DONNEES!V1188)</f>
        <v/>
      </c>
      <c r="V1188" t="str">
        <f>IF(DONNEES!$E1188="","",DONNEES!W1188)</f>
        <v/>
      </c>
      <c r="W1188" t="str">
        <f>IF(DONNEES!$E1188="","",DONNEES!X1188)</f>
        <v/>
      </c>
      <c r="X1188" t="str">
        <f>IF(DONNEES!$E1188="","",DONNEES!Y1188)</f>
        <v/>
      </c>
      <c r="Y1188" t="str">
        <f>IF(DONNEES!$E1188="","",DONNEES!Z1188)</f>
        <v/>
      </c>
      <c r="Z1188" t="str">
        <f>IF(DONNEES!$E1188="","",DONNEES!AQ1188)</f>
        <v/>
      </c>
    </row>
    <row r="1189" spans="1:26" ht="15" customHeight="1" x14ac:dyDescent="0.3">
      <c r="A1189" t="str">
        <f>IF(DONNEES!$E1189="","",DONNEES!A1189)</f>
        <v/>
      </c>
      <c r="B1189" t="str">
        <f>IF(DONNEES!$E1189="","",DONNEES!B1189)</f>
        <v/>
      </c>
      <c r="C1189" t="str">
        <f>IF(DONNEES!$E1189="","",DONNEES!C1189)</f>
        <v/>
      </c>
      <c r="D1189" t="str">
        <f>IF(DONNEES!$E1189="","",DONNEES!E1189)</f>
        <v/>
      </c>
      <c r="E1189" t="str">
        <f>IF(DONNEES!$E1189="","",DONNEES!F1189)</f>
        <v/>
      </c>
      <c r="F1189" t="str">
        <f>IF(DONNEES!$E1189="","",DONNEES!G1189)</f>
        <v/>
      </c>
      <c r="G1189" t="str">
        <f>IF(DONNEES!$E1189="","",DONNEES!H1189)</f>
        <v/>
      </c>
      <c r="H1189" t="str">
        <f>IF(DONNEES!$E1189="","",DONNEES!I1189)</f>
        <v/>
      </c>
      <c r="I1189" t="str">
        <f>IF(DONNEES!$E1189="","",DONNEES!J1189)</f>
        <v/>
      </c>
      <c r="J1189" t="str">
        <f>IF(DONNEES!$E1189="","",DONNEES!K1189)</f>
        <v/>
      </c>
      <c r="K1189" t="str">
        <f>IF(DONNEES!$E1189="","",DONNEES!L1189)</f>
        <v/>
      </c>
      <c r="L1189" t="str">
        <f>IF(DONNEES!$E1189="","",DONNEES!M1189)</f>
        <v/>
      </c>
      <c r="M1189" t="str">
        <f>IF(DONNEES!$E1189="","",DONNEES!N1189)</f>
        <v/>
      </c>
      <c r="N1189" t="str">
        <f>IF(DONNEES!$E1189="","",DONNEES!O1189)</f>
        <v/>
      </c>
      <c r="O1189" t="str">
        <f>IF(DONNEES!$E1189="","",DONNEES!P1189)</f>
        <v/>
      </c>
      <c r="P1189" t="str">
        <f>IF(DONNEES!$E1189="","",DONNEES!Q1189)</f>
        <v/>
      </c>
      <c r="Q1189" t="str">
        <f>IF(DONNEES!$E1189="","",DONNEES!R1189)</f>
        <v/>
      </c>
      <c r="R1189" t="str">
        <f>IF(DONNEES!$E1189="","",DONNEES!S1189)</f>
        <v/>
      </c>
      <c r="S1189" t="str">
        <f>IF(DONNEES!$E1189="","",DONNEES!T1189)</f>
        <v/>
      </c>
      <c r="T1189" t="str">
        <f>IF(DONNEES!$E1189="","",DONNEES!U1189)</f>
        <v/>
      </c>
      <c r="U1189" t="str">
        <f>IF(DONNEES!$E1189="","",DONNEES!V1189)</f>
        <v/>
      </c>
      <c r="V1189" t="str">
        <f>IF(DONNEES!$E1189="","",DONNEES!W1189)</f>
        <v/>
      </c>
      <c r="W1189" t="str">
        <f>IF(DONNEES!$E1189="","",DONNEES!X1189)</f>
        <v/>
      </c>
      <c r="X1189" t="str">
        <f>IF(DONNEES!$E1189="","",DONNEES!Y1189)</f>
        <v/>
      </c>
      <c r="Y1189" t="str">
        <f>IF(DONNEES!$E1189="","",DONNEES!Z1189)</f>
        <v/>
      </c>
      <c r="Z1189" t="str">
        <f>IF(DONNEES!$E1189="","",DONNEES!AQ1189)</f>
        <v/>
      </c>
    </row>
    <row r="1190" spans="1:26" ht="15" customHeight="1" x14ac:dyDescent="0.3">
      <c r="A1190" t="str">
        <f>IF(DONNEES!$E1190="","",DONNEES!A1190)</f>
        <v/>
      </c>
      <c r="B1190" t="str">
        <f>IF(DONNEES!$E1190="","",DONNEES!B1190)</f>
        <v/>
      </c>
      <c r="C1190" t="str">
        <f>IF(DONNEES!$E1190="","",DONNEES!C1190)</f>
        <v/>
      </c>
      <c r="D1190" t="str">
        <f>IF(DONNEES!$E1190="","",DONNEES!E1190)</f>
        <v/>
      </c>
      <c r="E1190" t="str">
        <f>IF(DONNEES!$E1190="","",DONNEES!F1190)</f>
        <v/>
      </c>
      <c r="F1190" t="str">
        <f>IF(DONNEES!$E1190="","",DONNEES!G1190)</f>
        <v/>
      </c>
      <c r="G1190" t="str">
        <f>IF(DONNEES!$E1190="","",DONNEES!H1190)</f>
        <v/>
      </c>
      <c r="H1190" t="str">
        <f>IF(DONNEES!$E1190="","",DONNEES!I1190)</f>
        <v/>
      </c>
      <c r="I1190" t="str">
        <f>IF(DONNEES!$E1190="","",DONNEES!J1190)</f>
        <v/>
      </c>
      <c r="J1190" t="str">
        <f>IF(DONNEES!$E1190="","",DONNEES!K1190)</f>
        <v/>
      </c>
      <c r="K1190" t="str">
        <f>IF(DONNEES!$E1190="","",DONNEES!L1190)</f>
        <v/>
      </c>
      <c r="L1190" t="str">
        <f>IF(DONNEES!$E1190="","",DONNEES!M1190)</f>
        <v/>
      </c>
      <c r="M1190" t="str">
        <f>IF(DONNEES!$E1190="","",DONNEES!N1190)</f>
        <v/>
      </c>
      <c r="N1190" t="str">
        <f>IF(DONNEES!$E1190="","",DONNEES!O1190)</f>
        <v/>
      </c>
      <c r="O1190" t="str">
        <f>IF(DONNEES!$E1190="","",DONNEES!P1190)</f>
        <v/>
      </c>
      <c r="P1190" t="str">
        <f>IF(DONNEES!$E1190="","",DONNEES!Q1190)</f>
        <v/>
      </c>
      <c r="Q1190" t="str">
        <f>IF(DONNEES!$E1190="","",DONNEES!R1190)</f>
        <v/>
      </c>
      <c r="R1190" t="str">
        <f>IF(DONNEES!$E1190="","",DONNEES!S1190)</f>
        <v/>
      </c>
      <c r="S1190" t="str">
        <f>IF(DONNEES!$E1190="","",DONNEES!T1190)</f>
        <v/>
      </c>
      <c r="T1190" t="str">
        <f>IF(DONNEES!$E1190="","",DONNEES!U1190)</f>
        <v/>
      </c>
      <c r="U1190" t="str">
        <f>IF(DONNEES!$E1190="","",DONNEES!V1190)</f>
        <v/>
      </c>
      <c r="V1190" t="str">
        <f>IF(DONNEES!$E1190="","",DONNEES!W1190)</f>
        <v/>
      </c>
      <c r="W1190" t="str">
        <f>IF(DONNEES!$E1190="","",DONNEES!X1190)</f>
        <v/>
      </c>
      <c r="X1190" t="str">
        <f>IF(DONNEES!$E1190="","",DONNEES!Y1190)</f>
        <v/>
      </c>
      <c r="Y1190" t="str">
        <f>IF(DONNEES!$E1190="","",DONNEES!Z1190)</f>
        <v/>
      </c>
      <c r="Z1190" t="str">
        <f>IF(DONNEES!$E1190="","",DONNEES!AQ1190)</f>
        <v/>
      </c>
    </row>
    <row r="1191" spans="1:26" ht="15" customHeight="1" x14ac:dyDescent="0.3">
      <c r="A1191" t="str">
        <f>IF(DONNEES!$E1191="","",DONNEES!A1191)</f>
        <v/>
      </c>
      <c r="B1191" t="str">
        <f>IF(DONNEES!$E1191="","",DONNEES!B1191)</f>
        <v/>
      </c>
      <c r="C1191" t="str">
        <f>IF(DONNEES!$E1191="","",DONNEES!C1191)</f>
        <v/>
      </c>
      <c r="D1191" t="str">
        <f>IF(DONNEES!$E1191="","",DONNEES!E1191)</f>
        <v/>
      </c>
      <c r="E1191" t="str">
        <f>IF(DONNEES!$E1191="","",DONNEES!F1191)</f>
        <v/>
      </c>
      <c r="F1191" t="str">
        <f>IF(DONNEES!$E1191="","",DONNEES!G1191)</f>
        <v/>
      </c>
      <c r="G1191" t="str">
        <f>IF(DONNEES!$E1191="","",DONNEES!H1191)</f>
        <v/>
      </c>
      <c r="H1191" t="str">
        <f>IF(DONNEES!$E1191="","",DONNEES!I1191)</f>
        <v/>
      </c>
      <c r="I1191" t="str">
        <f>IF(DONNEES!$E1191="","",DONNEES!J1191)</f>
        <v/>
      </c>
      <c r="J1191" t="str">
        <f>IF(DONNEES!$E1191="","",DONNEES!K1191)</f>
        <v/>
      </c>
      <c r="K1191" t="str">
        <f>IF(DONNEES!$E1191="","",DONNEES!L1191)</f>
        <v/>
      </c>
      <c r="L1191" t="str">
        <f>IF(DONNEES!$E1191="","",DONNEES!M1191)</f>
        <v/>
      </c>
      <c r="M1191" t="str">
        <f>IF(DONNEES!$E1191="","",DONNEES!N1191)</f>
        <v/>
      </c>
      <c r="N1191" t="str">
        <f>IF(DONNEES!$E1191="","",DONNEES!O1191)</f>
        <v/>
      </c>
      <c r="O1191" t="str">
        <f>IF(DONNEES!$E1191="","",DONNEES!P1191)</f>
        <v/>
      </c>
      <c r="P1191" t="str">
        <f>IF(DONNEES!$E1191="","",DONNEES!Q1191)</f>
        <v/>
      </c>
      <c r="Q1191" t="str">
        <f>IF(DONNEES!$E1191="","",DONNEES!R1191)</f>
        <v/>
      </c>
      <c r="R1191" t="str">
        <f>IF(DONNEES!$E1191="","",DONNEES!S1191)</f>
        <v/>
      </c>
      <c r="S1191" t="str">
        <f>IF(DONNEES!$E1191="","",DONNEES!T1191)</f>
        <v/>
      </c>
      <c r="T1191" t="str">
        <f>IF(DONNEES!$E1191="","",DONNEES!U1191)</f>
        <v/>
      </c>
      <c r="U1191" t="str">
        <f>IF(DONNEES!$E1191="","",DONNEES!V1191)</f>
        <v/>
      </c>
      <c r="V1191" t="str">
        <f>IF(DONNEES!$E1191="","",DONNEES!W1191)</f>
        <v/>
      </c>
      <c r="W1191" t="str">
        <f>IF(DONNEES!$E1191="","",DONNEES!X1191)</f>
        <v/>
      </c>
      <c r="X1191" t="str">
        <f>IF(DONNEES!$E1191="","",DONNEES!Y1191)</f>
        <v/>
      </c>
      <c r="Y1191" t="str">
        <f>IF(DONNEES!$E1191="","",DONNEES!Z1191)</f>
        <v/>
      </c>
      <c r="Z1191" t="str">
        <f>IF(DONNEES!$E1191="","",DONNEES!AQ1191)</f>
        <v/>
      </c>
    </row>
    <row r="1192" spans="1:26" ht="15" customHeight="1" x14ac:dyDescent="0.3">
      <c r="A1192" t="str">
        <f>IF(DONNEES!$E1192="","",DONNEES!A1192)</f>
        <v/>
      </c>
      <c r="B1192" t="str">
        <f>IF(DONNEES!$E1192="","",DONNEES!B1192)</f>
        <v/>
      </c>
      <c r="C1192" t="str">
        <f>IF(DONNEES!$E1192="","",DONNEES!C1192)</f>
        <v/>
      </c>
      <c r="D1192" t="str">
        <f>IF(DONNEES!$E1192="","",DONNEES!E1192)</f>
        <v/>
      </c>
      <c r="E1192" t="str">
        <f>IF(DONNEES!$E1192="","",DONNEES!F1192)</f>
        <v/>
      </c>
      <c r="F1192" t="str">
        <f>IF(DONNEES!$E1192="","",DONNEES!G1192)</f>
        <v/>
      </c>
      <c r="G1192" t="str">
        <f>IF(DONNEES!$E1192="","",DONNEES!H1192)</f>
        <v/>
      </c>
      <c r="H1192" t="str">
        <f>IF(DONNEES!$E1192="","",DONNEES!I1192)</f>
        <v/>
      </c>
      <c r="I1192" t="str">
        <f>IF(DONNEES!$E1192="","",DONNEES!J1192)</f>
        <v/>
      </c>
      <c r="J1192" t="str">
        <f>IF(DONNEES!$E1192="","",DONNEES!K1192)</f>
        <v/>
      </c>
      <c r="K1192" t="str">
        <f>IF(DONNEES!$E1192="","",DONNEES!L1192)</f>
        <v/>
      </c>
      <c r="L1192" t="str">
        <f>IF(DONNEES!$E1192="","",DONNEES!M1192)</f>
        <v/>
      </c>
      <c r="M1192" t="str">
        <f>IF(DONNEES!$E1192="","",DONNEES!N1192)</f>
        <v/>
      </c>
      <c r="N1192" t="str">
        <f>IF(DONNEES!$E1192="","",DONNEES!O1192)</f>
        <v/>
      </c>
      <c r="O1192" t="str">
        <f>IF(DONNEES!$E1192="","",DONNEES!P1192)</f>
        <v/>
      </c>
      <c r="P1192" t="str">
        <f>IF(DONNEES!$E1192="","",DONNEES!Q1192)</f>
        <v/>
      </c>
      <c r="Q1192" t="str">
        <f>IF(DONNEES!$E1192="","",DONNEES!R1192)</f>
        <v/>
      </c>
      <c r="R1192" t="str">
        <f>IF(DONNEES!$E1192="","",DONNEES!S1192)</f>
        <v/>
      </c>
      <c r="S1192" t="str">
        <f>IF(DONNEES!$E1192="","",DONNEES!T1192)</f>
        <v/>
      </c>
      <c r="T1192" t="str">
        <f>IF(DONNEES!$E1192="","",DONNEES!U1192)</f>
        <v/>
      </c>
      <c r="U1192" t="str">
        <f>IF(DONNEES!$E1192="","",DONNEES!V1192)</f>
        <v/>
      </c>
      <c r="V1192" t="str">
        <f>IF(DONNEES!$E1192="","",DONNEES!W1192)</f>
        <v/>
      </c>
      <c r="W1192" t="str">
        <f>IF(DONNEES!$E1192="","",DONNEES!X1192)</f>
        <v/>
      </c>
      <c r="X1192" t="str">
        <f>IF(DONNEES!$E1192="","",DONNEES!Y1192)</f>
        <v/>
      </c>
      <c r="Y1192" t="str">
        <f>IF(DONNEES!$E1192="","",DONNEES!Z1192)</f>
        <v/>
      </c>
      <c r="Z1192" t="str">
        <f>IF(DONNEES!$E1192="","",DONNEES!AQ1192)</f>
        <v/>
      </c>
    </row>
    <row r="1193" spans="1:26" ht="15" customHeight="1" x14ac:dyDescent="0.3">
      <c r="A1193" t="str">
        <f>IF(DONNEES!$E1193="","",DONNEES!A1193)</f>
        <v/>
      </c>
      <c r="B1193" t="str">
        <f>IF(DONNEES!$E1193="","",DONNEES!B1193)</f>
        <v/>
      </c>
      <c r="C1193" t="str">
        <f>IF(DONNEES!$E1193="","",DONNEES!C1193)</f>
        <v/>
      </c>
      <c r="D1193" t="str">
        <f>IF(DONNEES!$E1193="","",DONNEES!E1193)</f>
        <v/>
      </c>
      <c r="E1193" t="str">
        <f>IF(DONNEES!$E1193="","",DONNEES!F1193)</f>
        <v/>
      </c>
      <c r="F1193" t="str">
        <f>IF(DONNEES!$E1193="","",DONNEES!G1193)</f>
        <v/>
      </c>
      <c r="G1193" t="str">
        <f>IF(DONNEES!$E1193="","",DONNEES!H1193)</f>
        <v/>
      </c>
      <c r="H1193" t="str">
        <f>IF(DONNEES!$E1193="","",DONNEES!I1193)</f>
        <v/>
      </c>
      <c r="I1193" t="str">
        <f>IF(DONNEES!$E1193="","",DONNEES!J1193)</f>
        <v/>
      </c>
      <c r="J1193" t="str">
        <f>IF(DONNEES!$E1193="","",DONNEES!K1193)</f>
        <v/>
      </c>
      <c r="K1193" t="str">
        <f>IF(DONNEES!$E1193="","",DONNEES!L1193)</f>
        <v/>
      </c>
      <c r="L1193" t="str">
        <f>IF(DONNEES!$E1193="","",DONNEES!M1193)</f>
        <v/>
      </c>
      <c r="M1193" t="str">
        <f>IF(DONNEES!$E1193="","",DONNEES!N1193)</f>
        <v/>
      </c>
      <c r="N1193" t="str">
        <f>IF(DONNEES!$E1193="","",DONNEES!O1193)</f>
        <v/>
      </c>
      <c r="O1193" t="str">
        <f>IF(DONNEES!$E1193="","",DONNEES!P1193)</f>
        <v/>
      </c>
      <c r="P1193" t="str">
        <f>IF(DONNEES!$E1193="","",DONNEES!Q1193)</f>
        <v/>
      </c>
      <c r="Q1193" t="str">
        <f>IF(DONNEES!$E1193="","",DONNEES!R1193)</f>
        <v/>
      </c>
      <c r="R1193" t="str">
        <f>IF(DONNEES!$E1193="","",DONNEES!S1193)</f>
        <v/>
      </c>
      <c r="S1193" t="str">
        <f>IF(DONNEES!$E1193="","",DONNEES!T1193)</f>
        <v/>
      </c>
      <c r="T1193" t="str">
        <f>IF(DONNEES!$E1193="","",DONNEES!U1193)</f>
        <v/>
      </c>
      <c r="U1193" t="str">
        <f>IF(DONNEES!$E1193="","",DONNEES!V1193)</f>
        <v/>
      </c>
      <c r="V1193" t="str">
        <f>IF(DONNEES!$E1193="","",DONNEES!W1193)</f>
        <v/>
      </c>
      <c r="W1193" t="str">
        <f>IF(DONNEES!$E1193="","",DONNEES!X1193)</f>
        <v/>
      </c>
      <c r="X1193" t="str">
        <f>IF(DONNEES!$E1193="","",DONNEES!Y1193)</f>
        <v/>
      </c>
      <c r="Y1193" t="str">
        <f>IF(DONNEES!$E1193="","",DONNEES!Z1193)</f>
        <v/>
      </c>
      <c r="Z1193" t="str">
        <f>IF(DONNEES!$E1193="","",DONNEES!AQ1193)</f>
        <v/>
      </c>
    </row>
    <row r="1194" spans="1:26" ht="15" customHeight="1" x14ac:dyDescent="0.3">
      <c r="A1194" t="str">
        <f>IF(DONNEES!$E1194="","",DONNEES!A1194)</f>
        <v/>
      </c>
      <c r="B1194" t="str">
        <f>IF(DONNEES!$E1194="","",DONNEES!B1194)</f>
        <v/>
      </c>
      <c r="C1194" t="str">
        <f>IF(DONNEES!$E1194="","",DONNEES!C1194)</f>
        <v/>
      </c>
      <c r="D1194" t="str">
        <f>IF(DONNEES!$E1194="","",DONNEES!E1194)</f>
        <v/>
      </c>
      <c r="E1194" t="str">
        <f>IF(DONNEES!$E1194="","",DONNEES!F1194)</f>
        <v/>
      </c>
      <c r="F1194" t="str">
        <f>IF(DONNEES!$E1194="","",DONNEES!G1194)</f>
        <v/>
      </c>
      <c r="G1194" t="str">
        <f>IF(DONNEES!$E1194="","",DONNEES!H1194)</f>
        <v/>
      </c>
      <c r="H1194" t="str">
        <f>IF(DONNEES!$E1194="","",DONNEES!I1194)</f>
        <v/>
      </c>
      <c r="I1194" t="str">
        <f>IF(DONNEES!$E1194="","",DONNEES!J1194)</f>
        <v/>
      </c>
      <c r="J1194" t="str">
        <f>IF(DONNEES!$E1194="","",DONNEES!K1194)</f>
        <v/>
      </c>
      <c r="K1194" t="str">
        <f>IF(DONNEES!$E1194="","",DONNEES!L1194)</f>
        <v/>
      </c>
      <c r="L1194" t="str">
        <f>IF(DONNEES!$E1194="","",DONNEES!M1194)</f>
        <v/>
      </c>
      <c r="M1194" t="str">
        <f>IF(DONNEES!$E1194="","",DONNEES!N1194)</f>
        <v/>
      </c>
      <c r="N1194" t="str">
        <f>IF(DONNEES!$E1194="","",DONNEES!O1194)</f>
        <v/>
      </c>
      <c r="O1194" t="str">
        <f>IF(DONNEES!$E1194="","",DONNEES!P1194)</f>
        <v/>
      </c>
      <c r="P1194" t="str">
        <f>IF(DONNEES!$E1194="","",DONNEES!Q1194)</f>
        <v/>
      </c>
      <c r="Q1194" t="str">
        <f>IF(DONNEES!$E1194="","",DONNEES!R1194)</f>
        <v/>
      </c>
      <c r="R1194" t="str">
        <f>IF(DONNEES!$E1194="","",DONNEES!S1194)</f>
        <v/>
      </c>
      <c r="S1194" t="str">
        <f>IF(DONNEES!$E1194="","",DONNEES!T1194)</f>
        <v/>
      </c>
      <c r="T1194" t="str">
        <f>IF(DONNEES!$E1194="","",DONNEES!U1194)</f>
        <v/>
      </c>
      <c r="U1194" t="str">
        <f>IF(DONNEES!$E1194="","",DONNEES!V1194)</f>
        <v/>
      </c>
      <c r="V1194" t="str">
        <f>IF(DONNEES!$E1194="","",DONNEES!W1194)</f>
        <v/>
      </c>
      <c r="W1194" t="str">
        <f>IF(DONNEES!$E1194="","",DONNEES!X1194)</f>
        <v/>
      </c>
      <c r="X1194" t="str">
        <f>IF(DONNEES!$E1194="","",DONNEES!Y1194)</f>
        <v/>
      </c>
      <c r="Y1194" t="str">
        <f>IF(DONNEES!$E1194="","",DONNEES!Z1194)</f>
        <v/>
      </c>
      <c r="Z1194" t="str">
        <f>IF(DONNEES!$E1194="","",DONNEES!AQ1194)</f>
        <v/>
      </c>
    </row>
    <row r="1195" spans="1:26" ht="15" customHeight="1" x14ac:dyDescent="0.3">
      <c r="A1195" t="str">
        <f>IF(DONNEES!$E1195="","",DONNEES!A1195)</f>
        <v/>
      </c>
      <c r="B1195" t="str">
        <f>IF(DONNEES!$E1195="","",DONNEES!B1195)</f>
        <v/>
      </c>
      <c r="C1195" t="str">
        <f>IF(DONNEES!$E1195="","",DONNEES!C1195)</f>
        <v/>
      </c>
      <c r="D1195" t="str">
        <f>IF(DONNEES!$E1195="","",DONNEES!E1195)</f>
        <v/>
      </c>
      <c r="E1195" t="str">
        <f>IF(DONNEES!$E1195="","",DONNEES!F1195)</f>
        <v/>
      </c>
      <c r="F1195" t="str">
        <f>IF(DONNEES!$E1195="","",DONNEES!G1195)</f>
        <v/>
      </c>
      <c r="G1195" t="str">
        <f>IF(DONNEES!$E1195="","",DONNEES!H1195)</f>
        <v/>
      </c>
      <c r="H1195" t="str">
        <f>IF(DONNEES!$E1195="","",DONNEES!I1195)</f>
        <v/>
      </c>
      <c r="I1195" t="str">
        <f>IF(DONNEES!$E1195="","",DONNEES!J1195)</f>
        <v/>
      </c>
      <c r="J1195" t="str">
        <f>IF(DONNEES!$E1195="","",DONNEES!K1195)</f>
        <v/>
      </c>
      <c r="K1195" t="str">
        <f>IF(DONNEES!$E1195="","",DONNEES!L1195)</f>
        <v/>
      </c>
      <c r="L1195" t="str">
        <f>IF(DONNEES!$E1195="","",DONNEES!M1195)</f>
        <v/>
      </c>
      <c r="M1195" t="str">
        <f>IF(DONNEES!$E1195="","",DONNEES!N1195)</f>
        <v/>
      </c>
      <c r="N1195" t="str">
        <f>IF(DONNEES!$E1195="","",DONNEES!O1195)</f>
        <v/>
      </c>
      <c r="O1195" t="str">
        <f>IF(DONNEES!$E1195="","",DONNEES!P1195)</f>
        <v/>
      </c>
      <c r="P1195" t="str">
        <f>IF(DONNEES!$E1195="","",DONNEES!Q1195)</f>
        <v/>
      </c>
      <c r="Q1195" t="str">
        <f>IF(DONNEES!$E1195="","",DONNEES!R1195)</f>
        <v/>
      </c>
      <c r="R1195" t="str">
        <f>IF(DONNEES!$E1195="","",DONNEES!S1195)</f>
        <v/>
      </c>
      <c r="S1195" t="str">
        <f>IF(DONNEES!$E1195="","",DONNEES!T1195)</f>
        <v/>
      </c>
      <c r="T1195" t="str">
        <f>IF(DONNEES!$E1195="","",DONNEES!U1195)</f>
        <v/>
      </c>
      <c r="U1195" t="str">
        <f>IF(DONNEES!$E1195="","",DONNEES!V1195)</f>
        <v/>
      </c>
      <c r="V1195" t="str">
        <f>IF(DONNEES!$E1195="","",DONNEES!W1195)</f>
        <v/>
      </c>
      <c r="W1195" t="str">
        <f>IF(DONNEES!$E1195="","",DONNEES!X1195)</f>
        <v/>
      </c>
      <c r="X1195" t="str">
        <f>IF(DONNEES!$E1195="","",DONNEES!Y1195)</f>
        <v/>
      </c>
      <c r="Y1195" t="str">
        <f>IF(DONNEES!$E1195="","",DONNEES!Z1195)</f>
        <v/>
      </c>
      <c r="Z1195" t="str">
        <f>IF(DONNEES!$E1195="","",DONNEES!AQ1195)</f>
        <v/>
      </c>
    </row>
    <row r="1196" spans="1:26" ht="15" customHeight="1" x14ac:dyDescent="0.3">
      <c r="A1196" t="str">
        <f>IF(DONNEES!$E1196="","",DONNEES!A1196)</f>
        <v/>
      </c>
      <c r="B1196" t="str">
        <f>IF(DONNEES!$E1196="","",DONNEES!B1196)</f>
        <v/>
      </c>
      <c r="C1196" t="str">
        <f>IF(DONNEES!$E1196="","",DONNEES!C1196)</f>
        <v/>
      </c>
      <c r="D1196" t="str">
        <f>IF(DONNEES!$E1196="","",DONNEES!E1196)</f>
        <v/>
      </c>
      <c r="E1196" t="str">
        <f>IF(DONNEES!$E1196="","",DONNEES!F1196)</f>
        <v/>
      </c>
      <c r="F1196" t="str">
        <f>IF(DONNEES!$E1196="","",DONNEES!G1196)</f>
        <v/>
      </c>
      <c r="G1196" t="str">
        <f>IF(DONNEES!$E1196="","",DONNEES!H1196)</f>
        <v/>
      </c>
      <c r="H1196" t="str">
        <f>IF(DONNEES!$E1196="","",DONNEES!I1196)</f>
        <v/>
      </c>
      <c r="I1196" t="str">
        <f>IF(DONNEES!$E1196="","",DONNEES!J1196)</f>
        <v/>
      </c>
      <c r="J1196" t="str">
        <f>IF(DONNEES!$E1196="","",DONNEES!K1196)</f>
        <v/>
      </c>
      <c r="K1196" t="str">
        <f>IF(DONNEES!$E1196="","",DONNEES!L1196)</f>
        <v/>
      </c>
      <c r="L1196" t="str">
        <f>IF(DONNEES!$E1196="","",DONNEES!M1196)</f>
        <v/>
      </c>
      <c r="M1196" t="str">
        <f>IF(DONNEES!$E1196="","",DONNEES!N1196)</f>
        <v/>
      </c>
      <c r="N1196" t="str">
        <f>IF(DONNEES!$E1196="","",DONNEES!O1196)</f>
        <v/>
      </c>
      <c r="O1196" t="str">
        <f>IF(DONNEES!$E1196="","",DONNEES!P1196)</f>
        <v/>
      </c>
      <c r="P1196" t="str">
        <f>IF(DONNEES!$E1196="","",DONNEES!Q1196)</f>
        <v/>
      </c>
      <c r="Q1196" t="str">
        <f>IF(DONNEES!$E1196="","",DONNEES!R1196)</f>
        <v/>
      </c>
      <c r="R1196" t="str">
        <f>IF(DONNEES!$E1196="","",DONNEES!S1196)</f>
        <v/>
      </c>
      <c r="S1196" t="str">
        <f>IF(DONNEES!$E1196="","",DONNEES!T1196)</f>
        <v/>
      </c>
      <c r="T1196" t="str">
        <f>IF(DONNEES!$E1196="","",DONNEES!U1196)</f>
        <v/>
      </c>
      <c r="U1196" t="str">
        <f>IF(DONNEES!$E1196="","",DONNEES!V1196)</f>
        <v/>
      </c>
      <c r="V1196" t="str">
        <f>IF(DONNEES!$E1196="","",DONNEES!W1196)</f>
        <v/>
      </c>
      <c r="W1196" t="str">
        <f>IF(DONNEES!$E1196="","",DONNEES!X1196)</f>
        <v/>
      </c>
      <c r="X1196" t="str">
        <f>IF(DONNEES!$E1196="","",DONNEES!Y1196)</f>
        <v/>
      </c>
      <c r="Y1196" t="str">
        <f>IF(DONNEES!$E1196="","",DONNEES!Z1196)</f>
        <v/>
      </c>
      <c r="Z1196" t="str">
        <f>IF(DONNEES!$E1196="","",DONNEES!AQ1196)</f>
        <v/>
      </c>
    </row>
    <row r="1197" spans="1:26" ht="15" customHeight="1" x14ac:dyDescent="0.3">
      <c r="A1197" t="str">
        <f>IF(DONNEES!$E1197="","",DONNEES!A1197)</f>
        <v/>
      </c>
      <c r="B1197" t="str">
        <f>IF(DONNEES!$E1197="","",DONNEES!B1197)</f>
        <v/>
      </c>
      <c r="C1197" t="str">
        <f>IF(DONNEES!$E1197="","",DONNEES!C1197)</f>
        <v/>
      </c>
      <c r="D1197" t="str">
        <f>IF(DONNEES!$E1197="","",DONNEES!E1197)</f>
        <v/>
      </c>
      <c r="E1197" t="str">
        <f>IF(DONNEES!$E1197="","",DONNEES!F1197)</f>
        <v/>
      </c>
      <c r="F1197" t="str">
        <f>IF(DONNEES!$E1197="","",DONNEES!G1197)</f>
        <v/>
      </c>
      <c r="G1197" t="str">
        <f>IF(DONNEES!$E1197="","",DONNEES!H1197)</f>
        <v/>
      </c>
      <c r="H1197" t="str">
        <f>IF(DONNEES!$E1197="","",DONNEES!I1197)</f>
        <v/>
      </c>
      <c r="I1197" t="str">
        <f>IF(DONNEES!$E1197="","",DONNEES!J1197)</f>
        <v/>
      </c>
      <c r="J1197" t="str">
        <f>IF(DONNEES!$E1197="","",DONNEES!K1197)</f>
        <v/>
      </c>
      <c r="K1197" t="str">
        <f>IF(DONNEES!$E1197="","",DONNEES!L1197)</f>
        <v/>
      </c>
      <c r="L1197" t="str">
        <f>IF(DONNEES!$E1197="","",DONNEES!M1197)</f>
        <v/>
      </c>
      <c r="M1197" t="str">
        <f>IF(DONNEES!$E1197="","",DONNEES!N1197)</f>
        <v/>
      </c>
      <c r="N1197" t="str">
        <f>IF(DONNEES!$E1197="","",DONNEES!O1197)</f>
        <v/>
      </c>
      <c r="O1197" t="str">
        <f>IF(DONNEES!$E1197="","",DONNEES!P1197)</f>
        <v/>
      </c>
      <c r="P1197" t="str">
        <f>IF(DONNEES!$E1197="","",DONNEES!Q1197)</f>
        <v/>
      </c>
      <c r="Q1197" t="str">
        <f>IF(DONNEES!$E1197="","",DONNEES!R1197)</f>
        <v/>
      </c>
      <c r="R1197" t="str">
        <f>IF(DONNEES!$E1197="","",DONNEES!S1197)</f>
        <v/>
      </c>
      <c r="S1197" t="str">
        <f>IF(DONNEES!$E1197="","",DONNEES!T1197)</f>
        <v/>
      </c>
      <c r="T1197" t="str">
        <f>IF(DONNEES!$E1197="","",DONNEES!U1197)</f>
        <v/>
      </c>
      <c r="U1197" t="str">
        <f>IF(DONNEES!$E1197="","",DONNEES!V1197)</f>
        <v/>
      </c>
      <c r="V1197" t="str">
        <f>IF(DONNEES!$E1197="","",DONNEES!W1197)</f>
        <v/>
      </c>
      <c r="W1197" t="str">
        <f>IF(DONNEES!$E1197="","",DONNEES!X1197)</f>
        <v/>
      </c>
      <c r="X1197" t="str">
        <f>IF(DONNEES!$E1197="","",DONNEES!Y1197)</f>
        <v/>
      </c>
      <c r="Y1197" t="str">
        <f>IF(DONNEES!$E1197="","",DONNEES!Z1197)</f>
        <v/>
      </c>
      <c r="Z1197" t="str">
        <f>IF(DONNEES!$E1197="","",DONNEES!AQ1197)</f>
        <v/>
      </c>
    </row>
    <row r="1198" spans="1:26" ht="15" customHeight="1" x14ac:dyDescent="0.3">
      <c r="A1198" t="str">
        <f>IF(DONNEES!$E1198="","",DONNEES!A1198)</f>
        <v/>
      </c>
      <c r="B1198" t="str">
        <f>IF(DONNEES!$E1198="","",DONNEES!B1198)</f>
        <v/>
      </c>
      <c r="C1198" t="str">
        <f>IF(DONNEES!$E1198="","",DONNEES!C1198)</f>
        <v/>
      </c>
      <c r="D1198" t="str">
        <f>IF(DONNEES!$E1198="","",DONNEES!E1198)</f>
        <v/>
      </c>
      <c r="E1198" t="str">
        <f>IF(DONNEES!$E1198="","",DONNEES!F1198)</f>
        <v/>
      </c>
      <c r="F1198" t="str">
        <f>IF(DONNEES!$E1198="","",DONNEES!G1198)</f>
        <v/>
      </c>
      <c r="G1198" t="str">
        <f>IF(DONNEES!$E1198="","",DONNEES!H1198)</f>
        <v/>
      </c>
      <c r="H1198" t="str">
        <f>IF(DONNEES!$E1198="","",DONNEES!I1198)</f>
        <v/>
      </c>
      <c r="I1198" t="str">
        <f>IF(DONNEES!$E1198="","",DONNEES!J1198)</f>
        <v/>
      </c>
      <c r="J1198" t="str">
        <f>IF(DONNEES!$E1198="","",DONNEES!K1198)</f>
        <v/>
      </c>
      <c r="K1198" t="str">
        <f>IF(DONNEES!$E1198="","",DONNEES!L1198)</f>
        <v/>
      </c>
      <c r="L1198" t="str">
        <f>IF(DONNEES!$E1198="","",DONNEES!M1198)</f>
        <v/>
      </c>
      <c r="M1198" t="str">
        <f>IF(DONNEES!$E1198="","",DONNEES!N1198)</f>
        <v/>
      </c>
      <c r="N1198" t="str">
        <f>IF(DONNEES!$E1198="","",DONNEES!O1198)</f>
        <v/>
      </c>
      <c r="O1198" t="str">
        <f>IF(DONNEES!$E1198="","",DONNEES!P1198)</f>
        <v/>
      </c>
      <c r="P1198" t="str">
        <f>IF(DONNEES!$E1198="","",DONNEES!Q1198)</f>
        <v/>
      </c>
      <c r="Q1198" t="str">
        <f>IF(DONNEES!$E1198="","",DONNEES!R1198)</f>
        <v/>
      </c>
      <c r="R1198" t="str">
        <f>IF(DONNEES!$E1198="","",DONNEES!S1198)</f>
        <v/>
      </c>
      <c r="S1198" t="str">
        <f>IF(DONNEES!$E1198="","",DONNEES!T1198)</f>
        <v/>
      </c>
      <c r="T1198" t="str">
        <f>IF(DONNEES!$E1198="","",DONNEES!U1198)</f>
        <v/>
      </c>
      <c r="U1198" t="str">
        <f>IF(DONNEES!$E1198="","",DONNEES!V1198)</f>
        <v/>
      </c>
      <c r="V1198" t="str">
        <f>IF(DONNEES!$E1198="","",DONNEES!W1198)</f>
        <v/>
      </c>
      <c r="W1198" t="str">
        <f>IF(DONNEES!$E1198="","",DONNEES!X1198)</f>
        <v/>
      </c>
      <c r="X1198" t="str">
        <f>IF(DONNEES!$E1198="","",DONNEES!Y1198)</f>
        <v/>
      </c>
      <c r="Y1198" t="str">
        <f>IF(DONNEES!$E1198="","",DONNEES!Z1198)</f>
        <v/>
      </c>
      <c r="Z1198" t="str">
        <f>IF(DONNEES!$E1198="","",DONNEES!AQ1198)</f>
        <v/>
      </c>
    </row>
    <row r="1199" spans="1:26" ht="15" customHeight="1" x14ac:dyDescent="0.3">
      <c r="A1199" t="str">
        <f>IF(DONNEES!$E1199="","",DONNEES!A1199)</f>
        <v/>
      </c>
      <c r="B1199" t="str">
        <f>IF(DONNEES!$E1199="","",DONNEES!B1199)</f>
        <v/>
      </c>
      <c r="C1199" t="str">
        <f>IF(DONNEES!$E1199="","",DONNEES!C1199)</f>
        <v/>
      </c>
      <c r="D1199" t="str">
        <f>IF(DONNEES!$E1199="","",DONNEES!E1199)</f>
        <v/>
      </c>
      <c r="E1199" t="str">
        <f>IF(DONNEES!$E1199="","",DONNEES!F1199)</f>
        <v/>
      </c>
      <c r="F1199" t="str">
        <f>IF(DONNEES!$E1199="","",DONNEES!G1199)</f>
        <v/>
      </c>
      <c r="G1199" t="str">
        <f>IF(DONNEES!$E1199="","",DONNEES!H1199)</f>
        <v/>
      </c>
      <c r="H1199" t="str">
        <f>IF(DONNEES!$E1199="","",DONNEES!I1199)</f>
        <v/>
      </c>
      <c r="I1199" t="str">
        <f>IF(DONNEES!$E1199="","",DONNEES!J1199)</f>
        <v/>
      </c>
      <c r="J1199" t="str">
        <f>IF(DONNEES!$E1199="","",DONNEES!K1199)</f>
        <v/>
      </c>
      <c r="K1199" t="str">
        <f>IF(DONNEES!$E1199="","",DONNEES!L1199)</f>
        <v/>
      </c>
      <c r="L1199" t="str">
        <f>IF(DONNEES!$E1199="","",DONNEES!M1199)</f>
        <v/>
      </c>
      <c r="M1199" t="str">
        <f>IF(DONNEES!$E1199="","",DONNEES!N1199)</f>
        <v/>
      </c>
      <c r="N1199" t="str">
        <f>IF(DONNEES!$E1199="","",DONNEES!O1199)</f>
        <v/>
      </c>
      <c r="O1199" t="str">
        <f>IF(DONNEES!$E1199="","",DONNEES!P1199)</f>
        <v/>
      </c>
      <c r="P1199" t="str">
        <f>IF(DONNEES!$E1199="","",DONNEES!Q1199)</f>
        <v/>
      </c>
      <c r="Q1199" t="str">
        <f>IF(DONNEES!$E1199="","",DONNEES!R1199)</f>
        <v/>
      </c>
      <c r="R1199" t="str">
        <f>IF(DONNEES!$E1199="","",DONNEES!S1199)</f>
        <v/>
      </c>
      <c r="S1199" t="str">
        <f>IF(DONNEES!$E1199="","",DONNEES!T1199)</f>
        <v/>
      </c>
      <c r="T1199" t="str">
        <f>IF(DONNEES!$E1199="","",DONNEES!U1199)</f>
        <v/>
      </c>
      <c r="U1199" t="str">
        <f>IF(DONNEES!$E1199="","",DONNEES!V1199)</f>
        <v/>
      </c>
      <c r="V1199" t="str">
        <f>IF(DONNEES!$E1199="","",DONNEES!W1199)</f>
        <v/>
      </c>
      <c r="W1199" t="str">
        <f>IF(DONNEES!$E1199="","",DONNEES!X1199)</f>
        <v/>
      </c>
      <c r="X1199" t="str">
        <f>IF(DONNEES!$E1199="","",DONNEES!Y1199)</f>
        <v/>
      </c>
      <c r="Y1199" t="str">
        <f>IF(DONNEES!$E1199="","",DONNEES!Z1199)</f>
        <v/>
      </c>
      <c r="Z1199" t="str">
        <f>IF(DONNEES!$E1199="","",DONNEES!AQ1199)</f>
        <v/>
      </c>
    </row>
    <row r="1200" spans="1:26" ht="15" customHeight="1" x14ac:dyDescent="0.3">
      <c r="A1200" t="str">
        <f>IF(DONNEES!$E1200="","",DONNEES!A1200)</f>
        <v/>
      </c>
      <c r="B1200" t="str">
        <f>IF(DONNEES!$E1200="","",DONNEES!B1200)</f>
        <v/>
      </c>
      <c r="C1200" t="str">
        <f>IF(DONNEES!$E1200="","",DONNEES!C1200)</f>
        <v/>
      </c>
      <c r="D1200" t="str">
        <f>IF(DONNEES!$E1200="","",DONNEES!E1200)</f>
        <v/>
      </c>
      <c r="E1200" t="str">
        <f>IF(DONNEES!$E1200="","",DONNEES!F1200)</f>
        <v/>
      </c>
      <c r="F1200" t="str">
        <f>IF(DONNEES!$E1200="","",DONNEES!G1200)</f>
        <v/>
      </c>
      <c r="G1200" t="str">
        <f>IF(DONNEES!$E1200="","",DONNEES!H1200)</f>
        <v/>
      </c>
      <c r="H1200" t="str">
        <f>IF(DONNEES!$E1200="","",DONNEES!I1200)</f>
        <v/>
      </c>
      <c r="I1200" t="str">
        <f>IF(DONNEES!$E1200="","",DONNEES!J1200)</f>
        <v/>
      </c>
      <c r="J1200" t="str">
        <f>IF(DONNEES!$E1200="","",DONNEES!K1200)</f>
        <v/>
      </c>
      <c r="K1200" t="str">
        <f>IF(DONNEES!$E1200="","",DONNEES!L1200)</f>
        <v/>
      </c>
      <c r="L1200" t="str">
        <f>IF(DONNEES!$E1200="","",DONNEES!M1200)</f>
        <v/>
      </c>
      <c r="M1200" t="str">
        <f>IF(DONNEES!$E1200="","",DONNEES!N1200)</f>
        <v/>
      </c>
      <c r="N1200" t="str">
        <f>IF(DONNEES!$E1200="","",DONNEES!O1200)</f>
        <v/>
      </c>
      <c r="O1200" t="str">
        <f>IF(DONNEES!$E1200="","",DONNEES!P1200)</f>
        <v/>
      </c>
      <c r="P1200" t="str">
        <f>IF(DONNEES!$E1200="","",DONNEES!Q1200)</f>
        <v/>
      </c>
      <c r="Q1200" t="str">
        <f>IF(DONNEES!$E1200="","",DONNEES!R1200)</f>
        <v/>
      </c>
      <c r="R1200" t="str">
        <f>IF(DONNEES!$E1200="","",DONNEES!S1200)</f>
        <v/>
      </c>
      <c r="S1200" t="str">
        <f>IF(DONNEES!$E1200="","",DONNEES!T1200)</f>
        <v/>
      </c>
      <c r="T1200" t="str">
        <f>IF(DONNEES!$E1200="","",DONNEES!U1200)</f>
        <v/>
      </c>
      <c r="U1200" t="str">
        <f>IF(DONNEES!$E1200="","",DONNEES!V1200)</f>
        <v/>
      </c>
      <c r="V1200" t="str">
        <f>IF(DONNEES!$E1200="","",DONNEES!W1200)</f>
        <v/>
      </c>
      <c r="W1200" t="str">
        <f>IF(DONNEES!$E1200="","",DONNEES!X1200)</f>
        <v/>
      </c>
      <c r="X1200" t="str">
        <f>IF(DONNEES!$E1200="","",DONNEES!Y1200)</f>
        <v/>
      </c>
      <c r="Y1200" t="str">
        <f>IF(DONNEES!$E1200="","",DONNEES!Z1200)</f>
        <v/>
      </c>
      <c r="Z1200" t="str">
        <f>IF(DONNEES!$E1200="","",DONNEES!AQ1200)</f>
        <v/>
      </c>
    </row>
    <row r="1201" spans="1:26" ht="15" customHeight="1" x14ac:dyDescent="0.3">
      <c r="A1201" t="str">
        <f>IF(DONNEES!$E1201="","",DONNEES!A1201)</f>
        <v/>
      </c>
      <c r="B1201" t="str">
        <f>IF(DONNEES!$E1201="","",DONNEES!B1201)</f>
        <v/>
      </c>
      <c r="C1201" t="str">
        <f>IF(DONNEES!$E1201="","",DONNEES!C1201)</f>
        <v/>
      </c>
      <c r="D1201" t="str">
        <f>IF(DONNEES!$E1201="","",DONNEES!E1201)</f>
        <v/>
      </c>
      <c r="E1201" t="str">
        <f>IF(DONNEES!$E1201="","",DONNEES!F1201)</f>
        <v/>
      </c>
      <c r="F1201" t="str">
        <f>IF(DONNEES!$E1201="","",DONNEES!G1201)</f>
        <v/>
      </c>
      <c r="G1201" t="str">
        <f>IF(DONNEES!$E1201="","",DONNEES!H1201)</f>
        <v/>
      </c>
      <c r="H1201" t="str">
        <f>IF(DONNEES!$E1201="","",DONNEES!I1201)</f>
        <v/>
      </c>
      <c r="I1201" t="str">
        <f>IF(DONNEES!$E1201="","",DONNEES!J1201)</f>
        <v/>
      </c>
      <c r="J1201" t="str">
        <f>IF(DONNEES!$E1201="","",DONNEES!K1201)</f>
        <v/>
      </c>
      <c r="K1201" t="str">
        <f>IF(DONNEES!$E1201="","",DONNEES!L1201)</f>
        <v/>
      </c>
      <c r="L1201" t="str">
        <f>IF(DONNEES!$E1201="","",DONNEES!M1201)</f>
        <v/>
      </c>
      <c r="M1201" t="str">
        <f>IF(DONNEES!$E1201="","",DONNEES!N1201)</f>
        <v/>
      </c>
      <c r="N1201" t="str">
        <f>IF(DONNEES!$E1201="","",DONNEES!O1201)</f>
        <v/>
      </c>
      <c r="O1201" t="str">
        <f>IF(DONNEES!$E1201="","",DONNEES!P1201)</f>
        <v/>
      </c>
      <c r="P1201" t="str">
        <f>IF(DONNEES!$E1201="","",DONNEES!Q1201)</f>
        <v/>
      </c>
      <c r="Q1201" t="str">
        <f>IF(DONNEES!$E1201="","",DONNEES!R1201)</f>
        <v/>
      </c>
      <c r="R1201" t="str">
        <f>IF(DONNEES!$E1201="","",DONNEES!S1201)</f>
        <v/>
      </c>
      <c r="S1201" t="str">
        <f>IF(DONNEES!$E1201="","",DONNEES!T1201)</f>
        <v/>
      </c>
      <c r="T1201" t="str">
        <f>IF(DONNEES!$E1201="","",DONNEES!U1201)</f>
        <v/>
      </c>
      <c r="U1201" t="str">
        <f>IF(DONNEES!$E1201="","",DONNEES!V1201)</f>
        <v/>
      </c>
      <c r="V1201" t="str">
        <f>IF(DONNEES!$E1201="","",DONNEES!W1201)</f>
        <v/>
      </c>
      <c r="W1201" t="str">
        <f>IF(DONNEES!$E1201="","",DONNEES!X1201)</f>
        <v/>
      </c>
      <c r="X1201" t="str">
        <f>IF(DONNEES!$E1201="","",DONNEES!Y1201)</f>
        <v/>
      </c>
      <c r="Y1201" t="str">
        <f>IF(DONNEES!$E1201="","",DONNEES!Z1201)</f>
        <v/>
      </c>
      <c r="Z1201" t="str">
        <f>IF(DONNEES!$E1201="","",DONNEES!AQ1201)</f>
        <v/>
      </c>
    </row>
  </sheetData>
  <sheetProtection sheet="1" formatCells="0" formatColumns="0" formatRows="0" sort="0" autoFilter="0"/>
  <autoFilter ref="A1:Z1201" xr:uid="{00000000-0009-0000-0000-00000A000000}"/>
  <pageMargins left="0.3" right="0.3" top="1" bottom="1" header="0.511811023622047" footer="0.511811023622047"/>
  <pageSetup paperSize="9" fitToHeight="0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6B6B7B"/>
    <pageSetUpPr fitToPage="1"/>
  </sheetPr>
  <dimension ref="A1:W139"/>
  <sheetViews>
    <sheetView showGridLines="0" zoomScaleNormal="100" workbookViewId="0">
      <pane ySplit="1" topLeftCell="A2" activePane="bottomLeft" state="frozen"/>
      <selection pane="bottomLeft" activeCell="C6" sqref="C6"/>
    </sheetView>
  </sheetViews>
  <sheetFormatPr baseColWidth="10" defaultColWidth="8.88671875" defaultRowHeight="14.4" x14ac:dyDescent="0.3"/>
  <cols>
    <col min="1" max="1" width="2.44140625" customWidth="1"/>
    <col min="2" max="2" width="26" customWidth="1"/>
    <col min="3" max="6" width="16" customWidth="1"/>
    <col min="7" max="8" width="14" customWidth="1"/>
    <col min="9" max="9" width="20" customWidth="1"/>
    <col min="10" max="10" width="14" hidden="1" customWidth="1"/>
    <col min="14" max="23" width="6" hidden="1" customWidth="1"/>
  </cols>
  <sheetData>
    <row r="1" spans="1:12" ht="31.5" customHeight="1" x14ac:dyDescent="0.3">
      <c r="A1" s="365" t="s">
        <v>302</v>
      </c>
      <c r="B1" s="365"/>
      <c r="C1" s="365"/>
      <c r="D1" s="365"/>
      <c r="E1" s="365"/>
      <c r="F1" s="365"/>
      <c r="G1" s="365"/>
      <c r="H1" s="365"/>
      <c r="I1" s="365"/>
      <c r="J1" s="365"/>
      <c r="L1" s="154" t="str">
        <f>HYPERLINK("#ACCUEIL!A1","← ACCUEIL")</f>
        <v>← ACCUEIL</v>
      </c>
    </row>
    <row r="2" spans="1:12" ht="6" customHeight="1" x14ac:dyDescent="0.3"/>
    <row r="3" spans="1:12" ht="14.25" customHeight="1" x14ac:dyDescent="0.3">
      <c r="B3" s="282" t="s">
        <v>303</v>
      </c>
      <c r="C3" s="282"/>
      <c r="D3" s="282"/>
      <c r="E3" s="282"/>
    </row>
    <row r="4" spans="1:12" ht="14.25" customHeight="1" x14ac:dyDescent="0.3">
      <c r="B4" s="30" t="s">
        <v>304</v>
      </c>
      <c r="C4" s="366" t="str">
        <f>IF(SAISIE!$F$4="","",SAISIE!$F$4)</f>
        <v/>
      </c>
      <c r="D4" s="366"/>
      <c r="E4" s="366"/>
    </row>
    <row r="5" spans="1:12" ht="14.25" customHeight="1" x14ac:dyDescent="0.3">
      <c r="B5" s="30" t="s">
        <v>275</v>
      </c>
      <c r="C5" s="367" t="str">
        <f>IF(SAISIE!$H$4="","",SAISIE!$H$4)</f>
        <v/>
      </c>
      <c r="D5" s="367"/>
      <c r="E5" s="367"/>
    </row>
    <row r="6" spans="1:12" ht="18" customHeight="1" x14ac:dyDescent="0.3">
      <c r="B6" s="137" t="s">
        <v>305</v>
      </c>
      <c r="C6" s="138" t="s">
        <v>306</v>
      </c>
      <c r="D6" s="29"/>
      <c r="E6" s="29" t="s">
        <v>307</v>
      </c>
    </row>
    <row r="8" spans="1:12" ht="14.25" customHeight="1" x14ac:dyDescent="0.3">
      <c r="B8" s="31" t="s">
        <v>308</v>
      </c>
    </row>
    <row r="9" spans="1:12" ht="14.25" customHeight="1" x14ac:dyDescent="0.3">
      <c r="B9" s="30" t="s">
        <v>309</v>
      </c>
      <c r="C9" s="30" t="s">
        <v>310</v>
      </c>
      <c r="D9" s="30" t="s">
        <v>238</v>
      </c>
      <c r="E9" s="30" t="s">
        <v>311</v>
      </c>
      <c r="F9" s="30" t="s">
        <v>115</v>
      </c>
      <c r="G9" s="30" t="s">
        <v>128</v>
      </c>
      <c r="H9" t="s">
        <v>462</v>
      </c>
    </row>
    <row r="10" spans="1:12" ht="14.25" customHeight="1" x14ac:dyDescent="0.3">
      <c r="B10" t="s">
        <v>306</v>
      </c>
      <c r="C10" t="s">
        <v>39</v>
      </c>
      <c r="D10">
        <v>2</v>
      </c>
      <c r="E10" t="s">
        <v>163</v>
      </c>
      <c r="F10" t="s">
        <v>312</v>
      </c>
      <c r="G10" t="s">
        <v>313</v>
      </c>
      <c r="H10">
        <f>VALUE(LEFT(ANNEE_ACTIVE,4))-4-0</f>
        <v>2021</v>
      </c>
    </row>
    <row r="11" spans="1:12" ht="14.25" customHeight="1" x14ac:dyDescent="0.3">
      <c r="B11" t="s">
        <v>314</v>
      </c>
      <c r="C11" t="s">
        <v>40</v>
      </c>
      <c r="D11">
        <v>2</v>
      </c>
      <c r="E11" t="s">
        <v>164</v>
      </c>
      <c r="F11" t="s">
        <v>315</v>
      </c>
      <c r="G11" t="s">
        <v>316</v>
      </c>
      <c r="H11">
        <f>VALUE(LEFT(ANNEE_ACTIVE,4))-4-1</f>
        <v>2020</v>
      </c>
    </row>
    <row r="12" spans="1:12" ht="14.25" customHeight="1" x14ac:dyDescent="0.3">
      <c r="B12" t="s">
        <v>317</v>
      </c>
      <c r="C12" t="s">
        <v>41</v>
      </c>
      <c r="D12">
        <v>2</v>
      </c>
      <c r="H12">
        <f>VALUE(LEFT(ANNEE_ACTIVE,4))-4-2</f>
        <v>2019</v>
      </c>
    </row>
    <row r="13" spans="1:12" ht="14.25" customHeight="1" x14ac:dyDescent="0.3">
      <c r="B13" t="s">
        <v>318</v>
      </c>
      <c r="C13" t="s">
        <v>42</v>
      </c>
      <c r="D13">
        <v>3</v>
      </c>
      <c r="H13">
        <f>VALUE(LEFT(ANNEE_ACTIVE,4))-4-3</f>
        <v>2018</v>
      </c>
    </row>
    <row r="14" spans="1:12" ht="14.25" customHeight="1" x14ac:dyDescent="0.3">
      <c r="B14" t="s">
        <v>319</v>
      </c>
      <c r="C14" t="s">
        <v>43</v>
      </c>
      <c r="D14">
        <v>3</v>
      </c>
      <c r="H14">
        <f>VALUE(LEFT(ANNEE_ACTIVE,4))-4-4</f>
        <v>2017</v>
      </c>
    </row>
    <row r="15" spans="1:12" ht="14.25" customHeight="1" x14ac:dyDescent="0.3">
      <c r="B15" t="s">
        <v>320</v>
      </c>
      <c r="H15">
        <f>VALUE(LEFT(ANNEE_ACTIVE,4))-4-5</f>
        <v>2016</v>
      </c>
    </row>
    <row r="16" spans="1:12" ht="14.25" customHeight="1" x14ac:dyDescent="0.3">
      <c r="B16" t="s">
        <v>321</v>
      </c>
      <c r="H16">
        <f>VALUE(LEFT(ANNEE_ACTIVE,4))-4-6</f>
        <v>2015</v>
      </c>
    </row>
    <row r="17" spans="2:8" ht="14.25" customHeight="1" x14ac:dyDescent="0.3">
      <c r="B17" t="s">
        <v>322</v>
      </c>
      <c r="H17">
        <f>VALUE(LEFT(ANNEE_ACTIVE,4))-4-7</f>
        <v>2014</v>
      </c>
    </row>
    <row r="18" spans="2:8" ht="14.25" customHeight="1" x14ac:dyDescent="0.3">
      <c r="H18">
        <f>VALUE(LEFT(ANNEE_ACTIVE,4))-4-8</f>
        <v>2013</v>
      </c>
    </row>
    <row r="19" spans="2:8" ht="14.25" customHeight="1" x14ac:dyDescent="0.3">
      <c r="B19" s="31" t="s">
        <v>323</v>
      </c>
    </row>
    <row r="20" spans="2:8" ht="14.25" customHeight="1" x14ac:dyDescent="0.3">
      <c r="B20" s="139" t="s">
        <v>33</v>
      </c>
      <c r="C20" s="139" t="s">
        <v>210</v>
      </c>
      <c r="D20" s="139" t="s">
        <v>324</v>
      </c>
    </row>
    <row r="21" spans="2:8" ht="14.25" customHeight="1" x14ac:dyDescent="0.3">
      <c r="B21" s="52">
        <v>1</v>
      </c>
      <c r="C21" s="140" t="s">
        <v>213</v>
      </c>
      <c r="D21" s="141"/>
    </row>
    <row r="22" spans="2:8" ht="14.25" customHeight="1" x14ac:dyDescent="0.3">
      <c r="B22" s="52">
        <v>2</v>
      </c>
      <c r="C22" s="140" t="s">
        <v>214</v>
      </c>
      <c r="D22" s="142"/>
    </row>
    <row r="23" spans="2:8" ht="14.25" customHeight="1" x14ac:dyDescent="0.3">
      <c r="B23" s="52">
        <v>3</v>
      </c>
      <c r="C23" s="140" t="s">
        <v>215</v>
      </c>
      <c r="D23" s="143"/>
    </row>
    <row r="24" spans="2:8" ht="14.25" customHeight="1" x14ac:dyDescent="0.3">
      <c r="B24" s="52">
        <v>4</v>
      </c>
      <c r="C24" s="140" t="s">
        <v>216</v>
      </c>
      <c r="D24" s="144"/>
    </row>
    <row r="25" spans="2:8" ht="14.25" customHeight="1" x14ac:dyDescent="0.3">
      <c r="B25" s="52">
        <v>5</v>
      </c>
      <c r="C25" s="140" t="s">
        <v>217</v>
      </c>
      <c r="D25" s="145"/>
    </row>
    <row r="27" spans="2:8" ht="14.25" customHeight="1" x14ac:dyDescent="0.3">
      <c r="B27" s="31" t="s">
        <v>325</v>
      </c>
    </row>
    <row r="28" spans="2:8" ht="14.25" customHeight="1" x14ac:dyDescent="0.3">
      <c r="B28" s="146" t="s">
        <v>326</v>
      </c>
      <c r="C28" s="146" t="s">
        <v>179</v>
      </c>
      <c r="D28" s="146" t="s">
        <v>327</v>
      </c>
      <c r="E28" s="146" t="s">
        <v>328</v>
      </c>
      <c r="F28" s="146" t="s">
        <v>329</v>
      </c>
      <c r="G28" s="146" t="s">
        <v>330</v>
      </c>
      <c r="H28" s="147" t="s">
        <v>331</v>
      </c>
    </row>
    <row r="29" spans="2:8" ht="14.25" customHeight="1" x14ac:dyDescent="0.3">
      <c r="B29" s="205" t="s">
        <v>2</v>
      </c>
      <c r="C29" s="148" t="s">
        <v>158</v>
      </c>
      <c r="D29" s="52">
        <v>30</v>
      </c>
      <c r="E29" s="52">
        <v>60</v>
      </c>
      <c r="F29" s="52">
        <v>90</v>
      </c>
      <c r="G29" s="52">
        <v>120</v>
      </c>
    </row>
    <row r="30" spans="2:8" ht="14.25" customHeight="1" x14ac:dyDescent="0.3">
      <c r="B30" s="206" t="s">
        <v>3</v>
      </c>
      <c r="C30" s="148" t="s">
        <v>159</v>
      </c>
      <c r="D30" s="52">
        <v>1</v>
      </c>
      <c r="E30" s="52">
        <v>2</v>
      </c>
      <c r="F30" s="52">
        <v>3</v>
      </c>
      <c r="G30" s="52">
        <v>4</v>
      </c>
    </row>
    <row r="31" spans="2:8" ht="14.25" customHeight="1" x14ac:dyDescent="0.3">
      <c r="B31" s="207" t="s">
        <v>332</v>
      </c>
      <c r="C31" s="148" t="s">
        <v>333</v>
      </c>
      <c r="D31" s="52">
        <v>15</v>
      </c>
      <c r="E31" s="52">
        <v>20</v>
      </c>
      <c r="F31" s="52">
        <v>25</v>
      </c>
      <c r="G31" s="52">
        <v>30</v>
      </c>
    </row>
    <row r="32" spans="2:8" ht="14.25" customHeight="1" x14ac:dyDescent="0.3">
      <c r="B32" s="207" t="s">
        <v>334</v>
      </c>
      <c r="C32" s="148" t="s">
        <v>333</v>
      </c>
      <c r="D32" s="52">
        <v>20</v>
      </c>
      <c r="E32" s="52">
        <v>25</v>
      </c>
      <c r="F32" s="52">
        <v>30</v>
      </c>
      <c r="G32" s="52">
        <v>35</v>
      </c>
    </row>
    <row r="33" spans="2:8" ht="14.25" customHeight="1" x14ac:dyDescent="0.3">
      <c r="B33" s="208" t="s">
        <v>5</v>
      </c>
      <c r="C33" s="148" t="s">
        <v>335</v>
      </c>
      <c r="D33" s="52">
        <v>6</v>
      </c>
      <c r="E33" s="52">
        <v>12</v>
      </c>
      <c r="F33" s="52">
        <v>18</v>
      </c>
      <c r="G33" s="52">
        <v>24</v>
      </c>
    </row>
    <row r="34" spans="2:8" ht="14.25" customHeight="1" x14ac:dyDescent="0.3">
      <c r="B34" s="209" t="s">
        <v>6</v>
      </c>
      <c r="C34" s="148" t="s">
        <v>189</v>
      </c>
      <c r="D34" s="52">
        <v>5</v>
      </c>
      <c r="E34" s="52">
        <v>10</v>
      </c>
      <c r="F34" s="52">
        <v>15</v>
      </c>
      <c r="G34" s="52">
        <v>20</v>
      </c>
    </row>
    <row r="35" spans="2:8" ht="14.25" customHeight="1" x14ac:dyDescent="0.3">
      <c r="B35" s="210" t="s">
        <v>7</v>
      </c>
      <c r="C35" s="148" t="s">
        <v>158</v>
      </c>
      <c r="D35" s="52">
        <v>30</v>
      </c>
      <c r="E35" s="52">
        <v>45</v>
      </c>
      <c r="F35" s="52">
        <v>60</v>
      </c>
      <c r="G35" s="52">
        <v>75</v>
      </c>
    </row>
    <row r="36" spans="2:8" ht="14.25" customHeight="1" x14ac:dyDescent="0.3">
      <c r="B36" s="211" t="s">
        <v>8</v>
      </c>
      <c r="C36" s="148" t="s">
        <v>167</v>
      </c>
      <c r="D36" s="52">
        <v>7</v>
      </c>
      <c r="E36" s="52">
        <v>12</v>
      </c>
      <c r="F36" s="52">
        <v>17</v>
      </c>
      <c r="G36" s="52">
        <v>22</v>
      </c>
    </row>
    <row r="37" spans="2:8" ht="14.25" customHeight="1" x14ac:dyDescent="0.3">
      <c r="B37" s="212" t="s">
        <v>9</v>
      </c>
      <c r="C37" s="148" t="s">
        <v>168</v>
      </c>
      <c r="D37" s="52">
        <v>0.89</v>
      </c>
      <c r="E37" s="52">
        <v>1.19</v>
      </c>
      <c r="F37" s="52">
        <v>1.49</v>
      </c>
      <c r="G37" s="52">
        <v>1.79</v>
      </c>
    </row>
    <row r="39" spans="2:8" ht="14.25" customHeight="1" x14ac:dyDescent="0.3">
      <c r="B39" s="354" t="s">
        <v>336</v>
      </c>
      <c r="C39" s="354"/>
      <c r="D39" s="354"/>
      <c r="E39" s="354"/>
      <c r="F39" s="354"/>
      <c r="G39" s="354"/>
    </row>
    <row r="40" spans="2:8" ht="14.25" customHeight="1" x14ac:dyDescent="0.3">
      <c r="B40" s="354" t="s">
        <v>337</v>
      </c>
      <c r="C40" s="354"/>
      <c r="D40" s="354"/>
      <c r="E40" s="354"/>
      <c r="F40" s="354"/>
      <c r="G40" s="354"/>
    </row>
    <row r="42" spans="2:8" ht="19.5" customHeight="1" x14ac:dyDescent="0.3">
      <c r="B42" s="228" t="s">
        <v>338</v>
      </c>
      <c r="C42" s="228"/>
      <c r="D42" s="228"/>
      <c r="E42" s="228"/>
      <c r="F42" s="228"/>
      <c r="G42" s="228"/>
      <c r="H42" s="228"/>
    </row>
    <row r="43" spans="2:8" ht="14.25" customHeight="1" x14ac:dyDescent="0.3">
      <c r="B43" s="368" t="s">
        <v>339</v>
      </c>
      <c r="C43" s="368"/>
      <c r="D43" s="368"/>
      <c r="E43" s="368"/>
      <c r="F43" s="368"/>
      <c r="G43" s="368"/>
      <c r="H43" s="368"/>
    </row>
    <row r="44" spans="2:8" ht="14.25" customHeight="1" x14ac:dyDescent="0.3">
      <c r="B44" s="369" t="s">
        <v>340</v>
      </c>
      <c r="C44" s="369"/>
      <c r="D44" s="369"/>
      <c r="E44" s="369"/>
      <c r="F44" s="369"/>
      <c r="G44" s="369"/>
      <c r="H44" s="369"/>
    </row>
    <row r="46" spans="2:8" ht="14.25" customHeight="1" x14ac:dyDescent="0.3">
      <c r="B46" s="368" t="s">
        <v>341</v>
      </c>
      <c r="C46" s="368"/>
      <c r="D46" s="368"/>
      <c r="E46" s="368"/>
      <c r="F46" s="368"/>
      <c r="G46" s="368"/>
      <c r="H46" s="368"/>
    </row>
    <row r="47" spans="2:8" ht="14.25" customHeight="1" x14ac:dyDescent="0.3">
      <c r="B47" s="369" t="s">
        <v>342</v>
      </c>
      <c r="C47" s="369"/>
      <c r="D47" s="369"/>
      <c r="E47" s="369"/>
      <c r="F47" s="369"/>
      <c r="G47" s="369"/>
      <c r="H47" s="369"/>
    </row>
    <row r="49" spans="2:10" ht="25.5" customHeight="1" x14ac:dyDescent="0.3">
      <c r="B49" s="372" t="s">
        <v>343</v>
      </c>
      <c r="C49" s="372"/>
      <c r="D49" s="372"/>
      <c r="E49" s="372"/>
      <c r="F49" s="372"/>
      <c r="G49" s="372"/>
      <c r="H49" s="372"/>
    </row>
    <row r="52" spans="2:10" ht="14.25" customHeight="1" x14ac:dyDescent="0.3">
      <c r="B52" s="31" t="s">
        <v>344</v>
      </c>
    </row>
    <row r="54" spans="2:10" ht="27.75" customHeight="1" x14ac:dyDescent="0.3">
      <c r="B54" s="370" t="s">
        <v>345</v>
      </c>
      <c r="C54" s="370"/>
      <c r="D54" s="370"/>
      <c r="E54" s="370"/>
      <c r="F54" s="370"/>
      <c r="G54" s="370"/>
      <c r="H54" s="370"/>
      <c r="I54" s="370"/>
      <c r="J54" s="370"/>
    </row>
    <row r="56" spans="2:10" ht="27.75" customHeight="1" x14ac:dyDescent="0.3">
      <c r="B56" s="370" t="s">
        <v>346</v>
      </c>
      <c r="C56" s="370"/>
      <c r="D56" s="370"/>
      <c r="E56" s="370"/>
      <c r="F56" s="370"/>
      <c r="G56" s="370"/>
      <c r="H56" s="370"/>
      <c r="I56" s="370"/>
      <c r="J56" s="370"/>
    </row>
    <row r="58" spans="2:10" ht="27.75" customHeight="1" x14ac:dyDescent="0.3">
      <c r="B58" s="370" t="s">
        <v>347</v>
      </c>
      <c r="C58" s="370"/>
      <c r="D58" s="370"/>
      <c r="E58" s="370"/>
      <c r="F58" s="370"/>
      <c r="G58" s="370"/>
      <c r="H58" s="370"/>
      <c r="I58" s="370"/>
      <c r="J58" s="370"/>
    </row>
    <row r="60" spans="2:10" ht="27.75" customHeight="1" x14ac:dyDescent="0.3">
      <c r="B60" s="370" t="s">
        <v>348</v>
      </c>
      <c r="C60" s="370"/>
      <c r="D60" s="370"/>
      <c r="E60" s="370"/>
      <c r="F60" s="370"/>
      <c r="G60" s="370"/>
      <c r="H60" s="370"/>
      <c r="I60" s="370"/>
      <c r="J60" s="370"/>
    </row>
    <row r="62" spans="2:10" ht="14.25" customHeight="1" x14ac:dyDescent="0.3">
      <c r="B62" s="31" t="s">
        <v>349</v>
      </c>
    </row>
    <row r="63" spans="2:10" ht="37.5" customHeight="1" x14ac:dyDescent="0.3">
      <c r="B63" s="149" t="s">
        <v>350</v>
      </c>
    </row>
    <row r="64" spans="2:10" ht="63" customHeight="1" x14ac:dyDescent="0.3">
      <c r="B64" s="149" t="s">
        <v>351</v>
      </c>
    </row>
    <row r="65" spans="2:10" ht="37.5" customHeight="1" x14ac:dyDescent="0.3">
      <c r="B65" s="149" t="s">
        <v>352</v>
      </c>
    </row>
    <row r="68" spans="2:10" x14ac:dyDescent="0.3">
      <c r="B68" s="371" t="s">
        <v>353</v>
      </c>
      <c r="C68" s="371"/>
      <c r="D68" s="371"/>
      <c r="E68" s="371"/>
    </row>
    <row r="69" spans="2:10" x14ac:dyDescent="0.3">
      <c r="B69" s="150" t="s">
        <v>246</v>
      </c>
      <c r="C69" s="150" t="s">
        <v>354</v>
      </c>
      <c r="D69" s="150" t="s">
        <v>355</v>
      </c>
      <c r="J69" t="s">
        <v>356</v>
      </c>
    </row>
    <row r="70" spans="2:10" ht="14.25" customHeight="1" x14ac:dyDescent="0.3">
      <c r="B70" t="str">
        <f>INDEX(LISTE_ANNEES,1)</f>
        <v>2025-2026</v>
      </c>
      <c r="C70" s="151" t="s">
        <v>357</v>
      </c>
      <c r="D70" t="str">
        <f t="shared" ref="D70:D77" si="0">IF($C70="Oui",$B70,"")</f>
        <v/>
      </c>
      <c r="E70" s="360" t="s">
        <v>358</v>
      </c>
      <c r="F70" s="360"/>
      <c r="G70" s="360"/>
      <c r="H70" s="360"/>
      <c r="I70" s="360"/>
      <c r="J70" t="s">
        <v>357</v>
      </c>
    </row>
    <row r="71" spans="2:10" x14ac:dyDescent="0.3">
      <c r="B71" t="str">
        <f>INDEX(LISTE_ANNEES,2)</f>
        <v>2026-2027</v>
      </c>
      <c r="C71" s="151" t="s">
        <v>357</v>
      </c>
      <c r="D71" t="str">
        <f t="shared" si="0"/>
        <v/>
      </c>
      <c r="E71" s="360"/>
      <c r="F71" s="360"/>
      <c r="G71" s="360"/>
      <c r="H71" s="360"/>
      <c r="I71" s="360"/>
    </row>
    <row r="72" spans="2:10" x14ac:dyDescent="0.3">
      <c r="B72" t="str">
        <f>INDEX(LISTE_ANNEES,3)</f>
        <v>2027-2028</v>
      </c>
      <c r="C72" s="151" t="s">
        <v>357</v>
      </c>
      <c r="D72" t="str">
        <f t="shared" si="0"/>
        <v/>
      </c>
      <c r="E72" s="360"/>
      <c r="F72" s="360"/>
      <c r="G72" s="360"/>
      <c r="H72" s="360"/>
      <c r="I72" s="360"/>
    </row>
    <row r="73" spans="2:10" x14ac:dyDescent="0.3">
      <c r="B73" t="str">
        <f>INDEX(LISTE_ANNEES,4)</f>
        <v>2028-2029</v>
      </c>
      <c r="C73" s="151" t="s">
        <v>357</v>
      </c>
      <c r="D73" t="str">
        <f t="shared" si="0"/>
        <v/>
      </c>
      <c r="E73" s="360"/>
      <c r="F73" s="360"/>
      <c r="G73" s="360"/>
      <c r="H73" s="360"/>
      <c r="I73" s="360"/>
    </row>
    <row r="74" spans="2:10" x14ac:dyDescent="0.3">
      <c r="B74" t="str">
        <f>INDEX(LISTE_ANNEES,5)</f>
        <v>2029-2030</v>
      </c>
      <c r="C74" s="151" t="s">
        <v>357</v>
      </c>
      <c r="D74" t="str">
        <f t="shared" si="0"/>
        <v/>
      </c>
    </row>
    <row r="75" spans="2:10" x14ac:dyDescent="0.3">
      <c r="B75" t="str">
        <f>INDEX(LISTE_ANNEES,6)</f>
        <v>2030-2031</v>
      </c>
      <c r="C75" s="151" t="s">
        <v>357</v>
      </c>
      <c r="D75" t="str">
        <f t="shared" si="0"/>
        <v/>
      </c>
    </row>
    <row r="76" spans="2:10" x14ac:dyDescent="0.3">
      <c r="B76" t="str">
        <f>INDEX(LISTE_ANNEES,7)</f>
        <v>2031-2032</v>
      </c>
      <c r="C76" s="151" t="s">
        <v>357</v>
      </c>
      <c r="D76" t="str">
        <f t="shared" si="0"/>
        <v/>
      </c>
    </row>
    <row r="77" spans="2:10" x14ac:dyDescent="0.3">
      <c r="B77" t="str">
        <f>INDEX(LISTE_ANNEES,8)</f>
        <v>2032-2033</v>
      </c>
      <c r="C77" s="151" t="s">
        <v>357</v>
      </c>
      <c r="D77" t="str">
        <f t="shared" si="0"/>
        <v/>
      </c>
    </row>
    <row r="80" spans="2:10" ht="19.5" customHeight="1" x14ac:dyDescent="0.3">
      <c r="B80" s="31" t="s">
        <v>415</v>
      </c>
    </row>
    <row r="82" spans="2:23" ht="15" customHeight="1" x14ac:dyDescent="0.3">
      <c r="B82" s="149" t="s">
        <v>416</v>
      </c>
    </row>
    <row r="83" spans="2:23" ht="15" customHeight="1" x14ac:dyDescent="0.3">
      <c r="B83" s="149" t="s">
        <v>417</v>
      </c>
    </row>
    <row r="84" spans="2:23" ht="15" customHeight="1" x14ac:dyDescent="0.3">
      <c r="B84" s="149" t="s">
        <v>418</v>
      </c>
    </row>
    <row r="86" spans="2:23" ht="15.75" customHeight="1" x14ac:dyDescent="0.3">
      <c r="B86" s="150" t="s">
        <v>419</v>
      </c>
      <c r="C86" s="150" t="s">
        <v>420</v>
      </c>
      <c r="E86" s="150" t="s">
        <v>421</v>
      </c>
      <c r="F86" s="150" t="s">
        <v>422</v>
      </c>
    </row>
    <row r="87" spans="2:23" ht="14.25" customHeight="1" x14ac:dyDescent="0.3">
      <c r="B87" s="151"/>
      <c r="C87" s="151"/>
      <c r="E87" s="52" t="str">
        <f t="shared" ref="E87:E126" si="1">IF($N87="","",IF($T87,UPPER(IF($U87,$V87,$W87)),IF($S87=0,UPPER(TRIM(MID(SUBSTITUTE($N87," ",REPT(" ",99)),100,400))),UPPER(CHOOSE($S87,$O87,$O87&amp;" "&amp;$P87,$O87&amp;" "&amp;$P87&amp;" "&amp;$Q87,$O87&amp;" "&amp;$P87&amp;" "&amp;$Q87&amp;" "&amp;$R87)))))</f>
        <v/>
      </c>
      <c r="F87" s="52" t="str">
        <f t="shared" ref="F87:F126" si="2">IF($N87="","",IF($T87,PROPER(IF($U87,$W87,$V87)),IF($S87=0,PROPER($O87),PROPER(TRIM(MID(SUBSTITUTE($N87," ",REPT(" ",99)),$S87*99+1,400))))))</f>
        <v/>
      </c>
      <c r="N87" t="str">
        <f t="shared" ref="N87:N126" si="3">IF(TRIM($B87&amp;" "&amp;$C87)="","",TRIM(SUBSTITUTE(SUBSTITUTE(IF(TRIM($C87)="",$B87,$B87&amp;" "&amp;$C87),";"," "),","," ")))</f>
        <v/>
      </c>
      <c r="O87" t="str">
        <f t="shared" ref="O87:O126" si="4">IF($N87="","",TRIM(MID(SUBSTITUTE($N87," ",REPT(" ",99)),1,99)))</f>
        <v/>
      </c>
      <c r="P87" t="str">
        <f t="shared" ref="P87:P126" si="5">IF($N87="","",TRIM(MID(SUBSTITUTE($N87," ",REPT(" ",99)),100,99)))</f>
        <v/>
      </c>
      <c r="Q87" t="str">
        <f t="shared" ref="Q87:Q126" si="6">IF($N87="","",TRIM(MID(SUBSTITUTE($N87," ",REPT(" ",99)),199,99)))</f>
        <v/>
      </c>
      <c r="R87" t="str">
        <f t="shared" ref="R87:R126" si="7">IF($N87="","",TRIM(MID(SUBSTITUTE($N87," ",REPT(" ",99)),298,99)))</f>
        <v/>
      </c>
      <c r="S87">
        <f t="shared" ref="S87:S126" si="8">IF($N87="",0,IF(NOT(AND($O87&lt;&gt;"",EXACT($O87,UPPER($O87)))),0,MIN(IF(NOT(AND($P87&lt;&gt;"",EXACT($P87,UPPER($P87)))),1,IF(NOT(AND($Q87&lt;&gt;"",EXACT($Q87,UPPER($Q87)))),2,IF(NOT(AND($R87&lt;&gt;"",EXACT($R87,UPPER($R87)))),3,4))),LEN($N87)-LEN(SUBSTITUTE($N87," ","")))))</f>
        <v>0</v>
      </c>
      <c r="T87" t="b">
        <f t="shared" ref="T87:T126" si="9">($V87&lt;&gt;"")</f>
        <v>0</v>
      </c>
      <c r="U87" t="b">
        <f t="shared" ref="U87:U126" si="10">NOT(AND($W87&lt;&gt;"",EXACT($W87,UPPER($W87)),NOT(AND($V87&lt;&gt;"",EXACT($V87,UPPER($V87))))))</f>
        <v>1</v>
      </c>
      <c r="V87" t="str">
        <f t="shared" ref="V87:V126" si="11">IF(TRIM($C87)&lt;&gt;"",TRIM($B87),IF(ISNUMBER(SEARCH(";",$B87)),TRIM(LEFT($B87,SEARCH(";",$B87)-1)),IF(ISNUMBER(SEARCH(",",$B87)),TRIM(LEFT($B87,SEARCH(",",$B87)-1)),"")))</f>
        <v/>
      </c>
      <c r="W87" t="str">
        <f t="shared" ref="W87:W126" si="12">IF(TRIM($C87)&lt;&gt;"",TRIM($C87),IF(ISNUMBER(SEARCH(";",$B87)),TRIM(MID($B87,SEARCH(";",$B87)+1,300)),IF(ISNUMBER(SEARCH(",",$B87)),TRIM(MID($B87,SEARCH(",",$B87)+1,300)),"")))</f>
        <v/>
      </c>
    </row>
    <row r="88" spans="2:23" ht="14.25" customHeight="1" x14ac:dyDescent="0.3">
      <c r="B88" s="151"/>
      <c r="C88" s="151"/>
      <c r="E88" s="52" t="str">
        <f t="shared" si="1"/>
        <v/>
      </c>
      <c r="F88" s="52" t="str">
        <f t="shared" si="2"/>
        <v/>
      </c>
      <c r="N88" t="str">
        <f t="shared" si="3"/>
        <v/>
      </c>
      <c r="O88" t="str">
        <f t="shared" si="4"/>
        <v/>
      </c>
      <c r="P88" t="str">
        <f t="shared" si="5"/>
        <v/>
      </c>
      <c r="Q88" t="str">
        <f t="shared" si="6"/>
        <v/>
      </c>
      <c r="R88" t="str">
        <f t="shared" si="7"/>
        <v/>
      </c>
      <c r="S88">
        <f t="shared" si="8"/>
        <v>0</v>
      </c>
      <c r="T88" t="b">
        <f t="shared" si="9"/>
        <v>0</v>
      </c>
      <c r="U88" t="b">
        <f t="shared" si="10"/>
        <v>1</v>
      </c>
      <c r="V88" t="str">
        <f t="shared" si="11"/>
        <v/>
      </c>
      <c r="W88" t="str">
        <f t="shared" si="12"/>
        <v/>
      </c>
    </row>
    <row r="89" spans="2:23" ht="14.25" customHeight="1" x14ac:dyDescent="0.3">
      <c r="B89" s="151"/>
      <c r="C89" s="151"/>
      <c r="E89" s="52" t="str">
        <f t="shared" si="1"/>
        <v/>
      </c>
      <c r="F89" s="52" t="str">
        <f t="shared" si="2"/>
        <v/>
      </c>
      <c r="N89" t="str">
        <f t="shared" si="3"/>
        <v/>
      </c>
      <c r="O89" t="str">
        <f t="shared" si="4"/>
        <v/>
      </c>
      <c r="P89" t="str">
        <f t="shared" si="5"/>
        <v/>
      </c>
      <c r="Q89" t="str">
        <f t="shared" si="6"/>
        <v/>
      </c>
      <c r="R89" t="str">
        <f t="shared" si="7"/>
        <v/>
      </c>
      <c r="S89">
        <f t="shared" si="8"/>
        <v>0</v>
      </c>
      <c r="T89" t="b">
        <f t="shared" si="9"/>
        <v>0</v>
      </c>
      <c r="U89" t="b">
        <f t="shared" si="10"/>
        <v>1</v>
      </c>
      <c r="V89" t="str">
        <f t="shared" si="11"/>
        <v/>
      </c>
      <c r="W89" t="str">
        <f t="shared" si="12"/>
        <v/>
      </c>
    </row>
    <row r="90" spans="2:23" ht="14.25" customHeight="1" x14ac:dyDescent="0.3">
      <c r="B90" s="151"/>
      <c r="C90" s="151"/>
      <c r="E90" s="52" t="str">
        <f t="shared" si="1"/>
        <v/>
      </c>
      <c r="F90" s="52" t="str">
        <f t="shared" si="2"/>
        <v/>
      </c>
      <c r="N90" t="str">
        <f t="shared" si="3"/>
        <v/>
      </c>
      <c r="O90" t="str">
        <f t="shared" si="4"/>
        <v/>
      </c>
      <c r="P90" t="str">
        <f t="shared" si="5"/>
        <v/>
      </c>
      <c r="Q90" t="str">
        <f t="shared" si="6"/>
        <v/>
      </c>
      <c r="R90" t="str">
        <f t="shared" si="7"/>
        <v/>
      </c>
      <c r="S90">
        <f t="shared" si="8"/>
        <v>0</v>
      </c>
      <c r="T90" t="b">
        <f t="shared" si="9"/>
        <v>0</v>
      </c>
      <c r="U90" t="b">
        <f t="shared" si="10"/>
        <v>1</v>
      </c>
      <c r="V90" t="str">
        <f t="shared" si="11"/>
        <v/>
      </c>
      <c r="W90" t="str">
        <f t="shared" si="12"/>
        <v/>
      </c>
    </row>
    <row r="91" spans="2:23" ht="14.25" customHeight="1" x14ac:dyDescent="0.3">
      <c r="B91" s="151"/>
      <c r="C91" s="151"/>
      <c r="E91" s="52" t="str">
        <f t="shared" si="1"/>
        <v/>
      </c>
      <c r="F91" s="52" t="str">
        <f t="shared" si="2"/>
        <v/>
      </c>
      <c r="N91" t="str">
        <f t="shared" si="3"/>
        <v/>
      </c>
      <c r="O91" t="str">
        <f t="shared" si="4"/>
        <v/>
      </c>
      <c r="P91" t="str">
        <f t="shared" si="5"/>
        <v/>
      </c>
      <c r="Q91" t="str">
        <f t="shared" si="6"/>
        <v/>
      </c>
      <c r="R91" t="str">
        <f t="shared" si="7"/>
        <v/>
      </c>
      <c r="S91">
        <f t="shared" si="8"/>
        <v>0</v>
      </c>
      <c r="T91" t="b">
        <f t="shared" si="9"/>
        <v>0</v>
      </c>
      <c r="U91" t="b">
        <f t="shared" si="10"/>
        <v>1</v>
      </c>
      <c r="V91" t="str">
        <f t="shared" si="11"/>
        <v/>
      </c>
      <c r="W91" t="str">
        <f t="shared" si="12"/>
        <v/>
      </c>
    </row>
    <row r="92" spans="2:23" ht="14.25" customHeight="1" x14ac:dyDescent="0.3">
      <c r="B92" s="151"/>
      <c r="C92" s="151"/>
      <c r="E92" s="52" t="str">
        <f t="shared" si="1"/>
        <v/>
      </c>
      <c r="F92" s="52" t="str">
        <f t="shared" si="2"/>
        <v/>
      </c>
      <c r="N92" t="str">
        <f t="shared" si="3"/>
        <v/>
      </c>
      <c r="O92" t="str">
        <f t="shared" si="4"/>
        <v/>
      </c>
      <c r="P92" t="str">
        <f t="shared" si="5"/>
        <v/>
      </c>
      <c r="Q92" t="str">
        <f t="shared" si="6"/>
        <v/>
      </c>
      <c r="R92" t="str">
        <f t="shared" si="7"/>
        <v/>
      </c>
      <c r="S92">
        <f t="shared" si="8"/>
        <v>0</v>
      </c>
      <c r="T92" t="b">
        <f t="shared" si="9"/>
        <v>0</v>
      </c>
      <c r="U92" t="b">
        <f t="shared" si="10"/>
        <v>1</v>
      </c>
      <c r="V92" t="str">
        <f t="shared" si="11"/>
        <v/>
      </c>
      <c r="W92" t="str">
        <f t="shared" si="12"/>
        <v/>
      </c>
    </row>
    <row r="93" spans="2:23" ht="14.25" customHeight="1" x14ac:dyDescent="0.3">
      <c r="B93" s="151"/>
      <c r="C93" s="151"/>
      <c r="E93" s="52" t="str">
        <f t="shared" si="1"/>
        <v/>
      </c>
      <c r="F93" s="52" t="str">
        <f t="shared" si="2"/>
        <v/>
      </c>
      <c r="N93" t="str">
        <f t="shared" si="3"/>
        <v/>
      </c>
      <c r="O93" t="str">
        <f t="shared" si="4"/>
        <v/>
      </c>
      <c r="P93" t="str">
        <f t="shared" si="5"/>
        <v/>
      </c>
      <c r="Q93" t="str">
        <f t="shared" si="6"/>
        <v/>
      </c>
      <c r="R93" t="str">
        <f t="shared" si="7"/>
        <v/>
      </c>
      <c r="S93">
        <f t="shared" si="8"/>
        <v>0</v>
      </c>
      <c r="T93" t="b">
        <f t="shared" si="9"/>
        <v>0</v>
      </c>
      <c r="U93" t="b">
        <f t="shared" si="10"/>
        <v>1</v>
      </c>
      <c r="V93" t="str">
        <f t="shared" si="11"/>
        <v/>
      </c>
      <c r="W93" t="str">
        <f t="shared" si="12"/>
        <v/>
      </c>
    </row>
    <row r="94" spans="2:23" ht="14.25" customHeight="1" x14ac:dyDescent="0.3">
      <c r="B94" s="151"/>
      <c r="C94" s="151"/>
      <c r="E94" s="52" t="str">
        <f t="shared" si="1"/>
        <v/>
      </c>
      <c r="F94" s="52" t="str">
        <f t="shared" si="2"/>
        <v/>
      </c>
      <c r="N94" t="str">
        <f t="shared" si="3"/>
        <v/>
      </c>
      <c r="O94" t="str">
        <f t="shared" si="4"/>
        <v/>
      </c>
      <c r="P94" t="str">
        <f t="shared" si="5"/>
        <v/>
      </c>
      <c r="Q94" t="str">
        <f t="shared" si="6"/>
        <v/>
      </c>
      <c r="R94" t="str">
        <f t="shared" si="7"/>
        <v/>
      </c>
      <c r="S94">
        <f t="shared" si="8"/>
        <v>0</v>
      </c>
      <c r="T94" t="b">
        <f t="shared" si="9"/>
        <v>0</v>
      </c>
      <c r="U94" t="b">
        <f t="shared" si="10"/>
        <v>1</v>
      </c>
      <c r="V94" t="str">
        <f t="shared" si="11"/>
        <v/>
      </c>
      <c r="W94" t="str">
        <f t="shared" si="12"/>
        <v/>
      </c>
    </row>
    <row r="95" spans="2:23" ht="14.25" customHeight="1" x14ac:dyDescent="0.3">
      <c r="B95" s="151"/>
      <c r="C95" s="151"/>
      <c r="E95" s="52" t="str">
        <f t="shared" si="1"/>
        <v/>
      </c>
      <c r="F95" s="52" t="str">
        <f t="shared" si="2"/>
        <v/>
      </c>
      <c r="N95" t="str">
        <f t="shared" si="3"/>
        <v/>
      </c>
      <c r="O95" t="str">
        <f t="shared" si="4"/>
        <v/>
      </c>
      <c r="P95" t="str">
        <f t="shared" si="5"/>
        <v/>
      </c>
      <c r="Q95" t="str">
        <f t="shared" si="6"/>
        <v/>
      </c>
      <c r="R95" t="str">
        <f t="shared" si="7"/>
        <v/>
      </c>
      <c r="S95">
        <f t="shared" si="8"/>
        <v>0</v>
      </c>
      <c r="T95" t="b">
        <f t="shared" si="9"/>
        <v>0</v>
      </c>
      <c r="U95" t="b">
        <f t="shared" si="10"/>
        <v>1</v>
      </c>
      <c r="V95" t="str">
        <f t="shared" si="11"/>
        <v/>
      </c>
      <c r="W95" t="str">
        <f t="shared" si="12"/>
        <v/>
      </c>
    </row>
    <row r="96" spans="2:23" ht="14.25" customHeight="1" x14ac:dyDescent="0.3">
      <c r="B96" s="151"/>
      <c r="C96" s="151"/>
      <c r="E96" s="52" t="str">
        <f t="shared" si="1"/>
        <v/>
      </c>
      <c r="F96" s="52" t="str">
        <f t="shared" si="2"/>
        <v/>
      </c>
      <c r="N96" t="str">
        <f t="shared" si="3"/>
        <v/>
      </c>
      <c r="O96" t="str">
        <f t="shared" si="4"/>
        <v/>
      </c>
      <c r="P96" t="str">
        <f t="shared" si="5"/>
        <v/>
      </c>
      <c r="Q96" t="str">
        <f t="shared" si="6"/>
        <v/>
      </c>
      <c r="R96" t="str">
        <f t="shared" si="7"/>
        <v/>
      </c>
      <c r="S96">
        <f t="shared" si="8"/>
        <v>0</v>
      </c>
      <c r="T96" t="b">
        <f t="shared" si="9"/>
        <v>0</v>
      </c>
      <c r="U96" t="b">
        <f t="shared" si="10"/>
        <v>1</v>
      </c>
      <c r="V96" t="str">
        <f t="shared" si="11"/>
        <v/>
      </c>
      <c r="W96" t="str">
        <f t="shared" si="12"/>
        <v/>
      </c>
    </row>
    <row r="97" spans="2:23" ht="14.25" customHeight="1" x14ac:dyDescent="0.3">
      <c r="B97" s="151"/>
      <c r="C97" s="151"/>
      <c r="E97" s="52" t="str">
        <f t="shared" si="1"/>
        <v/>
      </c>
      <c r="F97" s="52" t="str">
        <f t="shared" si="2"/>
        <v/>
      </c>
      <c r="N97" t="str">
        <f t="shared" si="3"/>
        <v/>
      </c>
      <c r="O97" t="str">
        <f t="shared" si="4"/>
        <v/>
      </c>
      <c r="P97" t="str">
        <f t="shared" si="5"/>
        <v/>
      </c>
      <c r="Q97" t="str">
        <f t="shared" si="6"/>
        <v/>
      </c>
      <c r="R97" t="str">
        <f t="shared" si="7"/>
        <v/>
      </c>
      <c r="S97">
        <f t="shared" si="8"/>
        <v>0</v>
      </c>
      <c r="T97" t="b">
        <f t="shared" si="9"/>
        <v>0</v>
      </c>
      <c r="U97" t="b">
        <f t="shared" si="10"/>
        <v>1</v>
      </c>
      <c r="V97" t="str">
        <f t="shared" si="11"/>
        <v/>
      </c>
      <c r="W97" t="str">
        <f t="shared" si="12"/>
        <v/>
      </c>
    </row>
    <row r="98" spans="2:23" ht="14.25" customHeight="1" x14ac:dyDescent="0.3">
      <c r="B98" s="151"/>
      <c r="C98" s="151"/>
      <c r="E98" s="52" t="str">
        <f t="shared" si="1"/>
        <v/>
      </c>
      <c r="F98" s="52" t="str">
        <f t="shared" si="2"/>
        <v/>
      </c>
      <c r="N98" t="str">
        <f t="shared" si="3"/>
        <v/>
      </c>
      <c r="O98" t="str">
        <f t="shared" si="4"/>
        <v/>
      </c>
      <c r="P98" t="str">
        <f t="shared" si="5"/>
        <v/>
      </c>
      <c r="Q98" t="str">
        <f t="shared" si="6"/>
        <v/>
      </c>
      <c r="R98" t="str">
        <f t="shared" si="7"/>
        <v/>
      </c>
      <c r="S98">
        <f t="shared" si="8"/>
        <v>0</v>
      </c>
      <c r="T98" t="b">
        <f t="shared" si="9"/>
        <v>0</v>
      </c>
      <c r="U98" t="b">
        <f t="shared" si="10"/>
        <v>1</v>
      </c>
      <c r="V98" t="str">
        <f t="shared" si="11"/>
        <v/>
      </c>
      <c r="W98" t="str">
        <f t="shared" si="12"/>
        <v/>
      </c>
    </row>
    <row r="99" spans="2:23" ht="14.25" customHeight="1" x14ac:dyDescent="0.3">
      <c r="B99" s="151"/>
      <c r="C99" s="151"/>
      <c r="E99" s="52" t="str">
        <f t="shared" si="1"/>
        <v/>
      </c>
      <c r="F99" s="52" t="str">
        <f t="shared" si="2"/>
        <v/>
      </c>
      <c r="N99" t="str">
        <f t="shared" si="3"/>
        <v/>
      </c>
      <c r="O99" t="str">
        <f t="shared" si="4"/>
        <v/>
      </c>
      <c r="P99" t="str">
        <f t="shared" si="5"/>
        <v/>
      </c>
      <c r="Q99" t="str">
        <f t="shared" si="6"/>
        <v/>
      </c>
      <c r="R99" t="str">
        <f t="shared" si="7"/>
        <v/>
      </c>
      <c r="S99">
        <f t="shared" si="8"/>
        <v>0</v>
      </c>
      <c r="T99" t="b">
        <f t="shared" si="9"/>
        <v>0</v>
      </c>
      <c r="U99" t="b">
        <f t="shared" si="10"/>
        <v>1</v>
      </c>
      <c r="V99" t="str">
        <f t="shared" si="11"/>
        <v/>
      </c>
      <c r="W99" t="str">
        <f t="shared" si="12"/>
        <v/>
      </c>
    </row>
    <row r="100" spans="2:23" ht="14.25" customHeight="1" x14ac:dyDescent="0.3">
      <c r="B100" s="151"/>
      <c r="C100" s="151"/>
      <c r="E100" s="52" t="str">
        <f t="shared" si="1"/>
        <v/>
      </c>
      <c r="F100" s="52" t="str">
        <f t="shared" si="2"/>
        <v/>
      </c>
      <c r="N100" t="str">
        <f t="shared" si="3"/>
        <v/>
      </c>
      <c r="O100" t="str">
        <f t="shared" si="4"/>
        <v/>
      </c>
      <c r="P100" t="str">
        <f t="shared" si="5"/>
        <v/>
      </c>
      <c r="Q100" t="str">
        <f t="shared" si="6"/>
        <v/>
      </c>
      <c r="R100" t="str">
        <f t="shared" si="7"/>
        <v/>
      </c>
      <c r="S100">
        <f t="shared" si="8"/>
        <v>0</v>
      </c>
      <c r="T100" t="b">
        <f t="shared" si="9"/>
        <v>0</v>
      </c>
      <c r="U100" t="b">
        <f t="shared" si="10"/>
        <v>1</v>
      </c>
      <c r="V100" t="str">
        <f t="shared" si="11"/>
        <v/>
      </c>
      <c r="W100" t="str">
        <f t="shared" si="12"/>
        <v/>
      </c>
    </row>
    <row r="101" spans="2:23" ht="14.25" customHeight="1" x14ac:dyDescent="0.3">
      <c r="B101" s="151"/>
      <c r="C101" s="151"/>
      <c r="E101" s="52" t="str">
        <f t="shared" si="1"/>
        <v/>
      </c>
      <c r="F101" s="52" t="str">
        <f t="shared" si="2"/>
        <v/>
      </c>
      <c r="N101" t="str">
        <f t="shared" si="3"/>
        <v/>
      </c>
      <c r="O101" t="str">
        <f t="shared" si="4"/>
        <v/>
      </c>
      <c r="P101" t="str">
        <f t="shared" si="5"/>
        <v/>
      </c>
      <c r="Q101" t="str">
        <f t="shared" si="6"/>
        <v/>
      </c>
      <c r="R101" t="str">
        <f t="shared" si="7"/>
        <v/>
      </c>
      <c r="S101">
        <f t="shared" si="8"/>
        <v>0</v>
      </c>
      <c r="T101" t="b">
        <f t="shared" si="9"/>
        <v>0</v>
      </c>
      <c r="U101" t="b">
        <f t="shared" si="10"/>
        <v>1</v>
      </c>
      <c r="V101" t="str">
        <f t="shared" si="11"/>
        <v/>
      </c>
      <c r="W101" t="str">
        <f t="shared" si="12"/>
        <v/>
      </c>
    </row>
    <row r="102" spans="2:23" ht="14.25" customHeight="1" x14ac:dyDescent="0.3">
      <c r="B102" s="151"/>
      <c r="C102" s="151"/>
      <c r="E102" s="52" t="str">
        <f t="shared" si="1"/>
        <v/>
      </c>
      <c r="F102" s="52" t="str">
        <f t="shared" si="2"/>
        <v/>
      </c>
      <c r="N102" t="str">
        <f t="shared" si="3"/>
        <v/>
      </c>
      <c r="O102" t="str">
        <f t="shared" si="4"/>
        <v/>
      </c>
      <c r="P102" t="str">
        <f t="shared" si="5"/>
        <v/>
      </c>
      <c r="Q102" t="str">
        <f t="shared" si="6"/>
        <v/>
      </c>
      <c r="R102" t="str">
        <f t="shared" si="7"/>
        <v/>
      </c>
      <c r="S102">
        <f t="shared" si="8"/>
        <v>0</v>
      </c>
      <c r="T102" t="b">
        <f t="shared" si="9"/>
        <v>0</v>
      </c>
      <c r="U102" t="b">
        <f t="shared" si="10"/>
        <v>1</v>
      </c>
      <c r="V102" t="str">
        <f t="shared" si="11"/>
        <v/>
      </c>
      <c r="W102" t="str">
        <f t="shared" si="12"/>
        <v/>
      </c>
    </row>
    <row r="103" spans="2:23" ht="14.25" customHeight="1" x14ac:dyDescent="0.3">
      <c r="B103" s="151"/>
      <c r="C103" s="151"/>
      <c r="E103" s="52" t="str">
        <f t="shared" si="1"/>
        <v/>
      </c>
      <c r="F103" s="52" t="str">
        <f t="shared" si="2"/>
        <v/>
      </c>
      <c r="N103" t="str">
        <f t="shared" si="3"/>
        <v/>
      </c>
      <c r="O103" t="str">
        <f t="shared" si="4"/>
        <v/>
      </c>
      <c r="P103" t="str">
        <f t="shared" si="5"/>
        <v/>
      </c>
      <c r="Q103" t="str">
        <f t="shared" si="6"/>
        <v/>
      </c>
      <c r="R103" t="str">
        <f t="shared" si="7"/>
        <v/>
      </c>
      <c r="S103">
        <f t="shared" si="8"/>
        <v>0</v>
      </c>
      <c r="T103" t="b">
        <f t="shared" si="9"/>
        <v>0</v>
      </c>
      <c r="U103" t="b">
        <f t="shared" si="10"/>
        <v>1</v>
      </c>
      <c r="V103" t="str">
        <f t="shared" si="11"/>
        <v/>
      </c>
      <c r="W103" t="str">
        <f t="shared" si="12"/>
        <v/>
      </c>
    </row>
    <row r="104" spans="2:23" ht="14.25" customHeight="1" x14ac:dyDescent="0.3">
      <c r="B104" s="151"/>
      <c r="C104" s="151"/>
      <c r="E104" s="52" t="str">
        <f t="shared" si="1"/>
        <v/>
      </c>
      <c r="F104" s="52" t="str">
        <f t="shared" si="2"/>
        <v/>
      </c>
      <c r="N104" t="str">
        <f t="shared" si="3"/>
        <v/>
      </c>
      <c r="O104" t="str">
        <f t="shared" si="4"/>
        <v/>
      </c>
      <c r="P104" t="str">
        <f t="shared" si="5"/>
        <v/>
      </c>
      <c r="Q104" t="str">
        <f t="shared" si="6"/>
        <v/>
      </c>
      <c r="R104" t="str">
        <f t="shared" si="7"/>
        <v/>
      </c>
      <c r="S104">
        <f t="shared" si="8"/>
        <v>0</v>
      </c>
      <c r="T104" t="b">
        <f t="shared" si="9"/>
        <v>0</v>
      </c>
      <c r="U104" t="b">
        <f t="shared" si="10"/>
        <v>1</v>
      </c>
      <c r="V104" t="str">
        <f t="shared" si="11"/>
        <v/>
      </c>
      <c r="W104" t="str">
        <f t="shared" si="12"/>
        <v/>
      </c>
    </row>
    <row r="105" spans="2:23" ht="14.25" customHeight="1" x14ac:dyDescent="0.3">
      <c r="B105" s="151"/>
      <c r="C105" s="151"/>
      <c r="E105" s="52" t="str">
        <f t="shared" si="1"/>
        <v/>
      </c>
      <c r="F105" s="52" t="str">
        <f t="shared" si="2"/>
        <v/>
      </c>
      <c r="N105" t="str">
        <f t="shared" si="3"/>
        <v/>
      </c>
      <c r="O105" t="str">
        <f t="shared" si="4"/>
        <v/>
      </c>
      <c r="P105" t="str">
        <f t="shared" si="5"/>
        <v/>
      </c>
      <c r="Q105" t="str">
        <f t="shared" si="6"/>
        <v/>
      </c>
      <c r="R105" t="str">
        <f t="shared" si="7"/>
        <v/>
      </c>
      <c r="S105">
        <f t="shared" si="8"/>
        <v>0</v>
      </c>
      <c r="T105" t="b">
        <f t="shared" si="9"/>
        <v>0</v>
      </c>
      <c r="U105" t="b">
        <f t="shared" si="10"/>
        <v>1</v>
      </c>
      <c r="V105" t="str">
        <f t="shared" si="11"/>
        <v/>
      </c>
      <c r="W105" t="str">
        <f t="shared" si="12"/>
        <v/>
      </c>
    </row>
    <row r="106" spans="2:23" ht="14.25" customHeight="1" x14ac:dyDescent="0.3">
      <c r="B106" s="151"/>
      <c r="C106" s="151"/>
      <c r="E106" s="52" t="str">
        <f t="shared" si="1"/>
        <v/>
      </c>
      <c r="F106" s="52" t="str">
        <f t="shared" si="2"/>
        <v/>
      </c>
      <c r="N106" t="str">
        <f t="shared" si="3"/>
        <v/>
      </c>
      <c r="O106" t="str">
        <f t="shared" si="4"/>
        <v/>
      </c>
      <c r="P106" t="str">
        <f t="shared" si="5"/>
        <v/>
      </c>
      <c r="Q106" t="str">
        <f t="shared" si="6"/>
        <v/>
      </c>
      <c r="R106" t="str">
        <f t="shared" si="7"/>
        <v/>
      </c>
      <c r="S106">
        <f t="shared" si="8"/>
        <v>0</v>
      </c>
      <c r="T106" t="b">
        <f t="shared" si="9"/>
        <v>0</v>
      </c>
      <c r="U106" t="b">
        <f t="shared" si="10"/>
        <v>1</v>
      </c>
      <c r="V106" t="str">
        <f t="shared" si="11"/>
        <v/>
      </c>
      <c r="W106" t="str">
        <f t="shared" si="12"/>
        <v/>
      </c>
    </row>
    <row r="107" spans="2:23" ht="14.25" customHeight="1" x14ac:dyDescent="0.3">
      <c r="B107" s="151"/>
      <c r="C107" s="151"/>
      <c r="E107" s="52" t="str">
        <f t="shared" si="1"/>
        <v/>
      </c>
      <c r="F107" s="52" t="str">
        <f t="shared" si="2"/>
        <v/>
      </c>
      <c r="N107" t="str">
        <f t="shared" si="3"/>
        <v/>
      </c>
      <c r="O107" t="str">
        <f t="shared" si="4"/>
        <v/>
      </c>
      <c r="P107" t="str">
        <f t="shared" si="5"/>
        <v/>
      </c>
      <c r="Q107" t="str">
        <f t="shared" si="6"/>
        <v/>
      </c>
      <c r="R107" t="str">
        <f t="shared" si="7"/>
        <v/>
      </c>
      <c r="S107">
        <f t="shared" si="8"/>
        <v>0</v>
      </c>
      <c r="T107" t="b">
        <f t="shared" si="9"/>
        <v>0</v>
      </c>
      <c r="U107" t="b">
        <f t="shared" si="10"/>
        <v>1</v>
      </c>
      <c r="V107" t="str">
        <f t="shared" si="11"/>
        <v/>
      </c>
      <c r="W107" t="str">
        <f t="shared" si="12"/>
        <v/>
      </c>
    </row>
    <row r="108" spans="2:23" ht="14.25" customHeight="1" x14ac:dyDescent="0.3">
      <c r="B108" s="151"/>
      <c r="C108" s="151"/>
      <c r="E108" s="52" t="str">
        <f t="shared" si="1"/>
        <v/>
      </c>
      <c r="F108" s="52" t="str">
        <f t="shared" si="2"/>
        <v/>
      </c>
      <c r="N108" t="str">
        <f t="shared" si="3"/>
        <v/>
      </c>
      <c r="O108" t="str">
        <f t="shared" si="4"/>
        <v/>
      </c>
      <c r="P108" t="str">
        <f t="shared" si="5"/>
        <v/>
      </c>
      <c r="Q108" t="str">
        <f t="shared" si="6"/>
        <v/>
      </c>
      <c r="R108" t="str">
        <f t="shared" si="7"/>
        <v/>
      </c>
      <c r="S108">
        <f t="shared" si="8"/>
        <v>0</v>
      </c>
      <c r="T108" t="b">
        <f t="shared" si="9"/>
        <v>0</v>
      </c>
      <c r="U108" t="b">
        <f t="shared" si="10"/>
        <v>1</v>
      </c>
      <c r="V108" t="str">
        <f t="shared" si="11"/>
        <v/>
      </c>
      <c r="W108" t="str">
        <f t="shared" si="12"/>
        <v/>
      </c>
    </row>
    <row r="109" spans="2:23" ht="14.25" customHeight="1" x14ac:dyDescent="0.3">
      <c r="B109" s="151"/>
      <c r="C109" s="151"/>
      <c r="E109" s="52" t="str">
        <f t="shared" si="1"/>
        <v/>
      </c>
      <c r="F109" s="52" t="str">
        <f t="shared" si="2"/>
        <v/>
      </c>
      <c r="N109" t="str">
        <f t="shared" si="3"/>
        <v/>
      </c>
      <c r="O109" t="str">
        <f t="shared" si="4"/>
        <v/>
      </c>
      <c r="P109" t="str">
        <f t="shared" si="5"/>
        <v/>
      </c>
      <c r="Q109" t="str">
        <f t="shared" si="6"/>
        <v/>
      </c>
      <c r="R109" t="str">
        <f t="shared" si="7"/>
        <v/>
      </c>
      <c r="S109">
        <f t="shared" si="8"/>
        <v>0</v>
      </c>
      <c r="T109" t="b">
        <f t="shared" si="9"/>
        <v>0</v>
      </c>
      <c r="U109" t="b">
        <f t="shared" si="10"/>
        <v>1</v>
      </c>
      <c r="V109" t="str">
        <f t="shared" si="11"/>
        <v/>
      </c>
      <c r="W109" t="str">
        <f t="shared" si="12"/>
        <v/>
      </c>
    </row>
    <row r="110" spans="2:23" ht="14.25" customHeight="1" x14ac:dyDescent="0.3">
      <c r="B110" s="151"/>
      <c r="C110" s="151"/>
      <c r="E110" s="52" t="str">
        <f t="shared" si="1"/>
        <v/>
      </c>
      <c r="F110" s="52" t="str">
        <f t="shared" si="2"/>
        <v/>
      </c>
      <c r="N110" t="str">
        <f t="shared" si="3"/>
        <v/>
      </c>
      <c r="O110" t="str">
        <f t="shared" si="4"/>
        <v/>
      </c>
      <c r="P110" t="str">
        <f t="shared" si="5"/>
        <v/>
      </c>
      <c r="Q110" t="str">
        <f t="shared" si="6"/>
        <v/>
      </c>
      <c r="R110" t="str">
        <f t="shared" si="7"/>
        <v/>
      </c>
      <c r="S110">
        <f t="shared" si="8"/>
        <v>0</v>
      </c>
      <c r="T110" t="b">
        <f t="shared" si="9"/>
        <v>0</v>
      </c>
      <c r="U110" t="b">
        <f t="shared" si="10"/>
        <v>1</v>
      </c>
      <c r="V110" t="str">
        <f t="shared" si="11"/>
        <v/>
      </c>
      <c r="W110" t="str">
        <f t="shared" si="12"/>
        <v/>
      </c>
    </row>
    <row r="111" spans="2:23" ht="14.25" customHeight="1" x14ac:dyDescent="0.3">
      <c r="B111" s="151"/>
      <c r="C111" s="151"/>
      <c r="E111" s="52" t="str">
        <f t="shared" si="1"/>
        <v/>
      </c>
      <c r="F111" s="52" t="str">
        <f t="shared" si="2"/>
        <v/>
      </c>
      <c r="N111" t="str">
        <f t="shared" si="3"/>
        <v/>
      </c>
      <c r="O111" t="str">
        <f t="shared" si="4"/>
        <v/>
      </c>
      <c r="P111" t="str">
        <f t="shared" si="5"/>
        <v/>
      </c>
      <c r="Q111" t="str">
        <f t="shared" si="6"/>
        <v/>
      </c>
      <c r="R111" t="str">
        <f t="shared" si="7"/>
        <v/>
      </c>
      <c r="S111">
        <f t="shared" si="8"/>
        <v>0</v>
      </c>
      <c r="T111" t="b">
        <f t="shared" si="9"/>
        <v>0</v>
      </c>
      <c r="U111" t="b">
        <f t="shared" si="10"/>
        <v>1</v>
      </c>
      <c r="V111" t="str">
        <f t="shared" si="11"/>
        <v/>
      </c>
      <c r="W111" t="str">
        <f t="shared" si="12"/>
        <v/>
      </c>
    </row>
    <row r="112" spans="2:23" ht="14.25" customHeight="1" x14ac:dyDescent="0.3">
      <c r="B112" s="151"/>
      <c r="C112" s="151"/>
      <c r="E112" s="52" t="str">
        <f t="shared" si="1"/>
        <v/>
      </c>
      <c r="F112" s="52" t="str">
        <f t="shared" si="2"/>
        <v/>
      </c>
      <c r="N112" t="str">
        <f t="shared" si="3"/>
        <v/>
      </c>
      <c r="O112" t="str">
        <f t="shared" si="4"/>
        <v/>
      </c>
      <c r="P112" t="str">
        <f t="shared" si="5"/>
        <v/>
      </c>
      <c r="Q112" t="str">
        <f t="shared" si="6"/>
        <v/>
      </c>
      <c r="R112" t="str">
        <f t="shared" si="7"/>
        <v/>
      </c>
      <c r="S112">
        <f t="shared" si="8"/>
        <v>0</v>
      </c>
      <c r="T112" t="b">
        <f t="shared" si="9"/>
        <v>0</v>
      </c>
      <c r="U112" t="b">
        <f t="shared" si="10"/>
        <v>1</v>
      </c>
      <c r="V112" t="str">
        <f t="shared" si="11"/>
        <v/>
      </c>
      <c r="W112" t="str">
        <f t="shared" si="12"/>
        <v/>
      </c>
    </row>
    <row r="113" spans="2:23" ht="14.25" customHeight="1" x14ac:dyDescent="0.3">
      <c r="B113" s="151"/>
      <c r="C113" s="151"/>
      <c r="E113" s="52" t="str">
        <f t="shared" si="1"/>
        <v/>
      </c>
      <c r="F113" s="52" t="str">
        <f t="shared" si="2"/>
        <v/>
      </c>
      <c r="N113" t="str">
        <f t="shared" si="3"/>
        <v/>
      </c>
      <c r="O113" t="str">
        <f t="shared" si="4"/>
        <v/>
      </c>
      <c r="P113" t="str">
        <f t="shared" si="5"/>
        <v/>
      </c>
      <c r="Q113" t="str">
        <f t="shared" si="6"/>
        <v/>
      </c>
      <c r="R113" t="str">
        <f t="shared" si="7"/>
        <v/>
      </c>
      <c r="S113">
        <f t="shared" si="8"/>
        <v>0</v>
      </c>
      <c r="T113" t="b">
        <f t="shared" si="9"/>
        <v>0</v>
      </c>
      <c r="U113" t="b">
        <f t="shared" si="10"/>
        <v>1</v>
      </c>
      <c r="V113" t="str">
        <f t="shared" si="11"/>
        <v/>
      </c>
      <c r="W113" t="str">
        <f t="shared" si="12"/>
        <v/>
      </c>
    </row>
    <row r="114" spans="2:23" ht="14.25" customHeight="1" x14ac:dyDescent="0.3">
      <c r="B114" s="151"/>
      <c r="C114" s="151"/>
      <c r="E114" s="52" t="str">
        <f t="shared" si="1"/>
        <v/>
      </c>
      <c r="F114" s="52" t="str">
        <f t="shared" si="2"/>
        <v/>
      </c>
      <c r="N114" t="str">
        <f t="shared" si="3"/>
        <v/>
      </c>
      <c r="O114" t="str">
        <f t="shared" si="4"/>
        <v/>
      </c>
      <c r="P114" t="str">
        <f t="shared" si="5"/>
        <v/>
      </c>
      <c r="Q114" t="str">
        <f t="shared" si="6"/>
        <v/>
      </c>
      <c r="R114" t="str">
        <f t="shared" si="7"/>
        <v/>
      </c>
      <c r="S114">
        <f t="shared" si="8"/>
        <v>0</v>
      </c>
      <c r="T114" t="b">
        <f t="shared" si="9"/>
        <v>0</v>
      </c>
      <c r="U114" t="b">
        <f t="shared" si="10"/>
        <v>1</v>
      </c>
      <c r="V114" t="str">
        <f t="shared" si="11"/>
        <v/>
      </c>
      <c r="W114" t="str">
        <f t="shared" si="12"/>
        <v/>
      </c>
    </row>
    <row r="115" spans="2:23" ht="14.25" customHeight="1" x14ac:dyDescent="0.3">
      <c r="B115" s="151"/>
      <c r="C115" s="151"/>
      <c r="E115" s="52" t="str">
        <f t="shared" si="1"/>
        <v/>
      </c>
      <c r="F115" s="52" t="str">
        <f t="shared" si="2"/>
        <v/>
      </c>
      <c r="N115" t="str">
        <f t="shared" si="3"/>
        <v/>
      </c>
      <c r="O115" t="str">
        <f t="shared" si="4"/>
        <v/>
      </c>
      <c r="P115" t="str">
        <f t="shared" si="5"/>
        <v/>
      </c>
      <c r="Q115" t="str">
        <f t="shared" si="6"/>
        <v/>
      </c>
      <c r="R115" t="str">
        <f t="shared" si="7"/>
        <v/>
      </c>
      <c r="S115">
        <f t="shared" si="8"/>
        <v>0</v>
      </c>
      <c r="T115" t="b">
        <f t="shared" si="9"/>
        <v>0</v>
      </c>
      <c r="U115" t="b">
        <f t="shared" si="10"/>
        <v>1</v>
      </c>
      <c r="V115" t="str">
        <f t="shared" si="11"/>
        <v/>
      </c>
      <c r="W115" t="str">
        <f t="shared" si="12"/>
        <v/>
      </c>
    </row>
    <row r="116" spans="2:23" ht="14.25" customHeight="1" x14ac:dyDescent="0.3">
      <c r="B116" s="151"/>
      <c r="C116" s="151"/>
      <c r="E116" s="52" t="str">
        <f t="shared" si="1"/>
        <v/>
      </c>
      <c r="F116" s="52" t="str">
        <f t="shared" si="2"/>
        <v/>
      </c>
      <c r="N116" t="str">
        <f t="shared" si="3"/>
        <v/>
      </c>
      <c r="O116" t="str">
        <f t="shared" si="4"/>
        <v/>
      </c>
      <c r="P116" t="str">
        <f t="shared" si="5"/>
        <v/>
      </c>
      <c r="Q116" t="str">
        <f t="shared" si="6"/>
        <v/>
      </c>
      <c r="R116" t="str">
        <f t="shared" si="7"/>
        <v/>
      </c>
      <c r="S116">
        <f t="shared" si="8"/>
        <v>0</v>
      </c>
      <c r="T116" t="b">
        <f t="shared" si="9"/>
        <v>0</v>
      </c>
      <c r="U116" t="b">
        <f t="shared" si="10"/>
        <v>1</v>
      </c>
      <c r="V116" t="str">
        <f t="shared" si="11"/>
        <v/>
      </c>
      <c r="W116" t="str">
        <f t="shared" si="12"/>
        <v/>
      </c>
    </row>
    <row r="117" spans="2:23" ht="14.25" customHeight="1" x14ac:dyDescent="0.3">
      <c r="B117" s="151"/>
      <c r="C117" s="151"/>
      <c r="E117" s="52" t="str">
        <f t="shared" si="1"/>
        <v/>
      </c>
      <c r="F117" s="52" t="str">
        <f t="shared" si="2"/>
        <v/>
      </c>
      <c r="N117" t="str">
        <f t="shared" si="3"/>
        <v/>
      </c>
      <c r="O117" t="str">
        <f t="shared" si="4"/>
        <v/>
      </c>
      <c r="P117" t="str">
        <f t="shared" si="5"/>
        <v/>
      </c>
      <c r="Q117" t="str">
        <f t="shared" si="6"/>
        <v/>
      </c>
      <c r="R117" t="str">
        <f t="shared" si="7"/>
        <v/>
      </c>
      <c r="S117">
        <f t="shared" si="8"/>
        <v>0</v>
      </c>
      <c r="T117" t="b">
        <f t="shared" si="9"/>
        <v>0</v>
      </c>
      <c r="U117" t="b">
        <f t="shared" si="10"/>
        <v>1</v>
      </c>
      <c r="V117" t="str">
        <f t="shared" si="11"/>
        <v/>
      </c>
      <c r="W117" t="str">
        <f t="shared" si="12"/>
        <v/>
      </c>
    </row>
    <row r="118" spans="2:23" ht="14.25" customHeight="1" x14ac:dyDescent="0.3">
      <c r="B118" s="151"/>
      <c r="C118" s="151"/>
      <c r="E118" s="52" t="str">
        <f t="shared" si="1"/>
        <v/>
      </c>
      <c r="F118" s="52" t="str">
        <f t="shared" si="2"/>
        <v/>
      </c>
      <c r="N118" t="str">
        <f t="shared" si="3"/>
        <v/>
      </c>
      <c r="O118" t="str">
        <f t="shared" si="4"/>
        <v/>
      </c>
      <c r="P118" t="str">
        <f t="shared" si="5"/>
        <v/>
      </c>
      <c r="Q118" t="str">
        <f t="shared" si="6"/>
        <v/>
      </c>
      <c r="R118" t="str">
        <f t="shared" si="7"/>
        <v/>
      </c>
      <c r="S118">
        <f t="shared" si="8"/>
        <v>0</v>
      </c>
      <c r="T118" t="b">
        <f t="shared" si="9"/>
        <v>0</v>
      </c>
      <c r="U118" t="b">
        <f t="shared" si="10"/>
        <v>1</v>
      </c>
      <c r="V118" t="str">
        <f t="shared" si="11"/>
        <v/>
      </c>
      <c r="W118" t="str">
        <f t="shared" si="12"/>
        <v/>
      </c>
    </row>
    <row r="119" spans="2:23" ht="14.25" customHeight="1" x14ac:dyDescent="0.3">
      <c r="B119" s="151"/>
      <c r="C119" s="151"/>
      <c r="E119" s="52" t="str">
        <f t="shared" si="1"/>
        <v/>
      </c>
      <c r="F119" s="52" t="str">
        <f t="shared" si="2"/>
        <v/>
      </c>
      <c r="N119" t="str">
        <f t="shared" si="3"/>
        <v/>
      </c>
      <c r="O119" t="str">
        <f t="shared" si="4"/>
        <v/>
      </c>
      <c r="P119" t="str">
        <f t="shared" si="5"/>
        <v/>
      </c>
      <c r="Q119" t="str">
        <f t="shared" si="6"/>
        <v/>
      </c>
      <c r="R119" t="str">
        <f t="shared" si="7"/>
        <v/>
      </c>
      <c r="S119">
        <f t="shared" si="8"/>
        <v>0</v>
      </c>
      <c r="T119" t="b">
        <f t="shared" si="9"/>
        <v>0</v>
      </c>
      <c r="U119" t="b">
        <f t="shared" si="10"/>
        <v>1</v>
      </c>
      <c r="V119" t="str">
        <f t="shared" si="11"/>
        <v/>
      </c>
      <c r="W119" t="str">
        <f t="shared" si="12"/>
        <v/>
      </c>
    </row>
    <row r="120" spans="2:23" ht="14.25" customHeight="1" x14ac:dyDescent="0.3">
      <c r="B120" s="151"/>
      <c r="C120" s="151"/>
      <c r="E120" s="52" t="str">
        <f t="shared" si="1"/>
        <v/>
      </c>
      <c r="F120" s="52" t="str">
        <f t="shared" si="2"/>
        <v/>
      </c>
      <c r="N120" t="str">
        <f t="shared" si="3"/>
        <v/>
      </c>
      <c r="O120" t="str">
        <f t="shared" si="4"/>
        <v/>
      </c>
      <c r="P120" t="str">
        <f t="shared" si="5"/>
        <v/>
      </c>
      <c r="Q120" t="str">
        <f t="shared" si="6"/>
        <v/>
      </c>
      <c r="R120" t="str">
        <f t="shared" si="7"/>
        <v/>
      </c>
      <c r="S120">
        <f t="shared" si="8"/>
        <v>0</v>
      </c>
      <c r="T120" t="b">
        <f t="shared" si="9"/>
        <v>0</v>
      </c>
      <c r="U120" t="b">
        <f t="shared" si="10"/>
        <v>1</v>
      </c>
      <c r="V120" t="str">
        <f t="shared" si="11"/>
        <v/>
      </c>
      <c r="W120" t="str">
        <f t="shared" si="12"/>
        <v/>
      </c>
    </row>
    <row r="121" spans="2:23" ht="14.25" customHeight="1" x14ac:dyDescent="0.3">
      <c r="B121" s="151"/>
      <c r="C121" s="151"/>
      <c r="E121" s="52" t="str">
        <f t="shared" si="1"/>
        <v/>
      </c>
      <c r="F121" s="52" t="str">
        <f t="shared" si="2"/>
        <v/>
      </c>
      <c r="N121" t="str">
        <f t="shared" si="3"/>
        <v/>
      </c>
      <c r="O121" t="str">
        <f t="shared" si="4"/>
        <v/>
      </c>
      <c r="P121" t="str">
        <f t="shared" si="5"/>
        <v/>
      </c>
      <c r="Q121" t="str">
        <f t="shared" si="6"/>
        <v/>
      </c>
      <c r="R121" t="str">
        <f t="shared" si="7"/>
        <v/>
      </c>
      <c r="S121">
        <f t="shared" si="8"/>
        <v>0</v>
      </c>
      <c r="T121" t="b">
        <f t="shared" si="9"/>
        <v>0</v>
      </c>
      <c r="U121" t="b">
        <f t="shared" si="10"/>
        <v>1</v>
      </c>
      <c r="V121" t="str">
        <f t="shared" si="11"/>
        <v/>
      </c>
      <c r="W121" t="str">
        <f t="shared" si="12"/>
        <v/>
      </c>
    </row>
    <row r="122" spans="2:23" ht="14.25" customHeight="1" x14ac:dyDescent="0.3">
      <c r="B122" s="151"/>
      <c r="C122" s="151"/>
      <c r="E122" s="52" t="str">
        <f t="shared" si="1"/>
        <v/>
      </c>
      <c r="F122" s="52" t="str">
        <f t="shared" si="2"/>
        <v/>
      </c>
      <c r="N122" t="str">
        <f t="shared" si="3"/>
        <v/>
      </c>
      <c r="O122" t="str">
        <f t="shared" si="4"/>
        <v/>
      </c>
      <c r="P122" t="str">
        <f t="shared" si="5"/>
        <v/>
      </c>
      <c r="Q122" t="str">
        <f t="shared" si="6"/>
        <v/>
      </c>
      <c r="R122" t="str">
        <f t="shared" si="7"/>
        <v/>
      </c>
      <c r="S122">
        <f t="shared" si="8"/>
        <v>0</v>
      </c>
      <c r="T122" t="b">
        <f t="shared" si="9"/>
        <v>0</v>
      </c>
      <c r="U122" t="b">
        <f t="shared" si="10"/>
        <v>1</v>
      </c>
      <c r="V122" t="str">
        <f t="shared" si="11"/>
        <v/>
      </c>
      <c r="W122" t="str">
        <f t="shared" si="12"/>
        <v/>
      </c>
    </row>
    <row r="123" spans="2:23" ht="14.25" customHeight="1" x14ac:dyDescent="0.3">
      <c r="B123" s="151"/>
      <c r="C123" s="151"/>
      <c r="E123" s="52" t="str">
        <f t="shared" si="1"/>
        <v/>
      </c>
      <c r="F123" s="52" t="str">
        <f t="shared" si="2"/>
        <v/>
      </c>
      <c r="N123" t="str">
        <f t="shared" si="3"/>
        <v/>
      </c>
      <c r="O123" t="str">
        <f t="shared" si="4"/>
        <v/>
      </c>
      <c r="P123" t="str">
        <f t="shared" si="5"/>
        <v/>
      </c>
      <c r="Q123" t="str">
        <f t="shared" si="6"/>
        <v/>
      </c>
      <c r="R123" t="str">
        <f t="shared" si="7"/>
        <v/>
      </c>
      <c r="S123">
        <f t="shared" si="8"/>
        <v>0</v>
      </c>
      <c r="T123" t="b">
        <f t="shared" si="9"/>
        <v>0</v>
      </c>
      <c r="U123" t="b">
        <f t="shared" si="10"/>
        <v>1</v>
      </c>
      <c r="V123" t="str">
        <f t="shared" si="11"/>
        <v/>
      </c>
      <c r="W123" t="str">
        <f t="shared" si="12"/>
        <v/>
      </c>
    </row>
    <row r="124" spans="2:23" ht="14.25" customHeight="1" x14ac:dyDescent="0.3">
      <c r="B124" s="151"/>
      <c r="C124" s="151"/>
      <c r="E124" s="52" t="str">
        <f t="shared" si="1"/>
        <v/>
      </c>
      <c r="F124" s="52" t="str">
        <f t="shared" si="2"/>
        <v/>
      </c>
      <c r="N124" t="str">
        <f t="shared" si="3"/>
        <v/>
      </c>
      <c r="O124" t="str">
        <f t="shared" si="4"/>
        <v/>
      </c>
      <c r="P124" t="str">
        <f t="shared" si="5"/>
        <v/>
      </c>
      <c r="Q124" t="str">
        <f t="shared" si="6"/>
        <v/>
      </c>
      <c r="R124" t="str">
        <f t="shared" si="7"/>
        <v/>
      </c>
      <c r="S124">
        <f t="shared" si="8"/>
        <v>0</v>
      </c>
      <c r="T124" t="b">
        <f t="shared" si="9"/>
        <v>0</v>
      </c>
      <c r="U124" t="b">
        <f t="shared" si="10"/>
        <v>1</v>
      </c>
      <c r="V124" t="str">
        <f t="shared" si="11"/>
        <v/>
      </c>
      <c r="W124" t="str">
        <f t="shared" si="12"/>
        <v/>
      </c>
    </row>
    <row r="125" spans="2:23" ht="14.25" customHeight="1" x14ac:dyDescent="0.3">
      <c r="B125" s="151"/>
      <c r="C125" s="151"/>
      <c r="E125" s="52" t="str">
        <f t="shared" si="1"/>
        <v/>
      </c>
      <c r="F125" s="52" t="str">
        <f t="shared" si="2"/>
        <v/>
      </c>
      <c r="N125" t="str">
        <f t="shared" si="3"/>
        <v/>
      </c>
      <c r="O125" t="str">
        <f t="shared" si="4"/>
        <v/>
      </c>
      <c r="P125" t="str">
        <f t="shared" si="5"/>
        <v/>
      </c>
      <c r="Q125" t="str">
        <f t="shared" si="6"/>
        <v/>
      </c>
      <c r="R125" t="str">
        <f t="shared" si="7"/>
        <v/>
      </c>
      <c r="S125">
        <f t="shared" si="8"/>
        <v>0</v>
      </c>
      <c r="T125" t="b">
        <f t="shared" si="9"/>
        <v>0</v>
      </c>
      <c r="U125" t="b">
        <f t="shared" si="10"/>
        <v>1</v>
      </c>
      <c r="V125" t="str">
        <f t="shared" si="11"/>
        <v/>
      </c>
      <c r="W125" t="str">
        <f t="shared" si="12"/>
        <v/>
      </c>
    </row>
    <row r="126" spans="2:23" ht="14.25" customHeight="1" x14ac:dyDescent="0.3">
      <c r="B126" s="151"/>
      <c r="C126" s="151"/>
      <c r="E126" s="52" t="str">
        <f t="shared" si="1"/>
        <v/>
      </c>
      <c r="F126" s="52" t="str">
        <f t="shared" si="2"/>
        <v/>
      </c>
      <c r="N126" t="str">
        <f t="shared" si="3"/>
        <v/>
      </c>
      <c r="O126" t="str">
        <f t="shared" si="4"/>
        <v/>
      </c>
      <c r="P126" t="str">
        <f t="shared" si="5"/>
        <v/>
      </c>
      <c r="Q126" t="str">
        <f t="shared" si="6"/>
        <v/>
      </c>
      <c r="R126" t="str">
        <f t="shared" si="7"/>
        <v/>
      </c>
      <c r="S126">
        <f t="shared" si="8"/>
        <v>0</v>
      </c>
      <c r="T126" t="b">
        <f t="shared" si="9"/>
        <v>0</v>
      </c>
      <c r="U126" t="b">
        <f t="shared" si="10"/>
        <v>1</v>
      </c>
      <c r="V126" t="str">
        <f t="shared" si="11"/>
        <v/>
      </c>
      <c r="W126" t="str">
        <f t="shared" si="12"/>
        <v/>
      </c>
    </row>
    <row r="127" spans="2:23" ht="13.5" customHeight="1" x14ac:dyDescent="0.3">
      <c r="B127" s="152" t="s">
        <v>423</v>
      </c>
    </row>
    <row r="129" spans="2:4" ht="19.95" customHeight="1" x14ac:dyDescent="0.3">
      <c r="B129" s="136" t="s">
        <v>463</v>
      </c>
    </row>
    <row r="130" spans="2:4" x14ac:dyDescent="0.3">
      <c r="B130" s="150" t="s">
        <v>464</v>
      </c>
      <c r="C130" s="150" t="s">
        <v>465</v>
      </c>
      <c r="D130" s="150" t="s">
        <v>125</v>
      </c>
    </row>
    <row r="131" spans="2:4" x14ac:dyDescent="0.3">
      <c r="B131" s="112" t="s">
        <v>466</v>
      </c>
      <c r="C131" s="151" t="str">
        <f>(COUNTIF(SAISIE!$F$7:$F$1206,"?*")+COUNT(SAISIE!$F$7:$F$1206))&amp;" / "&amp;(COUNTIF(D_NOM,"?*")+COUNT(D_NOM))</f>
        <v>0 / 0</v>
      </c>
      <c r="D131" s="151" t="str">
        <f>IF((COUNTIF(SAISIE!$F$7:$F$1206,"?*")+COUNT(SAISIE!$F$7:$F$1206))=(COUNTIF(D_NOM,"?*")+COUNT(D_NOM)),"OK","ERREUR")</f>
        <v>OK</v>
      </c>
    </row>
    <row r="132" spans="2:4" x14ac:dyDescent="0.3">
      <c r="B132" s="112" t="s">
        <v>467</v>
      </c>
      <c r="C132" s="151" t="str">
        <f>SUM('STATS ECOLE'!$C$12:$C$16)&amp;" / "&amp;'STATS ECOLE'!$A$7</f>
        <v>0 / 0</v>
      </c>
      <c r="D132" s="151" t="str">
        <f>IF(SUM('STATS ECOLE'!$C$12:$C$16)='STATS ECOLE'!$A$7,"OK","À CONTRÔLER")</f>
        <v>OK</v>
      </c>
    </row>
    <row r="133" spans="2:4" x14ac:dyDescent="0.3">
      <c r="B133" s="112" t="s">
        <v>468</v>
      </c>
      <c r="C133" s="151" t="str">
        <f>SUM('EXPORT UGSEL'!$G$8:$G$17)&amp;" / "&amp;COUNTIFS(D_ANNEE,'EXPORT UGSEL'!$C$4)</f>
        <v>0 / 0</v>
      </c>
      <c r="D133" s="151" t="str">
        <f>IF(SUM('EXPORT UGSEL'!$G$8:$G$17)=COUNTIFS(D_ANNEE,'EXPORT UGSEL'!$C$4),"OK","ERREUR")</f>
        <v>OK</v>
      </c>
    </row>
    <row r="134" spans="2:4" x14ac:dyDescent="0.3">
      <c r="B134" s="112" t="s">
        <v>469</v>
      </c>
      <c r="C134" s="151">
        <f>COUNTIF(SAISIE!$R$7:$R$1206,"⚠ Doublon")</f>
        <v>0</v>
      </c>
      <c r="D134" s="151" t="str">
        <f>IF(COUNTIF(SAISIE!$R$7:$R$1206,"⚠ Doublon")=0,"OK","ERREUR")</f>
        <v>OK</v>
      </c>
    </row>
    <row r="135" spans="2:4" x14ac:dyDescent="0.3">
      <c r="B135" s="112" t="s">
        <v>470</v>
      </c>
      <c r="C135" s="151">
        <f>COUNTIF(SAISIE!$R$7:$R$1206,"⚠ Compléter*")</f>
        <v>0</v>
      </c>
      <c r="D135" s="151" t="str">
        <f>IF(COUNTIF(SAISIE!$R$7:$R$1206,"⚠ Compléter*")=0,"OK","ERREUR")</f>
        <v>OK</v>
      </c>
    </row>
    <row r="136" spans="2:4" x14ac:dyDescent="0.3">
      <c r="B136" s="112" t="s">
        <v>471</v>
      </c>
      <c r="C136" s="151">
        <f>COUNTIF(SAISIE!$R$7:$R$1206,"⚠*")-COUNTIF(SAISIE!$R$7:$R$1206,"⚠ Doublon")-COUNTIF(SAISIE!$R$7:$R$1206,"⚠ Compléter*")</f>
        <v>0</v>
      </c>
      <c r="D136" s="151" t="str">
        <f>IF(COUNTIF(SAISIE!$R$7:$R$1206,"⚠*")-COUNTIF(SAISIE!$R$7:$R$1206,"⚠ Doublon")-COUNTIF(SAISIE!$R$7:$R$1206,"⚠ Compléter*")=0,"OK","À CONTRÔLER")</f>
        <v>OK</v>
      </c>
    </row>
    <row r="137" spans="2:4" x14ac:dyDescent="0.3">
      <c r="B137" s="112" t="s">
        <v>472</v>
      </c>
      <c r="C137" s="151">
        <f>COUNTIFS(D_ANNEE,ANNEE_ACTIVE,D_NBTESTS,0)</f>
        <v>0</v>
      </c>
      <c r="D137" s="151" t="str">
        <f>IF(COUNTIFS(D_ANNEE,ANNEE_ACTIVE,D_NBTESTS,0)=0,"OK","À CONTRÔLER")</f>
        <v>OK</v>
      </c>
    </row>
    <row r="138" spans="2:4" x14ac:dyDescent="0.3">
      <c r="B138" s="112" t="s">
        <v>473</v>
      </c>
      <c r="C138" s="151">
        <f>COUNTIFS(D_ANNEE,ANNEE_ACTIVE,D_COMPLET,0)</f>
        <v>0</v>
      </c>
      <c r="D138" s="151" t="str">
        <f>IF(COUNTIFS(D_ANNEE,ANNEE_ACTIVE,D_COMPLET,0)=0,"OK","À CONTRÔLER")</f>
        <v>OK</v>
      </c>
    </row>
    <row r="139" spans="2:4" ht="30" customHeight="1" x14ac:dyDescent="0.3">
      <c r="B139" s="152" t="s">
        <v>474</v>
      </c>
    </row>
  </sheetData>
  <mergeCells count="18">
    <mergeCell ref="B60:J60"/>
    <mergeCell ref="B68:E68"/>
    <mergeCell ref="E70:I73"/>
    <mergeCell ref="B47:H47"/>
    <mergeCell ref="B49:H49"/>
    <mergeCell ref="B54:J54"/>
    <mergeCell ref="B56:J56"/>
    <mergeCell ref="B58:J58"/>
    <mergeCell ref="B40:G40"/>
    <mergeCell ref="B42:H42"/>
    <mergeCell ref="B43:H43"/>
    <mergeCell ref="B44:H44"/>
    <mergeCell ref="B46:H46"/>
    <mergeCell ref="A1:J1"/>
    <mergeCell ref="B3:E3"/>
    <mergeCell ref="C4:E4"/>
    <mergeCell ref="C5:E5"/>
    <mergeCell ref="B39:G39"/>
  </mergeCells>
  <conditionalFormatting sqref="E6">
    <cfRule type="expression" dxfId="0" priority="2">
      <formula>E6&lt;&gt;""</formula>
    </cfRule>
  </conditionalFormatting>
  <dataValidations count="2">
    <dataValidation type="list" allowBlank="1" showErrorMessage="1" errorTitle="Année invalide" error="Sélectionnez une année scolaire dans la liste déroulante (ex : 2025-2026). Vérifiez la saisie." sqref="C6" xr:uid="{00000000-0002-0000-0B00-000000000000}">
      <formula1>LISTE_ANNEES</formula1>
      <formula2>0</formula2>
    </dataValidation>
    <dataValidation type="list" allowBlank="1" sqref="C70:C77" xr:uid="{00000000-0002-0000-0B00-000001000000}">
      <formula1>$J$69:$J$70</formula1>
      <formula2>0</formula2>
    </dataValidation>
  </dataValidations>
  <pageMargins left="0.75" right="0.75" top="1" bottom="1" header="0.511811023622047" footer="0.511811023622047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6B6B7B"/>
  </sheetPr>
  <dimension ref="A1:BB1201"/>
  <sheetViews>
    <sheetView zoomScaleNormal="100" workbookViewId="0">
      <pane ySplit="1" topLeftCell="A2" activePane="bottomLeft" state="frozen"/>
      <selection pane="bottomLeft"/>
    </sheetView>
  </sheetViews>
  <sheetFormatPr baseColWidth="10" defaultColWidth="8.88671875" defaultRowHeight="14.4" x14ac:dyDescent="0.3"/>
  <cols>
    <col min="29" max="32" width="13" hidden="1" customWidth="1"/>
  </cols>
  <sheetData>
    <row r="1" spans="1:54" ht="14.25" customHeight="1" x14ac:dyDescent="0.3">
      <c r="A1" s="153" t="s">
        <v>359</v>
      </c>
      <c r="B1" s="153" t="s">
        <v>360</v>
      </c>
      <c r="C1" s="153" t="s">
        <v>361</v>
      </c>
      <c r="D1" s="153" t="s">
        <v>362</v>
      </c>
      <c r="E1" s="153" t="s">
        <v>363</v>
      </c>
      <c r="F1" s="153" t="s">
        <v>364</v>
      </c>
      <c r="G1" s="153" t="s">
        <v>365</v>
      </c>
      <c r="H1" s="153" t="s">
        <v>366</v>
      </c>
      <c r="I1" s="153" t="s">
        <v>367</v>
      </c>
      <c r="J1" s="153" t="s">
        <v>368</v>
      </c>
      <c r="K1" s="153" t="s">
        <v>369</v>
      </c>
      <c r="L1" s="153" t="s">
        <v>370</v>
      </c>
      <c r="M1" s="153" t="s">
        <v>371</v>
      </c>
      <c r="N1" s="153" t="s">
        <v>372</v>
      </c>
      <c r="O1" s="153" t="s">
        <v>373</v>
      </c>
      <c r="P1" s="153" t="s">
        <v>374</v>
      </c>
      <c r="Q1" s="153" t="s">
        <v>375</v>
      </c>
      <c r="R1" s="153" t="s">
        <v>376</v>
      </c>
      <c r="S1" s="153" t="s">
        <v>377</v>
      </c>
      <c r="T1" s="153" t="s">
        <v>378</v>
      </c>
      <c r="U1" s="153" t="s">
        <v>379</v>
      </c>
      <c r="V1" s="153" t="s">
        <v>380</v>
      </c>
      <c r="W1" s="153" t="s">
        <v>381</v>
      </c>
      <c r="X1" s="153" t="s">
        <v>382</v>
      </c>
      <c r="Y1" s="153" t="s">
        <v>383</v>
      </c>
      <c r="Z1" s="153" t="s">
        <v>384</v>
      </c>
      <c r="AA1" s="153" t="s">
        <v>385</v>
      </c>
      <c r="AB1" s="153" t="s">
        <v>386</v>
      </c>
      <c r="AG1" t="s">
        <v>387</v>
      </c>
      <c r="AH1" t="s">
        <v>388</v>
      </c>
      <c r="AI1" t="s">
        <v>389</v>
      </c>
      <c r="AJ1" t="s">
        <v>390</v>
      </c>
      <c r="AK1" t="s">
        <v>391</v>
      </c>
      <c r="AL1" t="s">
        <v>392</v>
      </c>
      <c r="AM1" t="s">
        <v>393</v>
      </c>
      <c r="AN1" t="s">
        <v>394</v>
      </c>
      <c r="AO1" t="s">
        <v>395</v>
      </c>
      <c r="AQ1" t="s">
        <v>396</v>
      </c>
      <c r="AR1" t="s">
        <v>397</v>
      </c>
      <c r="AS1" t="s">
        <v>475</v>
      </c>
      <c r="AT1" t="s">
        <v>476</v>
      </c>
      <c r="AU1" t="s">
        <v>477</v>
      </c>
      <c r="AV1" t="s">
        <v>478</v>
      </c>
      <c r="AW1" t="s">
        <v>479</v>
      </c>
      <c r="AX1" t="s">
        <v>480</v>
      </c>
      <c r="AY1" t="s">
        <v>481</v>
      </c>
      <c r="AZ1" t="s">
        <v>482</v>
      </c>
      <c r="BA1" t="s">
        <v>483</v>
      </c>
      <c r="BB1" t="s">
        <v>484</v>
      </c>
    </row>
    <row r="2" spans="1:54" ht="14.25" customHeight="1" x14ac:dyDescent="0.3">
      <c r="A2" t="str">
        <f>IF(SAISIE!$F7="","",SAISIE!$B7)</f>
        <v/>
      </c>
      <c r="B2" t="str">
        <f>IF(SAISIE!$F7="","",SAISIE!$C7)</f>
        <v/>
      </c>
      <c r="C2" t="str">
        <f>IF(SAISIE!$F7="","",SAISIE!$D7)</f>
        <v/>
      </c>
      <c r="D2" t="str">
        <f>IF(SAISIE!$E7="","",SAISIE!$E7)</f>
        <v/>
      </c>
      <c r="E2" t="str">
        <f>IF(SAISIE!$F7="","",SAISIE!$F7)</f>
        <v/>
      </c>
      <c r="F2" t="str">
        <f>IF(SAISIE!$H7="","",SAISIE!$H7)</f>
        <v/>
      </c>
      <c r="G2" t="str">
        <f>IF(SAISIE!$I7="","",SAISIE!$I7)</f>
        <v/>
      </c>
      <c r="H2" t="str">
        <f>IF(SAISIE!$J7="","",SAISIE!$J7)</f>
        <v/>
      </c>
      <c r="I2" t="str">
        <f>IF(SAISIE!$K7="","",SAISIE!$K7)</f>
        <v/>
      </c>
      <c r="J2" t="str">
        <f>IF(SAISIE!$L7="","",SAISIE!$L7)</f>
        <v/>
      </c>
      <c r="K2" t="str">
        <f>IF(SAISIE!$M7="","",SAISIE!$M7)</f>
        <v/>
      </c>
      <c r="L2" t="str">
        <f>IF(SAISIE!$N7="","",SAISIE!$N7)</f>
        <v/>
      </c>
      <c r="M2" t="str">
        <f>IF(SAISIE!$O7="","",SAISIE!$O7)</f>
        <v/>
      </c>
      <c r="N2" t="str">
        <f>IF(SAISIE!$P7="","",SAISIE!$P7)</f>
        <v/>
      </c>
      <c r="O2" t="str">
        <f>IF(SAISIE!$Q7="","",SAISIE!$Q7)</f>
        <v/>
      </c>
      <c r="P2" t="e">
        <f>IF(SAISIE!#REF!="","",SAISIE!#REF!)</f>
        <v>#REF!</v>
      </c>
      <c r="Q2" t="str">
        <f>IF($I2="","",IF($I2&gt;PARAMETRES!$G$29,5,IF($I2&gt;PARAMETRES!$F$29,4,IF($I2&gt;PARAMETRES!$E$29,3,IF($I2&gt;PARAMETRES!$D$29,2,1)))))</f>
        <v/>
      </c>
      <c r="R2" t="str">
        <f>IF($J2="","",IF($J2&gt;PARAMETRES!$G$30,5,IF($J2&gt;PARAMETRES!$F$30,4,IF($J2&gt;PARAMETRES!$E$30,3,IF($J2&gt;PARAMETRES!$D$30,2,1)))))</f>
        <v/>
      </c>
      <c r="S2" t="str">
        <f>IF($K2="","",IF($Z2=2,IF($K2&gt;PARAMETRES!$G$31,5,IF($K2&gt;PARAMETRES!$F$31,4,IF($K2&gt;PARAMETRES!$E$31,3,IF($K2&gt;PARAMETRES!$D$31,2,1)))),IF($K2&gt;PARAMETRES!$G$32,5,IF($K2&gt;PARAMETRES!$F$32,4,IF($K2&gt;PARAMETRES!$E$32,3,IF($K2&gt;PARAMETRES!$D$32,2,1))))))</f>
        <v/>
      </c>
      <c r="T2" t="str">
        <f>IF($L2="","",IF($L2&gt;PARAMETRES!$G$33,5,IF($L2&gt;PARAMETRES!$F$33,4,IF($L2&gt;PARAMETRES!$E$33,3,IF($L2&gt;PARAMETRES!$D$33,2,1)))))</f>
        <v/>
      </c>
      <c r="U2" t="str">
        <f>IF($M2="","",IF($M2&gt;PARAMETRES!$G$34,5,IF($M2&gt;PARAMETRES!$F$34,4,IF($M2&gt;PARAMETRES!$E$34,3,IF($M2&gt;PARAMETRES!$D$34,2,1)))))</f>
        <v/>
      </c>
      <c r="V2" t="str">
        <f>IF($N2="","",IF($N2&gt;PARAMETRES!$G$35,5,IF($N2&gt;PARAMETRES!$F$35,4,IF($N2&gt;PARAMETRES!$E$35,3,IF($N2&gt;PARAMETRES!$D$35,2,1)))))</f>
        <v/>
      </c>
      <c r="W2" t="str">
        <f>IF($O2="","",IF($O2&gt;PARAMETRES!$G$36,5,IF($O2&gt;PARAMETRES!$F$36,4,IF($O2&gt;PARAMETRES!$E$36,3,IF($O2&gt;PARAMETRES!$D$36,2,1)))))</f>
        <v/>
      </c>
      <c r="X2" t="e">
        <f>IF($P2="","",IF($P2&gt;PARAMETRES!$G$37,5,IF($P2&gt;PARAMETRES!$F$37,4,IF($P2&gt;PARAMETRES!$E$37,3,IF($P2&gt;PARAMETRES!$D$37,2,1)))))</f>
        <v>#REF!</v>
      </c>
      <c r="Y2" t="str">
        <f t="shared" ref="Y2:Y65" si="0">IF(COUNT($Q2:$X2)=0,"",AVERAGE($Q2:$X2))</f>
        <v/>
      </c>
      <c r="Z2" t="str">
        <f>IFERROR(VLOOKUP($B2,TABLE_CYCLE,2,0),"")</f>
        <v/>
      </c>
      <c r="AA2" t="str">
        <f t="shared" ref="AA2:AA65" si="1">IF($D2="","",$D2&amp;"|"&amp;$A2&amp;"|"&amp;$C2)</f>
        <v/>
      </c>
      <c r="AB2" t="str">
        <f>IF($D2="","",IF(COUNTIF($D$2:$D2,$D2)=1,$D2,""))</f>
        <v/>
      </c>
      <c r="AC2">
        <f t="shared" ref="AC2:AC65" si="2">IFERROR(MATCH($A2,LISTE_ANNEES,0),0)</f>
        <v>0</v>
      </c>
      <c r="AD2" t="str">
        <f t="shared" ref="AD2:AD65" si="3">$D2&amp;"|"&amp;$AC2</f>
        <v>|0</v>
      </c>
      <c r="AE2" t="str">
        <f t="shared" ref="AE2:AE65" si="4">IF($D2="","",_xlfn.MAXIFS($AC$2:$AC$1201,$D$2:$D$1201,$D2))</f>
        <v/>
      </c>
      <c r="AF2" t="str">
        <f t="shared" ref="AF2:AF65" si="5">IF($AB2="","",IFERROR(INDEX($B$2:$B$1201,MATCH($D2&amp;"|"&amp;$AE2,$AD$2:$AD$1201,0)),""))</f>
        <v/>
      </c>
      <c r="AG2" t="str">
        <f t="shared" ref="AG2:AG65" si="6">IF($C2&lt;&gt;"S1","",IFERROR(MATCH($D2&amp;"|"&amp;$A2&amp;"|S2",$AA$2:$AA$1201,0),""))</f>
        <v/>
      </c>
      <c r="AH2" t="str">
        <f t="shared" ref="AH2:AH65" si="7">IF(OR($AG2="",$Q2=""),"",IF(INDEX($Q$2:$Q$1201,$AG2)="","",IF(INDEX($Q$2:$Q$1201,$AG2)&gt;$Q2,1,IF(INDEX($Q$2:$Q$1201,$AG2)&lt;$Q2,-1,0))))</f>
        <v/>
      </c>
      <c r="AI2" t="str">
        <f t="shared" ref="AI2:AI65" si="8">IF(OR($AG2="",$R2=""),"",IF(INDEX($R$2:$R$1201,$AG2)="","",IF(INDEX($R$2:$R$1201,$AG2)&gt;$R2,1,IF(INDEX($R$2:$R$1201,$AG2)&lt;$R2,-1,0))))</f>
        <v/>
      </c>
      <c r="AJ2" t="str">
        <f t="shared" ref="AJ2:AJ65" si="9">IF(OR($AG2="",$S2=""),"",IF(INDEX($S$2:$S$1201,$AG2)="","",IF(INDEX($S$2:$S$1201,$AG2)&gt;$S2,1,IF(INDEX($S$2:$S$1201,$AG2)&lt;$S2,-1,0))))</f>
        <v/>
      </c>
      <c r="AK2" t="str">
        <f t="shared" ref="AK2:AK65" si="10">IF(OR($AG2="",$T2=""),"",IF(INDEX($T$2:$T$1201,$AG2)="","",IF(INDEX($T$2:$T$1201,$AG2)&gt;$T2,1,IF(INDEX($T$2:$T$1201,$AG2)&lt;$T2,-1,0))))</f>
        <v/>
      </c>
      <c r="AL2" t="str">
        <f t="shared" ref="AL2:AL65" si="11">IF(OR($AG2="",$U2=""),"",IF(INDEX($U$2:$U$1201,$AG2)="","",IF(INDEX($U$2:$U$1201,$AG2)&gt;$U2,1,IF(INDEX($U$2:$U$1201,$AG2)&lt;$U2,-1,0))))</f>
        <v/>
      </c>
      <c r="AM2" t="str">
        <f t="shared" ref="AM2:AM65" si="12">IF(OR($AG2="",$V2=""),"",IF(INDEX($V$2:$V$1201,$AG2)="","",IF(INDEX($V$2:$V$1201,$AG2)&gt;$V2,1,IF(INDEX($V$2:$V$1201,$AG2)&lt;$V2,-1,0))))</f>
        <v/>
      </c>
      <c r="AN2" t="str">
        <f t="shared" ref="AN2:AN65" si="13">IF(OR($AG2="",$W2=""),"",IF(INDEX($W$2:$W$1201,$AG2)="","",IF(INDEX($W$2:$W$1201,$AG2)&gt;$W2,1,IF(INDEX($W$2:$W$1201,$AG2)&lt;$W2,-1,0))))</f>
        <v/>
      </c>
      <c r="AO2" t="e">
        <f t="shared" ref="AO2:AO65" si="14">IF(OR($AG2="",$X2=""),"",IF(INDEX($X$2:$X$1201,$AG2)="","",IF(INDEX($X$2:$X$1201,$AG2)&gt;$X2,1,IF(INDEX($X$2:$X$1201,$AG2)&lt;$X2,-1,0))))</f>
        <v>#REF!</v>
      </c>
      <c r="AP2">
        <f t="shared" ref="AP2:AP65" si="15">IF($D2="",1,COUNTIFS($D$2:$D$1201,$D2,$A$2:$A$1201,$A2))</f>
        <v>1</v>
      </c>
      <c r="AQ2" t="str">
        <f>IF(SAISIE!$F7="","",SAISIE!$Y7)</f>
        <v/>
      </c>
      <c r="AR2" t="str">
        <f>IF(OR(SAISIE!$U$4="",SAISIE!$W$4=""),"",IF(AND($A2=SAISIE!$U$4,$B2=SAISIE!$W$4,$C2="S1"),COUNTIFS($A$2:$A2,SAISIE!$U$4,$B$2:$B2,SAISIE!$W$4,$C$2:$C2,"S1"),""))</f>
        <v/>
      </c>
      <c r="AS2" t="str">
        <f t="shared" ref="AS2:AS65" si="16">IF($D2="","",$A2&amp;"|"&amp;$C2&amp;"|"&amp;$D2)</f>
        <v/>
      </c>
      <c r="AT2" t="str">
        <f t="shared" ref="AT2:AT65" si="17">IF($D2="","",$A2&amp;"|"&amp;$D2&amp;"|"&amp;IF($AQ2="Parti","P","A"))</f>
        <v/>
      </c>
      <c r="AU2" t="str">
        <f t="shared" ref="AU2:AU65" si="18">IF($A2="","",$A2&amp;"|"&amp;$B2&amp;"|"&amp;$C2)</f>
        <v/>
      </c>
      <c r="AV2">
        <f>N(AV1)+IF(AND($AB2&lt;&gt;"",OR('PROFIL ELEVE'!$K$4="(Tous)",$AF2='PROFIL ELEVE'!$K$4)),1,0)</f>
        <v>0</v>
      </c>
      <c r="AW2">
        <f>N(AW1)+IF(AND($AB2&lt;&gt;"",OR('SUIVI LONGITUDINAL'!$Q$4="(Tous)",$AF2='SUIVI LONGITUDINAL'!$Q$4)),1,0)</f>
        <v>0</v>
      </c>
      <c r="AX2">
        <f t="shared" ref="AX2:AX65" si="19">COUNTIF($AH2:$AO2,1)</f>
        <v>0</v>
      </c>
      <c r="AY2">
        <f t="shared" ref="AY2:AY65" si="20">COUNTIF($AH2:$AO2,0)</f>
        <v>0</v>
      </c>
      <c r="AZ2">
        <f t="shared" ref="AZ2:AZ65" si="21">COUNTIF($AH2:$AO2,-1)</f>
        <v>0</v>
      </c>
      <c r="BA2" t="str">
        <f t="shared" ref="BA2:BA65" si="22">IF($E2="","",COUNT($Q2:$X2))</f>
        <v/>
      </c>
      <c r="BB2" t="str">
        <f t="shared" ref="BB2:BB65" si="23">IF($E2="","",IF(COUNT($Q2:$X2)&gt;=IF($Z2=2,5,8),1,0))</f>
        <v/>
      </c>
    </row>
    <row r="3" spans="1:54" ht="14.25" customHeight="1" x14ac:dyDescent="0.3">
      <c r="A3" t="str">
        <f>IF(SAISIE!$F8="","",SAISIE!$B8)</f>
        <v/>
      </c>
      <c r="B3" t="str">
        <f>IF(SAISIE!$F8="","",SAISIE!$C8)</f>
        <v/>
      </c>
      <c r="C3" t="str">
        <f>IF(SAISIE!$F8="","",SAISIE!$D8)</f>
        <v/>
      </c>
      <c r="D3" t="str">
        <f>IF(SAISIE!$E8="","",SAISIE!$E8)</f>
        <v/>
      </c>
      <c r="E3" t="str">
        <f>IF(SAISIE!$F8="","",SAISIE!$F8)</f>
        <v/>
      </c>
      <c r="F3" t="str">
        <f>IF(SAISIE!$G8="","",SAISIE!$G8)</f>
        <v/>
      </c>
      <c r="G3" t="str">
        <f>IF(SAISIE!$H8="","",SAISIE!$H8)</f>
        <v/>
      </c>
      <c r="H3" t="str">
        <f>IF(SAISIE!$I8="","",SAISIE!$I8)</f>
        <v/>
      </c>
      <c r="I3" t="str">
        <f>IF(SAISIE!$J8="","",SAISIE!$J8)</f>
        <v/>
      </c>
      <c r="J3" t="str">
        <f>IF(SAISIE!$K8="","",SAISIE!$K8)</f>
        <v/>
      </c>
      <c r="K3" t="str">
        <f>IF(SAISIE!$L8="","",SAISIE!$L8)</f>
        <v/>
      </c>
      <c r="L3" t="str">
        <f>IF(SAISIE!$M8="","",SAISIE!$M8)</f>
        <v/>
      </c>
      <c r="M3" t="str">
        <f>IF(SAISIE!$N8="","",SAISIE!$N8)</f>
        <v/>
      </c>
      <c r="N3" t="str">
        <f>IF(SAISIE!$O8="","",SAISIE!$O8)</f>
        <v/>
      </c>
      <c r="O3" t="str">
        <f>IF(SAISIE!$P8="","",SAISIE!$P8)</f>
        <v/>
      </c>
      <c r="P3" t="str">
        <f>IF(SAISIE!$Q8="","",SAISIE!$Q8)</f>
        <v/>
      </c>
      <c r="Q3" t="str">
        <f>IF($I3="","",IF($I3&gt;PARAMETRES!$G$29,5,IF($I3&gt;PARAMETRES!$F$29,4,IF($I3&gt;PARAMETRES!$E$29,3,IF($I3&gt;PARAMETRES!$D$29,2,1)))))</f>
        <v/>
      </c>
      <c r="R3" t="str">
        <f>IF($J3="","",IF($J3&gt;PARAMETRES!$G$30,5,IF($J3&gt;PARAMETRES!$F$30,4,IF($J3&gt;PARAMETRES!$E$30,3,IF($J3&gt;PARAMETRES!$D$30,2,1)))))</f>
        <v/>
      </c>
      <c r="S3" t="str">
        <f>IF($K3="","",IF($Z3=2,IF($K3&gt;PARAMETRES!$G$31,5,IF($K3&gt;PARAMETRES!$F$31,4,IF($K3&gt;PARAMETRES!$E$31,3,IF($K3&gt;PARAMETRES!$D$31,2,1)))),IF($K3&gt;PARAMETRES!$G$32,5,IF($K3&gt;PARAMETRES!$F$32,4,IF($K3&gt;PARAMETRES!$E$32,3,IF($K3&gt;PARAMETRES!$D$32,2,1))))))</f>
        <v/>
      </c>
      <c r="T3" t="str">
        <f>IF($L3="","",IF($L3&gt;PARAMETRES!$G$33,5,IF($L3&gt;PARAMETRES!$F$33,4,IF($L3&gt;PARAMETRES!$E$33,3,IF($L3&gt;PARAMETRES!$D$33,2,1)))))</f>
        <v/>
      </c>
      <c r="U3" t="str">
        <f>IF($M3="","",IF($M3&gt;PARAMETRES!$G$34,5,IF($M3&gt;PARAMETRES!$F$34,4,IF($M3&gt;PARAMETRES!$E$34,3,IF($M3&gt;PARAMETRES!$D$34,2,1)))))</f>
        <v/>
      </c>
      <c r="V3" t="str">
        <f>IF($N3="","",IF($N3&gt;PARAMETRES!$G$35,5,IF($N3&gt;PARAMETRES!$F$35,4,IF($N3&gt;PARAMETRES!$E$35,3,IF($N3&gt;PARAMETRES!$D$35,2,1)))))</f>
        <v/>
      </c>
      <c r="W3" t="str">
        <f>IF($O3="","",IF($O3&gt;PARAMETRES!$G$36,5,IF($O3&gt;PARAMETRES!$F$36,4,IF($O3&gt;PARAMETRES!$E$36,3,IF($O3&gt;PARAMETRES!$D$36,2,1)))))</f>
        <v/>
      </c>
      <c r="X3" t="str">
        <f>IF($P3="","",IF($P3&gt;PARAMETRES!$G$37,5,IF($P3&gt;PARAMETRES!$F$37,4,IF($P3&gt;PARAMETRES!$E$37,3,IF($P3&gt;PARAMETRES!$D$37,2,1)))))</f>
        <v/>
      </c>
      <c r="Y3" t="str">
        <f t="shared" si="0"/>
        <v/>
      </c>
      <c r="Z3" t="str">
        <f>IFERROR(VLOOKUP($B3,TABLE_CYCLE,2,0),"")</f>
        <v/>
      </c>
      <c r="AA3" t="str">
        <f t="shared" si="1"/>
        <v/>
      </c>
      <c r="AB3" t="str">
        <f>IF($D3="","",IF(COUNTIF($D$2:$D3,$D3)=1,$D3,""))</f>
        <v/>
      </c>
      <c r="AC3">
        <f t="shared" si="2"/>
        <v>0</v>
      </c>
      <c r="AD3" t="str">
        <f t="shared" si="3"/>
        <v>|0</v>
      </c>
      <c r="AE3" t="str">
        <f t="shared" si="4"/>
        <v/>
      </c>
      <c r="AF3" t="str">
        <f t="shared" si="5"/>
        <v/>
      </c>
      <c r="AG3" t="str">
        <f t="shared" si="6"/>
        <v/>
      </c>
      <c r="AH3" t="str">
        <f t="shared" si="7"/>
        <v/>
      </c>
      <c r="AI3" t="str">
        <f t="shared" si="8"/>
        <v/>
      </c>
      <c r="AJ3" t="str">
        <f t="shared" si="9"/>
        <v/>
      </c>
      <c r="AK3" t="str">
        <f t="shared" si="10"/>
        <v/>
      </c>
      <c r="AL3" t="str">
        <f t="shared" si="11"/>
        <v/>
      </c>
      <c r="AM3" t="str">
        <f t="shared" si="12"/>
        <v/>
      </c>
      <c r="AN3" t="str">
        <f t="shared" si="13"/>
        <v/>
      </c>
      <c r="AO3" t="str">
        <f t="shared" si="14"/>
        <v/>
      </c>
      <c r="AP3">
        <f t="shared" si="15"/>
        <v>1</v>
      </c>
      <c r="AQ3" t="str">
        <f>IF(SAISIE!$F8="","",SAISIE!$Y8)</f>
        <v/>
      </c>
      <c r="AR3" t="str">
        <f>IF(OR(SAISIE!$U$4="",SAISIE!$W$4=""),"",IF(AND($A3=SAISIE!$U$4,$B3=SAISIE!$W$4,$C3="S1"),COUNTIFS($A$2:$A3,SAISIE!$U$4,$B$2:$B3,SAISIE!$W$4,$C$2:$C3,"S1"),""))</f>
        <v/>
      </c>
      <c r="AS3" t="str">
        <f t="shared" si="16"/>
        <v/>
      </c>
      <c r="AT3" t="str">
        <f t="shared" si="17"/>
        <v/>
      </c>
      <c r="AU3" t="str">
        <f t="shared" si="18"/>
        <v/>
      </c>
      <c r="AV3">
        <f>N(AV2)+IF(AND($AB3&lt;&gt;"",OR('PROFIL ELEVE'!$K$4="(Tous)",$AF3='PROFIL ELEVE'!$K$4)),1,0)</f>
        <v>0</v>
      </c>
      <c r="AW3">
        <f>N(AW2)+IF(AND($AB3&lt;&gt;"",OR('SUIVI LONGITUDINAL'!$Q$4="(Tous)",$AF3='SUIVI LONGITUDINAL'!$Q$4)),1,0)</f>
        <v>0</v>
      </c>
      <c r="AX3">
        <f t="shared" si="19"/>
        <v>0</v>
      </c>
      <c r="AY3">
        <f t="shared" si="20"/>
        <v>0</v>
      </c>
      <c r="AZ3">
        <f t="shared" si="21"/>
        <v>0</v>
      </c>
      <c r="BA3" t="str">
        <f t="shared" si="22"/>
        <v/>
      </c>
      <c r="BB3" t="str">
        <f t="shared" si="23"/>
        <v/>
      </c>
    </row>
    <row r="4" spans="1:54" ht="14.25" customHeight="1" x14ac:dyDescent="0.3">
      <c r="A4" t="str">
        <f>IF(SAISIE!$F9="","",SAISIE!$B9)</f>
        <v/>
      </c>
      <c r="B4" t="str">
        <f>IF(SAISIE!$F9="","",SAISIE!$C9)</f>
        <v/>
      </c>
      <c r="C4" t="str">
        <f>IF(SAISIE!$F9="","",SAISIE!$D9)</f>
        <v/>
      </c>
      <c r="D4" t="str">
        <f>IF(SAISIE!$E9="","",SAISIE!$E9)</f>
        <v/>
      </c>
      <c r="E4" t="str">
        <f>IF(SAISIE!$F9="","",SAISIE!$F9)</f>
        <v/>
      </c>
      <c r="F4" t="str">
        <f>IF(SAISIE!$G9="","",SAISIE!$G9)</f>
        <v/>
      </c>
      <c r="G4" t="str">
        <f>IF(SAISIE!$H9="","",SAISIE!$H9)</f>
        <v/>
      </c>
      <c r="H4" t="str">
        <f>IF(SAISIE!$I9="","",SAISIE!$I9)</f>
        <v/>
      </c>
      <c r="I4" t="str">
        <f>IF(SAISIE!$J9="","",SAISIE!$J9)</f>
        <v/>
      </c>
      <c r="J4" t="str">
        <f>IF(SAISIE!$K9="","",SAISIE!$K9)</f>
        <v/>
      </c>
      <c r="K4" t="str">
        <f>IF(SAISIE!$L9="","",SAISIE!$L9)</f>
        <v/>
      </c>
      <c r="L4" t="str">
        <f>IF(SAISIE!$M9="","",SAISIE!$M9)</f>
        <v/>
      </c>
      <c r="M4" t="str">
        <f>IF(SAISIE!$N9="","",SAISIE!$N9)</f>
        <v/>
      </c>
      <c r="N4" t="str">
        <f>IF(SAISIE!$O9="","",SAISIE!$O9)</f>
        <v/>
      </c>
      <c r="O4" t="str">
        <f>IF(SAISIE!$P9="","",SAISIE!$P9)</f>
        <v/>
      </c>
      <c r="P4" t="str">
        <f>IF(SAISIE!$Q9="","",SAISIE!$Q9)</f>
        <v/>
      </c>
      <c r="Q4" t="str">
        <f>IF($I4="","",IF($I4&gt;PARAMETRES!$G$29,5,IF($I4&gt;PARAMETRES!$F$29,4,IF($I4&gt;PARAMETRES!$E$29,3,IF($I4&gt;PARAMETRES!$D$29,2,1)))))</f>
        <v/>
      </c>
      <c r="R4" t="str">
        <f>IF($J4="","",IF($J4&gt;PARAMETRES!$G$30,5,IF($J4&gt;PARAMETRES!$F$30,4,IF($J4&gt;PARAMETRES!$E$30,3,IF($J4&gt;PARAMETRES!$D$30,2,1)))))</f>
        <v/>
      </c>
      <c r="S4" t="str">
        <f>IF($K4="","",IF($Z4=2,IF($K4&gt;PARAMETRES!$G$31,5,IF($K4&gt;PARAMETRES!$F$31,4,IF($K4&gt;PARAMETRES!$E$31,3,IF($K4&gt;PARAMETRES!$D$31,2,1)))),IF($K4&gt;PARAMETRES!$G$32,5,IF($K4&gt;PARAMETRES!$F$32,4,IF($K4&gt;PARAMETRES!$E$32,3,IF($K4&gt;PARAMETRES!$D$32,2,1))))))</f>
        <v/>
      </c>
      <c r="T4" t="str">
        <f>IF($L4="","",IF($L4&gt;PARAMETRES!$G$33,5,IF($L4&gt;PARAMETRES!$F$33,4,IF($L4&gt;PARAMETRES!$E$33,3,IF($L4&gt;PARAMETRES!$D$33,2,1)))))</f>
        <v/>
      </c>
      <c r="U4" t="str">
        <f>IF($M4="","",IF($M4&gt;PARAMETRES!$G$34,5,IF($M4&gt;PARAMETRES!$F$34,4,IF($M4&gt;PARAMETRES!$E$34,3,IF($M4&gt;PARAMETRES!$D$34,2,1)))))</f>
        <v/>
      </c>
      <c r="V4" t="str">
        <f>IF($N4="","",IF($N4&gt;PARAMETRES!$G$35,5,IF($N4&gt;PARAMETRES!$F$35,4,IF($N4&gt;PARAMETRES!$E$35,3,IF($N4&gt;PARAMETRES!$D$35,2,1)))))</f>
        <v/>
      </c>
      <c r="W4" t="str">
        <f>IF($O4="","",IF($O4&gt;PARAMETRES!$G$36,5,IF($O4&gt;PARAMETRES!$F$36,4,IF($O4&gt;PARAMETRES!$E$36,3,IF($O4&gt;PARAMETRES!$D$36,2,1)))))</f>
        <v/>
      </c>
      <c r="X4" t="str">
        <f>IF($P4="","",IF($P4&gt;PARAMETRES!$G$37,5,IF($P4&gt;PARAMETRES!$F$37,4,IF($P4&gt;PARAMETRES!$E$37,3,IF($P4&gt;PARAMETRES!$D$37,2,1)))))</f>
        <v/>
      </c>
      <c r="Y4" t="str">
        <f t="shared" si="0"/>
        <v/>
      </c>
      <c r="Z4" t="str">
        <f>IFERROR(VLOOKUP($B4,TABLE_CYCLE,2,0),"")</f>
        <v/>
      </c>
      <c r="AA4" t="str">
        <f t="shared" si="1"/>
        <v/>
      </c>
      <c r="AB4" t="str">
        <f>IF($D4="","",IF(COUNTIF($D$2:$D4,$D4)=1,$D4,""))</f>
        <v/>
      </c>
      <c r="AC4">
        <f t="shared" si="2"/>
        <v>0</v>
      </c>
      <c r="AD4" t="str">
        <f t="shared" si="3"/>
        <v>|0</v>
      </c>
      <c r="AE4" t="str">
        <f t="shared" si="4"/>
        <v/>
      </c>
      <c r="AF4" t="str">
        <f t="shared" si="5"/>
        <v/>
      </c>
      <c r="AG4" t="str">
        <f t="shared" si="6"/>
        <v/>
      </c>
      <c r="AH4" t="str">
        <f t="shared" si="7"/>
        <v/>
      </c>
      <c r="AI4" t="str">
        <f t="shared" si="8"/>
        <v/>
      </c>
      <c r="AJ4" t="str">
        <f t="shared" si="9"/>
        <v/>
      </c>
      <c r="AK4" t="str">
        <f t="shared" si="10"/>
        <v/>
      </c>
      <c r="AL4" t="str">
        <f t="shared" si="11"/>
        <v/>
      </c>
      <c r="AM4" t="str">
        <f t="shared" si="12"/>
        <v/>
      </c>
      <c r="AN4" t="str">
        <f t="shared" si="13"/>
        <v/>
      </c>
      <c r="AO4" t="str">
        <f t="shared" si="14"/>
        <v/>
      </c>
      <c r="AP4">
        <f t="shared" si="15"/>
        <v>1</v>
      </c>
      <c r="AQ4" t="str">
        <f>IF(SAISIE!$F9="","",SAISIE!$Y9)</f>
        <v/>
      </c>
      <c r="AR4" t="str">
        <f>IF(OR(SAISIE!$U$4="",SAISIE!$W$4=""),"",IF(AND($A4=SAISIE!$U$4,$B4=SAISIE!$W$4,$C4="S1"),COUNTIFS($A$2:$A4,SAISIE!$U$4,$B$2:$B4,SAISIE!$W$4,$C$2:$C4,"S1"),""))</f>
        <v/>
      </c>
      <c r="AS4" t="str">
        <f t="shared" si="16"/>
        <v/>
      </c>
      <c r="AT4" t="str">
        <f t="shared" si="17"/>
        <v/>
      </c>
      <c r="AU4" t="str">
        <f t="shared" si="18"/>
        <v/>
      </c>
      <c r="AV4">
        <f>N(AV3)+IF(AND($AB4&lt;&gt;"",OR('PROFIL ELEVE'!$K$4="(Tous)",$AF4='PROFIL ELEVE'!$K$4)),1,0)</f>
        <v>0</v>
      </c>
      <c r="AW4">
        <f>N(AW3)+IF(AND($AB4&lt;&gt;"",OR('SUIVI LONGITUDINAL'!$Q$4="(Tous)",$AF4='SUIVI LONGITUDINAL'!$Q$4)),1,0)</f>
        <v>0</v>
      </c>
      <c r="AX4">
        <f t="shared" si="19"/>
        <v>0</v>
      </c>
      <c r="AY4">
        <f t="shared" si="20"/>
        <v>0</v>
      </c>
      <c r="AZ4">
        <f t="shared" si="21"/>
        <v>0</v>
      </c>
      <c r="BA4" t="str">
        <f t="shared" si="22"/>
        <v/>
      </c>
      <c r="BB4" t="str">
        <f t="shared" si="23"/>
        <v/>
      </c>
    </row>
    <row r="5" spans="1:54" ht="14.25" customHeight="1" x14ac:dyDescent="0.3">
      <c r="A5" t="str">
        <f>IF(SAISIE!$F10="","",SAISIE!$B10)</f>
        <v/>
      </c>
      <c r="B5" t="str">
        <f>IF(SAISIE!$F10="","",SAISIE!$C10)</f>
        <v/>
      </c>
      <c r="C5" t="str">
        <f>IF(SAISIE!$F10="","",SAISIE!$D10)</f>
        <v/>
      </c>
      <c r="D5" t="str">
        <f>IF(SAISIE!$E10="","",SAISIE!$E10)</f>
        <v/>
      </c>
      <c r="E5" t="str">
        <f>IF(SAISIE!$F10="","",SAISIE!$F10)</f>
        <v/>
      </c>
      <c r="F5" t="str">
        <f>IF(SAISIE!$G10="","",SAISIE!$G10)</f>
        <v/>
      </c>
      <c r="G5" t="str">
        <f>IF(SAISIE!$H10="","",SAISIE!$H10)</f>
        <v/>
      </c>
      <c r="H5" t="str">
        <f>IF(SAISIE!$I10="","",SAISIE!$I10)</f>
        <v/>
      </c>
      <c r="I5" t="str">
        <f>IF(SAISIE!$J10="","",SAISIE!$J10)</f>
        <v/>
      </c>
      <c r="J5" t="str">
        <f>IF(SAISIE!$K10="","",SAISIE!$K10)</f>
        <v/>
      </c>
      <c r="K5" t="str">
        <f>IF(SAISIE!$L10="","",SAISIE!$L10)</f>
        <v/>
      </c>
      <c r="L5" t="str">
        <f>IF(SAISIE!$M10="","",SAISIE!$M10)</f>
        <v/>
      </c>
      <c r="M5" t="str">
        <f>IF(SAISIE!$N10="","",SAISIE!$N10)</f>
        <v/>
      </c>
      <c r="N5" t="str">
        <f>IF(SAISIE!$O10="","",SAISIE!$O10)</f>
        <v/>
      </c>
      <c r="O5" t="str">
        <f>IF(SAISIE!$P10="","",SAISIE!$P10)</f>
        <v/>
      </c>
      <c r="P5" t="str">
        <f>IF(SAISIE!$Q10="","",SAISIE!$Q10)</f>
        <v/>
      </c>
      <c r="Q5" t="str">
        <f>IF($I5="","",IF($I5&gt;PARAMETRES!$G$29,5,IF($I5&gt;PARAMETRES!$F$29,4,IF($I5&gt;PARAMETRES!$E$29,3,IF($I5&gt;PARAMETRES!$D$29,2,1)))))</f>
        <v/>
      </c>
      <c r="R5" t="str">
        <f>IF($J5="","",IF($J5&gt;PARAMETRES!$G$30,5,IF($J5&gt;PARAMETRES!$F$30,4,IF($J5&gt;PARAMETRES!$E$30,3,IF($J5&gt;PARAMETRES!$D$30,2,1)))))</f>
        <v/>
      </c>
      <c r="S5" t="str">
        <f>IF($K5="","",IF($Z5=2,IF($K5&gt;PARAMETRES!$G$31,5,IF($K5&gt;PARAMETRES!$F$31,4,IF($K5&gt;PARAMETRES!$E$31,3,IF($K5&gt;PARAMETRES!$D$31,2,1)))),IF($K5&gt;PARAMETRES!$G$32,5,IF($K5&gt;PARAMETRES!$F$32,4,IF($K5&gt;PARAMETRES!$E$32,3,IF($K5&gt;PARAMETRES!$D$32,2,1))))))</f>
        <v/>
      </c>
      <c r="T5" t="str">
        <f>IF($L5="","",IF($L5&gt;PARAMETRES!$G$33,5,IF($L5&gt;PARAMETRES!$F$33,4,IF($L5&gt;PARAMETRES!$E$33,3,IF($L5&gt;PARAMETRES!$D$33,2,1)))))</f>
        <v/>
      </c>
      <c r="U5" t="str">
        <f>IF($M5="","",IF($M5&gt;PARAMETRES!$G$34,5,IF($M5&gt;PARAMETRES!$F$34,4,IF($M5&gt;PARAMETRES!$E$34,3,IF($M5&gt;PARAMETRES!$D$34,2,1)))))</f>
        <v/>
      </c>
      <c r="V5" t="str">
        <f>IF($N5="","",IF($N5&gt;PARAMETRES!$G$35,5,IF($N5&gt;PARAMETRES!$F$35,4,IF($N5&gt;PARAMETRES!$E$35,3,IF($N5&gt;PARAMETRES!$D$35,2,1)))))</f>
        <v/>
      </c>
      <c r="W5" t="str">
        <f>IF($O5="","",IF($O5&gt;PARAMETRES!$G$36,5,IF($O5&gt;PARAMETRES!$F$36,4,IF($O5&gt;PARAMETRES!$E$36,3,IF($O5&gt;PARAMETRES!$D$36,2,1)))))</f>
        <v/>
      </c>
      <c r="X5" t="str">
        <f>IF($P5="","",IF($P5&gt;PARAMETRES!$G$37,5,IF($P5&gt;PARAMETRES!$F$37,4,IF($P5&gt;PARAMETRES!$E$37,3,IF($P5&gt;PARAMETRES!$D$37,2,1)))))</f>
        <v/>
      </c>
      <c r="Y5" t="str">
        <f t="shared" si="0"/>
        <v/>
      </c>
      <c r="Z5" t="str">
        <f>IFERROR(VLOOKUP($B5,TABLE_CYCLE,2,0),"")</f>
        <v/>
      </c>
      <c r="AA5" t="str">
        <f t="shared" si="1"/>
        <v/>
      </c>
      <c r="AB5" t="str">
        <f>IF($D5="","",IF(COUNTIF($D$2:$D5,$D5)=1,$D5,""))</f>
        <v/>
      </c>
      <c r="AC5">
        <f t="shared" si="2"/>
        <v>0</v>
      </c>
      <c r="AD5" t="str">
        <f t="shared" si="3"/>
        <v>|0</v>
      </c>
      <c r="AE5" t="str">
        <f t="shared" si="4"/>
        <v/>
      </c>
      <c r="AF5" t="str">
        <f t="shared" si="5"/>
        <v/>
      </c>
      <c r="AG5" t="str">
        <f t="shared" si="6"/>
        <v/>
      </c>
      <c r="AH5" t="str">
        <f t="shared" si="7"/>
        <v/>
      </c>
      <c r="AI5" t="str">
        <f t="shared" si="8"/>
        <v/>
      </c>
      <c r="AJ5" t="str">
        <f t="shared" si="9"/>
        <v/>
      </c>
      <c r="AK5" t="str">
        <f t="shared" si="10"/>
        <v/>
      </c>
      <c r="AL5" t="str">
        <f t="shared" si="11"/>
        <v/>
      </c>
      <c r="AM5" t="str">
        <f t="shared" si="12"/>
        <v/>
      </c>
      <c r="AN5" t="str">
        <f t="shared" si="13"/>
        <v/>
      </c>
      <c r="AO5" t="str">
        <f t="shared" si="14"/>
        <v/>
      </c>
      <c r="AP5">
        <f t="shared" si="15"/>
        <v>1</v>
      </c>
      <c r="AQ5" t="str">
        <f>IF(SAISIE!$F10="","",SAISIE!$Y10)</f>
        <v/>
      </c>
      <c r="AR5" t="str">
        <f>IF(OR(SAISIE!$U$4="",SAISIE!$W$4=""),"",IF(AND($A5=SAISIE!$U$4,$B5=SAISIE!$W$4,$C5="S1"),COUNTIFS($A$2:$A5,SAISIE!$U$4,$B$2:$B5,SAISIE!$W$4,$C$2:$C5,"S1"),""))</f>
        <v/>
      </c>
      <c r="AS5" t="str">
        <f t="shared" si="16"/>
        <v/>
      </c>
      <c r="AT5" t="str">
        <f t="shared" si="17"/>
        <v/>
      </c>
      <c r="AU5" t="str">
        <f t="shared" si="18"/>
        <v/>
      </c>
      <c r="AV5">
        <f>N(AV4)+IF(AND($AB5&lt;&gt;"",OR('PROFIL ELEVE'!$K$4="(Tous)",$AF5='PROFIL ELEVE'!$K$4)),1,0)</f>
        <v>0</v>
      </c>
      <c r="AW5">
        <f>N(AW4)+IF(AND($AB5&lt;&gt;"",OR('SUIVI LONGITUDINAL'!$Q$4="(Tous)",$AF5='SUIVI LONGITUDINAL'!$Q$4)),1,0)</f>
        <v>0</v>
      </c>
      <c r="AX5">
        <f t="shared" si="19"/>
        <v>0</v>
      </c>
      <c r="AY5">
        <f t="shared" si="20"/>
        <v>0</v>
      </c>
      <c r="AZ5">
        <f t="shared" si="21"/>
        <v>0</v>
      </c>
      <c r="BA5" t="str">
        <f t="shared" si="22"/>
        <v/>
      </c>
      <c r="BB5" t="str">
        <f t="shared" si="23"/>
        <v/>
      </c>
    </row>
    <row r="6" spans="1:54" ht="14.25" customHeight="1" x14ac:dyDescent="0.3">
      <c r="A6" t="str">
        <f>IF(SAISIE!$F11="","",SAISIE!$B11)</f>
        <v/>
      </c>
      <c r="B6" t="str">
        <f>IF(SAISIE!$F11="","",SAISIE!$C11)</f>
        <v/>
      </c>
      <c r="C6" t="str">
        <f>IF(SAISIE!$F11="","",SAISIE!$D11)</f>
        <v/>
      </c>
      <c r="D6" t="str">
        <f>IF(SAISIE!$E11="","",SAISIE!$E11)</f>
        <v/>
      </c>
      <c r="E6" t="str">
        <f>IF(SAISIE!$F11="","",SAISIE!$F11)</f>
        <v/>
      </c>
      <c r="F6" t="str">
        <f>IF(SAISIE!$G11="","",SAISIE!$G11)</f>
        <v/>
      </c>
      <c r="G6" t="str">
        <f>IF(SAISIE!$H11="","",SAISIE!$H11)</f>
        <v/>
      </c>
      <c r="H6" t="str">
        <f>IF(SAISIE!$I11="","",SAISIE!$I11)</f>
        <v/>
      </c>
      <c r="I6" t="str">
        <f>IF(SAISIE!$J11="","",SAISIE!$J11)</f>
        <v/>
      </c>
      <c r="J6" t="str">
        <f>IF(SAISIE!$K11="","",SAISIE!$K11)</f>
        <v/>
      </c>
      <c r="K6" t="str">
        <f>IF(SAISIE!$L11="","",SAISIE!$L11)</f>
        <v/>
      </c>
      <c r="L6" t="str">
        <f>IF(SAISIE!$M11="","",SAISIE!$M11)</f>
        <v/>
      </c>
      <c r="M6" t="str">
        <f>IF(SAISIE!$N11="","",SAISIE!$N11)</f>
        <v/>
      </c>
      <c r="N6" t="str">
        <f>IF(SAISIE!$O11="","",SAISIE!$O11)</f>
        <v/>
      </c>
      <c r="O6" t="str">
        <f>IF(SAISIE!$P11="","",SAISIE!$P11)</f>
        <v/>
      </c>
      <c r="P6" t="str">
        <f>IF(SAISIE!$Q11="","",SAISIE!$Q11)</f>
        <v/>
      </c>
      <c r="Q6" t="str">
        <f>IF($I6="","",IF($I6&gt;PARAMETRES!$G$29,5,IF($I6&gt;PARAMETRES!$F$29,4,IF($I6&gt;PARAMETRES!$E$29,3,IF($I6&gt;PARAMETRES!$D$29,2,1)))))</f>
        <v/>
      </c>
      <c r="R6" t="str">
        <f>IF($J6="","",IF($J6&gt;PARAMETRES!$G$30,5,IF($J6&gt;PARAMETRES!$F$30,4,IF($J6&gt;PARAMETRES!$E$30,3,IF($J6&gt;PARAMETRES!$D$30,2,1)))))</f>
        <v/>
      </c>
      <c r="S6" t="str">
        <f>IF($K6="","",IF($Z6=2,IF($K6&gt;PARAMETRES!$G$31,5,IF($K6&gt;PARAMETRES!$F$31,4,IF($K6&gt;PARAMETRES!$E$31,3,IF($K6&gt;PARAMETRES!$D$31,2,1)))),IF($K6&gt;PARAMETRES!$G$32,5,IF($K6&gt;PARAMETRES!$F$32,4,IF($K6&gt;PARAMETRES!$E$32,3,IF($K6&gt;PARAMETRES!$D$32,2,1))))))</f>
        <v/>
      </c>
      <c r="T6" t="str">
        <f>IF($L6="","",IF($L6&gt;PARAMETRES!$G$33,5,IF($L6&gt;PARAMETRES!$F$33,4,IF($L6&gt;PARAMETRES!$E$33,3,IF($L6&gt;PARAMETRES!$D$33,2,1)))))</f>
        <v/>
      </c>
      <c r="U6" t="str">
        <f>IF($M6="","",IF($M6&gt;PARAMETRES!$G$34,5,IF($M6&gt;PARAMETRES!$F$34,4,IF($M6&gt;PARAMETRES!$E$34,3,IF($M6&gt;PARAMETRES!$D$34,2,1)))))</f>
        <v/>
      </c>
      <c r="V6" t="str">
        <f>IF($N6="","",IF($N6&gt;PARAMETRES!$G$35,5,IF($N6&gt;PARAMETRES!$F$35,4,IF($N6&gt;PARAMETRES!$E$35,3,IF($N6&gt;PARAMETRES!$D$35,2,1)))))</f>
        <v/>
      </c>
      <c r="W6" t="str">
        <f>IF($O6="","",IF($O6&gt;PARAMETRES!$G$36,5,IF($O6&gt;PARAMETRES!$F$36,4,IF($O6&gt;PARAMETRES!$E$36,3,IF($O6&gt;PARAMETRES!$D$36,2,1)))))</f>
        <v/>
      </c>
      <c r="X6" t="str">
        <f>IF($P6="","",IF($P6&gt;PARAMETRES!$G$37,5,IF($P6&gt;PARAMETRES!$F$37,4,IF($P6&gt;PARAMETRES!$E$37,3,IF($P6&gt;PARAMETRES!$D$37,2,1)))))</f>
        <v/>
      </c>
      <c r="Y6" t="str">
        <f t="shared" si="0"/>
        <v/>
      </c>
      <c r="Z6" t="str">
        <f>IFERROR(VLOOKUP($B6,TABLE_CYCLE,2,0),"")</f>
        <v/>
      </c>
      <c r="AA6" t="str">
        <f t="shared" si="1"/>
        <v/>
      </c>
      <c r="AB6" t="str">
        <f>IF($D6="","",IF(COUNTIF($D$2:$D6,$D6)=1,$D6,""))</f>
        <v/>
      </c>
      <c r="AC6">
        <f t="shared" si="2"/>
        <v>0</v>
      </c>
      <c r="AD6" t="str">
        <f t="shared" si="3"/>
        <v>|0</v>
      </c>
      <c r="AE6" t="str">
        <f t="shared" si="4"/>
        <v/>
      </c>
      <c r="AF6" t="str">
        <f t="shared" si="5"/>
        <v/>
      </c>
      <c r="AG6" t="str">
        <f t="shared" si="6"/>
        <v/>
      </c>
      <c r="AH6" t="str">
        <f t="shared" si="7"/>
        <v/>
      </c>
      <c r="AI6" t="str">
        <f t="shared" si="8"/>
        <v/>
      </c>
      <c r="AJ6" t="str">
        <f t="shared" si="9"/>
        <v/>
      </c>
      <c r="AK6" t="str">
        <f t="shared" si="10"/>
        <v/>
      </c>
      <c r="AL6" t="str">
        <f t="shared" si="11"/>
        <v/>
      </c>
      <c r="AM6" t="str">
        <f t="shared" si="12"/>
        <v/>
      </c>
      <c r="AN6" t="str">
        <f t="shared" si="13"/>
        <v/>
      </c>
      <c r="AO6" t="str">
        <f t="shared" si="14"/>
        <v/>
      </c>
      <c r="AP6">
        <f t="shared" si="15"/>
        <v>1</v>
      </c>
      <c r="AQ6" t="str">
        <f>IF(SAISIE!$F11="","",SAISIE!$Y11)</f>
        <v/>
      </c>
      <c r="AR6" t="str">
        <f>IF(OR(SAISIE!$U$4="",SAISIE!$W$4=""),"",IF(AND($A6=SAISIE!$U$4,$B6=SAISIE!$W$4,$C6="S1"),COUNTIFS($A$2:$A6,SAISIE!$U$4,$B$2:$B6,SAISIE!$W$4,$C$2:$C6,"S1"),""))</f>
        <v/>
      </c>
      <c r="AS6" t="str">
        <f t="shared" si="16"/>
        <v/>
      </c>
      <c r="AT6" t="str">
        <f t="shared" si="17"/>
        <v/>
      </c>
      <c r="AU6" t="str">
        <f t="shared" si="18"/>
        <v/>
      </c>
      <c r="AV6">
        <f>N(AV5)+IF(AND($AB6&lt;&gt;"",OR('PROFIL ELEVE'!$K$4="(Tous)",$AF6='PROFIL ELEVE'!$K$4)),1,0)</f>
        <v>0</v>
      </c>
      <c r="AW6">
        <f>N(AW5)+IF(AND($AB6&lt;&gt;"",OR('SUIVI LONGITUDINAL'!$Q$4="(Tous)",$AF6='SUIVI LONGITUDINAL'!$Q$4)),1,0)</f>
        <v>0</v>
      </c>
      <c r="AX6">
        <f t="shared" si="19"/>
        <v>0</v>
      </c>
      <c r="AY6">
        <f t="shared" si="20"/>
        <v>0</v>
      </c>
      <c r="AZ6">
        <f t="shared" si="21"/>
        <v>0</v>
      </c>
      <c r="BA6" t="str">
        <f t="shared" si="22"/>
        <v/>
      </c>
      <c r="BB6" t="str">
        <f t="shared" si="23"/>
        <v/>
      </c>
    </row>
    <row r="7" spans="1:54" ht="14.25" customHeight="1" x14ac:dyDescent="0.3">
      <c r="A7" t="str">
        <f>IF(SAISIE!$F12="","",SAISIE!$B12)</f>
        <v/>
      </c>
      <c r="B7" t="str">
        <f>IF(SAISIE!$F12="","",SAISIE!$C12)</f>
        <v/>
      </c>
      <c r="C7" t="str">
        <f>IF(SAISIE!$F12="","",SAISIE!$D12)</f>
        <v/>
      </c>
      <c r="D7" t="str">
        <f>IF(SAISIE!$E12="","",SAISIE!$E12)</f>
        <v/>
      </c>
      <c r="E7" t="str">
        <f>IF(SAISIE!$F12="","",SAISIE!$F12)</f>
        <v/>
      </c>
      <c r="F7" t="str">
        <f>IF(SAISIE!$G12="","",SAISIE!$G12)</f>
        <v/>
      </c>
      <c r="G7" t="str">
        <f>IF(SAISIE!$H12="","",SAISIE!$H12)</f>
        <v/>
      </c>
      <c r="H7" t="str">
        <f>IF(SAISIE!$I12="","",SAISIE!$I12)</f>
        <v/>
      </c>
      <c r="I7" t="str">
        <f>IF(SAISIE!$J12="","",SAISIE!$J12)</f>
        <v/>
      </c>
      <c r="J7" t="str">
        <f>IF(SAISIE!$K12="","",SAISIE!$K12)</f>
        <v/>
      </c>
      <c r="K7" t="str">
        <f>IF(SAISIE!$L12="","",SAISIE!$L12)</f>
        <v/>
      </c>
      <c r="L7" t="str">
        <f>IF(SAISIE!$M12="","",SAISIE!$M12)</f>
        <v/>
      </c>
      <c r="M7" t="str">
        <f>IF(SAISIE!$N12="","",SAISIE!$N12)</f>
        <v/>
      </c>
      <c r="N7" t="str">
        <f>IF(SAISIE!$O12="","",SAISIE!$O12)</f>
        <v/>
      </c>
      <c r="O7" t="str">
        <f>IF(SAISIE!$P12="","",SAISIE!$P12)</f>
        <v/>
      </c>
      <c r="P7" t="str">
        <f>IF(SAISIE!$Q12="","",SAISIE!$Q12)</f>
        <v/>
      </c>
      <c r="Q7" t="str">
        <f>IF($I7="","",IF($I7&gt;PARAMETRES!$G$29,5,IF($I7&gt;PARAMETRES!$F$29,4,IF($I7&gt;PARAMETRES!$E$29,3,IF($I7&gt;PARAMETRES!$D$29,2,1)))))</f>
        <v/>
      </c>
      <c r="R7" t="str">
        <f>IF($J7="","",IF($J7&gt;PARAMETRES!$G$30,5,IF($J7&gt;PARAMETRES!$F$30,4,IF($J7&gt;PARAMETRES!$E$30,3,IF($J7&gt;PARAMETRES!$D$30,2,1)))))</f>
        <v/>
      </c>
      <c r="S7" t="str">
        <f>IF($K7="","",IF($Z7=2,IF($K7&gt;PARAMETRES!$G$31,5,IF($K7&gt;PARAMETRES!$F$31,4,IF($K7&gt;PARAMETRES!$E$31,3,IF($K7&gt;PARAMETRES!$D$31,2,1)))),IF($K7&gt;PARAMETRES!$G$32,5,IF($K7&gt;PARAMETRES!$F$32,4,IF($K7&gt;PARAMETRES!$E$32,3,IF($K7&gt;PARAMETRES!$D$32,2,1))))))</f>
        <v/>
      </c>
      <c r="T7" t="str">
        <f>IF($L7="","",IF($L7&gt;PARAMETRES!$G$33,5,IF($L7&gt;PARAMETRES!$F$33,4,IF($L7&gt;PARAMETRES!$E$33,3,IF($L7&gt;PARAMETRES!$D$33,2,1)))))</f>
        <v/>
      </c>
      <c r="U7" t="str">
        <f>IF($M7="","",IF($M7&gt;PARAMETRES!$G$34,5,IF($M7&gt;PARAMETRES!$F$34,4,IF($M7&gt;PARAMETRES!$E$34,3,IF($M7&gt;PARAMETRES!$D$34,2,1)))))</f>
        <v/>
      </c>
      <c r="V7" t="str">
        <f>IF($N7="","",IF($N7&gt;PARAMETRES!$G$35,5,IF($N7&gt;PARAMETRES!$F$35,4,IF($N7&gt;PARAMETRES!$E$35,3,IF($N7&gt;PARAMETRES!$D$35,2,1)))))</f>
        <v/>
      </c>
      <c r="W7" t="str">
        <f>IF($O7="","",IF($O7&gt;PARAMETRES!$G$36,5,IF($O7&gt;PARAMETRES!$F$36,4,IF($O7&gt;PARAMETRES!$E$36,3,IF($O7&gt;PARAMETRES!$D$36,2,1)))))</f>
        <v/>
      </c>
      <c r="X7" t="str">
        <f>IF($P7="","",IF($P7&gt;PARAMETRES!$G$37,5,IF($P7&gt;PARAMETRES!$F$37,4,IF($P7&gt;PARAMETRES!$E$37,3,IF($P7&gt;PARAMETRES!$D$37,2,1)))))</f>
        <v/>
      </c>
      <c r="Y7" t="str">
        <f t="shared" si="0"/>
        <v/>
      </c>
      <c r="Z7" t="str">
        <f>IFERROR(VLOOKUP($B7,TABLE_CYCLE,2,0),"")</f>
        <v/>
      </c>
      <c r="AA7" t="str">
        <f t="shared" si="1"/>
        <v/>
      </c>
      <c r="AB7" t="str">
        <f>IF($D7="","",IF(COUNTIF($D$2:$D7,$D7)=1,$D7,""))</f>
        <v/>
      </c>
      <c r="AC7">
        <f t="shared" si="2"/>
        <v>0</v>
      </c>
      <c r="AD7" t="str">
        <f t="shared" si="3"/>
        <v>|0</v>
      </c>
      <c r="AE7" t="str">
        <f t="shared" si="4"/>
        <v/>
      </c>
      <c r="AF7" t="str">
        <f t="shared" si="5"/>
        <v/>
      </c>
      <c r="AG7" t="str">
        <f t="shared" si="6"/>
        <v/>
      </c>
      <c r="AH7" t="str">
        <f t="shared" si="7"/>
        <v/>
      </c>
      <c r="AI7" t="str">
        <f t="shared" si="8"/>
        <v/>
      </c>
      <c r="AJ7" t="str">
        <f t="shared" si="9"/>
        <v/>
      </c>
      <c r="AK7" t="str">
        <f t="shared" si="10"/>
        <v/>
      </c>
      <c r="AL7" t="str">
        <f t="shared" si="11"/>
        <v/>
      </c>
      <c r="AM7" t="str">
        <f t="shared" si="12"/>
        <v/>
      </c>
      <c r="AN7" t="str">
        <f t="shared" si="13"/>
        <v/>
      </c>
      <c r="AO7" t="str">
        <f t="shared" si="14"/>
        <v/>
      </c>
      <c r="AP7">
        <f t="shared" si="15"/>
        <v>1</v>
      </c>
      <c r="AQ7" t="str">
        <f>IF(SAISIE!$F12="","",SAISIE!$Y12)</f>
        <v/>
      </c>
      <c r="AR7" t="str">
        <f>IF(OR(SAISIE!$U$4="",SAISIE!$W$4=""),"",IF(AND($A7=SAISIE!$U$4,$B7=SAISIE!$W$4,$C7="S1"),COUNTIFS($A$2:$A7,SAISIE!$U$4,$B$2:$B7,SAISIE!$W$4,$C$2:$C7,"S1"),""))</f>
        <v/>
      </c>
      <c r="AS7" t="str">
        <f t="shared" si="16"/>
        <v/>
      </c>
      <c r="AT7" t="str">
        <f t="shared" si="17"/>
        <v/>
      </c>
      <c r="AU7" t="str">
        <f t="shared" si="18"/>
        <v/>
      </c>
      <c r="AV7">
        <f>N(AV6)+IF(AND($AB7&lt;&gt;"",OR('PROFIL ELEVE'!$K$4="(Tous)",$AF7='PROFIL ELEVE'!$K$4)),1,0)</f>
        <v>0</v>
      </c>
      <c r="AW7">
        <f>N(AW6)+IF(AND($AB7&lt;&gt;"",OR('SUIVI LONGITUDINAL'!$Q$4="(Tous)",$AF7='SUIVI LONGITUDINAL'!$Q$4)),1,0)</f>
        <v>0</v>
      </c>
      <c r="AX7">
        <f t="shared" si="19"/>
        <v>0</v>
      </c>
      <c r="AY7">
        <f t="shared" si="20"/>
        <v>0</v>
      </c>
      <c r="AZ7">
        <f t="shared" si="21"/>
        <v>0</v>
      </c>
      <c r="BA7" t="str">
        <f t="shared" si="22"/>
        <v/>
      </c>
      <c r="BB7" t="str">
        <f t="shared" si="23"/>
        <v/>
      </c>
    </row>
    <row r="8" spans="1:54" ht="14.25" customHeight="1" x14ac:dyDescent="0.3">
      <c r="A8" t="str">
        <f>IF(SAISIE!$F13="","",SAISIE!$B13)</f>
        <v/>
      </c>
      <c r="B8" t="str">
        <f>IF(SAISIE!$F13="","",SAISIE!$C13)</f>
        <v/>
      </c>
      <c r="C8" t="str">
        <f>IF(SAISIE!$F13="","",SAISIE!$D13)</f>
        <v/>
      </c>
      <c r="D8" t="str">
        <f>IF(SAISIE!$E13="","",SAISIE!$E13)</f>
        <v/>
      </c>
      <c r="E8" t="str">
        <f>IF(SAISIE!$F13="","",SAISIE!$F13)</f>
        <v/>
      </c>
      <c r="F8" t="str">
        <f>IF(SAISIE!$G13="","",SAISIE!$G13)</f>
        <v/>
      </c>
      <c r="G8" t="str">
        <f>IF(SAISIE!$H13="","",SAISIE!$H13)</f>
        <v/>
      </c>
      <c r="H8" t="str">
        <f>IF(SAISIE!$I13="","",SAISIE!$I13)</f>
        <v/>
      </c>
      <c r="I8" t="str">
        <f>IF(SAISIE!$J13="","",SAISIE!$J13)</f>
        <v/>
      </c>
      <c r="J8" t="str">
        <f>IF(SAISIE!$K13="","",SAISIE!$K13)</f>
        <v/>
      </c>
      <c r="K8" t="str">
        <f>IF(SAISIE!$L13="","",SAISIE!$L13)</f>
        <v/>
      </c>
      <c r="L8" t="str">
        <f>IF(SAISIE!$M13="","",SAISIE!$M13)</f>
        <v/>
      </c>
      <c r="M8" t="str">
        <f>IF(SAISIE!$N13="","",SAISIE!$N13)</f>
        <v/>
      </c>
      <c r="N8" t="str">
        <f>IF(SAISIE!$O13="","",SAISIE!$O13)</f>
        <v/>
      </c>
      <c r="O8" t="str">
        <f>IF(SAISIE!$P13="","",SAISIE!$P13)</f>
        <v/>
      </c>
      <c r="P8" t="str">
        <f>IF(SAISIE!$Q13="","",SAISIE!$Q13)</f>
        <v/>
      </c>
      <c r="Q8" t="str">
        <f>IF($I8="","",IF($I8&gt;PARAMETRES!$G$29,5,IF($I8&gt;PARAMETRES!$F$29,4,IF($I8&gt;PARAMETRES!$E$29,3,IF($I8&gt;PARAMETRES!$D$29,2,1)))))</f>
        <v/>
      </c>
      <c r="R8" t="str">
        <f>IF($J8="","",IF($J8&gt;PARAMETRES!$G$30,5,IF($J8&gt;PARAMETRES!$F$30,4,IF($J8&gt;PARAMETRES!$E$30,3,IF($J8&gt;PARAMETRES!$D$30,2,1)))))</f>
        <v/>
      </c>
      <c r="S8" t="str">
        <f>IF($K8="","",IF($Z8=2,IF($K8&gt;PARAMETRES!$G$31,5,IF($K8&gt;PARAMETRES!$F$31,4,IF($K8&gt;PARAMETRES!$E$31,3,IF($K8&gt;PARAMETRES!$D$31,2,1)))),IF($K8&gt;PARAMETRES!$G$32,5,IF($K8&gt;PARAMETRES!$F$32,4,IF($K8&gt;PARAMETRES!$E$32,3,IF($K8&gt;PARAMETRES!$D$32,2,1))))))</f>
        <v/>
      </c>
      <c r="T8" t="str">
        <f>IF($L8="","",IF($L8&gt;PARAMETRES!$G$33,5,IF($L8&gt;PARAMETRES!$F$33,4,IF($L8&gt;PARAMETRES!$E$33,3,IF($L8&gt;PARAMETRES!$D$33,2,1)))))</f>
        <v/>
      </c>
      <c r="U8" t="str">
        <f>IF($M8="","",IF($M8&gt;PARAMETRES!$G$34,5,IF($M8&gt;PARAMETRES!$F$34,4,IF($M8&gt;PARAMETRES!$E$34,3,IF($M8&gt;PARAMETRES!$D$34,2,1)))))</f>
        <v/>
      </c>
      <c r="V8" t="str">
        <f>IF($N8="","",IF($N8&gt;PARAMETRES!$G$35,5,IF($N8&gt;PARAMETRES!$F$35,4,IF($N8&gt;PARAMETRES!$E$35,3,IF($N8&gt;PARAMETRES!$D$35,2,1)))))</f>
        <v/>
      </c>
      <c r="W8" t="str">
        <f>IF($O8="","",IF($O8&gt;PARAMETRES!$G$36,5,IF($O8&gt;PARAMETRES!$F$36,4,IF($O8&gt;PARAMETRES!$E$36,3,IF($O8&gt;PARAMETRES!$D$36,2,1)))))</f>
        <v/>
      </c>
      <c r="X8" t="str">
        <f>IF($P8="","",IF($P8&gt;PARAMETRES!$G$37,5,IF($P8&gt;PARAMETRES!$F$37,4,IF($P8&gt;PARAMETRES!$E$37,3,IF($P8&gt;PARAMETRES!$D$37,2,1)))))</f>
        <v/>
      </c>
      <c r="Y8" t="str">
        <f t="shared" si="0"/>
        <v/>
      </c>
      <c r="Z8" t="str">
        <f>IFERROR(VLOOKUP($B8,TABLE_CYCLE,2,0),"")</f>
        <v/>
      </c>
      <c r="AA8" t="str">
        <f t="shared" si="1"/>
        <v/>
      </c>
      <c r="AB8" t="str">
        <f>IF($D8="","",IF(COUNTIF($D$2:$D8,$D8)=1,$D8,""))</f>
        <v/>
      </c>
      <c r="AC8">
        <f t="shared" si="2"/>
        <v>0</v>
      </c>
      <c r="AD8" t="str">
        <f t="shared" si="3"/>
        <v>|0</v>
      </c>
      <c r="AE8" t="str">
        <f t="shared" si="4"/>
        <v/>
      </c>
      <c r="AF8" t="str">
        <f t="shared" si="5"/>
        <v/>
      </c>
      <c r="AG8" t="str">
        <f t="shared" si="6"/>
        <v/>
      </c>
      <c r="AH8" t="str">
        <f t="shared" si="7"/>
        <v/>
      </c>
      <c r="AI8" t="str">
        <f t="shared" si="8"/>
        <v/>
      </c>
      <c r="AJ8" t="str">
        <f t="shared" si="9"/>
        <v/>
      </c>
      <c r="AK8" t="str">
        <f t="shared" si="10"/>
        <v/>
      </c>
      <c r="AL8" t="str">
        <f t="shared" si="11"/>
        <v/>
      </c>
      <c r="AM8" t="str">
        <f t="shared" si="12"/>
        <v/>
      </c>
      <c r="AN8" t="str">
        <f t="shared" si="13"/>
        <v/>
      </c>
      <c r="AO8" t="str">
        <f t="shared" si="14"/>
        <v/>
      </c>
      <c r="AP8">
        <f t="shared" si="15"/>
        <v>1</v>
      </c>
      <c r="AQ8" t="str">
        <f>IF(SAISIE!$F13="","",SAISIE!$Y13)</f>
        <v/>
      </c>
      <c r="AR8" t="str">
        <f>IF(OR(SAISIE!$U$4="",SAISIE!$W$4=""),"",IF(AND($A8=SAISIE!$U$4,$B8=SAISIE!$W$4,$C8="S1"),COUNTIFS($A$2:$A8,SAISIE!$U$4,$B$2:$B8,SAISIE!$W$4,$C$2:$C8,"S1"),""))</f>
        <v/>
      </c>
      <c r="AS8" t="str">
        <f t="shared" si="16"/>
        <v/>
      </c>
      <c r="AT8" t="str">
        <f t="shared" si="17"/>
        <v/>
      </c>
      <c r="AU8" t="str">
        <f t="shared" si="18"/>
        <v/>
      </c>
      <c r="AV8">
        <f>N(AV7)+IF(AND($AB8&lt;&gt;"",OR('PROFIL ELEVE'!$K$4="(Tous)",$AF8='PROFIL ELEVE'!$K$4)),1,0)</f>
        <v>0</v>
      </c>
      <c r="AW8">
        <f>N(AW7)+IF(AND($AB8&lt;&gt;"",OR('SUIVI LONGITUDINAL'!$Q$4="(Tous)",$AF8='SUIVI LONGITUDINAL'!$Q$4)),1,0)</f>
        <v>0</v>
      </c>
      <c r="AX8">
        <f t="shared" si="19"/>
        <v>0</v>
      </c>
      <c r="AY8">
        <f t="shared" si="20"/>
        <v>0</v>
      </c>
      <c r="AZ8">
        <f t="shared" si="21"/>
        <v>0</v>
      </c>
      <c r="BA8" t="str">
        <f t="shared" si="22"/>
        <v/>
      </c>
      <c r="BB8" t="str">
        <f t="shared" si="23"/>
        <v/>
      </c>
    </row>
    <row r="9" spans="1:54" ht="14.25" customHeight="1" x14ac:dyDescent="0.3">
      <c r="A9" t="str">
        <f>IF(SAISIE!$F14="","",SAISIE!$B14)</f>
        <v/>
      </c>
      <c r="B9" t="str">
        <f>IF(SAISIE!$F14="","",SAISIE!$C14)</f>
        <v/>
      </c>
      <c r="C9" t="str">
        <f>IF(SAISIE!$F14="","",SAISIE!$D14)</f>
        <v/>
      </c>
      <c r="D9" t="str">
        <f>IF(SAISIE!$E14="","",SAISIE!$E14)</f>
        <v/>
      </c>
      <c r="E9" t="str">
        <f>IF(SAISIE!$F14="","",SAISIE!$F14)</f>
        <v/>
      </c>
      <c r="F9" t="str">
        <f>IF(SAISIE!$G14="","",SAISIE!$G14)</f>
        <v/>
      </c>
      <c r="G9" t="str">
        <f>IF(SAISIE!$H14="","",SAISIE!$H14)</f>
        <v/>
      </c>
      <c r="H9" t="str">
        <f>IF(SAISIE!$I14="","",SAISIE!$I14)</f>
        <v/>
      </c>
      <c r="I9" t="str">
        <f>IF(SAISIE!$J14="","",SAISIE!$J14)</f>
        <v/>
      </c>
      <c r="J9" t="str">
        <f>IF(SAISIE!$K14="","",SAISIE!$K14)</f>
        <v/>
      </c>
      <c r="K9" t="str">
        <f>IF(SAISIE!$L14="","",SAISIE!$L14)</f>
        <v/>
      </c>
      <c r="L9" t="str">
        <f>IF(SAISIE!$M14="","",SAISIE!$M14)</f>
        <v/>
      </c>
      <c r="M9" t="str">
        <f>IF(SAISIE!$N14="","",SAISIE!$N14)</f>
        <v/>
      </c>
      <c r="N9" t="str">
        <f>IF(SAISIE!$O14="","",SAISIE!$O14)</f>
        <v/>
      </c>
      <c r="O9" t="str">
        <f>IF(SAISIE!$P14="","",SAISIE!$P14)</f>
        <v/>
      </c>
      <c r="P9" t="str">
        <f>IF(SAISIE!$Q14="","",SAISIE!$Q14)</f>
        <v/>
      </c>
      <c r="Q9" t="str">
        <f>IF($I9="","",IF($I9&gt;PARAMETRES!$G$29,5,IF($I9&gt;PARAMETRES!$F$29,4,IF($I9&gt;PARAMETRES!$E$29,3,IF($I9&gt;PARAMETRES!$D$29,2,1)))))</f>
        <v/>
      </c>
      <c r="R9" t="str">
        <f>IF($J9="","",IF($J9&gt;PARAMETRES!$G$30,5,IF($J9&gt;PARAMETRES!$F$30,4,IF($J9&gt;PARAMETRES!$E$30,3,IF($J9&gt;PARAMETRES!$D$30,2,1)))))</f>
        <v/>
      </c>
      <c r="S9" t="str">
        <f>IF($K9="","",IF($Z9=2,IF($K9&gt;PARAMETRES!$G$31,5,IF($K9&gt;PARAMETRES!$F$31,4,IF($K9&gt;PARAMETRES!$E$31,3,IF($K9&gt;PARAMETRES!$D$31,2,1)))),IF($K9&gt;PARAMETRES!$G$32,5,IF($K9&gt;PARAMETRES!$F$32,4,IF($K9&gt;PARAMETRES!$E$32,3,IF($K9&gt;PARAMETRES!$D$32,2,1))))))</f>
        <v/>
      </c>
      <c r="T9" t="str">
        <f>IF($L9="","",IF($L9&gt;PARAMETRES!$G$33,5,IF($L9&gt;PARAMETRES!$F$33,4,IF($L9&gt;PARAMETRES!$E$33,3,IF($L9&gt;PARAMETRES!$D$33,2,1)))))</f>
        <v/>
      </c>
      <c r="U9" t="str">
        <f>IF($M9="","",IF($M9&gt;PARAMETRES!$G$34,5,IF($M9&gt;PARAMETRES!$F$34,4,IF($M9&gt;PARAMETRES!$E$34,3,IF($M9&gt;PARAMETRES!$D$34,2,1)))))</f>
        <v/>
      </c>
      <c r="V9" t="str">
        <f>IF($N9="","",IF($N9&gt;PARAMETRES!$G$35,5,IF($N9&gt;PARAMETRES!$F$35,4,IF($N9&gt;PARAMETRES!$E$35,3,IF($N9&gt;PARAMETRES!$D$35,2,1)))))</f>
        <v/>
      </c>
      <c r="W9" t="str">
        <f>IF($O9="","",IF($O9&gt;PARAMETRES!$G$36,5,IF($O9&gt;PARAMETRES!$F$36,4,IF($O9&gt;PARAMETRES!$E$36,3,IF($O9&gt;PARAMETRES!$D$36,2,1)))))</f>
        <v/>
      </c>
      <c r="X9" t="str">
        <f>IF($P9="","",IF($P9&gt;PARAMETRES!$G$37,5,IF($P9&gt;PARAMETRES!$F$37,4,IF($P9&gt;PARAMETRES!$E$37,3,IF($P9&gt;PARAMETRES!$D$37,2,1)))))</f>
        <v/>
      </c>
      <c r="Y9" t="str">
        <f t="shared" si="0"/>
        <v/>
      </c>
      <c r="Z9" t="str">
        <f>IFERROR(VLOOKUP($B9,TABLE_CYCLE,2,0),"")</f>
        <v/>
      </c>
      <c r="AA9" t="str">
        <f t="shared" si="1"/>
        <v/>
      </c>
      <c r="AB9" t="str">
        <f>IF($D9="","",IF(COUNTIF($D$2:$D9,$D9)=1,$D9,""))</f>
        <v/>
      </c>
      <c r="AC9">
        <f t="shared" si="2"/>
        <v>0</v>
      </c>
      <c r="AD9" t="str">
        <f t="shared" si="3"/>
        <v>|0</v>
      </c>
      <c r="AE9" t="str">
        <f t="shared" si="4"/>
        <v/>
      </c>
      <c r="AF9" t="str">
        <f t="shared" si="5"/>
        <v/>
      </c>
      <c r="AG9" t="str">
        <f t="shared" si="6"/>
        <v/>
      </c>
      <c r="AH9" t="str">
        <f t="shared" si="7"/>
        <v/>
      </c>
      <c r="AI9" t="str">
        <f t="shared" si="8"/>
        <v/>
      </c>
      <c r="AJ9" t="str">
        <f t="shared" si="9"/>
        <v/>
      </c>
      <c r="AK9" t="str">
        <f t="shared" si="10"/>
        <v/>
      </c>
      <c r="AL9" t="str">
        <f t="shared" si="11"/>
        <v/>
      </c>
      <c r="AM9" t="str">
        <f t="shared" si="12"/>
        <v/>
      </c>
      <c r="AN9" t="str">
        <f t="shared" si="13"/>
        <v/>
      </c>
      <c r="AO9" t="str">
        <f t="shared" si="14"/>
        <v/>
      </c>
      <c r="AP9">
        <f t="shared" si="15"/>
        <v>1</v>
      </c>
      <c r="AQ9" t="str">
        <f>IF(SAISIE!$F14="","",SAISIE!$Y14)</f>
        <v/>
      </c>
      <c r="AR9" t="str">
        <f>IF(OR(SAISIE!$U$4="",SAISIE!$W$4=""),"",IF(AND($A9=SAISIE!$U$4,$B9=SAISIE!$W$4,$C9="S1"),COUNTIFS($A$2:$A9,SAISIE!$U$4,$B$2:$B9,SAISIE!$W$4,$C$2:$C9,"S1"),""))</f>
        <v/>
      </c>
      <c r="AS9" t="str">
        <f t="shared" si="16"/>
        <v/>
      </c>
      <c r="AT9" t="str">
        <f t="shared" si="17"/>
        <v/>
      </c>
      <c r="AU9" t="str">
        <f t="shared" si="18"/>
        <v/>
      </c>
      <c r="AV9">
        <f>N(AV8)+IF(AND($AB9&lt;&gt;"",OR('PROFIL ELEVE'!$K$4="(Tous)",$AF9='PROFIL ELEVE'!$K$4)),1,0)</f>
        <v>0</v>
      </c>
      <c r="AW9">
        <f>N(AW8)+IF(AND($AB9&lt;&gt;"",OR('SUIVI LONGITUDINAL'!$Q$4="(Tous)",$AF9='SUIVI LONGITUDINAL'!$Q$4)),1,0)</f>
        <v>0</v>
      </c>
      <c r="AX9">
        <f t="shared" si="19"/>
        <v>0</v>
      </c>
      <c r="AY9">
        <f t="shared" si="20"/>
        <v>0</v>
      </c>
      <c r="AZ9">
        <f t="shared" si="21"/>
        <v>0</v>
      </c>
      <c r="BA9" t="str">
        <f t="shared" si="22"/>
        <v/>
      </c>
      <c r="BB9" t="str">
        <f t="shared" si="23"/>
        <v/>
      </c>
    </row>
    <row r="10" spans="1:54" ht="14.25" customHeight="1" x14ac:dyDescent="0.3">
      <c r="A10" t="str">
        <f>IF(SAISIE!$F15="","",SAISIE!$B15)</f>
        <v/>
      </c>
      <c r="B10" t="str">
        <f>IF(SAISIE!$F15="","",SAISIE!$C15)</f>
        <v/>
      </c>
      <c r="C10" t="str">
        <f>IF(SAISIE!$F15="","",SAISIE!$D15)</f>
        <v/>
      </c>
      <c r="D10" t="str">
        <f>IF(SAISIE!$E15="","",SAISIE!$E15)</f>
        <v/>
      </c>
      <c r="E10" t="str">
        <f>IF(SAISIE!$F15="","",SAISIE!$F15)</f>
        <v/>
      </c>
      <c r="F10" t="str">
        <f>IF(SAISIE!$G15="","",SAISIE!$G15)</f>
        <v/>
      </c>
      <c r="G10" t="str">
        <f>IF(SAISIE!$H15="","",SAISIE!$H15)</f>
        <v/>
      </c>
      <c r="H10" t="str">
        <f>IF(SAISIE!$I15="","",SAISIE!$I15)</f>
        <v/>
      </c>
      <c r="I10" t="str">
        <f>IF(SAISIE!$J15="","",SAISIE!$J15)</f>
        <v/>
      </c>
      <c r="J10" t="str">
        <f>IF(SAISIE!$K15="","",SAISIE!$K15)</f>
        <v/>
      </c>
      <c r="K10" t="str">
        <f>IF(SAISIE!$L15="","",SAISIE!$L15)</f>
        <v/>
      </c>
      <c r="L10" t="str">
        <f>IF(SAISIE!$M15="","",SAISIE!$M15)</f>
        <v/>
      </c>
      <c r="M10" t="str">
        <f>IF(SAISIE!$N15="","",SAISIE!$N15)</f>
        <v/>
      </c>
      <c r="N10" t="str">
        <f>IF(SAISIE!$O15="","",SAISIE!$O15)</f>
        <v/>
      </c>
      <c r="O10" t="str">
        <f>IF(SAISIE!$P15="","",SAISIE!$P15)</f>
        <v/>
      </c>
      <c r="P10" t="str">
        <f>IF(SAISIE!$Q15="","",SAISIE!$Q15)</f>
        <v/>
      </c>
      <c r="Q10" t="str">
        <f>IF($I10="","",IF($I10&gt;PARAMETRES!$G$29,5,IF($I10&gt;PARAMETRES!$F$29,4,IF($I10&gt;PARAMETRES!$E$29,3,IF($I10&gt;PARAMETRES!$D$29,2,1)))))</f>
        <v/>
      </c>
      <c r="R10" t="str">
        <f>IF($J10="","",IF($J10&gt;PARAMETRES!$G$30,5,IF($J10&gt;PARAMETRES!$F$30,4,IF($J10&gt;PARAMETRES!$E$30,3,IF($J10&gt;PARAMETRES!$D$30,2,1)))))</f>
        <v/>
      </c>
      <c r="S10" t="str">
        <f>IF($K10="","",IF($Z10=2,IF($K10&gt;PARAMETRES!$G$31,5,IF($K10&gt;PARAMETRES!$F$31,4,IF($K10&gt;PARAMETRES!$E$31,3,IF($K10&gt;PARAMETRES!$D$31,2,1)))),IF($K10&gt;PARAMETRES!$G$32,5,IF($K10&gt;PARAMETRES!$F$32,4,IF($K10&gt;PARAMETRES!$E$32,3,IF($K10&gt;PARAMETRES!$D$32,2,1))))))</f>
        <v/>
      </c>
      <c r="T10" t="str">
        <f>IF($L10="","",IF($L10&gt;PARAMETRES!$G$33,5,IF($L10&gt;PARAMETRES!$F$33,4,IF($L10&gt;PARAMETRES!$E$33,3,IF($L10&gt;PARAMETRES!$D$33,2,1)))))</f>
        <v/>
      </c>
      <c r="U10" t="str">
        <f>IF($M10="","",IF($M10&gt;PARAMETRES!$G$34,5,IF($M10&gt;PARAMETRES!$F$34,4,IF($M10&gt;PARAMETRES!$E$34,3,IF($M10&gt;PARAMETRES!$D$34,2,1)))))</f>
        <v/>
      </c>
      <c r="V10" t="str">
        <f>IF($N10="","",IF($N10&gt;PARAMETRES!$G$35,5,IF($N10&gt;PARAMETRES!$F$35,4,IF($N10&gt;PARAMETRES!$E$35,3,IF($N10&gt;PARAMETRES!$D$35,2,1)))))</f>
        <v/>
      </c>
      <c r="W10" t="str">
        <f>IF($O10="","",IF($O10&gt;PARAMETRES!$G$36,5,IF($O10&gt;PARAMETRES!$F$36,4,IF($O10&gt;PARAMETRES!$E$36,3,IF($O10&gt;PARAMETRES!$D$36,2,1)))))</f>
        <v/>
      </c>
      <c r="X10" t="str">
        <f>IF($P10="","",IF($P10&gt;PARAMETRES!$G$37,5,IF($P10&gt;PARAMETRES!$F$37,4,IF($P10&gt;PARAMETRES!$E$37,3,IF($P10&gt;PARAMETRES!$D$37,2,1)))))</f>
        <v/>
      </c>
      <c r="Y10" t="str">
        <f t="shared" si="0"/>
        <v/>
      </c>
      <c r="Z10" t="str">
        <f>IFERROR(VLOOKUP($B10,TABLE_CYCLE,2,0),"")</f>
        <v/>
      </c>
      <c r="AA10" t="str">
        <f t="shared" si="1"/>
        <v/>
      </c>
      <c r="AB10" t="str">
        <f>IF($D10="","",IF(COUNTIF($D$2:$D10,$D10)=1,$D10,""))</f>
        <v/>
      </c>
      <c r="AC10">
        <f t="shared" si="2"/>
        <v>0</v>
      </c>
      <c r="AD10" t="str">
        <f t="shared" si="3"/>
        <v>|0</v>
      </c>
      <c r="AE10" t="str">
        <f t="shared" si="4"/>
        <v/>
      </c>
      <c r="AF10" t="str">
        <f t="shared" si="5"/>
        <v/>
      </c>
      <c r="AG10" t="str">
        <f t="shared" si="6"/>
        <v/>
      </c>
      <c r="AH10" t="str">
        <f t="shared" si="7"/>
        <v/>
      </c>
      <c r="AI10" t="str">
        <f t="shared" si="8"/>
        <v/>
      </c>
      <c r="AJ10" t="str">
        <f t="shared" si="9"/>
        <v/>
      </c>
      <c r="AK10" t="str">
        <f t="shared" si="10"/>
        <v/>
      </c>
      <c r="AL10" t="str">
        <f t="shared" si="11"/>
        <v/>
      </c>
      <c r="AM10" t="str">
        <f t="shared" si="12"/>
        <v/>
      </c>
      <c r="AN10" t="str">
        <f t="shared" si="13"/>
        <v/>
      </c>
      <c r="AO10" t="str">
        <f t="shared" si="14"/>
        <v/>
      </c>
      <c r="AP10">
        <f t="shared" si="15"/>
        <v>1</v>
      </c>
      <c r="AQ10" t="str">
        <f>IF(SAISIE!$F15="","",SAISIE!$Y15)</f>
        <v/>
      </c>
      <c r="AR10" t="str">
        <f>IF(OR(SAISIE!$U$4="",SAISIE!$W$4=""),"",IF(AND($A10=SAISIE!$U$4,$B10=SAISIE!$W$4,$C10="S1"),COUNTIFS($A$2:$A10,SAISIE!$U$4,$B$2:$B10,SAISIE!$W$4,$C$2:$C10,"S1"),""))</f>
        <v/>
      </c>
      <c r="AS10" t="str">
        <f t="shared" si="16"/>
        <v/>
      </c>
      <c r="AT10" t="str">
        <f t="shared" si="17"/>
        <v/>
      </c>
      <c r="AU10" t="str">
        <f t="shared" si="18"/>
        <v/>
      </c>
      <c r="AV10">
        <f>N(AV9)+IF(AND($AB10&lt;&gt;"",OR('PROFIL ELEVE'!$K$4="(Tous)",$AF10='PROFIL ELEVE'!$K$4)),1,0)</f>
        <v>0</v>
      </c>
      <c r="AW10">
        <f>N(AW9)+IF(AND($AB10&lt;&gt;"",OR('SUIVI LONGITUDINAL'!$Q$4="(Tous)",$AF10='SUIVI LONGITUDINAL'!$Q$4)),1,0)</f>
        <v>0</v>
      </c>
      <c r="AX10">
        <f t="shared" si="19"/>
        <v>0</v>
      </c>
      <c r="AY10">
        <f t="shared" si="20"/>
        <v>0</v>
      </c>
      <c r="AZ10">
        <f t="shared" si="21"/>
        <v>0</v>
      </c>
      <c r="BA10" t="str">
        <f t="shared" si="22"/>
        <v/>
      </c>
      <c r="BB10" t="str">
        <f t="shared" si="23"/>
        <v/>
      </c>
    </row>
    <row r="11" spans="1:54" ht="14.25" customHeight="1" x14ac:dyDescent="0.3">
      <c r="A11" t="str">
        <f>IF(SAISIE!$F16="","",SAISIE!$B16)</f>
        <v/>
      </c>
      <c r="B11" t="str">
        <f>IF(SAISIE!$F16="","",SAISIE!$C16)</f>
        <v/>
      </c>
      <c r="C11" t="str">
        <f>IF(SAISIE!$F16="","",SAISIE!$D16)</f>
        <v/>
      </c>
      <c r="D11" t="str">
        <f>IF(SAISIE!$E16="","",SAISIE!$E16)</f>
        <v/>
      </c>
      <c r="E11" t="str">
        <f>IF(SAISIE!$F16="","",SAISIE!$F16)</f>
        <v/>
      </c>
      <c r="F11" t="str">
        <f>IF(SAISIE!$G16="","",SAISIE!$G16)</f>
        <v/>
      </c>
      <c r="G11" t="str">
        <f>IF(SAISIE!$H16="","",SAISIE!$H16)</f>
        <v/>
      </c>
      <c r="H11" t="str">
        <f>IF(SAISIE!$I16="","",SAISIE!$I16)</f>
        <v/>
      </c>
      <c r="I11" t="str">
        <f>IF(SAISIE!$J16="","",SAISIE!$J16)</f>
        <v/>
      </c>
      <c r="J11" t="str">
        <f>IF(SAISIE!$K16="","",SAISIE!$K16)</f>
        <v/>
      </c>
      <c r="K11" t="str">
        <f>IF(SAISIE!$L16="","",SAISIE!$L16)</f>
        <v/>
      </c>
      <c r="L11" t="str">
        <f>IF(SAISIE!$M16="","",SAISIE!$M16)</f>
        <v/>
      </c>
      <c r="M11" t="str">
        <f>IF(SAISIE!$N16="","",SAISIE!$N16)</f>
        <v/>
      </c>
      <c r="N11" t="str">
        <f>IF(SAISIE!$O16="","",SAISIE!$O16)</f>
        <v/>
      </c>
      <c r="O11" t="str">
        <f>IF(SAISIE!$P16="","",SAISIE!$P16)</f>
        <v/>
      </c>
      <c r="P11" t="str">
        <f>IF(SAISIE!$Q16="","",SAISIE!$Q16)</f>
        <v/>
      </c>
      <c r="Q11" t="str">
        <f>IF($I11="","",IF($I11&gt;PARAMETRES!$G$29,5,IF($I11&gt;PARAMETRES!$F$29,4,IF($I11&gt;PARAMETRES!$E$29,3,IF($I11&gt;PARAMETRES!$D$29,2,1)))))</f>
        <v/>
      </c>
      <c r="R11" t="str">
        <f>IF($J11="","",IF($J11&gt;PARAMETRES!$G$30,5,IF($J11&gt;PARAMETRES!$F$30,4,IF($J11&gt;PARAMETRES!$E$30,3,IF($J11&gt;PARAMETRES!$D$30,2,1)))))</f>
        <v/>
      </c>
      <c r="S11" t="str">
        <f>IF($K11="","",IF($Z11=2,IF($K11&gt;PARAMETRES!$G$31,5,IF($K11&gt;PARAMETRES!$F$31,4,IF($K11&gt;PARAMETRES!$E$31,3,IF($K11&gt;PARAMETRES!$D$31,2,1)))),IF($K11&gt;PARAMETRES!$G$32,5,IF($K11&gt;PARAMETRES!$F$32,4,IF($K11&gt;PARAMETRES!$E$32,3,IF($K11&gt;PARAMETRES!$D$32,2,1))))))</f>
        <v/>
      </c>
      <c r="T11" t="str">
        <f>IF($L11="","",IF($L11&gt;PARAMETRES!$G$33,5,IF($L11&gt;PARAMETRES!$F$33,4,IF($L11&gt;PARAMETRES!$E$33,3,IF($L11&gt;PARAMETRES!$D$33,2,1)))))</f>
        <v/>
      </c>
      <c r="U11" t="str">
        <f>IF($M11="","",IF($M11&gt;PARAMETRES!$G$34,5,IF($M11&gt;PARAMETRES!$F$34,4,IF($M11&gt;PARAMETRES!$E$34,3,IF($M11&gt;PARAMETRES!$D$34,2,1)))))</f>
        <v/>
      </c>
      <c r="V11" t="str">
        <f>IF($N11="","",IF($N11&gt;PARAMETRES!$G$35,5,IF($N11&gt;PARAMETRES!$F$35,4,IF($N11&gt;PARAMETRES!$E$35,3,IF($N11&gt;PARAMETRES!$D$35,2,1)))))</f>
        <v/>
      </c>
      <c r="W11" t="str">
        <f>IF($O11="","",IF($O11&gt;PARAMETRES!$G$36,5,IF($O11&gt;PARAMETRES!$F$36,4,IF($O11&gt;PARAMETRES!$E$36,3,IF($O11&gt;PARAMETRES!$D$36,2,1)))))</f>
        <v/>
      </c>
      <c r="X11" t="str">
        <f>IF($P11="","",IF($P11&gt;PARAMETRES!$G$37,5,IF($P11&gt;PARAMETRES!$F$37,4,IF($P11&gt;PARAMETRES!$E$37,3,IF($P11&gt;PARAMETRES!$D$37,2,1)))))</f>
        <v/>
      </c>
      <c r="Y11" t="str">
        <f t="shared" si="0"/>
        <v/>
      </c>
      <c r="Z11" t="str">
        <f>IFERROR(VLOOKUP($B11,TABLE_CYCLE,2,0),"")</f>
        <v/>
      </c>
      <c r="AA11" t="str">
        <f t="shared" si="1"/>
        <v/>
      </c>
      <c r="AB11" t="str">
        <f>IF($D11="","",IF(COUNTIF($D$2:$D11,$D11)=1,$D11,""))</f>
        <v/>
      </c>
      <c r="AC11">
        <f t="shared" si="2"/>
        <v>0</v>
      </c>
      <c r="AD11" t="str">
        <f t="shared" si="3"/>
        <v>|0</v>
      </c>
      <c r="AE11" t="str">
        <f t="shared" si="4"/>
        <v/>
      </c>
      <c r="AF11" t="str">
        <f t="shared" si="5"/>
        <v/>
      </c>
      <c r="AG11" t="str">
        <f t="shared" si="6"/>
        <v/>
      </c>
      <c r="AH11" t="str">
        <f t="shared" si="7"/>
        <v/>
      </c>
      <c r="AI11" t="str">
        <f t="shared" si="8"/>
        <v/>
      </c>
      <c r="AJ11" t="str">
        <f t="shared" si="9"/>
        <v/>
      </c>
      <c r="AK11" t="str">
        <f t="shared" si="10"/>
        <v/>
      </c>
      <c r="AL11" t="str">
        <f t="shared" si="11"/>
        <v/>
      </c>
      <c r="AM11" t="str">
        <f t="shared" si="12"/>
        <v/>
      </c>
      <c r="AN11" t="str">
        <f t="shared" si="13"/>
        <v/>
      </c>
      <c r="AO11" t="str">
        <f t="shared" si="14"/>
        <v/>
      </c>
      <c r="AP11">
        <f t="shared" si="15"/>
        <v>1</v>
      </c>
      <c r="AQ11" t="str">
        <f>IF(SAISIE!$F16="","",SAISIE!$Y16)</f>
        <v/>
      </c>
      <c r="AR11" t="str">
        <f>IF(OR(SAISIE!$U$4="",SAISIE!$W$4=""),"",IF(AND($A11=SAISIE!$U$4,$B11=SAISIE!$W$4,$C11="S1"),COUNTIFS($A$2:$A11,SAISIE!$U$4,$B$2:$B11,SAISIE!$W$4,$C$2:$C11,"S1"),""))</f>
        <v/>
      </c>
      <c r="AS11" t="str">
        <f t="shared" si="16"/>
        <v/>
      </c>
      <c r="AT11" t="str">
        <f t="shared" si="17"/>
        <v/>
      </c>
      <c r="AU11" t="str">
        <f t="shared" si="18"/>
        <v/>
      </c>
      <c r="AV11">
        <f>N(AV10)+IF(AND($AB11&lt;&gt;"",OR('PROFIL ELEVE'!$K$4="(Tous)",$AF11='PROFIL ELEVE'!$K$4)),1,0)</f>
        <v>0</v>
      </c>
      <c r="AW11">
        <f>N(AW10)+IF(AND($AB11&lt;&gt;"",OR('SUIVI LONGITUDINAL'!$Q$4="(Tous)",$AF11='SUIVI LONGITUDINAL'!$Q$4)),1,0)</f>
        <v>0</v>
      </c>
      <c r="AX11">
        <f t="shared" si="19"/>
        <v>0</v>
      </c>
      <c r="AY11">
        <f t="shared" si="20"/>
        <v>0</v>
      </c>
      <c r="AZ11">
        <f t="shared" si="21"/>
        <v>0</v>
      </c>
      <c r="BA11" t="str">
        <f t="shared" si="22"/>
        <v/>
      </c>
      <c r="BB11" t="str">
        <f t="shared" si="23"/>
        <v/>
      </c>
    </row>
    <row r="12" spans="1:54" ht="14.25" customHeight="1" x14ac:dyDescent="0.3">
      <c r="A12" t="str">
        <f>IF(SAISIE!$F17="","",SAISIE!$B17)</f>
        <v/>
      </c>
      <c r="B12" t="str">
        <f>IF(SAISIE!$F17="","",SAISIE!$C17)</f>
        <v/>
      </c>
      <c r="C12" t="str">
        <f>IF(SAISIE!$F17="","",SAISIE!$D17)</f>
        <v/>
      </c>
      <c r="D12" t="str">
        <f>IF(SAISIE!$E17="","",SAISIE!$E17)</f>
        <v/>
      </c>
      <c r="E12" t="str">
        <f>IF(SAISIE!$F17="","",SAISIE!$F17)</f>
        <v/>
      </c>
      <c r="F12" t="str">
        <f>IF(SAISIE!$G17="","",SAISIE!$G17)</f>
        <v/>
      </c>
      <c r="G12" t="str">
        <f>IF(SAISIE!$H17="","",SAISIE!$H17)</f>
        <v/>
      </c>
      <c r="H12" t="str">
        <f>IF(SAISIE!$I17="","",SAISIE!$I17)</f>
        <v/>
      </c>
      <c r="I12" t="str">
        <f>IF(SAISIE!$J17="","",SAISIE!$J17)</f>
        <v/>
      </c>
      <c r="J12" t="str">
        <f>IF(SAISIE!$K17="","",SAISIE!$K17)</f>
        <v/>
      </c>
      <c r="K12" t="str">
        <f>IF(SAISIE!$L17="","",SAISIE!$L17)</f>
        <v/>
      </c>
      <c r="L12" t="str">
        <f>IF(SAISIE!$M17="","",SAISIE!$M17)</f>
        <v/>
      </c>
      <c r="M12" t="str">
        <f>IF(SAISIE!$N17="","",SAISIE!$N17)</f>
        <v/>
      </c>
      <c r="N12" t="str">
        <f>IF(SAISIE!$O17="","",SAISIE!$O17)</f>
        <v/>
      </c>
      <c r="O12" t="str">
        <f>IF(SAISIE!$P17="","",SAISIE!$P17)</f>
        <v/>
      </c>
      <c r="P12" t="str">
        <f>IF(SAISIE!$Q17="","",SAISIE!$Q17)</f>
        <v/>
      </c>
      <c r="Q12" t="str">
        <f>IF($I12="","",IF($I12&gt;PARAMETRES!$G$29,5,IF($I12&gt;PARAMETRES!$F$29,4,IF($I12&gt;PARAMETRES!$E$29,3,IF($I12&gt;PARAMETRES!$D$29,2,1)))))</f>
        <v/>
      </c>
      <c r="R12" t="str">
        <f>IF($J12="","",IF($J12&gt;PARAMETRES!$G$30,5,IF($J12&gt;PARAMETRES!$F$30,4,IF($J12&gt;PARAMETRES!$E$30,3,IF($J12&gt;PARAMETRES!$D$30,2,1)))))</f>
        <v/>
      </c>
      <c r="S12" t="str">
        <f>IF($K12="","",IF($Z12=2,IF($K12&gt;PARAMETRES!$G$31,5,IF($K12&gt;PARAMETRES!$F$31,4,IF($K12&gt;PARAMETRES!$E$31,3,IF($K12&gt;PARAMETRES!$D$31,2,1)))),IF($K12&gt;PARAMETRES!$G$32,5,IF($K12&gt;PARAMETRES!$F$32,4,IF($K12&gt;PARAMETRES!$E$32,3,IF($K12&gt;PARAMETRES!$D$32,2,1))))))</f>
        <v/>
      </c>
      <c r="T12" t="str">
        <f>IF($L12="","",IF($L12&gt;PARAMETRES!$G$33,5,IF($L12&gt;PARAMETRES!$F$33,4,IF($L12&gt;PARAMETRES!$E$33,3,IF($L12&gt;PARAMETRES!$D$33,2,1)))))</f>
        <v/>
      </c>
      <c r="U12" t="str">
        <f>IF($M12="","",IF($M12&gt;PARAMETRES!$G$34,5,IF($M12&gt;PARAMETRES!$F$34,4,IF($M12&gt;PARAMETRES!$E$34,3,IF($M12&gt;PARAMETRES!$D$34,2,1)))))</f>
        <v/>
      </c>
      <c r="V12" t="str">
        <f>IF($N12="","",IF($N12&gt;PARAMETRES!$G$35,5,IF($N12&gt;PARAMETRES!$F$35,4,IF($N12&gt;PARAMETRES!$E$35,3,IF($N12&gt;PARAMETRES!$D$35,2,1)))))</f>
        <v/>
      </c>
      <c r="W12" t="str">
        <f>IF($O12="","",IF($O12&gt;PARAMETRES!$G$36,5,IF($O12&gt;PARAMETRES!$F$36,4,IF($O12&gt;PARAMETRES!$E$36,3,IF($O12&gt;PARAMETRES!$D$36,2,1)))))</f>
        <v/>
      </c>
      <c r="X12" t="str">
        <f>IF($P12="","",IF($P12&gt;PARAMETRES!$G$37,5,IF($P12&gt;PARAMETRES!$F$37,4,IF($P12&gt;PARAMETRES!$E$37,3,IF($P12&gt;PARAMETRES!$D$37,2,1)))))</f>
        <v/>
      </c>
      <c r="Y12" t="str">
        <f t="shared" si="0"/>
        <v/>
      </c>
      <c r="Z12" t="str">
        <f>IFERROR(VLOOKUP($B12,TABLE_CYCLE,2,0),"")</f>
        <v/>
      </c>
      <c r="AA12" t="str">
        <f t="shared" si="1"/>
        <v/>
      </c>
      <c r="AB12" t="str">
        <f>IF($D12="","",IF(COUNTIF($D$2:$D12,$D12)=1,$D12,""))</f>
        <v/>
      </c>
      <c r="AC12">
        <f t="shared" si="2"/>
        <v>0</v>
      </c>
      <c r="AD12" t="str">
        <f t="shared" si="3"/>
        <v>|0</v>
      </c>
      <c r="AE12" t="str">
        <f t="shared" si="4"/>
        <v/>
      </c>
      <c r="AF12" t="str">
        <f t="shared" si="5"/>
        <v/>
      </c>
      <c r="AG12" t="str">
        <f t="shared" si="6"/>
        <v/>
      </c>
      <c r="AH12" t="str">
        <f t="shared" si="7"/>
        <v/>
      </c>
      <c r="AI12" t="str">
        <f t="shared" si="8"/>
        <v/>
      </c>
      <c r="AJ12" t="str">
        <f t="shared" si="9"/>
        <v/>
      </c>
      <c r="AK12" t="str">
        <f t="shared" si="10"/>
        <v/>
      </c>
      <c r="AL12" t="str">
        <f t="shared" si="11"/>
        <v/>
      </c>
      <c r="AM12" t="str">
        <f t="shared" si="12"/>
        <v/>
      </c>
      <c r="AN12" t="str">
        <f t="shared" si="13"/>
        <v/>
      </c>
      <c r="AO12" t="str">
        <f t="shared" si="14"/>
        <v/>
      </c>
      <c r="AP12">
        <f t="shared" si="15"/>
        <v>1</v>
      </c>
      <c r="AQ12" t="str">
        <f>IF(SAISIE!$F17="","",SAISIE!$Y17)</f>
        <v/>
      </c>
      <c r="AR12" t="str">
        <f>IF(OR(SAISIE!$U$4="",SAISIE!$W$4=""),"",IF(AND($A12=SAISIE!$U$4,$B12=SAISIE!$W$4,$C12="S1"),COUNTIFS($A$2:$A12,SAISIE!$U$4,$B$2:$B12,SAISIE!$W$4,$C$2:$C12,"S1"),""))</f>
        <v/>
      </c>
      <c r="AS12" t="str">
        <f t="shared" si="16"/>
        <v/>
      </c>
      <c r="AT12" t="str">
        <f t="shared" si="17"/>
        <v/>
      </c>
      <c r="AU12" t="str">
        <f t="shared" si="18"/>
        <v/>
      </c>
      <c r="AV12">
        <f>N(AV11)+IF(AND($AB12&lt;&gt;"",OR('PROFIL ELEVE'!$K$4="(Tous)",$AF12='PROFIL ELEVE'!$K$4)),1,0)</f>
        <v>0</v>
      </c>
      <c r="AW12">
        <f>N(AW11)+IF(AND($AB12&lt;&gt;"",OR('SUIVI LONGITUDINAL'!$Q$4="(Tous)",$AF12='SUIVI LONGITUDINAL'!$Q$4)),1,0)</f>
        <v>0</v>
      </c>
      <c r="AX12">
        <f t="shared" si="19"/>
        <v>0</v>
      </c>
      <c r="AY12">
        <f t="shared" si="20"/>
        <v>0</v>
      </c>
      <c r="AZ12">
        <f t="shared" si="21"/>
        <v>0</v>
      </c>
      <c r="BA12" t="str">
        <f t="shared" si="22"/>
        <v/>
      </c>
      <c r="BB12" t="str">
        <f t="shared" si="23"/>
        <v/>
      </c>
    </row>
    <row r="13" spans="1:54" ht="14.25" customHeight="1" x14ac:dyDescent="0.3">
      <c r="A13" t="str">
        <f>IF(SAISIE!$F18="","",SAISIE!$B18)</f>
        <v/>
      </c>
      <c r="B13" t="str">
        <f>IF(SAISIE!$F18="","",SAISIE!$C18)</f>
        <v/>
      </c>
      <c r="C13" t="str">
        <f>IF(SAISIE!$F18="","",SAISIE!$D18)</f>
        <v/>
      </c>
      <c r="D13" t="str">
        <f>IF(SAISIE!$E18="","",SAISIE!$E18)</f>
        <v/>
      </c>
      <c r="E13" t="str">
        <f>IF(SAISIE!$F18="","",SAISIE!$F18)</f>
        <v/>
      </c>
      <c r="F13" t="str">
        <f>IF(SAISIE!$G18="","",SAISIE!$G18)</f>
        <v/>
      </c>
      <c r="G13" t="str">
        <f>IF(SAISIE!$H18="","",SAISIE!$H18)</f>
        <v/>
      </c>
      <c r="H13" t="str">
        <f>IF(SAISIE!$I18="","",SAISIE!$I18)</f>
        <v/>
      </c>
      <c r="I13" t="str">
        <f>IF(SAISIE!$J18="","",SAISIE!$J18)</f>
        <v/>
      </c>
      <c r="J13" t="str">
        <f>IF(SAISIE!$K18="","",SAISIE!$K18)</f>
        <v/>
      </c>
      <c r="K13" t="str">
        <f>IF(SAISIE!$L18="","",SAISIE!$L18)</f>
        <v/>
      </c>
      <c r="L13" t="str">
        <f>IF(SAISIE!$M18="","",SAISIE!$M18)</f>
        <v/>
      </c>
      <c r="M13" t="str">
        <f>IF(SAISIE!$N18="","",SAISIE!$N18)</f>
        <v/>
      </c>
      <c r="N13" t="str">
        <f>IF(SAISIE!$O18="","",SAISIE!$O18)</f>
        <v/>
      </c>
      <c r="O13" t="str">
        <f>IF(SAISIE!$P18="","",SAISIE!$P18)</f>
        <v/>
      </c>
      <c r="P13" t="str">
        <f>IF(SAISIE!$Q18="","",SAISIE!$Q18)</f>
        <v/>
      </c>
      <c r="Q13" t="str">
        <f>IF($I13="","",IF($I13&gt;PARAMETRES!$G$29,5,IF($I13&gt;PARAMETRES!$F$29,4,IF($I13&gt;PARAMETRES!$E$29,3,IF($I13&gt;PARAMETRES!$D$29,2,1)))))</f>
        <v/>
      </c>
      <c r="R13" t="str">
        <f>IF($J13="","",IF($J13&gt;PARAMETRES!$G$30,5,IF($J13&gt;PARAMETRES!$F$30,4,IF($J13&gt;PARAMETRES!$E$30,3,IF($J13&gt;PARAMETRES!$D$30,2,1)))))</f>
        <v/>
      </c>
      <c r="S13" t="str">
        <f>IF($K13="","",IF($Z13=2,IF($K13&gt;PARAMETRES!$G$31,5,IF($K13&gt;PARAMETRES!$F$31,4,IF($K13&gt;PARAMETRES!$E$31,3,IF($K13&gt;PARAMETRES!$D$31,2,1)))),IF($K13&gt;PARAMETRES!$G$32,5,IF($K13&gt;PARAMETRES!$F$32,4,IF($K13&gt;PARAMETRES!$E$32,3,IF($K13&gt;PARAMETRES!$D$32,2,1))))))</f>
        <v/>
      </c>
      <c r="T13" t="str">
        <f>IF($L13="","",IF($L13&gt;PARAMETRES!$G$33,5,IF($L13&gt;PARAMETRES!$F$33,4,IF($L13&gt;PARAMETRES!$E$33,3,IF($L13&gt;PARAMETRES!$D$33,2,1)))))</f>
        <v/>
      </c>
      <c r="U13" t="str">
        <f>IF($M13="","",IF($M13&gt;PARAMETRES!$G$34,5,IF($M13&gt;PARAMETRES!$F$34,4,IF($M13&gt;PARAMETRES!$E$34,3,IF($M13&gt;PARAMETRES!$D$34,2,1)))))</f>
        <v/>
      </c>
      <c r="V13" t="str">
        <f>IF($N13="","",IF($N13&gt;PARAMETRES!$G$35,5,IF($N13&gt;PARAMETRES!$F$35,4,IF($N13&gt;PARAMETRES!$E$35,3,IF($N13&gt;PARAMETRES!$D$35,2,1)))))</f>
        <v/>
      </c>
      <c r="W13" t="str">
        <f>IF($O13="","",IF($O13&gt;PARAMETRES!$G$36,5,IF($O13&gt;PARAMETRES!$F$36,4,IF($O13&gt;PARAMETRES!$E$36,3,IF($O13&gt;PARAMETRES!$D$36,2,1)))))</f>
        <v/>
      </c>
      <c r="X13" t="str">
        <f>IF($P13="","",IF($P13&gt;PARAMETRES!$G$37,5,IF($P13&gt;PARAMETRES!$F$37,4,IF($P13&gt;PARAMETRES!$E$37,3,IF($P13&gt;PARAMETRES!$D$37,2,1)))))</f>
        <v/>
      </c>
      <c r="Y13" t="str">
        <f t="shared" si="0"/>
        <v/>
      </c>
      <c r="Z13" t="str">
        <f>IFERROR(VLOOKUP($B13,TABLE_CYCLE,2,0),"")</f>
        <v/>
      </c>
      <c r="AA13" t="str">
        <f t="shared" si="1"/>
        <v/>
      </c>
      <c r="AB13" t="str">
        <f>IF($D13="","",IF(COUNTIF($D$2:$D13,$D13)=1,$D13,""))</f>
        <v/>
      </c>
      <c r="AC13">
        <f t="shared" si="2"/>
        <v>0</v>
      </c>
      <c r="AD13" t="str">
        <f t="shared" si="3"/>
        <v>|0</v>
      </c>
      <c r="AE13" t="str">
        <f t="shared" si="4"/>
        <v/>
      </c>
      <c r="AF13" t="str">
        <f t="shared" si="5"/>
        <v/>
      </c>
      <c r="AG13" t="str">
        <f t="shared" si="6"/>
        <v/>
      </c>
      <c r="AH13" t="str">
        <f t="shared" si="7"/>
        <v/>
      </c>
      <c r="AI13" t="str">
        <f t="shared" si="8"/>
        <v/>
      </c>
      <c r="AJ13" t="str">
        <f t="shared" si="9"/>
        <v/>
      </c>
      <c r="AK13" t="str">
        <f t="shared" si="10"/>
        <v/>
      </c>
      <c r="AL13" t="str">
        <f t="shared" si="11"/>
        <v/>
      </c>
      <c r="AM13" t="str">
        <f t="shared" si="12"/>
        <v/>
      </c>
      <c r="AN13" t="str">
        <f t="shared" si="13"/>
        <v/>
      </c>
      <c r="AO13" t="str">
        <f t="shared" si="14"/>
        <v/>
      </c>
      <c r="AP13">
        <f t="shared" si="15"/>
        <v>1</v>
      </c>
      <c r="AQ13" t="str">
        <f>IF(SAISIE!$F18="","",SAISIE!$Y18)</f>
        <v/>
      </c>
      <c r="AR13" t="str">
        <f>IF(OR(SAISIE!$U$4="",SAISIE!$W$4=""),"",IF(AND($A13=SAISIE!$U$4,$B13=SAISIE!$W$4,$C13="S1"),COUNTIFS($A$2:$A13,SAISIE!$U$4,$B$2:$B13,SAISIE!$W$4,$C$2:$C13,"S1"),""))</f>
        <v/>
      </c>
      <c r="AS13" t="str">
        <f t="shared" si="16"/>
        <v/>
      </c>
      <c r="AT13" t="str">
        <f t="shared" si="17"/>
        <v/>
      </c>
      <c r="AU13" t="str">
        <f t="shared" si="18"/>
        <v/>
      </c>
      <c r="AV13">
        <f>N(AV12)+IF(AND($AB13&lt;&gt;"",OR('PROFIL ELEVE'!$K$4="(Tous)",$AF13='PROFIL ELEVE'!$K$4)),1,0)</f>
        <v>0</v>
      </c>
      <c r="AW13">
        <f>N(AW12)+IF(AND($AB13&lt;&gt;"",OR('SUIVI LONGITUDINAL'!$Q$4="(Tous)",$AF13='SUIVI LONGITUDINAL'!$Q$4)),1,0)</f>
        <v>0</v>
      </c>
      <c r="AX13">
        <f t="shared" si="19"/>
        <v>0</v>
      </c>
      <c r="AY13">
        <f t="shared" si="20"/>
        <v>0</v>
      </c>
      <c r="AZ13">
        <f t="shared" si="21"/>
        <v>0</v>
      </c>
      <c r="BA13" t="str">
        <f t="shared" si="22"/>
        <v/>
      </c>
      <c r="BB13" t="str">
        <f t="shared" si="23"/>
        <v/>
      </c>
    </row>
    <row r="14" spans="1:54" ht="14.25" customHeight="1" x14ac:dyDescent="0.3">
      <c r="A14" t="str">
        <f>IF(SAISIE!$F19="","",SAISIE!$B19)</f>
        <v/>
      </c>
      <c r="B14" t="str">
        <f>IF(SAISIE!$F19="","",SAISIE!$C19)</f>
        <v/>
      </c>
      <c r="C14" t="str">
        <f>IF(SAISIE!$F19="","",SAISIE!$D19)</f>
        <v/>
      </c>
      <c r="D14" t="str">
        <f>IF(SAISIE!$E19="","",SAISIE!$E19)</f>
        <v/>
      </c>
      <c r="E14" t="str">
        <f>IF(SAISIE!$F19="","",SAISIE!$F19)</f>
        <v/>
      </c>
      <c r="F14" t="str">
        <f>IF(SAISIE!$G19="","",SAISIE!$G19)</f>
        <v/>
      </c>
      <c r="G14" t="str">
        <f>IF(SAISIE!$H19="","",SAISIE!$H19)</f>
        <v/>
      </c>
      <c r="H14" t="str">
        <f>IF(SAISIE!$I19="","",SAISIE!$I19)</f>
        <v/>
      </c>
      <c r="I14" t="str">
        <f>IF(SAISIE!$J19="","",SAISIE!$J19)</f>
        <v/>
      </c>
      <c r="J14" t="str">
        <f>IF(SAISIE!$K19="","",SAISIE!$K19)</f>
        <v/>
      </c>
      <c r="K14" t="str">
        <f>IF(SAISIE!$L19="","",SAISIE!$L19)</f>
        <v/>
      </c>
      <c r="L14" t="str">
        <f>IF(SAISIE!$M19="","",SAISIE!$M19)</f>
        <v/>
      </c>
      <c r="M14" t="str">
        <f>IF(SAISIE!$N19="","",SAISIE!$N19)</f>
        <v/>
      </c>
      <c r="N14" t="str">
        <f>IF(SAISIE!$O19="","",SAISIE!$O19)</f>
        <v/>
      </c>
      <c r="O14" t="str">
        <f>IF(SAISIE!$P19="","",SAISIE!$P19)</f>
        <v/>
      </c>
      <c r="P14" t="str">
        <f>IF(SAISIE!$Q19="","",SAISIE!$Q19)</f>
        <v/>
      </c>
      <c r="Q14" t="str">
        <f>IF($I14="","",IF($I14&gt;PARAMETRES!$G$29,5,IF($I14&gt;PARAMETRES!$F$29,4,IF($I14&gt;PARAMETRES!$E$29,3,IF($I14&gt;PARAMETRES!$D$29,2,1)))))</f>
        <v/>
      </c>
      <c r="R14" t="str">
        <f>IF($J14="","",IF($J14&gt;PARAMETRES!$G$30,5,IF($J14&gt;PARAMETRES!$F$30,4,IF($J14&gt;PARAMETRES!$E$30,3,IF($J14&gt;PARAMETRES!$D$30,2,1)))))</f>
        <v/>
      </c>
      <c r="S14" t="str">
        <f>IF($K14="","",IF($Z14=2,IF($K14&gt;PARAMETRES!$G$31,5,IF($K14&gt;PARAMETRES!$F$31,4,IF($K14&gt;PARAMETRES!$E$31,3,IF($K14&gt;PARAMETRES!$D$31,2,1)))),IF($K14&gt;PARAMETRES!$G$32,5,IF($K14&gt;PARAMETRES!$F$32,4,IF($K14&gt;PARAMETRES!$E$32,3,IF($K14&gt;PARAMETRES!$D$32,2,1))))))</f>
        <v/>
      </c>
      <c r="T14" t="str">
        <f>IF($L14="","",IF($L14&gt;PARAMETRES!$G$33,5,IF($L14&gt;PARAMETRES!$F$33,4,IF($L14&gt;PARAMETRES!$E$33,3,IF($L14&gt;PARAMETRES!$D$33,2,1)))))</f>
        <v/>
      </c>
      <c r="U14" t="str">
        <f>IF($M14="","",IF($M14&gt;PARAMETRES!$G$34,5,IF($M14&gt;PARAMETRES!$F$34,4,IF($M14&gt;PARAMETRES!$E$34,3,IF($M14&gt;PARAMETRES!$D$34,2,1)))))</f>
        <v/>
      </c>
      <c r="V14" t="str">
        <f>IF($N14="","",IF($N14&gt;PARAMETRES!$G$35,5,IF($N14&gt;PARAMETRES!$F$35,4,IF($N14&gt;PARAMETRES!$E$35,3,IF($N14&gt;PARAMETRES!$D$35,2,1)))))</f>
        <v/>
      </c>
      <c r="W14" t="str">
        <f>IF($O14="","",IF($O14&gt;PARAMETRES!$G$36,5,IF($O14&gt;PARAMETRES!$F$36,4,IF($O14&gt;PARAMETRES!$E$36,3,IF($O14&gt;PARAMETRES!$D$36,2,1)))))</f>
        <v/>
      </c>
      <c r="X14" t="str">
        <f>IF($P14="","",IF($P14&gt;PARAMETRES!$G$37,5,IF($P14&gt;PARAMETRES!$F$37,4,IF($P14&gt;PARAMETRES!$E$37,3,IF($P14&gt;PARAMETRES!$D$37,2,1)))))</f>
        <v/>
      </c>
      <c r="Y14" t="str">
        <f t="shared" si="0"/>
        <v/>
      </c>
      <c r="Z14" t="str">
        <f>IFERROR(VLOOKUP($B14,TABLE_CYCLE,2,0),"")</f>
        <v/>
      </c>
      <c r="AA14" t="str">
        <f t="shared" si="1"/>
        <v/>
      </c>
      <c r="AB14" t="str">
        <f>IF($D14="","",IF(COUNTIF($D$2:$D14,$D14)=1,$D14,""))</f>
        <v/>
      </c>
      <c r="AC14">
        <f t="shared" si="2"/>
        <v>0</v>
      </c>
      <c r="AD14" t="str">
        <f t="shared" si="3"/>
        <v>|0</v>
      </c>
      <c r="AE14" t="str">
        <f t="shared" si="4"/>
        <v/>
      </c>
      <c r="AF14" t="str">
        <f t="shared" si="5"/>
        <v/>
      </c>
      <c r="AG14" t="str">
        <f t="shared" si="6"/>
        <v/>
      </c>
      <c r="AH14" t="str">
        <f t="shared" si="7"/>
        <v/>
      </c>
      <c r="AI14" t="str">
        <f t="shared" si="8"/>
        <v/>
      </c>
      <c r="AJ14" t="str">
        <f t="shared" si="9"/>
        <v/>
      </c>
      <c r="AK14" t="str">
        <f t="shared" si="10"/>
        <v/>
      </c>
      <c r="AL14" t="str">
        <f t="shared" si="11"/>
        <v/>
      </c>
      <c r="AM14" t="str">
        <f t="shared" si="12"/>
        <v/>
      </c>
      <c r="AN14" t="str">
        <f t="shared" si="13"/>
        <v/>
      </c>
      <c r="AO14" t="str">
        <f t="shared" si="14"/>
        <v/>
      </c>
      <c r="AP14">
        <f t="shared" si="15"/>
        <v>1</v>
      </c>
      <c r="AQ14" t="str">
        <f>IF(SAISIE!$F19="","",SAISIE!$Y19)</f>
        <v/>
      </c>
      <c r="AR14" t="str">
        <f>IF(OR(SAISIE!$U$4="",SAISIE!$W$4=""),"",IF(AND($A14=SAISIE!$U$4,$B14=SAISIE!$W$4,$C14="S1"),COUNTIFS($A$2:$A14,SAISIE!$U$4,$B$2:$B14,SAISIE!$W$4,$C$2:$C14,"S1"),""))</f>
        <v/>
      </c>
      <c r="AS14" t="str">
        <f t="shared" si="16"/>
        <v/>
      </c>
      <c r="AT14" t="str">
        <f t="shared" si="17"/>
        <v/>
      </c>
      <c r="AU14" t="str">
        <f t="shared" si="18"/>
        <v/>
      </c>
      <c r="AV14">
        <f>N(AV13)+IF(AND($AB14&lt;&gt;"",OR('PROFIL ELEVE'!$K$4="(Tous)",$AF14='PROFIL ELEVE'!$K$4)),1,0)</f>
        <v>0</v>
      </c>
      <c r="AW14">
        <f>N(AW13)+IF(AND($AB14&lt;&gt;"",OR('SUIVI LONGITUDINAL'!$Q$4="(Tous)",$AF14='SUIVI LONGITUDINAL'!$Q$4)),1,0)</f>
        <v>0</v>
      </c>
      <c r="AX14">
        <f t="shared" si="19"/>
        <v>0</v>
      </c>
      <c r="AY14">
        <f t="shared" si="20"/>
        <v>0</v>
      </c>
      <c r="AZ14">
        <f t="shared" si="21"/>
        <v>0</v>
      </c>
      <c r="BA14" t="str">
        <f t="shared" si="22"/>
        <v/>
      </c>
      <c r="BB14" t="str">
        <f t="shared" si="23"/>
        <v/>
      </c>
    </row>
    <row r="15" spans="1:54" ht="14.25" customHeight="1" x14ac:dyDescent="0.3">
      <c r="A15" t="str">
        <f>IF(SAISIE!$F20="","",SAISIE!$B20)</f>
        <v/>
      </c>
      <c r="B15" t="str">
        <f>IF(SAISIE!$F20="","",SAISIE!$C20)</f>
        <v/>
      </c>
      <c r="C15" t="str">
        <f>IF(SAISIE!$F20="","",SAISIE!$D20)</f>
        <v/>
      </c>
      <c r="D15" t="str">
        <f>IF(SAISIE!$E20="","",SAISIE!$E20)</f>
        <v/>
      </c>
      <c r="E15" t="str">
        <f>IF(SAISIE!$F20="","",SAISIE!$F20)</f>
        <v/>
      </c>
      <c r="F15" t="str">
        <f>IF(SAISIE!$G20="","",SAISIE!$G20)</f>
        <v/>
      </c>
      <c r="G15" t="str">
        <f>IF(SAISIE!$H20="","",SAISIE!$H20)</f>
        <v/>
      </c>
      <c r="H15" t="str">
        <f>IF(SAISIE!$I20="","",SAISIE!$I20)</f>
        <v/>
      </c>
      <c r="I15" t="str">
        <f>IF(SAISIE!$J20="","",SAISIE!$J20)</f>
        <v/>
      </c>
      <c r="J15" t="str">
        <f>IF(SAISIE!$K20="","",SAISIE!$K20)</f>
        <v/>
      </c>
      <c r="K15" t="str">
        <f>IF(SAISIE!$L20="","",SAISIE!$L20)</f>
        <v/>
      </c>
      <c r="L15" t="str">
        <f>IF(SAISIE!$M20="","",SAISIE!$M20)</f>
        <v/>
      </c>
      <c r="M15" t="str">
        <f>IF(SAISIE!$N20="","",SAISIE!$N20)</f>
        <v/>
      </c>
      <c r="N15" t="str">
        <f>IF(SAISIE!$O20="","",SAISIE!$O20)</f>
        <v/>
      </c>
      <c r="O15" t="str">
        <f>IF(SAISIE!$P20="","",SAISIE!$P20)</f>
        <v/>
      </c>
      <c r="P15" t="str">
        <f>IF(SAISIE!$Q20="","",SAISIE!$Q20)</f>
        <v/>
      </c>
      <c r="Q15" t="str">
        <f>IF($I15="","",IF($I15&gt;PARAMETRES!$G$29,5,IF($I15&gt;PARAMETRES!$F$29,4,IF($I15&gt;PARAMETRES!$E$29,3,IF($I15&gt;PARAMETRES!$D$29,2,1)))))</f>
        <v/>
      </c>
      <c r="R15" t="str">
        <f>IF($J15="","",IF($J15&gt;PARAMETRES!$G$30,5,IF($J15&gt;PARAMETRES!$F$30,4,IF($J15&gt;PARAMETRES!$E$30,3,IF($J15&gt;PARAMETRES!$D$30,2,1)))))</f>
        <v/>
      </c>
      <c r="S15" t="str">
        <f>IF($K15="","",IF($Z15=2,IF($K15&gt;PARAMETRES!$G$31,5,IF($K15&gt;PARAMETRES!$F$31,4,IF($K15&gt;PARAMETRES!$E$31,3,IF($K15&gt;PARAMETRES!$D$31,2,1)))),IF($K15&gt;PARAMETRES!$G$32,5,IF($K15&gt;PARAMETRES!$F$32,4,IF($K15&gt;PARAMETRES!$E$32,3,IF($K15&gt;PARAMETRES!$D$32,2,1))))))</f>
        <v/>
      </c>
      <c r="T15" t="str">
        <f>IF($L15="","",IF($L15&gt;PARAMETRES!$G$33,5,IF($L15&gt;PARAMETRES!$F$33,4,IF($L15&gt;PARAMETRES!$E$33,3,IF($L15&gt;PARAMETRES!$D$33,2,1)))))</f>
        <v/>
      </c>
      <c r="U15" t="str">
        <f>IF($M15="","",IF($M15&gt;PARAMETRES!$G$34,5,IF($M15&gt;PARAMETRES!$F$34,4,IF($M15&gt;PARAMETRES!$E$34,3,IF($M15&gt;PARAMETRES!$D$34,2,1)))))</f>
        <v/>
      </c>
      <c r="V15" t="str">
        <f>IF($N15="","",IF($N15&gt;PARAMETRES!$G$35,5,IF($N15&gt;PARAMETRES!$F$35,4,IF($N15&gt;PARAMETRES!$E$35,3,IF($N15&gt;PARAMETRES!$D$35,2,1)))))</f>
        <v/>
      </c>
      <c r="W15" t="str">
        <f>IF($O15="","",IF($O15&gt;PARAMETRES!$G$36,5,IF($O15&gt;PARAMETRES!$F$36,4,IF($O15&gt;PARAMETRES!$E$36,3,IF($O15&gt;PARAMETRES!$D$36,2,1)))))</f>
        <v/>
      </c>
      <c r="X15" t="str">
        <f>IF($P15="","",IF($P15&gt;PARAMETRES!$G$37,5,IF($P15&gt;PARAMETRES!$F$37,4,IF($P15&gt;PARAMETRES!$E$37,3,IF($P15&gt;PARAMETRES!$D$37,2,1)))))</f>
        <v/>
      </c>
      <c r="Y15" t="str">
        <f t="shared" si="0"/>
        <v/>
      </c>
      <c r="Z15" t="str">
        <f>IFERROR(VLOOKUP($B15,TABLE_CYCLE,2,0),"")</f>
        <v/>
      </c>
      <c r="AA15" t="str">
        <f t="shared" si="1"/>
        <v/>
      </c>
      <c r="AB15" t="str">
        <f>IF($D15="","",IF(COUNTIF($D$2:$D15,$D15)=1,$D15,""))</f>
        <v/>
      </c>
      <c r="AC15">
        <f t="shared" si="2"/>
        <v>0</v>
      </c>
      <c r="AD15" t="str">
        <f t="shared" si="3"/>
        <v>|0</v>
      </c>
      <c r="AE15" t="str">
        <f t="shared" si="4"/>
        <v/>
      </c>
      <c r="AF15" t="str">
        <f t="shared" si="5"/>
        <v/>
      </c>
      <c r="AG15" t="str">
        <f t="shared" si="6"/>
        <v/>
      </c>
      <c r="AH15" t="str">
        <f t="shared" si="7"/>
        <v/>
      </c>
      <c r="AI15" t="str">
        <f t="shared" si="8"/>
        <v/>
      </c>
      <c r="AJ15" t="str">
        <f t="shared" si="9"/>
        <v/>
      </c>
      <c r="AK15" t="str">
        <f t="shared" si="10"/>
        <v/>
      </c>
      <c r="AL15" t="str">
        <f t="shared" si="11"/>
        <v/>
      </c>
      <c r="AM15" t="str">
        <f t="shared" si="12"/>
        <v/>
      </c>
      <c r="AN15" t="str">
        <f t="shared" si="13"/>
        <v/>
      </c>
      <c r="AO15" t="str">
        <f t="shared" si="14"/>
        <v/>
      </c>
      <c r="AP15">
        <f t="shared" si="15"/>
        <v>1</v>
      </c>
      <c r="AQ15" t="str">
        <f>IF(SAISIE!$F20="","",SAISIE!$Y20)</f>
        <v/>
      </c>
      <c r="AR15" t="str">
        <f>IF(OR(SAISIE!$U$4="",SAISIE!$W$4=""),"",IF(AND($A15=SAISIE!$U$4,$B15=SAISIE!$W$4,$C15="S1"),COUNTIFS($A$2:$A15,SAISIE!$U$4,$B$2:$B15,SAISIE!$W$4,$C$2:$C15,"S1"),""))</f>
        <v/>
      </c>
      <c r="AS15" t="str">
        <f t="shared" si="16"/>
        <v/>
      </c>
      <c r="AT15" t="str">
        <f t="shared" si="17"/>
        <v/>
      </c>
      <c r="AU15" t="str">
        <f t="shared" si="18"/>
        <v/>
      </c>
      <c r="AV15">
        <f>N(AV14)+IF(AND($AB15&lt;&gt;"",OR('PROFIL ELEVE'!$K$4="(Tous)",$AF15='PROFIL ELEVE'!$K$4)),1,0)</f>
        <v>0</v>
      </c>
      <c r="AW15">
        <f>N(AW14)+IF(AND($AB15&lt;&gt;"",OR('SUIVI LONGITUDINAL'!$Q$4="(Tous)",$AF15='SUIVI LONGITUDINAL'!$Q$4)),1,0)</f>
        <v>0</v>
      </c>
      <c r="AX15">
        <f t="shared" si="19"/>
        <v>0</v>
      </c>
      <c r="AY15">
        <f t="shared" si="20"/>
        <v>0</v>
      </c>
      <c r="AZ15">
        <f t="shared" si="21"/>
        <v>0</v>
      </c>
      <c r="BA15" t="str">
        <f t="shared" si="22"/>
        <v/>
      </c>
      <c r="BB15" t="str">
        <f t="shared" si="23"/>
        <v/>
      </c>
    </row>
    <row r="16" spans="1:54" ht="14.25" customHeight="1" x14ac:dyDescent="0.3">
      <c r="A16" t="str">
        <f>IF(SAISIE!$F21="","",SAISIE!$B21)</f>
        <v/>
      </c>
      <c r="B16" t="str">
        <f>IF(SAISIE!$F21="","",SAISIE!$C21)</f>
        <v/>
      </c>
      <c r="C16" t="str">
        <f>IF(SAISIE!$F21="","",SAISIE!$D21)</f>
        <v/>
      </c>
      <c r="D16" t="str">
        <f>IF(SAISIE!$E21="","",SAISIE!$E21)</f>
        <v/>
      </c>
      <c r="E16" t="str">
        <f>IF(SAISIE!$F21="","",SAISIE!$F21)</f>
        <v/>
      </c>
      <c r="F16" t="str">
        <f>IF(SAISIE!$G21="","",SAISIE!$G21)</f>
        <v/>
      </c>
      <c r="G16" t="str">
        <f>IF(SAISIE!$H21="","",SAISIE!$H21)</f>
        <v/>
      </c>
      <c r="H16" t="str">
        <f>IF(SAISIE!$I21="","",SAISIE!$I21)</f>
        <v/>
      </c>
      <c r="I16" t="str">
        <f>IF(SAISIE!$J21="","",SAISIE!$J21)</f>
        <v/>
      </c>
      <c r="J16" t="str">
        <f>IF(SAISIE!$K21="","",SAISIE!$K21)</f>
        <v/>
      </c>
      <c r="K16" t="str">
        <f>IF(SAISIE!$L21="","",SAISIE!$L21)</f>
        <v/>
      </c>
      <c r="L16" t="str">
        <f>IF(SAISIE!$M21="","",SAISIE!$M21)</f>
        <v/>
      </c>
      <c r="M16" t="str">
        <f>IF(SAISIE!$N21="","",SAISIE!$N21)</f>
        <v/>
      </c>
      <c r="N16" t="str">
        <f>IF(SAISIE!$O21="","",SAISIE!$O21)</f>
        <v/>
      </c>
      <c r="O16" t="str">
        <f>IF(SAISIE!$P21="","",SAISIE!$P21)</f>
        <v/>
      </c>
      <c r="P16" t="str">
        <f>IF(SAISIE!$Q21="","",SAISIE!$Q21)</f>
        <v/>
      </c>
      <c r="Q16" t="str">
        <f>IF($I16="","",IF($I16&gt;PARAMETRES!$G$29,5,IF($I16&gt;PARAMETRES!$F$29,4,IF($I16&gt;PARAMETRES!$E$29,3,IF($I16&gt;PARAMETRES!$D$29,2,1)))))</f>
        <v/>
      </c>
      <c r="R16" t="str">
        <f>IF($J16="","",IF($J16&gt;PARAMETRES!$G$30,5,IF($J16&gt;PARAMETRES!$F$30,4,IF($J16&gt;PARAMETRES!$E$30,3,IF($J16&gt;PARAMETRES!$D$30,2,1)))))</f>
        <v/>
      </c>
      <c r="S16" t="str">
        <f>IF($K16="","",IF($Z16=2,IF($K16&gt;PARAMETRES!$G$31,5,IF($K16&gt;PARAMETRES!$F$31,4,IF($K16&gt;PARAMETRES!$E$31,3,IF($K16&gt;PARAMETRES!$D$31,2,1)))),IF($K16&gt;PARAMETRES!$G$32,5,IF($K16&gt;PARAMETRES!$F$32,4,IF($K16&gt;PARAMETRES!$E$32,3,IF($K16&gt;PARAMETRES!$D$32,2,1))))))</f>
        <v/>
      </c>
      <c r="T16" t="str">
        <f>IF($L16="","",IF($L16&gt;PARAMETRES!$G$33,5,IF($L16&gt;PARAMETRES!$F$33,4,IF($L16&gt;PARAMETRES!$E$33,3,IF($L16&gt;PARAMETRES!$D$33,2,1)))))</f>
        <v/>
      </c>
      <c r="U16" t="str">
        <f>IF($M16="","",IF($M16&gt;PARAMETRES!$G$34,5,IF($M16&gt;PARAMETRES!$F$34,4,IF($M16&gt;PARAMETRES!$E$34,3,IF($M16&gt;PARAMETRES!$D$34,2,1)))))</f>
        <v/>
      </c>
      <c r="V16" t="str">
        <f>IF($N16="","",IF($N16&gt;PARAMETRES!$G$35,5,IF($N16&gt;PARAMETRES!$F$35,4,IF($N16&gt;PARAMETRES!$E$35,3,IF($N16&gt;PARAMETRES!$D$35,2,1)))))</f>
        <v/>
      </c>
      <c r="W16" t="str">
        <f>IF($O16="","",IF($O16&gt;PARAMETRES!$G$36,5,IF($O16&gt;PARAMETRES!$F$36,4,IF($O16&gt;PARAMETRES!$E$36,3,IF($O16&gt;PARAMETRES!$D$36,2,1)))))</f>
        <v/>
      </c>
      <c r="X16" t="str">
        <f>IF($P16="","",IF($P16&gt;PARAMETRES!$G$37,5,IF($P16&gt;PARAMETRES!$F$37,4,IF($P16&gt;PARAMETRES!$E$37,3,IF($P16&gt;PARAMETRES!$D$37,2,1)))))</f>
        <v/>
      </c>
      <c r="Y16" t="str">
        <f t="shared" si="0"/>
        <v/>
      </c>
      <c r="Z16" t="str">
        <f>IFERROR(VLOOKUP($B16,TABLE_CYCLE,2,0),"")</f>
        <v/>
      </c>
      <c r="AA16" t="str">
        <f t="shared" si="1"/>
        <v/>
      </c>
      <c r="AB16" t="str">
        <f>IF($D16="","",IF(COUNTIF($D$2:$D16,$D16)=1,$D16,""))</f>
        <v/>
      </c>
      <c r="AC16">
        <f t="shared" si="2"/>
        <v>0</v>
      </c>
      <c r="AD16" t="str">
        <f t="shared" si="3"/>
        <v>|0</v>
      </c>
      <c r="AE16" t="str">
        <f t="shared" si="4"/>
        <v/>
      </c>
      <c r="AF16" t="str">
        <f t="shared" si="5"/>
        <v/>
      </c>
      <c r="AG16" t="str">
        <f t="shared" si="6"/>
        <v/>
      </c>
      <c r="AH16" t="str">
        <f t="shared" si="7"/>
        <v/>
      </c>
      <c r="AI16" t="str">
        <f t="shared" si="8"/>
        <v/>
      </c>
      <c r="AJ16" t="str">
        <f t="shared" si="9"/>
        <v/>
      </c>
      <c r="AK16" t="str">
        <f t="shared" si="10"/>
        <v/>
      </c>
      <c r="AL16" t="str">
        <f t="shared" si="11"/>
        <v/>
      </c>
      <c r="AM16" t="str">
        <f t="shared" si="12"/>
        <v/>
      </c>
      <c r="AN16" t="str">
        <f t="shared" si="13"/>
        <v/>
      </c>
      <c r="AO16" t="str">
        <f t="shared" si="14"/>
        <v/>
      </c>
      <c r="AP16">
        <f t="shared" si="15"/>
        <v>1</v>
      </c>
      <c r="AQ16" t="str">
        <f>IF(SAISIE!$F21="","",SAISIE!$Y21)</f>
        <v/>
      </c>
      <c r="AR16" t="str">
        <f>IF(OR(SAISIE!$U$4="",SAISIE!$W$4=""),"",IF(AND($A16=SAISIE!$U$4,$B16=SAISIE!$W$4,$C16="S1"),COUNTIFS($A$2:$A16,SAISIE!$U$4,$B$2:$B16,SAISIE!$W$4,$C$2:$C16,"S1"),""))</f>
        <v/>
      </c>
      <c r="AS16" t="str">
        <f t="shared" si="16"/>
        <v/>
      </c>
      <c r="AT16" t="str">
        <f t="shared" si="17"/>
        <v/>
      </c>
      <c r="AU16" t="str">
        <f t="shared" si="18"/>
        <v/>
      </c>
      <c r="AV16">
        <f>N(AV15)+IF(AND($AB16&lt;&gt;"",OR('PROFIL ELEVE'!$K$4="(Tous)",$AF16='PROFIL ELEVE'!$K$4)),1,0)</f>
        <v>0</v>
      </c>
      <c r="AW16">
        <f>N(AW15)+IF(AND($AB16&lt;&gt;"",OR('SUIVI LONGITUDINAL'!$Q$4="(Tous)",$AF16='SUIVI LONGITUDINAL'!$Q$4)),1,0)</f>
        <v>0</v>
      </c>
      <c r="AX16">
        <f t="shared" si="19"/>
        <v>0</v>
      </c>
      <c r="AY16">
        <f t="shared" si="20"/>
        <v>0</v>
      </c>
      <c r="AZ16">
        <f t="shared" si="21"/>
        <v>0</v>
      </c>
      <c r="BA16" t="str">
        <f t="shared" si="22"/>
        <v/>
      </c>
      <c r="BB16" t="str">
        <f t="shared" si="23"/>
        <v/>
      </c>
    </row>
    <row r="17" spans="1:54" ht="14.25" customHeight="1" x14ac:dyDescent="0.3">
      <c r="A17" t="str">
        <f>IF(SAISIE!$F22="","",SAISIE!$B22)</f>
        <v/>
      </c>
      <c r="B17" t="str">
        <f>IF(SAISIE!$F22="","",SAISIE!$C22)</f>
        <v/>
      </c>
      <c r="C17" t="str">
        <f>IF(SAISIE!$F22="","",SAISIE!$D22)</f>
        <v/>
      </c>
      <c r="D17" t="str">
        <f>IF(SAISIE!$E22="","",SAISIE!$E22)</f>
        <v/>
      </c>
      <c r="E17" t="str">
        <f>IF(SAISIE!$F22="","",SAISIE!$F22)</f>
        <v/>
      </c>
      <c r="F17" t="str">
        <f>IF(SAISIE!$G22="","",SAISIE!$G22)</f>
        <v/>
      </c>
      <c r="G17" t="str">
        <f>IF(SAISIE!$H22="","",SAISIE!$H22)</f>
        <v/>
      </c>
      <c r="H17" t="str">
        <f>IF(SAISIE!$I22="","",SAISIE!$I22)</f>
        <v/>
      </c>
      <c r="I17" t="str">
        <f>IF(SAISIE!$J22="","",SAISIE!$J22)</f>
        <v/>
      </c>
      <c r="J17" t="str">
        <f>IF(SAISIE!$K22="","",SAISIE!$K22)</f>
        <v/>
      </c>
      <c r="K17" t="str">
        <f>IF(SAISIE!$L22="","",SAISIE!$L22)</f>
        <v/>
      </c>
      <c r="L17" t="str">
        <f>IF(SAISIE!$M22="","",SAISIE!$M22)</f>
        <v/>
      </c>
      <c r="M17" t="str">
        <f>IF(SAISIE!$N22="","",SAISIE!$N22)</f>
        <v/>
      </c>
      <c r="N17" t="str">
        <f>IF(SAISIE!$O22="","",SAISIE!$O22)</f>
        <v/>
      </c>
      <c r="O17" t="str">
        <f>IF(SAISIE!$P22="","",SAISIE!$P22)</f>
        <v/>
      </c>
      <c r="P17" t="str">
        <f>IF(SAISIE!$Q22="","",SAISIE!$Q22)</f>
        <v/>
      </c>
      <c r="Q17" t="str">
        <f>IF($I17="","",IF($I17&gt;PARAMETRES!$G$29,5,IF($I17&gt;PARAMETRES!$F$29,4,IF($I17&gt;PARAMETRES!$E$29,3,IF($I17&gt;PARAMETRES!$D$29,2,1)))))</f>
        <v/>
      </c>
      <c r="R17" t="str">
        <f>IF($J17="","",IF($J17&gt;PARAMETRES!$G$30,5,IF($J17&gt;PARAMETRES!$F$30,4,IF($J17&gt;PARAMETRES!$E$30,3,IF($J17&gt;PARAMETRES!$D$30,2,1)))))</f>
        <v/>
      </c>
      <c r="S17" t="str">
        <f>IF($K17="","",IF($Z17=2,IF($K17&gt;PARAMETRES!$G$31,5,IF($K17&gt;PARAMETRES!$F$31,4,IF($K17&gt;PARAMETRES!$E$31,3,IF($K17&gt;PARAMETRES!$D$31,2,1)))),IF($K17&gt;PARAMETRES!$G$32,5,IF($K17&gt;PARAMETRES!$F$32,4,IF($K17&gt;PARAMETRES!$E$32,3,IF($K17&gt;PARAMETRES!$D$32,2,1))))))</f>
        <v/>
      </c>
      <c r="T17" t="str">
        <f>IF($L17="","",IF($L17&gt;PARAMETRES!$G$33,5,IF($L17&gt;PARAMETRES!$F$33,4,IF($L17&gt;PARAMETRES!$E$33,3,IF($L17&gt;PARAMETRES!$D$33,2,1)))))</f>
        <v/>
      </c>
      <c r="U17" t="str">
        <f>IF($M17="","",IF($M17&gt;PARAMETRES!$G$34,5,IF($M17&gt;PARAMETRES!$F$34,4,IF($M17&gt;PARAMETRES!$E$34,3,IF($M17&gt;PARAMETRES!$D$34,2,1)))))</f>
        <v/>
      </c>
      <c r="V17" t="str">
        <f>IF($N17="","",IF($N17&gt;PARAMETRES!$G$35,5,IF($N17&gt;PARAMETRES!$F$35,4,IF($N17&gt;PARAMETRES!$E$35,3,IF($N17&gt;PARAMETRES!$D$35,2,1)))))</f>
        <v/>
      </c>
      <c r="W17" t="str">
        <f>IF($O17="","",IF($O17&gt;PARAMETRES!$G$36,5,IF($O17&gt;PARAMETRES!$F$36,4,IF($O17&gt;PARAMETRES!$E$36,3,IF($O17&gt;PARAMETRES!$D$36,2,1)))))</f>
        <v/>
      </c>
      <c r="X17" t="str">
        <f>IF($P17="","",IF($P17&gt;PARAMETRES!$G$37,5,IF($P17&gt;PARAMETRES!$F$37,4,IF($P17&gt;PARAMETRES!$E$37,3,IF($P17&gt;PARAMETRES!$D$37,2,1)))))</f>
        <v/>
      </c>
      <c r="Y17" t="str">
        <f t="shared" si="0"/>
        <v/>
      </c>
      <c r="Z17" t="str">
        <f>IFERROR(VLOOKUP($B17,TABLE_CYCLE,2,0),"")</f>
        <v/>
      </c>
      <c r="AA17" t="str">
        <f t="shared" si="1"/>
        <v/>
      </c>
      <c r="AB17" t="str">
        <f>IF($D17="","",IF(COUNTIF($D$2:$D17,$D17)=1,$D17,""))</f>
        <v/>
      </c>
      <c r="AC17">
        <f t="shared" si="2"/>
        <v>0</v>
      </c>
      <c r="AD17" t="str">
        <f t="shared" si="3"/>
        <v>|0</v>
      </c>
      <c r="AE17" t="str">
        <f t="shared" si="4"/>
        <v/>
      </c>
      <c r="AF17" t="str">
        <f t="shared" si="5"/>
        <v/>
      </c>
      <c r="AG17" t="str">
        <f t="shared" si="6"/>
        <v/>
      </c>
      <c r="AH17" t="str">
        <f t="shared" si="7"/>
        <v/>
      </c>
      <c r="AI17" t="str">
        <f t="shared" si="8"/>
        <v/>
      </c>
      <c r="AJ17" t="str">
        <f t="shared" si="9"/>
        <v/>
      </c>
      <c r="AK17" t="str">
        <f t="shared" si="10"/>
        <v/>
      </c>
      <c r="AL17" t="str">
        <f t="shared" si="11"/>
        <v/>
      </c>
      <c r="AM17" t="str">
        <f t="shared" si="12"/>
        <v/>
      </c>
      <c r="AN17" t="str">
        <f t="shared" si="13"/>
        <v/>
      </c>
      <c r="AO17" t="str">
        <f t="shared" si="14"/>
        <v/>
      </c>
      <c r="AP17">
        <f t="shared" si="15"/>
        <v>1</v>
      </c>
      <c r="AQ17" t="str">
        <f>IF(SAISIE!$F22="","",SAISIE!$Y22)</f>
        <v/>
      </c>
      <c r="AR17" t="str">
        <f>IF(OR(SAISIE!$U$4="",SAISIE!$W$4=""),"",IF(AND($A17=SAISIE!$U$4,$B17=SAISIE!$W$4,$C17="S1"),COUNTIFS($A$2:$A17,SAISIE!$U$4,$B$2:$B17,SAISIE!$W$4,$C$2:$C17,"S1"),""))</f>
        <v/>
      </c>
      <c r="AS17" t="str">
        <f t="shared" si="16"/>
        <v/>
      </c>
      <c r="AT17" t="str">
        <f t="shared" si="17"/>
        <v/>
      </c>
      <c r="AU17" t="str">
        <f t="shared" si="18"/>
        <v/>
      </c>
      <c r="AV17">
        <f>N(AV16)+IF(AND($AB17&lt;&gt;"",OR('PROFIL ELEVE'!$K$4="(Tous)",$AF17='PROFIL ELEVE'!$K$4)),1,0)</f>
        <v>0</v>
      </c>
      <c r="AW17">
        <f>N(AW16)+IF(AND($AB17&lt;&gt;"",OR('SUIVI LONGITUDINAL'!$Q$4="(Tous)",$AF17='SUIVI LONGITUDINAL'!$Q$4)),1,0)</f>
        <v>0</v>
      </c>
      <c r="AX17">
        <f t="shared" si="19"/>
        <v>0</v>
      </c>
      <c r="AY17">
        <f t="shared" si="20"/>
        <v>0</v>
      </c>
      <c r="AZ17">
        <f t="shared" si="21"/>
        <v>0</v>
      </c>
      <c r="BA17" t="str">
        <f t="shared" si="22"/>
        <v/>
      </c>
      <c r="BB17" t="str">
        <f t="shared" si="23"/>
        <v/>
      </c>
    </row>
    <row r="18" spans="1:54" ht="14.25" customHeight="1" x14ac:dyDescent="0.3">
      <c r="A18" t="str">
        <f>IF(SAISIE!$F23="","",SAISIE!$B23)</f>
        <v/>
      </c>
      <c r="B18" t="str">
        <f>IF(SAISIE!$F23="","",SAISIE!$C23)</f>
        <v/>
      </c>
      <c r="C18" t="str">
        <f>IF(SAISIE!$F23="","",SAISIE!$D23)</f>
        <v/>
      </c>
      <c r="D18" t="str">
        <f>IF(SAISIE!$E23="","",SAISIE!$E23)</f>
        <v/>
      </c>
      <c r="E18" t="str">
        <f>IF(SAISIE!$F23="","",SAISIE!$F23)</f>
        <v/>
      </c>
      <c r="F18" t="str">
        <f>IF(SAISIE!$G23="","",SAISIE!$G23)</f>
        <v/>
      </c>
      <c r="G18" t="str">
        <f>IF(SAISIE!$H23="","",SAISIE!$H23)</f>
        <v/>
      </c>
      <c r="H18" t="str">
        <f>IF(SAISIE!$I23="","",SAISIE!$I23)</f>
        <v/>
      </c>
      <c r="I18" t="str">
        <f>IF(SAISIE!$J23="","",SAISIE!$J23)</f>
        <v/>
      </c>
      <c r="J18" t="str">
        <f>IF(SAISIE!$K23="","",SAISIE!$K23)</f>
        <v/>
      </c>
      <c r="K18" t="str">
        <f>IF(SAISIE!$L23="","",SAISIE!$L23)</f>
        <v/>
      </c>
      <c r="L18" t="str">
        <f>IF(SAISIE!$M23="","",SAISIE!$M23)</f>
        <v/>
      </c>
      <c r="M18" t="str">
        <f>IF(SAISIE!$N23="","",SAISIE!$N23)</f>
        <v/>
      </c>
      <c r="N18" t="str">
        <f>IF(SAISIE!$O23="","",SAISIE!$O23)</f>
        <v/>
      </c>
      <c r="O18" t="str">
        <f>IF(SAISIE!$P23="","",SAISIE!$P23)</f>
        <v/>
      </c>
      <c r="P18" t="str">
        <f>IF(SAISIE!$Q23="","",SAISIE!$Q23)</f>
        <v/>
      </c>
      <c r="Q18" t="str">
        <f>IF($I18="","",IF($I18&gt;PARAMETRES!$G$29,5,IF($I18&gt;PARAMETRES!$F$29,4,IF($I18&gt;PARAMETRES!$E$29,3,IF($I18&gt;PARAMETRES!$D$29,2,1)))))</f>
        <v/>
      </c>
      <c r="R18" t="str">
        <f>IF($J18="","",IF($J18&gt;PARAMETRES!$G$30,5,IF($J18&gt;PARAMETRES!$F$30,4,IF($J18&gt;PARAMETRES!$E$30,3,IF($J18&gt;PARAMETRES!$D$30,2,1)))))</f>
        <v/>
      </c>
      <c r="S18" t="str">
        <f>IF($K18="","",IF($Z18=2,IF($K18&gt;PARAMETRES!$G$31,5,IF($K18&gt;PARAMETRES!$F$31,4,IF($K18&gt;PARAMETRES!$E$31,3,IF($K18&gt;PARAMETRES!$D$31,2,1)))),IF($K18&gt;PARAMETRES!$G$32,5,IF($K18&gt;PARAMETRES!$F$32,4,IF($K18&gt;PARAMETRES!$E$32,3,IF($K18&gt;PARAMETRES!$D$32,2,1))))))</f>
        <v/>
      </c>
      <c r="T18" t="str">
        <f>IF($L18="","",IF($L18&gt;PARAMETRES!$G$33,5,IF($L18&gt;PARAMETRES!$F$33,4,IF($L18&gt;PARAMETRES!$E$33,3,IF($L18&gt;PARAMETRES!$D$33,2,1)))))</f>
        <v/>
      </c>
      <c r="U18" t="str">
        <f>IF($M18="","",IF($M18&gt;PARAMETRES!$G$34,5,IF($M18&gt;PARAMETRES!$F$34,4,IF($M18&gt;PARAMETRES!$E$34,3,IF($M18&gt;PARAMETRES!$D$34,2,1)))))</f>
        <v/>
      </c>
      <c r="V18" t="str">
        <f>IF($N18="","",IF($N18&gt;PARAMETRES!$G$35,5,IF($N18&gt;PARAMETRES!$F$35,4,IF($N18&gt;PARAMETRES!$E$35,3,IF($N18&gt;PARAMETRES!$D$35,2,1)))))</f>
        <v/>
      </c>
      <c r="W18" t="str">
        <f>IF($O18="","",IF($O18&gt;PARAMETRES!$G$36,5,IF($O18&gt;PARAMETRES!$F$36,4,IF($O18&gt;PARAMETRES!$E$36,3,IF($O18&gt;PARAMETRES!$D$36,2,1)))))</f>
        <v/>
      </c>
      <c r="X18" t="str">
        <f>IF($P18="","",IF($P18&gt;PARAMETRES!$G$37,5,IF($P18&gt;PARAMETRES!$F$37,4,IF($P18&gt;PARAMETRES!$E$37,3,IF($P18&gt;PARAMETRES!$D$37,2,1)))))</f>
        <v/>
      </c>
      <c r="Y18" t="str">
        <f t="shared" si="0"/>
        <v/>
      </c>
      <c r="Z18" t="str">
        <f>IFERROR(VLOOKUP($B18,TABLE_CYCLE,2,0),"")</f>
        <v/>
      </c>
      <c r="AA18" t="str">
        <f t="shared" si="1"/>
        <v/>
      </c>
      <c r="AB18" t="str">
        <f>IF($D18="","",IF(COUNTIF($D$2:$D18,$D18)=1,$D18,""))</f>
        <v/>
      </c>
      <c r="AC18">
        <f t="shared" si="2"/>
        <v>0</v>
      </c>
      <c r="AD18" t="str">
        <f t="shared" si="3"/>
        <v>|0</v>
      </c>
      <c r="AE18" t="str">
        <f t="shared" si="4"/>
        <v/>
      </c>
      <c r="AF18" t="str">
        <f t="shared" si="5"/>
        <v/>
      </c>
      <c r="AG18" t="str">
        <f t="shared" si="6"/>
        <v/>
      </c>
      <c r="AH18" t="str">
        <f t="shared" si="7"/>
        <v/>
      </c>
      <c r="AI18" t="str">
        <f t="shared" si="8"/>
        <v/>
      </c>
      <c r="AJ18" t="str">
        <f t="shared" si="9"/>
        <v/>
      </c>
      <c r="AK18" t="str">
        <f t="shared" si="10"/>
        <v/>
      </c>
      <c r="AL18" t="str">
        <f t="shared" si="11"/>
        <v/>
      </c>
      <c r="AM18" t="str">
        <f t="shared" si="12"/>
        <v/>
      </c>
      <c r="AN18" t="str">
        <f t="shared" si="13"/>
        <v/>
      </c>
      <c r="AO18" t="str">
        <f t="shared" si="14"/>
        <v/>
      </c>
      <c r="AP18">
        <f t="shared" si="15"/>
        <v>1</v>
      </c>
      <c r="AQ18" t="str">
        <f>IF(SAISIE!$F23="","",SAISIE!$Y23)</f>
        <v/>
      </c>
      <c r="AR18" t="str">
        <f>IF(OR(SAISIE!$U$4="",SAISIE!$W$4=""),"",IF(AND($A18=SAISIE!$U$4,$B18=SAISIE!$W$4,$C18="S1"),COUNTIFS($A$2:$A18,SAISIE!$U$4,$B$2:$B18,SAISIE!$W$4,$C$2:$C18,"S1"),""))</f>
        <v/>
      </c>
      <c r="AS18" t="str">
        <f t="shared" si="16"/>
        <v/>
      </c>
      <c r="AT18" t="str">
        <f t="shared" si="17"/>
        <v/>
      </c>
      <c r="AU18" t="str">
        <f t="shared" si="18"/>
        <v/>
      </c>
      <c r="AV18">
        <f>N(AV17)+IF(AND($AB18&lt;&gt;"",OR('PROFIL ELEVE'!$K$4="(Tous)",$AF18='PROFIL ELEVE'!$K$4)),1,0)</f>
        <v>0</v>
      </c>
      <c r="AW18">
        <f>N(AW17)+IF(AND($AB18&lt;&gt;"",OR('SUIVI LONGITUDINAL'!$Q$4="(Tous)",$AF18='SUIVI LONGITUDINAL'!$Q$4)),1,0)</f>
        <v>0</v>
      </c>
      <c r="AX18">
        <f t="shared" si="19"/>
        <v>0</v>
      </c>
      <c r="AY18">
        <f t="shared" si="20"/>
        <v>0</v>
      </c>
      <c r="AZ18">
        <f t="shared" si="21"/>
        <v>0</v>
      </c>
      <c r="BA18" t="str">
        <f t="shared" si="22"/>
        <v/>
      </c>
      <c r="BB18" t="str">
        <f t="shared" si="23"/>
        <v/>
      </c>
    </row>
    <row r="19" spans="1:54" ht="14.25" customHeight="1" x14ac:dyDescent="0.3">
      <c r="A19" t="str">
        <f>IF(SAISIE!$F24="","",SAISIE!$B24)</f>
        <v/>
      </c>
      <c r="B19" t="str">
        <f>IF(SAISIE!$F24="","",SAISIE!$C24)</f>
        <v/>
      </c>
      <c r="C19" t="str">
        <f>IF(SAISIE!$F24="","",SAISIE!$D24)</f>
        <v/>
      </c>
      <c r="D19" t="str">
        <f>IF(SAISIE!$E24="","",SAISIE!$E24)</f>
        <v/>
      </c>
      <c r="E19" t="str">
        <f>IF(SAISIE!$F24="","",SAISIE!$F24)</f>
        <v/>
      </c>
      <c r="F19" t="str">
        <f>IF(SAISIE!$G24="","",SAISIE!$G24)</f>
        <v/>
      </c>
      <c r="G19" t="str">
        <f>IF(SAISIE!$H24="","",SAISIE!$H24)</f>
        <v/>
      </c>
      <c r="H19" t="str">
        <f>IF(SAISIE!$I24="","",SAISIE!$I24)</f>
        <v/>
      </c>
      <c r="I19" t="str">
        <f>IF(SAISIE!$J24="","",SAISIE!$J24)</f>
        <v/>
      </c>
      <c r="J19" t="str">
        <f>IF(SAISIE!$K24="","",SAISIE!$K24)</f>
        <v/>
      </c>
      <c r="K19" t="str">
        <f>IF(SAISIE!$L24="","",SAISIE!$L24)</f>
        <v/>
      </c>
      <c r="L19" t="str">
        <f>IF(SAISIE!$M24="","",SAISIE!$M24)</f>
        <v/>
      </c>
      <c r="M19" t="str">
        <f>IF(SAISIE!$N24="","",SAISIE!$N24)</f>
        <v/>
      </c>
      <c r="N19" t="str">
        <f>IF(SAISIE!$O24="","",SAISIE!$O24)</f>
        <v/>
      </c>
      <c r="O19" t="str">
        <f>IF(SAISIE!$P24="","",SAISIE!$P24)</f>
        <v/>
      </c>
      <c r="P19" t="str">
        <f>IF(SAISIE!$Q24="","",SAISIE!$Q24)</f>
        <v/>
      </c>
      <c r="Q19" t="str">
        <f>IF($I19="","",IF($I19&gt;PARAMETRES!$G$29,5,IF($I19&gt;PARAMETRES!$F$29,4,IF($I19&gt;PARAMETRES!$E$29,3,IF($I19&gt;PARAMETRES!$D$29,2,1)))))</f>
        <v/>
      </c>
      <c r="R19" t="str">
        <f>IF($J19="","",IF($J19&gt;PARAMETRES!$G$30,5,IF($J19&gt;PARAMETRES!$F$30,4,IF($J19&gt;PARAMETRES!$E$30,3,IF($J19&gt;PARAMETRES!$D$30,2,1)))))</f>
        <v/>
      </c>
      <c r="S19" t="str">
        <f>IF($K19="","",IF($Z19=2,IF($K19&gt;PARAMETRES!$G$31,5,IF($K19&gt;PARAMETRES!$F$31,4,IF($K19&gt;PARAMETRES!$E$31,3,IF($K19&gt;PARAMETRES!$D$31,2,1)))),IF($K19&gt;PARAMETRES!$G$32,5,IF($K19&gt;PARAMETRES!$F$32,4,IF($K19&gt;PARAMETRES!$E$32,3,IF($K19&gt;PARAMETRES!$D$32,2,1))))))</f>
        <v/>
      </c>
      <c r="T19" t="str">
        <f>IF($L19="","",IF($L19&gt;PARAMETRES!$G$33,5,IF($L19&gt;PARAMETRES!$F$33,4,IF($L19&gt;PARAMETRES!$E$33,3,IF($L19&gt;PARAMETRES!$D$33,2,1)))))</f>
        <v/>
      </c>
      <c r="U19" t="str">
        <f>IF($M19="","",IF($M19&gt;PARAMETRES!$G$34,5,IF($M19&gt;PARAMETRES!$F$34,4,IF($M19&gt;PARAMETRES!$E$34,3,IF($M19&gt;PARAMETRES!$D$34,2,1)))))</f>
        <v/>
      </c>
      <c r="V19" t="str">
        <f>IF($N19="","",IF($N19&gt;PARAMETRES!$G$35,5,IF($N19&gt;PARAMETRES!$F$35,4,IF($N19&gt;PARAMETRES!$E$35,3,IF($N19&gt;PARAMETRES!$D$35,2,1)))))</f>
        <v/>
      </c>
      <c r="W19" t="str">
        <f>IF($O19="","",IF($O19&gt;PARAMETRES!$G$36,5,IF($O19&gt;PARAMETRES!$F$36,4,IF($O19&gt;PARAMETRES!$E$36,3,IF($O19&gt;PARAMETRES!$D$36,2,1)))))</f>
        <v/>
      </c>
      <c r="X19" t="str">
        <f>IF($P19="","",IF($P19&gt;PARAMETRES!$G$37,5,IF($P19&gt;PARAMETRES!$F$37,4,IF($P19&gt;PARAMETRES!$E$37,3,IF($P19&gt;PARAMETRES!$D$37,2,1)))))</f>
        <v/>
      </c>
      <c r="Y19" t="str">
        <f t="shared" si="0"/>
        <v/>
      </c>
      <c r="Z19" t="str">
        <f>IFERROR(VLOOKUP($B19,TABLE_CYCLE,2,0),"")</f>
        <v/>
      </c>
      <c r="AA19" t="str">
        <f t="shared" si="1"/>
        <v/>
      </c>
      <c r="AB19" t="str">
        <f>IF($D19="","",IF(COUNTIF($D$2:$D19,$D19)=1,$D19,""))</f>
        <v/>
      </c>
      <c r="AC19">
        <f t="shared" si="2"/>
        <v>0</v>
      </c>
      <c r="AD19" t="str">
        <f t="shared" si="3"/>
        <v>|0</v>
      </c>
      <c r="AE19" t="str">
        <f t="shared" si="4"/>
        <v/>
      </c>
      <c r="AF19" t="str">
        <f t="shared" si="5"/>
        <v/>
      </c>
      <c r="AG19" t="str">
        <f t="shared" si="6"/>
        <v/>
      </c>
      <c r="AH19" t="str">
        <f t="shared" si="7"/>
        <v/>
      </c>
      <c r="AI19" t="str">
        <f t="shared" si="8"/>
        <v/>
      </c>
      <c r="AJ19" t="str">
        <f t="shared" si="9"/>
        <v/>
      </c>
      <c r="AK19" t="str">
        <f t="shared" si="10"/>
        <v/>
      </c>
      <c r="AL19" t="str">
        <f t="shared" si="11"/>
        <v/>
      </c>
      <c r="AM19" t="str">
        <f t="shared" si="12"/>
        <v/>
      </c>
      <c r="AN19" t="str">
        <f t="shared" si="13"/>
        <v/>
      </c>
      <c r="AO19" t="str">
        <f t="shared" si="14"/>
        <v/>
      </c>
      <c r="AP19">
        <f t="shared" si="15"/>
        <v>1</v>
      </c>
      <c r="AQ19" t="str">
        <f>IF(SAISIE!$F24="","",SAISIE!$Y24)</f>
        <v/>
      </c>
      <c r="AR19" t="str">
        <f>IF(OR(SAISIE!$U$4="",SAISIE!$W$4=""),"",IF(AND($A19=SAISIE!$U$4,$B19=SAISIE!$W$4,$C19="S1"),COUNTIFS($A$2:$A19,SAISIE!$U$4,$B$2:$B19,SAISIE!$W$4,$C$2:$C19,"S1"),""))</f>
        <v/>
      </c>
      <c r="AS19" t="str">
        <f t="shared" si="16"/>
        <v/>
      </c>
      <c r="AT19" t="str">
        <f t="shared" si="17"/>
        <v/>
      </c>
      <c r="AU19" t="str">
        <f t="shared" si="18"/>
        <v/>
      </c>
      <c r="AV19">
        <f>N(AV18)+IF(AND($AB19&lt;&gt;"",OR('PROFIL ELEVE'!$K$4="(Tous)",$AF19='PROFIL ELEVE'!$K$4)),1,0)</f>
        <v>0</v>
      </c>
      <c r="AW19">
        <f>N(AW18)+IF(AND($AB19&lt;&gt;"",OR('SUIVI LONGITUDINAL'!$Q$4="(Tous)",$AF19='SUIVI LONGITUDINAL'!$Q$4)),1,0)</f>
        <v>0</v>
      </c>
      <c r="AX19">
        <f t="shared" si="19"/>
        <v>0</v>
      </c>
      <c r="AY19">
        <f t="shared" si="20"/>
        <v>0</v>
      </c>
      <c r="AZ19">
        <f t="shared" si="21"/>
        <v>0</v>
      </c>
      <c r="BA19" t="str">
        <f t="shared" si="22"/>
        <v/>
      </c>
      <c r="BB19" t="str">
        <f t="shared" si="23"/>
        <v/>
      </c>
    </row>
    <row r="20" spans="1:54" ht="14.25" customHeight="1" x14ac:dyDescent="0.3">
      <c r="A20" t="str">
        <f>IF(SAISIE!$F25="","",SAISIE!$B25)</f>
        <v/>
      </c>
      <c r="B20" t="str">
        <f>IF(SAISIE!$F25="","",SAISIE!$C25)</f>
        <v/>
      </c>
      <c r="C20" t="str">
        <f>IF(SAISIE!$F25="","",SAISIE!$D25)</f>
        <v/>
      </c>
      <c r="D20" t="str">
        <f>IF(SAISIE!$E25="","",SAISIE!$E25)</f>
        <v/>
      </c>
      <c r="E20" t="str">
        <f>IF(SAISIE!$F25="","",SAISIE!$F25)</f>
        <v/>
      </c>
      <c r="F20" t="str">
        <f>IF(SAISIE!$G25="","",SAISIE!$G25)</f>
        <v/>
      </c>
      <c r="G20" t="str">
        <f>IF(SAISIE!$H25="","",SAISIE!$H25)</f>
        <v/>
      </c>
      <c r="H20" t="str">
        <f>IF(SAISIE!$I25="","",SAISIE!$I25)</f>
        <v/>
      </c>
      <c r="I20" t="str">
        <f>IF(SAISIE!$J25="","",SAISIE!$J25)</f>
        <v/>
      </c>
      <c r="J20" t="str">
        <f>IF(SAISIE!$K25="","",SAISIE!$K25)</f>
        <v/>
      </c>
      <c r="K20" t="str">
        <f>IF(SAISIE!$L25="","",SAISIE!$L25)</f>
        <v/>
      </c>
      <c r="L20" t="str">
        <f>IF(SAISIE!$M25="","",SAISIE!$M25)</f>
        <v/>
      </c>
      <c r="M20" t="str">
        <f>IF(SAISIE!$N25="","",SAISIE!$N25)</f>
        <v/>
      </c>
      <c r="N20" t="str">
        <f>IF(SAISIE!$O25="","",SAISIE!$O25)</f>
        <v/>
      </c>
      <c r="O20" t="str">
        <f>IF(SAISIE!$P25="","",SAISIE!$P25)</f>
        <v/>
      </c>
      <c r="P20" t="str">
        <f>IF(SAISIE!$Q25="","",SAISIE!$Q25)</f>
        <v/>
      </c>
      <c r="Q20" t="str">
        <f>IF($I20="","",IF($I20&gt;PARAMETRES!$G$29,5,IF($I20&gt;PARAMETRES!$F$29,4,IF($I20&gt;PARAMETRES!$E$29,3,IF($I20&gt;PARAMETRES!$D$29,2,1)))))</f>
        <v/>
      </c>
      <c r="R20" t="str">
        <f>IF($J20="","",IF($J20&gt;PARAMETRES!$G$30,5,IF($J20&gt;PARAMETRES!$F$30,4,IF($J20&gt;PARAMETRES!$E$30,3,IF($J20&gt;PARAMETRES!$D$30,2,1)))))</f>
        <v/>
      </c>
      <c r="S20" t="str">
        <f>IF($K20="","",IF($Z20=2,IF($K20&gt;PARAMETRES!$G$31,5,IF($K20&gt;PARAMETRES!$F$31,4,IF($K20&gt;PARAMETRES!$E$31,3,IF($K20&gt;PARAMETRES!$D$31,2,1)))),IF($K20&gt;PARAMETRES!$G$32,5,IF($K20&gt;PARAMETRES!$F$32,4,IF($K20&gt;PARAMETRES!$E$32,3,IF($K20&gt;PARAMETRES!$D$32,2,1))))))</f>
        <v/>
      </c>
      <c r="T20" t="str">
        <f>IF($L20="","",IF($L20&gt;PARAMETRES!$G$33,5,IF($L20&gt;PARAMETRES!$F$33,4,IF($L20&gt;PARAMETRES!$E$33,3,IF($L20&gt;PARAMETRES!$D$33,2,1)))))</f>
        <v/>
      </c>
      <c r="U20" t="str">
        <f>IF($M20="","",IF($M20&gt;PARAMETRES!$G$34,5,IF($M20&gt;PARAMETRES!$F$34,4,IF($M20&gt;PARAMETRES!$E$34,3,IF($M20&gt;PARAMETRES!$D$34,2,1)))))</f>
        <v/>
      </c>
      <c r="V20" t="str">
        <f>IF($N20="","",IF($N20&gt;PARAMETRES!$G$35,5,IF($N20&gt;PARAMETRES!$F$35,4,IF($N20&gt;PARAMETRES!$E$35,3,IF($N20&gt;PARAMETRES!$D$35,2,1)))))</f>
        <v/>
      </c>
      <c r="W20" t="str">
        <f>IF($O20="","",IF($O20&gt;PARAMETRES!$G$36,5,IF($O20&gt;PARAMETRES!$F$36,4,IF($O20&gt;PARAMETRES!$E$36,3,IF($O20&gt;PARAMETRES!$D$36,2,1)))))</f>
        <v/>
      </c>
      <c r="X20" t="str">
        <f>IF($P20="","",IF($P20&gt;PARAMETRES!$G$37,5,IF($P20&gt;PARAMETRES!$F$37,4,IF($P20&gt;PARAMETRES!$E$37,3,IF($P20&gt;PARAMETRES!$D$37,2,1)))))</f>
        <v/>
      </c>
      <c r="Y20" t="str">
        <f t="shared" si="0"/>
        <v/>
      </c>
      <c r="Z20" t="str">
        <f>IFERROR(VLOOKUP($B20,TABLE_CYCLE,2,0),"")</f>
        <v/>
      </c>
      <c r="AA20" t="str">
        <f t="shared" si="1"/>
        <v/>
      </c>
      <c r="AB20" t="str">
        <f>IF($D20="","",IF(COUNTIF($D$2:$D20,$D20)=1,$D20,""))</f>
        <v/>
      </c>
      <c r="AC20">
        <f t="shared" si="2"/>
        <v>0</v>
      </c>
      <c r="AD20" t="str">
        <f t="shared" si="3"/>
        <v>|0</v>
      </c>
      <c r="AE20" t="str">
        <f t="shared" si="4"/>
        <v/>
      </c>
      <c r="AF20" t="str">
        <f t="shared" si="5"/>
        <v/>
      </c>
      <c r="AG20" t="str">
        <f t="shared" si="6"/>
        <v/>
      </c>
      <c r="AH20" t="str">
        <f t="shared" si="7"/>
        <v/>
      </c>
      <c r="AI20" t="str">
        <f t="shared" si="8"/>
        <v/>
      </c>
      <c r="AJ20" t="str">
        <f t="shared" si="9"/>
        <v/>
      </c>
      <c r="AK20" t="str">
        <f t="shared" si="10"/>
        <v/>
      </c>
      <c r="AL20" t="str">
        <f t="shared" si="11"/>
        <v/>
      </c>
      <c r="AM20" t="str">
        <f t="shared" si="12"/>
        <v/>
      </c>
      <c r="AN20" t="str">
        <f t="shared" si="13"/>
        <v/>
      </c>
      <c r="AO20" t="str">
        <f t="shared" si="14"/>
        <v/>
      </c>
      <c r="AP20">
        <f t="shared" si="15"/>
        <v>1</v>
      </c>
      <c r="AQ20" t="str">
        <f>IF(SAISIE!$F25="","",SAISIE!$Y25)</f>
        <v/>
      </c>
      <c r="AR20" t="str">
        <f>IF(OR(SAISIE!$U$4="",SAISIE!$W$4=""),"",IF(AND($A20=SAISIE!$U$4,$B20=SAISIE!$W$4,$C20="S1"),COUNTIFS($A$2:$A20,SAISIE!$U$4,$B$2:$B20,SAISIE!$W$4,$C$2:$C20,"S1"),""))</f>
        <v/>
      </c>
      <c r="AS20" t="str">
        <f t="shared" si="16"/>
        <v/>
      </c>
      <c r="AT20" t="str">
        <f t="shared" si="17"/>
        <v/>
      </c>
      <c r="AU20" t="str">
        <f t="shared" si="18"/>
        <v/>
      </c>
      <c r="AV20">
        <f>N(AV19)+IF(AND($AB20&lt;&gt;"",OR('PROFIL ELEVE'!$K$4="(Tous)",$AF20='PROFIL ELEVE'!$K$4)),1,0)</f>
        <v>0</v>
      </c>
      <c r="AW20">
        <f>N(AW19)+IF(AND($AB20&lt;&gt;"",OR('SUIVI LONGITUDINAL'!$Q$4="(Tous)",$AF20='SUIVI LONGITUDINAL'!$Q$4)),1,0)</f>
        <v>0</v>
      </c>
      <c r="AX20">
        <f t="shared" si="19"/>
        <v>0</v>
      </c>
      <c r="AY20">
        <f t="shared" si="20"/>
        <v>0</v>
      </c>
      <c r="AZ20">
        <f t="shared" si="21"/>
        <v>0</v>
      </c>
      <c r="BA20" t="str">
        <f t="shared" si="22"/>
        <v/>
      </c>
      <c r="BB20" t="str">
        <f t="shared" si="23"/>
        <v/>
      </c>
    </row>
    <row r="21" spans="1:54" ht="14.25" customHeight="1" x14ac:dyDescent="0.3">
      <c r="A21" t="str">
        <f>IF(SAISIE!$F26="","",SAISIE!$B26)</f>
        <v/>
      </c>
      <c r="B21" t="str">
        <f>IF(SAISIE!$F26="","",SAISIE!$C26)</f>
        <v/>
      </c>
      <c r="C21" t="str">
        <f>IF(SAISIE!$F26="","",SAISIE!$D26)</f>
        <v/>
      </c>
      <c r="D21" t="str">
        <f>IF(SAISIE!$E26="","",SAISIE!$E26)</f>
        <v/>
      </c>
      <c r="E21" t="str">
        <f>IF(SAISIE!$F26="","",SAISIE!$F26)</f>
        <v/>
      </c>
      <c r="F21" t="str">
        <f>IF(SAISIE!$G26="","",SAISIE!$G26)</f>
        <v/>
      </c>
      <c r="G21" t="str">
        <f>IF(SAISIE!$H26="","",SAISIE!$H26)</f>
        <v/>
      </c>
      <c r="H21" t="str">
        <f>IF(SAISIE!$I26="","",SAISIE!$I26)</f>
        <v/>
      </c>
      <c r="I21" t="str">
        <f>IF(SAISIE!$J26="","",SAISIE!$J26)</f>
        <v/>
      </c>
      <c r="J21" t="str">
        <f>IF(SAISIE!$K26="","",SAISIE!$K26)</f>
        <v/>
      </c>
      <c r="K21" t="str">
        <f>IF(SAISIE!$L26="","",SAISIE!$L26)</f>
        <v/>
      </c>
      <c r="L21" t="str">
        <f>IF(SAISIE!$M26="","",SAISIE!$M26)</f>
        <v/>
      </c>
      <c r="M21" t="str">
        <f>IF(SAISIE!$N26="","",SAISIE!$N26)</f>
        <v/>
      </c>
      <c r="N21" t="str">
        <f>IF(SAISIE!$O26="","",SAISIE!$O26)</f>
        <v/>
      </c>
      <c r="O21" t="str">
        <f>IF(SAISIE!$P26="","",SAISIE!$P26)</f>
        <v/>
      </c>
      <c r="P21" t="str">
        <f>IF(SAISIE!$Q26="","",SAISIE!$Q26)</f>
        <v/>
      </c>
      <c r="Q21" t="str">
        <f>IF($I21="","",IF($I21&gt;PARAMETRES!$G$29,5,IF($I21&gt;PARAMETRES!$F$29,4,IF($I21&gt;PARAMETRES!$E$29,3,IF($I21&gt;PARAMETRES!$D$29,2,1)))))</f>
        <v/>
      </c>
      <c r="R21" t="str">
        <f>IF($J21="","",IF($J21&gt;PARAMETRES!$G$30,5,IF($J21&gt;PARAMETRES!$F$30,4,IF($J21&gt;PARAMETRES!$E$30,3,IF($J21&gt;PARAMETRES!$D$30,2,1)))))</f>
        <v/>
      </c>
      <c r="S21" t="str">
        <f>IF($K21="","",IF($Z21=2,IF($K21&gt;PARAMETRES!$G$31,5,IF($K21&gt;PARAMETRES!$F$31,4,IF($K21&gt;PARAMETRES!$E$31,3,IF($K21&gt;PARAMETRES!$D$31,2,1)))),IF($K21&gt;PARAMETRES!$G$32,5,IF($K21&gt;PARAMETRES!$F$32,4,IF($K21&gt;PARAMETRES!$E$32,3,IF($K21&gt;PARAMETRES!$D$32,2,1))))))</f>
        <v/>
      </c>
      <c r="T21" t="str">
        <f>IF($L21="","",IF($L21&gt;PARAMETRES!$G$33,5,IF($L21&gt;PARAMETRES!$F$33,4,IF($L21&gt;PARAMETRES!$E$33,3,IF($L21&gt;PARAMETRES!$D$33,2,1)))))</f>
        <v/>
      </c>
      <c r="U21" t="str">
        <f>IF($M21="","",IF($M21&gt;PARAMETRES!$G$34,5,IF($M21&gt;PARAMETRES!$F$34,4,IF($M21&gt;PARAMETRES!$E$34,3,IF($M21&gt;PARAMETRES!$D$34,2,1)))))</f>
        <v/>
      </c>
      <c r="V21" t="str">
        <f>IF($N21="","",IF($N21&gt;PARAMETRES!$G$35,5,IF($N21&gt;PARAMETRES!$F$35,4,IF($N21&gt;PARAMETRES!$E$35,3,IF($N21&gt;PARAMETRES!$D$35,2,1)))))</f>
        <v/>
      </c>
      <c r="W21" t="str">
        <f>IF($O21="","",IF($O21&gt;PARAMETRES!$G$36,5,IF($O21&gt;PARAMETRES!$F$36,4,IF($O21&gt;PARAMETRES!$E$36,3,IF($O21&gt;PARAMETRES!$D$36,2,1)))))</f>
        <v/>
      </c>
      <c r="X21" t="str">
        <f>IF($P21="","",IF($P21&gt;PARAMETRES!$G$37,5,IF($P21&gt;PARAMETRES!$F$37,4,IF($P21&gt;PARAMETRES!$E$37,3,IF($P21&gt;PARAMETRES!$D$37,2,1)))))</f>
        <v/>
      </c>
      <c r="Y21" t="str">
        <f t="shared" si="0"/>
        <v/>
      </c>
      <c r="Z21" t="str">
        <f>IFERROR(VLOOKUP($B21,TABLE_CYCLE,2,0),"")</f>
        <v/>
      </c>
      <c r="AA21" t="str">
        <f t="shared" si="1"/>
        <v/>
      </c>
      <c r="AB21" t="str">
        <f>IF($D21="","",IF(COUNTIF($D$2:$D21,$D21)=1,$D21,""))</f>
        <v/>
      </c>
      <c r="AC21">
        <f t="shared" si="2"/>
        <v>0</v>
      </c>
      <c r="AD21" t="str">
        <f t="shared" si="3"/>
        <v>|0</v>
      </c>
      <c r="AE21" t="str">
        <f t="shared" si="4"/>
        <v/>
      </c>
      <c r="AF21" t="str">
        <f t="shared" si="5"/>
        <v/>
      </c>
      <c r="AG21" t="str">
        <f t="shared" si="6"/>
        <v/>
      </c>
      <c r="AH21" t="str">
        <f t="shared" si="7"/>
        <v/>
      </c>
      <c r="AI21" t="str">
        <f t="shared" si="8"/>
        <v/>
      </c>
      <c r="AJ21" t="str">
        <f t="shared" si="9"/>
        <v/>
      </c>
      <c r="AK21" t="str">
        <f t="shared" si="10"/>
        <v/>
      </c>
      <c r="AL21" t="str">
        <f t="shared" si="11"/>
        <v/>
      </c>
      <c r="AM21" t="str">
        <f t="shared" si="12"/>
        <v/>
      </c>
      <c r="AN21" t="str">
        <f t="shared" si="13"/>
        <v/>
      </c>
      <c r="AO21" t="str">
        <f t="shared" si="14"/>
        <v/>
      </c>
      <c r="AP21">
        <f t="shared" si="15"/>
        <v>1</v>
      </c>
      <c r="AQ21" t="str">
        <f>IF(SAISIE!$F26="","",SAISIE!$Y26)</f>
        <v/>
      </c>
      <c r="AR21" t="str">
        <f>IF(OR(SAISIE!$U$4="",SAISIE!$W$4=""),"",IF(AND($A21=SAISIE!$U$4,$B21=SAISIE!$W$4,$C21="S1"),COUNTIFS($A$2:$A21,SAISIE!$U$4,$B$2:$B21,SAISIE!$W$4,$C$2:$C21,"S1"),""))</f>
        <v/>
      </c>
      <c r="AS21" t="str">
        <f t="shared" si="16"/>
        <v/>
      </c>
      <c r="AT21" t="str">
        <f t="shared" si="17"/>
        <v/>
      </c>
      <c r="AU21" t="str">
        <f t="shared" si="18"/>
        <v/>
      </c>
      <c r="AV21">
        <f>N(AV20)+IF(AND($AB21&lt;&gt;"",OR('PROFIL ELEVE'!$K$4="(Tous)",$AF21='PROFIL ELEVE'!$K$4)),1,0)</f>
        <v>0</v>
      </c>
      <c r="AW21">
        <f>N(AW20)+IF(AND($AB21&lt;&gt;"",OR('SUIVI LONGITUDINAL'!$Q$4="(Tous)",$AF21='SUIVI LONGITUDINAL'!$Q$4)),1,0)</f>
        <v>0</v>
      </c>
      <c r="AX21">
        <f t="shared" si="19"/>
        <v>0</v>
      </c>
      <c r="AY21">
        <f t="shared" si="20"/>
        <v>0</v>
      </c>
      <c r="AZ21">
        <f t="shared" si="21"/>
        <v>0</v>
      </c>
      <c r="BA21" t="str">
        <f t="shared" si="22"/>
        <v/>
      </c>
      <c r="BB21" t="str">
        <f t="shared" si="23"/>
        <v/>
      </c>
    </row>
    <row r="22" spans="1:54" ht="14.25" customHeight="1" x14ac:dyDescent="0.3">
      <c r="A22" t="str">
        <f>IF(SAISIE!$F27="","",SAISIE!$B27)</f>
        <v/>
      </c>
      <c r="B22" t="str">
        <f>IF(SAISIE!$F27="","",SAISIE!$C27)</f>
        <v/>
      </c>
      <c r="C22" t="str">
        <f>IF(SAISIE!$F27="","",SAISIE!$D27)</f>
        <v/>
      </c>
      <c r="D22" t="str">
        <f>IF(SAISIE!$E27="","",SAISIE!$E27)</f>
        <v/>
      </c>
      <c r="E22" t="str">
        <f>IF(SAISIE!$F27="","",SAISIE!$F27)</f>
        <v/>
      </c>
      <c r="F22" t="str">
        <f>IF(SAISIE!$G27="","",SAISIE!$G27)</f>
        <v/>
      </c>
      <c r="G22" t="str">
        <f>IF(SAISIE!$H27="","",SAISIE!$H27)</f>
        <v/>
      </c>
      <c r="H22" t="str">
        <f>IF(SAISIE!$I27="","",SAISIE!$I27)</f>
        <v/>
      </c>
      <c r="I22" t="str">
        <f>IF(SAISIE!$J27="","",SAISIE!$J27)</f>
        <v/>
      </c>
      <c r="J22" t="str">
        <f>IF(SAISIE!$K27="","",SAISIE!$K27)</f>
        <v/>
      </c>
      <c r="K22" t="str">
        <f>IF(SAISIE!$L27="","",SAISIE!$L27)</f>
        <v/>
      </c>
      <c r="L22" t="str">
        <f>IF(SAISIE!$M27="","",SAISIE!$M27)</f>
        <v/>
      </c>
      <c r="M22" t="str">
        <f>IF(SAISIE!$N27="","",SAISIE!$N27)</f>
        <v/>
      </c>
      <c r="N22" t="str">
        <f>IF(SAISIE!$O27="","",SAISIE!$O27)</f>
        <v/>
      </c>
      <c r="O22" t="str">
        <f>IF(SAISIE!$P27="","",SAISIE!$P27)</f>
        <v/>
      </c>
      <c r="P22" t="str">
        <f>IF(SAISIE!$Q27="","",SAISIE!$Q27)</f>
        <v/>
      </c>
      <c r="Q22" t="str">
        <f>IF($I22="","",IF($I22&gt;PARAMETRES!$G$29,5,IF($I22&gt;PARAMETRES!$F$29,4,IF($I22&gt;PARAMETRES!$E$29,3,IF($I22&gt;PARAMETRES!$D$29,2,1)))))</f>
        <v/>
      </c>
      <c r="R22" t="str">
        <f>IF($J22="","",IF($J22&gt;PARAMETRES!$G$30,5,IF($J22&gt;PARAMETRES!$F$30,4,IF($J22&gt;PARAMETRES!$E$30,3,IF($J22&gt;PARAMETRES!$D$30,2,1)))))</f>
        <v/>
      </c>
      <c r="S22" t="str">
        <f>IF($K22="","",IF($Z22=2,IF($K22&gt;PARAMETRES!$G$31,5,IF($K22&gt;PARAMETRES!$F$31,4,IF($K22&gt;PARAMETRES!$E$31,3,IF($K22&gt;PARAMETRES!$D$31,2,1)))),IF($K22&gt;PARAMETRES!$G$32,5,IF($K22&gt;PARAMETRES!$F$32,4,IF($K22&gt;PARAMETRES!$E$32,3,IF($K22&gt;PARAMETRES!$D$32,2,1))))))</f>
        <v/>
      </c>
      <c r="T22" t="str">
        <f>IF($L22="","",IF($L22&gt;PARAMETRES!$G$33,5,IF($L22&gt;PARAMETRES!$F$33,4,IF($L22&gt;PARAMETRES!$E$33,3,IF($L22&gt;PARAMETRES!$D$33,2,1)))))</f>
        <v/>
      </c>
      <c r="U22" t="str">
        <f>IF($M22="","",IF($M22&gt;PARAMETRES!$G$34,5,IF($M22&gt;PARAMETRES!$F$34,4,IF($M22&gt;PARAMETRES!$E$34,3,IF($M22&gt;PARAMETRES!$D$34,2,1)))))</f>
        <v/>
      </c>
      <c r="V22" t="str">
        <f>IF($N22="","",IF($N22&gt;PARAMETRES!$G$35,5,IF($N22&gt;PARAMETRES!$F$35,4,IF($N22&gt;PARAMETRES!$E$35,3,IF($N22&gt;PARAMETRES!$D$35,2,1)))))</f>
        <v/>
      </c>
      <c r="W22" t="str">
        <f>IF($O22="","",IF($O22&gt;PARAMETRES!$G$36,5,IF($O22&gt;PARAMETRES!$F$36,4,IF($O22&gt;PARAMETRES!$E$36,3,IF($O22&gt;PARAMETRES!$D$36,2,1)))))</f>
        <v/>
      </c>
      <c r="X22" t="str">
        <f>IF($P22="","",IF($P22&gt;PARAMETRES!$G$37,5,IF($P22&gt;PARAMETRES!$F$37,4,IF($P22&gt;PARAMETRES!$E$37,3,IF($P22&gt;PARAMETRES!$D$37,2,1)))))</f>
        <v/>
      </c>
      <c r="Y22" t="str">
        <f t="shared" si="0"/>
        <v/>
      </c>
      <c r="Z22" t="str">
        <f>IFERROR(VLOOKUP($B22,TABLE_CYCLE,2,0),"")</f>
        <v/>
      </c>
      <c r="AA22" t="str">
        <f t="shared" si="1"/>
        <v/>
      </c>
      <c r="AB22" t="str">
        <f>IF($D22="","",IF(COUNTIF($D$2:$D22,$D22)=1,$D22,""))</f>
        <v/>
      </c>
      <c r="AC22">
        <f t="shared" si="2"/>
        <v>0</v>
      </c>
      <c r="AD22" t="str">
        <f t="shared" si="3"/>
        <v>|0</v>
      </c>
      <c r="AE22" t="str">
        <f t="shared" si="4"/>
        <v/>
      </c>
      <c r="AF22" t="str">
        <f t="shared" si="5"/>
        <v/>
      </c>
      <c r="AG22" t="str">
        <f t="shared" si="6"/>
        <v/>
      </c>
      <c r="AH22" t="str">
        <f t="shared" si="7"/>
        <v/>
      </c>
      <c r="AI22" t="str">
        <f t="shared" si="8"/>
        <v/>
      </c>
      <c r="AJ22" t="str">
        <f t="shared" si="9"/>
        <v/>
      </c>
      <c r="AK22" t="str">
        <f t="shared" si="10"/>
        <v/>
      </c>
      <c r="AL22" t="str">
        <f t="shared" si="11"/>
        <v/>
      </c>
      <c r="AM22" t="str">
        <f t="shared" si="12"/>
        <v/>
      </c>
      <c r="AN22" t="str">
        <f t="shared" si="13"/>
        <v/>
      </c>
      <c r="AO22" t="str">
        <f t="shared" si="14"/>
        <v/>
      </c>
      <c r="AP22">
        <f t="shared" si="15"/>
        <v>1</v>
      </c>
      <c r="AQ22" t="str">
        <f>IF(SAISIE!$F27="","",SAISIE!$Y27)</f>
        <v/>
      </c>
      <c r="AR22" t="str">
        <f>IF(OR(SAISIE!$U$4="",SAISIE!$W$4=""),"",IF(AND($A22=SAISIE!$U$4,$B22=SAISIE!$W$4,$C22="S1"),COUNTIFS($A$2:$A22,SAISIE!$U$4,$B$2:$B22,SAISIE!$W$4,$C$2:$C22,"S1"),""))</f>
        <v/>
      </c>
      <c r="AS22" t="str">
        <f t="shared" si="16"/>
        <v/>
      </c>
      <c r="AT22" t="str">
        <f t="shared" si="17"/>
        <v/>
      </c>
      <c r="AU22" t="str">
        <f t="shared" si="18"/>
        <v/>
      </c>
      <c r="AV22">
        <f>N(AV21)+IF(AND($AB22&lt;&gt;"",OR('PROFIL ELEVE'!$K$4="(Tous)",$AF22='PROFIL ELEVE'!$K$4)),1,0)</f>
        <v>0</v>
      </c>
      <c r="AW22">
        <f>N(AW21)+IF(AND($AB22&lt;&gt;"",OR('SUIVI LONGITUDINAL'!$Q$4="(Tous)",$AF22='SUIVI LONGITUDINAL'!$Q$4)),1,0)</f>
        <v>0</v>
      </c>
      <c r="AX22">
        <f t="shared" si="19"/>
        <v>0</v>
      </c>
      <c r="AY22">
        <f t="shared" si="20"/>
        <v>0</v>
      </c>
      <c r="AZ22">
        <f t="shared" si="21"/>
        <v>0</v>
      </c>
      <c r="BA22" t="str">
        <f t="shared" si="22"/>
        <v/>
      </c>
      <c r="BB22" t="str">
        <f t="shared" si="23"/>
        <v/>
      </c>
    </row>
    <row r="23" spans="1:54" ht="14.25" customHeight="1" x14ac:dyDescent="0.3">
      <c r="A23" t="str">
        <f>IF(SAISIE!$F28="","",SAISIE!$B28)</f>
        <v/>
      </c>
      <c r="B23" t="str">
        <f>IF(SAISIE!$F28="","",SAISIE!$C28)</f>
        <v/>
      </c>
      <c r="C23" t="str">
        <f>IF(SAISIE!$F28="","",SAISIE!$D28)</f>
        <v/>
      </c>
      <c r="D23" t="str">
        <f>IF(SAISIE!$E28="","",SAISIE!$E28)</f>
        <v/>
      </c>
      <c r="E23" t="str">
        <f>IF(SAISIE!$F28="","",SAISIE!$F28)</f>
        <v/>
      </c>
      <c r="F23" t="str">
        <f>IF(SAISIE!$G28="","",SAISIE!$G28)</f>
        <v/>
      </c>
      <c r="G23" t="str">
        <f>IF(SAISIE!$H28="","",SAISIE!$H28)</f>
        <v/>
      </c>
      <c r="H23" t="str">
        <f>IF(SAISIE!$I28="","",SAISIE!$I28)</f>
        <v/>
      </c>
      <c r="I23" t="str">
        <f>IF(SAISIE!$J28="","",SAISIE!$J28)</f>
        <v/>
      </c>
      <c r="J23" t="str">
        <f>IF(SAISIE!$K28="","",SAISIE!$K28)</f>
        <v/>
      </c>
      <c r="K23" t="str">
        <f>IF(SAISIE!$L28="","",SAISIE!$L28)</f>
        <v/>
      </c>
      <c r="L23" t="str">
        <f>IF(SAISIE!$M28="","",SAISIE!$M28)</f>
        <v/>
      </c>
      <c r="M23" t="str">
        <f>IF(SAISIE!$N28="","",SAISIE!$N28)</f>
        <v/>
      </c>
      <c r="N23" t="str">
        <f>IF(SAISIE!$O28="","",SAISIE!$O28)</f>
        <v/>
      </c>
      <c r="O23" t="str">
        <f>IF(SAISIE!$P28="","",SAISIE!$P28)</f>
        <v/>
      </c>
      <c r="P23" t="str">
        <f>IF(SAISIE!$Q28="","",SAISIE!$Q28)</f>
        <v/>
      </c>
      <c r="Q23" t="str">
        <f>IF($I23="","",IF($I23&gt;PARAMETRES!$G$29,5,IF($I23&gt;PARAMETRES!$F$29,4,IF($I23&gt;PARAMETRES!$E$29,3,IF($I23&gt;PARAMETRES!$D$29,2,1)))))</f>
        <v/>
      </c>
      <c r="R23" t="str">
        <f>IF($J23="","",IF($J23&gt;PARAMETRES!$G$30,5,IF($J23&gt;PARAMETRES!$F$30,4,IF($J23&gt;PARAMETRES!$E$30,3,IF($J23&gt;PARAMETRES!$D$30,2,1)))))</f>
        <v/>
      </c>
      <c r="S23" t="str">
        <f>IF($K23="","",IF($Z23=2,IF($K23&gt;PARAMETRES!$G$31,5,IF($K23&gt;PARAMETRES!$F$31,4,IF($K23&gt;PARAMETRES!$E$31,3,IF($K23&gt;PARAMETRES!$D$31,2,1)))),IF($K23&gt;PARAMETRES!$G$32,5,IF($K23&gt;PARAMETRES!$F$32,4,IF($K23&gt;PARAMETRES!$E$32,3,IF($K23&gt;PARAMETRES!$D$32,2,1))))))</f>
        <v/>
      </c>
      <c r="T23" t="str">
        <f>IF($L23="","",IF($L23&gt;PARAMETRES!$G$33,5,IF($L23&gt;PARAMETRES!$F$33,4,IF($L23&gt;PARAMETRES!$E$33,3,IF($L23&gt;PARAMETRES!$D$33,2,1)))))</f>
        <v/>
      </c>
      <c r="U23" t="str">
        <f>IF($M23="","",IF($M23&gt;PARAMETRES!$G$34,5,IF($M23&gt;PARAMETRES!$F$34,4,IF($M23&gt;PARAMETRES!$E$34,3,IF($M23&gt;PARAMETRES!$D$34,2,1)))))</f>
        <v/>
      </c>
      <c r="V23" t="str">
        <f>IF($N23="","",IF($N23&gt;PARAMETRES!$G$35,5,IF($N23&gt;PARAMETRES!$F$35,4,IF($N23&gt;PARAMETRES!$E$35,3,IF($N23&gt;PARAMETRES!$D$35,2,1)))))</f>
        <v/>
      </c>
      <c r="W23" t="str">
        <f>IF($O23="","",IF($O23&gt;PARAMETRES!$G$36,5,IF($O23&gt;PARAMETRES!$F$36,4,IF($O23&gt;PARAMETRES!$E$36,3,IF($O23&gt;PARAMETRES!$D$36,2,1)))))</f>
        <v/>
      </c>
      <c r="X23" t="str">
        <f>IF($P23="","",IF($P23&gt;PARAMETRES!$G$37,5,IF($P23&gt;PARAMETRES!$F$37,4,IF($P23&gt;PARAMETRES!$E$37,3,IF($P23&gt;PARAMETRES!$D$37,2,1)))))</f>
        <v/>
      </c>
      <c r="Y23" t="str">
        <f t="shared" si="0"/>
        <v/>
      </c>
      <c r="Z23" t="str">
        <f>IFERROR(VLOOKUP($B23,TABLE_CYCLE,2,0),"")</f>
        <v/>
      </c>
      <c r="AA23" t="str">
        <f t="shared" si="1"/>
        <v/>
      </c>
      <c r="AB23" t="str">
        <f>IF($D23="","",IF(COUNTIF($D$2:$D23,$D23)=1,$D23,""))</f>
        <v/>
      </c>
      <c r="AC23">
        <f t="shared" si="2"/>
        <v>0</v>
      </c>
      <c r="AD23" t="str">
        <f t="shared" si="3"/>
        <v>|0</v>
      </c>
      <c r="AE23" t="str">
        <f t="shared" si="4"/>
        <v/>
      </c>
      <c r="AF23" t="str">
        <f t="shared" si="5"/>
        <v/>
      </c>
      <c r="AG23" t="str">
        <f t="shared" si="6"/>
        <v/>
      </c>
      <c r="AH23" t="str">
        <f t="shared" si="7"/>
        <v/>
      </c>
      <c r="AI23" t="str">
        <f t="shared" si="8"/>
        <v/>
      </c>
      <c r="AJ23" t="str">
        <f t="shared" si="9"/>
        <v/>
      </c>
      <c r="AK23" t="str">
        <f t="shared" si="10"/>
        <v/>
      </c>
      <c r="AL23" t="str">
        <f t="shared" si="11"/>
        <v/>
      </c>
      <c r="AM23" t="str">
        <f t="shared" si="12"/>
        <v/>
      </c>
      <c r="AN23" t="str">
        <f t="shared" si="13"/>
        <v/>
      </c>
      <c r="AO23" t="str">
        <f t="shared" si="14"/>
        <v/>
      </c>
      <c r="AP23">
        <f t="shared" si="15"/>
        <v>1</v>
      </c>
      <c r="AQ23" t="str">
        <f>IF(SAISIE!$F28="","",SAISIE!$Y28)</f>
        <v/>
      </c>
      <c r="AR23" t="str">
        <f>IF(OR(SAISIE!$U$4="",SAISIE!$W$4=""),"",IF(AND($A23=SAISIE!$U$4,$B23=SAISIE!$W$4,$C23="S1"),COUNTIFS($A$2:$A23,SAISIE!$U$4,$B$2:$B23,SAISIE!$W$4,$C$2:$C23,"S1"),""))</f>
        <v/>
      </c>
      <c r="AS23" t="str">
        <f t="shared" si="16"/>
        <v/>
      </c>
      <c r="AT23" t="str">
        <f t="shared" si="17"/>
        <v/>
      </c>
      <c r="AU23" t="str">
        <f t="shared" si="18"/>
        <v/>
      </c>
      <c r="AV23">
        <f>N(AV22)+IF(AND($AB23&lt;&gt;"",OR('PROFIL ELEVE'!$K$4="(Tous)",$AF23='PROFIL ELEVE'!$K$4)),1,0)</f>
        <v>0</v>
      </c>
      <c r="AW23">
        <f>N(AW22)+IF(AND($AB23&lt;&gt;"",OR('SUIVI LONGITUDINAL'!$Q$4="(Tous)",$AF23='SUIVI LONGITUDINAL'!$Q$4)),1,0)</f>
        <v>0</v>
      </c>
      <c r="AX23">
        <f t="shared" si="19"/>
        <v>0</v>
      </c>
      <c r="AY23">
        <f t="shared" si="20"/>
        <v>0</v>
      </c>
      <c r="AZ23">
        <f t="shared" si="21"/>
        <v>0</v>
      </c>
      <c r="BA23" t="str">
        <f t="shared" si="22"/>
        <v/>
      </c>
      <c r="BB23" t="str">
        <f t="shared" si="23"/>
        <v/>
      </c>
    </row>
    <row r="24" spans="1:54" ht="14.25" customHeight="1" x14ac:dyDescent="0.3">
      <c r="A24" t="str">
        <f>IF(SAISIE!$F29="","",SAISIE!$B29)</f>
        <v/>
      </c>
      <c r="B24" t="str">
        <f>IF(SAISIE!$F29="","",SAISIE!$C29)</f>
        <v/>
      </c>
      <c r="C24" t="str">
        <f>IF(SAISIE!$F29="","",SAISIE!$D29)</f>
        <v/>
      </c>
      <c r="D24" t="str">
        <f>IF(SAISIE!$E29="","",SAISIE!$E29)</f>
        <v/>
      </c>
      <c r="E24" t="str">
        <f>IF(SAISIE!$F29="","",SAISIE!$F29)</f>
        <v/>
      </c>
      <c r="F24" t="str">
        <f>IF(SAISIE!$G29="","",SAISIE!$G29)</f>
        <v/>
      </c>
      <c r="G24" t="str">
        <f>IF(SAISIE!$H29="","",SAISIE!$H29)</f>
        <v/>
      </c>
      <c r="H24" t="str">
        <f>IF(SAISIE!$I29="","",SAISIE!$I29)</f>
        <v/>
      </c>
      <c r="I24" t="str">
        <f>IF(SAISIE!$J29="","",SAISIE!$J29)</f>
        <v/>
      </c>
      <c r="J24" t="str">
        <f>IF(SAISIE!$K29="","",SAISIE!$K29)</f>
        <v/>
      </c>
      <c r="K24" t="str">
        <f>IF(SAISIE!$L29="","",SAISIE!$L29)</f>
        <v/>
      </c>
      <c r="L24" t="str">
        <f>IF(SAISIE!$M29="","",SAISIE!$M29)</f>
        <v/>
      </c>
      <c r="M24" t="str">
        <f>IF(SAISIE!$N29="","",SAISIE!$N29)</f>
        <v/>
      </c>
      <c r="N24" t="str">
        <f>IF(SAISIE!$O29="","",SAISIE!$O29)</f>
        <v/>
      </c>
      <c r="O24" t="str">
        <f>IF(SAISIE!$P29="","",SAISIE!$P29)</f>
        <v/>
      </c>
      <c r="P24" t="str">
        <f>IF(SAISIE!$Q29="","",SAISIE!$Q29)</f>
        <v/>
      </c>
      <c r="Q24" t="str">
        <f>IF($I24="","",IF($I24&gt;PARAMETRES!$G$29,5,IF($I24&gt;PARAMETRES!$F$29,4,IF($I24&gt;PARAMETRES!$E$29,3,IF($I24&gt;PARAMETRES!$D$29,2,1)))))</f>
        <v/>
      </c>
      <c r="R24" t="str">
        <f>IF($J24="","",IF($J24&gt;PARAMETRES!$G$30,5,IF($J24&gt;PARAMETRES!$F$30,4,IF($J24&gt;PARAMETRES!$E$30,3,IF($J24&gt;PARAMETRES!$D$30,2,1)))))</f>
        <v/>
      </c>
      <c r="S24" t="str">
        <f>IF($K24="","",IF($Z24=2,IF($K24&gt;PARAMETRES!$G$31,5,IF($K24&gt;PARAMETRES!$F$31,4,IF($K24&gt;PARAMETRES!$E$31,3,IF($K24&gt;PARAMETRES!$D$31,2,1)))),IF($K24&gt;PARAMETRES!$G$32,5,IF($K24&gt;PARAMETRES!$F$32,4,IF($K24&gt;PARAMETRES!$E$32,3,IF($K24&gt;PARAMETRES!$D$32,2,1))))))</f>
        <v/>
      </c>
      <c r="T24" t="str">
        <f>IF($L24="","",IF($L24&gt;PARAMETRES!$G$33,5,IF($L24&gt;PARAMETRES!$F$33,4,IF($L24&gt;PARAMETRES!$E$33,3,IF($L24&gt;PARAMETRES!$D$33,2,1)))))</f>
        <v/>
      </c>
      <c r="U24" t="str">
        <f>IF($M24="","",IF($M24&gt;PARAMETRES!$G$34,5,IF($M24&gt;PARAMETRES!$F$34,4,IF($M24&gt;PARAMETRES!$E$34,3,IF($M24&gt;PARAMETRES!$D$34,2,1)))))</f>
        <v/>
      </c>
      <c r="V24" t="str">
        <f>IF($N24="","",IF($N24&gt;PARAMETRES!$G$35,5,IF($N24&gt;PARAMETRES!$F$35,4,IF($N24&gt;PARAMETRES!$E$35,3,IF($N24&gt;PARAMETRES!$D$35,2,1)))))</f>
        <v/>
      </c>
      <c r="W24" t="str">
        <f>IF($O24="","",IF($O24&gt;PARAMETRES!$G$36,5,IF($O24&gt;PARAMETRES!$F$36,4,IF($O24&gt;PARAMETRES!$E$36,3,IF($O24&gt;PARAMETRES!$D$36,2,1)))))</f>
        <v/>
      </c>
      <c r="X24" t="str">
        <f>IF($P24="","",IF($P24&gt;PARAMETRES!$G$37,5,IF($P24&gt;PARAMETRES!$F$37,4,IF($P24&gt;PARAMETRES!$E$37,3,IF($P24&gt;PARAMETRES!$D$37,2,1)))))</f>
        <v/>
      </c>
      <c r="Y24" t="str">
        <f t="shared" si="0"/>
        <v/>
      </c>
      <c r="Z24" t="str">
        <f>IFERROR(VLOOKUP($B24,TABLE_CYCLE,2,0),"")</f>
        <v/>
      </c>
      <c r="AA24" t="str">
        <f t="shared" si="1"/>
        <v/>
      </c>
      <c r="AB24" t="str">
        <f>IF($D24="","",IF(COUNTIF($D$2:$D24,$D24)=1,$D24,""))</f>
        <v/>
      </c>
      <c r="AC24">
        <f t="shared" si="2"/>
        <v>0</v>
      </c>
      <c r="AD24" t="str">
        <f t="shared" si="3"/>
        <v>|0</v>
      </c>
      <c r="AE24" t="str">
        <f t="shared" si="4"/>
        <v/>
      </c>
      <c r="AF24" t="str">
        <f t="shared" si="5"/>
        <v/>
      </c>
      <c r="AG24" t="str">
        <f t="shared" si="6"/>
        <v/>
      </c>
      <c r="AH24" t="str">
        <f t="shared" si="7"/>
        <v/>
      </c>
      <c r="AI24" t="str">
        <f t="shared" si="8"/>
        <v/>
      </c>
      <c r="AJ24" t="str">
        <f t="shared" si="9"/>
        <v/>
      </c>
      <c r="AK24" t="str">
        <f t="shared" si="10"/>
        <v/>
      </c>
      <c r="AL24" t="str">
        <f t="shared" si="11"/>
        <v/>
      </c>
      <c r="AM24" t="str">
        <f t="shared" si="12"/>
        <v/>
      </c>
      <c r="AN24" t="str">
        <f t="shared" si="13"/>
        <v/>
      </c>
      <c r="AO24" t="str">
        <f t="shared" si="14"/>
        <v/>
      </c>
      <c r="AP24">
        <f t="shared" si="15"/>
        <v>1</v>
      </c>
      <c r="AQ24" t="str">
        <f>IF(SAISIE!$F29="","",SAISIE!$Y29)</f>
        <v/>
      </c>
      <c r="AR24" t="str">
        <f>IF(OR(SAISIE!$U$4="",SAISIE!$W$4=""),"",IF(AND($A24=SAISIE!$U$4,$B24=SAISIE!$W$4,$C24="S1"),COUNTIFS($A$2:$A24,SAISIE!$U$4,$B$2:$B24,SAISIE!$W$4,$C$2:$C24,"S1"),""))</f>
        <v/>
      </c>
      <c r="AS24" t="str">
        <f t="shared" si="16"/>
        <v/>
      </c>
      <c r="AT24" t="str">
        <f t="shared" si="17"/>
        <v/>
      </c>
      <c r="AU24" t="str">
        <f t="shared" si="18"/>
        <v/>
      </c>
      <c r="AV24">
        <f>N(AV23)+IF(AND($AB24&lt;&gt;"",OR('PROFIL ELEVE'!$K$4="(Tous)",$AF24='PROFIL ELEVE'!$K$4)),1,0)</f>
        <v>0</v>
      </c>
      <c r="AW24">
        <f>N(AW23)+IF(AND($AB24&lt;&gt;"",OR('SUIVI LONGITUDINAL'!$Q$4="(Tous)",$AF24='SUIVI LONGITUDINAL'!$Q$4)),1,0)</f>
        <v>0</v>
      </c>
      <c r="AX24">
        <f t="shared" si="19"/>
        <v>0</v>
      </c>
      <c r="AY24">
        <f t="shared" si="20"/>
        <v>0</v>
      </c>
      <c r="AZ24">
        <f t="shared" si="21"/>
        <v>0</v>
      </c>
      <c r="BA24" t="str">
        <f t="shared" si="22"/>
        <v/>
      </c>
      <c r="BB24" t="str">
        <f t="shared" si="23"/>
        <v/>
      </c>
    </row>
    <row r="25" spans="1:54" ht="14.25" customHeight="1" x14ac:dyDescent="0.3">
      <c r="A25" t="str">
        <f>IF(SAISIE!$F30="","",SAISIE!$B30)</f>
        <v/>
      </c>
      <c r="B25" t="str">
        <f>IF(SAISIE!$F30="","",SAISIE!$C30)</f>
        <v/>
      </c>
      <c r="C25" t="str">
        <f>IF(SAISIE!$F30="","",SAISIE!$D30)</f>
        <v/>
      </c>
      <c r="D25" t="str">
        <f>IF(SAISIE!$E30="","",SAISIE!$E30)</f>
        <v/>
      </c>
      <c r="E25" t="str">
        <f>IF(SAISIE!$F30="","",SAISIE!$F30)</f>
        <v/>
      </c>
      <c r="F25" t="str">
        <f>IF(SAISIE!$G30="","",SAISIE!$G30)</f>
        <v/>
      </c>
      <c r="G25" t="str">
        <f>IF(SAISIE!$H30="","",SAISIE!$H30)</f>
        <v/>
      </c>
      <c r="H25" t="str">
        <f>IF(SAISIE!$I30="","",SAISIE!$I30)</f>
        <v/>
      </c>
      <c r="I25" t="str">
        <f>IF(SAISIE!$J30="","",SAISIE!$J30)</f>
        <v/>
      </c>
      <c r="J25" t="str">
        <f>IF(SAISIE!$K30="","",SAISIE!$K30)</f>
        <v/>
      </c>
      <c r="K25" t="str">
        <f>IF(SAISIE!$L30="","",SAISIE!$L30)</f>
        <v/>
      </c>
      <c r="L25" t="str">
        <f>IF(SAISIE!$M30="","",SAISIE!$M30)</f>
        <v/>
      </c>
      <c r="M25" t="str">
        <f>IF(SAISIE!$N30="","",SAISIE!$N30)</f>
        <v/>
      </c>
      <c r="N25" t="str">
        <f>IF(SAISIE!$O30="","",SAISIE!$O30)</f>
        <v/>
      </c>
      <c r="O25" t="str">
        <f>IF(SAISIE!$P30="","",SAISIE!$P30)</f>
        <v/>
      </c>
      <c r="P25" t="str">
        <f>IF(SAISIE!$Q30="","",SAISIE!$Q30)</f>
        <v/>
      </c>
      <c r="Q25" t="str">
        <f>IF($I25="","",IF($I25&gt;PARAMETRES!$G$29,5,IF($I25&gt;PARAMETRES!$F$29,4,IF($I25&gt;PARAMETRES!$E$29,3,IF($I25&gt;PARAMETRES!$D$29,2,1)))))</f>
        <v/>
      </c>
      <c r="R25" t="str">
        <f>IF($J25="","",IF($J25&gt;PARAMETRES!$G$30,5,IF($J25&gt;PARAMETRES!$F$30,4,IF($J25&gt;PARAMETRES!$E$30,3,IF($J25&gt;PARAMETRES!$D$30,2,1)))))</f>
        <v/>
      </c>
      <c r="S25" t="str">
        <f>IF($K25="","",IF($Z25=2,IF($K25&gt;PARAMETRES!$G$31,5,IF($K25&gt;PARAMETRES!$F$31,4,IF($K25&gt;PARAMETRES!$E$31,3,IF($K25&gt;PARAMETRES!$D$31,2,1)))),IF($K25&gt;PARAMETRES!$G$32,5,IF($K25&gt;PARAMETRES!$F$32,4,IF($K25&gt;PARAMETRES!$E$32,3,IF($K25&gt;PARAMETRES!$D$32,2,1))))))</f>
        <v/>
      </c>
      <c r="T25" t="str">
        <f>IF($L25="","",IF($L25&gt;PARAMETRES!$G$33,5,IF($L25&gt;PARAMETRES!$F$33,4,IF($L25&gt;PARAMETRES!$E$33,3,IF($L25&gt;PARAMETRES!$D$33,2,1)))))</f>
        <v/>
      </c>
      <c r="U25" t="str">
        <f>IF($M25="","",IF($M25&gt;PARAMETRES!$G$34,5,IF($M25&gt;PARAMETRES!$F$34,4,IF($M25&gt;PARAMETRES!$E$34,3,IF($M25&gt;PARAMETRES!$D$34,2,1)))))</f>
        <v/>
      </c>
      <c r="V25" t="str">
        <f>IF($N25="","",IF($N25&gt;PARAMETRES!$G$35,5,IF($N25&gt;PARAMETRES!$F$35,4,IF($N25&gt;PARAMETRES!$E$35,3,IF($N25&gt;PARAMETRES!$D$35,2,1)))))</f>
        <v/>
      </c>
      <c r="W25" t="str">
        <f>IF($O25="","",IF($O25&gt;PARAMETRES!$G$36,5,IF($O25&gt;PARAMETRES!$F$36,4,IF($O25&gt;PARAMETRES!$E$36,3,IF($O25&gt;PARAMETRES!$D$36,2,1)))))</f>
        <v/>
      </c>
      <c r="X25" t="str">
        <f>IF($P25="","",IF($P25&gt;PARAMETRES!$G$37,5,IF($P25&gt;PARAMETRES!$F$37,4,IF($P25&gt;PARAMETRES!$E$37,3,IF($P25&gt;PARAMETRES!$D$37,2,1)))))</f>
        <v/>
      </c>
      <c r="Y25" t="str">
        <f t="shared" si="0"/>
        <v/>
      </c>
      <c r="Z25" t="str">
        <f>IFERROR(VLOOKUP($B25,TABLE_CYCLE,2,0),"")</f>
        <v/>
      </c>
      <c r="AA25" t="str">
        <f t="shared" si="1"/>
        <v/>
      </c>
      <c r="AB25" t="str">
        <f>IF($D25="","",IF(COUNTIF($D$2:$D25,$D25)=1,$D25,""))</f>
        <v/>
      </c>
      <c r="AC25">
        <f t="shared" si="2"/>
        <v>0</v>
      </c>
      <c r="AD25" t="str">
        <f t="shared" si="3"/>
        <v>|0</v>
      </c>
      <c r="AE25" t="str">
        <f t="shared" si="4"/>
        <v/>
      </c>
      <c r="AF25" t="str">
        <f t="shared" si="5"/>
        <v/>
      </c>
      <c r="AG25" t="str">
        <f t="shared" si="6"/>
        <v/>
      </c>
      <c r="AH25" t="str">
        <f t="shared" si="7"/>
        <v/>
      </c>
      <c r="AI25" t="str">
        <f t="shared" si="8"/>
        <v/>
      </c>
      <c r="AJ25" t="str">
        <f t="shared" si="9"/>
        <v/>
      </c>
      <c r="AK25" t="str">
        <f t="shared" si="10"/>
        <v/>
      </c>
      <c r="AL25" t="str">
        <f t="shared" si="11"/>
        <v/>
      </c>
      <c r="AM25" t="str">
        <f t="shared" si="12"/>
        <v/>
      </c>
      <c r="AN25" t="str">
        <f t="shared" si="13"/>
        <v/>
      </c>
      <c r="AO25" t="str">
        <f t="shared" si="14"/>
        <v/>
      </c>
      <c r="AP25">
        <f t="shared" si="15"/>
        <v>1</v>
      </c>
      <c r="AQ25" t="str">
        <f>IF(SAISIE!$F30="","",SAISIE!$Y30)</f>
        <v/>
      </c>
      <c r="AR25" t="str">
        <f>IF(OR(SAISIE!$U$4="",SAISIE!$W$4=""),"",IF(AND($A25=SAISIE!$U$4,$B25=SAISIE!$W$4,$C25="S1"),COUNTIFS($A$2:$A25,SAISIE!$U$4,$B$2:$B25,SAISIE!$W$4,$C$2:$C25,"S1"),""))</f>
        <v/>
      </c>
      <c r="AS25" t="str">
        <f t="shared" si="16"/>
        <v/>
      </c>
      <c r="AT25" t="str">
        <f t="shared" si="17"/>
        <v/>
      </c>
      <c r="AU25" t="str">
        <f t="shared" si="18"/>
        <v/>
      </c>
      <c r="AV25">
        <f>N(AV24)+IF(AND($AB25&lt;&gt;"",OR('PROFIL ELEVE'!$K$4="(Tous)",$AF25='PROFIL ELEVE'!$K$4)),1,0)</f>
        <v>0</v>
      </c>
      <c r="AW25">
        <f>N(AW24)+IF(AND($AB25&lt;&gt;"",OR('SUIVI LONGITUDINAL'!$Q$4="(Tous)",$AF25='SUIVI LONGITUDINAL'!$Q$4)),1,0)</f>
        <v>0</v>
      </c>
      <c r="AX25">
        <f t="shared" si="19"/>
        <v>0</v>
      </c>
      <c r="AY25">
        <f t="shared" si="20"/>
        <v>0</v>
      </c>
      <c r="AZ25">
        <f t="shared" si="21"/>
        <v>0</v>
      </c>
      <c r="BA25" t="str">
        <f t="shared" si="22"/>
        <v/>
      </c>
      <c r="BB25" t="str">
        <f t="shared" si="23"/>
        <v/>
      </c>
    </row>
    <row r="26" spans="1:54" ht="14.25" customHeight="1" x14ac:dyDescent="0.3">
      <c r="A26" t="str">
        <f>IF(SAISIE!$F31="","",SAISIE!$B31)</f>
        <v/>
      </c>
      <c r="B26" t="str">
        <f>IF(SAISIE!$F31="","",SAISIE!$C31)</f>
        <v/>
      </c>
      <c r="C26" t="str">
        <f>IF(SAISIE!$F31="","",SAISIE!$D31)</f>
        <v/>
      </c>
      <c r="D26" t="str">
        <f>IF(SAISIE!$E31="","",SAISIE!$E31)</f>
        <v/>
      </c>
      <c r="E26" t="str">
        <f>IF(SAISIE!$F31="","",SAISIE!$F31)</f>
        <v/>
      </c>
      <c r="F26" t="str">
        <f>IF(SAISIE!$G31="","",SAISIE!$G31)</f>
        <v/>
      </c>
      <c r="G26" t="str">
        <f>IF(SAISIE!$H31="","",SAISIE!$H31)</f>
        <v/>
      </c>
      <c r="H26" t="str">
        <f>IF(SAISIE!$I31="","",SAISIE!$I31)</f>
        <v/>
      </c>
      <c r="I26" t="str">
        <f>IF(SAISIE!$J31="","",SAISIE!$J31)</f>
        <v/>
      </c>
      <c r="J26" t="str">
        <f>IF(SAISIE!$K31="","",SAISIE!$K31)</f>
        <v/>
      </c>
      <c r="K26" t="str">
        <f>IF(SAISIE!$L31="","",SAISIE!$L31)</f>
        <v/>
      </c>
      <c r="L26" t="str">
        <f>IF(SAISIE!$M31="","",SAISIE!$M31)</f>
        <v/>
      </c>
      <c r="M26" t="str">
        <f>IF(SAISIE!$N31="","",SAISIE!$N31)</f>
        <v/>
      </c>
      <c r="N26" t="str">
        <f>IF(SAISIE!$O31="","",SAISIE!$O31)</f>
        <v/>
      </c>
      <c r="O26" t="str">
        <f>IF(SAISIE!$P31="","",SAISIE!$P31)</f>
        <v/>
      </c>
      <c r="P26" t="str">
        <f>IF(SAISIE!$Q31="","",SAISIE!$Q31)</f>
        <v/>
      </c>
      <c r="Q26" t="str">
        <f>IF($I26="","",IF($I26&gt;PARAMETRES!$G$29,5,IF($I26&gt;PARAMETRES!$F$29,4,IF($I26&gt;PARAMETRES!$E$29,3,IF($I26&gt;PARAMETRES!$D$29,2,1)))))</f>
        <v/>
      </c>
      <c r="R26" t="str">
        <f>IF($J26="","",IF($J26&gt;PARAMETRES!$G$30,5,IF($J26&gt;PARAMETRES!$F$30,4,IF($J26&gt;PARAMETRES!$E$30,3,IF($J26&gt;PARAMETRES!$D$30,2,1)))))</f>
        <v/>
      </c>
      <c r="S26" t="str">
        <f>IF($K26="","",IF($Z26=2,IF($K26&gt;PARAMETRES!$G$31,5,IF($K26&gt;PARAMETRES!$F$31,4,IF($K26&gt;PARAMETRES!$E$31,3,IF($K26&gt;PARAMETRES!$D$31,2,1)))),IF($K26&gt;PARAMETRES!$G$32,5,IF($K26&gt;PARAMETRES!$F$32,4,IF($K26&gt;PARAMETRES!$E$32,3,IF($K26&gt;PARAMETRES!$D$32,2,1))))))</f>
        <v/>
      </c>
      <c r="T26" t="str">
        <f>IF($L26="","",IF($L26&gt;PARAMETRES!$G$33,5,IF($L26&gt;PARAMETRES!$F$33,4,IF($L26&gt;PARAMETRES!$E$33,3,IF($L26&gt;PARAMETRES!$D$33,2,1)))))</f>
        <v/>
      </c>
      <c r="U26" t="str">
        <f>IF($M26="","",IF($M26&gt;PARAMETRES!$G$34,5,IF($M26&gt;PARAMETRES!$F$34,4,IF($M26&gt;PARAMETRES!$E$34,3,IF($M26&gt;PARAMETRES!$D$34,2,1)))))</f>
        <v/>
      </c>
      <c r="V26" t="str">
        <f>IF($N26="","",IF($N26&gt;PARAMETRES!$G$35,5,IF($N26&gt;PARAMETRES!$F$35,4,IF($N26&gt;PARAMETRES!$E$35,3,IF($N26&gt;PARAMETRES!$D$35,2,1)))))</f>
        <v/>
      </c>
      <c r="W26" t="str">
        <f>IF($O26="","",IF($O26&gt;PARAMETRES!$G$36,5,IF($O26&gt;PARAMETRES!$F$36,4,IF($O26&gt;PARAMETRES!$E$36,3,IF($O26&gt;PARAMETRES!$D$36,2,1)))))</f>
        <v/>
      </c>
      <c r="X26" t="str">
        <f>IF($P26="","",IF($P26&gt;PARAMETRES!$G$37,5,IF($P26&gt;PARAMETRES!$F$37,4,IF($P26&gt;PARAMETRES!$E$37,3,IF($P26&gt;PARAMETRES!$D$37,2,1)))))</f>
        <v/>
      </c>
      <c r="Y26" t="str">
        <f t="shared" si="0"/>
        <v/>
      </c>
      <c r="Z26" t="str">
        <f>IFERROR(VLOOKUP($B26,TABLE_CYCLE,2,0),"")</f>
        <v/>
      </c>
      <c r="AA26" t="str">
        <f t="shared" si="1"/>
        <v/>
      </c>
      <c r="AB26" t="str">
        <f>IF($D26="","",IF(COUNTIF($D$2:$D26,$D26)=1,$D26,""))</f>
        <v/>
      </c>
      <c r="AC26">
        <f t="shared" si="2"/>
        <v>0</v>
      </c>
      <c r="AD26" t="str">
        <f t="shared" si="3"/>
        <v>|0</v>
      </c>
      <c r="AE26" t="str">
        <f t="shared" si="4"/>
        <v/>
      </c>
      <c r="AF26" t="str">
        <f t="shared" si="5"/>
        <v/>
      </c>
      <c r="AG26" t="str">
        <f t="shared" si="6"/>
        <v/>
      </c>
      <c r="AH26" t="str">
        <f t="shared" si="7"/>
        <v/>
      </c>
      <c r="AI26" t="str">
        <f t="shared" si="8"/>
        <v/>
      </c>
      <c r="AJ26" t="str">
        <f t="shared" si="9"/>
        <v/>
      </c>
      <c r="AK26" t="str">
        <f t="shared" si="10"/>
        <v/>
      </c>
      <c r="AL26" t="str">
        <f t="shared" si="11"/>
        <v/>
      </c>
      <c r="AM26" t="str">
        <f t="shared" si="12"/>
        <v/>
      </c>
      <c r="AN26" t="str">
        <f t="shared" si="13"/>
        <v/>
      </c>
      <c r="AO26" t="str">
        <f t="shared" si="14"/>
        <v/>
      </c>
      <c r="AP26">
        <f t="shared" si="15"/>
        <v>1</v>
      </c>
      <c r="AQ26" t="str">
        <f>IF(SAISIE!$F31="","",SAISIE!$Y31)</f>
        <v/>
      </c>
      <c r="AR26" t="str">
        <f>IF(OR(SAISIE!$U$4="",SAISIE!$W$4=""),"",IF(AND($A26=SAISIE!$U$4,$B26=SAISIE!$W$4,$C26="S1"),COUNTIFS($A$2:$A26,SAISIE!$U$4,$B$2:$B26,SAISIE!$W$4,$C$2:$C26,"S1"),""))</f>
        <v/>
      </c>
      <c r="AS26" t="str">
        <f t="shared" si="16"/>
        <v/>
      </c>
      <c r="AT26" t="str">
        <f t="shared" si="17"/>
        <v/>
      </c>
      <c r="AU26" t="str">
        <f t="shared" si="18"/>
        <v/>
      </c>
      <c r="AV26">
        <f>N(AV25)+IF(AND($AB26&lt;&gt;"",OR('PROFIL ELEVE'!$K$4="(Tous)",$AF26='PROFIL ELEVE'!$K$4)),1,0)</f>
        <v>0</v>
      </c>
      <c r="AW26">
        <f>N(AW25)+IF(AND($AB26&lt;&gt;"",OR('SUIVI LONGITUDINAL'!$Q$4="(Tous)",$AF26='SUIVI LONGITUDINAL'!$Q$4)),1,0)</f>
        <v>0</v>
      </c>
      <c r="AX26">
        <f t="shared" si="19"/>
        <v>0</v>
      </c>
      <c r="AY26">
        <f t="shared" si="20"/>
        <v>0</v>
      </c>
      <c r="AZ26">
        <f t="shared" si="21"/>
        <v>0</v>
      </c>
      <c r="BA26" t="str">
        <f t="shared" si="22"/>
        <v/>
      </c>
      <c r="BB26" t="str">
        <f t="shared" si="23"/>
        <v/>
      </c>
    </row>
    <row r="27" spans="1:54" ht="14.25" customHeight="1" x14ac:dyDescent="0.3">
      <c r="A27" t="str">
        <f>IF(SAISIE!$F32="","",SAISIE!$B32)</f>
        <v/>
      </c>
      <c r="B27" t="str">
        <f>IF(SAISIE!$F32="","",SAISIE!$C32)</f>
        <v/>
      </c>
      <c r="C27" t="str">
        <f>IF(SAISIE!$F32="","",SAISIE!$D32)</f>
        <v/>
      </c>
      <c r="D27" t="str">
        <f>IF(SAISIE!$E32="","",SAISIE!$E32)</f>
        <v/>
      </c>
      <c r="E27" t="str">
        <f>IF(SAISIE!$F32="","",SAISIE!$F32)</f>
        <v/>
      </c>
      <c r="F27" t="str">
        <f>IF(SAISIE!$G32="","",SAISIE!$G32)</f>
        <v/>
      </c>
      <c r="G27" t="str">
        <f>IF(SAISIE!$H32="","",SAISIE!$H32)</f>
        <v/>
      </c>
      <c r="H27" t="str">
        <f>IF(SAISIE!$I32="","",SAISIE!$I32)</f>
        <v/>
      </c>
      <c r="I27" t="str">
        <f>IF(SAISIE!$J32="","",SAISIE!$J32)</f>
        <v/>
      </c>
      <c r="J27" t="str">
        <f>IF(SAISIE!$K32="","",SAISIE!$K32)</f>
        <v/>
      </c>
      <c r="K27" t="str">
        <f>IF(SAISIE!$L32="","",SAISIE!$L32)</f>
        <v/>
      </c>
      <c r="L27" t="str">
        <f>IF(SAISIE!$M32="","",SAISIE!$M32)</f>
        <v/>
      </c>
      <c r="M27" t="str">
        <f>IF(SAISIE!$N32="","",SAISIE!$N32)</f>
        <v/>
      </c>
      <c r="N27" t="str">
        <f>IF(SAISIE!$O32="","",SAISIE!$O32)</f>
        <v/>
      </c>
      <c r="O27" t="str">
        <f>IF(SAISIE!$P32="","",SAISIE!$P32)</f>
        <v/>
      </c>
      <c r="P27" t="str">
        <f>IF(SAISIE!$Q32="","",SAISIE!$Q32)</f>
        <v/>
      </c>
      <c r="Q27" t="str">
        <f>IF($I27="","",IF($I27&gt;PARAMETRES!$G$29,5,IF($I27&gt;PARAMETRES!$F$29,4,IF($I27&gt;PARAMETRES!$E$29,3,IF($I27&gt;PARAMETRES!$D$29,2,1)))))</f>
        <v/>
      </c>
      <c r="R27" t="str">
        <f>IF($J27="","",IF($J27&gt;PARAMETRES!$G$30,5,IF($J27&gt;PARAMETRES!$F$30,4,IF($J27&gt;PARAMETRES!$E$30,3,IF($J27&gt;PARAMETRES!$D$30,2,1)))))</f>
        <v/>
      </c>
      <c r="S27" t="str">
        <f>IF($K27="","",IF($Z27=2,IF($K27&gt;PARAMETRES!$G$31,5,IF($K27&gt;PARAMETRES!$F$31,4,IF($K27&gt;PARAMETRES!$E$31,3,IF($K27&gt;PARAMETRES!$D$31,2,1)))),IF($K27&gt;PARAMETRES!$G$32,5,IF($K27&gt;PARAMETRES!$F$32,4,IF($K27&gt;PARAMETRES!$E$32,3,IF($K27&gt;PARAMETRES!$D$32,2,1))))))</f>
        <v/>
      </c>
      <c r="T27" t="str">
        <f>IF($L27="","",IF($L27&gt;PARAMETRES!$G$33,5,IF($L27&gt;PARAMETRES!$F$33,4,IF($L27&gt;PARAMETRES!$E$33,3,IF($L27&gt;PARAMETRES!$D$33,2,1)))))</f>
        <v/>
      </c>
      <c r="U27" t="str">
        <f>IF($M27="","",IF($M27&gt;PARAMETRES!$G$34,5,IF($M27&gt;PARAMETRES!$F$34,4,IF($M27&gt;PARAMETRES!$E$34,3,IF($M27&gt;PARAMETRES!$D$34,2,1)))))</f>
        <v/>
      </c>
      <c r="V27" t="str">
        <f>IF($N27="","",IF($N27&gt;PARAMETRES!$G$35,5,IF($N27&gt;PARAMETRES!$F$35,4,IF($N27&gt;PARAMETRES!$E$35,3,IF($N27&gt;PARAMETRES!$D$35,2,1)))))</f>
        <v/>
      </c>
      <c r="W27" t="str">
        <f>IF($O27="","",IF($O27&gt;PARAMETRES!$G$36,5,IF($O27&gt;PARAMETRES!$F$36,4,IF($O27&gt;PARAMETRES!$E$36,3,IF($O27&gt;PARAMETRES!$D$36,2,1)))))</f>
        <v/>
      </c>
      <c r="X27" t="str">
        <f>IF($P27="","",IF($P27&gt;PARAMETRES!$G$37,5,IF($P27&gt;PARAMETRES!$F$37,4,IF($P27&gt;PARAMETRES!$E$37,3,IF($P27&gt;PARAMETRES!$D$37,2,1)))))</f>
        <v/>
      </c>
      <c r="Y27" t="str">
        <f t="shared" si="0"/>
        <v/>
      </c>
      <c r="Z27" t="str">
        <f>IFERROR(VLOOKUP($B27,TABLE_CYCLE,2,0),"")</f>
        <v/>
      </c>
      <c r="AA27" t="str">
        <f t="shared" si="1"/>
        <v/>
      </c>
      <c r="AB27" t="str">
        <f>IF($D27="","",IF(COUNTIF($D$2:$D27,$D27)=1,$D27,""))</f>
        <v/>
      </c>
      <c r="AC27">
        <f t="shared" si="2"/>
        <v>0</v>
      </c>
      <c r="AD27" t="str">
        <f t="shared" si="3"/>
        <v>|0</v>
      </c>
      <c r="AE27" t="str">
        <f t="shared" si="4"/>
        <v/>
      </c>
      <c r="AF27" t="str">
        <f t="shared" si="5"/>
        <v/>
      </c>
      <c r="AG27" t="str">
        <f t="shared" si="6"/>
        <v/>
      </c>
      <c r="AH27" t="str">
        <f t="shared" si="7"/>
        <v/>
      </c>
      <c r="AI27" t="str">
        <f t="shared" si="8"/>
        <v/>
      </c>
      <c r="AJ27" t="str">
        <f t="shared" si="9"/>
        <v/>
      </c>
      <c r="AK27" t="str">
        <f t="shared" si="10"/>
        <v/>
      </c>
      <c r="AL27" t="str">
        <f t="shared" si="11"/>
        <v/>
      </c>
      <c r="AM27" t="str">
        <f t="shared" si="12"/>
        <v/>
      </c>
      <c r="AN27" t="str">
        <f t="shared" si="13"/>
        <v/>
      </c>
      <c r="AO27" t="str">
        <f t="shared" si="14"/>
        <v/>
      </c>
      <c r="AP27">
        <f t="shared" si="15"/>
        <v>1</v>
      </c>
      <c r="AQ27" t="str">
        <f>IF(SAISIE!$F32="","",SAISIE!$Y32)</f>
        <v/>
      </c>
      <c r="AR27" t="str">
        <f>IF(OR(SAISIE!$U$4="",SAISIE!$W$4=""),"",IF(AND($A27=SAISIE!$U$4,$B27=SAISIE!$W$4,$C27="S1"),COUNTIFS($A$2:$A27,SAISIE!$U$4,$B$2:$B27,SAISIE!$W$4,$C$2:$C27,"S1"),""))</f>
        <v/>
      </c>
      <c r="AS27" t="str">
        <f t="shared" si="16"/>
        <v/>
      </c>
      <c r="AT27" t="str">
        <f t="shared" si="17"/>
        <v/>
      </c>
      <c r="AU27" t="str">
        <f t="shared" si="18"/>
        <v/>
      </c>
      <c r="AV27">
        <f>N(AV26)+IF(AND($AB27&lt;&gt;"",OR('PROFIL ELEVE'!$K$4="(Tous)",$AF27='PROFIL ELEVE'!$K$4)),1,0)</f>
        <v>0</v>
      </c>
      <c r="AW27">
        <f>N(AW26)+IF(AND($AB27&lt;&gt;"",OR('SUIVI LONGITUDINAL'!$Q$4="(Tous)",$AF27='SUIVI LONGITUDINAL'!$Q$4)),1,0)</f>
        <v>0</v>
      </c>
      <c r="AX27">
        <f t="shared" si="19"/>
        <v>0</v>
      </c>
      <c r="AY27">
        <f t="shared" si="20"/>
        <v>0</v>
      </c>
      <c r="AZ27">
        <f t="shared" si="21"/>
        <v>0</v>
      </c>
      <c r="BA27" t="str">
        <f t="shared" si="22"/>
        <v/>
      </c>
      <c r="BB27" t="str">
        <f t="shared" si="23"/>
        <v/>
      </c>
    </row>
    <row r="28" spans="1:54" ht="14.25" customHeight="1" x14ac:dyDescent="0.3">
      <c r="A28" t="str">
        <f>IF(SAISIE!$F33="","",SAISIE!$B33)</f>
        <v/>
      </c>
      <c r="B28" t="str">
        <f>IF(SAISIE!$F33="","",SAISIE!$C33)</f>
        <v/>
      </c>
      <c r="C28" t="str">
        <f>IF(SAISIE!$F33="","",SAISIE!$D33)</f>
        <v/>
      </c>
      <c r="D28" t="str">
        <f>IF(SAISIE!$E33="","",SAISIE!$E33)</f>
        <v/>
      </c>
      <c r="E28" t="str">
        <f>IF(SAISIE!$F33="","",SAISIE!$F33)</f>
        <v/>
      </c>
      <c r="F28" t="str">
        <f>IF(SAISIE!$G33="","",SAISIE!$G33)</f>
        <v/>
      </c>
      <c r="G28" t="str">
        <f>IF(SAISIE!$H33="","",SAISIE!$H33)</f>
        <v/>
      </c>
      <c r="H28" t="str">
        <f>IF(SAISIE!$I33="","",SAISIE!$I33)</f>
        <v/>
      </c>
      <c r="I28" t="str">
        <f>IF(SAISIE!$J33="","",SAISIE!$J33)</f>
        <v/>
      </c>
      <c r="J28" t="str">
        <f>IF(SAISIE!$K33="","",SAISIE!$K33)</f>
        <v/>
      </c>
      <c r="K28" t="str">
        <f>IF(SAISIE!$L33="","",SAISIE!$L33)</f>
        <v/>
      </c>
      <c r="L28" t="str">
        <f>IF(SAISIE!$M33="","",SAISIE!$M33)</f>
        <v/>
      </c>
      <c r="M28" t="str">
        <f>IF(SAISIE!$N33="","",SAISIE!$N33)</f>
        <v/>
      </c>
      <c r="N28" t="str">
        <f>IF(SAISIE!$O33="","",SAISIE!$O33)</f>
        <v/>
      </c>
      <c r="O28" t="str">
        <f>IF(SAISIE!$P33="","",SAISIE!$P33)</f>
        <v/>
      </c>
      <c r="P28" t="str">
        <f>IF(SAISIE!$Q33="","",SAISIE!$Q33)</f>
        <v/>
      </c>
      <c r="Q28" t="str">
        <f>IF($I28="","",IF($I28&gt;PARAMETRES!$G$29,5,IF($I28&gt;PARAMETRES!$F$29,4,IF($I28&gt;PARAMETRES!$E$29,3,IF($I28&gt;PARAMETRES!$D$29,2,1)))))</f>
        <v/>
      </c>
      <c r="R28" t="str">
        <f>IF($J28="","",IF($J28&gt;PARAMETRES!$G$30,5,IF($J28&gt;PARAMETRES!$F$30,4,IF($J28&gt;PARAMETRES!$E$30,3,IF($J28&gt;PARAMETRES!$D$30,2,1)))))</f>
        <v/>
      </c>
      <c r="S28" t="str">
        <f>IF($K28="","",IF($Z28=2,IF($K28&gt;PARAMETRES!$G$31,5,IF($K28&gt;PARAMETRES!$F$31,4,IF($K28&gt;PARAMETRES!$E$31,3,IF($K28&gt;PARAMETRES!$D$31,2,1)))),IF($K28&gt;PARAMETRES!$G$32,5,IF($K28&gt;PARAMETRES!$F$32,4,IF($K28&gt;PARAMETRES!$E$32,3,IF($K28&gt;PARAMETRES!$D$32,2,1))))))</f>
        <v/>
      </c>
      <c r="T28" t="str">
        <f>IF($L28="","",IF($L28&gt;PARAMETRES!$G$33,5,IF($L28&gt;PARAMETRES!$F$33,4,IF($L28&gt;PARAMETRES!$E$33,3,IF($L28&gt;PARAMETRES!$D$33,2,1)))))</f>
        <v/>
      </c>
      <c r="U28" t="str">
        <f>IF($M28="","",IF($M28&gt;PARAMETRES!$G$34,5,IF($M28&gt;PARAMETRES!$F$34,4,IF($M28&gt;PARAMETRES!$E$34,3,IF($M28&gt;PARAMETRES!$D$34,2,1)))))</f>
        <v/>
      </c>
      <c r="V28" t="str">
        <f>IF($N28="","",IF($N28&gt;PARAMETRES!$G$35,5,IF($N28&gt;PARAMETRES!$F$35,4,IF($N28&gt;PARAMETRES!$E$35,3,IF($N28&gt;PARAMETRES!$D$35,2,1)))))</f>
        <v/>
      </c>
      <c r="W28" t="str">
        <f>IF($O28="","",IF($O28&gt;PARAMETRES!$G$36,5,IF($O28&gt;PARAMETRES!$F$36,4,IF($O28&gt;PARAMETRES!$E$36,3,IF($O28&gt;PARAMETRES!$D$36,2,1)))))</f>
        <v/>
      </c>
      <c r="X28" t="str">
        <f>IF($P28="","",IF($P28&gt;PARAMETRES!$G$37,5,IF($P28&gt;PARAMETRES!$F$37,4,IF($P28&gt;PARAMETRES!$E$37,3,IF($P28&gt;PARAMETRES!$D$37,2,1)))))</f>
        <v/>
      </c>
      <c r="Y28" t="str">
        <f t="shared" si="0"/>
        <v/>
      </c>
      <c r="Z28" t="str">
        <f>IFERROR(VLOOKUP($B28,TABLE_CYCLE,2,0),"")</f>
        <v/>
      </c>
      <c r="AA28" t="str">
        <f t="shared" si="1"/>
        <v/>
      </c>
      <c r="AB28" t="str">
        <f>IF($D28="","",IF(COUNTIF($D$2:$D28,$D28)=1,$D28,""))</f>
        <v/>
      </c>
      <c r="AC28">
        <f t="shared" si="2"/>
        <v>0</v>
      </c>
      <c r="AD28" t="str">
        <f t="shared" si="3"/>
        <v>|0</v>
      </c>
      <c r="AE28" t="str">
        <f t="shared" si="4"/>
        <v/>
      </c>
      <c r="AF28" t="str">
        <f t="shared" si="5"/>
        <v/>
      </c>
      <c r="AG28" t="str">
        <f t="shared" si="6"/>
        <v/>
      </c>
      <c r="AH28" t="str">
        <f t="shared" si="7"/>
        <v/>
      </c>
      <c r="AI28" t="str">
        <f t="shared" si="8"/>
        <v/>
      </c>
      <c r="AJ28" t="str">
        <f t="shared" si="9"/>
        <v/>
      </c>
      <c r="AK28" t="str">
        <f t="shared" si="10"/>
        <v/>
      </c>
      <c r="AL28" t="str">
        <f t="shared" si="11"/>
        <v/>
      </c>
      <c r="AM28" t="str">
        <f t="shared" si="12"/>
        <v/>
      </c>
      <c r="AN28" t="str">
        <f t="shared" si="13"/>
        <v/>
      </c>
      <c r="AO28" t="str">
        <f t="shared" si="14"/>
        <v/>
      </c>
      <c r="AP28">
        <f t="shared" si="15"/>
        <v>1</v>
      </c>
      <c r="AQ28" t="str">
        <f>IF(SAISIE!$F33="","",SAISIE!$Y33)</f>
        <v/>
      </c>
      <c r="AR28" t="str">
        <f>IF(OR(SAISIE!$U$4="",SAISIE!$W$4=""),"",IF(AND($A28=SAISIE!$U$4,$B28=SAISIE!$W$4,$C28="S1"),COUNTIFS($A$2:$A28,SAISIE!$U$4,$B$2:$B28,SAISIE!$W$4,$C$2:$C28,"S1"),""))</f>
        <v/>
      </c>
      <c r="AS28" t="str">
        <f t="shared" si="16"/>
        <v/>
      </c>
      <c r="AT28" t="str">
        <f t="shared" si="17"/>
        <v/>
      </c>
      <c r="AU28" t="str">
        <f t="shared" si="18"/>
        <v/>
      </c>
      <c r="AV28">
        <f>N(AV27)+IF(AND($AB28&lt;&gt;"",OR('PROFIL ELEVE'!$K$4="(Tous)",$AF28='PROFIL ELEVE'!$K$4)),1,0)</f>
        <v>0</v>
      </c>
      <c r="AW28">
        <f>N(AW27)+IF(AND($AB28&lt;&gt;"",OR('SUIVI LONGITUDINAL'!$Q$4="(Tous)",$AF28='SUIVI LONGITUDINAL'!$Q$4)),1,0)</f>
        <v>0</v>
      </c>
      <c r="AX28">
        <f t="shared" si="19"/>
        <v>0</v>
      </c>
      <c r="AY28">
        <f t="shared" si="20"/>
        <v>0</v>
      </c>
      <c r="AZ28">
        <f t="shared" si="21"/>
        <v>0</v>
      </c>
      <c r="BA28" t="str">
        <f t="shared" si="22"/>
        <v/>
      </c>
      <c r="BB28" t="str">
        <f t="shared" si="23"/>
        <v/>
      </c>
    </row>
    <row r="29" spans="1:54" ht="14.25" customHeight="1" x14ac:dyDescent="0.3">
      <c r="A29" t="str">
        <f>IF(SAISIE!$F34="","",SAISIE!$B34)</f>
        <v/>
      </c>
      <c r="B29" t="str">
        <f>IF(SAISIE!$F34="","",SAISIE!$C34)</f>
        <v/>
      </c>
      <c r="C29" t="str">
        <f>IF(SAISIE!$F34="","",SAISIE!$D34)</f>
        <v/>
      </c>
      <c r="D29" t="str">
        <f>IF(SAISIE!$E34="","",SAISIE!$E34)</f>
        <v/>
      </c>
      <c r="E29" t="str">
        <f>IF(SAISIE!$F34="","",SAISIE!$F34)</f>
        <v/>
      </c>
      <c r="F29" t="str">
        <f>IF(SAISIE!$G34="","",SAISIE!$G34)</f>
        <v/>
      </c>
      <c r="G29" t="str">
        <f>IF(SAISIE!$H34="","",SAISIE!$H34)</f>
        <v/>
      </c>
      <c r="H29" t="str">
        <f>IF(SAISIE!$I34="","",SAISIE!$I34)</f>
        <v/>
      </c>
      <c r="I29" t="str">
        <f>IF(SAISIE!$J34="","",SAISIE!$J34)</f>
        <v/>
      </c>
      <c r="J29" t="str">
        <f>IF(SAISIE!$K34="","",SAISIE!$K34)</f>
        <v/>
      </c>
      <c r="K29" t="str">
        <f>IF(SAISIE!$L34="","",SAISIE!$L34)</f>
        <v/>
      </c>
      <c r="L29" t="str">
        <f>IF(SAISIE!$M34="","",SAISIE!$M34)</f>
        <v/>
      </c>
      <c r="M29" t="str">
        <f>IF(SAISIE!$N34="","",SAISIE!$N34)</f>
        <v/>
      </c>
      <c r="N29" t="str">
        <f>IF(SAISIE!$O34="","",SAISIE!$O34)</f>
        <v/>
      </c>
      <c r="O29" t="str">
        <f>IF(SAISIE!$P34="","",SAISIE!$P34)</f>
        <v/>
      </c>
      <c r="P29" t="str">
        <f>IF(SAISIE!$Q34="","",SAISIE!$Q34)</f>
        <v/>
      </c>
      <c r="Q29" t="str">
        <f>IF($I29="","",IF($I29&gt;PARAMETRES!$G$29,5,IF($I29&gt;PARAMETRES!$F$29,4,IF($I29&gt;PARAMETRES!$E$29,3,IF($I29&gt;PARAMETRES!$D$29,2,1)))))</f>
        <v/>
      </c>
      <c r="R29" t="str">
        <f>IF($J29="","",IF($J29&gt;PARAMETRES!$G$30,5,IF($J29&gt;PARAMETRES!$F$30,4,IF($J29&gt;PARAMETRES!$E$30,3,IF($J29&gt;PARAMETRES!$D$30,2,1)))))</f>
        <v/>
      </c>
      <c r="S29" t="str">
        <f>IF($K29="","",IF($Z29=2,IF($K29&gt;PARAMETRES!$G$31,5,IF($K29&gt;PARAMETRES!$F$31,4,IF($K29&gt;PARAMETRES!$E$31,3,IF($K29&gt;PARAMETRES!$D$31,2,1)))),IF($K29&gt;PARAMETRES!$G$32,5,IF($K29&gt;PARAMETRES!$F$32,4,IF($K29&gt;PARAMETRES!$E$32,3,IF($K29&gt;PARAMETRES!$D$32,2,1))))))</f>
        <v/>
      </c>
      <c r="T29" t="str">
        <f>IF($L29="","",IF($L29&gt;PARAMETRES!$G$33,5,IF($L29&gt;PARAMETRES!$F$33,4,IF($L29&gt;PARAMETRES!$E$33,3,IF($L29&gt;PARAMETRES!$D$33,2,1)))))</f>
        <v/>
      </c>
      <c r="U29" t="str">
        <f>IF($M29="","",IF($M29&gt;PARAMETRES!$G$34,5,IF($M29&gt;PARAMETRES!$F$34,4,IF($M29&gt;PARAMETRES!$E$34,3,IF($M29&gt;PARAMETRES!$D$34,2,1)))))</f>
        <v/>
      </c>
      <c r="V29" t="str">
        <f>IF($N29="","",IF($N29&gt;PARAMETRES!$G$35,5,IF($N29&gt;PARAMETRES!$F$35,4,IF($N29&gt;PARAMETRES!$E$35,3,IF($N29&gt;PARAMETRES!$D$35,2,1)))))</f>
        <v/>
      </c>
      <c r="W29" t="str">
        <f>IF($O29="","",IF($O29&gt;PARAMETRES!$G$36,5,IF($O29&gt;PARAMETRES!$F$36,4,IF($O29&gt;PARAMETRES!$E$36,3,IF($O29&gt;PARAMETRES!$D$36,2,1)))))</f>
        <v/>
      </c>
      <c r="X29" t="str">
        <f>IF($P29="","",IF($P29&gt;PARAMETRES!$G$37,5,IF($P29&gt;PARAMETRES!$F$37,4,IF($P29&gt;PARAMETRES!$E$37,3,IF($P29&gt;PARAMETRES!$D$37,2,1)))))</f>
        <v/>
      </c>
      <c r="Y29" t="str">
        <f t="shared" si="0"/>
        <v/>
      </c>
      <c r="Z29" t="str">
        <f>IFERROR(VLOOKUP($B29,TABLE_CYCLE,2,0),"")</f>
        <v/>
      </c>
      <c r="AA29" t="str">
        <f t="shared" si="1"/>
        <v/>
      </c>
      <c r="AB29" t="str">
        <f>IF($D29="","",IF(COUNTIF($D$2:$D29,$D29)=1,$D29,""))</f>
        <v/>
      </c>
      <c r="AC29">
        <f t="shared" si="2"/>
        <v>0</v>
      </c>
      <c r="AD29" t="str">
        <f t="shared" si="3"/>
        <v>|0</v>
      </c>
      <c r="AE29" t="str">
        <f t="shared" si="4"/>
        <v/>
      </c>
      <c r="AF29" t="str">
        <f t="shared" si="5"/>
        <v/>
      </c>
      <c r="AG29" t="str">
        <f t="shared" si="6"/>
        <v/>
      </c>
      <c r="AH29" t="str">
        <f t="shared" si="7"/>
        <v/>
      </c>
      <c r="AI29" t="str">
        <f t="shared" si="8"/>
        <v/>
      </c>
      <c r="AJ29" t="str">
        <f t="shared" si="9"/>
        <v/>
      </c>
      <c r="AK29" t="str">
        <f t="shared" si="10"/>
        <v/>
      </c>
      <c r="AL29" t="str">
        <f t="shared" si="11"/>
        <v/>
      </c>
      <c r="AM29" t="str">
        <f t="shared" si="12"/>
        <v/>
      </c>
      <c r="AN29" t="str">
        <f t="shared" si="13"/>
        <v/>
      </c>
      <c r="AO29" t="str">
        <f t="shared" si="14"/>
        <v/>
      </c>
      <c r="AP29">
        <f t="shared" si="15"/>
        <v>1</v>
      </c>
      <c r="AQ29" t="str">
        <f>IF(SAISIE!$F34="","",SAISIE!$Y34)</f>
        <v/>
      </c>
      <c r="AR29" t="str">
        <f>IF(OR(SAISIE!$U$4="",SAISIE!$W$4=""),"",IF(AND($A29=SAISIE!$U$4,$B29=SAISIE!$W$4,$C29="S1"),COUNTIFS($A$2:$A29,SAISIE!$U$4,$B$2:$B29,SAISIE!$W$4,$C$2:$C29,"S1"),""))</f>
        <v/>
      </c>
      <c r="AS29" t="str">
        <f t="shared" si="16"/>
        <v/>
      </c>
      <c r="AT29" t="str">
        <f t="shared" si="17"/>
        <v/>
      </c>
      <c r="AU29" t="str">
        <f t="shared" si="18"/>
        <v/>
      </c>
      <c r="AV29">
        <f>N(AV28)+IF(AND($AB29&lt;&gt;"",OR('PROFIL ELEVE'!$K$4="(Tous)",$AF29='PROFIL ELEVE'!$K$4)),1,0)</f>
        <v>0</v>
      </c>
      <c r="AW29">
        <f>N(AW28)+IF(AND($AB29&lt;&gt;"",OR('SUIVI LONGITUDINAL'!$Q$4="(Tous)",$AF29='SUIVI LONGITUDINAL'!$Q$4)),1,0)</f>
        <v>0</v>
      </c>
      <c r="AX29">
        <f t="shared" si="19"/>
        <v>0</v>
      </c>
      <c r="AY29">
        <f t="shared" si="20"/>
        <v>0</v>
      </c>
      <c r="AZ29">
        <f t="shared" si="21"/>
        <v>0</v>
      </c>
      <c r="BA29" t="str">
        <f t="shared" si="22"/>
        <v/>
      </c>
      <c r="BB29" t="str">
        <f t="shared" si="23"/>
        <v/>
      </c>
    </row>
    <row r="30" spans="1:54" ht="14.25" customHeight="1" x14ac:dyDescent="0.3">
      <c r="A30" t="str">
        <f>IF(SAISIE!$F35="","",SAISIE!$B35)</f>
        <v/>
      </c>
      <c r="B30" t="str">
        <f>IF(SAISIE!$F35="","",SAISIE!$C35)</f>
        <v/>
      </c>
      <c r="C30" t="str">
        <f>IF(SAISIE!$F35="","",SAISIE!$D35)</f>
        <v/>
      </c>
      <c r="D30" t="str">
        <f>IF(SAISIE!$E35="","",SAISIE!$E35)</f>
        <v/>
      </c>
      <c r="E30" t="str">
        <f>IF(SAISIE!$F35="","",SAISIE!$F35)</f>
        <v/>
      </c>
      <c r="F30" t="str">
        <f>IF(SAISIE!$G35="","",SAISIE!$G35)</f>
        <v/>
      </c>
      <c r="G30" t="str">
        <f>IF(SAISIE!$H35="","",SAISIE!$H35)</f>
        <v/>
      </c>
      <c r="H30" t="str">
        <f>IF(SAISIE!$I35="","",SAISIE!$I35)</f>
        <v/>
      </c>
      <c r="I30" t="str">
        <f>IF(SAISIE!$J35="","",SAISIE!$J35)</f>
        <v/>
      </c>
      <c r="J30" t="str">
        <f>IF(SAISIE!$K35="","",SAISIE!$K35)</f>
        <v/>
      </c>
      <c r="K30" t="str">
        <f>IF(SAISIE!$L35="","",SAISIE!$L35)</f>
        <v/>
      </c>
      <c r="L30" t="str">
        <f>IF(SAISIE!$M35="","",SAISIE!$M35)</f>
        <v/>
      </c>
      <c r="M30" t="str">
        <f>IF(SAISIE!$N35="","",SAISIE!$N35)</f>
        <v/>
      </c>
      <c r="N30" t="str">
        <f>IF(SAISIE!$O35="","",SAISIE!$O35)</f>
        <v/>
      </c>
      <c r="O30" t="str">
        <f>IF(SAISIE!$P35="","",SAISIE!$P35)</f>
        <v/>
      </c>
      <c r="P30" t="str">
        <f>IF(SAISIE!$Q35="","",SAISIE!$Q35)</f>
        <v/>
      </c>
      <c r="Q30" t="str">
        <f>IF($I30="","",IF($I30&gt;PARAMETRES!$G$29,5,IF($I30&gt;PARAMETRES!$F$29,4,IF($I30&gt;PARAMETRES!$E$29,3,IF($I30&gt;PARAMETRES!$D$29,2,1)))))</f>
        <v/>
      </c>
      <c r="R30" t="str">
        <f>IF($J30="","",IF($J30&gt;PARAMETRES!$G$30,5,IF($J30&gt;PARAMETRES!$F$30,4,IF($J30&gt;PARAMETRES!$E$30,3,IF($J30&gt;PARAMETRES!$D$30,2,1)))))</f>
        <v/>
      </c>
      <c r="S30" t="str">
        <f>IF($K30="","",IF($Z30=2,IF($K30&gt;PARAMETRES!$G$31,5,IF($K30&gt;PARAMETRES!$F$31,4,IF($K30&gt;PARAMETRES!$E$31,3,IF($K30&gt;PARAMETRES!$D$31,2,1)))),IF($K30&gt;PARAMETRES!$G$32,5,IF($K30&gt;PARAMETRES!$F$32,4,IF($K30&gt;PARAMETRES!$E$32,3,IF($K30&gt;PARAMETRES!$D$32,2,1))))))</f>
        <v/>
      </c>
      <c r="T30" t="str">
        <f>IF($L30="","",IF($L30&gt;PARAMETRES!$G$33,5,IF($L30&gt;PARAMETRES!$F$33,4,IF($L30&gt;PARAMETRES!$E$33,3,IF($L30&gt;PARAMETRES!$D$33,2,1)))))</f>
        <v/>
      </c>
      <c r="U30" t="str">
        <f>IF($M30="","",IF($M30&gt;PARAMETRES!$G$34,5,IF($M30&gt;PARAMETRES!$F$34,4,IF($M30&gt;PARAMETRES!$E$34,3,IF($M30&gt;PARAMETRES!$D$34,2,1)))))</f>
        <v/>
      </c>
      <c r="V30" t="str">
        <f>IF($N30="","",IF($N30&gt;PARAMETRES!$G$35,5,IF($N30&gt;PARAMETRES!$F$35,4,IF($N30&gt;PARAMETRES!$E$35,3,IF($N30&gt;PARAMETRES!$D$35,2,1)))))</f>
        <v/>
      </c>
      <c r="W30" t="str">
        <f>IF($O30="","",IF($O30&gt;PARAMETRES!$G$36,5,IF($O30&gt;PARAMETRES!$F$36,4,IF($O30&gt;PARAMETRES!$E$36,3,IF($O30&gt;PARAMETRES!$D$36,2,1)))))</f>
        <v/>
      </c>
      <c r="X30" t="str">
        <f>IF($P30="","",IF($P30&gt;PARAMETRES!$G$37,5,IF($P30&gt;PARAMETRES!$F$37,4,IF($P30&gt;PARAMETRES!$E$37,3,IF($P30&gt;PARAMETRES!$D$37,2,1)))))</f>
        <v/>
      </c>
      <c r="Y30" t="str">
        <f t="shared" si="0"/>
        <v/>
      </c>
      <c r="Z30" t="str">
        <f>IFERROR(VLOOKUP($B30,TABLE_CYCLE,2,0),"")</f>
        <v/>
      </c>
      <c r="AA30" t="str">
        <f t="shared" si="1"/>
        <v/>
      </c>
      <c r="AB30" t="str">
        <f>IF($D30="","",IF(COUNTIF($D$2:$D30,$D30)=1,$D30,""))</f>
        <v/>
      </c>
      <c r="AC30">
        <f t="shared" si="2"/>
        <v>0</v>
      </c>
      <c r="AD30" t="str">
        <f t="shared" si="3"/>
        <v>|0</v>
      </c>
      <c r="AE30" t="str">
        <f t="shared" si="4"/>
        <v/>
      </c>
      <c r="AF30" t="str">
        <f t="shared" si="5"/>
        <v/>
      </c>
      <c r="AG30" t="str">
        <f t="shared" si="6"/>
        <v/>
      </c>
      <c r="AH30" t="str">
        <f t="shared" si="7"/>
        <v/>
      </c>
      <c r="AI30" t="str">
        <f t="shared" si="8"/>
        <v/>
      </c>
      <c r="AJ30" t="str">
        <f t="shared" si="9"/>
        <v/>
      </c>
      <c r="AK30" t="str">
        <f t="shared" si="10"/>
        <v/>
      </c>
      <c r="AL30" t="str">
        <f t="shared" si="11"/>
        <v/>
      </c>
      <c r="AM30" t="str">
        <f t="shared" si="12"/>
        <v/>
      </c>
      <c r="AN30" t="str">
        <f t="shared" si="13"/>
        <v/>
      </c>
      <c r="AO30" t="str">
        <f t="shared" si="14"/>
        <v/>
      </c>
      <c r="AP30">
        <f t="shared" si="15"/>
        <v>1</v>
      </c>
      <c r="AQ30" t="str">
        <f>IF(SAISIE!$F35="","",SAISIE!$Y35)</f>
        <v/>
      </c>
      <c r="AR30" t="str">
        <f>IF(OR(SAISIE!$U$4="",SAISIE!$W$4=""),"",IF(AND($A30=SAISIE!$U$4,$B30=SAISIE!$W$4,$C30="S1"),COUNTIFS($A$2:$A30,SAISIE!$U$4,$B$2:$B30,SAISIE!$W$4,$C$2:$C30,"S1"),""))</f>
        <v/>
      </c>
      <c r="AS30" t="str">
        <f t="shared" si="16"/>
        <v/>
      </c>
      <c r="AT30" t="str">
        <f t="shared" si="17"/>
        <v/>
      </c>
      <c r="AU30" t="str">
        <f t="shared" si="18"/>
        <v/>
      </c>
      <c r="AV30">
        <f>N(AV29)+IF(AND($AB30&lt;&gt;"",OR('PROFIL ELEVE'!$K$4="(Tous)",$AF30='PROFIL ELEVE'!$K$4)),1,0)</f>
        <v>0</v>
      </c>
      <c r="AW30">
        <f>N(AW29)+IF(AND($AB30&lt;&gt;"",OR('SUIVI LONGITUDINAL'!$Q$4="(Tous)",$AF30='SUIVI LONGITUDINAL'!$Q$4)),1,0)</f>
        <v>0</v>
      </c>
      <c r="AX30">
        <f t="shared" si="19"/>
        <v>0</v>
      </c>
      <c r="AY30">
        <f t="shared" si="20"/>
        <v>0</v>
      </c>
      <c r="AZ30">
        <f t="shared" si="21"/>
        <v>0</v>
      </c>
      <c r="BA30" t="str">
        <f t="shared" si="22"/>
        <v/>
      </c>
      <c r="BB30" t="str">
        <f t="shared" si="23"/>
        <v/>
      </c>
    </row>
    <row r="31" spans="1:54" ht="14.25" customHeight="1" x14ac:dyDescent="0.3">
      <c r="A31" t="str">
        <f>IF(SAISIE!$F36="","",SAISIE!$B36)</f>
        <v/>
      </c>
      <c r="B31" t="str">
        <f>IF(SAISIE!$F36="","",SAISIE!$C36)</f>
        <v/>
      </c>
      <c r="C31" t="str">
        <f>IF(SAISIE!$F36="","",SAISIE!$D36)</f>
        <v/>
      </c>
      <c r="D31" t="str">
        <f>IF(SAISIE!$E36="","",SAISIE!$E36)</f>
        <v/>
      </c>
      <c r="E31" t="str">
        <f>IF(SAISIE!$F36="","",SAISIE!$F36)</f>
        <v/>
      </c>
      <c r="F31" t="str">
        <f>IF(SAISIE!$G36="","",SAISIE!$G36)</f>
        <v/>
      </c>
      <c r="G31" t="str">
        <f>IF(SAISIE!$H36="","",SAISIE!$H36)</f>
        <v/>
      </c>
      <c r="H31" t="str">
        <f>IF(SAISIE!$I36="","",SAISIE!$I36)</f>
        <v/>
      </c>
      <c r="I31" t="str">
        <f>IF(SAISIE!$J36="","",SAISIE!$J36)</f>
        <v/>
      </c>
      <c r="J31" t="str">
        <f>IF(SAISIE!$K36="","",SAISIE!$K36)</f>
        <v/>
      </c>
      <c r="K31" t="str">
        <f>IF(SAISIE!$L36="","",SAISIE!$L36)</f>
        <v/>
      </c>
      <c r="L31" t="str">
        <f>IF(SAISIE!$M36="","",SAISIE!$M36)</f>
        <v/>
      </c>
      <c r="M31" t="str">
        <f>IF(SAISIE!$N36="","",SAISIE!$N36)</f>
        <v/>
      </c>
      <c r="N31" t="str">
        <f>IF(SAISIE!$O36="","",SAISIE!$O36)</f>
        <v/>
      </c>
      <c r="O31" t="str">
        <f>IF(SAISIE!$P36="","",SAISIE!$P36)</f>
        <v/>
      </c>
      <c r="P31" t="str">
        <f>IF(SAISIE!$Q36="","",SAISIE!$Q36)</f>
        <v/>
      </c>
      <c r="Q31" t="str">
        <f>IF($I31="","",IF($I31&gt;PARAMETRES!$G$29,5,IF($I31&gt;PARAMETRES!$F$29,4,IF($I31&gt;PARAMETRES!$E$29,3,IF($I31&gt;PARAMETRES!$D$29,2,1)))))</f>
        <v/>
      </c>
      <c r="R31" t="str">
        <f>IF($J31="","",IF($J31&gt;PARAMETRES!$G$30,5,IF($J31&gt;PARAMETRES!$F$30,4,IF($J31&gt;PARAMETRES!$E$30,3,IF($J31&gt;PARAMETRES!$D$30,2,1)))))</f>
        <v/>
      </c>
      <c r="S31" t="str">
        <f>IF($K31="","",IF($Z31=2,IF($K31&gt;PARAMETRES!$G$31,5,IF($K31&gt;PARAMETRES!$F$31,4,IF($K31&gt;PARAMETRES!$E$31,3,IF($K31&gt;PARAMETRES!$D$31,2,1)))),IF($K31&gt;PARAMETRES!$G$32,5,IF($K31&gt;PARAMETRES!$F$32,4,IF($K31&gt;PARAMETRES!$E$32,3,IF($K31&gt;PARAMETRES!$D$32,2,1))))))</f>
        <v/>
      </c>
      <c r="T31" t="str">
        <f>IF($L31="","",IF($L31&gt;PARAMETRES!$G$33,5,IF($L31&gt;PARAMETRES!$F$33,4,IF($L31&gt;PARAMETRES!$E$33,3,IF($L31&gt;PARAMETRES!$D$33,2,1)))))</f>
        <v/>
      </c>
      <c r="U31" t="str">
        <f>IF($M31="","",IF($M31&gt;PARAMETRES!$G$34,5,IF($M31&gt;PARAMETRES!$F$34,4,IF($M31&gt;PARAMETRES!$E$34,3,IF($M31&gt;PARAMETRES!$D$34,2,1)))))</f>
        <v/>
      </c>
      <c r="V31" t="str">
        <f>IF($N31="","",IF($N31&gt;PARAMETRES!$G$35,5,IF($N31&gt;PARAMETRES!$F$35,4,IF($N31&gt;PARAMETRES!$E$35,3,IF($N31&gt;PARAMETRES!$D$35,2,1)))))</f>
        <v/>
      </c>
      <c r="W31" t="str">
        <f>IF($O31="","",IF($O31&gt;PARAMETRES!$G$36,5,IF($O31&gt;PARAMETRES!$F$36,4,IF($O31&gt;PARAMETRES!$E$36,3,IF($O31&gt;PARAMETRES!$D$36,2,1)))))</f>
        <v/>
      </c>
      <c r="X31" t="str">
        <f>IF($P31="","",IF($P31&gt;PARAMETRES!$G$37,5,IF($P31&gt;PARAMETRES!$F$37,4,IF($P31&gt;PARAMETRES!$E$37,3,IF($P31&gt;PARAMETRES!$D$37,2,1)))))</f>
        <v/>
      </c>
      <c r="Y31" t="str">
        <f t="shared" si="0"/>
        <v/>
      </c>
      <c r="Z31" t="str">
        <f>IFERROR(VLOOKUP($B31,TABLE_CYCLE,2,0),"")</f>
        <v/>
      </c>
      <c r="AA31" t="str">
        <f t="shared" si="1"/>
        <v/>
      </c>
      <c r="AB31" t="str">
        <f>IF($D31="","",IF(COUNTIF($D$2:$D31,$D31)=1,$D31,""))</f>
        <v/>
      </c>
      <c r="AC31">
        <f t="shared" si="2"/>
        <v>0</v>
      </c>
      <c r="AD31" t="str">
        <f t="shared" si="3"/>
        <v>|0</v>
      </c>
      <c r="AE31" t="str">
        <f t="shared" si="4"/>
        <v/>
      </c>
      <c r="AF31" t="str">
        <f t="shared" si="5"/>
        <v/>
      </c>
      <c r="AG31" t="str">
        <f t="shared" si="6"/>
        <v/>
      </c>
      <c r="AH31" t="str">
        <f t="shared" si="7"/>
        <v/>
      </c>
      <c r="AI31" t="str">
        <f t="shared" si="8"/>
        <v/>
      </c>
      <c r="AJ31" t="str">
        <f t="shared" si="9"/>
        <v/>
      </c>
      <c r="AK31" t="str">
        <f t="shared" si="10"/>
        <v/>
      </c>
      <c r="AL31" t="str">
        <f t="shared" si="11"/>
        <v/>
      </c>
      <c r="AM31" t="str">
        <f t="shared" si="12"/>
        <v/>
      </c>
      <c r="AN31" t="str">
        <f t="shared" si="13"/>
        <v/>
      </c>
      <c r="AO31" t="str">
        <f t="shared" si="14"/>
        <v/>
      </c>
      <c r="AP31">
        <f t="shared" si="15"/>
        <v>1</v>
      </c>
      <c r="AQ31" t="str">
        <f>IF(SAISIE!$F36="","",SAISIE!$Y36)</f>
        <v/>
      </c>
      <c r="AR31" t="str">
        <f>IF(OR(SAISIE!$U$4="",SAISIE!$W$4=""),"",IF(AND($A31=SAISIE!$U$4,$B31=SAISIE!$W$4,$C31="S1"),COUNTIFS($A$2:$A31,SAISIE!$U$4,$B$2:$B31,SAISIE!$W$4,$C$2:$C31,"S1"),""))</f>
        <v/>
      </c>
      <c r="AS31" t="str">
        <f t="shared" si="16"/>
        <v/>
      </c>
      <c r="AT31" t="str">
        <f t="shared" si="17"/>
        <v/>
      </c>
      <c r="AU31" t="str">
        <f t="shared" si="18"/>
        <v/>
      </c>
      <c r="AV31">
        <f>N(AV30)+IF(AND($AB31&lt;&gt;"",OR('PROFIL ELEVE'!$K$4="(Tous)",$AF31='PROFIL ELEVE'!$K$4)),1,0)</f>
        <v>0</v>
      </c>
      <c r="AW31">
        <f>N(AW30)+IF(AND($AB31&lt;&gt;"",OR('SUIVI LONGITUDINAL'!$Q$4="(Tous)",$AF31='SUIVI LONGITUDINAL'!$Q$4)),1,0)</f>
        <v>0</v>
      </c>
      <c r="AX31">
        <f t="shared" si="19"/>
        <v>0</v>
      </c>
      <c r="AY31">
        <f t="shared" si="20"/>
        <v>0</v>
      </c>
      <c r="AZ31">
        <f t="shared" si="21"/>
        <v>0</v>
      </c>
      <c r="BA31" t="str">
        <f t="shared" si="22"/>
        <v/>
      </c>
      <c r="BB31" t="str">
        <f t="shared" si="23"/>
        <v/>
      </c>
    </row>
    <row r="32" spans="1:54" ht="14.25" customHeight="1" x14ac:dyDescent="0.3">
      <c r="A32" t="str">
        <f>IF(SAISIE!$F37="","",SAISIE!$B37)</f>
        <v/>
      </c>
      <c r="B32" t="str">
        <f>IF(SAISIE!$F37="","",SAISIE!$C37)</f>
        <v/>
      </c>
      <c r="C32" t="str">
        <f>IF(SAISIE!$F37="","",SAISIE!$D37)</f>
        <v/>
      </c>
      <c r="D32" t="str">
        <f>IF(SAISIE!$E37="","",SAISIE!$E37)</f>
        <v/>
      </c>
      <c r="E32" t="str">
        <f>IF(SAISIE!$F37="","",SAISIE!$F37)</f>
        <v/>
      </c>
      <c r="F32" t="str">
        <f>IF(SAISIE!$G37="","",SAISIE!$G37)</f>
        <v/>
      </c>
      <c r="G32" t="str">
        <f>IF(SAISIE!$H37="","",SAISIE!$H37)</f>
        <v/>
      </c>
      <c r="H32" t="str">
        <f>IF(SAISIE!$I37="","",SAISIE!$I37)</f>
        <v/>
      </c>
      <c r="I32" t="str">
        <f>IF(SAISIE!$J37="","",SAISIE!$J37)</f>
        <v/>
      </c>
      <c r="J32" t="str">
        <f>IF(SAISIE!$K37="","",SAISIE!$K37)</f>
        <v/>
      </c>
      <c r="K32" t="str">
        <f>IF(SAISIE!$L37="","",SAISIE!$L37)</f>
        <v/>
      </c>
      <c r="L32" t="str">
        <f>IF(SAISIE!$M37="","",SAISIE!$M37)</f>
        <v/>
      </c>
      <c r="M32" t="str">
        <f>IF(SAISIE!$N37="","",SAISIE!$N37)</f>
        <v/>
      </c>
      <c r="N32" t="str">
        <f>IF(SAISIE!$O37="","",SAISIE!$O37)</f>
        <v/>
      </c>
      <c r="O32" t="str">
        <f>IF(SAISIE!$P37="","",SAISIE!$P37)</f>
        <v/>
      </c>
      <c r="P32" t="str">
        <f>IF(SAISIE!$Q37="","",SAISIE!$Q37)</f>
        <v/>
      </c>
      <c r="Q32" t="str">
        <f>IF($I32="","",IF($I32&gt;PARAMETRES!$G$29,5,IF($I32&gt;PARAMETRES!$F$29,4,IF($I32&gt;PARAMETRES!$E$29,3,IF($I32&gt;PARAMETRES!$D$29,2,1)))))</f>
        <v/>
      </c>
      <c r="R32" t="str">
        <f>IF($J32="","",IF($J32&gt;PARAMETRES!$G$30,5,IF($J32&gt;PARAMETRES!$F$30,4,IF($J32&gt;PARAMETRES!$E$30,3,IF($J32&gt;PARAMETRES!$D$30,2,1)))))</f>
        <v/>
      </c>
      <c r="S32" t="str">
        <f>IF($K32="","",IF($Z32=2,IF($K32&gt;PARAMETRES!$G$31,5,IF($K32&gt;PARAMETRES!$F$31,4,IF($K32&gt;PARAMETRES!$E$31,3,IF($K32&gt;PARAMETRES!$D$31,2,1)))),IF($K32&gt;PARAMETRES!$G$32,5,IF($K32&gt;PARAMETRES!$F$32,4,IF($K32&gt;PARAMETRES!$E$32,3,IF($K32&gt;PARAMETRES!$D$32,2,1))))))</f>
        <v/>
      </c>
      <c r="T32" t="str">
        <f>IF($L32="","",IF($L32&gt;PARAMETRES!$G$33,5,IF($L32&gt;PARAMETRES!$F$33,4,IF($L32&gt;PARAMETRES!$E$33,3,IF($L32&gt;PARAMETRES!$D$33,2,1)))))</f>
        <v/>
      </c>
      <c r="U32" t="str">
        <f>IF($M32="","",IF($M32&gt;PARAMETRES!$G$34,5,IF($M32&gt;PARAMETRES!$F$34,4,IF($M32&gt;PARAMETRES!$E$34,3,IF($M32&gt;PARAMETRES!$D$34,2,1)))))</f>
        <v/>
      </c>
      <c r="V32" t="str">
        <f>IF($N32="","",IF($N32&gt;PARAMETRES!$G$35,5,IF($N32&gt;PARAMETRES!$F$35,4,IF($N32&gt;PARAMETRES!$E$35,3,IF($N32&gt;PARAMETRES!$D$35,2,1)))))</f>
        <v/>
      </c>
      <c r="W32" t="str">
        <f>IF($O32="","",IF($O32&gt;PARAMETRES!$G$36,5,IF($O32&gt;PARAMETRES!$F$36,4,IF($O32&gt;PARAMETRES!$E$36,3,IF($O32&gt;PARAMETRES!$D$36,2,1)))))</f>
        <v/>
      </c>
      <c r="X32" t="str">
        <f>IF($P32="","",IF($P32&gt;PARAMETRES!$G$37,5,IF($P32&gt;PARAMETRES!$F$37,4,IF($P32&gt;PARAMETRES!$E$37,3,IF($P32&gt;PARAMETRES!$D$37,2,1)))))</f>
        <v/>
      </c>
      <c r="Y32" t="str">
        <f t="shared" si="0"/>
        <v/>
      </c>
      <c r="Z32" t="str">
        <f>IFERROR(VLOOKUP($B32,TABLE_CYCLE,2,0),"")</f>
        <v/>
      </c>
      <c r="AA32" t="str">
        <f t="shared" si="1"/>
        <v/>
      </c>
      <c r="AB32" t="str">
        <f>IF($D32="","",IF(COUNTIF($D$2:$D32,$D32)=1,$D32,""))</f>
        <v/>
      </c>
      <c r="AC32">
        <f t="shared" si="2"/>
        <v>0</v>
      </c>
      <c r="AD32" t="str">
        <f t="shared" si="3"/>
        <v>|0</v>
      </c>
      <c r="AE32" t="str">
        <f t="shared" si="4"/>
        <v/>
      </c>
      <c r="AF32" t="str">
        <f t="shared" si="5"/>
        <v/>
      </c>
      <c r="AG32" t="str">
        <f t="shared" si="6"/>
        <v/>
      </c>
      <c r="AH32" t="str">
        <f t="shared" si="7"/>
        <v/>
      </c>
      <c r="AI32" t="str">
        <f t="shared" si="8"/>
        <v/>
      </c>
      <c r="AJ32" t="str">
        <f t="shared" si="9"/>
        <v/>
      </c>
      <c r="AK32" t="str">
        <f t="shared" si="10"/>
        <v/>
      </c>
      <c r="AL32" t="str">
        <f t="shared" si="11"/>
        <v/>
      </c>
      <c r="AM32" t="str">
        <f t="shared" si="12"/>
        <v/>
      </c>
      <c r="AN32" t="str">
        <f t="shared" si="13"/>
        <v/>
      </c>
      <c r="AO32" t="str">
        <f t="shared" si="14"/>
        <v/>
      </c>
      <c r="AP32">
        <f t="shared" si="15"/>
        <v>1</v>
      </c>
      <c r="AQ32" t="str">
        <f>IF(SAISIE!$F37="","",SAISIE!$Y37)</f>
        <v/>
      </c>
      <c r="AR32" t="str">
        <f>IF(OR(SAISIE!$U$4="",SAISIE!$W$4=""),"",IF(AND($A32=SAISIE!$U$4,$B32=SAISIE!$W$4,$C32="S1"),COUNTIFS($A$2:$A32,SAISIE!$U$4,$B$2:$B32,SAISIE!$W$4,$C$2:$C32,"S1"),""))</f>
        <v/>
      </c>
      <c r="AS32" t="str">
        <f t="shared" si="16"/>
        <v/>
      </c>
      <c r="AT32" t="str">
        <f t="shared" si="17"/>
        <v/>
      </c>
      <c r="AU32" t="str">
        <f t="shared" si="18"/>
        <v/>
      </c>
      <c r="AV32">
        <f>N(AV31)+IF(AND($AB32&lt;&gt;"",OR('PROFIL ELEVE'!$K$4="(Tous)",$AF32='PROFIL ELEVE'!$K$4)),1,0)</f>
        <v>0</v>
      </c>
      <c r="AW32">
        <f>N(AW31)+IF(AND($AB32&lt;&gt;"",OR('SUIVI LONGITUDINAL'!$Q$4="(Tous)",$AF32='SUIVI LONGITUDINAL'!$Q$4)),1,0)</f>
        <v>0</v>
      </c>
      <c r="AX32">
        <f t="shared" si="19"/>
        <v>0</v>
      </c>
      <c r="AY32">
        <f t="shared" si="20"/>
        <v>0</v>
      </c>
      <c r="AZ32">
        <f t="shared" si="21"/>
        <v>0</v>
      </c>
      <c r="BA32" t="str">
        <f t="shared" si="22"/>
        <v/>
      </c>
      <c r="BB32" t="str">
        <f t="shared" si="23"/>
        <v/>
      </c>
    </row>
    <row r="33" spans="1:54" ht="14.25" customHeight="1" x14ac:dyDescent="0.3">
      <c r="A33" t="str">
        <f>IF(SAISIE!$F38="","",SAISIE!$B38)</f>
        <v/>
      </c>
      <c r="B33" t="str">
        <f>IF(SAISIE!$F38="","",SAISIE!$C38)</f>
        <v/>
      </c>
      <c r="C33" t="str">
        <f>IF(SAISIE!$F38="","",SAISIE!$D38)</f>
        <v/>
      </c>
      <c r="D33" t="str">
        <f>IF(SAISIE!$E38="","",SAISIE!$E38)</f>
        <v/>
      </c>
      <c r="E33" t="str">
        <f>IF(SAISIE!$F38="","",SAISIE!$F38)</f>
        <v/>
      </c>
      <c r="F33" t="str">
        <f>IF(SAISIE!$G38="","",SAISIE!$G38)</f>
        <v/>
      </c>
      <c r="G33" t="str">
        <f>IF(SAISIE!$H38="","",SAISIE!$H38)</f>
        <v/>
      </c>
      <c r="H33" t="str">
        <f>IF(SAISIE!$I38="","",SAISIE!$I38)</f>
        <v/>
      </c>
      <c r="I33" t="str">
        <f>IF(SAISIE!$J38="","",SAISIE!$J38)</f>
        <v/>
      </c>
      <c r="J33" t="str">
        <f>IF(SAISIE!$K38="","",SAISIE!$K38)</f>
        <v/>
      </c>
      <c r="K33" t="str">
        <f>IF(SAISIE!$L38="","",SAISIE!$L38)</f>
        <v/>
      </c>
      <c r="L33" t="str">
        <f>IF(SAISIE!$M38="","",SAISIE!$M38)</f>
        <v/>
      </c>
      <c r="M33" t="str">
        <f>IF(SAISIE!$N38="","",SAISIE!$N38)</f>
        <v/>
      </c>
      <c r="N33" t="str">
        <f>IF(SAISIE!$O38="","",SAISIE!$O38)</f>
        <v/>
      </c>
      <c r="O33" t="str">
        <f>IF(SAISIE!$P38="","",SAISIE!$P38)</f>
        <v/>
      </c>
      <c r="P33" t="str">
        <f>IF(SAISIE!$Q38="","",SAISIE!$Q38)</f>
        <v/>
      </c>
      <c r="Q33" t="str">
        <f>IF($I33="","",IF($I33&gt;PARAMETRES!$G$29,5,IF($I33&gt;PARAMETRES!$F$29,4,IF($I33&gt;PARAMETRES!$E$29,3,IF($I33&gt;PARAMETRES!$D$29,2,1)))))</f>
        <v/>
      </c>
      <c r="R33" t="str">
        <f>IF($J33="","",IF($J33&gt;PARAMETRES!$G$30,5,IF($J33&gt;PARAMETRES!$F$30,4,IF($J33&gt;PARAMETRES!$E$30,3,IF($J33&gt;PARAMETRES!$D$30,2,1)))))</f>
        <v/>
      </c>
      <c r="S33" t="str">
        <f>IF($K33="","",IF($Z33=2,IF($K33&gt;PARAMETRES!$G$31,5,IF($K33&gt;PARAMETRES!$F$31,4,IF($K33&gt;PARAMETRES!$E$31,3,IF($K33&gt;PARAMETRES!$D$31,2,1)))),IF($K33&gt;PARAMETRES!$G$32,5,IF($K33&gt;PARAMETRES!$F$32,4,IF($K33&gt;PARAMETRES!$E$32,3,IF($K33&gt;PARAMETRES!$D$32,2,1))))))</f>
        <v/>
      </c>
      <c r="T33" t="str">
        <f>IF($L33="","",IF($L33&gt;PARAMETRES!$G$33,5,IF($L33&gt;PARAMETRES!$F$33,4,IF($L33&gt;PARAMETRES!$E$33,3,IF($L33&gt;PARAMETRES!$D$33,2,1)))))</f>
        <v/>
      </c>
      <c r="U33" t="str">
        <f>IF($M33="","",IF($M33&gt;PARAMETRES!$G$34,5,IF($M33&gt;PARAMETRES!$F$34,4,IF($M33&gt;PARAMETRES!$E$34,3,IF($M33&gt;PARAMETRES!$D$34,2,1)))))</f>
        <v/>
      </c>
      <c r="V33" t="str">
        <f>IF($N33="","",IF($N33&gt;PARAMETRES!$G$35,5,IF($N33&gt;PARAMETRES!$F$35,4,IF($N33&gt;PARAMETRES!$E$35,3,IF($N33&gt;PARAMETRES!$D$35,2,1)))))</f>
        <v/>
      </c>
      <c r="W33" t="str">
        <f>IF($O33="","",IF($O33&gt;PARAMETRES!$G$36,5,IF($O33&gt;PARAMETRES!$F$36,4,IF($O33&gt;PARAMETRES!$E$36,3,IF($O33&gt;PARAMETRES!$D$36,2,1)))))</f>
        <v/>
      </c>
      <c r="X33" t="str">
        <f>IF($P33="","",IF($P33&gt;PARAMETRES!$G$37,5,IF($P33&gt;PARAMETRES!$F$37,4,IF($P33&gt;PARAMETRES!$E$37,3,IF($P33&gt;PARAMETRES!$D$37,2,1)))))</f>
        <v/>
      </c>
      <c r="Y33" t="str">
        <f t="shared" si="0"/>
        <v/>
      </c>
      <c r="Z33" t="str">
        <f>IFERROR(VLOOKUP($B33,TABLE_CYCLE,2,0),"")</f>
        <v/>
      </c>
      <c r="AA33" t="str">
        <f t="shared" si="1"/>
        <v/>
      </c>
      <c r="AB33" t="str">
        <f>IF($D33="","",IF(COUNTIF($D$2:$D33,$D33)=1,$D33,""))</f>
        <v/>
      </c>
      <c r="AC33">
        <f t="shared" si="2"/>
        <v>0</v>
      </c>
      <c r="AD33" t="str">
        <f t="shared" si="3"/>
        <v>|0</v>
      </c>
      <c r="AE33" t="str">
        <f t="shared" si="4"/>
        <v/>
      </c>
      <c r="AF33" t="str">
        <f t="shared" si="5"/>
        <v/>
      </c>
      <c r="AG33" t="str">
        <f t="shared" si="6"/>
        <v/>
      </c>
      <c r="AH33" t="str">
        <f t="shared" si="7"/>
        <v/>
      </c>
      <c r="AI33" t="str">
        <f t="shared" si="8"/>
        <v/>
      </c>
      <c r="AJ33" t="str">
        <f t="shared" si="9"/>
        <v/>
      </c>
      <c r="AK33" t="str">
        <f t="shared" si="10"/>
        <v/>
      </c>
      <c r="AL33" t="str">
        <f t="shared" si="11"/>
        <v/>
      </c>
      <c r="AM33" t="str">
        <f t="shared" si="12"/>
        <v/>
      </c>
      <c r="AN33" t="str">
        <f t="shared" si="13"/>
        <v/>
      </c>
      <c r="AO33" t="str">
        <f t="shared" si="14"/>
        <v/>
      </c>
      <c r="AP33">
        <f t="shared" si="15"/>
        <v>1</v>
      </c>
      <c r="AQ33" t="str">
        <f>IF(SAISIE!$F38="","",SAISIE!$Y38)</f>
        <v/>
      </c>
      <c r="AR33" t="str">
        <f>IF(OR(SAISIE!$U$4="",SAISIE!$W$4=""),"",IF(AND($A33=SAISIE!$U$4,$B33=SAISIE!$W$4,$C33="S1"),COUNTIFS($A$2:$A33,SAISIE!$U$4,$B$2:$B33,SAISIE!$W$4,$C$2:$C33,"S1"),""))</f>
        <v/>
      </c>
      <c r="AS33" t="str">
        <f t="shared" si="16"/>
        <v/>
      </c>
      <c r="AT33" t="str">
        <f t="shared" si="17"/>
        <v/>
      </c>
      <c r="AU33" t="str">
        <f t="shared" si="18"/>
        <v/>
      </c>
      <c r="AV33">
        <f>N(AV32)+IF(AND($AB33&lt;&gt;"",OR('PROFIL ELEVE'!$K$4="(Tous)",$AF33='PROFIL ELEVE'!$K$4)),1,0)</f>
        <v>0</v>
      </c>
      <c r="AW33">
        <f>N(AW32)+IF(AND($AB33&lt;&gt;"",OR('SUIVI LONGITUDINAL'!$Q$4="(Tous)",$AF33='SUIVI LONGITUDINAL'!$Q$4)),1,0)</f>
        <v>0</v>
      </c>
      <c r="AX33">
        <f t="shared" si="19"/>
        <v>0</v>
      </c>
      <c r="AY33">
        <f t="shared" si="20"/>
        <v>0</v>
      </c>
      <c r="AZ33">
        <f t="shared" si="21"/>
        <v>0</v>
      </c>
      <c r="BA33" t="str">
        <f t="shared" si="22"/>
        <v/>
      </c>
      <c r="BB33" t="str">
        <f t="shared" si="23"/>
        <v/>
      </c>
    </row>
    <row r="34" spans="1:54" ht="14.25" customHeight="1" x14ac:dyDescent="0.3">
      <c r="A34" t="str">
        <f>IF(SAISIE!$F39="","",SAISIE!$B39)</f>
        <v/>
      </c>
      <c r="B34" t="str">
        <f>IF(SAISIE!$F39="","",SAISIE!$C39)</f>
        <v/>
      </c>
      <c r="C34" t="str">
        <f>IF(SAISIE!$F39="","",SAISIE!$D39)</f>
        <v/>
      </c>
      <c r="D34" t="str">
        <f>IF(SAISIE!$E39="","",SAISIE!$E39)</f>
        <v/>
      </c>
      <c r="E34" t="str">
        <f>IF(SAISIE!$F39="","",SAISIE!$F39)</f>
        <v/>
      </c>
      <c r="F34" t="str">
        <f>IF(SAISIE!$G39="","",SAISIE!$G39)</f>
        <v/>
      </c>
      <c r="G34" t="str">
        <f>IF(SAISIE!$H39="","",SAISIE!$H39)</f>
        <v/>
      </c>
      <c r="H34" t="str">
        <f>IF(SAISIE!$I39="","",SAISIE!$I39)</f>
        <v/>
      </c>
      <c r="I34" t="str">
        <f>IF(SAISIE!$J39="","",SAISIE!$J39)</f>
        <v/>
      </c>
      <c r="J34" t="str">
        <f>IF(SAISIE!$K39="","",SAISIE!$K39)</f>
        <v/>
      </c>
      <c r="K34" t="str">
        <f>IF(SAISIE!$L39="","",SAISIE!$L39)</f>
        <v/>
      </c>
      <c r="L34" t="str">
        <f>IF(SAISIE!$M39="","",SAISIE!$M39)</f>
        <v/>
      </c>
      <c r="M34" t="str">
        <f>IF(SAISIE!$N39="","",SAISIE!$N39)</f>
        <v/>
      </c>
      <c r="N34" t="str">
        <f>IF(SAISIE!$O39="","",SAISIE!$O39)</f>
        <v/>
      </c>
      <c r="O34" t="str">
        <f>IF(SAISIE!$P39="","",SAISIE!$P39)</f>
        <v/>
      </c>
      <c r="P34" t="str">
        <f>IF(SAISIE!$Q39="","",SAISIE!$Q39)</f>
        <v/>
      </c>
      <c r="Q34" t="str">
        <f>IF($I34="","",IF($I34&gt;PARAMETRES!$G$29,5,IF($I34&gt;PARAMETRES!$F$29,4,IF($I34&gt;PARAMETRES!$E$29,3,IF($I34&gt;PARAMETRES!$D$29,2,1)))))</f>
        <v/>
      </c>
      <c r="R34" t="str">
        <f>IF($J34="","",IF($J34&gt;PARAMETRES!$G$30,5,IF($J34&gt;PARAMETRES!$F$30,4,IF($J34&gt;PARAMETRES!$E$30,3,IF($J34&gt;PARAMETRES!$D$30,2,1)))))</f>
        <v/>
      </c>
      <c r="S34" t="str">
        <f>IF($K34="","",IF($Z34=2,IF($K34&gt;PARAMETRES!$G$31,5,IF($K34&gt;PARAMETRES!$F$31,4,IF($K34&gt;PARAMETRES!$E$31,3,IF($K34&gt;PARAMETRES!$D$31,2,1)))),IF($K34&gt;PARAMETRES!$G$32,5,IF($K34&gt;PARAMETRES!$F$32,4,IF($K34&gt;PARAMETRES!$E$32,3,IF($K34&gt;PARAMETRES!$D$32,2,1))))))</f>
        <v/>
      </c>
      <c r="T34" t="str">
        <f>IF($L34="","",IF($L34&gt;PARAMETRES!$G$33,5,IF($L34&gt;PARAMETRES!$F$33,4,IF($L34&gt;PARAMETRES!$E$33,3,IF($L34&gt;PARAMETRES!$D$33,2,1)))))</f>
        <v/>
      </c>
      <c r="U34" t="str">
        <f>IF($M34="","",IF($M34&gt;PARAMETRES!$G$34,5,IF($M34&gt;PARAMETRES!$F$34,4,IF($M34&gt;PARAMETRES!$E$34,3,IF($M34&gt;PARAMETRES!$D$34,2,1)))))</f>
        <v/>
      </c>
      <c r="V34" t="str">
        <f>IF($N34="","",IF($N34&gt;PARAMETRES!$G$35,5,IF($N34&gt;PARAMETRES!$F$35,4,IF($N34&gt;PARAMETRES!$E$35,3,IF($N34&gt;PARAMETRES!$D$35,2,1)))))</f>
        <v/>
      </c>
      <c r="W34" t="str">
        <f>IF($O34="","",IF($O34&gt;PARAMETRES!$G$36,5,IF($O34&gt;PARAMETRES!$F$36,4,IF($O34&gt;PARAMETRES!$E$36,3,IF($O34&gt;PARAMETRES!$D$36,2,1)))))</f>
        <v/>
      </c>
      <c r="X34" t="str">
        <f>IF($P34="","",IF($P34&gt;PARAMETRES!$G$37,5,IF($P34&gt;PARAMETRES!$F$37,4,IF($P34&gt;PARAMETRES!$E$37,3,IF($P34&gt;PARAMETRES!$D$37,2,1)))))</f>
        <v/>
      </c>
      <c r="Y34" t="str">
        <f t="shared" si="0"/>
        <v/>
      </c>
      <c r="Z34" t="str">
        <f>IFERROR(VLOOKUP($B34,TABLE_CYCLE,2,0),"")</f>
        <v/>
      </c>
      <c r="AA34" t="str">
        <f t="shared" si="1"/>
        <v/>
      </c>
      <c r="AB34" t="str">
        <f>IF($D34="","",IF(COUNTIF($D$2:$D34,$D34)=1,$D34,""))</f>
        <v/>
      </c>
      <c r="AC34">
        <f t="shared" si="2"/>
        <v>0</v>
      </c>
      <c r="AD34" t="str">
        <f t="shared" si="3"/>
        <v>|0</v>
      </c>
      <c r="AE34" t="str">
        <f t="shared" si="4"/>
        <v/>
      </c>
      <c r="AF34" t="str">
        <f t="shared" si="5"/>
        <v/>
      </c>
      <c r="AG34" t="str">
        <f t="shared" si="6"/>
        <v/>
      </c>
      <c r="AH34" t="str">
        <f t="shared" si="7"/>
        <v/>
      </c>
      <c r="AI34" t="str">
        <f t="shared" si="8"/>
        <v/>
      </c>
      <c r="AJ34" t="str">
        <f t="shared" si="9"/>
        <v/>
      </c>
      <c r="AK34" t="str">
        <f t="shared" si="10"/>
        <v/>
      </c>
      <c r="AL34" t="str">
        <f t="shared" si="11"/>
        <v/>
      </c>
      <c r="AM34" t="str">
        <f t="shared" si="12"/>
        <v/>
      </c>
      <c r="AN34" t="str">
        <f t="shared" si="13"/>
        <v/>
      </c>
      <c r="AO34" t="str">
        <f t="shared" si="14"/>
        <v/>
      </c>
      <c r="AP34">
        <f t="shared" si="15"/>
        <v>1</v>
      </c>
      <c r="AQ34" t="str">
        <f>IF(SAISIE!$F39="","",SAISIE!$Y39)</f>
        <v/>
      </c>
      <c r="AR34" t="str">
        <f>IF(OR(SAISIE!$U$4="",SAISIE!$W$4=""),"",IF(AND($A34=SAISIE!$U$4,$B34=SAISIE!$W$4,$C34="S1"),COUNTIFS($A$2:$A34,SAISIE!$U$4,$B$2:$B34,SAISIE!$W$4,$C$2:$C34,"S1"),""))</f>
        <v/>
      </c>
      <c r="AS34" t="str">
        <f t="shared" si="16"/>
        <v/>
      </c>
      <c r="AT34" t="str">
        <f t="shared" si="17"/>
        <v/>
      </c>
      <c r="AU34" t="str">
        <f t="shared" si="18"/>
        <v/>
      </c>
      <c r="AV34">
        <f>N(AV33)+IF(AND($AB34&lt;&gt;"",OR('PROFIL ELEVE'!$K$4="(Tous)",$AF34='PROFIL ELEVE'!$K$4)),1,0)</f>
        <v>0</v>
      </c>
      <c r="AW34">
        <f>N(AW33)+IF(AND($AB34&lt;&gt;"",OR('SUIVI LONGITUDINAL'!$Q$4="(Tous)",$AF34='SUIVI LONGITUDINAL'!$Q$4)),1,0)</f>
        <v>0</v>
      </c>
      <c r="AX34">
        <f t="shared" si="19"/>
        <v>0</v>
      </c>
      <c r="AY34">
        <f t="shared" si="20"/>
        <v>0</v>
      </c>
      <c r="AZ34">
        <f t="shared" si="21"/>
        <v>0</v>
      </c>
      <c r="BA34" t="str">
        <f t="shared" si="22"/>
        <v/>
      </c>
      <c r="BB34" t="str">
        <f t="shared" si="23"/>
        <v/>
      </c>
    </row>
    <row r="35" spans="1:54" ht="14.25" customHeight="1" x14ac:dyDescent="0.3">
      <c r="A35" t="str">
        <f>IF(SAISIE!$F40="","",SAISIE!$B40)</f>
        <v/>
      </c>
      <c r="B35" t="str">
        <f>IF(SAISIE!$F40="","",SAISIE!$C40)</f>
        <v/>
      </c>
      <c r="C35" t="str">
        <f>IF(SAISIE!$F40="","",SAISIE!$D40)</f>
        <v/>
      </c>
      <c r="D35" t="str">
        <f>IF(SAISIE!$E40="","",SAISIE!$E40)</f>
        <v/>
      </c>
      <c r="E35" t="str">
        <f>IF(SAISIE!$F40="","",SAISIE!$F40)</f>
        <v/>
      </c>
      <c r="F35" t="str">
        <f>IF(SAISIE!$G40="","",SAISIE!$G40)</f>
        <v/>
      </c>
      <c r="G35" t="str">
        <f>IF(SAISIE!$H40="","",SAISIE!$H40)</f>
        <v/>
      </c>
      <c r="H35" t="str">
        <f>IF(SAISIE!$I40="","",SAISIE!$I40)</f>
        <v/>
      </c>
      <c r="I35" t="str">
        <f>IF(SAISIE!$J40="","",SAISIE!$J40)</f>
        <v/>
      </c>
      <c r="J35" t="str">
        <f>IF(SAISIE!$K40="","",SAISIE!$K40)</f>
        <v/>
      </c>
      <c r="K35" t="str">
        <f>IF(SAISIE!$L40="","",SAISIE!$L40)</f>
        <v/>
      </c>
      <c r="L35" t="str">
        <f>IF(SAISIE!$M40="","",SAISIE!$M40)</f>
        <v/>
      </c>
      <c r="M35" t="str">
        <f>IF(SAISIE!$N40="","",SAISIE!$N40)</f>
        <v/>
      </c>
      <c r="N35" t="str">
        <f>IF(SAISIE!$O40="","",SAISIE!$O40)</f>
        <v/>
      </c>
      <c r="O35" t="str">
        <f>IF(SAISIE!$P40="","",SAISIE!$P40)</f>
        <v/>
      </c>
      <c r="P35" t="str">
        <f>IF(SAISIE!$Q40="","",SAISIE!$Q40)</f>
        <v/>
      </c>
      <c r="Q35" t="str">
        <f>IF($I35="","",IF($I35&gt;PARAMETRES!$G$29,5,IF($I35&gt;PARAMETRES!$F$29,4,IF($I35&gt;PARAMETRES!$E$29,3,IF($I35&gt;PARAMETRES!$D$29,2,1)))))</f>
        <v/>
      </c>
      <c r="R35" t="str">
        <f>IF($J35="","",IF($J35&gt;PARAMETRES!$G$30,5,IF($J35&gt;PARAMETRES!$F$30,4,IF($J35&gt;PARAMETRES!$E$30,3,IF($J35&gt;PARAMETRES!$D$30,2,1)))))</f>
        <v/>
      </c>
      <c r="S35" t="str">
        <f>IF($K35="","",IF($Z35=2,IF($K35&gt;PARAMETRES!$G$31,5,IF($K35&gt;PARAMETRES!$F$31,4,IF($K35&gt;PARAMETRES!$E$31,3,IF($K35&gt;PARAMETRES!$D$31,2,1)))),IF($K35&gt;PARAMETRES!$G$32,5,IF($K35&gt;PARAMETRES!$F$32,4,IF($K35&gt;PARAMETRES!$E$32,3,IF($K35&gt;PARAMETRES!$D$32,2,1))))))</f>
        <v/>
      </c>
      <c r="T35" t="str">
        <f>IF($L35="","",IF($L35&gt;PARAMETRES!$G$33,5,IF($L35&gt;PARAMETRES!$F$33,4,IF($L35&gt;PARAMETRES!$E$33,3,IF($L35&gt;PARAMETRES!$D$33,2,1)))))</f>
        <v/>
      </c>
      <c r="U35" t="str">
        <f>IF($M35="","",IF($M35&gt;PARAMETRES!$G$34,5,IF($M35&gt;PARAMETRES!$F$34,4,IF($M35&gt;PARAMETRES!$E$34,3,IF($M35&gt;PARAMETRES!$D$34,2,1)))))</f>
        <v/>
      </c>
      <c r="V35" t="str">
        <f>IF($N35="","",IF($N35&gt;PARAMETRES!$G$35,5,IF($N35&gt;PARAMETRES!$F$35,4,IF($N35&gt;PARAMETRES!$E$35,3,IF($N35&gt;PARAMETRES!$D$35,2,1)))))</f>
        <v/>
      </c>
      <c r="W35" t="str">
        <f>IF($O35="","",IF($O35&gt;PARAMETRES!$G$36,5,IF($O35&gt;PARAMETRES!$F$36,4,IF($O35&gt;PARAMETRES!$E$36,3,IF($O35&gt;PARAMETRES!$D$36,2,1)))))</f>
        <v/>
      </c>
      <c r="X35" t="str">
        <f>IF($P35="","",IF($P35&gt;PARAMETRES!$G$37,5,IF($P35&gt;PARAMETRES!$F$37,4,IF($P35&gt;PARAMETRES!$E$37,3,IF($P35&gt;PARAMETRES!$D$37,2,1)))))</f>
        <v/>
      </c>
      <c r="Y35" t="str">
        <f t="shared" si="0"/>
        <v/>
      </c>
      <c r="Z35" t="str">
        <f>IFERROR(VLOOKUP($B35,TABLE_CYCLE,2,0),"")</f>
        <v/>
      </c>
      <c r="AA35" t="str">
        <f t="shared" si="1"/>
        <v/>
      </c>
      <c r="AB35" t="str">
        <f>IF($D35="","",IF(COUNTIF($D$2:$D35,$D35)=1,$D35,""))</f>
        <v/>
      </c>
      <c r="AC35">
        <f t="shared" si="2"/>
        <v>0</v>
      </c>
      <c r="AD35" t="str">
        <f t="shared" si="3"/>
        <v>|0</v>
      </c>
      <c r="AE35" t="str">
        <f t="shared" si="4"/>
        <v/>
      </c>
      <c r="AF35" t="str">
        <f t="shared" si="5"/>
        <v/>
      </c>
      <c r="AG35" t="str">
        <f t="shared" si="6"/>
        <v/>
      </c>
      <c r="AH35" t="str">
        <f t="shared" si="7"/>
        <v/>
      </c>
      <c r="AI35" t="str">
        <f t="shared" si="8"/>
        <v/>
      </c>
      <c r="AJ35" t="str">
        <f t="shared" si="9"/>
        <v/>
      </c>
      <c r="AK35" t="str">
        <f t="shared" si="10"/>
        <v/>
      </c>
      <c r="AL35" t="str">
        <f t="shared" si="11"/>
        <v/>
      </c>
      <c r="AM35" t="str">
        <f t="shared" si="12"/>
        <v/>
      </c>
      <c r="AN35" t="str">
        <f t="shared" si="13"/>
        <v/>
      </c>
      <c r="AO35" t="str">
        <f t="shared" si="14"/>
        <v/>
      </c>
      <c r="AP35">
        <f t="shared" si="15"/>
        <v>1</v>
      </c>
      <c r="AQ35" t="str">
        <f>IF(SAISIE!$F40="","",SAISIE!$Y40)</f>
        <v/>
      </c>
      <c r="AR35" t="str">
        <f>IF(OR(SAISIE!$U$4="",SAISIE!$W$4=""),"",IF(AND($A35=SAISIE!$U$4,$B35=SAISIE!$W$4,$C35="S1"),COUNTIFS($A$2:$A35,SAISIE!$U$4,$B$2:$B35,SAISIE!$W$4,$C$2:$C35,"S1"),""))</f>
        <v/>
      </c>
      <c r="AS35" t="str">
        <f t="shared" si="16"/>
        <v/>
      </c>
      <c r="AT35" t="str">
        <f t="shared" si="17"/>
        <v/>
      </c>
      <c r="AU35" t="str">
        <f t="shared" si="18"/>
        <v/>
      </c>
      <c r="AV35">
        <f>N(AV34)+IF(AND($AB35&lt;&gt;"",OR('PROFIL ELEVE'!$K$4="(Tous)",$AF35='PROFIL ELEVE'!$K$4)),1,0)</f>
        <v>0</v>
      </c>
      <c r="AW35">
        <f>N(AW34)+IF(AND($AB35&lt;&gt;"",OR('SUIVI LONGITUDINAL'!$Q$4="(Tous)",$AF35='SUIVI LONGITUDINAL'!$Q$4)),1,0)</f>
        <v>0</v>
      </c>
      <c r="AX35">
        <f t="shared" si="19"/>
        <v>0</v>
      </c>
      <c r="AY35">
        <f t="shared" si="20"/>
        <v>0</v>
      </c>
      <c r="AZ35">
        <f t="shared" si="21"/>
        <v>0</v>
      </c>
      <c r="BA35" t="str">
        <f t="shared" si="22"/>
        <v/>
      </c>
      <c r="BB35" t="str">
        <f t="shared" si="23"/>
        <v/>
      </c>
    </row>
    <row r="36" spans="1:54" ht="14.25" customHeight="1" x14ac:dyDescent="0.3">
      <c r="A36" t="str">
        <f>IF(SAISIE!$F41="","",SAISIE!$B41)</f>
        <v/>
      </c>
      <c r="B36" t="str">
        <f>IF(SAISIE!$F41="","",SAISIE!$C41)</f>
        <v/>
      </c>
      <c r="C36" t="str">
        <f>IF(SAISIE!$F41="","",SAISIE!$D41)</f>
        <v/>
      </c>
      <c r="D36" t="str">
        <f>IF(SAISIE!$E41="","",SAISIE!$E41)</f>
        <v/>
      </c>
      <c r="E36" t="str">
        <f>IF(SAISIE!$F41="","",SAISIE!$F41)</f>
        <v/>
      </c>
      <c r="F36" t="str">
        <f>IF(SAISIE!$G41="","",SAISIE!$G41)</f>
        <v/>
      </c>
      <c r="G36" t="str">
        <f>IF(SAISIE!$H41="","",SAISIE!$H41)</f>
        <v/>
      </c>
      <c r="H36" t="str">
        <f>IF(SAISIE!$I41="","",SAISIE!$I41)</f>
        <v/>
      </c>
      <c r="I36" t="str">
        <f>IF(SAISIE!$J41="","",SAISIE!$J41)</f>
        <v/>
      </c>
      <c r="J36" t="str">
        <f>IF(SAISIE!$K41="","",SAISIE!$K41)</f>
        <v/>
      </c>
      <c r="K36" t="str">
        <f>IF(SAISIE!$L41="","",SAISIE!$L41)</f>
        <v/>
      </c>
      <c r="L36" t="str">
        <f>IF(SAISIE!$M41="","",SAISIE!$M41)</f>
        <v/>
      </c>
      <c r="M36" t="str">
        <f>IF(SAISIE!$N41="","",SAISIE!$N41)</f>
        <v/>
      </c>
      <c r="N36" t="str">
        <f>IF(SAISIE!$O41="","",SAISIE!$O41)</f>
        <v/>
      </c>
      <c r="O36" t="str">
        <f>IF(SAISIE!$P41="","",SAISIE!$P41)</f>
        <v/>
      </c>
      <c r="P36" t="str">
        <f>IF(SAISIE!$Q41="","",SAISIE!$Q41)</f>
        <v/>
      </c>
      <c r="Q36" t="str">
        <f>IF($I36="","",IF($I36&gt;PARAMETRES!$G$29,5,IF($I36&gt;PARAMETRES!$F$29,4,IF($I36&gt;PARAMETRES!$E$29,3,IF($I36&gt;PARAMETRES!$D$29,2,1)))))</f>
        <v/>
      </c>
      <c r="R36" t="str">
        <f>IF($J36="","",IF($J36&gt;PARAMETRES!$G$30,5,IF($J36&gt;PARAMETRES!$F$30,4,IF($J36&gt;PARAMETRES!$E$30,3,IF($J36&gt;PARAMETRES!$D$30,2,1)))))</f>
        <v/>
      </c>
      <c r="S36" t="str">
        <f>IF($K36="","",IF($Z36=2,IF($K36&gt;PARAMETRES!$G$31,5,IF($K36&gt;PARAMETRES!$F$31,4,IF($K36&gt;PARAMETRES!$E$31,3,IF($K36&gt;PARAMETRES!$D$31,2,1)))),IF($K36&gt;PARAMETRES!$G$32,5,IF($K36&gt;PARAMETRES!$F$32,4,IF($K36&gt;PARAMETRES!$E$32,3,IF($K36&gt;PARAMETRES!$D$32,2,1))))))</f>
        <v/>
      </c>
      <c r="T36" t="str">
        <f>IF($L36="","",IF($L36&gt;PARAMETRES!$G$33,5,IF($L36&gt;PARAMETRES!$F$33,4,IF($L36&gt;PARAMETRES!$E$33,3,IF($L36&gt;PARAMETRES!$D$33,2,1)))))</f>
        <v/>
      </c>
      <c r="U36" t="str">
        <f>IF($M36="","",IF($M36&gt;PARAMETRES!$G$34,5,IF($M36&gt;PARAMETRES!$F$34,4,IF($M36&gt;PARAMETRES!$E$34,3,IF($M36&gt;PARAMETRES!$D$34,2,1)))))</f>
        <v/>
      </c>
      <c r="V36" t="str">
        <f>IF($N36="","",IF($N36&gt;PARAMETRES!$G$35,5,IF($N36&gt;PARAMETRES!$F$35,4,IF($N36&gt;PARAMETRES!$E$35,3,IF($N36&gt;PARAMETRES!$D$35,2,1)))))</f>
        <v/>
      </c>
      <c r="W36" t="str">
        <f>IF($O36="","",IF($O36&gt;PARAMETRES!$G$36,5,IF($O36&gt;PARAMETRES!$F$36,4,IF($O36&gt;PARAMETRES!$E$36,3,IF($O36&gt;PARAMETRES!$D$36,2,1)))))</f>
        <v/>
      </c>
      <c r="X36" t="str">
        <f>IF($P36="","",IF($P36&gt;PARAMETRES!$G$37,5,IF($P36&gt;PARAMETRES!$F$37,4,IF($P36&gt;PARAMETRES!$E$37,3,IF($P36&gt;PARAMETRES!$D$37,2,1)))))</f>
        <v/>
      </c>
      <c r="Y36" t="str">
        <f t="shared" si="0"/>
        <v/>
      </c>
      <c r="Z36" t="str">
        <f>IFERROR(VLOOKUP($B36,TABLE_CYCLE,2,0),"")</f>
        <v/>
      </c>
      <c r="AA36" t="str">
        <f t="shared" si="1"/>
        <v/>
      </c>
      <c r="AB36" t="str">
        <f>IF($D36="","",IF(COUNTIF($D$2:$D36,$D36)=1,$D36,""))</f>
        <v/>
      </c>
      <c r="AC36">
        <f t="shared" si="2"/>
        <v>0</v>
      </c>
      <c r="AD36" t="str">
        <f t="shared" si="3"/>
        <v>|0</v>
      </c>
      <c r="AE36" t="str">
        <f t="shared" si="4"/>
        <v/>
      </c>
      <c r="AF36" t="str">
        <f t="shared" si="5"/>
        <v/>
      </c>
      <c r="AG36" t="str">
        <f t="shared" si="6"/>
        <v/>
      </c>
      <c r="AH36" t="str">
        <f t="shared" si="7"/>
        <v/>
      </c>
      <c r="AI36" t="str">
        <f t="shared" si="8"/>
        <v/>
      </c>
      <c r="AJ36" t="str">
        <f t="shared" si="9"/>
        <v/>
      </c>
      <c r="AK36" t="str">
        <f t="shared" si="10"/>
        <v/>
      </c>
      <c r="AL36" t="str">
        <f t="shared" si="11"/>
        <v/>
      </c>
      <c r="AM36" t="str">
        <f t="shared" si="12"/>
        <v/>
      </c>
      <c r="AN36" t="str">
        <f t="shared" si="13"/>
        <v/>
      </c>
      <c r="AO36" t="str">
        <f t="shared" si="14"/>
        <v/>
      </c>
      <c r="AP36">
        <f t="shared" si="15"/>
        <v>1</v>
      </c>
      <c r="AQ36" t="str">
        <f>IF(SAISIE!$F41="","",SAISIE!$Y41)</f>
        <v/>
      </c>
      <c r="AR36" t="str">
        <f>IF(OR(SAISIE!$U$4="",SAISIE!$W$4=""),"",IF(AND($A36=SAISIE!$U$4,$B36=SAISIE!$W$4,$C36="S1"),COUNTIFS($A$2:$A36,SAISIE!$U$4,$B$2:$B36,SAISIE!$W$4,$C$2:$C36,"S1"),""))</f>
        <v/>
      </c>
      <c r="AS36" t="str">
        <f t="shared" si="16"/>
        <v/>
      </c>
      <c r="AT36" t="str">
        <f t="shared" si="17"/>
        <v/>
      </c>
      <c r="AU36" t="str">
        <f t="shared" si="18"/>
        <v/>
      </c>
      <c r="AV36">
        <f>N(AV35)+IF(AND($AB36&lt;&gt;"",OR('PROFIL ELEVE'!$K$4="(Tous)",$AF36='PROFIL ELEVE'!$K$4)),1,0)</f>
        <v>0</v>
      </c>
      <c r="AW36">
        <f>N(AW35)+IF(AND($AB36&lt;&gt;"",OR('SUIVI LONGITUDINAL'!$Q$4="(Tous)",$AF36='SUIVI LONGITUDINAL'!$Q$4)),1,0)</f>
        <v>0</v>
      </c>
      <c r="AX36">
        <f t="shared" si="19"/>
        <v>0</v>
      </c>
      <c r="AY36">
        <f t="shared" si="20"/>
        <v>0</v>
      </c>
      <c r="AZ36">
        <f t="shared" si="21"/>
        <v>0</v>
      </c>
      <c r="BA36" t="str">
        <f t="shared" si="22"/>
        <v/>
      </c>
      <c r="BB36" t="str">
        <f t="shared" si="23"/>
        <v/>
      </c>
    </row>
    <row r="37" spans="1:54" ht="14.25" customHeight="1" x14ac:dyDescent="0.3">
      <c r="A37" t="str">
        <f>IF(SAISIE!$F42="","",SAISIE!$B42)</f>
        <v/>
      </c>
      <c r="B37" t="str">
        <f>IF(SAISIE!$F42="","",SAISIE!$C42)</f>
        <v/>
      </c>
      <c r="C37" t="str">
        <f>IF(SAISIE!$F42="","",SAISIE!$D42)</f>
        <v/>
      </c>
      <c r="D37" t="str">
        <f>IF(SAISIE!$E42="","",SAISIE!$E42)</f>
        <v/>
      </c>
      <c r="E37" t="str">
        <f>IF(SAISIE!$F42="","",SAISIE!$F42)</f>
        <v/>
      </c>
      <c r="F37" t="str">
        <f>IF(SAISIE!$G42="","",SAISIE!$G42)</f>
        <v/>
      </c>
      <c r="G37" t="str">
        <f>IF(SAISIE!$H42="","",SAISIE!$H42)</f>
        <v/>
      </c>
      <c r="H37" t="str">
        <f>IF(SAISIE!$I42="","",SAISIE!$I42)</f>
        <v/>
      </c>
      <c r="I37" t="str">
        <f>IF(SAISIE!$J42="","",SAISIE!$J42)</f>
        <v/>
      </c>
      <c r="J37" t="str">
        <f>IF(SAISIE!$K42="","",SAISIE!$K42)</f>
        <v/>
      </c>
      <c r="K37" t="str">
        <f>IF(SAISIE!$L42="","",SAISIE!$L42)</f>
        <v/>
      </c>
      <c r="L37" t="str">
        <f>IF(SAISIE!$M42="","",SAISIE!$M42)</f>
        <v/>
      </c>
      <c r="M37" t="str">
        <f>IF(SAISIE!$N42="","",SAISIE!$N42)</f>
        <v/>
      </c>
      <c r="N37" t="str">
        <f>IF(SAISIE!$O42="","",SAISIE!$O42)</f>
        <v/>
      </c>
      <c r="O37" t="str">
        <f>IF(SAISIE!$P42="","",SAISIE!$P42)</f>
        <v/>
      </c>
      <c r="P37" t="str">
        <f>IF(SAISIE!$Q42="","",SAISIE!$Q42)</f>
        <v/>
      </c>
      <c r="Q37" t="str">
        <f>IF($I37="","",IF($I37&gt;PARAMETRES!$G$29,5,IF($I37&gt;PARAMETRES!$F$29,4,IF($I37&gt;PARAMETRES!$E$29,3,IF($I37&gt;PARAMETRES!$D$29,2,1)))))</f>
        <v/>
      </c>
      <c r="R37" t="str">
        <f>IF($J37="","",IF($J37&gt;PARAMETRES!$G$30,5,IF($J37&gt;PARAMETRES!$F$30,4,IF($J37&gt;PARAMETRES!$E$30,3,IF($J37&gt;PARAMETRES!$D$30,2,1)))))</f>
        <v/>
      </c>
      <c r="S37" t="str">
        <f>IF($K37="","",IF($Z37=2,IF($K37&gt;PARAMETRES!$G$31,5,IF($K37&gt;PARAMETRES!$F$31,4,IF($K37&gt;PARAMETRES!$E$31,3,IF($K37&gt;PARAMETRES!$D$31,2,1)))),IF($K37&gt;PARAMETRES!$G$32,5,IF($K37&gt;PARAMETRES!$F$32,4,IF($K37&gt;PARAMETRES!$E$32,3,IF($K37&gt;PARAMETRES!$D$32,2,1))))))</f>
        <v/>
      </c>
      <c r="T37" t="str">
        <f>IF($L37="","",IF($L37&gt;PARAMETRES!$G$33,5,IF($L37&gt;PARAMETRES!$F$33,4,IF($L37&gt;PARAMETRES!$E$33,3,IF($L37&gt;PARAMETRES!$D$33,2,1)))))</f>
        <v/>
      </c>
      <c r="U37" t="str">
        <f>IF($M37="","",IF($M37&gt;PARAMETRES!$G$34,5,IF($M37&gt;PARAMETRES!$F$34,4,IF($M37&gt;PARAMETRES!$E$34,3,IF($M37&gt;PARAMETRES!$D$34,2,1)))))</f>
        <v/>
      </c>
      <c r="V37" t="str">
        <f>IF($N37="","",IF($N37&gt;PARAMETRES!$G$35,5,IF($N37&gt;PARAMETRES!$F$35,4,IF($N37&gt;PARAMETRES!$E$35,3,IF($N37&gt;PARAMETRES!$D$35,2,1)))))</f>
        <v/>
      </c>
      <c r="W37" t="str">
        <f>IF($O37="","",IF($O37&gt;PARAMETRES!$G$36,5,IF($O37&gt;PARAMETRES!$F$36,4,IF($O37&gt;PARAMETRES!$E$36,3,IF($O37&gt;PARAMETRES!$D$36,2,1)))))</f>
        <v/>
      </c>
      <c r="X37" t="str">
        <f>IF($P37="","",IF($P37&gt;PARAMETRES!$G$37,5,IF($P37&gt;PARAMETRES!$F$37,4,IF($P37&gt;PARAMETRES!$E$37,3,IF($P37&gt;PARAMETRES!$D$37,2,1)))))</f>
        <v/>
      </c>
      <c r="Y37" t="str">
        <f t="shared" si="0"/>
        <v/>
      </c>
      <c r="Z37" t="str">
        <f>IFERROR(VLOOKUP($B37,TABLE_CYCLE,2,0),"")</f>
        <v/>
      </c>
      <c r="AA37" t="str">
        <f t="shared" si="1"/>
        <v/>
      </c>
      <c r="AB37" t="str">
        <f>IF($D37="","",IF(COUNTIF($D$2:$D37,$D37)=1,$D37,""))</f>
        <v/>
      </c>
      <c r="AC37">
        <f t="shared" si="2"/>
        <v>0</v>
      </c>
      <c r="AD37" t="str">
        <f t="shared" si="3"/>
        <v>|0</v>
      </c>
      <c r="AE37" t="str">
        <f t="shared" si="4"/>
        <v/>
      </c>
      <c r="AF37" t="str">
        <f t="shared" si="5"/>
        <v/>
      </c>
      <c r="AG37" t="str">
        <f t="shared" si="6"/>
        <v/>
      </c>
      <c r="AH37" t="str">
        <f t="shared" si="7"/>
        <v/>
      </c>
      <c r="AI37" t="str">
        <f t="shared" si="8"/>
        <v/>
      </c>
      <c r="AJ37" t="str">
        <f t="shared" si="9"/>
        <v/>
      </c>
      <c r="AK37" t="str">
        <f t="shared" si="10"/>
        <v/>
      </c>
      <c r="AL37" t="str">
        <f t="shared" si="11"/>
        <v/>
      </c>
      <c r="AM37" t="str">
        <f t="shared" si="12"/>
        <v/>
      </c>
      <c r="AN37" t="str">
        <f t="shared" si="13"/>
        <v/>
      </c>
      <c r="AO37" t="str">
        <f t="shared" si="14"/>
        <v/>
      </c>
      <c r="AP37">
        <f t="shared" si="15"/>
        <v>1</v>
      </c>
      <c r="AQ37" t="str">
        <f>IF(SAISIE!$F42="","",SAISIE!$Y42)</f>
        <v/>
      </c>
      <c r="AR37" t="str">
        <f>IF(OR(SAISIE!$U$4="",SAISIE!$W$4=""),"",IF(AND($A37=SAISIE!$U$4,$B37=SAISIE!$W$4,$C37="S1"),COUNTIFS($A$2:$A37,SAISIE!$U$4,$B$2:$B37,SAISIE!$W$4,$C$2:$C37,"S1"),""))</f>
        <v/>
      </c>
      <c r="AS37" t="str">
        <f t="shared" si="16"/>
        <v/>
      </c>
      <c r="AT37" t="str">
        <f t="shared" si="17"/>
        <v/>
      </c>
      <c r="AU37" t="str">
        <f t="shared" si="18"/>
        <v/>
      </c>
      <c r="AV37">
        <f>N(AV36)+IF(AND($AB37&lt;&gt;"",OR('PROFIL ELEVE'!$K$4="(Tous)",$AF37='PROFIL ELEVE'!$K$4)),1,0)</f>
        <v>0</v>
      </c>
      <c r="AW37">
        <f>N(AW36)+IF(AND($AB37&lt;&gt;"",OR('SUIVI LONGITUDINAL'!$Q$4="(Tous)",$AF37='SUIVI LONGITUDINAL'!$Q$4)),1,0)</f>
        <v>0</v>
      </c>
      <c r="AX37">
        <f t="shared" si="19"/>
        <v>0</v>
      </c>
      <c r="AY37">
        <f t="shared" si="20"/>
        <v>0</v>
      </c>
      <c r="AZ37">
        <f t="shared" si="21"/>
        <v>0</v>
      </c>
      <c r="BA37" t="str">
        <f t="shared" si="22"/>
        <v/>
      </c>
      <c r="BB37" t="str">
        <f t="shared" si="23"/>
        <v/>
      </c>
    </row>
    <row r="38" spans="1:54" ht="14.25" customHeight="1" x14ac:dyDescent="0.3">
      <c r="A38" t="str">
        <f>IF(SAISIE!$F43="","",SAISIE!$B43)</f>
        <v/>
      </c>
      <c r="B38" t="str">
        <f>IF(SAISIE!$F43="","",SAISIE!$C43)</f>
        <v/>
      </c>
      <c r="C38" t="str">
        <f>IF(SAISIE!$F43="","",SAISIE!$D43)</f>
        <v/>
      </c>
      <c r="D38" t="str">
        <f>IF(SAISIE!$E43="","",SAISIE!$E43)</f>
        <v/>
      </c>
      <c r="E38" t="str">
        <f>IF(SAISIE!$F43="","",SAISIE!$F43)</f>
        <v/>
      </c>
      <c r="F38" t="str">
        <f>IF(SAISIE!$G43="","",SAISIE!$G43)</f>
        <v/>
      </c>
      <c r="G38" t="str">
        <f>IF(SAISIE!$H43="","",SAISIE!$H43)</f>
        <v/>
      </c>
      <c r="H38" t="str">
        <f>IF(SAISIE!$I43="","",SAISIE!$I43)</f>
        <v/>
      </c>
      <c r="I38" t="str">
        <f>IF(SAISIE!$J43="","",SAISIE!$J43)</f>
        <v/>
      </c>
      <c r="J38" t="str">
        <f>IF(SAISIE!$K43="","",SAISIE!$K43)</f>
        <v/>
      </c>
      <c r="K38" t="str">
        <f>IF(SAISIE!$L43="","",SAISIE!$L43)</f>
        <v/>
      </c>
      <c r="L38" t="str">
        <f>IF(SAISIE!$M43="","",SAISIE!$M43)</f>
        <v/>
      </c>
      <c r="M38" t="str">
        <f>IF(SAISIE!$N43="","",SAISIE!$N43)</f>
        <v/>
      </c>
      <c r="N38" t="str">
        <f>IF(SAISIE!$O43="","",SAISIE!$O43)</f>
        <v/>
      </c>
      <c r="O38" t="str">
        <f>IF(SAISIE!$P43="","",SAISIE!$P43)</f>
        <v/>
      </c>
      <c r="P38" t="str">
        <f>IF(SAISIE!$Q43="","",SAISIE!$Q43)</f>
        <v/>
      </c>
      <c r="Q38" t="str">
        <f>IF($I38="","",IF($I38&gt;PARAMETRES!$G$29,5,IF($I38&gt;PARAMETRES!$F$29,4,IF($I38&gt;PARAMETRES!$E$29,3,IF($I38&gt;PARAMETRES!$D$29,2,1)))))</f>
        <v/>
      </c>
      <c r="R38" t="str">
        <f>IF($J38="","",IF($J38&gt;PARAMETRES!$G$30,5,IF($J38&gt;PARAMETRES!$F$30,4,IF($J38&gt;PARAMETRES!$E$30,3,IF($J38&gt;PARAMETRES!$D$30,2,1)))))</f>
        <v/>
      </c>
      <c r="S38" t="str">
        <f>IF($K38="","",IF($Z38=2,IF($K38&gt;PARAMETRES!$G$31,5,IF($K38&gt;PARAMETRES!$F$31,4,IF($K38&gt;PARAMETRES!$E$31,3,IF($K38&gt;PARAMETRES!$D$31,2,1)))),IF($K38&gt;PARAMETRES!$G$32,5,IF($K38&gt;PARAMETRES!$F$32,4,IF($K38&gt;PARAMETRES!$E$32,3,IF($K38&gt;PARAMETRES!$D$32,2,1))))))</f>
        <v/>
      </c>
      <c r="T38" t="str">
        <f>IF($L38="","",IF($L38&gt;PARAMETRES!$G$33,5,IF($L38&gt;PARAMETRES!$F$33,4,IF($L38&gt;PARAMETRES!$E$33,3,IF($L38&gt;PARAMETRES!$D$33,2,1)))))</f>
        <v/>
      </c>
      <c r="U38" t="str">
        <f>IF($M38="","",IF($M38&gt;PARAMETRES!$G$34,5,IF($M38&gt;PARAMETRES!$F$34,4,IF($M38&gt;PARAMETRES!$E$34,3,IF($M38&gt;PARAMETRES!$D$34,2,1)))))</f>
        <v/>
      </c>
      <c r="V38" t="str">
        <f>IF($N38="","",IF($N38&gt;PARAMETRES!$G$35,5,IF($N38&gt;PARAMETRES!$F$35,4,IF($N38&gt;PARAMETRES!$E$35,3,IF($N38&gt;PARAMETRES!$D$35,2,1)))))</f>
        <v/>
      </c>
      <c r="W38" t="str">
        <f>IF($O38="","",IF($O38&gt;PARAMETRES!$G$36,5,IF($O38&gt;PARAMETRES!$F$36,4,IF($O38&gt;PARAMETRES!$E$36,3,IF($O38&gt;PARAMETRES!$D$36,2,1)))))</f>
        <v/>
      </c>
      <c r="X38" t="str">
        <f>IF($P38="","",IF($P38&gt;PARAMETRES!$G$37,5,IF($P38&gt;PARAMETRES!$F$37,4,IF($P38&gt;PARAMETRES!$E$37,3,IF($P38&gt;PARAMETRES!$D$37,2,1)))))</f>
        <v/>
      </c>
      <c r="Y38" t="str">
        <f t="shared" si="0"/>
        <v/>
      </c>
      <c r="Z38" t="str">
        <f>IFERROR(VLOOKUP($B38,TABLE_CYCLE,2,0),"")</f>
        <v/>
      </c>
      <c r="AA38" t="str">
        <f t="shared" si="1"/>
        <v/>
      </c>
      <c r="AB38" t="str">
        <f>IF($D38="","",IF(COUNTIF($D$2:$D38,$D38)=1,$D38,""))</f>
        <v/>
      </c>
      <c r="AC38">
        <f t="shared" si="2"/>
        <v>0</v>
      </c>
      <c r="AD38" t="str">
        <f t="shared" si="3"/>
        <v>|0</v>
      </c>
      <c r="AE38" t="str">
        <f t="shared" si="4"/>
        <v/>
      </c>
      <c r="AF38" t="str">
        <f t="shared" si="5"/>
        <v/>
      </c>
      <c r="AG38" t="str">
        <f t="shared" si="6"/>
        <v/>
      </c>
      <c r="AH38" t="str">
        <f t="shared" si="7"/>
        <v/>
      </c>
      <c r="AI38" t="str">
        <f t="shared" si="8"/>
        <v/>
      </c>
      <c r="AJ38" t="str">
        <f t="shared" si="9"/>
        <v/>
      </c>
      <c r="AK38" t="str">
        <f t="shared" si="10"/>
        <v/>
      </c>
      <c r="AL38" t="str">
        <f t="shared" si="11"/>
        <v/>
      </c>
      <c r="AM38" t="str">
        <f t="shared" si="12"/>
        <v/>
      </c>
      <c r="AN38" t="str">
        <f t="shared" si="13"/>
        <v/>
      </c>
      <c r="AO38" t="str">
        <f t="shared" si="14"/>
        <v/>
      </c>
      <c r="AP38">
        <f t="shared" si="15"/>
        <v>1</v>
      </c>
      <c r="AQ38" t="str">
        <f>IF(SAISIE!$F43="","",SAISIE!$Y43)</f>
        <v/>
      </c>
      <c r="AR38" t="str">
        <f>IF(OR(SAISIE!$U$4="",SAISIE!$W$4=""),"",IF(AND($A38=SAISIE!$U$4,$B38=SAISIE!$W$4,$C38="S1"),COUNTIFS($A$2:$A38,SAISIE!$U$4,$B$2:$B38,SAISIE!$W$4,$C$2:$C38,"S1"),""))</f>
        <v/>
      </c>
      <c r="AS38" t="str">
        <f t="shared" si="16"/>
        <v/>
      </c>
      <c r="AT38" t="str">
        <f t="shared" si="17"/>
        <v/>
      </c>
      <c r="AU38" t="str">
        <f t="shared" si="18"/>
        <v/>
      </c>
      <c r="AV38">
        <f>N(AV37)+IF(AND($AB38&lt;&gt;"",OR('PROFIL ELEVE'!$K$4="(Tous)",$AF38='PROFIL ELEVE'!$K$4)),1,0)</f>
        <v>0</v>
      </c>
      <c r="AW38">
        <f>N(AW37)+IF(AND($AB38&lt;&gt;"",OR('SUIVI LONGITUDINAL'!$Q$4="(Tous)",$AF38='SUIVI LONGITUDINAL'!$Q$4)),1,0)</f>
        <v>0</v>
      </c>
      <c r="AX38">
        <f t="shared" si="19"/>
        <v>0</v>
      </c>
      <c r="AY38">
        <f t="shared" si="20"/>
        <v>0</v>
      </c>
      <c r="AZ38">
        <f t="shared" si="21"/>
        <v>0</v>
      </c>
      <c r="BA38" t="str">
        <f t="shared" si="22"/>
        <v/>
      </c>
      <c r="BB38" t="str">
        <f t="shared" si="23"/>
        <v/>
      </c>
    </row>
    <row r="39" spans="1:54" ht="14.25" customHeight="1" x14ac:dyDescent="0.3">
      <c r="A39" t="str">
        <f>IF(SAISIE!$F44="","",SAISIE!$B44)</f>
        <v/>
      </c>
      <c r="B39" t="str">
        <f>IF(SAISIE!$F44="","",SAISIE!$C44)</f>
        <v/>
      </c>
      <c r="C39" t="str">
        <f>IF(SAISIE!$F44="","",SAISIE!$D44)</f>
        <v/>
      </c>
      <c r="D39" t="str">
        <f>IF(SAISIE!$E44="","",SAISIE!$E44)</f>
        <v/>
      </c>
      <c r="E39" t="str">
        <f>IF(SAISIE!$F44="","",SAISIE!$F44)</f>
        <v/>
      </c>
      <c r="F39" t="str">
        <f>IF(SAISIE!$G44="","",SAISIE!$G44)</f>
        <v/>
      </c>
      <c r="G39" t="str">
        <f>IF(SAISIE!$H44="","",SAISIE!$H44)</f>
        <v/>
      </c>
      <c r="H39" t="str">
        <f>IF(SAISIE!$I44="","",SAISIE!$I44)</f>
        <v/>
      </c>
      <c r="I39" t="str">
        <f>IF(SAISIE!$J44="","",SAISIE!$J44)</f>
        <v/>
      </c>
      <c r="J39" t="str">
        <f>IF(SAISIE!$K44="","",SAISIE!$K44)</f>
        <v/>
      </c>
      <c r="K39" t="str">
        <f>IF(SAISIE!$L44="","",SAISIE!$L44)</f>
        <v/>
      </c>
      <c r="L39" t="str">
        <f>IF(SAISIE!$M44="","",SAISIE!$M44)</f>
        <v/>
      </c>
      <c r="M39" t="str">
        <f>IF(SAISIE!$N44="","",SAISIE!$N44)</f>
        <v/>
      </c>
      <c r="N39" t="str">
        <f>IF(SAISIE!$O44="","",SAISIE!$O44)</f>
        <v/>
      </c>
      <c r="O39" t="str">
        <f>IF(SAISIE!$P44="","",SAISIE!$P44)</f>
        <v/>
      </c>
      <c r="P39" t="str">
        <f>IF(SAISIE!$Q44="","",SAISIE!$Q44)</f>
        <v/>
      </c>
      <c r="Q39" t="str">
        <f>IF($I39="","",IF($I39&gt;PARAMETRES!$G$29,5,IF($I39&gt;PARAMETRES!$F$29,4,IF($I39&gt;PARAMETRES!$E$29,3,IF($I39&gt;PARAMETRES!$D$29,2,1)))))</f>
        <v/>
      </c>
      <c r="R39" t="str">
        <f>IF($J39="","",IF($J39&gt;PARAMETRES!$G$30,5,IF($J39&gt;PARAMETRES!$F$30,4,IF($J39&gt;PARAMETRES!$E$30,3,IF($J39&gt;PARAMETRES!$D$30,2,1)))))</f>
        <v/>
      </c>
      <c r="S39" t="str">
        <f>IF($K39="","",IF($Z39=2,IF($K39&gt;PARAMETRES!$G$31,5,IF($K39&gt;PARAMETRES!$F$31,4,IF($K39&gt;PARAMETRES!$E$31,3,IF($K39&gt;PARAMETRES!$D$31,2,1)))),IF($K39&gt;PARAMETRES!$G$32,5,IF($K39&gt;PARAMETRES!$F$32,4,IF($K39&gt;PARAMETRES!$E$32,3,IF($K39&gt;PARAMETRES!$D$32,2,1))))))</f>
        <v/>
      </c>
      <c r="T39" t="str">
        <f>IF($L39="","",IF($L39&gt;PARAMETRES!$G$33,5,IF($L39&gt;PARAMETRES!$F$33,4,IF($L39&gt;PARAMETRES!$E$33,3,IF($L39&gt;PARAMETRES!$D$33,2,1)))))</f>
        <v/>
      </c>
      <c r="U39" t="str">
        <f>IF($M39="","",IF($M39&gt;PARAMETRES!$G$34,5,IF($M39&gt;PARAMETRES!$F$34,4,IF($M39&gt;PARAMETRES!$E$34,3,IF($M39&gt;PARAMETRES!$D$34,2,1)))))</f>
        <v/>
      </c>
      <c r="V39" t="str">
        <f>IF($N39="","",IF($N39&gt;PARAMETRES!$G$35,5,IF($N39&gt;PARAMETRES!$F$35,4,IF($N39&gt;PARAMETRES!$E$35,3,IF($N39&gt;PARAMETRES!$D$35,2,1)))))</f>
        <v/>
      </c>
      <c r="W39" t="str">
        <f>IF($O39="","",IF($O39&gt;PARAMETRES!$G$36,5,IF($O39&gt;PARAMETRES!$F$36,4,IF($O39&gt;PARAMETRES!$E$36,3,IF($O39&gt;PARAMETRES!$D$36,2,1)))))</f>
        <v/>
      </c>
      <c r="X39" t="str">
        <f>IF($P39="","",IF($P39&gt;PARAMETRES!$G$37,5,IF($P39&gt;PARAMETRES!$F$37,4,IF($P39&gt;PARAMETRES!$E$37,3,IF($P39&gt;PARAMETRES!$D$37,2,1)))))</f>
        <v/>
      </c>
      <c r="Y39" t="str">
        <f t="shared" si="0"/>
        <v/>
      </c>
      <c r="Z39" t="str">
        <f>IFERROR(VLOOKUP($B39,TABLE_CYCLE,2,0),"")</f>
        <v/>
      </c>
      <c r="AA39" t="str">
        <f t="shared" si="1"/>
        <v/>
      </c>
      <c r="AB39" t="str">
        <f>IF($D39="","",IF(COUNTIF($D$2:$D39,$D39)=1,$D39,""))</f>
        <v/>
      </c>
      <c r="AC39">
        <f t="shared" si="2"/>
        <v>0</v>
      </c>
      <c r="AD39" t="str">
        <f t="shared" si="3"/>
        <v>|0</v>
      </c>
      <c r="AE39" t="str">
        <f t="shared" si="4"/>
        <v/>
      </c>
      <c r="AF39" t="str">
        <f t="shared" si="5"/>
        <v/>
      </c>
      <c r="AG39" t="str">
        <f t="shared" si="6"/>
        <v/>
      </c>
      <c r="AH39" t="str">
        <f t="shared" si="7"/>
        <v/>
      </c>
      <c r="AI39" t="str">
        <f t="shared" si="8"/>
        <v/>
      </c>
      <c r="AJ39" t="str">
        <f t="shared" si="9"/>
        <v/>
      </c>
      <c r="AK39" t="str">
        <f t="shared" si="10"/>
        <v/>
      </c>
      <c r="AL39" t="str">
        <f t="shared" si="11"/>
        <v/>
      </c>
      <c r="AM39" t="str">
        <f t="shared" si="12"/>
        <v/>
      </c>
      <c r="AN39" t="str">
        <f t="shared" si="13"/>
        <v/>
      </c>
      <c r="AO39" t="str">
        <f t="shared" si="14"/>
        <v/>
      </c>
      <c r="AP39">
        <f t="shared" si="15"/>
        <v>1</v>
      </c>
      <c r="AQ39" t="str">
        <f>IF(SAISIE!$F44="","",SAISIE!$Y44)</f>
        <v/>
      </c>
      <c r="AR39" t="str">
        <f>IF(OR(SAISIE!$U$4="",SAISIE!$W$4=""),"",IF(AND($A39=SAISIE!$U$4,$B39=SAISIE!$W$4,$C39="S1"),COUNTIFS($A$2:$A39,SAISIE!$U$4,$B$2:$B39,SAISIE!$W$4,$C$2:$C39,"S1"),""))</f>
        <v/>
      </c>
      <c r="AS39" t="str">
        <f t="shared" si="16"/>
        <v/>
      </c>
      <c r="AT39" t="str">
        <f t="shared" si="17"/>
        <v/>
      </c>
      <c r="AU39" t="str">
        <f t="shared" si="18"/>
        <v/>
      </c>
      <c r="AV39">
        <f>N(AV38)+IF(AND($AB39&lt;&gt;"",OR('PROFIL ELEVE'!$K$4="(Tous)",$AF39='PROFIL ELEVE'!$K$4)),1,0)</f>
        <v>0</v>
      </c>
      <c r="AW39">
        <f>N(AW38)+IF(AND($AB39&lt;&gt;"",OR('SUIVI LONGITUDINAL'!$Q$4="(Tous)",$AF39='SUIVI LONGITUDINAL'!$Q$4)),1,0)</f>
        <v>0</v>
      </c>
      <c r="AX39">
        <f t="shared" si="19"/>
        <v>0</v>
      </c>
      <c r="AY39">
        <f t="shared" si="20"/>
        <v>0</v>
      </c>
      <c r="AZ39">
        <f t="shared" si="21"/>
        <v>0</v>
      </c>
      <c r="BA39" t="str">
        <f t="shared" si="22"/>
        <v/>
      </c>
      <c r="BB39" t="str">
        <f t="shared" si="23"/>
        <v/>
      </c>
    </row>
    <row r="40" spans="1:54" ht="14.25" customHeight="1" x14ac:dyDescent="0.3">
      <c r="A40" t="str">
        <f>IF(SAISIE!$F45="","",SAISIE!$B45)</f>
        <v/>
      </c>
      <c r="B40" t="str">
        <f>IF(SAISIE!$F45="","",SAISIE!$C45)</f>
        <v/>
      </c>
      <c r="C40" t="str">
        <f>IF(SAISIE!$F45="","",SAISIE!$D45)</f>
        <v/>
      </c>
      <c r="D40" t="str">
        <f>IF(SAISIE!$E45="","",SAISIE!$E45)</f>
        <v/>
      </c>
      <c r="E40" t="str">
        <f>IF(SAISIE!$F45="","",SAISIE!$F45)</f>
        <v/>
      </c>
      <c r="F40" t="str">
        <f>IF(SAISIE!$G45="","",SAISIE!$G45)</f>
        <v/>
      </c>
      <c r="G40" t="str">
        <f>IF(SAISIE!$H45="","",SAISIE!$H45)</f>
        <v/>
      </c>
      <c r="H40" t="str">
        <f>IF(SAISIE!$I45="","",SAISIE!$I45)</f>
        <v/>
      </c>
      <c r="I40" t="str">
        <f>IF(SAISIE!$J45="","",SAISIE!$J45)</f>
        <v/>
      </c>
      <c r="J40" t="str">
        <f>IF(SAISIE!$K45="","",SAISIE!$K45)</f>
        <v/>
      </c>
      <c r="K40" t="str">
        <f>IF(SAISIE!$L45="","",SAISIE!$L45)</f>
        <v/>
      </c>
      <c r="L40" t="str">
        <f>IF(SAISIE!$M45="","",SAISIE!$M45)</f>
        <v/>
      </c>
      <c r="M40" t="str">
        <f>IF(SAISIE!$N45="","",SAISIE!$N45)</f>
        <v/>
      </c>
      <c r="N40" t="str">
        <f>IF(SAISIE!$O45="","",SAISIE!$O45)</f>
        <v/>
      </c>
      <c r="O40" t="str">
        <f>IF(SAISIE!$P45="","",SAISIE!$P45)</f>
        <v/>
      </c>
      <c r="P40" t="str">
        <f>IF(SAISIE!$Q45="","",SAISIE!$Q45)</f>
        <v/>
      </c>
      <c r="Q40" t="str">
        <f>IF($I40="","",IF($I40&gt;PARAMETRES!$G$29,5,IF($I40&gt;PARAMETRES!$F$29,4,IF($I40&gt;PARAMETRES!$E$29,3,IF($I40&gt;PARAMETRES!$D$29,2,1)))))</f>
        <v/>
      </c>
      <c r="R40" t="str">
        <f>IF($J40="","",IF($J40&gt;PARAMETRES!$G$30,5,IF($J40&gt;PARAMETRES!$F$30,4,IF($J40&gt;PARAMETRES!$E$30,3,IF($J40&gt;PARAMETRES!$D$30,2,1)))))</f>
        <v/>
      </c>
      <c r="S40" t="str">
        <f>IF($K40="","",IF($Z40=2,IF($K40&gt;PARAMETRES!$G$31,5,IF($K40&gt;PARAMETRES!$F$31,4,IF($K40&gt;PARAMETRES!$E$31,3,IF($K40&gt;PARAMETRES!$D$31,2,1)))),IF($K40&gt;PARAMETRES!$G$32,5,IF($K40&gt;PARAMETRES!$F$32,4,IF($K40&gt;PARAMETRES!$E$32,3,IF($K40&gt;PARAMETRES!$D$32,2,1))))))</f>
        <v/>
      </c>
      <c r="T40" t="str">
        <f>IF($L40="","",IF($L40&gt;PARAMETRES!$G$33,5,IF($L40&gt;PARAMETRES!$F$33,4,IF($L40&gt;PARAMETRES!$E$33,3,IF($L40&gt;PARAMETRES!$D$33,2,1)))))</f>
        <v/>
      </c>
      <c r="U40" t="str">
        <f>IF($M40="","",IF($M40&gt;PARAMETRES!$G$34,5,IF($M40&gt;PARAMETRES!$F$34,4,IF($M40&gt;PARAMETRES!$E$34,3,IF($M40&gt;PARAMETRES!$D$34,2,1)))))</f>
        <v/>
      </c>
      <c r="V40" t="str">
        <f>IF($N40="","",IF($N40&gt;PARAMETRES!$G$35,5,IF($N40&gt;PARAMETRES!$F$35,4,IF($N40&gt;PARAMETRES!$E$35,3,IF($N40&gt;PARAMETRES!$D$35,2,1)))))</f>
        <v/>
      </c>
      <c r="W40" t="str">
        <f>IF($O40="","",IF($O40&gt;PARAMETRES!$G$36,5,IF($O40&gt;PARAMETRES!$F$36,4,IF($O40&gt;PARAMETRES!$E$36,3,IF($O40&gt;PARAMETRES!$D$36,2,1)))))</f>
        <v/>
      </c>
      <c r="X40" t="str">
        <f>IF($P40="","",IF($P40&gt;PARAMETRES!$G$37,5,IF($P40&gt;PARAMETRES!$F$37,4,IF($P40&gt;PARAMETRES!$E$37,3,IF($P40&gt;PARAMETRES!$D$37,2,1)))))</f>
        <v/>
      </c>
      <c r="Y40" t="str">
        <f t="shared" si="0"/>
        <v/>
      </c>
      <c r="Z40" t="str">
        <f>IFERROR(VLOOKUP($B40,TABLE_CYCLE,2,0),"")</f>
        <v/>
      </c>
      <c r="AA40" t="str">
        <f t="shared" si="1"/>
        <v/>
      </c>
      <c r="AB40" t="str">
        <f>IF($D40="","",IF(COUNTIF($D$2:$D40,$D40)=1,$D40,""))</f>
        <v/>
      </c>
      <c r="AC40">
        <f t="shared" si="2"/>
        <v>0</v>
      </c>
      <c r="AD40" t="str">
        <f t="shared" si="3"/>
        <v>|0</v>
      </c>
      <c r="AE40" t="str">
        <f t="shared" si="4"/>
        <v/>
      </c>
      <c r="AF40" t="str">
        <f t="shared" si="5"/>
        <v/>
      </c>
      <c r="AG40" t="str">
        <f t="shared" si="6"/>
        <v/>
      </c>
      <c r="AH40" t="str">
        <f t="shared" si="7"/>
        <v/>
      </c>
      <c r="AI40" t="str">
        <f t="shared" si="8"/>
        <v/>
      </c>
      <c r="AJ40" t="str">
        <f t="shared" si="9"/>
        <v/>
      </c>
      <c r="AK40" t="str">
        <f t="shared" si="10"/>
        <v/>
      </c>
      <c r="AL40" t="str">
        <f t="shared" si="11"/>
        <v/>
      </c>
      <c r="AM40" t="str">
        <f t="shared" si="12"/>
        <v/>
      </c>
      <c r="AN40" t="str">
        <f t="shared" si="13"/>
        <v/>
      </c>
      <c r="AO40" t="str">
        <f t="shared" si="14"/>
        <v/>
      </c>
      <c r="AP40">
        <f t="shared" si="15"/>
        <v>1</v>
      </c>
      <c r="AQ40" t="str">
        <f>IF(SAISIE!$F45="","",SAISIE!$Y45)</f>
        <v/>
      </c>
      <c r="AR40" t="str">
        <f>IF(OR(SAISIE!$U$4="",SAISIE!$W$4=""),"",IF(AND($A40=SAISIE!$U$4,$B40=SAISIE!$W$4,$C40="S1"),COUNTIFS($A$2:$A40,SAISIE!$U$4,$B$2:$B40,SAISIE!$W$4,$C$2:$C40,"S1"),""))</f>
        <v/>
      </c>
      <c r="AS40" t="str">
        <f t="shared" si="16"/>
        <v/>
      </c>
      <c r="AT40" t="str">
        <f t="shared" si="17"/>
        <v/>
      </c>
      <c r="AU40" t="str">
        <f t="shared" si="18"/>
        <v/>
      </c>
      <c r="AV40">
        <f>N(AV39)+IF(AND($AB40&lt;&gt;"",OR('PROFIL ELEVE'!$K$4="(Tous)",$AF40='PROFIL ELEVE'!$K$4)),1,0)</f>
        <v>0</v>
      </c>
      <c r="AW40">
        <f>N(AW39)+IF(AND($AB40&lt;&gt;"",OR('SUIVI LONGITUDINAL'!$Q$4="(Tous)",$AF40='SUIVI LONGITUDINAL'!$Q$4)),1,0)</f>
        <v>0</v>
      </c>
      <c r="AX40">
        <f t="shared" si="19"/>
        <v>0</v>
      </c>
      <c r="AY40">
        <f t="shared" si="20"/>
        <v>0</v>
      </c>
      <c r="AZ40">
        <f t="shared" si="21"/>
        <v>0</v>
      </c>
      <c r="BA40" t="str">
        <f t="shared" si="22"/>
        <v/>
      </c>
      <c r="BB40" t="str">
        <f t="shared" si="23"/>
        <v/>
      </c>
    </row>
    <row r="41" spans="1:54" ht="14.25" customHeight="1" x14ac:dyDescent="0.3">
      <c r="A41" t="str">
        <f>IF(SAISIE!$F46="","",SAISIE!$B46)</f>
        <v/>
      </c>
      <c r="B41" t="str">
        <f>IF(SAISIE!$F46="","",SAISIE!$C46)</f>
        <v/>
      </c>
      <c r="C41" t="str">
        <f>IF(SAISIE!$F46="","",SAISIE!$D46)</f>
        <v/>
      </c>
      <c r="D41" t="str">
        <f>IF(SAISIE!$E46="","",SAISIE!$E46)</f>
        <v/>
      </c>
      <c r="E41" t="str">
        <f>IF(SAISIE!$F46="","",SAISIE!$F46)</f>
        <v/>
      </c>
      <c r="F41" t="str">
        <f>IF(SAISIE!$G46="","",SAISIE!$G46)</f>
        <v/>
      </c>
      <c r="G41" t="str">
        <f>IF(SAISIE!$H46="","",SAISIE!$H46)</f>
        <v/>
      </c>
      <c r="H41" t="str">
        <f>IF(SAISIE!$I46="","",SAISIE!$I46)</f>
        <v/>
      </c>
      <c r="I41" t="str">
        <f>IF(SAISIE!$J46="","",SAISIE!$J46)</f>
        <v/>
      </c>
      <c r="J41" t="str">
        <f>IF(SAISIE!$K46="","",SAISIE!$K46)</f>
        <v/>
      </c>
      <c r="K41" t="str">
        <f>IF(SAISIE!$L46="","",SAISIE!$L46)</f>
        <v/>
      </c>
      <c r="L41" t="str">
        <f>IF(SAISIE!$M46="","",SAISIE!$M46)</f>
        <v/>
      </c>
      <c r="M41" t="str">
        <f>IF(SAISIE!$N46="","",SAISIE!$N46)</f>
        <v/>
      </c>
      <c r="N41" t="str">
        <f>IF(SAISIE!$O46="","",SAISIE!$O46)</f>
        <v/>
      </c>
      <c r="O41" t="str">
        <f>IF(SAISIE!$P46="","",SAISIE!$P46)</f>
        <v/>
      </c>
      <c r="P41" t="str">
        <f>IF(SAISIE!$Q46="","",SAISIE!$Q46)</f>
        <v/>
      </c>
      <c r="Q41" t="str">
        <f>IF($I41="","",IF($I41&gt;PARAMETRES!$G$29,5,IF($I41&gt;PARAMETRES!$F$29,4,IF($I41&gt;PARAMETRES!$E$29,3,IF($I41&gt;PARAMETRES!$D$29,2,1)))))</f>
        <v/>
      </c>
      <c r="R41" t="str">
        <f>IF($J41="","",IF($J41&gt;PARAMETRES!$G$30,5,IF($J41&gt;PARAMETRES!$F$30,4,IF($J41&gt;PARAMETRES!$E$30,3,IF($J41&gt;PARAMETRES!$D$30,2,1)))))</f>
        <v/>
      </c>
      <c r="S41" t="str">
        <f>IF($K41="","",IF($Z41=2,IF($K41&gt;PARAMETRES!$G$31,5,IF($K41&gt;PARAMETRES!$F$31,4,IF($K41&gt;PARAMETRES!$E$31,3,IF($K41&gt;PARAMETRES!$D$31,2,1)))),IF($K41&gt;PARAMETRES!$G$32,5,IF($K41&gt;PARAMETRES!$F$32,4,IF($K41&gt;PARAMETRES!$E$32,3,IF($K41&gt;PARAMETRES!$D$32,2,1))))))</f>
        <v/>
      </c>
      <c r="T41" t="str">
        <f>IF($L41="","",IF($L41&gt;PARAMETRES!$G$33,5,IF($L41&gt;PARAMETRES!$F$33,4,IF($L41&gt;PARAMETRES!$E$33,3,IF($L41&gt;PARAMETRES!$D$33,2,1)))))</f>
        <v/>
      </c>
      <c r="U41" t="str">
        <f>IF($M41="","",IF($M41&gt;PARAMETRES!$G$34,5,IF($M41&gt;PARAMETRES!$F$34,4,IF($M41&gt;PARAMETRES!$E$34,3,IF($M41&gt;PARAMETRES!$D$34,2,1)))))</f>
        <v/>
      </c>
      <c r="V41" t="str">
        <f>IF($N41="","",IF($N41&gt;PARAMETRES!$G$35,5,IF($N41&gt;PARAMETRES!$F$35,4,IF($N41&gt;PARAMETRES!$E$35,3,IF($N41&gt;PARAMETRES!$D$35,2,1)))))</f>
        <v/>
      </c>
      <c r="W41" t="str">
        <f>IF($O41="","",IF($O41&gt;PARAMETRES!$G$36,5,IF($O41&gt;PARAMETRES!$F$36,4,IF($O41&gt;PARAMETRES!$E$36,3,IF($O41&gt;PARAMETRES!$D$36,2,1)))))</f>
        <v/>
      </c>
      <c r="X41" t="str">
        <f>IF($P41="","",IF($P41&gt;PARAMETRES!$G$37,5,IF($P41&gt;PARAMETRES!$F$37,4,IF($P41&gt;PARAMETRES!$E$37,3,IF($P41&gt;PARAMETRES!$D$37,2,1)))))</f>
        <v/>
      </c>
      <c r="Y41" t="str">
        <f t="shared" si="0"/>
        <v/>
      </c>
      <c r="Z41" t="str">
        <f>IFERROR(VLOOKUP($B41,TABLE_CYCLE,2,0),"")</f>
        <v/>
      </c>
      <c r="AA41" t="str">
        <f t="shared" si="1"/>
        <v/>
      </c>
      <c r="AB41" t="str">
        <f>IF($D41="","",IF(COUNTIF($D$2:$D41,$D41)=1,$D41,""))</f>
        <v/>
      </c>
      <c r="AC41">
        <f t="shared" si="2"/>
        <v>0</v>
      </c>
      <c r="AD41" t="str">
        <f t="shared" si="3"/>
        <v>|0</v>
      </c>
      <c r="AE41" t="str">
        <f t="shared" si="4"/>
        <v/>
      </c>
      <c r="AF41" t="str">
        <f t="shared" si="5"/>
        <v/>
      </c>
      <c r="AG41" t="str">
        <f t="shared" si="6"/>
        <v/>
      </c>
      <c r="AH41" t="str">
        <f t="shared" si="7"/>
        <v/>
      </c>
      <c r="AI41" t="str">
        <f t="shared" si="8"/>
        <v/>
      </c>
      <c r="AJ41" t="str">
        <f t="shared" si="9"/>
        <v/>
      </c>
      <c r="AK41" t="str">
        <f t="shared" si="10"/>
        <v/>
      </c>
      <c r="AL41" t="str">
        <f t="shared" si="11"/>
        <v/>
      </c>
      <c r="AM41" t="str">
        <f t="shared" si="12"/>
        <v/>
      </c>
      <c r="AN41" t="str">
        <f t="shared" si="13"/>
        <v/>
      </c>
      <c r="AO41" t="str">
        <f t="shared" si="14"/>
        <v/>
      </c>
      <c r="AP41">
        <f t="shared" si="15"/>
        <v>1</v>
      </c>
      <c r="AQ41" t="str">
        <f>IF(SAISIE!$F46="","",SAISIE!$Y46)</f>
        <v/>
      </c>
      <c r="AR41" t="str">
        <f>IF(OR(SAISIE!$U$4="",SAISIE!$W$4=""),"",IF(AND($A41=SAISIE!$U$4,$B41=SAISIE!$W$4,$C41="S1"),COUNTIFS($A$2:$A41,SAISIE!$U$4,$B$2:$B41,SAISIE!$W$4,$C$2:$C41,"S1"),""))</f>
        <v/>
      </c>
      <c r="AS41" t="str">
        <f t="shared" si="16"/>
        <v/>
      </c>
      <c r="AT41" t="str">
        <f t="shared" si="17"/>
        <v/>
      </c>
      <c r="AU41" t="str">
        <f t="shared" si="18"/>
        <v/>
      </c>
      <c r="AV41">
        <f>N(AV40)+IF(AND($AB41&lt;&gt;"",OR('PROFIL ELEVE'!$K$4="(Tous)",$AF41='PROFIL ELEVE'!$K$4)),1,0)</f>
        <v>0</v>
      </c>
      <c r="AW41">
        <f>N(AW40)+IF(AND($AB41&lt;&gt;"",OR('SUIVI LONGITUDINAL'!$Q$4="(Tous)",$AF41='SUIVI LONGITUDINAL'!$Q$4)),1,0)</f>
        <v>0</v>
      </c>
      <c r="AX41">
        <f t="shared" si="19"/>
        <v>0</v>
      </c>
      <c r="AY41">
        <f t="shared" si="20"/>
        <v>0</v>
      </c>
      <c r="AZ41">
        <f t="shared" si="21"/>
        <v>0</v>
      </c>
      <c r="BA41" t="str">
        <f t="shared" si="22"/>
        <v/>
      </c>
      <c r="BB41" t="str">
        <f t="shared" si="23"/>
        <v/>
      </c>
    </row>
    <row r="42" spans="1:54" ht="14.25" customHeight="1" x14ac:dyDescent="0.3">
      <c r="A42" t="str">
        <f>IF(SAISIE!$F47="","",SAISIE!$B47)</f>
        <v/>
      </c>
      <c r="B42" t="str">
        <f>IF(SAISIE!$F47="","",SAISIE!$C47)</f>
        <v/>
      </c>
      <c r="C42" t="str">
        <f>IF(SAISIE!$F47="","",SAISIE!$D47)</f>
        <v/>
      </c>
      <c r="D42" t="str">
        <f>IF(SAISIE!$E47="","",SAISIE!$E47)</f>
        <v/>
      </c>
      <c r="E42" t="str">
        <f>IF(SAISIE!$F47="","",SAISIE!$F47)</f>
        <v/>
      </c>
      <c r="F42" t="str">
        <f>IF(SAISIE!$G47="","",SAISIE!$G47)</f>
        <v/>
      </c>
      <c r="G42" t="str">
        <f>IF(SAISIE!$H47="","",SAISIE!$H47)</f>
        <v/>
      </c>
      <c r="H42" t="str">
        <f>IF(SAISIE!$I47="","",SAISIE!$I47)</f>
        <v/>
      </c>
      <c r="I42" t="str">
        <f>IF(SAISIE!$J47="","",SAISIE!$J47)</f>
        <v/>
      </c>
      <c r="J42" t="str">
        <f>IF(SAISIE!$K47="","",SAISIE!$K47)</f>
        <v/>
      </c>
      <c r="K42" t="str">
        <f>IF(SAISIE!$L47="","",SAISIE!$L47)</f>
        <v/>
      </c>
      <c r="L42" t="str">
        <f>IF(SAISIE!$M47="","",SAISIE!$M47)</f>
        <v/>
      </c>
      <c r="M42" t="str">
        <f>IF(SAISIE!$N47="","",SAISIE!$N47)</f>
        <v/>
      </c>
      <c r="N42" t="str">
        <f>IF(SAISIE!$O47="","",SAISIE!$O47)</f>
        <v/>
      </c>
      <c r="O42" t="str">
        <f>IF(SAISIE!$P47="","",SAISIE!$P47)</f>
        <v/>
      </c>
      <c r="P42" t="str">
        <f>IF(SAISIE!$Q47="","",SAISIE!$Q47)</f>
        <v/>
      </c>
      <c r="Q42" t="str">
        <f>IF($I42="","",IF($I42&gt;PARAMETRES!$G$29,5,IF($I42&gt;PARAMETRES!$F$29,4,IF($I42&gt;PARAMETRES!$E$29,3,IF($I42&gt;PARAMETRES!$D$29,2,1)))))</f>
        <v/>
      </c>
      <c r="R42" t="str">
        <f>IF($J42="","",IF($J42&gt;PARAMETRES!$G$30,5,IF($J42&gt;PARAMETRES!$F$30,4,IF($J42&gt;PARAMETRES!$E$30,3,IF($J42&gt;PARAMETRES!$D$30,2,1)))))</f>
        <v/>
      </c>
      <c r="S42" t="str">
        <f>IF($K42="","",IF($Z42=2,IF($K42&gt;PARAMETRES!$G$31,5,IF($K42&gt;PARAMETRES!$F$31,4,IF($K42&gt;PARAMETRES!$E$31,3,IF($K42&gt;PARAMETRES!$D$31,2,1)))),IF($K42&gt;PARAMETRES!$G$32,5,IF($K42&gt;PARAMETRES!$F$32,4,IF($K42&gt;PARAMETRES!$E$32,3,IF($K42&gt;PARAMETRES!$D$32,2,1))))))</f>
        <v/>
      </c>
      <c r="T42" t="str">
        <f>IF($L42="","",IF($L42&gt;PARAMETRES!$G$33,5,IF($L42&gt;PARAMETRES!$F$33,4,IF($L42&gt;PARAMETRES!$E$33,3,IF($L42&gt;PARAMETRES!$D$33,2,1)))))</f>
        <v/>
      </c>
      <c r="U42" t="str">
        <f>IF($M42="","",IF($M42&gt;PARAMETRES!$G$34,5,IF($M42&gt;PARAMETRES!$F$34,4,IF($M42&gt;PARAMETRES!$E$34,3,IF($M42&gt;PARAMETRES!$D$34,2,1)))))</f>
        <v/>
      </c>
      <c r="V42" t="str">
        <f>IF($N42="","",IF($N42&gt;PARAMETRES!$G$35,5,IF($N42&gt;PARAMETRES!$F$35,4,IF($N42&gt;PARAMETRES!$E$35,3,IF($N42&gt;PARAMETRES!$D$35,2,1)))))</f>
        <v/>
      </c>
      <c r="W42" t="str">
        <f>IF($O42="","",IF($O42&gt;PARAMETRES!$G$36,5,IF($O42&gt;PARAMETRES!$F$36,4,IF($O42&gt;PARAMETRES!$E$36,3,IF($O42&gt;PARAMETRES!$D$36,2,1)))))</f>
        <v/>
      </c>
      <c r="X42" t="str">
        <f>IF($P42="","",IF($P42&gt;PARAMETRES!$G$37,5,IF($P42&gt;PARAMETRES!$F$37,4,IF($P42&gt;PARAMETRES!$E$37,3,IF($P42&gt;PARAMETRES!$D$37,2,1)))))</f>
        <v/>
      </c>
      <c r="Y42" t="str">
        <f t="shared" si="0"/>
        <v/>
      </c>
      <c r="Z42" t="str">
        <f>IFERROR(VLOOKUP($B42,TABLE_CYCLE,2,0),"")</f>
        <v/>
      </c>
      <c r="AA42" t="str">
        <f t="shared" si="1"/>
        <v/>
      </c>
      <c r="AB42" t="str">
        <f>IF($D42="","",IF(COUNTIF($D$2:$D42,$D42)=1,$D42,""))</f>
        <v/>
      </c>
      <c r="AC42">
        <f t="shared" si="2"/>
        <v>0</v>
      </c>
      <c r="AD42" t="str">
        <f t="shared" si="3"/>
        <v>|0</v>
      </c>
      <c r="AE42" t="str">
        <f t="shared" si="4"/>
        <v/>
      </c>
      <c r="AF42" t="str">
        <f t="shared" si="5"/>
        <v/>
      </c>
      <c r="AG42" t="str">
        <f t="shared" si="6"/>
        <v/>
      </c>
      <c r="AH42" t="str">
        <f t="shared" si="7"/>
        <v/>
      </c>
      <c r="AI42" t="str">
        <f t="shared" si="8"/>
        <v/>
      </c>
      <c r="AJ42" t="str">
        <f t="shared" si="9"/>
        <v/>
      </c>
      <c r="AK42" t="str">
        <f t="shared" si="10"/>
        <v/>
      </c>
      <c r="AL42" t="str">
        <f t="shared" si="11"/>
        <v/>
      </c>
      <c r="AM42" t="str">
        <f t="shared" si="12"/>
        <v/>
      </c>
      <c r="AN42" t="str">
        <f t="shared" si="13"/>
        <v/>
      </c>
      <c r="AO42" t="str">
        <f t="shared" si="14"/>
        <v/>
      </c>
      <c r="AP42">
        <f t="shared" si="15"/>
        <v>1</v>
      </c>
      <c r="AQ42" t="str">
        <f>IF(SAISIE!$F47="","",SAISIE!$Y47)</f>
        <v/>
      </c>
      <c r="AR42" t="str">
        <f>IF(OR(SAISIE!$U$4="",SAISIE!$W$4=""),"",IF(AND($A42=SAISIE!$U$4,$B42=SAISIE!$W$4,$C42="S1"),COUNTIFS($A$2:$A42,SAISIE!$U$4,$B$2:$B42,SAISIE!$W$4,$C$2:$C42,"S1"),""))</f>
        <v/>
      </c>
      <c r="AS42" t="str">
        <f t="shared" si="16"/>
        <v/>
      </c>
      <c r="AT42" t="str">
        <f t="shared" si="17"/>
        <v/>
      </c>
      <c r="AU42" t="str">
        <f t="shared" si="18"/>
        <v/>
      </c>
      <c r="AV42">
        <f>N(AV41)+IF(AND($AB42&lt;&gt;"",OR('PROFIL ELEVE'!$K$4="(Tous)",$AF42='PROFIL ELEVE'!$K$4)),1,0)</f>
        <v>0</v>
      </c>
      <c r="AW42">
        <f>N(AW41)+IF(AND($AB42&lt;&gt;"",OR('SUIVI LONGITUDINAL'!$Q$4="(Tous)",$AF42='SUIVI LONGITUDINAL'!$Q$4)),1,0)</f>
        <v>0</v>
      </c>
      <c r="AX42">
        <f t="shared" si="19"/>
        <v>0</v>
      </c>
      <c r="AY42">
        <f t="shared" si="20"/>
        <v>0</v>
      </c>
      <c r="AZ42">
        <f t="shared" si="21"/>
        <v>0</v>
      </c>
      <c r="BA42" t="str">
        <f t="shared" si="22"/>
        <v/>
      </c>
      <c r="BB42" t="str">
        <f t="shared" si="23"/>
        <v/>
      </c>
    </row>
    <row r="43" spans="1:54" ht="14.25" customHeight="1" x14ac:dyDescent="0.3">
      <c r="A43" t="str">
        <f>IF(SAISIE!$F48="","",SAISIE!$B48)</f>
        <v/>
      </c>
      <c r="B43" t="str">
        <f>IF(SAISIE!$F48="","",SAISIE!$C48)</f>
        <v/>
      </c>
      <c r="C43" t="str">
        <f>IF(SAISIE!$F48="","",SAISIE!$D48)</f>
        <v/>
      </c>
      <c r="D43" t="str">
        <f>IF(SAISIE!$E48="","",SAISIE!$E48)</f>
        <v/>
      </c>
      <c r="E43" t="str">
        <f>IF(SAISIE!$F48="","",SAISIE!$F48)</f>
        <v/>
      </c>
      <c r="F43" t="str">
        <f>IF(SAISIE!$G48="","",SAISIE!$G48)</f>
        <v/>
      </c>
      <c r="G43" t="str">
        <f>IF(SAISIE!$H48="","",SAISIE!$H48)</f>
        <v/>
      </c>
      <c r="H43" t="str">
        <f>IF(SAISIE!$I48="","",SAISIE!$I48)</f>
        <v/>
      </c>
      <c r="I43" t="str">
        <f>IF(SAISIE!$J48="","",SAISIE!$J48)</f>
        <v/>
      </c>
      <c r="J43" t="str">
        <f>IF(SAISIE!$K48="","",SAISIE!$K48)</f>
        <v/>
      </c>
      <c r="K43" t="str">
        <f>IF(SAISIE!$L48="","",SAISIE!$L48)</f>
        <v/>
      </c>
      <c r="L43" t="str">
        <f>IF(SAISIE!$M48="","",SAISIE!$M48)</f>
        <v/>
      </c>
      <c r="M43" t="str">
        <f>IF(SAISIE!$N48="","",SAISIE!$N48)</f>
        <v/>
      </c>
      <c r="N43" t="str">
        <f>IF(SAISIE!$O48="","",SAISIE!$O48)</f>
        <v/>
      </c>
      <c r="O43" t="str">
        <f>IF(SAISIE!$P48="","",SAISIE!$P48)</f>
        <v/>
      </c>
      <c r="P43" t="str">
        <f>IF(SAISIE!$Q48="","",SAISIE!$Q48)</f>
        <v/>
      </c>
      <c r="Q43" t="str">
        <f>IF($I43="","",IF($I43&gt;PARAMETRES!$G$29,5,IF($I43&gt;PARAMETRES!$F$29,4,IF($I43&gt;PARAMETRES!$E$29,3,IF($I43&gt;PARAMETRES!$D$29,2,1)))))</f>
        <v/>
      </c>
      <c r="R43" t="str">
        <f>IF($J43="","",IF($J43&gt;PARAMETRES!$G$30,5,IF($J43&gt;PARAMETRES!$F$30,4,IF($J43&gt;PARAMETRES!$E$30,3,IF($J43&gt;PARAMETRES!$D$30,2,1)))))</f>
        <v/>
      </c>
      <c r="S43" t="str">
        <f>IF($K43="","",IF($Z43=2,IF($K43&gt;PARAMETRES!$G$31,5,IF($K43&gt;PARAMETRES!$F$31,4,IF($K43&gt;PARAMETRES!$E$31,3,IF($K43&gt;PARAMETRES!$D$31,2,1)))),IF($K43&gt;PARAMETRES!$G$32,5,IF($K43&gt;PARAMETRES!$F$32,4,IF($K43&gt;PARAMETRES!$E$32,3,IF($K43&gt;PARAMETRES!$D$32,2,1))))))</f>
        <v/>
      </c>
      <c r="T43" t="str">
        <f>IF($L43="","",IF($L43&gt;PARAMETRES!$G$33,5,IF($L43&gt;PARAMETRES!$F$33,4,IF($L43&gt;PARAMETRES!$E$33,3,IF($L43&gt;PARAMETRES!$D$33,2,1)))))</f>
        <v/>
      </c>
      <c r="U43" t="str">
        <f>IF($M43="","",IF($M43&gt;PARAMETRES!$G$34,5,IF($M43&gt;PARAMETRES!$F$34,4,IF($M43&gt;PARAMETRES!$E$34,3,IF($M43&gt;PARAMETRES!$D$34,2,1)))))</f>
        <v/>
      </c>
      <c r="V43" t="str">
        <f>IF($N43="","",IF($N43&gt;PARAMETRES!$G$35,5,IF($N43&gt;PARAMETRES!$F$35,4,IF($N43&gt;PARAMETRES!$E$35,3,IF($N43&gt;PARAMETRES!$D$35,2,1)))))</f>
        <v/>
      </c>
      <c r="W43" t="str">
        <f>IF($O43="","",IF($O43&gt;PARAMETRES!$G$36,5,IF($O43&gt;PARAMETRES!$F$36,4,IF($O43&gt;PARAMETRES!$E$36,3,IF($O43&gt;PARAMETRES!$D$36,2,1)))))</f>
        <v/>
      </c>
      <c r="X43" t="str">
        <f>IF($P43="","",IF($P43&gt;PARAMETRES!$G$37,5,IF($P43&gt;PARAMETRES!$F$37,4,IF($P43&gt;PARAMETRES!$E$37,3,IF($P43&gt;PARAMETRES!$D$37,2,1)))))</f>
        <v/>
      </c>
      <c r="Y43" t="str">
        <f t="shared" si="0"/>
        <v/>
      </c>
      <c r="Z43" t="str">
        <f>IFERROR(VLOOKUP($B43,TABLE_CYCLE,2,0),"")</f>
        <v/>
      </c>
      <c r="AA43" t="str">
        <f t="shared" si="1"/>
        <v/>
      </c>
      <c r="AB43" t="str">
        <f>IF($D43="","",IF(COUNTIF($D$2:$D43,$D43)=1,$D43,""))</f>
        <v/>
      </c>
      <c r="AC43">
        <f t="shared" si="2"/>
        <v>0</v>
      </c>
      <c r="AD43" t="str">
        <f t="shared" si="3"/>
        <v>|0</v>
      </c>
      <c r="AE43" t="str">
        <f t="shared" si="4"/>
        <v/>
      </c>
      <c r="AF43" t="str">
        <f t="shared" si="5"/>
        <v/>
      </c>
      <c r="AG43" t="str">
        <f t="shared" si="6"/>
        <v/>
      </c>
      <c r="AH43" t="str">
        <f t="shared" si="7"/>
        <v/>
      </c>
      <c r="AI43" t="str">
        <f t="shared" si="8"/>
        <v/>
      </c>
      <c r="AJ43" t="str">
        <f t="shared" si="9"/>
        <v/>
      </c>
      <c r="AK43" t="str">
        <f t="shared" si="10"/>
        <v/>
      </c>
      <c r="AL43" t="str">
        <f t="shared" si="11"/>
        <v/>
      </c>
      <c r="AM43" t="str">
        <f t="shared" si="12"/>
        <v/>
      </c>
      <c r="AN43" t="str">
        <f t="shared" si="13"/>
        <v/>
      </c>
      <c r="AO43" t="str">
        <f t="shared" si="14"/>
        <v/>
      </c>
      <c r="AP43">
        <f t="shared" si="15"/>
        <v>1</v>
      </c>
      <c r="AQ43" t="str">
        <f>IF(SAISIE!$F48="","",SAISIE!$Y48)</f>
        <v/>
      </c>
      <c r="AR43" t="str">
        <f>IF(OR(SAISIE!$U$4="",SAISIE!$W$4=""),"",IF(AND($A43=SAISIE!$U$4,$B43=SAISIE!$W$4,$C43="S1"),COUNTIFS($A$2:$A43,SAISIE!$U$4,$B$2:$B43,SAISIE!$W$4,$C$2:$C43,"S1"),""))</f>
        <v/>
      </c>
      <c r="AS43" t="str">
        <f t="shared" si="16"/>
        <v/>
      </c>
      <c r="AT43" t="str">
        <f t="shared" si="17"/>
        <v/>
      </c>
      <c r="AU43" t="str">
        <f t="shared" si="18"/>
        <v/>
      </c>
      <c r="AV43">
        <f>N(AV42)+IF(AND($AB43&lt;&gt;"",OR('PROFIL ELEVE'!$K$4="(Tous)",$AF43='PROFIL ELEVE'!$K$4)),1,0)</f>
        <v>0</v>
      </c>
      <c r="AW43">
        <f>N(AW42)+IF(AND($AB43&lt;&gt;"",OR('SUIVI LONGITUDINAL'!$Q$4="(Tous)",$AF43='SUIVI LONGITUDINAL'!$Q$4)),1,0)</f>
        <v>0</v>
      </c>
      <c r="AX43">
        <f t="shared" si="19"/>
        <v>0</v>
      </c>
      <c r="AY43">
        <f t="shared" si="20"/>
        <v>0</v>
      </c>
      <c r="AZ43">
        <f t="shared" si="21"/>
        <v>0</v>
      </c>
      <c r="BA43" t="str">
        <f t="shared" si="22"/>
        <v/>
      </c>
      <c r="BB43" t="str">
        <f t="shared" si="23"/>
        <v/>
      </c>
    </row>
    <row r="44" spans="1:54" ht="14.25" customHeight="1" x14ac:dyDescent="0.3">
      <c r="A44" t="str">
        <f>IF(SAISIE!$F49="","",SAISIE!$B49)</f>
        <v/>
      </c>
      <c r="B44" t="str">
        <f>IF(SAISIE!$F49="","",SAISIE!$C49)</f>
        <v/>
      </c>
      <c r="C44" t="str">
        <f>IF(SAISIE!$F49="","",SAISIE!$D49)</f>
        <v/>
      </c>
      <c r="D44" t="str">
        <f>IF(SAISIE!$E49="","",SAISIE!$E49)</f>
        <v/>
      </c>
      <c r="E44" t="str">
        <f>IF(SAISIE!$F49="","",SAISIE!$F49)</f>
        <v/>
      </c>
      <c r="F44" t="str">
        <f>IF(SAISIE!$G49="","",SAISIE!$G49)</f>
        <v/>
      </c>
      <c r="G44" t="str">
        <f>IF(SAISIE!$H49="","",SAISIE!$H49)</f>
        <v/>
      </c>
      <c r="H44" t="str">
        <f>IF(SAISIE!$I49="","",SAISIE!$I49)</f>
        <v/>
      </c>
      <c r="I44" t="str">
        <f>IF(SAISIE!$J49="","",SAISIE!$J49)</f>
        <v/>
      </c>
      <c r="J44" t="str">
        <f>IF(SAISIE!$K49="","",SAISIE!$K49)</f>
        <v/>
      </c>
      <c r="K44" t="str">
        <f>IF(SAISIE!$L49="","",SAISIE!$L49)</f>
        <v/>
      </c>
      <c r="L44" t="str">
        <f>IF(SAISIE!$M49="","",SAISIE!$M49)</f>
        <v/>
      </c>
      <c r="M44" t="str">
        <f>IF(SAISIE!$N49="","",SAISIE!$N49)</f>
        <v/>
      </c>
      <c r="N44" t="str">
        <f>IF(SAISIE!$O49="","",SAISIE!$O49)</f>
        <v/>
      </c>
      <c r="O44" t="str">
        <f>IF(SAISIE!$P49="","",SAISIE!$P49)</f>
        <v/>
      </c>
      <c r="P44" t="str">
        <f>IF(SAISIE!$Q49="","",SAISIE!$Q49)</f>
        <v/>
      </c>
      <c r="Q44" t="str">
        <f>IF($I44="","",IF($I44&gt;PARAMETRES!$G$29,5,IF($I44&gt;PARAMETRES!$F$29,4,IF($I44&gt;PARAMETRES!$E$29,3,IF($I44&gt;PARAMETRES!$D$29,2,1)))))</f>
        <v/>
      </c>
      <c r="R44" t="str">
        <f>IF($J44="","",IF($J44&gt;PARAMETRES!$G$30,5,IF($J44&gt;PARAMETRES!$F$30,4,IF($J44&gt;PARAMETRES!$E$30,3,IF($J44&gt;PARAMETRES!$D$30,2,1)))))</f>
        <v/>
      </c>
      <c r="S44" t="str">
        <f>IF($K44="","",IF($Z44=2,IF($K44&gt;PARAMETRES!$G$31,5,IF($K44&gt;PARAMETRES!$F$31,4,IF($K44&gt;PARAMETRES!$E$31,3,IF($K44&gt;PARAMETRES!$D$31,2,1)))),IF($K44&gt;PARAMETRES!$G$32,5,IF($K44&gt;PARAMETRES!$F$32,4,IF($K44&gt;PARAMETRES!$E$32,3,IF($K44&gt;PARAMETRES!$D$32,2,1))))))</f>
        <v/>
      </c>
      <c r="T44" t="str">
        <f>IF($L44="","",IF($L44&gt;PARAMETRES!$G$33,5,IF($L44&gt;PARAMETRES!$F$33,4,IF($L44&gt;PARAMETRES!$E$33,3,IF($L44&gt;PARAMETRES!$D$33,2,1)))))</f>
        <v/>
      </c>
      <c r="U44" t="str">
        <f>IF($M44="","",IF($M44&gt;PARAMETRES!$G$34,5,IF($M44&gt;PARAMETRES!$F$34,4,IF($M44&gt;PARAMETRES!$E$34,3,IF($M44&gt;PARAMETRES!$D$34,2,1)))))</f>
        <v/>
      </c>
      <c r="V44" t="str">
        <f>IF($N44="","",IF($N44&gt;PARAMETRES!$G$35,5,IF($N44&gt;PARAMETRES!$F$35,4,IF($N44&gt;PARAMETRES!$E$35,3,IF($N44&gt;PARAMETRES!$D$35,2,1)))))</f>
        <v/>
      </c>
      <c r="W44" t="str">
        <f>IF($O44="","",IF($O44&gt;PARAMETRES!$G$36,5,IF($O44&gt;PARAMETRES!$F$36,4,IF($O44&gt;PARAMETRES!$E$36,3,IF($O44&gt;PARAMETRES!$D$36,2,1)))))</f>
        <v/>
      </c>
      <c r="X44" t="str">
        <f>IF($P44="","",IF($P44&gt;PARAMETRES!$G$37,5,IF($P44&gt;PARAMETRES!$F$37,4,IF($P44&gt;PARAMETRES!$E$37,3,IF($P44&gt;PARAMETRES!$D$37,2,1)))))</f>
        <v/>
      </c>
      <c r="Y44" t="str">
        <f t="shared" si="0"/>
        <v/>
      </c>
      <c r="Z44" t="str">
        <f>IFERROR(VLOOKUP($B44,TABLE_CYCLE,2,0),"")</f>
        <v/>
      </c>
      <c r="AA44" t="str">
        <f t="shared" si="1"/>
        <v/>
      </c>
      <c r="AB44" t="str">
        <f>IF($D44="","",IF(COUNTIF($D$2:$D44,$D44)=1,$D44,""))</f>
        <v/>
      </c>
      <c r="AC44">
        <f t="shared" si="2"/>
        <v>0</v>
      </c>
      <c r="AD44" t="str">
        <f t="shared" si="3"/>
        <v>|0</v>
      </c>
      <c r="AE44" t="str">
        <f t="shared" si="4"/>
        <v/>
      </c>
      <c r="AF44" t="str">
        <f t="shared" si="5"/>
        <v/>
      </c>
      <c r="AG44" t="str">
        <f t="shared" si="6"/>
        <v/>
      </c>
      <c r="AH44" t="str">
        <f t="shared" si="7"/>
        <v/>
      </c>
      <c r="AI44" t="str">
        <f t="shared" si="8"/>
        <v/>
      </c>
      <c r="AJ44" t="str">
        <f t="shared" si="9"/>
        <v/>
      </c>
      <c r="AK44" t="str">
        <f t="shared" si="10"/>
        <v/>
      </c>
      <c r="AL44" t="str">
        <f t="shared" si="11"/>
        <v/>
      </c>
      <c r="AM44" t="str">
        <f t="shared" si="12"/>
        <v/>
      </c>
      <c r="AN44" t="str">
        <f t="shared" si="13"/>
        <v/>
      </c>
      <c r="AO44" t="str">
        <f t="shared" si="14"/>
        <v/>
      </c>
      <c r="AP44">
        <f t="shared" si="15"/>
        <v>1</v>
      </c>
      <c r="AQ44" t="str">
        <f>IF(SAISIE!$F49="","",SAISIE!$Y49)</f>
        <v/>
      </c>
      <c r="AR44" t="str">
        <f>IF(OR(SAISIE!$U$4="",SAISIE!$W$4=""),"",IF(AND($A44=SAISIE!$U$4,$B44=SAISIE!$W$4,$C44="S1"),COUNTIFS($A$2:$A44,SAISIE!$U$4,$B$2:$B44,SAISIE!$W$4,$C$2:$C44,"S1"),""))</f>
        <v/>
      </c>
      <c r="AS44" t="str">
        <f t="shared" si="16"/>
        <v/>
      </c>
      <c r="AT44" t="str">
        <f t="shared" si="17"/>
        <v/>
      </c>
      <c r="AU44" t="str">
        <f t="shared" si="18"/>
        <v/>
      </c>
      <c r="AV44">
        <f>N(AV43)+IF(AND($AB44&lt;&gt;"",OR('PROFIL ELEVE'!$K$4="(Tous)",$AF44='PROFIL ELEVE'!$K$4)),1,0)</f>
        <v>0</v>
      </c>
      <c r="AW44">
        <f>N(AW43)+IF(AND($AB44&lt;&gt;"",OR('SUIVI LONGITUDINAL'!$Q$4="(Tous)",$AF44='SUIVI LONGITUDINAL'!$Q$4)),1,0)</f>
        <v>0</v>
      </c>
      <c r="AX44">
        <f t="shared" si="19"/>
        <v>0</v>
      </c>
      <c r="AY44">
        <f t="shared" si="20"/>
        <v>0</v>
      </c>
      <c r="AZ44">
        <f t="shared" si="21"/>
        <v>0</v>
      </c>
      <c r="BA44" t="str">
        <f t="shared" si="22"/>
        <v/>
      </c>
      <c r="BB44" t="str">
        <f t="shared" si="23"/>
        <v/>
      </c>
    </row>
    <row r="45" spans="1:54" ht="14.25" customHeight="1" x14ac:dyDescent="0.3">
      <c r="A45" t="str">
        <f>IF(SAISIE!$F50="","",SAISIE!$B50)</f>
        <v/>
      </c>
      <c r="B45" t="str">
        <f>IF(SAISIE!$F50="","",SAISIE!$C50)</f>
        <v/>
      </c>
      <c r="C45" t="str">
        <f>IF(SAISIE!$F50="","",SAISIE!$D50)</f>
        <v/>
      </c>
      <c r="D45" t="str">
        <f>IF(SAISIE!$E50="","",SAISIE!$E50)</f>
        <v/>
      </c>
      <c r="E45" t="str">
        <f>IF(SAISIE!$F50="","",SAISIE!$F50)</f>
        <v/>
      </c>
      <c r="F45" t="str">
        <f>IF(SAISIE!$G50="","",SAISIE!$G50)</f>
        <v/>
      </c>
      <c r="G45" t="str">
        <f>IF(SAISIE!$H50="","",SAISIE!$H50)</f>
        <v/>
      </c>
      <c r="H45" t="str">
        <f>IF(SAISIE!$I50="","",SAISIE!$I50)</f>
        <v/>
      </c>
      <c r="I45" t="str">
        <f>IF(SAISIE!$J50="","",SAISIE!$J50)</f>
        <v/>
      </c>
      <c r="J45" t="str">
        <f>IF(SAISIE!$K50="","",SAISIE!$K50)</f>
        <v/>
      </c>
      <c r="K45" t="str">
        <f>IF(SAISIE!$L50="","",SAISIE!$L50)</f>
        <v/>
      </c>
      <c r="L45" t="str">
        <f>IF(SAISIE!$M50="","",SAISIE!$M50)</f>
        <v/>
      </c>
      <c r="M45" t="str">
        <f>IF(SAISIE!$N50="","",SAISIE!$N50)</f>
        <v/>
      </c>
      <c r="N45" t="str">
        <f>IF(SAISIE!$O50="","",SAISIE!$O50)</f>
        <v/>
      </c>
      <c r="O45" t="str">
        <f>IF(SAISIE!$P50="","",SAISIE!$P50)</f>
        <v/>
      </c>
      <c r="P45" t="str">
        <f>IF(SAISIE!$Q50="","",SAISIE!$Q50)</f>
        <v/>
      </c>
      <c r="Q45" t="str">
        <f>IF($I45="","",IF($I45&gt;PARAMETRES!$G$29,5,IF($I45&gt;PARAMETRES!$F$29,4,IF($I45&gt;PARAMETRES!$E$29,3,IF($I45&gt;PARAMETRES!$D$29,2,1)))))</f>
        <v/>
      </c>
      <c r="R45" t="str">
        <f>IF($J45="","",IF($J45&gt;PARAMETRES!$G$30,5,IF($J45&gt;PARAMETRES!$F$30,4,IF($J45&gt;PARAMETRES!$E$30,3,IF($J45&gt;PARAMETRES!$D$30,2,1)))))</f>
        <v/>
      </c>
      <c r="S45" t="str">
        <f>IF($K45="","",IF($Z45=2,IF($K45&gt;PARAMETRES!$G$31,5,IF($K45&gt;PARAMETRES!$F$31,4,IF($K45&gt;PARAMETRES!$E$31,3,IF($K45&gt;PARAMETRES!$D$31,2,1)))),IF($K45&gt;PARAMETRES!$G$32,5,IF($K45&gt;PARAMETRES!$F$32,4,IF($K45&gt;PARAMETRES!$E$32,3,IF($K45&gt;PARAMETRES!$D$32,2,1))))))</f>
        <v/>
      </c>
      <c r="T45" t="str">
        <f>IF($L45="","",IF($L45&gt;PARAMETRES!$G$33,5,IF($L45&gt;PARAMETRES!$F$33,4,IF($L45&gt;PARAMETRES!$E$33,3,IF($L45&gt;PARAMETRES!$D$33,2,1)))))</f>
        <v/>
      </c>
      <c r="U45" t="str">
        <f>IF($M45="","",IF($M45&gt;PARAMETRES!$G$34,5,IF($M45&gt;PARAMETRES!$F$34,4,IF($M45&gt;PARAMETRES!$E$34,3,IF($M45&gt;PARAMETRES!$D$34,2,1)))))</f>
        <v/>
      </c>
      <c r="V45" t="str">
        <f>IF($N45="","",IF($N45&gt;PARAMETRES!$G$35,5,IF($N45&gt;PARAMETRES!$F$35,4,IF($N45&gt;PARAMETRES!$E$35,3,IF($N45&gt;PARAMETRES!$D$35,2,1)))))</f>
        <v/>
      </c>
      <c r="W45" t="str">
        <f>IF($O45="","",IF($O45&gt;PARAMETRES!$G$36,5,IF($O45&gt;PARAMETRES!$F$36,4,IF($O45&gt;PARAMETRES!$E$36,3,IF($O45&gt;PARAMETRES!$D$36,2,1)))))</f>
        <v/>
      </c>
      <c r="X45" t="str">
        <f>IF($P45="","",IF($P45&gt;PARAMETRES!$G$37,5,IF($P45&gt;PARAMETRES!$F$37,4,IF($P45&gt;PARAMETRES!$E$37,3,IF($P45&gt;PARAMETRES!$D$37,2,1)))))</f>
        <v/>
      </c>
      <c r="Y45" t="str">
        <f t="shared" si="0"/>
        <v/>
      </c>
      <c r="Z45" t="str">
        <f>IFERROR(VLOOKUP($B45,TABLE_CYCLE,2,0),"")</f>
        <v/>
      </c>
      <c r="AA45" t="str">
        <f t="shared" si="1"/>
        <v/>
      </c>
      <c r="AB45" t="str">
        <f>IF($D45="","",IF(COUNTIF($D$2:$D45,$D45)=1,$D45,""))</f>
        <v/>
      </c>
      <c r="AC45">
        <f t="shared" si="2"/>
        <v>0</v>
      </c>
      <c r="AD45" t="str">
        <f t="shared" si="3"/>
        <v>|0</v>
      </c>
      <c r="AE45" t="str">
        <f t="shared" si="4"/>
        <v/>
      </c>
      <c r="AF45" t="str">
        <f t="shared" si="5"/>
        <v/>
      </c>
      <c r="AG45" t="str">
        <f t="shared" si="6"/>
        <v/>
      </c>
      <c r="AH45" t="str">
        <f t="shared" si="7"/>
        <v/>
      </c>
      <c r="AI45" t="str">
        <f t="shared" si="8"/>
        <v/>
      </c>
      <c r="AJ45" t="str">
        <f t="shared" si="9"/>
        <v/>
      </c>
      <c r="AK45" t="str">
        <f t="shared" si="10"/>
        <v/>
      </c>
      <c r="AL45" t="str">
        <f t="shared" si="11"/>
        <v/>
      </c>
      <c r="AM45" t="str">
        <f t="shared" si="12"/>
        <v/>
      </c>
      <c r="AN45" t="str">
        <f t="shared" si="13"/>
        <v/>
      </c>
      <c r="AO45" t="str">
        <f t="shared" si="14"/>
        <v/>
      </c>
      <c r="AP45">
        <f t="shared" si="15"/>
        <v>1</v>
      </c>
      <c r="AQ45" t="str">
        <f>IF(SAISIE!$F50="","",SAISIE!$Y50)</f>
        <v/>
      </c>
      <c r="AR45" t="str">
        <f>IF(OR(SAISIE!$U$4="",SAISIE!$W$4=""),"",IF(AND($A45=SAISIE!$U$4,$B45=SAISIE!$W$4,$C45="S1"),COUNTIFS($A$2:$A45,SAISIE!$U$4,$B$2:$B45,SAISIE!$W$4,$C$2:$C45,"S1"),""))</f>
        <v/>
      </c>
      <c r="AS45" t="str">
        <f t="shared" si="16"/>
        <v/>
      </c>
      <c r="AT45" t="str">
        <f t="shared" si="17"/>
        <v/>
      </c>
      <c r="AU45" t="str">
        <f t="shared" si="18"/>
        <v/>
      </c>
      <c r="AV45">
        <f>N(AV44)+IF(AND($AB45&lt;&gt;"",OR('PROFIL ELEVE'!$K$4="(Tous)",$AF45='PROFIL ELEVE'!$K$4)),1,0)</f>
        <v>0</v>
      </c>
      <c r="AW45">
        <f>N(AW44)+IF(AND($AB45&lt;&gt;"",OR('SUIVI LONGITUDINAL'!$Q$4="(Tous)",$AF45='SUIVI LONGITUDINAL'!$Q$4)),1,0)</f>
        <v>0</v>
      </c>
      <c r="AX45">
        <f t="shared" si="19"/>
        <v>0</v>
      </c>
      <c r="AY45">
        <f t="shared" si="20"/>
        <v>0</v>
      </c>
      <c r="AZ45">
        <f t="shared" si="21"/>
        <v>0</v>
      </c>
      <c r="BA45" t="str">
        <f t="shared" si="22"/>
        <v/>
      </c>
      <c r="BB45" t="str">
        <f t="shared" si="23"/>
        <v/>
      </c>
    </row>
    <row r="46" spans="1:54" ht="14.25" customHeight="1" x14ac:dyDescent="0.3">
      <c r="A46" t="str">
        <f>IF(SAISIE!$F51="","",SAISIE!$B51)</f>
        <v/>
      </c>
      <c r="B46" t="str">
        <f>IF(SAISIE!$F51="","",SAISIE!$C51)</f>
        <v/>
      </c>
      <c r="C46" t="str">
        <f>IF(SAISIE!$F51="","",SAISIE!$D51)</f>
        <v/>
      </c>
      <c r="D46" t="str">
        <f>IF(SAISIE!$E51="","",SAISIE!$E51)</f>
        <v/>
      </c>
      <c r="E46" t="str">
        <f>IF(SAISIE!$F51="","",SAISIE!$F51)</f>
        <v/>
      </c>
      <c r="F46" t="str">
        <f>IF(SAISIE!$G51="","",SAISIE!$G51)</f>
        <v/>
      </c>
      <c r="G46" t="str">
        <f>IF(SAISIE!$H51="","",SAISIE!$H51)</f>
        <v/>
      </c>
      <c r="H46" t="str">
        <f>IF(SAISIE!$I51="","",SAISIE!$I51)</f>
        <v/>
      </c>
      <c r="I46" t="str">
        <f>IF(SAISIE!$J51="","",SAISIE!$J51)</f>
        <v/>
      </c>
      <c r="J46" t="str">
        <f>IF(SAISIE!$K51="","",SAISIE!$K51)</f>
        <v/>
      </c>
      <c r="K46" t="str">
        <f>IF(SAISIE!$L51="","",SAISIE!$L51)</f>
        <v/>
      </c>
      <c r="L46" t="str">
        <f>IF(SAISIE!$M51="","",SAISIE!$M51)</f>
        <v/>
      </c>
      <c r="M46" t="str">
        <f>IF(SAISIE!$N51="","",SAISIE!$N51)</f>
        <v/>
      </c>
      <c r="N46" t="str">
        <f>IF(SAISIE!$O51="","",SAISIE!$O51)</f>
        <v/>
      </c>
      <c r="O46" t="str">
        <f>IF(SAISIE!$P51="","",SAISIE!$P51)</f>
        <v/>
      </c>
      <c r="P46" t="str">
        <f>IF(SAISIE!$Q51="","",SAISIE!$Q51)</f>
        <v/>
      </c>
      <c r="Q46" t="str">
        <f>IF($I46="","",IF($I46&gt;PARAMETRES!$G$29,5,IF($I46&gt;PARAMETRES!$F$29,4,IF($I46&gt;PARAMETRES!$E$29,3,IF($I46&gt;PARAMETRES!$D$29,2,1)))))</f>
        <v/>
      </c>
      <c r="R46" t="str">
        <f>IF($J46="","",IF($J46&gt;PARAMETRES!$G$30,5,IF($J46&gt;PARAMETRES!$F$30,4,IF($J46&gt;PARAMETRES!$E$30,3,IF($J46&gt;PARAMETRES!$D$30,2,1)))))</f>
        <v/>
      </c>
      <c r="S46" t="str">
        <f>IF($K46="","",IF($Z46=2,IF($K46&gt;PARAMETRES!$G$31,5,IF($K46&gt;PARAMETRES!$F$31,4,IF($K46&gt;PARAMETRES!$E$31,3,IF($K46&gt;PARAMETRES!$D$31,2,1)))),IF($K46&gt;PARAMETRES!$G$32,5,IF($K46&gt;PARAMETRES!$F$32,4,IF($K46&gt;PARAMETRES!$E$32,3,IF($K46&gt;PARAMETRES!$D$32,2,1))))))</f>
        <v/>
      </c>
      <c r="T46" t="str">
        <f>IF($L46="","",IF($L46&gt;PARAMETRES!$G$33,5,IF($L46&gt;PARAMETRES!$F$33,4,IF($L46&gt;PARAMETRES!$E$33,3,IF($L46&gt;PARAMETRES!$D$33,2,1)))))</f>
        <v/>
      </c>
      <c r="U46" t="str">
        <f>IF($M46="","",IF($M46&gt;PARAMETRES!$G$34,5,IF($M46&gt;PARAMETRES!$F$34,4,IF($M46&gt;PARAMETRES!$E$34,3,IF($M46&gt;PARAMETRES!$D$34,2,1)))))</f>
        <v/>
      </c>
      <c r="V46" t="str">
        <f>IF($N46="","",IF($N46&gt;PARAMETRES!$G$35,5,IF($N46&gt;PARAMETRES!$F$35,4,IF($N46&gt;PARAMETRES!$E$35,3,IF($N46&gt;PARAMETRES!$D$35,2,1)))))</f>
        <v/>
      </c>
      <c r="W46" t="str">
        <f>IF($O46="","",IF($O46&gt;PARAMETRES!$G$36,5,IF($O46&gt;PARAMETRES!$F$36,4,IF($O46&gt;PARAMETRES!$E$36,3,IF($O46&gt;PARAMETRES!$D$36,2,1)))))</f>
        <v/>
      </c>
      <c r="X46" t="str">
        <f>IF($P46="","",IF($P46&gt;PARAMETRES!$G$37,5,IF($P46&gt;PARAMETRES!$F$37,4,IF($P46&gt;PARAMETRES!$E$37,3,IF($P46&gt;PARAMETRES!$D$37,2,1)))))</f>
        <v/>
      </c>
      <c r="Y46" t="str">
        <f t="shared" si="0"/>
        <v/>
      </c>
      <c r="Z46" t="str">
        <f>IFERROR(VLOOKUP($B46,TABLE_CYCLE,2,0),"")</f>
        <v/>
      </c>
      <c r="AA46" t="str">
        <f t="shared" si="1"/>
        <v/>
      </c>
      <c r="AB46" t="str">
        <f>IF($D46="","",IF(COUNTIF($D$2:$D46,$D46)=1,$D46,""))</f>
        <v/>
      </c>
      <c r="AC46">
        <f t="shared" si="2"/>
        <v>0</v>
      </c>
      <c r="AD46" t="str">
        <f t="shared" si="3"/>
        <v>|0</v>
      </c>
      <c r="AE46" t="str">
        <f t="shared" si="4"/>
        <v/>
      </c>
      <c r="AF46" t="str">
        <f t="shared" si="5"/>
        <v/>
      </c>
      <c r="AG46" t="str">
        <f t="shared" si="6"/>
        <v/>
      </c>
      <c r="AH46" t="str">
        <f t="shared" si="7"/>
        <v/>
      </c>
      <c r="AI46" t="str">
        <f t="shared" si="8"/>
        <v/>
      </c>
      <c r="AJ46" t="str">
        <f t="shared" si="9"/>
        <v/>
      </c>
      <c r="AK46" t="str">
        <f t="shared" si="10"/>
        <v/>
      </c>
      <c r="AL46" t="str">
        <f t="shared" si="11"/>
        <v/>
      </c>
      <c r="AM46" t="str">
        <f t="shared" si="12"/>
        <v/>
      </c>
      <c r="AN46" t="str">
        <f t="shared" si="13"/>
        <v/>
      </c>
      <c r="AO46" t="str">
        <f t="shared" si="14"/>
        <v/>
      </c>
      <c r="AP46">
        <f t="shared" si="15"/>
        <v>1</v>
      </c>
      <c r="AQ46" t="str">
        <f>IF(SAISIE!$F51="","",SAISIE!$Y51)</f>
        <v/>
      </c>
      <c r="AR46" t="str">
        <f>IF(OR(SAISIE!$U$4="",SAISIE!$W$4=""),"",IF(AND($A46=SAISIE!$U$4,$B46=SAISIE!$W$4,$C46="S1"),COUNTIFS($A$2:$A46,SAISIE!$U$4,$B$2:$B46,SAISIE!$W$4,$C$2:$C46,"S1"),""))</f>
        <v/>
      </c>
      <c r="AS46" t="str">
        <f t="shared" si="16"/>
        <v/>
      </c>
      <c r="AT46" t="str">
        <f t="shared" si="17"/>
        <v/>
      </c>
      <c r="AU46" t="str">
        <f t="shared" si="18"/>
        <v/>
      </c>
      <c r="AV46">
        <f>N(AV45)+IF(AND($AB46&lt;&gt;"",OR('PROFIL ELEVE'!$K$4="(Tous)",$AF46='PROFIL ELEVE'!$K$4)),1,0)</f>
        <v>0</v>
      </c>
      <c r="AW46">
        <f>N(AW45)+IF(AND($AB46&lt;&gt;"",OR('SUIVI LONGITUDINAL'!$Q$4="(Tous)",$AF46='SUIVI LONGITUDINAL'!$Q$4)),1,0)</f>
        <v>0</v>
      </c>
      <c r="AX46">
        <f t="shared" si="19"/>
        <v>0</v>
      </c>
      <c r="AY46">
        <f t="shared" si="20"/>
        <v>0</v>
      </c>
      <c r="AZ46">
        <f t="shared" si="21"/>
        <v>0</v>
      </c>
      <c r="BA46" t="str">
        <f t="shared" si="22"/>
        <v/>
      </c>
      <c r="BB46" t="str">
        <f t="shared" si="23"/>
        <v/>
      </c>
    </row>
    <row r="47" spans="1:54" ht="14.25" customHeight="1" x14ac:dyDescent="0.3">
      <c r="A47" t="str">
        <f>IF(SAISIE!$F52="","",SAISIE!$B52)</f>
        <v/>
      </c>
      <c r="B47" t="str">
        <f>IF(SAISIE!$F52="","",SAISIE!$C52)</f>
        <v/>
      </c>
      <c r="C47" t="str">
        <f>IF(SAISIE!$F52="","",SAISIE!$D52)</f>
        <v/>
      </c>
      <c r="D47" t="str">
        <f>IF(SAISIE!$E52="","",SAISIE!$E52)</f>
        <v/>
      </c>
      <c r="E47" t="str">
        <f>IF(SAISIE!$F52="","",SAISIE!$F52)</f>
        <v/>
      </c>
      <c r="F47" t="str">
        <f>IF(SAISIE!$G52="","",SAISIE!$G52)</f>
        <v/>
      </c>
      <c r="G47" t="str">
        <f>IF(SAISIE!$H52="","",SAISIE!$H52)</f>
        <v/>
      </c>
      <c r="H47" t="str">
        <f>IF(SAISIE!$I52="","",SAISIE!$I52)</f>
        <v/>
      </c>
      <c r="I47" t="str">
        <f>IF(SAISIE!$J52="","",SAISIE!$J52)</f>
        <v/>
      </c>
      <c r="J47" t="str">
        <f>IF(SAISIE!$K52="","",SAISIE!$K52)</f>
        <v/>
      </c>
      <c r="K47" t="str">
        <f>IF(SAISIE!$L52="","",SAISIE!$L52)</f>
        <v/>
      </c>
      <c r="L47" t="str">
        <f>IF(SAISIE!$M52="","",SAISIE!$M52)</f>
        <v/>
      </c>
      <c r="M47" t="str">
        <f>IF(SAISIE!$N52="","",SAISIE!$N52)</f>
        <v/>
      </c>
      <c r="N47" t="str">
        <f>IF(SAISIE!$O52="","",SAISIE!$O52)</f>
        <v/>
      </c>
      <c r="O47" t="str">
        <f>IF(SAISIE!$P52="","",SAISIE!$P52)</f>
        <v/>
      </c>
      <c r="P47" t="str">
        <f>IF(SAISIE!$Q52="","",SAISIE!$Q52)</f>
        <v/>
      </c>
      <c r="Q47" t="str">
        <f>IF($I47="","",IF($I47&gt;PARAMETRES!$G$29,5,IF($I47&gt;PARAMETRES!$F$29,4,IF($I47&gt;PARAMETRES!$E$29,3,IF($I47&gt;PARAMETRES!$D$29,2,1)))))</f>
        <v/>
      </c>
      <c r="R47" t="str">
        <f>IF($J47="","",IF($J47&gt;PARAMETRES!$G$30,5,IF($J47&gt;PARAMETRES!$F$30,4,IF($J47&gt;PARAMETRES!$E$30,3,IF($J47&gt;PARAMETRES!$D$30,2,1)))))</f>
        <v/>
      </c>
      <c r="S47" t="str">
        <f>IF($K47="","",IF($Z47=2,IF($K47&gt;PARAMETRES!$G$31,5,IF($K47&gt;PARAMETRES!$F$31,4,IF($K47&gt;PARAMETRES!$E$31,3,IF($K47&gt;PARAMETRES!$D$31,2,1)))),IF($K47&gt;PARAMETRES!$G$32,5,IF($K47&gt;PARAMETRES!$F$32,4,IF($K47&gt;PARAMETRES!$E$32,3,IF($K47&gt;PARAMETRES!$D$32,2,1))))))</f>
        <v/>
      </c>
      <c r="T47" t="str">
        <f>IF($L47="","",IF($L47&gt;PARAMETRES!$G$33,5,IF($L47&gt;PARAMETRES!$F$33,4,IF($L47&gt;PARAMETRES!$E$33,3,IF($L47&gt;PARAMETRES!$D$33,2,1)))))</f>
        <v/>
      </c>
      <c r="U47" t="str">
        <f>IF($M47="","",IF($M47&gt;PARAMETRES!$G$34,5,IF($M47&gt;PARAMETRES!$F$34,4,IF($M47&gt;PARAMETRES!$E$34,3,IF($M47&gt;PARAMETRES!$D$34,2,1)))))</f>
        <v/>
      </c>
      <c r="V47" t="str">
        <f>IF($N47="","",IF($N47&gt;PARAMETRES!$G$35,5,IF($N47&gt;PARAMETRES!$F$35,4,IF($N47&gt;PARAMETRES!$E$35,3,IF($N47&gt;PARAMETRES!$D$35,2,1)))))</f>
        <v/>
      </c>
      <c r="W47" t="str">
        <f>IF($O47="","",IF($O47&gt;PARAMETRES!$G$36,5,IF($O47&gt;PARAMETRES!$F$36,4,IF($O47&gt;PARAMETRES!$E$36,3,IF($O47&gt;PARAMETRES!$D$36,2,1)))))</f>
        <v/>
      </c>
      <c r="X47" t="str">
        <f>IF($P47="","",IF($P47&gt;PARAMETRES!$G$37,5,IF($P47&gt;PARAMETRES!$F$37,4,IF($P47&gt;PARAMETRES!$E$37,3,IF($P47&gt;PARAMETRES!$D$37,2,1)))))</f>
        <v/>
      </c>
      <c r="Y47" t="str">
        <f t="shared" si="0"/>
        <v/>
      </c>
      <c r="Z47" t="str">
        <f>IFERROR(VLOOKUP($B47,TABLE_CYCLE,2,0),"")</f>
        <v/>
      </c>
      <c r="AA47" t="str">
        <f t="shared" si="1"/>
        <v/>
      </c>
      <c r="AB47" t="str">
        <f>IF($D47="","",IF(COUNTIF($D$2:$D47,$D47)=1,$D47,""))</f>
        <v/>
      </c>
      <c r="AC47">
        <f t="shared" si="2"/>
        <v>0</v>
      </c>
      <c r="AD47" t="str">
        <f t="shared" si="3"/>
        <v>|0</v>
      </c>
      <c r="AE47" t="str">
        <f t="shared" si="4"/>
        <v/>
      </c>
      <c r="AF47" t="str">
        <f t="shared" si="5"/>
        <v/>
      </c>
      <c r="AG47" t="str">
        <f t="shared" si="6"/>
        <v/>
      </c>
      <c r="AH47" t="str">
        <f t="shared" si="7"/>
        <v/>
      </c>
      <c r="AI47" t="str">
        <f t="shared" si="8"/>
        <v/>
      </c>
      <c r="AJ47" t="str">
        <f t="shared" si="9"/>
        <v/>
      </c>
      <c r="AK47" t="str">
        <f t="shared" si="10"/>
        <v/>
      </c>
      <c r="AL47" t="str">
        <f t="shared" si="11"/>
        <v/>
      </c>
      <c r="AM47" t="str">
        <f t="shared" si="12"/>
        <v/>
      </c>
      <c r="AN47" t="str">
        <f t="shared" si="13"/>
        <v/>
      </c>
      <c r="AO47" t="str">
        <f t="shared" si="14"/>
        <v/>
      </c>
      <c r="AP47">
        <f t="shared" si="15"/>
        <v>1</v>
      </c>
      <c r="AQ47" t="str">
        <f>IF(SAISIE!$F52="","",SAISIE!$Y52)</f>
        <v/>
      </c>
      <c r="AR47" t="str">
        <f>IF(OR(SAISIE!$U$4="",SAISIE!$W$4=""),"",IF(AND($A47=SAISIE!$U$4,$B47=SAISIE!$W$4,$C47="S1"),COUNTIFS($A$2:$A47,SAISIE!$U$4,$B$2:$B47,SAISIE!$W$4,$C$2:$C47,"S1"),""))</f>
        <v/>
      </c>
      <c r="AS47" t="str">
        <f t="shared" si="16"/>
        <v/>
      </c>
      <c r="AT47" t="str">
        <f t="shared" si="17"/>
        <v/>
      </c>
      <c r="AU47" t="str">
        <f t="shared" si="18"/>
        <v/>
      </c>
      <c r="AV47">
        <f>N(AV46)+IF(AND($AB47&lt;&gt;"",OR('PROFIL ELEVE'!$K$4="(Tous)",$AF47='PROFIL ELEVE'!$K$4)),1,0)</f>
        <v>0</v>
      </c>
      <c r="AW47">
        <f>N(AW46)+IF(AND($AB47&lt;&gt;"",OR('SUIVI LONGITUDINAL'!$Q$4="(Tous)",$AF47='SUIVI LONGITUDINAL'!$Q$4)),1,0)</f>
        <v>0</v>
      </c>
      <c r="AX47">
        <f t="shared" si="19"/>
        <v>0</v>
      </c>
      <c r="AY47">
        <f t="shared" si="20"/>
        <v>0</v>
      </c>
      <c r="AZ47">
        <f t="shared" si="21"/>
        <v>0</v>
      </c>
      <c r="BA47" t="str">
        <f t="shared" si="22"/>
        <v/>
      </c>
      <c r="BB47" t="str">
        <f t="shared" si="23"/>
        <v/>
      </c>
    </row>
    <row r="48" spans="1:54" ht="14.25" customHeight="1" x14ac:dyDescent="0.3">
      <c r="A48" t="str">
        <f>IF(SAISIE!$F53="","",SAISIE!$B53)</f>
        <v/>
      </c>
      <c r="B48" t="str">
        <f>IF(SAISIE!$F53="","",SAISIE!$C53)</f>
        <v/>
      </c>
      <c r="C48" t="str">
        <f>IF(SAISIE!$F53="","",SAISIE!$D53)</f>
        <v/>
      </c>
      <c r="D48" t="str">
        <f>IF(SAISIE!$E53="","",SAISIE!$E53)</f>
        <v/>
      </c>
      <c r="E48" t="str">
        <f>IF(SAISIE!$F53="","",SAISIE!$F53)</f>
        <v/>
      </c>
      <c r="F48" t="str">
        <f>IF(SAISIE!$G53="","",SAISIE!$G53)</f>
        <v/>
      </c>
      <c r="G48" t="str">
        <f>IF(SAISIE!$H53="","",SAISIE!$H53)</f>
        <v/>
      </c>
      <c r="H48" t="str">
        <f>IF(SAISIE!$I53="","",SAISIE!$I53)</f>
        <v/>
      </c>
      <c r="I48" t="str">
        <f>IF(SAISIE!$J53="","",SAISIE!$J53)</f>
        <v/>
      </c>
      <c r="J48" t="str">
        <f>IF(SAISIE!$K53="","",SAISIE!$K53)</f>
        <v/>
      </c>
      <c r="K48" t="str">
        <f>IF(SAISIE!$L53="","",SAISIE!$L53)</f>
        <v/>
      </c>
      <c r="L48" t="str">
        <f>IF(SAISIE!$M53="","",SAISIE!$M53)</f>
        <v/>
      </c>
      <c r="M48" t="str">
        <f>IF(SAISIE!$N53="","",SAISIE!$N53)</f>
        <v/>
      </c>
      <c r="N48" t="str">
        <f>IF(SAISIE!$O53="","",SAISIE!$O53)</f>
        <v/>
      </c>
      <c r="O48" t="str">
        <f>IF(SAISIE!$P53="","",SAISIE!$P53)</f>
        <v/>
      </c>
      <c r="P48" t="str">
        <f>IF(SAISIE!$Q53="","",SAISIE!$Q53)</f>
        <v/>
      </c>
      <c r="Q48" t="str">
        <f>IF($I48="","",IF($I48&gt;PARAMETRES!$G$29,5,IF($I48&gt;PARAMETRES!$F$29,4,IF($I48&gt;PARAMETRES!$E$29,3,IF($I48&gt;PARAMETRES!$D$29,2,1)))))</f>
        <v/>
      </c>
      <c r="R48" t="str">
        <f>IF($J48="","",IF($J48&gt;PARAMETRES!$G$30,5,IF($J48&gt;PARAMETRES!$F$30,4,IF($J48&gt;PARAMETRES!$E$30,3,IF($J48&gt;PARAMETRES!$D$30,2,1)))))</f>
        <v/>
      </c>
      <c r="S48" t="str">
        <f>IF($K48="","",IF($Z48=2,IF($K48&gt;PARAMETRES!$G$31,5,IF($K48&gt;PARAMETRES!$F$31,4,IF($K48&gt;PARAMETRES!$E$31,3,IF($K48&gt;PARAMETRES!$D$31,2,1)))),IF($K48&gt;PARAMETRES!$G$32,5,IF($K48&gt;PARAMETRES!$F$32,4,IF($K48&gt;PARAMETRES!$E$32,3,IF($K48&gt;PARAMETRES!$D$32,2,1))))))</f>
        <v/>
      </c>
      <c r="T48" t="str">
        <f>IF($L48="","",IF($L48&gt;PARAMETRES!$G$33,5,IF($L48&gt;PARAMETRES!$F$33,4,IF($L48&gt;PARAMETRES!$E$33,3,IF($L48&gt;PARAMETRES!$D$33,2,1)))))</f>
        <v/>
      </c>
      <c r="U48" t="str">
        <f>IF($M48="","",IF($M48&gt;PARAMETRES!$G$34,5,IF($M48&gt;PARAMETRES!$F$34,4,IF($M48&gt;PARAMETRES!$E$34,3,IF($M48&gt;PARAMETRES!$D$34,2,1)))))</f>
        <v/>
      </c>
      <c r="V48" t="str">
        <f>IF($N48="","",IF($N48&gt;PARAMETRES!$G$35,5,IF($N48&gt;PARAMETRES!$F$35,4,IF($N48&gt;PARAMETRES!$E$35,3,IF($N48&gt;PARAMETRES!$D$35,2,1)))))</f>
        <v/>
      </c>
      <c r="W48" t="str">
        <f>IF($O48="","",IF($O48&gt;PARAMETRES!$G$36,5,IF($O48&gt;PARAMETRES!$F$36,4,IF($O48&gt;PARAMETRES!$E$36,3,IF($O48&gt;PARAMETRES!$D$36,2,1)))))</f>
        <v/>
      </c>
      <c r="X48" t="str">
        <f>IF($P48="","",IF($P48&gt;PARAMETRES!$G$37,5,IF($P48&gt;PARAMETRES!$F$37,4,IF($P48&gt;PARAMETRES!$E$37,3,IF($P48&gt;PARAMETRES!$D$37,2,1)))))</f>
        <v/>
      </c>
      <c r="Y48" t="str">
        <f t="shared" si="0"/>
        <v/>
      </c>
      <c r="Z48" t="str">
        <f>IFERROR(VLOOKUP($B48,TABLE_CYCLE,2,0),"")</f>
        <v/>
      </c>
      <c r="AA48" t="str">
        <f t="shared" si="1"/>
        <v/>
      </c>
      <c r="AB48" t="str">
        <f>IF($D48="","",IF(COUNTIF($D$2:$D48,$D48)=1,$D48,""))</f>
        <v/>
      </c>
      <c r="AC48">
        <f t="shared" si="2"/>
        <v>0</v>
      </c>
      <c r="AD48" t="str">
        <f t="shared" si="3"/>
        <v>|0</v>
      </c>
      <c r="AE48" t="str">
        <f t="shared" si="4"/>
        <v/>
      </c>
      <c r="AF48" t="str">
        <f t="shared" si="5"/>
        <v/>
      </c>
      <c r="AG48" t="str">
        <f t="shared" si="6"/>
        <v/>
      </c>
      <c r="AH48" t="str">
        <f t="shared" si="7"/>
        <v/>
      </c>
      <c r="AI48" t="str">
        <f t="shared" si="8"/>
        <v/>
      </c>
      <c r="AJ48" t="str">
        <f t="shared" si="9"/>
        <v/>
      </c>
      <c r="AK48" t="str">
        <f t="shared" si="10"/>
        <v/>
      </c>
      <c r="AL48" t="str">
        <f t="shared" si="11"/>
        <v/>
      </c>
      <c r="AM48" t="str">
        <f t="shared" si="12"/>
        <v/>
      </c>
      <c r="AN48" t="str">
        <f t="shared" si="13"/>
        <v/>
      </c>
      <c r="AO48" t="str">
        <f t="shared" si="14"/>
        <v/>
      </c>
      <c r="AP48">
        <f t="shared" si="15"/>
        <v>1</v>
      </c>
      <c r="AQ48" t="str">
        <f>IF(SAISIE!$F53="","",SAISIE!$Y53)</f>
        <v/>
      </c>
      <c r="AR48" t="str">
        <f>IF(OR(SAISIE!$U$4="",SAISIE!$W$4=""),"",IF(AND($A48=SAISIE!$U$4,$B48=SAISIE!$W$4,$C48="S1"),COUNTIFS($A$2:$A48,SAISIE!$U$4,$B$2:$B48,SAISIE!$W$4,$C$2:$C48,"S1"),""))</f>
        <v/>
      </c>
      <c r="AS48" t="str">
        <f t="shared" si="16"/>
        <v/>
      </c>
      <c r="AT48" t="str">
        <f t="shared" si="17"/>
        <v/>
      </c>
      <c r="AU48" t="str">
        <f t="shared" si="18"/>
        <v/>
      </c>
      <c r="AV48">
        <f>N(AV47)+IF(AND($AB48&lt;&gt;"",OR('PROFIL ELEVE'!$K$4="(Tous)",$AF48='PROFIL ELEVE'!$K$4)),1,0)</f>
        <v>0</v>
      </c>
      <c r="AW48">
        <f>N(AW47)+IF(AND($AB48&lt;&gt;"",OR('SUIVI LONGITUDINAL'!$Q$4="(Tous)",$AF48='SUIVI LONGITUDINAL'!$Q$4)),1,0)</f>
        <v>0</v>
      </c>
      <c r="AX48">
        <f t="shared" si="19"/>
        <v>0</v>
      </c>
      <c r="AY48">
        <f t="shared" si="20"/>
        <v>0</v>
      </c>
      <c r="AZ48">
        <f t="shared" si="21"/>
        <v>0</v>
      </c>
      <c r="BA48" t="str">
        <f t="shared" si="22"/>
        <v/>
      </c>
      <c r="BB48" t="str">
        <f t="shared" si="23"/>
        <v/>
      </c>
    </row>
    <row r="49" spans="1:54" ht="14.25" customHeight="1" x14ac:dyDescent="0.3">
      <c r="A49" t="str">
        <f>IF(SAISIE!$F54="","",SAISIE!$B54)</f>
        <v/>
      </c>
      <c r="B49" t="str">
        <f>IF(SAISIE!$F54="","",SAISIE!$C54)</f>
        <v/>
      </c>
      <c r="C49" t="str">
        <f>IF(SAISIE!$F54="","",SAISIE!$D54)</f>
        <v/>
      </c>
      <c r="D49" t="str">
        <f>IF(SAISIE!$E54="","",SAISIE!$E54)</f>
        <v/>
      </c>
      <c r="E49" t="str">
        <f>IF(SAISIE!$F54="","",SAISIE!$F54)</f>
        <v/>
      </c>
      <c r="F49" t="str">
        <f>IF(SAISIE!$G54="","",SAISIE!$G54)</f>
        <v/>
      </c>
      <c r="G49" t="str">
        <f>IF(SAISIE!$H54="","",SAISIE!$H54)</f>
        <v/>
      </c>
      <c r="H49" t="str">
        <f>IF(SAISIE!$I54="","",SAISIE!$I54)</f>
        <v/>
      </c>
      <c r="I49" t="str">
        <f>IF(SAISIE!$J54="","",SAISIE!$J54)</f>
        <v/>
      </c>
      <c r="J49" t="str">
        <f>IF(SAISIE!$K54="","",SAISIE!$K54)</f>
        <v/>
      </c>
      <c r="K49" t="str">
        <f>IF(SAISIE!$L54="","",SAISIE!$L54)</f>
        <v/>
      </c>
      <c r="L49" t="str">
        <f>IF(SAISIE!$M54="","",SAISIE!$M54)</f>
        <v/>
      </c>
      <c r="M49" t="str">
        <f>IF(SAISIE!$N54="","",SAISIE!$N54)</f>
        <v/>
      </c>
      <c r="N49" t="str">
        <f>IF(SAISIE!$O54="","",SAISIE!$O54)</f>
        <v/>
      </c>
      <c r="O49" t="str">
        <f>IF(SAISIE!$P54="","",SAISIE!$P54)</f>
        <v/>
      </c>
      <c r="P49" t="str">
        <f>IF(SAISIE!$Q54="","",SAISIE!$Q54)</f>
        <v/>
      </c>
      <c r="Q49" t="str">
        <f>IF($I49="","",IF($I49&gt;PARAMETRES!$G$29,5,IF($I49&gt;PARAMETRES!$F$29,4,IF($I49&gt;PARAMETRES!$E$29,3,IF($I49&gt;PARAMETRES!$D$29,2,1)))))</f>
        <v/>
      </c>
      <c r="R49" t="str">
        <f>IF($J49="","",IF($J49&gt;PARAMETRES!$G$30,5,IF($J49&gt;PARAMETRES!$F$30,4,IF($J49&gt;PARAMETRES!$E$30,3,IF($J49&gt;PARAMETRES!$D$30,2,1)))))</f>
        <v/>
      </c>
      <c r="S49" t="str">
        <f>IF($K49="","",IF($Z49=2,IF($K49&gt;PARAMETRES!$G$31,5,IF($K49&gt;PARAMETRES!$F$31,4,IF($K49&gt;PARAMETRES!$E$31,3,IF($K49&gt;PARAMETRES!$D$31,2,1)))),IF($K49&gt;PARAMETRES!$G$32,5,IF($K49&gt;PARAMETRES!$F$32,4,IF($K49&gt;PARAMETRES!$E$32,3,IF($K49&gt;PARAMETRES!$D$32,2,1))))))</f>
        <v/>
      </c>
      <c r="T49" t="str">
        <f>IF($L49="","",IF($L49&gt;PARAMETRES!$G$33,5,IF($L49&gt;PARAMETRES!$F$33,4,IF($L49&gt;PARAMETRES!$E$33,3,IF($L49&gt;PARAMETRES!$D$33,2,1)))))</f>
        <v/>
      </c>
      <c r="U49" t="str">
        <f>IF($M49="","",IF($M49&gt;PARAMETRES!$G$34,5,IF($M49&gt;PARAMETRES!$F$34,4,IF($M49&gt;PARAMETRES!$E$34,3,IF($M49&gt;PARAMETRES!$D$34,2,1)))))</f>
        <v/>
      </c>
      <c r="V49" t="str">
        <f>IF($N49="","",IF($N49&gt;PARAMETRES!$G$35,5,IF($N49&gt;PARAMETRES!$F$35,4,IF($N49&gt;PARAMETRES!$E$35,3,IF($N49&gt;PARAMETRES!$D$35,2,1)))))</f>
        <v/>
      </c>
      <c r="W49" t="str">
        <f>IF($O49="","",IF($O49&gt;PARAMETRES!$G$36,5,IF($O49&gt;PARAMETRES!$F$36,4,IF($O49&gt;PARAMETRES!$E$36,3,IF($O49&gt;PARAMETRES!$D$36,2,1)))))</f>
        <v/>
      </c>
      <c r="X49" t="str">
        <f>IF($P49="","",IF($P49&gt;PARAMETRES!$G$37,5,IF($P49&gt;PARAMETRES!$F$37,4,IF($P49&gt;PARAMETRES!$E$37,3,IF($P49&gt;PARAMETRES!$D$37,2,1)))))</f>
        <v/>
      </c>
      <c r="Y49" t="str">
        <f t="shared" si="0"/>
        <v/>
      </c>
      <c r="Z49" t="str">
        <f>IFERROR(VLOOKUP($B49,TABLE_CYCLE,2,0),"")</f>
        <v/>
      </c>
      <c r="AA49" t="str">
        <f t="shared" si="1"/>
        <v/>
      </c>
      <c r="AB49" t="str">
        <f>IF($D49="","",IF(COUNTIF($D$2:$D49,$D49)=1,$D49,""))</f>
        <v/>
      </c>
      <c r="AC49">
        <f t="shared" si="2"/>
        <v>0</v>
      </c>
      <c r="AD49" t="str">
        <f t="shared" si="3"/>
        <v>|0</v>
      </c>
      <c r="AE49" t="str">
        <f t="shared" si="4"/>
        <v/>
      </c>
      <c r="AF49" t="str">
        <f t="shared" si="5"/>
        <v/>
      </c>
      <c r="AG49" t="str">
        <f t="shared" si="6"/>
        <v/>
      </c>
      <c r="AH49" t="str">
        <f t="shared" si="7"/>
        <v/>
      </c>
      <c r="AI49" t="str">
        <f t="shared" si="8"/>
        <v/>
      </c>
      <c r="AJ49" t="str">
        <f t="shared" si="9"/>
        <v/>
      </c>
      <c r="AK49" t="str">
        <f t="shared" si="10"/>
        <v/>
      </c>
      <c r="AL49" t="str">
        <f t="shared" si="11"/>
        <v/>
      </c>
      <c r="AM49" t="str">
        <f t="shared" si="12"/>
        <v/>
      </c>
      <c r="AN49" t="str">
        <f t="shared" si="13"/>
        <v/>
      </c>
      <c r="AO49" t="str">
        <f t="shared" si="14"/>
        <v/>
      </c>
      <c r="AP49">
        <f t="shared" si="15"/>
        <v>1</v>
      </c>
      <c r="AQ49" t="str">
        <f>IF(SAISIE!$F54="","",SAISIE!$Y54)</f>
        <v/>
      </c>
      <c r="AR49" t="str">
        <f>IF(OR(SAISIE!$U$4="",SAISIE!$W$4=""),"",IF(AND($A49=SAISIE!$U$4,$B49=SAISIE!$W$4,$C49="S1"),COUNTIFS($A$2:$A49,SAISIE!$U$4,$B$2:$B49,SAISIE!$W$4,$C$2:$C49,"S1"),""))</f>
        <v/>
      </c>
      <c r="AS49" t="str">
        <f t="shared" si="16"/>
        <v/>
      </c>
      <c r="AT49" t="str">
        <f t="shared" si="17"/>
        <v/>
      </c>
      <c r="AU49" t="str">
        <f t="shared" si="18"/>
        <v/>
      </c>
      <c r="AV49">
        <f>N(AV48)+IF(AND($AB49&lt;&gt;"",OR('PROFIL ELEVE'!$K$4="(Tous)",$AF49='PROFIL ELEVE'!$K$4)),1,0)</f>
        <v>0</v>
      </c>
      <c r="AW49">
        <f>N(AW48)+IF(AND($AB49&lt;&gt;"",OR('SUIVI LONGITUDINAL'!$Q$4="(Tous)",$AF49='SUIVI LONGITUDINAL'!$Q$4)),1,0)</f>
        <v>0</v>
      </c>
      <c r="AX49">
        <f t="shared" si="19"/>
        <v>0</v>
      </c>
      <c r="AY49">
        <f t="shared" si="20"/>
        <v>0</v>
      </c>
      <c r="AZ49">
        <f t="shared" si="21"/>
        <v>0</v>
      </c>
      <c r="BA49" t="str">
        <f t="shared" si="22"/>
        <v/>
      </c>
      <c r="BB49" t="str">
        <f t="shared" si="23"/>
        <v/>
      </c>
    </row>
    <row r="50" spans="1:54" ht="14.25" customHeight="1" x14ac:dyDescent="0.3">
      <c r="A50" t="str">
        <f>IF(SAISIE!$F55="","",SAISIE!$B55)</f>
        <v/>
      </c>
      <c r="B50" t="str">
        <f>IF(SAISIE!$F55="","",SAISIE!$C55)</f>
        <v/>
      </c>
      <c r="C50" t="str">
        <f>IF(SAISIE!$F55="","",SAISIE!$D55)</f>
        <v/>
      </c>
      <c r="D50" t="str">
        <f>IF(SAISIE!$E55="","",SAISIE!$E55)</f>
        <v/>
      </c>
      <c r="E50" t="str">
        <f>IF(SAISIE!$F55="","",SAISIE!$F55)</f>
        <v/>
      </c>
      <c r="F50" t="str">
        <f>IF(SAISIE!$G55="","",SAISIE!$G55)</f>
        <v/>
      </c>
      <c r="G50" t="str">
        <f>IF(SAISIE!$H55="","",SAISIE!$H55)</f>
        <v/>
      </c>
      <c r="H50" t="str">
        <f>IF(SAISIE!$I55="","",SAISIE!$I55)</f>
        <v/>
      </c>
      <c r="I50" t="str">
        <f>IF(SAISIE!$J55="","",SAISIE!$J55)</f>
        <v/>
      </c>
      <c r="J50" t="str">
        <f>IF(SAISIE!$K55="","",SAISIE!$K55)</f>
        <v/>
      </c>
      <c r="K50" t="str">
        <f>IF(SAISIE!$L55="","",SAISIE!$L55)</f>
        <v/>
      </c>
      <c r="L50" t="str">
        <f>IF(SAISIE!$M55="","",SAISIE!$M55)</f>
        <v/>
      </c>
      <c r="M50" t="str">
        <f>IF(SAISIE!$N55="","",SAISIE!$N55)</f>
        <v/>
      </c>
      <c r="N50" t="str">
        <f>IF(SAISIE!$O55="","",SAISIE!$O55)</f>
        <v/>
      </c>
      <c r="O50" t="str">
        <f>IF(SAISIE!$P55="","",SAISIE!$P55)</f>
        <v/>
      </c>
      <c r="P50" t="str">
        <f>IF(SAISIE!$Q55="","",SAISIE!$Q55)</f>
        <v/>
      </c>
      <c r="Q50" t="str">
        <f>IF($I50="","",IF($I50&gt;PARAMETRES!$G$29,5,IF($I50&gt;PARAMETRES!$F$29,4,IF($I50&gt;PARAMETRES!$E$29,3,IF($I50&gt;PARAMETRES!$D$29,2,1)))))</f>
        <v/>
      </c>
      <c r="R50" t="str">
        <f>IF($J50="","",IF($J50&gt;PARAMETRES!$G$30,5,IF($J50&gt;PARAMETRES!$F$30,4,IF($J50&gt;PARAMETRES!$E$30,3,IF($J50&gt;PARAMETRES!$D$30,2,1)))))</f>
        <v/>
      </c>
      <c r="S50" t="str">
        <f>IF($K50="","",IF($Z50=2,IF($K50&gt;PARAMETRES!$G$31,5,IF($K50&gt;PARAMETRES!$F$31,4,IF($K50&gt;PARAMETRES!$E$31,3,IF($K50&gt;PARAMETRES!$D$31,2,1)))),IF($K50&gt;PARAMETRES!$G$32,5,IF($K50&gt;PARAMETRES!$F$32,4,IF($K50&gt;PARAMETRES!$E$32,3,IF($K50&gt;PARAMETRES!$D$32,2,1))))))</f>
        <v/>
      </c>
      <c r="T50" t="str">
        <f>IF($L50="","",IF($L50&gt;PARAMETRES!$G$33,5,IF($L50&gt;PARAMETRES!$F$33,4,IF($L50&gt;PARAMETRES!$E$33,3,IF($L50&gt;PARAMETRES!$D$33,2,1)))))</f>
        <v/>
      </c>
      <c r="U50" t="str">
        <f>IF($M50="","",IF($M50&gt;PARAMETRES!$G$34,5,IF($M50&gt;PARAMETRES!$F$34,4,IF($M50&gt;PARAMETRES!$E$34,3,IF($M50&gt;PARAMETRES!$D$34,2,1)))))</f>
        <v/>
      </c>
      <c r="V50" t="str">
        <f>IF($N50="","",IF($N50&gt;PARAMETRES!$G$35,5,IF($N50&gt;PARAMETRES!$F$35,4,IF($N50&gt;PARAMETRES!$E$35,3,IF($N50&gt;PARAMETRES!$D$35,2,1)))))</f>
        <v/>
      </c>
      <c r="W50" t="str">
        <f>IF($O50="","",IF($O50&gt;PARAMETRES!$G$36,5,IF($O50&gt;PARAMETRES!$F$36,4,IF($O50&gt;PARAMETRES!$E$36,3,IF($O50&gt;PARAMETRES!$D$36,2,1)))))</f>
        <v/>
      </c>
      <c r="X50" t="str">
        <f>IF($P50="","",IF($P50&gt;PARAMETRES!$G$37,5,IF($P50&gt;PARAMETRES!$F$37,4,IF($P50&gt;PARAMETRES!$E$37,3,IF($P50&gt;PARAMETRES!$D$37,2,1)))))</f>
        <v/>
      </c>
      <c r="Y50" t="str">
        <f t="shared" si="0"/>
        <v/>
      </c>
      <c r="Z50" t="str">
        <f>IFERROR(VLOOKUP($B50,TABLE_CYCLE,2,0),"")</f>
        <v/>
      </c>
      <c r="AA50" t="str">
        <f t="shared" si="1"/>
        <v/>
      </c>
      <c r="AB50" t="str">
        <f>IF($D50="","",IF(COUNTIF($D$2:$D50,$D50)=1,$D50,""))</f>
        <v/>
      </c>
      <c r="AC50">
        <f t="shared" si="2"/>
        <v>0</v>
      </c>
      <c r="AD50" t="str">
        <f t="shared" si="3"/>
        <v>|0</v>
      </c>
      <c r="AE50" t="str">
        <f t="shared" si="4"/>
        <v/>
      </c>
      <c r="AF50" t="str">
        <f t="shared" si="5"/>
        <v/>
      </c>
      <c r="AG50" t="str">
        <f t="shared" si="6"/>
        <v/>
      </c>
      <c r="AH50" t="str">
        <f t="shared" si="7"/>
        <v/>
      </c>
      <c r="AI50" t="str">
        <f t="shared" si="8"/>
        <v/>
      </c>
      <c r="AJ50" t="str">
        <f t="shared" si="9"/>
        <v/>
      </c>
      <c r="AK50" t="str">
        <f t="shared" si="10"/>
        <v/>
      </c>
      <c r="AL50" t="str">
        <f t="shared" si="11"/>
        <v/>
      </c>
      <c r="AM50" t="str">
        <f t="shared" si="12"/>
        <v/>
      </c>
      <c r="AN50" t="str">
        <f t="shared" si="13"/>
        <v/>
      </c>
      <c r="AO50" t="str">
        <f t="shared" si="14"/>
        <v/>
      </c>
      <c r="AP50">
        <f t="shared" si="15"/>
        <v>1</v>
      </c>
      <c r="AQ50" t="str">
        <f>IF(SAISIE!$F55="","",SAISIE!$Y55)</f>
        <v/>
      </c>
      <c r="AR50" t="str">
        <f>IF(OR(SAISIE!$U$4="",SAISIE!$W$4=""),"",IF(AND($A50=SAISIE!$U$4,$B50=SAISIE!$W$4,$C50="S1"),COUNTIFS($A$2:$A50,SAISIE!$U$4,$B$2:$B50,SAISIE!$W$4,$C$2:$C50,"S1"),""))</f>
        <v/>
      </c>
      <c r="AS50" t="str">
        <f t="shared" si="16"/>
        <v/>
      </c>
      <c r="AT50" t="str">
        <f t="shared" si="17"/>
        <v/>
      </c>
      <c r="AU50" t="str">
        <f t="shared" si="18"/>
        <v/>
      </c>
      <c r="AV50">
        <f>N(AV49)+IF(AND($AB50&lt;&gt;"",OR('PROFIL ELEVE'!$K$4="(Tous)",$AF50='PROFIL ELEVE'!$K$4)),1,0)</f>
        <v>0</v>
      </c>
      <c r="AW50">
        <f>N(AW49)+IF(AND($AB50&lt;&gt;"",OR('SUIVI LONGITUDINAL'!$Q$4="(Tous)",$AF50='SUIVI LONGITUDINAL'!$Q$4)),1,0)</f>
        <v>0</v>
      </c>
      <c r="AX50">
        <f t="shared" si="19"/>
        <v>0</v>
      </c>
      <c r="AY50">
        <f t="shared" si="20"/>
        <v>0</v>
      </c>
      <c r="AZ50">
        <f t="shared" si="21"/>
        <v>0</v>
      </c>
      <c r="BA50" t="str">
        <f t="shared" si="22"/>
        <v/>
      </c>
      <c r="BB50" t="str">
        <f t="shared" si="23"/>
        <v/>
      </c>
    </row>
    <row r="51" spans="1:54" ht="14.25" customHeight="1" x14ac:dyDescent="0.3">
      <c r="A51" t="str">
        <f>IF(SAISIE!$F56="","",SAISIE!$B56)</f>
        <v/>
      </c>
      <c r="B51" t="str">
        <f>IF(SAISIE!$F56="","",SAISIE!$C56)</f>
        <v/>
      </c>
      <c r="C51" t="str">
        <f>IF(SAISIE!$F56="","",SAISIE!$D56)</f>
        <v/>
      </c>
      <c r="D51" t="str">
        <f>IF(SAISIE!$E56="","",SAISIE!$E56)</f>
        <v/>
      </c>
      <c r="E51" t="str">
        <f>IF(SAISIE!$F56="","",SAISIE!$F56)</f>
        <v/>
      </c>
      <c r="F51" t="str">
        <f>IF(SAISIE!$G56="","",SAISIE!$G56)</f>
        <v/>
      </c>
      <c r="G51" t="str">
        <f>IF(SAISIE!$H56="","",SAISIE!$H56)</f>
        <v/>
      </c>
      <c r="H51" t="str">
        <f>IF(SAISIE!$I56="","",SAISIE!$I56)</f>
        <v/>
      </c>
      <c r="I51" t="str">
        <f>IF(SAISIE!$J56="","",SAISIE!$J56)</f>
        <v/>
      </c>
      <c r="J51" t="str">
        <f>IF(SAISIE!$K56="","",SAISIE!$K56)</f>
        <v/>
      </c>
      <c r="K51" t="str">
        <f>IF(SAISIE!$L56="","",SAISIE!$L56)</f>
        <v/>
      </c>
      <c r="L51" t="str">
        <f>IF(SAISIE!$M56="","",SAISIE!$M56)</f>
        <v/>
      </c>
      <c r="M51" t="str">
        <f>IF(SAISIE!$N56="","",SAISIE!$N56)</f>
        <v/>
      </c>
      <c r="N51" t="str">
        <f>IF(SAISIE!$O56="","",SAISIE!$O56)</f>
        <v/>
      </c>
      <c r="O51" t="str">
        <f>IF(SAISIE!$P56="","",SAISIE!$P56)</f>
        <v/>
      </c>
      <c r="P51" t="str">
        <f>IF(SAISIE!$Q56="","",SAISIE!$Q56)</f>
        <v/>
      </c>
      <c r="Q51" t="str">
        <f>IF($I51="","",IF($I51&gt;PARAMETRES!$G$29,5,IF($I51&gt;PARAMETRES!$F$29,4,IF($I51&gt;PARAMETRES!$E$29,3,IF($I51&gt;PARAMETRES!$D$29,2,1)))))</f>
        <v/>
      </c>
      <c r="R51" t="str">
        <f>IF($J51="","",IF($J51&gt;PARAMETRES!$G$30,5,IF($J51&gt;PARAMETRES!$F$30,4,IF($J51&gt;PARAMETRES!$E$30,3,IF($J51&gt;PARAMETRES!$D$30,2,1)))))</f>
        <v/>
      </c>
      <c r="S51" t="str">
        <f>IF($K51="","",IF($Z51=2,IF($K51&gt;PARAMETRES!$G$31,5,IF($K51&gt;PARAMETRES!$F$31,4,IF($K51&gt;PARAMETRES!$E$31,3,IF($K51&gt;PARAMETRES!$D$31,2,1)))),IF($K51&gt;PARAMETRES!$G$32,5,IF($K51&gt;PARAMETRES!$F$32,4,IF($K51&gt;PARAMETRES!$E$32,3,IF($K51&gt;PARAMETRES!$D$32,2,1))))))</f>
        <v/>
      </c>
      <c r="T51" t="str">
        <f>IF($L51="","",IF($L51&gt;PARAMETRES!$G$33,5,IF($L51&gt;PARAMETRES!$F$33,4,IF($L51&gt;PARAMETRES!$E$33,3,IF($L51&gt;PARAMETRES!$D$33,2,1)))))</f>
        <v/>
      </c>
      <c r="U51" t="str">
        <f>IF($M51="","",IF($M51&gt;PARAMETRES!$G$34,5,IF($M51&gt;PARAMETRES!$F$34,4,IF($M51&gt;PARAMETRES!$E$34,3,IF($M51&gt;PARAMETRES!$D$34,2,1)))))</f>
        <v/>
      </c>
      <c r="V51" t="str">
        <f>IF($N51="","",IF($N51&gt;PARAMETRES!$G$35,5,IF($N51&gt;PARAMETRES!$F$35,4,IF($N51&gt;PARAMETRES!$E$35,3,IF($N51&gt;PARAMETRES!$D$35,2,1)))))</f>
        <v/>
      </c>
      <c r="W51" t="str">
        <f>IF($O51="","",IF($O51&gt;PARAMETRES!$G$36,5,IF($O51&gt;PARAMETRES!$F$36,4,IF($O51&gt;PARAMETRES!$E$36,3,IF($O51&gt;PARAMETRES!$D$36,2,1)))))</f>
        <v/>
      </c>
      <c r="X51" t="str">
        <f>IF($P51="","",IF($P51&gt;PARAMETRES!$G$37,5,IF($P51&gt;PARAMETRES!$F$37,4,IF($P51&gt;PARAMETRES!$E$37,3,IF($P51&gt;PARAMETRES!$D$37,2,1)))))</f>
        <v/>
      </c>
      <c r="Y51" t="str">
        <f t="shared" si="0"/>
        <v/>
      </c>
      <c r="Z51" t="str">
        <f>IFERROR(VLOOKUP($B51,TABLE_CYCLE,2,0),"")</f>
        <v/>
      </c>
      <c r="AA51" t="str">
        <f t="shared" si="1"/>
        <v/>
      </c>
      <c r="AB51" t="str">
        <f>IF($D51="","",IF(COUNTIF($D$2:$D51,$D51)=1,$D51,""))</f>
        <v/>
      </c>
      <c r="AC51">
        <f t="shared" si="2"/>
        <v>0</v>
      </c>
      <c r="AD51" t="str">
        <f t="shared" si="3"/>
        <v>|0</v>
      </c>
      <c r="AE51" t="str">
        <f t="shared" si="4"/>
        <v/>
      </c>
      <c r="AF51" t="str">
        <f t="shared" si="5"/>
        <v/>
      </c>
      <c r="AG51" t="str">
        <f t="shared" si="6"/>
        <v/>
      </c>
      <c r="AH51" t="str">
        <f t="shared" si="7"/>
        <v/>
      </c>
      <c r="AI51" t="str">
        <f t="shared" si="8"/>
        <v/>
      </c>
      <c r="AJ51" t="str">
        <f t="shared" si="9"/>
        <v/>
      </c>
      <c r="AK51" t="str">
        <f t="shared" si="10"/>
        <v/>
      </c>
      <c r="AL51" t="str">
        <f t="shared" si="11"/>
        <v/>
      </c>
      <c r="AM51" t="str">
        <f t="shared" si="12"/>
        <v/>
      </c>
      <c r="AN51" t="str">
        <f t="shared" si="13"/>
        <v/>
      </c>
      <c r="AO51" t="str">
        <f t="shared" si="14"/>
        <v/>
      </c>
      <c r="AP51">
        <f t="shared" si="15"/>
        <v>1</v>
      </c>
      <c r="AQ51" t="str">
        <f>IF(SAISIE!$F56="","",SAISIE!$Y56)</f>
        <v/>
      </c>
      <c r="AR51" t="str">
        <f>IF(OR(SAISIE!$U$4="",SAISIE!$W$4=""),"",IF(AND($A51=SAISIE!$U$4,$B51=SAISIE!$W$4,$C51="S1"),COUNTIFS($A$2:$A51,SAISIE!$U$4,$B$2:$B51,SAISIE!$W$4,$C$2:$C51,"S1"),""))</f>
        <v/>
      </c>
      <c r="AS51" t="str">
        <f t="shared" si="16"/>
        <v/>
      </c>
      <c r="AT51" t="str">
        <f t="shared" si="17"/>
        <v/>
      </c>
      <c r="AU51" t="str">
        <f t="shared" si="18"/>
        <v/>
      </c>
      <c r="AV51">
        <f>N(AV50)+IF(AND($AB51&lt;&gt;"",OR('PROFIL ELEVE'!$K$4="(Tous)",$AF51='PROFIL ELEVE'!$K$4)),1,0)</f>
        <v>0</v>
      </c>
      <c r="AW51">
        <f>N(AW50)+IF(AND($AB51&lt;&gt;"",OR('SUIVI LONGITUDINAL'!$Q$4="(Tous)",$AF51='SUIVI LONGITUDINAL'!$Q$4)),1,0)</f>
        <v>0</v>
      </c>
      <c r="AX51">
        <f t="shared" si="19"/>
        <v>0</v>
      </c>
      <c r="AY51">
        <f t="shared" si="20"/>
        <v>0</v>
      </c>
      <c r="AZ51">
        <f t="shared" si="21"/>
        <v>0</v>
      </c>
      <c r="BA51" t="str">
        <f t="shared" si="22"/>
        <v/>
      </c>
      <c r="BB51" t="str">
        <f t="shared" si="23"/>
        <v/>
      </c>
    </row>
    <row r="52" spans="1:54" ht="14.25" customHeight="1" x14ac:dyDescent="0.3">
      <c r="A52" t="str">
        <f>IF(SAISIE!$F57="","",SAISIE!$B57)</f>
        <v/>
      </c>
      <c r="B52" t="str">
        <f>IF(SAISIE!$F57="","",SAISIE!$C57)</f>
        <v/>
      </c>
      <c r="C52" t="str">
        <f>IF(SAISIE!$F57="","",SAISIE!$D57)</f>
        <v/>
      </c>
      <c r="D52" t="str">
        <f>IF(SAISIE!$E57="","",SAISIE!$E57)</f>
        <v/>
      </c>
      <c r="E52" t="str">
        <f>IF(SAISIE!$F57="","",SAISIE!$F57)</f>
        <v/>
      </c>
      <c r="F52" t="str">
        <f>IF(SAISIE!$G57="","",SAISIE!$G57)</f>
        <v/>
      </c>
      <c r="G52" t="str">
        <f>IF(SAISIE!$H57="","",SAISIE!$H57)</f>
        <v/>
      </c>
      <c r="H52" t="str">
        <f>IF(SAISIE!$I57="","",SAISIE!$I57)</f>
        <v/>
      </c>
      <c r="I52" t="str">
        <f>IF(SAISIE!$J57="","",SAISIE!$J57)</f>
        <v/>
      </c>
      <c r="J52" t="str">
        <f>IF(SAISIE!$K57="","",SAISIE!$K57)</f>
        <v/>
      </c>
      <c r="K52" t="str">
        <f>IF(SAISIE!$L57="","",SAISIE!$L57)</f>
        <v/>
      </c>
      <c r="L52" t="str">
        <f>IF(SAISIE!$M57="","",SAISIE!$M57)</f>
        <v/>
      </c>
      <c r="M52" t="str">
        <f>IF(SAISIE!$N57="","",SAISIE!$N57)</f>
        <v/>
      </c>
      <c r="N52" t="str">
        <f>IF(SAISIE!$O57="","",SAISIE!$O57)</f>
        <v/>
      </c>
      <c r="O52" t="str">
        <f>IF(SAISIE!$P57="","",SAISIE!$P57)</f>
        <v/>
      </c>
      <c r="P52" t="str">
        <f>IF(SAISIE!$Q57="","",SAISIE!$Q57)</f>
        <v/>
      </c>
      <c r="Q52" t="str">
        <f>IF($I52="","",IF($I52&gt;PARAMETRES!$G$29,5,IF($I52&gt;PARAMETRES!$F$29,4,IF($I52&gt;PARAMETRES!$E$29,3,IF($I52&gt;PARAMETRES!$D$29,2,1)))))</f>
        <v/>
      </c>
      <c r="R52" t="str">
        <f>IF($J52="","",IF($J52&gt;PARAMETRES!$G$30,5,IF($J52&gt;PARAMETRES!$F$30,4,IF($J52&gt;PARAMETRES!$E$30,3,IF($J52&gt;PARAMETRES!$D$30,2,1)))))</f>
        <v/>
      </c>
      <c r="S52" t="str">
        <f>IF($K52="","",IF($Z52=2,IF($K52&gt;PARAMETRES!$G$31,5,IF($K52&gt;PARAMETRES!$F$31,4,IF($K52&gt;PARAMETRES!$E$31,3,IF($K52&gt;PARAMETRES!$D$31,2,1)))),IF($K52&gt;PARAMETRES!$G$32,5,IF($K52&gt;PARAMETRES!$F$32,4,IF($K52&gt;PARAMETRES!$E$32,3,IF($K52&gt;PARAMETRES!$D$32,2,1))))))</f>
        <v/>
      </c>
      <c r="T52" t="str">
        <f>IF($L52="","",IF($L52&gt;PARAMETRES!$G$33,5,IF($L52&gt;PARAMETRES!$F$33,4,IF($L52&gt;PARAMETRES!$E$33,3,IF($L52&gt;PARAMETRES!$D$33,2,1)))))</f>
        <v/>
      </c>
      <c r="U52" t="str">
        <f>IF($M52="","",IF($M52&gt;PARAMETRES!$G$34,5,IF($M52&gt;PARAMETRES!$F$34,4,IF($M52&gt;PARAMETRES!$E$34,3,IF($M52&gt;PARAMETRES!$D$34,2,1)))))</f>
        <v/>
      </c>
      <c r="V52" t="str">
        <f>IF($N52="","",IF($N52&gt;PARAMETRES!$G$35,5,IF($N52&gt;PARAMETRES!$F$35,4,IF($N52&gt;PARAMETRES!$E$35,3,IF($N52&gt;PARAMETRES!$D$35,2,1)))))</f>
        <v/>
      </c>
      <c r="W52" t="str">
        <f>IF($O52="","",IF($O52&gt;PARAMETRES!$G$36,5,IF($O52&gt;PARAMETRES!$F$36,4,IF($O52&gt;PARAMETRES!$E$36,3,IF($O52&gt;PARAMETRES!$D$36,2,1)))))</f>
        <v/>
      </c>
      <c r="X52" t="str">
        <f>IF($P52="","",IF($P52&gt;PARAMETRES!$G$37,5,IF($P52&gt;PARAMETRES!$F$37,4,IF($P52&gt;PARAMETRES!$E$37,3,IF($P52&gt;PARAMETRES!$D$37,2,1)))))</f>
        <v/>
      </c>
      <c r="Y52" t="str">
        <f t="shared" si="0"/>
        <v/>
      </c>
      <c r="Z52" t="str">
        <f>IFERROR(VLOOKUP($B52,TABLE_CYCLE,2,0),"")</f>
        <v/>
      </c>
      <c r="AA52" t="str">
        <f t="shared" si="1"/>
        <v/>
      </c>
      <c r="AB52" t="str">
        <f>IF($D52="","",IF(COUNTIF($D$2:$D52,$D52)=1,$D52,""))</f>
        <v/>
      </c>
      <c r="AC52">
        <f t="shared" si="2"/>
        <v>0</v>
      </c>
      <c r="AD52" t="str">
        <f t="shared" si="3"/>
        <v>|0</v>
      </c>
      <c r="AE52" t="str">
        <f t="shared" si="4"/>
        <v/>
      </c>
      <c r="AF52" t="str">
        <f t="shared" si="5"/>
        <v/>
      </c>
      <c r="AG52" t="str">
        <f t="shared" si="6"/>
        <v/>
      </c>
      <c r="AH52" t="str">
        <f t="shared" si="7"/>
        <v/>
      </c>
      <c r="AI52" t="str">
        <f t="shared" si="8"/>
        <v/>
      </c>
      <c r="AJ52" t="str">
        <f t="shared" si="9"/>
        <v/>
      </c>
      <c r="AK52" t="str">
        <f t="shared" si="10"/>
        <v/>
      </c>
      <c r="AL52" t="str">
        <f t="shared" si="11"/>
        <v/>
      </c>
      <c r="AM52" t="str">
        <f t="shared" si="12"/>
        <v/>
      </c>
      <c r="AN52" t="str">
        <f t="shared" si="13"/>
        <v/>
      </c>
      <c r="AO52" t="str">
        <f t="shared" si="14"/>
        <v/>
      </c>
      <c r="AP52">
        <f t="shared" si="15"/>
        <v>1</v>
      </c>
      <c r="AQ52" t="str">
        <f>IF(SAISIE!$F57="","",SAISIE!$Y57)</f>
        <v/>
      </c>
      <c r="AR52" t="str">
        <f>IF(OR(SAISIE!$U$4="",SAISIE!$W$4=""),"",IF(AND($A52=SAISIE!$U$4,$B52=SAISIE!$W$4,$C52="S1"),COUNTIFS($A$2:$A52,SAISIE!$U$4,$B$2:$B52,SAISIE!$W$4,$C$2:$C52,"S1"),""))</f>
        <v/>
      </c>
      <c r="AS52" t="str">
        <f t="shared" si="16"/>
        <v/>
      </c>
      <c r="AT52" t="str">
        <f t="shared" si="17"/>
        <v/>
      </c>
      <c r="AU52" t="str">
        <f t="shared" si="18"/>
        <v/>
      </c>
      <c r="AV52">
        <f>N(AV51)+IF(AND($AB52&lt;&gt;"",OR('PROFIL ELEVE'!$K$4="(Tous)",$AF52='PROFIL ELEVE'!$K$4)),1,0)</f>
        <v>0</v>
      </c>
      <c r="AW52">
        <f>N(AW51)+IF(AND($AB52&lt;&gt;"",OR('SUIVI LONGITUDINAL'!$Q$4="(Tous)",$AF52='SUIVI LONGITUDINAL'!$Q$4)),1,0)</f>
        <v>0</v>
      </c>
      <c r="AX52">
        <f t="shared" si="19"/>
        <v>0</v>
      </c>
      <c r="AY52">
        <f t="shared" si="20"/>
        <v>0</v>
      </c>
      <c r="AZ52">
        <f t="shared" si="21"/>
        <v>0</v>
      </c>
      <c r="BA52" t="str">
        <f t="shared" si="22"/>
        <v/>
      </c>
      <c r="BB52" t="str">
        <f t="shared" si="23"/>
        <v/>
      </c>
    </row>
    <row r="53" spans="1:54" ht="14.25" customHeight="1" x14ac:dyDescent="0.3">
      <c r="A53" t="str">
        <f>IF(SAISIE!$F58="","",SAISIE!$B58)</f>
        <v/>
      </c>
      <c r="B53" t="str">
        <f>IF(SAISIE!$F58="","",SAISIE!$C58)</f>
        <v/>
      </c>
      <c r="C53" t="str">
        <f>IF(SAISIE!$F58="","",SAISIE!$D58)</f>
        <v/>
      </c>
      <c r="D53" t="str">
        <f>IF(SAISIE!$E58="","",SAISIE!$E58)</f>
        <v/>
      </c>
      <c r="E53" t="str">
        <f>IF(SAISIE!$F58="","",SAISIE!$F58)</f>
        <v/>
      </c>
      <c r="F53" t="str">
        <f>IF(SAISIE!$G58="","",SAISIE!$G58)</f>
        <v/>
      </c>
      <c r="G53" t="str">
        <f>IF(SAISIE!$H58="","",SAISIE!$H58)</f>
        <v/>
      </c>
      <c r="H53" t="str">
        <f>IF(SAISIE!$I58="","",SAISIE!$I58)</f>
        <v/>
      </c>
      <c r="I53" t="str">
        <f>IF(SAISIE!$J58="","",SAISIE!$J58)</f>
        <v/>
      </c>
      <c r="J53" t="str">
        <f>IF(SAISIE!$K58="","",SAISIE!$K58)</f>
        <v/>
      </c>
      <c r="K53" t="str">
        <f>IF(SAISIE!$L58="","",SAISIE!$L58)</f>
        <v/>
      </c>
      <c r="L53" t="str">
        <f>IF(SAISIE!$M58="","",SAISIE!$M58)</f>
        <v/>
      </c>
      <c r="M53" t="str">
        <f>IF(SAISIE!$N58="","",SAISIE!$N58)</f>
        <v/>
      </c>
      <c r="N53" t="str">
        <f>IF(SAISIE!$O58="","",SAISIE!$O58)</f>
        <v/>
      </c>
      <c r="O53" t="str">
        <f>IF(SAISIE!$P58="","",SAISIE!$P58)</f>
        <v/>
      </c>
      <c r="P53" t="str">
        <f>IF(SAISIE!$Q58="","",SAISIE!$Q58)</f>
        <v/>
      </c>
      <c r="Q53" t="str">
        <f>IF($I53="","",IF($I53&gt;PARAMETRES!$G$29,5,IF($I53&gt;PARAMETRES!$F$29,4,IF($I53&gt;PARAMETRES!$E$29,3,IF($I53&gt;PARAMETRES!$D$29,2,1)))))</f>
        <v/>
      </c>
      <c r="R53" t="str">
        <f>IF($J53="","",IF($J53&gt;PARAMETRES!$G$30,5,IF($J53&gt;PARAMETRES!$F$30,4,IF($J53&gt;PARAMETRES!$E$30,3,IF($J53&gt;PARAMETRES!$D$30,2,1)))))</f>
        <v/>
      </c>
      <c r="S53" t="str">
        <f>IF($K53="","",IF($Z53=2,IF($K53&gt;PARAMETRES!$G$31,5,IF($K53&gt;PARAMETRES!$F$31,4,IF($K53&gt;PARAMETRES!$E$31,3,IF($K53&gt;PARAMETRES!$D$31,2,1)))),IF($K53&gt;PARAMETRES!$G$32,5,IF($K53&gt;PARAMETRES!$F$32,4,IF($K53&gt;PARAMETRES!$E$32,3,IF($K53&gt;PARAMETRES!$D$32,2,1))))))</f>
        <v/>
      </c>
      <c r="T53" t="str">
        <f>IF($L53="","",IF($L53&gt;PARAMETRES!$G$33,5,IF($L53&gt;PARAMETRES!$F$33,4,IF($L53&gt;PARAMETRES!$E$33,3,IF($L53&gt;PARAMETRES!$D$33,2,1)))))</f>
        <v/>
      </c>
      <c r="U53" t="str">
        <f>IF($M53="","",IF($M53&gt;PARAMETRES!$G$34,5,IF($M53&gt;PARAMETRES!$F$34,4,IF($M53&gt;PARAMETRES!$E$34,3,IF($M53&gt;PARAMETRES!$D$34,2,1)))))</f>
        <v/>
      </c>
      <c r="V53" t="str">
        <f>IF($N53="","",IF($N53&gt;PARAMETRES!$G$35,5,IF($N53&gt;PARAMETRES!$F$35,4,IF($N53&gt;PARAMETRES!$E$35,3,IF($N53&gt;PARAMETRES!$D$35,2,1)))))</f>
        <v/>
      </c>
      <c r="W53" t="str">
        <f>IF($O53="","",IF($O53&gt;PARAMETRES!$G$36,5,IF($O53&gt;PARAMETRES!$F$36,4,IF($O53&gt;PARAMETRES!$E$36,3,IF($O53&gt;PARAMETRES!$D$36,2,1)))))</f>
        <v/>
      </c>
      <c r="X53" t="str">
        <f>IF($P53="","",IF($P53&gt;PARAMETRES!$G$37,5,IF($P53&gt;PARAMETRES!$F$37,4,IF($P53&gt;PARAMETRES!$E$37,3,IF($P53&gt;PARAMETRES!$D$37,2,1)))))</f>
        <v/>
      </c>
      <c r="Y53" t="str">
        <f t="shared" si="0"/>
        <v/>
      </c>
      <c r="Z53" t="str">
        <f>IFERROR(VLOOKUP($B53,TABLE_CYCLE,2,0),"")</f>
        <v/>
      </c>
      <c r="AA53" t="str">
        <f t="shared" si="1"/>
        <v/>
      </c>
      <c r="AB53" t="str">
        <f>IF($D53="","",IF(COUNTIF($D$2:$D53,$D53)=1,$D53,""))</f>
        <v/>
      </c>
      <c r="AC53">
        <f t="shared" si="2"/>
        <v>0</v>
      </c>
      <c r="AD53" t="str">
        <f t="shared" si="3"/>
        <v>|0</v>
      </c>
      <c r="AE53" t="str">
        <f t="shared" si="4"/>
        <v/>
      </c>
      <c r="AF53" t="str">
        <f t="shared" si="5"/>
        <v/>
      </c>
      <c r="AG53" t="str">
        <f t="shared" si="6"/>
        <v/>
      </c>
      <c r="AH53" t="str">
        <f t="shared" si="7"/>
        <v/>
      </c>
      <c r="AI53" t="str">
        <f t="shared" si="8"/>
        <v/>
      </c>
      <c r="AJ53" t="str">
        <f t="shared" si="9"/>
        <v/>
      </c>
      <c r="AK53" t="str">
        <f t="shared" si="10"/>
        <v/>
      </c>
      <c r="AL53" t="str">
        <f t="shared" si="11"/>
        <v/>
      </c>
      <c r="AM53" t="str">
        <f t="shared" si="12"/>
        <v/>
      </c>
      <c r="AN53" t="str">
        <f t="shared" si="13"/>
        <v/>
      </c>
      <c r="AO53" t="str">
        <f t="shared" si="14"/>
        <v/>
      </c>
      <c r="AP53">
        <f t="shared" si="15"/>
        <v>1</v>
      </c>
      <c r="AQ53" t="str">
        <f>IF(SAISIE!$F58="","",SAISIE!$Y58)</f>
        <v/>
      </c>
      <c r="AR53" t="str">
        <f>IF(OR(SAISIE!$U$4="",SAISIE!$W$4=""),"",IF(AND($A53=SAISIE!$U$4,$B53=SAISIE!$W$4,$C53="S1"),COUNTIFS($A$2:$A53,SAISIE!$U$4,$B$2:$B53,SAISIE!$W$4,$C$2:$C53,"S1"),""))</f>
        <v/>
      </c>
      <c r="AS53" t="str">
        <f t="shared" si="16"/>
        <v/>
      </c>
      <c r="AT53" t="str">
        <f t="shared" si="17"/>
        <v/>
      </c>
      <c r="AU53" t="str">
        <f t="shared" si="18"/>
        <v/>
      </c>
      <c r="AV53">
        <f>N(AV52)+IF(AND($AB53&lt;&gt;"",OR('PROFIL ELEVE'!$K$4="(Tous)",$AF53='PROFIL ELEVE'!$K$4)),1,0)</f>
        <v>0</v>
      </c>
      <c r="AW53">
        <f>N(AW52)+IF(AND($AB53&lt;&gt;"",OR('SUIVI LONGITUDINAL'!$Q$4="(Tous)",$AF53='SUIVI LONGITUDINAL'!$Q$4)),1,0)</f>
        <v>0</v>
      </c>
      <c r="AX53">
        <f t="shared" si="19"/>
        <v>0</v>
      </c>
      <c r="AY53">
        <f t="shared" si="20"/>
        <v>0</v>
      </c>
      <c r="AZ53">
        <f t="shared" si="21"/>
        <v>0</v>
      </c>
      <c r="BA53" t="str">
        <f t="shared" si="22"/>
        <v/>
      </c>
      <c r="BB53" t="str">
        <f t="shared" si="23"/>
        <v/>
      </c>
    </row>
    <row r="54" spans="1:54" ht="14.25" customHeight="1" x14ac:dyDescent="0.3">
      <c r="A54" t="str">
        <f>IF(SAISIE!$F59="","",SAISIE!$B59)</f>
        <v/>
      </c>
      <c r="B54" t="str">
        <f>IF(SAISIE!$F59="","",SAISIE!$C59)</f>
        <v/>
      </c>
      <c r="C54" t="str">
        <f>IF(SAISIE!$F59="","",SAISIE!$D59)</f>
        <v/>
      </c>
      <c r="D54" t="str">
        <f>IF(SAISIE!$E59="","",SAISIE!$E59)</f>
        <v/>
      </c>
      <c r="E54" t="str">
        <f>IF(SAISIE!$F59="","",SAISIE!$F59)</f>
        <v/>
      </c>
      <c r="F54" t="str">
        <f>IF(SAISIE!$G59="","",SAISIE!$G59)</f>
        <v/>
      </c>
      <c r="G54" t="str">
        <f>IF(SAISIE!$H59="","",SAISIE!$H59)</f>
        <v/>
      </c>
      <c r="H54" t="str">
        <f>IF(SAISIE!$I59="","",SAISIE!$I59)</f>
        <v/>
      </c>
      <c r="I54" t="str">
        <f>IF(SAISIE!$J59="","",SAISIE!$J59)</f>
        <v/>
      </c>
      <c r="J54" t="str">
        <f>IF(SAISIE!$K59="","",SAISIE!$K59)</f>
        <v/>
      </c>
      <c r="K54" t="str">
        <f>IF(SAISIE!$L59="","",SAISIE!$L59)</f>
        <v/>
      </c>
      <c r="L54" t="str">
        <f>IF(SAISIE!$M59="","",SAISIE!$M59)</f>
        <v/>
      </c>
      <c r="M54" t="str">
        <f>IF(SAISIE!$N59="","",SAISIE!$N59)</f>
        <v/>
      </c>
      <c r="N54" t="str">
        <f>IF(SAISIE!$O59="","",SAISIE!$O59)</f>
        <v/>
      </c>
      <c r="O54" t="str">
        <f>IF(SAISIE!$P59="","",SAISIE!$P59)</f>
        <v/>
      </c>
      <c r="P54" t="str">
        <f>IF(SAISIE!$Q59="","",SAISIE!$Q59)</f>
        <v/>
      </c>
      <c r="Q54" t="str">
        <f>IF($I54="","",IF($I54&gt;PARAMETRES!$G$29,5,IF($I54&gt;PARAMETRES!$F$29,4,IF($I54&gt;PARAMETRES!$E$29,3,IF($I54&gt;PARAMETRES!$D$29,2,1)))))</f>
        <v/>
      </c>
      <c r="R54" t="str">
        <f>IF($J54="","",IF($J54&gt;PARAMETRES!$G$30,5,IF($J54&gt;PARAMETRES!$F$30,4,IF($J54&gt;PARAMETRES!$E$30,3,IF($J54&gt;PARAMETRES!$D$30,2,1)))))</f>
        <v/>
      </c>
      <c r="S54" t="str">
        <f>IF($K54="","",IF($Z54=2,IF($K54&gt;PARAMETRES!$G$31,5,IF($K54&gt;PARAMETRES!$F$31,4,IF($K54&gt;PARAMETRES!$E$31,3,IF($K54&gt;PARAMETRES!$D$31,2,1)))),IF($K54&gt;PARAMETRES!$G$32,5,IF($K54&gt;PARAMETRES!$F$32,4,IF($K54&gt;PARAMETRES!$E$32,3,IF($K54&gt;PARAMETRES!$D$32,2,1))))))</f>
        <v/>
      </c>
      <c r="T54" t="str">
        <f>IF($L54="","",IF($L54&gt;PARAMETRES!$G$33,5,IF($L54&gt;PARAMETRES!$F$33,4,IF($L54&gt;PARAMETRES!$E$33,3,IF($L54&gt;PARAMETRES!$D$33,2,1)))))</f>
        <v/>
      </c>
      <c r="U54" t="str">
        <f>IF($M54="","",IF($M54&gt;PARAMETRES!$G$34,5,IF($M54&gt;PARAMETRES!$F$34,4,IF($M54&gt;PARAMETRES!$E$34,3,IF($M54&gt;PARAMETRES!$D$34,2,1)))))</f>
        <v/>
      </c>
      <c r="V54" t="str">
        <f>IF($N54="","",IF($N54&gt;PARAMETRES!$G$35,5,IF($N54&gt;PARAMETRES!$F$35,4,IF($N54&gt;PARAMETRES!$E$35,3,IF($N54&gt;PARAMETRES!$D$35,2,1)))))</f>
        <v/>
      </c>
      <c r="W54" t="str">
        <f>IF($O54="","",IF($O54&gt;PARAMETRES!$G$36,5,IF($O54&gt;PARAMETRES!$F$36,4,IF($O54&gt;PARAMETRES!$E$36,3,IF($O54&gt;PARAMETRES!$D$36,2,1)))))</f>
        <v/>
      </c>
      <c r="X54" t="str">
        <f>IF($P54="","",IF($P54&gt;PARAMETRES!$G$37,5,IF($P54&gt;PARAMETRES!$F$37,4,IF($P54&gt;PARAMETRES!$E$37,3,IF($P54&gt;PARAMETRES!$D$37,2,1)))))</f>
        <v/>
      </c>
      <c r="Y54" t="str">
        <f t="shared" si="0"/>
        <v/>
      </c>
      <c r="Z54" t="str">
        <f>IFERROR(VLOOKUP($B54,TABLE_CYCLE,2,0),"")</f>
        <v/>
      </c>
      <c r="AA54" t="str">
        <f t="shared" si="1"/>
        <v/>
      </c>
      <c r="AB54" t="str">
        <f>IF($D54="","",IF(COUNTIF($D$2:$D54,$D54)=1,$D54,""))</f>
        <v/>
      </c>
      <c r="AC54">
        <f t="shared" si="2"/>
        <v>0</v>
      </c>
      <c r="AD54" t="str">
        <f t="shared" si="3"/>
        <v>|0</v>
      </c>
      <c r="AE54" t="str">
        <f t="shared" si="4"/>
        <v/>
      </c>
      <c r="AF54" t="str">
        <f t="shared" si="5"/>
        <v/>
      </c>
      <c r="AG54" t="str">
        <f t="shared" si="6"/>
        <v/>
      </c>
      <c r="AH54" t="str">
        <f t="shared" si="7"/>
        <v/>
      </c>
      <c r="AI54" t="str">
        <f t="shared" si="8"/>
        <v/>
      </c>
      <c r="AJ54" t="str">
        <f t="shared" si="9"/>
        <v/>
      </c>
      <c r="AK54" t="str">
        <f t="shared" si="10"/>
        <v/>
      </c>
      <c r="AL54" t="str">
        <f t="shared" si="11"/>
        <v/>
      </c>
      <c r="AM54" t="str">
        <f t="shared" si="12"/>
        <v/>
      </c>
      <c r="AN54" t="str">
        <f t="shared" si="13"/>
        <v/>
      </c>
      <c r="AO54" t="str">
        <f t="shared" si="14"/>
        <v/>
      </c>
      <c r="AP54">
        <f t="shared" si="15"/>
        <v>1</v>
      </c>
      <c r="AQ54" t="str">
        <f>IF(SAISIE!$F59="","",SAISIE!$Y59)</f>
        <v/>
      </c>
      <c r="AR54" t="str">
        <f>IF(OR(SAISIE!$U$4="",SAISIE!$W$4=""),"",IF(AND($A54=SAISIE!$U$4,$B54=SAISIE!$W$4,$C54="S1"),COUNTIFS($A$2:$A54,SAISIE!$U$4,$B$2:$B54,SAISIE!$W$4,$C$2:$C54,"S1"),""))</f>
        <v/>
      </c>
      <c r="AS54" t="str">
        <f t="shared" si="16"/>
        <v/>
      </c>
      <c r="AT54" t="str">
        <f t="shared" si="17"/>
        <v/>
      </c>
      <c r="AU54" t="str">
        <f t="shared" si="18"/>
        <v/>
      </c>
      <c r="AV54">
        <f>N(AV53)+IF(AND($AB54&lt;&gt;"",OR('PROFIL ELEVE'!$K$4="(Tous)",$AF54='PROFIL ELEVE'!$K$4)),1,0)</f>
        <v>0</v>
      </c>
      <c r="AW54">
        <f>N(AW53)+IF(AND($AB54&lt;&gt;"",OR('SUIVI LONGITUDINAL'!$Q$4="(Tous)",$AF54='SUIVI LONGITUDINAL'!$Q$4)),1,0)</f>
        <v>0</v>
      </c>
      <c r="AX54">
        <f t="shared" si="19"/>
        <v>0</v>
      </c>
      <c r="AY54">
        <f t="shared" si="20"/>
        <v>0</v>
      </c>
      <c r="AZ54">
        <f t="shared" si="21"/>
        <v>0</v>
      </c>
      <c r="BA54" t="str">
        <f t="shared" si="22"/>
        <v/>
      </c>
      <c r="BB54" t="str">
        <f t="shared" si="23"/>
        <v/>
      </c>
    </row>
    <row r="55" spans="1:54" ht="14.25" customHeight="1" x14ac:dyDescent="0.3">
      <c r="A55" t="str">
        <f>IF(SAISIE!$F60="","",SAISIE!$B60)</f>
        <v/>
      </c>
      <c r="B55" t="str">
        <f>IF(SAISIE!$F60="","",SAISIE!$C60)</f>
        <v/>
      </c>
      <c r="C55" t="str">
        <f>IF(SAISIE!$F60="","",SAISIE!$D60)</f>
        <v/>
      </c>
      <c r="D55" t="str">
        <f>IF(SAISIE!$E60="","",SAISIE!$E60)</f>
        <v/>
      </c>
      <c r="E55" t="str">
        <f>IF(SAISIE!$F60="","",SAISIE!$F60)</f>
        <v/>
      </c>
      <c r="F55" t="str">
        <f>IF(SAISIE!$G60="","",SAISIE!$G60)</f>
        <v/>
      </c>
      <c r="G55" t="str">
        <f>IF(SAISIE!$H60="","",SAISIE!$H60)</f>
        <v/>
      </c>
      <c r="H55" t="str">
        <f>IF(SAISIE!$I60="","",SAISIE!$I60)</f>
        <v/>
      </c>
      <c r="I55" t="str">
        <f>IF(SAISIE!$J60="","",SAISIE!$J60)</f>
        <v/>
      </c>
      <c r="J55" t="str">
        <f>IF(SAISIE!$K60="","",SAISIE!$K60)</f>
        <v/>
      </c>
      <c r="K55" t="str">
        <f>IF(SAISIE!$L60="","",SAISIE!$L60)</f>
        <v/>
      </c>
      <c r="L55" t="str">
        <f>IF(SAISIE!$M60="","",SAISIE!$M60)</f>
        <v/>
      </c>
      <c r="M55" t="str">
        <f>IF(SAISIE!$N60="","",SAISIE!$N60)</f>
        <v/>
      </c>
      <c r="N55" t="str">
        <f>IF(SAISIE!$O60="","",SAISIE!$O60)</f>
        <v/>
      </c>
      <c r="O55" t="str">
        <f>IF(SAISIE!$P60="","",SAISIE!$P60)</f>
        <v/>
      </c>
      <c r="P55" t="str">
        <f>IF(SAISIE!$Q60="","",SAISIE!$Q60)</f>
        <v/>
      </c>
      <c r="Q55" t="str">
        <f>IF($I55="","",IF($I55&gt;PARAMETRES!$G$29,5,IF($I55&gt;PARAMETRES!$F$29,4,IF($I55&gt;PARAMETRES!$E$29,3,IF($I55&gt;PARAMETRES!$D$29,2,1)))))</f>
        <v/>
      </c>
      <c r="R55" t="str">
        <f>IF($J55="","",IF($J55&gt;PARAMETRES!$G$30,5,IF($J55&gt;PARAMETRES!$F$30,4,IF($J55&gt;PARAMETRES!$E$30,3,IF($J55&gt;PARAMETRES!$D$30,2,1)))))</f>
        <v/>
      </c>
      <c r="S55" t="str">
        <f>IF($K55="","",IF($Z55=2,IF($K55&gt;PARAMETRES!$G$31,5,IF($K55&gt;PARAMETRES!$F$31,4,IF($K55&gt;PARAMETRES!$E$31,3,IF($K55&gt;PARAMETRES!$D$31,2,1)))),IF($K55&gt;PARAMETRES!$G$32,5,IF($K55&gt;PARAMETRES!$F$32,4,IF($K55&gt;PARAMETRES!$E$32,3,IF($K55&gt;PARAMETRES!$D$32,2,1))))))</f>
        <v/>
      </c>
      <c r="T55" t="str">
        <f>IF($L55="","",IF($L55&gt;PARAMETRES!$G$33,5,IF($L55&gt;PARAMETRES!$F$33,4,IF($L55&gt;PARAMETRES!$E$33,3,IF($L55&gt;PARAMETRES!$D$33,2,1)))))</f>
        <v/>
      </c>
      <c r="U55" t="str">
        <f>IF($M55="","",IF($M55&gt;PARAMETRES!$G$34,5,IF($M55&gt;PARAMETRES!$F$34,4,IF($M55&gt;PARAMETRES!$E$34,3,IF($M55&gt;PARAMETRES!$D$34,2,1)))))</f>
        <v/>
      </c>
      <c r="V55" t="str">
        <f>IF($N55="","",IF($N55&gt;PARAMETRES!$G$35,5,IF($N55&gt;PARAMETRES!$F$35,4,IF($N55&gt;PARAMETRES!$E$35,3,IF($N55&gt;PARAMETRES!$D$35,2,1)))))</f>
        <v/>
      </c>
      <c r="W55" t="str">
        <f>IF($O55="","",IF($O55&gt;PARAMETRES!$G$36,5,IF($O55&gt;PARAMETRES!$F$36,4,IF($O55&gt;PARAMETRES!$E$36,3,IF($O55&gt;PARAMETRES!$D$36,2,1)))))</f>
        <v/>
      </c>
      <c r="X55" t="str">
        <f>IF($P55="","",IF($P55&gt;PARAMETRES!$G$37,5,IF($P55&gt;PARAMETRES!$F$37,4,IF($P55&gt;PARAMETRES!$E$37,3,IF($P55&gt;PARAMETRES!$D$37,2,1)))))</f>
        <v/>
      </c>
      <c r="Y55" t="str">
        <f t="shared" si="0"/>
        <v/>
      </c>
      <c r="Z55" t="str">
        <f>IFERROR(VLOOKUP($B55,TABLE_CYCLE,2,0),"")</f>
        <v/>
      </c>
      <c r="AA55" t="str">
        <f t="shared" si="1"/>
        <v/>
      </c>
      <c r="AB55" t="str">
        <f>IF($D55="","",IF(COUNTIF($D$2:$D55,$D55)=1,$D55,""))</f>
        <v/>
      </c>
      <c r="AC55">
        <f t="shared" si="2"/>
        <v>0</v>
      </c>
      <c r="AD55" t="str">
        <f t="shared" si="3"/>
        <v>|0</v>
      </c>
      <c r="AE55" t="str">
        <f t="shared" si="4"/>
        <v/>
      </c>
      <c r="AF55" t="str">
        <f t="shared" si="5"/>
        <v/>
      </c>
      <c r="AG55" t="str">
        <f t="shared" si="6"/>
        <v/>
      </c>
      <c r="AH55" t="str">
        <f t="shared" si="7"/>
        <v/>
      </c>
      <c r="AI55" t="str">
        <f t="shared" si="8"/>
        <v/>
      </c>
      <c r="AJ55" t="str">
        <f t="shared" si="9"/>
        <v/>
      </c>
      <c r="AK55" t="str">
        <f t="shared" si="10"/>
        <v/>
      </c>
      <c r="AL55" t="str">
        <f t="shared" si="11"/>
        <v/>
      </c>
      <c r="AM55" t="str">
        <f t="shared" si="12"/>
        <v/>
      </c>
      <c r="AN55" t="str">
        <f t="shared" si="13"/>
        <v/>
      </c>
      <c r="AO55" t="str">
        <f t="shared" si="14"/>
        <v/>
      </c>
      <c r="AP55">
        <f t="shared" si="15"/>
        <v>1</v>
      </c>
      <c r="AQ55" t="str">
        <f>IF(SAISIE!$F60="","",SAISIE!$Y60)</f>
        <v/>
      </c>
      <c r="AR55" t="str">
        <f>IF(OR(SAISIE!$U$4="",SAISIE!$W$4=""),"",IF(AND($A55=SAISIE!$U$4,$B55=SAISIE!$W$4,$C55="S1"),COUNTIFS($A$2:$A55,SAISIE!$U$4,$B$2:$B55,SAISIE!$W$4,$C$2:$C55,"S1"),""))</f>
        <v/>
      </c>
      <c r="AS55" t="str">
        <f t="shared" si="16"/>
        <v/>
      </c>
      <c r="AT55" t="str">
        <f t="shared" si="17"/>
        <v/>
      </c>
      <c r="AU55" t="str">
        <f t="shared" si="18"/>
        <v/>
      </c>
      <c r="AV55">
        <f>N(AV54)+IF(AND($AB55&lt;&gt;"",OR('PROFIL ELEVE'!$K$4="(Tous)",$AF55='PROFIL ELEVE'!$K$4)),1,0)</f>
        <v>0</v>
      </c>
      <c r="AW55">
        <f>N(AW54)+IF(AND($AB55&lt;&gt;"",OR('SUIVI LONGITUDINAL'!$Q$4="(Tous)",$AF55='SUIVI LONGITUDINAL'!$Q$4)),1,0)</f>
        <v>0</v>
      </c>
      <c r="AX55">
        <f t="shared" si="19"/>
        <v>0</v>
      </c>
      <c r="AY55">
        <f t="shared" si="20"/>
        <v>0</v>
      </c>
      <c r="AZ55">
        <f t="shared" si="21"/>
        <v>0</v>
      </c>
      <c r="BA55" t="str">
        <f t="shared" si="22"/>
        <v/>
      </c>
      <c r="BB55" t="str">
        <f t="shared" si="23"/>
        <v/>
      </c>
    </row>
    <row r="56" spans="1:54" ht="14.25" customHeight="1" x14ac:dyDescent="0.3">
      <c r="A56" t="str">
        <f>IF(SAISIE!$F61="","",SAISIE!$B61)</f>
        <v/>
      </c>
      <c r="B56" t="str">
        <f>IF(SAISIE!$F61="","",SAISIE!$C61)</f>
        <v/>
      </c>
      <c r="C56" t="str">
        <f>IF(SAISIE!$F61="","",SAISIE!$D61)</f>
        <v/>
      </c>
      <c r="D56" t="str">
        <f>IF(SAISIE!$E61="","",SAISIE!$E61)</f>
        <v/>
      </c>
      <c r="E56" t="str">
        <f>IF(SAISIE!$F61="","",SAISIE!$F61)</f>
        <v/>
      </c>
      <c r="F56" t="str">
        <f>IF(SAISIE!$G61="","",SAISIE!$G61)</f>
        <v/>
      </c>
      <c r="G56" t="str">
        <f>IF(SAISIE!$H61="","",SAISIE!$H61)</f>
        <v/>
      </c>
      <c r="H56" t="str">
        <f>IF(SAISIE!$I61="","",SAISIE!$I61)</f>
        <v/>
      </c>
      <c r="I56" t="str">
        <f>IF(SAISIE!$J61="","",SAISIE!$J61)</f>
        <v/>
      </c>
      <c r="J56" t="str">
        <f>IF(SAISIE!$K61="","",SAISIE!$K61)</f>
        <v/>
      </c>
      <c r="K56" t="str">
        <f>IF(SAISIE!$L61="","",SAISIE!$L61)</f>
        <v/>
      </c>
      <c r="L56" t="str">
        <f>IF(SAISIE!$M61="","",SAISIE!$M61)</f>
        <v/>
      </c>
      <c r="M56" t="str">
        <f>IF(SAISIE!$N61="","",SAISIE!$N61)</f>
        <v/>
      </c>
      <c r="N56" t="str">
        <f>IF(SAISIE!$O61="","",SAISIE!$O61)</f>
        <v/>
      </c>
      <c r="O56" t="str">
        <f>IF(SAISIE!$P61="","",SAISIE!$P61)</f>
        <v/>
      </c>
      <c r="P56" t="str">
        <f>IF(SAISIE!$Q61="","",SAISIE!$Q61)</f>
        <v/>
      </c>
      <c r="Q56" t="str">
        <f>IF($I56="","",IF($I56&gt;PARAMETRES!$G$29,5,IF($I56&gt;PARAMETRES!$F$29,4,IF($I56&gt;PARAMETRES!$E$29,3,IF($I56&gt;PARAMETRES!$D$29,2,1)))))</f>
        <v/>
      </c>
      <c r="R56" t="str">
        <f>IF($J56="","",IF($J56&gt;PARAMETRES!$G$30,5,IF($J56&gt;PARAMETRES!$F$30,4,IF($J56&gt;PARAMETRES!$E$30,3,IF($J56&gt;PARAMETRES!$D$30,2,1)))))</f>
        <v/>
      </c>
      <c r="S56" t="str">
        <f>IF($K56="","",IF($Z56=2,IF($K56&gt;PARAMETRES!$G$31,5,IF($K56&gt;PARAMETRES!$F$31,4,IF($K56&gt;PARAMETRES!$E$31,3,IF($K56&gt;PARAMETRES!$D$31,2,1)))),IF($K56&gt;PARAMETRES!$G$32,5,IF($K56&gt;PARAMETRES!$F$32,4,IF($K56&gt;PARAMETRES!$E$32,3,IF($K56&gt;PARAMETRES!$D$32,2,1))))))</f>
        <v/>
      </c>
      <c r="T56" t="str">
        <f>IF($L56="","",IF($L56&gt;PARAMETRES!$G$33,5,IF($L56&gt;PARAMETRES!$F$33,4,IF($L56&gt;PARAMETRES!$E$33,3,IF($L56&gt;PARAMETRES!$D$33,2,1)))))</f>
        <v/>
      </c>
      <c r="U56" t="str">
        <f>IF($M56="","",IF($M56&gt;PARAMETRES!$G$34,5,IF($M56&gt;PARAMETRES!$F$34,4,IF($M56&gt;PARAMETRES!$E$34,3,IF($M56&gt;PARAMETRES!$D$34,2,1)))))</f>
        <v/>
      </c>
      <c r="V56" t="str">
        <f>IF($N56="","",IF($N56&gt;PARAMETRES!$G$35,5,IF($N56&gt;PARAMETRES!$F$35,4,IF($N56&gt;PARAMETRES!$E$35,3,IF($N56&gt;PARAMETRES!$D$35,2,1)))))</f>
        <v/>
      </c>
      <c r="W56" t="str">
        <f>IF($O56="","",IF($O56&gt;PARAMETRES!$G$36,5,IF($O56&gt;PARAMETRES!$F$36,4,IF($O56&gt;PARAMETRES!$E$36,3,IF($O56&gt;PARAMETRES!$D$36,2,1)))))</f>
        <v/>
      </c>
      <c r="X56" t="str">
        <f>IF($P56="","",IF($P56&gt;PARAMETRES!$G$37,5,IF($P56&gt;PARAMETRES!$F$37,4,IF($P56&gt;PARAMETRES!$E$37,3,IF($P56&gt;PARAMETRES!$D$37,2,1)))))</f>
        <v/>
      </c>
      <c r="Y56" t="str">
        <f t="shared" si="0"/>
        <v/>
      </c>
      <c r="Z56" t="str">
        <f>IFERROR(VLOOKUP($B56,TABLE_CYCLE,2,0),"")</f>
        <v/>
      </c>
      <c r="AA56" t="str">
        <f t="shared" si="1"/>
        <v/>
      </c>
      <c r="AB56" t="str">
        <f>IF($D56="","",IF(COUNTIF($D$2:$D56,$D56)=1,$D56,""))</f>
        <v/>
      </c>
      <c r="AC56">
        <f t="shared" si="2"/>
        <v>0</v>
      </c>
      <c r="AD56" t="str">
        <f t="shared" si="3"/>
        <v>|0</v>
      </c>
      <c r="AE56" t="str">
        <f t="shared" si="4"/>
        <v/>
      </c>
      <c r="AF56" t="str">
        <f t="shared" si="5"/>
        <v/>
      </c>
      <c r="AG56" t="str">
        <f t="shared" si="6"/>
        <v/>
      </c>
      <c r="AH56" t="str">
        <f t="shared" si="7"/>
        <v/>
      </c>
      <c r="AI56" t="str">
        <f t="shared" si="8"/>
        <v/>
      </c>
      <c r="AJ56" t="str">
        <f t="shared" si="9"/>
        <v/>
      </c>
      <c r="AK56" t="str">
        <f t="shared" si="10"/>
        <v/>
      </c>
      <c r="AL56" t="str">
        <f t="shared" si="11"/>
        <v/>
      </c>
      <c r="AM56" t="str">
        <f t="shared" si="12"/>
        <v/>
      </c>
      <c r="AN56" t="str">
        <f t="shared" si="13"/>
        <v/>
      </c>
      <c r="AO56" t="str">
        <f t="shared" si="14"/>
        <v/>
      </c>
      <c r="AP56">
        <f t="shared" si="15"/>
        <v>1</v>
      </c>
      <c r="AQ56" t="str">
        <f>IF(SAISIE!$F61="","",SAISIE!$Y61)</f>
        <v/>
      </c>
      <c r="AR56" t="str">
        <f>IF(OR(SAISIE!$U$4="",SAISIE!$W$4=""),"",IF(AND($A56=SAISIE!$U$4,$B56=SAISIE!$W$4,$C56="S1"),COUNTIFS($A$2:$A56,SAISIE!$U$4,$B$2:$B56,SAISIE!$W$4,$C$2:$C56,"S1"),""))</f>
        <v/>
      </c>
      <c r="AS56" t="str">
        <f t="shared" si="16"/>
        <v/>
      </c>
      <c r="AT56" t="str">
        <f t="shared" si="17"/>
        <v/>
      </c>
      <c r="AU56" t="str">
        <f t="shared" si="18"/>
        <v/>
      </c>
      <c r="AV56">
        <f>N(AV55)+IF(AND($AB56&lt;&gt;"",OR('PROFIL ELEVE'!$K$4="(Tous)",$AF56='PROFIL ELEVE'!$K$4)),1,0)</f>
        <v>0</v>
      </c>
      <c r="AW56">
        <f>N(AW55)+IF(AND($AB56&lt;&gt;"",OR('SUIVI LONGITUDINAL'!$Q$4="(Tous)",$AF56='SUIVI LONGITUDINAL'!$Q$4)),1,0)</f>
        <v>0</v>
      </c>
      <c r="AX56">
        <f t="shared" si="19"/>
        <v>0</v>
      </c>
      <c r="AY56">
        <f t="shared" si="20"/>
        <v>0</v>
      </c>
      <c r="AZ56">
        <f t="shared" si="21"/>
        <v>0</v>
      </c>
      <c r="BA56" t="str">
        <f t="shared" si="22"/>
        <v/>
      </c>
      <c r="BB56" t="str">
        <f t="shared" si="23"/>
        <v/>
      </c>
    </row>
    <row r="57" spans="1:54" ht="14.25" customHeight="1" x14ac:dyDescent="0.3">
      <c r="A57" t="str">
        <f>IF(SAISIE!$F62="","",SAISIE!$B62)</f>
        <v/>
      </c>
      <c r="B57" t="str">
        <f>IF(SAISIE!$F62="","",SAISIE!$C62)</f>
        <v/>
      </c>
      <c r="C57" t="str">
        <f>IF(SAISIE!$F62="","",SAISIE!$D62)</f>
        <v/>
      </c>
      <c r="D57" t="str">
        <f>IF(SAISIE!$E62="","",SAISIE!$E62)</f>
        <v/>
      </c>
      <c r="E57" t="str">
        <f>IF(SAISIE!$F62="","",SAISIE!$F62)</f>
        <v/>
      </c>
      <c r="F57" t="str">
        <f>IF(SAISIE!$G62="","",SAISIE!$G62)</f>
        <v/>
      </c>
      <c r="G57" t="str">
        <f>IF(SAISIE!$H62="","",SAISIE!$H62)</f>
        <v/>
      </c>
      <c r="H57" t="str">
        <f>IF(SAISIE!$I62="","",SAISIE!$I62)</f>
        <v/>
      </c>
      <c r="I57" t="str">
        <f>IF(SAISIE!$J62="","",SAISIE!$J62)</f>
        <v/>
      </c>
      <c r="J57" t="str">
        <f>IF(SAISIE!$K62="","",SAISIE!$K62)</f>
        <v/>
      </c>
      <c r="K57" t="str">
        <f>IF(SAISIE!$L62="","",SAISIE!$L62)</f>
        <v/>
      </c>
      <c r="L57" t="str">
        <f>IF(SAISIE!$M62="","",SAISIE!$M62)</f>
        <v/>
      </c>
      <c r="M57" t="str">
        <f>IF(SAISIE!$N62="","",SAISIE!$N62)</f>
        <v/>
      </c>
      <c r="N57" t="str">
        <f>IF(SAISIE!$O62="","",SAISIE!$O62)</f>
        <v/>
      </c>
      <c r="O57" t="str">
        <f>IF(SAISIE!$P62="","",SAISIE!$P62)</f>
        <v/>
      </c>
      <c r="P57" t="str">
        <f>IF(SAISIE!$Q62="","",SAISIE!$Q62)</f>
        <v/>
      </c>
      <c r="Q57" t="str">
        <f>IF($I57="","",IF($I57&gt;PARAMETRES!$G$29,5,IF($I57&gt;PARAMETRES!$F$29,4,IF($I57&gt;PARAMETRES!$E$29,3,IF($I57&gt;PARAMETRES!$D$29,2,1)))))</f>
        <v/>
      </c>
      <c r="R57" t="str">
        <f>IF($J57="","",IF($J57&gt;PARAMETRES!$G$30,5,IF($J57&gt;PARAMETRES!$F$30,4,IF($J57&gt;PARAMETRES!$E$30,3,IF($J57&gt;PARAMETRES!$D$30,2,1)))))</f>
        <v/>
      </c>
      <c r="S57" t="str">
        <f>IF($K57="","",IF($Z57=2,IF($K57&gt;PARAMETRES!$G$31,5,IF($K57&gt;PARAMETRES!$F$31,4,IF($K57&gt;PARAMETRES!$E$31,3,IF($K57&gt;PARAMETRES!$D$31,2,1)))),IF($K57&gt;PARAMETRES!$G$32,5,IF($K57&gt;PARAMETRES!$F$32,4,IF($K57&gt;PARAMETRES!$E$32,3,IF($K57&gt;PARAMETRES!$D$32,2,1))))))</f>
        <v/>
      </c>
      <c r="T57" t="str">
        <f>IF($L57="","",IF($L57&gt;PARAMETRES!$G$33,5,IF($L57&gt;PARAMETRES!$F$33,4,IF($L57&gt;PARAMETRES!$E$33,3,IF($L57&gt;PARAMETRES!$D$33,2,1)))))</f>
        <v/>
      </c>
      <c r="U57" t="str">
        <f>IF($M57="","",IF($M57&gt;PARAMETRES!$G$34,5,IF($M57&gt;PARAMETRES!$F$34,4,IF($M57&gt;PARAMETRES!$E$34,3,IF($M57&gt;PARAMETRES!$D$34,2,1)))))</f>
        <v/>
      </c>
      <c r="V57" t="str">
        <f>IF($N57="","",IF($N57&gt;PARAMETRES!$G$35,5,IF($N57&gt;PARAMETRES!$F$35,4,IF($N57&gt;PARAMETRES!$E$35,3,IF($N57&gt;PARAMETRES!$D$35,2,1)))))</f>
        <v/>
      </c>
      <c r="W57" t="str">
        <f>IF($O57="","",IF($O57&gt;PARAMETRES!$G$36,5,IF($O57&gt;PARAMETRES!$F$36,4,IF($O57&gt;PARAMETRES!$E$36,3,IF($O57&gt;PARAMETRES!$D$36,2,1)))))</f>
        <v/>
      </c>
      <c r="X57" t="str">
        <f>IF($P57="","",IF($P57&gt;PARAMETRES!$G$37,5,IF($P57&gt;PARAMETRES!$F$37,4,IF($P57&gt;PARAMETRES!$E$37,3,IF($P57&gt;PARAMETRES!$D$37,2,1)))))</f>
        <v/>
      </c>
      <c r="Y57" t="str">
        <f t="shared" si="0"/>
        <v/>
      </c>
      <c r="Z57" t="str">
        <f>IFERROR(VLOOKUP($B57,TABLE_CYCLE,2,0),"")</f>
        <v/>
      </c>
      <c r="AA57" t="str">
        <f t="shared" si="1"/>
        <v/>
      </c>
      <c r="AB57" t="str">
        <f>IF($D57="","",IF(COUNTIF($D$2:$D57,$D57)=1,$D57,""))</f>
        <v/>
      </c>
      <c r="AC57">
        <f t="shared" si="2"/>
        <v>0</v>
      </c>
      <c r="AD57" t="str">
        <f t="shared" si="3"/>
        <v>|0</v>
      </c>
      <c r="AE57" t="str">
        <f t="shared" si="4"/>
        <v/>
      </c>
      <c r="AF57" t="str">
        <f t="shared" si="5"/>
        <v/>
      </c>
      <c r="AG57" t="str">
        <f t="shared" si="6"/>
        <v/>
      </c>
      <c r="AH57" t="str">
        <f t="shared" si="7"/>
        <v/>
      </c>
      <c r="AI57" t="str">
        <f t="shared" si="8"/>
        <v/>
      </c>
      <c r="AJ57" t="str">
        <f t="shared" si="9"/>
        <v/>
      </c>
      <c r="AK57" t="str">
        <f t="shared" si="10"/>
        <v/>
      </c>
      <c r="AL57" t="str">
        <f t="shared" si="11"/>
        <v/>
      </c>
      <c r="AM57" t="str">
        <f t="shared" si="12"/>
        <v/>
      </c>
      <c r="AN57" t="str">
        <f t="shared" si="13"/>
        <v/>
      </c>
      <c r="AO57" t="str">
        <f t="shared" si="14"/>
        <v/>
      </c>
      <c r="AP57">
        <f t="shared" si="15"/>
        <v>1</v>
      </c>
      <c r="AQ57" t="str">
        <f>IF(SAISIE!$F62="","",SAISIE!$Y62)</f>
        <v/>
      </c>
      <c r="AR57" t="str">
        <f>IF(OR(SAISIE!$U$4="",SAISIE!$W$4=""),"",IF(AND($A57=SAISIE!$U$4,$B57=SAISIE!$W$4,$C57="S1"),COUNTIFS($A$2:$A57,SAISIE!$U$4,$B$2:$B57,SAISIE!$W$4,$C$2:$C57,"S1"),""))</f>
        <v/>
      </c>
      <c r="AS57" t="str">
        <f t="shared" si="16"/>
        <v/>
      </c>
      <c r="AT57" t="str">
        <f t="shared" si="17"/>
        <v/>
      </c>
      <c r="AU57" t="str">
        <f t="shared" si="18"/>
        <v/>
      </c>
      <c r="AV57">
        <f>N(AV56)+IF(AND($AB57&lt;&gt;"",OR('PROFIL ELEVE'!$K$4="(Tous)",$AF57='PROFIL ELEVE'!$K$4)),1,0)</f>
        <v>0</v>
      </c>
      <c r="AW57">
        <f>N(AW56)+IF(AND($AB57&lt;&gt;"",OR('SUIVI LONGITUDINAL'!$Q$4="(Tous)",$AF57='SUIVI LONGITUDINAL'!$Q$4)),1,0)</f>
        <v>0</v>
      </c>
      <c r="AX57">
        <f t="shared" si="19"/>
        <v>0</v>
      </c>
      <c r="AY57">
        <f t="shared" si="20"/>
        <v>0</v>
      </c>
      <c r="AZ57">
        <f t="shared" si="21"/>
        <v>0</v>
      </c>
      <c r="BA57" t="str">
        <f t="shared" si="22"/>
        <v/>
      </c>
      <c r="BB57" t="str">
        <f t="shared" si="23"/>
        <v/>
      </c>
    </row>
    <row r="58" spans="1:54" ht="14.25" customHeight="1" x14ac:dyDescent="0.3">
      <c r="A58" t="str">
        <f>IF(SAISIE!$F63="","",SAISIE!$B63)</f>
        <v/>
      </c>
      <c r="B58" t="str">
        <f>IF(SAISIE!$F63="","",SAISIE!$C63)</f>
        <v/>
      </c>
      <c r="C58" t="str">
        <f>IF(SAISIE!$F63="","",SAISIE!$D63)</f>
        <v/>
      </c>
      <c r="D58" t="str">
        <f>IF(SAISIE!$E63="","",SAISIE!$E63)</f>
        <v/>
      </c>
      <c r="E58" t="str">
        <f>IF(SAISIE!$F63="","",SAISIE!$F63)</f>
        <v/>
      </c>
      <c r="F58" t="str">
        <f>IF(SAISIE!$G63="","",SAISIE!$G63)</f>
        <v/>
      </c>
      <c r="G58" t="str">
        <f>IF(SAISIE!$H63="","",SAISIE!$H63)</f>
        <v/>
      </c>
      <c r="H58" t="str">
        <f>IF(SAISIE!$I63="","",SAISIE!$I63)</f>
        <v/>
      </c>
      <c r="I58" t="str">
        <f>IF(SAISIE!$J63="","",SAISIE!$J63)</f>
        <v/>
      </c>
      <c r="J58" t="str">
        <f>IF(SAISIE!$K63="","",SAISIE!$K63)</f>
        <v/>
      </c>
      <c r="K58" t="str">
        <f>IF(SAISIE!$L63="","",SAISIE!$L63)</f>
        <v/>
      </c>
      <c r="L58" t="str">
        <f>IF(SAISIE!$M63="","",SAISIE!$M63)</f>
        <v/>
      </c>
      <c r="M58" t="str">
        <f>IF(SAISIE!$N63="","",SAISIE!$N63)</f>
        <v/>
      </c>
      <c r="N58" t="str">
        <f>IF(SAISIE!$O63="","",SAISIE!$O63)</f>
        <v/>
      </c>
      <c r="O58" t="str">
        <f>IF(SAISIE!$P63="","",SAISIE!$P63)</f>
        <v/>
      </c>
      <c r="P58" t="str">
        <f>IF(SAISIE!$Q63="","",SAISIE!$Q63)</f>
        <v/>
      </c>
      <c r="Q58" t="str">
        <f>IF($I58="","",IF($I58&gt;PARAMETRES!$G$29,5,IF($I58&gt;PARAMETRES!$F$29,4,IF($I58&gt;PARAMETRES!$E$29,3,IF($I58&gt;PARAMETRES!$D$29,2,1)))))</f>
        <v/>
      </c>
      <c r="R58" t="str">
        <f>IF($J58="","",IF($J58&gt;PARAMETRES!$G$30,5,IF($J58&gt;PARAMETRES!$F$30,4,IF($J58&gt;PARAMETRES!$E$30,3,IF($J58&gt;PARAMETRES!$D$30,2,1)))))</f>
        <v/>
      </c>
      <c r="S58" t="str">
        <f>IF($K58="","",IF($Z58=2,IF($K58&gt;PARAMETRES!$G$31,5,IF($K58&gt;PARAMETRES!$F$31,4,IF($K58&gt;PARAMETRES!$E$31,3,IF($K58&gt;PARAMETRES!$D$31,2,1)))),IF($K58&gt;PARAMETRES!$G$32,5,IF($K58&gt;PARAMETRES!$F$32,4,IF($K58&gt;PARAMETRES!$E$32,3,IF($K58&gt;PARAMETRES!$D$32,2,1))))))</f>
        <v/>
      </c>
      <c r="T58" t="str">
        <f>IF($L58="","",IF($L58&gt;PARAMETRES!$G$33,5,IF($L58&gt;PARAMETRES!$F$33,4,IF($L58&gt;PARAMETRES!$E$33,3,IF($L58&gt;PARAMETRES!$D$33,2,1)))))</f>
        <v/>
      </c>
      <c r="U58" t="str">
        <f>IF($M58="","",IF($M58&gt;PARAMETRES!$G$34,5,IF($M58&gt;PARAMETRES!$F$34,4,IF($M58&gt;PARAMETRES!$E$34,3,IF($M58&gt;PARAMETRES!$D$34,2,1)))))</f>
        <v/>
      </c>
      <c r="V58" t="str">
        <f>IF($N58="","",IF($N58&gt;PARAMETRES!$G$35,5,IF($N58&gt;PARAMETRES!$F$35,4,IF($N58&gt;PARAMETRES!$E$35,3,IF($N58&gt;PARAMETRES!$D$35,2,1)))))</f>
        <v/>
      </c>
      <c r="W58" t="str">
        <f>IF($O58="","",IF($O58&gt;PARAMETRES!$G$36,5,IF($O58&gt;PARAMETRES!$F$36,4,IF($O58&gt;PARAMETRES!$E$36,3,IF($O58&gt;PARAMETRES!$D$36,2,1)))))</f>
        <v/>
      </c>
      <c r="X58" t="str">
        <f>IF($P58="","",IF($P58&gt;PARAMETRES!$G$37,5,IF($P58&gt;PARAMETRES!$F$37,4,IF($P58&gt;PARAMETRES!$E$37,3,IF($P58&gt;PARAMETRES!$D$37,2,1)))))</f>
        <v/>
      </c>
      <c r="Y58" t="str">
        <f t="shared" si="0"/>
        <v/>
      </c>
      <c r="Z58" t="str">
        <f>IFERROR(VLOOKUP($B58,TABLE_CYCLE,2,0),"")</f>
        <v/>
      </c>
      <c r="AA58" t="str">
        <f t="shared" si="1"/>
        <v/>
      </c>
      <c r="AB58" t="str">
        <f>IF($D58="","",IF(COUNTIF($D$2:$D58,$D58)=1,$D58,""))</f>
        <v/>
      </c>
      <c r="AC58">
        <f t="shared" si="2"/>
        <v>0</v>
      </c>
      <c r="AD58" t="str">
        <f t="shared" si="3"/>
        <v>|0</v>
      </c>
      <c r="AE58" t="str">
        <f t="shared" si="4"/>
        <v/>
      </c>
      <c r="AF58" t="str">
        <f t="shared" si="5"/>
        <v/>
      </c>
      <c r="AG58" t="str">
        <f t="shared" si="6"/>
        <v/>
      </c>
      <c r="AH58" t="str">
        <f t="shared" si="7"/>
        <v/>
      </c>
      <c r="AI58" t="str">
        <f t="shared" si="8"/>
        <v/>
      </c>
      <c r="AJ58" t="str">
        <f t="shared" si="9"/>
        <v/>
      </c>
      <c r="AK58" t="str">
        <f t="shared" si="10"/>
        <v/>
      </c>
      <c r="AL58" t="str">
        <f t="shared" si="11"/>
        <v/>
      </c>
      <c r="AM58" t="str">
        <f t="shared" si="12"/>
        <v/>
      </c>
      <c r="AN58" t="str">
        <f t="shared" si="13"/>
        <v/>
      </c>
      <c r="AO58" t="str">
        <f t="shared" si="14"/>
        <v/>
      </c>
      <c r="AP58">
        <f t="shared" si="15"/>
        <v>1</v>
      </c>
      <c r="AQ58" t="str">
        <f>IF(SAISIE!$F63="","",SAISIE!$Y63)</f>
        <v/>
      </c>
      <c r="AR58" t="str">
        <f>IF(OR(SAISIE!$U$4="",SAISIE!$W$4=""),"",IF(AND($A58=SAISIE!$U$4,$B58=SAISIE!$W$4,$C58="S1"),COUNTIFS($A$2:$A58,SAISIE!$U$4,$B$2:$B58,SAISIE!$W$4,$C$2:$C58,"S1"),""))</f>
        <v/>
      </c>
      <c r="AS58" t="str">
        <f t="shared" si="16"/>
        <v/>
      </c>
      <c r="AT58" t="str">
        <f t="shared" si="17"/>
        <v/>
      </c>
      <c r="AU58" t="str">
        <f t="shared" si="18"/>
        <v/>
      </c>
      <c r="AV58">
        <f>N(AV57)+IF(AND($AB58&lt;&gt;"",OR('PROFIL ELEVE'!$K$4="(Tous)",$AF58='PROFIL ELEVE'!$K$4)),1,0)</f>
        <v>0</v>
      </c>
      <c r="AW58">
        <f>N(AW57)+IF(AND($AB58&lt;&gt;"",OR('SUIVI LONGITUDINAL'!$Q$4="(Tous)",$AF58='SUIVI LONGITUDINAL'!$Q$4)),1,0)</f>
        <v>0</v>
      </c>
      <c r="AX58">
        <f t="shared" si="19"/>
        <v>0</v>
      </c>
      <c r="AY58">
        <f t="shared" si="20"/>
        <v>0</v>
      </c>
      <c r="AZ58">
        <f t="shared" si="21"/>
        <v>0</v>
      </c>
      <c r="BA58" t="str">
        <f t="shared" si="22"/>
        <v/>
      </c>
      <c r="BB58" t="str">
        <f t="shared" si="23"/>
        <v/>
      </c>
    </row>
    <row r="59" spans="1:54" ht="14.25" customHeight="1" x14ac:dyDescent="0.3">
      <c r="A59" t="str">
        <f>IF(SAISIE!$F64="","",SAISIE!$B64)</f>
        <v/>
      </c>
      <c r="B59" t="str">
        <f>IF(SAISIE!$F64="","",SAISIE!$C64)</f>
        <v/>
      </c>
      <c r="C59" t="str">
        <f>IF(SAISIE!$F64="","",SAISIE!$D64)</f>
        <v/>
      </c>
      <c r="D59" t="str">
        <f>IF(SAISIE!$E64="","",SAISIE!$E64)</f>
        <v/>
      </c>
      <c r="E59" t="str">
        <f>IF(SAISIE!$F64="","",SAISIE!$F64)</f>
        <v/>
      </c>
      <c r="F59" t="str">
        <f>IF(SAISIE!$G64="","",SAISIE!$G64)</f>
        <v/>
      </c>
      <c r="G59" t="str">
        <f>IF(SAISIE!$H64="","",SAISIE!$H64)</f>
        <v/>
      </c>
      <c r="H59" t="str">
        <f>IF(SAISIE!$I64="","",SAISIE!$I64)</f>
        <v/>
      </c>
      <c r="I59" t="str">
        <f>IF(SAISIE!$J64="","",SAISIE!$J64)</f>
        <v/>
      </c>
      <c r="J59" t="str">
        <f>IF(SAISIE!$K64="","",SAISIE!$K64)</f>
        <v/>
      </c>
      <c r="K59" t="str">
        <f>IF(SAISIE!$L64="","",SAISIE!$L64)</f>
        <v/>
      </c>
      <c r="L59" t="str">
        <f>IF(SAISIE!$M64="","",SAISIE!$M64)</f>
        <v/>
      </c>
      <c r="M59" t="str">
        <f>IF(SAISIE!$N64="","",SAISIE!$N64)</f>
        <v/>
      </c>
      <c r="N59" t="str">
        <f>IF(SAISIE!$O64="","",SAISIE!$O64)</f>
        <v/>
      </c>
      <c r="O59" t="str">
        <f>IF(SAISIE!$P64="","",SAISIE!$P64)</f>
        <v/>
      </c>
      <c r="P59" t="str">
        <f>IF(SAISIE!$Q64="","",SAISIE!$Q64)</f>
        <v/>
      </c>
      <c r="Q59" t="str">
        <f>IF($I59="","",IF($I59&gt;PARAMETRES!$G$29,5,IF($I59&gt;PARAMETRES!$F$29,4,IF($I59&gt;PARAMETRES!$E$29,3,IF($I59&gt;PARAMETRES!$D$29,2,1)))))</f>
        <v/>
      </c>
      <c r="R59" t="str">
        <f>IF($J59="","",IF($J59&gt;PARAMETRES!$G$30,5,IF($J59&gt;PARAMETRES!$F$30,4,IF($J59&gt;PARAMETRES!$E$30,3,IF($J59&gt;PARAMETRES!$D$30,2,1)))))</f>
        <v/>
      </c>
      <c r="S59" t="str">
        <f>IF($K59="","",IF($Z59=2,IF($K59&gt;PARAMETRES!$G$31,5,IF($K59&gt;PARAMETRES!$F$31,4,IF($K59&gt;PARAMETRES!$E$31,3,IF($K59&gt;PARAMETRES!$D$31,2,1)))),IF($K59&gt;PARAMETRES!$G$32,5,IF($K59&gt;PARAMETRES!$F$32,4,IF($K59&gt;PARAMETRES!$E$32,3,IF($K59&gt;PARAMETRES!$D$32,2,1))))))</f>
        <v/>
      </c>
      <c r="T59" t="str">
        <f>IF($L59="","",IF($L59&gt;PARAMETRES!$G$33,5,IF($L59&gt;PARAMETRES!$F$33,4,IF($L59&gt;PARAMETRES!$E$33,3,IF($L59&gt;PARAMETRES!$D$33,2,1)))))</f>
        <v/>
      </c>
      <c r="U59" t="str">
        <f>IF($M59="","",IF($M59&gt;PARAMETRES!$G$34,5,IF($M59&gt;PARAMETRES!$F$34,4,IF($M59&gt;PARAMETRES!$E$34,3,IF($M59&gt;PARAMETRES!$D$34,2,1)))))</f>
        <v/>
      </c>
      <c r="V59" t="str">
        <f>IF($N59="","",IF($N59&gt;PARAMETRES!$G$35,5,IF($N59&gt;PARAMETRES!$F$35,4,IF($N59&gt;PARAMETRES!$E$35,3,IF($N59&gt;PARAMETRES!$D$35,2,1)))))</f>
        <v/>
      </c>
      <c r="W59" t="str">
        <f>IF($O59="","",IF($O59&gt;PARAMETRES!$G$36,5,IF($O59&gt;PARAMETRES!$F$36,4,IF($O59&gt;PARAMETRES!$E$36,3,IF($O59&gt;PARAMETRES!$D$36,2,1)))))</f>
        <v/>
      </c>
      <c r="X59" t="str">
        <f>IF($P59="","",IF($P59&gt;PARAMETRES!$G$37,5,IF($P59&gt;PARAMETRES!$F$37,4,IF($P59&gt;PARAMETRES!$E$37,3,IF($P59&gt;PARAMETRES!$D$37,2,1)))))</f>
        <v/>
      </c>
      <c r="Y59" t="str">
        <f t="shared" si="0"/>
        <v/>
      </c>
      <c r="Z59" t="str">
        <f>IFERROR(VLOOKUP($B59,TABLE_CYCLE,2,0),"")</f>
        <v/>
      </c>
      <c r="AA59" t="str">
        <f t="shared" si="1"/>
        <v/>
      </c>
      <c r="AB59" t="str">
        <f>IF($D59="","",IF(COUNTIF($D$2:$D59,$D59)=1,$D59,""))</f>
        <v/>
      </c>
      <c r="AC59">
        <f t="shared" si="2"/>
        <v>0</v>
      </c>
      <c r="AD59" t="str">
        <f t="shared" si="3"/>
        <v>|0</v>
      </c>
      <c r="AE59" t="str">
        <f t="shared" si="4"/>
        <v/>
      </c>
      <c r="AF59" t="str">
        <f t="shared" si="5"/>
        <v/>
      </c>
      <c r="AG59" t="str">
        <f t="shared" si="6"/>
        <v/>
      </c>
      <c r="AH59" t="str">
        <f t="shared" si="7"/>
        <v/>
      </c>
      <c r="AI59" t="str">
        <f t="shared" si="8"/>
        <v/>
      </c>
      <c r="AJ59" t="str">
        <f t="shared" si="9"/>
        <v/>
      </c>
      <c r="AK59" t="str">
        <f t="shared" si="10"/>
        <v/>
      </c>
      <c r="AL59" t="str">
        <f t="shared" si="11"/>
        <v/>
      </c>
      <c r="AM59" t="str">
        <f t="shared" si="12"/>
        <v/>
      </c>
      <c r="AN59" t="str">
        <f t="shared" si="13"/>
        <v/>
      </c>
      <c r="AO59" t="str">
        <f t="shared" si="14"/>
        <v/>
      </c>
      <c r="AP59">
        <f t="shared" si="15"/>
        <v>1</v>
      </c>
      <c r="AQ59" t="str">
        <f>IF(SAISIE!$F64="","",SAISIE!$Y64)</f>
        <v/>
      </c>
      <c r="AR59" t="str">
        <f>IF(OR(SAISIE!$U$4="",SAISIE!$W$4=""),"",IF(AND($A59=SAISIE!$U$4,$B59=SAISIE!$W$4,$C59="S1"),COUNTIFS($A$2:$A59,SAISIE!$U$4,$B$2:$B59,SAISIE!$W$4,$C$2:$C59,"S1"),""))</f>
        <v/>
      </c>
      <c r="AS59" t="str">
        <f t="shared" si="16"/>
        <v/>
      </c>
      <c r="AT59" t="str">
        <f t="shared" si="17"/>
        <v/>
      </c>
      <c r="AU59" t="str">
        <f t="shared" si="18"/>
        <v/>
      </c>
      <c r="AV59">
        <f>N(AV58)+IF(AND($AB59&lt;&gt;"",OR('PROFIL ELEVE'!$K$4="(Tous)",$AF59='PROFIL ELEVE'!$K$4)),1,0)</f>
        <v>0</v>
      </c>
      <c r="AW59">
        <f>N(AW58)+IF(AND($AB59&lt;&gt;"",OR('SUIVI LONGITUDINAL'!$Q$4="(Tous)",$AF59='SUIVI LONGITUDINAL'!$Q$4)),1,0)</f>
        <v>0</v>
      </c>
      <c r="AX59">
        <f t="shared" si="19"/>
        <v>0</v>
      </c>
      <c r="AY59">
        <f t="shared" si="20"/>
        <v>0</v>
      </c>
      <c r="AZ59">
        <f t="shared" si="21"/>
        <v>0</v>
      </c>
      <c r="BA59" t="str">
        <f t="shared" si="22"/>
        <v/>
      </c>
      <c r="BB59" t="str">
        <f t="shared" si="23"/>
        <v/>
      </c>
    </row>
    <row r="60" spans="1:54" ht="14.25" customHeight="1" x14ac:dyDescent="0.3">
      <c r="A60" t="str">
        <f>IF(SAISIE!$F65="","",SAISIE!$B65)</f>
        <v/>
      </c>
      <c r="B60" t="str">
        <f>IF(SAISIE!$F65="","",SAISIE!$C65)</f>
        <v/>
      </c>
      <c r="C60" t="str">
        <f>IF(SAISIE!$F65="","",SAISIE!$D65)</f>
        <v/>
      </c>
      <c r="D60" t="str">
        <f>IF(SAISIE!$E65="","",SAISIE!$E65)</f>
        <v/>
      </c>
      <c r="E60" t="str">
        <f>IF(SAISIE!$F65="","",SAISIE!$F65)</f>
        <v/>
      </c>
      <c r="F60" t="str">
        <f>IF(SAISIE!$G65="","",SAISIE!$G65)</f>
        <v/>
      </c>
      <c r="G60" t="str">
        <f>IF(SAISIE!$H65="","",SAISIE!$H65)</f>
        <v/>
      </c>
      <c r="H60" t="str">
        <f>IF(SAISIE!$I65="","",SAISIE!$I65)</f>
        <v/>
      </c>
      <c r="I60" t="str">
        <f>IF(SAISIE!$J65="","",SAISIE!$J65)</f>
        <v/>
      </c>
      <c r="J60" t="str">
        <f>IF(SAISIE!$K65="","",SAISIE!$K65)</f>
        <v/>
      </c>
      <c r="K60" t="str">
        <f>IF(SAISIE!$L65="","",SAISIE!$L65)</f>
        <v/>
      </c>
      <c r="L60" t="str">
        <f>IF(SAISIE!$M65="","",SAISIE!$M65)</f>
        <v/>
      </c>
      <c r="M60" t="str">
        <f>IF(SAISIE!$N65="","",SAISIE!$N65)</f>
        <v/>
      </c>
      <c r="N60" t="str">
        <f>IF(SAISIE!$O65="","",SAISIE!$O65)</f>
        <v/>
      </c>
      <c r="O60" t="str">
        <f>IF(SAISIE!$P65="","",SAISIE!$P65)</f>
        <v/>
      </c>
      <c r="P60" t="str">
        <f>IF(SAISIE!$Q65="","",SAISIE!$Q65)</f>
        <v/>
      </c>
      <c r="Q60" t="str">
        <f>IF($I60="","",IF($I60&gt;PARAMETRES!$G$29,5,IF($I60&gt;PARAMETRES!$F$29,4,IF($I60&gt;PARAMETRES!$E$29,3,IF($I60&gt;PARAMETRES!$D$29,2,1)))))</f>
        <v/>
      </c>
      <c r="R60" t="str">
        <f>IF($J60="","",IF($J60&gt;PARAMETRES!$G$30,5,IF($J60&gt;PARAMETRES!$F$30,4,IF($J60&gt;PARAMETRES!$E$30,3,IF($J60&gt;PARAMETRES!$D$30,2,1)))))</f>
        <v/>
      </c>
      <c r="S60" t="str">
        <f>IF($K60="","",IF($Z60=2,IF($K60&gt;PARAMETRES!$G$31,5,IF($K60&gt;PARAMETRES!$F$31,4,IF($K60&gt;PARAMETRES!$E$31,3,IF($K60&gt;PARAMETRES!$D$31,2,1)))),IF($K60&gt;PARAMETRES!$G$32,5,IF($K60&gt;PARAMETRES!$F$32,4,IF($K60&gt;PARAMETRES!$E$32,3,IF($K60&gt;PARAMETRES!$D$32,2,1))))))</f>
        <v/>
      </c>
      <c r="T60" t="str">
        <f>IF($L60="","",IF($L60&gt;PARAMETRES!$G$33,5,IF($L60&gt;PARAMETRES!$F$33,4,IF($L60&gt;PARAMETRES!$E$33,3,IF($L60&gt;PARAMETRES!$D$33,2,1)))))</f>
        <v/>
      </c>
      <c r="U60" t="str">
        <f>IF($M60="","",IF($M60&gt;PARAMETRES!$G$34,5,IF($M60&gt;PARAMETRES!$F$34,4,IF($M60&gt;PARAMETRES!$E$34,3,IF($M60&gt;PARAMETRES!$D$34,2,1)))))</f>
        <v/>
      </c>
      <c r="V60" t="str">
        <f>IF($N60="","",IF($N60&gt;PARAMETRES!$G$35,5,IF($N60&gt;PARAMETRES!$F$35,4,IF($N60&gt;PARAMETRES!$E$35,3,IF($N60&gt;PARAMETRES!$D$35,2,1)))))</f>
        <v/>
      </c>
      <c r="W60" t="str">
        <f>IF($O60="","",IF($O60&gt;PARAMETRES!$G$36,5,IF($O60&gt;PARAMETRES!$F$36,4,IF($O60&gt;PARAMETRES!$E$36,3,IF($O60&gt;PARAMETRES!$D$36,2,1)))))</f>
        <v/>
      </c>
      <c r="X60" t="str">
        <f>IF($P60="","",IF($P60&gt;PARAMETRES!$G$37,5,IF($P60&gt;PARAMETRES!$F$37,4,IF($P60&gt;PARAMETRES!$E$37,3,IF($P60&gt;PARAMETRES!$D$37,2,1)))))</f>
        <v/>
      </c>
      <c r="Y60" t="str">
        <f t="shared" si="0"/>
        <v/>
      </c>
      <c r="Z60" t="str">
        <f>IFERROR(VLOOKUP($B60,TABLE_CYCLE,2,0),"")</f>
        <v/>
      </c>
      <c r="AA60" t="str">
        <f t="shared" si="1"/>
        <v/>
      </c>
      <c r="AB60" t="str">
        <f>IF($D60="","",IF(COUNTIF($D$2:$D60,$D60)=1,$D60,""))</f>
        <v/>
      </c>
      <c r="AC60">
        <f t="shared" si="2"/>
        <v>0</v>
      </c>
      <c r="AD60" t="str">
        <f t="shared" si="3"/>
        <v>|0</v>
      </c>
      <c r="AE60" t="str">
        <f t="shared" si="4"/>
        <v/>
      </c>
      <c r="AF60" t="str">
        <f t="shared" si="5"/>
        <v/>
      </c>
      <c r="AG60" t="str">
        <f t="shared" si="6"/>
        <v/>
      </c>
      <c r="AH60" t="str">
        <f t="shared" si="7"/>
        <v/>
      </c>
      <c r="AI60" t="str">
        <f t="shared" si="8"/>
        <v/>
      </c>
      <c r="AJ60" t="str">
        <f t="shared" si="9"/>
        <v/>
      </c>
      <c r="AK60" t="str">
        <f t="shared" si="10"/>
        <v/>
      </c>
      <c r="AL60" t="str">
        <f t="shared" si="11"/>
        <v/>
      </c>
      <c r="AM60" t="str">
        <f t="shared" si="12"/>
        <v/>
      </c>
      <c r="AN60" t="str">
        <f t="shared" si="13"/>
        <v/>
      </c>
      <c r="AO60" t="str">
        <f t="shared" si="14"/>
        <v/>
      </c>
      <c r="AP60">
        <f t="shared" si="15"/>
        <v>1</v>
      </c>
      <c r="AQ60" t="str">
        <f>IF(SAISIE!$F65="","",SAISIE!$Y65)</f>
        <v/>
      </c>
      <c r="AR60" t="str">
        <f>IF(OR(SAISIE!$U$4="",SAISIE!$W$4=""),"",IF(AND($A60=SAISIE!$U$4,$B60=SAISIE!$W$4,$C60="S1"),COUNTIFS($A$2:$A60,SAISIE!$U$4,$B$2:$B60,SAISIE!$W$4,$C$2:$C60,"S1"),""))</f>
        <v/>
      </c>
      <c r="AS60" t="str">
        <f t="shared" si="16"/>
        <v/>
      </c>
      <c r="AT60" t="str">
        <f t="shared" si="17"/>
        <v/>
      </c>
      <c r="AU60" t="str">
        <f t="shared" si="18"/>
        <v/>
      </c>
      <c r="AV60">
        <f>N(AV59)+IF(AND($AB60&lt;&gt;"",OR('PROFIL ELEVE'!$K$4="(Tous)",$AF60='PROFIL ELEVE'!$K$4)),1,0)</f>
        <v>0</v>
      </c>
      <c r="AW60">
        <f>N(AW59)+IF(AND($AB60&lt;&gt;"",OR('SUIVI LONGITUDINAL'!$Q$4="(Tous)",$AF60='SUIVI LONGITUDINAL'!$Q$4)),1,0)</f>
        <v>0</v>
      </c>
      <c r="AX60">
        <f t="shared" si="19"/>
        <v>0</v>
      </c>
      <c r="AY60">
        <f t="shared" si="20"/>
        <v>0</v>
      </c>
      <c r="AZ60">
        <f t="shared" si="21"/>
        <v>0</v>
      </c>
      <c r="BA60" t="str">
        <f t="shared" si="22"/>
        <v/>
      </c>
      <c r="BB60" t="str">
        <f t="shared" si="23"/>
        <v/>
      </c>
    </row>
    <row r="61" spans="1:54" ht="14.25" customHeight="1" x14ac:dyDescent="0.3">
      <c r="A61" t="str">
        <f>IF(SAISIE!$F66="","",SAISIE!$B66)</f>
        <v/>
      </c>
      <c r="B61" t="str">
        <f>IF(SAISIE!$F66="","",SAISIE!$C66)</f>
        <v/>
      </c>
      <c r="C61" t="str">
        <f>IF(SAISIE!$F66="","",SAISIE!$D66)</f>
        <v/>
      </c>
      <c r="D61" t="str">
        <f>IF(SAISIE!$E66="","",SAISIE!$E66)</f>
        <v/>
      </c>
      <c r="E61" t="str">
        <f>IF(SAISIE!$F66="","",SAISIE!$F66)</f>
        <v/>
      </c>
      <c r="F61" t="str">
        <f>IF(SAISIE!$G66="","",SAISIE!$G66)</f>
        <v/>
      </c>
      <c r="G61" t="str">
        <f>IF(SAISIE!$H66="","",SAISIE!$H66)</f>
        <v/>
      </c>
      <c r="H61" t="str">
        <f>IF(SAISIE!$I66="","",SAISIE!$I66)</f>
        <v/>
      </c>
      <c r="I61" t="str">
        <f>IF(SAISIE!$J66="","",SAISIE!$J66)</f>
        <v/>
      </c>
      <c r="J61" t="str">
        <f>IF(SAISIE!$K66="","",SAISIE!$K66)</f>
        <v/>
      </c>
      <c r="K61" t="str">
        <f>IF(SAISIE!$L66="","",SAISIE!$L66)</f>
        <v/>
      </c>
      <c r="L61" t="str">
        <f>IF(SAISIE!$M66="","",SAISIE!$M66)</f>
        <v/>
      </c>
      <c r="M61" t="str">
        <f>IF(SAISIE!$N66="","",SAISIE!$N66)</f>
        <v/>
      </c>
      <c r="N61" t="str">
        <f>IF(SAISIE!$O66="","",SAISIE!$O66)</f>
        <v/>
      </c>
      <c r="O61" t="str">
        <f>IF(SAISIE!$P66="","",SAISIE!$P66)</f>
        <v/>
      </c>
      <c r="P61" t="str">
        <f>IF(SAISIE!$Q66="","",SAISIE!$Q66)</f>
        <v/>
      </c>
      <c r="Q61" t="str">
        <f>IF($I61="","",IF($I61&gt;PARAMETRES!$G$29,5,IF($I61&gt;PARAMETRES!$F$29,4,IF($I61&gt;PARAMETRES!$E$29,3,IF($I61&gt;PARAMETRES!$D$29,2,1)))))</f>
        <v/>
      </c>
      <c r="R61" t="str">
        <f>IF($J61="","",IF($J61&gt;PARAMETRES!$G$30,5,IF($J61&gt;PARAMETRES!$F$30,4,IF($J61&gt;PARAMETRES!$E$30,3,IF($J61&gt;PARAMETRES!$D$30,2,1)))))</f>
        <v/>
      </c>
      <c r="S61" t="str">
        <f>IF($K61="","",IF($Z61=2,IF($K61&gt;PARAMETRES!$G$31,5,IF($K61&gt;PARAMETRES!$F$31,4,IF($K61&gt;PARAMETRES!$E$31,3,IF($K61&gt;PARAMETRES!$D$31,2,1)))),IF($K61&gt;PARAMETRES!$G$32,5,IF($K61&gt;PARAMETRES!$F$32,4,IF($K61&gt;PARAMETRES!$E$32,3,IF($K61&gt;PARAMETRES!$D$32,2,1))))))</f>
        <v/>
      </c>
      <c r="T61" t="str">
        <f>IF($L61="","",IF($L61&gt;PARAMETRES!$G$33,5,IF($L61&gt;PARAMETRES!$F$33,4,IF($L61&gt;PARAMETRES!$E$33,3,IF($L61&gt;PARAMETRES!$D$33,2,1)))))</f>
        <v/>
      </c>
      <c r="U61" t="str">
        <f>IF($M61="","",IF($M61&gt;PARAMETRES!$G$34,5,IF($M61&gt;PARAMETRES!$F$34,4,IF($M61&gt;PARAMETRES!$E$34,3,IF($M61&gt;PARAMETRES!$D$34,2,1)))))</f>
        <v/>
      </c>
      <c r="V61" t="str">
        <f>IF($N61="","",IF($N61&gt;PARAMETRES!$G$35,5,IF($N61&gt;PARAMETRES!$F$35,4,IF($N61&gt;PARAMETRES!$E$35,3,IF($N61&gt;PARAMETRES!$D$35,2,1)))))</f>
        <v/>
      </c>
      <c r="W61" t="str">
        <f>IF($O61="","",IF($O61&gt;PARAMETRES!$G$36,5,IF($O61&gt;PARAMETRES!$F$36,4,IF($O61&gt;PARAMETRES!$E$36,3,IF($O61&gt;PARAMETRES!$D$36,2,1)))))</f>
        <v/>
      </c>
      <c r="X61" t="str">
        <f>IF($P61="","",IF($P61&gt;PARAMETRES!$G$37,5,IF($P61&gt;PARAMETRES!$F$37,4,IF($P61&gt;PARAMETRES!$E$37,3,IF($P61&gt;PARAMETRES!$D$37,2,1)))))</f>
        <v/>
      </c>
      <c r="Y61" t="str">
        <f t="shared" si="0"/>
        <v/>
      </c>
      <c r="Z61" t="str">
        <f>IFERROR(VLOOKUP($B61,TABLE_CYCLE,2,0),"")</f>
        <v/>
      </c>
      <c r="AA61" t="str">
        <f t="shared" si="1"/>
        <v/>
      </c>
      <c r="AB61" t="str">
        <f>IF($D61="","",IF(COUNTIF($D$2:$D61,$D61)=1,$D61,""))</f>
        <v/>
      </c>
      <c r="AC61">
        <f t="shared" si="2"/>
        <v>0</v>
      </c>
      <c r="AD61" t="str">
        <f t="shared" si="3"/>
        <v>|0</v>
      </c>
      <c r="AE61" t="str">
        <f t="shared" si="4"/>
        <v/>
      </c>
      <c r="AF61" t="str">
        <f t="shared" si="5"/>
        <v/>
      </c>
      <c r="AG61" t="str">
        <f t="shared" si="6"/>
        <v/>
      </c>
      <c r="AH61" t="str">
        <f t="shared" si="7"/>
        <v/>
      </c>
      <c r="AI61" t="str">
        <f t="shared" si="8"/>
        <v/>
      </c>
      <c r="AJ61" t="str">
        <f t="shared" si="9"/>
        <v/>
      </c>
      <c r="AK61" t="str">
        <f t="shared" si="10"/>
        <v/>
      </c>
      <c r="AL61" t="str">
        <f t="shared" si="11"/>
        <v/>
      </c>
      <c r="AM61" t="str">
        <f t="shared" si="12"/>
        <v/>
      </c>
      <c r="AN61" t="str">
        <f t="shared" si="13"/>
        <v/>
      </c>
      <c r="AO61" t="str">
        <f t="shared" si="14"/>
        <v/>
      </c>
      <c r="AP61">
        <f t="shared" si="15"/>
        <v>1</v>
      </c>
      <c r="AQ61" t="str">
        <f>IF(SAISIE!$F66="","",SAISIE!$Y66)</f>
        <v/>
      </c>
      <c r="AR61" t="str">
        <f>IF(OR(SAISIE!$U$4="",SAISIE!$W$4=""),"",IF(AND($A61=SAISIE!$U$4,$B61=SAISIE!$W$4,$C61="S1"),COUNTIFS($A$2:$A61,SAISIE!$U$4,$B$2:$B61,SAISIE!$W$4,$C$2:$C61,"S1"),""))</f>
        <v/>
      </c>
      <c r="AS61" t="str">
        <f t="shared" si="16"/>
        <v/>
      </c>
      <c r="AT61" t="str">
        <f t="shared" si="17"/>
        <v/>
      </c>
      <c r="AU61" t="str">
        <f t="shared" si="18"/>
        <v/>
      </c>
      <c r="AV61">
        <f>N(AV60)+IF(AND($AB61&lt;&gt;"",OR('PROFIL ELEVE'!$K$4="(Tous)",$AF61='PROFIL ELEVE'!$K$4)),1,0)</f>
        <v>0</v>
      </c>
      <c r="AW61">
        <f>N(AW60)+IF(AND($AB61&lt;&gt;"",OR('SUIVI LONGITUDINAL'!$Q$4="(Tous)",$AF61='SUIVI LONGITUDINAL'!$Q$4)),1,0)</f>
        <v>0</v>
      </c>
      <c r="AX61">
        <f t="shared" si="19"/>
        <v>0</v>
      </c>
      <c r="AY61">
        <f t="shared" si="20"/>
        <v>0</v>
      </c>
      <c r="AZ61">
        <f t="shared" si="21"/>
        <v>0</v>
      </c>
      <c r="BA61" t="str">
        <f t="shared" si="22"/>
        <v/>
      </c>
      <c r="BB61" t="str">
        <f t="shared" si="23"/>
        <v/>
      </c>
    </row>
    <row r="62" spans="1:54" ht="14.25" customHeight="1" x14ac:dyDescent="0.3">
      <c r="A62" t="str">
        <f>IF(SAISIE!$F67="","",SAISIE!$B67)</f>
        <v/>
      </c>
      <c r="B62" t="str">
        <f>IF(SAISIE!$F67="","",SAISIE!$C67)</f>
        <v/>
      </c>
      <c r="C62" t="str">
        <f>IF(SAISIE!$F67="","",SAISIE!$D67)</f>
        <v/>
      </c>
      <c r="D62" t="str">
        <f>IF(SAISIE!$E67="","",SAISIE!$E67)</f>
        <v/>
      </c>
      <c r="E62" t="str">
        <f>IF(SAISIE!$F67="","",SAISIE!$F67)</f>
        <v/>
      </c>
      <c r="F62" t="str">
        <f>IF(SAISIE!$G67="","",SAISIE!$G67)</f>
        <v/>
      </c>
      <c r="G62" t="str">
        <f>IF(SAISIE!$H67="","",SAISIE!$H67)</f>
        <v/>
      </c>
      <c r="H62" t="str">
        <f>IF(SAISIE!$I67="","",SAISIE!$I67)</f>
        <v/>
      </c>
      <c r="I62" t="str">
        <f>IF(SAISIE!$J67="","",SAISIE!$J67)</f>
        <v/>
      </c>
      <c r="J62" t="str">
        <f>IF(SAISIE!$K67="","",SAISIE!$K67)</f>
        <v/>
      </c>
      <c r="K62" t="str">
        <f>IF(SAISIE!$L67="","",SAISIE!$L67)</f>
        <v/>
      </c>
      <c r="L62" t="str">
        <f>IF(SAISIE!$M67="","",SAISIE!$M67)</f>
        <v/>
      </c>
      <c r="M62" t="str">
        <f>IF(SAISIE!$N67="","",SAISIE!$N67)</f>
        <v/>
      </c>
      <c r="N62" t="str">
        <f>IF(SAISIE!$O67="","",SAISIE!$O67)</f>
        <v/>
      </c>
      <c r="O62" t="str">
        <f>IF(SAISIE!$P67="","",SAISIE!$P67)</f>
        <v/>
      </c>
      <c r="P62" t="str">
        <f>IF(SAISIE!$Q67="","",SAISIE!$Q67)</f>
        <v/>
      </c>
      <c r="Q62" t="str">
        <f>IF($I62="","",IF($I62&gt;PARAMETRES!$G$29,5,IF($I62&gt;PARAMETRES!$F$29,4,IF($I62&gt;PARAMETRES!$E$29,3,IF($I62&gt;PARAMETRES!$D$29,2,1)))))</f>
        <v/>
      </c>
      <c r="R62" t="str">
        <f>IF($J62="","",IF($J62&gt;PARAMETRES!$G$30,5,IF($J62&gt;PARAMETRES!$F$30,4,IF($J62&gt;PARAMETRES!$E$30,3,IF($J62&gt;PARAMETRES!$D$30,2,1)))))</f>
        <v/>
      </c>
      <c r="S62" t="str">
        <f>IF($K62="","",IF($Z62=2,IF($K62&gt;PARAMETRES!$G$31,5,IF($K62&gt;PARAMETRES!$F$31,4,IF($K62&gt;PARAMETRES!$E$31,3,IF($K62&gt;PARAMETRES!$D$31,2,1)))),IF($K62&gt;PARAMETRES!$G$32,5,IF($K62&gt;PARAMETRES!$F$32,4,IF($K62&gt;PARAMETRES!$E$32,3,IF($K62&gt;PARAMETRES!$D$32,2,1))))))</f>
        <v/>
      </c>
      <c r="T62" t="str">
        <f>IF($L62="","",IF($L62&gt;PARAMETRES!$G$33,5,IF($L62&gt;PARAMETRES!$F$33,4,IF($L62&gt;PARAMETRES!$E$33,3,IF($L62&gt;PARAMETRES!$D$33,2,1)))))</f>
        <v/>
      </c>
      <c r="U62" t="str">
        <f>IF($M62="","",IF($M62&gt;PARAMETRES!$G$34,5,IF($M62&gt;PARAMETRES!$F$34,4,IF($M62&gt;PARAMETRES!$E$34,3,IF($M62&gt;PARAMETRES!$D$34,2,1)))))</f>
        <v/>
      </c>
      <c r="V62" t="str">
        <f>IF($N62="","",IF($N62&gt;PARAMETRES!$G$35,5,IF($N62&gt;PARAMETRES!$F$35,4,IF($N62&gt;PARAMETRES!$E$35,3,IF($N62&gt;PARAMETRES!$D$35,2,1)))))</f>
        <v/>
      </c>
      <c r="W62" t="str">
        <f>IF($O62="","",IF($O62&gt;PARAMETRES!$G$36,5,IF($O62&gt;PARAMETRES!$F$36,4,IF($O62&gt;PARAMETRES!$E$36,3,IF($O62&gt;PARAMETRES!$D$36,2,1)))))</f>
        <v/>
      </c>
      <c r="X62" t="str">
        <f>IF($P62="","",IF($P62&gt;PARAMETRES!$G$37,5,IF($P62&gt;PARAMETRES!$F$37,4,IF($P62&gt;PARAMETRES!$E$37,3,IF($P62&gt;PARAMETRES!$D$37,2,1)))))</f>
        <v/>
      </c>
      <c r="Y62" t="str">
        <f t="shared" si="0"/>
        <v/>
      </c>
      <c r="Z62" t="str">
        <f>IFERROR(VLOOKUP($B62,TABLE_CYCLE,2,0),"")</f>
        <v/>
      </c>
      <c r="AA62" t="str">
        <f t="shared" si="1"/>
        <v/>
      </c>
      <c r="AB62" t="str">
        <f>IF($D62="","",IF(COUNTIF($D$2:$D62,$D62)=1,$D62,""))</f>
        <v/>
      </c>
      <c r="AC62">
        <f t="shared" si="2"/>
        <v>0</v>
      </c>
      <c r="AD62" t="str">
        <f t="shared" si="3"/>
        <v>|0</v>
      </c>
      <c r="AE62" t="str">
        <f t="shared" si="4"/>
        <v/>
      </c>
      <c r="AF62" t="str">
        <f t="shared" si="5"/>
        <v/>
      </c>
      <c r="AG62" t="str">
        <f t="shared" si="6"/>
        <v/>
      </c>
      <c r="AH62" t="str">
        <f t="shared" si="7"/>
        <v/>
      </c>
      <c r="AI62" t="str">
        <f t="shared" si="8"/>
        <v/>
      </c>
      <c r="AJ62" t="str">
        <f t="shared" si="9"/>
        <v/>
      </c>
      <c r="AK62" t="str">
        <f t="shared" si="10"/>
        <v/>
      </c>
      <c r="AL62" t="str">
        <f t="shared" si="11"/>
        <v/>
      </c>
      <c r="AM62" t="str">
        <f t="shared" si="12"/>
        <v/>
      </c>
      <c r="AN62" t="str">
        <f t="shared" si="13"/>
        <v/>
      </c>
      <c r="AO62" t="str">
        <f t="shared" si="14"/>
        <v/>
      </c>
      <c r="AP62">
        <f t="shared" si="15"/>
        <v>1</v>
      </c>
      <c r="AQ62" t="str">
        <f>IF(SAISIE!$F67="","",SAISIE!$Y67)</f>
        <v/>
      </c>
      <c r="AR62" t="str">
        <f>IF(OR(SAISIE!$U$4="",SAISIE!$W$4=""),"",IF(AND($A62=SAISIE!$U$4,$B62=SAISIE!$W$4,$C62="S1"),COUNTIFS($A$2:$A62,SAISIE!$U$4,$B$2:$B62,SAISIE!$W$4,$C$2:$C62,"S1"),""))</f>
        <v/>
      </c>
      <c r="AS62" t="str">
        <f t="shared" si="16"/>
        <v/>
      </c>
      <c r="AT62" t="str">
        <f t="shared" si="17"/>
        <v/>
      </c>
      <c r="AU62" t="str">
        <f t="shared" si="18"/>
        <v/>
      </c>
      <c r="AV62">
        <f>N(AV61)+IF(AND($AB62&lt;&gt;"",OR('PROFIL ELEVE'!$K$4="(Tous)",$AF62='PROFIL ELEVE'!$K$4)),1,0)</f>
        <v>0</v>
      </c>
      <c r="AW62">
        <f>N(AW61)+IF(AND($AB62&lt;&gt;"",OR('SUIVI LONGITUDINAL'!$Q$4="(Tous)",$AF62='SUIVI LONGITUDINAL'!$Q$4)),1,0)</f>
        <v>0</v>
      </c>
      <c r="AX62">
        <f t="shared" si="19"/>
        <v>0</v>
      </c>
      <c r="AY62">
        <f t="shared" si="20"/>
        <v>0</v>
      </c>
      <c r="AZ62">
        <f t="shared" si="21"/>
        <v>0</v>
      </c>
      <c r="BA62" t="str">
        <f t="shared" si="22"/>
        <v/>
      </c>
      <c r="BB62" t="str">
        <f t="shared" si="23"/>
        <v/>
      </c>
    </row>
    <row r="63" spans="1:54" ht="14.25" customHeight="1" x14ac:dyDescent="0.3">
      <c r="A63" t="str">
        <f>IF(SAISIE!$F68="","",SAISIE!$B68)</f>
        <v/>
      </c>
      <c r="B63" t="str">
        <f>IF(SAISIE!$F68="","",SAISIE!$C68)</f>
        <v/>
      </c>
      <c r="C63" t="str">
        <f>IF(SAISIE!$F68="","",SAISIE!$D68)</f>
        <v/>
      </c>
      <c r="D63" t="str">
        <f>IF(SAISIE!$E68="","",SAISIE!$E68)</f>
        <v/>
      </c>
      <c r="E63" t="str">
        <f>IF(SAISIE!$F68="","",SAISIE!$F68)</f>
        <v/>
      </c>
      <c r="F63" t="str">
        <f>IF(SAISIE!$G68="","",SAISIE!$G68)</f>
        <v/>
      </c>
      <c r="G63" t="str">
        <f>IF(SAISIE!$H68="","",SAISIE!$H68)</f>
        <v/>
      </c>
      <c r="H63" t="str">
        <f>IF(SAISIE!$I68="","",SAISIE!$I68)</f>
        <v/>
      </c>
      <c r="I63" t="str">
        <f>IF(SAISIE!$J68="","",SAISIE!$J68)</f>
        <v/>
      </c>
      <c r="J63" t="str">
        <f>IF(SAISIE!$K68="","",SAISIE!$K68)</f>
        <v/>
      </c>
      <c r="K63" t="str">
        <f>IF(SAISIE!$L68="","",SAISIE!$L68)</f>
        <v/>
      </c>
      <c r="L63" t="str">
        <f>IF(SAISIE!$M68="","",SAISIE!$M68)</f>
        <v/>
      </c>
      <c r="M63" t="str">
        <f>IF(SAISIE!$N68="","",SAISIE!$N68)</f>
        <v/>
      </c>
      <c r="N63" t="str">
        <f>IF(SAISIE!$O68="","",SAISIE!$O68)</f>
        <v/>
      </c>
      <c r="O63" t="str">
        <f>IF(SAISIE!$P68="","",SAISIE!$P68)</f>
        <v/>
      </c>
      <c r="P63" t="str">
        <f>IF(SAISIE!$Q68="","",SAISIE!$Q68)</f>
        <v/>
      </c>
      <c r="Q63" t="str">
        <f>IF($I63="","",IF($I63&gt;PARAMETRES!$G$29,5,IF($I63&gt;PARAMETRES!$F$29,4,IF($I63&gt;PARAMETRES!$E$29,3,IF($I63&gt;PARAMETRES!$D$29,2,1)))))</f>
        <v/>
      </c>
      <c r="R63" t="str">
        <f>IF($J63="","",IF($J63&gt;PARAMETRES!$G$30,5,IF($J63&gt;PARAMETRES!$F$30,4,IF($J63&gt;PARAMETRES!$E$30,3,IF($J63&gt;PARAMETRES!$D$30,2,1)))))</f>
        <v/>
      </c>
      <c r="S63" t="str">
        <f>IF($K63="","",IF($Z63=2,IF($K63&gt;PARAMETRES!$G$31,5,IF($K63&gt;PARAMETRES!$F$31,4,IF($K63&gt;PARAMETRES!$E$31,3,IF($K63&gt;PARAMETRES!$D$31,2,1)))),IF($K63&gt;PARAMETRES!$G$32,5,IF($K63&gt;PARAMETRES!$F$32,4,IF($K63&gt;PARAMETRES!$E$32,3,IF($K63&gt;PARAMETRES!$D$32,2,1))))))</f>
        <v/>
      </c>
      <c r="T63" t="str">
        <f>IF($L63="","",IF($L63&gt;PARAMETRES!$G$33,5,IF($L63&gt;PARAMETRES!$F$33,4,IF($L63&gt;PARAMETRES!$E$33,3,IF($L63&gt;PARAMETRES!$D$33,2,1)))))</f>
        <v/>
      </c>
      <c r="U63" t="str">
        <f>IF($M63="","",IF($M63&gt;PARAMETRES!$G$34,5,IF($M63&gt;PARAMETRES!$F$34,4,IF($M63&gt;PARAMETRES!$E$34,3,IF($M63&gt;PARAMETRES!$D$34,2,1)))))</f>
        <v/>
      </c>
      <c r="V63" t="str">
        <f>IF($N63="","",IF($N63&gt;PARAMETRES!$G$35,5,IF($N63&gt;PARAMETRES!$F$35,4,IF($N63&gt;PARAMETRES!$E$35,3,IF($N63&gt;PARAMETRES!$D$35,2,1)))))</f>
        <v/>
      </c>
      <c r="W63" t="str">
        <f>IF($O63="","",IF($O63&gt;PARAMETRES!$G$36,5,IF($O63&gt;PARAMETRES!$F$36,4,IF($O63&gt;PARAMETRES!$E$36,3,IF($O63&gt;PARAMETRES!$D$36,2,1)))))</f>
        <v/>
      </c>
      <c r="X63" t="str">
        <f>IF($P63="","",IF($P63&gt;PARAMETRES!$G$37,5,IF($P63&gt;PARAMETRES!$F$37,4,IF($P63&gt;PARAMETRES!$E$37,3,IF($P63&gt;PARAMETRES!$D$37,2,1)))))</f>
        <v/>
      </c>
      <c r="Y63" t="str">
        <f t="shared" si="0"/>
        <v/>
      </c>
      <c r="Z63" t="str">
        <f>IFERROR(VLOOKUP($B63,TABLE_CYCLE,2,0),"")</f>
        <v/>
      </c>
      <c r="AA63" t="str">
        <f t="shared" si="1"/>
        <v/>
      </c>
      <c r="AB63" t="str">
        <f>IF($D63="","",IF(COUNTIF($D$2:$D63,$D63)=1,$D63,""))</f>
        <v/>
      </c>
      <c r="AC63">
        <f t="shared" si="2"/>
        <v>0</v>
      </c>
      <c r="AD63" t="str">
        <f t="shared" si="3"/>
        <v>|0</v>
      </c>
      <c r="AE63" t="str">
        <f t="shared" si="4"/>
        <v/>
      </c>
      <c r="AF63" t="str">
        <f t="shared" si="5"/>
        <v/>
      </c>
      <c r="AG63" t="str">
        <f t="shared" si="6"/>
        <v/>
      </c>
      <c r="AH63" t="str">
        <f t="shared" si="7"/>
        <v/>
      </c>
      <c r="AI63" t="str">
        <f t="shared" si="8"/>
        <v/>
      </c>
      <c r="AJ63" t="str">
        <f t="shared" si="9"/>
        <v/>
      </c>
      <c r="AK63" t="str">
        <f t="shared" si="10"/>
        <v/>
      </c>
      <c r="AL63" t="str">
        <f t="shared" si="11"/>
        <v/>
      </c>
      <c r="AM63" t="str">
        <f t="shared" si="12"/>
        <v/>
      </c>
      <c r="AN63" t="str">
        <f t="shared" si="13"/>
        <v/>
      </c>
      <c r="AO63" t="str">
        <f t="shared" si="14"/>
        <v/>
      </c>
      <c r="AP63">
        <f t="shared" si="15"/>
        <v>1</v>
      </c>
      <c r="AQ63" t="str">
        <f>IF(SAISIE!$F68="","",SAISIE!$Y68)</f>
        <v/>
      </c>
      <c r="AR63" t="str">
        <f>IF(OR(SAISIE!$U$4="",SAISIE!$W$4=""),"",IF(AND($A63=SAISIE!$U$4,$B63=SAISIE!$W$4,$C63="S1"),COUNTIFS($A$2:$A63,SAISIE!$U$4,$B$2:$B63,SAISIE!$W$4,$C$2:$C63,"S1"),""))</f>
        <v/>
      </c>
      <c r="AS63" t="str">
        <f t="shared" si="16"/>
        <v/>
      </c>
      <c r="AT63" t="str">
        <f t="shared" si="17"/>
        <v/>
      </c>
      <c r="AU63" t="str">
        <f t="shared" si="18"/>
        <v/>
      </c>
      <c r="AV63">
        <f>N(AV62)+IF(AND($AB63&lt;&gt;"",OR('PROFIL ELEVE'!$K$4="(Tous)",$AF63='PROFIL ELEVE'!$K$4)),1,0)</f>
        <v>0</v>
      </c>
      <c r="AW63">
        <f>N(AW62)+IF(AND($AB63&lt;&gt;"",OR('SUIVI LONGITUDINAL'!$Q$4="(Tous)",$AF63='SUIVI LONGITUDINAL'!$Q$4)),1,0)</f>
        <v>0</v>
      </c>
      <c r="AX63">
        <f t="shared" si="19"/>
        <v>0</v>
      </c>
      <c r="AY63">
        <f t="shared" si="20"/>
        <v>0</v>
      </c>
      <c r="AZ63">
        <f t="shared" si="21"/>
        <v>0</v>
      </c>
      <c r="BA63" t="str">
        <f t="shared" si="22"/>
        <v/>
      </c>
      <c r="BB63" t="str">
        <f t="shared" si="23"/>
        <v/>
      </c>
    </row>
    <row r="64" spans="1:54" ht="14.25" customHeight="1" x14ac:dyDescent="0.3">
      <c r="A64" t="str">
        <f>IF(SAISIE!$F69="","",SAISIE!$B69)</f>
        <v/>
      </c>
      <c r="B64" t="str">
        <f>IF(SAISIE!$F69="","",SAISIE!$C69)</f>
        <v/>
      </c>
      <c r="C64" t="str">
        <f>IF(SAISIE!$F69="","",SAISIE!$D69)</f>
        <v/>
      </c>
      <c r="D64" t="str">
        <f>IF(SAISIE!$E69="","",SAISIE!$E69)</f>
        <v/>
      </c>
      <c r="E64" t="str">
        <f>IF(SAISIE!$F69="","",SAISIE!$F69)</f>
        <v/>
      </c>
      <c r="F64" t="str">
        <f>IF(SAISIE!$G69="","",SAISIE!$G69)</f>
        <v/>
      </c>
      <c r="G64" t="str">
        <f>IF(SAISIE!$H69="","",SAISIE!$H69)</f>
        <v/>
      </c>
      <c r="H64" t="str">
        <f>IF(SAISIE!$I69="","",SAISIE!$I69)</f>
        <v/>
      </c>
      <c r="I64" t="str">
        <f>IF(SAISIE!$J69="","",SAISIE!$J69)</f>
        <v/>
      </c>
      <c r="J64" t="str">
        <f>IF(SAISIE!$K69="","",SAISIE!$K69)</f>
        <v/>
      </c>
      <c r="K64" t="str">
        <f>IF(SAISIE!$L69="","",SAISIE!$L69)</f>
        <v/>
      </c>
      <c r="L64" t="str">
        <f>IF(SAISIE!$M69="","",SAISIE!$M69)</f>
        <v/>
      </c>
      <c r="M64" t="str">
        <f>IF(SAISIE!$N69="","",SAISIE!$N69)</f>
        <v/>
      </c>
      <c r="N64" t="str">
        <f>IF(SAISIE!$O69="","",SAISIE!$O69)</f>
        <v/>
      </c>
      <c r="O64" t="str">
        <f>IF(SAISIE!$P69="","",SAISIE!$P69)</f>
        <v/>
      </c>
      <c r="P64" t="str">
        <f>IF(SAISIE!$Q69="","",SAISIE!$Q69)</f>
        <v/>
      </c>
      <c r="Q64" t="str">
        <f>IF($I64="","",IF($I64&gt;PARAMETRES!$G$29,5,IF($I64&gt;PARAMETRES!$F$29,4,IF($I64&gt;PARAMETRES!$E$29,3,IF($I64&gt;PARAMETRES!$D$29,2,1)))))</f>
        <v/>
      </c>
      <c r="R64" t="str">
        <f>IF($J64="","",IF($J64&gt;PARAMETRES!$G$30,5,IF($J64&gt;PARAMETRES!$F$30,4,IF($J64&gt;PARAMETRES!$E$30,3,IF($J64&gt;PARAMETRES!$D$30,2,1)))))</f>
        <v/>
      </c>
      <c r="S64" t="str">
        <f>IF($K64="","",IF($Z64=2,IF($K64&gt;PARAMETRES!$G$31,5,IF($K64&gt;PARAMETRES!$F$31,4,IF($K64&gt;PARAMETRES!$E$31,3,IF($K64&gt;PARAMETRES!$D$31,2,1)))),IF($K64&gt;PARAMETRES!$G$32,5,IF($K64&gt;PARAMETRES!$F$32,4,IF($K64&gt;PARAMETRES!$E$32,3,IF($K64&gt;PARAMETRES!$D$32,2,1))))))</f>
        <v/>
      </c>
      <c r="T64" t="str">
        <f>IF($L64="","",IF($L64&gt;PARAMETRES!$G$33,5,IF($L64&gt;PARAMETRES!$F$33,4,IF($L64&gt;PARAMETRES!$E$33,3,IF($L64&gt;PARAMETRES!$D$33,2,1)))))</f>
        <v/>
      </c>
      <c r="U64" t="str">
        <f>IF($M64="","",IF($M64&gt;PARAMETRES!$G$34,5,IF($M64&gt;PARAMETRES!$F$34,4,IF($M64&gt;PARAMETRES!$E$34,3,IF($M64&gt;PARAMETRES!$D$34,2,1)))))</f>
        <v/>
      </c>
      <c r="V64" t="str">
        <f>IF($N64="","",IF($N64&gt;PARAMETRES!$G$35,5,IF($N64&gt;PARAMETRES!$F$35,4,IF($N64&gt;PARAMETRES!$E$35,3,IF($N64&gt;PARAMETRES!$D$35,2,1)))))</f>
        <v/>
      </c>
      <c r="W64" t="str">
        <f>IF($O64="","",IF($O64&gt;PARAMETRES!$G$36,5,IF($O64&gt;PARAMETRES!$F$36,4,IF($O64&gt;PARAMETRES!$E$36,3,IF($O64&gt;PARAMETRES!$D$36,2,1)))))</f>
        <v/>
      </c>
      <c r="X64" t="str">
        <f>IF($P64="","",IF($P64&gt;PARAMETRES!$G$37,5,IF($P64&gt;PARAMETRES!$F$37,4,IF($P64&gt;PARAMETRES!$E$37,3,IF($P64&gt;PARAMETRES!$D$37,2,1)))))</f>
        <v/>
      </c>
      <c r="Y64" t="str">
        <f t="shared" si="0"/>
        <v/>
      </c>
      <c r="Z64" t="str">
        <f>IFERROR(VLOOKUP($B64,TABLE_CYCLE,2,0),"")</f>
        <v/>
      </c>
      <c r="AA64" t="str">
        <f t="shared" si="1"/>
        <v/>
      </c>
      <c r="AB64" t="str">
        <f>IF($D64="","",IF(COUNTIF($D$2:$D64,$D64)=1,$D64,""))</f>
        <v/>
      </c>
      <c r="AC64">
        <f t="shared" si="2"/>
        <v>0</v>
      </c>
      <c r="AD64" t="str">
        <f t="shared" si="3"/>
        <v>|0</v>
      </c>
      <c r="AE64" t="str">
        <f t="shared" si="4"/>
        <v/>
      </c>
      <c r="AF64" t="str">
        <f t="shared" si="5"/>
        <v/>
      </c>
      <c r="AG64" t="str">
        <f t="shared" si="6"/>
        <v/>
      </c>
      <c r="AH64" t="str">
        <f t="shared" si="7"/>
        <v/>
      </c>
      <c r="AI64" t="str">
        <f t="shared" si="8"/>
        <v/>
      </c>
      <c r="AJ64" t="str">
        <f t="shared" si="9"/>
        <v/>
      </c>
      <c r="AK64" t="str">
        <f t="shared" si="10"/>
        <v/>
      </c>
      <c r="AL64" t="str">
        <f t="shared" si="11"/>
        <v/>
      </c>
      <c r="AM64" t="str">
        <f t="shared" si="12"/>
        <v/>
      </c>
      <c r="AN64" t="str">
        <f t="shared" si="13"/>
        <v/>
      </c>
      <c r="AO64" t="str">
        <f t="shared" si="14"/>
        <v/>
      </c>
      <c r="AP64">
        <f t="shared" si="15"/>
        <v>1</v>
      </c>
      <c r="AQ64" t="str">
        <f>IF(SAISIE!$F69="","",SAISIE!$Y69)</f>
        <v/>
      </c>
      <c r="AR64" t="str">
        <f>IF(OR(SAISIE!$U$4="",SAISIE!$W$4=""),"",IF(AND($A64=SAISIE!$U$4,$B64=SAISIE!$W$4,$C64="S1"),COUNTIFS($A$2:$A64,SAISIE!$U$4,$B$2:$B64,SAISIE!$W$4,$C$2:$C64,"S1"),""))</f>
        <v/>
      </c>
      <c r="AS64" t="str">
        <f t="shared" si="16"/>
        <v/>
      </c>
      <c r="AT64" t="str">
        <f t="shared" si="17"/>
        <v/>
      </c>
      <c r="AU64" t="str">
        <f t="shared" si="18"/>
        <v/>
      </c>
      <c r="AV64">
        <f>N(AV63)+IF(AND($AB64&lt;&gt;"",OR('PROFIL ELEVE'!$K$4="(Tous)",$AF64='PROFIL ELEVE'!$K$4)),1,0)</f>
        <v>0</v>
      </c>
      <c r="AW64">
        <f>N(AW63)+IF(AND($AB64&lt;&gt;"",OR('SUIVI LONGITUDINAL'!$Q$4="(Tous)",$AF64='SUIVI LONGITUDINAL'!$Q$4)),1,0)</f>
        <v>0</v>
      </c>
      <c r="AX64">
        <f t="shared" si="19"/>
        <v>0</v>
      </c>
      <c r="AY64">
        <f t="shared" si="20"/>
        <v>0</v>
      </c>
      <c r="AZ64">
        <f t="shared" si="21"/>
        <v>0</v>
      </c>
      <c r="BA64" t="str">
        <f t="shared" si="22"/>
        <v/>
      </c>
      <c r="BB64" t="str">
        <f t="shared" si="23"/>
        <v/>
      </c>
    </row>
    <row r="65" spans="1:54" ht="14.25" customHeight="1" x14ac:dyDescent="0.3">
      <c r="A65" t="str">
        <f>IF(SAISIE!$F70="","",SAISIE!$B70)</f>
        <v/>
      </c>
      <c r="B65" t="str">
        <f>IF(SAISIE!$F70="","",SAISIE!$C70)</f>
        <v/>
      </c>
      <c r="C65" t="str">
        <f>IF(SAISIE!$F70="","",SAISIE!$D70)</f>
        <v/>
      </c>
      <c r="D65" t="str">
        <f>IF(SAISIE!$E70="","",SAISIE!$E70)</f>
        <v/>
      </c>
      <c r="E65" t="str">
        <f>IF(SAISIE!$F70="","",SAISIE!$F70)</f>
        <v/>
      </c>
      <c r="F65" t="str">
        <f>IF(SAISIE!$G70="","",SAISIE!$G70)</f>
        <v/>
      </c>
      <c r="G65" t="str">
        <f>IF(SAISIE!$H70="","",SAISIE!$H70)</f>
        <v/>
      </c>
      <c r="H65" t="str">
        <f>IF(SAISIE!$I70="","",SAISIE!$I70)</f>
        <v/>
      </c>
      <c r="I65" t="str">
        <f>IF(SAISIE!$J70="","",SAISIE!$J70)</f>
        <v/>
      </c>
      <c r="J65" t="str">
        <f>IF(SAISIE!$K70="","",SAISIE!$K70)</f>
        <v/>
      </c>
      <c r="K65" t="str">
        <f>IF(SAISIE!$L70="","",SAISIE!$L70)</f>
        <v/>
      </c>
      <c r="L65" t="str">
        <f>IF(SAISIE!$M70="","",SAISIE!$M70)</f>
        <v/>
      </c>
      <c r="M65" t="str">
        <f>IF(SAISIE!$N70="","",SAISIE!$N70)</f>
        <v/>
      </c>
      <c r="N65" t="str">
        <f>IF(SAISIE!$O70="","",SAISIE!$O70)</f>
        <v/>
      </c>
      <c r="O65" t="str">
        <f>IF(SAISIE!$P70="","",SAISIE!$P70)</f>
        <v/>
      </c>
      <c r="P65" t="str">
        <f>IF(SAISIE!$Q70="","",SAISIE!$Q70)</f>
        <v/>
      </c>
      <c r="Q65" t="str">
        <f>IF($I65="","",IF($I65&gt;PARAMETRES!$G$29,5,IF($I65&gt;PARAMETRES!$F$29,4,IF($I65&gt;PARAMETRES!$E$29,3,IF($I65&gt;PARAMETRES!$D$29,2,1)))))</f>
        <v/>
      </c>
      <c r="R65" t="str">
        <f>IF($J65="","",IF($J65&gt;PARAMETRES!$G$30,5,IF($J65&gt;PARAMETRES!$F$30,4,IF($J65&gt;PARAMETRES!$E$30,3,IF($J65&gt;PARAMETRES!$D$30,2,1)))))</f>
        <v/>
      </c>
      <c r="S65" t="str">
        <f>IF($K65="","",IF($Z65=2,IF($K65&gt;PARAMETRES!$G$31,5,IF($K65&gt;PARAMETRES!$F$31,4,IF($K65&gt;PARAMETRES!$E$31,3,IF($K65&gt;PARAMETRES!$D$31,2,1)))),IF($K65&gt;PARAMETRES!$G$32,5,IF($K65&gt;PARAMETRES!$F$32,4,IF($K65&gt;PARAMETRES!$E$32,3,IF($K65&gt;PARAMETRES!$D$32,2,1))))))</f>
        <v/>
      </c>
      <c r="T65" t="str">
        <f>IF($L65="","",IF($L65&gt;PARAMETRES!$G$33,5,IF($L65&gt;PARAMETRES!$F$33,4,IF($L65&gt;PARAMETRES!$E$33,3,IF($L65&gt;PARAMETRES!$D$33,2,1)))))</f>
        <v/>
      </c>
      <c r="U65" t="str">
        <f>IF($M65="","",IF($M65&gt;PARAMETRES!$G$34,5,IF($M65&gt;PARAMETRES!$F$34,4,IF($M65&gt;PARAMETRES!$E$34,3,IF($M65&gt;PARAMETRES!$D$34,2,1)))))</f>
        <v/>
      </c>
      <c r="V65" t="str">
        <f>IF($N65="","",IF($N65&gt;PARAMETRES!$G$35,5,IF($N65&gt;PARAMETRES!$F$35,4,IF($N65&gt;PARAMETRES!$E$35,3,IF($N65&gt;PARAMETRES!$D$35,2,1)))))</f>
        <v/>
      </c>
      <c r="W65" t="str">
        <f>IF($O65="","",IF($O65&gt;PARAMETRES!$G$36,5,IF($O65&gt;PARAMETRES!$F$36,4,IF($O65&gt;PARAMETRES!$E$36,3,IF($O65&gt;PARAMETRES!$D$36,2,1)))))</f>
        <v/>
      </c>
      <c r="X65" t="str">
        <f>IF($P65="","",IF($P65&gt;PARAMETRES!$G$37,5,IF($P65&gt;PARAMETRES!$F$37,4,IF($P65&gt;PARAMETRES!$E$37,3,IF($P65&gt;PARAMETRES!$D$37,2,1)))))</f>
        <v/>
      </c>
      <c r="Y65" t="str">
        <f t="shared" si="0"/>
        <v/>
      </c>
      <c r="Z65" t="str">
        <f>IFERROR(VLOOKUP($B65,TABLE_CYCLE,2,0),"")</f>
        <v/>
      </c>
      <c r="AA65" t="str">
        <f t="shared" si="1"/>
        <v/>
      </c>
      <c r="AB65" t="str">
        <f>IF($D65="","",IF(COUNTIF($D$2:$D65,$D65)=1,$D65,""))</f>
        <v/>
      </c>
      <c r="AC65">
        <f t="shared" si="2"/>
        <v>0</v>
      </c>
      <c r="AD65" t="str">
        <f t="shared" si="3"/>
        <v>|0</v>
      </c>
      <c r="AE65" t="str">
        <f t="shared" si="4"/>
        <v/>
      </c>
      <c r="AF65" t="str">
        <f t="shared" si="5"/>
        <v/>
      </c>
      <c r="AG65" t="str">
        <f t="shared" si="6"/>
        <v/>
      </c>
      <c r="AH65" t="str">
        <f t="shared" si="7"/>
        <v/>
      </c>
      <c r="AI65" t="str">
        <f t="shared" si="8"/>
        <v/>
      </c>
      <c r="AJ65" t="str">
        <f t="shared" si="9"/>
        <v/>
      </c>
      <c r="AK65" t="str">
        <f t="shared" si="10"/>
        <v/>
      </c>
      <c r="AL65" t="str">
        <f t="shared" si="11"/>
        <v/>
      </c>
      <c r="AM65" t="str">
        <f t="shared" si="12"/>
        <v/>
      </c>
      <c r="AN65" t="str">
        <f t="shared" si="13"/>
        <v/>
      </c>
      <c r="AO65" t="str">
        <f t="shared" si="14"/>
        <v/>
      </c>
      <c r="AP65">
        <f t="shared" si="15"/>
        <v>1</v>
      </c>
      <c r="AQ65" t="str">
        <f>IF(SAISIE!$F70="","",SAISIE!$Y70)</f>
        <v/>
      </c>
      <c r="AR65" t="str">
        <f>IF(OR(SAISIE!$U$4="",SAISIE!$W$4=""),"",IF(AND($A65=SAISIE!$U$4,$B65=SAISIE!$W$4,$C65="S1"),COUNTIFS($A$2:$A65,SAISIE!$U$4,$B$2:$B65,SAISIE!$W$4,$C$2:$C65,"S1"),""))</f>
        <v/>
      </c>
      <c r="AS65" t="str">
        <f t="shared" si="16"/>
        <v/>
      </c>
      <c r="AT65" t="str">
        <f t="shared" si="17"/>
        <v/>
      </c>
      <c r="AU65" t="str">
        <f t="shared" si="18"/>
        <v/>
      </c>
      <c r="AV65">
        <f>N(AV64)+IF(AND($AB65&lt;&gt;"",OR('PROFIL ELEVE'!$K$4="(Tous)",$AF65='PROFIL ELEVE'!$K$4)),1,0)</f>
        <v>0</v>
      </c>
      <c r="AW65">
        <f>N(AW64)+IF(AND($AB65&lt;&gt;"",OR('SUIVI LONGITUDINAL'!$Q$4="(Tous)",$AF65='SUIVI LONGITUDINAL'!$Q$4)),1,0)</f>
        <v>0</v>
      </c>
      <c r="AX65">
        <f t="shared" si="19"/>
        <v>0</v>
      </c>
      <c r="AY65">
        <f t="shared" si="20"/>
        <v>0</v>
      </c>
      <c r="AZ65">
        <f t="shared" si="21"/>
        <v>0</v>
      </c>
      <c r="BA65" t="str">
        <f t="shared" si="22"/>
        <v/>
      </c>
      <c r="BB65" t="str">
        <f t="shared" si="23"/>
        <v/>
      </c>
    </row>
    <row r="66" spans="1:54" ht="14.25" customHeight="1" x14ac:dyDescent="0.3">
      <c r="A66" t="str">
        <f>IF(SAISIE!$F71="","",SAISIE!$B71)</f>
        <v/>
      </c>
      <c r="B66" t="str">
        <f>IF(SAISIE!$F71="","",SAISIE!$C71)</f>
        <v/>
      </c>
      <c r="C66" t="str">
        <f>IF(SAISIE!$F71="","",SAISIE!$D71)</f>
        <v/>
      </c>
      <c r="D66" t="str">
        <f>IF(SAISIE!$E71="","",SAISIE!$E71)</f>
        <v/>
      </c>
      <c r="E66" t="str">
        <f>IF(SAISIE!$F71="","",SAISIE!$F71)</f>
        <v/>
      </c>
      <c r="F66" t="str">
        <f>IF(SAISIE!$G71="","",SAISIE!$G71)</f>
        <v/>
      </c>
      <c r="G66" t="str">
        <f>IF(SAISIE!$H71="","",SAISIE!$H71)</f>
        <v/>
      </c>
      <c r="H66" t="str">
        <f>IF(SAISIE!$I71="","",SAISIE!$I71)</f>
        <v/>
      </c>
      <c r="I66" t="str">
        <f>IF(SAISIE!$J71="","",SAISIE!$J71)</f>
        <v/>
      </c>
      <c r="J66" t="str">
        <f>IF(SAISIE!$K71="","",SAISIE!$K71)</f>
        <v/>
      </c>
      <c r="K66" t="str">
        <f>IF(SAISIE!$L71="","",SAISIE!$L71)</f>
        <v/>
      </c>
      <c r="L66" t="str">
        <f>IF(SAISIE!$M71="","",SAISIE!$M71)</f>
        <v/>
      </c>
      <c r="M66" t="str">
        <f>IF(SAISIE!$N71="","",SAISIE!$N71)</f>
        <v/>
      </c>
      <c r="N66" t="str">
        <f>IF(SAISIE!$O71="","",SAISIE!$O71)</f>
        <v/>
      </c>
      <c r="O66" t="str">
        <f>IF(SAISIE!$P71="","",SAISIE!$P71)</f>
        <v/>
      </c>
      <c r="P66" t="str">
        <f>IF(SAISIE!$Q71="","",SAISIE!$Q71)</f>
        <v/>
      </c>
      <c r="Q66" t="str">
        <f>IF($I66="","",IF($I66&gt;PARAMETRES!$G$29,5,IF($I66&gt;PARAMETRES!$F$29,4,IF($I66&gt;PARAMETRES!$E$29,3,IF($I66&gt;PARAMETRES!$D$29,2,1)))))</f>
        <v/>
      </c>
      <c r="R66" t="str">
        <f>IF($J66="","",IF($J66&gt;PARAMETRES!$G$30,5,IF($J66&gt;PARAMETRES!$F$30,4,IF($J66&gt;PARAMETRES!$E$30,3,IF($J66&gt;PARAMETRES!$D$30,2,1)))))</f>
        <v/>
      </c>
      <c r="S66" t="str">
        <f>IF($K66="","",IF($Z66=2,IF($K66&gt;PARAMETRES!$G$31,5,IF($K66&gt;PARAMETRES!$F$31,4,IF($K66&gt;PARAMETRES!$E$31,3,IF($K66&gt;PARAMETRES!$D$31,2,1)))),IF($K66&gt;PARAMETRES!$G$32,5,IF($K66&gt;PARAMETRES!$F$32,4,IF($K66&gt;PARAMETRES!$E$32,3,IF($K66&gt;PARAMETRES!$D$32,2,1))))))</f>
        <v/>
      </c>
      <c r="T66" t="str">
        <f>IF($L66="","",IF($L66&gt;PARAMETRES!$G$33,5,IF($L66&gt;PARAMETRES!$F$33,4,IF($L66&gt;PARAMETRES!$E$33,3,IF($L66&gt;PARAMETRES!$D$33,2,1)))))</f>
        <v/>
      </c>
      <c r="U66" t="str">
        <f>IF($M66="","",IF($M66&gt;PARAMETRES!$G$34,5,IF($M66&gt;PARAMETRES!$F$34,4,IF($M66&gt;PARAMETRES!$E$34,3,IF($M66&gt;PARAMETRES!$D$34,2,1)))))</f>
        <v/>
      </c>
      <c r="V66" t="str">
        <f>IF($N66="","",IF($N66&gt;PARAMETRES!$G$35,5,IF($N66&gt;PARAMETRES!$F$35,4,IF($N66&gt;PARAMETRES!$E$35,3,IF($N66&gt;PARAMETRES!$D$35,2,1)))))</f>
        <v/>
      </c>
      <c r="W66" t="str">
        <f>IF($O66="","",IF($O66&gt;PARAMETRES!$G$36,5,IF($O66&gt;PARAMETRES!$F$36,4,IF($O66&gt;PARAMETRES!$E$36,3,IF($O66&gt;PARAMETRES!$D$36,2,1)))))</f>
        <v/>
      </c>
      <c r="X66" t="str">
        <f>IF($P66="","",IF($P66&gt;PARAMETRES!$G$37,5,IF($P66&gt;PARAMETRES!$F$37,4,IF($P66&gt;PARAMETRES!$E$37,3,IF($P66&gt;PARAMETRES!$D$37,2,1)))))</f>
        <v/>
      </c>
      <c r="Y66" t="str">
        <f t="shared" ref="Y66:Y129" si="24">IF(COUNT($Q66:$X66)=0,"",AVERAGE($Q66:$X66))</f>
        <v/>
      </c>
      <c r="Z66" t="str">
        <f>IFERROR(VLOOKUP($B66,TABLE_CYCLE,2,0),"")</f>
        <v/>
      </c>
      <c r="AA66" t="str">
        <f t="shared" ref="AA66:AA129" si="25">IF($D66="","",$D66&amp;"|"&amp;$A66&amp;"|"&amp;$C66)</f>
        <v/>
      </c>
      <c r="AB66" t="str">
        <f>IF($D66="","",IF(COUNTIF($D$2:$D66,$D66)=1,$D66,""))</f>
        <v/>
      </c>
      <c r="AC66">
        <f t="shared" ref="AC66:AC129" si="26">IFERROR(MATCH($A66,LISTE_ANNEES,0),0)</f>
        <v>0</v>
      </c>
      <c r="AD66" t="str">
        <f t="shared" ref="AD66:AD129" si="27">$D66&amp;"|"&amp;$AC66</f>
        <v>|0</v>
      </c>
      <c r="AE66" t="str">
        <f t="shared" ref="AE66:AE129" si="28">IF($D66="","",_xlfn.MAXIFS($AC$2:$AC$1201,$D$2:$D$1201,$D66))</f>
        <v/>
      </c>
      <c r="AF66" t="str">
        <f t="shared" ref="AF66:AF129" si="29">IF($AB66="","",IFERROR(INDEX($B$2:$B$1201,MATCH($D66&amp;"|"&amp;$AE66,$AD$2:$AD$1201,0)),""))</f>
        <v/>
      </c>
      <c r="AG66" t="str">
        <f t="shared" ref="AG66:AG129" si="30">IF($C66&lt;&gt;"S1","",IFERROR(MATCH($D66&amp;"|"&amp;$A66&amp;"|S2",$AA$2:$AA$1201,0),""))</f>
        <v/>
      </c>
      <c r="AH66" t="str">
        <f t="shared" ref="AH66:AH129" si="31">IF(OR($AG66="",$Q66=""),"",IF(INDEX($Q$2:$Q$1201,$AG66)="","",IF(INDEX($Q$2:$Q$1201,$AG66)&gt;$Q66,1,IF(INDEX($Q$2:$Q$1201,$AG66)&lt;$Q66,-1,0))))</f>
        <v/>
      </c>
      <c r="AI66" t="str">
        <f t="shared" ref="AI66:AI129" si="32">IF(OR($AG66="",$R66=""),"",IF(INDEX($R$2:$R$1201,$AG66)="","",IF(INDEX($R$2:$R$1201,$AG66)&gt;$R66,1,IF(INDEX($R$2:$R$1201,$AG66)&lt;$R66,-1,0))))</f>
        <v/>
      </c>
      <c r="AJ66" t="str">
        <f t="shared" ref="AJ66:AJ129" si="33">IF(OR($AG66="",$S66=""),"",IF(INDEX($S$2:$S$1201,$AG66)="","",IF(INDEX($S$2:$S$1201,$AG66)&gt;$S66,1,IF(INDEX($S$2:$S$1201,$AG66)&lt;$S66,-1,0))))</f>
        <v/>
      </c>
      <c r="AK66" t="str">
        <f t="shared" ref="AK66:AK129" si="34">IF(OR($AG66="",$T66=""),"",IF(INDEX($T$2:$T$1201,$AG66)="","",IF(INDEX($T$2:$T$1201,$AG66)&gt;$T66,1,IF(INDEX($T$2:$T$1201,$AG66)&lt;$T66,-1,0))))</f>
        <v/>
      </c>
      <c r="AL66" t="str">
        <f t="shared" ref="AL66:AL129" si="35">IF(OR($AG66="",$U66=""),"",IF(INDEX($U$2:$U$1201,$AG66)="","",IF(INDEX($U$2:$U$1201,$AG66)&gt;$U66,1,IF(INDEX($U$2:$U$1201,$AG66)&lt;$U66,-1,0))))</f>
        <v/>
      </c>
      <c r="AM66" t="str">
        <f t="shared" ref="AM66:AM129" si="36">IF(OR($AG66="",$V66=""),"",IF(INDEX($V$2:$V$1201,$AG66)="","",IF(INDEX($V$2:$V$1201,$AG66)&gt;$V66,1,IF(INDEX($V$2:$V$1201,$AG66)&lt;$V66,-1,0))))</f>
        <v/>
      </c>
      <c r="AN66" t="str">
        <f t="shared" ref="AN66:AN129" si="37">IF(OR($AG66="",$W66=""),"",IF(INDEX($W$2:$W$1201,$AG66)="","",IF(INDEX($W$2:$W$1201,$AG66)&gt;$W66,1,IF(INDEX($W$2:$W$1201,$AG66)&lt;$W66,-1,0))))</f>
        <v/>
      </c>
      <c r="AO66" t="str">
        <f t="shared" ref="AO66:AO129" si="38">IF(OR($AG66="",$X66=""),"",IF(INDEX($X$2:$X$1201,$AG66)="","",IF(INDEX($X$2:$X$1201,$AG66)&gt;$X66,1,IF(INDEX($X$2:$X$1201,$AG66)&lt;$X66,-1,0))))</f>
        <v/>
      </c>
      <c r="AP66">
        <f t="shared" ref="AP66:AP129" si="39">IF($D66="",1,COUNTIFS($D$2:$D$1201,$D66,$A$2:$A$1201,$A66))</f>
        <v>1</v>
      </c>
      <c r="AQ66" t="str">
        <f>IF(SAISIE!$F71="","",SAISIE!$Y71)</f>
        <v/>
      </c>
      <c r="AR66" t="str">
        <f>IF(OR(SAISIE!$U$4="",SAISIE!$W$4=""),"",IF(AND($A66=SAISIE!$U$4,$B66=SAISIE!$W$4,$C66="S1"),COUNTIFS($A$2:$A66,SAISIE!$U$4,$B$2:$B66,SAISIE!$W$4,$C$2:$C66,"S1"),""))</f>
        <v/>
      </c>
      <c r="AS66" t="str">
        <f t="shared" ref="AS66:AS129" si="40">IF($D66="","",$A66&amp;"|"&amp;$C66&amp;"|"&amp;$D66)</f>
        <v/>
      </c>
      <c r="AT66" t="str">
        <f t="shared" ref="AT66:AT129" si="41">IF($D66="","",$A66&amp;"|"&amp;$D66&amp;"|"&amp;IF($AQ66="Parti","P","A"))</f>
        <v/>
      </c>
      <c r="AU66" t="str">
        <f t="shared" ref="AU66:AU129" si="42">IF($A66="","",$A66&amp;"|"&amp;$B66&amp;"|"&amp;$C66)</f>
        <v/>
      </c>
      <c r="AV66">
        <f>N(AV65)+IF(AND($AB66&lt;&gt;"",OR('PROFIL ELEVE'!$K$4="(Tous)",$AF66='PROFIL ELEVE'!$K$4)),1,0)</f>
        <v>0</v>
      </c>
      <c r="AW66">
        <f>N(AW65)+IF(AND($AB66&lt;&gt;"",OR('SUIVI LONGITUDINAL'!$Q$4="(Tous)",$AF66='SUIVI LONGITUDINAL'!$Q$4)),1,0)</f>
        <v>0</v>
      </c>
      <c r="AX66">
        <f t="shared" ref="AX66:AX129" si="43">COUNTIF($AH66:$AO66,1)</f>
        <v>0</v>
      </c>
      <c r="AY66">
        <f t="shared" ref="AY66:AY129" si="44">COUNTIF($AH66:$AO66,0)</f>
        <v>0</v>
      </c>
      <c r="AZ66">
        <f t="shared" ref="AZ66:AZ129" si="45">COUNTIF($AH66:$AO66,-1)</f>
        <v>0</v>
      </c>
      <c r="BA66" t="str">
        <f t="shared" ref="BA66:BA129" si="46">IF($E66="","",COUNT($Q66:$X66))</f>
        <v/>
      </c>
      <c r="BB66" t="str">
        <f t="shared" ref="BB66:BB129" si="47">IF($E66="","",IF(COUNT($Q66:$X66)&gt;=IF($Z66=2,5,8),1,0))</f>
        <v/>
      </c>
    </row>
    <row r="67" spans="1:54" ht="14.25" customHeight="1" x14ac:dyDescent="0.3">
      <c r="A67" t="str">
        <f>IF(SAISIE!$F72="","",SAISIE!$B72)</f>
        <v/>
      </c>
      <c r="B67" t="str">
        <f>IF(SAISIE!$F72="","",SAISIE!$C72)</f>
        <v/>
      </c>
      <c r="C67" t="str">
        <f>IF(SAISIE!$F72="","",SAISIE!$D72)</f>
        <v/>
      </c>
      <c r="D67" t="str">
        <f>IF(SAISIE!$E72="","",SAISIE!$E72)</f>
        <v/>
      </c>
      <c r="E67" t="str">
        <f>IF(SAISIE!$F72="","",SAISIE!$F72)</f>
        <v/>
      </c>
      <c r="F67" t="str">
        <f>IF(SAISIE!$G72="","",SAISIE!$G72)</f>
        <v/>
      </c>
      <c r="G67" t="str">
        <f>IF(SAISIE!$H72="","",SAISIE!$H72)</f>
        <v/>
      </c>
      <c r="H67" t="str">
        <f>IF(SAISIE!$I72="","",SAISIE!$I72)</f>
        <v/>
      </c>
      <c r="I67" t="str">
        <f>IF(SAISIE!$J72="","",SAISIE!$J72)</f>
        <v/>
      </c>
      <c r="J67" t="str">
        <f>IF(SAISIE!$K72="","",SAISIE!$K72)</f>
        <v/>
      </c>
      <c r="K67" t="str">
        <f>IF(SAISIE!$L72="","",SAISIE!$L72)</f>
        <v/>
      </c>
      <c r="L67" t="str">
        <f>IF(SAISIE!$M72="","",SAISIE!$M72)</f>
        <v/>
      </c>
      <c r="M67" t="str">
        <f>IF(SAISIE!$N72="","",SAISIE!$N72)</f>
        <v/>
      </c>
      <c r="N67" t="str">
        <f>IF(SAISIE!$O72="","",SAISIE!$O72)</f>
        <v/>
      </c>
      <c r="O67" t="str">
        <f>IF(SAISIE!$P72="","",SAISIE!$P72)</f>
        <v/>
      </c>
      <c r="P67" t="str">
        <f>IF(SAISIE!$Q72="","",SAISIE!$Q72)</f>
        <v/>
      </c>
      <c r="Q67" t="str">
        <f>IF($I67="","",IF($I67&gt;PARAMETRES!$G$29,5,IF($I67&gt;PARAMETRES!$F$29,4,IF($I67&gt;PARAMETRES!$E$29,3,IF($I67&gt;PARAMETRES!$D$29,2,1)))))</f>
        <v/>
      </c>
      <c r="R67" t="str">
        <f>IF($J67="","",IF($J67&gt;PARAMETRES!$G$30,5,IF($J67&gt;PARAMETRES!$F$30,4,IF($J67&gt;PARAMETRES!$E$30,3,IF($J67&gt;PARAMETRES!$D$30,2,1)))))</f>
        <v/>
      </c>
      <c r="S67" t="str">
        <f>IF($K67="","",IF($Z67=2,IF($K67&gt;PARAMETRES!$G$31,5,IF($K67&gt;PARAMETRES!$F$31,4,IF($K67&gt;PARAMETRES!$E$31,3,IF($K67&gt;PARAMETRES!$D$31,2,1)))),IF($K67&gt;PARAMETRES!$G$32,5,IF($K67&gt;PARAMETRES!$F$32,4,IF($K67&gt;PARAMETRES!$E$32,3,IF($K67&gt;PARAMETRES!$D$32,2,1))))))</f>
        <v/>
      </c>
      <c r="T67" t="str">
        <f>IF($L67="","",IF($L67&gt;PARAMETRES!$G$33,5,IF($L67&gt;PARAMETRES!$F$33,4,IF($L67&gt;PARAMETRES!$E$33,3,IF($L67&gt;PARAMETRES!$D$33,2,1)))))</f>
        <v/>
      </c>
      <c r="U67" t="str">
        <f>IF($M67="","",IF($M67&gt;PARAMETRES!$G$34,5,IF($M67&gt;PARAMETRES!$F$34,4,IF($M67&gt;PARAMETRES!$E$34,3,IF($M67&gt;PARAMETRES!$D$34,2,1)))))</f>
        <v/>
      </c>
      <c r="V67" t="str">
        <f>IF($N67="","",IF($N67&gt;PARAMETRES!$G$35,5,IF($N67&gt;PARAMETRES!$F$35,4,IF($N67&gt;PARAMETRES!$E$35,3,IF($N67&gt;PARAMETRES!$D$35,2,1)))))</f>
        <v/>
      </c>
      <c r="W67" t="str">
        <f>IF($O67="","",IF($O67&gt;PARAMETRES!$G$36,5,IF($O67&gt;PARAMETRES!$F$36,4,IF($O67&gt;PARAMETRES!$E$36,3,IF($O67&gt;PARAMETRES!$D$36,2,1)))))</f>
        <v/>
      </c>
      <c r="X67" t="str">
        <f>IF($P67="","",IF($P67&gt;PARAMETRES!$G$37,5,IF($P67&gt;PARAMETRES!$F$37,4,IF($P67&gt;PARAMETRES!$E$37,3,IF($P67&gt;PARAMETRES!$D$37,2,1)))))</f>
        <v/>
      </c>
      <c r="Y67" t="str">
        <f t="shared" si="24"/>
        <v/>
      </c>
      <c r="Z67" t="str">
        <f>IFERROR(VLOOKUP($B67,TABLE_CYCLE,2,0),"")</f>
        <v/>
      </c>
      <c r="AA67" t="str">
        <f t="shared" si="25"/>
        <v/>
      </c>
      <c r="AB67" t="str">
        <f>IF($D67="","",IF(COUNTIF($D$2:$D67,$D67)=1,$D67,""))</f>
        <v/>
      </c>
      <c r="AC67">
        <f t="shared" si="26"/>
        <v>0</v>
      </c>
      <c r="AD67" t="str">
        <f t="shared" si="27"/>
        <v>|0</v>
      </c>
      <c r="AE67" t="str">
        <f t="shared" si="28"/>
        <v/>
      </c>
      <c r="AF67" t="str">
        <f t="shared" si="29"/>
        <v/>
      </c>
      <c r="AG67" t="str">
        <f t="shared" si="30"/>
        <v/>
      </c>
      <c r="AH67" t="str">
        <f t="shared" si="31"/>
        <v/>
      </c>
      <c r="AI67" t="str">
        <f t="shared" si="32"/>
        <v/>
      </c>
      <c r="AJ67" t="str">
        <f t="shared" si="33"/>
        <v/>
      </c>
      <c r="AK67" t="str">
        <f t="shared" si="34"/>
        <v/>
      </c>
      <c r="AL67" t="str">
        <f t="shared" si="35"/>
        <v/>
      </c>
      <c r="AM67" t="str">
        <f t="shared" si="36"/>
        <v/>
      </c>
      <c r="AN67" t="str">
        <f t="shared" si="37"/>
        <v/>
      </c>
      <c r="AO67" t="str">
        <f t="shared" si="38"/>
        <v/>
      </c>
      <c r="AP67">
        <f t="shared" si="39"/>
        <v>1</v>
      </c>
      <c r="AQ67" t="str">
        <f>IF(SAISIE!$F72="","",SAISIE!$Y72)</f>
        <v/>
      </c>
      <c r="AR67" t="str">
        <f>IF(OR(SAISIE!$U$4="",SAISIE!$W$4=""),"",IF(AND($A67=SAISIE!$U$4,$B67=SAISIE!$W$4,$C67="S1"),COUNTIFS($A$2:$A67,SAISIE!$U$4,$B$2:$B67,SAISIE!$W$4,$C$2:$C67,"S1"),""))</f>
        <v/>
      </c>
      <c r="AS67" t="str">
        <f t="shared" si="40"/>
        <v/>
      </c>
      <c r="AT67" t="str">
        <f t="shared" si="41"/>
        <v/>
      </c>
      <c r="AU67" t="str">
        <f t="shared" si="42"/>
        <v/>
      </c>
      <c r="AV67">
        <f>N(AV66)+IF(AND($AB67&lt;&gt;"",OR('PROFIL ELEVE'!$K$4="(Tous)",$AF67='PROFIL ELEVE'!$K$4)),1,0)</f>
        <v>0</v>
      </c>
      <c r="AW67">
        <f>N(AW66)+IF(AND($AB67&lt;&gt;"",OR('SUIVI LONGITUDINAL'!$Q$4="(Tous)",$AF67='SUIVI LONGITUDINAL'!$Q$4)),1,0)</f>
        <v>0</v>
      </c>
      <c r="AX67">
        <f t="shared" si="43"/>
        <v>0</v>
      </c>
      <c r="AY67">
        <f t="shared" si="44"/>
        <v>0</v>
      </c>
      <c r="AZ67">
        <f t="shared" si="45"/>
        <v>0</v>
      </c>
      <c r="BA67" t="str">
        <f t="shared" si="46"/>
        <v/>
      </c>
      <c r="BB67" t="str">
        <f t="shared" si="47"/>
        <v/>
      </c>
    </row>
    <row r="68" spans="1:54" ht="14.25" customHeight="1" x14ac:dyDescent="0.3">
      <c r="A68" t="str">
        <f>IF(SAISIE!$F73="","",SAISIE!$B73)</f>
        <v/>
      </c>
      <c r="B68" t="str">
        <f>IF(SAISIE!$F73="","",SAISIE!$C73)</f>
        <v/>
      </c>
      <c r="C68" t="str">
        <f>IF(SAISIE!$F73="","",SAISIE!$D73)</f>
        <v/>
      </c>
      <c r="D68" t="str">
        <f>IF(SAISIE!$E73="","",SAISIE!$E73)</f>
        <v/>
      </c>
      <c r="E68" t="str">
        <f>IF(SAISIE!$F73="","",SAISIE!$F73)</f>
        <v/>
      </c>
      <c r="F68" t="str">
        <f>IF(SAISIE!$G73="","",SAISIE!$G73)</f>
        <v/>
      </c>
      <c r="G68" t="str">
        <f>IF(SAISIE!$H73="","",SAISIE!$H73)</f>
        <v/>
      </c>
      <c r="H68" t="str">
        <f>IF(SAISIE!$I73="","",SAISIE!$I73)</f>
        <v/>
      </c>
      <c r="I68" t="str">
        <f>IF(SAISIE!$J73="","",SAISIE!$J73)</f>
        <v/>
      </c>
      <c r="J68" t="str">
        <f>IF(SAISIE!$K73="","",SAISIE!$K73)</f>
        <v/>
      </c>
      <c r="K68" t="str">
        <f>IF(SAISIE!$L73="","",SAISIE!$L73)</f>
        <v/>
      </c>
      <c r="L68" t="str">
        <f>IF(SAISIE!$M73="","",SAISIE!$M73)</f>
        <v/>
      </c>
      <c r="M68" t="str">
        <f>IF(SAISIE!$N73="","",SAISIE!$N73)</f>
        <v/>
      </c>
      <c r="N68" t="str">
        <f>IF(SAISIE!$O73="","",SAISIE!$O73)</f>
        <v/>
      </c>
      <c r="O68" t="str">
        <f>IF(SAISIE!$P73="","",SAISIE!$P73)</f>
        <v/>
      </c>
      <c r="P68" t="str">
        <f>IF(SAISIE!$Q73="","",SAISIE!$Q73)</f>
        <v/>
      </c>
      <c r="Q68" t="str">
        <f>IF($I68="","",IF($I68&gt;PARAMETRES!$G$29,5,IF($I68&gt;PARAMETRES!$F$29,4,IF($I68&gt;PARAMETRES!$E$29,3,IF($I68&gt;PARAMETRES!$D$29,2,1)))))</f>
        <v/>
      </c>
      <c r="R68" t="str">
        <f>IF($J68="","",IF($J68&gt;PARAMETRES!$G$30,5,IF($J68&gt;PARAMETRES!$F$30,4,IF($J68&gt;PARAMETRES!$E$30,3,IF($J68&gt;PARAMETRES!$D$30,2,1)))))</f>
        <v/>
      </c>
      <c r="S68" t="str">
        <f>IF($K68="","",IF($Z68=2,IF($K68&gt;PARAMETRES!$G$31,5,IF($K68&gt;PARAMETRES!$F$31,4,IF($K68&gt;PARAMETRES!$E$31,3,IF($K68&gt;PARAMETRES!$D$31,2,1)))),IF($K68&gt;PARAMETRES!$G$32,5,IF($K68&gt;PARAMETRES!$F$32,4,IF($K68&gt;PARAMETRES!$E$32,3,IF($K68&gt;PARAMETRES!$D$32,2,1))))))</f>
        <v/>
      </c>
      <c r="T68" t="str">
        <f>IF($L68="","",IF($L68&gt;PARAMETRES!$G$33,5,IF($L68&gt;PARAMETRES!$F$33,4,IF($L68&gt;PARAMETRES!$E$33,3,IF($L68&gt;PARAMETRES!$D$33,2,1)))))</f>
        <v/>
      </c>
      <c r="U68" t="str">
        <f>IF($M68="","",IF($M68&gt;PARAMETRES!$G$34,5,IF($M68&gt;PARAMETRES!$F$34,4,IF($M68&gt;PARAMETRES!$E$34,3,IF($M68&gt;PARAMETRES!$D$34,2,1)))))</f>
        <v/>
      </c>
      <c r="V68" t="str">
        <f>IF($N68="","",IF($N68&gt;PARAMETRES!$G$35,5,IF($N68&gt;PARAMETRES!$F$35,4,IF($N68&gt;PARAMETRES!$E$35,3,IF($N68&gt;PARAMETRES!$D$35,2,1)))))</f>
        <v/>
      </c>
      <c r="W68" t="str">
        <f>IF($O68="","",IF($O68&gt;PARAMETRES!$G$36,5,IF($O68&gt;PARAMETRES!$F$36,4,IF($O68&gt;PARAMETRES!$E$36,3,IF($O68&gt;PARAMETRES!$D$36,2,1)))))</f>
        <v/>
      </c>
      <c r="X68" t="str">
        <f>IF($P68="","",IF($P68&gt;PARAMETRES!$G$37,5,IF($P68&gt;PARAMETRES!$F$37,4,IF($P68&gt;PARAMETRES!$E$37,3,IF($P68&gt;PARAMETRES!$D$37,2,1)))))</f>
        <v/>
      </c>
      <c r="Y68" t="str">
        <f t="shared" si="24"/>
        <v/>
      </c>
      <c r="Z68" t="str">
        <f>IFERROR(VLOOKUP($B68,TABLE_CYCLE,2,0),"")</f>
        <v/>
      </c>
      <c r="AA68" t="str">
        <f t="shared" si="25"/>
        <v/>
      </c>
      <c r="AB68" t="str">
        <f>IF($D68="","",IF(COUNTIF($D$2:$D68,$D68)=1,$D68,""))</f>
        <v/>
      </c>
      <c r="AC68">
        <f t="shared" si="26"/>
        <v>0</v>
      </c>
      <c r="AD68" t="str">
        <f t="shared" si="27"/>
        <v>|0</v>
      </c>
      <c r="AE68" t="str">
        <f t="shared" si="28"/>
        <v/>
      </c>
      <c r="AF68" t="str">
        <f t="shared" si="29"/>
        <v/>
      </c>
      <c r="AG68" t="str">
        <f t="shared" si="30"/>
        <v/>
      </c>
      <c r="AH68" t="str">
        <f t="shared" si="31"/>
        <v/>
      </c>
      <c r="AI68" t="str">
        <f t="shared" si="32"/>
        <v/>
      </c>
      <c r="AJ68" t="str">
        <f t="shared" si="33"/>
        <v/>
      </c>
      <c r="AK68" t="str">
        <f t="shared" si="34"/>
        <v/>
      </c>
      <c r="AL68" t="str">
        <f t="shared" si="35"/>
        <v/>
      </c>
      <c r="AM68" t="str">
        <f t="shared" si="36"/>
        <v/>
      </c>
      <c r="AN68" t="str">
        <f t="shared" si="37"/>
        <v/>
      </c>
      <c r="AO68" t="str">
        <f t="shared" si="38"/>
        <v/>
      </c>
      <c r="AP68">
        <f t="shared" si="39"/>
        <v>1</v>
      </c>
      <c r="AQ68" t="str">
        <f>IF(SAISIE!$F73="","",SAISIE!$Y73)</f>
        <v/>
      </c>
      <c r="AR68" t="str">
        <f>IF(OR(SAISIE!$U$4="",SAISIE!$W$4=""),"",IF(AND($A68=SAISIE!$U$4,$B68=SAISIE!$W$4,$C68="S1"),COUNTIFS($A$2:$A68,SAISIE!$U$4,$B$2:$B68,SAISIE!$W$4,$C$2:$C68,"S1"),""))</f>
        <v/>
      </c>
      <c r="AS68" t="str">
        <f t="shared" si="40"/>
        <v/>
      </c>
      <c r="AT68" t="str">
        <f t="shared" si="41"/>
        <v/>
      </c>
      <c r="AU68" t="str">
        <f t="shared" si="42"/>
        <v/>
      </c>
      <c r="AV68">
        <f>N(AV67)+IF(AND($AB68&lt;&gt;"",OR('PROFIL ELEVE'!$K$4="(Tous)",$AF68='PROFIL ELEVE'!$K$4)),1,0)</f>
        <v>0</v>
      </c>
      <c r="AW68">
        <f>N(AW67)+IF(AND($AB68&lt;&gt;"",OR('SUIVI LONGITUDINAL'!$Q$4="(Tous)",$AF68='SUIVI LONGITUDINAL'!$Q$4)),1,0)</f>
        <v>0</v>
      </c>
      <c r="AX68">
        <f t="shared" si="43"/>
        <v>0</v>
      </c>
      <c r="AY68">
        <f t="shared" si="44"/>
        <v>0</v>
      </c>
      <c r="AZ68">
        <f t="shared" si="45"/>
        <v>0</v>
      </c>
      <c r="BA68" t="str">
        <f t="shared" si="46"/>
        <v/>
      </c>
      <c r="BB68" t="str">
        <f t="shared" si="47"/>
        <v/>
      </c>
    </row>
    <row r="69" spans="1:54" ht="14.25" customHeight="1" x14ac:dyDescent="0.3">
      <c r="A69" t="str">
        <f>IF(SAISIE!$F74="","",SAISIE!$B74)</f>
        <v/>
      </c>
      <c r="B69" t="str">
        <f>IF(SAISIE!$F74="","",SAISIE!$C74)</f>
        <v/>
      </c>
      <c r="C69" t="str">
        <f>IF(SAISIE!$F74="","",SAISIE!$D74)</f>
        <v/>
      </c>
      <c r="D69" t="str">
        <f>IF(SAISIE!$E74="","",SAISIE!$E74)</f>
        <v/>
      </c>
      <c r="E69" t="str">
        <f>IF(SAISIE!$F74="","",SAISIE!$F74)</f>
        <v/>
      </c>
      <c r="F69" t="str">
        <f>IF(SAISIE!$G74="","",SAISIE!$G74)</f>
        <v/>
      </c>
      <c r="G69" t="str">
        <f>IF(SAISIE!$H74="","",SAISIE!$H74)</f>
        <v/>
      </c>
      <c r="H69" t="str">
        <f>IF(SAISIE!$I74="","",SAISIE!$I74)</f>
        <v/>
      </c>
      <c r="I69" t="str">
        <f>IF(SAISIE!$J74="","",SAISIE!$J74)</f>
        <v/>
      </c>
      <c r="J69" t="str">
        <f>IF(SAISIE!$K74="","",SAISIE!$K74)</f>
        <v/>
      </c>
      <c r="K69" t="str">
        <f>IF(SAISIE!$L74="","",SAISIE!$L74)</f>
        <v/>
      </c>
      <c r="L69" t="str">
        <f>IF(SAISIE!$M74="","",SAISIE!$M74)</f>
        <v/>
      </c>
      <c r="M69" t="str">
        <f>IF(SAISIE!$N74="","",SAISIE!$N74)</f>
        <v/>
      </c>
      <c r="N69" t="str">
        <f>IF(SAISIE!$O74="","",SAISIE!$O74)</f>
        <v/>
      </c>
      <c r="O69" t="str">
        <f>IF(SAISIE!$P74="","",SAISIE!$P74)</f>
        <v/>
      </c>
      <c r="P69" t="str">
        <f>IF(SAISIE!$Q74="","",SAISIE!$Q74)</f>
        <v/>
      </c>
      <c r="Q69" t="str">
        <f>IF($I69="","",IF($I69&gt;PARAMETRES!$G$29,5,IF($I69&gt;PARAMETRES!$F$29,4,IF($I69&gt;PARAMETRES!$E$29,3,IF($I69&gt;PARAMETRES!$D$29,2,1)))))</f>
        <v/>
      </c>
      <c r="R69" t="str">
        <f>IF($J69="","",IF($J69&gt;PARAMETRES!$G$30,5,IF($J69&gt;PARAMETRES!$F$30,4,IF($J69&gt;PARAMETRES!$E$30,3,IF($J69&gt;PARAMETRES!$D$30,2,1)))))</f>
        <v/>
      </c>
      <c r="S69" t="str">
        <f>IF($K69="","",IF($Z69=2,IF($K69&gt;PARAMETRES!$G$31,5,IF($K69&gt;PARAMETRES!$F$31,4,IF($K69&gt;PARAMETRES!$E$31,3,IF($K69&gt;PARAMETRES!$D$31,2,1)))),IF($K69&gt;PARAMETRES!$G$32,5,IF($K69&gt;PARAMETRES!$F$32,4,IF($K69&gt;PARAMETRES!$E$32,3,IF($K69&gt;PARAMETRES!$D$32,2,1))))))</f>
        <v/>
      </c>
      <c r="T69" t="str">
        <f>IF($L69="","",IF($L69&gt;PARAMETRES!$G$33,5,IF($L69&gt;PARAMETRES!$F$33,4,IF($L69&gt;PARAMETRES!$E$33,3,IF($L69&gt;PARAMETRES!$D$33,2,1)))))</f>
        <v/>
      </c>
      <c r="U69" t="str">
        <f>IF($M69="","",IF($M69&gt;PARAMETRES!$G$34,5,IF($M69&gt;PARAMETRES!$F$34,4,IF($M69&gt;PARAMETRES!$E$34,3,IF($M69&gt;PARAMETRES!$D$34,2,1)))))</f>
        <v/>
      </c>
      <c r="V69" t="str">
        <f>IF($N69="","",IF($N69&gt;PARAMETRES!$G$35,5,IF($N69&gt;PARAMETRES!$F$35,4,IF($N69&gt;PARAMETRES!$E$35,3,IF($N69&gt;PARAMETRES!$D$35,2,1)))))</f>
        <v/>
      </c>
      <c r="W69" t="str">
        <f>IF($O69="","",IF($O69&gt;PARAMETRES!$G$36,5,IF($O69&gt;PARAMETRES!$F$36,4,IF($O69&gt;PARAMETRES!$E$36,3,IF($O69&gt;PARAMETRES!$D$36,2,1)))))</f>
        <v/>
      </c>
      <c r="X69" t="str">
        <f>IF($P69="","",IF($P69&gt;PARAMETRES!$G$37,5,IF($P69&gt;PARAMETRES!$F$37,4,IF($P69&gt;PARAMETRES!$E$37,3,IF($P69&gt;PARAMETRES!$D$37,2,1)))))</f>
        <v/>
      </c>
      <c r="Y69" t="str">
        <f t="shared" si="24"/>
        <v/>
      </c>
      <c r="Z69" t="str">
        <f>IFERROR(VLOOKUP($B69,TABLE_CYCLE,2,0),"")</f>
        <v/>
      </c>
      <c r="AA69" t="str">
        <f t="shared" si="25"/>
        <v/>
      </c>
      <c r="AB69" t="str">
        <f>IF($D69="","",IF(COUNTIF($D$2:$D69,$D69)=1,$D69,""))</f>
        <v/>
      </c>
      <c r="AC69">
        <f t="shared" si="26"/>
        <v>0</v>
      </c>
      <c r="AD69" t="str">
        <f t="shared" si="27"/>
        <v>|0</v>
      </c>
      <c r="AE69" t="str">
        <f t="shared" si="28"/>
        <v/>
      </c>
      <c r="AF69" t="str">
        <f t="shared" si="29"/>
        <v/>
      </c>
      <c r="AG69" t="str">
        <f t="shared" si="30"/>
        <v/>
      </c>
      <c r="AH69" t="str">
        <f t="shared" si="31"/>
        <v/>
      </c>
      <c r="AI69" t="str">
        <f t="shared" si="32"/>
        <v/>
      </c>
      <c r="AJ69" t="str">
        <f t="shared" si="33"/>
        <v/>
      </c>
      <c r="AK69" t="str">
        <f t="shared" si="34"/>
        <v/>
      </c>
      <c r="AL69" t="str">
        <f t="shared" si="35"/>
        <v/>
      </c>
      <c r="AM69" t="str">
        <f t="shared" si="36"/>
        <v/>
      </c>
      <c r="AN69" t="str">
        <f t="shared" si="37"/>
        <v/>
      </c>
      <c r="AO69" t="str">
        <f t="shared" si="38"/>
        <v/>
      </c>
      <c r="AP69">
        <f t="shared" si="39"/>
        <v>1</v>
      </c>
      <c r="AQ69" t="str">
        <f>IF(SAISIE!$F74="","",SAISIE!$Y74)</f>
        <v/>
      </c>
      <c r="AR69" t="str">
        <f>IF(OR(SAISIE!$U$4="",SAISIE!$W$4=""),"",IF(AND($A69=SAISIE!$U$4,$B69=SAISIE!$W$4,$C69="S1"),COUNTIFS($A$2:$A69,SAISIE!$U$4,$B$2:$B69,SAISIE!$W$4,$C$2:$C69,"S1"),""))</f>
        <v/>
      </c>
      <c r="AS69" t="str">
        <f t="shared" si="40"/>
        <v/>
      </c>
      <c r="AT69" t="str">
        <f t="shared" si="41"/>
        <v/>
      </c>
      <c r="AU69" t="str">
        <f t="shared" si="42"/>
        <v/>
      </c>
      <c r="AV69">
        <f>N(AV68)+IF(AND($AB69&lt;&gt;"",OR('PROFIL ELEVE'!$K$4="(Tous)",$AF69='PROFIL ELEVE'!$K$4)),1,0)</f>
        <v>0</v>
      </c>
      <c r="AW69">
        <f>N(AW68)+IF(AND($AB69&lt;&gt;"",OR('SUIVI LONGITUDINAL'!$Q$4="(Tous)",$AF69='SUIVI LONGITUDINAL'!$Q$4)),1,0)</f>
        <v>0</v>
      </c>
      <c r="AX69">
        <f t="shared" si="43"/>
        <v>0</v>
      </c>
      <c r="AY69">
        <f t="shared" si="44"/>
        <v>0</v>
      </c>
      <c r="AZ69">
        <f t="shared" si="45"/>
        <v>0</v>
      </c>
      <c r="BA69" t="str">
        <f t="shared" si="46"/>
        <v/>
      </c>
      <c r="BB69" t="str">
        <f t="shared" si="47"/>
        <v/>
      </c>
    </row>
    <row r="70" spans="1:54" ht="14.25" customHeight="1" x14ac:dyDescent="0.3">
      <c r="A70" t="str">
        <f>IF(SAISIE!$F75="","",SAISIE!$B75)</f>
        <v/>
      </c>
      <c r="B70" t="str">
        <f>IF(SAISIE!$F75="","",SAISIE!$C75)</f>
        <v/>
      </c>
      <c r="C70" t="str">
        <f>IF(SAISIE!$F75="","",SAISIE!$D75)</f>
        <v/>
      </c>
      <c r="D70" t="str">
        <f>IF(SAISIE!$E75="","",SAISIE!$E75)</f>
        <v/>
      </c>
      <c r="E70" t="str">
        <f>IF(SAISIE!$F75="","",SAISIE!$F75)</f>
        <v/>
      </c>
      <c r="F70" t="str">
        <f>IF(SAISIE!$G75="","",SAISIE!$G75)</f>
        <v/>
      </c>
      <c r="G70" t="str">
        <f>IF(SAISIE!$H75="","",SAISIE!$H75)</f>
        <v/>
      </c>
      <c r="H70" t="str">
        <f>IF(SAISIE!$I75="","",SAISIE!$I75)</f>
        <v/>
      </c>
      <c r="I70" t="str">
        <f>IF(SAISIE!$J75="","",SAISIE!$J75)</f>
        <v/>
      </c>
      <c r="J70" t="str">
        <f>IF(SAISIE!$K75="","",SAISIE!$K75)</f>
        <v/>
      </c>
      <c r="K70" t="str">
        <f>IF(SAISIE!$L75="","",SAISIE!$L75)</f>
        <v/>
      </c>
      <c r="L70" t="str">
        <f>IF(SAISIE!$M75="","",SAISIE!$M75)</f>
        <v/>
      </c>
      <c r="M70" t="str">
        <f>IF(SAISIE!$N75="","",SAISIE!$N75)</f>
        <v/>
      </c>
      <c r="N70" t="str">
        <f>IF(SAISIE!$O75="","",SAISIE!$O75)</f>
        <v/>
      </c>
      <c r="O70" t="str">
        <f>IF(SAISIE!$P75="","",SAISIE!$P75)</f>
        <v/>
      </c>
      <c r="P70" t="str">
        <f>IF(SAISIE!$Q75="","",SAISIE!$Q75)</f>
        <v/>
      </c>
      <c r="Q70" t="str">
        <f>IF($I70="","",IF($I70&gt;PARAMETRES!$G$29,5,IF($I70&gt;PARAMETRES!$F$29,4,IF($I70&gt;PARAMETRES!$E$29,3,IF($I70&gt;PARAMETRES!$D$29,2,1)))))</f>
        <v/>
      </c>
      <c r="R70" t="str">
        <f>IF($J70="","",IF($J70&gt;PARAMETRES!$G$30,5,IF($J70&gt;PARAMETRES!$F$30,4,IF($J70&gt;PARAMETRES!$E$30,3,IF($J70&gt;PARAMETRES!$D$30,2,1)))))</f>
        <v/>
      </c>
      <c r="S70" t="str">
        <f>IF($K70="","",IF($Z70=2,IF($K70&gt;PARAMETRES!$G$31,5,IF($K70&gt;PARAMETRES!$F$31,4,IF($K70&gt;PARAMETRES!$E$31,3,IF($K70&gt;PARAMETRES!$D$31,2,1)))),IF($K70&gt;PARAMETRES!$G$32,5,IF($K70&gt;PARAMETRES!$F$32,4,IF($K70&gt;PARAMETRES!$E$32,3,IF($K70&gt;PARAMETRES!$D$32,2,1))))))</f>
        <v/>
      </c>
      <c r="T70" t="str">
        <f>IF($L70="","",IF($L70&gt;PARAMETRES!$G$33,5,IF($L70&gt;PARAMETRES!$F$33,4,IF($L70&gt;PARAMETRES!$E$33,3,IF($L70&gt;PARAMETRES!$D$33,2,1)))))</f>
        <v/>
      </c>
      <c r="U70" t="str">
        <f>IF($M70="","",IF($M70&gt;PARAMETRES!$G$34,5,IF($M70&gt;PARAMETRES!$F$34,4,IF($M70&gt;PARAMETRES!$E$34,3,IF($M70&gt;PARAMETRES!$D$34,2,1)))))</f>
        <v/>
      </c>
      <c r="V70" t="str">
        <f>IF($N70="","",IF($N70&gt;PARAMETRES!$G$35,5,IF($N70&gt;PARAMETRES!$F$35,4,IF($N70&gt;PARAMETRES!$E$35,3,IF($N70&gt;PARAMETRES!$D$35,2,1)))))</f>
        <v/>
      </c>
      <c r="W70" t="str">
        <f>IF($O70="","",IF($O70&gt;PARAMETRES!$G$36,5,IF($O70&gt;PARAMETRES!$F$36,4,IF($O70&gt;PARAMETRES!$E$36,3,IF($O70&gt;PARAMETRES!$D$36,2,1)))))</f>
        <v/>
      </c>
      <c r="X70" t="str">
        <f>IF($P70="","",IF($P70&gt;PARAMETRES!$G$37,5,IF($P70&gt;PARAMETRES!$F$37,4,IF($P70&gt;PARAMETRES!$E$37,3,IF($P70&gt;PARAMETRES!$D$37,2,1)))))</f>
        <v/>
      </c>
      <c r="Y70" t="str">
        <f t="shared" si="24"/>
        <v/>
      </c>
      <c r="Z70" t="str">
        <f>IFERROR(VLOOKUP($B70,TABLE_CYCLE,2,0),"")</f>
        <v/>
      </c>
      <c r="AA70" t="str">
        <f t="shared" si="25"/>
        <v/>
      </c>
      <c r="AB70" t="str">
        <f>IF($D70="","",IF(COUNTIF($D$2:$D70,$D70)=1,$D70,""))</f>
        <v/>
      </c>
      <c r="AC70">
        <f t="shared" si="26"/>
        <v>0</v>
      </c>
      <c r="AD70" t="str">
        <f t="shared" si="27"/>
        <v>|0</v>
      </c>
      <c r="AE70" t="str">
        <f t="shared" si="28"/>
        <v/>
      </c>
      <c r="AF70" t="str">
        <f t="shared" si="29"/>
        <v/>
      </c>
      <c r="AG70" t="str">
        <f t="shared" si="30"/>
        <v/>
      </c>
      <c r="AH70" t="str">
        <f t="shared" si="31"/>
        <v/>
      </c>
      <c r="AI70" t="str">
        <f t="shared" si="32"/>
        <v/>
      </c>
      <c r="AJ70" t="str">
        <f t="shared" si="33"/>
        <v/>
      </c>
      <c r="AK70" t="str">
        <f t="shared" si="34"/>
        <v/>
      </c>
      <c r="AL70" t="str">
        <f t="shared" si="35"/>
        <v/>
      </c>
      <c r="AM70" t="str">
        <f t="shared" si="36"/>
        <v/>
      </c>
      <c r="AN70" t="str">
        <f t="shared" si="37"/>
        <v/>
      </c>
      <c r="AO70" t="str">
        <f t="shared" si="38"/>
        <v/>
      </c>
      <c r="AP70">
        <f t="shared" si="39"/>
        <v>1</v>
      </c>
      <c r="AQ70" t="str">
        <f>IF(SAISIE!$F75="","",SAISIE!$Y75)</f>
        <v/>
      </c>
      <c r="AR70" t="str">
        <f>IF(OR(SAISIE!$U$4="",SAISIE!$W$4=""),"",IF(AND($A70=SAISIE!$U$4,$B70=SAISIE!$W$4,$C70="S1"),COUNTIFS($A$2:$A70,SAISIE!$U$4,$B$2:$B70,SAISIE!$W$4,$C$2:$C70,"S1"),""))</f>
        <v/>
      </c>
      <c r="AS70" t="str">
        <f t="shared" si="40"/>
        <v/>
      </c>
      <c r="AT70" t="str">
        <f t="shared" si="41"/>
        <v/>
      </c>
      <c r="AU70" t="str">
        <f t="shared" si="42"/>
        <v/>
      </c>
      <c r="AV70">
        <f>N(AV69)+IF(AND($AB70&lt;&gt;"",OR('PROFIL ELEVE'!$K$4="(Tous)",$AF70='PROFIL ELEVE'!$K$4)),1,0)</f>
        <v>0</v>
      </c>
      <c r="AW70">
        <f>N(AW69)+IF(AND($AB70&lt;&gt;"",OR('SUIVI LONGITUDINAL'!$Q$4="(Tous)",$AF70='SUIVI LONGITUDINAL'!$Q$4)),1,0)</f>
        <v>0</v>
      </c>
      <c r="AX70">
        <f t="shared" si="43"/>
        <v>0</v>
      </c>
      <c r="AY70">
        <f t="shared" si="44"/>
        <v>0</v>
      </c>
      <c r="AZ70">
        <f t="shared" si="45"/>
        <v>0</v>
      </c>
      <c r="BA70" t="str">
        <f t="shared" si="46"/>
        <v/>
      </c>
      <c r="BB70" t="str">
        <f t="shared" si="47"/>
        <v/>
      </c>
    </row>
    <row r="71" spans="1:54" ht="14.25" customHeight="1" x14ac:dyDescent="0.3">
      <c r="A71" t="str">
        <f>IF(SAISIE!$F76="","",SAISIE!$B76)</f>
        <v/>
      </c>
      <c r="B71" t="str">
        <f>IF(SAISIE!$F76="","",SAISIE!$C76)</f>
        <v/>
      </c>
      <c r="C71" t="str">
        <f>IF(SAISIE!$F76="","",SAISIE!$D76)</f>
        <v/>
      </c>
      <c r="D71" t="str">
        <f>IF(SAISIE!$E76="","",SAISIE!$E76)</f>
        <v/>
      </c>
      <c r="E71" t="str">
        <f>IF(SAISIE!$F76="","",SAISIE!$F76)</f>
        <v/>
      </c>
      <c r="F71" t="str">
        <f>IF(SAISIE!$G76="","",SAISIE!$G76)</f>
        <v/>
      </c>
      <c r="G71" t="str">
        <f>IF(SAISIE!$H76="","",SAISIE!$H76)</f>
        <v/>
      </c>
      <c r="H71" t="str">
        <f>IF(SAISIE!$I76="","",SAISIE!$I76)</f>
        <v/>
      </c>
      <c r="I71" t="str">
        <f>IF(SAISIE!$J76="","",SAISIE!$J76)</f>
        <v/>
      </c>
      <c r="J71" t="str">
        <f>IF(SAISIE!$K76="","",SAISIE!$K76)</f>
        <v/>
      </c>
      <c r="K71" t="str">
        <f>IF(SAISIE!$L76="","",SAISIE!$L76)</f>
        <v/>
      </c>
      <c r="L71" t="str">
        <f>IF(SAISIE!$M76="","",SAISIE!$M76)</f>
        <v/>
      </c>
      <c r="M71" t="str">
        <f>IF(SAISIE!$N76="","",SAISIE!$N76)</f>
        <v/>
      </c>
      <c r="N71" t="str">
        <f>IF(SAISIE!$O76="","",SAISIE!$O76)</f>
        <v/>
      </c>
      <c r="O71" t="str">
        <f>IF(SAISIE!$P76="","",SAISIE!$P76)</f>
        <v/>
      </c>
      <c r="P71" t="str">
        <f>IF(SAISIE!$Q76="","",SAISIE!$Q76)</f>
        <v/>
      </c>
      <c r="Q71" t="str">
        <f>IF($I71="","",IF($I71&gt;PARAMETRES!$G$29,5,IF($I71&gt;PARAMETRES!$F$29,4,IF($I71&gt;PARAMETRES!$E$29,3,IF($I71&gt;PARAMETRES!$D$29,2,1)))))</f>
        <v/>
      </c>
      <c r="R71" t="str">
        <f>IF($J71="","",IF($J71&gt;PARAMETRES!$G$30,5,IF($J71&gt;PARAMETRES!$F$30,4,IF($J71&gt;PARAMETRES!$E$30,3,IF($J71&gt;PARAMETRES!$D$30,2,1)))))</f>
        <v/>
      </c>
      <c r="S71" t="str">
        <f>IF($K71="","",IF($Z71=2,IF($K71&gt;PARAMETRES!$G$31,5,IF($K71&gt;PARAMETRES!$F$31,4,IF($K71&gt;PARAMETRES!$E$31,3,IF($K71&gt;PARAMETRES!$D$31,2,1)))),IF($K71&gt;PARAMETRES!$G$32,5,IF($K71&gt;PARAMETRES!$F$32,4,IF($K71&gt;PARAMETRES!$E$32,3,IF($K71&gt;PARAMETRES!$D$32,2,1))))))</f>
        <v/>
      </c>
      <c r="T71" t="str">
        <f>IF($L71="","",IF($L71&gt;PARAMETRES!$G$33,5,IF($L71&gt;PARAMETRES!$F$33,4,IF($L71&gt;PARAMETRES!$E$33,3,IF($L71&gt;PARAMETRES!$D$33,2,1)))))</f>
        <v/>
      </c>
      <c r="U71" t="str">
        <f>IF($M71="","",IF($M71&gt;PARAMETRES!$G$34,5,IF($M71&gt;PARAMETRES!$F$34,4,IF($M71&gt;PARAMETRES!$E$34,3,IF($M71&gt;PARAMETRES!$D$34,2,1)))))</f>
        <v/>
      </c>
      <c r="V71" t="str">
        <f>IF($N71="","",IF($N71&gt;PARAMETRES!$G$35,5,IF($N71&gt;PARAMETRES!$F$35,4,IF($N71&gt;PARAMETRES!$E$35,3,IF($N71&gt;PARAMETRES!$D$35,2,1)))))</f>
        <v/>
      </c>
      <c r="W71" t="str">
        <f>IF($O71="","",IF($O71&gt;PARAMETRES!$G$36,5,IF($O71&gt;PARAMETRES!$F$36,4,IF($O71&gt;PARAMETRES!$E$36,3,IF($O71&gt;PARAMETRES!$D$36,2,1)))))</f>
        <v/>
      </c>
      <c r="X71" t="str">
        <f>IF($P71="","",IF($P71&gt;PARAMETRES!$G$37,5,IF($P71&gt;PARAMETRES!$F$37,4,IF($P71&gt;PARAMETRES!$E$37,3,IF($P71&gt;PARAMETRES!$D$37,2,1)))))</f>
        <v/>
      </c>
      <c r="Y71" t="str">
        <f t="shared" si="24"/>
        <v/>
      </c>
      <c r="Z71" t="str">
        <f>IFERROR(VLOOKUP($B71,TABLE_CYCLE,2,0),"")</f>
        <v/>
      </c>
      <c r="AA71" t="str">
        <f t="shared" si="25"/>
        <v/>
      </c>
      <c r="AB71" t="str">
        <f>IF($D71="","",IF(COUNTIF($D$2:$D71,$D71)=1,$D71,""))</f>
        <v/>
      </c>
      <c r="AC71">
        <f t="shared" si="26"/>
        <v>0</v>
      </c>
      <c r="AD71" t="str">
        <f t="shared" si="27"/>
        <v>|0</v>
      </c>
      <c r="AE71" t="str">
        <f t="shared" si="28"/>
        <v/>
      </c>
      <c r="AF71" t="str">
        <f t="shared" si="29"/>
        <v/>
      </c>
      <c r="AG71" t="str">
        <f t="shared" si="30"/>
        <v/>
      </c>
      <c r="AH71" t="str">
        <f t="shared" si="31"/>
        <v/>
      </c>
      <c r="AI71" t="str">
        <f t="shared" si="32"/>
        <v/>
      </c>
      <c r="AJ71" t="str">
        <f t="shared" si="33"/>
        <v/>
      </c>
      <c r="AK71" t="str">
        <f t="shared" si="34"/>
        <v/>
      </c>
      <c r="AL71" t="str">
        <f t="shared" si="35"/>
        <v/>
      </c>
      <c r="AM71" t="str">
        <f t="shared" si="36"/>
        <v/>
      </c>
      <c r="AN71" t="str">
        <f t="shared" si="37"/>
        <v/>
      </c>
      <c r="AO71" t="str">
        <f t="shared" si="38"/>
        <v/>
      </c>
      <c r="AP71">
        <f t="shared" si="39"/>
        <v>1</v>
      </c>
      <c r="AQ71" t="str">
        <f>IF(SAISIE!$F76="","",SAISIE!$Y76)</f>
        <v/>
      </c>
      <c r="AR71" t="str">
        <f>IF(OR(SAISIE!$U$4="",SAISIE!$W$4=""),"",IF(AND($A71=SAISIE!$U$4,$B71=SAISIE!$W$4,$C71="S1"),COUNTIFS($A$2:$A71,SAISIE!$U$4,$B$2:$B71,SAISIE!$W$4,$C$2:$C71,"S1"),""))</f>
        <v/>
      </c>
      <c r="AS71" t="str">
        <f t="shared" si="40"/>
        <v/>
      </c>
      <c r="AT71" t="str">
        <f t="shared" si="41"/>
        <v/>
      </c>
      <c r="AU71" t="str">
        <f t="shared" si="42"/>
        <v/>
      </c>
      <c r="AV71">
        <f>N(AV70)+IF(AND($AB71&lt;&gt;"",OR('PROFIL ELEVE'!$K$4="(Tous)",$AF71='PROFIL ELEVE'!$K$4)),1,0)</f>
        <v>0</v>
      </c>
      <c r="AW71">
        <f>N(AW70)+IF(AND($AB71&lt;&gt;"",OR('SUIVI LONGITUDINAL'!$Q$4="(Tous)",$AF71='SUIVI LONGITUDINAL'!$Q$4)),1,0)</f>
        <v>0</v>
      </c>
      <c r="AX71">
        <f t="shared" si="43"/>
        <v>0</v>
      </c>
      <c r="AY71">
        <f t="shared" si="44"/>
        <v>0</v>
      </c>
      <c r="AZ71">
        <f t="shared" si="45"/>
        <v>0</v>
      </c>
      <c r="BA71" t="str">
        <f t="shared" si="46"/>
        <v/>
      </c>
      <c r="BB71" t="str">
        <f t="shared" si="47"/>
        <v/>
      </c>
    </row>
    <row r="72" spans="1:54" ht="14.25" customHeight="1" x14ac:dyDescent="0.3">
      <c r="A72" t="str">
        <f>IF(SAISIE!$F77="","",SAISIE!$B77)</f>
        <v/>
      </c>
      <c r="B72" t="str">
        <f>IF(SAISIE!$F77="","",SAISIE!$C77)</f>
        <v/>
      </c>
      <c r="C72" t="str">
        <f>IF(SAISIE!$F77="","",SAISIE!$D77)</f>
        <v/>
      </c>
      <c r="D72" t="str">
        <f>IF(SAISIE!$E77="","",SAISIE!$E77)</f>
        <v/>
      </c>
      <c r="E72" t="str">
        <f>IF(SAISIE!$F77="","",SAISIE!$F77)</f>
        <v/>
      </c>
      <c r="F72" t="str">
        <f>IF(SAISIE!$G77="","",SAISIE!$G77)</f>
        <v/>
      </c>
      <c r="G72" t="str">
        <f>IF(SAISIE!$H77="","",SAISIE!$H77)</f>
        <v/>
      </c>
      <c r="H72" t="str">
        <f>IF(SAISIE!$I77="","",SAISIE!$I77)</f>
        <v/>
      </c>
      <c r="I72" t="str">
        <f>IF(SAISIE!$J77="","",SAISIE!$J77)</f>
        <v/>
      </c>
      <c r="J72" t="str">
        <f>IF(SAISIE!$K77="","",SAISIE!$K77)</f>
        <v/>
      </c>
      <c r="K72" t="str">
        <f>IF(SAISIE!$L77="","",SAISIE!$L77)</f>
        <v/>
      </c>
      <c r="L72" t="str">
        <f>IF(SAISIE!$M77="","",SAISIE!$M77)</f>
        <v/>
      </c>
      <c r="M72" t="str">
        <f>IF(SAISIE!$N77="","",SAISIE!$N77)</f>
        <v/>
      </c>
      <c r="N72" t="str">
        <f>IF(SAISIE!$O77="","",SAISIE!$O77)</f>
        <v/>
      </c>
      <c r="O72" t="str">
        <f>IF(SAISIE!$P77="","",SAISIE!$P77)</f>
        <v/>
      </c>
      <c r="P72" t="str">
        <f>IF(SAISIE!$Q77="","",SAISIE!$Q77)</f>
        <v/>
      </c>
      <c r="Q72" t="str">
        <f>IF($I72="","",IF($I72&gt;PARAMETRES!$G$29,5,IF($I72&gt;PARAMETRES!$F$29,4,IF($I72&gt;PARAMETRES!$E$29,3,IF($I72&gt;PARAMETRES!$D$29,2,1)))))</f>
        <v/>
      </c>
      <c r="R72" t="str">
        <f>IF($J72="","",IF($J72&gt;PARAMETRES!$G$30,5,IF($J72&gt;PARAMETRES!$F$30,4,IF($J72&gt;PARAMETRES!$E$30,3,IF($J72&gt;PARAMETRES!$D$30,2,1)))))</f>
        <v/>
      </c>
      <c r="S72" t="str">
        <f>IF($K72="","",IF($Z72=2,IF($K72&gt;PARAMETRES!$G$31,5,IF($K72&gt;PARAMETRES!$F$31,4,IF($K72&gt;PARAMETRES!$E$31,3,IF($K72&gt;PARAMETRES!$D$31,2,1)))),IF($K72&gt;PARAMETRES!$G$32,5,IF($K72&gt;PARAMETRES!$F$32,4,IF($K72&gt;PARAMETRES!$E$32,3,IF($K72&gt;PARAMETRES!$D$32,2,1))))))</f>
        <v/>
      </c>
      <c r="T72" t="str">
        <f>IF($L72="","",IF($L72&gt;PARAMETRES!$G$33,5,IF($L72&gt;PARAMETRES!$F$33,4,IF($L72&gt;PARAMETRES!$E$33,3,IF($L72&gt;PARAMETRES!$D$33,2,1)))))</f>
        <v/>
      </c>
      <c r="U72" t="str">
        <f>IF($M72="","",IF($M72&gt;PARAMETRES!$G$34,5,IF($M72&gt;PARAMETRES!$F$34,4,IF($M72&gt;PARAMETRES!$E$34,3,IF($M72&gt;PARAMETRES!$D$34,2,1)))))</f>
        <v/>
      </c>
      <c r="V72" t="str">
        <f>IF($N72="","",IF($N72&gt;PARAMETRES!$G$35,5,IF($N72&gt;PARAMETRES!$F$35,4,IF($N72&gt;PARAMETRES!$E$35,3,IF($N72&gt;PARAMETRES!$D$35,2,1)))))</f>
        <v/>
      </c>
      <c r="W72" t="str">
        <f>IF($O72="","",IF($O72&gt;PARAMETRES!$G$36,5,IF($O72&gt;PARAMETRES!$F$36,4,IF($O72&gt;PARAMETRES!$E$36,3,IF($O72&gt;PARAMETRES!$D$36,2,1)))))</f>
        <v/>
      </c>
      <c r="X72" t="str">
        <f>IF($P72="","",IF($P72&gt;PARAMETRES!$G$37,5,IF($P72&gt;PARAMETRES!$F$37,4,IF($P72&gt;PARAMETRES!$E$37,3,IF($P72&gt;PARAMETRES!$D$37,2,1)))))</f>
        <v/>
      </c>
      <c r="Y72" t="str">
        <f t="shared" si="24"/>
        <v/>
      </c>
      <c r="Z72" t="str">
        <f>IFERROR(VLOOKUP($B72,TABLE_CYCLE,2,0),"")</f>
        <v/>
      </c>
      <c r="AA72" t="str">
        <f t="shared" si="25"/>
        <v/>
      </c>
      <c r="AB72" t="str">
        <f>IF($D72="","",IF(COUNTIF($D$2:$D72,$D72)=1,$D72,""))</f>
        <v/>
      </c>
      <c r="AC72">
        <f t="shared" si="26"/>
        <v>0</v>
      </c>
      <c r="AD72" t="str">
        <f t="shared" si="27"/>
        <v>|0</v>
      </c>
      <c r="AE72" t="str">
        <f t="shared" si="28"/>
        <v/>
      </c>
      <c r="AF72" t="str">
        <f t="shared" si="29"/>
        <v/>
      </c>
      <c r="AG72" t="str">
        <f t="shared" si="30"/>
        <v/>
      </c>
      <c r="AH72" t="str">
        <f t="shared" si="31"/>
        <v/>
      </c>
      <c r="AI72" t="str">
        <f t="shared" si="32"/>
        <v/>
      </c>
      <c r="AJ72" t="str">
        <f t="shared" si="33"/>
        <v/>
      </c>
      <c r="AK72" t="str">
        <f t="shared" si="34"/>
        <v/>
      </c>
      <c r="AL72" t="str">
        <f t="shared" si="35"/>
        <v/>
      </c>
      <c r="AM72" t="str">
        <f t="shared" si="36"/>
        <v/>
      </c>
      <c r="AN72" t="str">
        <f t="shared" si="37"/>
        <v/>
      </c>
      <c r="AO72" t="str">
        <f t="shared" si="38"/>
        <v/>
      </c>
      <c r="AP72">
        <f t="shared" si="39"/>
        <v>1</v>
      </c>
      <c r="AQ72" t="str">
        <f>IF(SAISIE!$F77="","",SAISIE!$Y77)</f>
        <v/>
      </c>
      <c r="AR72" t="str">
        <f>IF(OR(SAISIE!$U$4="",SAISIE!$W$4=""),"",IF(AND($A72=SAISIE!$U$4,$B72=SAISIE!$W$4,$C72="S1"),COUNTIFS($A$2:$A72,SAISIE!$U$4,$B$2:$B72,SAISIE!$W$4,$C$2:$C72,"S1"),""))</f>
        <v/>
      </c>
      <c r="AS72" t="str">
        <f t="shared" si="40"/>
        <v/>
      </c>
      <c r="AT72" t="str">
        <f t="shared" si="41"/>
        <v/>
      </c>
      <c r="AU72" t="str">
        <f t="shared" si="42"/>
        <v/>
      </c>
      <c r="AV72">
        <f>N(AV71)+IF(AND($AB72&lt;&gt;"",OR('PROFIL ELEVE'!$K$4="(Tous)",$AF72='PROFIL ELEVE'!$K$4)),1,0)</f>
        <v>0</v>
      </c>
      <c r="AW72">
        <f>N(AW71)+IF(AND($AB72&lt;&gt;"",OR('SUIVI LONGITUDINAL'!$Q$4="(Tous)",$AF72='SUIVI LONGITUDINAL'!$Q$4)),1,0)</f>
        <v>0</v>
      </c>
      <c r="AX72">
        <f t="shared" si="43"/>
        <v>0</v>
      </c>
      <c r="AY72">
        <f t="shared" si="44"/>
        <v>0</v>
      </c>
      <c r="AZ72">
        <f t="shared" si="45"/>
        <v>0</v>
      </c>
      <c r="BA72" t="str">
        <f t="shared" si="46"/>
        <v/>
      </c>
      <c r="BB72" t="str">
        <f t="shared" si="47"/>
        <v/>
      </c>
    </row>
    <row r="73" spans="1:54" ht="14.25" customHeight="1" x14ac:dyDescent="0.3">
      <c r="A73" t="str">
        <f>IF(SAISIE!$F78="","",SAISIE!$B78)</f>
        <v/>
      </c>
      <c r="B73" t="str">
        <f>IF(SAISIE!$F78="","",SAISIE!$C78)</f>
        <v/>
      </c>
      <c r="C73" t="str">
        <f>IF(SAISIE!$F78="","",SAISIE!$D78)</f>
        <v/>
      </c>
      <c r="D73" t="str">
        <f>IF(SAISIE!$E78="","",SAISIE!$E78)</f>
        <v/>
      </c>
      <c r="E73" t="str">
        <f>IF(SAISIE!$F78="","",SAISIE!$F78)</f>
        <v/>
      </c>
      <c r="F73" t="str">
        <f>IF(SAISIE!$G78="","",SAISIE!$G78)</f>
        <v/>
      </c>
      <c r="G73" t="str">
        <f>IF(SAISIE!$H78="","",SAISIE!$H78)</f>
        <v/>
      </c>
      <c r="H73" t="str">
        <f>IF(SAISIE!$I78="","",SAISIE!$I78)</f>
        <v/>
      </c>
      <c r="I73" t="str">
        <f>IF(SAISIE!$J78="","",SAISIE!$J78)</f>
        <v/>
      </c>
      <c r="J73" t="str">
        <f>IF(SAISIE!$K78="","",SAISIE!$K78)</f>
        <v/>
      </c>
      <c r="K73" t="str">
        <f>IF(SAISIE!$L78="","",SAISIE!$L78)</f>
        <v/>
      </c>
      <c r="L73" t="str">
        <f>IF(SAISIE!$M78="","",SAISIE!$M78)</f>
        <v/>
      </c>
      <c r="M73" t="str">
        <f>IF(SAISIE!$N78="","",SAISIE!$N78)</f>
        <v/>
      </c>
      <c r="N73" t="str">
        <f>IF(SAISIE!$O78="","",SAISIE!$O78)</f>
        <v/>
      </c>
      <c r="O73" t="str">
        <f>IF(SAISIE!$P78="","",SAISIE!$P78)</f>
        <v/>
      </c>
      <c r="P73" t="str">
        <f>IF(SAISIE!$Q78="","",SAISIE!$Q78)</f>
        <v/>
      </c>
      <c r="Q73" t="str">
        <f>IF($I73="","",IF($I73&gt;PARAMETRES!$G$29,5,IF($I73&gt;PARAMETRES!$F$29,4,IF($I73&gt;PARAMETRES!$E$29,3,IF($I73&gt;PARAMETRES!$D$29,2,1)))))</f>
        <v/>
      </c>
      <c r="R73" t="str">
        <f>IF($J73="","",IF($J73&gt;PARAMETRES!$G$30,5,IF($J73&gt;PARAMETRES!$F$30,4,IF($J73&gt;PARAMETRES!$E$30,3,IF($J73&gt;PARAMETRES!$D$30,2,1)))))</f>
        <v/>
      </c>
      <c r="S73" t="str">
        <f>IF($K73="","",IF($Z73=2,IF($K73&gt;PARAMETRES!$G$31,5,IF($K73&gt;PARAMETRES!$F$31,4,IF($K73&gt;PARAMETRES!$E$31,3,IF($K73&gt;PARAMETRES!$D$31,2,1)))),IF($K73&gt;PARAMETRES!$G$32,5,IF($K73&gt;PARAMETRES!$F$32,4,IF($K73&gt;PARAMETRES!$E$32,3,IF($K73&gt;PARAMETRES!$D$32,2,1))))))</f>
        <v/>
      </c>
      <c r="T73" t="str">
        <f>IF($L73="","",IF($L73&gt;PARAMETRES!$G$33,5,IF($L73&gt;PARAMETRES!$F$33,4,IF($L73&gt;PARAMETRES!$E$33,3,IF($L73&gt;PARAMETRES!$D$33,2,1)))))</f>
        <v/>
      </c>
      <c r="U73" t="str">
        <f>IF($M73="","",IF($M73&gt;PARAMETRES!$G$34,5,IF($M73&gt;PARAMETRES!$F$34,4,IF($M73&gt;PARAMETRES!$E$34,3,IF($M73&gt;PARAMETRES!$D$34,2,1)))))</f>
        <v/>
      </c>
      <c r="V73" t="str">
        <f>IF($N73="","",IF($N73&gt;PARAMETRES!$G$35,5,IF($N73&gt;PARAMETRES!$F$35,4,IF($N73&gt;PARAMETRES!$E$35,3,IF($N73&gt;PARAMETRES!$D$35,2,1)))))</f>
        <v/>
      </c>
      <c r="W73" t="str">
        <f>IF($O73="","",IF($O73&gt;PARAMETRES!$G$36,5,IF($O73&gt;PARAMETRES!$F$36,4,IF($O73&gt;PARAMETRES!$E$36,3,IF($O73&gt;PARAMETRES!$D$36,2,1)))))</f>
        <v/>
      </c>
      <c r="X73" t="str">
        <f>IF($P73="","",IF($P73&gt;PARAMETRES!$G$37,5,IF($P73&gt;PARAMETRES!$F$37,4,IF($P73&gt;PARAMETRES!$E$37,3,IF($P73&gt;PARAMETRES!$D$37,2,1)))))</f>
        <v/>
      </c>
      <c r="Y73" t="str">
        <f t="shared" si="24"/>
        <v/>
      </c>
      <c r="Z73" t="str">
        <f>IFERROR(VLOOKUP($B73,TABLE_CYCLE,2,0),"")</f>
        <v/>
      </c>
      <c r="AA73" t="str">
        <f t="shared" si="25"/>
        <v/>
      </c>
      <c r="AB73" t="str">
        <f>IF($D73="","",IF(COUNTIF($D$2:$D73,$D73)=1,$D73,""))</f>
        <v/>
      </c>
      <c r="AC73">
        <f t="shared" si="26"/>
        <v>0</v>
      </c>
      <c r="AD73" t="str">
        <f t="shared" si="27"/>
        <v>|0</v>
      </c>
      <c r="AE73" t="str">
        <f t="shared" si="28"/>
        <v/>
      </c>
      <c r="AF73" t="str">
        <f t="shared" si="29"/>
        <v/>
      </c>
      <c r="AG73" t="str">
        <f t="shared" si="30"/>
        <v/>
      </c>
      <c r="AH73" t="str">
        <f t="shared" si="31"/>
        <v/>
      </c>
      <c r="AI73" t="str">
        <f t="shared" si="32"/>
        <v/>
      </c>
      <c r="AJ73" t="str">
        <f t="shared" si="33"/>
        <v/>
      </c>
      <c r="AK73" t="str">
        <f t="shared" si="34"/>
        <v/>
      </c>
      <c r="AL73" t="str">
        <f t="shared" si="35"/>
        <v/>
      </c>
      <c r="AM73" t="str">
        <f t="shared" si="36"/>
        <v/>
      </c>
      <c r="AN73" t="str">
        <f t="shared" si="37"/>
        <v/>
      </c>
      <c r="AO73" t="str">
        <f t="shared" si="38"/>
        <v/>
      </c>
      <c r="AP73">
        <f t="shared" si="39"/>
        <v>1</v>
      </c>
      <c r="AQ73" t="str">
        <f>IF(SAISIE!$F78="","",SAISIE!$Y78)</f>
        <v/>
      </c>
      <c r="AR73" t="str">
        <f>IF(OR(SAISIE!$U$4="",SAISIE!$W$4=""),"",IF(AND($A73=SAISIE!$U$4,$B73=SAISIE!$W$4,$C73="S1"),COUNTIFS($A$2:$A73,SAISIE!$U$4,$B$2:$B73,SAISIE!$W$4,$C$2:$C73,"S1"),""))</f>
        <v/>
      </c>
      <c r="AS73" t="str">
        <f t="shared" si="40"/>
        <v/>
      </c>
      <c r="AT73" t="str">
        <f t="shared" si="41"/>
        <v/>
      </c>
      <c r="AU73" t="str">
        <f t="shared" si="42"/>
        <v/>
      </c>
      <c r="AV73">
        <f>N(AV72)+IF(AND($AB73&lt;&gt;"",OR('PROFIL ELEVE'!$K$4="(Tous)",$AF73='PROFIL ELEVE'!$K$4)),1,0)</f>
        <v>0</v>
      </c>
      <c r="AW73">
        <f>N(AW72)+IF(AND($AB73&lt;&gt;"",OR('SUIVI LONGITUDINAL'!$Q$4="(Tous)",$AF73='SUIVI LONGITUDINAL'!$Q$4)),1,0)</f>
        <v>0</v>
      </c>
      <c r="AX73">
        <f t="shared" si="43"/>
        <v>0</v>
      </c>
      <c r="AY73">
        <f t="shared" si="44"/>
        <v>0</v>
      </c>
      <c r="AZ73">
        <f t="shared" si="45"/>
        <v>0</v>
      </c>
      <c r="BA73" t="str">
        <f t="shared" si="46"/>
        <v/>
      </c>
      <c r="BB73" t="str">
        <f t="shared" si="47"/>
        <v/>
      </c>
    </row>
    <row r="74" spans="1:54" ht="14.25" customHeight="1" x14ac:dyDescent="0.3">
      <c r="A74" t="str">
        <f>IF(SAISIE!$F79="","",SAISIE!$B79)</f>
        <v/>
      </c>
      <c r="B74" t="str">
        <f>IF(SAISIE!$F79="","",SAISIE!$C79)</f>
        <v/>
      </c>
      <c r="C74" t="str">
        <f>IF(SAISIE!$F79="","",SAISIE!$D79)</f>
        <v/>
      </c>
      <c r="D74" t="str">
        <f>IF(SAISIE!$E79="","",SAISIE!$E79)</f>
        <v/>
      </c>
      <c r="E74" t="str">
        <f>IF(SAISIE!$F79="","",SAISIE!$F79)</f>
        <v/>
      </c>
      <c r="F74" t="str">
        <f>IF(SAISIE!$G79="","",SAISIE!$G79)</f>
        <v/>
      </c>
      <c r="G74" t="str">
        <f>IF(SAISIE!$H79="","",SAISIE!$H79)</f>
        <v/>
      </c>
      <c r="H74" t="str">
        <f>IF(SAISIE!$I79="","",SAISIE!$I79)</f>
        <v/>
      </c>
      <c r="I74" t="str">
        <f>IF(SAISIE!$J79="","",SAISIE!$J79)</f>
        <v/>
      </c>
      <c r="J74" t="str">
        <f>IF(SAISIE!$K79="","",SAISIE!$K79)</f>
        <v/>
      </c>
      <c r="K74" t="str">
        <f>IF(SAISIE!$L79="","",SAISIE!$L79)</f>
        <v/>
      </c>
      <c r="L74" t="str">
        <f>IF(SAISIE!$M79="","",SAISIE!$M79)</f>
        <v/>
      </c>
      <c r="M74" t="str">
        <f>IF(SAISIE!$N79="","",SAISIE!$N79)</f>
        <v/>
      </c>
      <c r="N74" t="str">
        <f>IF(SAISIE!$O79="","",SAISIE!$O79)</f>
        <v/>
      </c>
      <c r="O74" t="str">
        <f>IF(SAISIE!$P79="","",SAISIE!$P79)</f>
        <v/>
      </c>
      <c r="P74" t="str">
        <f>IF(SAISIE!$Q79="","",SAISIE!$Q79)</f>
        <v/>
      </c>
      <c r="Q74" t="str">
        <f>IF($I74="","",IF($I74&gt;PARAMETRES!$G$29,5,IF($I74&gt;PARAMETRES!$F$29,4,IF($I74&gt;PARAMETRES!$E$29,3,IF($I74&gt;PARAMETRES!$D$29,2,1)))))</f>
        <v/>
      </c>
      <c r="R74" t="str">
        <f>IF($J74="","",IF($J74&gt;PARAMETRES!$G$30,5,IF($J74&gt;PARAMETRES!$F$30,4,IF($J74&gt;PARAMETRES!$E$30,3,IF($J74&gt;PARAMETRES!$D$30,2,1)))))</f>
        <v/>
      </c>
      <c r="S74" t="str">
        <f>IF($K74="","",IF($Z74=2,IF($K74&gt;PARAMETRES!$G$31,5,IF($K74&gt;PARAMETRES!$F$31,4,IF($K74&gt;PARAMETRES!$E$31,3,IF($K74&gt;PARAMETRES!$D$31,2,1)))),IF($K74&gt;PARAMETRES!$G$32,5,IF($K74&gt;PARAMETRES!$F$32,4,IF($K74&gt;PARAMETRES!$E$32,3,IF($K74&gt;PARAMETRES!$D$32,2,1))))))</f>
        <v/>
      </c>
      <c r="T74" t="str">
        <f>IF($L74="","",IF($L74&gt;PARAMETRES!$G$33,5,IF($L74&gt;PARAMETRES!$F$33,4,IF($L74&gt;PARAMETRES!$E$33,3,IF($L74&gt;PARAMETRES!$D$33,2,1)))))</f>
        <v/>
      </c>
      <c r="U74" t="str">
        <f>IF($M74="","",IF($M74&gt;PARAMETRES!$G$34,5,IF($M74&gt;PARAMETRES!$F$34,4,IF($M74&gt;PARAMETRES!$E$34,3,IF($M74&gt;PARAMETRES!$D$34,2,1)))))</f>
        <v/>
      </c>
      <c r="V74" t="str">
        <f>IF($N74="","",IF($N74&gt;PARAMETRES!$G$35,5,IF($N74&gt;PARAMETRES!$F$35,4,IF($N74&gt;PARAMETRES!$E$35,3,IF($N74&gt;PARAMETRES!$D$35,2,1)))))</f>
        <v/>
      </c>
      <c r="W74" t="str">
        <f>IF($O74="","",IF($O74&gt;PARAMETRES!$G$36,5,IF($O74&gt;PARAMETRES!$F$36,4,IF($O74&gt;PARAMETRES!$E$36,3,IF($O74&gt;PARAMETRES!$D$36,2,1)))))</f>
        <v/>
      </c>
      <c r="X74" t="str">
        <f>IF($P74="","",IF($P74&gt;PARAMETRES!$G$37,5,IF($P74&gt;PARAMETRES!$F$37,4,IF($P74&gt;PARAMETRES!$E$37,3,IF($P74&gt;PARAMETRES!$D$37,2,1)))))</f>
        <v/>
      </c>
      <c r="Y74" t="str">
        <f t="shared" si="24"/>
        <v/>
      </c>
      <c r="Z74" t="str">
        <f>IFERROR(VLOOKUP($B74,TABLE_CYCLE,2,0),"")</f>
        <v/>
      </c>
      <c r="AA74" t="str">
        <f t="shared" si="25"/>
        <v/>
      </c>
      <c r="AB74" t="str">
        <f>IF($D74="","",IF(COUNTIF($D$2:$D74,$D74)=1,$D74,""))</f>
        <v/>
      </c>
      <c r="AC74">
        <f t="shared" si="26"/>
        <v>0</v>
      </c>
      <c r="AD74" t="str">
        <f t="shared" si="27"/>
        <v>|0</v>
      </c>
      <c r="AE74" t="str">
        <f t="shared" si="28"/>
        <v/>
      </c>
      <c r="AF74" t="str">
        <f t="shared" si="29"/>
        <v/>
      </c>
      <c r="AG74" t="str">
        <f t="shared" si="30"/>
        <v/>
      </c>
      <c r="AH74" t="str">
        <f t="shared" si="31"/>
        <v/>
      </c>
      <c r="AI74" t="str">
        <f t="shared" si="32"/>
        <v/>
      </c>
      <c r="AJ74" t="str">
        <f t="shared" si="33"/>
        <v/>
      </c>
      <c r="AK74" t="str">
        <f t="shared" si="34"/>
        <v/>
      </c>
      <c r="AL74" t="str">
        <f t="shared" si="35"/>
        <v/>
      </c>
      <c r="AM74" t="str">
        <f t="shared" si="36"/>
        <v/>
      </c>
      <c r="AN74" t="str">
        <f t="shared" si="37"/>
        <v/>
      </c>
      <c r="AO74" t="str">
        <f t="shared" si="38"/>
        <v/>
      </c>
      <c r="AP74">
        <f t="shared" si="39"/>
        <v>1</v>
      </c>
      <c r="AQ74" t="str">
        <f>IF(SAISIE!$F79="","",SAISIE!$Y79)</f>
        <v/>
      </c>
      <c r="AR74" t="str">
        <f>IF(OR(SAISIE!$U$4="",SAISIE!$W$4=""),"",IF(AND($A74=SAISIE!$U$4,$B74=SAISIE!$W$4,$C74="S1"),COUNTIFS($A$2:$A74,SAISIE!$U$4,$B$2:$B74,SAISIE!$W$4,$C$2:$C74,"S1"),""))</f>
        <v/>
      </c>
      <c r="AS74" t="str">
        <f t="shared" si="40"/>
        <v/>
      </c>
      <c r="AT74" t="str">
        <f t="shared" si="41"/>
        <v/>
      </c>
      <c r="AU74" t="str">
        <f t="shared" si="42"/>
        <v/>
      </c>
      <c r="AV74">
        <f>N(AV73)+IF(AND($AB74&lt;&gt;"",OR('PROFIL ELEVE'!$K$4="(Tous)",$AF74='PROFIL ELEVE'!$K$4)),1,0)</f>
        <v>0</v>
      </c>
      <c r="AW74">
        <f>N(AW73)+IF(AND($AB74&lt;&gt;"",OR('SUIVI LONGITUDINAL'!$Q$4="(Tous)",$AF74='SUIVI LONGITUDINAL'!$Q$4)),1,0)</f>
        <v>0</v>
      </c>
      <c r="AX74">
        <f t="shared" si="43"/>
        <v>0</v>
      </c>
      <c r="AY74">
        <f t="shared" si="44"/>
        <v>0</v>
      </c>
      <c r="AZ74">
        <f t="shared" si="45"/>
        <v>0</v>
      </c>
      <c r="BA74" t="str">
        <f t="shared" si="46"/>
        <v/>
      </c>
      <c r="BB74" t="str">
        <f t="shared" si="47"/>
        <v/>
      </c>
    </row>
    <row r="75" spans="1:54" ht="14.25" customHeight="1" x14ac:dyDescent="0.3">
      <c r="A75" t="str">
        <f>IF(SAISIE!$F80="","",SAISIE!$B80)</f>
        <v/>
      </c>
      <c r="B75" t="str">
        <f>IF(SAISIE!$F80="","",SAISIE!$C80)</f>
        <v/>
      </c>
      <c r="C75" t="str">
        <f>IF(SAISIE!$F80="","",SAISIE!$D80)</f>
        <v/>
      </c>
      <c r="D75" t="str">
        <f>IF(SAISIE!$E80="","",SAISIE!$E80)</f>
        <v/>
      </c>
      <c r="E75" t="str">
        <f>IF(SAISIE!$F80="","",SAISIE!$F80)</f>
        <v/>
      </c>
      <c r="F75" t="str">
        <f>IF(SAISIE!$G80="","",SAISIE!$G80)</f>
        <v/>
      </c>
      <c r="G75" t="str">
        <f>IF(SAISIE!$H80="","",SAISIE!$H80)</f>
        <v/>
      </c>
      <c r="H75" t="str">
        <f>IF(SAISIE!$I80="","",SAISIE!$I80)</f>
        <v/>
      </c>
      <c r="I75" t="str">
        <f>IF(SAISIE!$J80="","",SAISIE!$J80)</f>
        <v/>
      </c>
      <c r="J75" t="str">
        <f>IF(SAISIE!$K80="","",SAISIE!$K80)</f>
        <v/>
      </c>
      <c r="K75" t="str">
        <f>IF(SAISIE!$L80="","",SAISIE!$L80)</f>
        <v/>
      </c>
      <c r="L75" t="str">
        <f>IF(SAISIE!$M80="","",SAISIE!$M80)</f>
        <v/>
      </c>
      <c r="M75" t="str">
        <f>IF(SAISIE!$N80="","",SAISIE!$N80)</f>
        <v/>
      </c>
      <c r="N75" t="str">
        <f>IF(SAISIE!$O80="","",SAISIE!$O80)</f>
        <v/>
      </c>
      <c r="O75" t="str">
        <f>IF(SAISIE!$P80="","",SAISIE!$P80)</f>
        <v/>
      </c>
      <c r="P75" t="str">
        <f>IF(SAISIE!$Q80="","",SAISIE!$Q80)</f>
        <v/>
      </c>
      <c r="Q75" t="str">
        <f>IF($I75="","",IF($I75&gt;PARAMETRES!$G$29,5,IF($I75&gt;PARAMETRES!$F$29,4,IF($I75&gt;PARAMETRES!$E$29,3,IF($I75&gt;PARAMETRES!$D$29,2,1)))))</f>
        <v/>
      </c>
      <c r="R75" t="str">
        <f>IF($J75="","",IF($J75&gt;PARAMETRES!$G$30,5,IF($J75&gt;PARAMETRES!$F$30,4,IF($J75&gt;PARAMETRES!$E$30,3,IF($J75&gt;PARAMETRES!$D$30,2,1)))))</f>
        <v/>
      </c>
      <c r="S75" t="str">
        <f>IF($K75="","",IF($Z75=2,IF($K75&gt;PARAMETRES!$G$31,5,IF($K75&gt;PARAMETRES!$F$31,4,IF($K75&gt;PARAMETRES!$E$31,3,IF($K75&gt;PARAMETRES!$D$31,2,1)))),IF($K75&gt;PARAMETRES!$G$32,5,IF($K75&gt;PARAMETRES!$F$32,4,IF($K75&gt;PARAMETRES!$E$32,3,IF($K75&gt;PARAMETRES!$D$32,2,1))))))</f>
        <v/>
      </c>
      <c r="T75" t="str">
        <f>IF($L75="","",IF($L75&gt;PARAMETRES!$G$33,5,IF($L75&gt;PARAMETRES!$F$33,4,IF($L75&gt;PARAMETRES!$E$33,3,IF($L75&gt;PARAMETRES!$D$33,2,1)))))</f>
        <v/>
      </c>
      <c r="U75" t="str">
        <f>IF($M75="","",IF($M75&gt;PARAMETRES!$G$34,5,IF($M75&gt;PARAMETRES!$F$34,4,IF($M75&gt;PARAMETRES!$E$34,3,IF($M75&gt;PARAMETRES!$D$34,2,1)))))</f>
        <v/>
      </c>
      <c r="V75" t="str">
        <f>IF($N75="","",IF($N75&gt;PARAMETRES!$G$35,5,IF($N75&gt;PARAMETRES!$F$35,4,IF($N75&gt;PARAMETRES!$E$35,3,IF($N75&gt;PARAMETRES!$D$35,2,1)))))</f>
        <v/>
      </c>
      <c r="W75" t="str">
        <f>IF($O75="","",IF($O75&gt;PARAMETRES!$G$36,5,IF($O75&gt;PARAMETRES!$F$36,4,IF($O75&gt;PARAMETRES!$E$36,3,IF($O75&gt;PARAMETRES!$D$36,2,1)))))</f>
        <v/>
      </c>
      <c r="X75" t="str">
        <f>IF($P75="","",IF($P75&gt;PARAMETRES!$G$37,5,IF($P75&gt;PARAMETRES!$F$37,4,IF($P75&gt;PARAMETRES!$E$37,3,IF($P75&gt;PARAMETRES!$D$37,2,1)))))</f>
        <v/>
      </c>
      <c r="Y75" t="str">
        <f t="shared" si="24"/>
        <v/>
      </c>
      <c r="Z75" t="str">
        <f>IFERROR(VLOOKUP($B75,TABLE_CYCLE,2,0),"")</f>
        <v/>
      </c>
      <c r="AA75" t="str">
        <f t="shared" si="25"/>
        <v/>
      </c>
      <c r="AB75" t="str">
        <f>IF($D75="","",IF(COUNTIF($D$2:$D75,$D75)=1,$D75,""))</f>
        <v/>
      </c>
      <c r="AC75">
        <f t="shared" si="26"/>
        <v>0</v>
      </c>
      <c r="AD75" t="str">
        <f t="shared" si="27"/>
        <v>|0</v>
      </c>
      <c r="AE75" t="str">
        <f t="shared" si="28"/>
        <v/>
      </c>
      <c r="AF75" t="str">
        <f t="shared" si="29"/>
        <v/>
      </c>
      <c r="AG75" t="str">
        <f t="shared" si="30"/>
        <v/>
      </c>
      <c r="AH75" t="str">
        <f t="shared" si="31"/>
        <v/>
      </c>
      <c r="AI75" t="str">
        <f t="shared" si="32"/>
        <v/>
      </c>
      <c r="AJ75" t="str">
        <f t="shared" si="33"/>
        <v/>
      </c>
      <c r="AK75" t="str">
        <f t="shared" si="34"/>
        <v/>
      </c>
      <c r="AL75" t="str">
        <f t="shared" si="35"/>
        <v/>
      </c>
      <c r="AM75" t="str">
        <f t="shared" si="36"/>
        <v/>
      </c>
      <c r="AN75" t="str">
        <f t="shared" si="37"/>
        <v/>
      </c>
      <c r="AO75" t="str">
        <f t="shared" si="38"/>
        <v/>
      </c>
      <c r="AP75">
        <f t="shared" si="39"/>
        <v>1</v>
      </c>
      <c r="AQ75" t="str">
        <f>IF(SAISIE!$F80="","",SAISIE!$Y80)</f>
        <v/>
      </c>
      <c r="AR75" t="str">
        <f>IF(OR(SAISIE!$U$4="",SAISIE!$W$4=""),"",IF(AND($A75=SAISIE!$U$4,$B75=SAISIE!$W$4,$C75="S1"),COUNTIFS($A$2:$A75,SAISIE!$U$4,$B$2:$B75,SAISIE!$W$4,$C$2:$C75,"S1"),""))</f>
        <v/>
      </c>
      <c r="AS75" t="str">
        <f t="shared" si="40"/>
        <v/>
      </c>
      <c r="AT75" t="str">
        <f t="shared" si="41"/>
        <v/>
      </c>
      <c r="AU75" t="str">
        <f t="shared" si="42"/>
        <v/>
      </c>
      <c r="AV75">
        <f>N(AV74)+IF(AND($AB75&lt;&gt;"",OR('PROFIL ELEVE'!$K$4="(Tous)",$AF75='PROFIL ELEVE'!$K$4)),1,0)</f>
        <v>0</v>
      </c>
      <c r="AW75">
        <f>N(AW74)+IF(AND($AB75&lt;&gt;"",OR('SUIVI LONGITUDINAL'!$Q$4="(Tous)",$AF75='SUIVI LONGITUDINAL'!$Q$4)),1,0)</f>
        <v>0</v>
      </c>
      <c r="AX75">
        <f t="shared" si="43"/>
        <v>0</v>
      </c>
      <c r="AY75">
        <f t="shared" si="44"/>
        <v>0</v>
      </c>
      <c r="AZ75">
        <f t="shared" si="45"/>
        <v>0</v>
      </c>
      <c r="BA75" t="str">
        <f t="shared" si="46"/>
        <v/>
      </c>
      <c r="BB75" t="str">
        <f t="shared" si="47"/>
        <v/>
      </c>
    </row>
    <row r="76" spans="1:54" ht="14.25" customHeight="1" x14ac:dyDescent="0.3">
      <c r="A76" t="str">
        <f>IF(SAISIE!$F81="","",SAISIE!$B81)</f>
        <v/>
      </c>
      <c r="B76" t="str">
        <f>IF(SAISIE!$F81="","",SAISIE!$C81)</f>
        <v/>
      </c>
      <c r="C76" t="str">
        <f>IF(SAISIE!$F81="","",SAISIE!$D81)</f>
        <v/>
      </c>
      <c r="D76" t="str">
        <f>IF(SAISIE!$E81="","",SAISIE!$E81)</f>
        <v/>
      </c>
      <c r="E76" t="str">
        <f>IF(SAISIE!$F81="","",SAISIE!$F81)</f>
        <v/>
      </c>
      <c r="F76" t="str">
        <f>IF(SAISIE!$G81="","",SAISIE!$G81)</f>
        <v/>
      </c>
      <c r="G76" t="str">
        <f>IF(SAISIE!$H81="","",SAISIE!$H81)</f>
        <v/>
      </c>
      <c r="H76" t="str">
        <f>IF(SAISIE!$I81="","",SAISIE!$I81)</f>
        <v/>
      </c>
      <c r="I76" t="str">
        <f>IF(SAISIE!$J81="","",SAISIE!$J81)</f>
        <v/>
      </c>
      <c r="J76" t="str">
        <f>IF(SAISIE!$K81="","",SAISIE!$K81)</f>
        <v/>
      </c>
      <c r="K76" t="str">
        <f>IF(SAISIE!$L81="","",SAISIE!$L81)</f>
        <v/>
      </c>
      <c r="L76" t="str">
        <f>IF(SAISIE!$M81="","",SAISIE!$M81)</f>
        <v/>
      </c>
      <c r="M76" t="str">
        <f>IF(SAISIE!$N81="","",SAISIE!$N81)</f>
        <v/>
      </c>
      <c r="N76" t="str">
        <f>IF(SAISIE!$O81="","",SAISIE!$O81)</f>
        <v/>
      </c>
      <c r="O76" t="str">
        <f>IF(SAISIE!$P81="","",SAISIE!$P81)</f>
        <v/>
      </c>
      <c r="P76" t="str">
        <f>IF(SAISIE!$Q81="","",SAISIE!$Q81)</f>
        <v/>
      </c>
      <c r="Q76" t="str">
        <f>IF($I76="","",IF($I76&gt;PARAMETRES!$G$29,5,IF($I76&gt;PARAMETRES!$F$29,4,IF($I76&gt;PARAMETRES!$E$29,3,IF($I76&gt;PARAMETRES!$D$29,2,1)))))</f>
        <v/>
      </c>
      <c r="R76" t="str">
        <f>IF($J76="","",IF($J76&gt;PARAMETRES!$G$30,5,IF($J76&gt;PARAMETRES!$F$30,4,IF($J76&gt;PARAMETRES!$E$30,3,IF($J76&gt;PARAMETRES!$D$30,2,1)))))</f>
        <v/>
      </c>
      <c r="S76" t="str">
        <f>IF($K76="","",IF($Z76=2,IF($K76&gt;PARAMETRES!$G$31,5,IF($K76&gt;PARAMETRES!$F$31,4,IF($K76&gt;PARAMETRES!$E$31,3,IF($K76&gt;PARAMETRES!$D$31,2,1)))),IF($K76&gt;PARAMETRES!$G$32,5,IF($K76&gt;PARAMETRES!$F$32,4,IF($K76&gt;PARAMETRES!$E$32,3,IF($K76&gt;PARAMETRES!$D$32,2,1))))))</f>
        <v/>
      </c>
      <c r="T76" t="str">
        <f>IF($L76="","",IF($L76&gt;PARAMETRES!$G$33,5,IF($L76&gt;PARAMETRES!$F$33,4,IF($L76&gt;PARAMETRES!$E$33,3,IF($L76&gt;PARAMETRES!$D$33,2,1)))))</f>
        <v/>
      </c>
      <c r="U76" t="str">
        <f>IF($M76="","",IF($M76&gt;PARAMETRES!$G$34,5,IF($M76&gt;PARAMETRES!$F$34,4,IF($M76&gt;PARAMETRES!$E$34,3,IF($M76&gt;PARAMETRES!$D$34,2,1)))))</f>
        <v/>
      </c>
      <c r="V76" t="str">
        <f>IF($N76="","",IF($N76&gt;PARAMETRES!$G$35,5,IF($N76&gt;PARAMETRES!$F$35,4,IF($N76&gt;PARAMETRES!$E$35,3,IF($N76&gt;PARAMETRES!$D$35,2,1)))))</f>
        <v/>
      </c>
      <c r="W76" t="str">
        <f>IF($O76="","",IF($O76&gt;PARAMETRES!$G$36,5,IF($O76&gt;PARAMETRES!$F$36,4,IF($O76&gt;PARAMETRES!$E$36,3,IF($O76&gt;PARAMETRES!$D$36,2,1)))))</f>
        <v/>
      </c>
      <c r="X76" t="str">
        <f>IF($P76="","",IF($P76&gt;PARAMETRES!$G$37,5,IF($P76&gt;PARAMETRES!$F$37,4,IF($P76&gt;PARAMETRES!$E$37,3,IF($P76&gt;PARAMETRES!$D$37,2,1)))))</f>
        <v/>
      </c>
      <c r="Y76" t="str">
        <f t="shared" si="24"/>
        <v/>
      </c>
      <c r="Z76" t="str">
        <f>IFERROR(VLOOKUP($B76,TABLE_CYCLE,2,0),"")</f>
        <v/>
      </c>
      <c r="AA76" t="str">
        <f t="shared" si="25"/>
        <v/>
      </c>
      <c r="AB76" t="str">
        <f>IF($D76="","",IF(COUNTIF($D$2:$D76,$D76)=1,$D76,""))</f>
        <v/>
      </c>
      <c r="AC76">
        <f t="shared" si="26"/>
        <v>0</v>
      </c>
      <c r="AD76" t="str">
        <f t="shared" si="27"/>
        <v>|0</v>
      </c>
      <c r="AE76" t="str">
        <f t="shared" si="28"/>
        <v/>
      </c>
      <c r="AF76" t="str">
        <f t="shared" si="29"/>
        <v/>
      </c>
      <c r="AG76" t="str">
        <f t="shared" si="30"/>
        <v/>
      </c>
      <c r="AH76" t="str">
        <f t="shared" si="31"/>
        <v/>
      </c>
      <c r="AI76" t="str">
        <f t="shared" si="32"/>
        <v/>
      </c>
      <c r="AJ76" t="str">
        <f t="shared" si="33"/>
        <v/>
      </c>
      <c r="AK76" t="str">
        <f t="shared" si="34"/>
        <v/>
      </c>
      <c r="AL76" t="str">
        <f t="shared" si="35"/>
        <v/>
      </c>
      <c r="AM76" t="str">
        <f t="shared" si="36"/>
        <v/>
      </c>
      <c r="AN76" t="str">
        <f t="shared" si="37"/>
        <v/>
      </c>
      <c r="AO76" t="str">
        <f t="shared" si="38"/>
        <v/>
      </c>
      <c r="AP76">
        <f t="shared" si="39"/>
        <v>1</v>
      </c>
      <c r="AQ76" t="str">
        <f>IF(SAISIE!$F81="","",SAISIE!$Y81)</f>
        <v/>
      </c>
      <c r="AR76" t="str">
        <f>IF(OR(SAISIE!$U$4="",SAISIE!$W$4=""),"",IF(AND($A76=SAISIE!$U$4,$B76=SAISIE!$W$4,$C76="S1"),COUNTIFS($A$2:$A76,SAISIE!$U$4,$B$2:$B76,SAISIE!$W$4,$C$2:$C76,"S1"),""))</f>
        <v/>
      </c>
      <c r="AS76" t="str">
        <f t="shared" si="40"/>
        <v/>
      </c>
      <c r="AT76" t="str">
        <f t="shared" si="41"/>
        <v/>
      </c>
      <c r="AU76" t="str">
        <f t="shared" si="42"/>
        <v/>
      </c>
      <c r="AV76">
        <f>N(AV75)+IF(AND($AB76&lt;&gt;"",OR('PROFIL ELEVE'!$K$4="(Tous)",$AF76='PROFIL ELEVE'!$K$4)),1,0)</f>
        <v>0</v>
      </c>
      <c r="AW76">
        <f>N(AW75)+IF(AND($AB76&lt;&gt;"",OR('SUIVI LONGITUDINAL'!$Q$4="(Tous)",$AF76='SUIVI LONGITUDINAL'!$Q$4)),1,0)</f>
        <v>0</v>
      </c>
      <c r="AX76">
        <f t="shared" si="43"/>
        <v>0</v>
      </c>
      <c r="AY76">
        <f t="shared" si="44"/>
        <v>0</v>
      </c>
      <c r="AZ76">
        <f t="shared" si="45"/>
        <v>0</v>
      </c>
      <c r="BA76" t="str">
        <f t="shared" si="46"/>
        <v/>
      </c>
      <c r="BB76" t="str">
        <f t="shared" si="47"/>
        <v/>
      </c>
    </row>
    <row r="77" spans="1:54" ht="14.25" customHeight="1" x14ac:dyDescent="0.3">
      <c r="A77" t="str">
        <f>IF(SAISIE!$F82="","",SAISIE!$B82)</f>
        <v/>
      </c>
      <c r="B77" t="str">
        <f>IF(SAISIE!$F82="","",SAISIE!$C82)</f>
        <v/>
      </c>
      <c r="C77" t="str">
        <f>IF(SAISIE!$F82="","",SAISIE!$D82)</f>
        <v/>
      </c>
      <c r="D77" t="str">
        <f>IF(SAISIE!$E82="","",SAISIE!$E82)</f>
        <v/>
      </c>
      <c r="E77" t="str">
        <f>IF(SAISIE!$F82="","",SAISIE!$F82)</f>
        <v/>
      </c>
      <c r="F77" t="str">
        <f>IF(SAISIE!$G82="","",SAISIE!$G82)</f>
        <v/>
      </c>
      <c r="G77" t="str">
        <f>IF(SAISIE!$H82="","",SAISIE!$H82)</f>
        <v/>
      </c>
      <c r="H77" t="str">
        <f>IF(SAISIE!$I82="","",SAISIE!$I82)</f>
        <v/>
      </c>
      <c r="I77" t="str">
        <f>IF(SAISIE!$J82="","",SAISIE!$J82)</f>
        <v/>
      </c>
      <c r="J77" t="str">
        <f>IF(SAISIE!$K82="","",SAISIE!$K82)</f>
        <v/>
      </c>
      <c r="K77" t="str">
        <f>IF(SAISIE!$L82="","",SAISIE!$L82)</f>
        <v/>
      </c>
      <c r="L77" t="str">
        <f>IF(SAISIE!$M82="","",SAISIE!$M82)</f>
        <v/>
      </c>
      <c r="M77" t="str">
        <f>IF(SAISIE!$N82="","",SAISIE!$N82)</f>
        <v/>
      </c>
      <c r="N77" t="str">
        <f>IF(SAISIE!$O82="","",SAISIE!$O82)</f>
        <v/>
      </c>
      <c r="O77" t="str">
        <f>IF(SAISIE!$P82="","",SAISIE!$P82)</f>
        <v/>
      </c>
      <c r="P77" t="str">
        <f>IF(SAISIE!$Q82="","",SAISIE!$Q82)</f>
        <v/>
      </c>
      <c r="Q77" t="str">
        <f>IF($I77="","",IF($I77&gt;PARAMETRES!$G$29,5,IF($I77&gt;PARAMETRES!$F$29,4,IF($I77&gt;PARAMETRES!$E$29,3,IF($I77&gt;PARAMETRES!$D$29,2,1)))))</f>
        <v/>
      </c>
      <c r="R77" t="str">
        <f>IF($J77="","",IF($J77&gt;PARAMETRES!$G$30,5,IF($J77&gt;PARAMETRES!$F$30,4,IF($J77&gt;PARAMETRES!$E$30,3,IF($J77&gt;PARAMETRES!$D$30,2,1)))))</f>
        <v/>
      </c>
      <c r="S77" t="str">
        <f>IF($K77="","",IF($Z77=2,IF($K77&gt;PARAMETRES!$G$31,5,IF($K77&gt;PARAMETRES!$F$31,4,IF($K77&gt;PARAMETRES!$E$31,3,IF($K77&gt;PARAMETRES!$D$31,2,1)))),IF($K77&gt;PARAMETRES!$G$32,5,IF($K77&gt;PARAMETRES!$F$32,4,IF($K77&gt;PARAMETRES!$E$32,3,IF($K77&gt;PARAMETRES!$D$32,2,1))))))</f>
        <v/>
      </c>
      <c r="T77" t="str">
        <f>IF($L77="","",IF($L77&gt;PARAMETRES!$G$33,5,IF($L77&gt;PARAMETRES!$F$33,4,IF($L77&gt;PARAMETRES!$E$33,3,IF($L77&gt;PARAMETRES!$D$33,2,1)))))</f>
        <v/>
      </c>
      <c r="U77" t="str">
        <f>IF($M77="","",IF($M77&gt;PARAMETRES!$G$34,5,IF($M77&gt;PARAMETRES!$F$34,4,IF($M77&gt;PARAMETRES!$E$34,3,IF($M77&gt;PARAMETRES!$D$34,2,1)))))</f>
        <v/>
      </c>
      <c r="V77" t="str">
        <f>IF($N77="","",IF($N77&gt;PARAMETRES!$G$35,5,IF($N77&gt;PARAMETRES!$F$35,4,IF($N77&gt;PARAMETRES!$E$35,3,IF($N77&gt;PARAMETRES!$D$35,2,1)))))</f>
        <v/>
      </c>
      <c r="W77" t="str">
        <f>IF($O77="","",IF($O77&gt;PARAMETRES!$G$36,5,IF($O77&gt;PARAMETRES!$F$36,4,IF($O77&gt;PARAMETRES!$E$36,3,IF($O77&gt;PARAMETRES!$D$36,2,1)))))</f>
        <v/>
      </c>
      <c r="X77" t="str">
        <f>IF($P77="","",IF($P77&gt;PARAMETRES!$G$37,5,IF($P77&gt;PARAMETRES!$F$37,4,IF($P77&gt;PARAMETRES!$E$37,3,IF($P77&gt;PARAMETRES!$D$37,2,1)))))</f>
        <v/>
      </c>
      <c r="Y77" t="str">
        <f t="shared" si="24"/>
        <v/>
      </c>
      <c r="Z77" t="str">
        <f>IFERROR(VLOOKUP($B77,TABLE_CYCLE,2,0),"")</f>
        <v/>
      </c>
      <c r="AA77" t="str">
        <f t="shared" si="25"/>
        <v/>
      </c>
      <c r="AB77" t="str">
        <f>IF($D77="","",IF(COUNTIF($D$2:$D77,$D77)=1,$D77,""))</f>
        <v/>
      </c>
      <c r="AC77">
        <f t="shared" si="26"/>
        <v>0</v>
      </c>
      <c r="AD77" t="str">
        <f t="shared" si="27"/>
        <v>|0</v>
      </c>
      <c r="AE77" t="str">
        <f t="shared" si="28"/>
        <v/>
      </c>
      <c r="AF77" t="str">
        <f t="shared" si="29"/>
        <v/>
      </c>
      <c r="AG77" t="str">
        <f t="shared" si="30"/>
        <v/>
      </c>
      <c r="AH77" t="str">
        <f t="shared" si="31"/>
        <v/>
      </c>
      <c r="AI77" t="str">
        <f t="shared" si="32"/>
        <v/>
      </c>
      <c r="AJ77" t="str">
        <f t="shared" si="33"/>
        <v/>
      </c>
      <c r="AK77" t="str">
        <f t="shared" si="34"/>
        <v/>
      </c>
      <c r="AL77" t="str">
        <f t="shared" si="35"/>
        <v/>
      </c>
      <c r="AM77" t="str">
        <f t="shared" si="36"/>
        <v/>
      </c>
      <c r="AN77" t="str">
        <f t="shared" si="37"/>
        <v/>
      </c>
      <c r="AO77" t="str">
        <f t="shared" si="38"/>
        <v/>
      </c>
      <c r="AP77">
        <f t="shared" si="39"/>
        <v>1</v>
      </c>
      <c r="AQ77" t="str">
        <f>IF(SAISIE!$F82="","",SAISIE!$Y82)</f>
        <v/>
      </c>
      <c r="AR77" t="str">
        <f>IF(OR(SAISIE!$U$4="",SAISIE!$W$4=""),"",IF(AND($A77=SAISIE!$U$4,$B77=SAISIE!$W$4,$C77="S1"),COUNTIFS($A$2:$A77,SAISIE!$U$4,$B$2:$B77,SAISIE!$W$4,$C$2:$C77,"S1"),""))</f>
        <v/>
      </c>
      <c r="AS77" t="str">
        <f t="shared" si="40"/>
        <v/>
      </c>
      <c r="AT77" t="str">
        <f t="shared" si="41"/>
        <v/>
      </c>
      <c r="AU77" t="str">
        <f t="shared" si="42"/>
        <v/>
      </c>
      <c r="AV77">
        <f>N(AV76)+IF(AND($AB77&lt;&gt;"",OR('PROFIL ELEVE'!$K$4="(Tous)",$AF77='PROFIL ELEVE'!$K$4)),1,0)</f>
        <v>0</v>
      </c>
      <c r="AW77">
        <f>N(AW76)+IF(AND($AB77&lt;&gt;"",OR('SUIVI LONGITUDINAL'!$Q$4="(Tous)",$AF77='SUIVI LONGITUDINAL'!$Q$4)),1,0)</f>
        <v>0</v>
      </c>
      <c r="AX77">
        <f t="shared" si="43"/>
        <v>0</v>
      </c>
      <c r="AY77">
        <f t="shared" si="44"/>
        <v>0</v>
      </c>
      <c r="AZ77">
        <f t="shared" si="45"/>
        <v>0</v>
      </c>
      <c r="BA77" t="str">
        <f t="shared" si="46"/>
        <v/>
      </c>
      <c r="BB77" t="str">
        <f t="shared" si="47"/>
        <v/>
      </c>
    </row>
    <row r="78" spans="1:54" ht="14.25" customHeight="1" x14ac:dyDescent="0.3">
      <c r="A78" t="str">
        <f>IF(SAISIE!$F83="","",SAISIE!$B83)</f>
        <v/>
      </c>
      <c r="B78" t="str">
        <f>IF(SAISIE!$F83="","",SAISIE!$C83)</f>
        <v/>
      </c>
      <c r="C78" t="str">
        <f>IF(SAISIE!$F83="","",SAISIE!$D83)</f>
        <v/>
      </c>
      <c r="D78" t="str">
        <f>IF(SAISIE!$E83="","",SAISIE!$E83)</f>
        <v/>
      </c>
      <c r="E78" t="str">
        <f>IF(SAISIE!$F83="","",SAISIE!$F83)</f>
        <v/>
      </c>
      <c r="F78" t="str">
        <f>IF(SAISIE!$G83="","",SAISIE!$G83)</f>
        <v/>
      </c>
      <c r="G78" t="str">
        <f>IF(SAISIE!$H83="","",SAISIE!$H83)</f>
        <v/>
      </c>
      <c r="H78" t="str">
        <f>IF(SAISIE!$I83="","",SAISIE!$I83)</f>
        <v/>
      </c>
      <c r="I78" t="str">
        <f>IF(SAISIE!$J83="","",SAISIE!$J83)</f>
        <v/>
      </c>
      <c r="J78" t="str">
        <f>IF(SAISIE!$K83="","",SAISIE!$K83)</f>
        <v/>
      </c>
      <c r="K78" t="str">
        <f>IF(SAISIE!$L83="","",SAISIE!$L83)</f>
        <v/>
      </c>
      <c r="L78" t="str">
        <f>IF(SAISIE!$M83="","",SAISIE!$M83)</f>
        <v/>
      </c>
      <c r="M78" t="str">
        <f>IF(SAISIE!$N83="","",SAISIE!$N83)</f>
        <v/>
      </c>
      <c r="N78" t="str">
        <f>IF(SAISIE!$O83="","",SAISIE!$O83)</f>
        <v/>
      </c>
      <c r="O78" t="str">
        <f>IF(SAISIE!$P83="","",SAISIE!$P83)</f>
        <v/>
      </c>
      <c r="P78" t="str">
        <f>IF(SAISIE!$Q83="","",SAISIE!$Q83)</f>
        <v/>
      </c>
      <c r="Q78" t="str">
        <f>IF($I78="","",IF($I78&gt;PARAMETRES!$G$29,5,IF($I78&gt;PARAMETRES!$F$29,4,IF($I78&gt;PARAMETRES!$E$29,3,IF($I78&gt;PARAMETRES!$D$29,2,1)))))</f>
        <v/>
      </c>
      <c r="R78" t="str">
        <f>IF($J78="","",IF($J78&gt;PARAMETRES!$G$30,5,IF($J78&gt;PARAMETRES!$F$30,4,IF($J78&gt;PARAMETRES!$E$30,3,IF($J78&gt;PARAMETRES!$D$30,2,1)))))</f>
        <v/>
      </c>
      <c r="S78" t="str">
        <f>IF($K78="","",IF($Z78=2,IF($K78&gt;PARAMETRES!$G$31,5,IF($K78&gt;PARAMETRES!$F$31,4,IF($K78&gt;PARAMETRES!$E$31,3,IF($K78&gt;PARAMETRES!$D$31,2,1)))),IF($K78&gt;PARAMETRES!$G$32,5,IF($K78&gt;PARAMETRES!$F$32,4,IF($K78&gt;PARAMETRES!$E$32,3,IF($K78&gt;PARAMETRES!$D$32,2,1))))))</f>
        <v/>
      </c>
      <c r="T78" t="str">
        <f>IF($L78="","",IF($L78&gt;PARAMETRES!$G$33,5,IF($L78&gt;PARAMETRES!$F$33,4,IF($L78&gt;PARAMETRES!$E$33,3,IF($L78&gt;PARAMETRES!$D$33,2,1)))))</f>
        <v/>
      </c>
      <c r="U78" t="str">
        <f>IF($M78="","",IF($M78&gt;PARAMETRES!$G$34,5,IF($M78&gt;PARAMETRES!$F$34,4,IF($M78&gt;PARAMETRES!$E$34,3,IF($M78&gt;PARAMETRES!$D$34,2,1)))))</f>
        <v/>
      </c>
      <c r="V78" t="str">
        <f>IF($N78="","",IF($N78&gt;PARAMETRES!$G$35,5,IF($N78&gt;PARAMETRES!$F$35,4,IF($N78&gt;PARAMETRES!$E$35,3,IF($N78&gt;PARAMETRES!$D$35,2,1)))))</f>
        <v/>
      </c>
      <c r="W78" t="str">
        <f>IF($O78="","",IF($O78&gt;PARAMETRES!$G$36,5,IF($O78&gt;PARAMETRES!$F$36,4,IF($O78&gt;PARAMETRES!$E$36,3,IF($O78&gt;PARAMETRES!$D$36,2,1)))))</f>
        <v/>
      </c>
      <c r="X78" t="str">
        <f>IF($P78="","",IF($P78&gt;PARAMETRES!$G$37,5,IF($P78&gt;PARAMETRES!$F$37,4,IF($P78&gt;PARAMETRES!$E$37,3,IF($P78&gt;PARAMETRES!$D$37,2,1)))))</f>
        <v/>
      </c>
      <c r="Y78" t="str">
        <f t="shared" si="24"/>
        <v/>
      </c>
      <c r="Z78" t="str">
        <f>IFERROR(VLOOKUP($B78,TABLE_CYCLE,2,0),"")</f>
        <v/>
      </c>
      <c r="AA78" t="str">
        <f t="shared" si="25"/>
        <v/>
      </c>
      <c r="AB78" t="str">
        <f>IF($D78="","",IF(COUNTIF($D$2:$D78,$D78)=1,$D78,""))</f>
        <v/>
      </c>
      <c r="AC78">
        <f t="shared" si="26"/>
        <v>0</v>
      </c>
      <c r="AD78" t="str">
        <f t="shared" si="27"/>
        <v>|0</v>
      </c>
      <c r="AE78" t="str">
        <f t="shared" si="28"/>
        <v/>
      </c>
      <c r="AF78" t="str">
        <f t="shared" si="29"/>
        <v/>
      </c>
      <c r="AG78" t="str">
        <f t="shared" si="30"/>
        <v/>
      </c>
      <c r="AH78" t="str">
        <f t="shared" si="31"/>
        <v/>
      </c>
      <c r="AI78" t="str">
        <f t="shared" si="32"/>
        <v/>
      </c>
      <c r="AJ78" t="str">
        <f t="shared" si="33"/>
        <v/>
      </c>
      <c r="AK78" t="str">
        <f t="shared" si="34"/>
        <v/>
      </c>
      <c r="AL78" t="str">
        <f t="shared" si="35"/>
        <v/>
      </c>
      <c r="AM78" t="str">
        <f t="shared" si="36"/>
        <v/>
      </c>
      <c r="AN78" t="str">
        <f t="shared" si="37"/>
        <v/>
      </c>
      <c r="AO78" t="str">
        <f t="shared" si="38"/>
        <v/>
      </c>
      <c r="AP78">
        <f t="shared" si="39"/>
        <v>1</v>
      </c>
      <c r="AQ78" t="str">
        <f>IF(SAISIE!$F83="","",SAISIE!$Y83)</f>
        <v/>
      </c>
      <c r="AR78" t="str">
        <f>IF(OR(SAISIE!$U$4="",SAISIE!$W$4=""),"",IF(AND($A78=SAISIE!$U$4,$B78=SAISIE!$W$4,$C78="S1"),COUNTIFS($A$2:$A78,SAISIE!$U$4,$B$2:$B78,SAISIE!$W$4,$C$2:$C78,"S1"),""))</f>
        <v/>
      </c>
      <c r="AS78" t="str">
        <f t="shared" si="40"/>
        <v/>
      </c>
      <c r="AT78" t="str">
        <f t="shared" si="41"/>
        <v/>
      </c>
      <c r="AU78" t="str">
        <f t="shared" si="42"/>
        <v/>
      </c>
      <c r="AV78">
        <f>N(AV77)+IF(AND($AB78&lt;&gt;"",OR('PROFIL ELEVE'!$K$4="(Tous)",$AF78='PROFIL ELEVE'!$K$4)),1,0)</f>
        <v>0</v>
      </c>
      <c r="AW78">
        <f>N(AW77)+IF(AND($AB78&lt;&gt;"",OR('SUIVI LONGITUDINAL'!$Q$4="(Tous)",$AF78='SUIVI LONGITUDINAL'!$Q$4)),1,0)</f>
        <v>0</v>
      </c>
      <c r="AX78">
        <f t="shared" si="43"/>
        <v>0</v>
      </c>
      <c r="AY78">
        <f t="shared" si="44"/>
        <v>0</v>
      </c>
      <c r="AZ78">
        <f t="shared" si="45"/>
        <v>0</v>
      </c>
      <c r="BA78" t="str">
        <f t="shared" si="46"/>
        <v/>
      </c>
      <c r="BB78" t="str">
        <f t="shared" si="47"/>
        <v/>
      </c>
    </row>
    <row r="79" spans="1:54" ht="14.25" customHeight="1" x14ac:dyDescent="0.3">
      <c r="A79" t="str">
        <f>IF(SAISIE!$F84="","",SAISIE!$B84)</f>
        <v/>
      </c>
      <c r="B79" t="str">
        <f>IF(SAISIE!$F84="","",SAISIE!$C84)</f>
        <v/>
      </c>
      <c r="C79" t="str">
        <f>IF(SAISIE!$F84="","",SAISIE!$D84)</f>
        <v/>
      </c>
      <c r="D79" t="str">
        <f>IF(SAISIE!$E84="","",SAISIE!$E84)</f>
        <v/>
      </c>
      <c r="E79" t="str">
        <f>IF(SAISIE!$F84="","",SAISIE!$F84)</f>
        <v/>
      </c>
      <c r="F79" t="str">
        <f>IF(SAISIE!$G84="","",SAISIE!$G84)</f>
        <v/>
      </c>
      <c r="G79" t="str">
        <f>IF(SAISIE!$H84="","",SAISIE!$H84)</f>
        <v/>
      </c>
      <c r="H79" t="str">
        <f>IF(SAISIE!$I84="","",SAISIE!$I84)</f>
        <v/>
      </c>
      <c r="I79" t="str">
        <f>IF(SAISIE!$J84="","",SAISIE!$J84)</f>
        <v/>
      </c>
      <c r="J79" t="str">
        <f>IF(SAISIE!$K84="","",SAISIE!$K84)</f>
        <v/>
      </c>
      <c r="K79" t="str">
        <f>IF(SAISIE!$L84="","",SAISIE!$L84)</f>
        <v/>
      </c>
      <c r="L79" t="str">
        <f>IF(SAISIE!$M84="","",SAISIE!$M84)</f>
        <v/>
      </c>
      <c r="M79" t="str">
        <f>IF(SAISIE!$N84="","",SAISIE!$N84)</f>
        <v/>
      </c>
      <c r="N79" t="str">
        <f>IF(SAISIE!$O84="","",SAISIE!$O84)</f>
        <v/>
      </c>
      <c r="O79" t="str">
        <f>IF(SAISIE!$P84="","",SAISIE!$P84)</f>
        <v/>
      </c>
      <c r="P79" t="str">
        <f>IF(SAISIE!$Q84="","",SAISIE!$Q84)</f>
        <v/>
      </c>
      <c r="Q79" t="str">
        <f>IF($I79="","",IF($I79&gt;PARAMETRES!$G$29,5,IF($I79&gt;PARAMETRES!$F$29,4,IF($I79&gt;PARAMETRES!$E$29,3,IF($I79&gt;PARAMETRES!$D$29,2,1)))))</f>
        <v/>
      </c>
      <c r="R79" t="str">
        <f>IF($J79="","",IF($J79&gt;PARAMETRES!$G$30,5,IF($J79&gt;PARAMETRES!$F$30,4,IF($J79&gt;PARAMETRES!$E$30,3,IF($J79&gt;PARAMETRES!$D$30,2,1)))))</f>
        <v/>
      </c>
      <c r="S79" t="str">
        <f>IF($K79="","",IF($Z79=2,IF($K79&gt;PARAMETRES!$G$31,5,IF($K79&gt;PARAMETRES!$F$31,4,IF($K79&gt;PARAMETRES!$E$31,3,IF($K79&gt;PARAMETRES!$D$31,2,1)))),IF($K79&gt;PARAMETRES!$G$32,5,IF($K79&gt;PARAMETRES!$F$32,4,IF($K79&gt;PARAMETRES!$E$32,3,IF($K79&gt;PARAMETRES!$D$32,2,1))))))</f>
        <v/>
      </c>
      <c r="T79" t="str">
        <f>IF($L79="","",IF($L79&gt;PARAMETRES!$G$33,5,IF($L79&gt;PARAMETRES!$F$33,4,IF($L79&gt;PARAMETRES!$E$33,3,IF($L79&gt;PARAMETRES!$D$33,2,1)))))</f>
        <v/>
      </c>
      <c r="U79" t="str">
        <f>IF($M79="","",IF($M79&gt;PARAMETRES!$G$34,5,IF($M79&gt;PARAMETRES!$F$34,4,IF($M79&gt;PARAMETRES!$E$34,3,IF($M79&gt;PARAMETRES!$D$34,2,1)))))</f>
        <v/>
      </c>
      <c r="V79" t="str">
        <f>IF($N79="","",IF($N79&gt;PARAMETRES!$G$35,5,IF($N79&gt;PARAMETRES!$F$35,4,IF($N79&gt;PARAMETRES!$E$35,3,IF($N79&gt;PARAMETRES!$D$35,2,1)))))</f>
        <v/>
      </c>
      <c r="W79" t="str">
        <f>IF($O79="","",IF($O79&gt;PARAMETRES!$G$36,5,IF($O79&gt;PARAMETRES!$F$36,4,IF($O79&gt;PARAMETRES!$E$36,3,IF($O79&gt;PARAMETRES!$D$36,2,1)))))</f>
        <v/>
      </c>
      <c r="X79" t="str">
        <f>IF($P79="","",IF($P79&gt;PARAMETRES!$G$37,5,IF($P79&gt;PARAMETRES!$F$37,4,IF($P79&gt;PARAMETRES!$E$37,3,IF($P79&gt;PARAMETRES!$D$37,2,1)))))</f>
        <v/>
      </c>
      <c r="Y79" t="str">
        <f t="shared" si="24"/>
        <v/>
      </c>
      <c r="Z79" t="str">
        <f>IFERROR(VLOOKUP($B79,TABLE_CYCLE,2,0),"")</f>
        <v/>
      </c>
      <c r="AA79" t="str">
        <f t="shared" si="25"/>
        <v/>
      </c>
      <c r="AB79" t="str">
        <f>IF($D79="","",IF(COUNTIF($D$2:$D79,$D79)=1,$D79,""))</f>
        <v/>
      </c>
      <c r="AC79">
        <f t="shared" si="26"/>
        <v>0</v>
      </c>
      <c r="AD79" t="str">
        <f t="shared" si="27"/>
        <v>|0</v>
      </c>
      <c r="AE79" t="str">
        <f t="shared" si="28"/>
        <v/>
      </c>
      <c r="AF79" t="str">
        <f t="shared" si="29"/>
        <v/>
      </c>
      <c r="AG79" t="str">
        <f t="shared" si="30"/>
        <v/>
      </c>
      <c r="AH79" t="str">
        <f t="shared" si="31"/>
        <v/>
      </c>
      <c r="AI79" t="str">
        <f t="shared" si="32"/>
        <v/>
      </c>
      <c r="AJ79" t="str">
        <f t="shared" si="33"/>
        <v/>
      </c>
      <c r="AK79" t="str">
        <f t="shared" si="34"/>
        <v/>
      </c>
      <c r="AL79" t="str">
        <f t="shared" si="35"/>
        <v/>
      </c>
      <c r="AM79" t="str">
        <f t="shared" si="36"/>
        <v/>
      </c>
      <c r="AN79" t="str">
        <f t="shared" si="37"/>
        <v/>
      </c>
      <c r="AO79" t="str">
        <f t="shared" si="38"/>
        <v/>
      </c>
      <c r="AP79">
        <f t="shared" si="39"/>
        <v>1</v>
      </c>
      <c r="AQ79" t="str">
        <f>IF(SAISIE!$F84="","",SAISIE!$Y84)</f>
        <v/>
      </c>
      <c r="AR79" t="str">
        <f>IF(OR(SAISIE!$U$4="",SAISIE!$W$4=""),"",IF(AND($A79=SAISIE!$U$4,$B79=SAISIE!$W$4,$C79="S1"),COUNTIFS($A$2:$A79,SAISIE!$U$4,$B$2:$B79,SAISIE!$W$4,$C$2:$C79,"S1"),""))</f>
        <v/>
      </c>
      <c r="AS79" t="str">
        <f t="shared" si="40"/>
        <v/>
      </c>
      <c r="AT79" t="str">
        <f t="shared" si="41"/>
        <v/>
      </c>
      <c r="AU79" t="str">
        <f t="shared" si="42"/>
        <v/>
      </c>
      <c r="AV79">
        <f>N(AV78)+IF(AND($AB79&lt;&gt;"",OR('PROFIL ELEVE'!$K$4="(Tous)",$AF79='PROFIL ELEVE'!$K$4)),1,0)</f>
        <v>0</v>
      </c>
      <c r="AW79">
        <f>N(AW78)+IF(AND($AB79&lt;&gt;"",OR('SUIVI LONGITUDINAL'!$Q$4="(Tous)",$AF79='SUIVI LONGITUDINAL'!$Q$4)),1,0)</f>
        <v>0</v>
      </c>
      <c r="AX79">
        <f t="shared" si="43"/>
        <v>0</v>
      </c>
      <c r="AY79">
        <f t="shared" si="44"/>
        <v>0</v>
      </c>
      <c r="AZ79">
        <f t="shared" si="45"/>
        <v>0</v>
      </c>
      <c r="BA79" t="str">
        <f t="shared" si="46"/>
        <v/>
      </c>
      <c r="BB79" t="str">
        <f t="shared" si="47"/>
        <v/>
      </c>
    </row>
    <row r="80" spans="1:54" ht="14.25" customHeight="1" x14ac:dyDescent="0.3">
      <c r="A80" t="str">
        <f>IF(SAISIE!$F85="","",SAISIE!$B85)</f>
        <v/>
      </c>
      <c r="B80" t="str">
        <f>IF(SAISIE!$F85="","",SAISIE!$C85)</f>
        <v/>
      </c>
      <c r="C80" t="str">
        <f>IF(SAISIE!$F85="","",SAISIE!$D85)</f>
        <v/>
      </c>
      <c r="D80" t="str">
        <f>IF(SAISIE!$E85="","",SAISIE!$E85)</f>
        <v/>
      </c>
      <c r="E80" t="str">
        <f>IF(SAISIE!$F85="","",SAISIE!$F85)</f>
        <v/>
      </c>
      <c r="F80" t="str">
        <f>IF(SAISIE!$G85="","",SAISIE!$G85)</f>
        <v/>
      </c>
      <c r="G80" t="str">
        <f>IF(SAISIE!$H85="","",SAISIE!$H85)</f>
        <v/>
      </c>
      <c r="H80" t="str">
        <f>IF(SAISIE!$I85="","",SAISIE!$I85)</f>
        <v/>
      </c>
      <c r="I80" t="str">
        <f>IF(SAISIE!$J85="","",SAISIE!$J85)</f>
        <v/>
      </c>
      <c r="J80" t="str">
        <f>IF(SAISIE!$K85="","",SAISIE!$K85)</f>
        <v/>
      </c>
      <c r="K80" t="str">
        <f>IF(SAISIE!$L85="","",SAISIE!$L85)</f>
        <v/>
      </c>
      <c r="L80" t="str">
        <f>IF(SAISIE!$M85="","",SAISIE!$M85)</f>
        <v/>
      </c>
      <c r="M80" t="str">
        <f>IF(SAISIE!$N85="","",SAISIE!$N85)</f>
        <v/>
      </c>
      <c r="N80" t="str">
        <f>IF(SAISIE!$O85="","",SAISIE!$O85)</f>
        <v/>
      </c>
      <c r="O80" t="str">
        <f>IF(SAISIE!$P85="","",SAISIE!$P85)</f>
        <v/>
      </c>
      <c r="P80" t="str">
        <f>IF(SAISIE!$Q85="","",SAISIE!$Q85)</f>
        <v/>
      </c>
      <c r="Q80" t="str">
        <f>IF($I80="","",IF($I80&gt;PARAMETRES!$G$29,5,IF($I80&gt;PARAMETRES!$F$29,4,IF($I80&gt;PARAMETRES!$E$29,3,IF($I80&gt;PARAMETRES!$D$29,2,1)))))</f>
        <v/>
      </c>
      <c r="R80" t="str">
        <f>IF($J80="","",IF($J80&gt;PARAMETRES!$G$30,5,IF($J80&gt;PARAMETRES!$F$30,4,IF($J80&gt;PARAMETRES!$E$30,3,IF($J80&gt;PARAMETRES!$D$30,2,1)))))</f>
        <v/>
      </c>
      <c r="S80" t="str">
        <f>IF($K80="","",IF($Z80=2,IF($K80&gt;PARAMETRES!$G$31,5,IF($K80&gt;PARAMETRES!$F$31,4,IF($K80&gt;PARAMETRES!$E$31,3,IF($K80&gt;PARAMETRES!$D$31,2,1)))),IF($K80&gt;PARAMETRES!$G$32,5,IF($K80&gt;PARAMETRES!$F$32,4,IF($K80&gt;PARAMETRES!$E$32,3,IF($K80&gt;PARAMETRES!$D$32,2,1))))))</f>
        <v/>
      </c>
      <c r="T80" t="str">
        <f>IF($L80="","",IF($L80&gt;PARAMETRES!$G$33,5,IF($L80&gt;PARAMETRES!$F$33,4,IF($L80&gt;PARAMETRES!$E$33,3,IF($L80&gt;PARAMETRES!$D$33,2,1)))))</f>
        <v/>
      </c>
      <c r="U80" t="str">
        <f>IF($M80="","",IF($M80&gt;PARAMETRES!$G$34,5,IF($M80&gt;PARAMETRES!$F$34,4,IF($M80&gt;PARAMETRES!$E$34,3,IF($M80&gt;PARAMETRES!$D$34,2,1)))))</f>
        <v/>
      </c>
      <c r="V80" t="str">
        <f>IF($N80="","",IF($N80&gt;PARAMETRES!$G$35,5,IF($N80&gt;PARAMETRES!$F$35,4,IF($N80&gt;PARAMETRES!$E$35,3,IF($N80&gt;PARAMETRES!$D$35,2,1)))))</f>
        <v/>
      </c>
      <c r="W80" t="str">
        <f>IF($O80="","",IF($O80&gt;PARAMETRES!$G$36,5,IF($O80&gt;PARAMETRES!$F$36,4,IF($O80&gt;PARAMETRES!$E$36,3,IF($O80&gt;PARAMETRES!$D$36,2,1)))))</f>
        <v/>
      </c>
      <c r="X80" t="str">
        <f>IF($P80="","",IF($P80&gt;PARAMETRES!$G$37,5,IF($P80&gt;PARAMETRES!$F$37,4,IF($P80&gt;PARAMETRES!$E$37,3,IF($P80&gt;PARAMETRES!$D$37,2,1)))))</f>
        <v/>
      </c>
      <c r="Y80" t="str">
        <f t="shared" si="24"/>
        <v/>
      </c>
      <c r="Z80" t="str">
        <f>IFERROR(VLOOKUP($B80,TABLE_CYCLE,2,0),"")</f>
        <v/>
      </c>
      <c r="AA80" t="str">
        <f t="shared" si="25"/>
        <v/>
      </c>
      <c r="AB80" t="str">
        <f>IF($D80="","",IF(COUNTIF($D$2:$D80,$D80)=1,$D80,""))</f>
        <v/>
      </c>
      <c r="AC80">
        <f t="shared" si="26"/>
        <v>0</v>
      </c>
      <c r="AD80" t="str">
        <f t="shared" si="27"/>
        <v>|0</v>
      </c>
      <c r="AE80" t="str">
        <f t="shared" si="28"/>
        <v/>
      </c>
      <c r="AF80" t="str">
        <f t="shared" si="29"/>
        <v/>
      </c>
      <c r="AG80" t="str">
        <f t="shared" si="30"/>
        <v/>
      </c>
      <c r="AH80" t="str">
        <f t="shared" si="31"/>
        <v/>
      </c>
      <c r="AI80" t="str">
        <f t="shared" si="32"/>
        <v/>
      </c>
      <c r="AJ80" t="str">
        <f t="shared" si="33"/>
        <v/>
      </c>
      <c r="AK80" t="str">
        <f t="shared" si="34"/>
        <v/>
      </c>
      <c r="AL80" t="str">
        <f t="shared" si="35"/>
        <v/>
      </c>
      <c r="AM80" t="str">
        <f t="shared" si="36"/>
        <v/>
      </c>
      <c r="AN80" t="str">
        <f t="shared" si="37"/>
        <v/>
      </c>
      <c r="AO80" t="str">
        <f t="shared" si="38"/>
        <v/>
      </c>
      <c r="AP80">
        <f t="shared" si="39"/>
        <v>1</v>
      </c>
      <c r="AQ80" t="str">
        <f>IF(SAISIE!$F85="","",SAISIE!$Y85)</f>
        <v/>
      </c>
      <c r="AR80" t="str">
        <f>IF(OR(SAISIE!$U$4="",SAISIE!$W$4=""),"",IF(AND($A80=SAISIE!$U$4,$B80=SAISIE!$W$4,$C80="S1"),COUNTIFS($A$2:$A80,SAISIE!$U$4,$B$2:$B80,SAISIE!$W$4,$C$2:$C80,"S1"),""))</f>
        <v/>
      </c>
      <c r="AS80" t="str">
        <f t="shared" si="40"/>
        <v/>
      </c>
      <c r="AT80" t="str">
        <f t="shared" si="41"/>
        <v/>
      </c>
      <c r="AU80" t="str">
        <f t="shared" si="42"/>
        <v/>
      </c>
      <c r="AV80">
        <f>N(AV79)+IF(AND($AB80&lt;&gt;"",OR('PROFIL ELEVE'!$K$4="(Tous)",$AF80='PROFIL ELEVE'!$K$4)),1,0)</f>
        <v>0</v>
      </c>
      <c r="AW80">
        <f>N(AW79)+IF(AND($AB80&lt;&gt;"",OR('SUIVI LONGITUDINAL'!$Q$4="(Tous)",$AF80='SUIVI LONGITUDINAL'!$Q$4)),1,0)</f>
        <v>0</v>
      </c>
      <c r="AX80">
        <f t="shared" si="43"/>
        <v>0</v>
      </c>
      <c r="AY80">
        <f t="shared" si="44"/>
        <v>0</v>
      </c>
      <c r="AZ80">
        <f t="shared" si="45"/>
        <v>0</v>
      </c>
      <c r="BA80" t="str">
        <f t="shared" si="46"/>
        <v/>
      </c>
      <c r="BB80" t="str">
        <f t="shared" si="47"/>
        <v/>
      </c>
    </row>
    <row r="81" spans="1:54" ht="14.25" customHeight="1" x14ac:dyDescent="0.3">
      <c r="A81" t="str">
        <f>IF(SAISIE!$F86="","",SAISIE!$B86)</f>
        <v/>
      </c>
      <c r="B81" t="str">
        <f>IF(SAISIE!$F86="","",SAISIE!$C86)</f>
        <v/>
      </c>
      <c r="C81" t="str">
        <f>IF(SAISIE!$F86="","",SAISIE!$D86)</f>
        <v/>
      </c>
      <c r="D81" t="str">
        <f>IF(SAISIE!$E86="","",SAISIE!$E86)</f>
        <v/>
      </c>
      <c r="E81" t="str">
        <f>IF(SAISIE!$F86="","",SAISIE!$F86)</f>
        <v/>
      </c>
      <c r="F81" t="str">
        <f>IF(SAISIE!$G86="","",SAISIE!$G86)</f>
        <v/>
      </c>
      <c r="G81" t="str">
        <f>IF(SAISIE!$H86="","",SAISIE!$H86)</f>
        <v/>
      </c>
      <c r="H81" t="str">
        <f>IF(SAISIE!$I86="","",SAISIE!$I86)</f>
        <v/>
      </c>
      <c r="I81" t="str">
        <f>IF(SAISIE!$J86="","",SAISIE!$J86)</f>
        <v/>
      </c>
      <c r="J81" t="str">
        <f>IF(SAISIE!$K86="","",SAISIE!$K86)</f>
        <v/>
      </c>
      <c r="K81" t="str">
        <f>IF(SAISIE!$L86="","",SAISIE!$L86)</f>
        <v/>
      </c>
      <c r="L81" t="str">
        <f>IF(SAISIE!$M86="","",SAISIE!$M86)</f>
        <v/>
      </c>
      <c r="M81" t="str">
        <f>IF(SAISIE!$N86="","",SAISIE!$N86)</f>
        <v/>
      </c>
      <c r="N81" t="str">
        <f>IF(SAISIE!$O86="","",SAISIE!$O86)</f>
        <v/>
      </c>
      <c r="O81" t="str">
        <f>IF(SAISIE!$P86="","",SAISIE!$P86)</f>
        <v/>
      </c>
      <c r="P81" t="str">
        <f>IF(SAISIE!$Q86="","",SAISIE!$Q86)</f>
        <v/>
      </c>
      <c r="Q81" t="str">
        <f>IF($I81="","",IF($I81&gt;PARAMETRES!$G$29,5,IF($I81&gt;PARAMETRES!$F$29,4,IF($I81&gt;PARAMETRES!$E$29,3,IF($I81&gt;PARAMETRES!$D$29,2,1)))))</f>
        <v/>
      </c>
      <c r="R81" t="str">
        <f>IF($J81="","",IF($J81&gt;PARAMETRES!$G$30,5,IF($J81&gt;PARAMETRES!$F$30,4,IF($J81&gt;PARAMETRES!$E$30,3,IF($J81&gt;PARAMETRES!$D$30,2,1)))))</f>
        <v/>
      </c>
      <c r="S81" t="str">
        <f>IF($K81="","",IF($Z81=2,IF($K81&gt;PARAMETRES!$G$31,5,IF($K81&gt;PARAMETRES!$F$31,4,IF($K81&gt;PARAMETRES!$E$31,3,IF($K81&gt;PARAMETRES!$D$31,2,1)))),IF($K81&gt;PARAMETRES!$G$32,5,IF($K81&gt;PARAMETRES!$F$32,4,IF($K81&gt;PARAMETRES!$E$32,3,IF($K81&gt;PARAMETRES!$D$32,2,1))))))</f>
        <v/>
      </c>
      <c r="T81" t="str">
        <f>IF($L81="","",IF($L81&gt;PARAMETRES!$G$33,5,IF($L81&gt;PARAMETRES!$F$33,4,IF($L81&gt;PARAMETRES!$E$33,3,IF($L81&gt;PARAMETRES!$D$33,2,1)))))</f>
        <v/>
      </c>
      <c r="U81" t="str">
        <f>IF($M81="","",IF($M81&gt;PARAMETRES!$G$34,5,IF($M81&gt;PARAMETRES!$F$34,4,IF($M81&gt;PARAMETRES!$E$34,3,IF($M81&gt;PARAMETRES!$D$34,2,1)))))</f>
        <v/>
      </c>
      <c r="V81" t="str">
        <f>IF($N81="","",IF($N81&gt;PARAMETRES!$G$35,5,IF($N81&gt;PARAMETRES!$F$35,4,IF($N81&gt;PARAMETRES!$E$35,3,IF($N81&gt;PARAMETRES!$D$35,2,1)))))</f>
        <v/>
      </c>
      <c r="W81" t="str">
        <f>IF($O81="","",IF($O81&gt;PARAMETRES!$G$36,5,IF($O81&gt;PARAMETRES!$F$36,4,IF($O81&gt;PARAMETRES!$E$36,3,IF($O81&gt;PARAMETRES!$D$36,2,1)))))</f>
        <v/>
      </c>
      <c r="X81" t="str">
        <f>IF($P81="","",IF($P81&gt;PARAMETRES!$G$37,5,IF($P81&gt;PARAMETRES!$F$37,4,IF($P81&gt;PARAMETRES!$E$37,3,IF($P81&gt;PARAMETRES!$D$37,2,1)))))</f>
        <v/>
      </c>
      <c r="Y81" t="str">
        <f t="shared" si="24"/>
        <v/>
      </c>
      <c r="Z81" t="str">
        <f>IFERROR(VLOOKUP($B81,TABLE_CYCLE,2,0),"")</f>
        <v/>
      </c>
      <c r="AA81" t="str">
        <f t="shared" si="25"/>
        <v/>
      </c>
      <c r="AB81" t="str">
        <f>IF($D81="","",IF(COUNTIF($D$2:$D81,$D81)=1,$D81,""))</f>
        <v/>
      </c>
      <c r="AC81">
        <f t="shared" si="26"/>
        <v>0</v>
      </c>
      <c r="AD81" t="str">
        <f t="shared" si="27"/>
        <v>|0</v>
      </c>
      <c r="AE81" t="str">
        <f t="shared" si="28"/>
        <v/>
      </c>
      <c r="AF81" t="str">
        <f t="shared" si="29"/>
        <v/>
      </c>
      <c r="AG81" t="str">
        <f t="shared" si="30"/>
        <v/>
      </c>
      <c r="AH81" t="str">
        <f t="shared" si="31"/>
        <v/>
      </c>
      <c r="AI81" t="str">
        <f t="shared" si="32"/>
        <v/>
      </c>
      <c r="AJ81" t="str">
        <f t="shared" si="33"/>
        <v/>
      </c>
      <c r="AK81" t="str">
        <f t="shared" si="34"/>
        <v/>
      </c>
      <c r="AL81" t="str">
        <f t="shared" si="35"/>
        <v/>
      </c>
      <c r="AM81" t="str">
        <f t="shared" si="36"/>
        <v/>
      </c>
      <c r="AN81" t="str">
        <f t="shared" si="37"/>
        <v/>
      </c>
      <c r="AO81" t="str">
        <f t="shared" si="38"/>
        <v/>
      </c>
      <c r="AP81">
        <f t="shared" si="39"/>
        <v>1</v>
      </c>
      <c r="AQ81" t="str">
        <f>IF(SAISIE!$F86="","",SAISIE!$Y86)</f>
        <v/>
      </c>
      <c r="AR81" t="str">
        <f>IF(OR(SAISIE!$U$4="",SAISIE!$W$4=""),"",IF(AND($A81=SAISIE!$U$4,$B81=SAISIE!$W$4,$C81="S1"),COUNTIFS($A$2:$A81,SAISIE!$U$4,$B$2:$B81,SAISIE!$W$4,$C$2:$C81,"S1"),""))</f>
        <v/>
      </c>
      <c r="AS81" t="str">
        <f t="shared" si="40"/>
        <v/>
      </c>
      <c r="AT81" t="str">
        <f t="shared" si="41"/>
        <v/>
      </c>
      <c r="AU81" t="str">
        <f t="shared" si="42"/>
        <v/>
      </c>
      <c r="AV81">
        <f>N(AV80)+IF(AND($AB81&lt;&gt;"",OR('PROFIL ELEVE'!$K$4="(Tous)",$AF81='PROFIL ELEVE'!$K$4)),1,0)</f>
        <v>0</v>
      </c>
      <c r="AW81">
        <f>N(AW80)+IF(AND($AB81&lt;&gt;"",OR('SUIVI LONGITUDINAL'!$Q$4="(Tous)",$AF81='SUIVI LONGITUDINAL'!$Q$4)),1,0)</f>
        <v>0</v>
      </c>
      <c r="AX81">
        <f t="shared" si="43"/>
        <v>0</v>
      </c>
      <c r="AY81">
        <f t="shared" si="44"/>
        <v>0</v>
      </c>
      <c r="AZ81">
        <f t="shared" si="45"/>
        <v>0</v>
      </c>
      <c r="BA81" t="str">
        <f t="shared" si="46"/>
        <v/>
      </c>
      <c r="BB81" t="str">
        <f t="shared" si="47"/>
        <v/>
      </c>
    </row>
    <row r="82" spans="1:54" ht="14.25" customHeight="1" x14ac:dyDescent="0.3">
      <c r="A82" t="str">
        <f>IF(SAISIE!$F87="","",SAISIE!$B87)</f>
        <v/>
      </c>
      <c r="B82" t="str">
        <f>IF(SAISIE!$F87="","",SAISIE!$C87)</f>
        <v/>
      </c>
      <c r="C82" t="str">
        <f>IF(SAISIE!$F87="","",SAISIE!$D87)</f>
        <v/>
      </c>
      <c r="D82" t="str">
        <f>IF(SAISIE!$E87="","",SAISIE!$E87)</f>
        <v/>
      </c>
      <c r="E82" t="str">
        <f>IF(SAISIE!$F87="","",SAISIE!$F87)</f>
        <v/>
      </c>
      <c r="F82" t="str">
        <f>IF(SAISIE!$G87="","",SAISIE!$G87)</f>
        <v/>
      </c>
      <c r="G82" t="str">
        <f>IF(SAISIE!$H87="","",SAISIE!$H87)</f>
        <v/>
      </c>
      <c r="H82" t="str">
        <f>IF(SAISIE!$I87="","",SAISIE!$I87)</f>
        <v/>
      </c>
      <c r="I82" t="str">
        <f>IF(SAISIE!$J87="","",SAISIE!$J87)</f>
        <v/>
      </c>
      <c r="J82" t="str">
        <f>IF(SAISIE!$K87="","",SAISIE!$K87)</f>
        <v/>
      </c>
      <c r="K82" t="str">
        <f>IF(SAISIE!$L87="","",SAISIE!$L87)</f>
        <v/>
      </c>
      <c r="L82" t="str">
        <f>IF(SAISIE!$M87="","",SAISIE!$M87)</f>
        <v/>
      </c>
      <c r="M82" t="str">
        <f>IF(SAISIE!$N87="","",SAISIE!$N87)</f>
        <v/>
      </c>
      <c r="N82" t="str">
        <f>IF(SAISIE!$O87="","",SAISIE!$O87)</f>
        <v/>
      </c>
      <c r="O82" t="str">
        <f>IF(SAISIE!$P87="","",SAISIE!$P87)</f>
        <v/>
      </c>
      <c r="P82" t="str">
        <f>IF(SAISIE!$Q87="","",SAISIE!$Q87)</f>
        <v/>
      </c>
      <c r="Q82" t="str">
        <f>IF($I82="","",IF($I82&gt;PARAMETRES!$G$29,5,IF($I82&gt;PARAMETRES!$F$29,4,IF($I82&gt;PARAMETRES!$E$29,3,IF($I82&gt;PARAMETRES!$D$29,2,1)))))</f>
        <v/>
      </c>
      <c r="R82" t="str">
        <f>IF($J82="","",IF($J82&gt;PARAMETRES!$G$30,5,IF($J82&gt;PARAMETRES!$F$30,4,IF($J82&gt;PARAMETRES!$E$30,3,IF($J82&gt;PARAMETRES!$D$30,2,1)))))</f>
        <v/>
      </c>
      <c r="S82" t="str">
        <f>IF($K82="","",IF($Z82=2,IF($K82&gt;PARAMETRES!$G$31,5,IF($K82&gt;PARAMETRES!$F$31,4,IF($K82&gt;PARAMETRES!$E$31,3,IF($K82&gt;PARAMETRES!$D$31,2,1)))),IF($K82&gt;PARAMETRES!$G$32,5,IF($K82&gt;PARAMETRES!$F$32,4,IF($K82&gt;PARAMETRES!$E$32,3,IF($K82&gt;PARAMETRES!$D$32,2,1))))))</f>
        <v/>
      </c>
      <c r="T82" t="str">
        <f>IF($L82="","",IF($L82&gt;PARAMETRES!$G$33,5,IF($L82&gt;PARAMETRES!$F$33,4,IF($L82&gt;PARAMETRES!$E$33,3,IF($L82&gt;PARAMETRES!$D$33,2,1)))))</f>
        <v/>
      </c>
      <c r="U82" t="str">
        <f>IF($M82="","",IF($M82&gt;PARAMETRES!$G$34,5,IF($M82&gt;PARAMETRES!$F$34,4,IF($M82&gt;PARAMETRES!$E$34,3,IF($M82&gt;PARAMETRES!$D$34,2,1)))))</f>
        <v/>
      </c>
      <c r="V82" t="str">
        <f>IF($N82="","",IF($N82&gt;PARAMETRES!$G$35,5,IF($N82&gt;PARAMETRES!$F$35,4,IF($N82&gt;PARAMETRES!$E$35,3,IF($N82&gt;PARAMETRES!$D$35,2,1)))))</f>
        <v/>
      </c>
      <c r="W82" t="str">
        <f>IF($O82="","",IF($O82&gt;PARAMETRES!$G$36,5,IF($O82&gt;PARAMETRES!$F$36,4,IF($O82&gt;PARAMETRES!$E$36,3,IF($O82&gt;PARAMETRES!$D$36,2,1)))))</f>
        <v/>
      </c>
      <c r="X82" t="str">
        <f>IF($P82="","",IF($P82&gt;PARAMETRES!$G$37,5,IF($P82&gt;PARAMETRES!$F$37,4,IF($P82&gt;PARAMETRES!$E$37,3,IF($P82&gt;PARAMETRES!$D$37,2,1)))))</f>
        <v/>
      </c>
      <c r="Y82" t="str">
        <f t="shared" si="24"/>
        <v/>
      </c>
      <c r="Z82" t="str">
        <f>IFERROR(VLOOKUP($B82,TABLE_CYCLE,2,0),"")</f>
        <v/>
      </c>
      <c r="AA82" t="str">
        <f t="shared" si="25"/>
        <v/>
      </c>
      <c r="AB82" t="str">
        <f>IF($D82="","",IF(COUNTIF($D$2:$D82,$D82)=1,$D82,""))</f>
        <v/>
      </c>
      <c r="AC82">
        <f t="shared" si="26"/>
        <v>0</v>
      </c>
      <c r="AD82" t="str">
        <f t="shared" si="27"/>
        <v>|0</v>
      </c>
      <c r="AE82" t="str">
        <f t="shared" si="28"/>
        <v/>
      </c>
      <c r="AF82" t="str">
        <f t="shared" si="29"/>
        <v/>
      </c>
      <c r="AG82" t="str">
        <f t="shared" si="30"/>
        <v/>
      </c>
      <c r="AH82" t="str">
        <f t="shared" si="31"/>
        <v/>
      </c>
      <c r="AI82" t="str">
        <f t="shared" si="32"/>
        <v/>
      </c>
      <c r="AJ82" t="str">
        <f t="shared" si="33"/>
        <v/>
      </c>
      <c r="AK82" t="str">
        <f t="shared" si="34"/>
        <v/>
      </c>
      <c r="AL82" t="str">
        <f t="shared" si="35"/>
        <v/>
      </c>
      <c r="AM82" t="str">
        <f t="shared" si="36"/>
        <v/>
      </c>
      <c r="AN82" t="str">
        <f t="shared" si="37"/>
        <v/>
      </c>
      <c r="AO82" t="str">
        <f t="shared" si="38"/>
        <v/>
      </c>
      <c r="AP82">
        <f t="shared" si="39"/>
        <v>1</v>
      </c>
      <c r="AQ82" t="str">
        <f>IF(SAISIE!$F87="","",SAISIE!$Y87)</f>
        <v/>
      </c>
      <c r="AR82" t="str">
        <f>IF(OR(SAISIE!$U$4="",SAISIE!$W$4=""),"",IF(AND($A82=SAISIE!$U$4,$B82=SAISIE!$W$4,$C82="S1"),COUNTIFS($A$2:$A82,SAISIE!$U$4,$B$2:$B82,SAISIE!$W$4,$C$2:$C82,"S1"),""))</f>
        <v/>
      </c>
      <c r="AS82" t="str">
        <f t="shared" si="40"/>
        <v/>
      </c>
      <c r="AT82" t="str">
        <f t="shared" si="41"/>
        <v/>
      </c>
      <c r="AU82" t="str">
        <f t="shared" si="42"/>
        <v/>
      </c>
      <c r="AV82">
        <f>N(AV81)+IF(AND($AB82&lt;&gt;"",OR('PROFIL ELEVE'!$K$4="(Tous)",$AF82='PROFIL ELEVE'!$K$4)),1,0)</f>
        <v>0</v>
      </c>
      <c r="AW82">
        <f>N(AW81)+IF(AND($AB82&lt;&gt;"",OR('SUIVI LONGITUDINAL'!$Q$4="(Tous)",$AF82='SUIVI LONGITUDINAL'!$Q$4)),1,0)</f>
        <v>0</v>
      </c>
      <c r="AX82">
        <f t="shared" si="43"/>
        <v>0</v>
      </c>
      <c r="AY82">
        <f t="shared" si="44"/>
        <v>0</v>
      </c>
      <c r="AZ82">
        <f t="shared" si="45"/>
        <v>0</v>
      </c>
      <c r="BA82" t="str">
        <f t="shared" si="46"/>
        <v/>
      </c>
      <c r="BB82" t="str">
        <f t="shared" si="47"/>
        <v/>
      </c>
    </row>
    <row r="83" spans="1:54" ht="14.25" customHeight="1" x14ac:dyDescent="0.3">
      <c r="A83" t="str">
        <f>IF(SAISIE!$F88="","",SAISIE!$B88)</f>
        <v/>
      </c>
      <c r="B83" t="str">
        <f>IF(SAISIE!$F88="","",SAISIE!$C88)</f>
        <v/>
      </c>
      <c r="C83" t="str">
        <f>IF(SAISIE!$F88="","",SAISIE!$D88)</f>
        <v/>
      </c>
      <c r="D83" t="str">
        <f>IF(SAISIE!$E88="","",SAISIE!$E88)</f>
        <v/>
      </c>
      <c r="E83" t="str">
        <f>IF(SAISIE!$F88="","",SAISIE!$F88)</f>
        <v/>
      </c>
      <c r="F83" t="str">
        <f>IF(SAISIE!$G88="","",SAISIE!$G88)</f>
        <v/>
      </c>
      <c r="G83" t="str">
        <f>IF(SAISIE!$H88="","",SAISIE!$H88)</f>
        <v/>
      </c>
      <c r="H83" t="str">
        <f>IF(SAISIE!$I88="","",SAISIE!$I88)</f>
        <v/>
      </c>
      <c r="I83" t="str">
        <f>IF(SAISIE!$J88="","",SAISIE!$J88)</f>
        <v/>
      </c>
      <c r="J83" t="str">
        <f>IF(SAISIE!$K88="","",SAISIE!$K88)</f>
        <v/>
      </c>
      <c r="K83" t="str">
        <f>IF(SAISIE!$L88="","",SAISIE!$L88)</f>
        <v/>
      </c>
      <c r="L83" t="str">
        <f>IF(SAISIE!$M88="","",SAISIE!$M88)</f>
        <v/>
      </c>
      <c r="M83" t="str">
        <f>IF(SAISIE!$N88="","",SAISIE!$N88)</f>
        <v/>
      </c>
      <c r="N83" t="str">
        <f>IF(SAISIE!$O88="","",SAISIE!$O88)</f>
        <v/>
      </c>
      <c r="O83" t="str">
        <f>IF(SAISIE!$P88="","",SAISIE!$P88)</f>
        <v/>
      </c>
      <c r="P83" t="str">
        <f>IF(SAISIE!$Q88="","",SAISIE!$Q88)</f>
        <v/>
      </c>
      <c r="Q83" t="str">
        <f>IF($I83="","",IF($I83&gt;PARAMETRES!$G$29,5,IF($I83&gt;PARAMETRES!$F$29,4,IF($I83&gt;PARAMETRES!$E$29,3,IF($I83&gt;PARAMETRES!$D$29,2,1)))))</f>
        <v/>
      </c>
      <c r="R83" t="str">
        <f>IF($J83="","",IF($J83&gt;PARAMETRES!$G$30,5,IF($J83&gt;PARAMETRES!$F$30,4,IF($J83&gt;PARAMETRES!$E$30,3,IF($J83&gt;PARAMETRES!$D$30,2,1)))))</f>
        <v/>
      </c>
      <c r="S83" t="str">
        <f>IF($K83="","",IF($Z83=2,IF($K83&gt;PARAMETRES!$G$31,5,IF($K83&gt;PARAMETRES!$F$31,4,IF($K83&gt;PARAMETRES!$E$31,3,IF($K83&gt;PARAMETRES!$D$31,2,1)))),IF($K83&gt;PARAMETRES!$G$32,5,IF($K83&gt;PARAMETRES!$F$32,4,IF($K83&gt;PARAMETRES!$E$32,3,IF($K83&gt;PARAMETRES!$D$32,2,1))))))</f>
        <v/>
      </c>
      <c r="T83" t="str">
        <f>IF($L83="","",IF($L83&gt;PARAMETRES!$G$33,5,IF($L83&gt;PARAMETRES!$F$33,4,IF($L83&gt;PARAMETRES!$E$33,3,IF($L83&gt;PARAMETRES!$D$33,2,1)))))</f>
        <v/>
      </c>
      <c r="U83" t="str">
        <f>IF($M83="","",IF($M83&gt;PARAMETRES!$G$34,5,IF($M83&gt;PARAMETRES!$F$34,4,IF($M83&gt;PARAMETRES!$E$34,3,IF($M83&gt;PARAMETRES!$D$34,2,1)))))</f>
        <v/>
      </c>
      <c r="V83" t="str">
        <f>IF($N83="","",IF($N83&gt;PARAMETRES!$G$35,5,IF($N83&gt;PARAMETRES!$F$35,4,IF($N83&gt;PARAMETRES!$E$35,3,IF($N83&gt;PARAMETRES!$D$35,2,1)))))</f>
        <v/>
      </c>
      <c r="W83" t="str">
        <f>IF($O83="","",IF($O83&gt;PARAMETRES!$G$36,5,IF($O83&gt;PARAMETRES!$F$36,4,IF($O83&gt;PARAMETRES!$E$36,3,IF($O83&gt;PARAMETRES!$D$36,2,1)))))</f>
        <v/>
      </c>
      <c r="X83" t="str">
        <f>IF($P83="","",IF($P83&gt;PARAMETRES!$G$37,5,IF($P83&gt;PARAMETRES!$F$37,4,IF($P83&gt;PARAMETRES!$E$37,3,IF($P83&gt;PARAMETRES!$D$37,2,1)))))</f>
        <v/>
      </c>
      <c r="Y83" t="str">
        <f t="shared" si="24"/>
        <v/>
      </c>
      <c r="Z83" t="str">
        <f>IFERROR(VLOOKUP($B83,TABLE_CYCLE,2,0),"")</f>
        <v/>
      </c>
      <c r="AA83" t="str">
        <f t="shared" si="25"/>
        <v/>
      </c>
      <c r="AB83" t="str">
        <f>IF($D83="","",IF(COUNTIF($D$2:$D83,$D83)=1,$D83,""))</f>
        <v/>
      </c>
      <c r="AC83">
        <f t="shared" si="26"/>
        <v>0</v>
      </c>
      <c r="AD83" t="str">
        <f t="shared" si="27"/>
        <v>|0</v>
      </c>
      <c r="AE83" t="str">
        <f t="shared" si="28"/>
        <v/>
      </c>
      <c r="AF83" t="str">
        <f t="shared" si="29"/>
        <v/>
      </c>
      <c r="AG83" t="str">
        <f t="shared" si="30"/>
        <v/>
      </c>
      <c r="AH83" t="str">
        <f t="shared" si="31"/>
        <v/>
      </c>
      <c r="AI83" t="str">
        <f t="shared" si="32"/>
        <v/>
      </c>
      <c r="AJ83" t="str">
        <f t="shared" si="33"/>
        <v/>
      </c>
      <c r="AK83" t="str">
        <f t="shared" si="34"/>
        <v/>
      </c>
      <c r="AL83" t="str">
        <f t="shared" si="35"/>
        <v/>
      </c>
      <c r="AM83" t="str">
        <f t="shared" si="36"/>
        <v/>
      </c>
      <c r="AN83" t="str">
        <f t="shared" si="37"/>
        <v/>
      </c>
      <c r="AO83" t="str">
        <f t="shared" si="38"/>
        <v/>
      </c>
      <c r="AP83">
        <f t="shared" si="39"/>
        <v>1</v>
      </c>
      <c r="AQ83" t="str">
        <f>IF(SAISIE!$F88="","",SAISIE!$Y88)</f>
        <v/>
      </c>
      <c r="AR83" t="str">
        <f>IF(OR(SAISIE!$U$4="",SAISIE!$W$4=""),"",IF(AND($A83=SAISIE!$U$4,$B83=SAISIE!$W$4,$C83="S1"),COUNTIFS($A$2:$A83,SAISIE!$U$4,$B$2:$B83,SAISIE!$W$4,$C$2:$C83,"S1"),""))</f>
        <v/>
      </c>
      <c r="AS83" t="str">
        <f t="shared" si="40"/>
        <v/>
      </c>
      <c r="AT83" t="str">
        <f t="shared" si="41"/>
        <v/>
      </c>
      <c r="AU83" t="str">
        <f t="shared" si="42"/>
        <v/>
      </c>
      <c r="AV83">
        <f>N(AV82)+IF(AND($AB83&lt;&gt;"",OR('PROFIL ELEVE'!$K$4="(Tous)",$AF83='PROFIL ELEVE'!$K$4)),1,0)</f>
        <v>0</v>
      </c>
      <c r="AW83">
        <f>N(AW82)+IF(AND($AB83&lt;&gt;"",OR('SUIVI LONGITUDINAL'!$Q$4="(Tous)",$AF83='SUIVI LONGITUDINAL'!$Q$4)),1,0)</f>
        <v>0</v>
      </c>
      <c r="AX83">
        <f t="shared" si="43"/>
        <v>0</v>
      </c>
      <c r="AY83">
        <f t="shared" si="44"/>
        <v>0</v>
      </c>
      <c r="AZ83">
        <f t="shared" si="45"/>
        <v>0</v>
      </c>
      <c r="BA83" t="str">
        <f t="shared" si="46"/>
        <v/>
      </c>
      <c r="BB83" t="str">
        <f t="shared" si="47"/>
        <v/>
      </c>
    </row>
    <row r="84" spans="1:54" ht="14.25" customHeight="1" x14ac:dyDescent="0.3">
      <c r="A84" t="str">
        <f>IF(SAISIE!$F89="","",SAISIE!$B89)</f>
        <v/>
      </c>
      <c r="B84" t="str">
        <f>IF(SAISIE!$F89="","",SAISIE!$C89)</f>
        <v/>
      </c>
      <c r="C84" t="str">
        <f>IF(SAISIE!$F89="","",SAISIE!$D89)</f>
        <v/>
      </c>
      <c r="D84" t="str">
        <f>IF(SAISIE!$E89="","",SAISIE!$E89)</f>
        <v/>
      </c>
      <c r="E84" t="str">
        <f>IF(SAISIE!$F89="","",SAISIE!$F89)</f>
        <v/>
      </c>
      <c r="F84" t="str">
        <f>IF(SAISIE!$G89="","",SAISIE!$G89)</f>
        <v/>
      </c>
      <c r="G84" t="str">
        <f>IF(SAISIE!$H89="","",SAISIE!$H89)</f>
        <v/>
      </c>
      <c r="H84" t="str">
        <f>IF(SAISIE!$I89="","",SAISIE!$I89)</f>
        <v/>
      </c>
      <c r="I84" t="str">
        <f>IF(SAISIE!$J89="","",SAISIE!$J89)</f>
        <v/>
      </c>
      <c r="J84" t="str">
        <f>IF(SAISIE!$K89="","",SAISIE!$K89)</f>
        <v/>
      </c>
      <c r="K84" t="str">
        <f>IF(SAISIE!$L89="","",SAISIE!$L89)</f>
        <v/>
      </c>
      <c r="L84" t="str">
        <f>IF(SAISIE!$M89="","",SAISIE!$M89)</f>
        <v/>
      </c>
      <c r="M84" t="str">
        <f>IF(SAISIE!$N89="","",SAISIE!$N89)</f>
        <v/>
      </c>
      <c r="N84" t="str">
        <f>IF(SAISIE!$O89="","",SAISIE!$O89)</f>
        <v/>
      </c>
      <c r="O84" t="str">
        <f>IF(SAISIE!$P89="","",SAISIE!$P89)</f>
        <v/>
      </c>
      <c r="P84" t="str">
        <f>IF(SAISIE!$Q89="","",SAISIE!$Q89)</f>
        <v/>
      </c>
      <c r="Q84" t="str">
        <f>IF($I84="","",IF($I84&gt;PARAMETRES!$G$29,5,IF($I84&gt;PARAMETRES!$F$29,4,IF($I84&gt;PARAMETRES!$E$29,3,IF($I84&gt;PARAMETRES!$D$29,2,1)))))</f>
        <v/>
      </c>
      <c r="R84" t="str">
        <f>IF($J84="","",IF($J84&gt;PARAMETRES!$G$30,5,IF($J84&gt;PARAMETRES!$F$30,4,IF($J84&gt;PARAMETRES!$E$30,3,IF($J84&gt;PARAMETRES!$D$30,2,1)))))</f>
        <v/>
      </c>
      <c r="S84" t="str">
        <f>IF($K84="","",IF($Z84=2,IF($K84&gt;PARAMETRES!$G$31,5,IF($K84&gt;PARAMETRES!$F$31,4,IF($K84&gt;PARAMETRES!$E$31,3,IF($K84&gt;PARAMETRES!$D$31,2,1)))),IF($K84&gt;PARAMETRES!$G$32,5,IF($K84&gt;PARAMETRES!$F$32,4,IF($K84&gt;PARAMETRES!$E$32,3,IF($K84&gt;PARAMETRES!$D$32,2,1))))))</f>
        <v/>
      </c>
      <c r="T84" t="str">
        <f>IF($L84="","",IF($L84&gt;PARAMETRES!$G$33,5,IF($L84&gt;PARAMETRES!$F$33,4,IF($L84&gt;PARAMETRES!$E$33,3,IF($L84&gt;PARAMETRES!$D$33,2,1)))))</f>
        <v/>
      </c>
      <c r="U84" t="str">
        <f>IF($M84="","",IF($M84&gt;PARAMETRES!$G$34,5,IF($M84&gt;PARAMETRES!$F$34,4,IF($M84&gt;PARAMETRES!$E$34,3,IF($M84&gt;PARAMETRES!$D$34,2,1)))))</f>
        <v/>
      </c>
      <c r="V84" t="str">
        <f>IF($N84="","",IF($N84&gt;PARAMETRES!$G$35,5,IF($N84&gt;PARAMETRES!$F$35,4,IF($N84&gt;PARAMETRES!$E$35,3,IF($N84&gt;PARAMETRES!$D$35,2,1)))))</f>
        <v/>
      </c>
      <c r="W84" t="str">
        <f>IF($O84="","",IF($O84&gt;PARAMETRES!$G$36,5,IF($O84&gt;PARAMETRES!$F$36,4,IF($O84&gt;PARAMETRES!$E$36,3,IF($O84&gt;PARAMETRES!$D$36,2,1)))))</f>
        <v/>
      </c>
      <c r="X84" t="str">
        <f>IF($P84="","",IF($P84&gt;PARAMETRES!$G$37,5,IF($P84&gt;PARAMETRES!$F$37,4,IF($P84&gt;PARAMETRES!$E$37,3,IF($P84&gt;PARAMETRES!$D$37,2,1)))))</f>
        <v/>
      </c>
      <c r="Y84" t="str">
        <f t="shared" si="24"/>
        <v/>
      </c>
      <c r="Z84" t="str">
        <f>IFERROR(VLOOKUP($B84,TABLE_CYCLE,2,0),"")</f>
        <v/>
      </c>
      <c r="AA84" t="str">
        <f t="shared" si="25"/>
        <v/>
      </c>
      <c r="AB84" t="str">
        <f>IF($D84="","",IF(COUNTIF($D$2:$D84,$D84)=1,$D84,""))</f>
        <v/>
      </c>
      <c r="AC84">
        <f t="shared" si="26"/>
        <v>0</v>
      </c>
      <c r="AD84" t="str">
        <f t="shared" si="27"/>
        <v>|0</v>
      </c>
      <c r="AE84" t="str">
        <f t="shared" si="28"/>
        <v/>
      </c>
      <c r="AF84" t="str">
        <f t="shared" si="29"/>
        <v/>
      </c>
      <c r="AG84" t="str">
        <f t="shared" si="30"/>
        <v/>
      </c>
      <c r="AH84" t="str">
        <f t="shared" si="31"/>
        <v/>
      </c>
      <c r="AI84" t="str">
        <f t="shared" si="32"/>
        <v/>
      </c>
      <c r="AJ84" t="str">
        <f t="shared" si="33"/>
        <v/>
      </c>
      <c r="AK84" t="str">
        <f t="shared" si="34"/>
        <v/>
      </c>
      <c r="AL84" t="str">
        <f t="shared" si="35"/>
        <v/>
      </c>
      <c r="AM84" t="str">
        <f t="shared" si="36"/>
        <v/>
      </c>
      <c r="AN84" t="str">
        <f t="shared" si="37"/>
        <v/>
      </c>
      <c r="AO84" t="str">
        <f t="shared" si="38"/>
        <v/>
      </c>
      <c r="AP84">
        <f t="shared" si="39"/>
        <v>1</v>
      </c>
      <c r="AQ84" t="str">
        <f>IF(SAISIE!$F89="","",SAISIE!$Y89)</f>
        <v/>
      </c>
      <c r="AR84" t="str">
        <f>IF(OR(SAISIE!$U$4="",SAISIE!$W$4=""),"",IF(AND($A84=SAISIE!$U$4,$B84=SAISIE!$W$4,$C84="S1"),COUNTIFS($A$2:$A84,SAISIE!$U$4,$B$2:$B84,SAISIE!$W$4,$C$2:$C84,"S1"),""))</f>
        <v/>
      </c>
      <c r="AS84" t="str">
        <f t="shared" si="40"/>
        <v/>
      </c>
      <c r="AT84" t="str">
        <f t="shared" si="41"/>
        <v/>
      </c>
      <c r="AU84" t="str">
        <f t="shared" si="42"/>
        <v/>
      </c>
      <c r="AV84">
        <f>N(AV83)+IF(AND($AB84&lt;&gt;"",OR('PROFIL ELEVE'!$K$4="(Tous)",$AF84='PROFIL ELEVE'!$K$4)),1,0)</f>
        <v>0</v>
      </c>
      <c r="AW84">
        <f>N(AW83)+IF(AND($AB84&lt;&gt;"",OR('SUIVI LONGITUDINAL'!$Q$4="(Tous)",$AF84='SUIVI LONGITUDINAL'!$Q$4)),1,0)</f>
        <v>0</v>
      </c>
      <c r="AX84">
        <f t="shared" si="43"/>
        <v>0</v>
      </c>
      <c r="AY84">
        <f t="shared" si="44"/>
        <v>0</v>
      </c>
      <c r="AZ84">
        <f t="shared" si="45"/>
        <v>0</v>
      </c>
      <c r="BA84" t="str">
        <f t="shared" si="46"/>
        <v/>
      </c>
      <c r="BB84" t="str">
        <f t="shared" si="47"/>
        <v/>
      </c>
    </row>
    <row r="85" spans="1:54" ht="14.25" customHeight="1" x14ac:dyDescent="0.3">
      <c r="A85" t="str">
        <f>IF(SAISIE!$F90="","",SAISIE!$B90)</f>
        <v/>
      </c>
      <c r="B85" t="str">
        <f>IF(SAISIE!$F90="","",SAISIE!$C90)</f>
        <v/>
      </c>
      <c r="C85" t="str">
        <f>IF(SAISIE!$F90="","",SAISIE!$D90)</f>
        <v/>
      </c>
      <c r="D85" t="str">
        <f>IF(SAISIE!$E90="","",SAISIE!$E90)</f>
        <v/>
      </c>
      <c r="E85" t="str">
        <f>IF(SAISIE!$F90="","",SAISIE!$F90)</f>
        <v/>
      </c>
      <c r="F85" t="str">
        <f>IF(SAISIE!$G90="","",SAISIE!$G90)</f>
        <v/>
      </c>
      <c r="G85" t="str">
        <f>IF(SAISIE!$H90="","",SAISIE!$H90)</f>
        <v/>
      </c>
      <c r="H85" t="str">
        <f>IF(SAISIE!$I90="","",SAISIE!$I90)</f>
        <v/>
      </c>
      <c r="I85" t="str">
        <f>IF(SAISIE!$J90="","",SAISIE!$J90)</f>
        <v/>
      </c>
      <c r="J85" t="str">
        <f>IF(SAISIE!$K90="","",SAISIE!$K90)</f>
        <v/>
      </c>
      <c r="K85" t="str">
        <f>IF(SAISIE!$L90="","",SAISIE!$L90)</f>
        <v/>
      </c>
      <c r="L85" t="str">
        <f>IF(SAISIE!$M90="","",SAISIE!$M90)</f>
        <v/>
      </c>
      <c r="M85" t="str">
        <f>IF(SAISIE!$N90="","",SAISIE!$N90)</f>
        <v/>
      </c>
      <c r="N85" t="str">
        <f>IF(SAISIE!$O90="","",SAISIE!$O90)</f>
        <v/>
      </c>
      <c r="O85" t="str">
        <f>IF(SAISIE!$P90="","",SAISIE!$P90)</f>
        <v/>
      </c>
      <c r="P85" t="str">
        <f>IF(SAISIE!$Q90="","",SAISIE!$Q90)</f>
        <v/>
      </c>
      <c r="Q85" t="str">
        <f>IF($I85="","",IF($I85&gt;PARAMETRES!$G$29,5,IF($I85&gt;PARAMETRES!$F$29,4,IF($I85&gt;PARAMETRES!$E$29,3,IF($I85&gt;PARAMETRES!$D$29,2,1)))))</f>
        <v/>
      </c>
      <c r="R85" t="str">
        <f>IF($J85="","",IF($J85&gt;PARAMETRES!$G$30,5,IF($J85&gt;PARAMETRES!$F$30,4,IF($J85&gt;PARAMETRES!$E$30,3,IF($J85&gt;PARAMETRES!$D$30,2,1)))))</f>
        <v/>
      </c>
      <c r="S85" t="str">
        <f>IF($K85="","",IF($Z85=2,IF($K85&gt;PARAMETRES!$G$31,5,IF($K85&gt;PARAMETRES!$F$31,4,IF($K85&gt;PARAMETRES!$E$31,3,IF($K85&gt;PARAMETRES!$D$31,2,1)))),IF($K85&gt;PARAMETRES!$G$32,5,IF($K85&gt;PARAMETRES!$F$32,4,IF($K85&gt;PARAMETRES!$E$32,3,IF($K85&gt;PARAMETRES!$D$32,2,1))))))</f>
        <v/>
      </c>
      <c r="T85" t="str">
        <f>IF($L85="","",IF($L85&gt;PARAMETRES!$G$33,5,IF($L85&gt;PARAMETRES!$F$33,4,IF($L85&gt;PARAMETRES!$E$33,3,IF($L85&gt;PARAMETRES!$D$33,2,1)))))</f>
        <v/>
      </c>
      <c r="U85" t="str">
        <f>IF($M85="","",IF($M85&gt;PARAMETRES!$G$34,5,IF($M85&gt;PARAMETRES!$F$34,4,IF($M85&gt;PARAMETRES!$E$34,3,IF($M85&gt;PARAMETRES!$D$34,2,1)))))</f>
        <v/>
      </c>
      <c r="V85" t="str">
        <f>IF($N85="","",IF($N85&gt;PARAMETRES!$G$35,5,IF($N85&gt;PARAMETRES!$F$35,4,IF($N85&gt;PARAMETRES!$E$35,3,IF($N85&gt;PARAMETRES!$D$35,2,1)))))</f>
        <v/>
      </c>
      <c r="W85" t="str">
        <f>IF($O85="","",IF($O85&gt;PARAMETRES!$G$36,5,IF($O85&gt;PARAMETRES!$F$36,4,IF($O85&gt;PARAMETRES!$E$36,3,IF($O85&gt;PARAMETRES!$D$36,2,1)))))</f>
        <v/>
      </c>
      <c r="X85" t="str">
        <f>IF($P85="","",IF($P85&gt;PARAMETRES!$G$37,5,IF($P85&gt;PARAMETRES!$F$37,4,IF($P85&gt;PARAMETRES!$E$37,3,IF($P85&gt;PARAMETRES!$D$37,2,1)))))</f>
        <v/>
      </c>
      <c r="Y85" t="str">
        <f t="shared" si="24"/>
        <v/>
      </c>
      <c r="Z85" t="str">
        <f>IFERROR(VLOOKUP($B85,TABLE_CYCLE,2,0),"")</f>
        <v/>
      </c>
      <c r="AA85" t="str">
        <f t="shared" si="25"/>
        <v/>
      </c>
      <c r="AB85" t="str">
        <f>IF($D85="","",IF(COUNTIF($D$2:$D85,$D85)=1,$D85,""))</f>
        <v/>
      </c>
      <c r="AC85">
        <f t="shared" si="26"/>
        <v>0</v>
      </c>
      <c r="AD85" t="str">
        <f t="shared" si="27"/>
        <v>|0</v>
      </c>
      <c r="AE85" t="str">
        <f t="shared" si="28"/>
        <v/>
      </c>
      <c r="AF85" t="str">
        <f t="shared" si="29"/>
        <v/>
      </c>
      <c r="AG85" t="str">
        <f t="shared" si="30"/>
        <v/>
      </c>
      <c r="AH85" t="str">
        <f t="shared" si="31"/>
        <v/>
      </c>
      <c r="AI85" t="str">
        <f t="shared" si="32"/>
        <v/>
      </c>
      <c r="AJ85" t="str">
        <f t="shared" si="33"/>
        <v/>
      </c>
      <c r="AK85" t="str">
        <f t="shared" si="34"/>
        <v/>
      </c>
      <c r="AL85" t="str">
        <f t="shared" si="35"/>
        <v/>
      </c>
      <c r="AM85" t="str">
        <f t="shared" si="36"/>
        <v/>
      </c>
      <c r="AN85" t="str">
        <f t="shared" si="37"/>
        <v/>
      </c>
      <c r="AO85" t="str">
        <f t="shared" si="38"/>
        <v/>
      </c>
      <c r="AP85">
        <f t="shared" si="39"/>
        <v>1</v>
      </c>
      <c r="AQ85" t="str">
        <f>IF(SAISIE!$F90="","",SAISIE!$Y90)</f>
        <v/>
      </c>
      <c r="AR85" t="str">
        <f>IF(OR(SAISIE!$U$4="",SAISIE!$W$4=""),"",IF(AND($A85=SAISIE!$U$4,$B85=SAISIE!$W$4,$C85="S1"),COUNTIFS($A$2:$A85,SAISIE!$U$4,$B$2:$B85,SAISIE!$W$4,$C$2:$C85,"S1"),""))</f>
        <v/>
      </c>
      <c r="AS85" t="str">
        <f t="shared" si="40"/>
        <v/>
      </c>
      <c r="AT85" t="str">
        <f t="shared" si="41"/>
        <v/>
      </c>
      <c r="AU85" t="str">
        <f t="shared" si="42"/>
        <v/>
      </c>
      <c r="AV85">
        <f>N(AV84)+IF(AND($AB85&lt;&gt;"",OR('PROFIL ELEVE'!$K$4="(Tous)",$AF85='PROFIL ELEVE'!$K$4)),1,0)</f>
        <v>0</v>
      </c>
      <c r="AW85">
        <f>N(AW84)+IF(AND($AB85&lt;&gt;"",OR('SUIVI LONGITUDINAL'!$Q$4="(Tous)",$AF85='SUIVI LONGITUDINAL'!$Q$4)),1,0)</f>
        <v>0</v>
      </c>
      <c r="AX85">
        <f t="shared" si="43"/>
        <v>0</v>
      </c>
      <c r="AY85">
        <f t="shared" si="44"/>
        <v>0</v>
      </c>
      <c r="AZ85">
        <f t="shared" si="45"/>
        <v>0</v>
      </c>
      <c r="BA85" t="str">
        <f t="shared" si="46"/>
        <v/>
      </c>
      <c r="BB85" t="str">
        <f t="shared" si="47"/>
        <v/>
      </c>
    </row>
    <row r="86" spans="1:54" ht="14.25" customHeight="1" x14ac:dyDescent="0.3">
      <c r="A86" t="str">
        <f>IF(SAISIE!$F91="","",SAISIE!$B91)</f>
        <v/>
      </c>
      <c r="B86" t="str">
        <f>IF(SAISIE!$F91="","",SAISIE!$C91)</f>
        <v/>
      </c>
      <c r="C86" t="str">
        <f>IF(SAISIE!$F91="","",SAISIE!$D91)</f>
        <v/>
      </c>
      <c r="D86" t="str">
        <f>IF(SAISIE!$E91="","",SAISIE!$E91)</f>
        <v/>
      </c>
      <c r="E86" t="str">
        <f>IF(SAISIE!$F91="","",SAISIE!$F91)</f>
        <v/>
      </c>
      <c r="F86" t="str">
        <f>IF(SAISIE!$G91="","",SAISIE!$G91)</f>
        <v/>
      </c>
      <c r="G86" t="str">
        <f>IF(SAISIE!$H91="","",SAISIE!$H91)</f>
        <v/>
      </c>
      <c r="H86" t="str">
        <f>IF(SAISIE!$I91="","",SAISIE!$I91)</f>
        <v/>
      </c>
      <c r="I86" t="str">
        <f>IF(SAISIE!$J91="","",SAISIE!$J91)</f>
        <v/>
      </c>
      <c r="J86" t="str">
        <f>IF(SAISIE!$K91="","",SAISIE!$K91)</f>
        <v/>
      </c>
      <c r="K86" t="str">
        <f>IF(SAISIE!$L91="","",SAISIE!$L91)</f>
        <v/>
      </c>
      <c r="L86" t="str">
        <f>IF(SAISIE!$M91="","",SAISIE!$M91)</f>
        <v/>
      </c>
      <c r="M86" t="str">
        <f>IF(SAISIE!$N91="","",SAISIE!$N91)</f>
        <v/>
      </c>
      <c r="N86" t="str">
        <f>IF(SAISIE!$O91="","",SAISIE!$O91)</f>
        <v/>
      </c>
      <c r="O86" t="str">
        <f>IF(SAISIE!$P91="","",SAISIE!$P91)</f>
        <v/>
      </c>
      <c r="P86" t="str">
        <f>IF(SAISIE!$Q91="","",SAISIE!$Q91)</f>
        <v/>
      </c>
      <c r="Q86" t="str">
        <f>IF($I86="","",IF($I86&gt;PARAMETRES!$G$29,5,IF($I86&gt;PARAMETRES!$F$29,4,IF($I86&gt;PARAMETRES!$E$29,3,IF($I86&gt;PARAMETRES!$D$29,2,1)))))</f>
        <v/>
      </c>
      <c r="R86" t="str">
        <f>IF($J86="","",IF($J86&gt;PARAMETRES!$G$30,5,IF($J86&gt;PARAMETRES!$F$30,4,IF($J86&gt;PARAMETRES!$E$30,3,IF($J86&gt;PARAMETRES!$D$30,2,1)))))</f>
        <v/>
      </c>
      <c r="S86" t="str">
        <f>IF($K86="","",IF($Z86=2,IF($K86&gt;PARAMETRES!$G$31,5,IF($K86&gt;PARAMETRES!$F$31,4,IF($K86&gt;PARAMETRES!$E$31,3,IF($K86&gt;PARAMETRES!$D$31,2,1)))),IF($K86&gt;PARAMETRES!$G$32,5,IF($K86&gt;PARAMETRES!$F$32,4,IF($K86&gt;PARAMETRES!$E$32,3,IF($K86&gt;PARAMETRES!$D$32,2,1))))))</f>
        <v/>
      </c>
      <c r="T86" t="str">
        <f>IF($L86="","",IF($L86&gt;PARAMETRES!$G$33,5,IF($L86&gt;PARAMETRES!$F$33,4,IF($L86&gt;PARAMETRES!$E$33,3,IF($L86&gt;PARAMETRES!$D$33,2,1)))))</f>
        <v/>
      </c>
      <c r="U86" t="str">
        <f>IF($M86="","",IF($M86&gt;PARAMETRES!$G$34,5,IF($M86&gt;PARAMETRES!$F$34,4,IF($M86&gt;PARAMETRES!$E$34,3,IF($M86&gt;PARAMETRES!$D$34,2,1)))))</f>
        <v/>
      </c>
      <c r="V86" t="str">
        <f>IF($N86="","",IF($N86&gt;PARAMETRES!$G$35,5,IF($N86&gt;PARAMETRES!$F$35,4,IF($N86&gt;PARAMETRES!$E$35,3,IF($N86&gt;PARAMETRES!$D$35,2,1)))))</f>
        <v/>
      </c>
      <c r="W86" t="str">
        <f>IF($O86="","",IF($O86&gt;PARAMETRES!$G$36,5,IF($O86&gt;PARAMETRES!$F$36,4,IF($O86&gt;PARAMETRES!$E$36,3,IF($O86&gt;PARAMETRES!$D$36,2,1)))))</f>
        <v/>
      </c>
      <c r="X86" t="str">
        <f>IF($P86="","",IF($P86&gt;PARAMETRES!$G$37,5,IF($P86&gt;PARAMETRES!$F$37,4,IF($P86&gt;PARAMETRES!$E$37,3,IF($P86&gt;PARAMETRES!$D$37,2,1)))))</f>
        <v/>
      </c>
      <c r="Y86" t="str">
        <f t="shared" si="24"/>
        <v/>
      </c>
      <c r="Z86" t="str">
        <f>IFERROR(VLOOKUP($B86,TABLE_CYCLE,2,0),"")</f>
        <v/>
      </c>
      <c r="AA86" t="str">
        <f t="shared" si="25"/>
        <v/>
      </c>
      <c r="AB86" t="str">
        <f>IF($D86="","",IF(COUNTIF($D$2:$D86,$D86)=1,$D86,""))</f>
        <v/>
      </c>
      <c r="AC86">
        <f t="shared" si="26"/>
        <v>0</v>
      </c>
      <c r="AD86" t="str">
        <f t="shared" si="27"/>
        <v>|0</v>
      </c>
      <c r="AE86" t="str">
        <f t="shared" si="28"/>
        <v/>
      </c>
      <c r="AF86" t="str">
        <f t="shared" si="29"/>
        <v/>
      </c>
      <c r="AG86" t="str">
        <f t="shared" si="30"/>
        <v/>
      </c>
      <c r="AH86" t="str">
        <f t="shared" si="31"/>
        <v/>
      </c>
      <c r="AI86" t="str">
        <f t="shared" si="32"/>
        <v/>
      </c>
      <c r="AJ86" t="str">
        <f t="shared" si="33"/>
        <v/>
      </c>
      <c r="AK86" t="str">
        <f t="shared" si="34"/>
        <v/>
      </c>
      <c r="AL86" t="str">
        <f t="shared" si="35"/>
        <v/>
      </c>
      <c r="AM86" t="str">
        <f t="shared" si="36"/>
        <v/>
      </c>
      <c r="AN86" t="str">
        <f t="shared" si="37"/>
        <v/>
      </c>
      <c r="AO86" t="str">
        <f t="shared" si="38"/>
        <v/>
      </c>
      <c r="AP86">
        <f t="shared" si="39"/>
        <v>1</v>
      </c>
      <c r="AQ86" t="str">
        <f>IF(SAISIE!$F91="","",SAISIE!$Y91)</f>
        <v/>
      </c>
      <c r="AR86" t="str">
        <f>IF(OR(SAISIE!$U$4="",SAISIE!$W$4=""),"",IF(AND($A86=SAISIE!$U$4,$B86=SAISIE!$W$4,$C86="S1"),COUNTIFS($A$2:$A86,SAISIE!$U$4,$B$2:$B86,SAISIE!$W$4,$C$2:$C86,"S1"),""))</f>
        <v/>
      </c>
      <c r="AS86" t="str">
        <f t="shared" si="40"/>
        <v/>
      </c>
      <c r="AT86" t="str">
        <f t="shared" si="41"/>
        <v/>
      </c>
      <c r="AU86" t="str">
        <f t="shared" si="42"/>
        <v/>
      </c>
      <c r="AV86">
        <f>N(AV85)+IF(AND($AB86&lt;&gt;"",OR('PROFIL ELEVE'!$K$4="(Tous)",$AF86='PROFIL ELEVE'!$K$4)),1,0)</f>
        <v>0</v>
      </c>
      <c r="AW86">
        <f>N(AW85)+IF(AND($AB86&lt;&gt;"",OR('SUIVI LONGITUDINAL'!$Q$4="(Tous)",$AF86='SUIVI LONGITUDINAL'!$Q$4)),1,0)</f>
        <v>0</v>
      </c>
      <c r="AX86">
        <f t="shared" si="43"/>
        <v>0</v>
      </c>
      <c r="AY86">
        <f t="shared" si="44"/>
        <v>0</v>
      </c>
      <c r="AZ86">
        <f t="shared" si="45"/>
        <v>0</v>
      </c>
      <c r="BA86" t="str">
        <f t="shared" si="46"/>
        <v/>
      </c>
      <c r="BB86" t="str">
        <f t="shared" si="47"/>
        <v/>
      </c>
    </row>
    <row r="87" spans="1:54" ht="14.25" customHeight="1" x14ac:dyDescent="0.3">
      <c r="A87" t="str">
        <f>IF(SAISIE!$F92="","",SAISIE!$B92)</f>
        <v/>
      </c>
      <c r="B87" t="str">
        <f>IF(SAISIE!$F92="","",SAISIE!$C92)</f>
        <v/>
      </c>
      <c r="C87" t="str">
        <f>IF(SAISIE!$F92="","",SAISIE!$D92)</f>
        <v/>
      </c>
      <c r="D87" t="str">
        <f>IF(SAISIE!$E92="","",SAISIE!$E92)</f>
        <v/>
      </c>
      <c r="E87" t="str">
        <f>IF(SAISIE!$F92="","",SAISIE!$F92)</f>
        <v/>
      </c>
      <c r="F87" t="str">
        <f>IF(SAISIE!$G92="","",SAISIE!$G92)</f>
        <v/>
      </c>
      <c r="G87" t="str">
        <f>IF(SAISIE!$H92="","",SAISIE!$H92)</f>
        <v/>
      </c>
      <c r="H87" t="str">
        <f>IF(SAISIE!$I92="","",SAISIE!$I92)</f>
        <v/>
      </c>
      <c r="I87" t="str">
        <f>IF(SAISIE!$J92="","",SAISIE!$J92)</f>
        <v/>
      </c>
      <c r="J87" t="str">
        <f>IF(SAISIE!$K92="","",SAISIE!$K92)</f>
        <v/>
      </c>
      <c r="K87" t="str">
        <f>IF(SAISIE!$L92="","",SAISIE!$L92)</f>
        <v/>
      </c>
      <c r="L87" t="str">
        <f>IF(SAISIE!$M92="","",SAISIE!$M92)</f>
        <v/>
      </c>
      <c r="M87" t="str">
        <f>IF(SAISIE!$N92="","",SAISIE!$N92)</f>
        <v/>
      </c>
      <c r="N87" t="str">
        <f>IF(SAISIE!$O92="","",SAISIE!$O92)</f>
        <v/>
      </c>
      <c r="O87" t="str">
        <f>IF(SAISIE!$P92="","",SAISIE!$P92)</f>
        <v/>
      </c>
      <c r="P87" t="str">
        <f>IF(SAISIE!$Q92="","",SAISIE!$Q92)</f>
        <v/>
      </c>
      <c r="Q87" t="str">
        <f>IF($I87="","",IF($I87&gt;PARAMETRES!$G$29,5,IF($I87&gt;PARAMETRES!$F$29,4,IF($I87&gt;PARAMETRES!$E$29,3,IF($I87&gt;PARAMETRES!$D$29,2,1)))))</f>
        <v/>
      </c>
      <c r="R87" t="str">
        <f>IF($J87="","",IF($J87&gt;PARAMETRES!$G$30,5,IF($J87&gt;PARAMETRES!$F$30,4,IF($J87&gt;PARAMETRES!$E$30,3,IF($J87&gt;PARAMETRES!$D$30,2,1)))))</f>
        <v/>
      </c>
      <c r="S87" t="str">
        <f>IF($K87="","",IF($Z87=2,IF($K87&gt;PARAMETRES!$G$31,5,IF($K87&gt;PARAMETRES!$F$31,4,IF($K87&gt;PARAMETRES!$E$31,3,IF($K87&gt;PARAMETRES!$D$31,2,1)))),IF($K87&gt;PARAMETRES!$G$32,5,IF($K87&gt;PARAMETRES!$F$32,4,IF($K87&gt;PARAMETRES!$E$32,3,IF($K87&gt;PARAMETRES!$D$32,2,1))))))</f>
        <v/>
      </c>
      <c r="T87" t="str">
        <f>IF($L87="","",IF($L87&gt;PARAMETRES!$G$33,5,IF($L87&gt;PARAMETRES!$F$33,4,IF($L87&gt;PARAMETRES!$E$33,3,IF($L87&gt;PARAMETRES!$D$33,2,1)))))</f>
        <v/>
      </c>
      <c r="U87" t="str">
        <f>IF($M87="","",IF($M87&gt;PARAMETRES!$G$34,5,IF($M87&gt;PARAMETRES!$F$34,4,IF($M87&gt;PARAMETRES!$E$34,3,IF($M87&gt;PARAMETRES!$D$34,2,1)))))</f>
        <v/>
      </c>
      <c r="V87" t="str">
        <f>IF($N87="","",IF($N87&gt;PARAMETRES!$G$35,5,IF($N87&gt;PARAMETRES!$F$35,4,IF($N87&gt;PARAMETRES!$E$35,3,IF($N87&gt;PARAMETRES!$D$35,2,1)))))</f>
        <v/>
      </c>
      <c r="W87" t="str">
        <f>IF($O87="","",IF($O87&gt;PARAMETRES!$G$36,5,IF($O87&gt;PARAMETRES!$F$36,4,IF($O87&gt;PARAMETRES!$E$36,3,IF($O87&gt;PARAMETRES!$D$36,2,1)))))</f>
        <v/>
      </c>
      <c r="X87" t="str">
        <f>IF($P87="","",IF($P87&gt;PARAMETRES!$G$37,5,IF($P87&gt;PARAMETRES!$F$37,4,IF($P87&gt;PARAMETRES!$E$37,3,IF($P87&gt;PARAMETRES!$D$37,2,1)))))</f>
        <v/>
      </c>
      <c r="Y87" t="str">
        <f t="shared" si="24"/>
        <v/>
      </c>
      <c r="Z87" t="str">
        <f>IFERROR(VLOOKUP($B87,TABLE_CYCLE,2,0),"")</f>
        <v/>
      </c>
      <c r="AA87" t="str">
        <f t="shared" si="25"/>
        <v/>
      </c>
      <c r="AB87" t="str">
        <f>IF($D87="","",IF(COUNTIF($D$2:$D87,$D87)=1,$D87,""))</f>
        <v/>
      </c>
      <c r="AC87">
        <f t="shared" si="26"/>
        <v>0</v>
      </c>
      <c r="AD87" t="str">
        <f t="shared" si="27"/>
        <v>|0</v>
      </c>
      <c r="AE87" t="str">
        <f t="shared" si="28"/>
        <v/>
      </c>
      <c r="AF87" t="str">
        <f t="shared" si="29"/>
        <v/>
      </c>
      <c r="AG87" t="str">
        <f t="shared" si="30"/>
        <v/>
      </c>
      <c r="AH87" t="str">
        <f t="shared" si="31"/>
        <v/>
      </c>
      <c r="AI87" t="str">
        <f t="shared" si="32"/>
        <v/>
      </c>
      <c r="AJ87" t="str">
        <f t="shared" si="33"/>
        <v/>
      </c>
      <c r="AK87" t="str">
        <f t="shared" si="34"/>
        <v/>
      </c>
      <c r="AL87" t="str">
        <f t="shared" si="35"/>
        <v/>
      </c>
      <c r="AM87" t="str">
        <f t="shared" si="36"/>
        <v/>
      </c>
      <c r="AN87" t="str">
        <f t="shared" si="37"/>
        <v/>
      </c>
      <c r="AO87" t="str">
        <f t="shared" si="38"/>
        <v/>
      </c>
      <c r="AP87">
        <f t="shared" si="39"/>
        <v>1</v>
      </c>
      <c r="AQ87" t="str">
        <f>IF(SAISIE!$F92="","",SAISIE!$Y92)</f>
        <v/>
      </c>
      <c r="AR87" t="str">
        <f>IF(OR(SAISIE!$U$4="",SAISIE!$W$4=""),"",IF(AND($A87=SAISIE!$U$4,$B87=SAISIE!$W$4,$C87="S1"),COUNTIFS($A$2:$A87,SAISIE!$U$4,$B$2:$B87,SAISIE!$W$4,$C$2:$C87,"S1"),""))</f>
        <v/>
      </c>
      <c r="AS87" t="str">
        <f t="shared" si="40"/>
        <v/>
      </c>
      <c r="AT87" t="str">
        <f t="shared" si="41"/>
        <v/>
      </c>
      <c r="AU87" t="str">
        <f t="shared" si="42"/>
        <v/>
      </c>
      <c r="AV87">
        <f>N(AV86)+IF(AND($AB87&lt;&gt;"",OR('PROFIL ELEVE'!$K$4="(Tous)",$AF87='PROFIL ELEVE'!$K$4)),1,0)</f>
        <v>0</v>
      </c>
      <c r="AW87">
        <f>N(AW86)+IF(AND($AB87&lt;&gt;"",OR('SUIVI LONGITUDINAL'!$Q$4="(Tous)",$AF87='SUIVI LONGITUDINAL'!$Q$4)),1,0)</f>
        <v>0</v>
      </c>
      <c r="AX87">
        <f t="shared" si="43"/>
        <v>0</v>
      </c>
      <c r="AY87">
        <f t="shared" si="44"/>
        <v>0</v>
      </c>
      <c r="AZ87">
        <f t="shared" si="45"/>
        <v>0</v>
      </c>
      <c r="BA87" t="str">
        <f t="shared" si="46"/>
        <v/>
      </c>
      <c r="BB87" t="str">
        <f t="shared" si="47"/>
        <v/>
      </c>
    </row>
    <row r="88" spans="1:54" ht="14.25" customHeight="1" x14ac:dyDescent="0.3">
      <c r="A88" t="str">
        <f>IF(SAISIE!$F93="","",SAISIE!$B93)</f>
        <v/>
      </c>
      <c r="B88" t="str">
        <f>IF(SAISIE!$F93="","",SAISIE!$C93)</f>
        <v/>
      </c>
      <c r="C88" t="str">
        <f>IF(SAISIE!$F93="","",SAISIE!$D93)</f>
        <v/>
      </c>
      <c r="D88" t="str">
        <f>IF(SAISIE!$E93="","",SAISIE!$E93)</f>
        <v/>
      </c>
      <c r="E88" t="str">
        <f>IF(SAISIE!$F93="","",SAISIE!$F93)</f>
        <v/>
      </c>
      <c r="F88" t="str">
        <f>IF(SAISIE!$G93="","",SAISIE!$G93)</f>
        <v/>
      </c>
      <c r="G88" t="str">
        <f>IF(SAISIE!$H93="","",SAISIE!$H93)</f>
        <v/>
      </c>
      <c r="H88" t="str">
        <f>IF(SAISIE!$I93="","",SAISIE!$I93)</f>
        <v/>
      </c>
      <c r="I88" t="str">
        <f>IF(SAISIE!$J93="","",SAISIE!$J93)</f>
        <v/>
      </c>
      <c r="J88" t="str">
        <f>IF(SAISIE!$K93="","",SAISIE!$K93)</f>
        <v/>
      </c>
      <c r="K88" t="str">
        <f>IF(SAISIE!$L93="","",SAISIE!$L93)</f>
        <v/>
      </c>
      <c r="L88" t="str">
        <f>IF(SAISIE!$M93="","",SAISIE!$M93)</f>
        <v/>
      </c>
      <c r="M88" t="str">
        <f>IF(SAISIE!$N93="","",SAISIE!$N93)</f>
        <v/>
      </c>
      <c r="N88" t="str">
        <f>IF(SAISIE!$O93="","",SAISIE!$O93)</f>
        <v/>
      </c>
      <c r="O88" t="str">
        <f>IF(SAISIE!$P93="","",SAISIE!$P93)</f>
        <v/>
      </c>
      <c r="P88" t="str">
        <f>IF(SAISIE!$Q93="","",SAISIE!$Q93)</f>
        <v/>
      </c>
      <c r="Q88" t="str">
        <f>IF($I88="","",IF($I88&gt;PARAMETRES!$G$29,5,IF($I88&gt;PARAMETRES!$F$29,4,IF($I88&gt;PARAMETRES!$E$29,3,IF($I88&gt;PARAMETRES!$D$29,2,1)))))</f>
        <v/>
      </c>
      <c r="R88" t="str">
        <f>IF($J88="","",IF($J88&gt;PARAMETRES!$G$30,5,IF($J88&gt;PARAMETRES!$F$30,4,IF($J88&gt;PARAMETRES!$E$30,3,IF($J88&gt;PARAMETRES!$D$30,2,1)))))</f>
        <v/>
      </c>
      <c r="S88" t="str">
        <f>IF($K88="","",IF($Z88=2,IF($K88&gt;PARAMETRES!$G$31,5,IF($K88&gt;PARAMETRES!$F$31,4,IF($K88&gt;PARAMETRES!$E$31,3,IF($K88&gt;PARAMETRES!$D$31,2,1)))),IF($K88&gt;PARAMETRES!$G$32,5,IF($K88&gt;PARAMETRES!$F$32,4,IF($K88&gt;PARAMETRES!$E$32,3,IF($K88&gt;PARAMETRES!$D$32,2,1))))))</f>
        <v/>
      </c>
      <c r="T88" t="str">
        <f>IF($L88="","",IF($L88&gt;PARAMETRES!$G$33,5,IF($L88&gt;PARAMETRES!$F$33,4,IF($L88&gt;PARAMETRES!$E$33,3,IF($L88&gt;PARAMETRES!$D$33,2,1)))))</f>
        <v/>
      </c>
      <c r="U88" t="str">
        <f>IF($M88="","",IF($M88&gt;PARAMETRES!$G$34,5,IF($M88&gt;PARAMETRES!$F$34,4,IF($M88&gt;PARAMETRES!$E$34,3,IF($M88&gt;PARAMETRES!$D$34,2,1)))))</f>
        <v/>
      </c>
      <c r="V88" t="str">
        <f>IF($N88="","",IF($N88&gt;PARAMETRES!$G$35,5,IF($N88&gt;PARAMETRES!$F$35,4,IF($N88&gt;PARAMETRES!$E$35,3,IF($N88&gt;PARAMETRES!$D$35,2,1)))))</f>
        <v/>
      </c>
      <c r="W88" t="str">
        <f>IF($O88="","",IF($O88&gt;PARAMETRES!$G$36,5,IF($O88&gt;PARAMETRES!$F$36,4,IF($O88&gt;PARAMETRES!$E$36,3,IF($O88&gt;PARAMETRES!$D$36,2,1)))))</f>
        <v/>
      </c>
      <c r="X88" t="str">
        <f>IF($P88="","",IF($P88&gt;PARAMETRES!$G$37,5,IF($P88&gt;PARAMETRES!$F$37,4,IF($P88&gt;PARAMETRES!$E$37,3,IF($P88&gt;PARAMETRES!$D$37,2,1)))))</f>
        <v/>
      </c>
      <c r="Y88" t="str">
        <f t="shared" si="24"/>
        <v/>
      </c>
      <c r="Z88" t="str">
        <f>IFERROR(VLOOKUP($B88,TABLE_CYCLE,2,0),"")</f>
        <v/>
      </c>
      <c r="AA88" t="str">
        <f t="shared" si="25"/>
        <v/>
      </c>
      <c r="AB88" t="str">
        <f>IF($D88="","",IF(COUNTIF($D$2:$D88,$D88)=1,$D88,""))</f>
        <v/>
      </c>
      <c r="AC88">
        <f t="shared" si="26"/>
        <v>0</v>
      </c>
      <c r="AD88" t="str">
        <f t="shared" si="27"/>
        <v>|0</v>
      </c>
      <c r="AE88" t="str">
        <f t="shared" si="28"/>
        <v/>
      </c>
      <c r="AF88" t="str">
        <f t="shared" si="29"/>
        <v/>
      </c>
      <c r="AG88" t="str">
        <f t="shared" si="30"/>
        <v/>
      </c>
      <c r="AH88" t="str">
        <f t="shared" si="31"/>
        <v/>
      </c>
      <c r="AI88" t="str">
        <f t="shared" si="32"/>
        <v/>
      </c>
      <c r="AJ88" t="str">
        <f t="shared" si="33"/>
        <v/>
      </c>
      <c r="AK88" t="str">
        <f t="shared" si="34"/>
        <v/>
      </c>
      <c r="AL88" t="str">
        <f t="shared" si="35"/>
        <v/>
      </c>
      <c r="AM88" t="str">
        <f t="shared" si="36"/>
        <v/>
      </c>
      <c r="AN88" t="str">
        <f t="shared" si="37"/>
        <v/>
      </c>
      <c r="AO88" t="str">
        <f t="shared" si="38"/>
        <v/>
      </c>
      <c r="AP88">
        <f t="shared" si="39"/>
        <v>1</v>
      </c>
      <c r="AQ88" t="str">
        <f>IF(SAISIE!$F93="","",SAISIE!$Y93)</f>
        <v/>
      </c>
      <c r="AR88" t="str">
        <f>IF(OR(SAISIE!$U$4="",SAISIE!$W$4=""),"",IF(AND($A88=SAISIE!$U$4,$B88=SAISIE!$W$4,$C88="S1"),COUNTIFS($A$2:$A88,SAISIE!$U$4,$B$2:$B88,SAISIE!$W$4,$C$2:$C88,"S1"),""))</f>
        <v/>
      </c>
      <c r="AS88" t="str">
        <f t="shared" si="40"/>
        <v/>
      </c>
      <c r="AT88" t="str">
        <f t="shared" si="41"/>
        <v/>
      </c>
      <c r="AU88" t="str">
        <f t="shared" si="42"/>
        <v/>
      </c>
      <c r="AV88">
        <f>N(AV87)+IF(AND($AB88&lt;&gt;"",OR('PROFIL ELEVE'!$K$4="(Tous)",$AF88='PROFIL ELEVE'!$K$4)),1,0)</f>
        <v>0</v>
      </c>
      <c r="AW88">
        <f>N(AW87)+IF(AND($AB88&lt;&gt;"",OR('SUIVI LONGITUDINAL'!$Q$4="(Tous)",$AF88='SUIVI LONGITUDINAL'!$Q$4)),1,0)</f>
        <v>0</v>
      </c>
      <c r="AX88">
        <f t="shared" si="43"/>
        <v>0</v>
      </c>
      <c r="AY88">
        <f t="shared" si="44"/>
        <v>0</v>
      </c>
      <c r="AZ88">
        <f t="shared" si="45"/>
        <v>0</v>
      </c>
      <c r="BA88" t="str">
        <f t="shared" si="46"/>
        <v/>
      </c>
      <c r="BB88" t="str">
        <f t="shared" si="47"/>
        <v/>
      </c>
    </row>
    <row r="89" spans="1:54" ht="14.25" customHeight="1" x14ac:dyDescent="0.3">
      <c r="A89" t="str">
        <f>IF(SAISIE!$F94="","",SAISIE!$B94)</f>
        <v/>
      </c>
      <c r="B89" t="str">
        <f>IF(SAISIE!$F94="","",SAISIE!$C94)</f>
        <v/>
      </c>
      <c r="C89" t="str">
        <f>IF(SAISIE!$F94="","",SAISIE!$D94)</f>
        <v/>
      </c>
      <c r="D89" t="str">
        <f>IF(SAISIE!$E94="","",SAISIE!$E94)</f>
        <v/>
      </c>
      <c r="E89" t="str">
        <f>IF(SAISIE!$F94="","",SAISIE!$F94)</f>
        <v/>
      </c>
      <c r="F89" t="str">
        <f>IF(SAISIE!$G94="","",SAISIE!$G94)</f>
        <v/>
      </c>
      <c r="G89" t="str">
        <f>IF(SAISIE!$H94="","",SAISIE!$H94)</f>
        <v/>
      </c>
      <c r="H89" t="str">
        <f>IF(SAISIE!$I94="","",SAISIE!$I94)</f>
        <v/>
      </c>
      <c r="I89" t="str">
        <f>IF(SAISIE!$J94="","",SAISIE!$J94)</f>
        <v/>
      </c>
      <c r="J89" t="str">
        <f>IF(SAISIE!$K94="","",SAISIE!$K94)</f>
        <v/>
      </c>
      <c r="K89" t="str">
        <f>IF(SAISIE!$L94="","",SAISIE!$L94)</f>
        <v/>
      </c>
      <c r="L89" t="str">
        <f>IF(SAISIE!$M94="","",SAISIE!$M94)</f>
        <v/>
      </c>
      <c r="M89" t="str">
        <f>IF(SAISIE!$N94="","",SAISIE!$N94)</f>
        <v/>
      </c>
      <c r="N89" t="str">
        <f>IF(SAISIE!$O94="","",SAISIE!$O94)</f>
        <v/>
      </c>
      <c r="O89" t="str">
        <f>IF(SAISIE!$P94="","",SAISIE!$P94)</f>
        <v/>
      </c>
      <c r="P89" t="str">
        <f>IF(SAISIE!$Q94="","",SAISIE!$Q94)</f>
        <v/>
      </c>
      <c r="Q89" t="str">
        <f>IF($I89="","",IF($I89&gt;PARAMETRES!$G$29,5,IF($I89&gt;PARAMETRES!$F$29,4,IF($I89&gt;PARAMETRES!$E$29,3,IF($I89&gt;PARAMETRES!$D$29,2,1)))))</f>
        <v/>
      </c>
      <c r="R89" t="str">
        <f>IF($J89="","",IF($J89&gt;PARAMETRES!$G$30,5,IF($J89&gt;PARAMETRES!$F$30,4,IF($J89&gt;PARAMETRES!$E$30,3,IF($J89&gt;PARAMETRES!$D$30,2,1)))))</f>
        <v/>
      </c>
      <c r="S89" t="str">
        <f>IF($K89="","",IF($Z89=2,IF($K89&gt;PARAMETRES!$G$31,5,IF($K89&gt;PARAMETRES!$F$31,4,IF($K89&gt;PARAMETRES!$E$31,3,IF($K89&gt;PARAMETRES!$D$31,2,1)))),IF($K89&gt;PARAMETRES!$G$32,5,IF($K89&gt;PARAMETRES!$F$32,4,IF($K89&gt;PARAMETRES!$E$32,3,IF($K89&gt;PARAMETRES!$D$32,2,1))))))</f>
        <v/>
      </c>
      <c r="T89" t="str">
        <f>IF($L89="","",IF($L89&gt;PARAMETRES!$G$33,5,IF($L89&gt;PARAMETRES!$F$33,4,IF($L89&gt;PARAMETRES!$E$33,3,IF($L89&gt;PARAMETRES!$D$33,2,1)))))</f>
        <v/>
      </c>
      <c r="U89" t="str">
        <f>IF($M89="","",IF($M89&gt;PARAMETRES!$G$34,5,IF($M89&gt;PARAMETRES!$F$34,4,IF($M89&gt;PARAMETRES!$E$34,3,IF($M89&gt;PARAMETRES!$D$34,2,1)))))</f>
        <v/>
      </c>
      <c r="V89" t="str">
        <f>IF($N89="","",IF($N89&gt;PARAMETRES!$G$35,5,IF($N89&gt;PARAMETRES!$F$35,4,IF($N89&gt;PARAMETRES!$E$35,3,IF($N89&gt;PARAMETRES!$D$35,2,1)))))</f>
        <v/>
      </c>
      <c r="W89" t="str">
        <f>IF($O89="","",IF($O89&gt;PARAMETRES!$G$36,5,IF($O89&gt;PARAMETRES!$F$36,4,IF($O89&gt;PARAMETRES!$E$36,3,IF($O89&gt;PARAMETRES!$D$36,2,1)))))</f>
        <v/>
      </c>
      <c r="X89" t="str">
        <f>IF($P89="","",IF($P89&gt;PARAMETRES!$G$37,5,IF($P89&gt;PARAMETRES!$F$37,4,IF($P89&gt;PARAMETRES!$E$37,3,IF($P89&gt;PARAMETRES!$D$37,2,1)))))</f>
        <v/>
      </c>
      <c r="Y89" t="str">
        <f t="shared" si="24"/>
        <v/>
      </c>
      <c r="Z89" t="str">
        <f>IFERROR(VLOOKUP($B89,TABLE_CYCLE,2,0),"")</f>
        <v/>
      </c>
      <c r="AA89" t="str">
        <f t="shared" si="25"/>
        <v/>
      </c>
      <c r="AB89" t="str">
        <f>IF($D89="","",IF(COUNTIF($D$2:$D89,$D89)=1,$D89,""))</f>
        <v/>
      </c>
      <c r="AC89">
        <f t="shared" si="26"/>
        <v>0</v>
      </c>
      <c r="AD89" t="str">
        <f t="shared" si="27"/>
        <v>|0</v>
      </c>
      <c r="AE89" t="str">
        <f t="shared" si="28"/>
        <v/>
      </c>
      <c r="AF89" t="str">
        <f t="shared" si="29"/>
        <v/>
      </c>
      <c r="AG89" t="str">
        <f t="shared" si="30"/>
        <v/>
      </c>
      <c r="AH89" t="str">
        <f t="shared" si="31"/>
        <v/>
      </c>
      <c r="AI89" t="str">
        <f t="shared" si="32"/>
        <v/>
      </c>
      <c r="AJ89" t="str">
        <f t="shared" si="33"/>
        <v/>
      </c>
      <c r="AK89" t="str">
        <f t="shared" si="34"/>
        <v/>
      </c>
      <c r="AL89" t="str">
        <f t="shared" si="35"/>
        <v/>
      </c>
      <c r="AM89" t="str">
        <f t="shared" si="36"/>
        <v/>
      </c>
      <c r="AN89" t="str">
        <f t="shared" si="37"/>
        <v/>
      </c>
      <c r="AO89" t="str">
        <f t="shared" si="38"/>
        <v/>
      </c>
      <c r="AP89">
        <f t="shared" si="39"/>
        <v>1</v>
      </c>
      <c r="AQ89" t="str">
        <f>IF(SAISIE!$F94="","",SAISIE!$Y94)</f>
        <v/>
      </c>
      <c r="AR89" t="str">
        <f>IF(OR(SAISIE!$U$4="",SAISIE!$W$4=""),"",IF(AND($A89=SAISIE!$U$4,$B89=SAISIE!$W$4,$C89="S1"),COUNTIFS($A$2:$A89,SAISIE!$U$4,$B$2:$B89,SAISIE!$W$4,$C$2:$C89,"S1"),""))</f>
        <v/>
      </c>
      <c r="AS89" t="str">
        <f t="shared" si="40"/>
        <v/>
      </c>
      <c r="AT89" t="str">
        <f t="shared" si="41"/>
        <v/>
      </c>
      <c r="AU89" t="str">
        <f t="shared" si="42"/>
        <v/>
      </c>
      <c r="AV89">
        <f>N(AV88)+IF(AND($AB89&lt;&gt;"",OR('PROFIL ELEVE'!$K$4="(Tous)",$AF89='PROFIL ELEVE'!$K$4)),1,0)</f>
        <v>0</v>
      </c>
      <c r="AW89">
        <f>N(AW88)+IF(AND($AB89&lt;&gt;"",OR('SUIVI LONGITUDINAL'!$Q$4="(Tous)",$AF89='SUIVI LONGITUDINAL'!$Q$4)),1,0)</f>
        <v>0</v>
      </c>
      <c r="AX89">
        <f t="shared" si="43"/>
        <v>0</v>
      </c>
      <c r="AY89">
        <f t="shared" si="44"/>
        <v>0</v>
      </c>
      <c r="AZ89">
        <f t="shared" si="45"/>
        <v>0</v>
      </c>
      <c r="BA89" t="str">
        <f t="shared" si="46"/>
        <v/>
      </c>
      <c r="BB89" t="str">
        <f t="shared" si="47"/>
        <v/>
      </c>
    </row>
    <row r="90" spans="1:54" ht="14.25" customHeight="1" x14ac:dyDescent="0.3">
      <c r="A90" t="str">
        <f>IF(SAISIE!$F95="","",SAISIE!$B95)</f>
        <v/>
      </c>
      <c r="B90" t="str">
        <f>IF(SAISIE!$F95="","",SAISIE!$C95)</f>
        <v/>
      </c>
      <c r="C90" t="str">
        <f>IF(SAISIE!$F95="","",SAISIE!$D95)</f>
        <v/>
      </c>
      <c r="D90" t="str">
        <f>IF(SAISIE!$E95="","",SAISIE!$E95)</f>
        <v/>
      </c>
      <c r="E90" t="str">
        <f>IF(SAISIE!$F95="","",SAISIE!$F95)</f>
        <v/>
      </c>
      <c r="F90" t="str">
        <f>IF(SAISIE!$G95="","",SAISIE!$G95)</f>
        <v/>
      </c>
      <c r="G90" t="str">
        <f>IF(SAISIE!$H95="","",SAISIE!$H95)</f>
        <v/>
      </c>
      <c r="H90" t="str">
        <f>IF(SAISIE!$I95="","",SAISIE!$I95)</f>
        <v/>
      </c>
      <c r="I90" t="str">
        <f>IF(SAISIE!$J95="","",SAISIE!$J95)</f>
        <v/>
      </c>
      <c r="J90" t="str">
        <f>IF(SAISIE!$K95="","",SAISIE!$K95)</f>
        <v/>
      </c>
      <c r="K90" t="str">
        <f>IF(SAISIE!$L95="","",SAISIE!$L95)</f>
        <v/>
      </c>
      <c r="L90" t="str">
        <f>IF(SAISIE!$M95="","",SAISIE!$M95)</f>
        <v/>
      </c>
      <c r="M90" t="str">
        <f>IF(SAISIE!$N95="","",SAISIE!$N95)</f>
        <v/>
      </c>
      <c r="N90" t="str">
        <f>IF(SAISIE!$O95="","",SAISIE!$O95)</f>
        <v/>
      </c>
      <c r="O90" t="str">
        <f>IF(SAISIE!$P95="","",SAISIE!$P95)</f>
        <v/>
      </c>
      <c r="P90" t="str">
        <f>IF(SAISIE!$Q95="","",SAISIE!$Q95)</f>
        <v/>
      </c>
      <c r="Q90" t="str">
        <f>IF($I90="","",IF($I90&gt;PARAMETRES!$G$29,5,IF($I90&gt;PARAMETRES!$F$29,4,IF($I90&gt;PARAMETRES!$E$29,3,IF($I90&gt;PARAMETRES!$D$29,2,1)))))</f>
        <v/>
      </c>
      <c r="R90" t="str">
        <f>IF($J90="","",IF($J90&gt;PARAMETRES!$G$30,5,IF($J90&gt;PARAMETRES!$F$30,4,IF($J90&gt;PARAMETRES!$E$30,3,IF($J90&gt;PARAMETRES!$D$30,2,1)))))</f>
        <v/>
      </c>
      <c r="S90" t="str">
        <f>IF($K90="","",IF($Z90=2,IF($K90&gt;PARAMETRES!$G$31,5,IF($K90&gt;PARAMETRES!$F$31,4,IF($K90&gt;PARAMETRES!$E$31,3,IF($K90&gt;PARAMETRES!$D$31,2,1)))),IF($K90&gt;PARAMETRES!$G$32,5,IF($K90&gt;PARAMETRES!$F$32,4,IF($K90&gt;PARAMETRES!$E$32,3,IF($K90&gt;PARAMETRES!$D$32,2,1))))))</f>
        <v/>
      </c>
      <c r="T90" t="str">
        <f>IF($L90="","",IF($L90&gt;PARAMETRES!$G$33,5,IF($L90&gt;PARAMETRES!$F$33,4,IF($L90&gt;PARAMETRES!$E$33,3,IF($L90&gt;PARAMETRES!$D$33,2,1)))))</f>
        <v/>
      </c>
      <c r="U90" t="str">
        <f>IF($M90="","",IF($M90&gt;PARAMETRES!$G$34,5,IF($M90&gt;PARAMETRES!$F$34,4,IF($M90&gt;PARAMETRES!$E$34,3,IF($M90&gt;PARAMETRES!$D$34,2,1)))))</f>
        <v/>
      </c>
      <c r="V90" t="str">
        <f>IF($N90="","",IF($N90&gt;PARAMETRES!$G$35,5,IF($N90&gt;PARAMETRES!$F$35,4,IF($N90&gt;PARAMETRES!$E$35,3,IF($N90&gt;PARAMETRES!$D$35,2,1)))))</f>
        <v/>
      </c>
      <c r="W90" t="str">
        <f>IF($O90="","",IF($O90&gt;PARAMETRES!$G$36,5,IF($O90&gt;PARAMETRES!$F$36,4,IF($O90&gt;PARAMETRES!$E$36,3,IF($O90&gt;PARAMETRES!$D$36,2,1)))))</f>
        <v/>
      </c>
      <c r="X90" t="str">
        <f>IF($P90="","",IF($P90&gt;PARAMETRES!$G$37,5,IF($P90&gt;PARAMETRES!$F$37,4,IF($P90&gt;PARAMETRES!$E$37,3,IF($P90&gt;PARAMETRES!$D$37,2,1)))))</f>
        <v/>
      </c>
      <c r="Y90" t="str">
        <f t="shared" si="24"/>
        <v/>
      </c>
      <c r="Z90" t="str">
        <f>IFERROR(VLOOKUP($B90,TABLE_CYCLE,2,0),"")</f>
        <v/>
      </c>
      <c r="AA90" t="str">
        <f t="shared" si="25"/>
        <v/>
      </c>
      <c r="AB90" t="str">
        <f>IF($D90="","",IF(COUNTIF($D$2:$D90,$D90)=1,$D90,""))</f>
        <v/>
      </c>
      <c r="AC90">
        <f t="shared" si="26"/>
        <v>0</v>
      </c>
      <c r="AD90" t="str">
        <f t="shared" si="27"/>
        <v>|0</v>
      </c>
      <c r="AE90" t="str">
        <f t="shared" si="28"/>
        <v/>
      </c>
      <c r="AF90" t="str">
        <f t="shared" si="29"/>
        <v/>
      </c>
      <c r="AG90" t="str">
        <f t="shared" si="30"/>
        <v/>
      </c>
      <c r="AH90" t="str">
        <f t="shared" si="31"/>
        <v/>
      </c>
      <c r="AI90" t="str">
        <f t="shared" si="32"/>
        <v/>
      </c>
      <c r="AJ90" t="str">
        <f t="shared" si="33"/>
        <v/>
      </c>
      <c r="AK90" t="str">
        <f t="shared" si="34"/>
        <v/>
      </c>
      <c r="AL90" t="str">
        <f t="shared" si="35"/>
        <v/>
      </c>
      <c r="AM90" t="str">
        <f t="shared" si="36"/>
        <v/>
      </c>
      <c r="AN90" t="str">
        <f t="shared" si="37"/>
        <v/>
      </c>
      <c r="AO90" t="str">
        <f t="shared" si="38"/>
        <v/>
      </c>
      <c r="AP90">
        <f t="shared" si="39"/>
        <v>1</v>
      </c>
      <c r="AQ90" t="str">
        <f>IF(SAISIE!$F95="","",SAISIE!$Y95)</f>
        <v/>
      </c>
      <c r="AR90" t="str">
        <f>IF(OR(SAISIE!$U$4="",SAISIE!$W$4=""),"",IF(AND($A90=SAISIE!$U$4,$B90=SAISIE!$W$4,$C90="S1"),COUNTIFS($A$2:$A90,SAISIE!$U$4,$B$2:$B90,SAISIE!$W$4,$C$2:$C90,"S1"),""))</f>
        <v/>
      </c>
      <c r="AS90" t="str">
        <f t="shared" si="40"/>
        <v/>
      </c>
      <c r="AT90" t="str">
        <f t="shared" si="41"/>
        <v/>
      </c>
      <c r="AU90" t="str">
        <f t="shared" si="42"/>
        <v/>
      </c>
      <c r="AV90">
        <f>N(AV89)+IF(AND($AB90&lt;&gt;"",OR('PROFIL ELEVE'!$K$4="(Tous)",$AF90='PROFIL ELEVE'!$K$4)),1,0)</f>
        <v>0</v>
      </c>
      <c r="AW90">
        <f>N(AW89)+IF(AND($AB90&lt;&gt;"",OR('SUIVI LONGITUDINAL'!$Q$4="(Tous)",$AF90='SUIVI LONGITUDINAL'!$Q$4)),1,0)</f>
        <v>0</v>
      </c>
      <c r="AX90">
        <f t="shared" si="43"/>
        <v>0</v>
      </c>
      <c r="AY90">
        <f t="shared" si="44"/>
        <v>0</v>
      </c>
      <c r="AZ90">
        <f t="shared" si="45"/>
        <v>0</v>
      </c>
      <c r="BA90" t="str">
        <f t="shared" si="46"/>
        <v/>
      </c>
      <c r="BB90" t="str">
        <f t="shared" si="47"/>
        <v/>
      </c>
    </row>
    <row r="91" spans="1:54" ht="14.25" customHeight="1" x14ac:dyDescent="0.3">
      <c r="A91" t="str">
        <f>IF(SAISIE!$F96="","",SAISIE!$B96)</f>
        <v/>
      </c>
      <c r="B91" t="str">
        <f>IF(SAISIE!$F96="","",SAISIE!$C96)</f>
        <v/>
      </c>
      <c r="C91" t="str">
        <f>IF(SAISIE!$F96="","",SAISIE!$D96)</f>
        <v/>
      </c>
      <c r="D91" t="str">
        <f>IF(SAISIE!$E96="","",SAISIE!$E96)</f>
        <v/>
      </c>
      <c r="E91" t="str">
        <f>IF(SAISIE!$F96="","",SAISIE!$F96)</f>
        <v/>
      </c>
      <c r="F91" t="str">
        <f>IF(SAISIE!$G96="","",SAISIE!$G96)</f>
        <v/>
      </c>
      <c r="G91" t="str">
        <f>IF(SAISIE!$H96="","",SAISIE!$H96)</f>
        <v/>
      </c>
      <c r="H91" t="str">
        <f>IF(SAISIE!$I96="","",SAISIE!$I96)</f>
        <v/>
      </c>
      <c r="I91" t="str">
        <f>IF(SAISIE!$J96="","",SAISIE!$J96)</f>
        <v/>
      </c>
      <c r="J91" t="str">
        <f>IF(SAISIE!$K96="","",SAISIE!$K96)</f>
        <v/>
      </c>
      <c r="K91" t="str">
        <f>IF(SAISIE!$L96="","",SAISIE!$L96)</f>
        <v/>
      </c>
      <c r="L91" t="str">
        <f>IF(SAISIE!$M96="","",SAISIE!$M96)</f>
        <v/>
      </c>
      <c r="M91" t="str">
        <f>IF(SAISIE!$N96="","",SAISIE!$N96)</f>
        <v/>
      </c>
      <c r="N91" t="str">
        <f>IF(SAISIE!$O96="","",SAISIE!$O96)</f>
        <v/>
      </c>
      <c r="O91" t="str">
        <f>IF(SAISIE!$P96="","",SAISIE!$P96)</f>
        <v/>
      </c>
      <c r="P91" t="str">
        <f>IF(SAISIE!$Q96="","",SAISIE!$Q96)</f>
        <v/>
      </c>
      <c r="Q91" t="str">
        <f>IF($I91="","",IF($I91&gt;PARAMETRES!$G$29,5,IF($I91&gt;PARAMETRES!$F$29,4,IF($I91&gt;PARAMETRES!$E$29,3,IF($I91&gt;PARAMETRES!$D$29,2,1)))))</f>
        <v/>
      </c>
      <c r="R91" t="str">
        <f>IF($J91="","",IF($J91&gt;PARAMETRES!$G$30,5,IF($J91&gt;PARAMETRES!$F$30,4,IF($J91&gt;PARAMETRES!$E$30,3,IF($J91&gt;PARAMETRES!$D$30,2,1)))))</f>
        <v/>
      </c>
      <c r="S91" t="str">
        <f>IF($K91="","",IF($Z91=2,IF($K91&gt;PARAMETRES!$G$31,5,IF($K91&gt;PARAMETRES!$F$31,4,IF($K91&gt;PARAMETRES!$E$31,3,IF($K91&gt;PARAMETRES!$D$31,2,1)))),IF($K91&gt;PARAMETRES!$G$32,5,IF($K91&gt;PARAMETRES!$F$32,4,IF($K91&gt;PARAMETRES!$E$32,3,IF($K91&gt;PARAMETRES!$D$32,2,1))))))</f>
        <v/>
      </c>
      <c r="T91" t="str">
        <f>IF($L91="","",IF($L91&gt;PARAMETRES!$G$33,5,IF($L91&gt;PARAMETRES!$F$33,4,IF($L91&gt;PARAMETRES!$E$33,3,IF($L91&gt;PARAMETRES!$D$33,2,1)))))</f>
        <v/>
      </c>
      <c r="U91" t="str">
        <f>IF($M91="","",IF($M91&gt;PARAMETRES!$G$34,5,IF($M91&gt;PARAMETRES!$F$34,4,IF($M91&gt;PARAMETRES!$E$34,3,IF($M91&gt;PARAMETRES!$D$34,2,1)))))</f>
        <v/>
      </c>
      <c r="V91" t="str">
        <f>IF($N91="","",IF($N91&gt;PARAMETRES!$G$35,5,IF($N91&gt;PARAMETRES!$F$35,4,IF($N91&gt;PARAMETRES!$E$35,3,IF($N91&gt;PARAMETRES!$D$35,2,1)))))</f>
        <v/>
      </c>
      <c r="W91" t="str">
        <f>IF($O91="","",IF($O91&gt;PARAMETRES!$G$36,5,IF($O91&gt;PARAMETRES!$F$36,4,IF($O91&gt;PARAMETRES!$E$36,3,IF($O91&gt;PARAMETRES!$D$36,2,1)))))</f>
        <v/>
      </c>
      <c r="X91" t="str">
        <f>IF($P91="","",IF($P91&gt;PARAMETRES!$G$37,5,IF($P91&gt;PARAMETRES!$F$37,4,IF($P91&gt;PARAMETRES!$E$37,3,IF($P91&gt;PARAMETRES!$D$37,2,1)))))</f>
        <v/>
      </c>
      <c r="Y91" t="str">
        <f t="shared" si="24"/>
        <v/>
      </c>
      <c r="Z91" t="str">
        <f>IFERROR(VLOOKUP($B91,TABLE_CYCLE,2,0),"")</f>
        <v/>
      </c>
      <c r="AA91" t="str">
        <f t="shared" si="25"/>
        <v/>
      </c>
      <c r="AB91" t="str">
        <f>IF($D91="","",IF(COUNTIF($D$2:$D91,$D91)=1,$D91,""))</f>
        <v/>
      </c>
      <c r="AC91">
        <f t="shared" si="26"/>
        <v>0</v>
      </c>
      <c r="AD91" t="str">
        <f t="shared" si="27"/>
        <v>|0</v>
      </c>
      <c r="AE91" t="str">
        <f t="shared" si="28"/>
        <v/>
      </c>
      <c r="AF91" t="str">
        <f t="shared" si="29"/>
        <v/>
      </c>
      <c r="AG91" t="str">
        <f t="shared" si="30"/>
        <v/>
      </c>
      <c r="AH91" t="str">
        <f t="shared" si="31"/>
        <v/>
      </c>
      <c r="AI91" t="str">
        <f t="shared" si="32"/>
        <v/>
      </c>
      <c r="AJ91" t="str">
        <f t="shared" si="33"/>
        <v/>
      </c>
      <c r="AK91" t="str">
        <f t="shared" si="34"/>
        <v/>
      </c>
      <c r="AL91" t="str">
        <f t="shared" si="35"/>
        <v/>
      </c>
      <c r="AM91" t="str">
        <f t="shared" si="36"/>
        <v/>
      </c>
      <c r="AN91" t="str">
        <f t="shared" si="37"/>
        <v/>
      </c>
      <c r="AO91" t="str">
        <f t="shared" si="38"/>
        <v/>
      </c>
      <c r="AP91">
        <f t="shared" si="39"/>
        <v>1</v>
      </c>
      <c r="AQ91" t="str">
        <f>IF(SAISIE!$F96="","",SAISIE!$Y96)</f>
        <v/>
      </c>
      <c r="AR91" t="str">
        <f>IF(OR(SAISIE!$U$4="",SAISIE!$W$4=""),"",IF(AND($A91=SAISIE!$U$4,$B91=SAISIE!$W$4,$C91="S1"),COUNTIFS($A$2:$A91,SAISIE!$U$4,$B$2:$B91,SAISIE!$W$4,$C$2:$C91,"S1"),""))</f>
        <v/>
      </c>
      <c r="AS91" t="str">
        <f t="shared" si="40"/>
        <v/>
      </c>
      <c r="AT91" t="str">
        <f t="shared" si="41"/>
        <v/>
      </c>
      <c r="AU91" t="str">
        <f t="shared" si="42"/>
        <v/>
      </c>
      <c r="AV91">
        <f>N(AV90)+IF(AND($AB91&lt;&gt;"",OR('PROFIL ELEVE'!$K$4="(Tous)",$AF91='PROFIL ELEVE'!$K$4)),1,0)</f>
        <v>0</v>
      </c>
      <c r="AW91">
        <f>N(AW90)+IF(AND($AB91&lt;&gt;"",OR('SUIVI LONGITUDINAL'!$Q$4="(Tous)",$AF91='SUIVI LONGITUDINAL'!$Q$4)),1,0)</f>
        <v>0</v>
      </c>
      <c r="AX91">
        <f t="shared" si="43"/>
        <v>0</v>
      </c>
      <c r="AY91">
        <f t="shared" si="44"/>
        <v>0</v>
      </c>
      <c r="AZ91">
        <f t="shared" si="45"/>
        <v>0</v>
      </c>
      <c r="BA91" t="str">
        <f t="shared" si="46"/>
        <v/>
      </c>
      <c r="BB91" t="str">
        <f t="shared" si="47"/>
        <v/>
      </c>
    </row>
    <row r="92" spans="1:54" ht="14.25" customHeight="1" x14ac:dyDescent="0.3">
      <c r="A92" t="str">
        <f>IF(SAISIE!$F97="","",SAISIE!$B97)</f>
        <v/>
      </c>
      <c r="B92" t="str">
        <f>IF(SAISIE!$F97="","",SAISIE!$C97)</f>
        <v/>
      </c>
      <c r="C92" t="str">
        <f>IF(SAISIE!$F97="","",SAISIE!$D97)</f>
        <v/>
      </c>
      <c r="D92" t="str">
        <f>IF(SAISIE!$E97="","",SAISIE!$E97)</f>
        <v/>
      </c>
      <c r="E92" t="str">
        <f>IF(SAISIE!$F97="","",SAISIE!$F97)</f>
        <v/>
      </c>
      <c r="F92" t="str">
        <f>IF(SAISIE!$G97="","",SAISIE!$G97)</f>
        <v/>
      </c>
      <c r="G92" t="str">
        <f>IF(SAISIE!$H97="","",SAISIE!$H97)</f>
        <v/>
      </c>
      <c r="H92" t="str">
        <f>IF(SAISIE!$I97="","",SAISIE!$I97)</f>
        <v/>
      </c>
      <c r="I92" t="str">
        <f>IF(SAISIE!$J97="","",SAISIE!$J97)</f>
        <v/>
      </c>
      <c r="J92" t="str">
        <f>IF(SAISIE!$K97="","",SAISIE!$K97)</f>
        <v/>
      </c>
      <c r="K92" t="str">
        <f>IF(SAISIE!$L97="","",SAISIE!$L97)</f>
        <v/>
      </c>
      <c r="L92" t="str">
        <f>IF(SAISIE!$M97="","",SAISIE!$M97)</f>
        <v/>
      </c>
      <c r="M92" t="str">
        <f>IF(SAISIE!$N97="","",SAISIE!$N97)</f>
        <v/>
      </c>
      <c r="N92" t="str">
        <f>IF(SAISIE!$O97="","",SAISIE!$O97)</f>
        <v/>
      </c>
      <c r="O92" t="str">
        <f>IF(SAISIE!$P97="","",SAISIE!$P97)</f>
        <v/>
      </c>
      <c r="P92" t="str">
        <f>IF(SAISIE!$Q97="","",SAISIE!$Q97)</f>
        <v/>
      </c>
      <c r="Q92" t="str">
        <f>IF($I92="","",IF($I92&gt;PARAMETRES!$G$29,5,IF($I92&gt;PARAMETRES!$F$29,4,IF($I92&gt;PARAMETRES!$E$29,3,IF($I92&gt;PARAMETRES!$D$29,2,1)))))</f>
        <v/>
      </c>
      <c r="R92" t="str">
        <f>IF($J92="","",IF($J92&gt;PARAMETRES!$G$30,5,IF($J92&gt;PARAMETRES!$F$30,4,IF($J92&gt;PARAMETRES!$E$30,3,IF($J92&gt;PARAMETRES!$D$30,2,1)))))</f>
        <v/>
      </c>
      <c r="S92" t="str">
        <f>IF($K92="","",IF($Z92=2,IF($K92&gt;PARAMETRES!$G$31,5,IF($K92&gt;PARAMETRES!$F$31,4,IF($K92&gt;PARAMETRES!$E$31,3,IF($K92&gt;PARAMETRES!$D$31,2,1)))),IF($K92&gt;PARAMETRES!$G$32,5,IF($K92&gt;PARAMETRES!$F$32,4,IF($K92&gt;PARAMETRES!$E$32,3,IF($K92&gt;PARAMETRES!$D$32,2,1))))))</f>
        <v/>
      </c>
      <c r="T92" t="str">
        <f>IF($L92="","",IF($L92&gt;PARAMETRES!$G$33,5,IF($L92&gt;PARAMETRES!$F$33,4,IF($L92&gt;PARAMETRES!$E$33,3,IF($L92&gt;PARAMETRES!$D$33,2,1)))))</f>
        <v/>
      </c>
      <c r="U92" t="str">
        <f>IF($M92="","",IF($M92&gt;PARAMETRES!$G$34,5,IF($M92&gt;PARAMETRES!$F$34,4,IF($M92&gt;PARAMETRES!$E$34,3,IF($M92&gt;PARAMETRES!$D$34,2,1)))))</f>
        <v/>
      </c>
      <c r="V92" t="str">
        <f>IF($N92="","",IF($N92&gt;PARAMETRES!$G$35,5,IF($N92&gt;PARAMETRES!$F$35,4,IF($N92&gt;PARAMETRES!$E$35,3,IF($N92&gt;PARAMETRES!$D$35,2,1)))))</f>
        <v/>
      </c>
      <c r="W92" t="str">
        <f>IF($O92="","",IF($O92&gt;PARAMETRES!$G$36,5,IF($O92&gt;PARAMETRES!$F$36,4,IF($O92&gt;PARAMETRES!$E$36,3,IF($O92&gt;PARAMETRES!$D$36,2,1)))))</f>
        <v/>
      </c>
      <c r="X92" t="str">
        <f>IF($P92="","",IF($P92&gt;PARAMETRES!$G$37,5,IF($P92&gt;PARAMETRES!$F$37,4,IF($P92&gt;PARAMETRES!$E$37,3,IF($P92&gt;PARAMETRES!$D$37,2,1)))))</f>
        <v/>
      </c>
      <c r="Y92" t="str">
        <f t="shared" si="24"/>
        <v/>
      </c>
      <c r="Z92" t="str">
        <f>IFERROR(VLOOKUP($B92,TABLE_CYCLE,2,0),"")</f>
        <v/>
      </c>
      <c r="AA92" t="str">
        <f t="shared" si="25"/>
        <v/>
      </c>
      <c r="AB92" t="str">
        <f>IF($D92="","",IF(COUNTIF($D$2:$D92,$D92)=1,$D92,""))</f>
        <v/>
      </c>
      <c r="AC92">
        <f t="shared" si="26"/>
        <v>0</v>
      </c>
      <c r="AD92" t="str">
        <f t="shared" si="27"/>
        <v>|0</v>
      </c>
      <c r="AE92" t="str">
        <f t="shared" si="28"/>
        <v/>
      </c>
      <c r="AF92" t="str">
        <f t="shared" si="29"/>
        <v/>
      </c>
      <c r="AG92" t="str">
        <f t="shared" si="30"/>
        <v/>
      </c>
      <c r="AH92" t="str">
        <f t="shared" si="31"/>
        <v/>
      </c>
      <c r="AI92" t="str">
        <f t="shared" si="32"/>
        <v/>
      </c>
      <c r="AJ92" t="str">
        <f t="shared" si="33"/>
        <v/>
      </c>
      <c r="AK92" t="str">
        <f t="shared" si="34"/>
        <v/>
      </c>
      <c r="AL92" t="str">
        <f t="shared" si="35"/>
        <v/>
      </c>
      <c r="AM92" t="str">
        <f t="shared" si="36"/>
        <v/>
      </c>
      <c r="AN92" t="str">
        <f t="shared" si="37"/>
        <v/>
      </c>
      <c r="AO92" t="str">
        <f t="shared" si="38"/>
        <v/>
      </c>
      <c r="AP92">
        <f t="shared" si="39"/>
        <v>1</v>
      </c>
      <c r="AQ92" t="str">
        <f>IF(SAISIE!$F97="","",SAISIE!$Y97)</f>
        <v/>
      </c>
      <c r="AR92" t="str">
        <f>IF(OR(SAISIE!$U$4="",SAISIE!$W$4=""),"",IF(AND($A92=SAISIE!$U$4,$B92=SAISIE!$W$4,$C92="S1"),COUNTIFS($A$2:$A92,SAISIE!$U$4,$B$2:$B92,SAISIE!$W$4,$C$2:$C92,"S1"),""))</f>
        <v/>
      </c>
      <c r="AS92" t="str">
        <f t="shared" si="40"/>
        <v/>
      </c>
      <c r="AT92" t="str">
        <f t="shared" si="41"/>
        <v/>
      </c>
      <c r="AU92" t="str">
        <f t="shared" si="42"/>
        <v/>
      </c>
      <c r="AV92">
        <f>N(AV91)+IF(AND($AB92&lt;&gt;"",OR('PROFIL ELEVE'!$K$4="(Tous)",$AF92='PROFIL ELEVE'!$K$4)),1,0)</f>
        <v>0</v>
      </c>
      <c r="AW92">
        <f>N(AW91)+IF(AND($AB92&lt;&gt;"",OR('SUIVI LONGITUDINAL'!$Q$4="(Tous)",$AF92='SUIVI LONGITUDINAL'!$Q$4)),1,0)</f>
        <v>0</v>
      </c>
      <c r="AX92">
        <f t="shared" si="43"/>
        <v>0</v>
      </c>
      <c r="AY92">
        <f t="shared" si="44"/>
        <v>0</v>
      </c>
      <c r="AZ92">
        <f t="shared" si="45"/>
        <v>0</v>
      </c>
      <c r="BA92" t="str">
        <f t="shared" si="46"/>
        <v/>
      </c>
      <c r="BB92" t="str">
        <f t="shared" si="47"/>
        <v/>
      </c>
    </row>
    <row r="93" spans="1:54" ht="14.25" customHeight="1" x14ac:dyDescent="0.3">
      <c r="A93" t="str">
        <f>IF(SAISIE!$F98="","",SAISIE!$B98)</f>
        <v/>
      </c>
      <c r="B93" t="str">
        <f>IF(SAISIE!$F98="","",SAISIE!$C98)</f>
        <v/>
      </c>
      <c r="C93" t="str">
        <f>IF(SAISIE!$F98="","",SAISIE!$D98)</f>
        <v/>
      </c>
      <c r="D93" t="str">
        <f>IF(SAISIE!$E98="","",SAISIE!$E98)</f>
        <v/>
      </c>
      <c r="E93" t="str">
        <f>IF(SAISIE!$F98="","",SAISIE!$F98)</f>
        <v/>
      </c>
      <c r="F93" t="str">
        <f>IF(SAISIE!$G98="","",SAISIE!$G98)</f>
        <v/>
      </c>
      <c r="G93" t="str">
        <f>IF(SAISIE!$H98="","",SAISIE!$H98)</f>
        <v/>
      </c>
      <c r="H93" t="str">
        <f>IF(SAISIE!$I98="","",SAISIE!$I98)</f>
        <v/>
      </c>
      <c r="I93" t="str">
        <f>IF(SAISIE!$J98="","",SAISIE!$J98)</f>
        <v/>
      </c>
      <c r="J93" t="str">
        <f>IF(SAISIE!$K98="","",SAISIE!$K98)</f>
        <v/>
      </c>
      <c r="K93" t="str">
        <f>IF(SAISIE!$L98="","",SAISIE!$L98)</f>
        <v/>
      </c>
      <c r="L93" t="str">
        <f>IF(SAISIE!$M98="","",SAISIE!$M98)</f>
        <v/>
      </c>
      <c r="M93" t="str">
        <f>IF(SAISIE!$N98="","",SAISIE!$N98)</f>
        <v/>
      </c>
      <c r="N93" t="str">
        <f>IF(SAISIE!$O98="","",SAISIE!$O98)</f>
        <v/>
      </c>
      <c r="O93" t="str">
        <f>IF(SAISIE!$P98="","",SAISIE!$P98)</f>
        <v/>
      </c>
      <c r="P93" t="str">
        <f>IF(SAISIE!$Q98="","",SAISIE!$Q98)</f>
        <v/>
      </c>
      <c r="Q93" t="str">
        <f>IF($I93="","",IF($I93&gt;PARAMETRES!$G$29,5,IF($I93&gt;PARAMETRES!$F$29,4,IF($I93&gt;PARAMETRES!$E$29,3,IF($I93&gt;PARAMETRES!$D$29,2,1)))))</f>
        <v/>
      </c>
      <c r="R93" t="str">
        <f>IF($J93="","",IF($J93&gt;PARAMETRES!$G$30,5,IF($J93&gt;PARAMETRES!$F$30,4,IF($J93&gt;PARAMETRES!$E$30,3,IF($J93&gt;PARAMETRES!$D$30,2,1)))))</f>
        <v/>
      </c>
      <c r="S93" t="str">
        <f>IF($K93="","",IF($Z93=2,IF($K93&gt;PARAMETRES!$G$31,5,IF($K93&gt;PARAMETRES!$F$31,4,IF($K93&gt;PARAMETRES!$E$31,3,IF($K93&gt;PARAMETRES!$D$31,2,1)))),IF($K93&gt;PARAMETRES!$G$32,5,IF($K93&gt;PARAMETRES!$F$32,4,IF($K93&gt;PARAMETRES!$E$32,3,IF($K93&gt;PARAMETRES!$D$32,2,1))))))</f>
        <v/>
      </c>
      <c r="T93" t="str">
        <f>IF($L93="","",IF($L93&gt;PARAMETRES!$G$33,5,IF($L93&gt;PARAMETRES!$F$33,4,IF($L93&gt;PARAMETRES!$E$33,3,IF($L93&gt;PARAMETRES!$D$33,2,1)))))</f>
        <v/>
      </c>
      <c r="U93" t="str">
        <f>IF($M93="","",IF($M93&gt;PARAMETRES!$G$34,5,IF($M93&gt;PARAMETRES!$F$34,4,IF($M93&gt;PARAMETRES!$E$34,3,IF($M93&gt;PARAMETRES!$D$34,2,1)))))</f>
        <v/>
      </c>
      <c r="V93" t="str">
        <f>IF($N93="","",IF($N93&gt;PARAMETRES!$G$35,5,IF($N93&gt;PARAMETRES!$F$35,4,IF($N93&gt;PARAMETRES!$E$35,3,IF($N93&gt;PARAMETRES!$D$35,2,1)))))</f>
        <v/>
      </c>
      <c r="W93" t="str">
        <f>IF($O93="","",IF($O93&gt;PARAMETRES!$G$36,5,IF($O93&gt;PARAMETRES!$F$36,4,IF($O93&gt;PARAMETRES!$E$36,3,IF($O93&gt;PARAMETRES!$D$36,2,1)))))</f>
        <v/>
      </c>
      <c r="X93" t="str">
        <f>IF($P93="","",IF($P93&gt;PARAMETRES!$G$37,5,IF($P93&gt;PARAMETRES!$F$37,4,IF($P93&gt;PARAMETRES!$E$37,3,IF($P93&gt;PARAMETRES!$D$37,2,1)))))</f>
        <v/>
      </c>
      <c r="Y93" t="str">
        <f t="shared" si="24"/>
        <v/>
      </c>
      <c r="Z93" t="str">
        <f>IFERROR(VLOOKUP($B93,TABLE_CYCLE,2,0),"")</f>
        <v/>
      </c>
      <c r="AA93" t="str">
        <f t="shared" si="25"/>
        <v/>
      </c>
      <c r="AB93" t="str">
        <f>IF($D93="","",IF(COUNTIF($D$2:$D93,$D93)=1,$D93,""))</f>
        <v/>
      </c>
      <c r="AC93">
        <f t="shared" si="26"/>
        <v>0</v>
      </c>
      <c r="AD93" t="str">
        <f t="shared" si="27"/>
        <v>|0</v>
      </c>
      <c r="AE93" t="str">
        <f t="shared" si="28"/>
        <v/>
      </c>
      <c r="AF93" t="str">
        <f t="shared" si="29"/>
        <v/>
      </c>
      <c r="AG93" t="str">
        <f t="shared" si="30"/>
        <v/>
      </c>
      <c r="AH93" t="str">
        <f t="shared" si="31"/>
        <v/>
      </c>
      <c r="AI93" t="str">
        <f t="shared" si="32"/>
        <v/>
      </c>
      <c r="AJ93" t="str">
        <f t="shared" si="33"/>
        <v/>
      </c>
      <c r="AK93" t="str">
        <f t="shared" si="34"/>
        <v/>
      </c>
      <c r="AL93" t="str">
        <f t="shared" si="35"/>
        <v/>
      </c>
      <c r="AM93" t="str">
        <f t="shared" si="36"/>
        <v/>
      </c>
      <c r="AN93" t="str">
        <f t="shared" si="37"/>
        <v/>
      </c>
      <c r="AO93" t="str">
        <f t="shared" si="38"/>
        <v/>
      </c>
      <c r="AP93">
        <f t="shared" si="39"/>
        <v>1</v>
      </c>
      <c r="AQ93" t="str">
        <f>IF(SAISIE!$F98="","",SAISIE!$Y98)</f>
        <v/>
      </c>
      <c r="AR93" t="str">
        <f>IF(OR(SAISIE!$U$4="",SAISIE!$W$4=""),"",IF(AND($A93=SAISIE!$U$4,$B93=SAISIE!$W$4,$C93="S1"),COUNTIFS($A$2:$A93,SAISIE!$U$4,$B$2:$B93,SAISIE!$W$4,$C$2:$C93,"S1"),""))</f>
        <v/>
      </c>
      <c r="AS93" t="str">
        <f t="shared" si="40"/>
        <v/>
      </c>
      <c r="AT93" t="str">
        <f t="shared" si="41"/>
        <v/>
      </c>
      <c r="AU93" t="str">
        <f t="shared" si="42"/>
        <v/>
      </c>
      <c r="AV93">
        <f>N(AV92)+IF(AND($AB93&lt;&gt;"",OR('PROFIL ELEVE'!$K$4="(Tous)",$AF93='PROFIL ELEVE'!$K$4)),1,0)</f>
        <v>0</v>
      </c>
      <c r="AW93">
        <f>N(AW92)+IF(AND($AB93&lt;&gt;"",OR('SUIVI LONGITUDINAL'!$Q$4="(Tous)",$AF93='SUIVI LONGITUDINAL'!$Q$4)),1,0)</f>
        <v>0</v>
      </c>
      <c r="AX93">
        <f t="shared" si="43"/>
        <v>0</v>
      </c>
      <c r="AY93">
        <f t="shared" si="44"/>
        <v>0</v>
      </c>
      <c r="AZ93">
        <f t="shared" si="45"/>
        <v>0</v>
      </c>
      <c r="BA93" t="str">
        <f t="shared" si="46"/>
        <v/>
      </c>
      <c r="BB93" t="str">
        <f t="shared" si="47"/>
        <v/>
      </c>
    </row>
    <row r="94" spans="1:54" ht="14.25" customHeight="1" x14ac:dyDescent="0.3">
      <c r="A94" t="str">
        <f>IF(SAISIE!$F99="","",SAISIE!$B99)</f>
        <v/>
      </c>
      <c r="B94" t="str">
        <f>IF(SAISIE!$F99="","",SAISIE!$C99)</f>
        <v/>
      </c>
      <c r="C94" t="str">
        <f>IF(SAISIE!$F99="","",SAISIE!$D99)</f>
        <v/>
      </c>
      <c r="D94" t="str">
        <f>IF(SAISIE!$E99="","",SAISIE!$E99)</f>
        <v/>
      </c>
      <c r="E94" t="str">
        <f>IF(SAISIE!$F99="","",SAISIE!$F99)</f>
        <v/>
      </c>
      <c r="F94" t="str">
        <f>IF(SAISIE!$G99="","",SAISIE!$G99)</f>
        <v/>
      </c>
      <c r="G94" t="str">
        <f>IF(SAISIE!$H99="","",SAISIE!$H99)</f>
        <v/>
      </c>
      <c r="H94" t="str">
        <f>IF(SAISIE!$I99="","",SAISIE!$I99)</f>
        <v/>
      </c>
      <c r="I94" t="str">
        <f>IF(SAISIE!$J99="","",SAISIE!$J99)</f>
        <v/>
      </c>
      <c r="J94" t="str">
        <f>IF(SAISIE!$K99="","",SAISIE!$K99)</f>
        <v/>
      </c>
      <c r="K94" t="str">
        <f>IF(SAISIE!$L99="","",SAISIE!$L99)</f>
        <v/>
      </c>
      <c r="L94" t="str">
        <f>IF(SAISIE!$M99="","",SAISIE!$M99)</f>
        <v/>
      </c>
      <c r="M94" t="str">
        <f>IF(SAISIE!$N99="","",SAISIE!$N99)</f>
        <v/>
      </c>
      <c r="N94" t="str">
        <f>IF(SAISIE!$O99="","",SAISIE!$O99)</f>
        <v/>
      </c>
      <c r="O94" t="str">
        <f>IF(SAISIE!$P99="","",SAISIE!$P99)</f>
        <v/>
      </c>
      <c r="P94" t="str">
        <f>IF(SAISIE!$Q99="","",SAISIE!$Q99)</f>
        <v/>
      </c>
      <c r="Q94" t="str">
        <f>IF($I94="","",IF($I94&gt;PARAMETRES!$G$29,5,IF($I94&gt;PARAMETRES!$F$29,4,IF($I94&gt;PARAMETRES!$E$29,3,IF($I94&gt;PARAMETRES!$D$29,2,1)))))</f>
        <v/>
      </c>
      <c r="R94" t="str">
        <f>IF($J94="","",IF($J94&gt;PARAMETRES!$G$30,5,IF($J94&gt;PARAMETRES!$F$30,4,IF($J94&gt;PARAMETRES!$E$30,3,IF($J94&gt;PARAMETRES!$D$30,2,1)))))</f>
        <v/>
      </c>
      <c r="S94" t="str">
        <f>IF($K94="","",IF($Z94=2,IF($K94&gt;PARAMETRES!$G$31,5,IF($K94&gt;PARAMETRES!$F$31,4,IF($K94&gt;PARAMETRES!$E$31,3,IF($K94&gt;PARAMETRES!$D$31,2,1)))),IF($K94&gt;PARAMETRES!$G$32,5,IF($K94&gt;PARAMETRES!$F$32,4,IF($K94&gt;PARAMETRES!$E$32,3,IF($K94&gt;PARAMETRES!$D$32,2,1))))))</f>
        <v/>
      </c>
      <c r="T94" t="str">
        <f>IF($L94="","",IF($L94&gt;PARAMETRES!$G$33,5,IF($L94&gt;PARAMETRES!$F$33,4,IF($L94&gt;PARAMETRES!$E$33,3,IF($L94&gt;PARAMETRES!$D$33,2,1)))))</f>
        <v/>
      </c>
      <c r="U94" t="str">
        <f>IF($M94="","",IF($M94&gt;PARAMETRES!$G$34,5,IF($M94&gt;PARAMETRES!$F$34,4,IF($M94&gt;PARAMETRES!$E$34,3,IF($M94&gt;PARAMETRES!$D$34,2,1)))))</f>
        <v/>
      </c>
      <c r="V94" t="str">
        <f>IF($N94="","",IF($N94&gt;PARAMETRES!$G$35,5,IF($N94&gt;PARAMETRES!$F$35,4,IF($N94&gt;PARAMETRES!$E$35,3,IF($N94&gt;PARAMETRES!$D$35,2,1)))))</f>
        <v/>
      </c>
      <c r="W94" t="str">
        <f>IF($O94="","",IF($O94&gt;PARAMETRES!$G$36,5,IF($O94&gt;PARAMETRES!$F$36,4,IF($O94&gt;PARAMETRES!$E$36,3,IF($O94&gt;PARAMETRES!$D$36,2,1)))))</f>
        <v/>
      </c>
      <c r="X94" t="str">
        <f>IF($P94="","",IF($P94&gt;PARAMETRES!$G$37,5,IF($P94&gt;PARAMETRES!$F$37,4,IF($P94&gt;PARAMETRES!$E$37,3,IF($P94&gt;PARAMETRES!$D$37,2,1)))))</f>
        <v/>
      </c>
      <c r="Y94" t="str">
        <f t="shared" si="24"/>
        <v/>
      </c>
      <c r="Z94" t="str">
        <f>IFERROR(VLOOKUP($B94,TABLE_CYCLE,2,0),"")</f>
        <v/>
      </c>
      <c r="AA94" t="str">
        <f t="shared" si="25"/>
        <v/>
      </c>
      <c r="AB94" t="str">
        <f>IF($D94="","",IF(COUNTIF($D$2:$D94,$D94)=1,$D94,""))</f>
        <v/>
      </c>
      <c r="AC94">
        <f t="shared" si="26"/>
        <v>0</v>
      </c>
      <c r="AD94" t="str">
        <f t="shared" si="27"/>
        <v>|0</v>
      </c>
      <c r="AE94" t="str">
        <f t="shared" si="28"/>
        <v/>
      </c>
      <c r="AF94" t="str">
        <f t="shared" si="29"/>
        <v/>
      </c>
      <c r="AG94" t="str">
        <f t="shared" si="30"/>
        <v/>
      </c>
      <c r="AH94" t="str">
        <f t="shared" si="31"/>
        <v/>
      </c>
      <c r="AI94" t="str">
        <f t="shared" si="32"/>
        <v/>
      </c>
      <c r="AJ94" t="str">
        <f t="shared" si="33"/>
        <v/>
      </c>
      <c r="AK94" t="str">
        <f t="shared" si="34"/>
        <v/>
      </c>
      <c r="AL94" t="str">
        <f t="shared" si="35"/>
        <v/>
      </c>
      <c r="AM94" t="str">
        <f t="shared" si="36"/>
        <v/>
      </c>
      <c r="AN94" t="str">
        <f t="shared" si="37"/>
        <v/>
      </c>
      <c r="AO94" t="str">
        <f t="shared" si="38"/>
        <v/>
      </c>
      <c r="AP94">
        <f t="shared" si="39"/>
        <v>1</v>
      </c>
      <c r="AQ94" t="str">
        <f>IF(SAISIE!$F99="","",SAISIE!$Y99)</f>
        <v/>
      </c>
      <c r="AR94" t="str">
        <f>IF(OR(SAISIE!$U$4="",SAISIE!$W$4=""),"",IF(AND($A94=SAISIE!$U$4,$B94=SAISIE!$W$4,$C94="S1"),COUNTIFS($A$2:$A94,SAISIE!$U$4,$B$2:$B94,SAISIE!$W$4,$C$2:$C94,"S1"),""))</f>
        <v/>
      </c>
      <c r="AS94" t="str">
        <f t="shared" si="40"/>
        <v/>
      </c>
      <c r="AT94" t="str">
        <f t="shared" si="41"/>
        <v/>
      </c>
      <c r="AU94" t="str">
        <f t="shared" si="42"/>
        <v/>
      </c>
      <c r="AV94">
        <f>N(AV93)+IF(AND($AB94&lt;&gt;"",OR('PROFIL ELEVE'!$K$4="(Tous)",$AF94='PROFIL ELEVE'!$K$4)),1,0)</f>
        <v>0</v>
      </c>
      <c r="AW94">
        <f>N(AW93)+IF(AND($AB94&lt;&gt;"",OR('SUIVI LONGITUDINAL'!$Q$4="(Tous)",$AF94='SUIVI LONGITUDINAL'!$Q$4)),1,0)</f>
        <v>0</v>
      </c>
      <c r="AX94">
        <f t="shared" si="43"/>
        <v>0</v>
      </c>
      <c r="AY94">
        <f t="shared" si="44"/>
        <v>0</v>
      </c>
      <c r="AZ94">
        <f t="shared" si="45"/>
        <v>0</v>
      </c>
      <c r="BA94" t="str">
        <f t="shared" si="46"/>
        <v/>
      </c>
      <c r="BB94" t="str">
        <f t="shared" si="47"/>
        <v/>
      </c>
    </row>
    <row r="95" spans="1:54" ht="14.25" customHeight="1" x14ac:dyDescent="0.3">
      <c r="A95" t="str">
        <f>IF(SAISIE!$F100="","",SAISIE!$B100)</f>
        <v/>
      </c>
      <c r="B95" t="str">
        <f>IF(SAISIE!$F100="","",SAISIE!$C100)</f>
        <v/>
      </c>
      <c r="C95" t="str">
        <f>IF(SAISIE!$F100="","",SAISIE!$D100)</f>
        <v/>
      </c>
      <c r="D95" t="str">
        <f>IF(SAISIE!$E100="","",SAISIE!$E100)</f>
        <v/>
      </c>
      <c r="E95" t="str">
        <f>IF(SAISIE!$F100="","",SAISIE!$F100)</f>
        <v/>
      </c>
      <c r="F95" t="str">
        <f>IF(SAISIE!$G100="","",SAISIE!$G100)</f>
        <v/>
      </c>
      <c r="G95" t="str">
        <f>IF(SAISIE!$H100="","",SAISIE!$H100)</f>
        <v/>
      </c>
      <c r="H95" t="str">
        <f>IF(SAISIE!$I100="","",SAISIE!$I100)</f>
        <v/>
      </c>
      <c r="I95" t="str">
        <f>IF(SAISIE!$J100="","",SAISIE!$J100)</f>
        <v/>
      </c>
      <c r="J95" t="str">
        <f>IF(SAISIE!$K100="","",SAISIE!$K100)</f>
        <v/>
      </c>
      <c r="K95" t="str">
        <f>IF(SAISIE!$L100="","",SAISIE!$L100)</f>
        <v/>
      </c>
      <c r="L95" t="str">
        <f>IF(SAISIE!$M100="","",SAISIE!$M100)</f>
        <v/>
      </c>
      <c r="M95" t="str">
        <f>IF(SAISIE!$N100="","",SAISIE!$N100)</f>
        <v/>
      </c>
      <c r="N95" t="str">
        <f>IF(SAISIE!$O100="","",SAISIE!$O100)</f>
        <v/>
      </c>
      <c r="O95" t="str">
        <f>IF(SAISIE!$P100="","",SAISIE!$P100)</f>
        <v/>
      </c>
      <c r="P95" t="str">
        <f>IF(SAISIE!$Q100="","",SAISIE!$Q100)</f>
        <v/>
      </c>
      <c r="Q95" t="str">
        <f>IF($I95="","",IF($I95&gt;PARAMETRES!$G$29,5,IF($I95&gt;PARAMETRES!$F$29,4,IF($I95&gt;PARAMETRES!$E$29,3,IF($I95&gt;PARAMETRES!$D$29,2,1)))))</f>
        <v/>
      </c>
      <c r="R95" t="str">
        <f>IF($J95="","",IF($J95&gt;PARAMETRES!$G$30,5,IF($J95&gt;PARAMETRES!$F$30,4,IF($J95&gt;PARAMETRES!$E$30,3,IF($J95&gt;PARAMETRES!$D$30,2,1)))))</f>
        <v/>
      </c>
      <c r="S95" t="str">
        <f>IF($K95="","",IF($Z95=2,IF($K95&gt;PARAMETRES!$G$31,5,IF($K95&gt;PARAMETRES!$F$31,4,IF($K95&gt;PARAMETRES!$E$31,3,IF($K95&gt;PARAMETRES!$D$31,2,1)))),IF($K95&gt;PARAMETRES!$G$32,5,IF($K95&gt;PARAMETRES!$F$32,4,IF($K95&gt;PARAMETRES!$E$32,3,IF($K95&gt;PARAMETRES!$D$32,2,1))))))</f>
        <v/>
      </c>
      <c r="T95" t="str">
        <f>IF($L95="","",IF($L95&gt;PARAMETRES!$G$33,5,IF($L95&gt;PARAMETRES!$F$33,4,IF($L95&gt;PARAMETRES!$E$33,3,IF($L95&gt;PARAMETRES!$D$33,2,1)))))</f>
        <v/>
      </c>
      <c r="U95" t="str">
        <f>IF($M95="","",IF($M95&gt;PARAMETRES!$G$34,5,IF($M95&gt;PARAMETRES!$F$34,4,IF($M95&gt;PARAMETRES!$E$34,3,IF($M95&gt;PARAMETRES!$D$34,2,1)))))</f>
        <v/>
      </c>
      <c r="V95" t="str">
        <f>IF($N95="","",IF($N95&gt;PARAMETRES!$G$35,5,IF($N95&gt;PARAMETRES!$F$35,4,IF($N95&gt;PARAMETRES!$E$35,3,IF($N95&gt;PARAMETRES!$D$35,2,1)))))</f>
        <v/>
      </c>
      <c r="W95" t="str">
        <f>IF($O95="","",IF($O95&gt;PARAMETRES!$G$36,5,IF($O95&gt;PARAMETRES!$F$36,4,IF($O95&gt;PARAMETRES!$E$36,3,IF($O95&gt;PARAMETRES!$D$36,2,1)))))</f>
        <v/>
      </c>
      <c r="X95" t="str">
        <f>IF($P95="","",IF($P95&gt;PARAMETRES!$G$37,5,IF($P95&gt;PARAMETRES!$F$37,4,IF($P95&gt;PARAMETRES!$E$37,3,IF($P95&gt;PARAMETRES!$D$37,2,1)))))</f>
        <v/>
      </c>
      <c r="Y95" t="str">
        <f t="shared" si="24"/>
        <v/>
      </c>
      <c r="Z95" t="str">
        <f>IFERROR(VLOOKUP($B95,TABLE_CYCLE,2,0),"")</f>
        <v/>
      </c>
      <c r="AA95" t="str">
        <f t="shared" si="25"/>
        <v/>
      </c>
      <c r="AB95" t="str">
        <f>IF($D95="","",IF(COUNTIF($D$2:$D95,$D95)=1,$D95,""))</f>
        <v/>
      </c>
      <c r="AC95">
        <f t="shared" si="26"/>
        <v>0</v>
      </c>
      <c r="AD95" t="str">
        <f t="shared" si="27"/>
        <v>|0</v>
      </c>
      <c r="AE95" t="str">
        <f t="shared" si="28"/>
        <v/>
      </c>
      <c r="AF95" t="str">
        <f t="shared" si="29"/>
        <v/>
      </c>
      <c r="AG95" t="str">
        <f t="shared" si="30"/>
        <v/>
      </c>
      <c r="AH95" t="str">
        <f t="shared" si="31"/>
        <v/>
      </c>
      <c r="AI95" t="str">
        <f t="shared" si="32"/>
        <v/>
      </c>
      <c r="AJ95" t="str">
        <f t="shared" si="33"/>
        <v/>
      </c>
      <c r="AK95" t="str">
        <f t="shared" si="34"/>
        <v/>
      </c>
      <c r="AL95" t="str">
        <f t="shared" si="35"/>
        <v/>
      </c>
      <c r="AM95" t="str">
        <f t="shared" si="36"/>
        <v/>
      </c>
      <c r="AN95" t="str">
        <f t="shared" si="37"/>
        <v/>
      </c>
      <c r="AO95" t="str">
        <f t="shared" si="38"/>
        <v/>
      </c>
      <c r="AP95">
        <f t="shared" si="39"/>
        <v>1</v>
      </c>
      <c r="AQ95" t="str">
        <f>IF(SAISIE!$F100="","",SAISIE!$Y100)</f>
        <v/>
      </c>
      <c r="AR95" t="str">
        <f>IF(OR(SAISIE!$U$4="",SAISIE!$W$4=""),"",IF(AND($A95=SAISIE!$U$4,$B95=SAISIE!$W$4,$C95="S1"),COUNTIFS($A$2:$A95,SAISIE!$U$4,$B$2:$B95,SAISIE!$W$4,$C$2:$C95,"S1"),""))</f>
        <v/>
      </c>
      <c r="AS95" t="str">
        <f t="shared" si="40"/>
        <v/>
      </c>
      <c r="AT95" t="str">
        <f t="shared" si="41"/>
        <v/>
      </c>
      <c r="AU95" t="str">
        <f t="shared" si="42"/>
        <v/>
      </c>
      <c r="AV95">
        <f>N(AV94)+IF(AND($AB95&lt;&gt;"",OR('PROFIL ELEVE'!$K$4="(Tous)",$AF95='PROFIL ELEVE'!$K$4)),1,0)</f>
        <v>0</v>
      </c>
      <c r="AW95">
        <f>N(AW94)+IF(AND($AB95&lt;&gt;"",OR('SUIVI LONGITUDINAL'!$Q$4="(Tous)",$AF95='SUIVI LONGITUDINAL'!$Q$4)),1,0)</f>
        <v>0</v>
      </c>
      <c r="AX95">
        <f t="shared" si="43"/>
        <v>0</v>
      </c>
      <c r="AY95">
        <f t="shared" si="44"/>
        <v>0</v>
      </c>
      <c r="AZ95">
        <f t="shared" si="45"/>
        <v>0</v>
      </c>
      <c r="BA95" t="str">
        <f t="shared" si="46"/>
        <v/>
      </c>
      <c r="BB95" t="str">
        <f t="shared" si="47"/>
        <v/>
      </c>
    </row>
    <row r="96" spans="1:54" ht="14.25" customHeight="1" x14ac:dyDescent="0.3">
      <c r="A96" t="str">
        <f>IF(SAISIE!$F101="","",SAISIE!$B101)</f>
        <v/>
      </c>
      <c r="B96" t="str">
        <f>IF(SAISIE!$F101="","",SAISIE!$C101)</f>
        <v/>
      </c>
      <c r="C96" t="str">
        <f>IF(SAISIE!$F101="","",SAISIE!$D101)</f>
        <v/>
      </c>
      <c r="D96" t="str">
        <f>IF(SAISIE!$E101="","",SAISIE!$E101)</f>
        <v/>
      </c>
      <c r="E96" t="str">
        <f>IF(SAISIE!$F101="","",SAISIE!$F101)</f>
        <v/>
      </c>
      <c r="F96" t="str">
        <f>IF(SAISIE!$G101="","",SAISIE!$G101)</f>
        <v/>
      </c>
      <c r="G96" t="str">
        <f>IF(SAISIE!$H101="","",SAISIE!$H101)</f>
        <v/>
      </c>
      <c r="H96" t="str">
        <f>IF(SAISIE!$I101="","",SAISIE!$I101)</f>
        <v/>
      </c>
      <c r="I96" t="str">
        <f>IF(SAISIE!$J101="","",SAISIE!$J101)</f>
        <v/>
      </c>
      <c r="J96" t="str">
        <f>IF(SAISIE!$K101="","",SAISIE!$K101)</f>
        <v/>
      </c>
      <c r="K96" t="str">
        <f>IF(SAISIE!$L101="","",SAISIE!$L101)</f>
        <v/>
      </c>
      <c r="L96" t="str">
        <f>IF(SAISIE!$M101="","",SAISIE!$M101)</f>
        <v/>
      </c>
      <c r="M96" t="str">
        <f>IF(SAISIE!$N101="","",SAISIE!$N101)</f>
        <v/>
      </c>
      <c r="N96" t="str">
        <f>IF(SAISIE!$O101="","",SAISIE!$O101)</f>
        <v/>
      </c>
      <c r="O96" t="str">
        <f>IF(SAISIE!$P101="","",SAISIE!$P101)</f>
        <v/>
      </c>
      <c r="P96" t="str">
        <f>IF(SAISIE!$Q101="","",SAISIE!$Q101)</f>
        <v/>
      </c>
      <c r="Q96" t="str">
        <f>IF($I96="","",IF($I96&gt;PARAMETRES!$G$29,5,IF($I96&gt;PARAMETRES!$F$29,4,IF($I96&gt;PARAMETRES!$E$29,3,IF($I96&gt;PARAMETRES!$D$29,2,1)))))</f>
        <v/>
      </c>
      <c r="R96" t="str">
        <f>IF($J96="","",IF($J96&gt;PARAMETRES!$G$30,5,IF($J96&gt;PARAMETRES!$F$30,4,IF($J96&gt;PARAMETRES!$E$30,3,IF($J96&gt;PARAMETRES!$D$30,2,1)))))</f>
        <v/>
      </c>
      <c r="S96" t="str">
        <f>IF($K96="","",IF($Z96=2,IF($K96&gt;PARAMETRES!$G$31,5,IF($K96&gt;PARAMETRES!$F$31,4,IF($K96&gt;PARAMETRES!$E$31,3,IF($K96&gt;PARAMETRES!$D$31,2,1)))),IF($K96&gt;PARAMETRES!$G$32,5,IF($K96&gt;PARAMETRES!$F$32,4,IF($K96&gt;PARAMETRES!$E$32,3,IF($K96&gt;PARAMETRES!$D$32,2,1))))))</f>
        <v/>
      </c>
      <c r="T96" t="str">
        <f>IF($L96="","",IF($L96&gt;PARAMETRES!$G$33,5,IF($L96&gt;PARAMETRES!$F$33,4,IF($L96&gt;PARAMETRES!$E$33,3,IF($L96&gt;PARAMETRES!$D$33,2,1)))))</f>
        <v/>
      </c>
      <c r="U96" t="str">
        <f>IF($M96="","",IF($M96&gt;PARAMETRES!$G$34,5,IF($M96&gt;PARAMETRES!$F$34,4,IF($M96&gt;PARAMETRES!$E$34,3,IF($M96&gt;PARAMETRES!$D$34,2,1)))))</f>
        <v/>
      </c>
      <c r="V96" t="str">
        <f>IF($N96="","",IF($N96&gt;PARAMETRES!$G$35,5,IF($N96&gt;PARAMETRES!$F$35,4,IF($N96&gt;PARAMETRES!$E$35,3,IF($N96&gt;PARAMETRES!$D$35,2,1)))))</f>
        <v/>
      </c>
      <c r="W96" t="str">
        <f>IF($O96="","",IF($O96&gt;PARAMETRES!$G$36,5,IF($O96&gt;PARAMETRES!$F$36,4,IF($O96&gt;PARAMETRES!$E$36,3,IF($O96&gt;PARAMETRES!$D$36,2,1)))))</f>
        <v/>
      </c>
      <c r="X96" t="str">
        <f>IF($P96="","",IF($P96&gt;PARAMETRES!$G$37,5,IF($P96&gt;PARAMETRES!$F$37,4,IF($P96&gt;PARAMETRES!$E$37,3,IF($P96&gt;PARAMETRES!$D$37,2,1)))))</f>
        <v/>
      </c>
      <c r="Y96" t="str">
        <f t="shared" si="24"/>
        <v/>
      </c>
      <c r="Z96" t="str">
        <f>IFERROR(VLOOKUP($B96,TABLE_CYCLE,2,0),"")</f>
        <v/>
      </c>
      <c r="AA96" t="str">
        <f t="shared" si="25"/>
        <v/>
      </c>
      <c r="AB96" t="str">
        <f>IF($D96="","",IF(COUNTIF($D$2:$D96,$D96)=1,$D96,""))</f>
        <v/>
      </c>
      <c r="AC96">
        <f t="shared" si="26"/>
        <v>0</v>
      </c>
      <c r="AD96" t="str">
        <f t="shared" si="27"/>
        <v>|0</v>
      </c>
      <c r="AE96" t="str">
        <f t="shared" si="28"/>
        <v/>
      </c>
      <c r="AF96" t="str">
        <f t="shared" si="29"/>
        <v/>
      </c>
      <c r="AG96" t="str">
        <f t="shared" si="30"/>
        <v/>
      </c>
      <c r="AH96" t="str">
        <f t="shared" si="31"/>
        <v/>
      </c>
      <c r="AI96" t="str">
        <f t="shared" si="32"/>
        <v/>
      </c>
      <c r="AJ96" t="str">
        <f t="shared" si="33"/>
        <v/>
      </c>
      <c r="AK96" t="str">
        <f t="shared" si="34"/>
        <v/>
      </c>
      <c r="AL96" t="str">
        <f t="shared" si="35"/>
        <v/>
      </c>
      <c r="AM96" t="str">
        <f t="shared" si="36"/>
        <v/>
      </c>
      <c r="AN96" t="str">
        <f t="shared" si="37"/>
        <v/>
      </c>
      <c r="AO96" t="str">
        <f t="shared" si="38"/>
        <v/>
      </c>
      <c r="AP96">
        <f t="shared" si="39"/>
        <v>1</v>
      </c>
      <c r="AQ96" t="str">
        <f>IF(SAISIE!$F101="","",SAISIE!$Y101)</f>
        <v/>
      </c>
      <c r="AR96" t="str">
        <f>IF(OR(SAISIE!$U$4="",SAISIE!$W$4=""),"",IF(AND($A96=SAISIE!$U$4,$B96=SAISIE!$W$4,$C96="S1"),COUNTIFS($A$2:$A96,SAISIE!$U$4,$B$2:$B96,SAISIE!$W$4,$C$2:$C96,"S1"),""))</f>
        <v/>
      </c>
      <c r="AS96" t="str">
        <f t="shared" si="40"/>
        <v/>
      </c>
      <c r="AT96" t="str">
        <f t="shared" si="41"/>
        <v/>
      </c>
      <c r="AU96" t="str">
        <f t="shared" si="42"/>
        <v/>
      </c>
      <c r="AV96">
        <f>N(AV95)+IF(AND($AB96&lt;&gt;"",OR('PROFIL ELEVE'!$K$4="(Tous)",$AF96='PROFIL ELEVE'!$K$4)),1,0)</f>
        <v>0</v>
      </c>
      <c r="AW96">
        <f>N(AW95)+IF(AND($AB96&lt;&gt;"",OR('SUIVI LONGITUDINAL'!$Q$4="(Tous)",$AF96='SUIVI LONGITUDINAL'!$Q$4)),1,0)</f>
        <v>0</v>
      </c>
      <c r="AX96">
        <f t="shared" si="43"/>
        <v>0</v>
      </c>
      <c r="AY96">
        <f t="shared" si="44"/>
        <v>0</v>
      </c>
      <c r="AZ96">
        <f t="shared" si="45"/>
        <v>0</v>
      </c>
      <c r="BA96" t="str">
        <f t="shared" si="46"/>
        <v/>
      </c>
      <c r="BB96" t="str">
        <f t="shared" si="47"/>
        <v/>
      </c>
    </row>
    <row r="97" spans="1:54" ht="14.25" customHeight="1" x14ac:dyDescent="0.3">
      <c r="A97" t="str">
        <f>IF(SAISIE!$F102="","",SAISIE!$B102)</f>
        <v/>
      </c>
      <c r="B97" t="str">
        <f>IF(SAISIE!$F102="","",SAISIE!$C102)</f>
        <v/>
      </c>
      <c r="C97" t="str">
        <f>IF(SAISIE!$F102="","",SAISIE!$D102)</f>
        <v/>
      </c>
      <c r="D97" t="str">
        <f>IF(SAISIE!$E102="","",SAISIE!$E102)</f>
        <v/>
      </c>
      <c r="E97" t="str">
        <f>IF(SAISIE!$F102="","",SAISIE!$F102)</f>
        <v/>
      </c>
      <c r="F97" t="str">
        <f>IF(SAISIE!$G102="","",SAISIE!$G102)</f>
        <v/>
      </c>
      <c r="G97" t="str">
        <f>IF(SAISIE!$H102="","",SAISIE!$H102)</f>
        <v/>
      </c>
      <c r="H97" t="str">
        <f>IF(SAISIE!$I102="","",SAISIE!$I102)</f>
        <v/>
      </c>
      <c r="I97" t="str">
        <f>IF(SAISIE!$J102="","",SAISIE!$J102)</f>
        <v/>
      </c>
      <c r="J97" t="str">
        <f>IF(SAISIE!$K102="","",SAISIE!$K102)</f>
        <v/>
      </c>
      <c r="K97" t="str">
        <f>IF(SAISIE!$L102="","",SAISIE!$L102)</f>
        <v/>
      </c>
      <c r="L97" t="str">
        <f>IF(SAISIE!$M102="","",SAISIE!$M102)</f>
        <v/>
      </c>
      <c r="M97" t="str">
        <f>IF(SAISIE!$N102="","",SAISIE!$N102)</f>
        <v/>
      </c>
      <c r="N97" t="str">
        <f>IF(SAISIE!$O102="","",SAISIE!$O102)</f>
        <v/>
      </c>
      <c r="O97" t="str">
        <f>IF(SAISIE!$P102="","",SAISIE!$P102)</f>
        <v/>
      </c>
      <c r="P97" t="str">
        <f>IF(SAISIE!$Q102="","",SAISIE!$Q102)</f>
        <v/>
      </c>
      <c r="Q97" t="str">
        <f>IF($I97="","",IF($I97&gt;PARAMETRES!$G$29,5,IF($I97&gt;PARAMETRES!$F$29,4,IF($I97&gt;PARAMETRES!$E$29,3,IF($I97&gt;PARAMETRES!$D$29,2,1)))))</f>
        <v/>
      </c>
      <c r="R97" t="str">
        <f>IF($J97="","",IF($J97&gt;PARAMETRES!$G$30,5,IF($J97&gt;PARAMETRES!$F$30,4,IF($J97&gt;PARAMETRES!$E$30,3,IF($J97&gt;PARAMETRES!$D$30,2,1)))))</f>
        <v/>
      </c>
      <c r="S97" t="str">
        <f>IF($K97="","",IF($Z97=2,IF($K97&gt;PARAMETRES!$G$31,5,IF($K97&gt;PARAMETRES!$F$31,4,IF($K97&gt;PARAMETRES!$E$31,3,IF($K97&gt;PARAMETRES!$D$31,2,1)))),IF($K97&gt;PARAMETRES!$G$32,5,IF($K97&gt;PARAMETRES!$F$32,4,IF($K97&gt;PARAMETRES!$E$32,3,IF($K97&gt;PARAMETRES!$D$32,2,1))))))</f>
        <v/>
      </c>
      <c r="T97" t="str">
        <f>IF($L97="","",IF($L97&gt;PARAMETRES!$G$33,5,IF($L97&gt;PARAMETRES!$F$33,4,IF($L97&gt;PARAMETRES!$E$33,3,IF($L97&gt;PARAMETRES!$D$33,2,1)))))</f>
        <v/>
      </c>
      <c r="U97" t="str">
        <f>IF($M97="","",IF($M97&gt;PARAMETRES!$G$34,5,IF($M97&gt;PARAMETRES!$F$34,4,IF($M97&gt;PARAMETRES!$E$34,3,IF($M97&gt;PARAMETRES!$D$34,2,1)))))</f>
        <v/>
      </c>
      <c r="V97" t="str">
        <f>IF($N97="","",IF($N97&gt;PARAMETRES!$G$35,5,IF($N97&gt;PARAMETRES!$F$35,4,IF($N97&gt;PARAMETRES!$E$35,3,IF($N97&gt;PARAMETRES!$D$35,2,1)))))</f>
        <v/>
      </c>
      <c r="W97" t="str">
        <f>IF($O97="","",IF($O97&gt;PARAMETRES!$G$36,5,IF($O97&gt;PARAMETRES!$F$36,4,IF($O97&gt;PARAMETRES!$E$36,3,IF($O97&gt;PARAMETRES!$D$36,2,1)))))</f>
        <v/>
      </c>
      <c r="X97" t="str">
        <f>IF($P97="","",IF($P97&gt;PARAMETRES!$G$37,5,IF($P97&gt;PARAMETRES!$F$37,4,IF($P97&gt;PARAMETRES!$E$37,3,IF($P97&gt;PARAMETRES!$D$37,2,1)))))</f>
        <v/>
      </c>
      <c r="Y97" t="str">
        <f t="shared" si="24"/>
        <v/>
      </c>
      <c r="Z97" t="str">
        <f>IFERROR(VLOOKUP($B97,TABLE_CYCLE,2,0),"")</f>
        <v/>
      </c>
      <c r="AA97" t="str">
        <f t="shared" si="25"/>
        <v/>
      </c>
      <c r="AB97" t="str">
        <f>IF($D97="","",IF(COUNTIF($D$2:$D97,$D97)=1,$D97,""))</f>
        <v/>
      </c>
      <c r="AC97">
        <f t="shared" si="26"/>
        <v>0</v>
      </c>
      <c r="AD97" t="str">
        <f t="shared" si="27"/>
        <v>|0</v>
      </c>
      <c r="AE97" t="str">
        <f t="shared" si="28"/>
        <v/>
      </c>
      <c r="AF97" t="str">
        <f t="shared" si="29"/>
        <v/>
      </c>
      <c r="AG97" t="str">
        <f t="shared" si="30"/>
        <v/>
      </c>
      <c r="AH97" t="str">
        <f t="shared" si="31"/>
        <v/>
      </c>
      <c r="AI97" t="str">
        <f t="shared" si="32"/>
        <v/>
      </c>
      <c r="AJ97" t="str">
        <f t="shared" si="33"/>
        <v/>
      </c>
      <c r="AK97" t="str">
        <f t="shared" si="34"/>
        <v/>
      </c>
      <c r="AL97" t="str">
        <f t="shared" si="35"/>
        <v/>
      </c>
      <c r="AM97" t="str">
        <f t="shared" si="36"/>
        <v/>
      </c>
      <c r="AN97" t="str">
        <f t="shared" si="37"/>
        <v/>
      </c>
      <c r="AO97" t="str">
        <f t="shared" si="38"/>
        <v/>
      </c>
      <c r="AP97">
        <f t="shared" si="39"/>
        <v>1</v>
      </c>
      <c r="AQ97" t="str">
        <f>IF(SAISIE!$F102="","",SAISIE!$Y102)</f>
        <v/>
      </c>
      <c r="AR97" t="str">
        <f>IF(OR(SAISIE!$U$4="",SAISIE!$W$4=""),"",IF(AND($A97=SAISIE!$U$4,$B97=SAISIE!$W$4,$C97="S1"),COUNTIFS($A$2:$A97,SAISIE!$U$4,$B$2:$B97,SAISIE!$W$4,$C$2:$C97,"S1"),""))</f>
        <v/>
      </c>
      <c r="AS97" t="str">
        <f t="shared" si="40"/>
        <v/>
      </c>
      <c r="AT97" t="str">
        <f t="shared" si="41"/>
        <v/>
      </c>
      <c r="AU97" t="str">
        <f t="shared" si="42"/>
        <v/>
      </c>
      <c r="AV97">
        <f>N(AV96)+IF(AND($AB97&lt;&gt;"",OR('PROFIL ELEVE'!$K$4="(Tous)",$AF97='PROFIL ELEVE'!$K$4)),1,0)</f>
        <v>0</v>
      </c>
      <c r="AW97">
        <f>N(AW96)+IF(AND($AB97&lt;&gt;"",OR('SUIVI LONGITUDINAL'!$Q$4="(Tous)",$AF97='SUIVI LONGITUDINAL'!$Q$4)),1,0)</f>
        <v>0</v>
      </c>
      <c r="AX97">
        <f t="shared" si="43"/>
        <v>0</v>
      </c>
      <c r="AY97">
        <f t="shared" si="44"/>
        <v>0</v>
      </c>
      <c r="AZ97">
        <f t="shared" si="45"/>
        <v>0</v>
      </c>
      <c r="BA97" t="str">
        <f t="shared" si="46"/>
        <v/>
      </c>
      <c r="BB97" t="str">
        <f t="shared" si="47"/>
        <v/>
      </c>
    </row>
    <row r="98" spans="1:54" ht="14.25" customHeight="1" x14ac:dyDescent="0.3">
      <c r="A98" t="str">
        <f>IF(SAISIE!$F103="","",SAISIE!$B103)</f>
        <v/>
      </c>
      <c r="B98" t="str">
        <f>IF(SAISIE!$F103="","",SAISIE!$C103)</f>
        <v/>
      </c>
      <c r="C98" t="str">
        <f>IF(SAISIE!$F103="","",SAISIE!$D103)</f>
        <v/>
      </c>
      <c r="D98" t="str">
        <f>IF(SAISIE!$E103="","",SAISIE!$E103)</f>
        <v/>
      </c>
      <c r="E98" t="str">
        <f>IF(SAISIE!$F103="","",SAISIE!$F103)</f>
        <v/>
      </c>
      <c r="F98" t="str">
        <f>IF(SAISIE!$G103="","",SAISIE!$G103)</f>
        <v/>
      </c>
      <c r="G98" t="str">
        <f>IF(SAISIE!$H103="","",SAISIE!$H103)</f>
        <v/>
      </c>
      <c r="H98" t="str">
        <f>IF(SAISIE!$I103="","",SAISIE!$I103)</f>
        <v/>
      </c>
      <c r="I98" t="str">
        <f>IF(SAISIE!$J103="","",SAISIE!$J103)</f>
        <v/>
      </c>
      <c r="J98" t="str">
        <f>IF(SAISIE!$K103="","",SAISIE!$K103)</f>
        <v/>
      </c>
      <c r="K98" t="str">
        <f>IF(SAISIE!$L103="","",SAISIE!$L103)</f>
        <v/>
      </c>
      <c r="L98" t="str">
        <f>IF(SAISIE!$M103="","",SAISIE!$M103)</f>
        <v/>
      </c>
      <c r="M98" t="str">
        <f>IF(SAISIE!$N103="","",SAISIE!$N103)</f>
        <v/>
      </c>
      <c r="N98" t="str">
        <f>IF(SAISIE!$O103="","",SAISIE!$O103)</f>
        <v/>
      </c>
      <c r="O98" t="str">
        <f>IF(SAISIE!$P103="","",SAISIE!$P103)</f>
        <v/>
      </c>
      <c r="P98" t="str">
        <f>IF(SAISIE!$Q103="","",SAISIE!$Q103)</f>
        <v/>
      </c>
      <c r="Q98" t="str">
        <f>IF($I98="","",IF($I98&gt;PARAMETRES!$G$29,5,IF($I98&gt;PARAMETRES!$F$29,4,IF($I98&gt;PARAMETRES!$E$29,3,IF($I98&gt;PARAMETRES!$D$29,2,1)))))</f>
        <v/>
      </c>
      <c r="R98" t="str">
        <f>IF($J98="","",IF($J98&gt;PARAMETRES!$G$30,5,IF($J98&gt;PARAMETRES!$F$30,4,IF($J98&gt;PARAMETRES!$E$30,3,IF($J98&gt;PARAMETRES!$D$30,2,1)))))</f>
        <v/>
      </c>
      <c r="S98" t="str">
        <f>IF($K98="","",IF($Z98=2,IF($K98&gt;PARAMETRES!$G$31,5,IF($K98&gt;PARAMETRES!$F$31,4,IF($K98&gt;PARAMETRES!$E$31,3,IF($K98&gt;PARAMETRES!$D$31,2,1)))),IF($K98&gt;PARAMETRES!$G$32,5,IF($K98&gt;PARAMETRES!$F$32,4,IF($K98&gt;PARAMETRES!$E$32,3,IF($K98&gt;PARAMETRES!$D$32,2,1))))))</f>
        <v/>
      </c>
      <c r="T98" t="str">
        <f>IF($L98="","",IF($L98&gt;PARAMETRES!$G$33,5,IF($L98&gt;PARAMETRES!$F$33,4,IF($L98&gt;PARAMETRES!$E$33,3,IF($L98&gt;PARAMETRES!$D$33,2,1)))))</f>
        <v/>
      </c>
      <c r="U98" t="str">
        <f>IF($M98="","",IF($M98&gt;PARAMETRES!$G$34,5,IF($M98&gt;PARAMETRES!$F$34,4,IF($M98&gt;PARAMETRES!$E$34,3,IF($M98&gt;PARAMETRES!$D$34,2,1)))))</f>
        <v/>
      </c>
      <c r="V98" t="str">
        <f>IF($N98="","",IF($N98&gt;PARAMETRES!$G$35,5,IF($N98&gt;PARAMETRES!$F$35,4,IF($N98&gt;PARAMETRES!$E$35,3,IF($N98&gt;PARAMETRES!$D$35,2,1)))))</f>
        <v/>
      </c>
      <c r="W98" t="str">
        <f>IF($O98="","",IF($O98&gt;PARAMETRES!$G$36,5,IF($O98&gt;PARAMETRES!$F$36,4,IF($O98&gt;PARAMETRES!$E$36,3,IF($O98&gt;PARAMETRES!$D$36,2,1)))))</f>
        <v/>
      </c>
      <c r="X98" t="str">
        <f>IF($P98="","",IF($P98&gt;PARAMETRES!$G$37,5,IF($P98&gt;PARAMETRES!$F$37,4,IF($P98&gt;PARAMETRES!$E$37,3,IF($P98&gt;PARAMETRES!$D$37,2,1)))))</f>
        <v/>
      </c>
      <c r="Y98" t="str">
        <f t="shared" si="24"/>
        <v/>
      </c>
      <c r="Z98" t="str">
        <f>IFERROR(VLOOKUP($B98,TABLE_CYCLE,2,0),"")</f>
        <v/>
      </c>
      <c r="AA98" t="str">
        <f t="shared" si="25"/>
        <v/>
      </c>
      <c r="AB98" t="str">
        <f>IF($D98="","",IF(COUNTIF($D$2:$D98,$D98)=1,$D98,""))</f>
        <v/>
      </c>
      <c r="AC98">
        <f t="shared" si="26"/>
        <v>0</v>
      </c>
      <c r="AD98" t="str">
        <f t="shared" si="27"/>
        <v>|0</v>
      </c>
      <c r="AE98" t="str">
        <f t="shared" si="28"/>
        <v/>
      </c>
      <c r="AF98" t="str">
        <f t="shared" si="29"/>
        <v/>
      </c>
      <c r="AG98" t="str">
        <f t="shared" si="30"/>
        <v/>
      </c>
      <c r="AH98" t="str">
        <f t="shared" si="31"/>
        <v/>
      </c>
      <c r="AI98" t="str">
        <f t="shared" si="32"/>
        <v/>
      </c>
      <c r="AJ98" t="str">
        <f t="shared" si="33"/>
        <v/>
      </c>
      <c r="AK98" t="str">
        <f t="shared" si="34"/>
        <v/>
      </c>
      <c r="AL98" t="str">
        <f t="shared" si="35"/>
        <v/>
      </c>
      <c r="AM98" t="str">
        <f t="shared" si="36"/>
        <v/>
      </c>
      <c r="AN98" t="str">
        <f t="shared" si="37"/>
        <v/>
      </c>
      <c r="AO98" t="str">
        <f t="shared" si="38"/>
        <v/>
      </c>
      <c r="AP98">
        <f t="shared" si="39"/>
        <v>1</v>
      </c>
      <c r="AQ98" t="str">
        <f>IF(SAISIE!$F103="","",SAISIE!$Y103)</f>
        <v/>
      </c>
      <c r="AR98" t="str">
        <f>IF(OR(SAISIE!$U$4="",SAISIE!$W$4=""),"",IF(AND($A98=SAISIE!$U$4,$B98=SAISIE!$W$4,$C98="S1"),COUNTIFS($A$2:$A98,SAISIE!$U$4,$B$2:$B98,SAISIE!$W$4,$C$2:$C98,"S1"),""))</f>
        <v/>
      </c>
      <c r="AS98" t="str">
        <f t="shared" si="40"/>
        <v/>
      </c>
      <c r="AT98" t="str">
        <f t="shared" si="41"/>
        <v/>
      </c>
      <c r="AU98" t="str">
        <f t="shared" si="42"/>
        <v/>
      </c>
      <c r="AV98">
        <f>N(AV97)+IF(AND($AB98&lt;&gt;"",OR('PROFIL ELEVE'!$K$4="(Tous)",$AF98='PROFIL ELEVE'!$K$4)),1,0)</f>
        <v>0</v>
      </c>
      <c r="AW98">
        <f>N(AW97)+IF(AND($AB98&lt;&gt;"",OR('SUIVI LONGITUDINAL'!$Q$4="(Tous)",$AF98='SUIVI LONGITUDINAL'!$Q$4)),1,0)</f>
        <v>0</v>
      </c>
      <c r="AX98">
        <f t="shared" si="43"/>
        <v>0</v>
      </c>
      <c r="AY98">
        <f t="shared" si="44"/>
        <v>0</v>
      </c>
      <c r="AZ98">
        <f t="shared" si="45"/>
        <v>0</v>
      </c>
      <c r="BA98" t="str">
        <f t="shared" si="46"/>
        <v/>
      </c>
      <c r="BB98" t="str">
        <f t="shared" si="47"/>
        <v/>
      </c>
    </row>
    <row r="99" spans="1:54" ht="14.25" customHeight="1" x14ac:dyDescent="0.3">
      <c r="A99" t="str">
        <f>IF(SAISIE!$F104="","",SAISIE!$B104)</f>
        <v/>
      </c>
      <c r="B99" t="str">
        <f>IF(SAISIE!$F104="","",SAISIE!$C104)</f>
        <v/>
      </c>
      <c r="C99" t="str">
        <f>IF(SAISIE!$F104="","",SAISIE!$D104)</f>
        <v/>
      </c>
      <c r="D99" t="str">
        <f>IF(SAISIE!$E104="","",SAISIE!$E104)</f>
        <v/>
      </c>
      <c r="E99" t="str">
        <f>IF(SAISIE!$F104="","",SAISIE!$F104)</f>
        <v/>
      </c>
      <c r="F99" t="str">
        <f>IF(SAISIE!$G104="","",SAISIE!$G104)</f>
        <v/>
      </c>
      <c r="G99" t="str">
        <f>IF(SAISIE!$H104="","",SAISIE!$H104)</f>
        <v/>
      </c>
      <c r="H99" t="str">
        <f>IF(SAISIE!$I104="","",SAISIE!$I104)</f>
        <v/>
      </c>
      <c r="I99" t="str">
        <f>IF(SAISIE!$J104="","",SAISIE!$J104)</f>
        <v/>
      </c>
      <c r="J99" t="str">
        <f>IF(SAISIE!$K104="","",SAISIE!$K104)</f>
        <v/>
      </c>
      <c r="K99" t="str">
        <f>IF(SAISIE!$L104="","",SAISIE!$L104)</f>
        <v/>
      </c>
      <c r="L99" t="str">
        <f>IF(SAISIE!$M104="","",SAISIE!$M104)</f>
        <v/>
      </c>
      <c r="M99" t="str">
        <f>IF(SAISIE!$N104="","",SAISIE!$N104)</f>
        <v/>
      </c>
      <c r="N99" t="str">
        <f>IF(SAISIE!$O104="","",SAISIE!$O104)</f>
        <v/>
      </c>
      <c r="O99" t="str">
        <f>IF(SAISIE!$P104="","",SAISIE!$P104)</f>
        <v/>
      </c>
      <c r="P99" t="str">
        <f>IF(SAISIE!$Q104="","",SAISIE!$Q104)</f>
        <v/>
      </c>
      <c r="Q99" t="str">
        <f>IF($I99="","",IF($I99&gt;PARAMETRES!$G$29,5,IF($I99&gt;PARAMETRES!$F$29,4,IF($I99&gt;PARAMETRES!$E$29,3,IF($I99&gt;PARAMETRES!$D$29,2,1)))))</f>
        <v/>
      </c>
      <c r="R99" t="str">
        <f>IF($J99="","",IF($J99&gt;PARAMETRES!$G$30,5,IF($J99&gt;PARAMETRES!$F$30,4,IF($J99&gt;PARAMETRES!$E$30,3,IF($J99&gt;PARAMETRES!$D$30,2,1)))))</f>
        <v/>
      </c>
      <c r="S99" t="str">
        <f>IF($K99="","",IF($Z99=2,IF($K99&gt;PARAMETRES!$G$31,5,IF($K99&gt;PARAMETRES!$F$31,4,IF($K99&gt;PARAMETRES!$E$31,3,IF($K99&gt;PARAMETRES!$D$31,2,1)))),IF($K99&gt;PARAMETRES!$G$32,5,IF($K99&gt;PARAMETRES!$F$32,4,IF($K99&gt;PARAMETRES!$E$32,3,IF($K99&gt;PARAMETRES!$D$32,2,1))))))</f>
        <v/>
      </c>
      <c r="T99" t="str">
        <f>IF($L99="","",IF($L99&gt;PARAMETRES!$G$33,5,IF($L99&gt;PARAMETRES!$F$33,4,IF($L99&gt;PARAMETRES!$E$33,3,IF($L99&gt;PARAMETRES!$D$33,2,1)))))</f>
        <v/>
      </c>
      <c r="U99" t="str">
        <f>IF($M99="","",IF($M99&gt;PARAMETRES!$G$34,5,IF($M99&gt;PARAMETRES!$F$34,4,IF($M99&gt;PARAMETRES!$E$34,3,IF($M99&gt;PARAMETRES!$D$34,2,1)))))</f>
        <v/>
      </c>
      <c r="V99" t="str">
        <f>IF($N99="","",IF($N99&gt;PARAMETRES!$G$35,5,IF($N99&gt;PARAMETRES!$F$35,4,IF($N99&gt;PARAMETRES!$E$35,3,IF($N99&gt;PARAMETRES!$D$35,2,1)))))</f>
        <v/>
      </c>
      <c r="W99" t="str">
        <f>IF($O99="","",IF($O99&gt;PARAMETRES!$G$36,5,IF($O99&gt;PARAMETRES!$F$36,4,IF($O99&gt;PARAMETRES!$E$36,3,IF($O99&gt;PARAMETRES!$D$36,2,1)))))</f>
        <v/>
      </c>
      <c r="X99" t="str">
        <f>IF($P99="","",IF($P99&gt;PARAMETRES!$G$37,5,IF($P99&gt;PARAMETRES!$F$37,4,IF($P99&gt;PARAMETRES!$E$37,3,IF($P99&gt;PARAMETRES!$D$37,2,1)))))</f>
        <v/>
      </c>
      <c r="Y99" t="str">
        <f t="shared" si="24"/>
        <v/>
      </c>
      <c r="Z99" t="str">
        <f>IFERROR(VLOOKUP($B99,TABLE_CYCLE,2,0),"")</f>
        <v/>
      </c>
      <c r="AA99" t="str">
        <f t="shared" si="25"/>
        <v/>
      </c>
      <c r="AB99" t="str">
        <f>IF($D99="","",IF(COUNTIF($D$2:$D99,$D99)=1,$D99,""))</f>
        <v/>
      </c>
      <c r="AC99">
        <f t="shared" si="26"/>
        <v>0</v>
      </c>
      <c r="AD99" t="str">
        <f t="shared" si="27"/>
        <v>|0</v>
      </c>
      <c r="AE99" t="str">
        <f t="shared" si="28"/>
        <v/>
      </c>
      <c r="AF99" t="str">
        <f t="shared" si="29"/>
        <v/>
      </c>
      <c r="AG99" t="str">
        <f t="shared" si="30"/>
        <v/>
      </c>
      <c r="AH99" t="str">
        <f t="shared" si="31"/>
        <v/>
      </c>
      <c r="AI99" t="str">
        <f t="shared" si="32"/>
        <v/>
      </c>
      <c r="AJ99" t="str">
        <f t="shared" si="33"/>
        <v/>
      </c>
      <c r="AK99" t="str">
        <f t="shared" si="34"/>
        <v/>
      </c>
      <c r="AL99" t="str">
        <f t="shared" si="35"/>
        <v/>
      </c>
      <c r="AM99" t="str">
        <f t="shared" si="36"/>
        <v/>
      </c>
      <c r="AN99" t="str">
        <f t="shared" si="37"/>
        <v/>
      </c>
      <c r="AO99" t="str">
        <f t="shared" si="38"/>
        <v/>
      </c>
      <c r="AP99">
        <f t="shared" si="39"/>
        <v>1</v>
      </c>
      <c r="AQ99" t="str">
        <f>IF(SAISIE!$F104="","",SAISIE!$Y104)</f>
        <v/>
      </c>
      <c r="AR99" t="str">
        <f>IF(OR(SAISIE!$U$4="",SAISIE!$W$4=""),"",IF(AND($A99=SAISIE!$U$4,$B99=SAISIE!$W$4,$C99="S1"),COUNTIFS($A$2:$A99,SAISIE!$U$4,$B$2:$B99,SAISIE!$W$4,$C$2:$C99,"S1"),""))</f>
        <v/>
      </c>
      <c r="AS99" t="str">
        <f t="shared" si="40"/>
        <v/>
      </c>
      <c r="AT99" t="str">
        <f t="shared" si="41"/>
        <v/>
      </c>
      <c r="AU99" t="str">
        <f t="shared" si="42"/>
        <v/>
      </c>
      <c r="AV99">
        <f>N(AV98)+IF(AND($AB99&lt;&gt;"",OR('PROFIL ELEVE'!$K$4="(Tous)",$AF99='PROFIL ELEVE'!$K$4)),1,0)</f>
        <v>0</v>
      </c>
      <c r="AW99">
        <f>N(AW98)+IF(AND($AB99&lt;&gt;"",OR('SUIVI LONGITUDINAL'!$Q$4="(Tous)",$AF99='SUIVI LONGITUDINAL'!$Q$4)),1,0)</f>
        <v>0</v>
      </c>
      <c r="AX99">
        <f t="shared" si="43"/>
        <v>0</v>
      </c>
      <c r="AY99">
        <f t="shared" si="44"/>
        <v>0</v>
      </c>
      <c r="AZ99">
        <f t="shared" si="45"/>
        <v>0</v>
      </c>
      <c r="BA99" t="str">
        <f t="shared" si="46"/>
        <v/>
      </c>
      <c r="BB99" t="str">
        <f t="shared" si="47"/>
        <v/>
      </c>
    </row>
    <row r="100" spans="1:54" ht="14.25" customHeight="1" x14ac:dyDescent="0.3">
      <c r="A100" t="str">
        <f>IF(SAISIE!$F105="","",SAISIE!$B105)</f>
        <v/>
      </c>
      <c r="B100" t="str">
        <f>IF(SAISIE!$F105="","",SAISIE!$C105)</f>
        <v/>
      </c>
      <c r="C100" t="str">
        <f>IF(SAISIE!$F105="","",SAISIE!$D105)</f>
        <v/>
      </c>
      <c r="D100" t="str">
        <f>IF(SAISIE!$E105="","",SAISIE!$E105)</f>
        <v/>
      </c>
      <c r="E100" t="str">
        <f>IF(SAISIE!$F105="","",SAISIE!$F105)</f>
        <v/>
      </c>
      <c r="F100" t="str">
        <f>IF(SAISIE!$G105="","",SAISIE!$G105)</f>
        <v/>
      </c>
      <c r="G100" t="str">
        <f>IF(SAISIE!$H105="","",SAISIE!$H105)</f>
        <v/>
      </c>
      <c r="H100" t="str">
        <f>IF(SAISIE!$I105="","",SAISIE!$I105)</f>
        <v/>
      </c>
      <c r="I100" t="str">
        <f>IF(SAISIE!$J105="","",SAISIE!$J105)</f>
        <v/>
      </c>
      <c r="J100" t="str">
        <f>IF(SAISIE!$K105="","",SAISIE!$K105)</f>
        <v/>
      </c>
      <c r="K100" t="str">
        <f>IF(SAISIE!$L105="","",SAISIE!$L105)</f>
        <v/>
      </c>
      <c r="L100" t="str">
        <f>IF(SAISIE!$M105="","",SAISIE!$M105)</f>
        <v/>
      </c>
      <c r="M100" t="str">
        <f>IF(SAISIE!$N105="","",SAISIE!$N105)</f>
        <v/>
      </c>
      <c r="N100" t="str">
        <f>IF(SAISIE!$O105="","",SAISIE!$O105)</f>
        <v/>
      </c>
      <c r="O100" t="str">
        <f>IF(SAISIE!$P105="","",SAISIE!$P105)</f>
        <v/>
      </c>
      <c r="P100" t="str">
        <f>IF(SAISIE!$Q105="","",SAISIE!$Q105)</f>
        <v/>
      </c>
      <c r="Q100" t="str">
        <f>IF($I100="","",IF($I100&gt;PARAMETRES!$G$29,5,IF($I100&gt;PARAMETRES!$F$29,4,IF($I100&gt;PARAMETRES!$E$29,3,IF($I100&gt;PARAMETRES!$D$29,2,1)))))</f>
        <v/>
      </c>
      <c r="R100" t="str">
        <f>IF($J100="","",IF($J100&gt;PARAMETRES!$G$30,5,IF($J100&gt;PARAMETRES!$F$30,4,IF($J100&gt;PARAMETRES!$E$30,3,IF($J100&gt;PARAMETRES!$D$30,2,1)))))</f>
        <v/>
      </c>
      <c r="S100" t="str">
        <f>IF($K100="","",IF($Z100=2,IF($K100&gt;PARAMETRES!$G$31,5,IF($K100&gt;PARAMETRES!$F$31,4,IF($K100&gt;PARAMETRES!$E$31,3,IF($K100&gt;PARAMETRES!$D$31,2,1)))),IF($K100&gt;PARAMETRES!$G$32,5,IF($K100&gt;PARAMETRES!$F$32,4,IF($K100&gt;PARAMETRES!$E$32,3,IF($K100&gt;PARAMETRES!$D$32,2,1))))))</f>
        <v/>
      </c>
      <c r="T100" t="str">
        <f>IF($L100="","",IF($L100&gt;PARAMETRES!$G$33,5,IF($L100&gt;PARAMETRES!$F$33,4,IF($L100&gt;PARAMETRES!$E$33,3,IF($L100&gt;PARAMETRES!$D$33,2,1)))))</f>
        <v/>
      </c>
      <c r="U100" t="str">
        <f>IF($M100="","",IF($M100&gt;PARAMETRES!$G$34,5,IF($M100&gt;PARAMETRES!$F$34,4,IF($M100&gt;PARAMETRES!$E$34,3,IF($M100&gt;PARAMETRES!$D$34,2,1)))))</f>
        <v/>
      </c>
      <c r="V100" t="str">
        <f>IF($N100="","",IF($N100&gt;PARAMETRES!$G$35,5,IF($N100&gt;PARAMETRES!$F$35,4,IF($N100&gt;PARAMETRES!$E$35,3,IF($N100&gt;PARAMETRES!$D$35,2,1)))))</f>
        <v/>
      </c>
      <c r="W100" t="str">
        <f>IF($O100="","",IF($O100&gt;PARAMETRES!$G$36,5,IF($O100&gt;PARAMETRES!$F$36,4,IF($O100&gt;PARAMETRES!$E$36,3,IF($O100&gt;PARAMETRES!$D$36,2,1)))))</f>
        <v/>
      </c>
      <c r="X100" t="str">
        <f>IF($P100="","",IF($P100&gt;PARAMETRES!$G$37,5,IF($P100&gt;PARAMETRES!$F$37,4,IF($P100&gt;PARAMETRES!$E$37,3,IF($P100&gt;PARAMETRES!$D$37,2,1)))))</f>
        <v/>
      </c>
      <c r="Y100" t="str">
        <f t="shared" si="24"/>
        <v/>
      </c>
      <c r="Z100" t="str">
        <f>IFERROR(VLOOKUP($B100,TABLE_CYCLE,2,0),"")</f>
        <v/>
      </c>
      <c r="AA100" t="str">
        <f t="shared" si="25"/>
        <v/>
      </c>
      <c r="AB100" t="str">
        <f>IF($D100="","",IF(COUNTIF($D$2:$D100,$D100)=1,$D100,""))</f>
        <v/>
      </c>
      <c r="AC100">
        <f t="shared" si="26"/>
        <v>0</v>
      </c>
      <c r="AD100" t="str">
        <f t="shared" si="27"/>
        <v>|0</v>
      </c>
      <c r="AE100" t="str">
        <f t="shared" si="28"/>
        <v/>
      </c>
      <c r="AF100" t="str">
        <f t="shared" si="29"/>
        <v/>
      </c>
      <c r="AG100" t="str">
        <f t="shared" si="30"/>
        <v/>
      </c>
      <c r="AH100" t="str">
        <f t="shared" si="31"/>
        <v/>
      </c>
      <c r="AI100" t="str">
        <f t="shared" si="32"/>
        <v/>
      </c>
      <c r="AJ100" t="str">
        <f t="shared" si="33"/>
        <v/>
      </c>
      <c r="AK100" t="str">
        <f t="shared" si="34"/>
        <v/>
      </c>
      <c r="AL100" t="str">
        <f t="shared" si="35"/>
        <v/>
      </c>
      <c r="AM100" t="str">
        <f t="shared" si="36"/>
        <v/>
      </c>
      <c r="AN100" t="str">
        <f t="shared" si="37"/>
        <v/>
      </c>
      <c r="AO100" t="str">
        <f t="shared" si="38"/>
        <v/>
      </c>
      <c r="AP100">
        <f t="shared" si="39"/>
        <v>1</v>
      </c>
      <c r="AQ100" t="str">
        <f>IF(SAISIE!$F105="","",SAISIE!$Y105)</f>
        <v/>
      </c>
      <c r="AR100" t="str">
        <f>IF(OR(SAISIE!$U$4="",SAISIE!$W$4=""),"",IF(AND($A100=SAISIE!$U$4,$B100=SAISIE!$W$4,$C100="S1"),COUNTIFS($A$2:$A100,SAISIE!$U$4,$B$2:$B100,SAISIE!$W$4,$C$2:$C100,"S1"),""))</f>
        <v/>
      </c>
      <c r="AS100" t="str">
        <f t="shared" si="40"/>
        <v/>
      </c>
      <c r="AT100" t="str">
        <f t="shared" si="41"/>
        <v/>
      </c>
      <c r="AU100" t="str">
        <f t="shared" si="42"/>
        <v/>
      </c>
      <c r="AV100">
        <f>N(AV99)+IF(AND($AB100&lt;&gt;"",OR('PROFIL ELEVE'!$K$4="(Tous)",$AF100='PROFIL ELEVE'!$K$4)),1,0)</f>
        <v>0</v>
      </c>
      <c r="AW100">
        <f>N(AW99)+IF(AND($AB100&lt;&gt;"",OR('SUIVI LONGITUDINAL'!$Q$4="(Tous)",$AF100='SUIVI LONGITUDINAL'!$Q$4)),1,0)</f>
        <v>0</v>
      </c>
      <c r="AX100">
        <f t="shared" si="43"/>
        <v>0</v>
      </c>
      <c r="AY100">
        <f t="shared" si="44"/>
        <v>0</v>
      </c>
      <c r="AZ100">
        <f t="shared" si="45"/>
        <v>0</v>
      </c>
      <c r="BA100" t="str">
        <f t="shared" si="46"/>
        <v/>
      </c>
      <c r="BB100" t="str">
        <f t="shared" si="47"/>
        <v/>
      </c>
    </row>
    <row r="101" spans="1:54" ht="14.25" customHeight="1" x14ac:dyDescent="0.3">
      <c r="A101" t="str">
        <f>IF(SAISIE!$F106="","",SAISIE!$B106)</f>
        <v/>
      </c>
      <c r="B101" t="str">
        <f>IF(SAISIE!$F106="","",SAISIE!$C106)</f>
        <v/>
      </c>
      <c r="C101" t="str">
        <f>IF(SAISIE!$F106="","",SAISIE!$D106)</f>
        <v/>
      </c>
      <c r="D101" t="str">
        <f>IF(SAISIE!$E106="","",SAISIE!$E106)</f>
        <v/>
      </c>
      <c r="E101" t="str">
        <f>IF(SAISIE!$F106="","",SAISIE!$F106)</f>
        <v/>
      </c>
      <c r="F101" t="str">
        <f>IF(SAISIE!$G106="","",SAISIE!$G106)</f>
        <v/>
      </c>
      <c r="G101" t="str">
        <f>IF(SAISIE!$H106="","",SAISIE!$H106)</f>
        <v/>
      </c>
      <c r="H101" t="str">
        <f>IF(SAISIE!$I106="","",SAISIE!$I106)</f>
        <v/>
      </c>
      <c r="I101" t="str">
        <f>IF(SAISIE!$J106="","",SAISIE!$J106)</f>
        <v/>
      </c>
      <c r="J101" t="str">
        <f>IF(SAISIE!$K106="","",SAISIE!$K106)</f>
        <v/>
      </c>
      <c r="K101" t="str">
        <f>IF(SAISIE!$L106="","",SAISIE!$L106)</f>
        <v/>
      </c>
      <c r="L101" t="str">
        <f>IF(SAISIE!$M106="","",SAISIE!$M106)</f>
        <v/>
      </c>
      <c r="M101" t="str">
        <f>IF(SAISIE!$N106="","",SAISIE!$N106)</f>
        <v/>
      </c>
      <c r="N101" t="str">
        <f>IF(SAISIE!$O106="","",SAISIE!$O106)</f>
        <v/>
      </c>
      <c r="O101" t="str">
        <f>IF(SAISIE!$P106="","",SAISIE!$P106)</f>
        <v/>
      </c>
      <c r="P101" t="str">
        <f>IF(SAISIE!$Q106="","",SAISIE!$Q106)</f>
        <v/>
      </c>
      <c r="Q101" t="str">
        <f>IF($I101="","",IF($I101&gt;PARAMETRES!$G$29,5,IF($I101&gt;PARAMETRES!$F$29,4,IF($I101&gt;PARAMETRES!$E$29,3,IF($I101&gt;PARAMETRES!$D$29,2,1)))))</f>
        <v/>
      </c>
      <c r="R101" t="str">
        <f>IF($J101="","",IF($J101&gt;PARAMETRES!$G$30,5,IF($J101&gt;PARAMETRES!$F$30,4,IF($J101&gt;PARAMETRES!$E$30,3,IF($J101&gt;PARAMETRES!$D$30,2,1)))))</f>
        <v/>
      </c>
      <c r="S101" t="str">
        <f>IF($K101="","",IF($Z101=2,IF($K101&gt;PARAMETRES!$G$31,5,IF($K101&gt;PARAMETRES!$F$31,4,IF($K101&gt;PARAMETRES!$E$31,3,IF($K101&gt;PARAMETRES!$D$31,2,1)))),IF($K101&gt;PARAMETRES!$G$32,5,IF($K101&gt;PARAMETRES!$F$32,4,IF($K101&gt;PARAMETRES!$E$32,3,IF($K101&gt;PARAMETRES!$D$32,2,1))))))</f>
        <v/>
      </c>
      <c r="T101" t="str">
        <f>IF($L101="","",IF($L101&gt;PARAMETRES!$G$33,5,IF($L101&gt;PARAMETRES!$F$33,4,IF($L101&gt;PARAMETRES!$E$33,3,IF($L101&gt;PARAMETRES!$D$33,2,1)))))</f>
        <v/>
      </c>
      <c r="U101" t="str">
        <f>IF($M101="","",IF($M101&gt;PARAMETRES!$G$34,5,IF($M101&gt;PARAMETRES!$F$34,4,IF($M101&gt;PARAMETRES!$E$34,3,IF($M101&gt;PARAMETRES!$D$34,2,1)))))</f>
        <v/>
      </c>
      <c r="V101" t="str">
        <f>IF($N101="","",IF($N101&gt;PARAMETRES!$G$35,5,IF($N101&gt;PARAMETRES!$F$35,4,IF($N101&gt;PARAMETRES!$E$35,3,IF($N101&gt;PARAMETRES!$D$35,2,1)))))</f>
        <v/>
      </c>
      <c r="W101" t="str">
        <f>IF($O101="","",IF($O101&gt;PARAMETRES!$G$36,5,IF($O101&gt;PARAMETRES!$F$36,4,IF($O101&gt;PARAMETRES!$E$36,3,IF($O101&gt;PARAMETRES!$D$36,2,1)))))</f>
        <v/>
      </c>
      <c r="X101" t="str">
        <f>IF($P101="","",IF($P101&gt;PARAMETRES!$G$37,5,IF($P101&gt;PARAMETRES!$F$37,4,IF($P101&gt;PARAMETRES!$E$37,3,IF($P101&gt;PARAMETRES!$D$37,2,1)))))</f>
        <v/>
      </c>
      <c r="Y101" t="str">
        <f t="shared" si="24"/>
        <v/>
      </c>
      <c r="Z101" t="str">
        <f>IFERROR(VLOOKUP($B101,TABLE_CYCLE,2,0),"")</f>
        <v/>
      </c>
      <c r="AA101" t="str">
        <f t="shared" si="25"/>
        <v/>
      </c>
      <c r="AB101" t="str">
        <f>IF($D101="","",IF(COUNTIF($D$2:$D101,$D101)=1,$D101,""))</f>
        <v/>
      </c>
      <c r="AC101">
        <f t="shared" si="26"/>
        <v>0</v>
      </c>
      <c r="AD101" t="str">
        <f t="shared" si="27"/>
        <v>|0</v>
      </c>
      <c r="AE101" t="str">
        <f t="shared" si="28"/>
        <v/>
      </c>
      <c r="AF101" t="str">
        <f t="shared" si="29"/>
        <v/>
      </c>
      <c r="AG101" t="str">
        <f t="shared" si="30"/>
        <v/>
      </c>
      <c r="AH101" t="str">
        <f t="shared" si="31"/>
        <v/>
      </c>
      <c r="AI101" t="str">
        <f t="shared" si="32"/>
        <v/>
      </c>
      <c r="AJ101" t="str">
        <f t="shared" si="33"/>
        <v/>
      </c>
      <c r="AK101" t="str">
        <f t="shared" si="34"/>
        <v/>
      </c>
      <c r="AL101" t="str">
        <f t="shared" si="35"/>
        <v/>
      </c>
      <c r="AM101" t="str">
        <f t="shared" si="36"/>
        <v/>
      </c>
      <c r="AN101" t="str">
        <f t="shared" si="37"/>
        <v/>
      </c>
      <c r="AO101" t="str">
        <f t="shared" si="38"/>
        <v/>
      </c>
      <c r="AP101">
        <f t="shared" si="39"/>
        <v>1</v>
      </c>
      <c r="AQ101" t="str">
        <f>IF(SAISIE!$F106="","",SAISIE!$Y106)</f>
        <v/>
      </c>
      <c r="AR101" t="str">
        <f>IF(OR(SAISIE!$U$4="",SAISIE!$W$4=""),"",IF(AND($A101=SAISIE!$U$4,$B101=SAISIE!$W$4,$C101="S1"),COUNTIFS($A$2:$A101,SAISIE!$U$4,$B$2:$B101,SAISIE!$W$4,$C$2:$C101,"S1"),""))</f>
        <v/>
      </c>
      <c r="AS101" t="str">
        <f t="shared" si="40"/>
        <v/>
      </c>
      <c r="AT101" t="str">
        <f t="shared" si="41"/>
        <v/>
      </c>
      <c r="AU101" t="str">
        <f t="shared" si="42"/>
        <v/>
      </c>
      <c r="AV101">
        <f>N(AV100)+IF(AND($AB101&lt;&gt;"",OR('PROFIL ELEVE'!$K$4="(Tous)",$AF101='PROFIL ELEVE'!$K$4)),1,0)</f>
        <v>0</v>
      </c>
      <c r="AW101">
        <f>N(AW100)+IF(AND($AB101&lt;&gt;"",OR('SUIVI LONGITUDINAL'!$Q$4="(Tous)",$AF101='SUIVI LONGITUDINAL'!$Q$4)),1,0)</f>
        <v>0</v>
      </c>
      <c r="AX101">
        <f t="shared" si="43"/>
        <v>0</v>
      </c>
      <c r="AY101">
        <f t="shared" si="44"/>
        <v>0</v>
      </c>
      <c r="AZ101">
        <f t="shared" si="45"/>
        <v>0</v>
      </c>
      <c r="BA101" t="str">
        <f t="shared" si="46"/>
        <v/>
      </c>
      <c r="BB101" t="str">
        <f t="shared" si="47"/>
        <v/>
      </c>
    </row>
    <row r="102" spans="1:54" ht="14.25" customHeight="1" x14ac:dyDescent="0.3">
      <c r="A102" t="str">
        <f>IF(SAISIE!$F107="","",SAISIE!$B107)</f>
        <v/>
      </c>
      <c r="B102" t="str">
        <f>IF(SAISIE!$F107="","",SAISIE!$C107)</f>
        <v/>
      </c>
      <c r="C102" t="str">
        <f>IF(SAISIE!$F107="","",SAISIE!$D107)</f>
        <v/>
      </c>
      <c r="D102" t="str">
        <f>IF(SAISIE!$E107="","",SAISIE!$E107)</f>
        <v/>
      </c>
      <c r="E102" t="str">
        <f>IF(SAISIE!$F107="","",SAISIE!$F107)</f>
        <v/>
      </c>
      <c r="F102" t="str">
        <f>IF(SAISIE!$G107="","",SAISIE!$G107)</f>
        <v/>
      </c>
      <c r="G102" t="str">
        <f>IF(SAISIE!$H107="","",SAISIE!$H107)</f>
        <v/>
      </c>
      <c r="H102" t="str">
        <f>IF(SAISIE!$I107="","",SAISIE!$I107)</f>
        <v/>
      </c>
      <c r="I102" t="str">
        <f>IF(SAISIE!$J107="","",SAISIE!$J107)</f>
        <v/>
      </c>
      <c r="J102" t="str">
        <f>IF(SAISIE!$K107="","",SAISIE!$K107)</f>
        <v/>
      </c>
      <c r="K102" t="str">
        <f>IF(SAISIE!$L107="","",SAISIE!$L107)</f>
        <v/>
      </c>
      <c r="L102" t="str">
        <f>IF(SAISIE!$M107="","",SAISIE!$M107)</f>
        <v/>
      </c>
      <c r="M102" t="str">
        <f>IF(SAISIE!$N107="","",SAISIE!$N107)</f>
        <v/>
      </c>
      <c r="N102" t="str">
        <f>IF(SAISIE!$O107="","",SAISIE!$O107)</f>
        <v/>
      </c>
      <c r="O102" t="str">
        <f>IF(SAISIE!$P107="","",SAISIE!$P107)</f>
        <v/>
      </c>
      <c r="P102" t="str">
        <f>IF(SAISIE!$Q107="","",SAISIE!$Q107)</f>
        <v/>
      </c>
      <c r="Q102" t="str">
        <f>IF($I102="","",IF($I102&gt;PARAMETRES!$G$29,5,IF($I102&gt;PARAMETRES!$F$29,4,IF($I102&gt;PARAMETRES!$E$29,3,IF($I102&gt;PARAMETRES!$D$29,2,1)))))</f>
        <v/>
      </c>
      <c r="R102" t="str">
        <f>IF($J102="","",IF($J102&gt;PARAMETRES!$G$30,5,IF($J102&gt;PARAMETRES!$F$30,4,IF($J102&gt;PARAMETRES!$E$30,3,IF($J102&gt;PARAMETRES!$D$30,2,1)))))</f>
        <v/>
      </c>
      <c r="S102" t="str">
        <f>IF($K102="","",IF($Z102=2,IF($K102&gt;PARAMETRES!$G$31,5,IF($K102&gt;PARAMETRES!$F$31,4,IF($K102&gt;PARAMETRES!$E$31,3,IF($K102&gt;PARAMETRES!$D$31,2,1)))),IF($K102&gt;PARAMETRES!$G$32,5,IF($K102&gt;PARAMETRES!$F$32,4,IF($K102&gt;PARAMETRES!$E$32,3,IF($K102&gt;PARAMETRES!$D$32,2,1))))))</f>
        <v/>
      </c>
      <c r="T102" t="str">
        <f>IF($L102="","",IF($L102&gt;PARAMETRES!$G$33,5,IF($L102&gt;PARAMETRES!$F$33,4,IF($L102&gt;PARAMETRES!$E$33,3,IF($L102&gt;PARAMETRES!$D$33,2,1)))))</f>
        <v/>
      </c>
      <c r="U102" t="str">
        <f>IF($M102="","",IF($M102&gt;PARAMETRES!$G$34,5,IF($M102&gt;PARAMETRES!$F$34,4,IF($M102&gt;PARAMETRES!$E$34,3,IF($M102&gt;PARAMETRES!$D$34,2,1)))))</f>
        <v/>
      </c>
      <c r="V102" t="str">
        <f>IF($N102="","",IF($N102&gt;PARAMETRES!$G$35,5,IF($N102&gt;PARAMETRES!$F$35,4,IF($N102&gt;PARAMETRES!$E$35,3,IF($N102&gt;PARAMETRES!$D$35,2,1)))))</f>
        <v/>
      </c>
      <c r="W102" t="str">
        <f>IF($O102="","",IF($O102&gt;PARAMETRES!$G$36,5,IF($O102&gt;PARAMETRES!$F$36,4,IF($O102&gt;PARAMETRES!$E$36,3,IF($O102&gt;PARAMETRES!$D$36,2,1)))))</f>
        <v/>
      </c>
      <c r="X102" t="str">
        <f>IF($P102="","",IF($P102&gt;PARAMETRES!$G$37,5,IF($P102&gt;PARAMETRES!$F$37,4,IF($P102&gt;PARAMETRES!$E$37,3,IF($P102&gt;PARAMETRES!$D$37,2,1)))))</f>
        <v/>
      </c>
      <c r="Y102" t="str">
        <f t="shared" si="24"/>
        <v/>
      </c>
      <c r="Z102" t="str">
        <f>IFERROR(VLOOKUP($B102,TABLE_CYCLE,2,0),"")</f>
        <v/>
      </c>
      <c r="AA102" t="str">
        <f t="shared" si="25"/>
        <v/>
      </c>
      <c r="AB102" t="str">
        <f>IF($D102="","",IF(COUNTIF($D$2:$D102,$D102)=1,$D102,""))</f>
        <v/>
      </c>
      <c r="AC102">
        <f t="shared" si="26"/>
        <v>0</v>
      </c>
      <c r="AD102" t="str">
        <f t="shared" si="27"/>
        <v>|0</v>
      </c>
      <c r="AE102" t="str">
        <f t="shared" si="28"/>
        <v/>
      </c>
      <c r="AF102" t="str">
        <f t="shared" si="29"/>
        <v/>
      </c>
      <c r="AG102" t="str">
        <f t="shared" si="30"/>
        <v/>
      </c>
      <c r="AH102" t="str">
        <f t="shared" si="31"/>
        <v/>
      </c>
      <c r="AI102" t="str">
        <f t="shared" si="32"/>
        <v/>
      </c>
      <c r="AJ102" t="str">
        <f t="shared" si="33"/>
        <v/>
      </c>
      <c r="AK102" t="str">
        <f t="shared" si="34"/>
        <v/>
      </c>
      <c r="AL102" t="str">
        <f t="shared" si="35"/>
        <v/>
      </c>
      <c r="AM102" t="str">
        <f t="shared" si="36"/>
        <v/>
      </c>
      <c r="AN102" t="str">
        <f t="shared" si="37"/>
        <v/>
      </c>
      <c r="AO102" t="str">
        <f t="shared" si="38"/>
        <v/>
      </c>
      <c r="AP102">
        <f t="shared" si="39"/>
        <v>1</v>
      </c>
      <c r="AQ102" t="str">
        <f>IF(SAISIE!$F107="","",SAISIE!$Y107)</f>
        <v/>
      </c>
      <c r="AR102" t="str">
        <f>IF(OR(SAISIE!$U$4="",SAISIE!$W$4=""),"",IF(AND($A102=SAISIE!$U$4,$B102=SAISIE!$W$4,$C102="S1"),COUNTIFS($A$2:$A102,SAISIE!$U$4,$B$2:$B102,SAISIE!$W$4,$C$2:$C102,"S1"),""))</f>
        <v/>
      </c>
      <c r="AS102" t="str">
        <f t="shared" si="40"/>
        <v/>
      </c>
      <c r="AT102" t="str">
        <f t="shared" si="41"/>
        <v/>
      </c>
      <c r="AU102" t="str">
        <f t="shared" si="42"/>
        <v/>
      </c>
      <c r="AV102">
        <f>N(AV101)+IF(AND($AB102&lt;&gt;"",OR('PROFIL ELEVE'!$K$4="(Tous)",$AF102='PROFIL ELEVE'!$K$4)),1,0)</f>
        <v>0</v>
      </c>
      <c r="AW102">
        <f>N(AW101)+IF(AND($AB102&lt;&gt;"",OR('SUIVI LONGITUDINAL'!$Q$4="(Tous)",$AF102='SUIVI LONGITUDINAL'!$Q$4)),1,0)</f>
        <v>0</v>
      </c>
      <c r="AX102">
        <f t="shared" si="43"/>
        <v>0</v>
      </c>
      <c r="AY102">
        <f t="shared" si="44"/>
        <v>0</v>
      </c>
      <c r="AZ102">
        <f t="shared" si="45"/>
        <v>0</v>
      </c>
      <c r="BA102" t="str">
        <f t="shared" si="46"/>
        <v/>
      </c>
      <c r="BB102" t="str">
        <f t="shared" si="47"/>
        <v/>
      </c>
    </row>
    <row r="103" spans="1:54" ht="14.25" customHeight="1" x14ac:dyDescent="0.3">
      <c r="A103" t="str">
        <f>IF(SAISIE!$F108="","",SAISIE!$B108)</f>
        <v/>
      </c>
      <c r="B103" t="str">
        <f>IF(SAISIE!$F108="","",SAISIE!$C108)</f>
        <v/>
      </c>
      <c r="C103" t="str">
        <f>IF(SAISIE!$F108="","",SAISIE!$D108)</f>
        <v/>
      </c>
      <c r="D103" t="str">
        <f>IF(SAISIE!$E108="","",SAISIE!$E108)</f>
        <v/>
      </c>
      <c r="E103" t="str">
        <f>IF(SAISIE!$F108="","",SAISIE!$F108)</f>
        <v/>
      </c>
      <c r="F103" t="str">
        <f>IF(SAISIE!$G108="","",SAISIE!$G108)</f>
        <v/>
      </c>
      <c r="G103" t="str">
        <f>IF(SAISIE!$H108="","",SAISIE!$H108)</f>
        <v/>
      </c>
      <c r="H103" t="str">
        <f>IF(SAISIE!$I108="","",SAISIE!$I108)</f>
        <v/>
      </c>
      <c r="I103" t="str">
        <f>IF(SAISIE!$J108="","",SAISIE!$J108)</f>
        <v/>
      </c>
      <c r="J103" t="str">
        <f>IF(SAISIE!$K108="","",SAISIE!$K108)</f>
        <v/>
      </c>
      <c r="K103" t="str">
        <f>IF(SAISIE!$L108="","",SAISIE!$L108)</f>
        <v/>
      </c>
      <c r="L103" t="str">
        <f>IF(SAISIE!$M108="","",SAISIE!$M108)</f>
        <v/>
      </c>
      <c r="M103" t="str">
        <f>IF(SAISIE!$N108="","",SAISIE!$N108)</f>
        <v/>
      </c>
      <c r="N103" t="str">
        <f>IF(SAISIE!$O108="","",SAISIE!$O108)</f>
        <v/>
      </c>
      <c r="O103" t="str">
        <f>IF(SAISIE!$P108="","",SAISIE!$P108)</f>
        <v/>
      </c>
      <c r="P103" t="str">
        <f>IF(SAISIE!$Q108="","",SAISIE!$Q108)</f>
        <v/>
      </c>
      <c r="Q103" t="str">
        <f>IF($I103="","",IF($I103&gt;PARAMETRES!$G$29,5,IF($I103&gt;PARAMETRES!$F$29,4,IF($I103&gt;PARAMETRES!$E$29,3,IF($I103&gt;PARAMETRES!$D$29,2,1)))))</f>
        <v/>
      </c>
      <c r="R103" t="str">
        <f>IF($J103="","",IF($J103&gt;PARAMETRES!$G$30,5,IF($J103&gt;PARAMETRES!$F$30,4,IF($J103&gt;PARAMETRES!$E$30,3,IF($J103&gt;PARAMETRES!$D$30,2,1)))))</f>
        <v/>
      </c>
      <c r="S103" t="str">
        <f>IF($K103="","",IF($Z103=2,IF($K103&gt;PARAMETRES!$G$31,5,IF($K103&gt;PARAMETRES!$F$31,4,IF($K103&gt;PARAMETRES!$E$31,3,IF($K103&gt;PARAMETRES!$D$31,2,1)))),IF($K103&gt;PARAMETRES!$G$32,5,IF($K103&gt;PARAMETRES!$F$32,4,IF($K103&gt;PARAMETRES!$E$32,3,IF($K103&gt;PARAMETRES!$D$32,2,1))))))</f>
        <v/>
      </c>
      <c r="T103" t="str">
        <f>IF($L103="","",IF($L103&gt;PARAMETRES!$G$33,5,IF($L103&gt;PARAMETRES!$F$33,4,IF($L103&gt;PARAMETRES!$E$33,3,IF($L103&gt;PARAMETRES!$D$33,2,1)))))</f>
        <v/>
      </c>
      <c r="U103" t="str">
        <f>IF($M103="","",IF($M103&gt;PARAMETRES!$G$34,5,IF($M103&gt;PARAMETRES!$F$34,4,IF($M103&gt;PARAMETRES!$E$34,3,IF($M103&gt;PARAMETRES!$D$34,2,1)))))</f>
        <v/>
      </c>
      <c r="V103" t="str">
        <f>IF($N103="","",IF($N103&gt;PARAMETRES!$G$35,5,IF($N103&gt;PARAMETRES!$F$35,4,IF($N103&gt;PARAMETRES!$E$35,3,IF($N103&gt;PARAMETRES!$D$35,2,1)))))</f>
        <v/>
      </c>
      <c r="W103" t="str">
        <f>IF($O103="","",IF($O103&gt;PARAMETRES!$G$36,5,IF($O103&gt;PARAMETRES!$F$36,4,IF($O103&gt;PARAMETRES!$E$36,3,IF($O103&gt;PARAMETRES!$D$36,2,1)))))</f>
        <v/>
      </c>
      <c r="X103" t="str">
        <f>IF($P103="","",IF($P103&gt;PARAMETRES!$G$37,5,IF($P103&gt;PARAMETRES!$F$37,4,IF($P103&gt;PARAMETRES!$E$37,3,IF($P103&gt;PARAMETRES!$D$37,2,1)))))</f>
        <v/>
      </c>
      <c r="Y103" t="str">
        <f t="shared" si="24"/>
        <v/>
      </c>
      <c r="Z103" t="str">
        <f>IFERROR(VLOOKUP($B103,TABLE_CYCLE,2,0),"")</f>
        <v/>
      </c>
      <c r="AA103" t="str">
        <f t="shared" si="25"/>
        <v/>
      </c>
      <c r="AB103" t="str">
        <f>IF($D103="","",IF(COUNTIF($D$2:$D103,$D103)=1,$D103,""))</f>
        <v/>
      </c>
      <c r="AC103">
        <f t="shared" si="26"/>
        <v>0</v>
      </c>
      <c r="AD103" t="str">
        <f t="shared" si="27"/>
        <v>|0</v>
      </c>
      <c r="AE103" t="str">
        <f t="shared" si="28"/>
        <v/>
      </c>
      <c r="AF103" t="str">
        <f t="shared" si="29"/>
        <v/>
      </c>
      <c r="AG103" t="str">
        <f t="shared" si="30"/>
        <v/>
      </c>
      <c r="AH103" t="str">
        <f t="shared" si="31"/>
        <v/>
      </c>
      <c r="AI103" t="str">
        <f t="shared" si="32"/>
        <v/>
      </c>
      <c r="AJ103" t="str">
        <f t="shared" si="33"/>
        <v/>
      </c>
      <c r="AK103" t="str">
        <f t="shared" si="34"/>
        <v/>
      </c>
      <c r="AL103" t="str">
        <f t="shared" si="35"/>
        <v/>
      </c>
      <c r="AM103" t="str">
        <f t="shared" si="36"/>
        <v/>
      </c>
      <c r="AN103" t="str">
        <f t="shared" si="37"/>
        <v/>
      </c>
      <c r="AO103" t="str">
        <f t="shared" si="38"/>
        <v/>
      </c>
      <c r="AP103">
        <f t="shared" si="39"/>
        <v>1</v>
      </c>
      <c r="AQ103" t="str">
        <f>IF(SAISIE!$F108="","",SAISIE!$Y108)</f>
        <v/>
      </c>
      <c r="AR103" t="str">
        <f>IF(OR(SAISIE!$U$4="",SAISIE!$W$4=""),"",IF(AND($A103=SAISIE!$U$4,$B103=SAISIE!$W$4,$C103="S1"),COUNTIFS($A$2:$A103,SAISIE!$U$4,$B$2:$B103,SAISIE!$W$4,$C$2:$C103,"S1"),""))</f>
        <v/>
      </c>
      <c r="AS103" t="str">
        <f t="shared" si="40"/>
        <v/>
      </c>
      <c r="AT103" t="str">
        <f t="shared" si="41"/>
        <v/>
      </c>
      <c r="AU103" t="str">
        <f t="shared" si="42"/>
        <v/>
      </c>
      <c r="AV103">
        <f>N(AV102)+IF(AND($AB103&lt;&gt;"",OR('PROFIL ELEVE'!$K$4="(Tous)",$AF103='PROFIL ELEVE'!$K$4)),1,0)</f>
        <v>0</v>
      </c>
      <c r="AW103">
        <f>N(AW102)+IF(AND($AB103&lt;&gt;"",OR('SUIVI LONGITUDINAL'!$Q$4="(Tous)",$AF103='SUIVI LONGITUDINAL'!$Q$4)),1,0)</f>
        <v>0</v>
      </c>
      <c r="AX103">
        <f t="shared" si="43"/>
        <v>0</v>
      </c>
      <c r="AY103">
        <f t="shared" si="44"/>
        <v>0</v>
      </c>
      <c r="AZ103">
        <f t="shared" si="45"/>
        <v>0</v>
      </c>
      <c r="BA103" t="str">
        <f t="shared" si="46"/>
        <v/>
      </c>
      <c r="BB103" t="str">
        <f t="shared" si="47"/>
        <v/>
      </c>
    </row>
    <row r="104" spans="1:54" ht="14.25" customHeight="1" x14ac:dyDescent="0.3">
      <c r="A104" t="str">
        <f>IF(SAISIE!$F109="","",SAISIE!$B109)</f>
        <v/>
      </c>
      <c r="B104" t="str">
        <f>IF(SAISIE!$F109="","",SAISIE!$C109)</f>
        <v/>
      </c>
      <c r="C104" t="str">
        <f>IF(SAISIE!$F109="","",SAISIE!$D109)</f>
        <v/>
      </c>
      <c r="D104" t="str">
        <f>IF(SAISIE!$E109="","",SAISIE!$E109)</f>
        <v/>
      </c>
      <c r="E104" t="str">
        <f>IF(SAISIE!$F109="","",SAISIE!$F109)</f>
        <v/>
      </c>
      <c r="F104" t="str">
        <f>IF(SAISIE!$G109="","",SAISIE!$G109)</f>
        <v/>
      </c>
      <c r="G104" t="str">
        <f>IF(SAISIE!$H109="","",SAISIE!$H109)</f>
        <v/>
      </c>
      <c r="H104" t="str">
        <f>IF(SAISIE!$I109="","",SAISIE!$I109)</f>
        <v/>
      </c>
      <c r="I104" t="str">
        <f>IF(SAISIE!$J109="","",SAISIE!$J109)</f>
        <v/>
      </c>
      <c r="J104" t="str">
        <f>IF(SAISIE!$K109="","",SAISIE!$K109)</f>
        <v/>
      </c>
      <c r="K104" t="str">
        <f>IF(SAISIE!$L109="","",SAISIE!$L109)</f>
        <v/>
      </c>
      <c r="L104" t="str">
        <f>IF(SAISIE!$M109="","",SAISIE!$M109)</f>
        <v/>
      </c>
      <c r="M104" t="str">
        <f>IF(SAISIE!$N109="","",SAISIE!$N109)</f>
        <v/>
      </c>
      <c r="N104" t="str">
        <f>IF(SAISIE!$O109="","",SAISIE!$O109)</f>
        <v/>
      </c>
      <c r="O104" t="str">
        <f>IF(SAISIE!$P109="","",SAISIE!$P109)</f>
        <v/>
      </c>
      <c r="P104" t="str">
        <f>IF(SAISIE!$Q109="","",SAISIE!$Q109)</f>
        <v/>
      </c>
      <c r="Q104" t="str">
        <f>IF($I104="","",IF($I104&gt;PARAMETRES!$G$29,5,IF($I104&gt;PARAMETRES!$F$29,4,IF($I104&gt;PARAMETRES!$E$29,3,IF($I104&gt;PARAMETRES!$D$29,2,1)))))</f>
        <v/>
      </c>
      <c r="R104" t="str">
        <f>IF($J104="","",IF($J104&gt;PARAMETRES!$G$30,5,IF($J104&gt;PARAMETRES!$F$30,4,IF($J104&gt;PARAMETRES!$E$30,3,IF($J104&gt;PARAMETRES!$D$30,2,1)))))</f>
        <v/>
      </c>
      <c r="S104" t="str">
        <f>IF($K104="","",IF($Z104=2,IF($K104&gt;PARAMETRES!$G$31,5,IF($K104&gt;PARAMETRES!$F$31,4,IF($K104&gt;PARAMETRES!$E$31,3,IF($K104&gt;PARAMETRES!$D$31,2,1)))),IF($K104&gt;PARAMETRES!$G$32,5,IF($K104&gt;PARAMETRES!$F$32,4,IF($K104&gt;PARAMETRES!$E$32,3,IF($K104&gt;PARAMETRES!$D$32,2,1))))))</f>
        <v/>
      </c>
      <c r="T104" t="str">
        <f>IF($L104="","",IF($L104&gt;PARAMETRES!$G$33,5,IF($L104&gt;PARAMETRES!$F$33,4,IF($L104&gt;PARAMETRES!$E$33,3,IF($L104&gt;PARAMETRES!$D$33,2,1)))))</f>
        <v/>
      </c>
      <c r="U104" t="str">
        <f>IF($M104="","",IF($M104&gt;PARAMETRES!$G$34,5,IF($M104&gt;PARAMETRES!$F$34,4,IF($M104&gt;PARAMETRES!$E$34,3,IF($M104&gt;PARAMETRES!$D$34,2,1)))))</f>
        <v/>
      </c>
      <c r="V104" t="str">
        <f>IF($N104="","",IF($N104&gt;PARAMETRES!$G$35,5,IF($N104&gt;PARAMETRES!$F$35,4,IF($N104&gt;PARAMETRES!$E$35,3,IF($N104&gt;PARAMETRES!$D$35,2,1)))))</f>
        <v/>
      </c>
      <c r="W104" t="str">
        <f>IF($O104="","",IF($O104&gt;PARAMETRES!$G$36,5,IF($O104&gt;PARAMETRES!$F$36,4,IF($O104&gt;PARAMETRES!$E$36,3,IF($O104&gt;PARAMETRES!$D$36,2,1)))))</f>
        <v/>
      </c>
      <c r="X104" t="str">
        <f>IF($P104="","",IF($P104&gt;PARAMETRES!$G$37,5,IF($P104&gt;PARAMETRES!$F$37,4,IF($P104&gt;PARAMETRES!$E$37,3,IF($P104&gt;PARAMETRES!$D$37,2,1)))))</f>
        <v/>
      </c>
      <c r="Y104" t="str">
        <f t="shared" si="24"/>
        <v/>
      </c>
      <c r="Z104" t="str">
        <f>IFERROR(VLOOKUP($B104,TABLE_CYCLE,2,0),"")</f>
        <v/>
      </c>
      <c r="AA104" t="str">
        <f t="shared" si="25"/>
        <v/>
      </c>
      <c r="AB104" t="str">
        <f>IF($D104="","",IF(COUNTIF($D$2:$D104,$D104)=1,$D104,""))</f>
        <v/>
      </c>
      <c r="AC104">
        <f t="shared" si="26"/>
        <v>0</v>
      </c>
      <c r="AD104" t="str">
        <f t="shared" si="27"/>
        <v>|0</v>
      </c>
      <c r="AE104" t="str">
        <f t="shared" si="28"/>
        <v/>
      </c>
      <c r="AF104" t="str">
        <f t="shared" si="29"/>
        <v/>
      </c>
      <c r="AG104" t="str">
        <f t="shared" si="30"/>
        <v/>
      </c>
      <c r="AH104" t="str">
        <f t="shared" si="31"/>
        <v/>
      </c>
      <c r="AI104" t="str">
        <f t="shared" si="32"/>
        <v/>
      </c>
      <c r="AJ104" t="str">
        <f t="shared" si="33"/>
        <v/>
      </c>
      <c r="AK104" t="str">
        <f t="shared" si="34"/>
        <v/>
      </c>
      <c r="AL104" t="str">
        <f t="shared" si="35"/>
        <v/>
      </c>
      <c r="AM104" t="str">
        <f t="shared" si="36"/>
        <v/>
      </c>
      <c r="AN104" t="str">
        <f t="shared" si="37"/>
        <v/>
      </c>
      <c r="AO104" t="str">
        <f t="shared" si="38"/>
        <v/>
      </c>
      <c r="AP104">
        <f t="shared" si="39"/>
        <v>1</v>
      </c>
      <c r="AQ104" t="str">
        <f>IF(SAISIE!$F109="","",SAISIE!$Y109)</f>
        <v/>
      </c>
      <c r="AR104" t="str">
        <f>IF(OR(SAISIE!$U$4="",SAISIE!$W$4=""),"",IF(AND($A104=SAISIE!$U$4,$B104=SAISIE!$W$4,$C104="S1"),COUNTIFS($A$2:$A104,SAISIE!$U$4,$B$2:$B104,SAISIE!$W$4,$C$2:$C104,"S1"),""))</f>
        <v/>
      </c>
      <c r="AS104" t="str">
        <f t="shared" si="40"/>
        <v/>
      </c>
      <c r="AT104" t="str">
        <f t="shared" si="41"/>
        <v/>
      </c>
      <c r="AU104" t="str">
        <f t="shared" si="42"/>
        <v/>
      </c>
      <c r="AV104">
        <f>N(AV103)+IF(AND($AB104&lt;&gt;"",OR('PROFIL ELEVE'!$K$4="(Tous)",$AF104='PROFIL ELEVE'!$K$4)),1,0)</f>
        <v>0</v>
      </c>
      <c r="AW104">
        <f>N(AW103)+IF(AND($AB104&lt;&gt;"",OR('SUIVI LONGITUDINAL'!$Q$4="(Tous)",$AF104='SUIVI LONGITUDINAL'!$Q$4)),1,0)</f>
        <v>0</v>
      </c>
      <c r="AX104">
        <f t="shared" si="43"/>
        <v>0</v>
      </c>
      <c r="AY104">
        <f t="shared" si="44"/>
        <v>0</v>
      </c>
      <c r="AZ104">
        <f t="shared" si="45"/>
        <v>0</v>
      </c>
      <c r="BA104" t="str">
        <f t="shared" si="46"/>
        <v/>
      </c>
      <c r="BB104" t="str">
        <f t="shared" si="47"/>
        <v/>
      </c>
    </row>
    <row r="105" spans="1:54" ht="14.25" customHeight="1" x14ac:dyDescent="0.3">
      <c r="A105" t="str">
        <f>IF(SAISIE!$F110="","",SAISIE!$B110)</f>
        <v/>
      </c>
      <c r="B105" t="str">
        <f>IF(SAISIE!$F110="","",SAISIE!$C110)</f>
        <v/>
      </c>
      <c r="C105" t="str">
        <f>IF(SAISIE!$F110="","",SAISIE!$D110)</f>
        <v/>
      </c>
      <c r="D105" t="str">
        <f>IF(SAISIE!$E110="","",SAISIE!$E110)</f>
        <v/>
      </c>
      <c r="E105" t="str">
        <f>IF(SAISIE!$F110="","",SAISIE!$F110)</f>
        <v/>
      </c>
      <c r="F105" t="str">
        <f>IF(SAISIE!$G110="","",SAISIE!$G110)</f>
        <v/>
      </c>
      <c r="G105" t="str">
        <f>IF(SAISIE!$H110="","",SAISIE!$H110)</f>
        <v/>
      </c>
      <c r="H105" t="str">
        <f>IF(SAISIE!$I110="","",SAISIE!$I110)</f>
        <v/>
      </c>
      <c r="I105" t="str">
        <f>IF(SAISIE!$J110="","",SAISIE!$J110)</f>
        <v/>
      </c>
      <c r="J105" t="str">
        <f>IF(SAISIE!$K110="","",SAISIE!$K110)</f>
        <v/>
      </c>
      <c r="K105" t="str">
        <f>IF(SAISIE!$L110="","",SAISIE!$L110)</f>
        <v/>
      </c>
      <c r="L105" t="str">
        <f>IF(SAISIE!$M110="","",SAISIE!$M110)</f>
        <v/>
      </c>
      <c r="M105" t="str">
        <f>IF(SAISIE!$N110="","",SAISIE!$N110)</f>
        <v/>
      </c>
      <c r="N105" t="str">
        <f>IF(SAISIE!$O110="","",SAISIE!$O110)</f>
        <v/>
      </c>
      <c r="O105" t="str">
        <f>IF(SAISIE!$P110="","",SAISIE!$P110)</f>
        <v/>
      </c>
      <c r="P105" t="str">
        <f>IF(SAISIE!$Q110="","",SAISIE!$Q110)</f>
        <v/>
      </c>
      <c r="Q105" t="str">
        <f>IF($I105="","",IF($I105&gt;PARAMETRES!$G$29,5,IF($I105&gt;PARAMETRES!$F$29,4,IF($I105&gt;PARAMETRES!$E$29,3,IF($I105&gt;PARAMETRES!$D$29,2,1)))))</f>
        <v/>
      </c>
      <c r="R105" t="str">
        <f>IF($J105="","",IF($J105&gt;PARAMETRES!$G$30,5,IF($J105&gt;PARAMETRES!$F$30,4,IF($J105&gt;PARAMETRES!$E$30,3,IF($J105&gt;PARAMETRES!$D$30,2,1)))))</f>
        <v/>
      </c>
      <c r="S105" t="str">
        <f>IF($K105="","",IF($Z105=2,IF($K105&gt;PARAMETRES!$G$31,5,IF($K105&gt;PARAMETRES!$F$31,4,IF($K105&gt;PARAMETRES!$E$31,3,IF($K105&gt;PARAMETRES!$D$31,2,1)))),IF($K105&gt;PARAMETRES!$G$32,5,IF($K105&gt;PARAMETRES!$F$32,4,IF($K105&gt;PARAMETRES!$E$32,3,IF($K105&gt;PARAMETRES!$D$32,2,1))))))</f>
        <v/>
      </c>
      <c r="T105" t="str">
        <f>IF($L105="","",IF($L105&gt;PARAMETRES!$G$33,5,IF($L105&gt;PARAMETRES!$F$33,4,IF($L105&gt;PARAMETRES!$E$33,3,IF($L105&gt;PARAMETRES!$D$33,2,1)))))</f>
        <v/>
      </c>
      <c r="U105" t="str">
        <f>IF($M105="","",IF($M105&gt;PARAMETRES!$G$34,5,IF($M105&gt;PARAMETRES!$F$34,4,IF($M105&gt;PARAMETRES!$E$34,3,IF($M105&gt;PARAMETRES!$D$34,2,1)))))</f>
        <v/>
      </c>
      <c r="V105" t="str">
        <f>IF($N105="","",IF($N105&gt;PARAMETRES!$G$35,5,IF($N105&gt;PARAMETRES!$F$35,4,IF($N105&gt;PARAMETRES!$E$35,3,IF($N105&gt;PARAMETRES!$D$35,2,1)))))</f>
        <v/>
      </c>
      <c r="W105" t="str">
        <f>IF($O105="","",IF($O105&gt;PARAMETRES!$G$36,5,IF($O105&gt;PARAMETRES!$F$36,4,IF($O105&gt;PARAMETRES!$E$36,3,IF($O105&gt;PARAMETRES!$D$36,2,1)))))</f>
        <v/>
      </c>
      <c r="X105" t="str">
        <f>IF($P105="","",IF($P105&gt;PARAMETRES!$G$37,5,IF($P105&gt;PARAMETRES!$F$37,4,IF($P105&gt;PARAMETRES!$E$37,3,IF($P105&gt;PARAMETRES!$D$37,2,1)))))</f>
        <v/>
      </c>
      <c r="Y105" t="str">
        <f t="shared" si="24"/>
        <v/>
      </c>
      <c r="Z105" t="str">
        <f>IFERROR(VLOOKUP($B105,TABLE_CYCLE,2,0),"")</f>
        <v/>
      </c>
      <c r="AA105" t="str">
        <f t="shared" si="25"/>
        <v/>
      </c>
      <c r="AB105" t="str">
        <f>IF($D105="","",IF(COUNTIF($D$2:$D105,$D105)=1,$D105,""))</f>
        <v/>
      </c>
      <c r="AC105">
        <f t="shared" si="26"/>
        <v>0</v>
      </c>
      <c r="AD105" t="str">
        <f t="shared" si="27"/>
        <v>|0</v>
      </c>
      <c r="AE105" t="str">
        <f t="shared" si="28"/>
        <v/>
      </c>
      <c r="AF105" t="str">
        <f t="shared" si="29"/>
        <v/>
      </c>
      <c r="AG105" t="str">
        <f t="shared" si="30"/>
        <v/>
      </c>
      <c r="AH105" t="str">
        <f t="shared" si="31"/>
        <v/>
      </c>
      <c r="AI105" t="str">
        <f t="shared" si="32"/>
        <v/>
      </c>
      <c r="AJ105" t="str">
        <f t="shared" si="33"/>
        <v/>
      </c>
      <c r="AK105" t="str">
        <f t="shared" si="34"/>
        <v/>
      </c>
      <c r="AL105" t="str">
        <f t="shared" si="35"/>
        <v/>
      </c>
      <c r="AM105" t="str">
        <f t="shared" si="36"/>
        <v/>
      </c>
      <c r="AN105" t="str">
        <f t="shared" si="37"/>
        <v/>
      </c>
      <c r="AO105" t="str">
        <f t="shared" si="38"/>
        <v/>
      </c>
      <c r="AP105">
        <f t="shared" si="39"/>
        <v>1</v>
      </c>
      <c r="AQ105" t="str">
        <f>IF(SAISIE!$F110="","",SAISIE!$Y110)</f>
        <v/>
      </c>
      <c r="AR105" t="str">
        <f>IF(OR(SAISIE!$U$4="",SAISIE!$W$4=""),"",IF(AND($A105=SAISIE!$U$4,$B105=SAISIE!$W$4,$C105="S1"),COUNTIFS($A$2:$A105,SAISIE!$U$4,$B$2:$B105,SAISIE!$W$4,$C$2:$C105,"S1"),""))</f>
        <v/>
      </c>
      <c r="AS105" t="str">
        <f t="shared" si="40"/>
        <v/>
      </c>
      <c r="AT105" t="str">
        <f t="shared" si="41"/>
        <v/>
      </c>
      <c r="AU105" t="str">
        <f t="shared" si="42"/>
        <v/>
      </c>
      <c r="AV105">
        <f>N(AV104)+IF(AND($AB105&lt;&gt;"",OR('PROFIL ELEVE'!$K$4="(Tous)",$AF105='PROFIL ELEVE'!$K$4)),1,0)</f>
        <v>0</v>
      </c>
      <c r="AW105">
        <f>N(AW104)+IF(AND($AB105&lt;&gt;"",OR('SUIVI LONGITUDINAL'!$Q$4="(Tous)",$AF105='SUIVI LONGITUDINAL'!$Q$4)),1,0)</f>
        <v>0</v>
      </c>
      <c r="AX105">
        <f t="shared" si="43"/>
        <v>0</v>
      </c>
      <c r="AY105">
        <f t="shared" si="44"/>
        <v>0</v>
      </c>
      <c r="AZ105">
        <f t="shared" si="45"/>
        <v>0</v>
      </c>
      <c r="BA105" t="str">
        <f t="shared" si="46"/>
        <v/>
      </c>
      <c r="BB105" t="str">
        <f t="shared" si="47"/>
        <v/>
      </c>
    </row>
    <row r="106" spans="1:54" ht="14.25" customHeight="1" x14ac:dyDescent="0.3">
      <c r="A106" t="str">
        <f>IF(SAISIE!$F111="","",SAISIE!$B111)</f>
        <v/>
      </c>
      <c r="B106" t="str">
        <f>IF(SAISIE!$F111="","",SAISIE!$C111)</f>
        <v/>
      </c>
      <c r="C106" t="str">
        <f>IF(SAISIE!$F111="","",SAISIE!$D111)</f>
        <v/>
      </c>
      <c r="D106" t="str">
        <f>IF(SAISIE!$E111="","",SAISIE!$E111)</f>
        <v/>
      </c>
      <c r="E106" t="str">
        <f>IF(SAISIE!$F111="","",SAISIE!$F111)</f>
        <v/>
      </c>
      <c r="F106" t="str">
        <f>IF(SAISIE!$G111="","",SAISIE!$G111)</f>
        <v/>
      </c>
      <c r="G106" t="str">
        <f>IF(SAISIE!$H111="","",SAISIE!$H111)</f>
        <v/>
      </c>
      <c r="H106" t="str">
        <f>IF(SAISIE!$I111="","",SAISIE!$I111)</f>
        <v/>
      </c>
      <c r="I106" t="str">
        <f>IF(SAISIE!$J111="","",SAISIE!$J111)</f>
        <v/>
      </c>
      <c r="J106" t="str">
        <f>IF(SAISIE!$K111="","",SAISIE!$K111)</f>
        <v/>
      </c>
      <c r="K106" t="str">
        <f>IF(SAISIE!$L111="","",SAISIE!$L111)</f>
        <v/>
      </c>
      <c r="L106" t="str">
        <f>IF(SAISIE!$M111="","",SAISIE!$M111)</f>
        <v/>
      </c>
      <c r="M106" t="str">
        <f>IF(SAISIE!$N111="","",SAISIE!$N111)</f>
        <v/>
      </c>
      <c r="N106" t="str">
        <f>IF(SAISIE!$O111="","",SAISIE!$O111)</f>
        <v/>
      </c>
      <c r="O106" t="str">
        <f>IF(SAISIE!$P111="","",SAISIE!$P111)</f>
        <v/>
      </c>
      <c r="P106" t="str">
        <f>IF(SAISIE!$Q111="","",SAISIE!$Q111)</f>
        <v/>
      </c>
      <c r="Q106" t="str">
        <f>IF($I106="","",IF($I106&gt;PARAMETRES!$G$29,5,IF($I106&gt;PARAMETRES!$F$29,4,IF($I106&gt;PARAMETRES!$E$29,3,IF($I106&gt;PARAMETRES!$D$29,2,1)))))</f>
        <v/>
      </c>
      <c r="R106" t="str">
        <f>IF($J106="","",IF($J106&gt;PARAMETRES!$G$30,5,IF($J106&gt;PARAMETRES!$F$30,4,IF($J106&gt;PARAMETRES!$E$30,3,IF($J106&gt;PARAMETRES!$D$30,2,1)))))</f>
        <v/>
      </c>
      <c r="S106" t="str">
        <f>IF($K106="","",IF($Z106=2,IF($K106&gt;PARAMETRES!$G$31,5,IF($K106&gt;PARAMETRES!$F$31,4,IF($K106&gt;PARAMETRES!$E$31,3,IF($K106&gt;PARAMETRES!$D$31,2,1)))),IF($K106&gt;PARAMETRES!$G$32,5,IF($K106&gt;PARAMETRES!$F$32,4,IF($K106&gt;PARAMETRES!$E$32,3,IF($K106&gt;PARAMETRES!$D$32,2,1))))))</f>
        <v/>
      </c>
      <c r="T106" t="str">
        <f>IF($L106="","",IF($L106&gt;PARAMETRES!$G$33,5,IF($L106&gt;PARAMETRES!$F$33,4,IF($L106&gt;PARAMETRES!$E$33,3,IF($L106&gt;PARAMETRES!$D$33,2,1)))))</f>
        <v/>
      </c>
      <c r="U106" t="str">
        <f>IF($M106="","",IF($M106&gt;PARAMETRES!$G$34,5,IF($M106&gt;PARAMETRES!$F$34,4,IF($M106&gt;PARAMETRES!$E$34,3,IF($M106&gt;PARAMETRES!$D$34,2,1)))))</f>
        <v/>
      </c>
      <c r="V106" t="str">
        <f>IF($N106="","",IF($N106&gt;PARAMETRES!$G$35,5,IF($N106&gt;PARAMETRES!$F$35,4,IF($N106&gt;PARAMETRES!$E$35,3,IF($N106&gt;PARAMETRES!$D$35,2,1)))))</f>
        <v/>
      </c>
      <c r="W106" t="str">
        <f>IF($O106="","",IF($O106&gt;PARAMETRES!$G$36,5,IF($O106&gt;PARAMETRES!$F$36,4,IF($O106&gt;PARAMETRES!$E$36,3,IF($O106&gt;PARAMETRES!$D$36,2,1)))))</f>
        <v/>
      </c>
      <c r="X106" t="str">
        <f>IF($P106="","",IF($P106&gt;PARAMETRES!$G$37,5,IF($P106&gt;PARAMETRES!$F$37,4,IF($P106&gt;PARAMETRES!$E$37,3,IF($P106&gt;PARAMETRES!$D$37,2,1)))))</f>
        <v/>
      </c>
      <c r="Y106" t="str">
        <f t="shared" si="24"/>
        <v/>
      </c>
      <c r="Z106" t="str">
        <f>IFERROR(VLOOKUP($B106,TABLE_CYCLE,2,0),"")</f>
        <v/>
      </c>
      <c r="AA106" t="str">
        <f t="shared" si="25"/>
        <v/>
      </c>
      <c r="AB106" t="str">
        <f>IF($D106="","",IF(COUNTIF($D$2:$D106,$D106)=1,$D106,""))</f>
        <v/>
      </c>
      <c r="AC106">
        <f t="shared" si="26"/>
        <v>0</v>
      </c>
      <c r="AD106" t="str">
        <f t="shared" si="27"/>
        <v>|0</v>
      </c>
      <c r="AE106" t="str">
        <f t="shared" si="28"/>
        <v/>
      </c>
      <c r="AF106" t="str">
        <f t="shared" si="29"/>
        <v/>
      </c>
      <c r="AG106" t="str">
        <f t="shared" si="30"/>
        <v/>
      </c>
      <c r="AH106" t="str">
        <f t="shared" si="31"/>
        <v/>
      </c>
      <c r="AI106" t="str">
        <f t="shared" si="32"/>
        <v/>
      </c>
      <c r="AJ106" t="str">
        <f t="shared" si="33"/>
        <v/>
      </c>
      <c r="AK106" t="str">
        <f t="shared" si="34"/>
        <v/>
      </c>
      <c r="AL106" t="str">
        <f t="shared" si="35"/>
        <v/>
      </c>
      <c r="AM106" t="str">
        <f t="shared" si="36"/>
        <v/>
      </c>
      <c r="AN106" t="str">
        <f t="shared" si="37"/>
        <v/>
      </c>
      <c r="AO106" t="str">
        <f t="shared" si="38"/>
        <v/>
      </c>
      <c r="AP106">
        <f t="shared" si="39"/>
        <v>1</v>
      </c>
      <c r="AQ106" t="str">
        <f>IF(SAISIE!$F111="","",SAISIE!$Y111)</f>
        <v/>
      </c>
      <c r="AR106" t="str">
        <f>IF(OR(SAISIE!$U$4="",SAISIE!$W$4=""),"",IF(AND($A106=SAISIE!$U$4,$B106=SAISIE!$W$4,$C106="S1"),COUNTIFS($A$2:$A106,SAISIE!$U$4,$B$2:$B106,SAISIE!$W$4,$C$2:$C106,"S1"),""))</f>
        <v/>
      </c>
      <c r="AS106" t="str">
        <f t="shared" si="40"/>
        <v/>
      </c>
      <c r="AT106" t="str">
        <f t="shared" si="41"/>
        <v/>
      </c>
      <c r="AU106" t="str">
        <f t="shared" si="42"/>
        <v/>
      </c>
      <c r="AV106">
        <f>N(AV105)+IF(AND($AB106&lt;&gt;"",OR('PROFIL ELEVE'!$K$4="(Tous)",$AF106='PROFIL ELEVE'!$K$4)),1,0)</f>
        <v>0</v>
      </c>
      <c r="AW106">
        <f>N(AW105)+IF(AND($AB106&lt;&gt;"",OR('SUIVI LONGITUDINAL'!$Q$4="(Tous)",$AF106='SUIVI LONGITUDINAL'!$Q$4)),1,0)</f>
        <v>0</v>
      </c>
      <c r="AX106">
        <f t="shared" si="43"/>
        <v>0</v>
      </c>
      <c r="AY106">
        <f t="shared" si="44"/>
        <v>0</v>
      </c>
      <c r="AZ106">
        <f t="shared" si="45"/>
        <v>0</v>
      </c>
      <c r="BA106" t="str">
        <f t="shared" si="46"/>
        <v/>
      </c>
      <c r="BB106" t="str">
        <f t="shared" si="47"/>
        <v/>
      </c>
    </row>
    <row r="107" spans="1:54" ht="14.25" customHeight="1" x14ac:dyDescent="0.3">
      <c r="A107" t="str">
        <f>IF(SAISIE!$F112="","",SAISIE!$B112)</f>
        <v/>
      </c>
      <c r="B107" t="str">
        <f>IF(SAISIE!$F112="","",SAISIE!$C112)</f>
        <v/>
      </c>
      <c r="C107" t="str">
        <f>IF(SAISIE!$F112="","",SAISIE!$D112)</f>
        <v/>
      </c>
      <c r="D107" t="str">
        <f>IF(SAISIE!$E112="","",SAISIE!$E112)</f>
        <v/>
      </c>
      <c r="E107" t="str">
        <f>IF(SAISIE!$F112="","",SAISIE!$F112)</f>
        <v/>
      </c>
      <c r="F107" t="str">
        <f>IF(SAISIE!$G112="","",SAISIE!$G112)</f>
        <v/>
      </c>
      <c r="G107" t="str">
        <f>IF(SAISIE!$H112="","",SAISIE!$H112)</f>
        <v/>
      </c>
      <c r="H107" t="str">
        <f>IF(SAISIE!$I112="","",SAISIE!$I112)</f>
        <v/>
      </c>
      <c r="I107" t="str">
        <f>IF(SAISIE!$J112="","",SAISIE!$J112)</f>
        <v/>
      </c>
      <c r="J107" t="str">
        <f>IF(SAISIE!$K112="","",SAISIE!$K112)</f>
        <v/>
      </c>
      <c r="K107" t="str">
        <f>IF(SAISIE!$L112="","",SAISIE!$L112)</f>
        <v/>
      </c>
      <c r="L107" t="str">
        <f>IF(SAISIE!$M112="","",SAISIE!$M112)</f>
        <v/>
      </c>
      <c r="M107" t="str">
        <f>IF(SAISIE!$N112="","",SAISIE!$N112)</f>
        <v/>
      </c>
      <c r="N107" t="str">
        <f>IF(SAISIE!$O112="","",SAISIE!$O112)</f>
        <v/>
      </c>
      <c r="O107" t="str">
        <f>IF(SAISIE!$P112="","",SAISIE!$P112)</f>
        <v/>
      </c>
      <c r="P107" t="str">
        <f>IF(SAISIE!$Q112="","",SAISIE!$Q112)</f>
        <v/>
      </c>
      <c r="Q107" t="str">
        <f>IF($I107="","",IF($I107&gt;PARAMETRES!$G$29,5,IF($I107&gt;PARAMETRES!$F$29,4,IF($I107&gt;PARAMETRES!$E$29,3,IF($I107&gt;PARAMETRES!$D$29,2,1)))))</f>
        <v/>
      </c>
      <c r="R107" t="str">
        <f>IF($J107="","",IF($J107&gt;PARAMETRES!$G$30,5,IF($J107&gt;PARAMETRES!$F$30,4,IF($J107&gt;PARAMETRES!$E$30,3,IF($J107&gt;PARAMETRES!$D$30,2,1)))))</f>
        <v/>
      </c>
      <c r="S107" t="str">
        <f>IF($K107="","",IF($Z107=2,IF($K107&gt;PARAMETRES!$G$31,5,IF($K107&gt;PARAMETRES!$F$31,4,IF($K107&gt;PARAMETRES!$E$31,3,IF($K107&gt;PARAMETRES!$D$31,2,1)))),IF($K107&gt;PARAMETRES!$G$32,5,IF($K107&gt;PARAMETRES!$F$32,4,IF($K107&gt;PARAMETRES!$E$32,3,IF($K107&gt;PARAMETRES!$D$32,2,1))))))</f>
        <v/>
      </c>
      <c r="T107" t="str">
        <f>IF($L107="","",IF($L107&gt;PARAMETRES!$G$33,5,IF($L107&gt;PARAMETRES!$F$33,4,IF($L107&gt;PARAMETRES!$E$33,3,IF($L107&gt;PARAMETRES!$D$33,2,1)))))</f>
        <v/>
      </c>
      <c r="U107" t="str">
        <f>IF($M107="","",IF($M107&gt;PARAMETRES!$G$34,5,IF($M107&gt;PARAMETRES!$F$34,4,IF($M107&gt;PARAMETRES!$E$34,3,IF($M107&gt;PARAMETRES!$D$34,2,1)))))</f>
        <v/>
      </c>
      <c r="V107" t="str">
        <f>IF($N107="","",IF($N107&gt;PARAMETRES!$G$35,5,IF($N107&gt;PARAMETRES!$F$35,4,IF($N107&gt;PARAMETRES!$E$35,3,IF($N107&gt;PARAMETRES!$D$35,2,1)))))</f>
        <v/>
      </c>
      <c r="W107" t="str">
        <f>IF($O107="","",IF($O107&gt;PARAMETRES!$G$36,5,IF($O107&gt;PARAMETRES!$F$36,4,IF($O107&gt;PARAMETRES!$E$36,3,IF($O107&gt;PARAMETRES!$D$36,2,1)))))</f>
        <v/>
      </c>
      <c r="X107" t="str">
        <f>IF($P107="","",IF($P107&gt;PARAMETRES!$G$37,5,IF($P107&gt;PARAMETRES!$F$37,4,IF($P107&gt;PARAMETRES!$E$37,3,IF($P107&gt;PARAMETRES!$D$37,2,1)))))</f>
        <v/>
      </c>
      <c r="Y107" t="str">
        <f t="shared" si="24"/>
        <v/>
      </c>
      <c r="Z107" t="str">
        <f>IFERROR(VLOOKUP($B107,TABLE_CYCLE,2,0),"")</f>
        <v/>
      </c>
      <c r="AA107" t="str">
        <f t="shared" si="25"/>
        <v/>
      </c>
      <c r="AB107" t="str">
        <f>IF($D107="","",IF(COUNTIF($D$2:$D107,$D107)=1,$D107,""))</f>
        <v/>
      </c>
      <c r="AC107">
        <f t="shared" si="26"/>
        <v>0</v>
      </c>
      <c r="AD107" t="str">
        <f t="shared" si="27"/>
        <v>|0</v>
      </c>
      <c r="AE107" t="str">
        <f t="shared" si="28"/>
        <v/>
      </c>
      <c r="AF107" t="str">
        <f t="shared" si="29"/>
        <v/>
      </c>
      <c r="AG107" t="str">
        <f t="shared" si="30"/>
        <v/>
      </c>
      <c r="AH107" t="str">
        <f t="shared" si="31"/>
        <v/>
      </c>
      <c r="AI107" t="str">
        <f t="shared" si="32"/>
        <v/>
      </c>
      <c r="AJ107" t="str">
        <f t="shared" si="33"/>
        <v/>
      </c>
      <c r="AK107" t="str">
        <f t="shared" si="34"/>
        <v/>
      </c>
      <c r="AL107" t="str">
        <f t="shared" si="35"/>
        <v/>
      </c>
      <c r="AM107" t="str">
        <f t="shared" si="36"/>
        <v/>
      </c>
      <c r="AN107" t="str">
        <f t="shared" si="37"/>
        <v/>
      </c>
      <c r="AO107" t="str">
        <f t="shared" si="38"/>
        <v/>
      </c>
      <c r="AP107">
        <f t="shared" si="39"/>
        <v>1</v>
      </c>
      <c r="AQ107" t="str">
        <f>IF(SAISIE!$F112="","",SAISIE!$Y112)</f>
        <v/>
      </c>
      <c r="AR107" t="str">
        <f>IF(OR(SAISIE!$U$4="",SAISIE!$W$4=""),"",IF(AND($A107=SAISIE!$U$4,$B107=SAISIE!$W$4,$C107="S1"),COUNTIFS($A$2:$A107,SAISIE!$U$4,$B$2:$B107,SAISIE!$W$4,$C$2:$C107,"S1"),""))</f>
        <v/>
      </c>
      <c r="AS107" t="str">
        <f t="shared" si="40"/>
        <v/>
      </c>
      <c r="AT107" t="str">
        <f t="shared" si="41"/>
        <v/>
      </c>
      <c r="AU107" t="str">
        <f t="shared" si="42"/>
        <v/>
      </c>
      <c r="AV107">
        <f>N(AV106)+IF(AND($AB107&lt;&gt;"",OR('PROFIL ELEVE'!$K$4="(Tous)",$AF107='PROFIL ELEVE'!$K$4)),1,0)</f>
        <v>0</v>
      </c>
      <c r="AW107">
        <f>N(AW106)+IF(AND($AB107&lt;&gt;"",OR('SUIVI LONGITUDINAL'!$Q$4="(Tous)",$AF107='SUIVI LONGITUDINAL'!$Q$4)),1,0)</f>
        <v>0</v>
      </c>
      <c r="AX107">
        <f t="shared" si="43"/>
        <v>0</v>
      </c>
      <c r="AY107">
        <f t="shared" si="44"/>
        <v>0</v>
      </c>
      <c r="AZ107">
        <f t="shared" si="45"/>
        <v>0</v>
      </c>
      <c r="BA107" t="str">
        <f t="shared" si="46"/>
        <v/>
      </c>
      <c r="BB107" t="str">
        <f t="shared" si="47"/>
        <v/>
      </c>
    </row>
    <row r="108" spans="1:54" ht="14.25" customHeight="1" x14ac:dyDescent="0.3">
      <c r="A108" t="str">
        <f>IF(SAISIE!$F113="","",SAISIE!$B113)</f>
        <v/>
      </c>
      <c r="B108" t="str">
        <f>IF(SAISIE!$F113="","",SAISIE!$C113)</f>
        <v/>
      </c>
      <c r="C108" t="str">
        <f>IF(SAISIE!$F113="","",SAISIE!$D113)</f>
        <v/>
      </c>
      <c r="D108" t="str">
        <f>IF(SAISIE!$E113="","",SAISIE!$E113)</f>
        <v/>
      </c>
      <c r="E108" t="str">
        <f>IF(SAISIE!$F113="","",SAISIE!$F113)</f>
        <v/>
      </c>
      <c r="F108" t="str">
        <f>IF(SAISIE!$G113="","",SAISIE!$G113)</f>
        <v/>
      </c>
      <c r="G108" t="str">
        <f>IF(SAISIE!$H113="","",SAISIE!$H113)</f>
        <v/>
      </c>
      <c r="H108" t="str">
        <f>IF(SAISIE!$I113="","",SAISIE!$I113)</f>
        <v/>
      </c>
      <c r="I108" t="str">
        <f>IF(SAISIE!$J113="","",SAISIE!$J113)</f>
        <v/>
      </c>
      <c r="J108" t="str">
        <f>IF(SAISIE!$K113="","",SAISIE!$K113)</f>
        <v/>
      </c>
      <c r="K108" t="str">
        <f>IF(SAISIE!$L113="","",SAISIE!$L113)</f>
        <v/>
      </c>
      <c r="L108" t="str">
        <f>IF(SAISIE!$M113="","",SAISIE!$M113)</f>
        <v/>
      </c>
      <c r="M108" t="str">
        <f>IF(SAISIE!$N113="","",SAISIE!$N113)</f>
        <v/>
      </c>
      <c r="N108" t="str">
        <f>IF(SAISIE!$O113="","",SAISIE!$O113)</f>
        <v/>
      </c>
      <c r="O108" t="str">
        <f>IF(SAISIE!$P113="","",SAISIE!$P113)</f>
        <v/>
      </c>
      <c r="P108" t="str">
        <f>IF(SAISIE!$Q113="","",SAISIE!$Q113)</f>
        <v/>
      </c>
      <c r="Q108" t="str">
        <f>IF($I108="","",IF($I108&gt;PARAMETRES!$G$29,5,IF($I108&gt;PARAMETRES!$F$29,4,IF($I108&gt;PARAMETRES!$E$29,3,IF($I108&gt;PARAMETRES!$D$29,2,1)))))</f>
        <v/>
      </c>
      <c r="R108" t="str">
        <f>IF($J108="","",IF($J108&gt;PARAMETRES!$G$30,5,IF($J108&gt;PARAMETRES!$F$30,4,IF($J108&gt;PARAMETRES!$E$30,3,IF($J108&gt;PARAMETRES!$D$30,2,1)))))</f>
        <v/>
      </c>
      <c r="S108" t="str">
        <f>IF($K108="","",IF($Z108=2,IF($K108&gt;PARAMETRES!$G$31,5,IF($K108&gt;PARAMETRES!$F$31,4,IF($K108&gt;PARAMETRES!$E$31,3,IF($K108&gt;PARAMETRES!$D$31,2,1)))),IF($K108&gt;PARAMETRES!$G$32,5,IF($K108&gt;PARAMETRES!$F$32,4,IF($K108&gt;PARAMETRES!$E$32,3,IF($K108&gt;PARAMETRES!$D$32,2,1))))))</f>
        <v/>
      </c>
      <c r="T108" t="str">
        <f>IF($L108="","",IF($L108&gt;PARAMETRES!$G$33,5,IF($L108&gt;PARAMETRES!$F$33,4,IF($L108&gt;PARAMETRES!$E$33,3,IF($L108&gt;PARAMETRES!$D$33,2,1)))))</f>
        <v/>
      </c>
      <c r="U108" t="str">
        <f>IF($M108="","",IF($M108&gt;PARAMETRES!$G$34,5,IF($M108&gt;PARAMETRES!$F$34,4,IF($M108&gt;PARAMETRES!$E$34,3,IF($M108&gt;PARAMETRES!$D$34,2,1)))))</f>
        <v/>
      </c>
      <c r="V108" t="str">
        <f>IF($N108="","",IF($N108&gt;PARAMETRES!$G$35,5,IF($N108&gt;PARAMETRES!$F$35,4,IF($N108&gt;PARAMETRES!$E$35,3,IF($N108&gt;PARAMETRES!$D$35,2,1)))))</f>
        <v/>
      </c>
      <c r="W108" t="str">
        <f>IF($O108="","",IF($O108&gt;PARAMETRES!$G$36,5,IF($O108&gt;PARAMETRES!$F$36,4,IF($O108&gt;PARAMETRES!$E$36,3,IF($O108&gt;PARAMETRES!$D$36,2,1)))))</f>
        <v/>
      </c>
      <c r="X108" t="str">
        <f>IF($P108="","",IF($P108&gt;PARAMETRES!$G$37,5,IF($P108&gt;PARAMETRES!$F$37,4,IF($P108&gt;PARAMETRES!$E$37,3,IF($P108&gt;PARAMETRES!$D$37,2,1)))))</f>
        <v/>
      </c>
      <c r="Y108" t="str">
        <f t="shared" si="24"/>
        <v/>
      </c>
      <c r="Z108" t="str">
        <f>IFERROR(VLOOKUP($B108,TABLE_CYCLE,2,0),"")</f>
        <v/>
      </c>
      <c r="AA108" t="str">
        <f t="shared" si="25"/>
        <v/>
      </c>
      <c r="AB108" t="str">
        <f>IF($D108="","",IF(COUNTIF($D$2:$D108,$D108)=1,$D108,""))</f>
        <v/>
      </c>
      <c r="AC108">
        <f t="shared" si="26"/>
        <v>0</v>
      </c>
      <c r="AD108" t="str">
        <f t="shared" si="27"/>
        <v>|0</v>
      </c>
      <c r="AE108" t="str">
        <f t="shared" si="28"/>
        <v/>
      </c>
      <c r="AF108" t="str">
        <f t="shared" si="29"/>
        <v/>
      </c>
      <c r="AG108" t="str">
        <f t="shared" si="30"/>
        <v/>
      </c>
      <c r="AH108" t="str">
        <f t="shared" si="31"/>
        <v/>
      </c>
      <c r="AI108" t="str">
        <f t="shared" si="32"/>
        <v/>
      </c>
      <c r="AJ108" t="str">
        <f t="shared" si="33"/>
        <v/>
      </c>
      <c r="AK108" t="str">
        <f t="shared" si="34"/>
        <v/>
      </c>
      <c r="AL108" t="str">
        <f t="shared" si="35"/>
        <v/>
      </c>
      <c r="AM108" t="str">
        <f t="shared" si="36"/>
        <v/>
      </c>
      <c r="AN108" t="str">
        <f t="shared" si="37"/>
        <v/>
      </c>
      <c r="AO108" t="str">
        <f t="shared" si="38"/>
        <v/>
      </c>
      <c r="AP108">
        <f t="shared" si="39"/>
        <v>1</v>
      </c>
      <c r="AQ108" t="str">
        <f>IF(SAISIE!$F113="","",SAISIE!$Y113)</f>
        <v/>
      </c>
      <c r="AR108" t="str">
        <f>IF(OR(SAISIE!$U$4="",SAISIE!$W$4=""),"",IF(AND($A108=SAISIE!$U$4,$B108=SAISIE!$W$4,$C108="S1"),COUNTIFS($A$2:$A108,SAISIE!$U$4,$B$2:$B108,SAISIE!$W$4,$C$2:$C108,"S1"),""))</f>
        <v/>
      </c>
      <c r="AS108" t="str">
        <f t="shared" si="40"/>
        <v/>
      </c>
      <c r="AT108" t="str">
        <f t="shared" si="41"/>
        <v/>
      </c>
      <c r="AU108" t="str">
        <f t="shared" si="42"/>
        <v/>
      </c>
      <c r="AV108">
        <f>N(AV107)+IF(AND($AB108&lt;&gt;"",OR('PROFIL ELEVE'!$K$4="(Tous)",$AF108='PROFIL ELEVE'!$K$4)),1,0)</f>
        <v>0</v>
      </c>
      <c r="AW108">
        <f>N(AW107)+IF(AND($AB108&lt;&gt;"",OR('SUIVI LONGITUDINAL'!$Q$4="(Tous)",$AF108='SUIVI LONGITUDINAL'!$Q$4)),1,0)</f>
        <v>0</v>
      </c>
      <c r="AX108">
        <f t="shared" si="43"/>
        <v>0</v>
      </c>
      <c r="AY108">
        <f t="shared" si="44"/>
        <v>0</v>
      </c>
      <c r="AZ108">
        <f t="shared" si="45"/>
        <v>0</v>
      </c>
      <c r="BA108" t="str">
        <f t="shared" si="46"/>
        <v/>
      </c>
      <c r="BB108" t="str">
        <f t="shared" si="47"/>
        <v/>
      </c>
    </row>
    <row r="109" spans="1:54" ht="14.25" customHeight="1" x14ac:dyDescent="0.3">
      <c r="A109" t="str">
        <f>IF(SAISIE!$F114="","",SAISIE!$B114)</f>
        <v/>
      </c>
      <c r="B109" t="str">
        <f>IF(SAISIE!$F114="","",SAISIE!$C114)</f>
        <v/>
      </c>
      <c r="C109" t="str">
        <f>IF(SAISIE!$F114="","",SAISIE!$D114)</f>
        <v/>
      </c>
      <c r="D109" t="str">
        <f>IF(SAISIE!$E114="","",SAISIE!$E114)</f>
        <v/>
      </c>
      <c r="E109" t="str">
        <f>IF(SAISIE!$F114="","",SAISIE!$F114)</f>
        <v/>
      </c>
      <c r="F109" t="str">
        <f>IF(SAISIE!$G114="","",SAISIE!$G114)</f>
        <v/>
      </c>
      <c r="G109" t="str">
        <f>IF(SAISIE!$H114="","",SAISIE!$H114)</f>
        <v/>
      </c>
      <c r="H109" t="str">
        <f>IF(SAISIE!$I114="","",SAISIE!$I114)</f>
        <v/>
      </c>
      <c r="I109" t="str">
        <f>IF(SAISIE!$J114="","",SAISIE!$J114)</f>
        <v/>
      </c>
      <c r="J109" t="str">
        <f>IF(SAISIE!$K114="","",SAISIE!$K114)</f>
        <v/>
      </c>
      <c r="K109" t="str">
        <f>IF(SAISIE!$L114="","",SAISIE!$L114)</f>
        <v/>
      </c>
      <c r="L109" t="str">
        <f>IF(SAISIE!$M114="","",SAISIE!$M114)</f>
        <v/>
      </c>
      <c r="M109" t="str">
        <f>IF(SAISIE!$N114="","",SAISIE!$N114)</f>
        <v/>
      </c>
      <c r="N109" t="str">
        <f>IF(SAISIE!$O114="","",SAISIE!$O114)</f>
        <v/>
      </c>
      <c r="O109" t="str">
        <f>IF(SAISIE!$P114="","",SAISIE!$P114)</f>
        <v/>
      </c>
      <c r="P109" t="str">
        <f>IF(SAISIE!$Q114="","",SAISIE!$Q114)</f>
        <v/>
      </c>
      <c r="Q109" t="str">
        <f>IF($I109="","",IF($I109&gt;PARAMETRES!$G$29,5,IF($I109&gt;PARAMETRES!$F$29,4,IF($I109&gt;PARAMETRES!$E$29,3,IF($I109&gt;PARAMETRES!$D$29,2,1)))))</f>
        <v/>
      </c>
      <c r="R109" t="str">
        <f>IF($J109="","",IF($J109&gt;PARAMETRES!$G$30,5,IF($J109&gt;PARAMETRES!$F$30,4,IF($J109&gt;PARAMETRES!$E$30,3,IF($J109&gt;PARAMETRES!$D$30,2,1)))))</f>
        <v/>
      </c>
      <c r="S109" t="str">
        <f>IF($K109="","",IF($Z109=2,IF($K109&gt;PARAMETRES!$G$31,5,IF($K109&gt;PARAMETRES!$F$31,4,IF($K109&gt;PARAMETRES!$E$31,3,IF($K109&gt;PARAMETRES!$D$31,2,1)))),IF($K109&gt;PARAMETRES!$G$32,5,IF($K109&gt;PARAMETRES!$F$32,4,IF($K109&gt;PARAMETRES!$E$32,3,IF($K109&gt;PARAMETRES!$D$32,2,1))))))</f>
        <v/>
      </c>
      <c r="T109" t="str">
        <f>IF($L109="","",IF($L109&gt;PARAMETRES!$G$33,5,IF($L109&gt;PARAMETRES!$F$33,4,IF($L109&gt;PARAMETRES!$E$33,3,IF($L109&gt;PARAMETRES!$D$33,2,1)))))</f>
        <v/>
      </c>
      <c r="U109" t="str">
        <f>IF($M109="","",IF($M109&gt;PARAMETRES!$G$34,5,IF($M109&gt;PARAMETRES!$F$34,4,IF($M109&gt;PARAMETRES!$E$34,3,IF($M109&gt;PARAMETRES!$D$34,2,1)))))</f>
        <v/>
      </c>
      <c r="V109" t="str">
        <f>IF($N109="","",IF($N109&gt;PARAMETRES!$G$35,5,IF($N109&gt;PARAMETRES!$F$35,4,IF($N109&gt;PARAMETRES!$E$35,3,IF($N109&gt;PARAMETRES!$D$35,2,1)))))</f>
        <v/>
      </c>
      <c r="W109" t="str">
        <f>IF($O109="","",IF($O109&gt;PARAMETRES!$G$36,5,IF($O109&gt;PARAMETRES!$F$36,4,IF($O109&gt;PARAMETRES!$E$36,3,IF($O109&gt;PARAMETRES!$D$36,2,1)))))</f>
        <v/>
      </c>
      <c r="X109" t="str">
        <f>IF($P109="","",IF($P109&gt;PARAMETRES!$G$37,5,IF($P109&gt;PARAMETRES!$F$37,4,IF($P109&gt;PARAMETRES!$E$37,3,IF($P109&gt;PARAMETRES!$D$37,2,1)))))</f>
        <v/>
      </c>
      <c r="Y109" t="str">
        <f t="shared" si="24"/>
        <v/>
      </c>
      <c r="Z109" t="str">
        <f>IFERROR(VLOOKUP($B109,TABLE_CYCLE,2,0),"")</f>
        <v/>
      </c>
      <c r="AA109" t="str">
        <f t="shared" si="25"/>
        <v/>
      </c>
      <c r="AB109" t="str">
        <f>IF($D109="","",IF(COUNTIF($D$2:$D109,$D109)=1,$D109,""))</f>
        <v/>
      </c>
      <c r="AC109">
        <f t="shared" si="26"/>
        <v>0</v>
      </c>
      <c r="AD109" t="str">
        <f t="shared" si="27"/>
        <v>|0</v>
      </c>
      <c r="AE109" t="str">
        <f t="shared" si="28"/>
        <v/>
      </c>
      <c r="AF109" t="str">
        <f t="shared" si="29"/>
        <v/>
      </c>
      <c r="AG109" t="str">
        <f t="shared" si="30"/>
        <v/>
      </c>
      <c r="AH109" t="str">
        <f t="shared" si="31"/>
        <v/>
      </c>
      <c r="AI109" t="str">
        <f t="shared" si="32"/>
        <v/>
      </c>
      <c r="AJ109" t="str">
        <f t="shared" si="33"/>
        <v/>
      </c>
      <c r="AK109" t="str">
        <f t="shared" si="34"/>
        <v/>
      </c>
      <c r="AL109" t="str">
        <f t="shared" si="35"/>
        <v/>
      </c>
      <c r="AM109" t="str">
        <f t="shared" si="36"/>
        <v/>
      </c>
      <c r="AN109" t="str">
        <f t="shared" si="37"/>
        <v/>
      </c>
      <c r="AO109" t="str">
        <f t="shared" si="38"/>
        <v/>
      </c>
      <c r="AP109">
        <f t="shared" si="39"/>
        <v>1</v>
      </c>
      <c r="AQ109" t="str">
        <f>IF(SAISIE!$F114="","",SAISIE!$Y114)</f>
        <v/>
      </c>
      <c r="AR109" t="str">
        <f>IF(OR(SAISIE!$U$4="",SAISIE!$W$4=""),"",IF(AND($A109=SAISIE!$U$4,$B109=SAISIE!$W$4,$C109="S1"),COUNTIFS($A$2:$A109,SAISIE!$U$4,$B$2:$B109,SAISIE!$W$4,$C$2:$C109,"S1"),""))</f>
        <v/>
      </c>
      <c r="AS109" t="str">
        <f t="shared" si="40"/>
        <v/>
      </c>
      <c r="AT109" t="str">
        <f t="shared" si="41"/>
        <v/>
      </c>
      <c r="AU109" t="str">
        <f t="shared" si="42"/>
        <v/>
      </c>
      <c r="AV109">
        <f>N(AV108)+IF(AND($AB109&lt;&gt;"",OR('PROFIL ELEVE'!$K$4="(Tous)",$AF109='PROFIL ELEVE'!$K$4)),1,0)</f>
        <v>0</v>
      </c>
      <c r="AW109">
        <f>N(AW108)+IF(AND($AB109&lt;&gt;"",OR('SUIVI LONGITUDINAL'!$Q$4="(Tous)",$AF109='SUIVI LONGITUDINAL'!$Q$4)),1,0)</f>
        <v>0</v>
      </c>
      <c r="AX109">
        <f t="shared" si="43"/>
        <v>0</v>
      </c>
      <c r="AY109">
        <f t="shared" si="44"/>
        <v>0</v>
      </c>
      <c r="AZ109">
        <f t="shared" si="45"/>
        <v>0</v>
      </c>
      <c r="BA109" t="str">
        <f t="shared" si="46"/>
        <v/>
      </c>
      <c r="BB109" t="str">
        <f t="shared" si="47"/>
        <v/>
      </c>
    </row>
    <row r="110" spans="1:54" ht="14.25" customHeight="1" x14ac:dyDescent="0.3">
      <c r="A110" t="str">
        <f>IF(SAISIE!$F115="","",SAISIE!$B115)</f>
        <v/>
      </c>
      <c r="B110" t="str">
        <f>IF(SAISIE!$F115="","",SAISIE!$C115)</f>
        <v/>
      </c>
      <c r="C110" t="str">
        <f>IF(SAISIE!$F115="","",SAISIE!$D115)</f>
        <v/>
      </c>
      <c r="D110" t="str">
        <f>IF(SAISIE!$E115="","",SAISIE!$E115)</f>
        <v/>
      </c>
      <c r="E110" t="str">
        <f>IF(SAISIE!$F115="","",SAISIE!$F115)</f>
        <v/>
      </c>
      <c r="F110" t="str">
        <f>IF(SAISIE!$G115="","",SAISIE!$G115)</f>
        <v/>
      </c>
      <c r="G110" t="str">
        <f>IF(SAISIE!$H115="","",SAISIE!$H115)</f>
        <v/>
      </c>
      <c r="H110" t="str">
        <f>IF(SAISIE!$I115="","",SAISIE!$I115)</f>
        <v/>
      </c>
      <c r="I110" t="str">
        <f>IF(SAISIE!$J115="","",SAISIE!$J115)</f>
        <v/>
      </c>
      <c r="J110" t="str">
        <f>IF(SAISIE!$K115="","",SAISIE!$K115)</f>
        <v/>
      </c>
      <c r="K110" t="str">
        <f>IF(SAISIE!$L115="","",SAISIE!$L115)</f>
        <v/>
      </c>
      <c r="L110" t="str">
        <f>IF(SAISIE!$M115="","",SAISIE!$M115)</f>
        <v/>
      </c>
      <c r="M110" t="str">
        <f>IF(SAISIE!$N115="","",SAISIE!$N115)</f>
        <v/>
      </c>
      <c r="N110" t="str">
        <f>IF(SAISIE!$O115="","",SAISIE!$O115)</f>
        <v/>
      </c>
      <c r="O110" t="str">
        <f>IF(SAISIE!$P115="","",SAISIE!$P115)</f>
        <v/>
      </c>
      <c r="P110" t="str">
        <f>IF(SAISIE!$Q115="","",SAISIE!$Q115)</f>
        <v/>
      </c>
      <c r="Q110" t="str">
        <f>IF($I110="","",IF($I110&gt;PARAMETRES!$G$29,5,IF($I110&gt;PARAMETRES!$F$29,4,IF($I110&gt;PARAMETRES!$E$29,3,IF($I110&gt;PARAMETRES!$D$29,2,1)))))</f>
        <v/>
      </c>
      <c r="R110" t="str">
        <f>IF($J110="","",IF($J110&gt;PARAMETRES!$G$30,5,IF($J110&gt;PARAMETRES!$F$30,4,IF($J110&gt;PARAMETRES!$E$30,3,IF($J110&gt;PARAMETRES!$D$30,2,1)))))</f>
        <v/>
      </c>
      <c r="S110" t="str">
        <f>IF($K110="","",IF($Z110=2,IF($K110&gt;PARAMETRES!$G$31,5,IF($K110&gt;PARAMETRES!$F$31,4,IF($K110&gt;PARAMETRES!$E$31,3,IF($K110&gt;PARAMETRES!$D$31,2,1)))),IF($K110&gt;PARAMETRES!$G$32,5,IF($K110&gt;PARAMETRES!$F$32,4,IF($K110&gt;PARAMETRES!$E$32,3,IF($K110&gt;PARAMETRES!$D$32,2,1))))))</f>
        <v/>
      </c>
      <c r="T110" t="str">
        <f>IF($L110="","",IF($L110&gt;PARAMETRES!$G$33,5,IF($L110&gt;PARAMETRES!$F$33,4,IF($L110&gt;PARAMETRES!$E$33,3,IF($L110&gt;PARAMETRES!$D$33,2,1)))))</f>
        <v/>
      </c>
      <c r="U110" t="str">
        <f>IF($M110="","",IF($M110&gt;PARAMETRES!$G$34,5,IF($M110&gt;PARAMETRES!$F$34,4,IF($M110&gt;PARAMETRES!$E$34,3,IF($M110&gt;PARAMETRES!$D$34,2,1)))))</f>
        <v/>
      </c>
      <c r="V110" t="str">
        <f>IF($N110="","",IF($N110&gt;PARAMETRES!$G$35,5,IF($N110&gt;PARAMETRES!$F$35,4,IF($N110&gt;PARAMETRES!$E$35,3,IF($N110&gt;PARAMETRES!$D$35,2,1)))))</f>
        <v/>
      </c>
      <c r="W110" t="str">
        <f>IF($O110="","",IF($O110&gt;PARAMETRES!$G$36,5,IF($O110&gt;PARAMETRES!$F$36,4,IF($O110&gt;PARAMETRES!$E$36,3,IF($O110&gt;PARAMETRES!$D$36,2,1)))))</f>
        <v/>
      </c>
      <c r="X110" t="str">
        <f>IF($P110="","",IF($P110&gt;PARAMETRES!$G$37,5,IF($P110&gt;PARAMETRES!$F$37,4,IF($P110&gt;PARAMETRES!$E$37,3,IF($P110&gt;PARAMETRES!$D$37,2,1)))))</f>
        <v/>
      </c>
      <c r="Y110" t="str">
        <f t="shared" si="24"/>
        <v/>
      </c>
      <c r="Z110" t="str">
        <f>IFERROR(VLOOKUP($B110,TABLE_CYCLE,2,0),"")</f>
        <v/>
      </c>
      <c r="AA110" t="str">
        <f t="shared" si="25"/>
        <v/>
      </c>
      <c r="AB110" t="str">
        <f>IF($D110="","",IF(COUNTIF($D$2:$D110,$D110)=1,$D110,""))</f>
        <v/>
      </c>
      <c r="AC110">
        <f t="shared" si="26"/>
        <v>0</v>
      </c>
      <c r="AD110" t="str">
        <f t="shared" si="27"/>
        <v>|0</v>
      </c>
      <c r="AE110" t="str">
        <f t="shared" si="28"/>
        <v/>
      </c>
      <c r="AF110" t="str">
        <f t="shared" si="29"/>
        <v/>
      </c>
      <c r="AG110" t="str">
        <f t="shared" si="30"/>
        <v/>
      </c>
      <c r="AH110" t="str">
        <f t="shared" si="31"/>
        <v/>
      </c>
      <c r="AI110" t="str">
        <f t="shared" si="32"/>
        <v/>
      </c>
      <c r="AJ110" t="str">
        <f t="shared" si="33"/>
        <v/>
      </c>
      <c r="AK110" t="str">
        <f t="shared" si="34"/>
        <v/>
      </c>
      <c r="AL110" t="str">
        <f t="shared" si="35"/>
        <v/>
      </c>
      <c r="AM110" t="str">
        <f t="shared" si="36"/>
        <v/>
      </c>
      <c r="AN110" t="str">
        <f t="shared" si="37"/>
        <v/>
      </c>
      <c r="AO110" t="str">
        <f t="shared" si="38"/>
        <v/>
      </c>
      <c r="AP110">
        <f t="shared" si="39"/>
        <v>1</v>
      </c>
      <c r="AQ110" t="str">
        <f>IF(SAISIE!$F115="","",SAISIE!$Y115)</f>
        <v/>
      </c>
      <c r="AR110" t="str">
        <f>IF(OR(SAISIE!$U$4="",SAISIE!$W$4=""),"",IF(AND($A110=SAISIE!$U$4,$B110=SAISIE!$W$4,$C110="S1"),COUNTIFS($A$2:$A110,SAISIE!$U$4,$B$2:$B110,SAISIE!$W$4,$C$2:$C110,"S1"),""))</f>
        <v/>
      </c>
      <c r="AS110" t="str">
        <f t="shared" si="40"/>
        <v/>
      </c>
      <c r="AT110" t="str">
        <f t="shared" si="41"/>
        <v/>
      </c>
      <c r="AU110" t="str">
        <f t="shared" si="42"/>
        <v/>
      </c>
      <c r="AV110">
        <f>N(AV109)+IF(AND($AB110&lt;&gt;"",OR('PROFIL ELEVE'!$K$4="(Tous)",$AF110='PROFIL ELEVE'!$K$4)),1,0)</f>
        <v>0</v>
      </c>
      <c r="AW110">
        <f>N(AW109)+IF(AND($AB110&lt;&gt;"",OR('SUIVI LONGITUDINAL'!$Q$4="(Tous)",$AF110='SUIVI LONGITUDINAL'!$Q$4)),1,0)</f>
        <v>0</v>
      </c>
      <c r="AX110">
        <f t="shared" si="43"/>
        <v>0</v>
      </c>
      <c r="AY110">
        <f t="shared" si="44"/>
        <v>0</v>
      </c>
      <c r="AZ110">
        <f t="shared" si="45"/>
        <v>0</v>
      </c>
      <c r="BA110" t="str">
        <f t="shared" si="46"/>
        <v/>
      </c>
      <c r="BB110" t="str">
        <f t="shared" si="47"/>
        <v/>
      </c>
    </row>
    <row r="111" spans="1:54" ht="14.25" customHeight="1" x14ac:dyDescent="0.3">
      <c r="A111" t="str">
        <f>IF(SAISIE!$F116="","",SAISIE!$B116)</f>
        <v/>
      </c>
      <c r="B111" t="str">
        <f>IF(SAISIE!$F116="","",SAISIE!$C116)</f>
        <v/>
      </c>
      <c r="C111" t="str">
        <f>IF(SAISIE!$F116="","",SAISIE!$D116)</f>
        <v/>
      </c>
      <c r="D111" t="str">
        <f>IF(SAISIE!$E116="","",SAISIE!$E116)</f>
        <v/>
      </c>
      <c r="E111" t="str">
        <f>IF(SAISIE!$F116="","",SAISIE!$F116)</f>
        <v/>
      </c>
      <c r="F111" t="str">
        <f>IF(SAISIE!$G116="","",SAISIE!$G116)</f>
        <v/>
      </c>
      <c r="G111" t="str">
        <f>IF(SAISIE!$H116="","",SAISIE!$H116)</f>
        <v/>
      </c>
      <c r="H111" t="str">
        <f>IF(SAISIE!$I116="","",SAISIE!$I116)</f>
        <v/>
      </c>
      <c r="I111" t="str">
        <f>IF(SAISIE!$J116="","",SAISIE!$J116)</f>
        <v/>
      </c>
      <c r="J111" t="str">
        <f>IF(SAISIE!$K116="","",SAISIE!$K116)</f>
        <v/>
      </c>
      <c r="K111" t="str">
        <f>IF(SAISIE!$L116="","",SAISIE!$L116)</f>
        <v/>
      </c>
      <c r="L111" t="str">
        <f>IF(SAISIE!$M116="","",SAISIE!$M116)</f>
        <v/>
      </c>
      <c r="M111" t="str">
        <f>IF(SAISIE!$N116="","",SAISIE!$N116)</f>
        <v/>
      </c>
      <c r="N111" t="str">
        <f>IF(SAISIE!$O116="","",SAISIE!$O116)</f>
        <v/>
      </c>
      <c r="O111" t="str">
        <f>IF(SAISIE!$P116="","",SAISIE!$P116)</f>
        <v/>
      </c>
      <c r="P111" t="str">
        <f>IF(SAISIE!$Q116="","",SAISIE!$Q116)</f>
        <v/>
      </c>
      <c r="Q111" t="str">
        <f>IF($I111="","",IF($I111&gt;PARAMETRES!$G$29,5,IF($I111&gt;PARAMETRES!$F$29,4,IF($I111&gt;PARAMETRES!$E$29,3,IF($I111&gt;PARAMETRES!$D$29,2,1)))))</f>
        <v/>
      </c>
      <c r="R111" t="str">
        <f>IF($J111="","",IF($J111&gt;PARAMETRES!$G$30,5,IF($J111&gt;PARAMETRES!$F$30,4,IF($J111&gt;PARAMETRES!$E$30,3,IF($J111&gt;PARAMETRES!$D$30,2,1)))))</f>
        <v/>
      </c>
      <c r="S111" t="str">
        <f>IF($K111="","",IF($Z111=2,IF($K111&gt;PARAMETRES!$G$31,5,IF($K111&gt;PARAMETRES!$F$31,4,IF($K111&gt;PARAMETRES!$E$31,3,IF($K111&gt;PARAMETRES!$D$31,2,1)))),IF($K111&gt;PARAMETRES!$G$32,5,IF($K111&gt;PARAMETRES!$F$32,4,IF($K111&gt;PARAMETRES!$E$32,3,IF($K111&gt;PARAMETRES!$D$32,2,1))))))</f>
        <v/>
      </c>
      <c r="T111" t="str">
        <f>IF($L111="","",IF($L111&gt;PARAMETRES!$G$33,5,IF($L111&gt;PARAMETRES!$F$33,4,IF($L111&gt;PARAMETRES!$E$33,3,IF($L111&gt;PARAMETRES!$D$33,2,1)))))</f>
        <v/>
      </c>
      <c r="U111" t="str">
        <f>IF($M111="","",IF($M111&gt;PARAMETRES!$G$34,5,IF($M111&gt;PARAMETRES!$F$34,4,IF($M111&gt;PARAMETRES!$E$34,3,IF($M111&gt;PARAMETRES!$D$34,2,1)))))</f>
        <v/>
      </c>
      <c r="V111" t="str">
        <f>IF($N111="","",IF($N111&gt;PARAMETRES!$G$35,5,IF($N111&gt;PARAMETRES!$F$35,4,IF($N111&gt;PARAMETRES!$E$35,3,IF($N111&gt;PARAMETRES!$D$35,2,1)))))</f>
        <v/>
      </c>
      <c r="W111" t="str">
        <f>IF($O111="","",IF($O111&gt;PARAMETRES!$G$36,5,IF($O111&gt;PARAMETRES!$F$36,4,IF($O111&gt;PARAMETRES!$E$36,3,IF($O111&gt;PARAMETRES!$D$36,2,1)))))</f>
        <v/>
      </c>
      <c r="X111" t="str">
        <f>IF($P111="","",IF($P111&gt;PARAMETRES!$G$37,5,IF($P111&gt;PARAMETRES!$F$37,4,IF($P111&gt;PARAMETRES!$E$37,3,IF($P111&gt;PARAMETRES!$D$37,2,1)))))</f>
        <v/>
      </c>
      <c r="Y111" t="str">
        <f t="shared" si="24"/>
        <v/>
      </c>
      <c r="Z111" t="str">
        <f>IFERROR(VLOOKUP($B111,TABLE_CYCLE,2,0),"")</f>
        <v/>
      </c>
      <c r="AA111" t="str">
        <f t="shared" si="25"/>
        <v/>
      </c>
      <c r="AB111" t="str">
        <f>IF($D111="","",IF(COUNTIF($D$2:$D111,$D111)=1,$D111,""))</f>
        <v/>
      </c>
      <c r="AC111">
        <f t="shared" si="26"/>
        <v>0</v>
      </c>
      <c r="AD111" t="str">
        <f t="shared" si="27"/>
        <v>|0</v>
      </c>
      <c r="AE111" t="str">
        <f t="shared" si="28"/>
        <v/>
      </c>
      <c r="AF111" t="str">
        <f t="shared" si="29"/>
        <v/>
      </c>
      <c r="AG111" t="str">
        <f t="shared" si="30"/>
        <v/>
      </c>
      <c r="AH111" t="str">
        <f t="shared" si="31"/>
        <v/>
      </c>
      <c r="AI111" t="str">
        <f t="shared" si="32"/>
        <v/>
      </c>
      <c r="AJ111" t="str">
        <f t="shared" si="33"/>
        <v/>
      </c>
      <c r="AK111" t="str">
        <f t="shared" si="34"/>
        <v/>
      </c>
      <c r="AL111" t="str">
        <f t="shared" si="35"/>
        <v/>
      </c>
      <c r="AM111" t="str">
        <f t="shared" si="36"/>
        <v/>
      </c>
      <c r="AN111" t="str">
        <f t="shared" si="37"/>
        <v/>
      </c>
      <c r="AO111" t="str">
        <f t="shared" si="38"/>
        <v/>
      </c>
      <c r="AP111">
        <f t="shared" si="39"/>
        <v>1</v>
      </c>
      <c r="AQ111" t="str">
        <f>IF(SAISIE!$F116="","",SAISIE!$Y116)</f>
        <v/>
      </c>
      <c r="AR111" t="str">
        <f>IF(OR(SAISIE!$U$4="",SAISIE!$W$4=""),"",IF(AND($A111=SAISIE!$U$4,$B111=SAISIE!$W$4,$C111="S1"),COUNTIFS($A$2:$A111,SAISIE!$U$4,$B$2:$B111,SAISIE!$W$4,$C$2:$C111,"S1"),""))</f>
        <v/>
      </c>
      <c r="AS111" t="str">
        <f t="shared" si="40"/>
        <v/>
      </c>
      <c r="AT111" t="str">
        <f t="shared" si="41"/>
        <v/>
      </c>
      <c r="AU111" t="str">
        <f t="shared" si="42"/>
        <v/>
      </c>
      <c r="AV111">
        <f>N(AV110)+IF(AND($AB111&lt;&gt;"",OR('PROFIL ELEVE'!$K$4="(Tous)",$AF111='PROFIL ELEVE'!$K$4)),1,0)</f>
        <v>0</v>
      </c>
      <c r="AW111">
        <f>N(AW110)+IF(AND($AB111&lt;&gt;"",OR('SUIVI LONGITUDINAL'!$Q$4="(Tous)",$AF111='SUIVI LONGITUDINAL'!$Q$4)),1,0)</f>
        <v>0</v>
      </c>
      <c r="AX111">
        <f t="shared" si="43"/>
        <v>0</v>
      </c>
      <c r="AY111">
        <f t="shared" si="44"/>
        <v>0</v>
      </c>
      <c r="AZ111">
        <f t="shared" si="45"/>
        <v>0</v>
      </c>
      <c r="BA111" t="str">
        <f t="shared" si="46"/>
        <v/>
      </c>
      <c r="BB111" t="str">
        <f t="shared" si="47"/>
        <v/>
      </c>
    </row>
    <row r="112" spans="1:54" ht="14.25" customHeight="1" x14ac:dyDescent="0.3">
      <c r="A112" t="str">
        <f>IF(SAISIE!$F117="","",SAISIE!$B117)</f>
        <v/>
      </c>
      <c r="B112" t="str">
        <f>IF(SAISIE!$F117="","",SAISIE!$C117)</f>
        <v/>
      </c>
      <c r="C112" t="str">
        <f>IF(SAISIE!$F117="","",SAISIE!$D117)</f>
        <v/>
      </c>
      <c r="D112" t="str">
        <f>IF(SAISIE!$E117="","",SAISIE!$E117)</f>
        <v/>
      </c>
      <c r="E112" t="str">
        <f>IF(SAISIE!$F117="","",SAISIE!$F117)</f>
        <v/>
      </c>
      <c r="F112" t="str">
        <f>IF(SAISIE!$G117="","",SAISIE!$G117)</f>
        <v/>
      </c>
      <c r="G112" t="str">
        <f>IF(SAISIE!$H117="","",SAISIE!$H117)</f>
        <v/>
      </c>
      <c r="H112" t="str">
        <f>IF(SAISIE!$I117="","",SAISIE!$I117)</f>
        <v/>
      </c>
      <c r="I112" t="str">
        <f>IF(SAISIE!$J117="","",SAISIE!$J117)</f>
        <v/>
      </c>
      <c r="J112" t="str">
        <f>IF(SAISIE!$K117="","",SAISIE!$K117)</f>
        <v/>
      </c>
      <c r="K112" t="str">
        <f>IF(SAISIE!$L117="","",SAISIE!$L117)</f>
        <v/>
      </c>
      <c r="L112" t="str">
        <f>IF(SAISIE!$M117="","",SAISIE!$M117)</f>
        <v/>
      </c>
      <c r="M112" t="str">
        <f>IF(SAISIE!$N117="","",SAISIE!$N117)</f>
        <v/>
      </c>
      <c r="N112" t="str">
        <f>IF(SAISIE!$O117="","",SAISIE!$O117)</f>
        <v/>
      </c>
      <c r="O112" t="str">
        <f>IF(SAISIE!$P117="","",SAISIE!$P117)</f>
        <v/>
      </c>
      <c r="P112" t="str">
        <f>IF(SAISIE!$Q117="","",SAISIE!$Q117)</f>
        <v/>
      </c>
      <c r="Q112" t="str">
        <f>IF($I112="","",IF($I112&gt;PARAMETRES!$G$29,5,IF($I112&gt;PARAMETRES!$F$29,4,IF($I112&gt;PARAMETRES!$E$29,3,IF($I112&gt;PARAMETRES!$D$29,2,1)))))</f>
        <v/>
      </c>
      <c r="R112" t="str">
        <f>IF($J112="","",IF($J112&gt;PARAMETRES!$G$30,5,IF($J112&gt;PARAMETRES!$F$30,4,IF($J112&gt;PARAMETRES!$E$30,3,IF($J112&gt;PARAMETRES!$D$30,2,1)))))</f>
        <v/>
      </c>
      <c r="S112" t="str">
        <f>IF($K112="","",IF($Z112=2,IF($K112&gt;PARAMETRES!$G$31,5,IF($K112&gt;PARAMETRES!$F$31,4,IF($K112&gt;PARAMETRES!$E$31,3,IF($K112&gt;PARAMETRES!$D$31,2,1)))),IF($K112&gt;PARAMETRES!$G$32,5,IF($K112&gt;PARAMETRES!$F$32,4,IF($K112&gt;PARAMETRES!$E$32,3,IF($K112&gt;PARAMETRES!$D$32,2,1))))))</f>
        <v/>
      </c>
      <c r="T112" t="str">
        <f>IF($L112="","",IF($L112&gt;PARAMETRES!$G$33,5,IF($L112&gt;PARAMETRES!$F$33,4,IF($L112&gt;PARAMETRES!$E$33,3,IF($L112&gt;PARAMETRES!$D$33,2,1)))))</f>
        <v/>
      </c>
      <c r="U112" t="str">
        <f>IF($M112="","",IF($M112&gt;PARAMETRES!$G$34,5,IF($M112&gt;PARAMETRES!$F$34,4,IF($M112&gt;PARAMETRES!$E$34,3,IF($M112&gt;PARAMETRES!$D$34,2,1)))))</f>
        <v/>
      </c>
      <c r="V112" t="str">
        <f>IF($N112="","",IF($N112&gt;PARAMETRES!$G$35,5,IF($N112&gt;PARAMETRES!$F$35,4,IF($N112&gt;PARAMETRES!$E$35,3,IF($N112&gt;PARAMETRES!$D$35,2,1)))))</f>
        <v/>
      </c>
      <c r="W112" t="str">
        <f>IF($O112="","",IF($O112&gt;PARAMETRES!$G$36,5,IF($O112&gt;PARAMETRES!$F$36,4,IF($O112&gt;PARAMETRES!$E$36,3,IF($O112&gt;PARAMETRES!$D$36,2,1)))))</f>
        <v/>
      </c>
      <c r="X112" t="str">
        <f>IF($P112="","",IF($P112&gt;PARAMETRES!$G$37,5,IF($P112&gt;PARAMETRES!$F$37,4,IF($P112&gt;PARAMETRES!$E$37,3,IF($P112&gt;PARAMETRES!$D$37,2,1)))))</f>
        <v/>
      </c>
      <c r="Y112" t="str">
        <f t="shared" si="24"/>
        <v/>
      </c>
      <c r="Z112" t="str">
        <f>IFERROR(VLOOKUP($B112,TABLE_CYCLE,2,0),"")</f>
        <v/>
      </c>
      <c r="AA112" t="str">
        <f t="shared" si="25"/>
        <v/>
      </c>
      <c r="AB112" t="str">
        <f>IF($D112="","",IF(COUNTIF($D$2:$D112,$D112)=1,$D112,""))</f>
        <v/>
      </c>
      <c r="AC112">
        <f t="shared" si="26"/>
        <v>0</v>
      </c>
      <c r="AD112" t="str">
        <f t="shared" si="27"/>
        <v>|0</v>
      </c>
      <c r="AE112" t="str">
        <f t="shared" si="28"/>
        <v/>
      </c>
      <c r="AF112" t="str">
        <f t="shared" si="29"/>
        <v/>
      </c>
      <c r="AG112" t="str">
        <f t="shared" si="30"/>
        <v/>
      </c>
      <c r="AH112" t="str">
        <f t="shared" si="31"/>
        <v/>
      </c>
      <c r="AI112" t="str">
        <f t="shared" si="32"/>
        <v/>
      </c>
      <c r="AJ112" t="str">
        <f t="shared" si="33"/>
        <v/>
      </c>
      <c r="AK112" t="str">
        <f t="shared" si="34"/>
        <v/>
      </c>
      <c r="AL112" t="str">
        <f t="shared" si="35"/>
        <v/>
      </c>
      <c r="AM112" t="str">
        <f t="shared" si="36"/>
        <v/>
      </c>
      <c r="AN112" t="str">
        <f t="shared" si="37"/>
        <v/>
      </c>
      <c r="AO112" t="str">
        <f t="shared" si="38"/>
        <v/>
      </c>
      <c r="AP112">
        <f t="shared" si="39"/>
        <v>1</v>
      </c>
      <c r="AQ112" t="str">
        <f>IF(SAISIE!$F117="","",SAISIE!$Y117)</f>
        <v/>
      </c>
      <c r="AR112" t="str">
        <f>IF(OR(SAISIE!$U$4="",SAISIE!$W$4=""),"",IF(AND($A112=SAISIE!$U$4,$B112=SAISIE!$W$4,$C112="S1"),COUNTIFS($A$2:$A112,SAISIE!$U$4,$B$2:$B112,SAISIE!$W$4,$C$2:$C112,"S1"),""))</f>
        <v/>
      </c>
      <c r="AS112" t="str">
        <f t="shared" si="40"/>
        <v/>
      </c>
      <c r="AT112" t="str">
        <f t="shared" si="41"/>
        <v/>
      </c>
      <c r="AU112" t="str">
        <f t="shared" si="42"/>
        <v/>
      </c>
      <c r="AV112">
        <f>N(AV111)+IF(AND($AB112&lt;&gt;"",OR('PROFIL ELEVE'!$K$4="(Tous)",$AF112='PROFIL ELEVE'!$K$4)),1,0)</f>
        <v>0</v>
      </c>
      <c r="AW112">
        <f>N(AW111)+IF(AND($AB112&lt;&gt;"",OR('SUIVI LONGITUDINAL'!$Q$4="(Tous)",$AF112='SUIVI LONGITUDINAL'!$Q$4)),1,0)</f>
        <v>0</v>
      </c>
      <c r="AX112">
        <f t="shared" si="43"/>
        <v>0</v>
      </c>
      <c r="AY112">
        <f t="shared" si="44"/>
        <v>0</v>
      </c>
      <c r="AZ112">
        <f t="shared" si="45"/>
        <v>0</v>
      </c>
      <c r="BA112" t="str">
        <f t="shared" si="46"/>
        <v/>
      </c>
      <c r="BB112" t="str">
        <f t="shared" si="47"/>
        <v/>
      </c>
    </row>
    <row r="113" spans="1:54" ht="14.25" customHeight="1" x14ac:dyDescent="0.3">
      <c r="A113" t="str">
        <f>IF(SAISIE!$F118="","",SAISIE!$B118)</f>
        <v/>
      </c>
      <c r="B113" t="str">
        <f>IF(SAISIE!$F118="","",SAISIE!$C118)</f>
        <v/>
      </c>
      <c r="C113" t="str">
        <f>IF(SAISIE!$F118="","",SAISIE!$D118)</f>
        <v/>
      </c>
      <c r="D113" t="str">
        <f>IF(SAISIE!$E118="","",SAISIE!$E118)</f>
        <v/>
      </c>
      <c r="E113" t="str">
        <f>IF(SAISIE!$F118="","",SAISIE!$F118)</f>
        <v/>
      </c>
      <c r="F113" t="str">
        <f>IF(SAISIE!$G118="","",SAISIE!$G118)</f>
        <v/>
      </c>
      <c r="G113" t="str">
        <f>IF(SAISIE!$H118="","",SAISIE!$H118)</f>
        <v/>
      </c>
      <c r="H113" t="str">
        <f>IF(SAISIE!$I118="","",SAISIE!$I118)</f>
        <v/>
      </c>
      <c r="I113" t="str">
        <f>IF(SAISIE!$J118="","",SAISIE!$J118)</f>
        <v/>
      </c>
      <c r="J113" t="str">
        <f>IF(SAISIE!$K118="","",SAISIE!$K118)</f>
        <v/>
      </c>
      <c r="K113" t="str">
        <f>IF(SAISIE!$L118="","",SAISIE!$L118)</f>
        <v/>
      </c>
      <c r="L113" t="str">
        <f>IF(SAISIE!$M118="","",SAISIE!$M118)</f>
        <v/>
      </c>
      <c r="M113" t="str">
        <f>IF(SAISIE!$N118="","",SAISIE!$N118)</f>
        <v/>
      </c>
      <c r="N113" t="str">
        <f>IF(SAISIE!$O118="","",SAISIE!$O118)</f>
        <v/>
      </c>
      <c r="O113" t="str">
        <f>IF(SAISIE!$P118="","",SAISIE!$P118)</f>
        <v/>
      </c>
      <c r="P113" t="str">
        <f>IF(SAISIE!$Q118="","",SAISIE!$Q118)</f>
        <v/>
      </c>
      <c r="Q113" t="str">
        <f>IF($I113="","",IF($I113&gt;PARAMETRES!$G$29,5,IF($I113&gt;PARAMETRES!$F$29,4,IF($I113&gt;PARAMETRES!$E$29,3,IF($I113&gt;PARAMETRES!$D$29,2,1)))))</f>
        <v/>
      </c>
      <c r="R113" t="str">
        <f>IF($J113="","",IF($J113&gt;PARAMETRES!$G$30,5,IF($J113&gt;PARAMETRES!$F$30,4,IF($J113&gt;PARAMETRES!$E$30,3,IF($J113&gt;PARAMETRES!$D$30,2,1)))))</f>
        <v/>
      </c>
      <c r="S113" t="str">
        <f>IF($K113="","",IF($Z113=2,IF($K113&gt;PARAMETRES!$G$31,5,IF($K113&gt;PARAMETRES!$F$31,4,IF($K113&gt;PARAMETRES!$E$31,3,IF($K113&gt;PARAMETRES!$D$31,2,1)))),IF($K113&gt;PARAMETRES!$G$32,5,IF($K113&gt;PARAMETRES!$F$32,4,IF($K113&gt;PARAMETRES!$E$32,3,IF($K113&gt;PARAMETRES!$D$32,2,1))))))</f>
        <v/>
      </c>
      <c r="T113" t="str">
        <f>IF($L113="","",IF($L113&gt;PARAMETRES!$G$33,5,IF($L113&gt;PARAMETRES!$F$33,4,IF($L113&gt;PARAMETRES!$E$33,3,IF($L113&gt;PARAMETRES!$D$33,2,1)))))</f>
        <v/>
      </c>
      <c r="U113" t="str">
        <f>IF($M113="","",IF($M113&gt;PARAMETRES!$G$34,5,IF($M113&gt;PARAMETRES!$F$34,4,IF($M113&gt;PARAMETRES!$E$34,3,IF($M113&gt;PARAMETRES!$D$34,2,1)))))</f>
        <v/>
      </c>
      <c r="V113" t="str">
        <f>IF($N113="","",IF($N113&gt;PARAMETRES!$G$35,5,IF($N113&gt;PARAMETRES!$F$35,4,IF($N113&gt;PARAMETRES!$E$35,3,IF($N113&gt;PARAMETRES!$D$35,2,1)))))</f>
        <v/>
      </c>
      <c r="W113" t="str">
        <f>IF($O113="","",IF($O113&gt;PARAMETRES!$G$36,5,IF($O113&gt;PARAMETRES!$F$36,4,IF($O113&gt;PARAMETRES!$E$36,3,IF($O113&gt;PARAMETRES!$D$36,2,1)))))</f>
        <v/>
      </c>
      <c r="X113" t="str">
        <f>IF($P113="","",IF($P113&gt;PARAMETRES!$G$37,5,IF($P113&gt;PARAMETRES!$F$37,4,IF($P113&gt;PARAMETRES!$E$37,3,IF($P113&gt;PARAMETRES!$D$37,2,1)))))</f>
        <v/>
      </c>
      <c r="Y113" t="str">
        <f t="shared" si="24"/>
        <v/>
      </c>
      <c r="Z113" t="str">
        <f>IFERROR(VLOOKUP($B113,TABLE_CYCLE,2,0),"")</f>
        <v/>
      </c>
      <c r="AA113" t="str">
        <f t="shared" si="25"/>
        <v/>
      </c>
      <c r="AB113" t="str">
        <f>IF($D113="","",IF(COUNTIF($D$2:$D113,$D113)=1,$D113,""))</f>
        <v/>
      </c>
      <c r="AC113">
        <f t="shared" si="26"/>
        <v>0</v>
      </c>
      <c r="AD113" t="str">
        <f t="shared" si="27"/>
        <v>|0</v>
      </c>
      <c r="AE113" t="str">
        <f t="shared" si="28"/>
        <v/>
      </c>
      <c r="AF113" t="str">
        <f t="shared" si="29"/>
        <v/>
      </c>
      <c r="AG113" t="str">
        <f t="shared" si="30"/>
        <v/>
      </c>
      <c r="AH113" t="str">
        <f t="shared" si="31"/>
        <v/>
      </c>
      <c r="AI113" t="str">
        <f t="shared" si="32"/>
        <v/>
      </c>
      <c r="AJ113" t="str">
        <f t="shared" si="33"/>
        <v/>
      </c>
      <c r="AK113" t="str">
        <f t="shared" si="34"/>
        <v/>
      </c>
      <c r="AL113" t="str">
        <f t="shared" si="35"/>
        <v/>
      </c>
      <c r="AM113" t="str">
        <f t="shared" si="36"/>
        <v/>
      </c>
      <c r="AN113" t="str">
        <f t="shared" si="37"/>
        <v/>
      </c>
      <c r="AO113" t="str">
        <f t="shared" si="38"/>
        <v/>
      </c>
      <c r="AP113">
        <f t="shared" si="39"/>
        <v>1</v>
      </c>
      <c r="AQ113" t="str">
        <f>IF(SAISIE!$F118="","",SAISIE!$Y118)</f>
        <v/>
      </c>
      <c r="AR113" t="str">
        <f>IF(OR(SAISIE!$U$4="",SAISIE!$W$4=""),"",IF(AND($A113=SAISIE!$U$4,$B113=SAISIE!$W$4,$C113="S1"),COUNTIFS($A$2:$A113,SAISIE!$U$4,$B$2:$B113,SAISIE!$W$4,$C$2:$C113,"S1"),""))</f>
        <v/>
      </c>
      <c r="AS113" t="str">
        <f t="shared" si="40"/>
        <v/>
      </c>
      <c r="AT113" t="str">
        <f t="shared" si="41"/>
        <v/>
      </c>
      <c r="AU113" t="str">
        <f t="shared" si="42"/>
        <v/>
      </c>
      <c r="AV113">
        <f>N(AV112)+IF(AND($AB113&lt;&gt;"",OR('PROFIL ELEVE'!$K$4="(Tous)",$AF113='PROFIL ELEVE'!$K$4)),1,0)</f>
        <v>0</v>
      </c>
      <c r="AW113">
        <f>N(AW112)+IF(AND($AB113&lt;&gt;"",OR('SUIVI LONGITUDINAL'!$Q$4="(Tous)",$AF113='SUIVI LONGITUDINAL'!$Q$4)),1,0)</f>
        <v>0</v>
      </c>
      <c r="AX113">
        <f t="shared" si="43"/>
        <v>0</v>
      </c>
      <c r="AY113">
        <f t="shared" si="44"/>
        <v>0</v>
      </c>
      <c r="AZ113">
        <f t="shared" si="45"/>
        <v>0</v>
      </c>
      <c r="BA113" t="str">
        <f t="shared" si="46"/>
        <v/>
      </c>
      <c r="BB113" t="str">
        <f t="shared" si="47"/>
        <v/>
      </c>
    </row>
    <row r="114" spans="1:54" ht="14.25" customHeight="1" x14ac:dyDescent="0.3">
      <c r="A114" t="str">
        <f>IF(SAISIE!$F119="","",SAISIE!$B119)</f>
        <v/>
      </c>
      <c r="B114" t="str">
        <f>IF(SAISIE!$F119="","",SAISIE!$C119)</f>
        <v/>
      </c>
      <c r="C114" t="str">
        <f>IF(SAISIE!$F119="","",SAISIE!$D119)</f>
        <v/>
      </c>
      <c r="D114" t="str">
        <f>IF(SAISIE!$E119="","",SAISIE!$E119)</f>
        <v/>
      </c>
      <c r="E114" t="str">
        <f>IF(SAISIE!$F119="","",SAISIE!$F119)</f>
        <v/>
      </c>
      <c r="F114" t="str">
        <f>IF(SAISIE!$G119="","",SAISIE!$G119)</f>
        <v/>
      </c>
      <c r="G114" t="str">
        <f>IF(SAISIE!$H119="","",SAISIE!$H119)</f>
        <v/>
      </c>
      <c r="H114" t="str">
        <f>IF(SAISIE!$I119="","",SAISIE!$I119)</f>
        <v/>
      </c>
      <c r="I114" t="str">
        <f>IF(SAISIE!$J119="","",SAISIE!$J119)</f>
        <v/>
      </c>
      <c r="J114" t="str">
        <f>IF(SAISIE!$K119="","",SAISIE!$K119)</f>
        <v/>
      </c>
      <c r="K114" t="str">
        <f>IF(SAISIE!$L119="","",SAISIE!$L119)</f>
        <v/>
      </c>
      <c r="L114" t="str">
        <f>IF(SAISIE!$M119="","",SAISIE!$M119)</f>
        <v/>
      </c>
      <c r="M114" t="str">
        <f>IF(SAISIE!$N119="","",SAISIE!$N119)</f>
        <v/>
      </c>
      <c r="N114" t="str">
        <f>IF(SAISIE!$O119="","",SAISIE!$O119)</f>
        <v/>
      </c>
      <c r="O114" t="str">
        <f>IF(SAISIE!$P119="","",SAISIE!$P119)</f>
        <v/>
      </c>
      <c r="P114" t="str">
        <f>IF(SAISIE!$Q119="","",SAISIE!$Q119)</f>
        <v/>
      </c>
      <c r="Q114" t="str">
        <f>IF($I114="","",IF($I114&gt;PARAMETRES!$G$29,5,IF($I114&gt;PARAMETRES!$F$29,4,IF($I114&gt;PARAMETRES!$E$29,3,IF($I114&gt;PARAMETRES!$D$29,2,1)))))</f>
        <v/>
      </c>
      <c r="R114" t="str">
        <f>IF($J114="","",IF($J114&gt;PARAMETRES!$G$30,5,IF($J114&gt;PARAMETRES!$F$30,4,IF($J114&gt;PARAMETRES!$E$30,3,IF($J114&gt;PARAMETRES!$D$30,2,1)))))</f>
        <v/>
      </c>
      <c r="S114" t="str">
        <f>IF($K114="","",IF($Z114=2,IF($K114&gt;PARAMETRES!$G$31,5,IF($K114&gt;PARAMETRES!$F$31,4,IF($K114&gt;PARAMETRES!$E$31,3,IF($K114&gt;PARAMETRES!$D$31,2,1)))),IF($K114&gt;PARAMETRES!$G$32,5,IF($K114&gt;PARAMETRES!$F$32,4,IF($K114&gt;PARAMETRES!$E$32,3,IF($K114&gt;PARAMETRES!$D$32,2,1))))))</f>
        <v/>
      </c>
      <c r="T114" t="str">
        <f>IF($L114="","",IF($L114&gt;PARAMETRES!$G$33,5,IF($L114&gt;PARAMETRES!$F$33,4,IF($L114&gt;PARAMETRES!$E$33,3,IF($L114&gt;PARAMETRES!$D$33,2,1)))))</f>
        <v/>
      </c>
      <c r="U114" t="str">
        <f>IF($M114="","",IF($M114&gt;PARAMETRES!$G$34,5,IF($M114&gt;PARAMETRES!$F$34,4,IF($M114&gt;PARAMETRES!$E$34,3,IF($M114&gt;PARAMETRES!$D$34,2,1)))))</f>
        <v/>
      </c>
      <c r="V114" t="str">
        <f>IF($N114="","",IF($N114&gt;PARAMETRES!$G$35,5,IF($N114&gt;PARAMETRES!$F$35,4,IF($N114&gt;PARAMETRES!$E$35,3,IF($N114&gt;PARAMETRES!$D$35,2,1)))))</f>
        <v/>
      </c>
      <c r="W114" t="str">
        <f>IF($O114="","",IF($O114&gt;PARAMETRES!$G$36,5,IF($O114&gt;PARAMETRES!$F$36,4,IF($O114&gt;PARAMETRES!$E$36,3,IF($O114&gt;PARAMETRES!$D$36,2,1)))))</f>
        <v/>
      </c>
      <c r="X114" t="str">
        <f>IF($P114="","",IF($P114&gt;PARAMETRES!$G$37,5,IF($P114&gt;PARAMETRES!$F$37,4,IF($P114&gt;PARAMETRES!$E$37,3,IF($P114&gt;PARAMETRES!$D$37,2,1)))))</f>
        <v/>
      </c>
      <c r="Y114" t="str">
        <f t="shared" si="24"/>
        <v/>
      </c>
      <c r="Z114" t="str">
        <f>IFERROR(VLOOKUP($B114,TABLE_CYCLE,2,0),"")</f>
        <v/>
      </c>
      <c r="AA114" t="str">
        <f t="shared" si="25"/>
        <v/>
      </c>
      <c r="AB114" t="str">
        <f>IF($D114="","",IF(COUNTIF($D$2:$D114,$D114)=1,$D114,""))</f>
        <v/>
      </c>
      <c r="AC114">
        <f t="shared" si="26"/>
        <v>0</v>
      </c>
      <c r="AD114" t="str">
        <f t="shared" si="27"/>
        <v>|0</v>
      </c>
      <c r="AE114" t="str">
        <f t="shared" si="28"/>
        <v/>
      </c>
      <c r="AF114" t="str">
        <f t="shared" si="29"/>
        <v/>
      </c>
      <c r="AG114" t="str">
        <f t="shared" si="30"/>
        <v/>
      </c>
      <c r="AH114" t="str">
        <f t="shared" si="31"/>
        <v/>
      </c>
      <c r="AI114" t="str">
        <f t="shared" si="32"/>
        <v/>
      </c>
      <c r="AJ114" t="str">
        <f t="shared" si="33"/>
        <v/>
      </c>
      <c r="AK114" t="str">
        <f t="shared" si="34"/>
        <v/>
      </c>
      <c r="AL114" t="str">
        <f t="shared" si="35"/>
        <v/>
      </c>
      <c r="AM114" t="str">
        <f t="shared" si="36"/>
        <v/>
      </c>
      <c r="AN114" t="str">
        <f t="shared" si="37"/>
        <v/>
      </c>
      <c r="AO114" t="str">
        <f t="shared" si="38"/>
        <v/>
      </c>
      <c r="AP114">
        <f t="shared" si="39"/>
        <v>1</v>
      </c>
      <c r="AQ114" t="str">
        <f>IF(SAISIE!$F119="","",SAISIE!$Y119)</f>
        <v/>
      </c>
      <c r="AR114" t="str">
        <f>IF(OR(SAISIE!$U$4="",SAISIE!$W$4=""),"",IF(AND($A114=SAISIE!$U$4,$B114=SAISIE!$W$4,$C114="S1"),COUNTIFS($A$2:$A114,SAISIE!$U$4,$B$2:$B114,SAISIE!$W$4,$C$2:$C114,"S1"),""))</f>
        <v/>
      </c>
      <c r="AS114" t="str">
        <f t="shared" si="40"/>
        <v/>
      </c>
      <c r="AT114" t="str">
        <f t="shared" si="41"/>
        <v/>
      </c>
      <c r="AU114" t="str">
        <f t="shared" si="42"/>
        <v/>
      </c>
      <c r="AV114">
        <f>N(AV113)+IF(AND($AB114&lt;&gt;"",OR('PROFIL ELEVE'!$K$4="(Tous)",$AF114='PROFIL ELEVE'!$K$4)),1,0)</f>
        <v>0</v>
      </c>
      <c r="AW114">
        <f>N(AW113)+IF(AND($AB114&lt;&gt;"",OR('SUIVI LONGITUDINAL'!$Q$4="(Tous)",$AF114='SUIVI LONGITUDINAL'!$Q$4)),1,0)</f>
        <v>0</v>
      </c>
      <c r="AX114">
        <f t="shared" si="43"/>
        <v>0</v>
      </c>
      <c r="AY114">
        <f t="shared" si="44"/>
        <v>0</v>
      </c>
      <c r="AZ114">
        <f t="shared" si="45"/>
        <v>0</v>
      </c>
      <c r="BA114" t="str">
        <f t="shared" si="46"/>
        <v/>
      </c>
      <c r="BB114" t="str">
        <f t="shared" si="47"/>
        <v/>
      </c>
    </row>
    <row r="115" spans="1:54" ht="14.25" customHeight="1" x14ac:dyDescent="0.3">
      <c r="A115" t="str">
        <f>IF(SAISIE!$F120="","",SAISIE!$B120)</f>
        <v/>
      </c>
      <c r="B115" t="str">
        <f>IF(SAISIE!$F120="","",SAISIE!$C120)</f>
        <v/>
      </c>
      <c r="C115" t="str">
        <f>IF(SAISIE!$F120="","",SAISIE!$D120)</f>
        <v/>
      </c>
      <c r="D115" t="str">
        <f>IF(SAISIE!$E120="","",SAISIE!$E120)</f>
        <v/>
      </c>
      <c r="E115" t="str">
        <f>IF(SAISIE!$F120="","",SAISIE!$F120)</f>
        <v/>
      </c>
      <c r="F115" t="str">
        <f>IF(SAISIE!$G120="","",SAISIE!$G120)</f>
        <v/>
      </c>
      <c r="G115" t="str">
        <f>IF(SAISIE!$H120="","",SAISIE!$H120)</f>
        <v/>
      </c>
      <c r="H115" t="str">
        <f>IF(SAISIE!$I120="","",SAISIE!$I120)</f>
        <v/>
      </c>
      <c r="I115" t="str">
        <f>IF(SAISIE!$J120="","",SAISIE!$J120)</f>
        <v/>
      </c>
      <c r="J115" t="str">
        <f>IF(SAISIE!$K120="","",SAISIE!$K120)</f>
        <v/>
      </c>
      <c r="K115" t="str">
        <f>IF(SAISIE!$L120="","",SAISIE!$L120)</f>
        <v/>
      </c>
      <c r="L115" t="str">
        <f>IF(SAISIE!$M120="","",SAISIE!$M120)</f>
        <v/>
      </c>
      <c r="M115" t="str">
        <f>IF(SAISIE!$N120="","",SAISIE!$N120)</f>
        <v/>
      </c>
      <c r="N115" t="str">
        <f>IF(SAISIE!$O120="","",SAISIE!$O120)</f>
        <v/>
      </c>
      <c r="O115" t="str">
        <f>IF(SAISIE!$P120="","",SAISIE!$P120)</f>
        <v/>
      </c>
      <c r="P115" t="str">
        <f>IF(SAISIE!$Q120="","",SAISIE!$Q120)</f>
        <v/>
      </c>
      <c r="Q115" t="str">
        <f>IF($I115="","",IF($I115&gt;PARAMETRES!$G$29,5,IF($I115&gt;PARAMETRES!$F$29,4,IF($I115&gt;PARAMETRES!$E$29,3,IF($I115&gt;PARAMETRES!$D$29,2,1)))))</f>
        <v/>
      </c>
      <c r="R115" t="str">
        <f>IF($J115="","",IF($J115&gt;PARAMETRES!$G$30,5,IF($J115&gt;PARAMETRES!$F$30,4,IF($J115&gt;PARAMETRES!$E$30,3,IF($J115&gt;PARAMETRES!$D$30,2,1)))))</f>
        <v/>
      </c>
      <c r="S115" t="str">
        <f>IF($K115="","",IF($Z115=2,IF($K115&gt;PARAMETRES!$G$31,5,IF($K115&gt;PARAMETRES!$F$31,4,IF($K115&gt;PARAMETRES!$E$31,3,IF($K115&gt;PARAMETRES!$D$31,2,1)))),IF($K115&gt;PARAMETRES!$G$32,5,IF($K115&gt;PARAMETRES!$F$32,4,IF($K115&gt;PARAMETRES!$E$32,3,IF($K115&gt;PARAMETRES!$D$32,2,1))))))</f>
        <v/>
      </c>
      <c r="T115" t="str">
        <f>IF($L115="","",IF($L115&gt;PARAMETRES!$G$33,5,IF($L115&gt;PARAMETRES!$F$33,4,IF($L115&gt;PARAMETRES!$E$33,3,IF($L115&gt;PARAMETRES!$D$33,2,1)))))</f>
        <v/>
      </c>
      <c r="U115" t="str">
        <f>IF($M115="","",IF($M115&gt;PARAMETRES!$G$34,5,IF($M115&gt;PARAMETRES!$F$34,4,IF($M115&gt;PARAMETRES!$E$34,3,IF($M115&gt;PARAMETRES!$D$34,2,1)))))</f>
        <v/>
      </c>
      <c r="V115" t="str">
        <f>IF($N115="","",IF($N115&gt;PARAMETRES!$G$35,5,IF($N115&gt;PARAMETRES!$F$35,4,IF($N115&gt;PARAMETRES!$E$35,3,IF($N115&gt;PARAMETRES!$D$35,2,1)))))</f>
        <v/>
      </c>
      <c r="W115" t="str">
        <f>IF($O115="","",IF($O115&gt;PARAMETRES!$G$36,5,IF($O115&gt;PARAMETRES!$F$36,4,IF($O115&gt;PARAMETRES!$E$36,3,IF($O115&gt;PARAMETRES!$D$36,2,1)))))</f>
        <v/>
      </c>
      <c r="X115" t="str">
        <f>IF($P115="","",IF($P115&gt;PARAMETRES!$G$37,5,IF($P115&gt;PARAMETRES!$F$37,4,IF($P115&gt;PARAMETRES!$E$37,3,IF($P115&gt;PARAMETRES!$D$37,2,1)))))</f>
        <v/>
      </c>
      <c r="Y115" t="str">
        <f t="shared" si="24"/>
        <v/>
      </c>
      <c r="Z115" t="str">
        <f>IFERROR(VLOOKUP($B115,TABLE_CYCLE,2,0),"")</f>
        <v/>
      </c>
      <c r="AA115" t="str">
        <f t="shared" si="25"/>
        <v/>
      </c>
      <c r="AB115" t="str">
        <f>IF($D115="","",IF(COUNTIF($D$2:$D115,$D115)=1,$D115,""))</f>
        <v/>
      </c>
      <c r="AC115">
        <f t="shared" si="26"/>
        <v>0</v>
      </c>
      <c r="AD115" t="str">
        <f t="shared" si="27"/>
        <v>|0</v>
      </c>
      <c r="AE115" t="str">
        <f t="shared" si="28"/>
        <v/>
      </c>
      <c r="AF115" t="str">
        <f t="shared" si="29"/>
        <v/>
      </c>
      <c r="AG115" t="str">
        <f t="shared" si="30"/>
        <v/>
      </c>
      <c r="AH115" t="str">
        <f t="shared" si="31"/>
        <v/>
      </c>
      <c r="AI115" t="str">
        <f t="shared" si="32"/>
        <v/>
      </c>
      <c r="AJ115" t="str">
        <f t="shared" si="33"/>
        <v/>
      </c>
      <c r="AK115" t="str">
        <f t="shared" si="34"/>
        <v/>
      </c>
      <c r="AL115" t="str">
        <f t="shared" si="35"/>
        <v/>
      </c>
      <c r="AM115" t="str">
        <f t="shared" si="36"/>
        <v/>
      </c>
      <c r="AN115" t="str">
        <f t="shared" si="37"/>
        <v/>
      </c>
      <c r="AO115" t="str">
        <f t="shared" si="38"/>
        <v/>
      </c>
      <c r="AP115">
        <f t="shared" si="39"/>
        <v>1</v>
      </c>
      <c r="AQ115" t="str">
        <f>IF(SAISIE!$F120="","",SAISIE!$Y120)</f>
        <v/>
      </c>
      <c r="AR115" t="str">
        <f>IF(OR(SAISIE!$U$4="",SAISIE!$W$4=""),"",IF(AND($A115=SAISIE!$U$4,$B115=SAISIE!$W$4,$C115="S1"),COUNTIFS($A$2:$A115,SAISIE!$U$4,$B$2:$B115,SAISIE!$W$4,$C$2:$C115,"S1"),""))</f>
        <v/>
      </c>
      <c r="AS115" t="str">
        <f t="shared" si="40"/>
        <v/>
      </c>
      <c r="AT115" t="str">
        <f t="shared" si="41"/>
        <v/>
      </c>
      <c r="AU115" t="str">
        <f t="shared" si="42"/>
        <v/>
      </c>
      <c r="AV115">
        <f>N(AV114)+IF(AND($AB115&lt;&gt;"",OR('PROFIL ELEVE'!$K$4="(Tous)",$AF115='PROFIL ELEVE'!$K$4)),1,0)</f>
        <v>0</v>
      </c>
      <c r="AW115">
        <f>N(AW114)+IF(AND($AB115&lt;&gt;"",OR('SUIVI LONGITUDINAL'!$Q$4="(Tous)",$AF115='SUIVI LONGITUDINAL'!$Q$4)),1,0)</f>
        <v>0</v>
      </c>
      <c r="AX115">
        <f t="shared" si="43"/>
        <v>0</v>
      </c>
      <c r="AY115">
        <f t="shared" si="44"/>
        <v>0</v>
      </c>
      <c r="AZ115">
        <f t="shared" si="45"/>
        <v>0</v>
      </c>
      <c r="BA115" t="str">
        <f t="shared" si="46"/>
        <v/>
      </c>
      <c r="BB115" t="str">
        <f t="shared" si="47"/>
        <v/>
      </c>
    </row>
    <row r="116" spans="1:54" ht="14.25" customHeight="1" x14ac:dyDescent="0.3">
      <c r="A116" t="str">
        <f>IF(SAISIE!$F121="","",SAISIE!$B121)</f>
        <v/>
      </c>
      <c r="B116" t="str">
        <f>IF(SAISIE!$F121="","",SAISIE!$C121)</f>
        <v/>
      </c>
      <c r="C116" t="str">
        <f>IF(SAISIE!$F121="","",SAISIE!$D121)</f>
        <v/>
      </c>
      <c r="D116" t="str">
        <f>IF(SAISIE!$E121="","",SAISIE!$E121)</f>
        <v/>
      </c>
      <c r="E116" t="str">
        <f>IF(SAISIE!$F121="","",SAISIE!$F121)</f>
        <v/>
      </c>
      <c r="F116" t="str">
        <f>IF(SAISIE!$G121="","",SAISIE!$G121)</f>
        <v/>
      </c>
      <c r="G116" t="str">
        <f>IF(SAISIE!$H121="","",SAISIE!$H121)</f>
        <v/>
      </c>
      <c r="H116" t="str">
        <f>IF(SAISIE!$I121="","",SAISIE!$I121)</f>
        <v/>
      </c>
      <c r="I116" t="str">
        <f>IF(SAISIE!$J121="","",SAISIE!$J121)</f>
        <v/>
      </c>
      <c r="J116" t="str">
        <f>IF(SAISIE!$K121="","",SAISIE!$K121)</f>
        <v/>
      </c>
      <c r="K116" t="str">
        <f>IF(SAISIE!$L121="","",SAISIE!$L121)</f>
        <v/>
      </c>
      <c r="L116" t="str">
        <f>IF(SAISIE!$M121="","",SAISIE!$M121)</f>
        <v/>
      </c>
      <c r="M116" t="str">
        <f>IF(SAISIE!$N121="","",SAISIE!$N121)</f>
        <v/>
      </c>
      <c r="N116" t="str">
        <f>IF(SAISIE!$O121="","",SAISIE!$O121)</f>
        <v/>
      </c>
      <c r="O116" t="str">
        <f>IF(SAISIE!$P121="","",SAISIE!$P121)</f>
        <v/>
      </c>
      <c r="P116" t="str">
        <f>IF(SAISIE!$Q121="","",SAISIE!$Q121)</f>
        <v/>
      </c>
      <c r="Q116" t="str">
        <f>IF($I116="","",IF($I116&gt;PARAMETRES!$G$29,5,IF($I116&gt;PARAMETRES!$F$29,4,IF($I116&gt;PARAMETRES!$E$29,3,IF($I116&gt;PARAMETRES!$D$29,2,1)))))</f>
        <v/>
      </c>
      <c r="R116" t="str">
        <f>IF($J116="","",IF($J116&gt;PARAMETRES!$G$30,5,IF($J116&gt;PARAMETRES!$F$30,4,IF($J116&gt;PARAMETRES!$E$30,3,IF($J116&gt;PARAMETRES!$D$30,2,1)))))</f>
        <v/>
      </c>
      <c r="S116" t="str">
        <f>IF($K116="","",IF($Z116=2,IF($K116&gt;PARAMETRES!$G$31,5,IF($K116&gt;PARAMETRES!$F$31,4,IF($K116&gt;PARAMETRES!$E$31,3,IF($K116&gt;PARAMETRES!$D$31,2,1)))),IF($K116&gt;PARAMETRES!$G$32,5,IF($K116&gt;PARAMETRES!$F$32,4,IF($K116&gt;PARAMETRES!$E$32,3,IF($K116&gt;PARAMETRES!$D$32,2,1))))))</f>
        <v/>
      </c>
      <c r="T116" t="str">
        <f>IF($L116="","",IF($L116&gt;PARAMETRES!$G$33,5,IF($L116&gt;PARAMETRES!$F$33,4,IF($L116&gt;PARAMETRES!$E$33,3,IF($L116&gt;PARAMETRES!$D$33,2,1)))))</f>
        <v/>
      </c>
      <c r="U116" t="str">
        <f>IF($M116="","",IF($M116&gt;PARAMETRES!$G$34,5,IF($M116&gt;PARAMETRES!$F$34,4,IF($M116&gt;PARAMETRES!$E$34,3,IF($M116&gt;PARAMETRES!$D$34,2,1)))))</f>
        <v/>
      </c>
      <c r="V116" t="str">
        <f>IF($N116="","",IF($N116&gt;PARAMETRES!$G$35,5,IF($N116&gt;PARAMETRES!$F$35,4,IF($N116&gt;PARAMETRES!$E$35,3,IF($N116&gt;PARAMETRES!$D$35,2,1)))))</f>
        <v/>
      </c>
      <c r="W116" t="str">
        <f>IF($O116="","",IF($O116&gt;PARAMETRES!$G$36,5,IF($O116&gt;PARAMETRES!$F$36,4,IF($O116&gt;PARAMETRES!$E$36,3,IF($O116&gt;PARAMETRES!$D$36,2,1)))))</f>
        <v/>
      </c>
      <c r="X116" t="str">
        <f>IF($P116="","",IF($P116&gt;PARAMETRES!$G$37,5,IF($P116&gt;PARAMETRES!$F$37,4,IF($P116&gt;PARAMETRES!$E$37,3,IF($P116&gt;PARAMETRES!$D$37,2,1)))))</f>
        <v/>
      </c>
      <c r="Y116" t="str">
        <f t="shared" si="24"/>
        <v/>
      </c>
      <c r="Z116" t="str">
        <f>IFERROR(VLOOKUP($B116,TABLE_CYCLE,2,0),"")</f>
        <v/>
      </c>
      <c r="AA116" t="str">
        <f t="shared" si="25"/>
        <v/>
      </c>
      <c r="AB116" t="str">
        <f>IF($D116="","",IF(COUNTIF($D$2:$D116,$D116)=1,$D116,""))</f>
        <v/>
      </c>
      <c r="AC116">
        <f t="shared" si="26"/>
        <v>0</v>
      </c>
      <c r="AD116" t="str">
        <f t="shared" si="27"/>
        <v>|0</v>
      </c>
      <c r="AE116" t="str">
        <f t="shared" si="28"/>
        <v/>
      </c>
      <c r="AF116" t="str">
        <f t="shared" si="29"/>
        <v/>
      </c>
      <c r="AG116" t="str">
        <f t="shared" si="30"/>
        <v/>
      </c>
      <c r="AH116" t="str">
        <f t="shared" si="31"/>
        <v/>
      </c>
      <c r="AI116" t="str">
        <f t="shared" si="32"/>
        <v/>
      </c>
      <c r="AJ116" t="str">
        <f t="shared" si="33"/>
        <v/>
      </c>
      <c r="AK116" t="str">
        <f t="shared" si="34"/>
        <v/>
      </c>
      <c r="AL116" t="str">
        <f t="shared" si="35"/>
        <v/>
      </c>
      <c r="AM116" t="str">
        <f t="shared" si="36"/>
        <v/>
      </c>
      <c r="AN116" t="str">
        <f t="shared" si="37"/>
        <v/>
      </c>
      <c r="AO116" t="str">
        <f t="shared" si="38"/>
        <v/>
      </c>
      <c r="AP116">
        <f t="shared" si="39"/>
        <v>1</v>
      </c>
      <c r="AQ116" t="str">
        <f>IF(SAISIE!$F121="","",SAISIE!$Y121)</f>
        <v/>
      </c>
      <c r="AR116" t="str">
        <f>IF(OR(SAISIE!$U$4="",SAISIE!$W$4=""),"",IF(AND($A116=SAISIE!$U$4,$B116=SAISIE!$W$4,$C116="S1"),COUNTIFS($A$2:$A116,SAISIE!$U$4,$B$2:$B116,SAISIE!$W$4,$C$2:$C116,"S1"),""))</f>
        <v/>
      </c>
      <c r="AS116" t="str">
        <f t="shared" si="40"/>
        <v/>
      </c>
      <c r="AT116" t="str">
        <f t="shared" si="41"/>
        <v/>
      </c>
      <c r="AU116" t="str">
        <f t="shared" si="42"/>
        <v/>
      </c>
      <c r="AV116">
        <f>N(AV115)+IF(AND($AB116&lt;&gt;"",OR('PROFIL ELEVE'!$K$4="(Tous)",$AF116='PROFIL ELEVE'!$K$4)),1,0)</f>
        <v>0</v>
      </c>
      <c r="AW116">
        <f>N(AW115)+IF(AND($AB116&lt;&gt;"",OR('SUIVI LONGITUDINAL'!$Q$4="(Tous)",$AF116='SUIVI LONGITUDINAL'!$Q$4)),1,0)</f>
        <v>0</v>
      </c>
      <c r="AX116">
        <f t="shared" si="43"/>
        <v>0</v>
      </c>
      <c r="AY116">
        <f t="shared" si="44"/>
        <v>0</v>
      </c>
      <c r="AZ116">
        <f t="shared" si="45"/>
        <v>0</v>
      </c>
      <c r="BA116" t="str">
        <f t="shared" si="46"/>
        <v/>
      </c>
      <c r="BB116" t="str">
        <f t="shared" si="47"/>
        <v/>
      </c>
    </row>
    <row r="117" spans="1:54" ht="14.25" customHeight="1" x14ac:dyDescent="0.3">
      <c r="A117" t="str">
        <f>IF(SAISIE!$F122="","",SAISIE!$B122)</f>
        <v/>
      </c>
      <c r="B117" t="str">
        <f>IF(SAISIE!$F122="","",SAISIE!$C122)</f>
        <v/>
      </c>
      <c r="C117" t="str">
        <f>IF(SAISIE!$F122="","",SAISIE!$D122)</f>
        <v/>
      </c>
      <c r="D117" t="str">
        <f>IF(SAISIE!$E122="","",SAISIE!$E122)</f>
        <v/>
      </c>
      <c r="E117" t="str">
        <f>IF(SAISIE!$F122="","",SAISIE!$F122)</f>
        <v/>
      </c>
      <c r="F117" t="str">
        <f>IF(SAISIE!$G122="","",SAISIE!$G122)</f>
        <v/>
      </c>
      <c r="G117" t="str">
        <f>IF(SAISIE!$H122="","",SAISIE!$H122)</f>
        <v/>
      </c>
      <c r="H117" t="str">
        <f>IF(SAISIE!$I122="","",SAISIE!$I122)</f>
        <v/>
      </c>
      <c r="I117" t="str">
        <f>IF(SAISIE!$J122="","",SAISIE!$J122)</f>
        <v/>
      </c>
      <c r="J117" t="str">
        <f>IF(SAISIE!$K122="","",SAISIE!$K122)</f>
        <v/>
      </c>
      <c r="K117" t="str">
        <f>IF(SAISIE!$L122="","",SAISIE!$L122)</f>
        <v/>
      </c>
      <c r="L117" t="str">
        <f>IF(SAISIE!$M122="","",SAISIE!$M122)</f>
        <v/>
      </c>
      <c r="M117" t="str">
        <f>IF(SAISIE!$N122="","",SAISIE!$N122)</f>
        <v/>
      </c>
      <c r="N117" t="str">
        <f>IF(SAISIE!$O122="","",SAISIE!$O122)</f>
        <v/>
      </c>
      <c r="O117" t="str">
        <f>IF(SAISIE!$P122="","",SAISIE!$P122)</f>
        <v/>
      </c>
      <c r="P117" t="str">
        <f>IF(SAISIE!$Q122="","",SAISIE!$Q122)</f>
        <v/>
      </c>
      <c r="Q117" t="str">
        <f>IF($I117="","",IF($I117&gt;PARAMETRES!$G$29,5,IF($I117&gt;PARAMETRES!$F$29,4,IF($I117&gt;PARAMETRES!$E$29,3,IF($I117&gt;PARAMETRES!$D$29,2,1)))))</f>
        <v/>
      </c>
      <c r="R117" t="str">
        <f>IF($J117="","",IF($J117&gt;PARAMETRES!$G$30,5,IF($J117&gt;PARAMETRES!$F$30,4,IF($J117&gt;PARAMETRES!$E$30,3,IF($J117&gt;PARAMETRES!$D$30,2,1)))))</f>
        <v/>
      </c>
      <c r="S117" t="str">
        <f>IF($K117="","",IF($Z117=2,IF($K117&gt;PARAMETRES!$G$31,5,IF($K117&gt;PARAMETRES!$F$31,4,IF($K117&gt;PARAMETRES!$E$31,3,IF($K117&gt;PARAMETRES!$D$31,2,1)))),IF($K117&gt;PARAMETRES!$G$32,5,IF($K117&gt;PARAMETRES!$F$32,4,IF($K117&gt;PARAMETRES!$E$32,3,IF($K117&gt;PARAMETRES!$D$32,2,1))))))</f>
        <v/>
      </c>
      <c r="T117" t="str">
        <f>IF($L117="","",IF($L117&gt;PARAMETRES!$G$33,5,IF($L117&gt;PARAMETRES!$F$33,4,IF($L117&gt;PARAMETRES!$E$33,3,IF($L117&gt;PARAMETRES!$D$33,2,1)))))</f>
        <v/>
      </c>
      <c r="U117" t="str">
        <f>IF($M117="","",IF($M117&gt;PARAMETRES!$G$34,5,IF($M117&gt;PARAMETRES!$F$34,4,IF($M117&gt;PARAMETRES!$E$34,3,IF($M117&gt;PARAMETRES!$D$34,2,1)))))</f>
        <v/>
      </c>
      <c r="V117" t="str">
        <f>IF($N117="","",IF($N117&gt;PARAMETRES!$G$35,5,IF($N117&gt;PARAMETRES!$F$35,4,IF($N117&gt;PARAMETRES!$E$35,3,IF($N117&gt;PARAMETRES!$D$35,2,1)))))</f>
        <v/>
      </c>
      <c r="W117" t="str">
        <f>IF($O117="","",IF($O117&gt;PARAMETRES!$G$36,5,IF($O117&gt;PARAMETRES!$F$36,4,IF($O117&gt;PARAMETRES!$E$36,3,IF($O117&gt;PARAMETRES!$D$36,2,1)))))</f>
        <v/>
      </c>
      <c r="X117" t="str">
        <f>IF($P117="","",IF($P117&gt;PARAMETRES!$G$37,5,IF($P117&gt;PARAMETRES!$F$37,4,IF($P117&gt;PARAMETRES!$E$37,3,IF($P117&gt;PARAMETRES!$D$37,2,1)))))</f>
        <v/>
      </c>
      <c r="Y117" t="str">
        <f t="shared" si="24"/>
        <v/>
      </c>
      <c r="Z117" t="str">
        <f>IFERROR(VLOOKUP($B117,TABLE_CYCLE,2,0),"")</f>
        <v/>
      </c>
      <c r="AA117" t="str">
        <f t="shared" si="25"/>
        <v/>
      </c>
      <c r="AB117" t="str">
        <f>IF($D117="","",IF(COUNTIF($D$2:$D117,$D117)=1,$D117,""))</f>
        <v/>
      </c>
      <c r="AC117">
        <f t="shared" si="26"/>
        <v>0</v>
      </c>
      <c r="AD117" t="str">
        <f t="shared" si="27"/>
        <v>|0</v>
      </c>
      <c r="AE117" t="str">
        <f t="shared" si="28"/>
        <v/>
      </c>
      <c r="AF117" t="str">
        <f t="shared" si="29"/>
        <v/>
      </c>
      <c r="AG117" t="str">
        <f t="shared" si="30"/>
        <v/>
      </c>
      <c r="AH117" t="str">
        <f t="shared" si="31"/>
        <v/>
      </c>
      <c r="AI117" t="str">
        <f t="shared" si="32"/>
        <v/>
      </c>
      <c r="AJ117" t="str">
        <f t="shared" si="33"/>
        <v/>
      </c>
      <c r="AK117" t="str">
        <f t="shared" si="34"/>
        <v/>
      </c>
      <c r="AL117" t="str">
        <f t="shared" si="35"/>
        <v/>
      </c>
      <c r="AM117" t="str">
        <f t="shared" si="36"/>
        <v/>
      </c>
      <c r="AN117" t="str">
        <f t="shared" si="37"/>
        <v/>
      </c>
      <c r="AO117" t="str">
        <f t="shared" si="38"/>
        <v/>
      </c>
      <c r="AP117">
        <f t="shared" si="39"/>
        <v>1</v>
      </c>
      <c r="AQ117" t="str">
        <f>IF(SAISIE!$F122="","",SAISIE!$Y122)</f>
        <v/>
      </c>
      <c r="AR117" t="str">
        <f>IF(OR(SAISIE!$U$4="",SAISIE!$W$4=""),"",IF(AND($A117=SAISIE!$U$4,$B117=SAISIE!$W$4,$C117="S1"),COUNTIFS($A$2:$A117,SAISIE!$U$4,$B$2:$B117,SAISIE!$W$4,$C$2:$C117,"S1"),""))</f>
        <v/>
      </c>
      <c r="AS117" t="str">
        <f t="shared" si="40"/>
        <v/>
      </c>
      <c r="AT117" t="str">
        <f t="shared" si="41"/>
        <v/>
      </c>
      <c r="AU117" t="str">
        <f t="shared" si="42"/>
        <v/>
      </c>
      <c r="AV117">
        <f>N(AV116)+IF(AND($AB117&lt;&gt;"",OR('PROFIL ELEVE'!$K$4="(Tous)",$AF117='PROFIL ELEVE'!$K$4)),1,0)</f>
        <v>0</v>
      </c>
      <c r="AW117">
        <f>N(AW116)+IF(AND($AB117&lt;&gt;"",OR('SUIVI LONGITUDINAL'!$Q$4="(Tous)",$AF117='SUIVI LONGITUDINAL'!$Q$4)),1,0)</f>
        <v>0</v>
      </c>
      <c r="AX117">
        <f t="shared" si="43"/>
        <v>0</v>
      </c>
      <c r="AY117">
        <f t="shared" si="44"/>
        <v>0</v>
      </c>
      <c r="AZ117">
        <f t="shared" si="45"/>
        <v>0</v>
      </c>
      <c r="BA117" t="str">
        <f t="shared" si="46"/>
        <v/>
      </c>
      <c r="BB117" t="str">
        <f t="shared" si="47"/>
        <v/>
      </c>
    </row>
    <row r="118" spans="1:54" ht="14.25" customHeight="1" x14ac:dyDescent="0.3">
      <c r="A118" t="str">
        <f>IF(SAISIE!$F123="","",SAISIE!$B123)</f>
        <v/>
      </c>
      <c r="B118" t="str">
        <f>IF(SAISIE!$F123="","",SAISIE!$C123)</f>
        <v/>
      </c>
      <c r="C118" t="str">
        <f>IF(SAISIE!$F123="","",SAISIE!$D123)</f>
        <v/>
      </c>
      <c r="D118" t="str">
        <f>IF(SAISIE!$E123="","",SAISIE!$E123)</f>
        <v/>
      </c>
      <c r="E118" t="str">
        <f>IF(SAISIE!$F123="","",SAISIE!$F123)</f>
        <v/>
      </c>
      <c r="F118" t="str">
        <f>IF(SAISIE!$G123="","",SAISIE!$G123)</f>
        <v/>
      </c>
      <c r="G118" t="str">
        <f>IF(SAISIE!$H123="","",SAISIE!$H123)</f>
        <v/>
      </c>
      <c r="H118" t="str">
        <f>IF(SAISIE!$I123="","",SAISIE!$I123)</f>
        <v/>
      </c>
      <c r="I118" t="str">
        <f>IF(SAISIE!$J123="","",SAISIE!$J123)</f>
        <v/>
      </c>
      <c r="J118" t="str">
        <f>IF(SAISIE!$K123="","",SAISIE!$K123)</f>
        <v/>
      </c>
      <c r="K118" t="str">
        <f>IF(SAISIE!$L123="","",SAISIE!$L123)</f>
        <v/>
      </c>
      <c r="L118" t="str">
        <f>IF(SAISIE!$M123="","",SAISIE!$M123)</f>
        <v/>
      </c>
      <c r="M118" t="str">
        <f>IF(SAISIE!$N123="","",SAISIE!$N123)</f>
        <v/>
      </c>
      <c r="N118" t="str">
        <f>IF(SAISIE!$O123="","",SAISIE!$O123)</f>
        <v/>
      </c>
      <c r="O118" t="str">
        <f>IF(SAISIE!$P123="","",SAISIE!$P123)</f>
        <v/>
      </c>
      <c r="P118" t="str">
        <f>IF(SAISIE!$Q123="","",SAISIE!$Q123)</f>
        <v/>
      </c>
      <c r="Q118" t="str">
        <f>IF($I118="","",IF($I118&gt;PARAMETRES!$G$29,5,IF($I118&gt;PARAMETRES!$F$29,4,IF($I118&gt;PARAMETRES!$E$29,3,IF($I118&gt;PARAMETRES!$D$29,2,1)))))</f>
        <v/>
      </c>
      <c r="R118" t="str">
        <f>IF($J118="","",IF($J118&gt;PARAMETRES!$G$30,5,IF($J118&gt;PARAMETRES!$F$30,4,IF($J118&gt;PARAMETRES!$E$30,3,IF($J118&gt;PARAMETRES!$D$30,2,1)))))</f>
        <v/>
      </c>
      <c r="S118" t="str">
        <f>IF($K118="","",IF($Z118=2,IF($K118&gt;PARAMETRES!$G$31,5,IF($K118&gt;PARAMETRES!$F$31,4,IF($K118&gt;PARAMETRES!$E$31,3,IF($K118&gt;PARAMETRES!$D$31,2,1)))),IF($K118&gt;PARAMETRES!$G$32,5,IF($K118&gt;PARAMETRES!$F$32,4,IF($K118&gt;PARAMETRES!$E$32,3,IF($K118&gt;PARAMETRES!$D$32,2,1))))))</f>
        <v/>
      </c>
      <c r="T118" t="str">
        <f>IF($L118="","",IF($L118&gt;PARAMETRES!$G$33,5,IF($L118&gt;PARAMETRES!$F$33,4,IF($L118&gt;PARAMETRES!$E$33,3,IF($L118&gt;PARAMETRES!$D$33,2,1)))))</f>
        <v/>
      </c>
      <c r="U118" t="str">
        <f>IF($M118="","",IF($M118&gt;PARAMETRES!$G$34,5,IF($M118&gt;PARAMETRES!$F$34,4,IF($M118&gt;PARAMETRES!$E$34,3,IF($M118&gt;PARAMETRES!$D$34,2,1)))))</f>
        <v/>
      </c>
      <c r="V118" t="str">
        <f>IF($N118="","",IF($N118&gt;PARAMETRES!$G$35,5,IF($N118&gt;PARAMETRES!$F$35,4,IF($N118&gt;PARAMETRES!$E$35,3,IF($N118&gt;PARAMETRES!$D$35,2,1)))))</f>
        <v/>
      </c>
      <c r="W118" t="str">
        <f>IF($O118="","",IF($O118&gt;PARAMETRES!$G$36,5,IF($O118&gt;PARAMETRES!$F$36,4,IF($O118&gt;PARAMETRES!$E$36,3,IF($O118&gt;PARAMETRES!$D$36,2,1)))))</f>
        <v/>
      </c>
      <c r="X118" t="str">
        <f>IF($P118="","",IF($P118&gt;PARAMETRES!$G$37,5,IF($P118&gt;PARAMETRES!$F$37,4,IF($P118&gt;PARAMETRES!$E$37,3,IF($P118&gt;PARAMETRES!$D$37,2,1)))))</f>
        <v/>
      </c>
      <c r="Y118" t="str">
        <f t="shared" si="24"/>
        <v/>
      </c>
      <c r="Z118" t="str">
        <f>IFERROR(VLOOKUP($B118,TABLE_CYCLE,2,0),"")</f>
        <v/>
      </c>
      <c r="AA118" t="str">
        <f t="shared" si="25"/>
        <v/>
      </c>
      <c r="AB118" t="str">
        <f>IF($D118="","",IF(COUNTIF($D$2:$D118,$D118)=1,$D118,""))</f>
        <v/>
      </c>
      <c r="AC118">
        <f t="shared" si="26"/>
        <v>0</v>
      </c>
      <c r="AD118" t="str">
        <f t="shared" si="27"/>
        <v>|0</v>
      </c>
      <c r="AE118" t="str">
        <f t="shared" si="28"/>
        <v/>
      </c>
      <c r="AF118" t="str">
        <f t="shared" si="29"/>
        <v/>
      </c>
      <c r="AG118" t="str">
        <f t="shared" si="30"/>
        <v/>
      </c>
      <c r="AH118" t="str">
        <f t="shared" si="31"/>
        <v/>
      </c>
      <c r="AI118" t="str">
        <f t="shared" si="32"/>
        <v/>
      </c>
      <c r="AJ118" t="str">
        <f t="shared" si="33"/>
        <v/>
      </c>
      <c r="AK118" t="str">
        <f t="shared" si="34"/>
        <v/>
      </c>
      <c r="AL118" t="str">
        <f t="shared" si="35"/>
        <v/>
      </c>
      <c r="AM118" t="str">
        <f t="shared" si="36"/>
        <v/>
      </c>
      <c r="AN118" t="str">
        <f t="shared" si="37"/>
        <v/>
      </c>
      <c r="AO118" t="str">
        <f t="shared" si="38"/>
        <v/>
      </c>
      <c r="AP118">
        <f t="shared" si="39"/>
        <v>1</v>
      </c>
      <c r="AQ118" t="str">
        <f>IF(SAISIE!$F123="","",SAISIE!$Y123)</f>
        <v/>
      </c>
      <c r="AR118" t="str">
        <f>IF(OR(SAISIE!$U$4="",SAISIE!$W$4=""),"",IF(AND($A118=SAISIE!$U$4,$B118=SAISIE!$W$4,$C118="S1"),COUNTIFS($A$2:$A118,SAISIE!$U$4,$B$2:$B118,SAISIE!$W$4,$C$2:$C118,"S1"),""))</f>
        <v/>
      </c>
      <c r="AS118" t="str">
        <f t="shared" si="40"/>
        <v/>
      </c>
      <c r="AT118" t="str">
        <f t="shared" si="41"/>
        <v/>
      </c>
      <c r="AU118" t="str">
        <f t="shared" si="42"/>
        <v/>
      </c>
      <c r="AV118">
        <f>N(AV117)+IF(AND($AB118&lt;&gt;"",OR('PROFIL ELEVE'!$K$4="(Tous)",$AF118='PROFIL ELEVE'!$K$4)),1,0)</f>
        <v>0</v>
      </c>
      <c r="AW118">
        <f>N(AW117)+IF(AND($AB118&lt;&gt;"",OR('SUIVI LONGITUDINAL'!$Q$4="(Tous)",$AF118='SUIVI LONGITUDINAL'!$Q$4)),1,0)</f>
        <v>0</v>
      </c>
      <c r="AX118">
        <f t="shared" si="43"/>
        <v>0</v>
      </c>
      <c r="AY118">
        <f t="shared" si="44"/>
        <v>0</v>
      </c>
      <c r="AZ118">
        <f t="shared" si="45"/>
        <v>0</v>
      </c>
      <c r="BA118" t="str">
        <f t="shared" si="46"/>
        <v/>
      </c>
      <c r="BB118" t="str">
        <f t="shared" si="47"/>
        <v/>
      </c>
    </row>
    <row r="119" spans="1:54" ht="14.25" customHeight="1" x14ac:dyDescent="0.3">
      <c r="A119" t="str">
        <f>IF(SAISIE!$F124="","",SAISIE!$B124)</f>
        <v/>
      </c>
      <c r="B119" t="str">
        <f>IF(SAISIE!$F124="","",SAISIE!$C124)</f>
        <v/>
      </c>
      <c r="C119" t="str">
        <f>IF(SAISIE!$F124="","",SAISIE!$D124)</f>
        <v/>
      </c>
      <c r="D119" t="str">
        <f>IF(SAISIE!$E124="","",SAISIE!$E124)</f>
        <v/>
      </c>
      <c r="E119" t="str">
        <f>IF(SAISIE!$F124="","",SAISIE!$F124)</f>
        <v/>
      </c>
      <c r="F119" t="str">
        <f>IF(SAISIE!$G124="","",SAISIE!$G124)</f>
        <v/>
      </c>
      <c r="G119" t="str">
        <f>IF(SAISIE!$H124="","",SAISIE!$H124)</f>
        <v/>
      </c>
      <c r="H119" t="str">
        <f>IF(SAISIE!$I124="","",SAISIE!$I124)</f>
        <v/>
      </c>
      <c r="I119" t="str">
        <f>IF(SAISIE!$J124="","",SAISIE!$J124)</f>
        <v/>
      </c>
      <c r="J119" t="str">
        <f>IF(SAISIE!$K124="","",SAISIE!$K124)</f>
        <v/>
      </c>
      <c r="K119" t="str">
        <f>IF(SAISIE!$L124="","",SAISIE!$L124)</f>
        <v/>
      </c>
      <c r="L119" t="str">
        <f>IF(SAISIE!$M124="","",SAISIE!$M124)</f>
        <v/>
      </c>
      <c r="M119" t="str">
        <f>IF(SAISIE!$N124="","",SAISIE!$N124)</f>
        <v/>
      </c>
      <c r="N119" t="str">
        <f>IF(SAISIE!$O124="","",SAISIE!$O124)</f>
        <v/>
      </c>
      <c r="O119" t="str">
        <f>IF(SAISIE!$P124="","",SAISIE!$P124)</f>
        <v/>
      </c>
      <c r="P119" t="str">
        <f>IF(SAISIE!$Q124="","",SAISIE!$Q124)</f>
        <v/>
      </c>
      <c r="Q119" t="str">
        <f>IF($I119="","",IF($I119&gt;PARAMETRES!$G$29,5,IF($I119&gt;PARAMETRES!$F$29,4,IF($I119&gt;PARAMETRES!$E$29,3,IF($I119&gt;PARAMETRES!$D$29,2,1)))))</f>
        <v/>
      </c>
      <c r="R119" t="str">
        <f>IF($J119="","",IF($J119&gt;PARAMETRES!$G$30,5,IF($J119&gt;PARAMETRES!$F$30,4,IF($J119&gt;PARAMETRES!$E$30,3,IF($J119&gt;PARAMETRES!$D$30,2,1)))))</f>
        <v/>
      </c>
      <c r="S119" t="str">
        <f>IF($K119="","",IF($Z119=2,IF($K119&gt;PARAMETRES!$G$31,5,IF($K119&gt;PARAMETRES!$F$31,4,IF($K119&gt;PARAMETRES!$E$31,3,IF($K119&gt;PARAMETRES!$D$31,2,1)))),IF($K119&gt;PARAMETRES!$G$32,5,IF($K119&gt;PARAMETRES!$F$32,4,IF($K119&gt;PARAMETRES!$E$32,3,IF($K119&gt;PARAMETRES!$D$32,2,1))))))</f>
        <v/>
      </c>
      <c r="T119" t="str">
        <f>IF($L119="","",IF($L119&gt;PARAMETRES!$G$33,5,IF($L119&gt;PARAMETRES!$F$33,4,IF($L119&gt;PARAMETRES!$E$33,3,IF($L119&gt;PARAMETRES!$D$33,2,1)))))</f>
        <v/>
      </c>
      <c r="U119" t="str">
        <f>IF($M119="","",IF($M119&gt;PARAMETRES!$G$34,5,IF($M119&gt;PARAMETRES!$F$34,4,IF($M119&gt;PARAMETRES!$E$34,3,IF($M119&gt;PARAMETRES!$D$34,2,1)))))</f>
        <v/>
      </c>
      <c r="V119" t="str">
        <f>IF($N119="","",IF($N119&gt;PARAMETRES!$G$35,5,IF($N119&gt;PARAMETRES!$F$35,4,IF($N119&gt;PARAMETRES!$E$35,3,IF($N119&gt;PARAMETRES!$D$35,2,1)))))</f>
        <v/>
      </c>
      <c r="W119" t="str">
        <f>IF($O119="","",IF($O119&gt;PARAMETRES!$G$36,5,IF($O119&gt;PARAMETRES!$F$36,4,IF($O119&gt;PARAMETRES!$E$36,3,IF($O119&gt;PARAMETRES!$D$36,2,1)))))</f>
        <v/>
      </c>
      <c r="X119" t="str">
        <f>IF($P119="","",IF($P119&gt;PARAMETRES!$G$37,5,IF($P119&gt;PARAMETRES!$F$37,4,IF($P119&gt;PARAMETRES!$E$37,3,IF($P119&gt;PARAMETRES!$D$37,2,1)))))</f>
        <v/>
      </c>
      <c r="Y119" t="str">
        <f t="shared" si="24"/>
        <v/>
      </c>
      <c r="Z119" t="str">
        <f>IFERROR(VLOOKUP($B119,TABLE_CYCLE,2,0),"")</f>
        <v/>
      </c>
      <c r="AA119" t="str">
        <f t="shared" si="25"/>
        <v/>
      </c>
      <c r="AB119" t="str">
        <f>IF($D119="","",IF(COUNTIF($D$2:$D119,$D119)=1,$D119,""))</f>
        <v/>
      </c>
      <c r="AC119">
        <f t="shared" si="26"/>
        <v>0</v>
      </c>
      <c r="AD119" t="str">
        <f t="shared" si="27"/>
        <v>|0</v>
      </c>
      <c r="AE119" t="str">
        <f t="shared" si="28"/>
        <v/>
      </c>
      <c r="AF119" t="str">
        <f t="shared" si="29"/>
        <v/>
      </c>
      <c r="AG119" t="str">
        <f t="shared" si="30"/>
        <v/>
      </c>
      <c r="AH119" t="str">
        <f t="shared" si="31"/>
        <v/>
      </c>
      <c r="AI119" t="str">
        <f t="shared" si="32"/>
        <v/>
      </c>
      <c r="AJ119" t="str">
        <f t="shared" si="33"/>
        <v/>
      </c>
      <c r="AK119" t="str">
        <f t="shared" si="34"/>
        <v/>
      </c>
      <c r="AL119" t="str">
        <f t="shared" si="35"/>
        <v/>
      </c>
      <c r="AM119" t="str">
        <f t="shared" si="36"/>
        <v/>
      </c>
      <c r="AN119" t="str">
        <f t="shared" si="37"/>
        <v/>
      </c>
      <c r="AO119" t="str">
        <f t="shared" si="38"/>
        <v/>
      </c>
      <c r="AP119">
        <f t="shared" si="39"/>
        <v>1</v>
      </c>
      <c r="AQ119" t="str">
        <f>IF(SAISIE!$F124="","",SAISIE!$Y124)</f>
        <v/>
      </c>
      <c r="AR119" t="str">
        <f>IF(OR(SAISIE!$U$4="",SAISIE!$W$4=""),"",IF(AND($A119=SAISIE!$U$4,$B119=SAISIE!$W$4,$C119="S1"),COUNTIFS($A$2:$A119,SAISIE!$U$4,$B$2:$B119,SAISIE!$W$4,$C$2:$C119,"S1"),""))</f>
        <v/>
      </c>
      <c r="AS119" t="str">
        <f t="shared" si="40"/>
        <v/>
      </c>
      <c r="AT119" t="str">
        <f t="shared" si="41"/>
        <v/>
      </c>
      <c r="AU119" t="str">
        <f t="shared" si="42"/>
        <v/>
      </c>
      <c r="AV119">
        <f>N(AV118)+IF(AND($AB119&lt;&gt;"",OR('PROFIL ELEVE'!$K$4="(Tous)",$AF119='PROFIL ELEVE'!$K$4)),1,0)</f>
        <v>0</v>
      </c>
      <c r="AW119">
        <f>N(AW118)+IF(AND($AB119&lt;&gt;"",OR('SUIVI LONGITUDINAL'!$Q$4="(Tous)",$AF119='SUIVI LONGITUDINAL'!$Q$4)),1,0)</f>
        <v>0</v>
      </c>
      <c r="AX119">
        <f t="shared" si="43"/>
        <v>0</v>
      </c>
      <c r="AY119">
        <f t="shared" si="44"/>
        <v>0</v>
      </c>
      <c r="AZ119">
        <f t="shared" si="45"/>
        <v>0</v>
      </c>
      <c r="BA119" t="str">
        <f t="shared" si="46"/>
        <v/>
      </c>
      <c r="BB119" t="str">
        <f t="shared" si="47"/>
        <v/>
      </c>
    </row>
    <row r="120" spans="1:54" ht="14.25" customHeight="1" x14ac:dyDescent="0.3">
      <c r="A120" t="str">
        <f>IF(SAISIE!$F125="","",SAISIE!$B125)</f>
        <v/>
      </c>
      <c r="B120" t="str">
        <f>IF(SAISIE!$F125="","",SAISIE!$C125)</f>
        <v/>
      </c>
      <c r="C120" t="str">
        <f>IF(SAISIE!$F125="","",SAISIE!$D125)</f>
        <v/>
      </c>
      <c r="D120" t="str">
        <f>IF(SAISIE!$E125="","",SAISIE!$E125)</f>
        <v/>
      </c>
      <c r="E120" t="str">
        <f>IF(SAISIE!$F125="","",SAISIE!$F125)</f>
        <v/>
      </c>
      <c r="F120" t="str">
        <f>IF(SAISIE!$G125="","",SAISIE!$G125)</f>
        <v/>
      </c>
      <c r="G120" t="str">
        <f>IF(SAISIE!$H125="","",SAISIE!$H125)</f>
        <v/>
      </c>
      <c r="H120" t="str">
        <f>IF(SAISIE!$I125="","",SAISIE!$I125)</f>
        <v/>
      </c>
      <c r="I120" t="str">
        <f>IF(SAISIE!$J125="","",SAISIE!$J125)</f>
        <v/>
      </c>
      <c r="J120" t="str">
        <f>IF(SAISIE!$K125="","",SAISIE!$K125)</f>
        <v/>
      </c>
      <c r="K120" t="str">
        <f>IF(SAISIE!$L125="","",SAISIE!$L125)</f>
        <v/>
      </c>
      <c r="L120" t="str">
        <f>IF(SAISIE!$M125="","",SAISIE!$M125)</f>
        <v/>
      </c>
      <c r="M120" t="str">
        <f>IF(SAISIE!$N125="","",SAISIE!$N125)</f>
        <v/>
      </c>
      <c r="N120" t="str">
        <f>IF(SAISIE!$O125="","",SAISIE!$O125)</f>
        <v/>
      </c>
      <c r="O120" t="str">
        <f>IF(SAISIE!$P125="","",SAISIE!$P125)</f>
        <v/>
      </c>
      <c r="P120" t="str">
        <f>IF(SAISIE!$Q125="","",SAISIE!$Q125)</f>
        <v/>
      </c>
      <c r="Q120" t="str">
        <f>IF($I120="","",IF($I120&gt;PARAMETRES!$G$29,5,IF($I120&gt;PARAMETRES!$F$29,4,IF($I120&gt;PARAMETRES!$E$29,3,IF($I120&gt;PARAMETRES!$D$29,2,1)))))</f>
        <v/>
      </c>
      <c r="R120" t="str">
        <f>IF($J120="","",IF($J120&gt;PARAMETRES!$G$30,5,IF($J120&gt;PARAMETRES!$F$30,4,IF($J120&gt;PARAMETRES!$E$30,3,IF($J120&gt;PARAMETRES!$D$30,2,1)))))</f>
        <v/>
      </c>
      <c r="S120" t="str">
        <f>IF($K120="","",IF($Z120=2,IF($K120&gt;PARAMETRES!$G$31,5,IF($K120&gt;PARAMETRES!$F$31,4,IF($K120&gt;PARAMETRES!$E$31,3,IF($K120&gt;PARAMETRES!$D$31,2,1)))),IF($K120&gt;PARAMETRES!$G$32,5,IF($K120&gt;PARAMETRES!$F$32,4,IF($K120&gt;PARAMETRES!$E$32,3,IF($K120&gt;PARAMETRES!$D$32,2,1))))))</f>
        <v/>
      </c>
      <c r="T120" t="str">
        <f>IF($L120="","",IF($L120&gt;PARAMETRES!$G$33,5,IF($L120&gt;PARAMETRES!$F$33,4,IF($L120&gt;PARAMETRES!$E$33,3,IF($L120&gt;PARAMETRES!$D$33,2,1)))))</f>
        <v/>
      </c>
      <c r="U120" t="str">
        <f>IF($M120="","",IF($M120&gt;PARAMETRES!$G$34,5,IF($M120&gt;PARAMETRES!$F$34,4,IF($M120&gt;PARAMETRES!$E$34,3,IF($M120&gt;PARAMETRES!$D$34,2,1)))))</f>
        <v/>
      </c>
      <c r="V120" t="str">
        <f>IF($N120="","",IF($N120&gt;PARAMETRES!$G$35,5,IF($N120&gt;PARAMETRES!$F$35,4,IF($N120&gt;PARAMETRES!$E$35,3,IF($N120&gt;PARAMETRES!$D$35,2,1)))))</f>
        <v/>
      </c>
      <c r="W120" t="str">
        <f>IF($O120="","",IF($O120&gt;PARAMETRES!$G$36,5,IF($O120&gt;PARAMETRES!$F$36,4,IF($O120&gt;PARAMETRES!$E$36,3,IF($O120&gt;PARAMETRES!$D$36,2,1)))))</f>
        <v/>
      </c>
      <c r="X120" t="str">
        <f>IF($P120="","",IF($P120&gt;PARAMETRES!$G$37,5,IF($P120&gt;PARAMETRES!$F$37,4,IF($P120&gt;PARAMETRES!$E$37,3,IF($P120&gt;PARAMETRES!$D$37,2,1)))))</f>
        <v/>
      </c>
      <c r="Y120" t="str">
        <f t="shared" si="24"/>
        <v/>
      </c>
      <c r="Z120" t="str">
        <f>IFERROR(VLOOKUP($B120,TABLE_CYCLE,2,0),"")</f>
        <v/>
      </c>
      <c r="AA120" t="str">
        <f t="shared" si="25"/>
        <v/>
      </c>
      <c r="AB120" t="str">
        <f>IF($D120="","",IF(COUNTIF($D$2:$D120,$D120)=1,$D120,""))</f>
        <v/>
      </c>
      <c r="AC120">
        <f t="shared" si="26"/>
        <v>0</v>
      </c>
      <c r="AD120" t="str">
        <f t="shared" si="27"/>
        <v>|0</v>
      </c>
      <c r="AE120" t="str">
        <f t="shared" si="28"/>
        <v/>
      </c>
      <c r="AF120" t="str">
        <f t="shared" si="29"/>
        <v/>
      </c>
      <c r="AG120" t="str">
        <f t="shared" si="30"/>
        <v/>
      </c>
      <c r="AH120" t="str">
        <f t="shared" si="31"/>
        <v/>
      </c>
      <c r="AI120" t="str">
        <f t="shared" si="32"/>
        <v/>
      </c>
      <c r="AJ120" t="str">
        <f t="shared" si="33"/>
        <v/>
      </c>
      <c r="AK120" t="str">
        <f t="shared" si="34"/>
        <v/>
      </c>
      <c r="AL120" t="str">
        <f t="shared" si="35"/>
        <v/>
      </c>
      <c r="AM120" t="str">
        <f t="shared" si="36"/>
        <v/>
      </c>
      <c r="AN120" t="str">
        <f t="shared" si="37"/>
        <v/>
      </c>
      <c r="AO120" t="str">
        <f t="shared" si="38"/>
        <v/>
      </c>
      <c r="AP120">
        <f t="shared" si="39"/>
        <v>1</v>
      </c>
      <c r="AQ120" t="str">
        <f>IF(SAISIE!$F125="","",SAISIE!$Y125)</f>
        <v/>
      </c>
      <c r="AR120" t="str">
        <f>IF(OR(SAISIE!$U$4="",SAISIE!$W$4=""),"",IF(AND($A120=SAISIE!$U$4,$B120=SAISIE!$W$4,$C120="S1"),COUNTIFS($A$2:$A120,SAISIE!$U$4,$B$2:$B120,SAISIE!$W$4,$C$2:$C120,"S1"),""))</f>
        <v/>
      </c>
      <c r="AS120" t="str">
        <f t="shared" si="40"/>
        <v/>
      </c>
      <c r="AT120" t="str">
        <f t="shared" si="41"/>
        <v/>
      </c>
      <c r="AU120" t="str">
        <f t="shared" si="42"/>
        <v/>
      </c>
      <c r="AV120">
        <f>N(AV119)+IF(AND($AB120&lt;&gt;"",OR('PROFIL ELEVE'!$K$4="(Tous)",$AF120='PROFIL ELEVE'!$K$4)),1,0)</f>
        <v>0</v>
      </c>
      <c r="AW120">
        <f>N(AW119)+IF(AND($AB120&lt;&gt;"",OR('SUIVI LONGITUDINAL'!$Q$4="(Tous)",$AF120='SUIVI LONGITUDINAL'!$Q$4)),1,0)</f>
        <v>0</v>
      </c>
      <c r="AX120">
        <f t="shared" si="43"/>
        <v>0</v>
      </c>
      <c r="AY120">
        <f t="shared" si="44"/>
        <v>0</v>
      </c>
      <c r="AZ120">
        <f t="shared" si="45"/>
        <v>0</v>
      </c>
      <c r="BA120" t="str">
        <f t="shared" si="46"/>
        <v/>
      </c>
      <c r="BB120" t="str">
        <f t="shared" si="47"/>
        <v/>
      </c>
    </row>
    <row r="121" spans="1:54" ht="14.25" customHeight="1" x14ac:dyDescent="0.3">
      <c r="A121" t="str">
        <f>IF(SAISIE!$F126="","",SAISIE!$B126)</f>
        <v/>
      </c>
      <c r="B121" t="str">
        <f>IF(SAISIE!$F126="","",SAISIE!$C126)</f>
        <v/>
      </c>
      <c r="C121" t="str">
        <f>IF(SAISIE!$F126="","",SAISIE!$D126)</f>
        <v/>
      </c>
      <c r="D121" t="str">
        <f>IF(SAISIE!$E126="","",SAISIE!$E126)</f>
        <v/>
      </c>
      <c r="E121" t="str">
        <f>IF(SAISIE!$F126="","",SAISIE!$F126)</f>
        <v/>
      </c>
      <c r="F121" t="str">
        <f>IF(SAISIE!$G126="","",SAISIE!$G126)</f>
        <v/>
      </c>
      <c r="G121" t="str">
        <f>IF(SAISIE!$H126="","",SAISIE!$H126)</f>
        <v/>
      </c>
      <c r="H121" t="str">
        <f>IF(SAISIE!$I126="","",SAISIE!$I126)</f>
        <v/>
      </c>
      <c r="I121" t="str">
        <f>IF(SAISIE!$J126="","",SAISIE!$J126)</f>
        <v/>
      </c>
      <c r="J121" t="str">
        <f>IF(SAISIE!$K126="","",SAISIE!$K126)</f>
        <v/>
      </c>
      <c r="K121" t="str">
        <f>IF(SAISIE!$L126="","",SAISIE!$L126)</f>
        <v/>
      </c>
      <c r="L121" t="str">
        <f>IF(SAISIE!$M126="","",SAISIE!$M126)</f>
        <v/>
      </c>
      <c r="M121" t="str">
        <f>IF(SAISIE!$N126="","",SAISIE!$N126)</f>
        <v/>
      </c>
      <c r="N121" t="str">
        <f>IF(SAISIE!$O126="","",SAISIE!$O126)</f>
        <v/>
      </c>
      <c r="O121" t="str">
        <f>IF(SAISIE!$P126="","",SAISIE!$P126)</f>
        <v/>
      </c>
      <c r="P121" t="str">
        <f>IF(SAISIE!$Q126="","",SAISIE!$Q126)</f>
        <v/>
      </c>
      <c r="Q121" t="str">
        <f>IF($I121="","",IF($I121&gt;PARAMETRES!$G$29,5,IF($I121&gt;PARAMETRES!$F$29,4,IF($I121&gt;PARAMETRES!$E$29,3,IF($I121&gt;PARAMETRES!$D$29,2,1)))))</f>
        <v/>
      </c>
      <c r="R121" t="str">
        <f>IF($J121="","",IF($J121&gt;PARAMETRES!$G$30,5,IF($J121&gt;PARAMETRES!$F$30,4,IF($J121&gt;PARAMETRES!$E$30,3,IF($J121&gt;PARAMETRES!$D$30,2,1)))))</f>
        <v/>
      </c>
      <c r="S121" t="str">
        <f>IF($K121="","",IF($Z121=2,IF($K121&gt;PARAMETRES!$G$31,5,IF($K121&gt;PARAMETRES!$F$31,4,IF($K121&gt;PARAMETRES!$E$31,3,IF($K121&gt;PARAMETRES!$D$31,2,1)))),IF($K121&gt;PARAMETRES!$G$32,5,IF($K121&gt;PARAMETRES!$F$32,4,IF($K121&gt;PARAMETRES!$E$32,3,IF($K121&gt;PARAMETRES!$D$32,2,1))))))</f>
        <v/>
      </c>
      <c r="T121" t="str">
        <f>IF($L121="","",IF($L121&gt;PARAMETRES!$G$33,5,IF($L121&gt;PARAMETRES!$F$33,4,IF($L121&gt;PARAMETRES!$E$33,3,IF($L121&gt;PARAMETRES!$D$33,2,1)))))</f>
        <v/>
      </c>
      <c r="U121" t="str">
        <f>IF($M121="","",IF($M121&gt;PARAMETRES!$G$34,5,IF($M121&gt;PARAMETRES!$F$34,4,IF($M121&gt;PARAMETRES!$E$34,3,IF($M121&gt;PARAMETRES!$D$34,2,1)))))</f>
        <v/>
      </c>
      <c r="V121" t="str">
        <f>IF($N121="","",IF($N121&gt;PARAMETRES!$G$35,5,IF($N121&gt;PARAMETRES!$F$35,4,IF($N121&gt;PARAMETRES!$E$35,3,IF($N121&gt;PARAMETRES!$D$35,2,1)))))</f>
        <v/>
      </c>
      <c r="W121" t="str">
        <f>IF($O121="","",IF($O121&gt;PARAMETRES!$G$36,5,IF($O121&gt;PARAMETRES!$F$36,4,IF($O121&gt;PARAMETRES!$E$36,3,IF($O121&gt;PARAMETRES!$D$36,2,1)))))</f>
        <v/>
      </c>
      <c r="X121" t="str">
        <f>IF($P121="","",IF($P121&gt;PARAMETRES!$G$37,5,IF($P121&gt;PARAMETRES!$F$37,4,IF($P121&gt;PARAMETRES!$E$37,3,IF($P121&gt;PARAMETRES!$D$37,2,1)))))</f>
        <v/>
      </c>
      <c r="Y121" t="str">
        <f t="shared" si="24"/>
        <v/>
      </c>
      <c r="Z121" t="str">
        <f>IFERROR(VLOOKUP($B121,TABLE_CYCLE,2,0),"")</f>
        <v/>
      </c>
      <c r="AA121" t="str">
        <f t="shared" si="25"/>
        <v/>
      </c>
      <c r="AB121" t="str">
        <f>IF($D121="","",IF(COUNTIF($D$2:$D121,$D121)=1,$D121,""))</f>
        <v/>
      </c>
      <c r="AC121">
        <f t="shared" si="26"/>
        <v>0</v>
      </c>
      <c r="AD121" t="str">
        <f t="shared" si="27"/>
        <v>|0</v>
      </c>
      <c r="AE121" t="str">
        <f t="shared" si="28"/>
        <v/>
      </c>
      <c r="AF121" t="str">
        <f t="shared" si="29"/>
        <v/>
      </c>
      <c r="AG121" t="str">
        <f t="shared" si="30"/>
        <v/>
      </c>
      <c r="AH121" t="str">
        <f t="shared" si="31"/>
        <v/>
      </c>
      <c r="AI121" t="str">
        <f t="shared" si="32"/>
        <v/>
      </c>
      <c r="AJ121" t="str">
        <f t="shared" si="33"/>
        <v/>
      </c>
      <c r="AK121" t="str">
        <f t="shared" si="34"/>
        <v/>
      </c>
      <c r="AL121" t="str">
        <f t="shared" si="35"/>
        <v/>
      </c>
      <c r="AM121" t="str">
        <f t="shared" si="36"/>
        <v/>
      </c>
      <c r="AN121" t="str">
        <f t="shared" si="37"/>
        <v/>
      </c>
      <c r="AO121" t="str">
        <f t="shared" si="38"/>
        <v/>
      </c>
      <c r="AP121">
        <f t="shared" si="39"/>
        <v>1</v>
      </c>
      <c r="AQ121" t="str">
        <f>IF(SAISIE!$F126="","",SAISIE!$Y126)</f>
        <v/>
      </c>
      <c r="AR121" t="str">
        <f>IF(OR(SAISIE!$U$4="",SAISIE!$W$4=""),"",IF(AND($A121=SAISIE!$U$4,$B121=SAISIE!$W$4,$C121="S1"),COUNTIFS($A$2:$A121,SAISIE!$U$4,$B$2:$B121,SAISIE!$W$4,$C$2:$C121,"S1"),""))</f>
        <v/>
      </c>
      <c r="AS121" t="str">
        <f t="shared" si="40"/>
        <v/>
      </c>
      <c r="AT121" t="str">
        <f t="shared" si="41"/>
        <v/>
      </c>
      <c r="AU121" t="str">
        <f t="shared" si="42"/>
        <v/>
      </c>
      <c r="AV121">
        <f>N(AV120)+IF(AND($AB121&lt;&gt;"",OR('PROFIL ELEVE'!$K$4="(Tous)",$AF121='PROFIL ELEVE'!$K$4)),1,0)</f>
        <v>0</v>
      </c>
      <c r="AW121">
        <f>N(AW120)+IF(AND($AB121&lt;&gt;"",OR('SUIVI LONGITUDINAL'!$Q$4="(Tous)",$AF121='SUIVI LONGITUDINAL'!$Q$4)),1,0)</f>
        <v>0</v>
      </c>
      <c r="AX121">
        <f t="shared" si="43"/>
        <v>0</v>
      </c>
      <c r="AY121">
        <f t="shared" si="44"/>
        <v>0</v>
      </c>
      <c r="AZ121">
        <f t="shared" si="45"/>
        <v>0</v>
      </c>
      <c r="BA121" t="str">
        <f t="shared" si="46"/>
        <v/>
      </c>
      <c r="BB121" t="str">
        <f t="shared" si="47"/>
        <v/>
      </c>
    </row>
    <row r="122" spans="1:54" ht="14.25" customHeight="1" x14ac:dyDescent="0.3">
      <c r="A122" t="str">
        <f>IF(SAISIE!$F127="","",SAISIE!$B127)</f>
        <v/>
      </c>
      <c r="B122" t="str">
        <f>IF(SAISIE!$F127="","",SAISIE!$C127)</f>
        <v/>
      </c>
      <c r="C122" t="str">
        <f>IF(SAISIE!$F127="","",SAISIE!$D127)</f>
        <v/>
      </c>
      <c r="D122" t="str">
        <f>IF(SAISIE!$E127="","",SAISIE!$E127)</f>
        <v/>
      </c>
      <c r="E122" t="str">
        <f>IF(SAISIE!$F127="","",SAISIE!$F127)</f>
        <v/>
      </c>
      <c r="F122" t="str">
        <f>IF(SAISIE!$G127="","",SAISIE!$G127)</f>
        <v/>
      </c>
      <c r="G122" t="str">
        <f>IF(SAISIE!$H127="","",SAISIE!$H127)</f>
        <v/>
      </c>
      <c r="H122" t="str">
        <f>IF(SAISIE!$I127="","",SAISIE!$I127)</f>
        <v/>
      </c>
      <c r="I122" t="str">
        <f>IF(SAISIE!$J127="","",SAISIE!$J127)</f>
        <v/>
      </c>
      <c r="J122" t="str">
        <f>IF(SAISIE!$K127="","",SAISIE!$K127)</f>
        <v/>
      </c>
      <c r="K122" t="str">
        <f>IF(SAISIE!$L127="","",SAISIE!$L127)</f>
        <v/>
      </c>
      <c r="L122" t="str">
        <f>IF(SAISIE!$M127="","",SAISIE!$M127)</f>
        <v/>
      </c>
      <c r="M122" t="str">
        <f>IF(SAISIE!$N127="","",SAISIE!$N127)</f>
        <v/>
      </c>
      <c r="N122" t="str">
        <f>IF(SAISIE!$O127="","",SAISIE!$O127)</f>
        <v/>
      </c>
      <c r="O122" t="str">
        <f>IF(SAISIE!$P127="","",SAISIE!$P127)</f>
        <v/>
      </c>
      <c r="P122" t="str">
        <f>IF(SAISIE!$Q127="","",SAISIE!$Q127)</f>
        <v/>
      </c>
      <c r="Q122" t="str">
        <f>IF($I122="","",IF($I122&gt;PARAMETRES!$G$29,5,IF($I122&gt;PARAMETRES!$F$29,4,IF($I122&gt;PARAMETRES!$E$29,3,IF($I122&gt;PARAMETRES!$D$29,2,1)))))</f>
        <v/>
      </c>
      <c r="R122" t="str">
        <f>IF($J122="","",IF($J122&gt;PARAMETRES!$G$30,5,IF($J122&gt;PARAMETRES!$F$30,4,IF($J122&gt;PARAMETRES!$E$30,3,IF($J122&gt;PARAMETRES!$D$30,2,1)))))</f>
        <v/>
      </c>
      <c r="S122" t="str">
        <f>IF($K122="","",IF($Z122=2,IF($K122&gt;PARAMETRES!$G$31,5,IF($K122&gt;PARAMETRES!$F$31,4,IF($K122&gt;PARAMETRES!$E$31,3,IF($K122&gt;PARAMETRES!$D$31,2,1)))),IF($K122&gt;PARAMETRES!$G$32,5,IF($K122&gt;PARAMETRES!$F$32,4,IF($K122&gt;PARAMETRES!$E$32,3,IF($K122&gt;PARAMETRES!$D$32,2,1))))))</f>
        <v/>
      </c>
      <c r="T122" t="str">
        <f>IF($L122="","",IF($L122&gt;PARAMETRES!$G$33,5,IF($L122&gt;PARAMETRES!$F$33,4,IF($L122&gt;PARAMETRES!$E$33,3,IF($L122&gt;PARAMETRES!$D$33,2,1)))))</f>
        <v/>
      </c>
      <c r="U122" t="str">
        <f>IF($M122="","",IF($M122&gt;PARAMETRES!$G$34,5,IF($M122&gt;PARAMETRES!$F$34,4,IF($M122&gt;PARAMETRES!$E$34,3,IF($M122&gt;PARAMETRES!$D$34,2,1)))))</f>
        <v/>
      </c>
      <c r="V122" t="str">
        <f>IF($N122="","",IF($N122&gt;PARAMETRES!$G$35,5,IF($N122&gt;PARAMETRES!$F$35,4,IF($N122&gt;PARAMETRES!$E$35,3,IF($N122&gt;PARAMETRES!$D$35,2,1)))))</f>
        <v/>
      </c>
      <c r="W122" t="str">
        <f>IF($O122="","",IF($O122&gt;PARAMETRES!$G$36,5,IF($O122&gt;PARAMETRES!$F$36,4,IF($O122&gt;PARAMETRES!$E$36,3,IF($O122&gt;PARAMETRES!$D$36,2,1)))))</f>
        <v/>
      </c>
      <c r="X122" t="str">
        <f>IF($P122="","",IF($P122&gt;PARAMETRES!$G$37,5,IF($P122&gt;PARAMETRES!$F$37,4,IF($P122&gt;PARAMETRES!$E$37,3,IF($P122&gt;PARAMETRES!$D$37,2,1)))))</f>
        <v/>
      </c>
      <c r="Y122" t="str">
        <f t="shared" si="24"/>
        <v/>
      </c>
      <c r="Z122" t="str">
        <f>IFERROR(VLOOKUP($B122,TABLE_CYCLE,2,0),"")</f>
        <v/>
      </c>
      <c r="AA122" t="str">
        <f t="shared" si="25"/>
        <v/>
      </c>
      <c r="AB122" t="str">
        <f>IF($D122="","",IF(COUNTIF($D$2:$D122,$D122)=1,$D122,""))</f>
        <v/>
      </c>
      <c r="AC122">
        <f t="shared" si="26"/>
        <v>0</v>
      </c>
      <c r="AD122" t="str">
        <f t="shared" si="27"/>
        <v>|0</v>
      </c>
      <c r="AE122" t="str">
        <f t="shared" si="28"/>
        <v/>
      </c>
      <c r="AF122" t="str">
        <f t="shared" si="29"/>
        <v/>
      </c>
      <c r="AG122" t="str">
        <f t="shared" si="30"/>
        <v/>
      </c>
      <c r="AH122" t="str">
        <f t="shared" si="31"/>
        <v/>
      </c>
      <c r="AI122" t="str">
        <f t="shared" si="32"/>
        <v/>
      </c>
      <c r="AJ122" t="str">
        <f t="shared" si="33"/>
        <v/>
      </c>
      <c r="AK122" t="str">
        <f t="shared" si="34"/>
        <v/>
      </c>
      <c r="AL122" t="str">
        <f t="shared" si="35"/>
        <v/>
      </c>
      <c r="AM122" t="str">
        <f t="shared" si="36"/>
        <v/>
      </c>
      <c r="AN122" t="str">
        <f t="shared" si="37"/>
        <v/>
      </c>
      <c r="AO122" t="str">
        <f t="shared" si="38"/>
        <v/>
      </c>
      <c r="AP122">
        <f t="shared" si="39"/>
        <v>1</v>
      </c>
      <c r="AQ122" t="str">
        <f>IF(SAISIE!$F127="","",SAISIE!$Y127)</f>
        <v/>
      </c>
      <c r="AR122" t="str">
        <f>IF(OR(SAISIE!$U$4="",SAISIE!$W$4=""),"",IF(AND($A122=SAISIE!$U$4,$B122=SAISIE!$W$4,$C122="S1"),COUNTIFS($A$2:$A122,SAISIE!$U$4,$B$2:$B122,SAISIE!$W$4,$C$2:$C122,"S1"),""))</f>
        <v/>
      </c>
      <c r="AS122" t="str">
        <f t="shared" si="40"/>
        <v/>
      </c>
      <c r="AT122" t="str">
        <f t="shared" si="41"/>
        <v/>
      </c>
      <c r="AU122" t="str">
        <f t="shared" si="42"/>
        <v/>
      </c>
      <c r="AV122">
        <f>N(AV121)+IF(AND($AB122&lt;&gt;"",OR('PROFIL ELEVE'!$K$4="(Tous)",$AF122='PROFIL ELEVE'!$K$4)),1,0)</f>
        <v>0</v>
      </c>
      <c r="AW122">
        <f>N(AW121)+IF(AND($AB122&lt;&gt;"",OR('SUIVI LONGITUDINAL'!$Q$4="(Tous)",$AF122='SUIVI LONGITUDINAL'!$Q$4)),1,0)</f>
        <v>0</v>
      </c>
      <c r="AX122">
        <f t="shared" si="43"/>
        <v>0</v>
      </c>
      <c r="AY122">
        <f t="shared" si="44"/>
        <v>0</v>
      </c>
      <c r="AZ122">
        <f t="shared" si="45"/>
        <v>0</v>
      </c>
      <c r="BA122" t="str">
        <f t="shared" si="46"/>
        <v/>
      </c>
      <c r="BB122" t="str">
        <f t="shared" si="47"/>
        <v/>
      </c>
    </row>
    <row r="123" spans="1:54" ht="14.25" customHeight="1" x14ac:dyDescent="0.3">
      <c r="A123" t="str">
        <f>IF(SAISIE!$F128="","",SAISIE!$B128)</f>
        <v/>
      </c>
      <c r="B123" t="str">
        <f>IF(SAISIE!$F128="","",SAISIE!$C128)</f>
        <v/>
      </c>
      <c r="C123" t="str">
        <f>IF(SAISIE!$F128="","",SAISIE!$D128)</f>
        <v/>
      </c>
      <c r="D123" t="str">
        <f>IF(SAISIE!$E128="","",SAISIE!$E128)</f>
        <v/>
      </c>
      <c r="E123" t="str">
        <f>IF(SAISIE!$F128="","",SAISIE!$F128)</f>
        <v/>
      </c>
      <c r="F123" t="str">
        <f>IF(SAISIE!$G128="","",SAISIE!$G128)</f>
        <v/>
      </c>
      <c r="G123" t="str">
        <f>IF(SAISIE!$H128="","",SAISIE!$H128)</f>
        <v/>
      </c>
      <c r="H123" t="str">
        <f>IF(SAISIE!$I128="","",SAISIE!$I128)</f>
        <v/>
      </c>
      <c r="I123" t="str">
        <f>IF(SAISIE!$J128="","",SAISIE!$J128)</f>
        <v/>
      </c>
      <c r="J123" t="str">
        <f>IF(SAISIE!$K128="","",SAISIE!$K128)</f>
        <v/>
      </c>
      <c r="K123" t="str">
        <f>IF(SAISIE!$L128="","",SAISIE!$L128)</f>
        <v/>
      </c>
      <c r="L123" t="str">
        <f>IF(SAISIE!$M128="","",SAISIE!$M128)</f>
        <v/>
      </c>
      <c r="M123" t="str">
        <f>IF(SAISIE!$N128="","",SAISIE!$N128)</f>
        <v/>
      </c>
      <c r="N123" t="str">
        <f>IF(SAISIE!$O128="","",SAISIE!$O128)</f>
        <v/>
      </c>
      <c r="O123" t="str">
        <f>IF(SAISIE!$P128="","",SAISIE!$P128)</f>
        <v/>
      </c>
      <c r="P123" t="str">
        <f>IF(SAISIE!$Q128="","",SAISIE!$Q128)</f>
        <v/>
      </c>
      <c r="Q123" t="str">
        <f>IF($I123="","",IF($I123&gt;PARAMETRES!$G$29,5,IF($I123&gt;PARAMETRES!$F$29,4,IF($I123&gt;PARAMETRES!$E$29,3,IF($I123&gt;PARAMETRES!$D$29,2,1)))))</f>
        <v/>
      </c>
      <c r="R123" t="str">
        <f>IF($J123="","",IF($J123&gt;PARAMETRES!$G$30,5,IF($J123&gt;PARAMETRES!$F$30,4,IF($J123&gt;PARAMETRES!$E$30,3,IF($J123&gt;PARAMETRES!$D$30,2,1)))))</f>
        <v/>
      </c>
      <c r="S123" t="str">
        <f>IF($K123="","",IF($Z123=2,IF($K123&gt;PARAMETRES!$G$31,5,IF($K123&gt;PARAMETRES!$F$31,4,IF($K123&gt;PARAMETRES!$E$31,3,IF($K123&gt;PARAMETRES!$D$31,2,1)))),IF($K123&gt;PARAMETRES!$G$32,5,IF($K123&gt;PARAMETRES!$F$32,4,IF($K123&gt;PARAMETRES!$E$32,3,IF($K123&gt;PARAMETRES!$D$32,2,1))))))</f>
        <v/>
      </c>
      <c r="T123" t="str">
        <f>IF($L123="","",IF($L123&gt;PARAMETRES!$G$33,5,IF($L123&gt;PARAMETRES!$F$33,4,IF($L123&gt;PARAMETRES!$E$33,3,IF($L123&gt;PARAMETRES!$D$33,2,1)))))</f>
        <v/>
      </c>
      <c r="U123" t="str">
        <f>IF($M123="","",IF($M123&gt;PARAMETRES!$G$34,5,IF($M123&gt;PARAMETRES!$F$34,4,IF($M123&gt;PARAMETRES!$E$34,3,IF($M123&gt;PARAMETRES!$D$34,2,1)))))</f>
        <v/>
      </c>
      <c r="V123" t="str">
        <f>IF($N123="","",IF($N123&gt;PARAMETRES!$G$35,5,IF($N123&gt;PARAMETRES!$F$35,4,IF($N123&gt;PARAMETRES!$E$35,3,IF($N123&gt;PARAMETRES!$D$35,2,1)))))</f>
        <v/>
      </c>
      <c r="W123" t="str">
        <f>IF($O123="","",IF($O123&gt;PARAMETRES!$G$36,5,IF($O123&gt;PARAMETRES!$F$36,4,IF($O123&gt;PARAMETRES!$E$36,3,IF($O123&gt;PARAMETRES!$D$36,2,1)))))</f>
        <v/>
      </c>
      <c r="X123" t="str">
        <f>IF($P123="","",IF($P123&gt;PARAMETRES!$G$37,5,IF($P123&gt;PARAMETRES!$F$37,4,IF($P123&gt;PARAMETRES!$E$37,3,IF($P123&gt;PARAMETRES!$D$37,2,1)))))</f>
        <v/>
      </c>
      <c r="Y123" t="str">
        <f t="shared" si="24"/>
        <v/>
      </c>
      <c r="Z123" t="str">
        <f>IFERROR(VLOOKUP($B123,TABLE_CYCLE,2,0),"")</f>
        <v/>
      </c>
      <c r="AA123" t="str">
        <f t="shared" si="25"/>
        <v/>
      </c>
      <c r="AB123" t="str">
        <f>IF($D123="","",IF(COUNTIF($D$2:$D123,$D123)=1,$D123,""))</f>
        <v/>
      </c>
      <c r="AC123">
        <f t="shared" si="26"/>
        <v>0</v>
      </c>
      <c r="AD123" t="str">
        <f t="shared" si="27"/>
        <v>|0</v>
      </c>
      <c r="AE123" t="str">
        <f t="shared" si="28"/>
        <v/>
      </c>
      <c r="AF123" t="str">
        <f t="shared" si="29"/>
        <v/>
      </c>
      <c r="AG123" t="str">
        <f t="shared" si="30"/>
        <v/>
      </c>
      <c r="AH123" t="str">
        <f t="shared" si="31"/>
        <v/>
      </c>
      <c r="AI123" t="str">
        <f t="shared" si="32"/>
        <v/>
      </c>
      <c r="AJ123" t="str">
        <f t="shared" si="33"/>
        <v/>
      </c>
      <c r="AK123" t="str">
        <f t="shared" si="34"/>
        <v/>
      </c>
      <c r="AL123" t="str">
        <f t="shared" si="35"/>
        <v/>
      </c>
      <c r="AM123" t="str">
        <f t="shared" si="36"/>
        <v/>
      </c>
      <c r="AN123" t="str">
        <f t="shared" si="37"/>
        <v/>
      </c>
      <c r="AO123" t="str">
        <f t="shared" si="38"/>
        <v/>
      </c>
      <c r="AP123">
        <f t="shared" si="39"/>
        <v>1</v>
      </c>
      <c r="AQ123" t="str">
        <f>IF(SAISIE!$F128="","",SAISIE!$Y128)</f>
        <v/>
      </c>
      <c r="AR123" t="str">
        <f>IF(OR(SAISIE!$U$4="",SAISIE!$W$4=""),"",IF(AND($A123=SAISIE!$U$4,$B123=SAISIE!$W$4,$C123="S1"),COUNTIFS($A$2:$A123,SAISIE!$U$4,$B$2:$B123,SAISIE!$W$4,$C$2:$C123,"S1"),""))</f>
        <v/>
      </c>
      <c r="AS123" t="str">
        <f t="shared" si="40"/>
        <v/>
      </c>
      <c r="AT123" t="str">
        <f t="shared" si="41"/>
        <v/>
      </c>
      <c r="AU123" t="str">
        <f t="shared" si="42"/>
        <v/>
      </c>
      <c r="AV123">
        <f>N(AV122)+IF(AND($AB123&lt;&gt;"",OR('PROFIL ELEVE'!$K$4="(Tous)",$AF123='PROFIL ELEVE'!$K$4)),1,0)</f>
        <v>0</v>
      </c>
      <c r="AW123">
        <f>N(AW122)+IF(AND($AB123&lt;&gt;"",OR('SUIVI LONGITUDINAL'!$Q$4="(Tous)",$AF123='SUIVI LONGITUDINAL'!$Q$4)),1,0)</f>
        <v>0</v>
      </c>
      <c r="AX123">
        <f t="shared" si="43"/>
        <v>0</v>
      </c>
      <c r="AY123">
        <f t="shared" si="44"/>
        <v>0</v>
      </c>
      <c r="AZ123">
        <f t="shared" si="45"/>
        <v>0</v>
      </c>
      <c r="BA123" t="str">
        <f t="shared" si="46"/>
        <v/>
      </c>
      <c r="BB123" t="str">
        <f t="shared" si="47"/>
        <v/>
      </c>
    </row>
    <row r="124" spans="1:54" ht="14.25" customHeight="1" x14ac:dyDescent="0.3">
      <c r="A124" t="str">
        <f>IF(SAISIE!$F129="","",SAISIE!$B129)</f>
        <v/>
      </c>
      <c r="B124" t="str">
        <f>IF(SAISIE!$F129="","",SAISIE!$C129)</f>
        <v/>
      </c>
      <c r="C124" t="str">
        <f>IF(SAISIE!$F129="","",SAISIE!$D129)</f>
        <v/>
      </c>
      <c r="D124" t="str">
        <f>IF(SAISIE!$E129="","",SAISIE!$E129)</f>
        <v/>
      </c>
      <c r="E124" t="str">
        <f>IF(SAISIE!$F129="","",SAISIE!$F129)</f>
        <v/>
      </c>
      <c r="F124" t="str">
        <f>IF(SAISIE!$G129="","",SAISIE!$G129)</f>
        <v/>
      </c>
      <c r="G124" t="str">
        <f>IF(SAISIE!$H129="","",SAISIE!$H129)</f>
        <v/>
      </c>
      <c r="H124" t="str">
        <f>IF(SAISIE!$I129="","",SAISIE!$I129)</f>
        <v/>
      </c>
      <c r="I124" t="str">
        <f>IF(SAISIE!$J129="","",SAISIE!$J129)</f>
        <v/>
      </c>
      <c r="J124" t="str">
        <f>IF(SAISIE!$K129="","",SAISIE!$K129)</f>
        <v/>
      </c>
      <c r="K124" t="str">
        <f>IF(SAISIE!$L129="","",SAISIE!$L129)</f>
        <v/>
      </c>
      <c r="L124" t="str">
        <f>IF(SAISIE!$M129="","",SAISIE!$M129)</f>
        <v/>
      </c>
      <c r="M124" t="str">
        <f>IF(SAISIE!$N129="","",SAISIE!$N129)</f>
        <v/>
      </c>
      <c r="N124" t="str">
        <f>IF(SAISIE!$O129="","",SAISIE!$O129)</f>
        <v/>
      </c>
      <c r="O124" t="str">
        <f>IF(SAISIE!$P129="","",SAISIE!$P129)</f>
        <v/>
      </c>
      <c r="P124" t="str">
        <f>IF(SAISIE!$Q129="","",SAISIE!$Q129)</f>
        <v/>
      </c>
      <c r="Q124" t="str">
        <f>IF($I124="","",IF($I124&gt;PARAMETRES!$G$29,5,IF($I124&gt;PARAMETRES!$F$29,4,IF($I124&gt;PARAMETRES!$E$29,3,IF($I124&gt;PARAMETRES!$D$29,2,1)))))</f>
        <v/>
      </c>
      <c r="R124" t="str">
        <f>IF($J124="","",IF($J124&gt;PARAMETRES!$G$30,5,IF($J124&gt;PARAMETRES!$F$30,4,IF($J124&gt;PARAMETRES!$E$30,3,IF($J124&gt;PARAMETRES!$D$30,2,1)))))</f>
        <v/>
      </c>
      <c r="S124" t="str">
        <f>IF($K124="","",IF($Z124=2,IF($K124&gt;PARAMETRES!$G$31,5,IF($K124&gt;PARAMETRES!$F$31,4,IF($K124&gt;PARAMETRES!$E$31,3,IF($K124&gt;PARAMETRES!$D$31,2,1)))),IF($K124&gt;PARAMETRES!$G$32,5,IF($K124&gt;PARAMETRES!$F$32,4,IF($K124&gt;PARAMETRES!$E$32,3,IF($K124&gt;PARAMETRES!$D$32,2,1))))))</f>
        <v/>
      </c>
      <c r="T124" t="str">
        <f>IF($L124="","",IF($L124&gt;PARAMETRES!$G$33,5,IF($L124&gt;PARAMETRES!$F$33,4,IF($L124&gt;PARAMETRES!$E$33,3,IF($L124&gt;PARAMETRES!$D$33,2,1)))))</f>
        <v/>
      </c>
      <c r="U124" t="str">
        <f>IF($M124="","",IF($M124&gt;PARAMETRES!$G$34,5,IF($M124&gt;PARAMETRES!$F$34,4,IF($M124&gt;PARAMETRES!$E$34,3,IF($M124&gt;PARAMETRES!$D$34,2,1)))))</f>
        <v/>
      </c>
      <c r="V124" t="str">
        <f>IF($N124="","",IF($N124&gt;PARAMETRES!$G$35,5,IF($N124&gt;PARAMETRES!$F$35,4,IF($N124&gt;PARAMETRES!$E$35,3,IF($N124&gt;PARAMETRES!$D$35,2,1)))))</f>
        <v/>
      </c>
      <c r="W124" t="str">
        <f>IF($O124="","",IF($O124&gt;PARAMETRES!$G$36,5,IF($O124&gt;PARAMETRES!$F$36,4,IF($O124&gt;PARAMETRES!$E$36,3,IF($O124&gt;PARAMETRES!$D$36,2,1)))))</f>
        <v/>
      </c>
      <c r="X124" t="str">
        <f>IF($P124="","",IF($P124&gt;PARAMETRES!$G$37,5,IF($P124&gt;PARAMETRES!$F$37,4,IF($P124&gt;PARAMETRES!$E$37,3,IF($P124&gt;PARAMETRES!$D$37,2,1)))))</f>
        <v/>
      </c>
      <c r="Y124" t="str">
        <f t="shared" si="24"/>
        <v/>
      </c>
      <c r="Z124" t="str">
        <f>IFERROR(VLOOKUP($B124,TABLE_CYCLE,2,0),"")</f>
        <v/>
      </c>
      <c r="AA124" t="str">
        <f t="shared" si="25"/>
        <v/>
      </c>
      <c r="AB124" t="str">
        <f>IF($D124="","",IF(COUNTIF($D$2:$D124,$D124)=1,$D124,""))</f>
        <v/>
      </c>
      <c r="AC124">
        <f t="shared" si="26"/>
        <v>0</v>
      </c>
      <c r="AD124" t="str">
        <f t="shared" si="27"/>
        <v>|0</v>
      </c>
      <c r="AE124" t="str">
        <f t="shared" si="28"/>
        <v/>
      </c>
      <c r="AF124" t="str">
        <f t="shared" si="29"/>
        <v/>
      </c>
      <c r="AG124" t="str">
        <f t="shared" si="30"/>
        <v/>
      </c>
      <c r="AH124" t="str">
        <f t="shared" si="31"/>
        <v/>
      </c>
      <c r="AI124" t="str">
        <f t="shared" si="32"/>
        <v/>
      </c>
      <c r="AJ124" t="str">
        <f t="shared" si="33"/>
        <v/>
      </c>
      <c r="AK124" t="str">
        <f t="shared" si="34"/>
        <v/>
      </c>
      <c r="AL124" t="str">
        <f t="shared" si="35"/>
        <v/>
      </c>
      <c r="AM124" t="str">
        <f t="shared" si="36"/>
        <v/>
      </c>
      <c r="AN124" t="str">
        <f t="shared" si="37"/>
        <v/>
      </c>
      <c r="AO124" t="str">
        <f t="shared" si="38"/>
        <v/>
      </c>
      <c r="AP124">
        <f t="shared" si="39"/>
        <v>1</v>
      </c>
      <c r="AQ124" t="str">
        <f>IF(SAISIE!$F129="","",SAISIE!$Y129)</f>
        <v/>
      </c>
      <c r="AR124" t="str">
        <f>IF(OR(SAISIE!$U$4="",SAISIE!$W$4=""),"",IF(AND($A124=SAISIE!$U$4,$B124=SAISIE!$W$4,$C124="S1"),COUNTIFS($A$2:$A124,SAISIE!$U$4,$B$2:$B124,SAISIE!$W$4,$C$2:$C124,"S1"),""))</f>
        <v/>
      </c>
      <c r="AS124" t="str">
        <f t="shared" si="40"/>
        <v/>
      </c>
      <c r="AT124" t="str">
        <f t="shared" si="41"/>
        <v/>
      </c>
      <c r="AU124" t="str">
        <f t="shared" si="42"/>
        <v/>
      </c>
      <c r="AV124">
        <f>N(AV123)+IF(AND($AB124&lt;&gt;"",OR('PROFIL ELEVE'!$K$4="(Tous)",$AF124='PROFIL ELEVE'!$K$4)),1,0)</f>
        <v>0</v>
      </c>
      <c r="AW124">
        <f>N(AW123)+IF(AND($AB124&lt;&gt;"",OR('SUIVI LONGITUDINAL'!$Q$4="(Tous)",$AF124='SUIVI LONGITUDINAL'!$Q$4)),1,0)</f>
        <v>0</v>
      </c>
      <c r="AX124">
        <f t="shared" si="43"/>
        <v>0</v>
      </c>
      <c r="AY124">
        <f t="shared" si="44"/>
        <v>0</v>
      </c>
      <c r="AZ124">
        <f t="shared" si="45"/>
        <v>0</v>
      </c>
      <c r="BA124" t="str">
        <f t="shared" si="46"/>
        <v/>
      </c>
      <c r="BB124" t="str">
        <f t="shared" si="47"/>
        <v/>
      </c>
    </row>
    <row r="125" spans="1:54" ht="14.25" customHeight="1" x14ac:dyDescent="0.3">
      <c r="A125" t="str">
        <f>IF(SAISIE!$F130="","",SAISIE!$B130)</f>
        <v/>
      </c>
      <c r="B125" t="str">
        <f>IF(SAISIE!$F130="","",SAISIE!$C130)</f>
        <v/>
      </c>
      <c r="C125" t="str">
        <f>IF(SAISIE!$F130="","",SAISIE!$D130)</f>
        <v/>
      </c>
      <c r="D125" t="str">
        <f>IF(SAISIE!$E130="","",SAISIE!$E130)</f>
        <v/>
      </c>
      <c r="E125" t="str">
        <f>IF(SAISIE!$F130="","",SAISIE!$F130)</f>
        <v/>
      </c>
      <c r="F125" t="str">
        <f>IF(SAISIE!$G130="","",SAISIE!$G130)</f>
        <v/>
      </c>
      <c r="G125" t="str">
        <f>IF(SAISIE!$H130="","",SAISIE!$H130)</f>
        <v/>
      </c>
      <c r="H125" t="str">
        <f>IF(SAISIE!$I130="","",SAISIE!$I130)</f>
        <v/>
      </c>
      <c r="I125" t="str">
        <f>IF(SAISIE!$J130="","",SAISIE!$J130)</f>
        <v/>
      </c>
      <c r="J125" t="str">
        <f>IF(SAISIE!$K130="","",SAISIE!$K130)</f>
        <v/>
      </c>
      <c r="K125" t="str">
        <f>IF(SAISIE!$L130="","",SAISIE!$L130)</f>
        <v/>
      </c>
      <c r="L125" t="str">
        <f>IF(SAISIE!$M130="","",SAISIE!$M130)</f>
        <v/>
      </c>
      <c r="M125" t="str">
        <f>IF(SAISIE!$N130="","",SAISIE!$N130)</f>
        <v/>
      </c>
      <c r="N125" t="str">
        <f>IF(SAISIE!$O130="","",SAISIE!$O130)</f>
        <v/>
      </c>
      <c r="O125" t="str">
        <f>IF(SAISIE!$P130="","",SAISIE!$P130)</f>
        <v/>
      </c>
      <c r="P125" t="str">
        <f>IF(SAISIE!$Q130="","",SAISIE!$Q130)</f>
        <v/>
      </c>
      <c r="Q125" t="str">
        <f>IF($I125="","",IF($I125&gt;PARAMETRES!$G$29,5,IF($I125&gt;PARAMETRES!$F$29,4,IF($I125&gt;PARAMETRES!$E$29,3,IF($I125&gt;PARAMETRES!$D$29,2,1)))))</f>
        <v/>
      </c>
      <c r="R125" t="str">
        <f>IF($J125="","",IF($J125&gt;PARAMETRES!$G$30,5,IF($J125&gt;PARAMETRES!$F$30,4,IF($J125&gt;PARAMETRES!$E$30,3,IF($J125&gt;PARAMETRES!$D$30,2,1)))))</f>
        <v/>
      </c>
      <c r="S125" t="str">
        <f>IF($K125="","",IF($Z125=2,IF($K125&gt;PARAMETRES!$G$31,5,IF($K125&gt;PARAMETRES!$F$31,4,IF($K125&gt;PARAMETRES!$E$31,3,IF($K125&gt;PARAMETRES!$D$31,2,1)))),IF($K125&gt;PARAMETRES!$G$32,5,IF($K125&gt;PARAMETRES!$F$32,4,IF($K125&gt;PARAMETRES!$E$32,3,IF($K125&gt;PARAMETRES!$D$32,2,1))))))</f>
        <v/>
      </c>
      <c r="T125" t="str">
        <f>IF($L125="","",IF($L125&gt;PARAMETRES!$G$33,5,IF($L125&gt;PARAMETRES!$F$33,4,IF($L125&gt;PARAMETRES!$E$33,3,IF($L125&gt;PARAMETRES!$D$33,2,1)))))</f>
        <v/>
      </c>
      <c r="U125" t="str">
        <f>IF($M125="","",IF($M125&gt;PARAMETRES!$G$34,5,IF($M125&gt;PARAMETRES!$F$34,4,IF($M125&gt;PARAMETRES!$E$34,3,IF($M125&gt;PARAMETRES!$D$34,2,1)))))</f>
        <v/>
      </c>
      <c r="V125" t="str">
        <f>IF($N125="","",IF($N125&gt;PARAMETRES!$G$35,5,IF($N125&gt;PARAMETRES!$F$35,4,IF($N125&gt;PARAMETRES!$E$35,3,IF($N125&gt;PARAMETRES!$D$35,2,1)))))</f>
        <v/>
      </c>
      <c r="W125" t="str">
        <f>IF($O125="","",IF($O125&gt;PARAMETRES!$G$36,5,IF($O125&gt;PARAMETRES!$F$36,4,IF($O125&gt;PARAMETRES!$E$36,3,IF($O125&gt;PARAMETRES!$D$36,2,1)))))</f>
        <v/>
      </c>
      <c r="X125" t="str">
        <f>IF($P125="","",IF($P125&gt;PARAMETRES!$G$37,5,IF($P125&gt;PARAMETRES!$F$37,4,IF($P125&gt;PARAMETRES!$E$37,3,IF($P125&gt;PARAMETRES!$D$37,2,1)))))</f>
        <v/>
      </c>
      <c r="Y125" t="str">
        <f t="shared" si="24"/>
        <v/>
      </c>
      <c r="Z125" t="str">
        <f>IFERROR(VLOOKUP($B125,TABLE_CYCLE,2,0),"")</f>
        <v/>
      </c>
      <c r="AA125" t="str">
        <f t="shared" si="25"/>
        <v/>
      </c>
      <c r="AB125" t="str">
        <f>IF($D125="","",IF(COUNTIF($D$2:$D125,$D125)=1,$D125,""))</f>
        <v/>
      </c>
      <c r="AC125">
        <f t="shared" si="26"/>
        <v>0</v>
      </c>
      <c r="AD125" t="str">
        <f t="shared" si="27"/>
        <v>|0</v>
      </c>
      <c r="AE125" t="str">
        <f t="shared" si="28"/>
        <v/>
      </c>
      <c r="AF125" t="str">
        <f t="shared" si="29"/>
        <v/>
      </c>
      <c r="AG125" t="str">
        <f t="shared" si="30"/>
        <v/>
      </c>
      <c r="AH125" t="str">
        <f t="shared" si="31"/>
        <v/>
      </c>
      <c r="AI125" t="str">
        <f t="shared" si="32"/>
        <v/>
      </c>
      <c r="AJ125" t="str">
        <f t="shared" si="33"/>
        <v/>
      </c>
      <c r="AK125" t="str">
        <f t="shared" si="34"/>
        <v/>
      </c>
      <c r="AL125" t="str">
        <f t="shared" si="35"/>
        <v/>
      </c>
      <c r="AM125" t="str">
        <f t="shared" si="36"/>
        <v/>
      </c>
      <c r="AN125" t="str">
        <f t="shared" si="37"/>
        <v/>
      </c>
      <c r="AO125" t="str">
        <f t="shared" si="38"/>
        <v/>
      </c>
      <c r="AP125">
        <f t="shared" si="39"/>
        <v>1</v>
      </c>
      <c r="AQ125" t="str">
        <f>IF(SAISIE!$F130="","",SAISIE!$Y130)</f>
        <v/>
      </c>
      <c r="AR125" t="str">
        <f>IF(OR(SAISIE!$U$4="",SAISIE!$W$4=""),"",IF(AND($A125=SAISIE!$U$4,$B125=SAISIE!$W$4,$C125="S1"),COUNTIFS($A$2:$A125,SAISIE!$U$4,$B$2:$B125,SAISIE!$W$4,$C$2:$C125,"S1"),""))</f>
        <v/>
      </c>
      <c r="AS125" t="str">
        <f t="shared" si="40"/>
        <v/>
      </c>
      <c r="AT125" t="str">
        <f t="shared" si="41"/>
        <v/>
      </c>
      <c r="AU125" t="str">
        <f t="shared" si="42"/>
        <v/>
      </c>
      <c r="AV125">
        <f>N(AV124)+IF(AND($AB125&lt;&gt;"",OR('PROFIL ELEVE'!$K$4="(Tous)",$AF125='PROFIL ELEVE'!$K$4)),1,0)</f>
        <v>0</v>
      </c>
      <c r="AW125">
        <f>N(AW124)+IF(AND($AB125&lt;&gt;"",OR('SUIVI LONGITUDINAL'!$Q$4="(Tous)",$AF125='SUIVI LONGITUDINAL'!$Q$4)),1,0)</f>
        <v>0</v>
      </c>
      <c r="AX125">
        <f t="shared" si="43"/>
        <v>0</v>
      </c>
      <c r="AY125">
        <f t="shared" si="44"/>
        <v>0</v>
      </c>
      <c r="AZ125">
        <f t="shared" si="45"/>
        <v>0</v>
      </c>
      <c r="BA125" t="str">
        <f t="shared" si="46"/>
        <v/>
      </c>
      <c r="BB125" t="str">
        <f t="shared" si="47"/>
        <v/>
      </c>
    </row>
    <row r="126" spans="1:54" ht="14.25" customHeight="1" x14ac:dyDescent="0.3">
      <c r="A126" t="str">
        <f>IF(SAISIE!$F131="","",SAISIE!$B131)</f>
        <v/>
      </c>
      <c r="B126" t="str">
        <f>IF(SAISIE!$F131="","",SAISIE!$C131)</f>
        <v/>
      </c>
      <c r="C126" t="str">
        <f>IF(SAISIE!$F131="","",SAISIE!$D131)</f>
        <v/>
      </c>
      <c r="D126" t="str">
        <f>IF(SAISIE!$E131="","",SAISIE!$E131)</f>
        <v/>
      </c>
      <c r="E126" t="str">
        <f>IF(SAISIE!$F131="","",SAISIE!$F131)</f>
        <v/>
      </c>
      <c r="F126" t="str">
        <f>IF(SAISIE!$G131="","",SAISIE!$G131)</f>
        <v/>
      </c>
      <c r="G126" t="str">
        <f>IF(SAISIE!$H131="","",SAISIE!$H131)</f>
        <v/>
      </c>
      <c r="H126" t="str">
        <f>IF(SAISIE!$I131="","",SAISIE!$I131)</f>
        <v/>
      </c>
      <c r="I126" t="str">
        <f>IF(SAISIE!$J131="","",SAISIE!$J131)</f>
        <v/>
      </c>
      <c r="J126" t="str">
        <f>IF(SAISIE!$K131="","",SAISIE!$K131)</f>
        <v/>
      </c>
      <c r="K126" t="str">
        <f>IF(SAISIE!$L131="","",SAISIE!$L131)</f>
        <v/>
      </c>
      <c r="L126" t="str">
        <f>IF(SAISIE!$M131="","",SAISIE!$M131)</f>
        <v/>
      </c>
      <c r="M126" t="str">
        <f>IF(SAISIE!$N131="","",SAISIE!$N131)</f>
        <v/>
      </c>
      <c r="N126" t="str">
        <f>IF(SAISIE!$O131="","",SAISIE!$O131)</f>
        <v/>
      </c>
      <c r="O126" t="str">
        <f>IF(SAISIE!$P131="","",SAISIE!$P131)</f>
        <v/>
      </c>
      <c r="P126" t="str">
        <f>IF(SAISIE!$Q131="","",SAISIE!$Q131)</f>
        <v/>
      </c>
      <c r="Q126" t="str">
        <f>IF($I126="","",IF($I126&gt;PARAMETRES!$G$29,5,IF($I126&gt;PARAMETRES!$F$29,4,IF($I126&gt;PARAMETRES!$E$29,3,IF($I126&gt;PARAMETRES!$D$29,2,1)))))</f>
        <v/>
      </c>
      <c r="R126" t="str">
        <f>IF($J126="","",IF($J126&gt;PARAMETRES!$G$30,5,IF($J126&gt;PARAMETRES!$F$30,4,IF($J126&gt;PARAMETRES!$E$30,3,IF($J126&gt;PARAMETRES!$D$30,2,1)))))</f>
        <v/>
      </c>
      <c r="S126" t="str">
        <f>IF($K126="","",IF($Z126=2,IF($K126&gt;PARAMETRES!$G$31,5,IF($K126&gt;PARAMETRES!$F$31,4,IF($K126&gt;PARAMETRES!$E$31,3,IF($K126&gt;PARAMETRES!$D$31,2,1)))),IF($K126&gt;PARAMETRES!$G$32,5,IF($K126&gt;PARAMETRES!$F$32,4,IF($K126&gt;PARAMETRES!$E$32,3,IF($K126&gt;PARAMETRES!$D$32,2,1))))))</f>
        <v/>
      </c>
      <c r="T126" t="str">
        <f>IF($L126="","",IF($L126&gt;PARAMETRES!$G$33,5,IF($L126&gt;PARAMETRES!$F$33,4,IF($L126&gt;PARAMETRES!$E$33,3,IF($L126&gt;PARAMETRES!$D$33,2,1)))))</f>
        <v/>
      </c>
      <c r="U126" t="str">
        <f>IF($M126="","",IF($M126&gt;PARAMETRES!$G$34,5,IF($M126&gt;PARAMETRES!$F$34,4,IF($M126&gt;PARAMETRES!$E$34,3,IF($M126&gt;PARAMETRES!$D$34,2,1)))))</f>
        <v/>
      </c>
      <c r="V126" t="str">
        <f>IF($N126="","",IF($N126&gt;PARAMETRES!$G$35,5,IF($N126&gt;PARAMETRES!$F$35,4,IF($N126&gt;PARAMETRES!$E$35,3,IF($N126&gt;PARAMETRES!$D$35,2,1)))))</f>
        <v/>
      </c>
      <c r="W126" t="str">
        <f>IF($O126="","",IF($O126&gt;PARAMETRES!$G$36,5,IF($O126&gt;PARAMETRES!$F$36,4,IF($O126&gt;PARAMETRES!$E$36,3,IF($O126&gt;PARAMETRES!$D$36,2,1)))))</f>
        <v/>
      </c>
      <c r="X126" t="str">
        <f>IF($P126="","",IF($P126&gt;PARAMETRES!$G$37,5,IF($P126&gt;PARAMETRES!$F$37,4,IF($P126&gt;PARAMETRES!$E$37,3,IF($P126&gt;PARAMETRES!$D$37,2,1)))))</f>
        <v/>
      </c>
      <c r="Y126" t="str">
        <f t="shared" si="24"/>
        <v/>
      </c>
      <c r="Z126" t="str">
        <f>IFERROR(VLOOKUP($B126,TABLE_CYCLE,2,0),"")</f>
        <v/>
      </c>
      <c r="AA126" t="str">
        <f t="shared" si="25"/>
        <v/>
      </c>
      <c r="AB126" t="str">
        <f>IF($D126="","",IF(COUNTIF($D$2:$D126,$D126)=1,$D126,""))</f>
        <v/>
      </c>
      <c r="AC126">
        <f t="shared" si="26"/>
        <v>0</v>
      </c>
      <c r="AD126" t="str">
        <f t="shared" si="27"/>
        <v>|0</v>
      </c>
      <c r="AE126" t="str">
        <f t="shared" si="28"/>
        <v/>
      </c>
      <c r="AF126" t="str">
        <f t="shared" si="29"/>
        <v/>
      </c>
      <c r="AG126" t="str">
        <f t="shared" si="30"/>
        <v/>
      </c>
      <c r="AH126" t="str">
        <f t="shared" si="31"/>
        <v/>
      </c>
      <c r="AI126" t="str">
        <f t="shared" si="32"/>
        <v/>
      </c>
      <c r="AJ126" t="str">
        <f t="shared" si="33"/>
        <v/>
      </c>
      <c r="AK126" t="str">
        <f t="shared" si="34"/>
        <v/>
      </c>
      <c r="AL126" t="str">
        <f t="shared" si="35"/>
        <v/>
      </c>
      <c r="AM126" t="str">
        <f t="shared" si="36"/>
        <v/>
      </c>
      <c r="AN126" t="str">
        <f t="shared" si="37"/>
        <v/>
      </c>
      <c r="AO126" t="str">
        <f t="shared" si="38"/>
        <v/>
      </c>
      <c r="AP126">
        <f t="shared" si="39"/>
        <v>1</v>
      </c>
      <c r="AQ126" t="str">
        <f>IF(SAISIE!$F131="","",SAISIE!$Y131)</f>
        <v/>
      </c>
      <c r="AR126" t="str">
        <f>IF(OR(SAISIE!$U$4="",SAISIE!$W$4=""),"",IF(AND($A126=SAISIE!$U$4,$B126=SAISIE!$W$4,$C126="S1"),COUNTIFS($A$2:$A126,SAISIE!$U$4,$B$2:$B126,SAISIE!$W$4,$C$2:$C126,"S1"),""))</f>
        <v/>
      </c>
      <c r="AS126" t="str">
        <f t="shared" si="40"/>
        <v/>
      </c>
      <c r="AT126" t="str">
        <f t="shared" si="41"/>
        <v/>
      </c>
      <c r="AU126" t="str">
        <f t="shared" si="42"/>
        <v/>
      </c>
      <c r="AV126">
        <f>N(AV125)+IF(AND($AB126&lt;&gt;"",OR('PROFIL ELEVE'!$K$4="(Tous)",$AF126='PROFIL ELEVE'!$K$4)),1,0)</f>
        <v>0</v>
      </c>
      <c r="AW126">
        <f>N(AW125)+IF(AND($AB126&lt;&gt;"",OR('SUIVI LONGITUDINAL'!$Q$4="(Tous)",$AF126='SUIVI LONGITUDINAL'!$Q$4)),1,0)</f>
        <v>0</v>
      </c>
      <c r="AX126">
        <f t="shared" si="43"/>
        <v>0</v>
      </c>
      <c r="AY126">
        <f t="shared" si="44"/>
        <v>0</v>
      </c>
      <c r="AZ126">
        <f t="shared" si="45"/>
        <v>0</v>
      </c>
      <c r="BA126" t="str">
        <f t="shared" si="46"/>
        <v/>
      </c>
      <c r="BB126" t="str">
        <f t="shared" si="47"/>
        <v/>
      </c>
    </row>
    <row r="127" spans="1:54" ht="14.25" customHeight="1" x14ac:dyDescent="0.3">
      <c r="A127" t="str">
        <f>IF(SAISIE!$F132="","",SAISIE!$B132)</f>
        <v/>
      </c>
      <c r="B127" t="str">
        <f>IF(SAISIE!$F132="","",SAISIE!$C132)</f>
        <v/>
      </c>
      <c r="C127" t="str">
        <f>IF(SAISIE!$F132="","",SAISIE!$D132)</f>
        <v/>
      </c>
      <c r="D127" t="str">
        <f>IF(SAISIE!$E132="","",SAISIE!$E132)</f>
        <v/>
      </c>
      <c r="E127" t="str">
        <f>IF(SAISIE!$F132="","",SAISIE!$F132)</f>
        <v/>
      </c>
      <c r="F127" t="str">
        <f>IF(SAISIE!$G132="","",SAISIE!$G132)</f>
        <v/>
      </c>
      <c r="G127" t="str">
        <f>IF(SAISIE!$H132="","",SAISIE!$H132)</f>
        <v/>
      </c>
      <c r="H127" t="str">
        <f>IF(SAISIE!$I132="","",SAISIE!$I132)</f>
        <v/>
      </c>
      <c r="I127" t="str">
        <f>IF(SAISIE!$J132="","",SAISIE!$J132)</f>
        <v/>
      </c>
      <c r="J127" t="str">
        <f>IF(SAISIE!$K132="","",SAISIE!$K132)</f>
        <v/>
      </c>
      <c r="K127" t="str">
        <f>IF(SAISIE!$L132="","",SAISIE!$L132)</f>
        <v/>
      </c>
      <c r="L127" t="str">
        <f>IF(SAISIE!$M132="","",SAISIE!$M132)</f>
        <v/>
      </c>
      <c r="M127" t="str">
        <f>IF(SAISIE!$N132="","",SAISIE!$N132)</f>
        <v/>
      </c>
      <c r="N127" t="str">
        <f>IF(SAISIE!$O132="","",SAISIE!$O132)</f>
        <v/>
      </c>
      <c r="O127" t="str">
        <f>IF(SAISIE!$P132="","",SAISIE!$P132)</f>
        <v/>
      </c>
      <c r="P127" t="str">
        <f>IF(SAISIE!$Q132="","",SAISIE!$Q132)</f>
        <v/>
      </c>
      <c r="Q127" t="str">
        <f>IF($I127="","",IF($I127&gt;PARAMETRES!$G$29,5,IF($I127&gt;PARAMETRES!$F$29,4,IF($I127&gt;PARAMETRES!$E$29,3,IF($I127&gt;PARAMETRES!$D$29,2,1)))))</f>
        <v/>
      </c>
      <c r="R127" t="str">
        <f>IF($J127="","",IF($J127&gt;PARAMETRES!$G$30,5,IF($J127&gt;PARAMETRES!$F$30,4,IF($J127&gt;PARAMETRES!$E$30,3,IF($J127&gt;PARAMETRES!$D$30,2,1)))))</f>
        <v/>
      </c>
      <c r="S127" t="str">
        <f>IF($K127="","",IF($Z127=2,IF($K127&gt;PARAMETRES!$G$31,5,IF($K127&gt;PARAMETRES!$F$31,4,IF($K127&gt;PARAMETRES!$E$31,3,IF($K127&gt;PARAMETRES!$D$31,2,1)))),IF($K127&gt;PARAMETRES!$G$32,5,IF($K127&gt;PARAMETRES!$F$32,4,IF($K127&gt;PARAMETRES!$E$32,3,IF($K127&gt;PARAMETRES!$D$32,2,1))))))</f>
        <v/>
      </c>
      <c r="T127" t="str">
        <f>IF($L127="","",IF($L127&gt;PARAMETRES!$G$33,5,IF($L127&gt;PARAMETRES!$F$33,4,IF($L127&gt;PARAMETRES!$E$33,3,IF($L127&gt;PARAMETRES!$D$33,2,1)))))</f>
        <v/>
      </c>
      <c r="U127" t="str">
        <f>IF($M127="","",IF($M127&gt;PARAMETRES!$G$34,5,IF($M127&gt;PARAMETRES!$F$34,4,IF($M127&gt;PARAMETRES!$E$34,3,IF($M127&gt;PARAMETRES!$D$34,2,1)))))</f>
        <v/>
      </c>
      <c r="V127" t="str">
        <f>IF($N127="","",IF($N127&gt;PARAMETRES!$G$35,5,IF($N127&gt;PARAMETRES!$F$35,4,IF($N127&gt;PARAMETRES!$E$35,3,IF($N127&gt;PARAMETRES!$D$35,2,1)))))</f>
        <v/>
      </c>
      <c r="W127" t="str">
        <f>IF($O127="","",IF($O127&gt;PARAMETRES!$G$36,5,IF($O127&gt;PARAMETRES!$F$36,4,IF($O127&gt;PARAMETRES!$E$36,3,IF($O127&gt;PARAMETRES!$D$36,2,1)))))</f>
        <v/>
      </c>
      <c r="X127" t="str">
        <f>IF($P127="","",IF($P127&gt;PARAMETRES!$G$37,5,IF($P127&gt;PARAMETRES!$F$37,4,IF($P127&gt;PARAMETRES!$E$37,3,IF($P127&gt;PARAMETRES!$D$37,2,1)))))</f>
        <v/>
      </c>
      <c r="Y127" t="str">
        <f t="shared" si="24"/>
        <v/>
      </c>
      <c r="Z127" t="str">
        <f>IFERROR(VLOOKUP($B127,TABLE_CYCLE,2,0),"")</f>
        <v/>
      </c>
      <c r="AA127" t="str">
        <f t="shared" si="25"/>
        <v/>
      </c>
      <c r="AB127" t="str">
        <f>IF($D127="","",IF(COUNTIF($D$2:$D127,$D127)=1,$D127,""))</f>
        <v/>
      </c>
      <c r="AC127">
        <f t="shared" si="26"/>
        <v>0</v>
      </c>
      <c r="AD127" t="str">
        <f t="shared" si="27"/>
        <v>|0</v>
      </c>
      <c r="AE127" t="str">
        <f t="shared" si="28"/>
        <v/>
      </c>
      <c r="AF127" t="str">
        <f t="shared" si="29"/>
        <v/>
      </c>
      <c r="AG127" t="str">
        <f t="shared" si="30"/>
        <v/>
      </c>
      <c r="AH127" t="str">
        <f t="shared" si="31"/>
        <v/>
      </c>
      <c r="AI127" t="str">
        <f t="shared" si="32"/>
        <v/>
      </c>
      <c r="AJ127" t="str">
        <f t="shared" si="33"/>
        <v/>
      </c>
      <c r="AK127" t="str">
        <f t="shared" si="34"/>
        <v/>
      </c>
      <c r="AL127" t="str">
        <f t="shared" si="35"/>
        <v/>
      </c>
      <c r="AM127" t="str">
        <f t="shared" si="36"/>
        <v/>
      </c>
      <c r="AN127" t="str">
        <f t="shared" si="37"/>
        <v/>
      </c>
      <c r="AO127" t="str">
        <f t="shared" si="38"/>
        <v/>
      </c>
      <c r="AP127">
        <f t="shared" si="39"/>
        <v>1</v>
      </c>
      <c r="AQ127" t="str">
        <f>IF(SAISIE!$F132="","",SAISIE!$Y132)</f>
        <v/>
      </c>
      <c r="AR127" t="str">
        <f>IF(OR(SAISIE!$U$4="",SAISIE!$W$4=""),"",IF(AND($A127=SAISIE!$U$4,$B127=SAISIE!$W$4,$C127="S1"),COUNTIFS($A$2:$A127,SAISIE!$U$4,$B$2:$B127,SAISIE!$W$4,$C$2:$C127,"S1"),""))</f>
        <v/>
      </c>
      <c r="AS127" t="str">
        <f t="shared" si="40"/>
        <v/>
      </c>
      <c r="AT127" t="str">
        <f t="shared" si="41"/>
        <v/>
      </c>
      <c r="AU127" t="str">
        <f t="shared" si="42"/>
        <v/>
      </c>
      <c r="AV127">
        <f>N(AV126)+IF(AND($AB127&lt;&gt;"",OR('PROFIL ELEVE'!$K$4="(Tous)",$AF127='PROFIL ELEVE'!$K$4)),1,0)</f>
        <v>0</v>
      </c>
      <c r="AW127">
        <f>N(AW126)+IF(AND($AB127&lt;&gt;"",OR('SUIVI LONGITUDINAL'!$Q$4="(Tous)",$AF127='SUIVI LONGITUDINAL'!$Q$4)),1,0)</f>
        <v>0</v>
      </c>
      <c r="AX127">
        <f t="shared" si="43"/>
        <v>0</v>
      </c>
      <c r="AY127">
        <f t="shared" si="44"/>
        <v>0</v>
      </c>
      <c r="AZ127">
        <f t="shared" si="45"/>
        <v>0</v>
      </c>
      <c r="BA127" t="str">
        <f t="shared" si="46"/>
        <v/>
      </c>
      <c r="BB127" t="str">
        <f t="shared" si="47"/>
        <v/>
      </c>
    </row>
    <row r="128" spans="1:54" ht="14.25" customHeight="1" x14ac:dyDescent="0.3">
      <c r="A128" t="str">
        <f>IF(SAISIE!$F133="","",SAISIE!$B133)</f>
        <v/>
      </c>
      <c r="B128" t="str">
        <f>IF(SAISIE!$F133="","",SAISIE!$C133)</f>
        <v/>
      </c>
      <c r="C128" t="str">
        <f>IF(SAISIE!$F133="","",SAISIE!$D133)</f>
        <v/>
      </c>
      <c r="D128" t="str">
        <f>IF(SAISIE!$E133="","",SAISIE!$E133)</f>
        <v/>
      </c>
      <c r="E128" t="str">
        <f>IF(SAISIE!$F133="","",SAISIE!$F133)</f>
        <v/>
      </c>
      <c r="F128" t="str">
        <f>IF(SAISIE!$G133="","",SAISIE!$G133)</f>
        <v/>
      </c>
      <c r="G128" t="str">
        <f>IF(SAISIE!$H133="","",SAISIE!$H133)</f>
        <v/>
      </c>
      <c r="H128" t="str">
        <f>IF(SAISIE!$I133="","",SAISIE!$I133)</f>
        <v/>
      </c>
      <c r="I128" t="str">
        <f>IF(SAISIE!$J133="","",SAISIE!$J133)</f>
        <v/>
      </c>
      <c r="J128" t="str">
        <f>IF(SAISIE!$K133="","",SAISIE!$K133)</f>
        <v/>
      </c>
      <c r="K128" t="str">
        <f>IF(SAISIE!$L133="","",SAISIE!$L133)</f>
        <v/>
      </c>
      <c r="L128" t="str">
        <f>IF(SAISIE!$M133="","",SAISIE!$M133)</f>
        <v/>
      </c>
      <c r="M128" t="str">
        <f>IF(SAISIE!$N133="","",SAISIE!$N133)</f>
        <v/>
      </c>
      <c r="N128" t="str">
        <f>IF(SAISIE!$O133="","",SAISIE!$O133)</f>
        <v/>
      </c>
      <c r="O128" t="str">
        <f>IF(SAISIE!$P133="","",SAISIE!$P133)</f>
        <v/>
      </c>
      <c r="P128" t="str">
        <f>IF(SAISIE!$Q133="","",SAISIE!$Q133)</f>
        <v/>
      </c>
      <c r="Q128" t="str">
        <f>IF($I128="","",IF($I128&gt;PARAMETRES!$G$29,5,IF($I128&gt;PARAMETRES!$F$29,4,IF($I128&gt;PARAMETRES!$E$29,3,IF($I128&gt;PARAMETRES!$D$29,2,1)))))</f>
        <v/>
      </c>
      <c r="R128" t="str">
        <f>IF($J128="","",IF($J128&gt;PARAMETRES!$G$30,5,IF($J128&gt;PARAMETRES!$F$30,4,IF($J128&gt;PARAMETRES!$E$30,3,IF($J128&gt;PARAMETRES!$D$30,2,1)))))</f>
        <v/>
      </c>
      <c r="S128" t="str">
        <f>IF($K128="","",IF($Z128=2,IF($K128&gt;PARAMETRES!$G$31,5,IF($K128&gt;PARAMETRES!$F$31,4,IF($K128&gt;PARAMETRES!$E$31,3,IF($K128&gt;PARAMETRES!$D$31,2,1)))),IF($K128&gt;PARAMETRES!$G$32,5,IF($K128&gt;PARAMETRES!$F$32,4,IF($K128&gt;PARAMETRES!$E$32,3,IF($K128&gt;PARAMETRES!$D$32,2,1))))))</f>
        <v/>
      </c>
      <c r="T128" t="str">
        <f>IF($L128="","",IF($L128&gt;PARAMETRES!$G$33,5,IF($L128&gt;PARAMETRES!$F$33,4,IF($L128&gt;PARAMETRES!$E$33,3,IF($L128&gt;PARAMETRES!$D$33,2,1)))))</f>
        <v/>
      </c>
      <c r="U128" t="str">
        <f>IF($M128="","",IF($M128&gt;PARAMETRES!$G$34,5,IF($M128&gt;PARAMETRES!$F$34,4,IF($M128&gt;PARAMETRES!$E$34,3,IF($M128&gt;PARAMETRES!$D$34,2,1)))))</f>
        <v/>
      </c>
      <c r="V128" t="str">
        <f>IF($N128="","",IF($N128&gt;PARAMETRES!$G$35,5,IF($N128&gt;PARAMETRES!$F$35,4,IF($N128&gt;PARAMETRES!$E$35,3,IF($N128&gt;PARAMETRES!$D$35,2,1)))))</f>
        <v/>
      </c>
      <c r="W128" t="str">
        <f>IF($O128="","",IF($O128&gt;PARAMETRES!$G$36,5,IF($O128&gt;PARAMETRES!$F$36,4,IF($O128&gt;PARAMETRES!$E$36,3,IF($O128&gt;PARAMETRES!$D$36,2,1)))))</f>
        <v/>
      </c>
      <c r="X128" t="str">
        <f>IF($P128="","",IF($P128&gt;PARAMETRES!$G$37,5,IF($P128&gt;PARAMETRES!$F$37,4,IF($P128&gt;PARAMETRES!$E$37,3,IF($P128&gt;PARAMETRES!$D$37,2,1)))))</f>
        <v/>
      </c>
      <c r="Y128" t="str">
        <f t="shared" si="24"/>
        <v/>
      </c>
      <c r="Z128" t="str">
        <f>IFERROR(VLOOKUP($B128,TABLE_CYCLE,2,0),"")</f>
        <v/>
      </c>
      <c r="AA128" t="str">
        <f t="shared" si="25"/>
        <v/>
      </c>
      <c r="AB128" t="str">
        <f>IF($D128="","",IF(COUNTIF($D$2:$D128,$D128)=1,$D128,""))</f>
        <v/>
      </c>
      <c r="AC128">
        <f t="shared" si="26"/>
        <v>0</v>
      </c>
      <c r="AD128" t="str">
        <f t="shared" si="27"/>
        <v>|0</v>
      </c>
      <c r="AE128" t="str">
        <f t="shared" si="28"/>
        <v/>
      </c>
      <c r="AF128" t="str">
        <f t="shared" si="29"/>
        <v/>
      </c>
      <c r="AG128" t="str">
        <f t="shared" si="30"/>
        <v/>
      </c>
      <c r="AH128" t="str">
        <f t="shared" si="31"/>
        <v/>
      </c>
      <c r="AI128" t="str">
        <f t="shared" si="32"/>
        <v/>
      </c>
      <c r="AJ128" t="str">
        <f t="shared" si="33"/>
        <v/>
      </c>
      <c r="AK128" t="str">
        <f t="shared" si="34"/>
        <v/>
      </c>
      <c r="AL128" t="str">
        <f t="shared" si="35"/>
        <v/>
      </c>
      <c r="AM128" t="str">
        <f t="shared" si="36"/>
        <v/>
      </c>
      <c r="AN128" t="str">
        <f t="shared" si="37"/>
        <v/>
      </c>
      <c r="AO128" t="str">
        <f t="shared" si="38"/>
        <v/>
      </c>
      <c r="AP128">
        <f t="shared" si="39"/>
        <v>1</v>
      </c>
      <c r="AQ128" t="str">
        <f>IF(SAISIE!$F133="","",SAISIE!$Y133)</f>
        <v/>
      </c>
      <c r="AR128" t="str">
        <f>IF(OR(SAISIE!$U$4="",SAISIE!$W$4=""),"",IF(AND($A128=SAISIE!$U$4,$B128=SAISIE!$W$4,$C128="S1"),COUNTIFS($A$2:$A128,SAISIE!$U$4,$B$2:$B128,SAISIE!$W$4,$C$2:$C128,"S1"),""))</f>
        <v/>
      </c>
      <c r="AS128" t="str">
        <f t="shared" si="40"/>
        <v/>
      </c>
      <c r="AT128" t="str">
        <f t="shared" si="41"/>
        <v/>
      </c>
      <c r="AU128" t="str">
        <f t="shared" si="42"/>
        <v/>
      </c>
      <c r="AV128">
        <f>N(AV127)+IF(AND($AB128&lt;&gt;"",OR('PROFIL ELEVE'!$K$4="(Tous)",$AF128='PROFIL ELEVE'!$K$4)),1,0)</f>
        <v>0</v>
      </c>
      <c r="AW128">
        <f>N(AW127)+IF(AND($AB128&lt;&gt;"",OR('SUIVI LONGITUDINAL'!$Q$4="(Tous)",$AF128='SUIVI LONGITUDINAL'!$Q$4)),1,0)</f>
        <v>0</v>
      </c>
      <c r="AX128">
        <f t="shared" si="43"/>
        <v>0</v>
      </c>
      <c r="AY128">
        <f t="shared" si="44"/>
        <v>0</v>
      </c>
      <c r="AZ128">
        <f t="shared" si="45"/>
        <v>0</v>
      </c>
      <c r="BA128" t="str">
        <f t="shared" si="46"/>
        <v/>
      </c>
      <c r="BB128" t="str">
        <f t="shared" si="47"/>
        <v/>
      </c>
    </row>
    <row r="129" spans="1:54" ht="14.25" customHeight="1" x14ac:dyDescent="0.3">
      <c r="A129" t="str">
        <f>IF(SAISIE!$F134="","",SAISIE!$B134)</f>
        <v/>
      </c>
      <c r="B129" t="str">
        <f>IF(SAISIE!$F134="","",SAISIE!$C134)</f>
        <v/>
      </c>
      <c r="C129" t="str">
        <f>IF(SAISIE!$F134="","",SAISIE!$D134)</f>
        <v/>
      </c>
      <c r="D129" t="str">
        <f>IF(SAISIE!$E134="","",SAISIE!$E134)</f>
        <v/>
      </c>
      <c r="E129" t="str">
        <f>IF(SAISIE!$F134="","",SAISIE!$F134)</f>
        <v/>
      </c>
      <c r="F129" t="str">
        <f>IF(SAISIE!$G134="","",SAISIE!$G134)</f>
        <v/>
      </c>
      <c r="G129" t="str">
        <f>IF(SAISIE!$H134="","",SAISIE!$H134)</f>
        <v/>
      </c>
      <c r="H129" t="str">
        <f>IF(SAISIE!$I134="","",SAISIE!$I134)</f>
        <v/>
      </c>
      <c r="I129" t="str">
        <f>IF(SAISIE!$J134="","",SAISIE!$J134)</f>
        <v/>
      </c>
      <c r="J129" t="str">
        <f>IF(SAISIE!$K134="","",SAISIE!$K134)</f>
        <v/>
      </c>
      <c r="K129" t="str">
        <f>IF(SAISIE!$L134="","",SAISIE!$L134)</f>
        <v/>
      </c>
      <c r="L129" t="str">
        <f>IF(SAISIE!$M134="","",SAISIE!$M134)</f>
        <v/>
      </c>
      <c r="M129" t="str">
        <f>IF(SAISIE!$N134="","",SAISIE!$N134)</f>
        <v/>
      </c>
      <c r="N129" t="str">
        <f>IF(SAISIE!$O134="","",SAISIE!$O134)</f>
        <v/>
      </c>
      <c r="O129" t="str">
        <f>IF(SAISIE!$P134="","",SAISIE!$P134)</f>
        <v/>
      </c>
      <c r="P129" t="str">
        <f>IF(SAISIE!$Q134="","",SAISIE!$Q134)</f>
        <v/>
      </c>
      <c r="Q129" t="str">
        <f>IF($I129="","",IF($I129&gt;PARAMETRES!$G$29,5,IF($I129&gt;PARAMETRES!$F$29,4,IF($I129&gt;PARAMETRES!$E$29,3,IF($I129&gt;PARAMETRES!$D$29,2,1)))))</f>
        <v/>
      </c>
      <c r="R129" t="str">
        <f>IF($J129="","",IF($J129&gt;PARAMETRES!$G$30,5,IF($J129&gt;PARAMETRES!$F$30,4,IF($J129&gt;PARAMETRES!$E$30,3,IF($J129&gt;PARAMETRES!$D$30,2,1)))))</f>
        <v/>
      </c>
      <c r="S129" t="str">
        <f>IF($K129="","",IF($Z129=2,IF($K129&gt;PARAMETRES!$G$31,5,IF($K129&gt;PARAMETRES!$F$31,4,IF($K129&gt;PARAMETRES!$E$31,3,IF($K129&gt;PARAMETRES!$D$31,2,1)))),IF($K129&gt;PARAMETRES!$G$32,5,IF($K129&gt;PARAMETRES!$F$32,4,IF($K129&gt;PARAMETRES!$E$32,3,IF($K129&gt;PARAMETRES!$D$32,2,1))))))</f>
        <v/>
      </c>
      <c r="T129" t="str">
        <f>IF($L129="","",IF($L129&gt;PARAMETRES!$G$33,5,IF($L129&gt;PARAMETRES!$F$33,4,IF($L129&gt;PARAMETRES!$E$33,3,IF($L129&gt;PARAMETRES!$D$33,2,1)))))</f>
        <v/>
      </c>
      <c r="U129" t="str">
        <f>IF($M129="","",IF($M129&gt;PARAMETRES!$G$34,5,IF($M129&gt;PARAMETRES!$F$34,4,IF($M129&gt;PARAMETRES!$E$34,3,IF($M129&gt;PARAMETRES!$D$34,2,1)))))</f>
        <v/>
      </c>
      <c r="V129" t="str">
        <f>IF($N129="","",IF($N129&gt;PARAMETRES!$G$35,5,IF($N129&gt;PARAMETRES!$F$35,4,IF($N129&gt;PARAMETRES!$E$35,3,IF($N129&gt;PARAMETRES!$D$35,2,1)))))</f>
        <v/>
      </c>
      <c r="W129" t="str">
        <f>IF($O129="","",IF($O129&gt;PARAMETRES!$G$36,5,IF($O129&gt;PARAMETRES!$F$36,4,IF($O129&gt;PARAMETRES!$E$36,3,IF($O129&gt;PARAMETRES!$D$36,2,1)))))</f>
        <v/>
      </c>
      <c r="X129" t="str">
        <f>IF($P129="","",IF($P129&gt;PARAMETRES!$G$37,5,IF($P129&gt;PARAMETRES!$F$37,4,IF($P129&gt;PARAMETRES!$E$37,3,IF($P129&gt;PARAMETRES!$D$37,2,1)))))</f>
        <v/>
      </c>
      <c r="Y129" t="str">
        <f t="shared" si="24"/>
        <v/>
      </c>
      <c r="Z129" t="str">
        <f>IFERROR(VLOOKUP($B129,TABLE_CYCLE,2,0),"")</f>
        <v/>
      </c>
      <c r="AA129" t="str">
        <f t="shared" si="25"/>
        <v/>
      </c>
      <c r="AB129" t="str">
        <f>IF($D129="","",IF(COUNTIF($D$2:$D129,$D129)=1,$D129,""))</f>
        <v/>
      </c>
      <c r="AC129">
        <f t="shared" si="26"/>
        <v>0</v>
      </c>
      <c r="AD129" t="str">
        <f t="shared" si="27"/>
        <v>|0</v>
      </c>
      <c r="AE129" t="str">
        <f t="shared" si="28"/>
        <v/>
      </c>
      <c r="AF129" t="str">
        <f t="shared" si="29"/>
        <v/>
      </c>
      <c r="AG129" t="str">
        <f t="shared" si="30"/>
        <v/>
      </c>
      <c r="AH129" t="str">
        <f t="shared" si="31"/>
        <v/>
      </c>
      <c r="AI129" t="str">
        <f t="shared" si="32"/>
        <v/>
      </c>
      <c r="AJ129" t="str">
        <f t="shared" si="33"/>
        <v/>
      </c>
      <c r="AK129" t="str">
        <f t="shared" si="34"/>
        <v/>
      </c>
      <c r="AL129" t="str">
        <f t="shared" si="35"/>
        <v/>
      </c>
      <c r="AM129" t="str">
        <f t="shared" si="36"/>
        <v/>
      </c>
      <c r="AN129" t="str">
        <f t="shared" si="37"/>
        <v/>
      </c>
      <c r="AO129" t="str">
        <f t="shared" si="38"/>
        <v/>
      </c>
      <c r="AP129">
        <f t="shared" si="39"/>
        <v>1</v>
      </c>
      <c r="AQ129" t="str">
        <f>IF(SAISIE!$F134="","",SAISIE!$Y134)</f>
        <v/>
      </c>
      <c r="AR129" t="str">
        <f>IF(OR(SAISIE!$U$4="",SAISIE!$W$4=""),"",IF(AND($A129=SAISIE!$U$4,$B129=SAISIE!$W$4,$C129="S1"),COUNTIFS($A$2:$A129,SAISIE!$U$4,$B$2:$B129,SAISIE!$W$4,$C$2:$C129,"S1"),""))</f>
        <v/>
      </c>
      <c r="AS129" t="str">
        <f t="shared" si="40"/>
        <v/>
      </c>
      <c r="AT129" t="str">
        <f t="shared" si="41"/>
        <v/>
      </c>
      <c r="AU129" t="str">
        <f t="shared" si="42"/>
        <v/>
      </c>
      <c r="AV129">
        <f>N(AV128)+IF(AND($AB129&lt;&gt;"",OR('PROFIL ELEVE'!$K$4="(Tous)",$AF129='PROFIL ELEVE'!$K$4)),1,0)</f>
        <v>0</v>
      </c>
      <c r="AW129">
        <f>N(AW128)+IF(AND($AB129&lt;&gt;"",OR('SUIVI LONGITUDINAL'!$Q$4="(Tous)",$AF129='SUIVI LONGITUDINAL'!$Q$4)),1,0)</f>
        <v>0</v>
      </c>
      <c r="AX129">
        <f t="shared" si="43"/>
        <v>0</v>
      </c>
      <c r="AY129">
        <f t="shared" si="44"/>
        <v>0</v>
      </c>
      <c r="AZ129">
        <f t="shared" si="45"/>
        <v>0</v>
      </c>
      <c r="BA129" t="str">
        <f t="shared" si="46"/>
        <v/>
      </c>
      <c r="BB129" t="str">
        <f t="shared" si="47"/>
        <v/>
      </c>
    </row>
    <row r="130" spans="1:54" ht="14.25" customHeight="1" x14ac:dyDescent="0.3">
      <c r="A130" t="str">
        <f>IF(SAISIE!$F135="","",SAISIE!$B135)</f>
        <v/>
      </c>
      <c r="B130" t="str">
        <f>IF(SAISIE!$F135="","",SAISIE!$C135)</f>
        <v/>
      </c>
      <c r="C130" t="str">
        <f>IF(SAISIE!$F135="","",SAISIE!$D135)</f>
        <v/>
      </c>
      <c r="D130" t="str">
        <f>IF(SAISIE!$E135="","",SAISIE!$E135)</f>
        <v/>
      </c>
      <c r="E130" t="str">
        <f>IF(SAISIE!$F135="","",SAISIE!$F135)</f>
        <v/>
      </c>
      <c r="F130" t="str">
        <f>IF(SAISIE!$G135="","",SAISIE!$G135)</f>
        <v/>
      </c>
      <c r="G130" t="str">
        <f>IF(SAISIE!$H135="","",SAISIE!$H135)</f>
        <v/>
      </c>
      <c r="H130" t="str">
        <f>IF(SAISIE!$I135="","",SAISIE!$I135)</f>
        <v/>
      </c>
      <c r="I130" t="str">
        <f>IF(SAISIE!$J135="","",SAISIE!$J135)</f>
        <v/>
      </c>
      <c r="J130" t="str">
        <f>IF(SAISIE!$K135="","",SAISIE!$K135)</f>
        <v/>
      </c>
      <c r="K130" t="str">
        <f>IF(SAISIE!$L135="","",SAISIE!$L135)</f>
        <v/>
      </c>
      <c r="L130" t="str">
        <f>IF(SAISIE!$M135="","",SAISIE!$M135)</f>
        <v/>
      </c>
      <c r="M130" t="str">
        <f>IF(SAISIE!$N135="","",SAISIE!$N135)</f>
        <v/>
      </c>
      <c r="N130" t="str">
        <f>IF(SAISIE!$O135="","",SAISIE!$O135)</f>
        <v/>
      </c>
      <c r="O130" t="str">
        <f>IF(SAISIE!$P135="","",SAISIE!$P135)</f>
        <v/>
      </c>
      <c r="P130" t="str">
        <f>IF(SAISIE!$Q135="","",SAISIE!$Q135)</f>
        <v/>
      </c>
      <c r="Q130" t="str">
        <f>IF($I130="","",IF($I130&gt;PARAMETRES!$G$29,5,IF($I130&gt;PARAMETRES!$F$29,4,IF($I130&gt;PARAMETRES!$E$29,3,IF($I130&gt;PARAMETRES!$D$29,2,1)))))</f>
        <v/>
      </c>
      <c r="R130" t="str">
        <f>IF($J130="","",IF($J130&gt;PARAMETRES!$G$30,5,IF($J130&gt;PARAMETRES!$F$30,4,IF($J130&gt;PARAMETRES!$E$30,3,IF($J130&gt;PARAMETRES!$D$30,2,1)))))</f>
        <v/>
      </c>
      <c r="S130" t="str">
        <f>IF($K130="","",IF($Z130=2,IF($K130&gt;PARAMETRES!$G$31,5,IF($K130&gt;PARAMETRES!$F$31,4,IF($K130&gt;PARAMETRES!$E$31,3,IF($K130&gt;PARAMETRES!$D$31,2,1)))),IF($K130&gt;PARAMETRES!$G$32,5,IF($K130&gt;PARAMETRES!$F$32,4,IF($K130&gt;PARAMETRES!$E$32,3,IF($K130&gt;PARAMETRES!$D$32,2,1))))))</f>
        <v/>
      </c>
      <c r="T130" t="str">
        <f>IF($L130="","",IF($L130&gt;PARAMETRES!$G$33,5,IF($L130&gt;PARAMETRES!$F$33,4,IF($L130&gt;PARAMETRES!$E$33,3,IF($L130&gt;PARAMETRES!$D$33,2,1)))))</f>
        <v/>
      </c>
      <c r="U130" t="str">
        <f>IF($M130="","",IF($M130&gt;PARAMETRES!$G$34,5,IF($M130&gt;PARAMETRES!$F$34,4,IF($M130&gt;PARAMETRES!$E$34,3,IF($M130&gt;PARAMETRES!$D$34,2,1)))))</f>
        <v/>
      </c>
      <c r="V130" t="str">
        <f>IF($N130="","",IF($N130&gt;PARAMETRES!$G$35,5,IF($N130&gt;PARAMETRES!$F$35,4,IF($N130&gt;PARAMETRES!$E$35,3,IF($N130&gt;PARAMETRES!$D$35,2,1)))))</f>
        <v/>
      </c>
      <c r="W130" t="str">
        <f>IF($O130="","",IF($O130&gt;PARAMETRES!$G$36,5,IF($O130&gt;PARAMETRES!$F$36,4,IF($O130&gt;PARAMETRES!$E$36,3,IF($O130&gt;PARAMETRES!$D$36,2,1)))))</f>
        <v/>
      </c>
      <c r="X130" t="str">
        <f>IF($P130="","",IF($P130&gt;PARAMETRES!$G$37,5,IF($P130&gt;PARAMETRES!$F$37,4,IF($P130&gt;PARAMETRES!$E$37,3,IF($P130&gt;PARAMETRES!$D$37,2,1)))))</f>
        <v/>
      </c>
      <c r="Y130" t="str">
        <f t="shared" ref="Y130:Y193" si="48">IF(COUNT($Q130:$X130)=0,"",AVERAGE($Q130:$X130))</f>
        <v/>
      </c>
      <c r="Z130" t="str">
        <f>IFERROR(VLOOKUP($B130,TABLE_CYCLE,2,0),"")</f>
        <v/>
      </c>
      <c r="AA130" t="str">
        <f t="shared" ref="AA130:AA193" si="49">IF($D130="","",$D130&amp;"|"&amp;$A130&amp;"|"&amp;$C130)</f>
        <v/>
      </c>
      <c r="AB130" t="str">
        <f>IF($D130="","",IF(COUNTIF($D$2:$D130,$D130)=1,$D130,""))</f>
        <v/>
      </c>
      <c r="AC130">
        <f t="shared" ref="AC130:AC193" si="50">IFERROR(MATCH($A130,LISTE_ANNEES,0),0)</f>
        <v>0</v>
      </c>
      <c r="AD130" t="str">
        <f t="shared" ref="AD130:AD193" si="51">$D130&amp;"|"&amp;$AC130</f>
        <v>|0</v>
      </c>
      <c r="AE130" t="str">
        <f t="shared" ref="AE130:AE193" si="52">IF($D130="","",_xlfn.MAXIFS($AC$2:$AC$1201,$D$2:$D$1201,$D130))</f>
        <v/>
      </c>
      <c r="AF130" t="str">
        <f t="shared" ref="AF130:AF193" si="53">IF($AB130="","",IFERROR(INDEX($B$2:$B$1201,MATCH($D130&amp;"|"&amp;$AE130,$AD$2:$AD$1201,0)),""))</f>
        <v/>
      </c>
      <c r="AG130" t="str">
        <f t="shared" ref="AG130:AG193" si="54">IF($C130&lt;&gt;"S1","",IFERROR(MATCH($D130&amp;"|"&amp;$A130&amp;"|S2",$AA$2:$AA$1201,0),""))</f>
        <v/>
      </c>
      <c r="AH130" t="str">
        <f t="shared" ref="AH130:AH193" si="55">IF(OR($AG130="",$Q130=""),"",IF(INDEX($Q$2:$Q$1201,$AG130)="","",IF(INDEX($Q$2:$Q$1201,$AG130)&gt;$Q130,1,IF(INDEX($Q$2:$Q$1201,$AG130)&lt;$Q130,-1,0))))</f>
        <v/>
      </c>
      <c r="AI130" t="str">
        <f t="shared" ref="AI130:AI193" si="56">IF(OR($AG130="",$R130=""),"",IF(INDEX($R$2:$R$1201,$AG130)="","",IF(INDEX($R$2:$R$1201,$AG130)&gt;$R130,1,IF(INDEX($R$2:$R$1201,$AG130)&lt;$R130,-1,0))))</f>
        <v/>
      </c>
      <c r="AJ130" t="str">
        <f t="shared" ref="AJ130:AJ193" si="57">IF(OR($AG130="",$S130=""),"",IF(INDEX($S$2:$S$1201,$AG130)="","",IF(INDEX($S$2:$S$1201,$AG130)&gt;$S130,1,IF(INDEX($S$2:$S$1201,$AG130)&lt;$S130,-1,0))))</f>
        <v/>
      </c>
      <c r="AK130" t="str">
        <f t="shared" ref="AK130:AK193" si="58">IF(OR($AG130="",$T130=""),"",IF(INDEX($T$2:$T$1201,$AG130)="","",IF(INDEX($T$2:$T$1201,$AG130)&gt;$T130,1,IF(INDEX($T$2:$T$1201,$AG130)&lt;$T130,-1,0))))</f>
        <v/>
      </c>
      <c r="AL130" t="str">
        <f t="shared" ref="AL130:AL193" si="59">IF(OR($AG130="",$U130=""),"",IF(INDEX($U$2:$U$1201,$AG130)="","",IF(INDEX($U$2:$U$1201,$AG130)&gt;$U130,1,IF(INDEX($U$2:$U$1201,$AG130)&lt;$U130,-1,0))))</f>
        <v/>
      </c>
      <c r="AM130" t="str">
        <f t="shared" ref="AM130:AM193" si="60">IF(OR($AG130="",$V130=""),"",IF(INDEX($V$2:$V$1201,$AG130)="","",IF(INDEX($V$2:$V$1201,$AG130)&gt;$V130,1,IF(INDEX($V$2:$V$1201,$AG130)&lt;$V130,-1,0))))</f>
        <v/>
      </c>
      <c r="AN130" t="str">
        <f t="shared" ref="AN130:AN193" si="61">IF(OR($AG130="",$W130=""),"",IF(INDEX($W$2:$W$1201,$AG130)="","",IF(INDEX($W$2:$W$1201,$AG130)&gt;$W130,1,IF(INDEX($W$2:$W$1201,$AG130)&lt;$W130,-1,0))))</f>
        <v/>
      </c>
      <c r="AO130" t="str">
        <f t="shared" ref="AO130:AO193" si="62">IF(OR($AG130="",$X130=""),"",IF(INDEX($X$2:$X$1201,$AG130)="","",IF(INDEX($X$2:$X$1201,$AG130)&gt;$X130,1,IF(INDEX($X$2:$X$1201,$AG130)&lt;$X130,-1,0))))</f>
        <v/>
      </c>
      <c r="AP130">
        <f t="shared" ref="AP130:AP193" si="63">IF($D130="",1,COUNTIFS($D$2:$D$1201,$D130,$A$2:$A$1201,$A130))</f>
        <v>1</v>
      </c>
      <c r="AQ130" t="str">
        <f>IF(SAISIE!$F135="","",SAISIE!$Y135)</f>
        <v/>
      </c>
      <c r="AR130" t="str">
        <f>IF(OR(SAISIE!$U$4="",SAISIE!$W$4=""),"",IF(AND($A130=SAISIE!$U$4,$B130=SAISIE!$W$4,$C130="S1"),COUNTIFS($A$2:$A130,SAISIE!$U$4,$B$2:$B130,SAISIE!$W$4,$C$2:$C130,"S1"),""))</f>
        <v/>
      </c>
      <c r="AS130" t="str">
        <f t="shared" ref="AS130:AS193" si="64">IF($D130="","",$A130&amp;"|"&amp;$C130&amp;"|"&amp;$D130)</f>
        <v/>
      </c>
      <c r="AT130" t="str">
        <f t="shared" ref="AT130:AT193" si="65">IF($D130="","",$A130&amp;"|"&amp;$D130&amp;"|"&amp;IF($AQ130="Parti","P","A"))</f>
        <v/>
      </c>
      <c r="AU130" t="str">
        <f t="shared" ref="AU130:AU193" si="66">IF($A130="","",$A130&amp;"|"&amp;$B130&amp;"|"&amp;$C130)</f>
        <v/>
      </c>
      <c r="AV130">
        <f>N(AV129)+IF(AND($AB130&lt;&gt;"",OR('PROFIL ELEVE'!$K$4="(Tous)",$AF130='PROFIL ELEVE'!$K$4)),1,0)</f>
        <v>0</v>
      </c>
      <c r="AW130">
        <f>N(AW129)+IF(AND($AB130&lt;&gt;"",OR('SUIVI LONGITUDINAL'!$Q$4="(Tous)",$AF130='SUIVI LONGITUDINAL'!$Q$4)),1,0)</f>
        <v>0</v>
      </c>
      <c r="AX130">
        <f t="shared" ref="AX130:AX193" si="67">COUNTIF($AH130:$AO130,1)</f>
        <v>0</v>
      </c>
      <c r="AY130">
        <f t="shared" ref="AY130:AY193" si="68">COUNTIF($AH130:$AO130,0)</f>
        <v>0</v>
      </c>
      <c r="AZ130">
        <f t="shared" ref="AZ130:AZ193" si="69">COUNTIF($AH130:$AO130,-1)</f>
        <v>0</v>
      </c>
      <c r="BA130" t="str">
        <f t="shared" ref="BA130:BA193" si="70">IF($E130="","",COUNT($Q130:$X130))</f>
        <v/>
      </c>
      <c r="BB130" t="str">
        <f t="shared" ref="BB130:BB193" si="71">IF($E130="","",IF(COUNT($Q130:$X130)&gt;=IF($Z130=2,5,8),1,0))</f>
        <v/>
      </c>
    </row>
    <row r="131" spans="1:54" ht="14.25" customHeight="1" x14ac:dyDescent="0.3">
      <c r="A131" t="str">
        <f>IF(SAISIE!$F136="","",SAISIE!$B136)</f>
        <v/>
      </c>
      <c r="B131" t="str">
        <f>IF(SAISIE!$F136="","",SAISIE!$C136)</f>
        <v/>
      </c>
      <c r="C131" t="str">
        <f>IF(SAISIE!$F136="","",SAISIE!$D136)</f>
        <v/>
      </c>
      <c r="D131" t="str">
        <f>IF(SAISIE!$E136="","",SAISIE!$E136)</f>
        <v/>
      </c>
      <c r="E131" t="str">
        <f>IF(SAISIE!$F136="","",SAISIE!$F136)</f>
        <v/>
      </c>
      <c r="F131" t="str">
        <f>IF(SAISIE!$G136="","",SAISIE!$G136)</f>
        <v/>
      </c>
      <c r="G131" t="str">
        <f>IF(SAISIE!$H136="","",SAISIE!$H136)</f>
        <v/>
      </c>
      <c r="H131" t="str">
        <f>IF(SAISIE!$I136="","",SAISIE!$I136)</f>
        <v/>
      </c>
      <c r="I131" t="str">
        <f>IF(SAISIE!$J136="","",SAISIE!$J136)</f>
        <v/>
      </c>
      <c r="J131" t="str">
        <f>IF(SAISIE!$K136="","",SAISIE!$K136)</f>
        <v/>
      </c>
      <c r="K131" t="str">
        <f>IF(SAISIE!$L136="","",SAISIE!$L136)</f>
        <v/>
      </c>
      <c r="L131" t="str">
        <f>IF(SAISIE!$M136="","",SAISIE!$M136)</f>
        <v/>
      </c>
      <c r="M131" t="str">
        <f>IF(SAISIE!$N136="","",SAISIE!$N136)</f>
        <v/>
      </c>
      <c r="N131" t="str">
        <f>IF(SAISIE!$O136="","",SAISIE!$O136)</f>
        <v/>
      </c>
      <c r="O131" t="str">
        <f>IF(SAISIE!$P136="","",SAISIE!$P136)</f>
        <v/>
      </c>
      <c r="P131" t="str">
        <f>IF(SAISIE!$Q136="","",SAISIE!$Q136)</f>
        <v/>
      </c>
      <c r="Q131" t="str">
        <f>IF($I131="","",IF($I131&gt;PARAMETRES!$G$29,5,IF($I131&gt;PARAMETRES!$F$29,4,IF($I131&gt;PARAMETRES!$E$29,3,IF($I131&gt;PARAMETRES!$D$29,2,1)))))</f>
        <v/>
      </c>
      <c r="R131" t="str">
        <f>IF($J131="","",IF($J131&gt;PARAMETRES!$G$30,5,IF($J131&gt;PARAMETRES!$F$30,4,IF($J131&gt;PARAMETRES!$E$30,3,IF($J131&gt;PARAMETRES!$D$30,2,1)))))</f>
        <v/>
      </c>
      <c r="S131" t="str">
        <f>IF($K131="","",IF($Z131=2,IF($K131&gt;PARAMETRES!$G$31,5,IF($K131&gt;PARAMETRES!$F$31,4,IF($K131&gt;PARAMETRES!$E$31,3,IF($K131&gt;PARAMETRES!$D$31,2,1)))),IF($K131&gt;PARAMETRES!$G$32,5,IF($K131&gt;PARAMETRES!$F$32,4,IF($K131&gt;PARAMETRES!$E$32,3,IF($K131&gt;PARAMETRES!$D$32,2,1))))))</f>
        <v/>
      </c>
      <c r="T131" t="str">
        <f>IF($L131="","",IF($L131&gt;PARAMETRES!$G$33,5,IF($L131&gt;PARAMETRES!$F$33,4,IF($L131&gt;PARAMETRES!$E$33,3,IF($L131&gt;PARAMETRES!$D$33,2,1)))))</f>
        <v/>
      </c>
      <c r="U131" t="str">
        <f>IF($M131="","",IF($M131&gt;PARAMETRES!$G$34,5,IF($M131&gt;PARAMETRES!$F$34,4,IF($M131&gt;PARAMETRES!$E$34,3,IF($M131&gt;PARAMETRES!$D$34,2,1)))))</f>
        <v/>
      </c>
      <c r="V131" t="str">
        <f>IF($N131="","",IF($N131&gt;PARAMETRES!$G$35,5,IF($N131&gt;PARAMETRES!$F$35,4,IF($N131&gt;PARAMETRES!$E$35,3,IF($N131&gt;PARAMETRES!$D$35,2,1)))))</f>
        <v/>
      </c>
      <c r="W131" t="str">
        <f>IF($O131="","",IF($O131&gt;PARAMETRES!$G$36,5,IF($O131&gt;PARAMETRES!$F$36,4,IF($O131&gt;PARAMETRES!$E$36,3,IF($O131&gt;PARAMETRES!$D$36,2,1)))))</f>
        <v/>
      </c>
      <c r="X131" t="str">
        <f>IF($P131="","",IF($P131&gt;PARAMETRES!$G$37,5,IF($P131&gt;PARAMETRES!$F$37,4,IF($P131&gt;PARAMETRES!$E$37,3,IF($P131&gt;PARAMETRES!$D$37,2,1)))))</f>
        <v/>
      </c>
      <c r="Y131" t="str">
        <f t="shared" si="48"/>
        <v/>
      </c>
      <c r="Z131" t="str">
        <f>IFERROR(VLOOKUP($B131,TABLE_CYCLE,2,0),"")</f>
        <v/>
      </c>
      <c r="AA131" t="str">
        <f t="shared" si="49"/>
        <v/>
      </c>
      <c r="AB131" t="str">
        <f>IF($D131="","",IF(COUNTIF($D$2:$D131,$D131)=1,$D131,""))</f>
        <v/>
      </c>
      <c r="AC131">
        <f t="shared" si="50"/>
        <v>0</v>
      </c>
      <c r="AD131" t="str">
        <f t="shared" si="51"/>
        <v>|0</v>
      </c>
      <c r="AE131" t="str">
        <f t="shared" si="52"/>
        <v/>
      </c>
      <c r="AF131" t="str">
        <f t="shared" si="53"/>
        <v/>
      </c>
      <c r="AG131" t="str">
        <f t="shared" si="54"/>
        <v/>
      </c>
      <c r="AH131" t="str">
        <f t="shared" si="55"/>
        <v/>
      </c>
      <c r="AI131" t="str">
        <f t="shared" si="56"/>
        <v/>
      </c>
      <c r="AJ131" t="str">
        <f t="shared" si="57"/>
        <v/>
      </c>
      <c r="AK131" t="str">
        <f t="shared" si="58"/>
        <v/>
      </c>
      <c r="AL131" t="str">
        <f t="shared" si="59"/>
        <v/>
      </c>
      <c r="AM131" t="str">
        <f t="shared" si="60"/>
        <v/>
      </c>
      <c r="AN131" t="str">
        <f t="shared" si="61"/>
        <v/>
      </c>
      <c r="AO131" t="str">
        <f t="shared" si="62"/>
        <v/>
      </c>
      <c r="AP131">
        <f t="shared" si="63"/>
        <v>1</v>
      </c>
      <c r="AQ131" t="str">
        <f>IF(SAISIE!$F136="","",SAISIE!$Y136)</f>
        <v/>
      </c>
      <c r="AR131" t="str">
        <f>IF(OR(SAISIE!$U$4="",SAISIE!$W$4=""),"",IF(AND($A131=SAISIE!$U$4,$B131=SAISIE!$W$4,$C131="S1"),COUNTIFS($A$2:$A131,SAISIE!$U$4,$B$2:$B131,SAISIE!$W$4,$C$2:$C131,"S1"),""))</f>
        <v/>
      </c>
      <c r="AS131" t="str">
        <f t="shared" si="64"/>
        <v/>
      </c>
      <c r="AT131" t="str">
        <f t="shared" si="65"/>
        <v/>
      </c>
      <c r="AU131" t="str">
        <f t="shared" si="66"/>
        <v/>
      </c>
      <c r="AV131">
        <f>N(AV130)+IF(AND($AB131&lt;&gt;"",OR('PROFIL ELEVE'!$K$4="(Tous)",$AF131='PROFIL ELEVE'!$K$4)),1,0)</f>
        <v>0</v>
      </c>
      <c r="AW131">
        <f>N(AW130)+IF(AND($AB131&lt;&gt;"",OR('SUIVI LONGITUDINAL'!$Q$4="(Tous)",$AF131='SUIVI LONGITUDINAL'!$Q$4)),1,0)</f>
        <v>0</v>
      </c>
      <c r="AX131">
        <f t="shared" si="67"/>
        <v>0</v>
      </c>
      <c r="AY131">
        <f t="shared" si="68"/>
        <v>0</v>
      </c>
      <c r="AZ131">
        <f t="shared" si="69"/>
        <v>0</v>
      </c>
      <c r="BA131" t="str">
        <f t="shared" si="70"/>
        <v/>
      </c>
      <c r="BB131" t="str">
        <f t="shared" si="71"/>
        <v/>
      </c>
    </row>
    <row r="132" spans="1:54" ht="14.25" customHeight="1" x14ac:dyDescent="0.3">
      <c r="A132" t="str">
        <f>IF(SAISIE!$F137="","",SAISIE!$B137)</f>
        <v/>
      </c>
      <c r="B132" t="str">
        <f>IF(SAISIE!$F137="","",SAISIE!$C137)</f>
        <v/>
      </c>
      <c r="C132" t="str">
        <f>IF(SAISIE!$F137="","",SAISIE!$D137)</f>
        <v/>
      </c>
      <c r="D132" t="str">
        <f>IF(SAISIE!$E137="","",SAISIE!$E137)</f>
        <v/>
      </c>
      <c r="E132" t="str">
        <f>IF(SAISIE!$F137="","",SAISIE!$F137)</f>
        <v/>
      </c>
      <c r="F132" t="str">
        <f>IF(SAISIE!$G137="","",SAISIE!$G137)</f>
        <v/>
      </c>
      <c r="G132" t="str">
        <f>IF(SAISIE!$H137="","",SAISIE!$H137)</f>
        <v/>
      </c>
      <c r="H132" t="str">
        <f>IF(SAISIE!$I137="","",SAISIE!$I137)</f>
        <v/>
      </c>
      <c r="I132" t="str">
        <f>IF(SAISIE!$J137="","",SAISIE!$J137)</f>
        <v/>
      </c>
      <c r="J132" t="str">
        <f>IF(SAISIE!$K137="","",SAISIE!$K137)</f>
        <v/>
      </c>
      <c r="K132" t="str">
        <f>IF(SAISIE!$L137="","",SAISIE!$L137)</f>
        <v/>
      </c>
      <c r="L132" t="str">
        <f>IF(SAISIE!$M137="","",SAISIE!$M137)</f>
        <v/>
      </c>
      <c r="M132" t="str">
        <f>IF(SAISIE!$N137="","",SAISIE!$N137)</f>
        <v/>
      </c>
      <c r="N132" t="str">
        <f>IF(SAISIE!$O137="","",SAISIE!$O137)</f>
        <v/>
      </c>
      <c r="O132" t="str">
        <f>IF(SAISIE!$P137="","",SAISIE!$P137)</f>
        <v/>
      </c>
      <c r="P132" t="str">
        <f>IF(SAISIE!$Q137="","",SAISIE!$Q137)</f>
        <v/>
      </c>
      <c r="Q132" t="str">
        <f>IF($I132="","",IF($I132&gt;PARAMETRES!$G$29,5,IF($I132&gt;PARAMETRES!$F$29,4,IF($I132&gt;PARAMETRES!$E$29,3,IF($I132&gt;PARAMETRES!$D$29,2,1)))))</f>
        <v/>
      </c>
      <c r="R132" t="str">
        <f>IF($J132="","",IF($J132&gt;PARAMETRES!$G$30,5,IF($J132&gt;PARAMETRES!$F$30,4,IF($J132&gt;PARAMETRES!$E$30,3,IF($J132&gt;PARAMETRES!$D$30,2,1)))))</f>
        <v/>
      </c>
      <c r="S132" t="str">
        <f>IF($K132="","",IF($Z132=2,IF($K132&gt;PARAMETRES!$G$31,5,IF($K132&gt;PARAMETRES!$F$31,4,IF($K132&gt;PARAMETRES!$E$31,3,IF($K132&gt;PARAMETRES!$D$31,2,1)))),IF($K132&gt;PARAMETRES!$G$32,5,IF($K132&gt;PARAMETRES!$F$32,4,IF($K132&gt;PARAMETRES!$E$32,3,IF($K132&gt;PARAMETRES!$D$32,2,1))))))</f>
        <v/>
      </c>
      <c r="T132" t="str">
        <f>IF($L132="","",IF($L132&gt;PARAMETRES!$G$33,5,IF($L132&gt;PARAMETRES!$F$33,4,IF($L132&gt;PARAMETRES!$E$33,3,IF($L132&gt;PARAMETRES!$D$33,2,1)))))</f>
        <v/>
      </c>
      <c r="U132" t="str">
        <f>IF($M132="","",IF($M132&gt;PARAMETRES!$G$34,5,IF($M132&gt;PARAMETRES!$F$34,4,IF($M132&gt;PARAMETRES!$E$34,3,IF($M132&gt;PARAMETRES!$D$34,2,1)))))</f>
        <v/>
      </c>
      <c r="V132" t="str">
        <f>IF($N132="","",IF($N132&gt;PARAMETRES!$G$35,5,IF($N132&gt;PARAMETRES!$F$35,4,IF($N132&gt;PARAMETRES!$E$35,3,IF($N132&gt;PARAMETRES!$D$35,2,1)))))</f>
        <v/>
      </c>
      <c r="W132" t="str">
        <f>IF($O132="","",IF($O132&gt;PARAMETRES!$G$36,5,IF($O132&gt;PARAMETRES!$F$36,4,IF($O132&gt;PARAMETRES!$E$36,3,IF($O132&gt;PARAMETRES!$D$36,2,1)))))</f>
        <v/>
      </c>
      <c r="X132" t="str">
        <f>IF($P132="","",IF($P132&gt;PARAMETRES!$G$37,5,IF($P132&gt;PARAMETRES!$F$37,4,IF($P132&gt;PARAMETRES!$E$37,3,IF($P132&gt;PARAMETRES!$D$37,2,1)))))</f>
        <v/>
      </c>
      <c r="Y132" t="str">
        <f t="shared" si="48"/>
        <v/>
      </c>
      <c r="Z132" t="str">
        <f>IFERROR(VLOOKUP($B132,TABLE_CYCLE,2,0),"")</f>
        <v/>
      </c>
      <c r="AA132" t="str">
        <f t="shared" si="49"/>
        <v/>
      </c>
      <c r="AB132" t="str">
        <f>IF($D132="","",IF(COUNTIF($D$2:$D132,$D132)=1,$D132,""))</f>
        <v/>
      </c>
      <c r="AC132">
        <f t="shared" si="50"/>
        <v>0</v>
      </c>
      <c r="AD132" t="str">
        <f t="shared" si="51"/>
        <v>|0</v>
      </c>
      <c r="AE132" t="str">
        <f t="shared" si="52"/>
        <v/>
      </c>
      <c r="AF132" t="str">
        <f t="shared" si="53"/>
        <v/>
      </c>
      <c r="AG132" t="str">
        <f t="shared" si="54"/>
        <v/>
      </c>
      <c r="AH132" t="str">
        <f t="shared" si="55"/>
        <v/>
      </c>
      <c r="AI132" t="str">
        <f t="shared" si="56"/>
        <v/>
      </c>
      <c r="AJ132" t="str">
        <f t="shared" si="57"/>
        <v/>
      </c>
      <c r="AK132" t="str">
        <f t="shared" si="58"/>
        <v/>
      </c>
      <c r="AL132" t="str">
        <f t="shared" si="59"/>
        <v/>
      </c>
      <c r="AM132" t="str">
        <f t="shared" si="60"/>
        <v/>
      </c>
      <c r="AN132" t="str">
        <f t="shared" si="61"/>
        <v/>
      </c>
      <c r="AO132" t="str">
        <f t="shared" si="62"/>
        <v/>
      </c>
      <c r="AP132">
        <f t="shared" si="63"/>
        <v>1</v>
      </c>
      <c r="AQ132" t="str">
        <f>IF(SAISIE!$F137="","",SAISIE!$Y137)</f>
        <v/>
      </c>
      <c r="AR132" t="str">
        <f>IF(OR(SAISIE!$U$4="",SAISIE!$W$4=""),"",IF(AND($A132=SAISIE!$U$4,$B132=SAISIE!$W$4,$C132="S1"),COUNTIFS($A$2:$A132,SAISIE!$U$4,$B$2:$B132,SAISIE!$W$4,$C$2:$C132,"S1"),""))</f>
        <v/>
      </c>
      <c r="AS132" t="str">
        <f t="shared" si="64"/>
        <v/>
      </c>
      <c r="AT132" t="str">
        <f t="shared" si="65"/>
        <v/>
      </c>
      <c r="AU132" t="str">
        <f t="shared" si="66"/>
        <v/>
      </c>
      <c r="AV132">
        <f>N(AV131)+IF(AND($AB132&lt;&gt;"",OR('PROFIL ELEVE'!$K$4="(Tous)",$AF132='PROFIL ELEVE'!$K$4)),1,0)</f>
        <v>0</v>
      </c>
      <c r="AW132">
        <f>N(AW131)+IF(AND($AB132&lt;&gt;"",OR('SUIVI LONGITUDINAL'!$Q$4="(Tous)",$AF132='SUIVI LONGITUDINAL'!$Q$4)),1,0)</f>
        <v>0</v>
      </c>
      <c r="AX132">
        <f t="shared" si="67"/>
        <v>0</v>
      </c>
      <c r="AY132">
        <f t="shared" si="68"/>
        <v>0</v>
      </c>
      <c r="AZ132">
        <f t="shared" si="69"/>
        <v>0</v>
      </c>
      <c r="BA132" t="str">
        <f t="shared" si="70"/>
        <v/>
      </c>
      <c r="BB132" t="str">
        <f t="shared" si="71"/>
        <v/>
      </c>
    </row>
    <row r="133" spans="1:54" ht="14.25" customHeight="1" x14ac:dyDescent="0.3">
      <c r="A133" t="str">
        <f>IF(SAISIE!$F138="","",SAISIE!$B138)</f>
        <v/>
      </c>
      <c r="B133" t="str">
        <f>IF(SAISIE!$F138="","",SAISIE!$C138)</f>
        <v/>
      </c>
      <c r="C133" t="str">
        <f>IF(SAISIE!$F138="","",SAISIE!$D138)</f>
        <v/>
      </c>
      <c r="D133" t="str">
        <f>IF(SAISIE!$E138="","",SAISIE!$E138)</f>
        <v/>
      </c>
      <c r="E133" t="str">
        <f>IF(SAISIE!$F138="","",SAISIE!$F138)</f>
        <v/>
      </c>
      <c r="F133" t="str">
        <f>IF(SAISIE!$G138="","",SAISIE!$G138)</f>
        <v/>
      </c>
      <c r="G133" t="str">
        <f>IF(SAISIE!$H138="","",SAISIE!$H138)</f>
        <v/>
      </c>
      <c r="H133" t="str">
        <f>IF(SAISIE!$I138="","",SAISIE!$I138)</f>
        <v/>
      </c>
      <c r="I133" t="str">
        <f>IF(SAISIE!$J138="","",SAISIE!$J138)</f>
        <v/>
      </c>
      <c r="J133" t="str">
        <f>IF(SAISIE!$K138="","",SAISIE!$K138)</f>
        <v/>
      </c>
      <c r="K133" t="str">
        <f>IF(SAISIE!$L138="","",SAISIE!$L138)</f>
        <v/>
      </c>
      <c r="L133" t="str">
        <f>IF(SAISIE!$M138="","",SAISIE!$M138)</f>
        <v/>
      </c>
      <c r="M133" t="str">
        <f>IF(SAISIE!$N138="","",SAISIE!$N138)</f>
        <v/>
      </c>
      <c r="N133" t="str">
        <f>IF(SAISIE!$O138="","",SAISIE!$O138)</f>
        <v/>
      </c>
      <c r="O133" t="str">
        <f>IF(SAISIE!$P138="","",SAISIE!$P138)</f>
        <v/>
      </c>
      <c r="P133" t="str">
        <f>IF(SAISIE!$Q138="","",SAISIE!$Q138)</f>
        <v/>
      </c>
      <c r="Q133" t="str">
        <f>IF($I133="","",IF($I133&gt;PARAMETRES!$G$29,5,IF($I133&gt;PARAMETRES!$F$29,4,IF($I133&gt;PARAMETRES!$E$29,3,IF($I133&gt;PARAMETRES!$D$29,2,1)))))</f>
        <v/>
      </c>
      <c r="R133" t="str">
        <f>IF($J133="","",IF($J133&gt;PARAMETRES!$G$30,5,IF($J133&gt;PARAMETRES!$F$30,4,IF($J133&gt;PARAMETRES!$E$30,3,IF($J133&gt;PARAMETRES!$D$30,2,1)))))</f>
        <v/>
      </c>
      <c r="S133" t="str">
        <f>IF($K133="","",IF($Z133=2,IF($K133&gt;PARAMETRES!$G$31,5,IF($K133&gt;PARAMETRES!$F$31,4,IF($K133&gt;PARAMETRES!$E$31,3,IF($K133&gt;PARAMETRES!$D$31,2,1)))),IF($K133&gt;PARAMETRES!$G$32,5,IF($K133&gt;PARAMETRES!$F$32,4,IF($K133&gt;PARAMETRES!$E$32,3,IF($K133&gt;PARAMETRES!$D$32,2,1))))))</f>
        <v/>
      </c>
      <c r="T133" t="str">
        <f>IF($L133="","",IF($L133&gt;PARAMETRES!$G$33,5,IF($L133&gt;PARAMETRES!$F$33,4,IF($L133&gt;PARAMETRES!$E$33,3,IF($L133&gt;PARAMETRES!$D$33,2,1)))))</f>
        <v/>
      </c>
      <c r="U133" t="str">
        <f>IF($M133="","",IF($M133&gt;PARAMETRES!$G$34,5,IF($M133&gt;PARAMETRES!$F$34,4,IF($M133&gt;PARAMETRES!$E$34,3,IF($M133&gt;PARAMETRES!$D$34,2,1)))))</f>
        <v/>
      </c>
      <c r="V133" t="str">
        <f>IF($N133="","",IF($N133&gt;PARAMETRES!$G$35,5,IF($N133&gt;PARAMETRES!$F$35,4,IF($N133&gt;PARAMETRES!$E$35,3,IF($N133&gt;PARAMETRES!$D$35,2,1)))))</f>
        <v/>
      </c>
      <c r="W133" t="str">
        <f>IF($O133="","",IF($O133&gt;PARAMETRES!$G$36,5,IF($O133&gt;PARAMETRES!$F$36,4,IF($O133&gt;PARAMETRES!$E$36,3,IF($O133&gt;PARAMETRES!$D$36,2,1)))))</f>
        <v/>
      </c>
      <c r="X133" t="str">
        <f>IF($P133="","",IF($P133&gt;PARAMETRES!$G$37,5,IF($P133&gt;PARAMETRES!$F$37,4,IF($P133&gt;PARAMETRES!$E$37,3,IF($P133&gt;PARAMETRES!$D$37,2,1)))))</f>
        <v/>
      </c>
      <c r="Y133" t="str">
        <f t="shared" si="48"/>
        <v/>
      </c>
      <c r="Z133" t="str">
        <f>IFERROR(VLOOKUP($B133,TABLE_CYCLE,2,0),"")</f>
        <v/>
      </c>
      <c r="AA133" t="str">
        <f t="shared" si="49"/>
        <v/>
      </c>
      <c r="AB133" t="str">
        <f>IF($D133="","",IF(COUNTIF($D$2:$D133,$D133)=1,$D133,""))</f>
        <v/>
      </c>
      <c r="AC133">
        <f t="shared" si="50"/>
        <v>0</v>
      </c>
      <c r="AD133" t="str">
        <f t="shared" si="51"/>
        <v>|0</v>
      </c>
      <c r="AE133" t="str">
        <f t="shared" si="52"/>
        <v/>
      </c>
      <c r="AF133" t="str">
        <f t="shared" si="53"/>
        <v/>
      </c>
      <c r="AG133" t="str">
        <f t="shared" si="54"/>
        <v/>
      </c>
      <c r="AH133" t="str">
        <f t="shared" si="55"/>
        <v/>
      </c>
      <c r="AI133" t="str">
        <f t="shared" si="56"/>
        <v/>
      </c>
      <c r="AJ133" t="str">
        <f t="shared" si="57"/>
        <v/>
      </c>
      <c r="AK133" t="str">
        <f t="shared" si="58"/>
        <v/>
      </c>
      <c r="AL133" t="str">
        <f t="shared" si="59"/>
        <v/>
      </c>
      <c r="AM133" t="str">
        <f t="shared" si="60"/>
        <v/>
      </c>
      <c r="AN133" t="str">
        <f t="shared" si="61"/>
        <v/>
      </c>
      <c r="AO133" t="str">
        <f t="shared" si="62"/>
        <v/>
      </c>
      <c r="AP133">
        <f t="shared" si="63"/>
        <v>1</v>
      </c>
      <c r="AQ133" t="str">
        <f>IF(SAISIE!$F138="","",SAISIE!$Y138)</f>
        <v/>
      </c>
      <c r="AR133" t="str">
        <f>IF(OR(SAISIE!$U$4="",SAISIE!$W$4=""),"",IF(AND($A133=SAISIE!$U$4,$B133=SAISIE!$W$4,$C133="S1"),COUNTIFS($A$2:$A133,SAISIE!$U$4,$B$2:$B133,SAISIE!$W$4,$C$2:$C133,"S1"),""))</f>
        <v/>
      </c>
      <c r="AS133" t="str">
        <f t="shared" si="64"/>
        <v/>
      </c>
      <c r="AT133" t="str">
        <f t="shared" si="65"/>
        <v/>
      </c>
      <c r="AU133" t="str">
        <f t="shared" si="66"/>
        <v/>
      </c>
      <c r="AV133">
        <f>N(AV132)+IF(AND($AB133&lt;&gt;"",OR('PROFIL ELEVE'!$K$4="(Tous)",$AF133='PROFIL ELEVE'!$K$4)),1,0)</f>
        <v>0</v>
      </c>
      <c r="AW133">
        <f>N(AW132)+IF(AND($AB133&lt;&gt;"",OR('SUIVI LONGITUDINAL'!$Q$4="(Tous)",$AF133='SUIVI LONGITUDINAL'!$Q$4)),1,0)</f>
        <v>0</v>
      </c>
      <c r="AX133">
        <f t="shared" si="67"/>
        <v>0</v>
      </c>
      <c r="AY133">
        <f t="shared" si="68"/>
        <v>0</v>
      </c>
      <c r="AZ133">
        <f t="shared" si="69"/>
        <v>0</v>
      </c>
      <c r="BA133" t="str">
        <f t="shared" si="70"/>
        <v/>
      </c>
      <c r="BB133" t="str">
        <f t="shared" si="71"/>
        <v/>
      </c>
    </row>
    <row r="134" spans="1:54" ht="14.25" customHeight="1" x14ac:dyDescent="0.3">
      <c r="A134" t="str">
        <f>IF(SAISIE!$F139="","",SAISIE!$B139)</f>
        <v/>
      </c>
      <c r="B134" t="str">
        <f>IF(SAISIE!$F139="","",SAISIE!$C139)</f>
        <v/>
      </c>
      <c r="C134" t="str">
        <f>IF(SAISIE!$F139="","",SAISIE!$D139)</f>
        <v/>
      </c>
      <c r="D134" t="str">
        <f>IF(SAISIE!$E139="","",SAISIE!$E139)</f>
        <v/>
      </c>
      <c r="E134" t="str">
        <f>IF(SAISIE!$F139="","",SAISIE!$F139)</f>
        <v/>
      </c>
      <c r="F134" t="str">
        <f>IF(SAISIE!$G139="","",SAISIE!$G139)</f>
        <v/>
      </c>
      <c r="G134" t="str">
        <f>IF(SAISIE!$H139="","",SAISIE!$H139)</f>
        <v/>
      </c>
      <c r="H134" t="str">
        <f>IF(SAISIE!$I139="","",SAISIE!$I139)</f>
        <v/>
      </c>
      <c r="I134" t="str">
        <f>IF(SAISIE!$J139="","",SAISIE!$J139)</f>
        <v/>
      </c>
      <c r="J134" t="str">
        <f>IF(SAISIE!$K139="","",SAISIE!$K139)</f>
        <v/>
      </c>
      <c r="K134" t="str">
        <f>IF(SAISIE!$L139="","",SAISIE!$L139)</f>
        <v/>
      </c>
      <c r="L134" t="str">
        <f>IF(SAISIE!$M139="","",SAISIE!$M139)</f>
        <v/>
      </c>
      <c r="M134" t="str">
        <f>IF(SAISIE!$N139="","",SAISIE!$N139)</f>
        <v/>
      </c>
      <c r="N134" t="str">
        <f>IF(SAISIE!$O139="","",SAISIE!$O139)</f>
        <v/>
      </c>
      <c r="O134" t="str">
        <f>IF(SAISIE!$P139="","",SAISIE!$P139)</f>
        <v/>
      </c>
      <c r="P134" t="str">
        <f>IF(SAISIE!$Q139="","",SAISIE!$Q139)</f>
        <v/>
      </c>
      <c r="Q134" t="str">
        <f>IF($I134="","",IF($I134&gt;PARAMETRES!$G$29,5,IF($I134&gt;PARAMETRES!$F$29,4,IF($I134&gt;PARAMETRES!$E$29,3,IF($I134&gt;PARAMETRES!$D$29,2,1)))))</f>
        <v/>
      </c>
      <c r="R134" t="str">
        <f>IF($J134="","",IF($J134&gt;PARAMETRES!$G$30,5,IF($J134&gt;PARAMETRES!$F$30,4,IF($J134&gt;PARAMETRES!$E$30,3,IF($J134&gt;PARAMETRES!$D$30,2,1)))))</f>
        <v/>
      </c>
      <c r="S134" t="str">
        <f>IF($K134="","",IF($Z134=2,IF($K134&gt;PARAMETRES!$G$31,5,IF($K134&gt;PARAMETRES!$F$31,4,IF($K134&gt;PARAMETRES!$E$31,3,IF($K134&gt;PARAMETRES!$D$31,2,1)))),IF($K134&gt;PARAMETRES!$G$32,5,IF($K134&gt;PARAMETRES!$F$32,4,IF($K134&gt;PARAMETRES!$E$32,3,IF($K134&gt;PARAMETRES!$D$32,2,1))))))</f>
        <v/>
      </c>
      <c r="T134" t="str">
        <f>IF($L134="","",IF($L134&gt;PARAMETRES!$G$33,5,IF($L134&gt;PARAMETRES!$F$33,4,IF($L134&gt;PARAMETRES!$E$33,3,IF($L134&gt;PARAMETRES!$D$33,2,1)))))</f>
        <v/>
      </c>
      <c r="U134" t="str">
        <f>IF($M134="","",IF($M134&gt;PARAMETRES!$G$34,5,IF($M134&gt;PARAMETRES!$F$34,4,IF($M134&gt;PARAMETRES!$E$34,3,IF($M134&gt;PARAMETRES!$D$34,2,1)))))</f>
        <v/>
      </c>
      <c r="V134" t="str">
        <f>IF($N134="","",IF($N134&gt;PARAMETRES!$G$35,5,IF($N134&gt;PARAMETRES!$F$35,4,IF($N134&gt;PARAMETRES!$E$35,3,IF($N134&gt;PARAMETRES!$D$35,2,1)))))</f>
        <v/>
      </c>
      <c r="W134" t="str">
        <f>IF($O134="","",IF($O134&gt;PARAMETRES!$G$36,5,IF($O134&gt;PARAMETRES!$F$36,4,IF($O134&gt;PARAMETRES!$E$36,3,IF($O134&gt;PARAMETRES!$D$36,2,1)))))</f>
        <v/>
      </c>
      <c r="X134" t="str">
        <f>IF($P134="","",IF($P134&gt;PARAMETRES!$G$37,5,IF($P134&gt;PARAMETRES!$F$37,4,IF($P134&gt;PARAMETRES!$E$37,3,IF($P134&gt;PARAMETRES!$D$37,2,1)))))</f>
        <v/>
      </c>
      <c r="Y134" t="str">
        <f t="shared" si="48"/>
        <v/>
      </c>
      <c r="Z134" t="str">
        <f>IFERROR(VLOOKUP($B134,TABLE_CYCLE,2,0),"")</f>
        <v/>
      </c>
      <c r="AA134" t="str">
        <f t="shared" si="49"/>
        <v/>
      </c>
      <c r="AB134" t="str">
        <f>IF($D134="","",IF(COUNTIF($D$2:$D134,$D134)=1,$D134,""))</f>
        <v/>
      </c>
      <c r="AC134">
        <f t="shared" si="50"/>
        <v>0</v>
      </c>
      <c r="AD134" t="str">
        <f t="shared" si="51"/>
        <v>|0</v>
      </c>
      <c r="AE134" t="str">
        <f t="shared" si="52"/>
        <v/>
      </c>
      <c r="AF134" t="str">
        <f t="shared" si="53"/>
        <v/>
      </c>
      <c r="AG134" t="str">
        <f t="shared" si="54"/>
        <v/>
      </c>
      <c r="AH134" t="str">
        <f t="shared" si="55"/>
        <v/>
      </c>
      <c r="AI134" t="str">
        <f t="shared" si="56"/>
        <v/>
      </c>
      <c r="AJ134" t="str">
        <f t="shared" si="57"/>
        <v/>
      </c>
      <c r="AK134" t="str">
        <f t="shared" si="58"/>
        <v/>
      </c>
      <c r="AL134" t="str">
        <f t="shared" si="59"/>
        <v/>
      </c>
      <c r="AM134" t="str">
        <f t="shared" si="60"/>
        <v/>
      </c>
      <c r="AN134" t="str">
        <f t="shared" si="61"/>
        <v/>
      </c>
      <c r="AO134" t="str">
        <f t="shared" si="62"/>
        <v/>
      </c>
      <c r="AP134">
        <f t="shared" si="63"/>
        <v>1</v>
      </c>
      <c r="AQ134" t="str">
        <f>IF(SAISIE!$F139="","",SAISIE!$Y139)</f>
        <v/>
      </c>
      <c r="AR134" t="str">
        <f>IF(OR(SAISIE!$U$4="",SAISIE!$W$4=""),"",IF(AND($A134=SAISIE!$U$4,$B134=SAISIE!$W$4,$C134="S1"),COUNTIFS($A$2:$A134,SAISIE!$U$4,$B$2:$B134,SAISIE!$W$4,$C$2:$C134,"S1"),""))</f>
        <v/>
      </c>
      <c r="AS134" t="str">
        <f t="shared" si="64"/>
        <v/>
      </c>
      <c r="AT134" t="str">
        <f t="shared" si="65"/>
        <v/>
      </c>
      <c r="AU134" t="str">
        <f t="shared" si="66"/>
        <v/>
      </c>
      <c r="AV134">
        <f>N(AV133)+IF(AND($AB134&lt;&gt;"",OR('PROFIL ELEVE'!$K$4="(Tous)",$AF134='PROFIL ELEVE'!$K$4)),1,0)</f>
        <v>0</v>
      </c>
      <c r="AW134">
        <f>N(AW133)+IF(AND($AB134&lt;&gt;"",OR('SUIVI LONGITUDINAL'!$Q$4="(Tous)",$AF134='SUIVI LONGITUDINAL'!$Q$4)),1,0)</f>
        <v>0</v>
      </c>
      <c r="AX134">
        <f t="shared" si="67"/>
        <v>0</v>
      </c>
      <c r="AY134">
        <f t="shared" si="68"/>
        <v>0</v>
      </c>
      <c r="AZ134">
        <f t="shared" si="69"/>
        <v>0</v>
      </c>
      <c r="BA134" t="str">
        <f t="shared" si="70"/>
        <v/>
      </c>
      <c r="BB134" t="str">
        <f t="shared" si="71"/>
        <v/>
      </c>
    </row>
    <row r="135" spans="1:54" ht="14.25" customHeight="1" x14ac:dyDescent="0.3">
      <c r="A135" t="str">
        <f>IF(SAISIE!$F140="","",SAISIE!$B140)</f>
        <v/>
      </c>
      <c r="B135" t="str">
        <f>IF(SAISIE!$F140="","",SAISIE!$C140)</f>
        <v/>
      </c>
      <c r="C135" t="str">
        <f>IF(SAISIE!$F140="","",SAISIE!$D140)</f>
        <v/>
      </c>
      <c r="D135" t="str">
        <f>IF(SAISIE!$E140="","",SAISIE!$E140)</f>
        <v/>
      </c>
      <c r="E135" t="str">
        <f>IF(SAISIE!$F140="","",SAISIE!$F140)</f>
        <v/>
      </c>
      <c r="F135" t="str">
        <f>IF(SAISIE!$G140="","",SAISIE!$G140)</f>
        <v/>
      </c>
      <c r="G135" t="str">
        <f>IF(SAISIE!$H140="","",SAISIE!$H140)</f>
        <v/>
      </c>
      <c r="H135" t="str">
        <f>IF(SAISIE!$I140="","",SAISIE!$I140)</f>
        <v/>
      </c>
      <c r="I135" t="str">
        <f>IF(SAISIE!$J140="","",SAISIE!$J140)</f>
        <v/>
      </c>
      <c r="J135" t="str">
        <f>IF(SAISIE!$K140="","",SAISIE!$K140)</f>
        <v/>
      </c>
      <c r="K135" t="str">
        <f>IF(SAISIE!$L140="","",SAISIE!$L140)</f>
        <v/>
      </c>
      <c r="L135" t="str">
        <f>IF(SAISIE!$M140="","",SAISIE!$M140)</f>
        <v/>
      </c>
      <c r="M135" t="str">
        <f>IF(SAISIE!$N140="","",SAISIE!$N140)</f>
        <v/>
      </c>
      <c r="N135" t="str">
        <f>IF(SAISIE!$O140="","",SAISIE!$O140)</f>
        <v/>
      </c>
      <c r="O135" t="str">
        <f>IF(SAISIE!$P140="","",SAISIE!$P140)</f>
        <v/>
      </c>
      <c r="P135" t="str">
        <f>IF(SAISIE!$Q140="","",SAISIE!$Q140)</f>
        <v/>
      </c>
      <c r="Q135" t="str">
        <f>IF($I135="","",IF($I135&gt;PARAMETRES!$G$29,5,IF($I135&gt;PARAMETRES!$F$29,4,IF($I135&gt;PARAMETRES!$E$29,3,IF($I135&gt;PARAMETRES!$D$29,2,1)))))</f>
        <v/>
      </c>
      <c r="R135" t="str">
        <f>IF($J135="","",IF($J135&gt;PARAMETRES!$G$30,5,IF($J135&gt;PARAMETRES!$F$30,4,IF($J135&gt;PARAMETRES!$E$30,3,IF($J135&gt;PARAMETRES!$D$30,2,1)))))</f>
        <v/>
      </c>
      <c r="S135" t="str">
        <f>IF($K135="","",IF($Z135=2,IF($K135&gt;PARAMETRES!$G$31,5,IF($K135&gt;PARAMETRES!$F$31,4,IF($K135&gt;PARAMETRES!$E$31,3,IF($K135&gt;PARAMETRES!$D$31,2,1)))),IF($K135&gt;PARAMETRES!$G$32,5,IF($K135&gt;PARAMETRES!$F$32,4,IF($K135&gt;PARAMETRES!$E$32,3,IF($K135&gt;PARAMETRES!$D$32,2,1))))))</f>
        <v/>
      </c>
      <c r="T135" t="str">
        <f>IF($L135="","",IF($L135&gt;PARAMETRES!$G$33,5,IF($L135&gt;PARAMETRES!$F$33,4,IF($L135&gt;PARAMETRES!$E$33,3,IF($L135&gt;PARAMETRES!$D$33,2,1)))))</f>
        <v/>
      </c>
      <c r="U135" t="str">
        <f>IF($M135="","",IF($M135&gt;PARAMETRES!$G$34,5,IF($M135&gt;PARAMETRES!$F$34,4,IF($M135&gt;PARAMETRES!$E$34,3,IF($M135&gt;PARAMETRES!$D$34,2,1)))))</f>
        <v/>
      </c>
      <c r="V135" t="str">
        <f>IF($N135="","",IF($N135&gt;PARAMETRES!$G$35,5,IF($N135&gt;PARAMETRES!$F$35,4,IF($N135&gt;PARAMETRES!$E$35,3,IF($N135&gt;PARAMETRES!$D$35,2,1)))))</f>
        <v/>
      </c>
      <c r="W135" t="str">
        <f>IF($O135="","",IF($O135&gt;PARAMETRES!$G$36,5,IF($O135&gt;PARAMETRES!$F$36,4,IF($O135&gt;PARAMETRES!$E$36,3,IF($O135&gt;PARAMETRES!$D$36,2,1)))))</f>
        <v/>
      </c>
      <c r="X135" t="str">
        <f>IF($P135="","",IF($P135&gt;PARAMETRES!$G$37,5,IF($P135&gt;PARAMETRES!$F$37,4,IF($P135&gt;PARAMETRES!$E$37,3,IF($P135&gt;PARAMETRES!$D$37,2,1)))))</f>
        <v/>
      </c>
      <c r="Y135" t="str">
        <f t="shared" si="48"/>
        <v/>
      </c>
      <c r="Z135" t="str">
        <f>IFERROR(VLOOKUP($B135,TABLE_CYCLE,2,0),"")</f>
        <v/>
      </c>
      <c r="AA135" t="str">
        <f t="shared" si="49"/>
        <v/>
      </c>
      <c r="AB135" t="str">
        <f>IF($D135="","",IF(COUNTIF($D$2:$D135,$D135)=1,$D135,""))</f>
        <v/>
      </c>
      <c r="AC135">
        <f t="shared" si="50"/>
        <v>0</v>
      </c>
      <c r="AD135" t="str">
        <f t="shared" si="51"/>
        <v>|0</v>
      </c>
      <c r="AE135" t="str">
        <f t="shared" si="52"/>
        <v/>
      </c>
      <c r="AF135" t="str">
        <f t="shared" si="53"/>
        <v/>
      </c>
      <c r="AG135" t="str">
        <f t="shared" si="54"/>
        <v/>
      </c>
      <c r="AH135" t="str">
        <f t="shared" si="55"/>
        <v/>
      </c>
      <c r="AI135" t="str">
        <f t="shared" si="56"/>
        <v/>
      </c>
      <c r="AJ135" t="str">
        <f t="shared" si="57"/>
        <v/>
      </c>
      <c r="AK135" t="str">
        <f t="shared" si="58"/>
        <v/>
      </c>
      <c r="AL135" t="str">
        <f t="shared" si="59"/>
        <v/>
      </c>
      <c r="AM135" t="str">
        <f t="shared" si="60"/>
        <v/>
      </c>
      <c r="AN135" t="str">
        <f t="shared" si="61"/>
        <v/>
      </c>
      <c r="AO135" t="str">
        <f t="shared" si="62"/>
        <v/>
      </c>
      <c r="AP135">
        <f t="shared" si="63"/>
        <v>1</v>
      </c>
      <c r="AQ135" t="str">
        <f>IF(SAISIE!$F140="","",SAISIE!$Y140)</f>
        <v/>
      </c>
      <c r="AR135" t="str">
        <f>IF(OR(SAISIE!$U$4="",SAISIE!$W$4=""),"",IF(AND($A135=SAISIE!$U$4,$B135=SAISIE!$W$4,$C135="S1"),COUNTIFS($A$2:$A135,SAISIE!$U$4,$B$2:$B135,SAISIE!$W$4,$C$2:$C135,"S1"),""))</f>
        <v/>
      </c>
      <c r="AS135" t="str">
        <f t="shared" si="64"/>
        <v/>
      </c>
      <c r="AT135" t="str">
        <f t="shared" si="65"/>
        <v/>
      </c>
      <c r="AU135" t="str">
        <f t="shared" si="66"/>
        <v/>
      </c>
      <c r="AV135">
        <f>N(AV134)+IF(AND($AB135&lt;&gt;"",OR('PROFIL ELEVE'!$K$4="(Tous)",$AF135='PROFIL ELEVE'!$K$4)),1,0)</f>
        <v>0</v>
      </c>
      <c r="AW135">
        <f>N(AW134)+IF(AND($AB135&lt;&gt;"",OR('SUIVI LONGITUDINAL'!$Q$4="(Tous)",$AF135='SUIVI LONGITUDINAL'!$Q$4)),1,0)</f>
        <v>0</v>
      </c>
      <c r="AX135">
        <f t="shared" si="67"/>
        <v>0</v>
      </c>
      <c r="AY135">
        <f t="shared" si="68"/>
        <v>0</v>
      </c>
      <c r="AZ135">
        <f t="shared" si="69"/>
        <v>0</v>
      </c>
      <c r="BA135" t="str">
        <f t="shared" si="70"/>
        <v/>
      </c>
      <c r="BB135" t="str">
        <f t="shared" si="71"/>
        <v/>
      </c>
    </row>
    <row r="136" spans="1:54" ht="14.25" customHeight="1" x14ac:dyDescent="0.3">
      <c r="A136" t="str">
        <f>IF(SAISIE!$F141="","",SAISIE!$B141)</f>
        <v/>
      </c>
      <c r="B136" t="str">
        <f>IF(SAISIE!$F141="","",SAISIE!$C141)</f>
        <v/>
      </c>
      <c r="C136" t="str">
        <f>IF(SAISIE!$F141="","",SAISIE!$D141)</f>
        <v/>
      </c>
      <c r="D136" t="str">
        <f>IF(SAISIE!$E141="","",SAISIE!$E141)</f>
        <v/>
      </c>
      <c r="E136" t="str">
        <f>IF(SAISIE!$F141="","",SAISIE!$F141)</f>
        <v/>
      </c>
      <c r="F136" t="str">
        <f>IF(SAISIE!$G141="","",SAISIE!$G141)</f>
        <v/>
      </c>
      <c r="G136" t="str">
        <f>IF(SAISIE!$H141="","",SAISIE!$H141)</f>
        <v/>
      </c>
      <c r="H136" t="str">
        <f>IF(SAISIE!$I141="","",SAISIE!$I141)</f>
        <v/>
      </c>
      <c r="I136" t="str">
        <f>IF(SAISIE!$J141="","",SAISIE!$J141)</f>
        <v/>
      </c>
      <c r="J136" t="str">
        <f>IF(SAISIE!$K141="","",SAISIE!$K141)</f>
        <v/>
      </c>
      <c r="K136" t="str">
        <f>IF(SAISIE!$L141="","",SAISIE!$L141)</f>
        <v/>
      </c>
      <c r="L136" t="str">
        <f>IF(SAISIE!$M141="","",SAISIE!$M141)</f>
        <v/>
      </c>
      <c r="M136" t="str">
        <f>IF(SAISIE!$N141="","",SAISIE!$N141)</f>
        <v/>
      </c>
      <c r="N136" t="str">
        <f>IF(SAISIE!$O141="","",SAISIE!$O141)</f>
        <v/>
      </c>
      <c r="O136" t="str">
        <f>IF(SAISIE!$P141="","",SAISIE!$P141)</f>
        <v/>
      </c>
      <c r="P136" t="str">
        <f>IF(SAISIE!$Q141="","",SAISIE!$Q141)</f>
        <v/>
      </c>
      <c r="Q136" t="str">
        <f>IF($I136="","",IF($I136&gt;PARAMETRES!$G$29,5,IF($I136&gt;PARAMETRES!$F$29,4,IF($I136&gt;PARAMETRES!$E$29,3,IF($I136&gt;PARAMETRES!$D$29,2,1)))))</f>
        <v/>
      </c>
      <c r="R136" t="str">
        <f>IF($J136="","",IF($J136&gt;PARAMETRES!$G$30,5,IF($J136&gt;PARAMETRES!$F$30,4,IF($J136&gt;PARAMETRES!$E$30,3,IF($J136&gt;PARAMETRES!$D$30,2,1)))))</f>
        <v/>
      </c>
      <c r="S136" t="str">
        <f>IF($K136="","",IF($Z136=2,IF($K136&gt;PARAMETRES!$G$31,5,IF($K136&gt;PARAMETRES!$F$31,4,IF($K136&gt;PARAMETRES!$E$31,3,IF($K136&gt;PARAMETRES!$D$31,2,1)))),IF($K136&gt;PARAMETRES!$G$32,5,IF($K136&gt;PARAMETRES!$F$32,4,IF($K136&gt;PARAMETRES!$E$32,3,IF($K136&gt;PARAMETRES!$D$32,2,1))))))</f>
        <v/>
      </c>
      <c r="T136" t="str">
        <f>IF($L136="","",IF($L136&gt;PARAMETRES!$G$33,5,IF($L136&gt;PARAMETRES!$F$33,4,IF($L136&gt;PARAMETRES!$E$33,3,IF($L136&gt;PARAMETRES!$D$33,2,1)))))</f>
        <v/>
      </c>
      <c r="U136" t="str">
        <f>IF($M136="","",IF($M136&gt;PARAMETRES!$G$34,5,IF($M136&gt;PARAMETRES!$F$34,4,IF($M136&gt;PARAMETRES!$E$34,3,IF($M136&gt;PARAMETRES!$D$34,2,1)))))</f>
        <v/>
      </c>
      <c r="V136" t="str">
        <f>IF($N136="","",IF($N136&gt;PARAMETRES!$G$35,5,IF($N136&gt;PARAMETRES!$F$35,4,IF($N136&gt;PARAMETRES!$E$35,3,IF($N136&gt;PARAMETRES!$D$35,2,1)))))</f>
        <v/>
      </c>
      <c r="W136" t="str">
        <f>IF($O136="","",IF($O136&gt;PARAMETRES!$G$36,5,IF($O136&gt;PARAMETRES!$F$36,4,IF($O136&gt;PARAMETRES!$E$36,3,IF($O136&gt;PARAMETRES!$D$36,2,1)))))</f>
        <v/>
      </c>
      <c r="X136" t="str">
        <f>IF($P136="","",IF($P136&gt;PARAMETRES!$G$37,5,IF($P136&gt;PARAMETRES!$F$37,4,IF($P136&gt;PARAMETRES!$E$37,3,IF($P136&gt;PARAMETRES!$D$37,2,1)))))</f>
        <v/>
      </c>
      <c r="Y136" t="str">
        <f t="shared" si="48"/>
        <v/>
      </c>
      <c r="Z136" t="str">
        <f>IFERROR(VLOOKUP($B136,TABLE_CYCLE,2,0),"")</f>
        <v/>
      </c>
      <c r="AA136" t="str">
        <f t="shared" si="49"/>
        <v/>
      </c>
      <c r="AB136" t="str">
        <f>IF($D136="","",IF(COUNTIF($D$2:$D136,$D136)=1,$D136,""))</f>
        <v/>
      </c>
      <c r="AC136">
        <f t="shared" si="50"/>
        <v>0</v>
      </c>
      <c r="AD136" t="str">
        <f t="shared" si="51"/>
        <v>|0</v>
      </c>
      <c r="AE136" t="str">
        <f t="shared" si="52"/>
        <v/>
      </c>
      <c r="AF136" t="str">
        <f t="shared" si="53"/>
        <v/>
      </c>
      <c r="AG136" t="str">
        <f t="shared" si="54"/>
        <v/>
      </c>
      <c r="AH136" t="str">
        <f t="shared" si="55"/>
        <v/>
      </c>
      <c r="AI136" t="str">
        <f t="shared" si="56"/>
        <v/>
      </c>
      <c r="AJ136" t="str">
        <f t="shared" si="57"/>
        <v/>
      </c>
      <c r="AK136" t="str">
        <f t="shared" si="58"/>
        <v/>
      </c>
      <c r="AL136" t="str">
        <f t="shared" si="59"/>
        <v/>
      </c>
      <c r="AM136" t="str">
        <f t="shared" si="60"/>
        <v/>
      </c>
      <c r="AN136" t="str">
        <f t="shared" si="61"/>
        <v/>
      </c>
      <c r="AO136" t="str">
        <f t="shared" si="62"/>
        <v/>
      </c>
      <c r="AP136">
        <f t="shared" si="63"/>
        <v>1</v>
      </c>
      <c r="AQ136" t="str">
        <f>IF(SAISIE!$F141="","",SAISIE!$Y141)</f>
        <v/>
      </c>
      <c r="AR136" t="str">
        <f>IF(OR(SAISIE!$U$4="",SAISIE!$W$4=""),"",IF(AND($A136=SAISIE!$U$4,$B136=SAISIE!$W$4,$C136="S1"),COUNTIFS($A$2:$A136,SAISIE!$U$4,$B$2:$B136,SAISIE!$W$4,$C$2:$C136,"S1"),""))</f>
        <v/>
      </c>
      <c r="AS136" t="str">
        <f t="shared" si="64"/>
        <v/>
      </c>
      <c r="AT136" t="str">
        <f t="shared" si="65"/>
        <v/>
      </c>
      <c r="AU136" t="str">
        <f t="shared" si="66"/>
        <v/>
      </c>
      <c r="AV136">
        <f>N(AV135)+IF(AND($AB136&lt;&gt;"",OR('PROFIL ELEVE'!$K$4="(Tous)",$AF136='PROFIL ELEVE'!$K$4)),1,0)</f>
        <v>0</v>
      </c>
      <c r="AW136">
        <f>N(AW135)+IF(AND($AB136&lt;&gt;"",OR('SUIVI LONGITUDINAL'!$Q$4="(Tous)",$AF136='SUIVI LONGITUDINAL'!$Q$4)),1,0)</f>
        <v>0</v>
      </c>
      <c r="AX136">
        <f t="shared" si="67"/>
        <v>0</v>
      </c>
      <c r="AY136">
        <f t="shared" si="68"/>
        <v>0</v>
      </c>
      <c r="AZ136">
        <f t="shared" si="69"/>
        <v>0</v>
      </c>
      <c r="BA136" t="str">
        <f t="shared" si="70"/>
        <v/>
      </c>
      <c r="BB136" t="str">
        <f t="shared" si="71"/>
        <v/>
      </c>
    </row>
    <row r="137" spans="1:54" ht="14.25" customHeight="1" x14ac:dyDescent="0.3">
      <c r="A137" t="str">
        <f>IF(SAISIE!$F142="","",SAISIE!$B142)</f>
        <v/>
      </c>
      <c r="B137" t="str">
        <f>IF(SAISIE!$F142="","",SAISIE!$C142)</f>
        <v/>
      </c>
      <c r="C137" t="str">
        <f>IF(SAISIE!$F142="","",SAISIE!$D142)</f>
        <v/>
      </c>
      <c r="D137" t="str">
        <f>IF(SAISIE!$E142="","",SAISIE!$E142)</f>
        <v/>
      </c>
      <c r="E137" t="str">
        <f>IF(SAISIE!$F142="","",SAISIE!$F142)</f>
        <v/>
      </c>
      <c r="F137" t="str">
        <f>IF(SAISIE!$G142="","",SAISIE!$G142)</f>
        <v/>
      </c>
      <c r="G137" t="str">
        <f>IF(SAISIE!$H142="","",SAISIE!$H142)</f>
        <v/>
      </c>
      <c r="H137" t="str">
        <f>IF(SAISIE!$I142="","",SAISIE!$I142)</f>
        <v/>
      </c>
      <c r="I137" t="str">
        <f>IF(SAISIE!$J142="","",SAISIE!$J142)</f>
        <v/>
      </c>
      <c r="J137" t="str">
        <f>IF(SAISIE!$K142="","",SAISIE!$K142)</f>
        <v/>
      </c>
      <c r="K137" t="str">
        <f>IF(SAISIE!$L142="","",SAISIE!$L142)</f>
        <v/>
      </c>
      <c r="L137" t="str">
        <f>IF(SAISIE!$M142="","",SAISIE!$M142)</f>
        <v/>
      </c>
      <c r="M137" t="str">
        <f>IF(SAISIE!$N142="","",SAISIE!$N142)</f>
        <v/>
      </c>
      <c r="N137" t="str">
        <f>IF(SAISIE!$O142="","",SAISIE!$O142)</f>
        <v/>
      </c>
      <c r="O137" t="str">
        <f>IF(SAISIE!$P142="","",SAISIE!$P142)</f>
        <v/>
      </c>
      <c r="P137" t="str">
        <f>IF(SAISIE!$Q142="","",SAISIE!$Q142)</f>
        <v/>
      </c>
      <c r="Q137" t="str">
        <f>IF($I137="","",IF($I137&gt;PARAMETRES!$G$29,5,IF($I137&gt;PARAMETRES!$F$29,4,IF($I137&gt;PARAMETRES!$E$29,3,IF($I137&gt;PARAMETRES!$D$29,2,1)))))</f>
        <v/>
      </c>
      <c r="R137" t="str">
        <f>IF($J137="","",IF($J137&gt;PARAMETRES!$G$30,5,IF($J137&gt;PARAMETRES!$F$30,4,IF($J137&gt;PARAMETRES!$E$30,3,IF($J137&gt;PARAMETRES!$D$30,2,1)))))</f>
        <v/>
      </c>
      <c r="S137" t="str">
        <f>IF($K137="","",IF($Z137=2,IF($K137&gt;PARAMETRES!$G$31,5,IF($K137&gt;PARAMETRES!$F$31,4,IF($K137&gt;PARAMETRES!$E$31,3,IF($K137&gt;PARAMETRES!$D$31,2,1)))),IF($K137&gt;PARAMETRES!$G$32,5,IF($K137&gt;PARAMETRES!$F$32,4,IF($K137&gt;PARAMETRES!$E$32,3,IF($K137&gt;PARAMETRES!$D$32,2,1))))))</f>
        <v/>
      </c>
      <c r="T137" t="str">
        <f>IF($L137="","",IF($L137&gt;PARAMETRES!$G$33,5,IF($L137&gt;PARAMETRES!$F$33,4,IF($L137&gt;PARAMETRES!$E$33,3,IF($L137&gt;PARAMETRES!$D$33,2,1)))))</f>
        <v/>
      </c>
      <c r="U137" t="str">
        <f>IF($M137="","",IF($M137&gt;PARAMETRES!$G$34,5,IF($M137&gt;PARAMETRES!$F$34,4,IF($M137&gt;PARAMETRES!$E$34,3,IF($M137&gt;PARAMETRES!$D$34,2,1)))))</f>
        <v/>
      </c>
      <c r="V137" t="str">
        <f>IF($N137="","",IF($N137&gt;PARAMETRES!$G$35,5,IF($N137&gt;PARAMETRES!$F$35,4,IF($N137&gt;PARAMETRES!$E$35,3,IF($N137&gt;PARAMETRES!$D$35,2,1)))))</f>
        <v/>
      </c>
      <c r="W137" t="str">
        <f>IF($O137="","",IF($O137&gt;PARAMETRES!$G$36,5,IF($O137&gt;PARAMETRES!$F$36,4,IF($O137&gt;PARAMETRES!$E$36,3,IF($O137&gt;PARAMETRES!$D$36,2,1)))))</f>
        <v/>
      </c>
      <c r="X137" t="str">
        <f>IF($P137="","",IF($P137&gt;PARAMETRES!$G$37,5,IF($P137&gt;PARAMETRES!$F$37,4,IF($P137&gt;PARAMETRES!$E$37,3,IF($P137&gt;PARAMETRES!$D$37,2,1)))))</f>
        <v/>
      </c>
      <c r="Y137" t="str">
        <f t="shared" si="48"/>
        <v/>
      </c>
      <c r="Z137" t="str">
        <f>IFERROR(VLOOKUP($B137,TABLE_CYCLE,2,0),"")</f>
        <v/>
      </c>
      <c r="AA137" t="str">
        <f t="shared" si="49"/>
        <v/>
      </c>
      <c r="AB137" t="str">
        <f>IF($D137="","",IF(COUNTIF($D$2:$D137,$D137)=1,$D137,""))</f>
        <v/>
      </c>
      <c r="AC137">
        <f t="shared" si="50"/>
        <v>0</v>
      </c>
      <c r="AD137" t="str">
        <f t="shared" si="51"/>
        <v>|0</v>
      </c>
      <c r="AE137" t="str">
        <f t="shared" si="52"/>
        <v/>
      </c>
      <c r="AF137" t="str">
        <f t="shared" si="53"/>
        <v/>
      </c>
      <c r="AG137" t="str">
        <f t="shared" si="54"/>
        <v/>
      </c>
      <c r="AH137" t="str">
        <f t="shared" si="55"/>
        <v/>
      </c>
      <c r="AI137" t="str">
        <f t="shared" si="56"/>
        <v/>
      </c>
      <c r="AJ137" t="str">
        <f t="shared" si="57"/>
        <v/>
      </c>
      <c r="AK137" t="str">
        <f t="shared" si="58"/>
        <v/>
      </c>
      <c r="AL137" t="str">
        <f t="shared" si="59"/>
        <v/>
      </c>
      <c r="AM137" t="str">
        <f t="shared" si="60"/>
        <v/>
      </c>
      <c r="AN137" t="str">
        <f t="shared" si="61"/>
        <v/>
      </c>
      <c r="AO137" t="str">
        <f t="shared" si="62"/>
        <v/>
      </c>
      <c r="AP137">
        <f t="shared" si="63"/>
        <v>1</v>
      </c>
      <c r="AQ137" t="str">
        <f>IF(SAISIE!$F142="","",SAISIE!$Y142)</f>
        <v/>
      </c>
      <c r="AR137" t="str">
        <f>IF(OR(SAISIE!$U$4="",SAISIE!$W$4=""),"",IF(AND($A137=SAISIE!$U$4,$B137=SAISIE!$W$4,$C137="S1"),COUNTIFS($A$2:$A137,SAISIE!$U$4,$B$2:$B137,SAISIE!$W$4,$C$2:$C137,"S1"),""))</f>
        <v/>
      </c>
      <c r="AS137" t="str">
        <f t="shared" si="64"/>
        <v/>
      </c>
      <c r="AT137" t="str">
        <f t="shared" si="65"/>
        <v/>
      </c>
      <c r="AU137" t="str">
        <f t="shared" si="66"/>
        <v/>
      </c>
      <c r="AV137">
        <f>N(AV136)+IF(AND($AB137&lt;&gt;"",OR('PROFIL ELEVE'!$K$4="(Tous)",$AF137='PROFIL ELEVE'!$K$4)),1,0)</f>
        <v>0</v>
      </c>
      <c r="AW137">
        <f>N(AW136)+IF(AND($AB137&lt;&gt;"",OR('SUIVI LONGITUDINAL'!$Q$4="(Tous)",$AF137='SUIVI LONGITUDINAL'!$Q$4)),1,0)</f>
        <v>0</v>
      </c>
      <c r="AX137">
        <f t="shared" si="67"/>
        <v>0</v>
      </c>
      <c r="AY137">
        <f t="shared" si="68"/>
        <v>0</v>
      </c>
      <c r="AZ137">
        <f t="shared" si="69"/>
        <v>0</v>
      </c>
      <c r="BA137" t="str">
        <f t="shared" si="70"/>
        <v/>
      </c>
      <c r="BB137" t="str">
        <f t="shared" si="71"/>
        <v/>
      </c>
    </row>
    <row r="138" spans="1:54" ht="14.25" customHeight="1" x14ac:dyDescent="0.3">
      <c r="A138" t="str">
        <f>IF(SAISIE!$F143="","",SAISIE!$B143)</f>
        <v/>
      </c>
      <c r="B138" t="str">
        <f>IF(SAISIE!$F143="","",SAISIE!$C143)</f>
        <v/>
      </c>
      <c r="C138" t="str">
        <f>IF(SAISIE!$F143="","",SAISIE!$D143)</f>
        <v/>
      </c>
      <c r="D138" t="str">
        <f>IF(SAISIE!$E143="","",SAISIE!$E143)</f>
        <v/>
      </c>
      <c r="E138" t="str">
        <f>IF(SAISIE!$F143="","",SAISIE!$F143)</f>
        <v/>
      </c>
      <c r="F138" t="str">
        <f>IF(SAISIE!$G143="","",SAISIE!$G143)</f>
        <v/>
      </c>
      <c r="G138" t="str">
        <f>IF(SAISIE!$H143="","",SAISIE!$H143)</f>
        <v/>
      </c>
      <c r="H138" t="str">
        <f>IF(SAISIE!$I143="","",SAISIE!$I143)</f>
        <v/>
      </c>
      <c r="I138" t="str">
        <f>IF(SAISIE!$J143="","",SAISIE!$J143)</f>
        <v/>
      </c>
      <c r="J138" t="str">
        <f>IF(SAISIE!$K143="","",SAISIE!$K143)</f>
        <v/>
      </c>
      <c r="K138" t="str">
        <f>IF(SAISIE!$L143="","",SAISIE!$L143)</f>
        <v/>
      </c>
      <c r="L138" t="str">
        <f>IF(SAISIE!$M143="","",SAISIE!$M143)</f>
        <v/>
      </c>
      <c r="M138" t="str">
        <f>IF(SAISIE!$N143="","",SAISIE!$N143)</f>
        <v/>
      </c>
      <c r="N138" t="str">
        <f>IF(SAISIE!$O143="","",SAISIE!$O143)</f>
        <v/>
      </c>
      <c r="O138" t="str">
        <f>IF(SAISIE!$P143="","",SAISIE!$P143)</f>
        <v/>
      </c>
      <c r="P138" t="str">
        <f>IF(SAISIE!$Q143="","",SAISIE!$Q143)</f>
        <v/>
      </c>
      <c r="Q138" t="str">
        <f>IF($I138="","",IF($I138&gt;PARAMETRES!$G$29,5,IF($I138&gt;PARAMETRES!$F$29,4,IF($I138&gt;PARAMETRES!$E$29,3,IF($I138&gt;PARAMETRES!$D$29,2,1)))))</f>
        <v/>
      </c>
      <c r="R138" t="str">
        <f>IF($J138="","",IF($J138&gt;PARAMETRES!$G$30,5,IF($J138&gt;PARAMETRES!$F$30,4,IF($J138&gt;PARAMETRES!$E$30,3,IF($J138&gt;PARAMETRES!$D$30,2,1)))))</f>
        <v/>
      </c>
      <c r="S138" t="str">
        <f>IF($K138="","",IF($Z138=2,IF($K138&gt;PARAMETRES!$G$31,5,IF($K138&gt;PARAMETRES!$F$31,4,IF($K138&gt;PARAMETRES!$E$31,3,IF($K138&gt;PARAMETRES!$D$31,2,1)))),IF($K138&gt;PARAMETRES!$G$32,5,IF($K138&gt;PARAMETRES!$F$32,4,IF($K138&gt;PARAMETRES!$E$32,3,IF($K138&gt;PARAMETRES!$D$32,2,1))))))</f>
        <v/>
      </c>
      <c r="T138" t="str">
        <f>IF($L138="","",IF($L138&gt;PARAMETRES!$G$33,5,IF($L138&gt;PARAMETRES!$F$33,4,IF($L138&gt;PARAMETRES!$E$33,3,IF($L138&gt;PARAMETRES!$D$33,2,1)))))</f>
        <v/>
      </c>
      <c r="U138" t="str">
        <f>IF($M138="","",IF($M138&gt;PARAMETRES!$G$34,5,IF($M138&gt;PARAMETRES!$F$34,4,IF($M138&gt;PARAMETRES!$E$34,3,IF($M138&gt;PARAMETRES!$D$34,2,1)))))</f>
        <v/>
      </c>
      <c r="V138" t="str">
        <f>IF($N138="","",IF($N138&gt;PARAMETRES!$G$35,5,IF($N138&gt;PARAMETRES!$F$35,4,IF($N138&gt;PARAMETRES!$E$35,3,IF($N138&gt;PARAMETRES!$D$35,2,1)))))</f>
        <v/>
      </c>
      <c r="W138" t="str">
        <f>IF($O138="","",IF($O138&gt;PARAMETRES!$G$36,5,IF($O138&gt;PARAMETRES!$F$36,4,IF($O138&gt;PARAMETRES!$E$36,3,IF($O138&gt;PARAMETRES!$D$36,2,1)))))</f>
        <v/>
      </c>
      <c r="X138" t="str">
        <f>IF($P138="","",IF($P138&gt;PARAMETRES!$G$37,5,IF($P138&gt;PARAMETRES!$F$37,4,IF($P138&gt;PARAMETRES!$E$37,3,IF($P138&gt;PARAMETRES!$D$37,2,1)))))</f>
        <v/>
      </c>
      <c r="Y138" t="str">
        <f t="shared" si="48"/>
        <v/>
      </c>
      <c r="Z138" t="str">
        <f>IFERROR(VLOOKUP($B138,TABLE_CYCLE,2,0),"")</f>
        <v/>
      </c>
      <c r="AA138" t="str">
        <f t="shared" si="49"/>
        <v/>
      </c>
      <c r="AB138" t="str">
        <f>IF($D138="","",IF(COUNTIF($D$2:$D138,$D138)=1,$D138,""))</f>
        <v/>
      </c>
      <c r="AC138">
        <f t="shared" si="50"/>
        <v>0</v>
      </c>
      <c r="AD138" t="str">
        <f t="shared" si="51"/>
        <v>|0</v>
      </c>
      <c r="AE138" t="str">
        <f t="shared" si="52"/>
        <v/>
      </c>
      <c r="AF138" t="str">
        <f t="shared" si="53"/>
        <v/>
      </c>
      <c r="AG138" t="str">
        <f t="shared" si="54"/>
        <v/>
      </c>
      <c r="AH138" t="str">
        <f t="shared" si="55"/>
        <v/>
      </c>
      <c r="AI138" t="str">
        <f t="shared" si="56"/>
        <v/>
      </c>
      <c r="AJ138" t="str">
        <f t="shared" si="57"/>
        <v/>
      </c>
      <c r="AK138" t="str">
        <f t="shared" si="58"/>
        <v/>
      </c>
      <c r="AL138" t="str">
        <f t="shared" si="59"/>
        <v/>
      </c>
      <c r="AM138" t="str">
        <f t="shared" si="60"/>
        <v/>
      </c>
      <c r="AN138" t="str">
        <f t="shared" si="61"/>
        <v/>
      </c>
      <c r="AO138" t="str">
        <f t="shared" si="62"/>
        <v/>
      </c>
      <c r="AP138">
        <f t="shared" si="63"/>
        <v>1</v>
      </c>
      <c r="AQ138" t="str">
        <f>IF(SAISIE!$F143="","",SAISIE!$Y143)</f>
        <v/>
      </c>
      <c r="AR138" t="str">
        <f>IF(OR(SAISIE!$U$4="",SAISIE!$W$4=""),"",IF(AND($A138=SAISIE!$U$4,$B138=SAISIE!$W$4,$C138="S1"),COUNTIFS($A$2:$A138,SAISIE!$U$4,$B$2:$B138,SAISIE!$W$4,$C$2:$C138,"S1"),""))</f>
        <v/>
      </c>
      <c r="AS138" t="str">
        <f t="shared" si="64"/>
        <v/>
      </c>
      <c r="AT138" t="str">
        <f t="shared" si="65"/>
        <v/>
      </c>
      <c r="AU138" t="str">
        <f t="shared" si="66"/>
        <v/>
      </c>
      <c r="AV138">
        <f>N(AV137)+IF(AND($AB138&lt;&gt;"",OR('PROFIL ELEVE'!$K$4="(Tous)",$AF138='PROFIL ELEVE'!$K$4)),1,0)</f>
        <v>0</v>
      </c>
      <c r="AW138">
        <f>N(AW137)+IF(AND($AB138&lt;&gt;"",OR('SUIVI LONGITUDINAL'!$Q$4="(Tous)",$AF138='SUIVI LONGITUDINAL'!$Q$4)),1,0)</f>
        <v>0</v>
      </c>
      <c r="AX138">
        <f t="shared" si="67"/>
        <v>0</v>
      </c>
      <c r="AY138">
        <f t="shared" si="68"/>
        <v>0</v>
      </c>
      <c r="AZ138">
        <f t="shared" si="69"/>
        <v>0</v>
      </c>
      <c r="BA138" t="str">
        <f t="shared" si="70"/>
        <v/>
      </c>
      <c r="BB138" t="str">
        <f t="shared" si="71"/>
        <v/>
      </c>
    </row>
    <row r="139" spans="1:54" ht="14.25" customHeight="1" x14ac:dyDescent="0.3">
      <c r="A139" t="str">
        <f>IF(SAISIE!$F144="","",SAISIE!$B144)</f>
        <v/>
      </c>
      <c r="B139" t="str">
        <f>IF(SAISIE!$F144="","",SAISIE!$C144)</f>
        <v/>
      </c>
      <c r="C139" t="str">
        <f>IF(SAISIE!$F144="","",SAISIE!$D144)</f>
        <v/>
      </c>
      <c r="D139" t="str">
        <f>IF(SAISIE!$E144="","",SAISIE!$E144)</f>
        <v/>
      </c>
      <c r="E139" t="str">
        <f>IF(SAISIE!$F144="","",SAISIE!$F144)</f>
        <v/>
      </c>
      <c r="F139" t="str">
        <f>IF(SAISIE!$G144="","",SAISIE!$G144)</f>
        <v/>
      </c>
      <c r="G139" t="str">
        <f>IF(SAISIE!$H144="","",SAISIE!$H144)</f>
        <v/>
      </c>
      <c r="H139" t="str">
        <f>IF(SAISIE!$I144="","",SAISIE!$I144)</f>
        <v/>
      </c>
      <c r="I139" t="str">
        <f>IF(SAISIE!$J144="","",SAISIE!$J144)</f>
        <v/>
      </c>
      <c r="J139" t="str">
        <f>IF(SAISIE!$K144="","",SAISIE!$K144)</f>
        <v/>
      </c>
      <c r="K139" t="str">
        <f>IF(SAISIE!$L144="","",SAISIE!$L144)</f>
        <v/>
      </c>
      <c r="L139" t="str">
        <f>IF(SAISIE!$M144="","",SAISIE!$M144)</f>
        <v/>
      </c>
      <c r="M139" t="str">
        <f>IF(SAISIE!$N144="","",SAISIE!$N144)</f>
        <v/>
      </c>
      <c r="N139" t="str">
        <f>IF(SAISIE!$O144="","",SAISIE!$O144)</f>
        <v/>
      </c>
      <c r="O139" t="str">
        <f>IF(SAISIE!$P144="","",SAISIE!$P144)</f>
        <v/>
      </c>
      <c r="P139" t="str">
        <f>IF(SAISIE!$Q144="","",SAISIE!$Q144)</f>
        <v/>
      </c>
      <c r="Q139" t="str">
        <f>IF($I139="","",IF($I139&gt;PARAMETRES!$G$29,5,IF($I139&gt;PARAMETRES!$F$29,4,IF($I139&gt;PARAMETRES!$E$29,3,IF($I139&gt;PARAMETRES!$D$29,2,1)))))</f>
        <v/>
      </c>
      <c r="R139" t="str">
        <f>IF($J139="","",IF($J139&gt;PARAMETRES!$G$30,5,IF($J139&gt;PARAMETRES!$F$30,4,IF($J139&gt;PARAMETRES!$E$30,3,IF($J139&gt;PARAMETRES!$D$30,2,1)))))</f>
        <v/>
      </c>
      <c r="S139" t="str">
        <f>IF($K139="","",IF($Z139=2,IF($K139&gt;PARAMETRES!$G$31,5,IF($K139&gt;PARAMETRES!$F$31,4,IF($K139&gt;PARAMETRES!$E$31,3,IF($K139&gt;PARAMETRES!$D$31,2,1)))),IF($K139&gt;PARAMETRES!$G$32,5,IF($K139&gt;PARAMETRES!$F$32,4,IF($K139&gt;PARAMETRES!$E$32,3,IF($K139&gt;PARAMETRES!$D$32,2,1))))))</f>
        <v/>
      </c>
      <c r="T139" t="str">
        <f>IF($L139="","",IF($L139&gt;PARAMETRES!$G$33,5,IF($L139&gt;PARAMETRES!$F$33,4,IF($L139&gt;PARAMETRES!$E$33,3,IF($L139&gt;PARAMETRES!$D$33,2,1)))))</f>
        <v/>
      </c>
      <c r="U139" t="str">
        <f>IF($M139="","",IF($M139&gt;PARAMETRES!$G$34,5,IF($M139&gt;PARAMETRES!$F$34,4,IF($M139&gt;PARAMETRES!$E$34,3,IF($M139&gt;PARAMETRES!$D$34,2,1)))))</f>
        <v/>
      </c>
      <c r="V139" t="str">
        <f>IF($N139="","",IF($N139&gt;PARAMETRES!$G$35,5,IF($N139&gt;PARAMETRES!$F$35,4,IF($N139&gt;PARAMETRES!$E$35,3,IF($N139&gt;PARAMETRES!$D$35,2,1)))))</f>
        <v/>
      </c>
      <c r="W139" t="str">
        <f>IF($O139="","",IF($O139&gt;PARAMETRES!$G$36,5,IF($O139&gt;PARAMETRES!$F$36,4,IF($O139&gt;PARAMETRES!$E$36,3,IF($O139&gt;PARAMETRES!$D$36,2,1)))))</f>
        <v/>
      </c>
      <c r="X139" t="str">
        <f>IF($P139="","",IF($P139&gt;PARAMETRES!$G$37,5,IF($P139&gt;PARAMETRES!$F$37,4,IF($P139&gt;PARAMETRES!$E$37,3,IF($P139&gt;PARAMETRES!$D$37,2,1)))))</f>
        <v/>
      </c>
      <c r="Y139" t="str">
        <f t="shared" si="48"/>
        <v/>
      </c>
      <c r="Z139" t="str">
        <f>IFERROR(VLOOKUP($B139,TABLE_CYCLE,2,0),"")</f>
        <v/>
      </c>
      <c r="AA139" t="str">
        <f t="shared" si="49"/>
        <v/>
      </c>
      <c r="AB139" t="str">
        <f>IF($D139="","",IF(COUNTIF($D$2:$D139,$D139)=1,$D139,""))</f>
        <v/>
      </c>
      <c r="AC139">
        <f t="shared" si="50"/>
        <v>0</v>
      </c>
      <c r="AD139" t="str">
        <f t="shared" si="51"/>
        <v>|0</v>
      </c>
      <c r="AE139" t="str">
        <f t="shared" si="52"/>
        <v/>
      </c>
      <c r="AF139" t="str">
        <f t="shared" si="53"/>
        <v/>
      </c>
      <c r="AG139" t="str">
        <f t="shared" si="54"/>
        <v/>
      </c>
      <c r="AH139" t="str">
        <f t="shared" si="55"/>
        <v/>
      </c>
      <c r="AI139" t="str">
        <f t="shared" si="56"/>
        <v/>
      </c>
      <c r="AJ139" t="str">
        <f t="shared" si="57"/>
        <v/>
      </c>
      <c r="AK139" t="str">
        <f t="shared" si="58"/>
        <v/>
      </c>
      <c r="AL139" t="str">
        <f t="shared" si="59"/>
        <v/>
      </c>
      <c r="AM139" t="str">
        <f t="shared" si="60"/>
        <v/>
      </c>
      <c r="AN139" t="str">
        <f t="shared" si="61"/>
        <v/>
      </c>
      <c r="AO139" t="str">
        <f t="shared" si="62"/>
        <v/>
      </c>
      <c r="AP139">
        <f t="shared" si="63"/>
        <v>1</v>
      </c>
      <c r="AQ139" t="str">
        <f>IF(SAISIE!$F144="","",SAISIE!$Y144)</f>
        <v/>
      </c>
      <c r="AR139" t="str">
        <f>IF(OR(SAISIE!$U$4="",SAISIE!$W$4=""),"",IF(AND($A139=SAISIE!$U$4,$B139=SAISIE!$W$4,$C139="S1"),COUNTIFS($A$2:$A139,SAISIE!$U$4,$B$2:$B139,SAISIE!$W$4,$C$2:$C139,"S1"),""))</f>
        <v/>
      </c>
      <c r="AS139" t="str">
        <f t="shared" si="64"/>
        <v/>
      </c>
      <c r="AT139" t="str">
        <f t="shared" si="65"/>
        <v/>
      </c>
      <c r="AU139" t="str">
        <f t="shared" si="66"/>
        <v/>
      </c>
      <c r="AV139">
        <f>N(AV138)+IF(AND($AB139&lt;&gt;"",OR('PROFIL ELEVE'!$K$4="(Tous)",$AF139='PROFIL ELEVE'!$K$4)),1,0)</f>
        <v>0</v>
      </c>
      <c r="AW139">
        <f>N(AW138)+IF(AND($AB139&lt;&gt;"",OR('SUIVI LONGITUDINAL'!$Q$4="(Tous)",$AF139='SUIVI LONGITUDINAL'!$Q$4)),1,0)</f>
        <v>0</v>
      </c>
      <c r="AX139">
        <f t="shared" si="67"/>
        <v>0</v>
      </c>
      <c r="AY139">
        <f t="shared" si="68"/>
        <v>0</v>
      </c>
      <c r="AZ139">
        <f t="shared" si="69"/>
        <v>0</v>
      </c>
      <c r="BA139" t="str">
        <f t="shared" si="70"/>
        <v/>
      </c>
      <c r="BB139" t="str">
        <f t="shared" si="71"/>
        <v/>
      </c>
    </row>
    <row r="140" spans="1:54" ht="14.25" customHeight="1" x14ac:dyDescent="0.3">
      <c r="A140" t="str">
        <f>IF(SAISIE!$F145="","",SAISIE!$B145)</f>
        <v/>
      </c>
      <c r="B140" t="str">
        <f>IF(SAISIE!$F145="","",SAISIE!$C145)</f>
        <v/>
      </c>
      <c r="C140" t="str">
        <f>IF(SAISIE!$F145="","",SAISIE!$D145)</f>
        <v/>
      </c>
      <c r="D140" t="str">
        <f>IF(SAISIE!$E145="","",SAISIE!$E145)</f>
        <v/>
      </c>
      <c r="E140" t="str">
        <f>IF(SAISIE!$F145="","",SAISIE!$F145)</f>
        <v/>
      </c>
      <c r="F140" t="str">
        <f>IF(SAISIE!$G145="","",SAISIE!$G145)</f>
        <v/>
      </c>
      <c r="G140" t="str">
        <f>IF(SAISIE!$H145="","",SAISIE!$H145)</f>
        <v/>
      </c>
      <c r="H140" t="str">
        <f>IF(SAISIE!$I145="","",SAISIE!$I145)</f>
        <v/>
      </c>
      <c r="I140" t="str">
        <f>IF(SAISIE!$J145="","",SAISIE!$J145)</f>
        <v/>
      </c>
      <c r="J140" t="str">
        <f>IF(SAISIE!$K145="","",SAISIE!$K145)</f>
        <v/>
      </c>
      <c r="K140" t="str">
        <f>IF(SAISIE!$L145="","",SAISIE!$L145)</f>
        <v/>
      </c>
      <c r="L140" t="str">
        <f>IF(SAISIE!$M145="","",SAISIE!$M145)</f>
        <v/>
      </c>
      <c r="M140" t="str">
        <f>IF(SAISIE!$N145="","",SAISIE!$N145)</f>
        <v/>
      </c>
      <c r="N140" t="str">
        <f>IF(SAISIE!$O145="","",SAISIE!$O145)</f>
        <v/>
      </c>
      <c r="O140" t="str">
        <f>IF(SAISIE!$P145="","",SAISIE!$P145)</f>
        <v/>
      </c>
      <c r="P140" t="str">
        <f>IF(SAISIE!$Q145="","",SAISIE!$Q145)</f>
        <v/>
      </c>
      <c r="Q140" t="str">
        <f>IF($I140="","",IF($I140&gt;PARAMETRES!$G$29,5,IF($I140&gt;PARAMETRES!$F$29,4,IF($I140&gt;PARAMETRES!$E$29,3,IF($I140&gt;PARAMETRES!$D$29,2,1)))))</f>
        <v/>
      </c>
      <c r="R140" t="str">
        <f>IF($J140="","",IF($J140&gt;PARAMETRES!$G$30,5,IF($J140&gt;PARAMETRES!$F$30,4,IF($J140&gt;PARAMETRES!$E$30,3,IF($J140&gt;PARAMETRES!$D$30,2,1)))))</f>
        <v/>
      </c>
      <c r="S140" t="str">
        <f>IF($K140="","",IF($Z140=2,IF($K140&gt;PARAMETRES!$G$31,5,IF($K140&gt;PARAMETRES!$F$31,4,IF($K140&gt;PARAMETRES!$E$31,3,IF($K140&gt;PARAMETRES!$D$31,2,1)))),IF($K140&gt;PARAMETRES!$G$32,5,IF($K140&gt;PARAMETRES!$F$32,4,IF($K140&gt;PARAMETRES!$E$32,3,IF($K140&gt;PARAMETRES!$D$32,2,1))))))</f>
        <v/>
      </c>
      <c r="T140" t="str">
        <f>IF($L140="","",IF($L140&gt;PARAMETRES!$G$33,5,IF($L140&gt;PARAMETRES!$F$33,4,IF($L140&gt;PARAMETRES!$E$33,3,IF($L140&gt;PARAMETRES!$D$33,2,1)))))</f>
        <v/>
      </c>
      <c r="U140" t="str">
        <f>IF($M140="","",IF($M140&gt;PARAMETRES!$G$34,5,IF($M140&gt;PARAMETRES!$F$34,4,IF($M140&gt;PARAMETRES!$E$34,3,IF($M140&gt;PARAMETRES!$D$34,2,1)))))</f>
        <v/>
      </c>
      <c r="V140" t="str">
        <f>IF($N140="","",IF($N140&gt;PARAMETRES!$G$35,5,IF($N140&gt;PARAMETRES!$F$35,4,IF($N140&gt;PARAMETRES!$E$35,3,IF($N140&gt;PARAMETRES!$D$35,2,1)))))</f>
        <v/>
      </c>
      <c r="W140" t="str">
        <f>IF($O140="","",IF($O140&gt;PARAMETRES!$G$36,5,IF($O140&gt;PARAMETRES!$F$36,4,IF($O140&gt;PARAMETRES!$E$36,3,IF($O140&gt;PARAMETRES!$D$36,2,1)))))</f>
        <v/>
      </c>
      <c r="X140" t="str">
        <f>IF($P140="","",IF($P140&gt;PARAMETRES!$G$37,5,IF($P140&gt;PARAMETRES!$F$37,4,IF($P140&gt;PARAMETRES!$E$37,3,IF($P140&gt;PARAMETRES!$D$37,2,1)))))</f>
        <v/>
      </c>
      <c r="Y140" t="str">
        <f t="shared" si="48"/>
        <v/>
      </c>
      <c r="Z140" t="str">
        <f>IFERROR(VLOOKUP($B140,TABLE_CYCLE,2,0),"")</f>
        <v/>
      </c>
      <c r="AA140" t="str">
        <f t="shared" si="49"/>
        <v/>
      </c>
      <c r="AB140" t="str">
        <f>IF($D140="","",IF(COUNTIF($D$2:$D140,$D140)=1,$D140,""))</f>
        <v/>
      </c>
      <c r="AC140">
        <f t="shared" si="50"/>
        <v>0</v>
      </c>
      <c r="AD140" t="str">
        <f t="shared" si="51"/>
        <v>|0</v>
      </c>
      <c r="AE140" t="str">
        <f t="shared" si="52"/>
        <v/>
      </c>
      <c r="AF140" t="str">
        <f t="shared" si="53"/>
        <v/>
      </c>
      <c r="AG140" t="str">
        <f t="shared" si="54"/>
        <v/>
      </c>
      <c r="AH140" t="str">
        <f t="shared" si="55"/>
        <v/>
      </c>
      <c r="AI140" t="str">
        <f t="shared" si="56"/>
        <v/>
      </c>
      <c r="AJ140" t="str">
        <f t="shared" si="57"/>
        <v/>
      </c>
      <c r="AK140" t="str">
        <f t="shared" si="58"/>
        <v/>
      </c>
      <c r="AL140" t="str">
        <f t="shared" si="59"/>
        <v/>
      </c>
      <c r="AM140" t="str">
        <f t="shared" si="60"/>
        <v/>
      </c>
      <c r="AN140" t="str">
        <f t="shared" si="61"/>
        <v/>
      </c>
      <c r="AO140" t="str">
        <f t="shared" si="62"/>
        <v/>
      </c>
      <c r="AP140">
        <f t="shared" si="63"/>
        <v>1</v>
      </c>
      <c r="AQ140" t="str">
        <f>IF(SAISIE!$F145="","",SAISIE!$Y145)</f>
        <v/>
      </c>
      <c r="AR140" t="str">
        <f>IF(OR(SAISIE!$U$4="",SAISIE!$W$4=""),"",IF(AND($A140=SAISIE!$U$4,$B140=SAISIE!$W$4,$C140="S1"),COUNTIFS($A$2:$A140,SAISIE!$U$4,$B$2:$B140,SAISIE!$W$4,$C$2:$C140,"S1"),""))</f>
        <v/>
      </c>
      <c r="AS140" t="str">
        <f t="shared" si="64"/>
        <v/>
      </c>
      <c r="AT140" t="str">
        <f t="shared" si="65"/>
        <v/>
      </c>
      <c r="AU140" t="str">
        <f t="shared" si="66"/>
        <v/>
      </c>
      <c r="AV140">
        <f>N(AV139)+IF(AND($AB140&lt;&gt;"",OR('PROFIL ELEVE'!$K$4="(Tous)",$AF140='PROFIL ELEVE'!$K$4)),1,0)</f>
        <v>0</v>
      </c>
      <c r="AW140">
        <f>N(AW139)+IF(AND($AB140&lt;&gt;"",OR('SUIVI LONGITUDINAL'!$Q$4="(Tous)",$AF140='SUIVI LONGITUDINAL'!$Q$4)),1,0)</f>
        <v>0</v>
      </c>
      <c r="AX140">
        <f t="shared" si="67"/>
        <v>0</v>
      </c>
      <c r="AY140">
        <f t="shared" si="68"/>
        <v>0</v>
      </c>
      <c r="AZ140">
        <f t="shared" si="69"/>
        <v>0</v>
      </c>
      <c r="BA140" t="str">
        <f t="shared" si="70"/>
        <v/>
      </c>
      <c r="BB140" t="str">
        <f t="shared" si="71"/>
        <v/>
      </c>
    </row>
    <row r="141" spans="1:54" ht="14.25" customHeight="1" x14ac:dyDescent="0.3">
      <c r="A141" t="str">
        <f>IF(SAISIE!$F146="","",SAISIE!$B146)</f>
        <v/>
      </c>
      <c r="B141" t="str">
        <f>IF(SAISIE!$F146="","",SAISIE!$C146)</f>
        <v/>
      </c>
      <c r="C141" t="str">
        <f>IF(SAISIE!$F146="","",SAISIE!$D146)</f>
        <v/>
      </c>
      <c r="D141" t="str">
        <f>IF(SAISIE!$E146="","",SAISIE!$E146)</f>
        <v/>
      </c>
      <c r="E141" t="str">
        <f>IF(SAISIE!$F146="","",SAISIE!$F146)</f>
        <v/>
      </c>
      <c r="F141" t="str">
        <f>IF(SAISIE!$G146="","",SAISIE!$G146)</f>
        <v/>
      </c>
      <c r="G141" t="str">
        <f>IF(SAISIE!$H146="","",SAISIE!$H146)</f>
        <v/>
      </c>
      <c r="H141" t="str">
        <f>IF(SAISIE!$I146="","",SAISIE!$I146)</f>
        <v/>
      </c>
      <c r="I141" t="str">
        <f>IF(SAISIE!$J146="","",SAISIE!$J146)</f>
        <v/>
      </c>
      <c r="J141" t="str">
        <f>IF(SAISIE!$K146="","",SAISIE!$K146)</f>
        <v/>
      </c>
      <c r="K141" t="str">
        <f>IF(SAISIE!$L146="","",SAISIE!$L146)</f>
        <v/>
      </c>
      <c r="L141" t="str">
        <f>IF(SAISIE!$M146="","",SAISIE!$M146)</f>
        <v/>
      </c>
      <c r="M141" t="str">
        <f>IF(SAISIE!$N146="","",SAISIE!$N146)</f>
        <v/>
      </c>
      <c r="N141" t="str">
        <f>IF(SAISIE!$O146="","",SAISIE!$O146)</f>
        <v/>
      </c>
      <c r="O141" t="str">
        <f>IF(SAISIE!$P146="","",SAISIE!$P146)</f>
        <v/>
      </c>
      <c r="P141" t="str">
        <f>IF(SAISIE!$Q146="","",SAISIE!$Q146)</f>
        <v/>
      </c>
      <c r="Q141" t="str">
        <f>IF($I141="","",IF($I141&gt;PARAMETRES!$G$29,5,IF($I141&gt;PARAMETRES!$F$29,4,IF($I141&gt;PARAMETRES!$E$29,3,IF($I141&gt;PARAMETRES!$D$29,2,1)))))</f>
        <v/>
      </c>
      <c r="R141" t="str">
        <f>IF($J141="","",IF($J141&gt;PARAMETRES!$G$30,5,IF($J141&gt;PARAMETRES!$F$30,4,IF($J141&gt;PARAMETRES!$E$30,3,IF($J141&gt;PARAMETRES!$D$30,2,1)))))</f>
        <v/>
      </c>
      <c r="S141" t="str">
        <f>IF($K141="","",IF($Z141=2,IF($K141&gt;PARAMETRES!$G$31,5,IF($K141&gt;PARAMETRES!$F$31,4,IF($K141&gt;PARAMETRES!$E$31,3,IF($K141&gt;PARAMETRES!$D$31,2,1)))),IF($K141&gt;PARAMETRES!$G$32,5,IF($K141&gt;PARAMETRES!$F$32,4,IF($K141&gt;PARAMETRES!$E$32,3,IF($K141&gt;PARAMETRES!$D$32,2,1))))))</f>
        <v/>
      </c>
      <c r="T141" t="str">
        <f>IF($L141="","",IF($L141&gt;PARAMETRES!$G$33,5,IF($L141&gt;PARAMETRES!$F$33,4,IF($L141&gt;PARAMETRES!$E$33,3,IF($L141&gt;PARAMETRES!$D$33,2,1)))))</f>
        <v/>
      </c>
      <c r="U141" t="str">
        <f>IF($M141="","",IF($M141&gt;PARAMETRES!$G$34,5,IF($M141&gt;PARAMETRES!$F$34,4,IF($M141&gt;PARAMETRES!$E$34,3,IF($M141&gt;PARAMETRES!$D$34,2,1)))))</f>
        <v/>
      </c>
      <c r="V141" t="str">
        <f>IF($N141="","",IF($N141&gt;PARAMETRES!$G$35,5,IF($N141&gt;PARAMETRES!$F$35,4,IF($N141&gt;PARAMETRES!$E$35,3,IF($N141&gt;PARAMETRES!$D$35,2,1)))))</f>
        <v/>
      </c>
      <c r="W141" t="str">
        <f>IF($O141="","",IF($O141&gt;PARAMETRES!$G$36,5,IF($O141&gt;PARAMETRES!$F$36,4,IF($O141&gt;PARAMETRES!$E$36,3,IF($O141&gt;PARAMETRES!$D$36,2,1)))))</f>
        <v/>
      </c>
      <c r="X141" t="str">
        <f>IF($P141="","",IF($P141&gt;PARAMETRES!$G$37,5,IF($P141&gt;PARAMETRES!$F$37,4,IF($P141&gt;PARAMETRES!$E$37,3,IF($P141&gt;PARAMETRES!$D$37,2,1)))))</f>
        <v/>
      </c>
      <c r="Y141" t="str">
        <f t="shared" si="48"/>
        <v/>
      </c>
      <c r="Z141" t="str">
        <f>IFERROR(VLOOKUP($B141,TABLE_CYCLE,2,0),"")</f>
        <v/>
      </c>
      <c r="AA141" t="str">
        <f t="shared" si="49"/>
        <v/>
      </c>
      <c r="AB141" t="str">
        <f>IF($D141="","",IF(COUNTIF($D$2:$D141,$D141)=1,$D141,""))</f>
        <v/>
      </c>
      <c r="AC141">
        <f t="shared" si="50"/>
        <v>0</v>
      </c>
      <c r="AD141" t="str">
        <f t="shared" si="51"/>
        <v>|0</v>
      </c>
      <c r="AE141" t="str">
        <f t="shared" si="52"/>
        <v/>
      </c>
      <c r="AF141" t="str">
        <f t="shared" si="53"/>
        <v/>
      </c>
      <c r="AG141" t="str">
        <f t="shared" si="54"/>
        <v/>
      </c>
      <c r="AH141" t="str">
        <f t="shared" si="55"/>
        <v/>
      </c>
      <c r="AI141" t="str">
        <f t="shared" si="56"/>
        <v/>
      </c>
      <c r="AJ141" t="str">
        <f t="shared" si="57"/>
        <v/>
      </c>
      <c r="AK141" t="str">
        <f t="shared" si="58"/>
        <v/>
      </c>
      <c r="AL141" t="str">
        <f t="shared" si="59"/>
        <v/>
      </c>
      <c r="AM141" t="str">
        <f t="shared" si="60"/>
        <v/>
      </c>
      <c r="AN141" t="str">
        <f t="shared" si="61"/>
        <v/>
      </c>
      <c r="AO141" t="str">
        <f t="shared" si="62"/>
        <v/>
      </c>
      <c r="AP141">
        <f t="shared" si="63"/>
        <v>1</v>
      </c>
      <c r="AQ141" t="str">
        <f>IF(SAISIE!$F146="","",SAISIE!$Y146)</f>
        <v/>
      </c>
      <c r="AR141" t="str">
        <f>IF(OR(SAISIE!$U$4="",SAISIE!$W$4=""),"",IF(AND($A141=SAISIE!$U$4,$B141=SAISIE!$W$4,$C141="S1"),COUNTIFS($A$2:$A141,SAISIE!$U$4,$B$2:$B141,SAISIE!$W$4,$C$2:$C141,"S1"),""))</f>
        <v/>
      </c>
      <c r="AS141" t="str">
        <f t="shared" si="64"/>
        <v/>
      </c>
      <c r="AT141" t="str">
        <f t="shared" si="65"/>
        <v/>
      </c>
      <c r="AU141" t="str">
        <f t="shared" si="66"/>
        <v/>
      </c>
      <c r="AV141">
        <f>N(AV140)+IF(AND($AB141&lt;&gt;"",OR('PROFIL ELEVE'!$K$4="(Tous)",$AF141='PROFIL ELEVE'!$K$4)),1,0)</f>
        <v>0</v>
      </c>
      <c r="AW141">
        <f>N(AW140)+IF(AND($AB141&lt;&gt;"",OR('SUIVI LONGITUDINAL'!$Q$4="(Tous)",$AF141='SUIVI LONGITUDINAL'!$Q$4)),1,0)</f>
        <v>0</v>
      </c>
      <c r="AX141">
        <f t="shared" si="67"/>
        <v>0</v>
      </c>
      <c r="AY141">
        <f t="shared" si="68"/>
        <v>0</v>
      </c>
      <c r="AZ141">
        <f t="shared" si="69"/>
        <v>0</v>
      </c>
      <c r="BA141" t="str">
        <f t="shared" si="70"/>
        <v/>
      </c>
      <c r="BB141" t="str">
        <f t="shared" si="71"/>
        <v/>
      </c>
    </row>
    <row r="142" spans="1:54" ht="14.25" customHeight="1" x14ac:dyDescent="0.3">
      <c r="A142" t="str">
        <f>IF(SAISIE!$F147="","",SAISIE!$B147)</f>
        <v/>
      </c>
      <c r="B142" t="str">
        <f>IF(SAISIE!$F147="","",SAISIE!$C147)</f>
        <v/>
      </c>
      <c r="C142" t="str">
        <f>IF(SAISIE!$F147="","",SAISIE!$D147)</f>
        <v/>
      </c>
      <c r="D142" t="str">
        <f>IF(SAISIE!$E147="","",SAISIE!$E147)</f>
        <v/>
      </c>
      <c r="E142" t="str">
        <f>IF(SAISIE!$F147="","",SAISIE!$F147)</f>
        <v/>
      </c>
      <c r="F142" t="str">
        <f>IF(SAISIE!$G147="","",SAISIE!$G147)</f>
        <v/>
      </c>
      <c r="G142" t="str">
        <f>IF(SAISIE!$H147="","",SAISIE!$H147)</f>
        <v/>
      </c>
      <c r="H142" t="str">
        <f>IF(SAISIE!$I147="","",SAISIE!$I147)</f>
        <v/>
      </c>
      <c r="I142" t="str">
        <f>IF(SAISIE!$J147="","",SAISIE!$J147)</f>
        <v/>
      </c>
      <c r="J142" t="str">
        <f>IF(SAISIE!$K147="","",SAISIE!$K147)</f>
        <v/>
      </c>
      <c r="K142" t="str">
        <f>IF(SAISIE!$L147="","",SAISIE!$L147)</f>
        <v/>
      </c>
      <c r="L142" t="str">
        <f>IF(SAISIE!$M147="","",SAISIE!$M147)</f>
        <v/>
      </c>
      <c r="M142" t="str">
        <f>IF(SAISIE!$N147="","",SAISIE!$N147)</f>
        <v/>
      </c>
      <c r="N142" t="str">
        <f>IF(SAISIE!$O147="","",SAISIE!$O147)</f>
        <v/>
      </c>
      <c r="O142" t="str">
        <f>IF(SAISIE!$P147="","",SAISIE!$P147)</f>
        <v/>
      </c>
      <c r="P142" t="str">
        <f>IF(SAISIE!$Q147="","",SAISIE!$Q147)</f>
        <v/>
      </c>
      <c r="Q142" t="str">
        <f>IF($I142="","",IF($I142&gt;PARAMETRES!$G$29,5,IF($I142&gt;PARAMETRES!$F$29,4,IF($I142&gt;PARAMETRES!$E$29,3,IF($I142&gt;PARAMETRES!$D$29,2,1)))))</f>
        <v/>
      </c>
      <c r="R142" t="str">
        <f>IF($J142="","",IF($J142&gt;PARAMETRES!$G$30,5,IF($J142&gt;PARAMETRES!$F$30,4,IF($J142&gt;PARAMETRES!$E$30,3,IF($J142&gt;PARAMETRES!$D$30,2,1)))))</f>
        <v/>
      </c>
      <c r="S142" t="str">
        <f>IF($K142="","",IF($Z142=2,IF($K142&gt;PARAMETRES!$G$31,5,IF($K142&gt;PARAMETRES!$F$31,4,IF($K142&gt;PARAMETRES!$E$31,3,IF($K142&gt;PARAMETRES!$D$31,2,1)))),IF($K142&gt;PARAMETRES!$G$32,5,IF($K142&gt;PARAMETRES!$F$32,4,IF($K142&gt;PARAMETRES!$E$32,3,IF($K142&gt;PARAMETRES!$D$32,2,1))))))</f>
        <v/>
      </c>
      <c r="T142" t="str">
        <f>IF($L142="","",IF($L142&gt;PARAMETRES!$G$33,5,IF($L142&gt;PARAMETRES!$F$33,4,IF($L142&gt;PARAMETRES!$E$33,3,IF($L142&gt;PARAMETRES!$D$33,2,1)))))</f>
        <v/>
      </c>
      <c r="U142" t="str">
        <f>IF($M142="","",IF($M142&gt;PARAMETRES!$G$34,5,IF($M142&gt;PARAMETRES!$F$34,4,IF($M142&gt;PARAMETRES!$E$34,3,IF($M142&gt;PARAMETRES!$D$34,2,1)))))</f>
        <v/>
      </c>
      <c r="V142" t="str">
        <f>IF($N142="","",IF($N142&gt;PARAMETRES!$G$35,5,IF($N142&gt;PARAMETRES!$F$35,4,IF($N142&gt;PARAMETRES!$E$35,3,IF($N142&gt;PARAMETRES!$D$35,2,1)))))</f>
        <v/>
      </c>
      <c r="W142" t="str">
        <f>IF($O142="","",IF($O142&gt;PARAMETRES!$G$36,5,IF($O142&gt;PARAMETRES!$F$36,4,IF($O142&gt;PARAMETRES!$E$36,3,IF($O142&gt;PARAMETRES!$D$36,2,1)))))</f>
        <v/>
      </c>
      <c r="X142" t="str">
        <f>IF($P142="","",IF($P142&gt;PARAMETRES!$G$37,5,IF($P142&gt;PARAMETRES!$F$37,4,IF($P142&gt;PARAMETRES!$E$37,3,IF($P142&gt;PARAMETRES!$D$37,2,1)))))</f>
        <v/>
      </c>
      <c r="Y142" t="str">
        <f t="shared" si="48"/>
        <v/>
      </c>
      <c r="Z142" t="str">
        <f>IFERROR(VLOOKUP($B142,TABLE_CYCLE,2,0),"")</f>
        <v/>
      </c>
      <c r="AA142" t="str">
        <f t="shared" si="49"/>
        <v/>
      </c>
      <c r="AB142" t="str">
        <f>IF($D142="","",IF(COUNTIF($D$2:$D142,$D142)=1,$D142,""))</f>
        <v/>
      </c>
      <c r="AC142">
        <f t="shared" si="50"/>
        <v>0</v>
      </c>
      <c r="AD142" t="str">
        <f t="shared" si="51"/>
        <v>|0</v>
      </c>
      <c r="AE142" t="str">
        <f t="shared" si="52"/>
        <v/>
      </c>
      <c r="AF142" t="str">
        <f t="shared" si="53"/>
        <v/>
      </c>
      <c r="AG142" t="str">
        <f t="shared" si="54"/>
        <v/>
      </c>
      <c r="AH142" t="str">
        <f t="shared" si="55"/>
        <v/>
      </c>
      <c r="AI142" t="str">
        <f t="shared" si="56"/>
        <v/>
      </c>
      <c r="AJ142" t="str">
        <f t="shared" si="57"/>
        <v/>
      </c>
      <c r="AK142" t="str">
        <f t="shared" si="58"/>
        <v/>
      </c>
      <c r="AL142" t="str">
        <f t="shared" si="59"/>
        <v/>
      </c>
      <c r="AM142" t="str">
        <f t="shared" si="60"/>
        <v/>
      </c>
      <c r="AN142" t="str">
        <f t="shared" si="61"/>
        <v/>
      </c>
      <c r="AO142" t="str">
        <f t="shared" si="62"/>
        <v/>
      </c>
      <c r="AP142">
        <f t="shared" si="63"/>
        <v>1</v>
      </c>
      <c r="AQ142" t="str">
        <f>IF(SAISIE!$F147="","",SAISIE!$Y147)</f>
        <v/>
      </c>
      <c r="AR142" t="str">
        <f>IF(OR(SAISIE!$U$4="",SAISIE!$W$4=""),"",IF(AND($A142=SAISIE!$U$4,$B142=SAISIE!$W$4,$C142="S1"),COUNTIFS($A$2:$A142,SAISIE!$U$4,$B$2:$B142,SAISIE!$W$4,$C$2:$C142,"S1"),""))</f>
        <v/>
      </c>
      <c r="AS142" t="str">
        <f t="shared" si="64"/>
        <v/>
      </c>
      <c r="AT142" t="str">
        <f t="shared" si="65"/>
        <v/>
      </c>
      <c r="AU142" t="str">
        <f t="shared" si="66"/>
        <v/>
      </c>
      <c r="AV142">
        <f>N(AV141)+IF(AND($AB142&lt;&gt;"",OR('PROFIL ELEVE'!$K$4="(Tous)",$AF142='PROFIL ELEVE'!$K$4)),1,0)</f>
        <v>0</v>
      </c>
      <c r="AW142">
        <f>N(AW141)+IF(AND($AB142&lt;&gt;"",OR('SUIVI LONGITUDINAL'!$Q$4="(Tous)",$AF142='SUIVI LONGITUDINAL'!$Q$4)),1,0)</f>
        <v>0</v>
      </c>
      <c r="AX142">
        <f t="shared" si="67"/>
        <v>0</v>
      </c>
      <c r="AY142">
        <f t="shared" si="68"/>
        <v>0</v>
      </c>
      <c r="AZ142">
        <f t="shared" si="69"/>
        <v>0</v>
      </c>
      <c r="BA142" t="str">
        <f t="shared" si="70"/>
        <v/>
      </c>
      <c r="BB142" t="str">
        <f t="shared" si="71"/>
        <v/>
      </c>
    </row>
    <row r="143" spans="1:54" ht="14.25" customHeight="1" x14ac:dyDescent="0.3">
      <c r="A143" t="str">
        <f>IF(SAISIE!$F148="","",SAISIE!$B148)</f>
        <v/>
      </c>
      <c r="B143" t="str">
        <f>IF(SAISIE!$F148="","",SAISIE!$C148)</f>
        <v/>
      </c>
      <c r="C143" t="str">
        <f>IF(SAISIE!$F148="","",SAISIE!$D148)</f>
        <v/>
      </c>
      <c r="D143" t="str">
        <f>IF(SAISIE!$E148="","",SAISIE!$E148)</f>
        <v/>
      </c>
      <c r="E143" t="str">
        <f>IF(SAISIE!$F148="","",SAISIE!$F148)</f>
        <v/>
      </c>
      <c r="F143" t="str">
        <f>IF(SAISIE!$G148="","",SAISIE!$G148)</f>
        <v/>
      </c>
      <c r="G143" t="str">
        <f>IF(SAISIE!$H148="","",SAISIE!$H148)</f>
        <v/>
      </c>
      <c r="H143" t="str">
        <f>IF(SAISIE!$I148="","",SAISIE!$I148)</f>
        <v/>
      </c>
      <c r="I143" t="str">
        <f>IF(SAISIE!$J148="","",SAISIE!$J148)</f>
        <v/>
      </c>
      <c r="J143" t="str">
        <f>IF(SAISIE!$K148="","",SAISIE!$K148)</f>
        <v/>
      </c>
      <c r="K143" t="str">
        <f>IF(SAISIE!$L148="","",SAISIE!$L148)</f>
        <v/>
      </c>
      <c r="L143" t="str">
        <f>IF(SAISIE!$M148="","",SAISIE!$M148)</f>
        <v/>
      </c>
      <c r="M143" t="str">
        <f>IF(SAISIE!$N148="","",SAISIE!$N148)</f>
        <v/>
      </c>
      <c r="N143" t="str">
        <f>IF(SAISIE!$O148="","",SAISIE!$O148)</f>
        <v/>
      </c>
      <c r="O143" t="str">
        <f>IF(SAISIE!$P148="","",SAISIE!$P148)</f>
        <v/>
      </c>
      <c r="P143" t="str">
        <f>IF(SAISIE!$Q148="","",SAISIE!$Q148)</f>
        <v/>
      </c>
      <c r="Q143" t="str">
        <f>IF($I143="","",IF($I143&gt;PARAMETRES!$G$29,5,IF($I143&gt;PARAMETRES!$F$29,4,IF($I143&gt;PARAMETRES!$E$29,3,IF($I143&gt;PARAMETRES!$D$29,2,1)))))</f>
        <v/>
      </c>
      <c r="R143" t="str">
        <f>IF($J143="","",IF($J143&gt;PARAMETRES!$G$30,5,IF($J143&gt;PARAMETRES!$F$30,4,IF($J143&gt;PARAMETRES!$E$30,3,IF($J143&gt;PARAMETRES!$D$30,2,1)))))</f>
        <v/>
      </c>
      <c r="S143" t="str">
        <f>IF($K143="","",IF($Z143=2,IF($K143&gt;PARAMETRES!$G$31,5,IF($K143&gt;PARAMETRES!$F$31,4,IF($K143&gt;PARAMETRES!$E$31,3,IF($K143&gt;PARAMETRES!$D$31,2,1)))),IF($K143&gt;PARAMETRES!$G$32,5,IF($K143&gt;PARAMETRES!$F$32,4,IF($K143&gt;PARAMETRES!$E$32,3,IF($K143&gt;PARAMETRES!$D$32,2,1))))))</f>
        <v/>
      </c>
      <c r="T143" t="str">
        <f>IF($L143="","",IF($L143&gt;PARAMETRES!$G$33,5,IF($L143&gt;PARAMETRES!$F$33,4,IF($L143&gt;PARAMETRES!$E$33,3,IF($L143&gt;PARAMETRES!$D$33,2,1)))))</f>
        <v/>
      </c>
      <c r="U143" t="str">
        <f>IF($M143="","",IF($M143&gt;PARAMETRES!$G$34,5,IF($M143&gt;PARAMETRES!$F$34,4,IF($M143&gt;PARAMETRES!$E$34,3,IF($M143&gt;PARAMETRES!$D$34,2,1)))))</f>
        <v/>
      </c>
      <c r="V143" t="str">
        <f>IF($N143="","",IF($N143&gt;PARAMETRES!$G$35,5,IF($N143&gt;PARAMETRES!$F$35,4,IF($N143&gt;PARAMETRES!$E$35,3,IF($N143&gt;PARAMETRES!$D$35,2,1)))))</f>
        <v/>
      </c>
      <c r="W143" t="str">
        <f>IF($O143="","",IF($O143&gt;PARAMETRES!$G$36,5,IF($O143&gt;PARAMETRES!$F$36,4,IF($O143&gt;PARAMETRES!$E$36,3,IF($O143&gt;PARAMETRES!$D$36,2,1)))))</f>
        <v/>
      </c>
      <c r="X143" t="str">
        <f>IF($P143="","",IF($P143&gt;PARAMETRES!$G$37,5,IF($P143&gt;PARAMETRES!$F$37,4,IF($P143&gt;PARAMETRES!$E$37,3,IF($P143&gt;PARAMETRES!$D$37,2,1)))))</f>
        <v/>
      </c>
      <c r="Y143" t="str">
        <f t="shared" si="48"/>
        <v/>
      </c>
      <c r="Z143" t="str">
        <f>IFERROR(VLOOKUP($B143,TABLE_CYCLE,2,0),"")</f>
        <v/>
      </c>
      <c r="AA143" t="str">
        <f t="shared" si="49"/>
        <v/>
      </c>
      <c r="AB143" t="str">
        <f>IF($D143="","",IF(COUNTIF($D$2:$D143,$D143)=1,$D143,""))</f>
        <v/>
      </c>
      <c r="AC143">
        <f t="shared" si="50"/>
        <v>0</v>
      </c>
      <c r="AD143" t="str">
        <f t="shared" si="51"/>
        <v>|0</v>
      </c>
      <c r="AE143" t="str">
        <f t="shared" si="52"/>
        <v/>
      </c>
      <c r="AF143" t="str">
        <f t="shared" si="53"/>
        <v/>
      </c>
      <c r="AG143" t="str">
        <f t="shared" si="54"/>
        <v/>
      </c>
      <c r="AH143" t="str">
        <f t="shared" si="55"/>
        <v/>
      </c>
      <c r="AI143" t="str">
        <f t="shared" si="56"/>
        <v/>
      </c>
      <c r="AJ143" t="str">
        <f t="shared" si="57"/>
        <v/>
      </c>
      <c r="AK143" t="str">
        <f t="shared" si="58"/>
        <v/>
      </c>
      <c r="AL143" t="str">
        <f t="shared" si="59"/>
        <v/>
      </c>
      <c r="AM143" t="str">
        <f t="shared" si="60"/>
        <v/>
      </c>
      <c r="AN143" t="str">
        <f t="shared" si="61"/>
        <v/>
      </c>
      <c r="AO143" t="str">
        <f t="shared" si="62"/>
        <v/>
      </c>
      <c r="AP143">
        <f t="shared" si="63"/>
        <v>1</v>
      </c>
      <c r="AQ143" t="str">
        <f>IF(SAISIE!$F148="","",SAISIE!$Y148)</f>
        <v/>
      </c>
      <c r="AR143" t="str">
        <f>IF(OR(SAISIE!$U$4="",SAISIE!$W$4=""),"",IF(AND($A143=SAISIE!$U$4,$B143=SAISIE!$W$4,$C143="S1"),COUNTIFS($A$2:$A143,SAISIE!$U$4,$B$2:$B143,SAISIE!$W$4,$C$2:$C143,"S1"),""))</f>
        <v/>
      </c>
      <c r="AS143" t="str">
        <f t="shared" si="64"/>
        <v/>
      </c>
      <c r="AT143" t="str">
        <f t="shared" si="65"/>
        <v/>
      </c>
      <c r="AU143" t="str">
        <f t="shared" si="66"/>
        <v/>
      </c>
      <c r="AV143">
        <f>N(AV142)+IF(AND($AB143&lt;&gt;"",OR('PROFIL ELEVE'!$K$4="(Tous)",$AF143='PROFIL ELEVE'!$K$4)),1,0)</f>
        <v>0</v>
      </c>
      <c r="AW143">
        <f>N(AW142)+IF(AND($AB143&lt;&gt;"",OR('SUIVI LONGITUDINAL'!$Q$4="(Tous)",$AF143='SUIVI LONGITUDINAL'!$Q$4)),1,0)</f>
        <v>0</v>
      </c>
      <c r="AX143">
        <f t="shared" si="67"/>
        <v>0</v>
      </c>
      <c r="AY143">
        <f t="shared" si="68"/>
        <v>0</v>
      </c>
      <c r="AZ143">
        <f t="shared" si="69"/>
        <v>0</v>
      </c>
      <c r="BA143" t="str">
        <f t="shared" si="70"/>
        <v/>
      </c>
      <c r="BB143" t="str">
        <f t="shared" si="71"/>
        <v/>
      </c>
    </row>
    <row r="144" spans="1:54" ht="14.25" customHeight="1" x14ac:dyDescent="0.3">
      <c r="A144" t="str">
        <f>IF(SAISIE!$F149="","",SAISIE!$B149)</f>
        <v/>
      </c>
      <c r="B144" t="str">
        <f>IF(SAISIE!$F149="","",SAISIE!$C149)</f>
        <v/>
      </c>
      <c r="C144" t="str">
        <f>IF(SAISIE!$F149="","",SAISIE!$D149)</f>
        <v/>
      </c>
      <c r="D144" t="str">
        <f>IF(SAISIE!$E149="","",SAISIE!$E149)</f>
        <v/>
      </c>
      <c r="E144" t="str">
        <f>IF(SAISIE!$F149="","",SAISIE!$F149)</f>
        <v/>
      </c>
      <c r="F144" t="str">
        <f>IF(SAISIE!$G149="","",SAISIE!$G149)</f>
        <v/>
      </c>
      <c r="G144" t="str">
        <f>IF(SAISIE!$H149="","",SAISIE!$H149)</f>
        <v/>
      </c>
      <c r="H144" t="str">
        <f>IF(SAISIE!$I149="","",SAISIE!$I149)</f>
        <v/>
      </c>
      <c r="I144" t="str">
        <f>IF(SAISIE!$J149="","",SAISIE!$J149)</f>
        <v/>
      </c>
      <c r="J144" t="str">
        <f>IF(SAISIE!$K149="","",SAISIE!$K149)</f>
        <v/>
      </c>
      <c r="K144" t="str">
        <f>IF(SAISIE!$L149="","",SAISIE!$L149)</f>
        <v/>
      </c>
      <c r="L144" t="str">
        <f>IF(SAISIE!$M149="","",SAISIE!$M149)</f>
        <v/>
      </c>
      <c r="M144" t="str">
        <f>IF(SAISIE!$N149="","",SAISIE!$N149)</f>
        <v/>
      </c>
      <c r="N144" t="str">
        <f>IF(SAISIE!$O149="","",SAISIE!$O149)</f>
        <v/>
      </c>
      <c r="O144" t="str">
        <f>IF(SAISIE!$P149="","",SAISIE!$P149)</f>
        <v/>
      </c>
      <c r="P144" t="str">
        <f>IF(SAISIE!$Q149="","",SAISIE!$Q149)</f>
        <v/>
      </c>
      <c r="Q144" t="str">
        <f>IF($I144="","",IF($I144&gt;PARAMETRES!$G$29,5,IF($I144&gt;PARAMETRES!$F$29,4,IF($I144&gt;PARAMETRES!$E$29,3,IF($I144&gt;PARAMETRES!$D$29,2,1)))))</f>
        <v/>
      </c>
      <c r="R144" t="str">
        <f>IF($J144="","",IF($J144&gt;PARAMETRES!$G$30,5,IF($J144&gt;PARAMETRES!$F$30,4,IF($J144&gt;PARAMETRES!$E$30,3,IF($J144&gt;PARAMETRES!$D$30,2,1)))))</f>
        <v/>
      </c>
      <c r="S144" t="str">
        <f>IF($K144="","",IF($Z144=2,IF($K144&gt;PARAMETRES!$G$31,5,IF($K144&gt;PARAMETRES!$F$31,4,IF($K144&gt;PARAMETRES!$E$31,3,IF($K144&gt;PARAMETRES!$D$31,2,1)))),IF($K144&gt;PARAMETRES!$G$32,5,IF($K144&gt;PARAMETRES!$F$32,4,IF($K144&gt;PARAMETRES!$E$32,3,IF($K144&gt;PARAMETRES!$D$32,2,1))))))</f>
        <v/>
      </c>
      <c r="T144" t="str">
        <f>IF($L144="","",IF($L144&gt;PARAMETRES!$G$33,5,IF($L144&gt;PARAMETRES!$F$33,4,IF($L144&gt;PARAMETRES!$E$33,3,IF($L144&gt;PARAMETRES!$D$33,2,1)))))</f>
        <v/>
      </c>
      <c r="U144" t="str">
        <f>IF($M144="","",IF($M144&gt;PARAMETRES!$G$34,5,IF($M144&gt;PARAMETRES!$F$34,4,IF($M144&gt;PARAMETRES!$E$34,3,IF($M144&gt;PARAMETRES!$D$34,2,1)))))</f>
        <v/>
      </c>
      <c r="V144" t="str">
        <f>IF($N144="","",IF($N144&gt;PARAMETRES!$G$35,5,IF($N144&gt;PARAMETRES!$F$35,4,IF($N144&gt;PARAMETRES!$E$35,3,IF($N144&gt;PARAMETRES!$D$35,2,1)))))</f>
        <v/>
      </c>
      <c r="W144" t="str">
        <f>IF($O144="","",IF($O144&gt;PARAMETRES!$G$36,5,IF($O144&gt;PARAMETRES!$F$36,4,IF($O144&gt;PARAMETRES!$E$36,3,IF($O144&gt;PARAMETRES!$D$36,2,1)))))</f>
        <v/>
      </c>
      <c r="X144" t="str">
        <f>IF($P144="","",IF($P144&gt;PARAMETRES!$G$37,5,IF($P144&gt;PARAMETRES!$F$37,4,IF($P144&gt;PARAMETRES!$E$37,3,IF($P144&gt;PARAMETRES!$D$37,2,1)))))</f>
        <v/>
      </c>
      <c r="Y144" t="str">
        <f t="shared" si="48"/>
        <v/>
      </c>
      <c r="Z144" t="str">
        <f>IFERROR(VLOOKUP($B144,TABLE_CYCLE,2,0),"")</f>
        <v/>
      </c>
      <c r="AA144" t="str">
        <f t="shared" si="49"/>
        <v/>
      </c>
      <c r="AB144" t="str">
        <f>IF($D144="","",IF(COUNTIF($D$2:$D144,$D144)=1,$D144,""))</f>
        <v/>
      </c>
      <c r="AC144">
        <f t="shared" si="50"/>
        <v>0</v>
      </c>
      <c r="AD144" t="str">
        <f t="shared" si="51"/>
        <v>|0</v>
      </c>
      <c r="AE144" t="str">
        <f t="shared" si="52"/>
        <v/>
      </c>
      <c r="AF144" t="str">
        <f t="shared" si="53"/>
        <v/>
      </c>
      <c r="AG144" t="str">
        <f t="shared" si="54"/>
        <v/>
      </c>
      <c r="AH144" t="str">
        <f t="shared" si="55"/>
        <v/>
      </c>
      <c r="AI144" t="str">
        <f t="shared" si="56"/>
        <v/>
      </c>
      <c r="AJ144" t="str">
        <f t="shared" si="57"/>
        <v/>
      </c>
      <c r="AK144" t="str">
        <f t="shared" si="58"/>
        <v/>
      </c>
      <c r="AL144" t="str">
        <f t="shared" si="59"/>
        <v/>
      </c>
      <c r="AM144" t="str">
        <f t="shared" si="60"/>
        <v/>
      </c>
      <c r="AN144" t="str">
        <f t="shared" si="61"/>
        <v/>
      </c>
      <c r="AO144" t="str">
        <f t="shared" si="62"/>
        <v/>
      </c>
      <c r="AP144">
        <f t="shared" si="63"/>
        <v>1</v>
      </c>
      <c r="AQ144" t="str">
        <f>IF(SAISIE!$F149="","",SAISIE!$Y149)</f>
        <v/>
      </c>
      <c r="AR144" t="str">
        <f>IF(OR(SAISIE!$U$4="",SAISIE!$W$4=""),"",IF(AND($A144=SAISIE!$U$4,$B144=SAISIE!$W$4,$C144="S1"),COUNTIFS($A$2:$A144,SAISIE!$U$4,$B$2:$B144,SAISIE!$W$4,$C$2:$C144,"S1"),""))</f>
        <v/>
      </c>
      <c r="AS144" t="str">
        <f t="shared" si="64"/>
        <v/>
      </c>
      <c r="AT144" t="str">
        <f t="shared" si="65"/>
        <v/>
      </c>
      <c r="AU144" t="str">
        <f t="shared" si="66"/>
        <v/>
      </c>
      <c r="AV144">
        <f>N(AV143)+IF(AND($AB144&lt;&gt;"",OR('PROFIL ELEVE'!$K$4="(Tous)",$AF144='PROFIL ELEVE'!$K$4)),1,0)</f>
        <v>0</v>
      </c>
      <c r="AW144">
        <f>N(AW143)+IF(AND($AB144&lt;&gt;"",OR('SUIVI LONGITUDINAL'!$Q$4="(Tous)",$AF144='SUIVI LONGITUDINAL'!$Q$4)),1,0)</f>
        <v>0</v>
      </c>
      <c r="AX144">
        <f t="shared" si="67"/>
        <v>0</v>
      </c>
      <c r="AY144">
        <f t="shared" si="68"/>
        <v>0</v>
      </c>
      <c r="AZ144">
        <f t="shared" si="69"/>
        <v>0</v>
      </c>
      <c r="BA144" t="str">
        <f t="shared" si="70"/>
        <v/>
      </c>
      <c r="BB144" t="str">
        <f t="shared" si="71"/>
        <v/>
      </c>
    </row>
    <row r="145" spans="1:54" ht="14.25" customHeight="1" x14ac:dyDescent="0.3">
      <c r="A145" t="str">
        <f>IF(SAISIE!$F150="","",SAISIE!$B150)</f>
        <v/>
      </c>
      <c r="B145" t="str">
        <f>IF(SAISIE!$F150="","",SAISIE!$C150)</f>
        <v/>
      </c>
      <c r="C145" t="str">
        <f>IF(SAISIE!$F150="","",SAISIE!$D150)</f>
        <v/>
      </c>
      <c r="D145" t="str">
        <f>IF(SAISIE!$E150="","",SAISIE!$E150)</f>
        <v/>
      </c>
      <c r="E145" t="str">
        <f>IF(SAISIE!$F150="","",SAISIE!$F150)</f>
        <v/>
      </c>
      <c r="F145" t="str">
        <f>IF(SAISIE!$G150="","",SAISIE!$G150)</f>
        <v/>
      </c>
      <c r="G145" t="str">
        <f>IF(SAISIE!$H150="","",SAISIE!$H150)</f>
        <v/>
      </c>
      <c r="H145" t="str">
        <f>IF(SAISIE!$I150="","",SAISIE!$I150)</f>
        <v/>
      </c>
      <c r="I145" t="str">
        <f>IF(SAISIE!$J150="","",SAISIE!$J150)</f>
        <v/>
      </c>
      <c r="J145" t="str">
        <f>IF(SAISIE!$K150="","",SAISIE!$K150)</f>
        <v/>
      </c>
      <c r="K145" t="str">
        <f>IF(SAISIE!$L150="","",SAISIE!$L150)</f>
        <v/>
      </c>
      <c r="L145" t="str">
        <f>IF(SAISIE!$M150="","",SAISIE!$M150)</f>
        <v/>
      </c>
      <c r="M145" t="str">
        <f>IF(SAISIE!$N150="","",SAISIE!$N150)</f>
        <v/>
      </c>
      <c r="N145" t="str">
        <f>IF(SAISIE!$O150="","",SAISIE!$O150)</f>
        <v/>
      </c>
      <c r="O145" t="str">
        <f>IF(SAISIE!$P150="","",SAISIE!$P150)</f>
        <v/>
      </c>
      <c r="P145" t="str">
        <f>IF(SAISIE!$Q150="","",SAISIE!$Q150)</f>
        <v/>
      </c>
      <c r="Q145" t="str">
        <f>IF($I145="","",IF($I145&gt;PARAMETRES!$G$29,5,IF($I145&gt;PARAMETRES!$F$29,4,IF($I145&gt;PARAMETRES!$E$29,3,IF($I145&gt;PARAMETRES!$D$29,2,1)))))</f>
        <v/>
      </c>
      <c r="R145" t="str">
        <f>IF($J145="","",IF($J145&gt;PARAMETRES!$G$30,5,IF($J145&gt;PARAMETRES!$F$30,4,IF($J145&gt;PARAMETRES!$E$30,3,IF($J145&gt;PARAMETRES!$D$30,2,1)))))</f>
        <v/>
      </c>
      <c r="S145" t="str">
        <f>IF($K145="","",IF($Z145=2,IF($K145&gt;PARAMETRES!$G$31,5,IF($K145&gt;PARAMETRES!$F$31,4,IF($K145&gt;PARAMETRES!$E$31,3,IF($K145&gt;PARAMETRES!$D$31,2,1)))),IF($K145&gt;PARAMETRES!$G$32,5,IF($K145&gt;PARAMETRES!$F$32,4,IF($K145&gt;PARAMETRES!$E$32,3,IF($K145&gt;PARAMETRES!$D$32,2,1))))))</f>
        <v/>
      </c>
      <c r="T145" t="str">
        <f>IF($L145="","",IF($L145&gt;PARAMETRES!$G$33,5,IF($L145&gt;PARAMETRES!$F$33,4,IF($L145&gt;PARAMETRES!$E$33,3,IF($L145&gt;PARAMETRES!$D$33,2,1)))))</f>
        <v/>
      </c>
      <c r="U145" t="str">
        <f>IF($M145="","",IF($M145&gt;PARAMETRES!$G$34,5,IF($M145&gt;PARAMETRES!$F$34,4,IF($M145&gt;PARAMETRES!$E$34,3,IF($M145&gt;PARAMETRES!$D$34,2,1)))))</f>
        <v/>
      </c>
      <c r="V145" t="str">
        <f>IF($N145="","",IF($N145&gt;PARAMETRES!$G$35,5,IF($N145&gt;PARAMETRES!$F$35,4,IF($N145&gt;PARAMETRES!$E$35,3,IF($N145&gt;PARAMETRES!$D$35,2,1)))))</f>
        <v/>
      </c>
      <c r="W145" t="str">
        <f>IF($O145="","",IF($O145&gt;PARAMETRES!$G$36,5,IF($O145&gt;PARAMETRES!$F$36,4,IF($O145&gt;PARAMETRES!$E$36,3,IF($O145&gt;PARAMETRES!$D$36,2,1)))))</f>
        <v/>
      </c>
      <c r="X145" t="str">
        <f>IF($P145="","",IF($P145&gt;PARAMETRES!$G$37,5,IF($P145&gt;PARAMETRES!$F$37,4,IF($P145&gt;PARAMETRES!$E$37,3,IF($P145&gt;PARAMETRES!$D$37,2,1)))))</f>
        <v/>
      </c>
      <c r="Y145" t="str">
        <f t="shared" si="48"/>
        <v/>
      </c>
      <c r="Z145" t="str">
        <f>IFERROR(VLOOKUP($B145,TABLE_CYCLE,2,0),"")</f>
        <v/>
      </c>
      <c r="AA145" t="str">
        <f t="shared" si="49"/>
        <v/>
      </c>
      <c r="AB145" t="str">
        <f>IF($D145="","",IF(COUNTIF($D$2:$D145,$D145)=1,$D145,""))</f>
        <v/>
      </c>
      <c r="AC145">
        <f t="shared" si="50"/>
        <v>0</v>
      </c>
      <c r="AD145" t="str">
        <f t="shared" si="51"/>
        <v>|0</v>
      </c>
      <c r="AE145" t="str">
        <f t="shared" si="52"/>
        <v/>
      </c>
      <c r="AF145" t="str">
        <f t="shared" si="53"/>
        <v/>
      </c>
      <c r="AG145" t="str">
        <f t="shared" si="54"/>
        <v/>
      </c>
      <c r="AH145" t="str">
        <f t="shared" si="55"/>
        <v/>
      </c>
      <c r="AI145" t="str">
        <f t="shared" si="56"/>
        <v/>
      </c>
      <c r="AJ145" t="str">
        <f t="shared" si="57"/>
        <v/>
      </c>
      <c r="AK145" t="str">
        <f t="shared" si="58"/>
        <v/>
      </c>
      <c r="AL145" t="str">
        <f t="shared" si="59"/>
        <v/>
      </c>
      <c r="AM145" t="str">
        <f t="shared" si="60"/>
        <v/>
      </c>
      <c r="AN145" t="str">
        <f t="shared" si="61"/>
        <v/>
      </c>
      <c r="AO145" t="str">
        <f t="shared" si="62"/>
        <v/>
      </c>
      <c r="AP145">
        <f t="shared" si="63"/>
        <v>1</v>
      </c>
      <c r="AQ145" t="str">
        <f>IF(SAISIE!$F150="","",SAISIE!$Y150)</f>
        <v/>
      </c>
      <c r="AR145" t="str">
        <f>IF(OR(SAISIE!$U$4="",SAISIE!$W$4=""),"",IF(AND($A145=SAISIE!$U$4,$B145=SAISIE!$W$4,$C145="S1"),COUNTIFS($A$2:$A145,SAISIE!$U$4,$B$2:$B145,SAISIE!$W$4,$C$2:$C145,"S1"),""))</f>
        <v/>
      </c>
      <c r="AS145" t="str">
        <f t="shared" si="64"/>
        <v/>
      </c>
      <c r="AT145" t="str">
        <f t="shared" si="65"/>
        <v/>
      </c>
      <c r="AU145" t="str">
        <f t="shared" si="66"/>
        <v/>
      </c>
      <c r="AV145">
        <f>N(AV144)+IF(AND($AB145&lt;&gt;"",OR('PROFIL ELEVE'!$K$4="(Tous)",$AF145='PROFIL ELEVE'!$K$4)),1,0)</f>
        <v>0</v>
      </c>
      <c r="AW145">
        <f>N(AW144)+IF(AND($AB145&lt;&gt;"",OR('SUIVI LONGITUDINAL'!$Q$4="(Tous)",$AF145='SUIVI LONGITUDINAL'!$Q$4)),1,0)</f>
        <v>0</v>
      </c>
      <c r="AX145">
        <f t="shared" si="67"/>
        <v>0</v>
      </c>
      <c r="AY145">
        <f t="shared" si="68"/>
        <v>0</v>
      </c>
      <c r="AZ145">
        <f t="shared" si="69"/>
        <v>0</v>
      </c>
      <c r="BA145" t="str">
        <f t="shared" si="70"/>
        <v/>
      </c>
      <c r="BB145" t="str">
        <f t="shared" si="71"/>
        <v/>
      </c>
    </row>
    <row r="146" spans="1:54" ht="14.25" customHeight="1" x14ac:dyDescent="0.3">
      <c r="A146" t="str">
        <f>IF(SAISIE!$F151="","",SAISIE!$B151)</f>
        <v/>
      </c>
      <c r="B146" t="str">
        <f>IF(SAISIE!$F151="","",SAISIE!$C151)</f>
        <v/>
      </c>
      <c r="C146" t="str">
        <f>IF(SAISIE!$F151="","",SAISIE!$D151)</f>
        <v/>
      </c>
      <c r="D146" t="str">
        <f>IF(SAISIE!$E151="","",SAISIE!$E151)</f>
        <v/>
      </c>
      <c r="E146" t="str">
        <f>IF(SAISIE!$F151="","",SAISIE!$F151)</f>
        <v/>
      </c>
      <c r="F146" t="str">
        <f>IF(SAISIE!$G151="","",SAISIE!$G151)</f>
        <v/>
      </c>
      <c r="G146" t="str">
        <f>IF(SAISIE!$H151="","",SAISIE!$H151)</f>
        <v/>
      </c>
      <c r="H146" t="str">
        <f>IF(SAISIE!$I151="","",SAISIE!$I151)</f>
        <v/>
      </c>
      <c r="I146" t="str">
        <f>IF(SAISIE!$J151="","",SAISIE!$J151)</f>
        <v/>
      </c>
      <c r="J146" t="str">
        <f>IF(SAISIE!$K151="","",SAISIE!$K151)</f>
        <v/>
      </c>
      <c r="K146" t="str">
        <f>IF(SAISIE!$L151="","",SAISIE!$L151)</f>
        <v/>
      </c>
      <c r="L146" t="str">
        <f>IF(SAISIE!$M151="","",SAISIE!$M151)</f>
        <v/>
      </c>
      <c r="M146" t="str">
        <f>IF(SAISIE!$N151="","",SAISIE!$N151)</f>
        <v/>
      </c>
      <c r="N146" t="str">
        <f>IF(SAISIE!$O151="","",SAISIE!$O151)</f>
        <v/>
      </c>
      <c r="O146" t="str">
        <f>IF(SAISIE!$P151="","",SAISIE!$P151)</f>
        <v/>
      </c>
      <c r="P146" t="str">
        <f>IF(SAISIE!$Q151="","",SAISIE!$Q151)</f>
        <v/>
      </c>
      <c r="Q146" t="str">
        <f>IF($I146="","",IF($I146&gt;PARAMETRES!$G$29,5,IF($I146&gt;PARAMETRES!$F$29,4,IF($I146&gt;PARAMETRES!$E$29,3,IF($I146&gt;PARAMETRES!$D$29,2,1)))))</f>
        <v/>
      </c>
      <c r="R146" t="str">
        <f>IF($J146="","",IF($J146&gt;PARAMETRES!$G$30,5,IF($J146&gt;PARAMETRES!$F$30,4,IF($J146&gt;PARAMETRES!$E$30,3,IF($J146&gt;PARAMETRES!$D$30,2,1)))))</f>
        <v/>
      </c>
      <c r="S146" t="str">
        <f>IF($K146="","",IF($Z146=2,IF($K146&gt;PARAMETRES!$G$31,5,IF($K146&gt;PARAMETRES!$F$31,4,IF($K146&gt;PARAMETRES!$E$31,3,IF($K146&gt;PARAMETRES!$D$31,2,1)))),IF($K146&gt;PARAMETRES!$G$32,5,IF($K146&gt;PARAMETRES!$F$32,4,IF($K146&gt;PARAMETRES!$E$32,3,IF($K146&gt;PARAMETRES!$D$32,2,1))))))</f>
        <v/>
      </c>
      <c r="T146" t="str">
        <f>IF($L146="","",IF($L146&gt;PARAMETRES!$G$33,5,IF($L146&gt;PARAMETRES!$F$33,4,IF($L146&gt;PARAMETRES!$E$33,3,IF($L146&gt;PARAMETRES!$D$33,2,1)))))</f>
        <v/>
      </c>
      <c r="U146" t="str">
        <f>IF($M146="","",IF($M146&gt;PARAMETRES!$G$34,5,IF($M146&gt;PARAMETRES!$F$34,4,IF($M146&gt;PARAMETRES!$E$34,3,IF($M146&gt;PARAMETRES!$D$34,2,1)))))</f>
        <v/>
      </c>
      <c r="V146" t="str">
        <f>IF($N146="","",IF($N146&gt;PARAMETRES!$G$35,5,IF($N146&gt;PARAMETRES!$F$35,4,IF($N146&gt;PARAMETRES!$E$35,3,IF($N146&gt;PARAMETRES!$D$35,2,1)))))</f>
        <v/>
      </c>
      <c r="W146" t="str">
        <f>IF($O146="","",IF($O146&gt;PARAMETRES!$G$36,5,IF($O146&gt;PARAMETRES!$F$36,4,IF($O146&gt;PARAMETRES!$E$36,3,IF($O146&gt;PARAMETRES!$D$36,2,1)))))</f>
        <v/>
      </c>
      <c r="X146" t="str">
        <f>IF($P146="","",IF($P146&gt;PARAMETRES!$G$37,5,IF($P146&gt;PARAMETRES!$F$37,4,IF($P146&gt;PARAMETRES!$E$37,3,IF($P146&gt;PARAMETRES!$D$37,2,1)))))</f>
        <v/>
      </c>
      <c r="Y146" t="str">
        <f t="shared" si="48"/>
        <v/>
      </c>
      <c r="Z146" t="str">
        <f>IFERROR(VLOOKUP($B146,TABLE_CYCLE,2,0),"")</f>
        <v/>
      </c>
      <c r="AA146" t="str">
        <f t="shared" si="49"/>
        <v/>
      </c>
      <c r="AB146" t="str">
        <f>IF($D146="","",IF(COUNTIF($D$2:$D146,$D146)=1,$D146,""))</f>
        <v/>
      </c>
      <c r="AC146">
        <f t="shared" si="50"/>
        <v>0</v>
      </c>
      <c r="AD146" t="str">
        <f t="shared" si="51"/>
        <v>|0</v>
      </c>
      <c r="AE146" t="str">
        <f t="shared" si="52"/>
        <v/>
      </c>
      <c r="AF146" t="str">
        <f t="shared" si="53"/>
        <v/>
      </c>
      <c r="AG146" t="str">
        <f t="shared" si="54"/>
        <v/>
      </c>
      <c r="AH146" t="str">
        <f t="shared" si="55"/>
        <v/>
      </c>
      <c r="AI146" t="str">
        <f t="shared" si="56"/>
        <v/>
      </c>
      <c r="AJ146" t="str">
        <f t="shared" si="57"/>
        <v/>
      </c>
      <c r="AK146" t="str">
        <f t="shared" si="58"/>
        <v/>
      </c>
      <c r="AL146" t="str">
        <f t="shared" si="59"/>
        <v/>
      </c>
      <c r="AM146" t="str">
        <f t="shared" si="60"/>
        <v/>
      </c>
      <c r="AN146" t="str">
        <f t="shared" si="61"/>
        <v/>
      </c>
      <c r="AO146" t="str">
        <f t="shared" si="62"/>
        <v/>
      </c>
      <c r="AP146">
        <f t="shared" si="63"/>
        <v>1</v>
      </c>
      <c r="AQ146" t="str">
        <f>IF(SAISIE!$F151="","",SAISIE!$Y151)</f>
        <v/>
      </c>
      <c r="AR146" t="str">
        <f>IF(OR(SAISIE!$U$4="",SAISIE!$W$4=""),"",IF(AND($A146=SAISIE!$U$4,$B146=SAISIE!$W$4,$C146="S1"),COUNTIFS($A$2:$A146,SAISIE!$U$4,$B$2:$B146,SAISIE!$W$4,$C$2:$C146,"S1"),""))</f>
        <v/>
      </c>
      <c r="AS146" t="str">
        <f t="shared" si="64"/>
        <v/>
      </c>
      <c r="AT146" t="str">
        <f t="shared" si="65"/>
        <v/>
      </c>
      <c r="AU146" t="str">
        <f t="shared" si="66"/>
        <v/>
      </c>
      <c r="AV146">
        <f>N(AV145)+IF(AND($AB146&lt;&gt;"",OR('PROFIL ELEVE'!$K$4="(Tous)",$AF146='PROFIL ELEVE'!$K$4)),1,0)</f>
        <v>0</v>
      </c>
      <c r="AW146">
        <f>N(AW145)+IF(AND($AB146&lt;&gt;"",OR('SUIVI LONGITUDINAL'!$Q$4="(Tous)",$AF146='SUIVI LONGITUDINAL'!$Q$4)),1,0)</f>
        <v>0</v>
      </c>
      <c r="AX146">
        <f t="shared" si="67"/>
        <v>0</v>
      </c>
      <c r="AY146">
        <f t="shared" si="68"/>
        <v>0</v>
      </c>
      <c r="AZ146">
        <f t="shared" si="69"/>
        <v>0</v>
      </c>
      <c r="BA146" t="str">
        <f t="shared" si="70"/>
        <v/>
      </c>
      <c r="BB146" t="str">
        <f t="shared" si="71"/>
        <v/>
      </c>
    </row>
    <row r="147" spans="1:54" ht="14.25" customHeight="1" x14ac:dyDescent="0.3">
      <c r="A147" t="str">
        <f>IF(SAISIE!$F152="","",SAISIE!$B152)</f>
        <v/>
      </c>
      <c r="B147" t="str">
        <f>IF(SAISIE!$F152="","",SAISIE!$C152)</f>
        <v/>
      </c>
      <c r="C147" t="str">
        <f>IF(SAISIE!$F152="","",SAISIE!$D152)</f>
        <v/>
      </c>
      <c r="D147" t="str">
        <f>IF(SAISIE!$E152="","",SAISIE!$E152)</f>
        <v/>
      </c>
      <c r="E147" t="str">
        <f>IF(SAISIE!$F152="","",SAISIE!$F152)</f>
        <v/>
      </c>
      <c r="F147" t="str">
        <f>IF(SAISIE!$G152="","",SAISIE!$G152)</f>
        <v/>
      </c>
      <c r="G147" t="str">
        <f>IF(SAISIE!$H152="","",SAISIE!$H152)</f>
        <v/>
      </c>
      <c r="H147" t="str">
        <f>IF(SAISIE!$I152="","",SAISIE!$I152)</f>
        <v/>
      </c>
      <c r="I147" t="str">
        <f>IF(SAISIE!$J152="","",SAISIE!$J152)</f>
        <v/>
      </c>
      <c r="J147" t="str">
        <f>IF(SAISIE!$K152="","",SAISIE!$K152)</f>
        <v/>
      </c>
      <c r="K147" t="str">
        <f>IF(SAISIE!$L152="","",SAISIE!$L152)</f>
        <v/>
      </c>
      <c r="L147" t="str">
        <f>IF(SAISIE!$M152="","",SAISIE!$M152)</f>
        <v/>
      </c>
      <c r="M147" t="str">
        <f>IF(SAISIE!$N152="","",SAISIE!$N152)</f>
        <v/>
      </c>
      <c r="N147" t="str">
        <f>IF(SAISIE!$O152="","",SAISIE!$O152)</f>
        <v/>
      </c>
      <c r="O147" t="str">
        <f>IF(SAISIE!$P152="","",SAISIE!$P152)</f>
        <v/>
      </c>
      <c r="P147" t="str">
        <f>IF(SAISIE!$Q152="","",SAISIE!$Q152)</f>
        <v/>
      </c>
      <c r="Q147" t="str">
        <f>IF($I147="","",IF($I147&gt;PARAMETRES!$G$29,5,IF($I147&gt;PARAMETRES!$F$29,4,IF($I147&gt;PARAMETRES!$E$29,3,IF($I147&gt;PARAMETRES!$D$29,2,1)))))</f>
        <v/>
      </c>
      <c r="R147" t="str">
        <f>IF($J147="","",IF($J147&gt;PARAMETRES!$G$30,5,IF($J147&gt;PARAMETRES!$F$30,4,IF($J147&gt;PARAMETRES!$E$30,3,IF($J147&gt;PARAMETRES!$D$30,2,1)))))</f>
        <v/>
      </c>
      <c r="S147" t="str">
        <f>IF($K147="","",IF($Z147=2,IF($K147&gt;PARAMETRES!$G$31,5,IF($K147&gt;PARAMETRES!$F$31,4,IF($K147&gt;PARAMETRES!$E$31,3,IF($K147&gt;PARAMETRES!$D$31,2,1)))),IF($K147&gt;PARAMETRES!$G$32,5,IF($K147&gt;PARAMETRES!$F$32,4,IF($K147&gt;PARAMETRES!$E$32,3,IF($K147&gt;PARAMETRES!$D$32,2,1))))))</f>
        <v/>
      </c>
      <c r="T147" t="str">
        <f>IF($L147="","",IF($L147&gt;PARAMETRES!$G$33,5,IF($L147&gt;PARAMETRES!$F$33,4,IF($L147&gt;PARAMETRES!$E$33,3,IF($L147&gt;PARAMETRES!$D$33,2,1)))))</f>
        <v/>
      </c>
      <c r="U147" t="str">
        <f>IF($M147="","",IF($M147&gt;PARAMETRES!$G$34,5,IF($M147&gt;PARAMETRES!$F$34,4,IF($M147&gt;PARAMETRES!$E$34,3,IF($M147&gt;PARAMETRES!$D$34,2,1)))))</f>
        <v/>
      </c>
      <c r="V147" t="str">
        <f>IF($N147="","",IF($N147&gt;PARAMETRES!$G$35,5,IF($N147&gt;PARAMETRES!$F$35,4,IF($N147&gt;PARAMETRES!$E$35,3,IF($N147&gt;PARAMETRES!$D$35,2,1)))))</f>
        <v/>
      </c>
      <c r="W147" t="str">
        <f>IF($O147="","",IF($O147&gt;PARAMETRES!$G$36,5,IF($O147&gt;PARAMETRES!$F$36,4,IF($O147&gt;PARAMETRES!$E$36,3,IF($O147&gt;PARAMETRES!$D$36,2,1)))))</f>
        <v/>
      </c>
      <c r="X147" t="str">
        <f>IF($P147="","",IF($P147&gt;PARAMETRES!$G$37,5,IF($P147&gt;PARAMETRES!$F$37,4,IF($P147&gt;PARAMETRES!$E$37,3,IF($P147&gt;PARAMETRES!$D$37,2,1)))))</f>
        <v/>
      </c>
      <c r="Y147" t="str">
        <f t="shared" si="48"/>
        <v/>
      </c>
      <c r="Z147" t="str">
        <f>IFERROR(VLOOKUP($B147,TABLE_CYCLE,2,0),"")</f>
        <v/>
      </c>
      <c r="AA147" t="str">
        <f t="shared" si="49"/>
        <v/>
      </c>
      <c r="AB147" t="str">
        <f>IF($D147="","",IF(COUNTIF($D$2:$D147,$D147)=1,$D147,""))</f>
        <v/>
      </c>
      <c r="AC147">
        <f t="shared" si="50"/>
        <v>0</v>
      </c>
      <c r="AD147" t="str">
        <f t="shared" si="51"/>
        <v>|0</v>
      </c>
      <c r="AE147" t="str">
        <f t="shared" si="52"/>
        <v/>
      </c>
      <c r="AF147" t="str">
        <f t="shared" si="53"/>
        <v/>
      </c>
      <c r="AG147" t="str">
        <f t="shared" si="54"/>
        <v/>
      </c>
      <c r="AH147" t="str">
        <f t="shared" si="55"/>
        <v/>
      </c>
      <c r="AI147" t="str">
        <f t="shared" si="56"/>
        <v/>
      </c>
      <c r="AJ147" t="str">
        <f t="shared" si="57"/>
        <v/>
      </c>
      <c r="AK147" t="str">
        <f t="shared" si="58"/>
        <v/>
      </c>
      <c r="AL147" t="str">
        <f t="shared" si="59"/>
        <v/>
      </c>
      <c r="AM147" t="str">
        <f t="shared" si="60"/>
        <v/>
      </c>
      <c r="AN147" t="str">
        <f t="shared" si="61"/>
        <v/>
      </c>
      <c r="AO147" t="str">
        <f t="shared" si="62"/>
        <v/>
      </c>
      <c r="AP147">
        <f t="shared" si="63"/>
        <v>1</v>
      </c>
      <c r="AQ147" t="str">
        <f>IF(SAISIE!$F152="","",SAISIE!$Y152)</f>
        <v/>
      </c>
      <c r="AR147" t="str">
        <f>IF(OR(SAISIE!$U$4="",SAISIE!$W$4=""),"",IF(AND($A147=SAISIE!$U$4,$B147=SAISIE!$W$4,$C147="S1"),COUNTIFS($A$2:$A147,SAISIE!$U$4,$B$2:$B147,SAISIE!$W$4,$C$2:$C147,"S1"),""))</f>
        <v/>
      </c>
      <c r="AS147" t="str">
        <f t="shared" si="64"/>
        <v/>
      </c>
      <c r="AT147" t="str">
        <f t="shared" si="65"/>
        <v/>
      </c>
      <c r="AU147" t="str">
        <f t="shared" si="66"/>
        <v/>
      </c>
      <c r="AV147">
        <f>N(AV146)+IF(AND($AB147&lt;&gt;"",OR('PROFIL ELEVE'!$K$4="(Tous)",$AF147='PROFIL ELEVE'!$K$4)),1,0)</f>
        <v>0</v>
      </c>
      <c r="AW147">
        <f>N(AW146)+IF(AND($AB147&lt;&gt;"",OR('SUIVI LONGITUDINAL'!$Q$4="(Tous)",$AF147='SUIVI LONGITUDINAL'!$Q$4)),1,0)</f>
        <v>0</v>
      </c>
      <c r="AX147">
        <f t="shared" si="67"/>
        <v>0</v>
      </c>
      <c r="AY147">
        <f t="shared" si="68"/>
        <v>0</v>
      </c>
      <c r="AZ147">
        <f t="shared" si="69"/>
        <v>0</v>
      </c>
      <c r="BA147" t="str">
        <f t="shared" si="70"/>
        <v/>
      </c>
      <c r="BB147" t="str">
        <f t="shared" si="71"/>
        <v/>
      </c>
    </row>
    <row r="148" spans="1:54" ht="14.25" customHeight="1" x14ac:dyDescent="0.3">
      <c r="A148" t="str">
        <f>IF(SAISIE!$F153="","",SAISIE!$B153)</f>
        <v/>
      </c>
      <c r="B148" t="str">
        <f>IF(SAISIE!$F153="","",SAISIE!$C153)</f>
        <v/>
      </c>
      <c r="C148" t="str">
        <f>IF(SAISIE!$F153="","",SAISIE!$D153)</f>
        <v/>
      </c>
      <c r="D148" t="str">
        <f>IF(SAISIE!$E153="","",SAISIE!$E153)</f>
        <v/>
      </c>
      <c r="E148" t="str">
        <f>IF(SAISIE!$F153="","",SAISIE!$F153)</f>
        <v/>
      </c>
      <c r="F148" t="str">
        <f>IF(SAISIE!$G153="","",SAISIE!$G153)</f>
        <v/>
      </c>
      <c r="G148" t="str">
        <f>IF(SAISIE!$H153="","",SAISIE!$H153)</f>
        <v/>
      </c>
      <c r="H148" t="str">
        <f>IF(SAISIE!$I153="","",SAISIE!$I153)</f>
        <v/>
      </c>
      <c r="I148" t="str">
        <f>IF(SAISIE!$J153="","",SAISIE!$J153)</f>
        <v/>
      </c>
      <c r="J148" t="str">
        <f>IF(SAISIE!$K153="","",SAISIE!$K153)</f>
        <v/>
      </c>
      <c r="K148" t="str">
        <f>IF(SAISIE!$L153="","",SAISIE!$L153)</f>
        <v/>
      </c>
      <c r="L148" t="str">
        <f>IF(SAISIE!$M153="","",SAISIE!$M153)</f>
        <v/>
      </c>
      <c r="M148" t="str">
        <f>IF(SAISIE!$N153="","",SAISIE!$N153)</f>
        <v/>
      </c>
      <c r="N148" t="str">
        <f>IF(SAISIE!$O153="","",SAISIE!$O153)</f>
        <v/>
      </c>
      <c r="O148" t="str">
        <f>IF(SAISIE!$P153="","",SAISIE!$P153)</f>
        <v/>
      </c>
      <c r="P148" t="str">
        <f>IF(SAISIE!$Q153="","",SAISIE!$Q153)</f>
        <v/>
      </c>
      <c r="Q148" t="str">
        <f>IF($I148="","",IF($I148&gt;PARAMETRES!$G$29,5,IF($I148&gt;PARAMETRES!$F$29,4,IF($I148&gt;PARAMETRES!$E$29,3,IF($I148&gt;PARAMETRES!$D$29,2,1)))))</f>
        <v/>
      </c>
      <c r="R148" t="str">
        <f>IF($J148="","",IF($J148&gt;PARAMETRES!$G$30,5,IF($J148&gt;PARAMETRES!$F$30,4,IF($J148&gt;PARAMETRES!$E$30,3,IF($J148&gt;PARAMETRES!$D$30,2,1)))))</f>
        <v/>
      </c>
      <c r="S148" t="str">
        <f>IF($K148="","",IF($Z148=2,IF($K148&gt;PARAMETRES!$G$31,5,IF($K148&gt;PARAMETRES!$F$31,4,IF($K148&gt;PARAMETRES!$E$31,3,IF($K148&gt;PARAMETRES!$D$31,2,1)))),IF($K148&gt;PARAMETRES!$G$32,5,IF($K148&gt;PARAMETRES!$F$32,4,IF($K148&gt;PARAMETRES!$E$32,3,IF($K148&gt;PARAMETRES!$D$32,2,1))))))</f>
        <v/>
      </c>
      <c r="T148" t="str">
        <f>IF($L148="","",IF($L148&gt;PARAMETRES!$G$33,5,IF($L148&gt;PARAMETRES!$F$33,4,IF($L148&gt;PARAMETRES!$E$33,3,IF($L148&gt;PARAMETRES!$D$33,2,1)))))</f>
        <v/>
      </c>
      <c r="U148" t="str">
        <f>IF($M148="","",IF($M148&gt;PARAMETRES!$G$34,5,IF($M148&gt;PARAMETRES!$F$34,4,IF($M148&gt;PARAMETRES!$E$34,3,IF($M148&gt;PARAMETRES!$D$34,2,1)))))</f>
        <v/>
      </c>
      <c r="V148" t="str">
        <f>IF($N148="","",IF($N148&gt;PARAMETRES!$G$35,5,IF($N148&gt;PARAMETRES!$F$35,4,IF($N148&gt;PARAMETRES!$E$35,3,IF($N148&gt;PARAMETRES!$D$35,2,1)))))</f>
        <v/>
      </c>
      <c r="W148" t="str">
        <f>IF($O148="","",IF($O148&gt;PARAMETRES!$G$36,5,IF($O148&gt;PARAMETRES!$F$36,4,IF($O148&gt;PARAMETRES!$E$36,3,IF($O148&gt;PARAMETRES!$D$36,2,1)))))</f>
        <v/>
      </c>
      <c r="X148" t="str">
        <f>IF($P148="","",IF($P148&gt;PARAMETRES!$G$37,5,IF($P148&gt;PARAMETRES!$F$37,4,IF($P148&gt;PARAMETRES!$E$37,3,IF($P148&gt;PARAMETRES!$D$37,2,1)))))</f>
        <v/>
      </c>
      <c r="Y148" t="str">
        <f t="shared" si="48"/>
        <v/>
      </c>
      <c r="Z148" t="str">
        <f>IFERROR(VLOOKUP($B148,TABLE_CYCLE,2,0),"")</f>
        <v/>
      </c>
      <c r="AA148" t="str">
        <f t="shared" si="49"/>
        <v/>
      </c>
      <c r="AB148" t="str">
        <f>IF($D148="","",IF(COUNTIF($D$2:$D148,$D148)=1,$D148,""))</f>
        <v/>
      </c>
      <c r="AC148">
        <f t="shared" si="50"/>
        <v>0</v>
      </c>
      <c r="AD148" t="str">
        <f t="shared" si="51"/>
        <v>|0</v>
      </c>
      <c r="AE148" t="str">
        <f t="shared" si="52"/>
        <v/>
      </c>
      <c r="AF148" t="str">
        <f t="shared" si="53"/>
        <v/>
      </c>
      <c r="AG148" t="str">
        <f t="shared" si="54"/>
        <v/>
      </c>
      <c r="AH148" t="str">
        <f t="shared" si="55"/>
        <v/>
      </c>
      <c r="AI148" t="str">
        <f t="shared" si="56"/>
        <v/>
      </c>
      <c r="AJ148" t="str">
        <f t="shared" si="57"/>
        <v/>
      </c>
      <c r="AK148" t="str">
        <f t="shared" si="58"/>
        <v/>
      </c>
      <c r="AL148" t="str">
        <f t="shared" si="59"/>
        <v/>
      </c>
      <c r="AM148" t="str">
        <f t="shared" si="60"/>
        <v/>
      </c>
      <c r="AN148" t="str">
        <f t="shared" si="61"/>
        <v/>
      </c>
      <c r="AO148" t="str">
        <f t="shared" si="62"/>
        <v/>
      </c>
      <c r="AP148">
        <f t="shared" si="63"/>
        <v>1</v>
      </c>
      <c r="AQ148" t="str">
        <f>IF(SAISIE!$F153="","",SAISIE!$Y153)</f>
        <v/>
      </c>
      <c r="AR148" t="str">
        <f>IF(OR(SAISIE!$U$4="",SAISIE!$W$4=""),"",IF(AND($A148=SAISIE!$U$4,$B148=SAISIE!$W$4,$C148="S1"),COUNTIFS($A$2:$A148,SAISIE!$U$4,$B$2:$B148,SAISIE!$W$4,$C$2:$C148,"S1"),""))</f>
        <v/>
      </c>
      <c r="AS148" t="str">
        <f t="shared" si="64"/>
        <v/>
      </c>
      <c r="AT148" t="str">
        <f t="shared" si="65"/>
        <v/>
      </c>
      <c r="AU148" t="str">
        <f t="shared" si="66"/>
        <v/>
      </c>
      <c r="AV148">
        <f>N(AV147)+IF(AND($AB148&lt;&gt;"",OR('PROFIL ELEVE'!$K$4="(Tous)",$AF148='PROFIL ELEVE'!$K$4)),1,0)</f>
        <v>0</v>
      </c>
      <c r="AW148">
        <f>N(AW147)+IF(AND($AB148&lt;&gt;"",OR('SUIVI LONGITUDINAL'!$Q$4="(Tous)",$AF148='SUIVI LONGITUDINAL'!$Q$4)),1,0)</f>
        <v>0</v>
      </c>
      <c r="AX148">
        <f t="shared" si="67"/>
        <v>0</v>
      </c>
      <c r="AY148">
        <f t="shared" si="68"/>
        <v>0</v>
      </c>
      <c r="AZ148">
        <f t="shared" si="69"/>
        <v>0</v>
      </c>
      <c r="BA148" t="str">
        <f t="shared" si="70"/>
        <v/>
      </c>
      <c r="BB148" t="str">
        <f t="shared" si="71"/>
        <v/>
      </c>
    </row>
    <row r="149" spans="1:54" ht="14.25" customHeight="1" x14ac:dyDescent="0.3">
      <c r="A149" t="str">
        <f>IF(SAISIE!$F154="","",SAISIE!$B154)</f>
        <v/>
      </c>
      <c r="B149" t="str">
        <f>IF(SAISIE!$F154="","",SAISIE!$C154)</f>
        <v/>
      </c>
      <c r="C149" t="str">
        <f>IF(SAISIE!$F154="","",SAISIE!$D154)</f>
        <v/>
      </c>
      <c r="D149" t="str">
        <f>IF(SAISIE!$E154="","",SAISIE!$E154)</f>
        <v/>
      </c>
      <c r="E149" t="str">
        <f>IF(SAISIE!$F154="","",SAISIE!$F154)</f>
        <v/>
      </c>
      <c r="F149" t="str">
        <f>IF(SAISIE!$G154="","",SAISIE!$G154)</f>
        <v/>
      </c>
      <c r="G149" t="str">
        <f>IF(SAISIE!$H154="","",SAISIE!$H154)</f>
        <v/>
      </c>
      <c r="H149" t="str">
        <f>IF(SAISIE!$I154="","",SAISIE!$I154)</f>
        <v/>
      </c>
      <c r="I149" t="str">
        <f>IF(SAISIE!$J154="","",SAISIE!$J154)</f>
        <v/>
      </c>
      <c r="J149" t="str">
        <f>IF(SAISIE!$K154="","",SAISIE!$K154)</f>
        <v/>
      </c>
      <c r="K149" t="str">
        <f>IF(SAISIE!$L154="","",SAISIE!$L154)</f>
        <v/>
      </c>
      <c r="L149" t="str">
        <f>IF(SAISIE!$M154="","",SAISIE!$M154)</f>
        <v/>
      </c>
      <c r="M149" t="str">
        <f>IF(SAISIE!$N154="","",SAISIE!$N154)</f>
        <v/>
      </c>
      <c r="N149" t="str">
        <f>IF(SAISIE!$O154="","",SAISIE!$O154)</f>
        <v/>
      </c>
      <c r="O149" t="str">
        <f>IF(SAISIE!$P154="","",SAISIE!$P154)</f>
        <v/>
      </c>
      <c r="P149" t="str">
        <f>IF(SAISIE!$Q154="","",SAISIE!$Q154)</f>
        <v/>
      </c>
      <c r="Q149" t="str">
        <f>IF($I149="","",IF($I149&gt;PARAMETRES!$G$29,5,IF($I149&gt;PARAMETRES!$F$29,4,IF($I149&gt;PARAMETRES!$E$29,3,IF($I149&gt;PARAMETRES!$D$29,2,1)))))</f>
        <v/>
      </c>
      <c r="R149" t="str">
        <f>IF($J149="","",IF($J149&gt;PARAMETRES!$G$30,5,IF($J149&gt;PARAMETRES!$F$30,4,IF($J149&gt;PARAMETRES!$E$30,3,IF($J149&gt;PARAMETRES!$D$30,2,1)))))</f>
        <v/>
      </c>
      <c r="S149" t="str">
        <f>IF($K149="","",IF($Z149=2,IF($K149&gt;PARAMETRES!$G$31,5,IF($K149&gt;PARAMETRES!$F$31,4,IF($K149&gt;PARAMETRES!$E$31,3,IF($K149&gt;PARAMETRES!$D$31,2,1)))),IF($K149&gt;PARAMETRES!$G$32,5,IF($K149&gt;PARAMETRES!$F$32,4,IF($K149&gt;PARAMETRES!$E$32,3,IF($K149&gt;PARAMETRES!$D$32,2,1))))))</f>
        <v/>
      </c>
      <c r="T149" t="str">
        <f>IF($L149="","",IF($L149&gt;PARAMETRES!$G$33,5,IF($L149&gt;PARAMETRES!$F$33,4,IF($L149&gt;PARAMETRES!$E$33,3,IF($L149&gt;PARAMETRES!$D$33,2,1)))))</f>
        <v/>
      </c>
      <c r="U149" t="str">
        <f>IF($M149="","",IF($M149&gt;PARAMETRES!$G$34,5,IF($M149&gt;PARAMETRES!$F$34,4,IF($M149&gt;PARAMETRES!$E$34,3,IF($M149&gt;PARAMETRES!$D$34,2,1)))))</f>
        <v/>
      </c>
      <c r="V149" t="str">
        <f>IF($N149="","",IF($N149&gt;PARAMETRES!$G$35,5,IF($N149&gt;PARAMETRES!$F$35,4,IF($N149&gt;PARAMETRES!$E$35,3,IF($N149&gt;PARAMETRES!$D$35,2,1)))))</f>
        <v/>
      </c>
      <c r="W149" t="str">
        <f>IF($O149="","",IF($O149&gt;PARAMETRES!$G$36,5,IF($O149&gt;PARAMETRES!$F$36,4,IF($O149&gt;PARAMETRES!$E$36,3,IF($O149&gt;PARAMETRES!$D$36,2,1)))))</f>
        <v/>
      </c>
      <c r="X149" t="str">
        <f>IF($P149="","",IF($P149&gt;PARAMETRES!$G$37,5,IF($P149&gt;PARAMETRES!$F$37,4,IF($P149&gt;PARAMETRES!$E$37,3,IF($P149&gt;PARAMETRES!$D$37,2,1)))))</f>
        <v/>
      </c>
      <c r="Y149" t="str">
        <f t="shared" si="48"/>
        <v/>
      </c>
      <c r="Z149" t="str">
        <f>IFERROR(VLOOKUP($B149,TABLE_CYCLE,2,0),"")</f>
        <v/>
      </c>
      <c r="AA149" t="str">
        <f t="shared" si="49"/>
        <v/>
      </c>
      <c r="AB149" t="str">
        <f>IF($D149="","",IF(COUNTIF($D$2:$D149,$D149)=1,$D149,""))</f>
        <v/>
      </c>
      <c r="AC149">
        <f t="shared" si="50"/>
        <v>0</v>
      </c>
      <c r="AD149" t="str">
        <f t="shared" si="51"/>
        <v>|0</v>
      </c>
      <c r="AE149" t="str">
        <f t="shared" si="52"/>
        <v/>
      </c>
      <c r="AF149" t="str">
        <f t="shared" si="53"/>
        <v/>
      </c>
      <c r="AG149" t="str">
        <f t="shared" si="54"/>
        <v/>
      </c>
      <c r="AH149" t="str">
        <f t="shared" si="55"/>
        <v/>
      </c>
      <c r="AI149" t="str">
        <f t="shared" si="56"/>
        <v/>
      </c>
      <c r="AJ149" t="str">
        <f t="shared" si="57"/>
        <v/>
      </c>
      <c r="AK149" t="str">
        <f t="shared" si="58"/>
        <v/>
      </c>
      <c r="AL149" t="str">
        <f t="shared" si="59"/>
        <v/>
      </c>
      <c r="AM149" t="str">
        <f t="shared" si="60"/>
        <v/>
      </c>
      <c r="AN149" t="str">
        <f t="shared" si="61"/>
        <v/>
      </c>
      <c r="AO149" t="str">
        <f t="shared" si="62"/>
        <v/>
      </c>
      <c r="AP149">
        <f t="shared" si="63"/>
        <v>1</v>
      </c>
      <c r="AQ149" t="str">
        <f>IF(SAISIE!$F154="","",SAISIE!$Y154)</f>
        <v/>
      </c>
      <c r="AR149" t="str">
        <f>IF(OR(SAISIE!$U$4="",SAISIE!$W$4=""),"",IF(AND($A149=SAISIE!$U$4,$B149=SAISIE!$W$4,$C149="S1"),COUNTIFS($A$2:$A149,SAISIE!$U$4,$B$2:$B149,SAISIE!$W$4,$C$2:$C149,"S1"),""))</f>
        <v/>
      </c>
      <c r="AS149" t="str">
        <f t="shared" si="64"/>
        <v/>
      </c>
      <c r="AT149" t="str">
        <f t="shared" si="65"/>
        <v/>
      </c>
      <c r="AU149" t="str">
        <f t="shared" si="66"/>
        <v/>
      </c>
      <c r="AV149">
        <f>N(AV148)+IF(AND($AB149&lt;&gt;"",OR('PROFIL ELEVE'!$K$4="(Tous)",$AF149='PROFIL ELEVE'!$K$4)),1,0)</f>
        <v>0</v>
      </c>
      <c r="AW149">
        <f>N(AW148)+IF(AND($AB149&lt;&gt;"",OR('SUIVI LONGITUDINAL'!$Q$4="(Tous)",$AF149='SUIVI LONGITUDINAL'!$Q$4)),1,0)</f>
        <v>0</v>
      </c>
      <c r="AX149">
        <f t="shared" si="67"/>
        <v>0</v>
      </c>
      <c r="AY149">
        <f t="shared" si="68"/>
        <v>0</v>
      </c>
      <c r="AZ149">
        <f t="shared" si="69"/>
        <v>0</v>
      </c>
      <c r="BA149" t="str">
        <f t="shared" si="70"/>
        <v/>
      </c>
      <c r="BB149" t="str">
        <f t="shared" si="71"/>
        <v/>
      </c>
    </row>
    <row r="150" spans="1:54" ht="14.25" customHeight="1" x14ac:dyDescent="0.3">
      <c r="A150" t="str">
        <f>IF(SAISIE!$F155="","",SAISIE!$B155)</f>
        <v/>
      </c>
      <c r="B150" t="str">
        <f>IF(SAISIE!$F155="","",SAISIE!$C155)</f>
        <v/>
      </c>
      <c r="C150" t="str">
        <f>IF(SAISIE!$F155="","",SAISIE!$D155)</f>
        <v/>
      </c>
      <c r="D150" t="str">
        <f>IF(SAISIE!$E155="","",SAISIE!$E155)</f>
        <v/>
      </c>
      <c r="E150" t="str">
        <f>IF(SAISIE!$F155="","",SAISIE!$F155)</f>
        <v/>
      </c>
      <c r="F150" t="str">
        <f>IF(SAISIE!$G155="","",SAISIE!$G155)</f>
        <v/>
      </c>
      <c r="G150" t="str">
        <f>IF(SAISIE!$H155="","",SAISIE!$H155)</f>
        <v/>
      </c>
      <c r="H150" t="str">
        <f>IF(SAISIE!$I155="","",SAISIE!$I155)</f>
        <v/>
      </c>
      <c r="I150" t="str">
        <f>IF(SAISIE!$J155="","",SAISIE!$J155)</f>
        <v/>
      </c>
      <c r="J150" t="str">
        <f>IF(SAISIE!$K155="","",SAISIE!$K155)</f>
        <v/>
      </c>
      <c r="K150" t="str">
        <f>IF(SAISIE!$L155="","",SAISIE!$L155)</f>
        <v/>
      </c>
      <c r="L150" t="str">
        <f>IF(SAISIE!$M155="","",SAISIE!$M155)</f>
        <v/>
      </c>
      <c r="M150" t="str">
        <f>IF(SAISIE!$N155="","",SAISIE!$N155)</f>
        <v/>
      </c>
      <c r="N150" t="str">
        <f>IF(SAISIE!$O155="","",SAISIE!$O155)</f>
        <v/>
      </c>
      <c r="O150" t="str">
        <f>IF(SAISIE!$P155="","",SAISIE!$P155)</f>
        <v/>
      </c>
      <c r="P150" t="str">
        <f>IF(SAISIE!$Q155="","",SAISIE!$Q155)</f>
        <v/>
      </c>
      <c r="Q150" t="str">
        <f>IF($I150="","",IF($I150&gt;PARAMETRES!$G$29,5,IF($I150&gt;PARAMETRES!$F$29,4,IF($I150&gt;PARAMETRES!$E$29,3,IF($I150&gt;PARAMETRES!$D$29,2,1)))))</f>
        <v/>
      </c>
      <c r="R150" t="str">
        <f>IF($J150="","",IF($J150&gt;PARAMETRES!$G$30,5,IF($J150&gt;PARAMETRES!$F$30,4,IF($J150&gt;PARAMETRES!$E$30,3,IF($J150&gt;PARAMETRES!$D$30,2,1)))))</f>
        <v/>
      </c>
      <c r="S150" t="str">
        <f>IF($K150="","",IF($Z150=2,IF($K150&gt;PARAMETRES!$G$31,5,IF($K150&gt;PARAMETRES!$F$31,4,IF($K150&gt;PARAMETRES!$E$31,3,IF($K150&gt;PARAMETRES!$D$31,2,1)))),IF($K150&gt;PARAMETRES!$G$32,5,IF($K150&gt;PARAMETRES!$F$32,4,IF($K150&gt;PARAMETRES!$E$32,3,IF($K150&gt;PARAMETRES!$D$32,2,1))))))</f>
        <v/>
      </c>
      <c r="T150" t="str">
        <f>IF($L150="","",IF($L150&gt;PARAMETRES!$G$33,5,IF($L150&gt;PARAMETRES!$F$33,4,IF($L150&gt;PARAMETRES!$E$33,3,IF($L150&gt;PARAMETRES!$D$33,2,1)))))</f>
        <v/>
      </c>
      <c r="U150" t="str">
        <f>IF($M150="","",IF($M150&gt;PARAMETRES!$G$34,5,IF($M150&gt;PARAMETRES!$F$34,4,IF($M150&gt;PARAMETRES!$E$34,3,IF($M150&gt;PARAMETRES!$D$34,2,1)))))</f>
        <v/>
      </c>
      <c r="V150" t="str">
        <f>IF($N150="","",IF($N150&gt;PARAMETRES!$G$35,5,IF($N150&gt;PARAMETRES!$F$35,4,IF($N150&gt;PARAMETRES!$E$35,3,IF($N150&gt;PARAMETRES!$D$35,2,1)))))</f>
        <v/>
      </c>
      <c r="W150" t="str">
        <f>IF($O150="","",IF($O150&gt;PARAMETRES!$G$36,5,IF($O150&gt;PARAMETRES!$F$36,4,IF($O150&gt;PARAMETRES!$E$36,3,IF($O150&gt;PARAMETRES!$D$36,2,1)))))</f>
        <v/>
      </c>
      <c r="X150" t="str">
        <f>IF($P150="","",IF($P150&gt;PARAMETRES!$G$37,5,IF($P150&gt;PARAMETRES!$F$37,4,IF($P150&gt;PARAMETRES!$E$37,3,IF($P150&gt;PARAMETRES!$D$37,2,1)))))</f>
        <v/>
      </c>
      <c r="Y150" t="str">
        <f t="shared" si="48"/>
        <v/>
      </c>
      <c r="Z150" t="str">
        <f>IFERROR(VLOOKUP($B150,TABLE_CYCLE,2,0),"")</f>
        <v/>
      </c>
      <c r="AA150" t="str">
        <f t="shared" si="49"/>
        <v/>
      </c>
      <c r="AB150" t="str">
        <f>IF($D150="","",IF(COUNTIF($D$2:$D150,$D150)=1,$D150,""))</f>
        <v/>
      </c>
      <c r="AC150">
        <f t="shared" si="50"/>
        <v>0</v>
      </c>
      <c r="AD150" t="str">
        <f t="shared" si="51"/>
        <v>|0</v>
      </c>
      <c r="AE150" t="str">
        <f t="shared" si="52"/>
        <v/>
      </c>
      <c r="AF150" t="str">
        <f t="shared" si="53"/>
        <v/>
      </c>
      <c r="AG150" t="str">
        <f t="shared" si="54"/>
        <v/>
      </c>
      <c r="AH150" t="str">
        <f t="shared" si="55"/>
        <v/>
      </c>
      <c r="AI150" t="str">
        <f t="shared" si="56"/>
        <v/>
      </c>
      <c r="AJ150" t="str">
        <f t="shared" si="57"/>
        <v/>
      </c>
      <c r="AK150" t="str">
        <f t="shared" si="58"/>
        <v/>
      </c>
      <c r="AL150" t="str">
        <f t="shared" si="59"/>
        <v/>
      </c>
      <c r="AM150" t="str">
        <f t="shared" si="60"/>
        <v/>
      </c>
      <c r="AN150" t="str">
        <f t="shared" si="61"/>
        <v/>
      </c>
      <c r="AO150" t="str">
        <f t="shared" si="62"/>
        <v/>
      </c>
      <c r="AP150">
        <f t="shared" si="63"/>
        <v>1</v>
      </c>
      <c r="AQ150" t="str">
        <f>IF(SAISIE!$F155="","",SAISIE!$Y155)</f>
        <v/>
      </c>
      <c r="AR150" t="str">
        <f>IF(OR(SAISIE!$U$4="",SAISIE!$W$4=""),"",IF(AND($A150=SAISIE!$U$4,$B150=SAISIE!$W$4,$C150="S1"),COUNTIFS($A$2:$A150,SAISIE!$U$4,$B$2:$B150,SAISIE!$W$4,$C$2:$C150,"S1"),""))</f>
        <v/>
      </c>
      <c r="AS150" t="str">
        <f t="shared" si="64"/>
        <v/>
      </c>
      <c r="AT150" t="str">
        <f t="shared" si="65"/>
        <v/>
      </c>
      <c r="AU150" t="str">
        <f t="shared" si="66"/>
        <v/>
      </c>
      <c r="AV150">
        <f>N(AV149)+IF(AND($AB150&lt;&gt;"",OR('PROFIL ELEVE'!$K$4="(Tous)",$AF150='PROFIL ELEVE'!$K$4)),1,0)</f>
        <v>0</v>
      </c>
      <c r="AW150">
        <f>N(AW149)+IF(AND($AB150&lt;&gt;"",OR('SUIVI LONGITUDINAL'!$Q$4="(Tous)",$AF150='SUIVI LONGITUDINAL'!$Q$4)),1,0)</f>
        <v>0</v>
      </c>
      <c r="AX150">
        <f t="shared" si="67"/>
        <v>0</v>
      </c>
      <c r="AY150">
        <f t="shared" si="68"/>
        <v>0</v>
      </c>
      <c r="AZ150">
        <f t="shared" si="69"/>
        <v>0</v>
      </c>
      <c r="BA150" t="str">
        <f t="shared" si="70"/>
        <v/>
      </c>
      <c r="BB150" t="str">
        <f t="shared" si="71"/>
        <v/>
      </c>
    </row>
    <row r="151" spans="1:54" ht="14.25" customHeight="1" x14ac:dyDescent="0.3">
      <c r="A151" t="str">
        <f>IF(SAISIE!$F156="","",SAISIE!$B156)</f>
        <v/>
      </c>
      <c r="B151" t="str">
        <f>IF(SAISIE!$F156="","",SAISIE!$C156)</f>
        <v/>
      </c>
      <c r="C151" t="str">
        <f>IF(SAISIE!$F156="","",SAISIE!$D156)</f>
        <v/>
      </c>
      <c r="D151" t="str">
        <f>IF(SAISIE!$E156="","",SAISIE!$E156)</f>
        <v/>
      </c>
      <c r="E151" t="str">
        <f>IF(SAISIE!$F156="","",SAISIE!$F156)</f>
        <v/>
      </c>
      <c r="F151" t="str">
        <f>IF(SAISIE!$G156="","",SAISIE!$G156)</f>
        <v/>
      </c>
      <c r="G151" t="str">
        <f>IF(SAISIE!$H156="","",SAISIE!$H156)</f>
        <v/>
      </c>
      <c r="H151" t="str">
        <f>IF(SAISIE!$I156="","",SAISIE!$I156)</f>
        <v/>
      </c>
      <c r="I151" t="str">
        <f>IF(SAISIE!$J156="","",SAISIE!$J156)</f>
        <v/>
      </c>
      <c r="J151" t="str">
        <f>IF(SAISIE!$K156="","",SAISIE!$K156)</f>
        <v/>
      </c>
      <c r="K151" t="str">
        <f>IF(SAISIE!$L156="","",SAISIE!$L156)</f>
        <v/>
      </c>
      <c r="L151" t="str">
        <f>IF(SAISIE!$M156="","",SAISIE!$M156)</f>
        <v/>
      </c>
      <c r="M151" t="str">
        <f>IF(SAISIE!$N156="","",SAISIE!$N156)</f>
        <v/>
      </c>
      <c r="N151" t="str">
        <f>IF(SAISIE!$O156="","",SAISIE!$O156)</f>
        <v/>
      </c>
      <c r="O151" t="str">
        <f>IF(SAISIE!$P156="","",SAISIE!$P156)</f>
        <v/>
      </c>
      <c r="P151" t="str">
        <f>IF(SAISIE!$Q156="","",SAISIE!$Q156)</f>
        <v/>
      </c>
      <c r="Q151" t="str">
        <f>IF($I151="","",IF($I151&gt;PARAMETRES!$G$29,5,IF($I151&gt;PARAMETRES!$F$29,4,IF($I151&gt;PARAMETRES!$E$29,3,IF($I151&gt;PARAMETRES!$D$29,2,1)))))</f>
        <v/>
      </c>
      <c r="R151" t="str">
        <f>IF($J151="","",IF($J151&gt;PARAMETRES!$G$30,5,IF($J151&gt;PARAMETRES!$F$30,4,IF($J151&gt;PARAMETRES!$E$30,3,IF($J151&gt;PARAMETRES!$D$30,2,1)))))</f>
        <v/>
      </c>
      <c r="S151" t="str">
        <f>IF($K151="","",IF($Z151=2,IF($K151&gt;PARAMETRES!$G$31,5,IF($K151&gt;PARAMETRES!$F$31,4,IF($K151&gt;PARAMETRES!$E$31,3,IF($K151&gt;PARAMETRES!$D$31,2,1)))),IF($K151&gt;PARAMETRES!$G$32,5,IF($K151&gt;PARAMETRES!$F$32,4,IF($K151&gt;PARAMETRES!$E$32,3,IF($K151&gt;PARAMETRES!$D$32,2,1))))))</f>
        <v/>
      </c>
      <c r="T151" t="str">
        <f>IF($L151="","",IF($L151&gt;PARAMETRES!$G$33,5,IF($L151&gt;PARAMETRES!$F$33,4,IF($L151&gt;PARAMETRES!$E$33,3,IF($L151&gt;PARAMETRES!$D$33,2,1)))))</f>
        <v/>
      </c>
      <c r="U151" t="str">
        <f>IF($M151="","",IF($M151&gt;PARAMETRES!$G$34,5,IF($M151&gt;PARAMETRES!$F$34,4,IF($M151&gt;PARAMETRES!$E$34,3,IF($M151&gt;PARAMETRES!$D$34,2,1)))))</f>
        <v/>
      </c>
      <c r="V151" t="str">
        <f>IF($N151="","",IF($N151&gt;PARAMETRES!$G$35,5,IF($N151&gt;PARAMETRES!$F$35,4,IF($N151&gt;PARAMETRES!$E$35,3,IF($N151&gt;PARAMETRES!$D$35,2,1)))))</f>
        <v/>
      </c>
      <c r="W151" t="str">
        <f>IF($O151="","",IF($O151&gt;PARAMETRES!$G$36,5,IF($O151&gt;PARAMETRES!$F$36,4,IF($O151&gt;PARAMETRES!$E$36,3,IF($O151&gt;PARAMETRES!$D$36,2,1)))))</f>
        <v/>
      </c>
      <c r="X151" t="str">
        <f>IF($P151="","",IF($P151&gt;PARAMETRES!$G$37,5,IF($P151&gt;PARAMETRES!$F$37,4,IF($P151&gt;PARAMETRES!$E$37,3,IF($P151&gt;PARAMETRES!$D$37,2,1)))))</f>
        <v/>
      </c>
      <c r="Y151" t="str">
        <f t="shared" si="48"/>
        <v/>
      </c>
      <c r="Z151" t="str">
        <f>IFERROR(VLOOKUP($B151,TABLE_CYCLE,2,0),"")</f>
        <v/>
      </c>
      <c r="AA151" t="str">
        <f t="shared" si="49"/>
        <v/>
      </c>
      <c r="AB151" t="str">
        <f>IF($D151="","",IF(COUNTIF($D$2:$D151,$D151)=1,$D151,""))</f>
        <v/>
      </c>
      <c r="AC151">
        <f t="shared" si="50"/>
        <v>0</v>
      </c>
      <c r="AD151" t="str">
        <f t="shared" si="51"/>
        <v>|0</v>
      </c>
      <c r="AE151" t="str">
        <f t="shared" si="52"/>
        <v/>
      </c>
      <c r="AF151" t="str">
        <f t="shared" si="53"/>
        <v/>
      </c>
      <c r="AG151" t="str">
        <f t="shared" si="54"/>
        <v/>
      </c>
      <c r="AH151" t="str">
        <f t="shared" si="55"/>
        <v/>
      </c>
      <c r="AI151" t="str">
        <f t="shared" si="56"/>
        <v/>
      </c>
      <c r="AJ151" t="str">
        <f t="shared" si="57"/>
        <v/>
      </c>
      <c r="AK151" t="str">
        <f t="shared" si="58"/>
        <v/>
      </c>
      <c r="AL151" t="str">
        <f t="shared" si="59"/>
        <v/>
      </c>
      <c r="AM151" t="str">
        <f t="shared" si="60"/>
        <v/>
      </c>
      <c r="AN151" t="str">
        <f t="shared" si="61"/>
        <v/>
      </c>
      <c r="AO151" t="str">
        <f t="shared" si="62"/>
        <v/>
      </c>
      <c r="AP151">
        <f t="shared" si="63"/>
        <v>1</v>
      </c>
      <c r="AQ151" t="str">
        <f>IF(SAISIE!$F156="","",SAISIE!$Y156)</f>
        <v/>
      </c>
      <c r="AR151" t="str">
        <f>IF(OR(SAISIE!$U$4="",SAISIE!$W$4=""),"",IF(AND($A151=SAISIE!$U$4,$B151=SAISIE!$W$4,$C151="S1"),COUNTIFS($A$2:$A151,SAISIE!$U$4,$B$2:$B151,SAISIE!$W$4,$C$2:$C151,"S1"),""))</f>
        <v/>
      </c>
      <c r="AS151" t="str">
        <f t="shared" si="64"/>
        <v/>
      </c>
      <c r="AT151" t="str">
        <f t="shared" si="65"/>
        <v/>
      </c>
      <c r="AU151" t="str">
        <f t="shared" si="66"/>
        <v/>
      </c>
      <c r="AV151">
        <f>N(AV150)+IF(AND($AB151&lt;&gt;"",OR('PROFIL ELEVE'!$K$4="(Tous)",$AF151='PROFIL ELEVE'!$K$4)),1,0)</f>
        <v>0</v>
      </c>
      <c r="AW151">
        <f>N(AW150)+IF(AND($AB151&lt;&gt;"",OR('SUIVI LONGITUDINAL'!$Q$4="(Tous)",$AF151='SUIVI LONGITUDINAL'!$Q$4)),1,0)</f>
        <v>0</v>
      </c>
      <c r="AX151">
        <f t="shared" si="67"/>
        <v>0</v>
      </c>
      <c r="AY151">
        <f t="shared" si="68"/>
        <v>0</v>
      </c>
      <c r="AZ151">
        <f t="shared" si="69"/>
        <v>0</v>
      </c>
      <c r="BA151" t="str">
        <f t="shared" si="70"/>
        <v/>
      </c>
      <c r="BB151" t="str">
        <f t="shared" si="71"/>
        <v/>
      </c>
    </row>
    <row r="152" spans="1:54" ht="14.25" customHeight="1" x14ac:dyDescent="0.3">
      <c r="A152" t="str">
        <f>IF(SAISIE!$F157="","",SAISIE!$B157)</f>
        <v/>
      </c>
      <c r="B152" t="str">
        <f>IF(SAISIE!$F157="","",SAISIE!$C157)</f>
        <v/>
      </c>
      <c r="C152" t="str">
        <f>IF(SAISIE!$F157="","",SAISIE!$D157)</f>
        <v/>
      </c>
      <c r="D152" t="str">
        <f>IF(SAISIE!$E157="","",SAISIE!$E157)</f>
        <v/>
      </c>
      <c r="E152" t="str">
        <f>IF(SAISIE!$F157="","",SAISIE!$F157)</f>
        <v/>
      </c>
      <c r="F152" t="str">
        <f>IF(SAISIE!$G157="","",SAISIE!$G157)</f>
        <v/>
      </c>
      <c r="G152" t="str">
        <f>IF(SAISIE!$H157="","",SAISIE!$H157)</f>
        <v/>
      </c>
      <c r="H152" t="str">
        <f>IF(SAISIE!$I157="","",SAISIE!$I157)</f>
        <v/>
      </c>
      <c r="I152" t="str">
        <f>IF(SAISIE!$J157="","",SAISIE!$J157)</f>
        <v/>
      </c>
      <c r="J152" t="str">
        <f>IF(SAISIE!$K157="","",SAISIE!$K157)</f>
        <v/>
      </c>
      <c r="K152" t="str">
        <f>IF(SAISIE!$L157="","",SAISIE!$L157)</f>
        <v/>
      </c>
      <c r="L152" t="str">
        <f>IF(SAISIE!$M157="","",SAISIE!$M157)</f>
        <v/>
      </c>
      <c r="M152" t="str">
        <f>IF(SAISIE!$N157="","",SAISIE!$N157)</f>
        <v/>
      </c>
      <c r="N152" t="str">
        <f>IF(SAISIE!$O157="","",SAISIE!$O157)</f>
        <v/>
      </c>
      <c r="O152" t="str">
        <f>IF(SAISIE!$P157="","",SAISIE!$P157)</f>
        <v/>
      </c>
      <c r="P152" t="str">
        <f>IF(SAISIE!$Q157="","",SAISIE!$Q157)</f>
        <v/>
      </c>
      <c r="Q152" t="str">
        <f>IF($I152="","",IF($I152&gt;PARAMETRES!$G$29,5,IF($I152&gt;PARAMETRES!$F$29,4,IF($I152&gt;PARAMETRES!$E$29,3,IF($I152&gt;PARAMETRES!$D$29,2,1)))))</f>
        <v/>
      </c>
      <c r="R152" t="str">
        <f>IF($J152="","",IF($J152&gt;PARAMETRES!$G$30,5,IF($J152&gt;PARAMETRES!$F$30,4,IF($J152&gt;PARAMETRES!$E$30,3,IF($J152&gt;PARAMETRES!$D$30,2,1)))))</f>
        <v/>
      </c>
      <c r="S152" t="str">
        <f>IF($K152="","",IF($Z152=2,IF($K152&gt;PARAMETRES!$G$31,5,IF($K152&gt;PARAMETRES!$F$31,4,IF($K152&gt;PARAMETRES!$E$31,3,IF($K152&gt;PARAMETRES!$D$31,2,1)))),IF($K152&gt;PARAMETRES!$G$32,5,IF($K152&gt;PARAMETRES!$F$32,4,IF($K152&gt;PARAMETRES!$E$32,3,IF($K152&gt;PARAMETRES!$D$32,2,1))))))</f>
        <v/>
      </c>
      <c r="T152" t="str">
        <f>IF($L152="","",IF($L152&gt;PARAMETRES!$G$33,5,IF($L152&gt;PARAMETRES!$F$33,4,IF($L152&gt;PARAMETRES!$E$33,3,IF($L152&gt;PARAMETRES!$D$33,2,1)))))</f>
        <v/>
      </c>
      <c r="U152" t="str">
        <f>IF($M152="","",IF($M152&gt;PARAMETRES!$G$34,5,IF($M152&gt;PARAMETRES!$F$34,4,IF($M152&gt;PARAMETRES!$E$34,3,IF($M152&gt;PARAMETRES!$D$34,2,1)))))</f>
        <v/>
      </c>
      <c r="V152" t="str">
        <f>IF($N152="","",IF($N152&gt;PARAMETRES!$G$35,5,IF($N152&gt;PARAMETRES!$F$35,4,IF($N152&gt;PARAMETRES!$E$35,3,IF($N152&gt;PARAMETRES!$D$35,2,1)))))</f>
        <v/>
      </c>
      <c r="W152" t="str">
        <f>IF($O152="","",IF($O152&gt;PARAMETRES!$G$36,5,IF($O152&gt;PARAMETRES!$F$36,4,IF($O152&gt;PARAMETRES!$E$36,3,IF($O152&gt;PARAMETRES!$D$36,2,1)))))</f>
        <v/>
      </c>
      <c r="X152" t="str">
        <f>IF($P152="","",IF($P152&gt;PARAMETRES!$G$37,5,IF($P152&gt;PARAMETRES!$F$37,4,IF($P152&gt;PARAMETRES!$E$37,3,IF($P152&gt;PARAMETRES!$D$37,2,1)))))</f>
        <v/>
      </c>
      <c r="Y152" t="str">
        <f t="shared" si="48"/>
        <v/>
      </c>
      <c r="Z152" t="str">
        <f>IFERROR(VLOOKUP($B152,TABLE_CYCLE,2,0),"")</f>
        <v/>
      </c>
      <c r="AA152" t="str">
        <f t="shared" si="49"/>
        <v/>
      </c>
      <c r="AB152" t="str">
        <f>IF($D152="","",IF(COUNTIF($D$2:$D152,$D152)=1,$D152,""))</f>
        <v/>
      </c>
      <c r="AC152">
        <f t="shared" si="50"/>
        <v>0</v>
      </c>
      <c r="AD152" t="str">
        <f t="shared" si="51"/>
        <v>|0</v>
      </c>
      <c r="AE152" t="str">
        <f t="shared" si="52"/>
        <v/>
      </c>
      <c r="AF152" t="str">
        <f t="shared" si="53"/>
        <v/>
      </c>
      <c r="AG152" t="str">
        <f t="shared" si="54"/>
        <v/>
      </c>
      <c r="AH152" t="str">
        <f t="shared" si="55"/>
        <v/>
      </c>
      <c r="AI152" t="str">
        <f t="shared" si="56"/>
        <v/>
      </c>
      <c r="AJ152" t="str">
        <f t="shared" si="57"/>
        <v/>
      </c>
      <c r="AK152" t="str">
        <f t="shared" si="58"/>
        <v/>
      </c>
      <c r="AL152" t="str">
        <f t="shared" si="59"/>
        <v/>
      </c>
      <c r="AM152" t="str">
        <f t="shared" si="60"/>
        <v/>
      </c>
      <c r="AN152" t="str">
        <f t="shared" si="61"/>
        <v/>
      </c>
      <c r="AO152" t="str">
        <f t="shared" si="62"/>
        <v/>
      </c>
      <c r="AP152">
        <f t="shared" si="63"/>
        <v>1</v>
      </c>
      <c r="AQ152" t="str">
        <f>IF(SAISIE!$F157="","",SAISIE!$Y157)</f>
        <v/>
      </c>
      <c r="AR152" t="str">
        <f>IF(OR(SAISIE!$U$4="",SAISIE!$W$4=""),"",IF(AND($A152=SAISIE!$U$4,$B152=SAISIE!$W$4,$C152="S1"),COUNTIFS($A$2:$A152,SAISIE!$U$4,$B$2:$B152,SAISIE!$W$4,$C$2:$C152,"S1"),""))</f>
        <v/>
      </c>
      <c r="AS152" t="str">
        <f t="shared" si="64"/>
        <v/>
      </c>
      <c r="AT152" t="str">
        <f t="shared" si="65"/>
        <v/>
      </c>
      <c r="AU152" t="str">
        <f t="shared" si="66"/>
        <v/>
      </c>
      <c r="AV152">
        <f>N(AV151)+IF(AND($AB152&lt;&gt;"",OR('PROFIL ELEVE'!$K$4="(Tous)",$AF152='PROFIL ELEVE'!$K$4)),1,0)</f>
        <v>0</v>
      </c>
      <c r="AW152">
        <f>N(AW151)+IF(AND($AB152&lt;&gt;"",OR('SUIVI LONGITUDINAL'!$Q$4="(Tous)",$AF152='SUIVI LONGITUDINAL'!$Q$4)),1,0)</f>
        <v>0</v>
      </c>
      <c r="AX152">
        <f t="shared" si="67"/>
        <v>0</v>
      </c>
      <c r="AY152">
        <f t="shared" si="68"/>
        <v>0</v>
      </c>
      <c r="AZ152">
        <f t="shared" si="69"/>
        <v>0</v>
      </c>
      <c r="BA152" t="str">
        <f t="shared" si="70"/>
        <v/>
      </c>
      <c r="BB152" t="str">
        <f t="shared" si="71"/>
        <v/>
      </c>
    </row>
    <row r="153" spans="1:54" ht="14.25" customHeight="1" x14ac:dyDescent="0.3">
      <c r="A153" t="str">
        <f>IF(SAISIE!$F158="","",SAISIE!$B158)</f>
        <v/>
      </c>
      <c r="B153" t="str">
        <f>IF(SAISIE!$F158="","",SAISIE!$C158)</f>
        <v/>
      </c>
      <c r="C153" t="str">
        <f>IF(SAISIE!$F158="","",SAISIE!$D158)</f>
        <v/>
      </c>
      <c r="D153" t="str">
        <f>IF(SAISIE!$E158="","",SAISIE!$E158)</f>
        <v/>
      </c>
      <c r="E153" t="str">
        <f>IF(SAISIE!$F158="","",SAISIE!$F158)</f>
        <v/>
      </c>
      <c r="F153" t="str">
        <f>IF(SAISIE!$G158="","",SAISIE!$G158)</f>
        <v/>
      </c>
      <c r="G153" t="str">
        <f>IF(SAISIE!$H158="","",SAISIE!$H158)</f>
        <v/>
      </c>
      <c r="H153" t="str">
        <f>IF(SAISIE!$I158="","",SAISIE!$I158)</f>
        <v/>
      </c>
      <c r="I153" t="str">
        <f>IF(SAISIE!$J158="","",SAISIE!$J158)</f>
        <v/>
      </c>
      <c r="J153" t="str">
        <f>IF(SAISIE!$K158="","",SAISIE!$K158)</f>
        <v/>
      </c>
      <c r="K153" t="str">
        <f>IF(SAISIE!$L158="","",SAISIE!$L158)</f>
        <v/>
      </c>
      <c r="L153" t="str">
        <f>IF(SAISIE!$M158="","",SAISIE!$M158)</f>
        <v/>
      </c>
      <c r="M153" t="str">
        <f>IF(SAISIE!$N158="","",SAISIE!$N158)</f>
        <v/>
      </c>
      <c r="N153" t="str">
        <f>IF(SAISIE!$O158="","",SAISIE!$O158)</f>
        <v/>
      </c>
      <c r="O153" t="str">
        <f>IF(SAISIE!$P158="","",SAISIE!$P158)</f>
        <v/>
      </c>
      <c r="P153" t="str">
        <f>IF(SAISIE!$Q158="","",SAISIE!$Q158)</f>
        <v/>
      </c>
      <c r="Q153" t="str">
        <f>IF($I153="","",IF($I153&gt;PARAMETRES!$G$29,5,IF($I153&gt;PARAMETRES!$F$29,4,IF($I153&gt;PARAMETRES!$E$29,3,IF($I153&gt;PARAMETRES!$D$29,2,1)))))</f>
        <v/>
      </c>
      <c r="R153" t="str">
        <f>IF($J153="","",IF($J153&gt;PARAMETRES!$G$30,5,IF($J153&gt;PARAMETRES!$F$30,4,IF($J153&gt;PARAMETRES!$E$30,3,IF($J153&gt;PARAMETRES!$D$30,2,1)))))</f>
        <v/>
      </c>
      <c r="S153" t="str">
        <f>IF($K153="","",IF($Z153=2,IF($K153&gt;PARAMETRES!$G$31,5,IF($K153&gt;PARAMETRES!$F$31,4,IF($K153&gt;PARAMETRES!$E$31,3,IF($K153&gt;PARAMETRES!$D$31,2,1)))),IF($K153&gt;PARAMETRES!$G$32,5,IF($K153&gt;PARAMETRES!$F$32,4,IF($K153&gt;PARAMETRES!$E$32,3,IF($K153&gt;PARAMETRES!$D$32,2,1))))))</f>
        <v/>
      </c>
      <c r="T153" t="str">
        <f>IF($L153="","",IF($L153&gt;PARAMETRES!$G$33,5,IF($L153&gt;PARAMETRES!$F$33,4,IF($L153&gt;PARAMETRES!$E$33,3,IF($L153&gt;PARAMETRES!$D$33,2,1)))))</f>
        <v/>
      </c>
      <c r="U153" t="str">
        <f>IF($M153="","",IF($M153&gt;PARAMETRES!$G$34,5,IF($M153&gt;PARAMETRES!$F$34,4,IF($M153&gt;PARAMETRES!$E$34,3,IF($M153&gt;PARAMETRES!$D$34,2,1)))))</f>
        <v/>
      </c>
      <c r="V153" t="str">
        <f>IF($N153="","",IF($N153&gt;PARAMETRES!$G$35,5,IF($N153&gt;PARAMETRES!$F$35,4,IF($N153&gt;PARAMETRES!$E$35,3,IF($N153&gt;PARAMETRES!$D$35,2,1)))))</f>
        <v/>
      </c>
      <c r="W153" t="str">
        <f>IF($O153="","",IF($O153&gt;PARAMETRES!$G$36,5,IF($O153&gt;PARAMETRES!$F$36,4,IF($O153&gt;PARAMETRES!$E$36,3,IF($O153&gt;PARAMETRES!$D$36,2,1)))))</f>
        <v/>
      </c>
      <c r="X153" t="str">
        <f>IF($P153="","",IF($P153&gt;PARAMETRES!$G$37,5,IF($P153&gt;PARAMETRES!$F$37,4,IF($P153&gt;PARAMETRES!$E$37,3,IF($P153&gt;PARAMETRES!$D$37,2,1)))))</f>
        <v/>
      </c>
      <c r="Y153" t="str">
        <f t="shared" si="48"/>
        <v/>
      </c>
      <c r="Z153" t="str">
        <f>IFERROR(VLOOKUP($B153,TABLE_CYCLE,2,0),"")</f>
        <v/>
      </c>
      <c r="AA153" t="str">
        <f t="shared" si="49"/>
        <v/>
      </c>
      <c r="AB153" t="str">
        <f>IF($D153="","",IF(COUNTIF($D$2:$D153,$D153)=1,$D153,""))</f>
        <v/>
      </c>
      <c r="AC153">
        <f t="shared" si="50"/>
        <v>0</v>
      </c>
      <c r="AD153" t="str">
        <f t="shared" si="51"/>
        <v>|0</v>
      </c>
      <c r="AE153" t="str">
        <f t="shared" si="52"/>
        <v/>
      </c>
      <c r="AF153" t="str">
        <f t="shared" si="53"/>
        <v/>
      </c>
      <c r="AG153" t="str">
        <f t="shared" si="54"/>
        <v/>
      </c>
      <c r="AH153" t="str">
        <f t="shared" si="55"/>
        <v/>
      </c>
      <c r="AI153" t="str">
        <f t="shared" si="56"/>
        <v/>
      </c>
      <c r="AJ153" t="str">
        <f t="shared" si="57"/>
        <v/>
      </c>
      <c r="AK153" t="str">
        <f t="shared" si="58"/>
        <v/>
      </c>
      <c r="AL153" t="str">
        <f t="shared" si="59"/>
        <v/>
      </c>
      <c r="AM153" t="str">
        <f t="shared" si="60"/>
        <v/>
      </c>
      <c r="AN153" t="str">
        <f t="shared" si="61"/>
        <v/>
      </c>
      <c r="AO153" t="str">
        <f t="shared" si="62"/>
        <v/>
      </c>
      <c r="AP153">
        <f t="shared" si="63"/>
        <v>1</v>
      </c>
      <c r="AQ153" t="str">
        <f>IF(SAISIE!$F158="","",SAISIE!$Y158)</f>
        <v/>
      </c>
      <c r="AR153" t="str">
        <f>IF(OR(SAISIE!$U$4="",SAISIE!$W$4=""),"",IF(AND($A153=SAISIE!$U$4,$B153=SAISIE!$W$4,$C153="S1"),COUNTIFS($A$2:$A153,SAISIE!$U$4,$B$2:$B153,SAISIE!$W$4,$C$2:$C153,"S1"),""))</f>
        <v/>
      </c>
      <c r="AS153" t="str">
        <f t="shared" si="64"/>
        <v/>
      </c>
      <c r="AT153" t="str">
        <f t="shared" si="65"/>
        <v/>
      </c>
      <c r="AU153" t="str">
        <f t="shared" si="66"/>
        <v/>
      </c>
      <c r="AV153">
        <f>N(AV152)+IF(AND($AB153&lt;&gt;"",OR('PROFIL ELEVE'!$K$4="(Tous)",$AF153='PROFIL ELEVE'!$K$4)),1,0)</f>
        <v>0</v>
      </c>
      <c r="AW153">
        <f>N(AW152)+IF(AND($AB153&lt;&gt;"",OR('SUIVI LONGITUDINAL'!$Q$4="(Tous)",$AF153='SUIVI LONGITUDINAL'!$Q$4)),1,0)</f>
        <v>0</v>
      </c>
      <c r="AX153">
        <f t="shared" si="67"/>
        <v>0</v>
      </c>
      <c r="AY153">
        <f t="shared" si="68"/>
        <v>0</v>
      </c>
      <c r="AZ153">
        <f t="shared" si="69"/>
        <v>0</v>
      </c>
      <c r="BA153" t="str">
        <f t="shared" si="70"/>
        <v/>
      </c>
      <c r="BB153" t="str">
        <f t="shared" si="71"/>
        <v/>
      </c>
    </row>
    <row r="154" spans="1:54" ht="14.25" customHeight="1" x14ac:dyDescent="0.3">
      <c r="A154" t="str">
        <f>IF(SAISIE!$F159="","",SAISIE!$B159)</f>
        <v/>
      </c>
      <c r="B154" t="str">
        <f>IF(SAISIE!$F159="","",SAISIE!$C159)</f>
        <v/>
      </c>
      <c r="C154" t="str">
        <f>IF(SAISIE!$F159="","",SAISIE!$D159)</f>
        <v/>
      </c>
      <c r="D154" t="str">
        <f>IF(SAISIE!$E159="","",SAISIE!$E159)</f>
        <v/>
      </c>
      <c r="E154" t="str">
        <f>IF(SAISIE!$F159="","",SAISIE!$F159)</f>
        <v/>
      </c>
      <c r="F154" t="str">
        <f>IF(SAISIE!$G159="","",SAISIE!$G159)</f>
        <v/>
      </c>
      <c r="G154" t="str">
        <f>IF(SAISIE!$H159="","",SAISIE!$H159)</f>
        <v/>
      </c>
      <c r="H154" t="str">
        <f>IF(SAISIE!$I159="","",SAISIE!$I159)</f>
        <v/>
      </c>
      <c r="I154" t="str">
        <f>IF(SAISIE!$J159="","",SAISIE!$J159)</f>
        <v/>
      </c>
      <c r="J154" t="str">
        <f>IF(SAISIE!$K159="","",SAISIE!$K159)</f>
        <v/>
      </c>
      <c r="K154" t="str">
        <f>IF(SAISIE!$L159="","",SAISIE!$L159)</f>
        <v/>
      </c>
      <c r="L154" t="str">
        <f>IF(SAISIE!$M159="","",SAISIE!$M159)</f>
        <v/>
      </c>
      <c r="M154" t="str">
        <f>IF(SAISIE!$N159="","",SAISIE!$N159)</f>
        <v/>
      </c>
      <c r="N154" t="str">
        <f>IF(SAISIE!$O159="","",SAISIE!$O159)</f>
        <v/>
      </c>
      <c r="O154" t="str">
        <f>IF(SAISIE!$P159="","",SAISIE!$P159)</f>
        <v/>
      </c>
      <c r="P154" t="str">
        <f>IF(SAISIE!$Q159="","",SAISIE!$Q159)</f>
        <v/>
      </c>
      <c r="Q154" t="str">
        <f>IF($I154="","",IF($I154&gt;PARAMETRES!$G$29,5,IF($I154&gt;PARAMETRES!$F$29,4,IF($I154&gt;PARAMETRES!$E$29,3,IF($I154&gt;PARAMETRES!$D$29,2,1)))))</f>
        <v/>
      </c>
      <c r="R154" t="str">
        <f>IF($J154="","",IF($J154&gt;PARAMETRES!$G$30,5,IF($J154&gt;PARAMETRES!$F$30,4,IF($J154&gt;PARAMETRES!$E$30,3,IF($J154&gt;PARAMETRES!$D$30,2,1)))))</f>
        <v/>
      </c>
      <c r="S154" t="str">
        <f>IF($K154="","",IF($Z154=2,IF($K154&gt;PARAMETRES!$G$31,5,IF($K154&gt;PARAMETRES!$F$31,4,IF($K154&gt;PARAMETRES!$E$31,3,IF($K154&gt;PARAMETRES!$D$31,2,1)))),IF($K154&gt;PARAMETRES!$G$32,5,IF($K154&gt;PARAMETRES!$F$32,4,IF($K154&gt;PARAMETRES!$E$32,3,IF($K154&gt;PARAMETRES!$D$32,2,1))))))</f>
        <v/>
      </c>
      <c r="T154" t="str">
        <f>IF($L154="","",IF($L154&gt;PARAMETRES!$G$33,5,IF($L154&gt;PARAMETRES!$F$33,4,IF($L154&gt;PARAMETRES!$E$33,3,IF($L154&gt;PARAMETRES!$D$33,2,1)))))</f>
        <v/>
      </c>
      <c r="U154" t="str">
        <f>IF($M154="","",IF($M154&gt;PARAMETRES!$G$34,5,IF($M154&gt;PARAMETRES!$F$34,4,IF($M154&gt;PARAMETRES!$E$34,3,IF($M154&gt;PARAMETRES!$D$34,2,1)))))</f>
        <v/>
      </c>
      <c r="V154" t="str">
        <f>IF($N154="","",IF($N154&gt;PARAMETRES!$G$35,5,IF($N154&gt;PARAMETRES!$F$35,4,IF($N154&gt;PARAMETRES!$E$35,3,IF($N154&gt;PARAMETRES!$D$35,2,1)))))</f>
        <v/>
      </c>
      <c r="W154" t="str">
        <f>IF($O154="","",IF($O154&gt;PARAMETRES!$G$36,5,IF($O154&gt;PARAMETRES!$F$36,4,IF($O154&gt;PARAMETRES!$E$36,3,IF($O154&gt;PARAMETRES!$D$36,2,1)))))</f>
        <v/>
      </c>
      <c r="X154" t="str">
        <f>IF($P154="","",IF($P154&gt;PARAMETRES!$G$37,5,IF($P154&gt;PARAMETRES!$F$37,4,IF($P154&gt;PARAMETRES!$E$37,3,IF($P154&gt;PARAMETRES!$D$37,2,1)))))</f>
        <v/>
      </c>
      <c r="Y154" t="str">
        <f t="shared" si="48"/>
        <v/>
      </c>
      <c r="Z154" t="str">
        <f>IFERROR(VLOOKUP($B154,TABLE_CYCLE,2,0),"")</f>
        <v/>
      </c>
      <c r="AA154" t="str">
        <f t="shared" si="49"/>
        <v/>
      </c>
      <c r="AB154" t="str">
        <f>IF($D154="","",IF(COUNTIF($D$2:$D154,$D154)=1,$D154,""))</f>
        <v/>
      </c>
      <c r="AC154">
        <f t="shared" si="50"/>
        <v>0</v>
      </c>
      <c r="AD154" t="str">
        <f t="shared" si="51"/>
        <v>|0</v>
      </c>
      <c r="AE154" t="str">
        <f t="shared" si="52"/>
        <v/>
      </c>
      <c r="AF154" t="str">
        <f t="shared" si="53"/>
        <v/>
      </c>
      <c r="AG154" t="str">
        <f t="shared" si="54"/>
        <v/>
      </c>
      <c r="AH154" t="str">
        <f t="shared" si="55"/>
        <v/>
      </c>
      <c r="AI154" t="str">
        <f t="shared" si="56"/>
        <v/>
      </c>
      <c r="AJ154" t="str">
        <f t="shared" si="57"/>
        <v/>
      </c>
      <c r="AK154" t="str">
        <f t="shared" si="58"/>
        <v/>
      </c>
      <c r="AL154" t="str">
        <f t="shared" si="59"/>
        <v/>
      </c>
      <c r="AM154" t="str">
        <f t="shared" si="60"/>
        <v/>
      </c>
      <c r="AN154" t="str">
        <f t="shared" si="61"/>
        <v/>
      </c>
      <c r="AO154" t="str">
        <f t="shared" si="62"/>
        <v/>
      </c>
      <c r="AP154">
        <f t="shared" si="63"/>
        <v>1</v>
      </c>
      <c r="AQ154" t="str">
        <f>IF(SAISIE!$F159="","",SAISIE!$Y159)</f>
        <v/>
      </c>
      <c r="AR154" t="str">
        <f>IF(OR(SAISIE!$U$4="",SAISIE!$W$4=""),"",IF(AND($A154=SAISIE!$U$4,$B154=SAISIE!$W$4,$C154="S1"),COUNTIFS($A$2:$A154,SAISIE!$U$4,$B$2:$B154,SAISIE!$W$4,$C$2:$C154,"S1"),""))</f>
        <v/>
      </c>
      <c r="AS154" t="str">
        <f t="shared" si="64"/>
        <v/>
      </c>
      <c r="AT154" t="str">
        <f t="shared" si="65"/>
        <v/>
      </c>
      <c r="AU154" t="str">
        <f t="shared" si="66"/>
        <v/>
      </c>
      <c r="AV154">
        <f>N(AV153)+IF(AND($AB154&lt;&gt;"",OR('PROFIL ELEVE'!$K$4="(Tous)",$AF154='PROFIL ELEVE'!$K$4)),1,0)</f>
        <v>0</v>
      </c>
      <c r="AW154">
        <f>N(AW153)+IF(AND($AB154&lt;&gt;"",OR('SUIVI LONGITUDINAL'!$Q$4="(Tous)",$AF154='SUIVI LONGITUDINAL'!$Q$4)),1,0)</f>
        <v>0</v>
      </c>
      <c r="AX154">
        <f t="shared" si="67"/>
        <v>0</v>
      </c>
      <c r="AY154">
        <f t="shared" si="68"/>
        <v>0</v>
      </c>
      <c r="AZ154">
        <f t="shared" si="69"/>
        <v>0</v>
      </c>
      <c r="BA154" t="str">
        <f t="shared" si="70"/>
        <v/>
      </c>
      <c r="BB154" t="str">
        <f t="shared" si="71"/>
        <v/>
      </c>
    </row>
    <row r="155" spans="1:54" ht="14.25" customHeight="1" x14ac:dyDescent="0.3">
      <c r="A155" t="str">
        <f>IF(SAISIE!$F160="","",SAISIE!$B160)</f>
        <v/>
      </c>
      <c r="B155" t="str">
        <f>IF(SAISIE!$F160="","",SAISIE!$C160)</f>
        <v/>
      </c>
      <c r="C155" t="str">
        <f>IF(SAISIE!$F160="","",SAISIE!$D160)</f>
        <v/>
      </c>
      <c r="D155" t="str">
        <f>IF(SAISIE!$E160="","",SAISIE!$E160)</f>
        <v/>
      </c>
      <c r="E155" t="str">
        <f>IF(SAISIE!$F160="","",SAISIE!$F160)</f>
        <v/>
      </c>
      <c r="F155" t="str">
        <f>IF(SAISIE!$G160="","",SAISIE!$G160)</f>
        <v/>
      </c>
      <c r="G155" t="str">
        <f>IF(SAISIE!$H160="","",SAISIE!$H160)</f>
        <v/>
      </c>
      <c r="H155" t="str">
        <f>IF(SAISIE!$I160="","",SAISIE!$I160)</f>
        <v/>
      </c>
      <c r="I155" t="str">
        <f>IF(SAISIE!$J160="","",SAISIE!$J160)</f>
        <v/>
      </c>
      <c r="J155" t="str">
        <f>IF(SAISIE!$K160="","",SAISIE!$K160)</f>
        <v/>
      </c>
      <c r="K155" t="str">
        <f>IF(SAISIE!$L160="","",SAISIE!$L160)</f>
        <v/>
      </c>
      <c r="L155" t="str">
        <f>IF(SAISIE!$M160="","",SAISIE!$M160)</f>
        <v/>
      </c>
      <c r="M155" t="str">
        <f>IF(SAISIE!$N160="","",SAISIE!$N160)</f>
        <v/>
      </c>
      <c r="N155" t="str">
        <f>IF(SAISIE!$O160="","",SAISIE!$O160)</f>
        <v/>
      </c>
      <c r="O155" t="str">
        <f>IF(SAISIE!$P160="","",SAISIE!$P160)</f>
        <v/>
      </c>
      <c r="P155" t="str">
        <f>IF(SAISIE!$Q160="","",SAISIE!$Q160)</f>
        <v/>
      </c>
      <c r="Q155" t="str">
        <f>IF($I155="","",IF($I155&gt;PARAMETRES!$G$29,5,IF($I155&gt;PARAMETRES!$F$29,4,IF($I155&gt;PARAMETRES!$E$29,3,IF($I155&gt;PARAMETRES!$D$29,2,1)))))</f>
        <v/>
      </c>
      <c r="R155" t="str">
        <f>IF($J155="","",IF($J155&gt;PARAMETRES!$G$30,5,IF($J155&gt;PARAMETRES!$F$30,4,IF($J155&gt;PARAMETRES!$E$30,3,IF($J155&gt;PARAMETRES!$D$30,2,1)))))</f>
        <v/>
      </c>
      <c r="S155" t="str">
        <f>IF($K155="","",IF($Z155=2,IF($K155&gt;PARAMETRES!$G$31,5,IF($K155&gt;PARAMETRES!$F$31,4,IF($K155&gt;PARAMETRES!$E$31,3,IF($K155&gt;PARAMETRES!$D$31,2,1)))),IF($K155&gt;PARAMETRES!$G$32,5,IF($K155&gt;PARAMETRES!$F$32,4,IF($K155&gt;PARAMETRES!$E$32,3,IF($K155&gt;PARAMETRES!$D$32,2,1))))))</f>
        <v/>
      </c>
      <c r="T155" t="str">
        <f>IF($L155="","",IF($L155&gt;PARAMETRES!$G$33,5,IF($L155&gt;PARAMETRES!$F$33,4,IF($L155&gt;PARAMETRES!$E$33,3,IF($L155&gt;PARAMETRES!$D$33,2,1)))))</f>
        <v/>
      </c>
      <c r="U155" t="str">
        <f>IF($M155="","",IF($M155&gt;PARAMETRES!$G$34,5,IF($M155&gt;PARAMETRES!$F$34,4,IF($M155&gt;PARAMETRES!$E$34,3,IF($M155&gt;PARAMETRES!$D$34,2,1)))))</f>
        <v/>
      </c>
      <c r="V155" t="str">
        <f>IF($N155="","",IF($N155&gt;PARAMETRES!$G$35,5,IF($N155&gt;PARAMETRES!$F$35,4,IF($N155&gt;PARAMETRES!$E$35,3,IF($N155&gt;PARAMETRES!$D$35,2,1)))))</f>
        <v/>
      </c>
      <c r="W155" t="str">
        <f>IF($O155="","",IF($O155&gt;PARAMETRES!$G$36,5,IF($O155&gt;PARAMETRES!$F$36,4,IF($O155&gt;PARAMETRES!$E$36,3,IF($O155&gt;PARAMETRES!$D$36,2,1)))))</f>
        <v/>
      </c>
      <c r="X155" t="str">
        <f>IF($P155="","",IF($P155&gt;PARAMETRES!$G$37,5,IF($P155&gt;PARAMETRES!$F$37,4,IF($P155&gt;PARAMETRES!$E$37,3,IF($P155&gt;PARAMETRES!$D$37,2,1)))))</f>
        <v/>
      </c>
      <c r="Y155" t="str">
        <f t="shared" si="48"/>
        <v/>
      </c>
      <c r="Z155" t="str">
        <f>IFERROR(VLOOKUP($B155,TABLE_CYCLE,2,0),"")</f>
        <v/>
      </c>
      <c r="AA155" t="str">
        <f t="shared" si="49"/>
        <v/>
      </c>
      <c r="AB155" t="str">
        <f>IF($D155="","",IF(COUNTIF($D$2:$D155,$D155)=1,$D155,""))</f>
        <v/>
      </c>
      <c r="AC155">
        <f t="shared" si="50"/>
        <v>0</v>
      </c>
      <c r="AD155" t="str">
        <f t="shared" si="51"/>
        <v>|0</v>
      </c>
      <c r="AE155" t="str">
        <f t="shared" si="52"/>
        <v/>
      </c>
      <c r="AF155" t="str">
        <f t="shared" si="53"/>
        <v/>
      </c>
      <c r="AG155" t="str">
        <f t="shared" si="54"/>
        <v/>
      </c>
      <c r="AH155" t="str">
        <f t="shared" si="55"/>
        <v/>
      </c>
      <c r="AI155" t="str">
        <f t="shared" si="56"/>
        <v/>
      </c>
      <c r="AJ155" t="str">
        <f t="shared" si="57"/>
        <v/>
      </c>
      <c r="AK155" t="str">
        <f t="shared" si="58"/>
        <v/>
      </c>
      <c r="AL155" t="str">
        <f t="shared" si="59"/>
        <v/>
      </c>
      <c r="AM155" t="str">
        <f t="shared" si="60"/>
        <v/>
      </c>
      <c r="AN155" t="str">
        <f t="shared" si="61"/>
        <v/>
      </c>
      <c r="AO155" t="str">
        <f t="shared" si="62"/>
        <v/>
      </c>
      <c r="AP155">
        <f t="shared" si="63"/>
        <v>1</v>
      </c>
      <c r="AQ155" t="str">
        <f>IF(SAISIE!$F160="","",SAISIE!$Y160)</f>
        <v/>
      </c>
      <c r="AR155" t="str">
        <f>IF(OR(SAISIE!$U$4="",SAISIE!$W$4=""),"",IF(AND($A155=SAISIE!$U$4,$B155=SAISIE!$W$4,$C155="S1"),COUNTIFS($A$2:$A155,SAISIE!$U$4,$B$2:$B155,SAISIE!$W$4,$C$2:$C155,"S1"),""))</f>
        <v/>
      </c>
      <c r="AS155" t="str">
        <f t="shared" si="64"/>
        <v/>
      </c>
      <c r="AT155" t="str">
        <f t="shared" si="65"/>
        <v/>
      </c>
      <c r="AU155" t="str">
        <f t="shared" si="66"/>
        <v/>
      </c>
      <c r="AV155">
        <f>N(AV154)+IF(AND($AB155&lt;&gt;"",OR('PROFIL ELEVE'!$K$4="(Tous)",$AF155='PROFIL ELEVE'!$K$4)),1,0)</f>
        <v>0</v>
      </c>
      <c r="AW155">
        <f>N(AW154)+IF(AND($AB155&lt;&gt;"",OR('SUIVI LONGITUDINAL'!$Q$4="(Tous)",$AF155='SUIVI LONGITUDINAL'!$Q$4)),1,0)</f>
        <v>0</v>
      </c>
      <c r="AX155">
        <f t="shared" si="67"/>
        <v>0</v>
      </c>
      <c r="AY155">
        <f t="shared" si="68"/>
        <v>0</v>
      </c>
      <c r="AZ155">
        <f t="shared" si="69"/>
        <v>0</v>
      </c>
      <c r="BA155" t="str">
        <f t="shared" si="70"/>
        <v/>
      </c>
      <c r="BB155" t="str">
        <f t="shared" si="71"/>
        <v/>
      </c>
    </row>
    <row r="156" spans="1:54" ht="14.25" customHeight="1" x14ac:dyDescent="0.3">
      <c r="A156" t="str">
        <f>IF(SAISIE!$F161="","",SAISIE!$B161)</f>
        <v/>
      </c>
      <c r="B156" t="str">
        <f>IF(SAISIE!$F161="","",SAISIE!$C161)</f>
        <v/>
      </c>
      <c r="C156" t="str">
        <f>IF(SAISIE!$F161="","",SAISIE!$D161)</f>
        <v/>
      </c>
      <c r="D156" t="str">
        <f>IF(SAISIE!$E161="","",SAISIE!$E161)</f>
        <v/>
      </c>
      <c r="E156" t="str">
        <f>IF(SAISIE!$F161="","",SAISIE!$F161)</f>
        <v/>
      </c>
      <c r="F156" t="str">
        <f>IF(SAISIE!$G161="","",SAISIE!$G161)</f>
        <v/>
      </c>
      <c r="G156" t="str">
        <f>IF(SAISIE!$H161="","",SAISIE!$H161)</f>
        <v/>
      </c>
      <c r="H156" t="str">
        <f>IF(SAISIE!$I161="","",SAISIE!$I161)</f>
        <v/>
      </c>
      <c r="I156" t="str">
        <f>IF(SAISIE!$J161="","",SAISIE!$J161)</f>
        <v/>
      </c>
      <c r="J156" t="str">
        <f>IF(SAISIE!$K161="","",SAISIE!$K161)</f>
        <v/>
      </c>
      <c r="K156" t="str">
        <f>IF(SAISIE!$L161="","",SAISIE!$L161)</f>
        <v/>
      </c>
      <c r="L156" t="str">
        <f>IF(SAISIE!$M161="","",SAISIE!$M161)</f>
        <v/>
      </c>
      <c r="M156" t="str">
        <f>IF(SAISIE!$N161="","",SAISIE!$N161)</f>
        <v/>
      </c>
      <c r="N156" t="str">
        <f>IF(SAISIE!$O161="","",SAISIE!$O161)</f>
        <v/>
      </c>
      <c r="O156" t="str">
        <f>IF(SAISIE!$P161="","",SAISIE!$P161)</f>
        <v/>
      </c>
      <c r="P156" t="str">
        <f>IF(SAISIE!$Q161="","",SAISIE!$Q161)</f>
        <v/>
      </c>
      <c r="Q156" t="str">
        <f>IF($I156="","",IF($I156&gt;PARAMETRES!$G$29,5,IF($I156&gt;PARAMETRES!$F$29,4,IF($I156&gt;PARAMETRES!$E$29,3,IF($I156&gt;PARAMETRES!$D$29,2,1)))))</f>
        <v/>
      </c>
      <c r="R156" t="str">
        <f>IF($J156="","",IF($J156&gt;PARAMETRES!$G$30,5,IF($J156&gt;PARAMETRES!$F$30,4,IF($J156&gt;PARAMETRES!$E$30,3,IF($J156&gt;PARAMETRES!$D$30,2,1)))))</f>
        <v/>
      </c>
      <c r="S156" t="str">
        <f>IF($K156="","",IF($Z156=2,IF($K156&gt;PARAMETRES!$G$31,5,IF($K156&gt;PARAMETRES!$F$31,4,IF($K156&gt;PARAMETRES!$E$31,3,IF($K156&gt;PARAMETRES!$D$31,2,1)))),IF($K156&gt;PARAMETRES!$G$32,5,IF($K156&gt;PARAMETRES!$F$32,4,IF($K156&gt;PARAMETRES!$E$32,3,IF($K156&gt;PARAMETRES!$D$32,2,1))))))</f>
        <v/>
      </c>
      <c r="T156" t="str">
        <f>IF($L156="","",IF($L156&gt;PARAMETRES!$G$33,5,IF($L156&gt;PARAMETRES!$F$33,4,IF($L156&gt;PARAMETRES!$E$33,3,IF($L156&gt;PARAMETRES!$D$33,2,1)))))</f>
        <v/>
      </c>
      <c r="U156" t="str">
        <f>IF($M156="","",IF($M156&gt;PARAMETRES!$G$34,5,IF($M156&gt;PARAMETRES!$F$34,4,IF($M156&gt;PARAMETRES!$E$34,3,IF($M156&gt;PARAMETRES!$D$34,2,1)))))</f>
        <v/>
      </c>
      <c r="V156" t="str">
        <f>IF($N156="","",IF($N156&gt;PARAMETRES!$G$35,5,IF($N156&gt;PARAMETRES!$F$35,4,IF($N156&gt;PARAMETRES!$E$35,3,IF($N156&gt;PARAMETRES!$D$35,2,1)))))</f>
        <v/>
      </c>
      <c r="W156" t="str">
        <f>IF($O156="","",IF($O156&gt;PARAMETRES!$G$36,5,IF($O156&gt;PARAMETRES!$F$36,4,IF($O156&gt;PARAMETRES!$E$36,3,IF($O156&gt;PARAMETRES!$D$36,2,1)))))</f>
        <v/>
      </c>
      <c r="X156" t="str">
        <f>IF($P156="","",IF($P156&gt;PARAMETRES!$G$37,5,IF($P156&gt;PARAMETRES!$F$37,4,IF($P156&gt;PARAMETRES!$E$37,3,IF($P156&gt;PARAMETRES!$D$37,2,1)))))</f>
        <v/>
      </c>
      <c r="Y156" t="str">
        <f t="shared" si="48"/>
        <v/>
      </c>
      <c r="Z156" t="str">
        <f>IFERROR(VLOOKUP($B156,TABLE_CYCLE,2,0),"")</f>
        <v/>
      </c>
      <c r="AA156" t="str">
        <f t="shared" si="49"/>
        <v/>
      </c>
      <c r="AB156" t="str">
        <f>IF($D156="","",IF(COUNTIF($D$2:$D156,$D156)=1,$D156,""))</f>
        <v/>
      </c>
      <c r="AC156">
        <f t="shared" si="50"/>
        <v>0</v>
      </c>
      <c r="AD156" t="str">
        <f t="shared" si="51"/>
        <v>|0</v>
      </c>
      <c r="AE156" t="str">
        <f t="shared" si="52"/>
        <v/>
      </c>
      <c r="AF156" t="str">
        <f t="shared" si="53"/>
        <v/>
      </c>
      <c r="AG156" t="str">
        <f t="shared" si="54"/>
        <v/>
      </c>
      <c r="AH156" t="str">
        <f t="shared" si="55"/>
        <v/>
      </c>
      <c r="AI156" t="str">
        <f t="shared" si="56"/>
        <v/>
      </c>
      <c r="AJ156" t="str">
        <f t="shared" si="57"/>
        <v/>
      </c>
      <c r="AK156" t="str">
        <f t="shared" si="58"/>
        <v/>
      </c>
      <c r="AL156" t="str">
        <f t="shared" si="59"/>
        <v/>
      </c>
      <c r="AM156" t="str">
        <f t="shared" si="60"/>
        <v/>
      </c>
      <c r="AN156" t="str">
        <f t="shared" si="61"/>
        <v/>
      </c>
      <c r="AO156" t="str">
        <f t="shared" si="62"/>
        <v/>
      </c>
      <c r="AP156">
        <f t="shared" si="63"/>
        <v>1</v>
      </c>
      <c r="AQ156" t="str">
        <f>IF(SAISIE!$F161="","",SAISIE!$Y161)</f>
        <v/>
      </c>
      <c r="AR156" t="str">
        <f>IF(OR(SAISIE!$U$4="",SAISIE!$W$4=""),"",IF(AND($A156=SAISIE!$U$4,$B156=SAISIE!$W$4,$C156="S1"),COUNTIFS($A$2:$A156,SAISIE!$U$4,$B$2:$B156,SAISIE!$W$4,$C$2:$C156,"S1"),""))</f>
        <v/>
      </c>
      <c r="AS156" t="str">
        <f t="shared" si="64"/>
        <v/>
      </c>
      <c r="AT156" t="str">
        <f t="shared" si="65"/>
        <v/>
      </c>
      <c r="AU156" t="str">
        <f t="shared" si="66"/>
        <v/>
      </c>
      <c r="AV156">
        <f>N(AV155)+IF(AND($AB156&lt;&gt;"",OR('PROFIL ELEVE'!$K$4="(Tous)",$AF156='PROFIL ELEVE'!$K$4)),1,0)</f>
        <v>0</v>
      </c>
      <c r="AW156">
        <f>N(AW155)+IF(AND($AB156&lt;&gt;"",OR('SUIVI LONGITUDINAL'!$Q$4="(Tous)",$AF156='SUIVI LONGITUDINAL'!$Q$4)),1,0)</f>
        <v>0</v>
      </c>
      <c r="AX156">
        <f t="shared" si="67"/>
        <v>0</v>
      </c>
      <c r="AY156">
        <f t="shared" si="68"/>
        <v>0</v>
      </c>
      <c r="AZ156">
        <f t="shared" si="69"/>
        <v>0</v>
      </c>
      <c r="BA156" t="str">
        <f t="shared" si="70"/>
        <v/>
      </c>
      <c r="BB156" t="str">
        <f t="shared" si="71"/>
        <v/>
      </c>
    </row>
    <row r="157" spans="1:54" ht="14.25" customHeight="1" x14ac:dyDescent="0.3">
      <c r="A157" t="str">
        <f>IF(SAISIE!$F162="","",SAISIE!$B162)</f>
        <v/>
      </c>
      <c r="B157" t="str">
        <f>IF(SAISIE!$F162="","",SAISIE!$C162)</f>
        <v/>
      </c>
      <c r="C157" t="str">
        <f>IF(SAISIE!$F162="","",SAISIE!$D162)</f>
        <v/>
      </c>
      <c r="D157" t="str">
        <f>IF(SAISIE!$E162="","",SAISIE!$E162)</f>
        <v/>
      </c>
      <c r="E157" t="str">
        <f>IF(SAISIE!$F162="","",SAISIE!$F162)</f>
        <v/>
      </c>
      <c r="F157" t="str">
        <f>IF(SAISIE!$G162="","",SAISIE!$G162)</f>
        <v/>
      </c>
      <c r="G157" t="str">
        <f>IF(SAISIE!$H162="","",SAISIE!$H162)</f>
        <v/>
      </c>
      <c r="H157" t="str">
        <f>IF(SAISIE!$I162="","",SAISIE!$I162)</f>
        <v/>
      </c>
      <c r="I157" t="str">
        <f>IF(SAISIE!$J162="","",SAISIE!$J162)</f>
        <v/>
      </c>
      <c r="J157" t="str">
        <f>IF(SAISIE!$K162="","",SAISIE!$K162)</f>
        <v/>
      </c>
      <c r="K157" t="str">
        <f>IF(SAISIE!$L162="","",SAISIE!$L162)</f>
        <v/>
      </c>
      <c r="L157" t="str">
        <f>IF(SAISIE!$M162="","",SAISIE!$M162)</f>
        <v/>
      </c>
      <c r="M157" t="str">
        <f>IF(SAISIE!$N162="","",SAISIE!$N162)</f>
        <v/>
      </c>
      <c r="N157" t="str">
        <f>IF(SAISIE!$O162="","",SAISIE!$O162)</f>
        <v/>
      </c>
      <c r="O157" t="str">
        <f>IF(SAISIE!$P162="","",SAISIE!$P162)</f>
        <v/>
      </c>
      <c r="P157" t="str">
        <f>IF(SAISIE!$Q162="","",SAISIE!$Q162)</f>
        <v/>
      </c>
      <c r="Q157" t="str">
        <f>IF($I157="","",IF($I157&gt;PARAMETRES!$G$29,5,IF($I157&gt;PARAMETRES!$F$29,4,IF($I157&gt;PARAMETRES!$E$29,3,IF($I157&gt;PARAMETRES!$D$29,2,1)))))</f>
        <v/>
      </c>
      <c r="R157" t="str">
        <f>IF($J157="","",IF($J157&gt;PARAMETRES!$G$30,5,IF($J157&gt;PARAMETRES!$F$30,4,IF($J157&gt;PARAMETRES!$E$30,3,IF($J157&gt;PARAMETRES!$D$30,2,1)))))</f>
        <v/>
      </c>
      <c r="S157" t="str">
        <f>IF($K157="","",IF($Z157=2,IF($K157&gt;PARAMETRES!$G$31,5,IF($K157&gt;PARAMETRES!$F$31,4,IF($K157&gt;PARAMETRES!$E$31,3,IF($K157&gt;PARAMETRES!$D$31,2,1)))),IF($K157&gt;PARAMETRES!$G$32,5,IF($K157&gt;PARAMETRES!$F$32,4,IF($K157&gt;PARAMETRES!$E$32,3,IF($K157&gt;PARAMETRES!$D$32,2,1))))))</f>
        <v/>
      </c>
      <c r="T157" t="str">
        <f>IF($L157="","",IF($L157&gt;PARAMETRES!$G$33,5,IF($L157&gt;PARAMETRES!$F$33,4,IF($L157&gt;PARAMETRES!$E$33,3,IF($L157&gt;PARAMETRES!$D$33,2,1)))))</f>
        <v/>
      </c>
      <c r="U157" t="str">
        <f>IF($M157="","",IF($M157&gt;PARAMETRES!$G$34,5,IF($M157&gt;PARAMETRES!$F$34,4,IF($M157&gt;PARAMETRES!$E$34,3,IF($M157&gt;PARAMETRES!$D$34,2,1)))))</f>
        <v/>
      </c>
      <c r="V157" t="str">
        <f>IF($N157="","",IF($N157&gt;PARAMETRES!$G$35,5,IF($N157&gt;PARAMETRES!$F$35,4,IF($N157&gt;PARAMETRES!$E$35,3,IF($N157&gt;PARAMETRES!$D$35,2,1)))))</f>
        <v/>
      </c>
      <c r="W157" t="str">
        <f>IF($O157="","",IF($O157&gt;PARAMETRES!$G$36,5,IF($O157&gt;PARAMETRES!$F$36,4,IF($O157&gt;PARAMETRES!$E$36,3,IF($O157&gt;PARAMETRES!$D$36,2,1)))))</f>
        <v/>
      </c>
      <c r="X157" t="str">
        <f>IF($P157="","",IF($P157&gt;PARAMETRES!$G$37,5,IF($P157&gt;PARAMETRES!$F$37,4,IF($P157&gt;PARAMETRES!$E$37,3,IF($P157&gt;PARAMETRES!$D$37,2,1)))))</f>
        <v/>
      </c>
      <c r="Y157" t="str">
        <f t="shared" si="48"/>
        <v/>
      </c>
      <c r="Z157" t="str">
        <f>IFERROR(VLOOKUP($B157,TABLE_CYCLE,2,0),"")</f>
        <v/>
      </c>
      <c r="AA157" t="str">
        <f t="shared" si="49"/>
        <v/>
      </c>
      <c r="AB157" t="str">
        <f>IF($D157="","",IF(COUNTIF($D$2:$D157,$D157)=1,$D157,""))</f>
        <v/>
      </c>
      <c r="AC157">
        <f t="shared" si="50"/>
        <v>0</v>
      </c>
      <c r="AD157" t="str">
        <f t="shared" si="51"/>
        <v>|0</v>
      </c>
      <c r="AE157" t="str">
        <f t="shared" si="52"/>
        <v/>
      </c>
      <c r="AF157" t="str">
        <f t="shared" si="53"/>
        <v/>
      </c>
      <c r="AG157" t="str">
        <f t="shared" si="54"/>
        <v/>
      </c>
      <c r="AH157" t="str">
        <f t="shared" si="55"/>
        <v/>
      </c>
      <c r="AI157" t="str">
        <f t="shared" si="56"/>
        <v/>
      </c>
      <c r="AJ157" t="str">
        <f t="shared" si="57"/>
        <v/>
      </c>
      <c r="AK157" t="str">
        <f t="shared" si="58"/>
        <v/>
      </c>
      <c r="AL157" t="str">
        <f t="shared" si="59"/>
        <v/>
      </c>
      <c r="AM157" t="str">
        <f t="shared" si="60"/>
        <v/>
      </c>
      <c r="AN157" t="str">
        <f t="shared" si="61"/>
        <v/>
      </c>
      <c r="AO157" t="str">
        <f t="shared" si="62"/>
        <v/>
      </c>
      <c r="AP157">
        <f t="shared" si="63"/>
        <v>1</v>
      </c>
      <c r="AQ157" t="str">
        <f>IF(SAISIE!$F162="","",SAISIE!$Y162)</f>
        <v/>
      </c>
      <c r="AR157" t="str">
        <f>IF(OR(SAISIE!$U$4="",SAISIE!$W$4=""),"",IF(AND($A157=SAISIE!$U$4,$B157=SAISIE!$W$4,$C157="S1"),COUNTIFS($A$2:$A157,SAISIE!$U$4,$B$2:$B157,SAISIE!$W$4,$C$2:$C157,"S1"),""))</f>
        <v/>
      </c>
      <c r="AS157" t="str">
        <f t="shared" si="64"/>
        <v/>
      </c>
      <c r="AT157" t="str">
        <f t="shared" si="65"/>
        <v/>
      </c>
      <c r="AU157" t="str">
        <f t="shared" si="66"/>
        <v/>
      </c>
      <c r="AV157">
        <f>N(AV156)+IF(AND($AB157&lt;&gt;"",OR('PROFIL ELEVE'!$K$4="(Tous)",$AF157='PROFIL ELEVE'!$K$4)),1,0)</f>
        <v>0</v>
      </c>
      <c r="AW157">
        <f>N(AW156)+IF(AND($AB157&lt;&gt;"",OR('SUIVI LONGITUDINAL'!$Q$4="(Tous)",$AF157='SUIVI LONGITUDINAL'!$Q$4)),1,0)</f>
        <v>0</v>
      </c>
      <c r="AX157">
        <f t="shared" si="67"/>
        <v>0</v>
      </c>
      <c r="AY157">
        <f t="shared" si="68"/>
        <v>0</v>
      </c>
      <c r="AZ157">
        <f t="shared" si="69"/>
        <v>0</v>
      </c>
      <c r="BA157" t="str">
        <f t="shared" si="70"/>
        <v/>
      </c>
      <c r="BB157" t="str">
        <f t="shared" si="71"/>
        <v/>
      </c>
    </row>
    <row r="158" spans="1:54" ht="14.25" customHeight="1" x14ac:dyDescent="0.3">
      <c r="A158" t="str">
        <f>IF(SAISIE!$F163="","",SAISIE!$B163)</f>
        <v/>
      </c>
      <c r="B158" t="str">
        <f>IF(SAISIE!$F163="","",SAISIE!$C163)</f>
        <v/>
      </c>
      <c r="C158" t="str">
        <f>IF(SAISIE!$F163="","",SAISIE!$D163)</f>
        <v/>
      </c>
      <c r="D158" t="str">
        <f>IF(SAISIE!$E163="","",SAISIE!$E163)</f>
        <v/>
      </c>
      <c r="E158" t="str">
        <f>IF(SAISIE!$F163="","",SAISIE!$F163)</f>
        <v/>
      </c>
      <c r="F158" t="str">
        <f>IF(SAISIE!$G163="","",SAISIE!$G163)</f>
        <v/>
      </c>
      <c r="G158" t="str">
        <f>IF(SAISIE!$H163="","",SAISIE!$H163)</f>
        <v/>
      </c>
      <c r="H158" t="str">
        <f>IF(SAISIE!$I163="","",SAISIE!$I163)</f>
        <v/>
      </c>
      <c r="I158" t="str">
        <f>IF(SAISIE!$J163="","",SAISIE!$J163)</f>
        <v/>
      </c>
      <c r="J158" t="str">
        <f>IF(SAISIE!$K163="","",SAISIE!$K163)</f>
        <v/>
      </c>
      <c r="K158" t="str">
        <f>IF(SAISIE!$L163="","",SAISIE!$L163)</f>
        <v/>
      </c>
      <c r="L158" t="str">
        <f>IF(SAISIE!$M163="","",SAISIE!$M163)</f>
        <v/>
      </c>
      <c r="M158" t="str">
        <f>IF(SAISIE!$N163="","",SAISIE!$N163)</f>
        <v/>
      </c>
      <c r="N158" t="str">
        <f>IF(SAISIE!$O163="","",SAISIE!$O163)</f>
        <v/>
      </c>
      <c r="O158" t="str">
        <f>IF(SAISIE!$P163="","",SAISIE!$P163)</f>
        <v/>
      </c>
      <c r="P158" t="str">
        <f>IF(SAISIE!$Q163="","",SAISIE!$Q163)</f>
        <v/>
      </c>
      <c r="Q158" t="str">
        <f>IF($I158="","",IF($I158&gt;PARAMETRES!$G$29,5,IF($I158&gt;PARAMETRES!$F$29,4,IF($I158&gt;PARAMETRES!$E$29,3,IF($I158&gt;PARAMETRES!$D$29,2,1)))))</f>
        <v/>
      </c>
      <c r="R158" t="str">
        <f>IF($J158="","",IF($J158&gt;PARAMETRES!$G$30,5,IF($J158&gt;PARAMETRES!$F$30,4,IF($J158&gt;PARAMETRES!$E$30,3,IF($J158&gt;PARAMETRES!$D$30,2,1)))))</f>
        <v/>
      </c>
      <c r="S158" t="str">
        <f>IF($K158="","",IF($Z158=2,IF($K158&gt;PARAMETRES!$G$31,5,IF($K158&gt;PARAMETRES!$F$31,4,IF($K158&gt;PARAMETRES!$E$31,3,IF($K158&gt;PARAMETRES!$D$31,2,1)))),IF($K158&gt;PARAMETRES!$G$32,5,IF($K158&gt;PARAMETRES!$F$32,4,IF($K158&gt;PARAMETRES!$E$32,3,IF($K158&gt;PARAMETRES!$D$32,2,1))))))</f>
        <v/>
      </c>
      <c r="T158" t="str">
        <f>IF($L158="","",IF($L158&gt;PARAMETRES!$G$33,5,IF($L158&gt;PARAMETRES!$F$33,4,IF($L158&gt;PARAMETRES!$E$33,3,IF($L158&gt;PARAMETRES!$D$33,2,1)))))</f>
        <v/>
      </c>
      <c r="U158" t="str">
        <f>IF($M158="","",IF($M158&gt;PARAMETRES!$G$34,5,IF($M158&gt;PARAMETRES!$F$34,4,IF($M158&gt;PARAMETRES!$E$34,3,IF($M158&gt;PARAMETRES!$D$34,2,1)))))</f>
        <v/>
      </c>
      <c r="V158" t="str">
        <f>IF($N158="","",IF($N158&gt;PARAMETRES!$G$35,5,IF($N158&gt;PARAMETRES!$F$35,4,IF($N158&gt;PARAMETRES!$E$35,3,IF($N158&gt;PARAMETRES!$D$35,2,1)))))</f>
        <v/>
      </c>
      <c r="W158" t="str">
        <f>IF($O158="","",IF($O158&gt;PARAMETRES!$G$36,5,IF($O158&gt;PARAMETRES!$F$36,4,IF($O158&gt;PARAMETRES!$E$36,3,IF($O158&gt;PARAMETRES!$D$36,2,1)))))</f>
        <v/>
      </c>
      <c r="X158" t="str">
        <f>IF($P158="","",IF($P158&gt;PARAMETRES!$G$37,5,IF($P158&gt;PARAMETRES!$F$37,4,IF($P158&gt;PARAMETRES!$E$37,3,IF($P158&gt;PARAMETRES!$D$37,2,1)))))</f>
        <v/>
      </c>
      <c r="Y158" t="str">
        <f t="shared" si="48"/>
        <v/>
      </c>
      <c r="Z158" t="str">
        <f>IFERROR(VLOOKUP($B158,TABLE_CYCLE,2,0),"")</f>
        <v/>
      </c>
      <c r="AA158" t="str">
        <f t="shared" si="49"/>
        <v/>
      </c>
      <c r="AB158" t="str">
        <f>IF($D158="","",IF(COUNTIF($D$2:$D158,$D158)=1,$D158,""))</f>
        <v/>
      </c>
      <c r="AC158">
        <f t="shared" si="50"/>
        <v>0</v>
      </c>
      <c r="AD158" t="str">
        <f t="shared" si="51"/>
        <v>|0</v>
      </c>
      <c r="AE158" t="str">
        <f t="shared" si="52"/>
        <v/>
      </c>
      <c r="AF158" t="str">
        <f t="shared" si="53"/>
        <v/>
      </c>
      <c r="AG158" t="str">
        <f t="shared" si="54"/>
        <v/>
      </c>
      <c r="AH158" t="str">
        <f t="shared" si="55"/>
        <v/>
      </c>
      <c r="AI158" t="str">
        <f t="shared" si="56"/>
        <v/>
      </c>
      <c r="AJ158" t="str">
        <f t="shared" si="57"/>
        <v/>
      </c>
      <c r="AK158" t="str">
        <f t="shared" si="58"/>
        <v/>
      </c>
      <c r="AL158" t="str">
        <f t="shared" si="59"/>
        <v/>
      </c>
      <c r="AM158" t="str">
        <f t="shared" si="60"/>
        <v/>
      </c>
      <c r="AN158" t="str">
        <f t="shared" si="61"/>
        <v/>
      </c>
      <c r="AO158" t="str">
        <f t="shared" si="62"/>
        <v/>
      </c>
      <c r="AP158">
        <f t="shared" si="63"/>
        <v>1</v>
      </c>
      <c r="AQ158" t="str">
        <f>IF(SAISIE!$F163="","",SAISIE!$Y163)</f>
        <v/>
      </c>
      <c r="AR158" t="str">
        <f>IF(OR(SAISIE!$U$4="",SAISIE!$W$4=""),"",IF(AND($A158=SAISIE!$U$4,$B158=SAISIE!$W$4,$C158="S1"),COUNTIFS($A$2:$A158,SAISIE!$U$4,$B$2:$B158,SAISIE!$W$4,$C$2:$C158,"S1"),""))</f>
        <v/>
      </c>
      <c r="AS158" t="str">
        <f t="shared" si="64"/>
        <v/>
      </c>
      <c r="AT158" t="str">
        <f t="shared" si="65"/>
        <v/>
      </c>
      <c r="AU158" t="str">
        <f t="shared" si="66"/>
        <v/>
      </c>
      <c r="AV158">
        <f>N(AV157)+IF(AND($AB158&lt;&gt;"",OR('PROFIL ELEVE'!$K$4="(Tous)",$AF158='PROFIL ELEVE'!$K$4)),1,0)</f>
        <v>0</v>
      </c>
      <c r="AW158">
        <f>N(AW157)+IF(AND($AB158&lt;&gt;"",OR('SUIVI LONGITUDINAL'!$Q$4="(Tous)",$AF158='SUIVI LONGITUDINAL'!$Q$4)),1,0)</f>
        <v>0</v>
      </c>
      <c r="AX158">
        <f t="shared" si="67"/>
        <v>0</v>
      </c>
      <c r="AY158">
        <f t="shared" si="68"/>
        <v>0</v>
      </c>
      <c r="AZ158">
        <f t="shared" si="69"/>
        <v>0</v>
      </c>
      <c r="BA158" t="str">
        <f t="shared" si="70"/>
        <v/>
      </c>
      <c r="BB158" t="str">
        <f t="shared" si="71"/>
        <v/>
      </c>
    </row>
    <row r="159" spans="1:54" ht="14.25" customHeight="1" x14ac:dyDescent="0.3">
      <c r="A159" t="str">
        <f>IF(SAISIE!$F164="","",SAISIE!$B164)</f>
        <v/>
      </c>
      <c r="B159" t="str">
        <f>IF(SAISIE!$F164="","",SAISIE!$C164)</f>
        <v/>
      </c>
      <c r="C159" t="str">
        <f>IF(SAISIE!$F164="","",SAISIE!$D164)</f>
        <v/>
      </c>
      <c r="D159" t="str">
        <f>IF(SAISIE!$E164="","",SAISIE!$E164)</f>
        <v/>
      </c>
      <c r="E159" t="str">
        <f>IF(SAISIE!$F164="","",SAISIE!$F164)</f>
        <v/>
      </c>
      <c r="F159" t="str">
        <f>IF(SAISIE!$G164="","",SAISIE!$G164)</f>
        <v/>
      </c>
      <c r="G159" t="str">
        <f>IF(SAISIE!$H164="","",SAISIE!$H164)</f>
        <v/>
      </c>
      <c r="H159" t="str">
        <f>IF(SAISIE!$I164="","",SAISIE!$I164)</f>
        <v/>
      </c>
      <c r="I159" t="str">
        <f>IF(SAISIE!$J164="","",SAISIE!$J164)</f>
        <v/>
      </c>
      <c r="J159" t="str">
        <f>IF(SAISIE!$K164="","",SAISIE!$K164)</f>
        <v/>
      </c>
      <c r="K159" t="str">
        <f>IF(SAISIE!$L164="","",SAISIE!$L164)</f>
        <v/>
      </c>
      <c r="L159" t="str">
        <f>IF(SAISIE!$M164="","",SAISIE!$M164)</f>
        <v/>
      </c>
      <c r="M159" t="str">
        <f>IF(SAISIE!$N164="","",SAISIE!$N164)</f>
        <v/>
      </c>
      <c r="N159" t="str">
        <f>IF(SAISIE!$O164="","",SAISIE!$O164)</f>
        <v/>
      </c>
      <c r="O159" t="str">
        <f>IF(SAISIE!$P164="","",SAISIE!$P164)</f>
        <v/>
      </c>
      <c r="P159" t="str">
        <f>IF(SAISIE!$Q164="","",SAISIE!$Q164)</f>
        <v/>
      </c>
      <c r="Q159" t="str">
        <f>IF($I159="","",IF($I159&gt;PARAMETRES!$G$29,5,IF($I159&gt;PARAMETRES!$F$29,4,IF($I159&gt;PARAMETRES!$E$29,3,IF($I159&gt;PARAMETRES!$D$29,2,1)))))</f>
        <v/>
      </c>
      <c r="R159" t="str">
        <f>IF($J159="","",IF($J159&gt;PARAMETRES!$G$30,5,IF($J159&gt;PARAMETRES!$F$30,4,IF($J159&gt;PARAMETRES!$E$30,3,IF($J159&gt;PARAMETRES!$D$30,2,1)))))</f>
        <v/>
      </c>
      <c r="S159" t="str">
        <f>IF($K159="","",IF($Z159=2,IF($K159&gt;PARAMETRES!$G$31,5,IF($K159&gt;PARAMETRES!$F$31,4,IF($K159&gt;PARAMETRES!$E$31,3,IF($K159&gt;PARAMETRES!$D$31,2,1)))),IF($K159&gt;PARAMETRES!$G$32,5,IF($K159&gt;PARAMETRES!$F$32,4,IF($K159&gt;PARAMETRES!$E$32,3,IF($K159&gt;PARAMETRES!$D$32,2,1))))))</f>
        <v/>
      </c>
      <c r="T159" t="str">
        <f>IF($L159="","",IF($L159&gt;PARAMETRES!$G$33,5,IF($L159&gt;PARAMETRES!$F$33,4,IF($L159&gt;PARAMETRES!$E$33,3,IF($L159&gt;PARAMETRES!$D$33,2,1)))))</f>
        <v/>
      </c>
      <c r="U159" t="str">
        <f>IF($M159="","",IF($M159&gt;PARAMETRES!$G$34,5,IF($M159&gt;PARAMETRES!$F$34,4,IF($M159&gt;PARAMETRES!$E$34,3,IF($M159&gt;PARAMETRES!$D$34,2,1)))))</f>
        <v/>
      </c>
      <c r="V159" t="str">
        <f>IF($N159="","",IF($N159&gt;PARAMETRES!$G$35,5,IF($N159&gt;PARAMETRES!$F$35,4,IF($N159&gt;PARAMETRES!$E$35,3,IF($N159&gt;PARAMETRES!$D$35,2,1)))))</f>
        <v/>
      </c>
      <c r="W159" t="str">
        <f>IF($O159="","",IF($O159&gt;PARAMETRES!$G$36,5,IF($O159&gt;PARAMETRES!$F$36,4,IF($O159&gt;PARAMETRES!$E$36,3,IF($O159&gt;PARAMETRES!$D$36,2,1)))))</f>
        <v/>
      </c>
      <c r="X159" t="str">
        <f>IF($P159="","",IF($P159&gt;PARAMETRES!$G$37,5,IF($P159&gt;PARAMETRES!$F$37,4,IF($P159&gt;PARAMETRES!$E$37,3,IF($P159&gt;PARAMETRES!$D$37,2,1)))))</f>
        <v/>
      </c>
      <c r="Y159" t="str">
        <f t="shared" si="48"/>
        <v/>
      </c>
      <c r="Z159" t="str">
        <f>IFERROR(VLOOKUP($B159,TABLE_CYCLE,2,0),"")</f>
        <v/>
      </c>
      <c r="AA159" t="str">
        <f t="shared" si="49"/>
        <v/>
      </c>
      <c r="AB159" t="str">
        <f>IF($D159="","",IF(COUNTIF($D$2:$D159,$D159)=1,$D159,""))</f>
        <v/>
      </c>
      <c r="AC159">
        <f t="shared" si="50"/>
        <v>0</v>
      </c>
      <c r="AD159" t="str">
        <f t="shared" si="51"/>
        <v>|0</v>
      </c>
      <c r="AE159" t="str">
        <f t="shared" si="52"/>
        <v/>
      </c>
      <c r="AF159" t="str">
        <f t="shared" si="53"/>
        <v/>
      </c>
      <c r="AG159" t="str">
        <f t="shared" si="54"/>
        <v/>
      </c>
      <c r="AH159" t="str">
        <f t="shared" si="55"/>
        <v/>
      </c>
      <c r="AI159" t="str">
        <f t="shared" si="56"/>
        <v/>
      </c>
      <c r="AJ159" t="str">
        <f t="shared" si="57"/>
        <v/>
      </c>
      <c r="AK159" t="str">
        <f t="shared" si="58"/>
        <v/>
      </c>
      <c r="AL159" t="str">
        <f t="shared" si="59"/>
        <v/>
      </c>
      <c r="AM159" t="str">
        <f t="shared" si="60"/>
        <v/>
      </c>
      <c r="AN159" t="str">
        <f t="shared" si="61"/>
        <v/>
      </c>
      <c r="AO159" t="str">
        <f t="shared" si="62"/>
        <v/>
      </c>
      <c r="AP159">
        <f t="shared" si="63"/>
        <v>1</v>
      </c>
      <c r="AQ159" t="str">
        <f>IF(SAISIE!$F164="","",SAISIE!$Y164)</f>
        <v/>
      </c>
      <c r="AR159" t="str">
        <f>IF(OR(SAISIE!$U$4="",SAISIE!$W$4=""),"",IF(AND($A159=SAISIE!$U$4,$B159=SAISIE!$W$4,$C159="S1"),COUNTIFS($A$2:$A159,SAISIE!$U$4,$B$2:$B159,SAISIE!$W$4,$C$2:$C159,"S1"),""))</f>
        <v/>
      </c>
      <c r="AS159" t="str">
        <f t="shared" si="64"/>
        <v/>
      </c>
      <c r="AT159" t="str">
        <f t="shared" si="65"/>
        <v/>
      </c>
      <c r="AU159" t="str">
        <f t="shared" si="66"/>
        <v/>
      </c>
      <c r="AV159">
        <f>N(AV158)+IF(AND($AB159&lt;&gt;"",OR('PROFIL ELEVE'!$K$4="(Tous)",$AF159='PROFIL ELEVE'!$K$4)),1,0)</f>
        <v>0</v>
      </c>
      <c r="AW159">
        <f>N(AW158)+IF(AND($AB159&lt;&gt;"",OR('SUIVI LONGITUDINAL'!$Q$4="(Tous)",$AF159='SUIVI LONGITUDINAL'!$Q$4)),1,0)</f>
        <v>0</v>
      </c>
      <c r="AX159">
        <f t="shared" si="67"/>
        <v>0</v>
      </c>
      <c r="AY159">
        <f t="shared" si="68"/>
        <v>0</v>
      </c>
      <c r="AZ159">
        <f t="shared" si="69"/>
        <v>0</v>
      </c>
      <c r="BA159" t="str">
        <f t="shared" si="70"/>
        <v/>
      </c>
      <c r="BB159" t="str">
        <f t="shared" si="71"/>
        <v/>
      </c>
    </row>
    <row r="160" spans="1:54" ht="14.25" customHeight="1" x14ac:dyDescent="0.3">
      <c r="A160" t="str">
        <f>IF(SAISIE!$F165="","",SAISIE!$B165)</f>
        <v/>
      </c>
      <c r="B160" t="str">
        <f>IF(SAISIE!$F165="","",SAISIE!$C165)</f>
        <v/>
      </c>
      <c r="C160" t="str">
        <f>IF(SAISIE!$F165="","",SAISIE!$D165)</f>
        <v/>
      </c>
      <c r="D160" t="str">
        <f>IF(SAISIE!$E165="","",SAISIE!$E165)</f>
        <v/>
      </c>
      <c r="E160" t="str">
        <f>IF(SAISIE!$F165="","",SAISIE!$F165)</f>
        <v/>
      </c>
      <c r="F160" t="str">
        <f>IF(SAISIE!$G165="","",SAISIE!$G165)</f>
        <v/>
      </c>
      <c r="G160" t="str">
        <f>IF(SAISIE!$H165="","",SAISIE!$H165)</f>
        <v/>
      </c>
      <c r="H160" t="str">
        <f>IF(SAISIE!$I165="","",SAISIE!$I165)</f>
        <v/>
      </c>
      <c r="I160" t="str">
        <f>IF(SAISIE!$J165="","",SAISIE!$J165)</f>
        <v/>
      </c>
      <c r="J160" t="str">
        <f>IF(SAISIE!$K165="","",SAISIE!$K165)</f>
        <v/>
      </c>
      <c r="K160" t="str">
        <f>IF(SAISIE!$L165="","",SAISIE!$L165)</f>
        <v/>
      </c>
      <c r="L160" t="str">
        <f>IF(SAISIE!$M165="","",SAISIE!$M165)</f>
        <v/>
      </c>
      <c r="M160" t="str">
        <f>IF(SAISIE!$N165="","",SAISIE!$N165)</f>
        <v/>
      </c>
      <c r="N160" t="str">
        <f>IF(SAISIE!$O165="","",SAISIE!$O165)</f>
        <v/>
      </c>
      <c r="O160" t="str">
        <f>IF(SAISIE!$P165="","",SAISIE!$P165)</f>
        <v/>
      </c>
      <c r="P160" t="str">
        <f>IF(SAISIE!$Q165="","",SAISIE!$Q165)</f>
        <v/>
      </c>
      <c r="Q160" t="str">
        <f>IF($I160="","",IF($I160&gt;PARAMETRES!$G$29,5,IF($I160&gt;PARAMETRES!$F$29,4,IF($I160&gt;PARAMETRES!$E$29,3,IF($I160&gt;PARAMETRES!$D$29,2,1)))))</f>
        <v/>
      </c>
      <c r="R160" t="str">
        <f>IF($J160="","",IF($J160&gt;PARAMETRES!$G$30,5,IF($J160&gt;PARAMETRES!$F$30,4,IF($J160&gt;PARAMETRES!$E$30,3,IF($J160&gt;PARAMETRES!$D$30,2,1)))))</f>
        <v/>
      </c>
      <c r="S160" t="str">
        <f>IF($K160="","",IF($Z160=2,IF($K160&gt;PARAMETRES!$G$31,5,IF($K160&gt;PARAMETRES!$F$31,4,IF($K160&gt;PARAMETRES!$E$31,3,IF($K160&gt;PARAMETRES!$D$31,2,1)))),IF($K160&gt;PARAMETRES!$G$32,5,IF($K160&gt;PARAMETRES!$F$32,4,IF($K160&gt;PARAMETRES!$E$32,3,IF($K160&gt;PARAMETRES!$D$32,2,1))))))</f>
        <v/>
      </c>
      <c r="T160" t="str">
        <f>IF($L160="","",IF($L160&gt;PARAMETRES!$G$33,5,IF($L160&gt;PARAMETRES!$F$33,4,IF($L160&gt;PARAMETRES!$E$33,3,IF($L160&gt;PARAMETRES!$D$33,2,1)))))</f>
        <v/>
      </c>
      <c r="U160" t="str">
        <f>IF($M160="","",IF($M160&gt;PARAMETRES!$G$34,5,IF($M160&gt;PARAMETRES!$F$34,4,IF($M160&gt;PARAMETRES!$E$34,3,IF($M160&gt;PARAMETRES!$D$34,2,1)))))</f>
        <v/>
      </c>
      <c r="V160" t="str">
        <f>IF($N160="","",IF($N160&gt;PARAMETRES!$G$35,5,IF($N160&gt;PARAMETRES!$F$35,4,IF($N160&gt;PARAMETRES!$E$35,3,IF($N160&gt;PARAMETRES!$D$35,2,1)))))</f>
        <v/>
      </c>
      <c r="W160" t="str">
        <f>IF($O160="","",IF($O160&gt;PARAMETRES!$G$36,5,IF($O160&gt;PARAMETRES!$F$36,4,IF($O160&gt;PARAMETRES!$E$36,3,IF($O160&gt;PARAMETRES!$D$36,2,1)))))</f>
        <v/>
      </c>
      <c r="X160" t="str">
        <f>IF($P160="","",IF($P160&gt;PARAMETRES!$G$37,5,IF($P160&gt;PARAMETRES!$F$37,4,IF($P160&gt;PARAMETRES!$E$37,3,IF($P160&gt;PARAMETRES!$D$37,2,1)))))</f>
        <v/>
      </c>
      <c r="Y160" t="str">
        <f t="shared" si="48"/>
        <v/>
      </c>
      <c r="Z160" t="str">
        <f>IFERROR(VLOOKUP($B160,TABLE_CYCLE,2,0),"")</f>
        <v/>
      </c>
      <c r="AA160" t="str">
        <f t="shared" si="49"/>
        <v/>
      </c>
      <c r="AB160" t="str">
        <f>IF($D160="","",IF(COUNTIF($D$2:$D160,$D160)=1,$D160,""))</f>
        <v/>
      </c>
      <c r="AC160">
        <f t="shared" si="50"/>
        <v>0</v>
      </c>
      <c r="AD160" t="str">
        <f t="shared" si="51"/>
        <v>|0</v>
      </c>
      <c r="AE160" t="str">
        <f t="shared" si="52"/>
        <v/>
      </c>
      <c r="AF160" t="str">
        <f t="shared" si="53"/>
        <v/>
      </c>
      <c r="AG160" t="str">
        <f t="shared" si="54"/>
        <v/>
      </c>
      <c r="AH160" t="str">
        <f t="shared" si="55"/>
        <v/>
      </c>
      <c r="AI160" t="str">
        <f t="shared" si="56"/>
        <v/>
      </c>
      <c r="AJ160" t="str">
        <f t="shared" si="57"/>
        <v/>
      </c>
      <c r="AK160" t="str">
        <f t="shared" si="58"/>
        <v/>
      </c>
      <c r="AL160" t="str">
        <f t="shared" si="59"/>
        <v/>
      </c>
      <c r="AM160" t="str">
        <f t="shared" si="60"/>
        <v/>
      </c>
      <c r="AN160" t="str">
        <f t="shared" si="61"/>
        <v/>
      </c>
      <c r="AO160" t="str">
        <f t="shared" si="62"/>
        <v/>
      </c>
      <c r="AP160">
        <f t="shared" si="63"/>
        <v>1</v>
      </c>
      <c r="AQ160" t="str">
        <f>IF(SAISIE!$F165="","",SAISIE!$Y165)</f>
        <v/>
      </c>
      <c r="AR160" t="str">
        <f>IF(OR(SAISIE!$U$4="",SAISIE!$W$4=""),"",IF(AND($A160=SAISIE!$U$4,$B160=SAISIE!$W$4,$C160="S1"),COUNTIFS($A$2:$A160,SAISIE!$U$4,$B$2:$B160,SAISIE!$W$4,$C$2:$C160,"S1"),""))</f>
        <v/>
      </c>
      <c r="AS160" t="str">
        <f t="shared" si="64"/>
        <v/>
      </c>
      <c r="AT160" t="str">
        <f t="shared" si="65"/>
        <v/>
      </c>
      <c r="AU160" t="str">
        <f t="shared" si="66"/>
        <v/>
      </c>
      <c r="AV160">
        <f>N(AV159)+IF(AND($AB160&lt;&gt;"",OR('PROFIL ELEVE'!$K$4="(Tous)",$AF160='PROFIL ELEVE'!$K$4)),1,0)</f>
        <v>0</v>
      </c>
      <c r="AW160">
        <f>N(AW159)+IF(AND($AB160&lt;&gt;"",OR('SUIVI LONGITUDINAL'!$Q$4="(Tous)",$AF160='SUIVI LONGITUDINAL'!$Q$4)),1,0)</f>
        <v>0</v>
      </c>
      <c r="AX160">
        <f t="shared" si="67"/>
        <v>0</v>
      </c>
      <c r="AY160">
        <f t="shared" si="68"/>
        <v>0</v>
      </c>
      <c r="AZ160">
        <f t="shared" si="69"/>
        <v>0</v>
      </c>
      <c r="BA160" t="str">
        <f t="shared" si="70"/>
        <v/>
      </c>
      <c r="BB160" t="str">
        <f t="shared" si="71"/>
        <v/>
      </c>
    </row>
    <row r="161" spans="1:54" ht="14.25" customHeight="1" x14ac:dyDescent="0.3">
      <c r="A161" t="str">
        <f>IF(SAISIE!$F166="","",SAISIE!$B166)</f>
        <v/>
      </c>
      <c r="B161" t="str">
        <f>IF(SAISIE!$F166="","",SAISIE!$C166)</f>
        <v/>
      </c>
      <c r="C161" t="str">
        <f>IF(SAISIE!$F166="","",SAISIE!$D166)</f>
        <v/>
      </c>
      <c r="D161" t="str">
        <f>IF(SAISIE!$E166="","",SAISIE!$E166)</f>
        <v/>
      </c>
      <c r="E161" t="str">
        <f>IF(SAISIE!$F166="","",SAISIE!$F166)</f>
        <v/>
      </c>
      <c r="F161" t="str">
        <f>IF(SAISIE!$G166="","",SAISIE!$G166)</f>
        <v/>
      </c>
      <c r="G161" t="str">
        <f>IF(SAISIE!$H166="","",SAISIE!$H166)</f>
        <v/>
      </c>
      <c r="H161" t="str">
        <f>IF(SAISIE!$I166="","",SAISIE!$I166)</f>
        <v/>
      </c>
      <c r="I161" t="str">
        <f>IF(SAISIE!$J166="","",SAISIE!$J166)</f>
        <v/>
      </c>
      <c r="J161" t="str">
        <f>IF(SAISIE!$K166="","",SAISIE!$K166)</f>
        <v/>
      </c>
      <c r="K161" t="str">
        <f>IF(SAISIE!$L166="","",SAISIE!$L166)</f>
        <v/>
      </c>
      <c r="L161" t="str">
        <f>IF(SAISIE!$M166="","",SAISIE!$M166)</f>
        <v/>
      </c>
      <c r="M161" t="str">
        <f>IF(SAISIE!$N166="","",SAISIE!$N166)</f>
        <v/>
      </c>
      <c r="N161" t="str">
        <f>IF(SAISIE!$O166="","",SAISIE!$O166)</f>
        <v/>
      </c>
      <c r="O161" t="str">
        <f>IF(SAISIE!$P166="","",SAISIE!$P166)</f>
        <v/>
      </c>
      <c r="P161" t="str">
        <f>IF(SAISIE!$Q166="","",SAISIE!$Q166)</f>
        <v/>
      </c>
      <c r="Q161" t="str">
        <f>IF($I161="","",IF($I161&gt;PARAMETRES!$G$29,5,IF($I161&gt;PARAMETRES!$F$29,4,IF($I161&gt;PARAMETRES!$E$29,3,IF($I161&gt;PARAMETRES!$D$29,2,1)))))</f>
        <v/>
      </c>
      <c r="R161" t="str">
        <f>IF($J161="","",IF($J161&gt;PARAMETRES!$G$30,5,IF($J161&gt;PARAMETRES!$F$30,4,IF($J161&gt;PARAMETRES!$E$30,3,IF($J161&gt;PARAMETRES!$D$30,2,1)))))</f>
        <v/>
      </c>
      <c r="S161" t="str">
        <f>IF($K161="","",IF($Z161=2,IF($K161&gt;PARAMETRES!$G$31,5,IF($K161&gt;PARAMETRES!$F$31,4,IF($K161&gt;PARAMETRES!$E$31,3,IF($K161&gt;PARAMETRES!$D$31,2,1)))),IF($K161&gt;PARAMETRES!$G$32,5,IF($K161&gt;PARAMETRES!$F$32,4,IF($K161&gt;PARAMETRES!$E$32,3,IF($K161&gt;PARAMETRES!$D$32,2,1))))))</f>
        <v/>
      </c>
      <c r="T161" t="str">
        <f>IF($L161="","",IF($L161&gt;PARAMETRES!$G$33,5,IF($L161&gt;PARAMETRES!$F$33,4,IF($L161&gt;PARAMETRES!$E$33,3,IF($L161&gt;PARAMETRES!$D$33,2,1)))))</f>
        <v/>
      </c>
      <c r="U161" t="str">
        <f>IF($M161="","",IF($M161&gt;PARAMETRES!$G$34,5,IF($M161&gt;PARAMETRES!$F$34,4,IF($M161&gt;PARAMETRES!$E$34,3,IF($M161&gt;PARAMETRES!$D$34,2,1)))))</f>
        <v/>
      </c>
      <c r="V161" t="str">
        <f>IF($N161="","",IF($N161&gt;PARAMETRES!$G$35,5,IF($N161&gt;PARAMETRES!$F$35,4,IF($N161&gt;PARAMETRES!$E$35,3,IF($N161&gt;PARAMETRES!$D$35,2,1)))))</f>
        <v/>
      </c>
      <c r="W161" t="str">
        <f>IF($O161="","",IF($O161&gt;PARAMETRES!$G$36,5,IF($O161&gt;PARAMETRES!$F$36,4,IF($O161&gt;PARAMETRES!$E$36,3,IF($O161&gt;PARAMETRES!$D$36,2,1)))))</f>
        <v/>
      </c>
      <c r="X161" t="str">
        <f>IF($P161="","",IF($P161&gt;PARAMETRES!$G$37,5,IF($P161&gt;PARAMETRES!$F$37,4,IF($P161&gt;PARAMETRES!$E$37,3,IF($P161&gt;PARAMETRES!$D$37,2,1)))))</f>
        <v/>
      </c>
      <c r="Y161" t="str">
        <f t="shared" si="48"/>
        <v/>
      </c>
      <c r="Z161" t="str">
        <f>IFERROR(VLOOKUP($B161,TABLE_CYCLE,2,0),"")</f>
        <v/>
      </c>
      <c r="AA161" t="str">
        <f t="shared" si="49"/>
        <v/>
      </c>
      <c r="AB161" t="str">
        <f>IF($D161="","",IF(COUNTIF($D$2:$D161,$D161)=1,$D161,""))</f>
        <v/>
      </c>
      <c r="AC161">
        <f t="shared" si="50"/>
        <v>0</v>
      </c>
      <c r="AD161" t="str">
        <f t="shared" si="51"/>
        <v>|0</v>
      </c>
      <c r="AE161" t="str">
        <f t="shared" si="52"/>
        <v/>
      </c>
      <c r="AF161" t="str">
        <f t="shared" si="53"/>
        <v/>
      </c>
      <c r="AG161" t="str">
        <f t="shared" si="54"/>
        <v/>
      </c>
      <c r="AH161" t="str">
        <f t="shared" si="55"/>
        <v/>
      </c>
      <c r="AI161" t="str">
        <f t="shared" si="56"/>
        <v/>
      </c>
      <c r="AJ161" t="str">
        <f t="shared" si="57"/>
        <v/>
      </c>
      <c r="AK161" t="str">
        <f t="shared" si="58"/>
        <v/>
      </c>
      <c r="AL161" t="str">
        <f t="shared" si="59"/>
        <v/>
      </c>
      <c r="AM161" t="str">
        <f t="shared" si="60"/>
        <v/>
      </c>
      <c r="AN161" t="str">
        <f t="shared" si="61"/>
        <v/>
      </c>
      <c r="AO161" t="str">
        <f t="shared" si="62"/>
        <v/>
      </c>
      <c r="AP161">
        <f t="shared" si="63"/>
        <v>1</v>
      </c>
      <c r="AQ161" t="str">
        <f>IF(SAISIE!$F166="","",SAISIE!$Y166)</f>
        <v/>
      </c>
      <c r="AR161" t="str">
        <f>IF(OR(SAISIE!$U$4="",SAISIE!$W$4=""),"",IF(AND($A161=SAISIE!$U$4,$B161=SAISIE!$W$4,$C161="S1"),COUNTIFS($A$2:$A161,SAISIE!$U$4,$B$2:$B161,SAISIE!$W$4,$C$2:$C161,"S1"),""))</f>
        <v/>
      </c>
      <c r="AS161" t="str">
        <f t="shared" si="64"/>
        <v/>
      </c>
      <c r="AT161" t="str">
        <f t="shared" si="65"/>
        <v/>
      </c>
      <c r="AU161" t="str">
        <f t="shared" si="66"/>
        <v/>
      </c>
      <c r="AV161">
        <f>N(AV160)+IF(AND($AB161&lt;&gt;"",OR('PROFIL ELEVE'!$K$4="(Tous)",$AF161='PROFIL ELEVE'!$K$4)),1,0)</f>
        <v>0</v>
      </c>
      <c r="AW161">
        <f>N(AW160)+IF(AND($AB161&lt;&gt;"",OR('SUIVI LONGITUDINAL'!$Q$4="(Tous)",$AF161='SUIVI LONGITUDINAL'!$Q$4)),1,0)</f>
        <v>0</v>
      </c>
      <c r="AX161">
        <f t="shared" si="67"/>
        <v>0</v>
      </c>
      <c r="AY161">
        <f t="shared" si="68"/>
        <v>0</v>
      </c>
      <c r="AZ161">
        <f t="shared" si="69"/>
        <v>0</v>
      </c>
      <c r="BA161" t="str">
        <f t="shared" si="70"/>
        <v/>
      </c>
      <c r="BB161" t="str">
        <f t="shared" si="71"/>
        <v/>
      </c>
    </row>
    <row r="162" spans="1:54" ht="14.25" customHeight="1" x14ac:dyDescent="0.3">
      <c r="A162" t="str">
        <f>IF(SAISIE!$F167="","",SAISIE!$B167)</f>
        <v/>
      </c>
      <c r="B162" t="str">
        <f>IF(SAISIE!$F167="","",SAISIE!$C167)</f>
        <v/>
      </c>
      <c r="C162" t="str">
        <f>IF(SAISIE!$F167="","",SAISIE!$D167)</f>
        <v/>
      </c>
      <c r="D162" t="str">
        <f>IF(SAISIE!$E167="","",SAISIE!$E167)</f>
        <v/>
      </c>
      <c r="E162" t="str">
        <f>IF(SAISIE!$F167="","",SAISIE!$F167)</f>
        <v/>
      </c>
      <c r="F162" t="str">
        <f>IF(SAISIE!$G167="","",SAISIE!$G167)</f>
        <v/>
      </c>
      <c r="G162" t="str">
        <f>IF(SAISIE!$H167="","",SAISIE!$H167)</f>
        <v/>
      </c>
      <c r="H162" t="str">
        <f>IF(SAISIE!$I167="","",SAISIE!$I167)</f>
        <v/>
      </c>
      <c r="I162" t="str">
        <f>IF(SAISIE!$J167="","",SAISIE!$J167)</f>
        <v/>
      </c>
      <c r="J162" t="str">
        <f>IF(SAISIE!$K167="","",SAISIE!$K167)</f>
        <v/>
      </c>
      <c r="K162" t="str">
        <f>IF(SAISIE!$L167="","",SAISIE!$L167)</f>
        <v/>
      </c>
      <c r="L162" t="str">
        <f>IF(SAISIE!$M167="","",SAISIE!$M167)</f>
        <v/>
      </c>
      <c r="M162" t="str">
        <f>IF(SAISIE!$N167="","",SAISIE!$N167)</f>
        <v/>
      </c>
      <c r="N162" t="str">
        <f>IF(SAISIE!$O167="","",SAISIE!$O167)</f>
        <v/>
      </c>
      <c r="O162" t="str">
        <f>IF(SAISIE!$P167="","",SAISIE!$P167)</f>
        <v/>
      </c>
      <c r="P162" t="str">
        <f>IF(SAISIE!$Q167="","",SAISIE!$Q167)</f>
        <v/>
      </c>
      <c r="Q162" t="str">
        <f>IF($I162="","",IF($I162&gt;PARAMETRES!$G$29,5,IF($I162&gt;PARAMETRES!$F$29,4,IF($I162&gt;PARAMETRES!$E$29,3,IF($I162&gt;PARAMETRES!$D$29,2,1)))))</f>
        <v/>
      </c>
      <c r="R162" t="str">
        <f>IF($J162="","",IF($J162&gt;PARAMETRES!$G$30,5,IF($J162&gt;PARAMETRES!$F$30,4,IF($J162&gt;PARAMETRES!$E$30,3,IF($J162&gt;PARAMETRES!$D$30,2,1)))))</f>
        <v/>
      </c>
      <c r="S162" t="str">
        <f>IF($K162="","",IF($Z162=2,IF($K162&gt;PARAMETRES!$G$31,5,IF($K162&gt;PARAMETRES!$F$31,4,IF($K162&gt;PARAMETRES!$E$31,3,IF($K162&gt;PARAMETRES!$D$31,2,1)))),IF($K162&gt;PARAMETRES!$G$32,5,IF($K162&gt;PARAMETRES!$F$32,4,IF($K162&gt;PARAMETRES!$E$32,3,IF($K162&gt;PARAMETRES!$D$32,2,1))))))</f>
        <v/>
      </c>
      <c r="T162" t="str">
        <f>IF($L162="","",IF($L162&gt;PARAMETRES!$G$33,5,IF($L162&gt;PARAMETRES!$F$33,4,IF($L162&gt;PARAMETRES!$E$33,3,IF($L162&gt;PARAMETRES!$D$33,2,1)))))</f>
        <v/>
      </c>
      <c r="U162" t="str">
        <f>IF($M162="","",IF($M162&gt;PARAMETRES!$G$34,5,IF($M162&gt;PARAMETRES!$F$34,4,IF($M162&gt;PARAMETRES!$E$34,3,IF($M162&gt;PARAMETRES!$D$34,2,1)))))</f>
        <v/>
      </c>
      <c r="V162" t="str">
        <f>IF($N162="","",IF($N162&gt;PARAMETRES!$G$35,5,IF($N162&gt;PARAMETRES!$F$35,4,IF($N162&gt;PARAMETRES!$E$35,3,IF($N162&gt;PARAMETRES!$D$35,2,1)))))</f>
        <v/>
      </c>
      <c r="W162" t="str">
        <f>IF($O162="","",IF($O162&gt;PARAMETRES!$G$36,5,IF($O162&gt;PARAMETRES!$F$36,4,IF($O162&gt;PARAMETRES!$E$36,3,IF($O162&gt;PARAMETRES!$D$36,2,1)))))</f>
        <v/>
      </c>
      <c r="X162" t="str">
        <f>IF($P162="","",IF($P162&gt;PARAMETRES!$G$37,5,IF($P162&gt;PARAMETRES!$F$37,4,IF($P162&gt;PARAMETRES!$E$37,3,IF($P162&gt;PARAMETRES!$D$37,2,1)))))</f>
        <v/>
      </c>
      <c r="Y162" t="str">
        <f t="shared" si="48"/>
        <v/>
      </c>
      <c r="Z162" t="str">
        <f>IFERROR(VLOOKUP($B162,TABLE_CYCLE,2,0),"")</f>
        <v/>
      </c>
      <c r="AA162" t="str">
        <f t="shared" si="49"/>
        <v/>
      </c>
      <c r="AB162" t="str">
        <f>IF($D162="","",IF(COUNTIF($D$2:$D162,$D162)=1,$D162,""))</f>
        <v/>
      </c>
      <c r="AC162">
        <f t="shared" si="50"/>
        <v>0</v>
      </c>
      <c r="AD162" t="str">
        <f t="shared" si="51"/>
        <v>|0</v>
      </c>
      <c r="AE162" t="str">
        <f t="shared" si="52"/>
        <v/>
      </c>
      <c r="AF162" t="str">
        <f t="shared" si="53"/>
        <v/>
      </c>
      <c r="AG162" t="str">
        <f t="shared" si="54"/>
        <v/>
      </c>
      <c r="AH162" t="str">
        <f t="shared" si="55"/>
        <v/>
      </c>
      <c r="AI162" t="str">
        <f t="shared" si="56"/>
        <v/>
      </c>
      <c r="AJ162" t="str">
        <f t="shared" si="57"/>
        <v/>
      </c>
      <c r="AK162" t="str">
        <f t="shared" si="58"/>
        <v/>
      </c>
      <c r="AL162" t="str">
        <f t="shared" si="59"/>
        <v/>
      </c>
      <c r="AM162" t="str">
        <f t="shared" si="60"/>
        <v/>
      </c>
      <c r="AN162" t="str">
        <f t="shared" si="61"/>
        <v/>
      </c>
      <c r="AO162" t="str">
        <f t="shared" si="62"/>
        <v/>
      </c>
      <c r="AP162">
        <f t="shared" si="63"/>
        <v>1</v>
      </c>
      <c r="AQ162" t="str">
        <f>IF(SAISIE!$F167="","",SAISIE!$Y167)</f>
        <v/>
      </c>
      <c r="AR162" t="str">
        <f>IF(OR(SAISIE!$U$4="",SAISIE!$W$4=""),"",IF(AND($A162=SAISIE!$U$4,$B162=SAISIE!$W$4,$C162="S1"),COUNTIFS($A$2:$A162,SAISIE!$U$4,$B$2:$B162,SAISIE!$W$4,$C$2:$C162,"S1"),""))</f>
        <v/>
      </c>
      <c r="AS162" t="str">
        <f t="shared" si="64"/>
        <v/>
      </c>
      <c r="AT162" t="str">
        <f t="shared" si="65"/>
        <v/>
      </c>
      <c r="AU162" t="str">
        <f t="shared" si="66"/>
        <v/>
      </c>
      <c r="AV162">
        <f>N(AV161)+IF(AND($AB162&lt;&gt;"",OR('PROFIL ELEVE'!$K$4="(Tous)",$AF162='PROFIL ELEVE'!$K$4)),1,0)</f>
        <v>0</v>
      </c>
      <c r="AW162">
        <f>N(AW161)+IF(AND($AB162&lt;&gt;"",OR('SUIVI LONGITUDINAL'!$Q$4="(Tous)",$AF162='SUIVI LONGITUDINAL'!$Q$4)),1,0)</f>
        <v>0</v>
      </c>
      <c r="AX162">
        <f t="shared" si="67"/>
        <v>0</v>
      </c>
      <c r="AY162">
        <f t="shared" si="68"/>
        <v>0</v>
      </c>
      <c r="AZ162">
        <f t="shared" si="69"/>
        <v>0</v>
      </c>
      <c r="BA162" t="str">
        <f t="shared" si="70"/>
        <v/>
      </c>
      <c r="BB162" t="str">
        <f t="shared" si="71"/>
        <v/>
      </c>
    </row>
    <row r="163" spans="1:54" ht="14.25" customHeight="1" x14ac:dyDescent="0.3">
      <c r="A163" t="str">
        <f>IF(SAISIE!$F168="","",SAISIE!$B168)</f>
        <v/>
      </c>
      <c r="B163" t="str">
        <f>IF(SAISIE!$F168="","",SAISIE!$C168)</f>
        <v/>
      </c>
      <c r="C163" t="str">
        <f>IF(SAISIE!$F168="","",SAISIE!$D168)</f>
        <v/>
      </c>
      <c r="D163" t="str">
        <f>IF(SAISIE!$E168="","",SAISIE!$E168)</f>
        <v/>
      </c>
      <c r="E163" t="str">
        <f>IF(SAISIE!$F168="","",SAISIE!$F168)</f>
        <v/>
      </c>
      <c r="F163" t="str">
        <f>IF(SAISIE!$G168="","",SAISIE!$G168)</f>
        <v/>
      </c>
      <c r="G163" t="str">
        <f>IF(SAISIE!$H168="","",SAISIE!$H168)</f>
        <v/>
      </c>
      <c r="H163" t="str">
        <f>IF(SAISIE!$I168="","",SAISIE!$I168)</f>
        <v/>
      </c>
      <c r="I163" t="str">
        <f>IF(SAISIE!$J168="","",SAISIE!$J168)</f>
        <v/>
      </c>
      <c r="J163" t="str">
        <f>IF(SAISIE!$K168="","",SAISIE!$K168)</f>
        <v/>
      </c>
      <c r="K163" t="str">
        <f>IF(SAISIE!$L168="","",SAISIE!$L168)</f>
        <v/>
      </c>
      <c r="L163" t="str">
        <f>IF(SAISIE!$M168="","",SAISIE!$M168)</f>
        <v/>
      </c>
      <c r="M163" t="str">
        <f>IF(SAISIE!$N168="","",SAISIE!$N168)</f>
        <v/>
      </c>
      <c r="N163" t="str">
        <f>IF(SAISIE!$O168="","",SAISIE!$O168)</f>
        <v/>
      </c>
      <c r="O163" t="str">
        <f>IF(SAISIE!$P168="","",SAISIE!$P168)</f>
        <v/>
      </c>
      <c r="P163" t="str">
        <f>IF(SAISIE!$Q168="","",SAISIE!$Q168)</f>
        <v/>
      </c>
      <c r="Q163" t="str">
        <f>IF($I163="","",IF($I163&gt;PARAMETRES!$G$29,5,IF($I163&gt;PARAMETRES!$F$29,4,IF($I163&gt;PARAMETRES!$E$29,3,IF($I163&gt;PARAMETRES!$D$29,2,1)))))</f>
        <v/>
      </c>
      <c r="R163" t="str">
        <f>IF($J163="","",IF($J163&gt;PARAMETRES!$G$30,5,IF($J163&gt;PARAMETRES!$F$30,4,IF($J163&gt;PARAMETRES!$E$30,3,IF($J163&gt;PARAMETRES!$D$30,2,1)))))</f>
        <v/>
      </c>
      <c r="S163" t="str">
        <f>IF($K163="","",IF($Z163=2,IF($K163&gt;PARAMETRES!$G$31,5,IF($K163&gt;PARAMETRES!$F$31,4,IF($K163&gt;PARAMETRES!$E$31,3,IF($K163&gt;PARAMETRES!$D$31,2,1)))),IF($K163&gt;PARAMETRES!$G$32,5,IF($K163&gt;PARAMETRES!$F$32,4,IF($K163&gt;PARAMETRES!$E$32,3,IF($K163&gt;PARAMETRES!$D$32,2,1))))))</f>
        <v/>
      </c>
      <c r="T163" t="str">
        <f>IF($L163="","",IF($L163&gt;PARAMETRES!$G$33,5,IF($L163&gt;PARAMETRES!$F$33,4,IF($L163&gt;PARAMETRES!$E$33,3,IF($L163&gt;PARAMETRES!$D$33,2,1)))))</f>
        <v/>
      </c>
      <c r="U163" t="str">
        <f>IF($M163="","",IF($M163&gt;PARAMETRES!$G$34,5,IF($M163&gt;PARAMETRES!$F$34,4,IF($M163&gt;PARAMETRES!$E$34,3,IF($M163&gt;PARAMETRES!$D$34,2,1)))))</f>
        <v/>
      </c>
      <c r="V163" t="str">
        <f>IF($N163="","",IF($N163&gt;PARAMETRES!$G$35,5,IF($N163&gt;PARAMETRES!$F$35,4,IF($N163&gt;PARAMETRES!$E$35,3,IF($N163&gt;PARAMETRES!$D$35,2,1)))))</f>
        <v/>
      </c>
      <c r="W163" t="str">
        <f>IF($O163="","",IF($O163&gt;PARAMETRES!$G$36,5,IF($O163&gt;PARAMETRES!$F$36,4,IF($O163&gt;PARAMETRES!$E$36,3,IF($O163&gt;PARAMETRES!$D$36,2,1)))))</f>
        <v/>
      </c>
      <c r="X163" t="str">
        <f>IF($P163="","",IF($P163&gt;PARAMETRES!$G$37,5,IF($P163&gt;PARAMETRES!$F$37,4,IF($P163&gt;PARAMETRES!$E$37,3,IF($P163&gt;PARAMETRES!$D$37,2,1)))))</f>
        <v/>
      </c>
      <c r="Y163" t="str">
        <f t="shared" si="48"/>
        <v/>
      </c>
      <c r="Z163" t="str">
        <f>IFERROR(VLOOKUP($B163,TABLE_CYCLE,2,0),"")</f>
        <v/>
      </c>
      <c r="AA163" t="str">
        <f t="shared" si="49"/>
        <v/>
      </c>
      <c r="AB163" t="str">
        <f>IF($D163="","",IF(COUNTIF($D$2:$D163,$D163)=1,$D163,""))</f>
        <v/>
      </c>
      <c r="AC163">
        <f t="shared" si="50"/>
        <v>0</v>
      </c>
      <c r="AD163" t="str">
        <f t="shared" si="51"/>
        <v>|0</v>
      </c>
      <c r="AE163" t="str">
        <f t="shared" si="52"/>
        <v/>
      </c>
      <c r="AF163" t="str">
        <f t="shared" si="53"/>
        <v/>
      </c>
      <c r="AG163" t="str">
        <f t="shared" si="54"/>
        <v/>
      </c>
      <c r="AH163" t="str">
        <f t="shared" si="55"/>
        <v/>
      </c>
      <c r="AI163" t="str">
        <f t="shared" si="56"/>
        <v/>
      </c>
      <c r="AJ163" t="str">
        <f t="shared" si="57"/>
        <v/>
      </c>
      <c r="AK163" t="str">
        <f t="shared" si="58"/>
        <v/>
      </c>
      <c r="AL163" t="str">
        <f t="shared" si="59"/>
        <v/>
      </c>
      <c r="AM163" t="str">
        <f t="shared" si="60"/>
        <v/>
      </c>
      <c r="AN163" t="str">
        <f t="shared" si="61"/>
        <v/>
      </c>
      <c r="AO163" t="str">
        <f t="shared" si="62"/>
        <v/>
      </c>
      <c r="AP163">
        <f t="shared" si="63"/>
        <v>1</v>
      </c>
      <c r="AQ163" t="str">
        <f>IF(SAISIE!$F168="","",SAISIE!$Y168)</f>
        <v/>
      </c>
      <c r="AR163" t="str">
        <f>IF(OR(SAISIE!$U$4="",SAISIE!$W$4=""),"",IF(AND($A163=SAISIE!$U$4,$B163=SAISIE!$W$4,$C163="S1"),COUNTIFS($A$2:$A163,SAISIE!$U$4,$B$2:$B163,SAISIE!$W$4,$C$2:$C163,"S1"),""))</f>
        <v/>
      </c>
      <c r="AS163" t="str">
        <f t="shared" si="64"/>
        <v/>
      </c>
      <c r="AT163" t="str">
        <f t="shared" si="65"/>
        <v/>
      </c>
      <c r="AU163" t="str">
        <f t="shared" si="66"/>
        <v/>
      </c>
      <c r="AV163">
        <f>N(AV162)+IF(AND($AB163&lt;&gt;"",OR('PROFIL ELEVE'!$K$4="(Tous)",$AF163='PROFIL ELEVE'!$K$4)),1,0)</f>
        <v>0</v>
      </c>
      <c r="AW163">
        <f>N(AW162)+IF(AND($AB163&lt;&gt;"",OR('SUIVI LONGITUDINAL'!$Q$4="(Tous)",$AF163='SUIVI LONGITUDINAL'!$Q$4)),1,0)</f>
        <v>0</v>
      </c>
      <c r="AX163">
        <f t="shared" si="67"/>
        <v>0</v>
      </c>
      <c r="AY163">
        <f t="shared" si="68"/>
        <v>0</v>
      </c>
      <c r="AZ163">
        <f t="shared" si="69"/>
        <v>0</v>
      </c>
      <c r="BA163" t="str">
        <f t="shared" si="70"/>
        <v/>
      </c>
      <c r="BB163" t="str">
        <f t="shared" si="71"/>
        <v/>
      </c>
    </row>
    <row r="164" spans="1:54" ht="14.25" customHeight="1" x14ac:dyDescent="0.3">
      <c r="A164" t="str">
        <f>IF(SAISIE!$F169="","",SAISIE!$B169)</f>
        <v/>
      </c>
      <c r="B164" t="str">
        <f>IF(SAISIE!$F169="","",SAISIE!$C169)</f>
        <v/>
      </c>
      <c r="C164" t="str">
        <f>IF(SAISIE!$F169="","",SAISIE!$D169)</f>
        <v/>
      </c>
      <c r="D164" t="str">
        <f>IF(SAISIE!$E169="","",SAISIE!$E169)</f>
        <v/>
      </c>
      <c r="E164" t="str">
        <f>IF(SAISIE!$F169="","",SAISIE!$F169)</f>
        <v/>
      </c>
      <c r="F164" t="str">
        <f>IF(SAISIE!$G169="","",SAISIE!$G169)</f>
        <v/>
      </c>
      <c r="G164" t="str">
        <f>IF(SAISIE!$H169="","",SAISIE!$H169)</f>
        <v/>
      </c>
      <c r="H164" t="str">
        <f>IF(SAISIE!$I169="","",SAISIE!$I169)</f>
        <v/>
      </c>
      <c r="I164" t="str">
        <f>IF(SAISIE!$J169="","",SAISIE!$J169)</f>
        <v/>
      </c>
      <c r="J164" t="str">
        <f>IF(SAISIE!$K169="","",SAISIE!$K169)</f>
        <v/>
      </c>
      <c r="K164" t="str">
        <f>IF(SAISIE!$L169="","",SAISIE!$L169)</f>
        <v/>
      </c>
      <c r="L164" t="str">
        <f>IF(SAISIE!$M169="","",SAISIE!$M169)</f>
        <v/>
      </c>
      <c r="M164" t="str">
        <f>IF(SAISIE!$N169="","",SAISIE!$N169)</f>
        <v/>
      </c>
      <c r="N164" t="str">
        <f>IF(SAISIE!$O169="","",SAISIE!$O169)</f>
        <v/>
      </c>
      <c r="O164" t="str">
        <f>IF(SAISIE!$P169="","",SAISIE!$P169)</f>
        <v/>
      </c>
      <c r="P164" t="str">
        <f>IF(SAISIE!$Q169="","",SAISIE!$Q169)</f>
        <v/>
      </c>
      <c r="Q164" t="str">
        <f>IF($I164="","",IF($I164&gt;PARAMETRES!$G$29,5,IF($I164&gt;PARAMETRES!$F$29,4,IF($I164&gt;PARAMETRES!$E$29,3,IF($I164&gt;PARAMETRES!$D$29,2,1)))))</f>
        <v/>
      </c>
      <c r="R164" t="str">
        <f>IF($J164="","",IF($J164&gt;PARAMETRES!$G$30,5,IF($J164&gt;PARAMETRES!$F$30,4,IF($J164&gt;PARAMETRES!$E$30,3,IF($J164&gt;PARAMETRES!$D$30,2,1)))))</f>
        <v/>
      </c>
      <c r="S164" t="str">
        <f>IF($K164="","",IF($Z164=2,IF($K164&gt;PARAMETRES!$G$31,5,IF($K164&gt;PARAMETRES!$F$31,4,IF($K164&gt;PARAMETRES!$E$31,3,IF($K164&gt;PARAMETRES!$D$31,2,1)))),IF($K164&gt;PARAMETRES!$G$32,5,IF($K164&gt;PARAMETRES!$F$32,4,IF($K164&gt;PARAMETRES!$E$32,3,IF($K164&gt;PARAMETRES!$D$32,2,1))))))</f>
        <v/>
      </c>
      <c r="T164" t="str">
        <f>IF($L164="","",IF($L164&gt;PARAMETRES!$G$33,5,IF($L164&gt;PARAMETRES!$F$33,4,IF($L164&gt;PARAMETRES!$E$33,3,IF($L164&gt;PARAMETRES!$D$33,2,1)))))</f>
        <v/>
      </c>
      <c r="U164" t="str">
        <f>IF($M164="","",IF($M164&gt;PARAMETRES!$G$34,5,IF($M164&gt;PARAMETRES!$F$34,4,IF($M164&gt;PARAMETRES!$E$34,3,IF($M164&gt;PARAMETRES!$D$34,2,1)))))</f>
        <v/>
      </c>
      <c r="V164" t="str">
        <f>IF($N164="","",IF($N164&gt;PARAMETRES!$G$35,5,IF($N164&gt;PARAMETRES!$F$35,4,IF($N164&gt;PARAMETRES!$E$35,3,IF($N164&gt;PARAMETRES!$D$35,2,1)))))</f>
        <v/>
      </c>
      <c r="W164" t="str">
        <f>IF($O164="","",IF($O164&gt;PARAMETRES!$G$36,5,IF($O164&gt;PARAMETRES!$F$36,4,IF($O164&gt;PARAMETRES!$E$36,3,IF($O164&gt;PARAMETRES!$D$36,2,1)))))</f>
        <v/>
      </c>
      <c r="X164" t="str">
        <f>IF($P164="","",IF($P164&gt;PARAMETRES!$G$37,5,IF($P164&gt;PARAMETRES!$F$37,4,IF($P164&gt;PARAMETRES!$E$37,3,IF($P164&gt;PARAMETRES!$D$37,2,1)))))</f>
        <v/>
      </c>
      <c r="Y164" t="str">
        <f t="shared" si="48"/>
        <v/>
      </c>
      <c r="Z164" t="str">
        <f>IFERROR(VLOOKUP($B164,TABLE_CYCLE,2,0),"")</f>
        <v/>
      </c>
      <c r="AA164" t="str">
        <f t="shared" si="49"/>
        <v/>
      </c>
      <c r="AB164" t="str">
        <f>IF($D164="","",IF(COUNTIF($D$2:$D164,$D164)=1,$D164,""))</f>
        <v/>
      </c>
      <c r="AC164">
        <f t="shared" si="50"/>
        <v>0</v>
      </c>
      <c r="AD164" t="str">
        <f t="shared" si="51"/>
        <v>|0</v>
      </c>
      <c r="AE164" t="str">
        <f t="shared" si="52"/>
        <v/>
      </c>
      <c r="AF164" t="str">
        <f t="shared" si="53"/>
        <v/>
      </c>
      <c r="AG164" t="str">
        <f t="shared" si="54"/>
        <v/>
      </c>
      <c r="AH164" t="str">
        <f t="shared" si="55"/>
        <v/>
      </c>
      <c r="AI164" t="str">
        <f t="shared" si="56"/>
        <v/>
      </c>
      <c r="AJ164" t="str">
        <f t="shared" si="57"/>
        <v/>
      </c>
      <c r="AK164" t="str">
        <f t="shared" si="58"/>
        <v/>
      </c>
      <c r="AL164" t="str">
        <f t="shared" si="59"/>
        <v/>
      </c>
      <c r="AM164" t="str">
        <f t="shared" si="60"/>
        <v/>
      </c>
      <c r="AN164" t="str">
        <f t="shared" si="61"/>
        <v/>
      </c>
      <c r="AO164" t="str">
        <f t="shared" si="62"/>
        <v/>
      </c>
      <c r="AP164">
        <f t="shared" si="63"/>
        <v>1</v>
      </c>
      <c r="AQ164" t="str">
        <f>IF(SAISIE!$F169="","",SAISIE!$Y169)</f>
        <v/>
      </c>
      <c r="AR164" t="str">
        <f>IF(OR(SAISIE!$U$4="",SAISIE!$W$4=""),"",IF(AND($A164=SAISIE!$U$4,$B164=SAISIE!$W$4,$C164="S1"),COUNTIFS($A$2:$A164,SAISIE!$U$4,$B$2:$B164,SAISIE!$W$4,$C$2:$C164,"S1"),""))</f>
        <v/>
      </c>
      <c r="AS164" t="str">
        <f t="shared" si="64"/>
        <v/>
      </c>
      <c r="AT164" t="str">
        <f t="shared" si="65"/>
        <v/>
      </c>
      <c r="AU164" t="str">
        <f t="shared" si="66"/>
        <v/>
      </c>
      <c r="AV164">
        <f>N(AV163)+IF(AND($AB164&lt;&gt;"",OR('PROFIL ELEVE'!$K$4="(Tous)",$AF164='PROFIL ELEVE'!$K$4)),1,0)</f>
        <v>0</v>
      </c>
      <c r="AW164">
        <f>N(AW163)+IF(AND($AB164&lt;&gt;"",OR('SUIVI LONGITUDINAL'!$Q$4="(Tous)",$AF164='SUIVI LONGITUDINAL'!$Q$4)),1,0)</f>
        <v>0</v>
      </c>
      <c r="AX164">
        <f t="shared" si="67"/>
        <v>0</v>
      </c>
      <c r="AY164">
        <f t="shared" si="68"/>
        <v>0</v>
      </c>
      <c r="AZ164">
        <f t="shared" si="69"/>
        <v>0</v>
      </c>
      <c r="BA164" t="str">
        <f t="shared" si="70"/>
        <v/>
      </c>
      <c r="BB164" t="str">
        <f t="shared" si="71"/>
        <v/>
      </c>
    </row>
    <row r="165" spans="1:54" ht="14.25" customHeight="1" x14ac:dyDescent="0.3">
      <c r="A165" t="str">
        <f>IF(SAISIE!$F170="","",SAISIE!$B170)</f>
        <v/>
      </c>
      <c r="B165" t="str">
        <f>IF(SAISIE!$F170="","",SAISIE!$C170)</f>
        <v/>
      </c>
      <c r="C165" t="str">
        <f>IF(SAISIE!$F170="","",SAISIE!$D170)</f>
        <v/>
      </c>
      <c r="D165" t="str">
        <f>IF(SAISIE!$E170="","",SAISIE!$E170)</f>
        <v/>
      </c>
      <c r="E165" t="str">
        <f>IF(SAISIE!$F170="","",SAISIE!$F170)</f>
        <v/>
      </c>
      <c r="F165" t="str">
        <f>IF(SAISIE!$G170="","",SAISIE!$G170)</f>
        <v/>
      </c>
      <c r="G165" t="str">
        <f>IF(SAISIE!$H170="","",SAISIE!$H170)</f>
        <v/>
      </c>
      <c r="H165" t="str">
        <f>IF(SAISIE!$I170="","",SAISIE!$I170)</f>
        <v/>
      </c>
      <c r="I165" t="str">
        <f>IF(SAISIE!$J170="","",SAISIE!$J170)</f>
        <v/>
      </c>
      <c r="J165" t="str">
        <f>IF(SAISIE!$K170="","",SAISIE!$K170)</f>
        <v/>
      </c>
      <c r="K165" t="str">
        <f>IF(SAISIE!$L170="","",SAISIE!$L170)</f>
        <v/>
      </c>
      <c r="L165" t="str">
        <f>IF(SAISIE!$M170="","",SAISIE!$M170)</f>
        <v/>
      </c>
      <c r="M165" t="str">
        <f>IF(SAISIE!$N170="","",SAISIE!$N170)</f>
        <v/>
      </c>
      <c r="N165" t="str">
        <f>IF(SAISIE!$O170="","",SAISIE!$O170)</f>
        <v/>
      </c>
      <c r="O165" t="str">
        <f>IF(SAISIE!$P170="","",SAISIE!$P170)</f>
        <v/>
      </c>
      <c r="P165" t="str">
        <f>IF(SAISIE!$Q170="","",SAISIE!$Q170)</f>
        <v/>
      </c>
      <c r="Q165" t="str">
        <f>IF($I165="","",IF($I165&gt;PARAMETRES!$G$29,5,IF($I165&gt;PARAMETRES!$F$29,4,IF($I165&gt;PARAMETRES!$E$29,3,IF($I165&gt;PARAMETRES!$D$29,2,1)))))</f>
        <v/>
      </c>
      <c r="R165" t="str">
        <f>IF($J165="","",IF($J165&gt;PARAMETRES!$G$30,5,IF($J165&gt;PARAMETRES!$F$30,4,IF($J165&gt;PARAMETRES!$E$30,3,IF($J165&gt;PARAMETRES!$D$30,2,1)))))</f>
        <v/>
      </c>
      <c r="S165" t="str">
        <f>IF($K165="","",IF($Z165=2,IF($K165&gt;PARAMETRES!$G$31,5,IF($K165&gt;PARAMETRES!$F$31,4,IF($K165&gt;PARAMETRES!$E$31,3,IF($K165&gt;PARAMETRES!$D$31,2,1)))),IF($K165&gt;PARAMETRES!$G$32,5,IF($K165&gt;PARAMETRES!$F$32,4,IF($K165&gt;PARAMETRES!$E$32,3,IF($K165&gt;PARAMETRES!$D$32,2,1))))))</f>
        <v/>
      </c>
      <c r="T165" t="str">
        <f>IF($L165="","",IF($L165&gt;PARAMETRES!$G$33,5,IF($L165&gt;PARAMETRES!$F$33,4,IF($L165&gt;PARAMETRES!$E$33,3,IF($L165&gt;PARAMETRES!$D$33,2,1)))))</f>
        <v/>
      </c>
      <c r="U165" t="str">
        <f>IF($M165="","",IF($M165&gt;PARAMETRES!$G$34,5,IF($M165&gt;PARAMETRES!$F$34,4,IF($M165&gt;PARAMETRES!$E$34,3,IF($M165&gt;PARAMETRES!$D$34,2,1)))))</f>
        <v/>
      </c>
      <c r="V165" t="str">
        <f>IF($N165="","",IF($N165&gt;PARAMETRES!$G$35,5,IF($N165&gt;PARAMETRES!$F$35,4,IF($N165&gt;PARAMETRES!$E$35,3,IF($N165&gt;PARAMETRES!$D$35,2,1)))))</f>
        <v/>
      </c>
      <c r="W165" t="str">
        <f>IF($O165="","",IF($O165&gt;PARAMETRES!$G$36,5,IF($O165&gt;PARAMETRES!$F$36,4,IF($O165&gt;PARAMETRES!$E$36,3,IF($O165&gt;PARAMETRES!$D$36,2,1)))))</f>
        <v/>
      </c>
      <c r="X165" t="str">
        <f>IF($P165="","",IF($P165&gt;PARAMETRES!$G$37,5,IF($P165&gt;PARAMETRES!$F$37,4,IF($P165&gt;PARAMETRES!$E$37,3,IF($P165&gt;PARAMETRES!$D$37,2,1)))))</f>
        <v/>
      </c>
      <c r="Y165" t="str">
        <f t="shared" si="48"/>
        <v/>
      </c>
      <c r="Z165" t="str">
        <f>IFERROR(VLOOKUP($B165,TABLE_CYCLE,2,0),"")</f>
        <v/>
      </c>
      <c r="AA165" t="str">
        <f t="shared" si="49"/>
        <v/>
      </c>
      <c r="AB165" t="str">
        <f>IF($D165="","",IF(COUNTIF($D$2:$D165,$D165)=1,$D165,""))</f>
        <v/>
      </c>
      <c r="AC165">
        <f t="shared" si="50"/>
        <v>0</v>
      </c>
      <c r="AD165" t="str">
        <f t="shared" si="51"/>
        <v>|0</v>
      </c>
      <c r="AE165" t="str">
        <f t="shared" si="52"/>
        <v/>
      </c>
      <c r="AF165" t="str">
        <f t="shared" si="53"/>
        <v/>
      </c>
      <c r="AG165" t="str">
        <f t="shared" si="54"/>
        <v/>
      </c>
      <c r="AH165" t="str">
        <f t="shared" si="55"/>
        <v/>
      </c>
      <c r="AI165" t="str">
        <f t="shared" si="56"/>
        <v/>
      </c>
      <c r="AJ165" t="str">
        <f t="shared" si="57"/>
        <v/>
      </c>
      <c r="AK165" t="str">
        <f t="shared" si="58"/>
        <v/>
      </c>
      <c r="AL165" t="str">
        <f t="shared" si="59"/>
        <v/>
      </c>
      <c r="AM165" t="str">
        <f t="shared" si="60"/>
        <v/>
      </c>
      <c r="AN165" t="str">
        <f t="shared" si="61"/>
        <v/>
      </c>
      <c r="AO165" t="str">
        <f t="shared" si="62"/>
        <v/>
      </c>
      <c r="AP165">
        <f t="shared" si="63"/>
        <v>1</v>
      </c>
      <c r="AQ165" t="str">
        <f>IF(SAISIE!$F170="","",SAISIE!$Y170)</f>
        <v/>
      </c>
      <c r="AR165" t="str">
        <f>IF(OR(SAISIE!$U$4="",SAISIE!$W$4=""),"",IF(AND($A165=SAISIE!$U$4,$B165=SAISIE!$W$4,$C165="S1"),COUNTIFS($A$2:$A165,SAISIE!$U$4,$B$2:$B165,SAISIE!$W$4,$C$2:$C165,"S1"),""))</f>
        <v/>
      </c>
      <c r="AS165" t="str">
        <f t="shared" si="64"/>
        <v/>
      </c>
      <c r="AT165" t="str">
        <f t="shared" si="65"/>
        <v/>
      </c>
      <c r="AU165" t="str">
        <f t="shared" si="66"/>
        <v/>
      </c>
      <c r="AV165">
        <f>N(AV164)+IF(AND($AB165&lt;&gt;"",OR('PROFIL ELEVE'!$K$4="(Tous)",$AF165='PROFIL ELEVE'!$K$4)),1,0)</f>
        <v>0</v>
      </c>
      <c r="AW165">
        <f>N(AW164)+IF(AND($AB165&lt;&gt;"",OR('SUIVI LONGITUDINAL'!$Q$4="(Tous)",$AF165='SUIVI LONGITUDINAL'!$Q$4)),1,0)</f>
        <v>0</v>
      </c>
      <c r="AX165">
        <f t="shared" si="67"/>
        <v>0</v>
      </c>
      <c r="AY165">
        <f t="shared" si="68"/>
        <v>0</v>
      </c>
      <c r="AZ165">
        <f t="shared" si="69"/>
        <v>0</v>
      </c>
      <c r="BA165" t="str">
        <f t="shared" si="70"/>
        <v/>
      </c>
      <c r="BB165" t="str">
        <f t="shared" si="71"/>
        <v/>
      </c>
    </row>
    <row r="166" spans="1:54" ht="14.25" customHeight="1" x14ac:dyDescent="0.3">
      <c r="A166" t="str">
        <f>IF(SAISIE!$F171="","",SAISIE!$B171)</f>
        <v/>
      </c>
      <c r="B166" t="str">
        <f>IF(SAISIE!$F171="","",SAISIE!$C171)</f>
        <v/>
      </c>
      <c r="C166" t="str">
        <f>IF(SAISIE!$F171="","",SAISIE!$D171)</f>
        <v/>
      </c>
      <c r="D166" t="str">
        <f>IF(SAISIE!$E171="","",SAISIE!$E171)</f>
        <v/>
      </c>
      <c r="E166" t="str">
        <f>IF(SAISIE!$F171="","",SAISIE!$F171)</f>
        <v/>
      </c>
      <c r="F166" t="str">
        <f>IF(SAISIE!$G171="","",SAISIE!$G171)</f>
        <v/>
      </c>
      <c r="G166" t="str">
        <f>IF(SAISIE!$H171="","",SAISIE!$H171)</f>
        <v/>
      </c>
      <c r="H166" t="str">
        <f>IF(SAISIE!$I171="","",SAISIE!$I171)</f>
        <v/>
      </c>
      <c r="I166" t="str">
        <f>IF(SAISIE!$J171="","",SAISIE!$J171)</f>
        <v/>
      </c>
      <c r="J166" t="str">
        <f>IF(SAISIE!$K171="","",SAISIE!$K171)</f>
        <v/>
      </c>
      <c r="K166" t="str">
        <f>IF(SAISIE!$L171="","",SAISIE!$L171)</f>
        <v/>
      </c>
      <c r="L166" t="str">
        <f>IF(SAISIE!$M171="","",SAISIE!$M171)</f>
        <v/>
      </c>
      <c r="M166" t="str">
        <f>IF(SAISIE!$N171="","",SAISIE!$N171)</f>
        <v/>
      </c>
      <c r="N166" t="str">
        <f>IF(SAISIE!$O171="","",SAISIE!$O171)</f>
        <v/>
      </c>
      <c r="O166" t="str">
        <f>IF(SAISIE!$P171="","",SAISIE!$P171)</f>
        <v/>
      </c>
      <c r="P166" t="str">
        <f>IF(SAISIE!$Q171="","",SAISIE!$Q171)</f>
        <v/>
      </c>
      <c r="Q166" t="str">
        <f>IF($I166="","",IF($I166&gt;PARAMETRES!$G$29,5,IF($I166&gt;PARAMETRES!$F$29,4,IF($I166&gt;PARAMETRES!$E$29,3,IF($I166&gt;PARAMETRES!$D$29,2,1)))))</f>
        <v/>
      </c>
      <c r="R166" t="str">
        <f>IF($J166="","",IF($J166&gt;PARAMETRES!$G$30,5,IF($J166&gt;PARAMETRES!$F$30,4,IF($J166&gt;PARAMETRES!$E$30,3,IF($J166&gt;PARAMETRES!$D$30,2,1)))))</f>
        <v/>
      </c>
      <c r="S166" t="str">
        <f>IF($K166="","",IF($Z166=2,IF($K166&gt;PARAMETRES!$G$31,5,IF($K166&gt;PARAMETRES!$F$31,4,IF($K166&gt;PARAMETRES!$E$31,3,IF($K166&gt;PARAMETRES!$D$31,2,1)))),IF($K166&gt;PARAMETRES!$G$32,5,IF($K166&gt;PARAMETRES!$F$32,4,IF($K166&gt;PARAMETRES!$E$32,3,IF($K166&gt;PARAMETRES!$D$32,2,1))))))</f>
        <v/>
      </c>
      <c r="T166" t="str">
        <f>IF($L166="","",IF($L166&gt;PARAMETRES!$G$33,5,IF($L166&gt;PARAMETRES!$F$33,4,IF($L166&gt;PARAMETRES!$E$33,3,IF($L166&gt;PARAMETRES!$D$33,2,1)))))</f>
        <v/>
      </c>
      <c r="U166" t="str">
        <f>IF($M166="","",IF($M166&gt;PARAMETRES!$G$34,5,IF($M166&gt;PARAMETRES!$F$34,4,IF($M166&gt;PARAMETRES!$E$34,3,IF($M166&gt;PARAMETRES!$D$34,2,1)))))</f>
        <v/>
      </c>
      <c r="V166" t="str">
        <f>IF($N166="","",IF($N166&gt;PARAMETRES!$G$35,5,IF($N166&gt;PARAMETRES!$F$35,4,IF($N166&gt;PARAMETRES!$E$35,3,IF($N166&gt;PARAMETRES!$D$35,2,1)))))</f>
        <v/>
      </c>
      <c r="W166" t="str">
        <f>IF($O166="","",IF($O166&gt;PARAMETRES!$G$36,5,IF($O166&gt;PARAMETRES!$F$36,4,IF($O166&gt;PARAMETRES!$E$36,3,IF($O166&gt;PARAMETRES!$D$36,2,1)))))</f>
        <v/>
      </c>
      <c r="X166" t="str">
        <f>IF($P166="","",IF($P166&gt;PARAMETRES!$G$37,5,IF($P166&gt;PARAMETRES!$F$37,4,IF($P166&gt;PARAMETRES!$E$37,3,IF($P166&gt;PARAMETRES!$D$37,2,1)))))</f>
        <v/>
      </c>
      <c r="Y166" t="str">
        <f t="shared" si="48"/>
        <v/>
      </c>
      <c r="Z166" t="str">
        <f>IFERROR(VLOOKUP($B166,TABLE_CYCLE,2,0),"")</f>
        <v/>
      </c>
      <c r="AA166" t="str">
        <f t="shared" si="49"/>
        <v/>
      </c>
      <c r="AB166" t="str">
        <f>IF($D166="","",IF(COUNTIF($D$2:$D166,$D166)=1,$D166,""))</f>
        <v/>
      </c>
      <c r="AC166">
        <f t="shared" si="50"/>
        <v>0</v>
      </c>
      <c r="AD166" t="str">
        <f t="shared" si="51"/>
        <v>|0</v>
      </c>
      <c r="AE166" t="str">
        <f t="shared" si="52"/>
        <v/>
      </c>
      <c r="AF166" t="str">
        <f t="shared" si="53"/>
        <v/>
      </c>
      <c r="AG166" t="str">
        <f t="shared" si="54"/>
        <v/>
      </c>
      <c r="AH166" t="str">
        <f t="shared" si="55"/>
        <v/>
      </c>
      <c r="AI166" t="str">
        <f t="shared" si="56"/>
        <v/>
      </c>
      <c r="AJ166" t="str">
        <f t="shared" si="57"/>
        <v/>
      </c>
      <c r="AK166" t="str">
        <f t="shared" si="58"/>
        <v/>
      </c>
      <c r="AL166" t="str">
        <f t="shared" si="59"/>
        <v/>
      </c>
      <c r="AM166" t="str">
        <f t="shared" si="60"/>
        <v/>
      </c>
      <c r="AN166" t="str">
        <f t="shared" si="61"/>
        <v/>
      </c>
      <c r="AO166" t="str">
        <f t="shared" si="62"/>
        <v/>
      </c>
      <c r="AP166">
        <f t="shared" si="63"/>
        <v>1</v>
      </c>
      <c r="AQ166" t="str">
        <f>IF(SAISIE!$F171="","",SAISIE!$Y171)</f>
        <v/>
      </c>
      <c r="AR166" t="str">
        <f>IF(OR(SAISIE!$U$4="",SAISIE!$W$4=""),"",IF(AND($A166=SAISIE!$U$4,$B166=SAISIE!$W$4,$C166="S1"),COUNTIFS($A$2:$A166,SAISIE!$U$4,$B$2:$B166,SAISIE!$W$4,$C$2:$C166,"S1"),""))</f>
        <v/>
      </c>
      <c r="AS166" t="str">
        <f t="shared" si="64"/>
        <v/>
      </c>
      <c r="AT166" t="str">
        <f t="shared" si="65"/>
        <v/>
      </c>
      <c r="AU166" t="str">
        <f t="shared" si="66"/>
        <v/>
      </c>
      <c r="AV166">
        <f>N(AV165)+IF(AND($AB166&lt;&gt;"",OR('PROFIL ELEVE'!$K$4="(Tous)",$AF166='PROFIL ELEVE'!$K$4)),1,0)</f>
        <v>0</v>
      </c>
      <c r="AW166">
        <f>N(AW165)+IF(AND($AB166&lt;&gt;"",OR('SUIVI LONGITUDINAL'!$Q$4="(Tous)",$AF166='SUIVI LONGITUDINAL'!$Q$4)),1,0)</f>
        <v>0</v>
      </c>
      <c r="AX166">
        <f t="shared" si="67"/>
        <v>0</v>
      </c>
      <c r="AY166">
        <f t="shared" si="68"/>
        <v>0</v>
      </c>
      <c r="AZ166">
        <f t="shared" si="69"/>
        <v>0</v>
      </c>
      <c r="BA166" t="str">
        <f t="shared" si="70"/>
        <v/>
      </c>
      <c r="BB166" t="str">
        <f t="shared" si="71"/>
        <v/>
      </c>
    </row>
    <row r="167" spans="1:54" ht="14.25" customHeight="1" x14ac:dyDescent="0.3">
      <c r="A167" t="str">
        <f>IF(SAISIE!$F172="","",SAISIE!$B172)</f>
        <v/>
      </c>
      <c r="B167" t="str">
        <f>IF(SAISIE!$F172="","",SAISIE!$C172)</f>
        <v/>
      </c>
      <c r="C167" t="str">
        <f>IF(SAISIE!$F172="","",SAISIE!$D172)</f>
        <v/>
      </c>
      <c r="D167" t="str">
        <f>IF(SAISIE!$E172="","",SAISIE!$E172)</f>
        <v/>
      </c>
      <c r="E167" t="str">
        <f>IF(SAISIE!$F172="","",SAISIE!$F172)</f>
        <v/>
      </c>
      <c r="F167" t="str">
        <f>IF(SAISIE!$G172="","",SAISIE!$G172)</f>
        <v/>
      </c>
      <c r="G167" t="str">
        <f>IF(SAISIE!$H172="","",SAISIE!$H172)</f>
        <v/>
      </c>
      <c r="H167" t="str">
        <f>IF(SAISIE!$I172="","",SAISIE!$I172)</f>
        <v/>
      </c>
      <c r="I167" t="str">
        <f>IF(SAISIE!$J172="","",SAISIE!$J172)</f>
        <v/>
      </c>
      <c r="J167" t="str">
        <f>IF(SAISIE!$K172="","",SAISIE!$K172)</f>
        <v/>
      </c>
      <c r="K167" t="str">
        <f>IF(SAISIE!$L172="","",SAISIE!$L172)</f>
        <v/>
      </c>
      <c r="L167" t="str">
        <f>IF(SAISIE!$M172="","",SAISIE!$M172)</f>
        <v/>
      </c>
      <c r="M167" t="str">
        <f>IF(SAISIE!$N172="","",SAISIE!$N172)</f>
        <v/>
      </c>
      <c r="N167" t="str">
        <f>IF(SAISIE!$O172="","",SAISIE!$O172)</f>
        <v/>
      </c>
      <c r="O167" t="str">
        <f>IF(SAISIE!$P172="","",SAISIE!$P172)</f>
        <v/>
      </c>
      <c r="P167" t="str">
        <f>IF(SAISIE!$Q172="","",SAISIE!$Q172)</f>
        <v/>
      </c>
      <c r="Q167" t="str">
        <f>IF($I167="","",IF($I167&gt;PARAMETRES!$G$29,5,IF($I167&gt;PARAMETRES!$F$29,4,IF($I167&gt;PARAMETRES!$E$29,3,IF($I167&gt;PARAMETRES!$D$29,2,1)))))</f>
        <v/>
      </c>
      <c r="R167" t="str">
        <f>IF($J167="","",IF($J167&gt;PARAMETRES!$G$30,5,IF($J167&gt;PARAMETRES!$F$30,4,IF($J167&gt;PARAMETRES!$E$30,3,IF($J167&gt;PARAMETRES!$D$30,2,1)))))</f>
        <v/>
      </c>
      <c r="S167" t="str">
        <f>IF($K167="","",IF($Z167=2,IF($K167&gt;PARAMETRES!$G$31,5,IF($K167&gt;PARAMETRES!$F$31,4,IF($K167&gt;PARAMETRES!$E$31,3,IF($K167&gt;PARAMETRES!$D$31,2,1)))),IF($K167&gt;PARAMETRES!$G$32,5,IF($K167&gt;PARAMETRES!$F$32,4,IF($K167&gt;PARAMETRES!$E$32,3,IF($K167&gt;PARAMETRES!$D$32,2,1))))))</f>
        <v/>
      </c>
      <c r="T167" t="str">
        <f>IF($L167="","",IF($L167&gt;PARAMETRES!$G$33,5,IF($L167&gt;PARAMETRES!$F$33,4,IF($L167&gt;PARAMETRES!$E$33,3,IF($L167&gt;PARAMETRES!$D$33,2,1)))))</f>
        <v/>
      </c>
      <c r="U167" t="str">
        <f>IF($M167="","",IF($M167&gt;PARAMETRES!$G$34,5,IF($M167&gt;PARAMETRES!$F$34,4,IF($M167&gt;PARAMETRES!$E$34,3,IF($M167&gt;PARAMETRES!$D$34,2,1)))))</f>
        <v/>
      </c>
      <c r="V167" t="str">
        <f>IF($N167="","",IF($N167&gt;PARAMETRES!$G$35,5,IF($N167&gt;PARAMETRES!$F$35,4,IF($N167&gt;PARAMETRES!$E$35,3,IF($N167&gt;PARAMETRES!$D$35,2,1)))))</f>
        <v/>
      </c>
      <c r="W167" t="str">
        <f>IF($O167="","",IF($O167&gt;PARAMETRES!$G$36,5,IF($O167&gt;PARAMETRES!$F$36,4,IF($O167&gt;PARAMETRES!$E$36,3,IF($O167&gt;PARAMETRES!$D$36,2,1)))))</f>
        <v/>
      </c>
      <c r="X167" t="str">
        <f>IF($P167="","",IF($P167&gt;PARAMETRES!$G$37,5,IF($P167&gt;PARAMETRES!$F$37,4,IF($P167&gt;PARAMETRES!$E$37,3,IF($P167&gt;PARAMETRES!$D$37,2,1)))))</f>
        <v/>
      </c>
      <c r="Y167" t="str">
        <f t="shared" si="48"/>
        <v/>
      </c>
      <c r="Z167" t="str">
        <f>IFERROR(VLOOKUP($B167,TABLE_CYCLE,2,0),"")</f>
        <v/>
      </c>
      <c r="AA167" t="str">
        <f t="shared" si="49"/>
        <v/>
      </c>
      <c r="AB167" t="str">
        <f>IF($D167="","",IF(COUNTIF($D$2:$D167,$D167)=1,$D167,""))</f>
        <v/>
      </c>
      <c r="AC167">
        <f t="shared" si="50"/>
        <v>0</v>
      </c>
      <c r="AD167" t="str">
        <f t="shared" si="51"/>
        <v>|0</v>
      </c>
      <c r="AE167" t="str">
        <f t="shared" si="52"/>
        <v/>
      </c>
      <c r="AF167" t="str">
        <f t="shared" si="53"/>
        <v/>
      </c>
      <c r="AG167" t="str">
        <f t="shared" si="54"/>
        <v/>
      </c>
      <c r="AH167" t="str">
        <f t="shared" si="55"/>
        <v/>
      </c>
      <c r="AI167" t="str">
        <f t="shared" si="56"/>
        <v/>
      </c>
      <c r="AJ167" t="str">
        <f t="shared" si="57"/>
        <v/>
      </c>
      <c r="AK167" t="str">
        <f t="shared" si="58"/>
        <v/>
      </c>
      <c r="AL167" t="str">
        <f t="shared" si="59"/>
        <v/>
      </c>
      <c r="AM167" t="str">
        <f t="shared" si="60"/>
        <v/>
      </c>
      <c r="AN167" t="str">
        <f t="shared" si="61"/>
        <v/>
      </c>
      <c r="AO167" t="str">
        <f t="shared" si="62"/>
        <v/>
      </c>
      <c r="AP167">
        <f t="shared" si="63"/>
        <v>1</v>
      </c>
      <c r="AQ167" t="str">
        <f>IF(SAISIE!$F172="","",SAISIE!$Y172)</f>
        <v/>
      </c>
      <c r="AR167" t="str">
        <f>IF(OR(SAISIE!$U$4="",SAISIE!$W$4=""),"",IF(AND($A167=SAISIE!$U$4,$B167=SAISIE!$W$4,$C167="S1"),COUNTIFS($A$2:$A167,SAISIE!$U$4,$B$2:$B167,SAISIE!$W$4,$C$2:$C167,"S1"),""))</f>
        <v/>
      </c>
      <c r="AS167" t="str">
        <f t="shared" si="64"/>
        <v/>
      </c>
      <c r="AT167" t="str">
        <f t="shared" si="65"/>
        <v/>
      </c>
      <c r="AU167" t="str">
        <f t="shared" si="66"/>
        <v/>
      </c>
      <c r="AV167">
        <f>N(AV166)+IF(AND($AB167&lt;&gt;"",OR('PROFIL ELEVE'!$K$4="(Tous)",$AF167='PROFIL ELEVE'!$K$4)),1,0)</f>
        <v>0</v>
      </c>
      <c r="AW167">
        <f>N(AW166)+IF(AND($AB167&lt;&gt;"",OR('SUIVI LONGITUDINAL'!$Q$4="(Tous)",$AF167='SUIVI LONGITUDINAL'!$Q$4)),1,0)</f>
        <v>0</v>
      </c>
      <c r="AX167">
        <f t="shared" si="67"/>
        <v>0</v>
      </c>
      <c r="AY167">
        <f t="shared" si="68"/>
        <v>0</v>
      </c>
      <c r="AZ167">
        <f t="shared" si="69"/>
        <v>0</v>
      </c>
      <c r="BA167" t="str">
        <f t="shared" si="70"/>
        <v/>
      </c>
      <c r="BB167" t="str">
        <f t="shared" si="71"/>
        <v/>
      </c>
    </row>
    <row r="168" spans="1:54" ht="14.25" customHeight="1" x14ac:dyDescent="0.3">
      <c r="A168" t="str">
        <f>IF(SAISIE!$F173="","",SAISIE!$B173)</f>
        <v/>
      </c>
      <c r="B168" t="str">
        <f>IF(SAISIE!$F173="","",SAISIE!$C173)</f>
        <v/>
      </c>
      <c r="C168" t="str">
        <f>IF(SAISIE!$F173="","",SAISIE!$D173)</f>
        <v/>
      </c>
      <c r="D168" t="str">
        <f>IF(SAISIE!$E173="","",SAISIE!$E173)</f>
        <v/>
      </c>
      <c r="E168" t="str">
        <f>IF(SAISIE!$F173="","",SAISIE!$F173)</f>
        <v/>
      </c>
      <c r="F168" t="str">
        <f>IF(SAISIE!$G173="","",SAISIE!$G173)</f>
        <v/>
      </c>
      <c r="G168" t="str">
        <f>IF(SAISIE!$H173="","",SAISIE!$H173)</f>
        <v/>
      </c>
      <c r="H168" t="str">
        <f>IF(SAISIE!$I173="","",SAISIE!$I173)</f>
        <v/>
      </c>
      <c r="I168" t="str">
        <f>IF(SAISIE!$J173="","",SAISIE!$J173)</f>
        <v/>
      </c>
      <c r="J168" t="str">
        <f>IF(SAISIE!$K173="","",SAISIE!$K173)</f>
        <v/>
      </c>
      <c r="K168" t="str">
        <f>IF(SAISIE!$L173="","",SAISIE!$L173)</f>
        <v/>
      </c>
      <c r="L168" t="str">
        <f>IF(SAISIE!$M173="","",SAISIE!$M173)</f>
        <v/>
      </c>
      <c r="M168" t="str">
        <f>IF(SAISIE!$N173="","",SAISIE!$N173)</f>
        <v/>
      </c>
      <c r="N168" t="str">
        <f>IF(SAISIE!$O173="","",SAISIE!$O173)</f>
        <v/>
      </c>
      <c r="O168" t="str">
        <f>IF(SAISIE!$P173="","",SAISIE!$P173)</f>
        <v/>
      </c>
      <c r="P168" t="str">
        <f>IF(SAISIE!$Q173="","",SAISIE!$Q173)</f>
        <v/>
      </c>
      <c r="Q168" t="str">
        <f>IF($I168="","",IF($I168&gt;PARAMETRES!$G$29,5,IF($I168&gt;PARAMETRES!$F$29,4,IF($I168&gt;PARAMETRES!$E$29,3,IF($I168&gt;PARAMETRES!$D$29,2,1)))))</f>
        <v/>
      </c>
      <c r="R168" t="str">
        <f>IF($J168="","",IF($J168&gt;PARAMETRES!$G$30,5,IF($J168&gt;PARAMETRES!$F$30,4,IF($J168&gt;PARAMETRES!$E$30,3,IF($J168&gt;PARAMETRES!$D$30,2,1)))))</f>
        <v/>
      </c>
      <c r="S168" t="str">
        <f>IF($K168="","",IF($Z168=2,IF($K168&gt;PARAMETRES!$G$31,5,IF($K168&gt;PARAMETRES!$F$31,4,IF($K168&gt;PARAMETRES!$E$31,3,IF($K168&gt;PARAMETRES!$D$31,2,1)))),IF($K168&gt;PARAMETRES!$G$32,5,IF($K168&gt;PARAMETRES!$F$32,4,IF($K168&gt;PARAMETRES!$E$32,3,IF($K168&gt;PARAMETRES!$D$32,2,1))))))</f>
        <v/>
      </c>
      <c r="T168" t="str">
        <f>IF($L168="","",IF($L168&gt;PARAMETRES!$G$33,5,IF($L168&gt;PARAMETRES!$F$33,4,IF($L168&gt;PARAMETRES!$E$33,3,IF($L168&gt;PARAMETRES!$D$33,2,1)))))</f>
        <v/>
      </c>
      <c r="U168" t="str">
        <f>IF($M168="","",IF($M168&gt;PARAMETRES!$G$34,5,IF($M168&gt;PARAMETRES!$F$34,4,IF($M168&gt;PARAMETRES!$E$34,3,IF($M168&gt;PARAMETRES!$D$34,2,1)))))</f>
        <v/>
      </c>
      <c r="V168" t="str">
        <f>IF($N168="","",IF($N168&gt;PARAMETRES!$G$35,5,IF($N168&gt;PARAMETRES!$F$35,4,IF($N168&gt;PARAMETRES!$E$35,3,IF($N168&gt;PARAMETRES!$D$35,2,1)))))</f>
        <v/>
      </c>
      <c r="W168" t="str">
        <f>IF($O168="","",IF($O168&gt;PARAMETRES!$G$36,5,IF($O168&gt;PARAMETRES!$F$36,4,IF($O168&gt;PARAMETRES!$E$36,3,IF($O168&gt;PARAMETRES!$D$36,2,1)))))</f>
        <v/>
      </c>
      <c r="X168" t="str">
        <f>IF($P168="","",IF($P168&gt;PARAMETRES!$G$37,5,IF($P168&gt;PARAMETRES!$F$37,4,IF($P168&gt;PARAMETRES!$E$37,3,IF($P168&gt;PARAMETRES!$D$37,2,1)))))</f>
        <v/>
      </c>
      <c r="Y168" t="str">
        <f t="shared" si="48"/>
        <v/>
      </c>
      <c r="Z168" t="str">
        <f>IFERROR(VLOOKUP($B168,TABLE_CYCLE,2,0),"")</f>
        <v/>
      </c>
      <c r="AA168" t="str">
        <f t="shared" si="49"/>
        <v/>
      </c>
      <c r="AB168" t="str">
        <f>IF($D168="","",IF(COUNTIF($D$2:$D168,$D168)=1,$D168,""))</f>
        <v/>
      </c>
      <c r="AC168">
        <f t="shared" si="50"/>
        <v>0</v>
      </c>
      <c r="AD168" t="str">
        <f t="shared" si="51"/>
        <v>|0</v>
      </c>
      <c r="AE168" t="str">
        <f t="shared" si="52"/>
        <v/>
      </c>
      <c r="AF168" t="str">
        <f t="shared" si="53"/>
        <v/>
      </c>
      <c r="AG168" t="str">
        <f t="shared" si="54"/>
        <v/>
      </c>
      <c r="AH168" t="str">
        <f t="shared" si="55"/>
        <v/>
      </c>
      <c r="AI168" t="str">
        <f t="shared" si="56"/>
        <v/>
      </c>
      <c r="AJ168" t="str">
        <f t="shared" si="57"/>
        <v/>
      </c>
      <c r="AK168" t="str">
        <f t="shared" si="58"/>
        <v/>
      </c>
      <c r="AL168" t="str">
        <f t="shared" si="59"/>
        <v/>
      </c>
      <c r="AM168" t="str">
        <f t="shared" si="60"/>
        <v/>
      </c>
      <c r="AN168" t="str">
        <f t="shared" si="61"/>
        <v/>
      </c>
      <c r="AO168" t="str">
        <f t="shared" si="62"/>
        <v/>
      </c>
      <c r="AP168">
        <f t="shared" si="63"/>
        <v>1</v>
      </c>
      <c r="AQ168" t="str">
        <f>IF(SAISIE!$F173="","",SAISIE!$Y173)</f>
        <v/>
      </c>
      <c r="AR168" t="str">
        <f>IF(OR(SAISIE!$U$4="",SAISIE!$W$4=""),"",IF(AND($A168=SAISIE!$U$4,$B168=SAISIE!$W$4,$C168="S1"),COUNTIFS($A$2:$A168,SAISIE!$U$4,$B$2:$B168,SAISIE!$W$4,$C$2:$C168,"S1"),""))</f>
        <v/>
      </c>
      <c r="AS168" t="str">
        <f t="shared" si="64"/>
        <v/>
      </c>
      <c r="AT168" t="str">
        <f t="shared" si="65"/>
        <v/>
      </c>
      <c r="AU168" t="str">
        <f t="shared" si="66"/>
        <v/>
      </c>
      <c r="AV168">
        <f>N(AV167)+IF(AND($AB168&lt;&gt;"",OR('PROFIL ELEVE'!$K$4="(Tous)",$AF168='PROFIL ELEVE'!$K$4)),1,0)</f>
        <v>0</v>
      </c>
      <c r="AW168">
        <f>N(AW167)+IF(AND($AB168&lt;&gt;"",OR('SUIVI LONGITUDINAL'!$Q$4="(Tous)",$AF168='SUIVI LONGITUDINAL'!$Q$4)),1,0)</f>
        <v>0</v>
      </c>
      <c r="AX168">
        <f t="shared" si="67"/>
        <v>0</v>
      </c>
      <c r="AY168">
        <f t="shared" si="68"/>
        <v>0</v>
      </c>
      <c r="AZ168">
        <f t="shared" si="69"/>
        <v>0</v>
      </c>
      <c r="BA168" t="str">
        <f t="shared" si="70"/>
        <v/>
      </c>
      <c r="BB168" t="str">
        <f t="shared" si="71"/>
        <v/>
      </c>
    </row>
    <row r="169" spans="1:54" ht="14.25" customHeight="1" x14ac:dyDescent="0.3">
      <c r="A169" t="str">
        <f>IF(SAISIE!$F174="","",SAISIE!$B174)</f>
        <v/>
      </c>
      <c r="B169" t="str">
        <f>IF(SAISIE!$F174="","",SAISIE!$C174)</f>
        <v/>
      </c>
      <c r="C169" t="str">
        <f>IF(SAISIE!$F174="","",SAISIE!$D174)</f>
        <v/>
      </c>
      <c r="D169" t="str">
        <f>IF(SAISIE!$E174="","",SAISIE!$E174)</f>
        <v/>
      </c>
      <c r="E169" t="str">
        <f>IF(SAISIE!$F174="","",SAISIE!$F174)</f>
        <v/>
      </c>
      <c r="F169" t="str">
        <f>IF(SAISIE!$G174="","",SAISIE!$G174)</f>
        <v/>
      </c>
      <c r="G169" t="str">
        <f>IF(SAISIE!$H174="","",SAISIE!$H174)</f>
        <v/>
      </c>
      <c r="H169" t="str">
        <f>IF(SAISIE!$I174="","",SAISIE!$I174)</f>
        <v/>
      </c>
      <c r="I169" t="str">
        <f>IF(SAISIE!$J174="","",SAISIE!$J174)</f>
        <v/>
      </c>
      <c r="J169" t="str">
        <f>IF(SAISIE!$K174="","",SAISIE!$K174)</f>
        <v/>
      </c>
      <c r="K169" t="str">
        <f>IF(SAISIE!$L174="","",SAISIE!$L174)</f>
        <v/>
      </c>
      <c r="L169" t="str">
        <f>IF(SAISIE!$M174="","",SAISIE!$M174)</f>
        <v/>
      </c>
      <c r="M169" t="str">
        <f>IF(SAISIE!$N174="","",SAISIE!$N174)</f>
        <v/>
      </c>
      <c r="N169" t="str">
        <f>IF(SAISIE!$O174="","",SAISIE!$O174)</f>
        <v/>
      </c>
      <c r="O169" t="str">
        <f>IF(SAISIE!$P174="","",SAISIE!$P174)</f>
        <v/>
      </c>
      <c r="P169" t="str">
        <f>IF(SAISIE!$Q174="","",SAISIE!$Q174)</f>
        <v/>
      </c>
      <c r="Q169" t="str">
        <f>IF($I169="","",IF($I169&gt;PARAMETRES!$G$29,5,IF($I169&gt;PARAMETRES!$F$29,4,IF($I169&gt;PARAMETRES!$E$29,3,IF($I169&gt;PARAMETRES!$D$29,2,1)))))</f>
        <v/>
      </c>
      <c r="R169" t="str">
        <f>IF($J169="","",IF($J169&gt;PARAMETRES!$G$30,5,IF($J169&gt;PARAMETRES!$F$30,4,IF($J169&gt;PARAMETRES!$E$30,3,IF($J169&gt;PARAMETRES!$D$30,2,1)))))</f>
        <v/>
      </c>
      <c r="S169" t="str">
        <f>IF($K169="","",IF($Z169=2,IF($K169&gt;PARAMETRES!$G$31,5,IF($K169&gt;PARAMETRES!$F$31,4,IF($K169&gt;PARAMETRES!$E$31,3,IF($K169&gt;PARAMETRES!$D$31,2,1)))),IF($K169&gt;PARAMETRES!$G$32,5,IF($K169&gt;PARAMETRES!$F$32,4,IF($K169&gt;PARAMETRES!$E$32,3,IF($K169&gt;PARAMETRES!$D$32,2,1))))))</f>
        <v/>
      </c>
      <c r="T169" t="str">
        <f>IF($L169="","",IF($L169&gt;PARAMETRES!$G$33,5,IF($L169&gt;PARAMETRES!$F$33,4,IF($L169&gt;PARAMETRES!$E$33,3,IF($L169&gt;PARAMETRES!$D$33,2,1)))))</f>
        <v/>
      </c>
      <c r="U169" t="str">
        <f>IF($M169="","",IF($M169&gt;PARAMETRES!$G$34,5,IF($M169&gt;PARAMETRES!$F$34,4,IF($M169&gt;PARAMETRES!$E$34,3,IF($M169&gt;PARAMETRES!$D$34,2,1)))))</f>
        <v/>
      </c>
      <c r="V169" t="str">
        <f>IF($N169="","",IF($N169&gt;PARAMETRES!$G$35,5,IF($N169&gt;PARAMETRES!$F$35,4,IF($N169&gt;PARAMETRES!$E$35,3,IF($N169&gt;PARAMETRES!$D$35,2,1)))))</f>
        <v/>
      </c>
      <c r="W169" t="str">
        <f>IF($O169="","",IF($O169&gt;PARAMETRES!$G$36,5,IF($O169&gt;PARAMETRES!$F$36,4,IF($O169&gt;PARAMETRES!$E$36,3,IF($O169&gt;PARAMETRES!$D$36,2,1)))))</f>
        <v/>
      </c>
      <c r="X169" t="str">
        <f>IF($P169="","",IF($P169&gt;PARAMETRES!$G$37,5,IF($P169&gt;PARAMETRES!$F$37,4,IF($P169&gt;PARAMETRES!$E$37,3,IF($P169&gt;PARAMETRES!$D$37,2,1)))))</f>
        <v/>
      </c>
      <c r="Y169" t="str">
        <f t="shared" si="48"/>
        <v/>
      </c>
      <c r="Z169" t="str">
        <f>IFERROR(VLOOKUP($B169,TABLE_CYCLE,2,0),"")</f>
        <v/>
      </c>
      <c r="AA169" t="str">
        <f t="shared" si="49"/>
        <v/>
      </c>
      <c r="AB169" t="str">
        <f>IF($D169="","",IF(COUNTIF($D$2:$D169,$D169)=1,$D169,""))</f>
        <v/>
      </c>
      <c r="AC169">
        <f t="shared" si="50"/>
        <v>0</v>
      </c>
      <c r="AD169" t="str">
        <f t="shared" si="51"/>
        <v>|0</v>
      </c>
      <c r="AE169" t="str">
        <f t="shared" si="52"/>
        <v/>
      </c>
      <c r="AF169" t="str">
        <f t="shared" si="53"/>
        <v/>
      </c>
      <c r="AG169" t="str">
        <f t="shared" si="54"/>
        <v/>
      </c>
      <c r="AH169" t="str">
        <f t="shared" si="55"/>
        <v/>
      </c>
      <c r="AI169" t="str">
        <f t="shared" si="56"/>
        <v/>
      </c>
      <c r="AJ169" t="str">
        <f t="shared" si="57"/>
        <v/>
      </c>
      <c r="AK169" t="str">
        <f t="shared" si="58"/>
        <v/>
      </c>
      <c r="AL169" t="str">
        <f t="shared" si="59"/>
        <v/>
      </c>
      <c r="AM169" t="str">
        <f t="shared" si="60"/>
        <v/>
      </c>
      <c r="AN169" t="str">
        <f t="shared" si="61"/>
        <v/>
      </c>
      <c r="AO169" t="str">
        <f t="shared" si="62"/>
        <v/>
      </c>
      <c r="AP169">
        <f t="shared" si="63"/>
        <v>1</v>
      </c>
      <c r="AQ169" t="str">
        <f>IF(SAISIE!$F174="","",SAISIE!$Y174)</f>
        <v/>
      </c>
      <c r="AR169" t="str">
        <f>IF(OR(SAISIE!$U$4="",SAISIE!$W$4=""),"",IF(AND($A169=SAISIE!$U$4,$B169=SAISIE!$W$4,$C169="S1"),COUNTIFS($A$2:$A169,SAISIE!$U$4,$B$2:$B169,SAISIE!$W$4,$C$2:$C169,"S1"),""))</f>
        <v/>
      </c>
      <c r="AS169" t="str">
        <f t="shared" si="64"/>
        <v/>
      </c>
      <c r="AT169" t="str">
        <f t="shared" si="65"/>
        <v/>
      </c>
      <c r="AU169" t="str">
        <f t="shared" si="66"/>
        <v/>
      </c>
      <c r="AV169">
        <f>N(AV168)+IF(AND($AB169&lt;&gt;"",OR('PROFIL ELEVE'!$K$4="(Tous)",$AF169='PROFIL ELEVE'!$K$4)),1,0)</f>
        <v>0</v>
      </c>
      <c r="AW169">
        <f>N(AW168)+IF(AND($AB169&lt;&gt;"",OR('SUIVI LONGITUDINAL'!$Q$4="(Tous)",$AF169='SUIVI LONGITUDINAL'!$Q$4)),1,0)</f>
        <v>0</v>
      </c>
      <c r="AX169">
        <f t="shared" si="67"/>
        <v>0</v>
      </c>
      <c r="AY169">
        <f t="shared" si="68"/>
        <v>0</v>
      </c>
      <c r="AZ169">
        <f t="shared" si="69"/>
        <v>0</v>
      </c>
      <c r="BA169" t="str">
        <f t="shared" si="70"/>
        <v/>
      </c>
      <c r="BB169" t="str">
        <f t="shared" si="71"/>
        <v/>
      </c>
    </row>
    <row r="170" spans="1:54" ht="14.25" customHeight="1" x14ac:dyDescent="0.3">
      <c r="A170" t="str">
        <f>IF(SAISIE!$F175="","",SAISIE!$B175)</f>
        <v/>
      </c>
      <c r="B170" t="str">
        <f>IF(SAISIE!$F175="","",SAISIE!$C175)</f>
        <v/>
      </c>
      <c r="C170" t="str">
        <f>IF(SAISIE!$F175="","",SAISIE!$D175)</f>
        <v/>
      </c>
      <c r="D170" t="str">
        <f>IF(SAISIE!$E175="","",SAISIE!$E175)</f>
        <v/>
      </c>
      <c r="E170" t="str">
        <f>IF(SAISIE!$F175="","",SAISIE!$F175)</f>
        <v/>
      </c>
      <c r="F170" t="str">
        <f>IF(SAISIE!$G175="","",SAISIE!$G175)</f>
        <v/>
      </c>
      <c r="G170" t="str">
        <f>IF(SAISIE!$H175="","",SAISIE!$H175)</f>
        <v/>
      </c>
      <c r="H170" t="str">
        <f>IF(SAISIE!$I175="","",SAISIE!$I175)</f>
        <v/>
      </c>
      <c r="I170" t="str">
        <f>IF(SAISIE!$J175="","",SAISIE!$J175)</f>
        <v/>
      </c>
      <c r="J170" t="str">
        <f>IF(SAISIE!$K175="","",SAISIE!$K175)</f>
        <v/>
      </c>
      <c r="K170" t="str">
        <f>IF(SAISIE!$L175="","",SAISIE!$L175)</f>
        <v/>
      </c>
      <c r="L170" t="str">
        <f>IF(SAISIE!$M175="","",SAISIE!$M175)</f>
        <v/>
      </c>
      <c r="M170" t="str">
        <f>IF(SAISIE!$N175="","",SAISIE!$N175)</f>
        <v/>
      </c>
      <c r="N170" t="str">
        <f>IF(SAISIE!$O175="","",SAISIE!$O175)</f>
        <v/>
      </c>
      <c r="O170" t="str">
        <f>IF(SAISIE!$P175="","",SAISIE!$P175)</f>
        <v/>
      </c>
      <c r="P170" t="str">
        <f>IF(SAISIE!$Q175="","",SAISIE!$Q175)</f>
        <v/>
      </c>
      <c r="Q170" t="str">
        <f>IF($I170="","",IF($I170&gt;PARAMETRES!$G$29,5,IF($I170&gt;PARAMETRES!$F$29,4,IF($I170&gt;PARAMETRES!$E$29,3,IF($I170&gt;PARAMETRES!$D$29,2,1)))))</f>
        <v/>
      </c>
      <c r="R170" t="str">
        <f>IF($J170="","",IF($J170&gt;PARAMETRES!$G$30,5,IF($J170&gt;PARAMETRES!$F$30,4,IF($J170&gt;PARAMETRES!$E$30,3,IF($J170&gt;PARAMETRES!$D$30,2,1)))))</f>
        <v/>
      </c>
      <c r="S170" t="str">
        <f>IF($K170="","",IF($Z170=2,IF($K170&gt;PARAMETRES!$G$31,5,IF($K170&gt;PARAMETRES!$F$31,4,IF($K170&gt;PARAMETRES!$E$31,3,IF($K170&gt;PARAMETRES!$D$31,2,1)))),IF($K170&gt;PARAMETRES!$G$32,5,IF($K170&gt;PARAMETRES!$F$32,4,IF($K170&gt;PARAMETRES!$E$32,3,IF($K170&gt;PARAMETRES!$D$32,2,1))))))</f>
        <v/>
      </c>
      <c r="T170" t="str">
        <f>IF($L170="","",IF($L170&gt;PARAMETRES!$G$33,5,IF($L170&gt;PARAMETRES!$F$33,4,IF($L170&gt;PARAMETRES!$E$33,3,IF($L170&gt;PARAMETRES!$D$33,2,1)))))</f>
        <v/>
      </c>
      <c r="U170" t="str">
        <f>IF($M170="","",IF($M170&gt;PARAMETRES!$G$34,5,IF($M170&gt;PARAMETRES!$F$34,4,IF($M170&gt;PARAMETRES!$E$34,3,IF($M170&gt;PARAMETRES!$D$34,2,1)))))</f>
        <v/>
      </c>
      <c r="V170" t="str">
        <f>IF($N170="","",IF($N170&gt;PARAMETRES!$G$35,5,IF($N170&gt;PARAMETRES!$F$35,4,IF($N170&gt;PARAMETRES!$E$35,3,IF($N170&gt;PARAMETRES!$D$35,2,1)))))</f>
        <v/>
      </c>
      <c r="W170" t="str">
        <f>IF($O170="","",IF($O170&gt;PARAMETRES!$G$36,5,IF($O170&gt;PARAMETRES!$F$36,4,IF($O170&gt;PARAMETRES!$E$36,3,IF($O170&gt;PARAMETRES!$D$36,2,1)))))</f>
        <v/>
      </c>
      <c r="X170" t="str">
        <f>IF($P170="","",IF($P170&gt;PARAMETRES!$G$37,5,IF($P170&gt;PARAMETRES!$F$37,4,IF($P170&gt;PARAMETRES!$E$37,3,IF($P170&gt;PARAMETRES!$D$37,2,1)))))</f>
        <v/>
      </c>
      <c r="Y170" t="str">
        <f t="shared" si="48"/>
        <v/>
      </c>
      <c r="Z170" t="str">
        <f>IFERROR(VLOOKUP($B170,TABLE_CYCLE,2,0),"")</f>
        <v/>
      </c>
      <c r="AA170" t="str">
        <f t="shared" si="49"/>
        <v/>
      </c>
      <c r="AB170" t="str">
        <f>IF($D170="","",IF(COUNTIF($D$2:$D170,$D170)=1,$D170,""))</f>
        <v/>
      </c>
      <c r="AC170">
        <f t="shared" si="50"/>
        <v>0</v>
      </c>
      <c r="AD170" t="str">
        <f t="shared" si="51"/>
        <v>|0</v>
      </c>
      <c r="AE170" t="str">
        <f t="shared" si="52"/>
        <v/>
      </c>
      <c r="AF170" t="str">
        <f t="shared" si="53"/>
        <v/>
      </c>
      <c r="AG170" t="str">
        <f t="shared" si="54"/>
        <v/>
      </c>
      <c r="AH170" t="str">
        <f t="shared" si="55"/>
        <v/>
      </c>
      <c r="AI170" t="str">
        <f t="shared" si="56"/>
        <v/>
      </c>
      <c r="AJ170" t="str">
        <f t="shared" si="57"/>
        <v/>
      </c>
      <c r="AK170" t="str">
        <f t="shared" si="58"/>
        <v/>
      </c>
      <c r="AL170" t="str">
        <f t="shared" si="59"/>
        <v/>
      </c>
      <c r="AM170" t="str">
        <f t="shared" si="60"/>
        <v/>
      </c>
      <c r="AN170" t="str">
        <f t="shared" si="61"/>
        <v/>
      </c>
      <c r="AO170" t="str">
        <f t="shared" si="62"/>
        <v/>
      </c>
      <c r="AP170">
        <f t="shared" si="63"/>
        <v>1</v>
      </c>
      <c r="AQ170" t="str">
        <f>IF(SAISIE!$F175="","",SAISIE!$Y175)</f>
        <v/>
      </c>
      <c r="AR170" t="str">
        <f>IF(OR(SAISIE!$U$4="",SAISIE!$W$4=""),"",IF(AND($A170=SAISIE!$U$4,$B170=SAISIE!$W$4,$C170="S1"),COUNTIFS($A$2:$A170,SAISIE!$U$4,$B$2:$B170,SAISIE!$W$4,$C$2:$C170,"S1"),""))</f>
        <v/>
      </c>
      <c r="AS170" t="str">
        <f t="shared" si="64"/>
        <v/>
      </c>
      <c r="AT170" t="str">
        <f t="shared" si="65"/>
        <v/>
      </c>
      <c r="AU170" t="str">
        <f t="shared" si="66"/>
        <v/>
      </c>
      <c r="AV170">
        <f>N(AV169)+IF(AND($AB170&lt;&gt;"",OR('PROFIL ELEVE'!$K$4="(Tous)",$AF170='PROFIL ELEVE'!$K$4)),1,0)</f>
        <v>0</v>
      </c>
      <c r="AW170">
        <f>N(AW169)+IF(AND($AB170&lt;&gt;"",OR('SUIVI LONGITUDINAL'!$Q$4="(Tous)",$AF170='SUIVI LONGITUDINAL'!$Q$4)),1,0)</f>
        <v>0</v>
      </c>
      <c r="AX170">
        <f t="shared" si="67"/>
        <v>0</v>
      </c>
      <c r="AY170">
        <f t="shared" si="68"/>
        <v>0</v>
      </c>
      <c r="AZ170">
        <f t="shared" si="69"/>
        <v>0</v>
      </c>
      <c r="BA170" t="str">
        <f t="shared" si="70"/>
        <v/>
      </c>
      <c r="BB170" t="str">
        <f t="shared" si="71"/>
        <v/>
      </c>
    </row>
    <row r="171" spans="1:54" ht="14.25" customHeight="1" x14ac:dyDescent="0.3">
      <c r="A171" t="str">
        <f>IF(SAISIE!$F176="","",SAISIE!$B176)</f>
        <v/>
      </c>
      <c r="B171" t="str">
        <f>IF(SAISIE!$F176="","",SAISIE!$C176)</f>
        <v/>
      </c>
      <c r="C171" t="str">
        <f>IF(SAISIE!$F176="","",SAISIE!$D176)</f>
        <v/>
      </c>
      <c r="D171" t="str">
        <f>IF(SAISIE!$E176="","",SAISIE!$E176)</f>
        <v/>
      </c>
      <c r="E171" t="str">
        <f>IF(SAISIE!$F176="","",SAISIE!$F176)</f>
        <v/>
      </c>
      <c r="F171" t="str">
        <f>IF(SAISIE!$G176="","",SAISIE!$G176)</f>
        <v/>
      </c>
      <c r="G171" t="str">
        <f>IF(SAISIE!$H176="","",SAISIE!$H176)</f>
        <v/>
      </c>
      <c r="H171" t="str">
        <f>IF(SAISIE!$I176="","",SAISIE!$I176)</f>
        <v/>
      </c>
      <c r="I171" t="str">
        <f>IF(SAISIE!$J176="","",SAISIE!$J176)</f>
        <v/>
      </c>
      <c r="J171" t="str">
        <f>IF(SAISIE!$K176="","",SAISIE!$K176)</f>
        <v/>
      </c>
      <c r="K171" t="str">
        <f>IF(SAISIE!$L176="","",SAISIE!$L176)</f>
        <v/>
      </c>
      <c r="L171" t="str">
        <f>IF(SAISIE!$M176="","",SAISIE!$M176)</f>
        <v/>
      </c>
      <c r="M171" t="str">
        <f>IF(SAISIE!$N176="","",SAISIE!$N176)</f>
        <v/>
      </c>
      <c r="N171" t="str">
        <f>IF(SAISIE!$O176="","",SAISIE!$O176)</f>
        <v/>
      </c>
      <c r="O171" t="str">
        <f>IF(SAISIE!$P176="","",SAISIE!$P176)</f>
        <v/>
      </c>
      <c r="P171" t="str">
        <f>IF(SAISIE!$Q176="","",SAISIE!$Q176)</f>
        <v/>
      </c>
      <c r="Q171" t="str">
        <f>IF($I171="","",IF($I171&gt;PARAMETRES!$G$29,5,IF($I171&gt;PARAMETRES!$F$29,4,IF($I171&gt;PARAMETRES!$E$29,3,IF($I171&gt;PARAMETRES!$D$29,2,1)))))</f>
        <v/>
      </c>
      <c r="R171" t="str">
        <f>IF($J171="","",IF($J171&gt;PARAMETRES!$G$30,5,IF($J171&gt;PARAMETRES!$F$30,4,IF($J171&gt;PARAMETRES!$E$30,3,IF($J171&gt;PARAMETRES!$D$30,2,1)))))</f>
        <v/>
      </c>
      <c r="S171" t="str">
        <f>IF($K171="","",IF($Z171=2,IF($K171&gt;PARAMETRES!$G$31,5,IF($K171&gt;PARAMETRES!$F$31,4,IF($K171&gt;PARAMETRES!$E$31,3,IF($K171&gt;PARAMETRES!$D$31,2,1)))),IF($K171&gt;PARAMETRES!$G$32,5,IF($K171&gt;PARAMETRES!$F$32,4,IF($K171&gt;PARAMETRES!$E$32,3,IF($K171&gt;PARAMETRES!$D$32,2,1))))))</f>
        <v/>
      </c>
      <c r="T171" t="str">
        <f>IF($L171="","",IF($L171&gt;PARAMETRES!$G$33,5,IF($L171&gt;PARAMETRES!$F$33,4,IF($L171&gt;PARAMETRES!$E$33,3,IF($L171&gt;PARAMETRES!$D$33,2,1)))))</f>
        <v/>
      </c>
      <c r="U171" t="str">
        <f>IF($M171="","",IF($M171&gt;PARAMETRES!$G$34,5,IF($M171&gt;PARAMETRES!$F$34,4,IF($M171&gt;PARAMETRES!$E$34,3,IF($M171&gt;PARAMETRES!$D$34,2,1)))))</f>
        <v/>
      </c>
      <c r="V171" t="str">
        <f>IF($N171="","",IF($N171&gt;PARAMETRES!$G$35,5,IF($N171&gt;PARAMETRES!$F$35,4,IF($N171&gt;PARAMETRES!$E$35,3,IF($N171&gt;PARAMETRES!$D$35,2,1)))))</f>
        <v/>
      </c>
      <c r="W171" t="str">
        <f>IF($O171="","",IF($O171&gt;PARAMETRES!$G$36,5,IF($O171&gt;PARAMETRES!$F$36,4,IF($O171&gt;PARAMETRES!$E$36,3,IF($O171&gt;PARAMETRES!$D$36,2,1)))))</f>
        <v/>
      </c>
      <c r="X171" t="str">
        <f>IF($P171="","",IF($P171&gt;PARAMETRES!$G$37,5,IF($P171&gt;PARAMETRES!$F$37,4,IF($P171&gt;PARAMETRES!$E$37,3,IF($P171&gt;PARAMETRES!$D$37,2,1)))))</f>
        <v/>
      </c>
      <c r="Y171" t="str">
        <f t="shared" si="48"/>
        <v/>
      </c>
      <c r="Z171" t="str">
        <f>IFERROR(VLOOKUP($B171,TABLE_CYCLE,2,0),"")</f>
        <v/>
      </c>
      <c r="AA171" t="str">
        <f t="shared" si="49"/>
        <v/>
      </c>
      <c r="AB171" t="str">
        <f>IF($D171="","",IF(COUNTIF($D$2:$D171,$D171)=1,$D171,""))</f>
        <v/>
      </c>
      <c r="AC171">
        <f t="shared" si="50"/>
        <v>0</v>
      </c>
      <c r="AD171" t="str">
        <f t="shared" si="51"/>
        <v>|0</v>
      </c>
      <c r="AE171" t="str">
        <f t="shared" si="52"/>
        <v/>
      </c>
      <c r="AF171" t="str">
        <f t="shared" si="53"/>
        <v/>
      </c>
      <c r="AG171" t="str">
        <f t="shared" si="54"/>
        <v/>
      </c>
      <c r="AH171" t="str">
        <f t="shared" si="55"/>
        <v/>
      </c>
      <c r="AI171" t="str">
        <f t="shared" si="56"/>
        <v/>
      </c>
      <c r="AJ171" t="str">
        <f t="shared" si="57"/>
        <v/>
      </c>
      <c r="AK171" t="str">
        <f t="shared" si="58"/>
        <v/>
      </c>
      <c r="AL171" t="str">
        <f t="shared" si="59"/>
        <v/>
      </c>
      <c r="AM171" t="str">
        <f t="shared" si="60"/>
        <v/>
      </c>
      <c r="AN171" t="str">
        <f t="shared" si="61"/>
        <v/>
      </c>
      <c r="AO171" t="str">
        <f t="shared" si="62"/>
        <v/>
      </c>
      <c r="AP171">
        <f t="shared" si="63"/>
        <v>1</v>
      </c>
      <c r="AQ171" t="str">
        <f>IF(SAISIE!$F176="","",SAISIE!$Y176)</f>
        <v/>
      </c>
      <c r="AR171" t="str">
        <f>IF(OR(SAISIE!$U$4="",SAISIE!$W$4=""),"",IF(AND($A171=SAISIE!$U$4,$B171=SAISIE!$W$4,$C171="S1"),COUNTIFS($A$2:$A171,SAISIE!$U$4,$B$2:$B171,SAISIE!$W$4,$C$2:$C171,"S1"),""))</f>
        <v/>
      </c>
      <c r="AS171" t="str">
        <f t="shared" si="64"/>
        <v/>
      </c>
      <c r="AT171" t="str">
        <f t="shared" si="65"/>
        <v/>
      </c>
      <c r="AU171" t="str">
        <f t="shared" si="66"/>
        <v/>
      </c>
      <c r="AV171">
        <f>N(AV170)+IF(AND($AB171&lt;&gt;"",OR('PROFIL ELEVE'!$K$4="(Tous)",$AF171='PROFIL ELEVE'!$K$4)),1,0)</f>
        <v>0</v>
      </c>
      <c r="AW171">
        <f>N(AW170)+IF(AND($AB171&lt;&gt;"",OR('SUIVI LONGITUDINAL'!$Q$4="(Tous)",$AF171='SUIVI LONGITUDINAL'!$Q$4)),1,0)</f>
        <v>0</v>
      </c>
      <c r="AX171">
        <f t="shared" si="67"/>
        <v>0</v>
      </c>
      <c r="AY171">
        <f t="shared" si="68"/>
        <v>0</v>
      </c>
      <c r="AZ171">
        <f t="shared" si="69"/>
        <v>0</v>
      </c>
      <c r="BA171" t="str">
        <f t="shared" si="70"/>
        <v/>
      </c>
      <c r="BB171" t="str">
        <f t="shared" si="71"/>
        <v/>
      </c>
    </row>
    <row r="172" spans="1:54" ht="14.25" customHeight="1" x14ac:dyDescent="0.3">
      <c r="A172" t="str">
        <f>IF(SAISIE!$F177="","",SAISIE!$B177)</f>
        <v/>
      </c>
      <c r="B172" t="str">
        <f>IF(SAISIE!$F177="","",SAISIE!$C177)</f>
        <v/>
      </c>
      <c r="C172" t="str">
        <f>IF(SAISIE!$F177="","",SAISIE!$D177)</f>
        <v/>
      </c>
      <c r="D172" t="str">
        <f>IF(SAISIE!$E177="","",SAISIE!$E177)</f>
        <v/>
      </c>
      <c r="E172" t="str">
        <f>IF(SAISIE!$F177="","",SAISIE!$F177)</f>
        <v/>
      </c>
      <c r="F172" t="str">
        <f>IF(SAISIE!$G177="","",SAISIE!$G177)</f>
        <v/>
      </c>
      <c r="G172" t="str">
        <f>IF(SAISIE!$H177="","",SAISIE!$H177)</f>
        <v/>
      </c>
      <c r="H172" t="str">
        <f>IF(SAISIE!$I177="","",SAISIE!$I177)</f>
        <v/>
      </c>
      <c r="I172" t="str">
        <f>IF(SAISIE!$J177="","",SAISIE!$J177)</f>
        <v/>
      </c>
      <c r="J172" t="str">
        <f>IF(SAISIE!$K177="","",SAISIE!$K177)</f>
        <v/>
      </c>
      <c r="K172" t="str">
        <f>IF(SAISIE!$L177="","",SAISIE!$L177)</f>
        <v/>
      </c>
      <c r="L172" t="str">
        <f>IF(SAISIE!$M177="","",SAISIE!$M177)</f>
        <v/>
      </c>
      <c r="M172" t="str">
        <f>IF(SAISIE!$N177="","",SAISIE!$N177)</f>
        <v/>
      </c>
      <c r="N172" t="str">
        <f>IF(SAISIE!$O177="","",SAISIE!$O177)</f>
        <v/>
      </c>
      <c r="O172" t="str">
        <f>IF(SAISIE!$P177="","",SAISIE!$P177)</f>
        <v/>
      </c>
      <c r="P172" t="str">
        <f>IF(SAISIE!$Q177="","",SAISIE!$Q177)</f>
        <v/>
      </c>
      <c r="Q172" t="str">
        <f>IF($I172="","",IF($I172&gt;PARAMETRES!$G$29,5,IF($I172&gt;PARAMETRES!$F$29,4,IF($I172&gt;PARAMETRES!$E$29,3,IF($I172&gt;PARAMETRES!$D$29,2,1)))))</f>
        <v/>
      </c>
      <c r="R172" t="str">
        <f>IF($J172="","",IF($J172&gt;PARAMETRES!$G$30,5,IF($J172&gt;PARAMETRES!$F$30,4,IF($J172&gt;PARAMETRES!$E$30,3,IF($J172&gt;PARAMETRES!$D$30,2,1)))))</f>
        <v/>
      </c>
      <c r="S172" t="str">
        <f>IF($K172="","",IF($Z172=2,IF($K172&gt;PARAMETRES!$G$31,5,IF($K172&gt;PARAMETRES!$F$31,4,IF($K172&gt;PARAMETRES!$E$31,3,IF($K172&gt;PARAMETRES!$D$31,2,1)))),IF($K172&gt;PARAMETRES!$G$32,5,IF($K172&gt;PARAMETRES!$F$32,4,IF($K172&gt;PARAMETRES!$E$32,3,IF($K172&gt;PARAMETRES!$D$32,2,1))))))</f>
        <v/>
      </c>
      <c r="T172" t="str">
        <f>IF($L172="","",IF($L172&gt;PARAMETRES!$G$33,5,IF($L172&gt;PARAMETRES!$F$33,4,IF($L172&gt;PARAMETRES!$E$33,3,IF($L172&gt;PARAMETRES!$D$33,2,1)))))</f>
        <v/>
      </c>
      <c r="U172" t="str">
        <f>IF($M172="","",IF($M172&gt;PARAMETRES!$G$34,5,IF($M172&gt;PARAMETRES!$F$34,4,IF($M172&gt;PARAMETRES!$E$34,3,IF($M172&gt;PARAMETRES!$D$34,2,1)))))</f>
        <v/>
      </c>
      <c r="V172" t="str">
        <f>IF($N172="","",IF($N172&gt;PARAMETRES!$G$35,5,IF($N172&gt;PARAMETRES!$F$35,4,IF($N172&gt;PARAMETRES!$E$35,3,IF($N172&gt;PARAMETRES!$D$35,2,1)))))</f>
        <v/>
      </c>
      <c r="W172" t="str">
        <f>IF($O172="","",IF($O172&gt;PARAMETRES!$G$36,5,IF($O172&gt;PARAMETRES!$F$36,4,IF($O172&gt;PARAMETRES!$E$36,3,IF($O172&gt;PARAMETRES!$D$36,2,1)))))</f>
        <v/>
      </c>
      <c r="X172" t="str">
        <f>IF($P172="","",IF($P172&gt;PARAMETRES!$G$37,5,IF($P172&gt;PARAMETRES!$F$37,4,IF($P172&gt;PARAMETRES!$E$37,3,IF($P172&gt;PARAMETRES!$D$37,2,1)))))</f>
        <v/>
      </c>
      <c r="Y172" t="str">
        <f t="shared" si="48"/>
        <v/>
      </c>
      <c r="Z172" t="str">
        <f>IFERROR(VLOOKUP($B172,TABLE_CYCLE,2,0),"")</f>
        <v/>
      </c>
      <c r="AA172" t="str">
        <f t="shared" si="49"/>
        <v/>
      </c>
      <c r="AB172" t="str">
        <f>IF($D172="","",IF(COUNTIF($D$2:$D172,$D172)=1,$D172,""))</f>
        <v/>
      </c>
      <c r="AC172">
        <f t="shared" si="50"/>
        <v>0</v>
      </c>
      <c r="AD172" t="str">
        <f t="shared" si="51"/>
        <v>|0</v>
      </c>
      <c r="AE172" t="str">
        <f t="shared" si="52"/>
        <v/>
      </c>
      <c r="AF172" t="str">
        <f t="shared" si="53"/>
        <v/>
      </c>
      <c r="AG172" t="str">
        <f t="shared" si="54"/>
        <v/>
      </c>
      <c r="AH172" t="str">
        <f t="shared" si="55"/>
        <v/>
      </c>
      <c r="AI172" t="str">
        <f t="shared" si="56"/>
        <v/>
      </c>
      <c r="AJ172" t="str">
        <f t="shared" si="57"/>
        <v/>
      </c>
      <c r="AK172" t="str">
        <f t="shared" si="58"/>
        <v/>
      </c>
      <c r="AL172" t="str">
        <f t="shared" si="59"/>
        <v/>
      </c>
      <c r="AM172" t="str">
        <f t="shared" si="60"/>
        <v/>
      </c>
      <c r="AN172" t="str">
        <f t="shared" si="61"/>
        <v/>
      </c>
      <c r="AO172" t="str">
        <f t="shared" si="62"/>
        <v/>
      </c>
      <c r="AP172">
        <f t="shared" si="63"/>
        <v>1</v>
      </c>
      <c r="AQ172" t="str">
        <f>IF(SAISIE!$F177="","",SAISIE!$Y177)</f>
        <v/>
      </c>
      <c r="AR172" t="str">
        <f>IF(OR(SAISIE!$U$4="",SAISIE!$W$4=""),"",IF(AND($A172=SAISIE!$U$4,$B172=SAISIE!$W$4,$C172="S1"),COUNTIFS($A$2:$A172,SAISIE!$U$4,$B$2:$B172,SAISIE!$W$4,$C$2:$C172,"S1"),""))</f>
        <v/>
      </c>
      <c r="AS172" t="str">
        <f t="shared" si="64"/>
        <v/>
      </c>
      <c r="AT172" t="str">
        <f t="shared" si="65"/>
        <v/>
      </c>
      <c r="AU172" t="str">
        <f t="shared" si="66"/>
        <v/>
      </c>
      <c r="AV172">
        <f>N(AV171)+IF(AND($AB172&lt;&gt;"",OR('PROFIL ELEVE'!$K$4="(Tous)",$AF172='PROFIL ELEVE'!$K$4)),1,0)</f>
        <v>0</v>
      </c>
      <c r="AW172">
        <f>N(AW171)+IF(AND($AB172&lt;&gt;"",OR('SUIVI LONGITUDINAL'!$Q$4="(Tous)",$AF172='SUIVI LONGITUDINAL'!$Q$4)),1,0)</f>
        <v>0</v>
      </c>
      <c r="AX172">
        <f t="shared" si="67"/>
        <v>0</v>
      </c>
      <c r="AY172">
        <f t="shared" si="68"/>
        <v>0</v>
      </c>
      <c r="AZ172">
        <f t="shared" si="69"/>
        <v>0</v>
      </c>
      <c r="BA172" t="str">
        <f t="shared" si="70"/>
        <v/>
      </c>
      <c r="BB172" t="str">
        <f t="shared" si="71"/>
        <v/>
      </c>
    </row>
    <row r="173" spans="1:54" ht="14.25" customHeight="1" x14ac:dyDescent="0.3">
      <c r="A173" t="str">
        <f>IF(SAISIE!$F178="","",SAISIE!$B178)</f>
        <v/>
      </c>
      <c r="B173" t="str">
        <f>IF(SAISIE!$F178="","",SAISIE!$C178)</f>
        <v/>
      </c>
      <c r="C173" t="str">
        <f>IF(SAISIE!$F178="","",SAISIE!$D178)</f>
        <v/>
      </c>
      <c r="D173" t="str">
        <f>IF(SAISIE!$E178="","",SAISIE!$E178)</f>
        <v/>
      </c>
      <c r="E173" t="str">
        <f>IF(SAISIE!$F178="","",SAISIE!$F178)</f>
        <v/>
      </c>
      <c r="F173" t="str">
        <f>IF(SAISIE!$G178="","",SAISIE!$G178)</f>
        <v/>
      </c>
      <c r="G173" t="str">
        <f>IF(SAISIE!$H178="","",SAISIE!$H178)</f>
        <v/>
      </c>
      <c r="H173" t="str">
        <f>IF(SAISIE!$I178="","",SAISIE!$I178)</f>
        <v/>
      </c>
      <c r="I173" t="str">
        <f>IF(SAISIE!$J178="","",SAISIE!$J178)</f>
        <v/>
      </c>
      <c r="J173" t="str">
        <f>IF(SAISIE!$K178="","",SAISIE!$K178)</f>
        <v/>
      </c>
      <c r="K173" t="str">
        <f>IF(SAISIE!$L178="","",SAISIE!$L178)</f>
        <v/>
      </c>
      <c r="L173" t="str">
        <f>IF(SAISIE!$M178="","",SAISIE!$M178)</f>
        <v/>
      </c>
      <c r="M173" t="str">
        <f>IF(SAISIE!$N178="","",SAISIE!$N178)</f>
        <v/>
      </c>
      <c r="N173" t="str">
        <f>IF(SAISIE!$O178="","",SAISIE!$O178)</f>
        <v/>
      </c>
      <c r="O173" t="str">
        <f>IF(SAISIE!$P178="","",SAISIE!$P178)</f>
        <v/>
      </c>
      <c r="P173" t="str">
        <f>IF(SAISIE!$Q178="","",SAISIE!$Q178)</f>
        <v/>
      </c>
      <c r="Q173" t="str">
        <f>IF($I173="","",IF($I173&gt;PARAMETRES!$G$29,5,IF($I173&gt;PARAMETRES!$F$29,4,IF($I173&gt;PARAMETRES!$E$29,3,IF($I173&gt;PARAMETRES!$D$29,2,1)))))</f>
        <v/>
      </c>
      <c r="R173" t="str">
        <f>IF($J173="","",IF($J173&gt;PARAMETRES!$G$30,5,IF($J173&gt;PARAMETRES!$F$30,4,IF($J173&gt;PARAMETRES!$E$30,3,IF($J173&gt;PARAMETRES!$D$30,2,1)))))</f>
        <v/>
      </c>
      <c r="S173" t="str">
        <f>IF($K173="","",IF($Z173=2,IF($K173&gt;PARAMETRES!$G$31,5,IF($K173&gt;PARAMETRES!$F$31,4,IF($K173&gt;PARAMETRES!$E$31,3,IF($K173&gt;PARAMETRES!$D$31,2,1)))),IF($K173&gt;PARAMETRES!$G$32,5,IF($K173&gt;PARAMETRES!$F$32,4,IF($K173&gt;PARAMETRES!$E$32,3,IF($K173&gt;PARAMETRES!$D$32,2,1))))))</f>
        <v/>
      </c>
      <c r="T173" t="str">
        <f>IF($L173="","",IF($L173&gt;PARAMETRES!$G$33,5,IF($L173&gt;PARAMETRES!$F$33,4,IF($L173&gt;PARAMETRES!$E$33,3,IF($L173&gt;PARAMETRES!$D$33,2,1)))))</f>
        <v/>
      </c>
      <c r="U173" t="str">
        <f>IF($M173="","",IF($M173&gt;PARAMETRES!$G$34,5,IF($M173&gt;PARAMETRES!$F$34,4,IF($M173&gt;PARAMETRES!$E$34,3,IF($M173&gt;PARAMETRES!$D$34,2,1)))))</f>
        <v/>
      </c>
      <c r="V173" t="str">
        <f>IF($N173="","",IF($N173&gt;PARAMETRES!$G$35,5,IF($N173&gt;PARAMETRES!$F$35,4,IF($N173&gt;PARAMETRES!$E$35,3,IF($N173&gt;PARAMETRES!$D$35,2,1)))))</f>
        <v/>
      </c>
      <c r="W173" t="str">
        <f>IF($O173="","",IF($O173&gt;PARAMETRES!$G$36,5,IF($O173&gt;PARAMETRES!$F$36,4,IF($O173&gt;PARAMETRES!$E$36,3,IF($O173&gt;PARAMETRES!$D$36,2,1)))))</f>
        <v/>
      </c>
      <c r="X173" t="str">
        <f>IF($P173="","",IF($P173&gt;PARAMETRES!$G$37,5,IF($P173&gt;PARAMETRES!$F$37,4,IF($P173&gt;PARAMETRES!$E$37,3,IF($P173&gt;PARAMETRES!$D$37,2,1)))))</f>
        <v/>
      </c>
      <c r="Y173" t="str">
        <f t="shared" si="48"/>
        <v/>
      </c>
      <c r="Z173" t="str">
        <f>IFERROR(VLOOKUP($B173,TABLE_CYCLE,2,0),"")</f>
        <v/>
      </c>
      <c r="AA173" t="str">
        <f t="shared" si="49"/>
        <v/>
      </c>
      <c r="AB173" t="str">
        <f>IF($D173="","",IF(COUNTIF($D$2:$D173,$D173)=1,$D173,""))</f>
        <v/>
      </c>
      <c r="AC173">
        <f t="shared" si="50"/>
        <v>0</v>
      </c>
      <c r="AD173" t="str">
        <f t="shared" si="51"/>
        <v>|0</v>
      </c>
      <c r="AE173" t="str">
        <f t="shared" si="52"/>
        <v/>
      </c>
      <c r="AF173" t="str">
        <f t="shared" si="53"/>
        <v/>
      </c>
      <c r="AG173" t="str">
        <f t="shared" si="54"/>
        <v/>
      </c>
      <c r="AH173" t="str">
        <f t="shared" si="55"/>
        <v/>
      </c>
      <c r="AI173" t="str">
        <f t="shared" si="56"/>
        <v/>
      </c>
      <c r="AJ173" t="str">
        <f t="shared" si="57"/>
        <v/>
      </c>
      <c r="AK173" t="str">
        <f t="shared" si="58"/>
        <v/>
      </c>
      <c r="AL173" t="str">
        <f t="shared" si="59"/>
        <v/>
      </c>
      <c r="AM173" t="str">
        <f t="shared" si="60"/>
        <v/>
      </c>
      <c r="AN173" t="str">
        <f t="shared" si="61"/>
        <v/>
      </c>
      <c r="AO173" t="str">
        <f t="shared" si="62"/>
        <v/>
      </c>
      <c r="AP173">
        <f t="shared" si="63"/>
        <v>1</v>
      </c>
      <c r="AQ173" t="str">
        <f>IF(SAISIE!$F178="","",SAISIE!$Y178)</f>
        <v/>
      </c>
      <c r="AR173" t="str">
        <f>IF(OR(SAISIE!$U$4="",SAISIE!$W$4=""),"",IF(AND($A173=SAISIE!$U$4,$B173=SAISIE!$W$4,$C173="S1"),COUNTIFS($A$2:$A173,SAISIE!$U$4,$B$2:$B173,SAISIE!$W$4,$C$2:$C173,"S1"),""))</f>
        <v/>
      </c>
      <c r="AS173" t="str">
        <f t="shared" si="64"/>
        <v/>
      </c>
      <c r="AT173" t="str">
        <f t="shared" si="65"/>
        <v/>
      </c>
      <c r="AU173" t="str">
        <f t="shared" si="66"/>
        <v/>
      </c>
      <c r="AV173">
        <f>N(AV172)+IF(AND($AB173&lt;&gt;"",OR('PROFIL ELEVE'!$K$4="(Tous)",$AF173='PROFIL ELEVE'!$K$4)),1,0)</f>
        <v>0</v>
      </c>
      <c r="AW173">
        <f>N(AW172)+IF(AND($AB173&lt;&gt;"",OR('SUIVI LONGITUDINAL'!$Q$4="(Tous)",$AF173='SUIVI LONGITUDINAL'!$Q$4)),1,0)</f>
        <v>0</v>
      </c>
      <c r="AX173">
        <f t="shared" si="67"/>
        <v>0</v>
      </c>
      <c r="AY173">
        <f t="shared" si="68"/>
        <v>0</v>
      </c>
      <c r="AZ173">
        <f t="shared" si="69"/>
        <v>0</v>
      </c>
      <c r="BA173" t="str">
        <f t="shared" si="70"/>
        <v/>
      </c>
      <c r="BB173" t="str">
        <f t="shared" si="71"/>
        <v/>
      </c>
    </row>
    <row r="174" spans="1:54" ht="14.25" customHeight="1" x14ac:dyDescent="0.3">
      <c r="A174" t="str">
        <f>IF(SAISIE!$F179="","",SAISIE!$B179)</f>
        <v/>
      </c>
      <c r="B174" t="str">
        <f>IF(SAISIE!$F179="","",SAISIE!$C179)</f>
        <v/>
      </c>
      <c r="C174" t="str">
        <f>IF(SAISIE!$F179="","",SAISIE!$D179)</f>
        <v/>
      </c>
      <c r="D174" t="str">
        <f>IF(SAISIE!$E179="","",SAISIE!$E179)</f>
        <v/>
      </c>
      <c r="E174" t="str">
        <f>IF(SAISIE!$F179="","",SAISIE!$F179)</f>
        <v/>
      </c>
      <c r="F174" t="str">
        <f>IF(SAISIE!$G179="","",SAISIE!$G179)</f>
        <v/>
      </c>
      <c r="G174" t="str">
        <f>IF(SAISIE!$H179="","",SAISIE!$H179)</f>
        <v/>
      </c>
      <c r="H174" t="str">
        <f>IF(SAISIE!$I179="","",SAISIE!$I179)</f>
        <v/>
      </c>
      <c r="I174" t="str">
        <f>IF(SAISIE!$J179="","",SAISIE!$J179)</f>
        <v/>
      </c>
      <c r="J174" t="str">
        <f>IF(SAISIE!$K179="","",SAISIE!$K179)</f>
        <v/>
      </c>
      <c r="K174" t="str">
        <f>IF(SAISIE!$L179="","",SAISIE!$L179)</f>
        <v/>
      </c>
      <c r="L174" t="str">
        <f>IF(SAISIE!$M179="","",SAISIE!$M179)</f>
        <v/>
      </c>
      <c r="M174" t="str">
        <f>IF(SAISIE!$N179="","",SAISIE!$N179)</f>
        <v/>
      </c>
      <c r="N174" t="str">
        <f>IF(SAISIE!$O179="","",SAISIE!$O179)</f>
        <v/>
      </c>
      <c r="O174" t="str">
        <f>IF(SAISIE!$P179="","",SAISIE!$P179)</f>
        <v/>
      </c>
      <c r="P174" t="str">
        <f>IF(SAISIE!$Q179="","",SAISIE!$Q179)</f>
        <v/>
      </c>
      <c r="Q174" t="str">
        <f>IF($I174="","",IF($I174&gt;PARAMETRES!$G$29,5,IF($I174&gt;PARAMETRES!$F$29,4,IF($I174&gt;PARAMETRES!$E$29,3,IF($I174&gt;PARAMETRES!$D$29,2,1)))))</f>
        <v/>
      </c>
      <c r="R174" t="str">
        <f>IF($J174="","",IF($J174&gt;PARAMETRES!$G$30,5,IF($J174&gt;PARAMETRES!$F$30,4,IF($J174&gt;PARAMETRES!$E$30,3,IF($J174&gt;PARAMETRES!$D$30,2,1)))))</f>
        <v/>
      </c>
      <c r="S174" t="str">
        <f>IF($K174="","",IF($Z174=2,IF($K174&gt;PARAMETRES!$G$31,5,IF($K174&gt;PARAMETRES!$F$31,4,IF($K174&gt;PARAMETRES!$E$31,3,IF($K174&gt;PARAMETRES!$D$31,2,1)))),IF($K174&gt;PARAMETRES!$G$32,5,IF($K174&gt;PARAMETRES!$F$32,4,IF($K174&gt;PARAMETRES!$E$32,3,IF($K174&gt;PARAMETRES!$D$32,2,1))))))</f>
        <v/>
      </c>
      <c r="T174" t="str">
        <f>IF($L174="","",IF($L174&gt;PARAMETRES!$G$33,5,IF($L174&gt;PARAMETRES!$F$33,4,IF($L174&gt;PARAMETRES!$E$33,3,IF($L174&gt;PARAMETRES!$D$33,2,1)))))</f>
        <v/>
      </c>
      <c r="U174" t="str">
        <f>IF($M174="","",IF($M174&gt;PARAMETRES!$G$34,5,IF($M174&gt;PARAMETRES!$F$34,4,IF($M174&gt;PARAMETRES!$E$34,3,IF($M174&gt;PARAMETRES!$D$34,2,1)))))</f>
        <v/>
      </c>
      <c r="V174" t="str">
        <f>IF($N174="","",IF($N174&gt;PARAMETRES!$G$35,5,IF($N174&gt;PARAMETRES!$F$35,4,IF($N174&gt;PARAMETRES!$E$35,3,IF($N174&gt;PARAMETRES!$D$35,2,1)))))</f>
        <v/>
      </c>
      <c r="W174" t="str">
        <f>IF($O174="","",IF($O174&gt;PARAMETRES!$G$36,5,IF($O174&gt;PARAMETRES!$F$36,4,IF($O174&gt;PARAMETRES!$E$36,3,IF($O174&gt;PARAMETRES!$D$36,2,1)))))</f>
        <v/>
      </c>
      <c r="X174" t="str">
        <f>IF($P174="","",IF($P174&gt;PARAMETRES!$G$37,5,IF($P174&gt;PARAMETRES!$F$37,4,IF($P174&gt;PARAMETRES!$E$37,3,IF($P174&gt;PARAMETRES!$D$37,2,1)))))</f>
        <v/>
      </c>
      <c r="Y174" t="str">
        <f t="shared" si="48"/>
        <v/>
      </c>
      <c r="Z174" t="str">
        <f>IFERROR(VLOOKUP($B174,TABLE_CYCLE,2,0),"")</f>
        <v/>
      </c>
      <c r="AA174" t="str">
        <f t="shared" si="49"/>
        <v/>
      </c>
      <c r="AB174" t="str">
        <f>IF($D174="","",IF(COUNTIF($D$2:$D174,$D174)=1,$D174,""))</f>
        <v/>
      </c>
      <c r="AC174">
        <f t="shared" si="50"/>
        <v>0</v>
      </c>
      <c r="AD174" t="str">
        <f t="shared" si="51"/>
        <v>|0</v>
      </c>
      <c r="AE174" t="str">
        <f t="shared" si="52"/>
        <v/>
      </c>
      <c r="AF174" t="str">
        <f t="shared" si="53"/>
        <v/>
      </c>
      <c r="AG174" t="str">
        <f t="shared" si="54"/>
        <v/>
      </c>
      <c r="AH174" t="str">
        <f t="shared" si="55"/>
        <v/>
      </c>
      <c r="AI174" t="str">
        <f t="shared" si="56"/>
        <v/>
      </c>
      <c r="AJ174" t="str">
        <f t="shared" si="57"/>
        <v/>
      </c>
      <c r="AK174" t="str">
        <f t="shared" si="58"/>
        <v/>
      </c>
      <c r="AL174" t="str">
        <f t="shared" si="59"/>
        <v/>
      </c>
      <c r="AM174" t="str">
        <f t="shared" si="60"/>
        <v/>
      </c>
      <c r="AN174" t="str">
        <f t="shared" si="61"/>
        <v/>
      </c>
      <c r="AO174" t="str">
        <f t="shared" si="62"/>
        <v/>
      </c>
      <c r="AP174">
        <f t="shared" si="63"/>
        <v>1</v>
      </c>
      <c r="AQ174" t="str">
        <f>IF(SAISIE!$F179="","",SAISIE!$Y179)</f>
        <v/>
      </c>
      <c r="AR174" t="str">
        <f>IF(OR(SAISIE!$U$4="",SAISIE!$W$4=""),"",IF(AND($A174=SAISIE!$U$4,$B174=SAISIE!$W$4,$C174="S1"),COUNTIFS($A$2:$A174,SAISIE!$U$4,$B$2:$B174,SAISIE!$W$4,$C$2:$C174,"S1"),""))</f>
        <v/>
      </c>
      <c r="AS174" t="str">
        <f t="shared" si="64"/>
        <v/>
      </c>
      <c r="AT174" t="str">
        <f t="shared" si="65"/>
        <v/>
      </c>
      <c r="AU174" t="str">
        <f t="shared" si="66"/>
        <v/>
      </c>
      <c r="AV174">
        <f>N(AV173)+IF(AND($AB174&lt;&gt;"",OR('PROFIL ELEVE'!$K$4="(Tous)",$AF174='PROFIL ELEVE'!$K$4)),1,0)</f>
        <v>0</v>
      </c>
      <c r="AW174">
        <f>N(AW173)+IF(AND($AB174&lt;&gt;"",OR('SUIVI LONGITUDINAL'!$Q$4="(Tous)",$AF174='SUIVI LONGITUDINAL'!$Q$4)),1,0)</f>
        <v>0</v>
      </c>
      <c r="AX174">
        <f t="shared" si="67"/>
        <v>0</v>
      </c>
      <c r="AY174">
        <f t="shared" si="68"/>
        <v>0</v>
      </c>
      <c r="AZ174">
        <f t="shared" si="69"/>
        <v>0</v>
      </c>
      <c r="BA174" t="str">
        <f t="shared" si="70"/>
        <v/>
      </c>
      <c r="BB174" t="str">
        <f t="shared" si="71"/>
        <v/>
      </c>
    </row>
    <row r="175" spans="1:54" ht="14.25" customHeight="1" x14ac:dyDescent="0.3">
      <c r="A175" t="str">
        <f>IF(SAISIE!$F180="","",SAISIE!$B180)</f>
        <v/>
      </c>
      <c r="B175" t="str">
        <f>IF(SAISIE!$F180="","",SAISIE!$C180)</f>
        <v/>
      </c>
      <c r="C175" t="str">
        <f>IF(SAISIE!$F180="","",SAISIE!$D180)</f>
        <v/>
      </c>
      <c r="D175" t="str">
        <f>IF(SAISIE!$E180="","",SAISIE!$E180)</f>
        <v/>
      </c>
      <c r="E175" t="str">
        <f>IF(SAISIE!$F180="","",SAISIE!$F180)</f>
        <v/>
      </c>
      <c r="F175" t="str">
        <f>IF(SAISIE!$G180="","",SAISIE!$G180)</f>
        <v/>
      </c>
      <c r="G175" t="str">
        <f>IF(SAISIE!$H180="","",SAISIE!$H180)</f>
        <v/>
      </c>
      <c r="H175" t="str">
        <f>IF(SAISIE!$I180="","",SAISIE!$I180)</f>
        <v/>
      </c>
      <c r="I175" t="str">
        <f>IF(SAISIE!$J180="","",SAISIE!$J180)</f>
        <v/>
      </c>
      <c r="J175" t="str">
        <f>IF(SAISIE!$K180="","",SAISIE!$K180)</f>
        <v/>
      </c>
      <c r="K175" t="str">
        <f>IF(SAISIE!$L180="","",SAISIE!$L180)</f>
        <v/>
      </c>
      <c r="L175" t="str">
        <f>IF(SAISIE!$M180="","",SAISIE!$M180)</f>
        <v/>
      </c>
      <c r="M175" t="str">
        <f>IF(SAISIE!$N180="","",SAISIE!$N180)</f>
        <v/>
      </c>
      <c r="N175" t="str">
        <f>IF(SAISIE!$O180="","",SAISIE!$O180)</f>
        <v/>
      </c>
      <c r="O175" t="str">
        <f>IF(SAISIE!$P180="","",SAISIE!$P180)</f>
        <v/>
      </c>
      <c r="P175" t="str">
        <f>IF(SAISIE!$Q180="","",SAISIE!$Q180)</f>
        <v/>
      </c>
      <c r="Q175" t="str">
        <f>IF($I175="","",IF($I175&gt;PARAMETRES!$G$29,5,IF($I175&gt;PARAMETRES!$F$29,4,IF($I175&gt;PARAMETRES!$E$29,3,IF($I175&gt;PARAMETRES!$D$29,2,1)))))</f>
        <v/>
      </c>
      <c r="R175" t="str">
        <f>IF($J175="","",IF($J175&gt;PARAMETRES!$G$30,5,IF($J175&gt;PARAMETRES!$F$30,4,IF($J175&gt;PARAMETRES!$E$30,3,IF($J175&gt;PARAMETRES!$D$30,2,1)))))</f>
        <v/>
      </c>
      <c r="S175" t="str">
        <f>IF($K175="","",IF($Z175=2,IF($K175&gt;PARAMETRES!$G$31,5,IF($K175&gt;PARAMETRES!$F$31,4,IF($K175&gt;PARAMETRES!$E$31,3,IF($K175&gt;PARAMETRES!$D$31,2,1)))),IF($K175&gt;PARAMETRES!$G$32,5,IF($K175&gt;PARAMETRES!$F$32,4,IF($K175&gt;PARAMETRES!$E$32,3,IF($K175&gt;PARAMETRES!$D$32,2,1))))))</f>
        <v/>
      </c>
      <c r="T175" t="str">
        <f>IF($L175="","",IF($L175&gt;PARAMETRES!$G$33,5,IF($L175&gt;PARAMETRES!$F$33,4,IF($L175&gt;PARAMETRES!$E$33,3,IF($L175&gt;PARAMETRES!$D$33,2,1)))))</f>
        <v/>
      </c>
      <c r="U175" t="str">
        <f>IF($M175="","",IF($M175&gt;PARAMETRES!$G$34,5,IF($M175&gt;PARAMETRES!$F$34,4,IF($M175&gt;PARAMETRES!$E$34,3,IF($M175&gt;PARAMETRES!$D$34,2,1)))))</f>
        <v/>
      </c>
      <c r="V175" t="str">
        <f>IF($N175="","",IF($N175&gt;PARAMETRES!$G$35,5,IF($N175&gt;PARAMETRES!$F$35,4,IF($N175&gt;PARAMETRES!$E$35,3,IF($N175&gt;PARAMETRES!$D$35,2,1)))))</f>
        <v/>
      </c>
      <c r="W175" t="str">
        <f>IF($O175="","",IF($O175&gt;PARAMETRES!$G$36,5,IF($O175&gt;PARAMETRES!$F$36,4,IF($O175&gt;PARAMETRES!$E$36,3,IF($O175&gt;PARAMETRES!$D$36,2,1)))))</f>
        <v/>
      </c>
      <c r="X175" t="str">
        <f>IF($P175="","",IF($P175&gt;PARAMETRES!$G$37,5,IF($P175&gt;PARAMETRES!$F$37,4,IF($P175&gt;PARAMETRES!$E$37,3,IF($P175&gt;PARAMETRES!$D$37,2,1)))))</f>
        <v/>
      </c>
      <c r="Y175" t="str">
        <f t="shared" si="48"/>
        <v/>
      </c>
      <c r="Z175" t="str">
        <f>IFERROR(VLOOKUP($B175,TABLE_CYCLE,2,0),"")</f>
        <v/>
      </c>
      <c r="AA175" t="str">
        <f t="shared" si="49"/>
        <v/>
      </c>
      <c r="AB175" t="str">
        <f>IF($D175="","",IF(COUNTIF($D$2:$D175,$D175)=1,$D175,""))</f>
        <v/>
      </c>
      <c r="AC175">
        <f t="shared" si="50"/>
        <v>0</v>
      </c>
      <c r="AD175" t="str">
        <f t="shared" si="51"/>
        <v>|0</v>
      </c>
      <c r="AE175" t="str">
        <f t="shared" si="52"/>
        <v/>
      </c>
      <c r="AF175" t="str">
        <f t="shared" si="53"/>
        <v/>
      </c>
      <c r="AG175" t="str">
        <f t="shared" si="54"/>
        <v/>
      </c>
      <c r="AH175" t="str">
        <f t="shared" si="55"/>
        <v/>
      </c>
      <c r="AI175" t="str">
        <f t="shared" si="56"/>
        <v/>
      </c>
      <c r="AJ175" t="str">
        <f t="shared" si="57"/>
        <v/>
      </c>
      <c r="AK175" t="str">
        <f t="shared" si="58"/>
        <v/>
      </c>
      <c r="AL175" t="str">
        <f t="shared" si="59"/>
        <v/>
      </c>
      <c r="AM175" t="str">
        <f t="shared" si="60"/>
        <v/>
      </c>
      <c r="AN175" t="str">
        <f t="shared" si="61"/>
        <v/>
      </c>
      <c r="AO175" t="str">
        <f t="shared" si="62"/>
        <v/>
      </c>
      <c r="AP175">
        <f t="shared" si="63"/>
        <v>1</v>
      </c>
      <c r="AQ175" t="str">
        <f>IF(SAISIE!$F180="","",SAISIE!$Y180)</f>
        <v/>
      </c>
      <c r="AR175" t="str">
        <f>IF(OR(SAISIE!$U$4="",SAISIE!$W$4=""),"",IF(AND($A175=SAISIE!$U$4,$B175=SAISIE!$W$4,$C175="S1"),COUNTIFS($A$2:$A175,SAISIE!$U$4,$B$2:$B175,SAISIE!$W$4,$C$2:$C175,"S1"),""))</f>
        <v/>
      </c>
      <c r="AS175" t="str">
        <f t="shared" si="64"/>
        <v/>
      </c>
      <c r="AT175" t="str">
        <f t="shared" si="65"/>
        <v/>
      </c>
      <c r="AU175" t="str">
        <f t="shared" si="66"/>
        <v/>
      </c>
      <c r="AV175">
        <f>N(AV174)+IF(AND($AB175&lt;&gt;"",OR('PROFIL ELEVE'!$K$4="(Tous)",$AF175='PROFIL ELEVE'!$K$4)),1,0)</f>
        <v>0</v>
      </c>
      <c r="AW175">
        <f>N(AW174)+IF(AND($AB175&lt;&gt;"",OR('SUIVI LONGITUDINAL'!$Q$4="(Tous)",$AF175='SUIVI LONGITUDINAL'!$Q$4)),1,0)</f>
        <v>0</v>
      </c>
      <c r="AX175">
        <f t="shared" si="67"/>
        <v>0</v>
      </c>
      <c r="AY175">
        <f t="shared" si="68"/>
        <v>0</v>
      </c>
      <c r="AZ175">
        <f t="shared" si="69"/>
        <v>0</v>
      </c>
      <c r="BA175" t="str">
        <f t="shared" si="70"/>
        <v/>
      </c>
      <c r="BB175" t="str">
        <f t="shared" si="71"/>
        <v/>
      </c>
    </row>
    <row r="176" spans="1:54" ht="14.25" customHeight="1" x14ac:dyDescent="0.3">
      <c r="A176" t="str">
        <f>IF(SAISIE!$F181="","",SAISIE!$B181)</f>
        <v/>
      </c>
      <c r="B176" t="str">
        <f>IF(SAISIE!$F181="","",SAISIE!$C181)</f>
        <v/>
      </c>
      <c r="C176" t="str">
        <f>IF(SAISIE!$F181="","",SAISIE!$D181)</f>
        <v/>
      </c>
      <c r="D176" t="str">
        <f>IF(SAISIE!$E181="","",SAISIE!$E181)</f>
        <v/>
      </c>
      <c r="E176" t="str">
        <f>IF(SAISIE!$F181="","",SAISIE!$F181)</f>
        <v/>
      </c>
      <c r="F176" t="str">
        <f>IF(SAISIE!$G181="","",SAISIE!$G181)</f>
        <v/>
      </c>
      <c r="G176" t="str">
        <f>IF(SAISIE!$H181="","",SAISIE!$H181)</f>
        <v/>
      </c>
      <c r="H176" t="str">
        <f>IF(SAISIE!$I181="","",SAISIE!$I181)</f>
        <v/>
      </c>
      <c r="I176" t="str">
        <f>IF(SAISIE!$J181="","",SAISIE!$J181)</f>
        <v/>
      </c>
      <c r="J176" t="str">
        <f>IF(SAISIE!$K181="","",SAISIE!$K181)</f>
        <v/>
      </c>
      <c r="K176" t="str">
        <f>IF(SAISIE!$L181="","",SAISIE!$L181)</f>
        <v/>
      </c>
      <c r="L176" t="str">
        <f>IF(SAISIE!$M181="","",SAISIE!$M181)</f>
        <v/>
      </c>
      <c r="M176" t="str">
        <f>IF(SAISIE!$N181="","",SAISIE!$N181)</f>
        <v/>
      </c>
      <c r="N176" t="str">
        <f>IF(SAISIE!$O181="","",SAISIE!$O181)</f>
        <v/>
      </c>
      <c r="O176" t="str">
        <f>IF(SAISIE!$P181="","",SAISIE!$P181)</f>
        <v/>
      </c>
      <c r="P176" t="str">
        <f>IF(SAISIE!$Q181="","",SAISIE!$Q181)</f>
        <v/>
      </c>
      <c r="Q176" t="str">
        <f>IF($I176="","",IF($I176&gt;PARAMETRES!$G$29,5,IF($I176&gt;PARAMETRES!$F$29,4,IF($I176&gt;PARAMETRES!$E$29,3,IF($I176&gt;PARAMETRES!$D$29,2,1)))))</f>
        <v/>
      </c>
      <c r="R176" t="str">
        <f>IF($J176="","",IF($J176&gt;PARAMETRES!$G$30,5,IF($J176&gt;PARAMETRES!$F$30,4,IF($J176&gt;PARAMETRES!$E$30,3,IF($J176&gt;PARAMETRES!$D$30,2,1)))))</f>
        <v/>
      </c>
      <c r="S176" t="str">
        <f>IF($K176="","",IF($Z176=2,IF($K176&gt;PARAMETRES!$G$31,5,IF($K176&gt;PARAMETRES!$F$31,4,IF($K176&gt;PARAMETRES!$E$31,3,IF($K176&gt;PARAMETRES!$D$31,2,1)))),IF($K176&gt;PARAMETRES!$G$32,5,IF($K176&gt;PARAMETRES!$F$32,4,IF($K176&gt;PARAMETRES!$E$32,3,IF($K176&gt;PARAMETRES!$D$32,2,1))))))</f>
        <v/>
      </c>
      <c r="T176" t="str">
        <f>IF($L176="","",IF($L176&gt;PARAMETRES!$G$33,5,IF($L176&gt;PARAMETRES!$F$33,4,IF($L176&gt;PARAMETRES!$E$33,3,IF($L176&gt;PARAMETRES!$D$33,2,1)))))</f>
        <v/>
      </c>
      <c r="U176" t="str">
        <f>IF($M176="","",IF($M176&gt;PARAMETRES!$G$34,5,IF($M176&gt;PARAMETRES!$F$34,4,IF($M176&gt;PARAMETRES!$E$34,3,IF($M176&gt;PARAMETRES!$D$34,2,1)))))</f>
        <v/>
      </c>
      <c r="V176" t="str">
        <f>IF($N176="","",IF($N176&gt;PARAMETRES!$G$35,5,IF($N176&gt;PARAMETRES!$F$35,4,IF($N176&gt;PARAMETRES!$E$35,3,IF($N176&gt;PARAMETRES!$D$35,2,1)))))</f>
        <v/>
      </c>
      <c r="W176" t="str">
        <f>IF($O176="","",IF($O176&gt;PARAMETRES!$G$36,5,IF($O176&gt;PARAMETRES!$F$36,4,IF($O176&gt;PARAMETRES!$E$36,3,IF($O176&gt;PARAMETRES!$D$36,2,1)))))</f>
        <v/>
      </c>
      <c r="X176" t="str">
        <f>IF($P176="","",IF($P176&gt;PARAMETRES!$G$37,5,IF($P176&gt;PARAMETRES!$F$37,4,IF($P176&gt;PARAMETRES!$E$37,3,IF($P176&gt;PARAMETRES!$D$37,2,1)))))</f>
        <v/>
      </c>
      <c r="Y176" t="str">
        <f t="shared" si="48"/>
        <v/>
      </c>
      <c r="Z176" t="str">
        <f>IFERROR(VLOOKUP($B176,TABLE_CYCLE,2,0),"")</f>
        <v/>
      </c>
      <c r="AA176" t="str">
        <f t="shared" si="49"/>
        <v/>
      </c>
      <c r="AB176" t="str">
        <f>IF($D176="","",IF(COUNTIF($D$2:$D176,$D176)=1,$D176,""))</f>
        <v/>
      </c>
      <c r="AC176">
        <f t="shared" si="50"/>
        <v>0</v>
      </c>
      <c r="AD176" t="str">
        <f t="shared" si="51"/>
        <v>|0</v>
      </c>
      <c r="AE176" t="str">
        <f t="shared" si="52"/>
        <v/>
      </c>
      <c r="AF176" t="str">
        <f t="shared" si="53"/>
        <v/>
      </c>
      <c r="AG176" t="str">
        <f t="shared" si="54"/>
        <v/>
      </c>
      <c r="AH176" t="str">
        <f t="shared" si="55"/>
        <v/>
      </c>
      <c r="AI176" t="str">
        <f t="shared" si="56"/>
        <v/>
      </c>
      <c r="AJ176" t="str">
        <f t="shared" si="57"/>
        <v/>
      </c>
      <c r="AK176" t="str">
        <f t="shared" si="58"/>
        <v/>
      </c>
      <c r="AL176" t="str">
        <f t="shared" si="59"/>
        <v/>
      </c>
      <c r="AM176" t="str">
        <f t="shared" si="60"/>
        <v/>
      </c>
      <c r="AN176" t="str">
        <f t="shared" si="61"/>
        <v/>
      </c>
      <c r="AO176" t="str">
        <f t="shared" si="62"/>
        <v/>
      </c>
      <c r="AP176">
        <f t="shared" si="63"/>
        <v>1</v>
      </c>
      <c r="AQ176" t="str">
        <f>IF(SAISIE!$F181="","",SAISIE!$Y181)</f>
        <v/>
      </c>
      <c r="AR176" t="str">
        <f>IF(OR(SAISIE!$U$4="",SAISIE!$W$4=""),"",IF(AND($A176=SAISIE!$U$4,$B176=SAISIE!$W$4,$C176="S1"),COUNTIFS($A$2:$A176,SAISIE!$U$4,$B$2:$B176,SAISIE!$W$4,$C$2:$C176,"S1"),""))</f>
        <v/>
      </c>
      <c r="AS176" t="str">
        <f t="shared" si="64"/>
        <v/>
      </c>
      <c r="AT176" t="str">
        <f t="shared" si="65"/>
        <v/>
      </c>
      <c r="AU176" t="str">
        <f t="shared" si="66"/>
        <v/>
      </c>
      <c r="AV176">
        <f>N(AV175)+IF(AND($AB176&lt;&gt;"",OR('PROFIL ELEVE'!$K$4="(Tous)",$AF176='PROFIL ELEVE'!$K$4)),1,0)</f>
        <v>0</v>
      </c>
      <c r="AW176">
        <f>N(AW175)+IF(AND($AB176&lt;&gt;"",OR('SUIVI LONGITUDINAL'!$Q$4="(Tous)",$AF176='SUIVI LONGITUDINAL'!$Q$4)),1,0)</f>
        <v>0</v>
      </c>
      <c r="AX176">
        <f t="shared" si="67"/>
        <v>0</v>
      </c>
      <c r="AY176">
        <f t="shared" si="68"/>
        <v>0</v>
      </c>
      <c r="AZ176">
        <f t="shared" si="69"/>
        <v>0</v>
      </c>
      <c r="BA176" t="str">
        <f t="shared" si="70"/>
        <v/>
      </c>
      <c r="BB176" t="str">
        <f t="shared" si="71"/>
        <v/>
      </c>
    </row>
    <row r="177" spans="1:54" ht="14.25" customHeight="1" x14ac:dyDescent="0.3">
      <c r="A177" t="str">
        <f>IF(SAISIE!$F182="","",SAISIE!$B182)</f>
        <v/>
      </c>
      <c r="B177" t="str">
        <f>IF(SAISIE!$F182="","",SAISIE!$C182)</f>
        <v/>
      </c>
      <c r="C177" t="str">
        <f>IF(SAISIE!$F182="","",SAISIE!$D182)</f>
        <v/>
      </c>
      <c r="D177" t="str">
        <f>IF(SAISIE!$E182="","",SAISIE!$E182)</f>
        <v/>
      </c>
      <c r="E177" t="str">
        <f>IF(SAISIE!$F182="","",SAISIE!$F182)</f>
        <v/>
      </c>
      <c r="F177" t="str">
        <f>IF(SAISIE!$G182="","",SAISIE!$G182)</f>
        <v/>
      </c>
      <c r="G177" t="str">
        <f>IF(SAISIE!$H182="","",SAISIE!$H182)</f>
        <v/>
      </c>
      <c r="H177" t="str">
        <f>IF(SAISIE!$I182="","",SAISIE!$I182)</f>
        <v/>
      </c>
      <c r="I177" t="str">
        <f>IF(SAISIE!$J182="","",SAISIE!$J182)</f>
        <v/>
      </c>
      <c r="J177" t="str">
        <f>IF(SAISIE!$K182="","",SAISIE!$K182)</f>
        <v/>
      </c>
      <c r="K177" t="str">
        <f>IF(SAISIE!$L182="","",SAISIE!$L182)</f>
        <v/>
      </c>
      <c r="L177" t="str">
        <f>IF(SAISIE!$M182="","",SAISIE!$M182)</f>
        <v/>
      </c>
      <c r="M177" t="str">
        <f>IF(SAISIE!$N182="","",SAISIE!$N182)</f>
        <v/>
      </c>
      <c r="N177" t="str">
        <f>IF(SAISIE!$O182="","",SAISIE!$O182)</f>
        <v/>
      </c>
      <c r="O177" t="str">
        <f>IF(SAISIE!$P182="","",SAISIE!$P182)</f>
        <v/>
      </c>
      <c r="P177" t="str">
        <f>IF(SAISIE!$Q182="","",SAISIE!$Q182)</f>
        <v/>
      </c>
      <c r="Q177" t="str">
        <f>IF($I177="","",IF($I177&gt;PARAMETRES!$G$29,5,IF($I177&gt;PARAMETRES!$F$29,4,IF($I177&gt;PARAMETRES!$E$29,3,IF($I177&gt;PARAMETRES!$D$29,2,1)))))</f>
        <v/>
      </c>
      <c r="R177" t="str">
        <f>IF($J177="","",IF($J177&gt;PARAMETRES!$G$30,5,IF($J177&gt;PARAMETRES!$F$30,4,IF($J177&gt;PARAMETRES!$E$30,3,IF($J177&gt;PARAMETRES!$D$30,2,1)))))</f>
        <v/>
      </c>
      <c r="S177" t="str">
        <f>IF($K177="","",IF($Z177=2,IF($K177&gt;PARAMETRES!$G$31,5,IF($K177&gt;PARAMETRES!$F$31,4,IF($K177&gt;PARAMETRES!$E$31,3,IF($K177&gt;PARAMETRES!$D$31,2,1)))),IF($K177&gt;PARAMETRES!$G$32,5,IF($K177&gt;PARAMETRES!$F$32,4,IF($K177&gt;PARAMETRES!$E$32,3,IF($K177&gt;PARAMETRES!$D$32,2,1))))))</f>
        <v/>
      </c>
      <c r="T177" t="str">
        <f>IF($L177="","",IF($L177&gt;PARAMETRES!$G$33,5,IF($L177&gt;PARAMETRES!$F$33,4,IF($L177&gt;PARAMETRES!$E$33,3,IF($L177&gt;PARAMETRES!$D$33,2,1)))))</f>
        <v/>
      </c>
      <c r="U177" t="str">
        <f>IF($M177="","",IF($M177&gt;PARAMETRES!$G$34,5,IF($M177&gt;PARAMETRES!$F$34,4,IF($M177&gt;PARAMETRES!$E$34,3,IF($M177&gt;PARAMETRES!$D$34,2,1)))))</f>
        <v/>
      </c>
      <c r="V177" t="str">
        <f>IF($N177="","",IF($N177&gt;PARAMETRES!$G$35,5,IF($N177&gt;PARAMETRES!$F$35,4,IF($N177&gt;PARAMETRES!$E$35,3,IF($N177&gt;PARAMETRES!$D$35,2,1)))))</f>
        <v/>
      </c>
      <c r="W177" t="str">
        <f>IF($O177="","",IF($O177&gt;PARAMETRES!$G$36,5,IF($O177&gt;PARAMETRES!$F$36,4,IF($O177&gt;PARAMETRES!$E$36,3,IF($O177&gt;PARAMETRES!$D$36,2,1)))))</f>
        <v/>
      </c>
      <c r="X177" t="str">
        <f>IF($P177="","",IF($P177&gt;PARAMETRES!$G$37,5,IF($P177&gt;PARAMETRES!$F$37,4,IF($P177&gt;PARAMETRES!$E$37,3,IF($P177&gt;PARAMETRES!$D$37,2,1)))))</f>
        <v/>
      </c>
      <c r="Y177" t="str">
        <f t="shared" si="48"/>
        <v/>
      </c>
      <c r="Z177" t="str">
        <f>IFERROR(VLOOKUP($B177,TABLE_CYCLE,2,0),"")</f>
        <v/>
      </c>
      <c r="AA177" t="str">
        <f t="shared" si="49"/>
        <v/>
      </c>
      <c r="AB177" t="str">
        <f>IF($D177="","",IF(COUNTIF($D$2:$D177,$D177)=1,$D177,""))</f>
        <v/>
      </c>
      <c r="AC177">
        <f t="shared" si="50"/>
        <v>0</v>
      </c>
      <c r="AD177" t="str">
        <f t="shared" si="51"/>
        <v>|0</v>
      </c>
      <c r="AE177" t="str">
        <f t="shared" si="52"/>
        <v/>
      </c>
      <c r="AF177" t="str">
        <f t="shared" si="53"/>
        <v/>
      </c>
      <c r="AG177" t="str">
        <f t="shared" si="54"/>
        <v/>
      </c>
      <c r="AH177" t="str">
        <f t="shared" si="55"/>
        <v/>
      </c>
      <c r="AI177" t="str">
        <f t="shared" si="56"/>
        <v/>
      </c>
      <c r="AJ177" t="str">
        <f t="shared" si="57"/>
        <v/>
      </c>
      <c r="AK177" t="str">
        <f t="shared" si="58"/>
        <v/>
      </c>
      <c r="AL177" t="str">
        <f t="shared" si="59"/>
        <v/>
      </c>
      <c r="AM177" t="str">
        <f t="shared" si="60"/>
        <v/>
      </c>
      <c r="AN177" t="str">
        <f t="shared" si="61"/>
        <v/>
      </c>
      <c r="AO177" t="str">
        <f t="shared" si="62"/>
        <v/>
      </c>
      <c r="AP177">
        <f t="shared" si="63"/>
        <v>1</v>
      </c>
      <c r="AQ177" t="str">
        <f>IF(SAISIE!$F182="","",SAISIE!$Y182)</f>
        <v/>
      </c>
      <c r="AR177" t="str">
        <f>IF(OR(SAISIE!$U$4="",SAISIE!$W$4=""),"",IF(AND($A177=SAISIE!$U$4,$B177=SAISIE!$W$4,$C177="S1"),COUNTIFS($A$2:$A177,SAISIE!$U$4,$B$2:$B177,SAISIE!$W$4,$C$2:$C177,"S1"),""))</f>
        <v/>
      </c>
      <c r="AS177" t="str">
        <f t="shared" si="64"/>
        <v/>
      </c>
      <c r="AT177" t="str">
        <f t="shared" si="65"/>
        <v/>
      </c>
      <c r="AU177" t="str">
        <f t="shared" si="66"/>
        <v/>
      </c>
      <c r="AV177">
        <f>N(AV176)+IF(AND($AB177&lt;&gt;"",OR('PROFIL ELEVE'!$K$4="(Tous)",$AF177='PROFIL ELEVE'!$K$4)),1,0)</f>
        <v>0</v>
      </c>
      <c r="AW177">
        <f>N(AW176)+IF(AND($AB177&lt;&gt;"",OR('SUIVI LONGITUDINAL'!$Q$4="(Tous)",$AF177='SUIVI LONGITUDINAL'!$Q$4)),1,0)</f>
        <v>0</v>
      </c>
      <c r="AX177">
        <f t="shared" si="67"/>
        <v>0</v>
      </c>
      <c r="AY177">
        <f t="shared" si="68"/>
        <v>0</v>
      </c>
      <c r="AZ177">
        <f t="shared" si="69"/>
        <v>0</v>
      </c>
      <c r="BA177" t="str">
        <f t="shared" si="70"/>
        <v/>
      </c>
      <c r="BB177" t="str">
        <f t="shared" si="71"/>
        <v/>
      </c>
    </row>
    <row r="178" spans="1:54" ht="14.25" customHeight="1" x14ac:dyDescent="0.3">
      <c r="A178" t="str">
        <f>IF(SAISIE!$F183="","",SAISIE!$B183)</f>
        <v/>
      </c>
      <c r="B178" t="str">
        <f>IF(SAISIE!$F183="","",SAISIE!$C183)</f>
        <v/>
      </c>
      <c r="C178" t="str">
        <f>IF(SAISIE!$F183="","",SAISIE!$D183)</f>
        <v/>
      </c>
      <c r="D178" t="str">
        <f>IF(SAISIE!$E183="","",SAISIE!$E183)</f>
        <v/>
      </c>
      <c r="E178" t="str">
        <f>IF(SAISIE!$F183="","",SAISIE!$F183)</f>
        <v/>
      </c>
      <c r="F178" t="str">
        <f>IF(SAISIE!$G183="","",SAISIE!$G183)</f>
        <v/>
      </c>
      <c r="G178" t="str">
        <f>IF(SAISIE!$H183="","",SAISIE!$H183)</f>
        <v/>
      </c>
      <c r="H178" t="str">
        <f>IF(SAISIE!$I183="","",SAISIE!$I183)</f>
        <v/>
      </c>
      <c r="I178" t="str">
        <f>IF(SAISIE!$J183="","",SAISIE!$J183)</f>
        <v/>
      </c>
      <c r="J178" t="str">
        <f>IF(SAISIE!$K183="","",SAISIE!$K183)</f>
        <v/>
      </c>
      <c r="K178" t="str">
        <f>IF(SAISIE!$L183="","",SAISIE!$L183)</f>
        <v/>
      </c>
      <c r="L178" t="str">
        <f>IF(SAISIE!$M183="","",SAISIE!$M183)</f>
        <v/>
      </c>
      <c r="M178" t="str">
        <f>IF(SAISIE!$N183="","",SAISIE!$N183)</f>
        <v/>
      </c>
      <c r="N178" t="str">
        <f>IF(SAISIE!$O183="","",SAISIE!$O183)</f>
        <v/>
      </c>
      <c r="O178" t="str">
        <f>IF(SAISIE!$P183="","",SAISIE!$P183)</f>
        <v/>
      </c>
      <c r="P178" t="str">
        <f>IF(SAISIE!$Q183="","",SAISIE!$Q183)</f>
        <v/>
      </c>
      <c r="Q178" t="str">
        <f>IF($I178="","",IF($I178&gt;PARAMETRES!$G$29,5,IF($I178&gt;PARAMETRES!$F$29,4,IF($I178&gt;PARAMETRES!$E$29,3,IF($I178&gt;PARAMETRES!$D$29,2,1)))))</f>
        <v/>
      </c>
      <c r="R178" t="str">
        <f>IF($J178="","",IF($J178&gt;PARAMETRES!$G$30,5,IF($J178&gt;PARAMETRES!$F$30,4,IF($J178&gt;PARAMETRES!$E$30,3,IF($J178&gt;PARAMETRES!$D$30,2,1)))))</f>
        <v/>
      </c>
      <c r="S178" t="str">
        <f>IF($K178="","",IF($Z178=2,IF($K178&gt;PARAMETRES!$G$31,5,IF($K178&gt;PARAMETRES!$F$31,4,IF($K178&gt;PARAMETRES!$E$31,3,IF($K178&gt;PARAMETRES!$D$31,2,1)))),IF($K178&gt;PARAMETRES!$G$32,5,IF($K178&gt;PARAMETRES!$F$32,4,IF($K178&gt;PARAMETRES!$E$32,3,IF($K178&gt;PARAMETRES!$D$32,2,1))))))</f>
        <v/>
      </c>
      <c r="T178" t="str">
        <f>IF($L178="","",IF($L178&gt;PARAMETRES!$G$33,5,IF($L178&gt;PARAMETRES!$F$33,4,IF($L178&gt;PARAMETRES!$E$33,3,IF($L178&gt;PARAMETRES!$D$33,2,1)))))</f>
        <v/>
      </c>
      <c r="U178" t="str">
        <f>IF($M178="","",IF($M178&gt;PARAMETRES!$G$34,5,IF($M178&gt;PARAMETRES!$F$34,4,IF($M178&gt;PARAMETRES!$E$34,3,IF($M178&gt;PARAMETRES!$D$34,2,1)))))</f>
        <v/>
      </c>
      <c r="V178" t="str">
        <f>IF($N178="","",IF($N178&gt;PARAMETRES!$G$35,5,IF($N178&gt;PARAMETRES!$F$35,4,IF($N178&gt;PARAMETRES!$E$35,3,IF($N178&gt;PARAMETRES!$D$35,2,1)))))</f>
        <v/>
      </c>
      <c r="W178" t="str">
        <f>IF($O178="","",IF($O178&gt;PARAMETRES!$G$36,5,IF($O178&gt;PARAMETRES!$F$36,4,IF($O178&gt;PARAMETRES!$E$36,3,IF($O178&gt;PARAMETRES!$D$36,2,1)))))</f>
        <v/>
      </c>
      <c r="X178" t="str">
        <f>IF($P178="","",IF($P178&gt;PARAMETRES!$G$37,5,IF($P178&gt;PARAMETRES!$F$37,4,IF($P178&gt;PARAMETRES!$E$37,3,IF($P178&gt;PARAMETRES!$D$37,2,1)))))</f>
        <v/>
      </c>
      <c r="Y178" t="str">
        <f t="shared" si="48"/>
        <v/>
      </c>
      <c r="Z178" t="str">
        <f>IFERROR(VLOOKUP($B178,TABLE_CYCLE,2,0),"")</f>
        <v/>
      </c>
      <c r="AA178" t="str">
        <f t="shared" si="49"/>
        <v/>
      </c>
      <c r="AB178" t="str">
        <f>IF($D178="","",IF(COUNTIF($D$2:$D178,$D178)=1,$D178,""))</f>
        <v/>
      </c>
      <c r="AC178">
        <f t="shared" si="50"/>
        <v>0</v>
      </c>
      <c r="AD178" t="str">
        <f t="shared" si="51"/>
        <v>|0</v>
      </c>
      <c r="AE178" t="str">
        <f t="shared" si="52"/>
        <v/>
      </c>
      <c r="AF178" t="str">
        <f t="shared" si="53"/>
        <v/>
      </c>
      <c r="AG178" t="str">
        <f t="shared" si="54"/>
        <v/>
      </c>
      <c r="AH178" t="str">
        <f t="shared" si="55"/>
        <v/>
      </c>
      <c r="AI178" t="str">
        <f t="shared" si="56"/>
        <v/>
      </c>
      <c r="AJ178" t="str">
        <f t="shared" si="57"/>
        <v/>
      </c>
      <c r="AK178" t="str">
        <f t="shared" si="58"/>
        <v/>
      </c>
      <c r="AL178" t="str">
        <f t="shared" si="59"/>
        <v/>
      </c>
      <c r="AM178" t="str">
        <f t="shared" si="60"/>
        <v/>
      </c>
      <c r="AN178" t="str">
        <f t="shared" si="61"/>
        <v/>
      </c>
      <c r="AO178" t="str">
        <f t="shared" si="62"/>
        <v/>
      </c>
      <c r="AP178">
        <f t="shared" si="63"/>
        <v>1</v>
      </c>
      <c r="AQ178" t="str">
        <f>IF(SAISIE!$F183="","",SAISIE!$Y183)</f>
        <v/>
      </c>
      <c r="AR178" t="str">
        <f>IF(OR(SAISIE!$U$4="",SAISIE!$W$4=""),"",IF(AND($A178=SAISIE!$U$4,$B178=SAISIE!$W$4,$C178="S1"),COUNTIFS($A$2:$A178,SAISIE!$U$4,$B$2:$B178,SAISIE!$W$4,$C$2:$C178,"S1"),""))</f>
        <v/>
      </c>
      <c r="AS178" t="str">
        <f t="shared" si="64"/>
        <v/>
      </c>
      <c r="AT178" t="str">
        <f t="shared" si="65"/>
        <v/>
      </c>
      <c r="AU178" t="str">
        <f t="shared" si="66"/>
        <v/>
      </c>
      <c r="AV178">
        <f>N(AV177)+IF(AND($AB178&lt;&gt;"",OR('PROFIL ELEVE'!$K$4="(Tous)",$AF178='PROFIL ELEVE'!$K$4)),1,0)</f>
        <v>0</v>
      </c>
      <c r="AW178">
        <f>N(AW177)+IF(AND($AB178&lt;&gt;"",OR('SUIVI LONGITUDINAL'!$Q$4="(Tous)",$AF178='SUIVI LONGITUDINAL'!$Q$4)),1,0)</f>
        <v>0</v>
      </c>
      <c r="AX178">
        <f t="shared" si="67"/>
        <v>0</v>
      </c>
      <c r="AY178">
        <f t="shared" si="68"/>
        <v>0</v>
      </c>
      <c r="AZ178">
        <f t="shared" si="69"/>
        <v>0</v>
      </c>
      <c r="BA178" t="str">
        <f t="shared" si="70"/>
        <v/>
      </c>
      <c r="BB178" t="str">
        <f t="shared" si="71"/>
        <v/>
      </c>
    </row>
    <row r="179" spans="1:54" ht="14.25" customHeight="1" x14ac:dyDescent="0.3">
      <c r="A179" t="str">
        <f>IF(SAISIE!$F184="","",SAISIE!$B184)</f>
        <v/>
      </c>
      <c r="B179" t="str">
        <f>IF(SAISIE!$F184="","",SAISIE!$C184)</f>
        <v/>
      </c>
      <c r="C179" t="str">
        <f>IF(SAISIE!$F184="","",SAISIE!$D184)</f>
        <v/>
      </c>
      <c r="D179" t="str">
        <f>IF(SAISIE!$E184="","",SAISIE!$E184)</f>
        <v/>
      </c>
      <c r="E179" t="str">
        <f>IF(SAISIE!$F184="","",SAISIE!$F184)</f>
        <v/>
      </c>
      <c r="F179" t="str">
        <f>IF(SAISIE!$G184="","",SAISIE!$G184)</f>
        <v/>
      </c>
      <c r="G179" t="str">
        <f>IF(SAISIE!$H184="","",SAISIE!$H184)</f>
        <v/>
      </c>
      <c r="H179" t="str">
        <f>IF(SAISIE!$I184="","",SAISIE!$I184)</f>
        <v/>
      </c>
      <c r="I179" t="str">
        <f>IF(SAISIE!$J184="","",SAISIE!$J184)</f>
        <v/>
      </c>
      <c r="J179" t="str">
        <f>IF(SAISIE!$K184="","",SAISIE!$K184)</f>
        <v/>
      </c>
      <c r="K179" t="str">
        <f>IF(SAISIE!$L184="","",SAISIE!$L184)</f>
        <v/>
      </c>
      <c r="L179" t="str">
        <f>IF(SAISIE!$M184="","",SAISIE!$M184)</f>
        <v/>
      </c>
      <c r="M179" t="str">
        <f>IF(SAISIE!$N184="","",SAISIE!$N184)</f>
        <v/>
      </c>
      <c r="N179" t="str">
        <f>IF(SAISIE!$O184="","",SAISIE!$O184)</f>
        <v/>
      </c>
      <c r="O179" t="str">
        <f>IF(SAISIE!$P184="","",SAISIE!$P184)</f>
        <v/>
      </c>
      <c r="P179" t="str">
        <f>IF(SAISIE!$Q184="","",SAISIE!$Q184)</f>
        <v/>
      </c>
      <c r="Q179" t="str">
        <f>IF($I179="","",IF($I179&gt;PARAMETRES!$G$29,5,IF($I179&gt;PARAMETRES!$F$29,4,IF($I179&gt;PARAMETRES!$E$29,3,IF($I179&gt;PARAMETRES!$D$29,2,1)))))</f>
        <v/>
      </c>
      <c r="R179" t="str">
        <f>IF($J179="","",IF($J179&gt;PARAMETRES!$G$30,5,IF($J179&gt;PARAMETRES!$F$30,4,IF($J179&gt;PARAMETRES!$E$30,3,IF($J179&gt;PARAMETRES!$D$30,2,1)))))</f>
        <v/>
      </c>
      <c r="S179" t="str">
        <f>IF($K179="","",IF($Z179=2,IF($K179&gt;PARAMETRES!$G$31,5,IF($K179&gt;PARAMETRES!$F$31,4,IF($K179&gt;PARAMETRES!$E$31,3,IF($K179&gt;PARAMETRES!$D$31,2,1)))),IF($K179&gt;PARAMETRES!$G$32,5,IF($K179&gt;PARAMETRES!$F$32,4,IF($K179&gt;PARAMETRES!$E$32,3,IF($K179&gt;PARAMETRES!$D$32,2,1))))))</f>
        <v/>
      </c>
      <c r="T179" t="str">
        <f>IF($L179="","",IF($L179&gt;PARAMETRES!$G$33,5,IF($L179&gt;PARAMETRES!$F$33,4,IF($L179&gt;PARAMETRES!$E$33,3,IF($L179&gt;PARAMETRES!$D$33,2,1)))))</f>
        <v/>
      </c>
      <c r="U179" t="str">
        <f>IF($M179="","",IF($M179&gt;PARAMETRES!$G$34,5,IF($M179&gt;PARAMETRES!$F$34,4,IF($M179&gt;PARAMETRES!$E$34,3,IF($M179&gt;PARAMETRES!$D$34,2,1)))))</f>
        <v/>
      </c>
      <c r="V179" t="str">
        <f>IF($N179="","",IF($N179&gt;PARAMETRES!$G$35,5,IF($N179&gt;PARAMETRES!$F$35,4,IF($N179&gt;PARAMETRES!$E$35,3,IF($N179&gt;PARAMETRES!$D$35,2,1)))))</f>
        <v/>
      </c>
      <c r="W179" t="str">
        <f>IF($O179="","",IF($O179&gt;PARAMETRES!$G$36,5,IF($O179&gt;PARAMETRES!$F$36,4,IF($O179&gt;PARAMETRES!$E$36,3,IF($O179&gt;PARAMETRES!$D$36,2,1)))))</f>
        <v/>
      </c>
      <c r="X179" t="str">
        <f>IF($P179="","",IF($P179&gt;PARAMETRES!$G$37,5,IF($P179&gt;PARAMETRES!$F$37,4,IF($P179&gt;PARAMETRES!$E$37,3,IF($P179&gt;PARAMETRES!$D$37,2,1)))))</f>
        <v/>
      </c>
      <c r="Y179" t="str">
        <f t="shared" si="48"/>
        <v/>
      </c>
      <c r="Z179" t="str">
        <f>IFERROR(VLOOKUP($B179,TABLE_CYCLE,2,0),"")</f>
        <v/>
      </c>
      <c r="AA179" t="str">
        <f t="shared" si="49"/>
        <v/>
      </c>
      <c r="AB179" t="str">
        <f>IF($D179="","",IF(COUNTIF($D$2:$D179,$D179)=1,$D179,""))</f>
        <v/>
      </c>
      <c r="AC179">
        <f t="shared" si="50"/>
        <v>0</v>
      </c>
      <c r="AD179" t="str">
        <f t="shared" si="51"/>
        <v>|0</v>
      </c>
      <c r="AE179" t="str">
        <f t="shared" si="52"/>
        <v/>
      </c>
      <c r="AF179" t="str">
        <f t="shared" si="53"/>
        <v/>
      </c>
      <c r="AG179" t="str">
        <f t="shared" si="54"/>
        <v/>
      </c>
      <c r="AH179" t="str">
        <f t="shared" si="55"/>
        <v/>
      </c>
      <c r="AI179" t="str">
        <f t="shared" si="56"/>
        <v/>
      </c>
      <c r="AJ179" t="str">
        <f t="shared" si="57"/>
        <v/>
      </c>
      <c r="AK179" t="str">
        <f t="shared" si="58"/>
        <v/>
      </c>
      <c r="AL179" t="str">
        <f t="shared" si="59"/>
        <v/>
      </c>
      <c r="AM179" t="str">
        <f t="shared" si="60"/>
        <v/>
      </c>
      <c r="AN179" t="str">
        <f t="shared" si="61"/>
        <v/>
      </c>
      <c r="AO179" t="str">
        <f t="shared" si="62"/>
        <v/>
      </c>
      <c r="AP179">
        <f t="shared" si="63"/>
        <v>1</v>
      </c>
      <c r="AQ179" t="str">
        <f>IF(SAISIE!$F184="","",SAISIE!$Y184)</f>
        <v/>
      </c>
      <c r="AR179" t="str">
        <f>IF(OR(SAISIE!$U$4="",SAISIE!$W$4=""),"",IF(AND($A179=SAISIE!$U$4,$B179=SAISIE!$W$4,$C179="S1"),COUNTIFS($A$2:$A179,SAISIE!$U$4,$B$2:$B179,SAISIE!$W$4,$C$2:$C179,"S1"),""))</f>
        <v/>
      </c>
      <c r="AS179" t="str">
        <f t="shared" si="64"/>
        <v/>
      </c>
      <c r="AT179" t="str">
        <f t="shared" si="65"/>
        <v/>
      </c>
      <c r="AU179" t="str">
        <f t="shared" si="66"/>
        <v/>
      </c>
      <c r="AV179">
        <f>N(AV178)+IF(AND($AB179&lt;&gt;"",OR('PROFIL ELEVE'!$K$4="(Tous)",$AF179='PROFIL ELEVE'!$K$4)),1,0)</f>
        <v>0</v>
      </c>
      <c r="AW179">
        <f>N(AW178)+IF(AND($AB179&lt;&gt;"",OR('SUIVI LONGITUDINAL'!$Q$4="(Tous)",$AF179='SUIVI LONGITUDINAL'!$Q$4)),1,0)</f>
        <v>0</v>
      </c>
      <c r="AX179">
        <f t="shared" si="67"/>
        <v>0</v>
      </c>
      <c r="AY179">
        <f t="shared" si="68"/>
        <v>0</v>
      </c>
      <c r="AZ179">
        <f t="shared" si="69"/>
        <v>0</v>
      </c>
      <c r="BA179" t="str">
        <f t="shared" si="70"/>
        <v/>
      </c>
      <c r="BB179" t="str">
        <f t="shared" si="71"/>
        <v/>
      </c>
    </row>
    <row r="180" spans="1:54" ht="14.25" customHeight="1" x14ac:dyDescent="0.3">
      <c r="A180" t="str">
        <f>IF(SAISIE!$F185="","",SAISIE!$B185)</f>
        <v/>
      </c>
      <c r="B180" t="str">
        <f>IF(SAISIE!$F185="","",SAISIE!$C185)</f>
        <v/>
      </c>
      <c r="C180" t="str">
        <f>IF(SAISIE!$F185="","",SAISIE!$D185)</f>
        <v/>
      </c>
      <c r="D180" t="str">
        <f>IF(SAISIE!$E185="","",SAISIE!$E185)</f>
        <v/>
      </c>
      <c r="E180" t="str">
        <f>IF(SAISIE!$F185="","",SAISIE!$F185)</f>
        <v/>
      </c>
      <c r="F180" t="str">
        <f>IF(SAISIE!$G185="","",SAISIE!$G185)</f>
        <v/>
      </c>
      <c r="G180" t="str">
        <f>IF(SAISIE!$H185="","",SAISIE!$H185)</f>
        <v/>
      </c>
      <c r="H180" t="str">
        <f>IF(SAISIE!$I185="","",SAISIE!$I185)</f>
        <v/>
      </c>
      <c r="I180" t="str">
        <f>IF(SAISIE!$J185="","",SAISIE!$J185)</f>
        <v/>
      </c>
      <c r="J180" t="str">
        <f>IF(SAISIE!$K185="","",SAISIE!$K185)</f>
        <v/>
      </c>
      <c r="K180" t="str">
        <f>IF(SAISIE!$L185="","",SAISIE!$L185)</f>
        <v/>
      </c>
      <c r="L180" t="str">
        <f>IF(SAISIE!$M185="","",SAISIE!$M185)</f>
        <v/>
      </c>
      <c r="M180" t="str">
        <f>IF(SAISIE!$N185="","",SAISIE!$N185)</f>
        <v/>
      </c>
      <c r="N180" t="str">
        <f>IF(SAISIE!$O185="","",SAISIE!$O185)</f>
        <v/>
      </c>
      <c r="O180" t="str">
        <f>IF(SAISIE!$P185="","",SAISIE!$P185)</f>
        <v/>
      </c>
      <c r="P180" t="str">
        <f>IF(SAISIE!$Q185="","",SAISIE!$Q185)</f>
        <v/>
      </c>
      <c r="Q180" t="str">
        <f>IF($I180="","",IF($I180&gt;PARAMETRES!$G$29,5,IF($I180&gt;PARAMETRES!$F$29,4,IF($I180&gt;PARAMETRES!$E$29,3,IF($I180&gt;PARAMETRES!$D$29,2,1)))))</f>
        <v/>
      </c>
      <c r="R180" t="str">
        <f>IF($J180="","",IF($J180&gt;PARAMETRES!$G$30,5,IF($J180&gt;PARAMETRES!$F$30,4,IF($J180&gt;PARAMETRES!$E$30,3,IF($J180&gt;PARAMETRES!$D$30,2,1)))))</f>
        <v/>
      </c>
      <c r="S180" t="str">
        <f>IF($K180="","",IF($Z180=2,IF($K180&gt;PARAMETRES!$G$31,5,IF($K180&gt;PARAMETRES!$F$31,4,IF($K180&gt;PARAMETRES!$E$31,3,IF($K180&gt;PARAMETRES!$D$31,2,1)))),IF($K180&gt;PARAMETRES!$G$32,5,IF($K180&gt;PARAMETRES!$F$32,4,IF($K180&gt;PARAMETRES!$E$32,3,IF($K180&gt;PARAMETRES!$D$32,2,1))))))</f>
        <v/>
      </c>
      <c r="T180" t="str">
        <f>IF($L180="","",IF($L180&gt;PARAMETRES!$G$33,5,IF($L180&gt;PARAMETRES!$F$33,4,IF($L180&gt;PARAMETRES!$E$33,3,IF($L180&gt;PARAMETRES!$D$33,2,1)))))</f>
        <v/>
      </c>
      <c r="U180" t="str">
        <f>IF($M180="","",IF($M180&gt;PARAMETRES!$G$34,5,IF($M180&gt;PARAMETRES!$F$34,4,IF($M180&gt;PARAMETRES!$E$34,3,IF($M180&gt;PARAMETRES!$D$34,2,1)))))</f>
        <v/>
      </c>
      <c r="V180" t="str">
        <f>IF($N180="","",IF($N180&gt;PARAMETRES!$G$35,5,IF($N180&gt;PARAMETRES!$F$35,4,IF($N180&gt;PARAMETRES!$E$35,3,IF($N180&gt;PARAMETRES!$D$35,2,1)))))</f>
        <v/>
      </c>
      <c r="W180" t="str">
        <f>IF($O180="","",IF($O180&gt;PARAMETRES!$G$36,5,IF($O180&gt;PARAMETRES!$F$36,4,IF($O180&gt;PARAMETRES!$E$36,3,IF($O180&gt;PARAMETRES!$D$36,2,1)))))</f>
        <v/>
      </c>
      <c r="X180" t="str">
        <f>IF($P180="","",IF($P180&gt;PARAMETRES!$G$37,5,IF($P180&gt;PARAMETRES!$F$37,4,IF($P180&gt;PARAMETRES!$E$37,3,IF($P180&gt;PARAMETRES!$D$37,2,1)))))</f>
        <v/>
      </c>
      <c r="Y180" t="str">
        <f t="shared" si="48"/>
        <v/>
      </c>
      <c r="Z180" t="str">
        <f>IFERROR(VLOOKUP($B180,TABLE_CYCLE,2,0),"")</f>
        <v/>
      </c>
      <c r="AA180" t="str">
        <f t="shared" si="49"/>
        <v/>
      </c>
      <c r="AB180" t="str">
        <f>IF($D180="","",IF(COUNTIF($D$2:$D180,$D180)=1,$D180,""))</f>
        <v/>
      </c>
      <c r="AC180">
        <f t="shared" si="50"/>
        <v>0</v>
      </c>
      <c r="AD180" t="str">
        <f t="shared" si="51"/>
        <v>|0</v>
      </c>
      <c r="AE180" t="str">
        <f t="shared" si="52"/>
        <v/>
      </c>
      <c r="AF180" t="str">
        <f t="shared" si="53"/>
        <v/>
      </c>
      <c r="AG180" t="str">
        <f t="shared" si="54"/>
        <v/>
      </c>
      <c r="AH180" t="str">
        <f t="shared" si="55"/>
        <v/>
      </c>
      <c r="AI180" t="str">
        <f t="shared" si="56"/>
        <v/>
      </c>
      <c r="AJ180" t="str">
        <f t="shared" si="57"/>
        <v/>
      </c>
      <c r="AK180" t="str">
        <f t="shared" si="58"/>
        <v/>
      </c>
      <c r="AL180" t="str">
        <f t="shared" si="59"/>
        <v/>
      </c>
      <c r="AM180" t="str">
        <f t="shared" si="60"/>
        <v/>
      </c>
      <c r="AN180" t="str">
        <f t="shared" si="61"/>
        <v/>
      </c>
      <c r="AO180" t="str">
        <f t="shared" si="62"/>
        <v/>
      </c>
      <c r="AP180">
        <f t="shared" si="63"/>
        <v>1</v>
      </c>
      <c r="AQ180" t="str">
        <f>IF(SAISIE!$F185="","",SAISIE!$Y185)</f>
        <v/>
      </c>
      <c r="AR180" t="str">
        <f>IF(OR(SAISIE!$U$4="",SAISIE!$W$4=""),"",IF(AND($A180=SAISIE!$U$4,$B180=SAISIE!$W$4,$C180="S1"),COUNTIFS($A$2:$A180,SAISIE!$U$4,$B$2:$B180,SAISIE!$W$4,$C$2:$C180,"S1"),""))</f>
        <v/>
      </c>
      <c r="AS180" t="str">
        <f t="shared" si="64"/>
        <v/>
      </c>
      <c r="AT180" t="str">
        <f t="shared" si="65"/>
        <v/>
      </c>
      <c r="AU180" t="str">
        <f t="shared" si="66"/>
        <v/>
      </c>
      <c r="AV180">
        <f>N(AV179)+IF(AND($AB180&lt;&gt;"",OR('PROFIL ELEVE'!$K$4="(Tous)",$AF180='PROFIL ELEVE'!$K$4)),1,0)</f>
        <v>0</v>
      </c>
      <c r="AW180">
        <f>N(AW179)+IF(AND($AB180&lt;&gt;"",OR('SUIVI LONGITUDINAL'!$Q$4="(Tous)",$AF180='SUIVI LONGITUDINAL'!$Q$4)),1,0)</f>
        <v>0</v>
      </c>
      <c r="AX180">
        <f t="shared" si="67"/>
        <v>0</v>
      </c>
      <c r="AY180">
        <f t="shared" si="68"/>
        <v>0</v>
      </c>
      <c r="AZ180">
        <f t="shared" si="69"/>
        <v>0</v>
      </c>
      <c r="BA180" t="str">
        <f t="shared" si="70"/>
        <v/>
      </c>
      <c r="BB180" t="str">
        <f t="shared" si="71"/>
        <v/>
      </c>
    </row>
    <row r="181" spans="1:54" ht="14.25" customHeight="1" x14ac:dyDescent="0.3">
      <c r="A181" t="str">
        <f>IF(SAISIE!$F186="","",SAISIE!$B186)</f>
        <v/>
      </c>
      <c r="B181" t="str">
        <f>IF(SAISIE!$F186="","",SAISIE!$C186)</f>
        <v/>
      </c>
      <c r="C181" t="str">
        <f>IF(SAISIE!$F186="","",SAISIE!$D186)</f>
        <v/>
      </c>
      <c r="D181" t="str">
        <f>IF(SAISIE!$E186="","",SAISIE!$E186)</f>
        <v/>
      </c>
      <c r="E181" t="str">
        <f>IF(SAISIE!$F186="","",SAISIE!$F186)</f>
        <v/>
      </c>
      <c r="F181" t="str">
        <f>IF(SAISIE!$G186="","",SAISIE!$G186)</f>
        <v/>
      </c>
      <c r="G181" t="str">
        <f>IF(SAISIE!$H186="","",SAISIE!$H186)</f>
        <v/>
      </c>
      <c r="H181" t="str">
        <f>IF(SAISIE!$I186="","",SAISIE!$I186)</f>
        <v/>
      </c>
      <c r="I181" t="str">
        <f>IF(SAISIE!$J186="","",SAISIE!$J186)</f>
        <v/>
      </c>
      <c r="J181" t="str">
        <f>IF(SAISIE!$K186="","",SAISIE!$K186)</f>
        <v/>
      </c>
      <c r="K181" t="str">
        <f>IF(SAISIE!$L186="","",SAISIE!$L186)</f>
        <v/>
      </c>
      <c r="L181" t="str">
        <f>IF(SAISIE!$M186="","",SAISIE!$M186)</f>
        <v/>
      </c>
      <c r="M181" t="str">
        <f>IF(SAISIE!$N186="","",SAISIE!$N186)</f>
        <v/>
      </c>
      <c r="N181" t="str">
        <f>IF(SAISIE!$O186="","",SAISIE!$O186)</f>
        <v/>
      </c>
      <c r="O181" t="str">
        <f>IF(SAISIE!$P186="","",SAISIE!$P186)</f>
        <v/>
      </c>
      <c r="P181" t="str">
        <f>IF(SAISIE!$Q186="","",SAISIE!$Q186)</f>
        <v/>
      </c>
      <c r="Q181" t="str">
        <f>IF($I181="","",IF($I181&gt;PARAMETRES!$G$29,5,IF($I181&gt;PARAMETRES!$F$29,4,IF($I181&gt;PARAMETRES!$E$29,3,IF($I181&gt;PARAMETRES!$D$29,2,1)))))</f>
        <v/>
      </c>
      <c r="R181" t="str">
        <f>IF($J181="","",IF($J181&gt;PARAMETRES!$G$30,5,IF($J181&gt;PARAMETRES!$F$30,4,IF($J181&gt;PARAMETRES!$E$30,3,IF($J181&gt;PARAMETRES!$D$30,2,1)))))</f>
        <v/>
      </c>
      <c r="S181" t="str">
        <f>IF($K181="","",IF($Z181=2,IF($K181&gt;PARAMETRES!$G$31,5,IF($K181&gt;PARAMETRES!$F$31,4,IF($K181&gt;PARAMETRES!$E$31,3,IF($K181&gt;PARAMETRES!$D$31,2,1)))),IF($K181&gt;PARAMETRES!$G$32,5,IF($K181&gt;PARAMETRES!$F$32,4,IF($K181&gt;PARAMETRES!$E$32,3,IF($K181&gt;PARAMETRES!$D$32,2,1))))))</f>
        <v/>
      </c>
      <c r="T181" t="str">
        <f>IF($L181="","",IF($L181&gt;PARAMETRES!$G$33,5,IF($L181&gt;PARAMETRES!$F$33,4,IF($L181&gt;PARAMETRES!$E$33,3,IF($L181&gt;PARAMETRES!$D$33,2,1)))))</f>
        <v/>
      </c>
      <c r="U181" t="str">
        <f>IF($M181="","",IF($M181&gt;PARAMETRES!$G$34,5,IF($M181&gt;PARAMETRES!$F$34,4,IF($M181&gt;PARAMETRES!$E$34,3,IF($M181&gt;PARAMETRES!$D$34,2,1)))))</f>
        <v/>
      </c>
      <c r="V181" t="str">
        <f>IF($N181="","",IF($N181&gt;PARAMETRES!$G$35,5,IF($N181&gt;PARAMETRES!$F$35,4,IF($N181&gt;PARAMETRES!$E$35,3,IF($N181&gt;PARAMETRES!$D$35,2,1)))))</f>
        <v/>
      </c>
      <c r="W181" t="str">
        <f>IF($O181="","",IF($O181&gt;PARAMETRES!$G$36,5,IF($O181&gt;PARAMETRES!$F$36,4,IF($O181&gt;PARAMETRES!$E$36,3,IF($O181&gt;PARAMETRES!$D$36,2,1)))))</f>
        <v/>
      </c>
      <c r="X181" t="str">
        <f>IF($P181="","",IF($P181&gt;PARAMETRES!$G$37,5,IF($P181&gt;PARAMETRES!$F$37,4,IF($P181&gt;PARAMETRES!$E$37,3,IF($P181&gt;PARAMETRES!$D$37,2,1)))))</f>
        <v/>
      </c>
      <c r="Y181" t="str">
        <f t="shared" si="48"/>
        <v/>
      </c>
      <c r="Z181" t="str">
        <f>IFERROR(VLOOKUP($B181,TABLE_CYCLE,2,0),"")</f>
        <v/>
      </c>
      <c r="AA181" t="str">
        <f t="shared" si="49"/>
        <v/>
      </c>
      <c r="AB181" t="str">
        <f>IF($D181="","",IF(COUNTIF($D$2:$D181,$D181)=1,$D181,""))</f>
        <v/>
      </c>
      <c r="AC181">
        <f t="shared" si="50"/>
        <v>0</v>
      </c>
      <c r="AD181" t="str">
        <f t="shared" si="51"/>
        <v>|0</v>
      </c>
      <c r="AE181" t="str">
        <f t="shared" si="52"/>
        <v/>
      </c>
      <c r="AF181" t="str">
        <f t="shared" si="53"/>
        <v/>
      </c>
      <c r="AG181" t="str">
        <f t="shared" si="54"/>
        <v/>
      </c>
      <c r="AH181" t="str">
        <f t="shared" si="55"/>
        <v/>
      </c>
      <c r="AI181" t="str">
        <f t="shared" si="56"/>
        <v/>
      </c>
      <c r="AJ181" t="str">
        <f t="shared" si="57"/>
        <v/>
      </c>
      <c r="AK181" t="str">
        <f t="shared" si="58"/>
        <v/>
      </c>
      <c r="AL181" t="str">
        <f t="shared" si="59"/>
        <v/>
      </c>
      <c r="AM181" t="str">
        <f t="shared" si="60"/>
        <v/>
      </c>
      <c r="AN181" t="str">
        <f t="shared" si="61"/>
        <v/>
      </c>
      <c r="AO181" t="str">
        <f t="shared" si="62"/>
        <v/>
      </c>
      <c r="AP181">
        <f t="shared" si="63"/>
        <v>1</v>
      </c>
      <c r="AQ181" t="str">
        <f>IF(SAISIE!$F186="","",SAISIE!$Y186)</f>
        <v/>
      </c>
      <c r="AR181" t="str">
        <f>IF(OR(SAISIE!$U$4="",SAISIE!$W$4=""),"",IF(AND($A181=SAISIE!$U$4,$B181=SAISIE!$W$4,$C181="S1"),COUNTIFS($A$2:$A181,SAISIE!$U$4,$B$2:$B181,SAISIE!$W$4,$C$2:$C181,"S1"),""))</f>
        <v/>
      </c>
      <c r="AS181" t="str">
        <f t="shared" si="64"/>
        <v/>
      </c>
      <c r="AT181" t="str">
        <f t="shared" si="65"/>
        <v/>
      </c>
      <c r="AU181" t="str">
        <f t="shared" si="66"/>
        <v/>
      </c>
      <c r="AV181">
        <f>N(AV180)+IF(AND($AB181&lt;&gt;"",OR('PROFIL ELEVE'!$K$4="(Tous)",$AF181='PROFIL ELEVE'!$K$4)),1,0)</f>
        <v>0</v>
      </c>
      <c r="AW181">
        <f>N(AW180)+IF(AND($AB181&lt;&gt;"",OR('SUIVI LONGITUDINAL'!$Q$4="(Tous)",$AF181='SUIVI LONGITUDINAL'!$Q$4)),1,0)</f>
        <v>0</v>
      </c>
      <c r="AX181">
        <f t="shared" si="67"/>
        <v>0</v>
      </c>
      <c r="AY181">
        <f t="shared" si="68"/>
        <v>0</v>
      </c>
      <c r="AZ181">
        <f t="shared" si="69"/>
        <v>0</v>
      </c>
      <c r="BA181" t="str">
        <f t="shared" si="70"/>
        <v/>
      </c>
      <c r="BB181" t="str">
        <f t="shared" si="71"/>
        <v/>
      </c>
    </row>
    <row r="182" spans="1:54" ht="14.25" customHeight="1" x14ac:dyDescent="0.3">
      <c r="A182" t="str">
        <f>IF(SAISIE!$F187="","",SAISIE!$B187)</f>
        <v/>
      </c>
      <c r="B182" t="str">
        <f>IF(SAISIE!$F187="","",SAISIE!$C187)</f>
        <v/>
      </c>
      <c r="C182" t="str">
        <f>IF(SAISIE!$F187="","",SAISIE!$D187)</f>
        <v/>
      </c>
      <c r="D182" t="str">
        <f>IF(SAISIE!$E187="","",SAISIE!$E187)</f>
        <v/>
      </c>
      <c r="E182" t="str">
        <f>IF(SAISIE!$F187="","",SAISIE!$F187)</f>
        <v/>
      </c>
      <c r="F182" t="str">
        <f>IF(SAISIE!$G187="","",SAISIE!$G187)</f>
        <v/>
      </c>
      <c r="G182" t="str">
        <f>IF(SAISIE!$H187="","",SAISIE!$H187)</f>
        <v/>
      </c>
      <c r="H182" t="str">
        <f>IF(SAISIE!$I187="","",SAISIE!$I187)</f>
        <v/>
      </c>
      <c r="I182" t="str">
        <f>IF(SAISIE!$J187="","",SAISIE!$J187)</f>
        <v/>
      </c>
      <c r="J182" t="str">
        <f>IF(SAISIE!$K187="","",SAISIE!$K187)</f>
        <v/>
      </c>
      <c r="K182" t="str">
        <f>IF(SAISIE!$L187="","",SAISIE!$L187)</f>
        <v/>
      </c>
      <c r="L182" t="str">
        <f>IF(SAISIE!$M187="","",SAISIE!$M187)</f>
        <v/>
      </c>
      <c r="M182" t="str">
        <f>IF(SAISIE!$N187="","",SAISIE!$N187)</f>
        <v/>
      </c>
      <c r="N182" t="str">
        <f>IF(SAISIE!$O187="","",SAISIE!$O187)</f>
        <v/>
      </c>
      <c r="O182" t="str">
        <f>IF(SAISIE!$P187="","",SAISIE!$P187)</f>
        <v/>
      </c>
      <c r="P182" t="str">
        <f>IF(SAISIE!$Q187="","",SAISIE!$Q187)</f>
        <v/>
      </c>
      <c r="Q182" t="str">
        <f>IF($I182="","",IF($I182&gt;PARAMETRES!$G$29,5,IF($I182&gt;PARAMETRES!$F$29,4,IF($I182&gt;PARAMETRES!$E$29,3,IF($I182&gt;PARAMETRES!$D$29,2,1)))))</f>
        <v/>
      </c>
      <c r="R182" t="str">
        <f>IF($J182="","",IF($J182&gt;PARAMETRES!$G$30,5,IF($J182&gt;PARAMETRES!$F$30,4,IF($J182&gt;PARAMETRES!$E$30,3,IF($J182&gt;PARAMETRES!$D$30,2,1)))))</f>
        <v/>
      </c>
      <c r="S182" t="str">
        <f>IF($K182="","",IF($Z182=2,IF($K182&gt;PARAMETRES!$G$31,5,IF($K182&gt;PARAMETRES!$F$31,4,IF($K182&gt;PARAMETRES!$E$31,3,IF($K182&gt;PARAMETRES!$D$31,2,1)))),IF($K182&gt;PARAMETRES!$G$32,5,IF($K182&gt;PARAMETRES!$F$32,4,IF($K182&gt;PARAMETRES!$E$32,3,IF($K182&gt;PARAMETRES!$D$32,2,1))))))</f>
        <v/>
      </c>
      <c r="T182" t="str">
        <f>IF($L182="","",IF($L182&gt;PARAMETRES!$G$33,5,IF($L182&gt;PARAMETRES!$F$33,4,IF($L182&gt;PARAMETRES!$E$33,3,IF($L182&gt;PARAMETRES!$D$33,2,1)))))</f>
        <v/>
      </c>
      <c r="U182" t="str">
        <f>IF($M182="","",IF($M182&gt;PARAMETRES!$G$34,5,IF($M182&gt;PARAMETRES!$F$34,4,IF($M182&gt;PARAMETRES!$E$34,3,IF($M182&gt;PARAMETRES!$D$34,2,1)))))</f>
        <v/>
      </c>
      <c r="V182" t="str">
        <f>IF($N182="","",IF($N182&gt;PARAMETRES!$G$35,5,IF($N182&gt;PARAMETRES!$F$35,4,IF($N182&gt;PARAMETRES!$E$35,3,IF($N182&gt;PARAMETRES!$D$35,2,1)))))</f>
        <v/>
      </c>
      <c r="W182" t="str">
        <f>IF($O182="","",IF($O182&gt;PARAMETRES!$G$36,5,IF($O182&gt;PARAMETRES!$F$36,4,IF($O182&gt;PARAMETRES!$E$36,3,IF($O182&gt;PARAMETRES!$D$36,2,1)))))</f>
        <v/>
      </c>
      <c r="X182" t="str">
        <f>IF($P182="","",IF($P182&gt;PARAMETRES!$G$37,5,IF($P182&gt;PARAMETRES!$F$37,4,IF($P182&gt;PARAMETRES!$E$37,3,IF($P182&gt;PARAMETRES!$D$37,2,1)))))</f>
        <v/>
      </c>
      <c r="Y182" t="str">
        <f t="shared" si="48"/>
        <v/>
      </c>
      <c r="Z182" t="str">
        <f>IFERROR(VLOOKUP($B182,TABLE_CYCLE,2,0),"")</f>
        <v/>
      </c>
      <c r="AA182" t="str">
        <f t="shared" si="49"/>
        <v/>
      </c>
      <c r="AB182" t="str">
        <f>IF($D182="","",IF(COUNTIF($D$2:$D182,$D182)=1,$D182,""))</f>
        <v/>
      </c>
      <c r="AC182">
        <f t="shared" si="50"/>
        <v>0</v>
      </c>
      <c r="AD182" t="str">
        <f t="shared" si="51"/>
        <v>|0</v>
      </c>
      <c r="AE182" t="str">
        <f t="shared" si="52"/>
        <v/>
      </c>
      <c r="AF182" t="str">
        <f t="shared" si="53"/>
        <v/>
      </c>
      <c r="AG182" t="str">
        <f t="shared" si="54"/>
        <v/>
      </c>
      <c r="AH182" t="str">
        <f t="shared" si="55"/>
        <v/>
      </c>
      <c r="AI182" t="str">
        <f t="shared" si="56"/>
        <v/>
      </c>
      <c r="AJ182" t="str">
        <f t="shared" si="57"/>
        <v/>
      </c>
      <c r="AK182" t="str">
        <f t="shared" si="58"/>
        <v/>
      </c>
      <c r="AL182" t="str">
        <f t="shared" si="59"/>
        <v/>
      </c>
      <c r="AM182" t="str">
        <f t="shared" si="60"/>
        <v/>
      </c>
      <c r="AN182" t="str">
        <f t="shared" si="61"/>
        <v/>
      </c>
      <c r="AO182" t="str">
        <f t="shared" si="62"/>
        <v/>
      </c>
      <c r="AP182">
        <f t="shared" si="63"/>
        <v>1</v>
      </c>
      <c r="AQ182" t="str">
        <f>IF(SAISIE!$F187="","",SAISIE!$Y187)</f>
        <v/>
      </c>
      <c r="AR182" t="str">
        <f>IF(OR(SAISIE!$U$4="",SAISIE!$W$4=""),"",IF(AND($A182=SAISIE!$U$4,$B182=SAISIE!$W$4,$C182="S1"),COUNTIFS($A$2:$A182,SAISIE!$U$4,$B$2:$B182,SAISIE!$W$4,$C$2:$C182,"S1"),""))</f>
        <v/>
      </c>
      <c r="AS182" t="str">
        <f t="shared" si="64"/>
        <v/>
      </c>
      <c r="AT182" t="str">
        <f t="shared" si="65"/>
        <v/>
      </c>
      <c r="AU182" t="str">
        <f t="shared" si="66"/>
        <v/>
      </c>
      <c r="AV182">
        <f>N(AV181)+IF(AND($AB182&lt;&gt;"",OR('PROFIL ELEVE'!$K$4="(Tous)",$AF182='PROFIL ELEVE'!$K$4)),1,0)</f>
        <v>0</v>
      </c>
      <c r="AW182">
        <f>N(AW181)+IF(AND($AB182&lt;&gt;"",OR('SUIVI LONGITUDINAL'!$Q$4="(Tous)",$AF182='SUIVI LONGITUDINAL'!$Q$4)),1,0)</f>
        <v>0</v>
      </c>
      <c r="AX182">
        <f t="shared" si="67"/>
        <v>0</v>
      </c>
      <c r="AY182">
        <f t="shared" si="68"/>
        <v>0</v>
      </c>
      <c r="AZ182">
        <f t="shared" si="69"/>
        <v>0</v>
      </c>
      <c r="BA182" t="str">
        <f t="shared" si="70"/>
        <v/>
      </c>
      <c r="BB182" t="str">
        <f t="shared" si="71"/>
        <v/>
      </c>
    </row>
    <row r="183" spans="1:54" ht="14.25" customHeight="1" x14ac:dyDescent="0.3">
      <c r="A183" t="str">
        <f>IF(SAISIE!$F188="","",SAISIE!$B188)</f>
        <v/>
      </c>
      <c r="B183" t="str">
        <f>IF(SAISIE!$F188="","",SAISIE!$C188)</f>
        <v/>
      </c>
      <c r="C183" t="str">
        <f>IF(SAISIE!$F188="","",SAISIE!$D188)</f>
        <v/>
      </c>
      <c r="D183" t="str">
        <f>IF(SAISIE!$E188="","",SAISIE!$E188)</f>
        <v/>
      </c>
      <c r="E183" t="str">
        <f>IF(SAISIE!$F188="","",SAISIE!$F188)</f>
        <v/>
      </c>
      <c r="F183" t="str">
        <f>IF(SAISIE!$G188="","",SAISIE!$G188)</f>
        <v/>
      </c>
      <c r="G183" t="str">
        <f>IF(SAISIE!$H188="","",SAISIE!$H188)</f>
        <v/>
      </c>
      <c r="H183" t="str">
        <f>IF(SAISIE!$I188="","",SAISIE!$I188)</f>
        <v/>
      </c>
      <c r="I183" t="str">
        <f>IF(SAISIE!$J188="","",SAISIE!$J188)</f>
        <v/>
      </c>
      <c r="J183" t="str">
        <f>IF(SAISIE!$K188="","",SAISIE!$K188)</f>
        <v/>
      </c>
      <c r="K183" t="str">
        <f>IF(SAISIE!$L188="","",SAISIE!$L188)</f>
        <v/>
      </c>
      <c r="L183" t="str">
        <f>IF(SAISIE!$M188="","",SAISIE!$M188)</f>
        <v/>
      </c>
      <c r="M183" t="str">
        <f>IF(SAISIE!$N188="","",SAISIE!$N188)</f>
        <v/>
      </c>
      <c r="N183" t="str">
        <f>IF(SAISIE!$O188="","",SAISIE!$O188)</f>
        <v/>
      </c>
      <c r="O183" t="str">
        <f>IF(SAISIE!$P188="","",SAISIE!$P188)</f>
        <v/>
      </c>
      <c r="P183" t="str">
        <f>IF(SAISIE!$Q188="","",SAISIE!$Q188)</f>
        <v/>
      </c>
      <c r="Q183" t="str">
        <f>IF($I183="","",IF($I183&gt;PARAMETRES!$G$29,5,IF($I183&gt;PARAMETRES!$F$29,4,IF($I183&gt;PARAMETRES!$E$29,3,IF($I183&gt;PARAMETRES!$D$29,2,1)))))</f>
        <v/>
      </c>
      <c r="R183" t="str">
        <f>IF($J183="","",IF($J183&gt;PARAMETRES!$G$30,5,IF($J183&gt;PARAMETRES!$F$30,4,IF($J183&gt;PARAMETRES!$E$30,3,IF($J183&gt;PARAMETRES!$D$30,2,1)))))</f>
        <v/>
      </c>
      <c r="S183" t="str">
        <f>IF($K183="","",IF($Z183=2,IF($K183&gt;PARAMETRES!$G$31,5,IF($K183&gt;PARAMETRES!$F$31,4,IF($K183&gt;PARAMETRES!$E$31,3,IF($K183&gt;PARAMETRES!$D$31,2,1)))),IF($K183&gt;PARAMETRES!$G$32,5,IF($K183&gt;PARAMETRES!$F$32,4,IF($K183&gt;PARAMETRES!$E$32,3,IF($K183&gt;PARAMETRES!$D$32,2,1))))))</f>
        <v/>
      </c>
      <c r="T183" t="str">
        <f>IF($L183="","",IF($L183&gt;PARAMETRES!$G$33,5,IF($L183&gt;PARAMETRES!$F$33,4,IF($L183&gt;PARAMETRES!$E$33,3,IF($L183&gt;PARAMETRES!$D$33,2,1)))))</f>
        <v/>
      </c>
      <c r="U183" t="str">
        <f>IF($M183="","",IF($M183&gt;PARAMETRES!$G$34,5,IF($M183&gt;PARAMETRES!$F$34,4,IF($M183&gt;PARAMETRES!$E$34,3,IF($M183&gt;PARAMETRES!$D$34,2,1)))))</f>
        <v/>
      </c>
      <c r="V183" t="str">
        <f>IF($N183="","",IF($N183&gt;PARAMETRES!$G$35,5,IF($N183&gt;PARAMETRES!$F$35,4,IF($N183&gt;PARAMETRES!$E$35,3,IF($N183&gt;PARAMETRES!$D$35,2,1)))))</f>
        <v/>
      </c>
      <c r="W183" t="str">
        <f>IF($O183="","",IF($O183&gt;PARAMETRES!$G$36,5,IF($O183&gt;PARAMETRES!$F$36,4,IF($O183&gt;PARAMETRES!$E$36,3,IF($O183&gt;PARAMETRES!$D$36,2,1)))))</f>
        <v/>
      </c>
      <c r="X183" t="str">
        <f>IF($P183="","",IF($P183&gt;PARAMETRES!$G$37,5,IF($P183&gt;PARAMETRES!$F$37,4,IF($P183&gt;PARAMETRES!$E$37,3,IF($P183&gt;PARAMETRES!$D$37,2,1)))))</f>
        <v/>
      </c>
      <c r="Y183" t="str">
        <f t="shared" si="48"/>
        <v/>
      </c>
      <c r="Z183" t="str">
        <f>IFERROR(VLOOKUP($B183,TABLE_CYCLE,2,0),"")</f>
        <v/>
      </c>
      <c r="AA183" t="str">
        <f t="shared" si="49"/>
        <v/>
      </c>
      <c r="AB183" t="str">
        <f>IF($D183="","",IF(COUNTIF($D$2:$D183,$D183)=1,$D183,""))</f>
        <v/>
      </c>
      <c r="AC183">
        <f t="shared" si="50"/>
        <v>0</v>
      </c>
      <c r="AD183" t="str">
        <f t="shared" si="51"/>
        <v>|0</v>
      </c>
      <c r="AE183" t="str">
        <f t="shared" si="52"/>
        <v/>
      </c>
      <c r="AF183" t="str">
        <f t="shared" si="53"/>
        <v/>
      </c>
      <c r="AG183" t="str">
        <f t="shared" si="54"/>
        <v/>
      </c>
      <c r="AH183" t="str">
        <f t="shared" si="55"/>
        <v/>
      </c>
      <c r="AI183" t="str">
        <f t="shared" si="56"/>
        <v/>
      </c>
      <c r="AJ183" t="str">
        <f t="shared" si="57"/>
        <v/>
      </c>
      <c r="AK183" t="str">
        <f t="shared" si="58"/>
        <v/>
      </c>
      <c r="AL183" t="str">
        <f t="shared" si="59"/>
        <v/>
      </c>
      <c r="AM183" t="str">
        <f t="shared" si="60"/>
        <v/>
      </c>
      <c r="AN183" t="str">
        <f t="shared" si="61"/>
        <v/>
      </c>
      <c r="AO183" t="str">
        <f t="shared" si="62"/>
        <v/>
      </c>
      <c r="AP183">
        <f t="shared" si="63"/>
        <v>1</v>
      </c>
      <c r="AQ183" t="str">
        <f>IF(SAISIE!$F188="","",SAISIE!$Y188)</f>
        <v/>
      </c>
      <c r="AR183" t="str">
        <f>IF(OR(SAISIE!$U$4="",SAISIE!$W$4=""),"",IF(AND($A183=SAISIE!$U$4,$B183=SAISIE!$W$4,$C183="S1"),COUNTIFS($A$2:$A183,SAISIE!$U$4,$B$2:$B183,SAISIE!$W$4,$C$2:$C183,"S1"),""))</f>
        <v/>
      </c>
      <c r="AS183" t="str">
        <f t="shared" si="64"/>
        <v/>
      </c>
      <c r="AT183" t="str">
        <f t="shared" si="65"/>
        <v/>
      </c>
      <c r="AU183" t="str">
        <f t="shared" si="66"/>
        <v/>
      </c>
      <c r="AV183">
        <f>N(AV182)+IF(AND($AB183&lt;&gt;"",OR('PROFIL ELEVE'!$K$4="(Tous)",$AF183='PROFIL ELEVE'!$K$4)),1,0)</f>
        <v>0</v>
      </c>
      <c r="AW183">
        <f>N(AW182)+IF(AND($AB183&lt;&gt;"",OR('SUIVI LONGITUDINAL'!$Q$4="(Tous)",$AF183='SUIVI LONGITUDINAL'!$Q$4)),1,0)</f>
        <v>0</v>
      </c>
      <c r="AX183">
        <f t="shared" si="67"/>
        <v>0</v>
      </c>
      <c r="AY183">
        <f t="shared" si="68"/>
        <v>0</v>
      </c>
      <c r="AZ183">
        <f t="shared" si="69"/>
        <v>0</v>
      </c>
      <c r="BA183" t="str">
        <f t="shared" si="70"/>
        <v/>
      </c>
      <c r="BB183" t="str">
        <f t="shared" si="71"/>
        <v/>
      </c>
    </row>
    <row r="184" spans="1:54" ht="14.25" customHeight="1" x14ac:dyDescent="0.3">
      <c r="A184" t="str">
        <f>IF(SAISIE!$F189="","",SAISIE!$B189)</f>
        <v/>
      </c>
      <c r="B184" t="str">
        <f>IF(SAISIE!$F189="","",SAISIE!$C189)</f>
        <v/>
      </c>
      <c r="C184" t="str">
        <f>IF(SAISIE!$F189="","",SAISIE!$D189)</f>
        <v/>
      </c>
      <c r="D184" t="str">
        <f>IF(SAISIE!$E189="","",SAISIE!$E189)</f>
        <v/>
      </c>
      <c r="E184" t="str">
        <f>IF(SAISIE!$F189="","",SAISIE!$F189)</f>
        <v/>
      </c>
      <c r="F184" t="str">
        <f>IF(SAISIE!$G189="","",SAISIE!$G189)</f>
        <v/>
      </c>
      <c r="G184" t="str">
        <f>IF(SAISIE!$H189="","",SAISIE!$H189)</f>
        <v/>
      </c>
      <c r="H184" t="str">
        <f>IF(SAISIE!$I189="","",SAISIE!$I189)</f>
        <v/>
      </c>
      <c r="I184" t="str">
        <f>IF(SAISIE!$J189="","",SAISIE!$J189)</f>
        <v/>
      </c>
      <c r="J184" t="str">
        <f>IF(SAISIE!$K189="","",SAISIE!$K189)</f>
        <v/>
      </c>
      <c r="K184" t="str">
        <f>IF(SAISIE!$L189="","",SAISIE!$L189)</f>
        <v/>
      </c>
      <c r="L184" t="str">
        <f>IF(SAISIE!$M189="","",SAISIE!$M189)</f>
        <v/>
      </c>
      <c r="M184" t="str">
        <f>IF(SAISIE!$N189="","",SAISIE!$N189)</f>
        <v/>
      </c>
      <c r="N184" t="str">
        <f>IF(SAISIE!$O189="","",SAISIE!$O189)</f>
        <v/>
      </c>
      <c r="O184" t="str">
        <f>IF(SAISIE!$P189="","",SAISIE!$P189)</f>
        <v/>
      </c>
      <c r="P184" t="str">
        <f>IF(SAISIE!$Q189="","",SAISIE!$Q189)</f>
        <v/>
      </c>
      <c r="Q184" t="str">
        <f>IF($I184="","",IF($I184&gt;PARAMETRES!$G$29,5,IF($I184&gt;PARAMETRES!$F$29,4,IF($I184&gt;PARAMETRES!$E$29,3,IF($I184&gt;PARAMETRES!$D$29,2,1)))))</f>
        <v/>
      </c>
      <c r="R184" t="str">
        <f>IF($J184="","",IF($J184&gt;PARAMETRES!$G$30,5,IF($J184&gt;PARAMETRES!$F$30,4,IF($J184&gt;PARAMETRES!$E$30,3,IF($J184&gt;PARAMETRES!$D$30,2,1)))))</f>
        <v/>
      </c>
      <c r="S184" t="str">
        <f>IF($K184="","",IF($Z184=2,IF($K184&gt;PARAMETRES!$G$31,5,IF($K184&gt;PARAMETRES!$F$31,4,IF($K184&gt;PARAMETRES!$E$31,3,IF($K184&gt;PARAMETRES!$D$31,2,1)))),IF($K184&gt;PARAMETRES!$G$32,5,IF($K184&gt;PARAMETRES!$F$32,4,IF($K184&gt;PARAMETRES!$E$32,3,IF($K184&gt;PARAMETRES!$D$32,2,1))))))</f>
        <v/>
      </c>
      <c r="T184" t="str">
        <f>IF($L184="","",IF($L184&gt;PARAMETRES!$G$33,5,IF($L184&gt;PARAMETRES!$F$33,4,IF($L184&gt;PARAMETRES!$E$33,3,IF($L184&gt;PARAMETRES!$D$33,2,1)))))</f>
        <v/>
      </c>
      <c r="U184" t="str">
        <f>IF($M184="","",IF($M184&gt;PARAMETRES!$G$34,5,IF($M184&gt;PARAMETRES!$F$34,4,IF($M184&gt;PARAMETRES!$E$34,3,IF($M184&gt;PARAMETRES!$D$34,2,1)))))</f>
        <v/>
      </c>
      <c r="V184" t="str">
        <f>IF($N184="","",IF($N184&gt;PARAMETRES!$G$35,5,IF($N184&gt;PARAMETRES!$F$35,4,IF($N184&gt;PARAMETRES!$E$35,3,IF($N184&gt;PARAMETRES!$D$35,2,1)))))</f>
        <v/>
      </c>
      <c r="W184" t="str">
        <f>IF($O184="","",IF($O184&gt;PARAMETRES!$G$36,5,IF($O184&gt;PARAMETRES!$F$36,4,IF($O184&gt;PARAMETRES!$E$36,3,IF($O184&gt;PARAMETRES!$D$36,2,1)))))</f>
        <v/>
      </c>
      <c r="X184" t="str">
        <f>IF($P184="","",IF($P184&gt;PARAMETRES!$G$37,5,IF($P184&gt;PARAMETRES!$F$37,4,IF($P184&gt;PARAMETRES!$E$37,3,IF($P184&gt;PARAMETRES!$D$37,2,1)))))</f>
        <v/>
      </c>
      <c r="Y184" t="str">
        <f t="shared" si="48"/>
        <v/>
      </c>
      <c r="Z184" t="str">
        <f>IFERROR(VLOOKUP($B184,TABLE_CYCLE,2,0),"")</f>
        <v/>
      </c>
      <c r="AA184" t="str">
        <f t="shared" si="49"/>
        <v/>
      </c>
      <c r="AB184" t="str">
        <f>IF($D184="","",IF(COUNTIF($D$2:$D184,$D184)=1,$D184,""))</f>
        <v/>
      </c>
      <c r="AC184">
        <f t="shared" si="50"/>
        <v>0</v>
      </c>
      <c r="AD184" t="str">
        <f t="shared" si="51"/>
        <v>|0</v>
      </c>
      <c r="AE184" t="str">
        <f t="shared" si="52"/>
        <v/>
      </c>
      <c r="AF184" t="str">
        <f t="shared" si="53"/>
        <v/>
      </c>
      <c r="AG184" t="str">
        <f t="shared" si="54"/>
        <v/>
      </c>
      <c r="AH184" t="str">
        <f t="shared" si="55"/>
        <v/>
      </c>
      <c r="AI184" t="str">
        <f t="shared" si="56"/>
        <v/>
      </c>
      <c r="AJ184" t="str">
        <f t="shared" si="57"/>
        <v/>
      </c>
      <c r="AK184" t="str">
        <f t="shared" si="58"/>
        <v/>
      </c>
      <c r="AL184" t="str">
        <f t="shared" si="59"/>
        <v/>
      </c>
      <c r="AM184" t="str">
        <f t="shared" si="60"/>
        <v/>
      </c>
      <c r="AN184" t="str">
        <f t="shared" si="61"/>
        <v/>
      </c>
      <c r="AO184" t="str">
        <f t="shared" si="62"/>
        <v/>
      </c>
      <c r="AP184">
        <f t="shared" si="63"/>
        <v>1</v>
      </c>
      <c r="AQ184" t="str">
        <f>IF(SAISIE!$F189="","",SAISIE!$Y189)</f>
        <v/>
      </c>
      <c r="AR184" t="str">
        <f>IF(OR(SAISIE!$U$4="",SAISIE!$W$4=""),"",IF(AND($A184=SAISIE!$U$4,$B184=SAISIE!$W$4,$C184="S1"),COUNTIFS($A$2:$A184,SAISIE!$U$4,$B$2:$B184,SAISIE!$W$4,$C$2:$C184,"S1"),""))</f>
        <v/>
      </c>
      <c r="AS184" t="str">
        <f t="shared" si="64"/>
        <v/>
      </c>
      <c r="AT184" t="str">
        <f t="shared" si="65"/>
        <v/>
      </c>
      <c r="AU184" t="str">
        <f t="shared" si="66"/>
        <v/>
      </c>
      <c r="AV184">
        <f>N(AV183)+IF(AND($AB184&lt;&gt;"",OR('PROFIL ELEVE'!$K$4="(Tous)",$AF184='PROFIL ELEVE'!$K$4)),1,0)</f>
        <v>0</v>
      </c>
      <c r="AW184">
        <f>N(AW183)+IF(AND($AB184&lt;&gt;"",OR('SUIVI LONGITUDINAL'!$Q$4="(Tous)",$AF184='SUIVI LONGITUDINAL'!$Q$4)),1,0)</f>
        <v>0</v>
      </c>
      <c r="AX184">
        <f t="shared" si="67"/>
        <v>0</v>
      </c>
      <c r="AY184">
        <f t="shared" si="68"/>
        <v>0</v>
      </c>
      <c r="AZ184">
        <f t="shared" si="69"/>
        <v>0</v>
      </c>
      <c r="BA184" t="str">
        <f t="shared" si="70"/>
        <v/>
      </c>
      <c r="BB184" t="str">
        <f t="shared" si="71"/>
        <v/>
      </c>
    </row>
    <row r="185" spans="1:54" ht="14.25" customHeight="1" x14ac:dyDescent="0.3">
      <c r="A185" t="str">
        <f>IF(SAISIE!$F190="","",SAISIE!$B190)</f>
        <v/>
      </c>
      <c r="B185" t="str">
        <f>IF(SAISIE!$F190="","",SAISIE!$C190)</f>
        <v/>
      </c>
      <c r="C185" t="str">
        <f>IF(SAISIE!$F190="","",SAISIE!$D190)</f>
        <v/>
      </c>
      <c r="D185" t="str">
        <f>IF(SAISIE!$E190="","",SAISIE!$E190)</f>
        <v/>
      </c>
      <c r="E185" t="str">
        <f>IF(SAISIE!$F190="","",SAISIE!$F190)</f>
        <v/>
      </c>
      <c r="F185" t="str">
        <f>IF(SAISIE!$G190="","",SAISIE!$G190)</f>
        <v/>
      </c>
      <c r="G185" t="str">
        <f>IF(SAISIE!$H190="","",SAISIE!$H190)</f>
        <v/>
      </c>
      <c r="H185" t="str">
        <f>IF(SAISIE!$I190="","",SAISIE!$I190)</f>
        <v/>
      </c>
      <c r="I185" t="str">
        <f>IF(SAISIE!$J190="","",SAISIE!$J190)</f>
        <v/>
      </c>
      <c r="J185" t="str">
        <f>IF(SAISIE!$K190="","",SAISIE!$K190)</f>
        <v/>
      </c>
      <c r="K185" t="str">
        <f>IF(SAISIE!$L190="","",SAISIE!$L190)</f>
        <v/>
      </c>
      <c r="L185" t="str">
        <f>IF(SAISIE!$M190="","",SAISIE!$M190)</f>
        <v/>
      </c>
      <c r="M185" t="str">
        <f>IF(SAISIE!$N190="","",SAISIE!$N190)</f>
        <v/>
      </c>
      <c r="N185" t="str">
        <f>IF(SAISIE!$O190="","",SAISIE!$O190)</f>
        <v/>
      </c>
      <c r="O185" t="str">
        <f>IF(SAISIE!$P190="","",SAISIE!$P190)</f>
        <v/>
      </c>
      <c r="P185" t="str">
        <f>IF(SAISIE!$Q190="","",SAISIE!$Q190)</f>
        <v/>
      </c>
      <c r="Q185" t="str">
        <f>IF($I185="","",IF($I185&gt;PARAMETRES!$G$29,5,IF($I185&gt;PARAMETRES!$F$29,4,IF($I185&gt;PARAMETRES!$E$29,3,IF($I185&gt;PARAMETRES!$D$29,2,1)))))</f>
        <v/>
      </c>
      <c r="R185" t="str">
        <f>IF($J185="","",IF($J185&gt;PARAMETRES!$G$30,5,IF($J185&gt;PARAMETRES!$F$30,4,IF($J185&gt;PARAMETRES!$E$30,3,IF($J185&gt;PARAMETRES!$D$30,2,1)))))</f>
        <v/>
      </c>
      <c r="S185" t="str">
        <f>IF($K185="","",IF($Z185=2,IF($K185&gt;PARAMETRES!$G$31,5,IF($K185&gt;PARAMETRES!$F$31,4,IF($K185&gt;PARAMETRES!$E$31,3,IF($K185&gt;PARAMETRES!$D$31,2,1)))),IF($K185&gt;PARAMETRES!$G$32,5,IF($K185&gt;PARAMETRES!$F$32,4,IF($K185&gt;PARAMETRES!$E$32,3,IF($K185&gt;PARAMETRES!$D$32,2,1))))))</f>
        <v/>
      </c>
      <c r="T185" t="str">
        <f>IF($L185="","",IF($L185&gt;PARAMETRES!$G$33,5,IF($L185&gt;PARAMETRES!$F$33,4,IF($L185&gt;PARAMETRES!$E$33,3,IF($L185&gt;PARAMETRES!$D$33,2,1)))))</f>
        <v/>
      </c>
      <c r="U185" t="str">
        <f>IF($M185="","",IF($M185&gt;PARAMETRES!$G$34,5,IF($M185&gt;PARAMETRES!$F$34,4,IF($M185&gt;PARAMETRES!$E$34,3,IF($M185&gt;PARAMETRES!$D$34,2,1)))))</f>
        <v/>
      </c>
      <c r="V185" t="str">
        <f>IF($N185="","",IF($N185&gt;PARAMETRES!$G$35,5,IF($N185&gt;PARAMETRES!$F$35,4,IF($N185&gt;PARAMETRES!$E$35,3,IF($N185&gt;PARAMETRES!$D$35,2,1)))))</f>
        <v/>
      </c>
      <c r="W185" t="str">
        <f>IF($O185="","",IF($O185&gt;PARAMETRES!$G$36,5,IF($O185&gt;PARAMETRES!$F$36,4,IF($O185&gt;PARAMETRES!$E$36,3,IF($O185&gt;PARAMETRES!$D$36,2,1)))))</f>
        <v/>
      </c>
      <c r="X185" t="str">
        <f>IF($P185="","",IF($P185&gt;PARAMETRES!$G$37,5,IF($P185&gt;PARAMETRES!$F$37,4,IF($P185&gt;PARAMETRES!$E$37,3,IF($P185&gt;PARAMETRES!$D$37,2,1)))))</f>
        <v/>
      </c>
      <c r="Y185" t="str">
        <f t="shared" si="48"/>
        <v/>
      </c>
      <c r="Z185" t="str">
        <f>IFERROR(VLOOKUP($B185,TABLE_CYCLE,2,0),"")</f>
        <v/>
      </c>
      <c r="AA185" t="str">
        <f t="shared" si="49"/>
        <v/>
      </c>
      <c r="AB185" t="str">
        <f>IF($D185="","",IF(COUNTIF($D$2:$D185,$D185)=1,$D185,""))</f>
        <v/>
      </c>
      <c r="AC185">
        <f t="shared" si="50"/>
        <v>0</v>
      </c>
      <c r="AD185" t="str">
        <f t="shared" si="51"/>
        <v>|0</v>
      </c>
      <c r="AE185" t="str">
        <f t="shared" si="52"/>
        <v/>
      </c>
      <c r="AF185" t="str">
        <f t="shared" si="53"/>
        <v/>
      </c>
      <c r="AG185" t="str">
        <f t="shared" si="54"/>
        <v/>
      </c>
      <c r="AH185" t="str">
        <f t="shared" si="55"/>
        <v/>
      </c>
      <c r="AI185" t="str">
        <f t="shared" si="56"/>
        <v/>
      </c>
      <c r="AJ185" t="str">
        <f t="shared" si="57"/>
        <v/>
      </c>
      <c r="AK185" t="str">
        <f t="shared" si="58"/>
        <v/>
      </c>
      <c r="AL185" t="str">
        <f t="shared" si="59"/>
        <v/>
      </c>
      <c r="AM185" t="str">
        <f t="shared" si="60"/>
        <v/>
      </c>
      <c r="AN185" t="str">
        <f t="shared" si="61"/>
        <v/>
      </c>
      <c r="AO185" t="str">
        <f t="shared" si="62"/>
        <v/>
      </c>
      <c r="AP185">
        <f t="shared" si="63"/>
        <v>1</v>
      </c>
      <c r="AQ185" t="str">
        <f>IF(SAISIE!$F190="","",SAISIE!$Y190)</f>
        <v/>
      </c>
      <c r="AR185" t="str">
        <f>IF(OR(SAISIE!$U$4="",SAISIE!$W$4=""),"",IF(AND($A185=SAISIE!$U$4,$B185=SAISIE!$W$4,$C185="S1"),COUNTIFS($A$2:$A185,SAISIE!$U$4,$B$2:$B185,SAISIE!$W$4,$C$2:$C185,"S1"),""))</f>
        <v/>
      </c>
      <c r="AS185" t="str">
        <f t="shared" si="64"/>
        <v/>
      </c>
      <c r="AT185" t="str">
        <f t="shared" si="65"/>
        <v/>
      </c>
      <c r="AU185" t="str">
        <f t="shared" si="66"/>
        <v/>
      </c>
      <c r="AV185">
        <f>N(AV184)+IF(AND($AB185&lt;&gt;"",OR('PROFIL ELEVE'!$K$4="(Tous)",$AF185='PROFIL ELEVE'!$K$4)),1,0)</f>
        <v>0</v>
      </c>
      <c r="AW185">
        <f>N(AW184)+IF(AND($AB185&lt;&gt;"",OR('SUIVI LONGITUDINAL'!$Q$4="(Tous)",$AF185='SUIVI LONGITUDINAL'!$Q$4)),1,0)</f>
        <v>0</v>
      </c>
      <c r="AX185">
        <f t="shared" si="67"/>
        <v>0</v>
      </c>
      <c r="AY185">
        <f t="shared" si="68"/>
        <v>0</v>
      </c>
      <c r="AZ185">
        <f t="shared" si="69"/>
        <v>0</v>
      </c>
      <c r="BA185" t="str">
        <f t="shared" si="70"/>
        <v/>
      </c>
      <c r="BB185" t="str">
        <f t="shared" si="71"/>
        <v/>
      </c>
    </row>
    <row r="186" spans="1:54" ht="14.25" customHeight="1" x14ac:dyDescent="0.3">
      <c r="A186" t="str">
        <f>IF(SAISIE!$F191="","",SAISIE!$B191)</f>
        <v/>
      </c>
      <c r="B186" t="str">
        <f>IF(SAISIE!$F191="","",SAISIE!$C191)</f>
        <v/>
      </c>
      <c r="C186" t="str">
        <f>IF(SAISIE!$F191="","",SAISIE!$D191)</f>
        <v/>
      </c>
      <c r="D186" t="str">
        <f>IF(SAISIE!$E191="","",SAISIE!$E191)</f>
        <v/>
      </c>
      <c r="E186" t="str">
        <f>IF(SAISIE!$F191="","",SAISIE!$F191)</f>
        <v/>
      </c>
      <c r="F186" t="str">
        <f>IF(SAISIE!$G191="","",SAISIE!$G191)</f>
        <v/>
      </c>
      <c r="G186" t="str">
        <f>IF(SAISIE!$H191="","",SAISIE!$H191)</f>
        <v/>
      </c>
      <c r="H186" t="str">
        <f>IF(SAISIE!$I191="","",SAISIE!$I191)</f>
        <v/>
      </c>
      <c r="I186" t="str">
        <f>IF(SAISIE!$J191="","",SAISIE!$J191)</f>
        <v/>
      </c>
      <c r="J186" t="str">
        <f>IF(SAISIE!$K191="","",SAISIE!$K191)</f>
        <v/>
      </c>
      <c r="K186" t="str">
        <f>IF(SAISIE!$L191="","",SAISIE!$L191)</f>
        <v/>
      </c>
      <c r="L186" t="str">
        <f>IF(SAISIE!$M191="","",SAISIE!$M191)</f>
        <v/>
      </c>
      <c r="M186" t="str">
        <f>IF(SAISIE!$N191="","",SAISIE!$N191)</f>
        <v/>
      </c>
      <c r="N186" t="str">
        <f>IF(SAISIE!$O191="","",SAISIE!$O191)</f>
        <v/>
      </c>
      <c r="O186" t="str">
        <f>IF(SAISIE!$P191="","",SAISIE!$P191)</f>
        <v/>
      </c>
      <c r="P186" t="str">
        <f>IF(SAISIE!$Q191="","",SAISIE!$Q191)</f>
        <v/>
      </c>
      <c r="Q186" t="str">
        <f>IF($I186="","",IF($I186&gt;PARAMETRES!$G$29,5,IF($I186&gt;PARAMETRES!$F$29,4,IF($I186&gt;PARAMETRES!$E$29,3,IF($I186&gt;PARAMETRES!$D$29,2,1)))))</f>
        <v/>
      </c>
      <c r="R186" t="str">
        <f>IF($J186="","",IF($J186&gt;PARAMETRES!$G$30,5,IF($J186&gt;PARAMETRES!$F$30,4,IF($J186&gt;PARAMETRES!$E$30,3,IF($J186&gt;PARAMETRES!$D$30,2,1)))))</f>
        <v/>
      </c>
      <c r="S186" t="str">
        <f>IF($K186="","",IF($Z186=2,IF($K186&gt;PARAMETRES!$G$31,5,IF($K186&gt;PARAMETRES!$F$31,4,IF($K186&gt;PARAMETRES!$E$31,3,IF($K186&gt;PARAMETRES!$D$31,2,1)))),IF($K186&gt;PARAMETRES!$G$32,5,IF($K186&gt;PARAMETRES!$F$32,4,IF($K186&gt;PARAMETRES!$E$32,3,IF($K186&gt;PARAMETRES!$D$32,2,1))))))</f>
        <v/>
      </c>
      <c r="T186" t="str">
        <f>IF($L186="","",IF($L186&gt;PARAMETRES!$G$33,5,IF($L186&gt;PARAMETRES!$F$33,4,IF($L186&gt;PARAMETRES!$E$33,3,IF($L186&gt;PARAMETRES!$D$33,2,1)))))</f>
        <v/>
      </c>
      <c r="U186" t="str">
        <f>IF($M186="","",IF($M186&gt;PARAMETRES!$G$34,5,IF($M186&gt;PARAMETRES!$F$34,4,IF($M186&gt;PARAMETRES!$E$34,3,IF($M186&gt;PARAMETRES!$D$34,2,1)))))</f>
        <v/>
      </c>
      <c r="V186" t="str">
        <f>IF($N186="","",IF($N186&gt;PARAMETRES!$G$35,5,IF($N186&gt;PARAMETRES!$F$35,4,IF($N186&gt;PARAMETRES!$E$35,3,IF($N186&gt;PARAMETRES!$D$35,2,1)))))</f>
        <v/>
      </c>
      <c r="W186" t="str">
        <f>IF($O186="","",IF($O186&gt;PARAMETRES!$G$36,5,IF($O186&gt;PARAMETRES!$F$36,4,IF($O186&gt;PARAMETRES!$E$36,3,IF($O186&gt;PARAMETRES!$D$36,2,1)))))</f>
        <v/>
      </c>
      <c r="X186" t="str">
        <f>IF($P186="","",IF($P186&gt;PARAMETRES!$G$37,5,IF($P186&gt;PARAMETRES!$F$37,4,IF($P186&gt;PARAMETRES!$E$37,3,IF($P186&gt;PARAMETRES!$D$37,2,1)))))</f>
        <v/>
      </c>
      <c r="Y186" t="str">
        <f t="shared" si="48"/>
        <v/>
      </c>
      <c r="Z186" t="str">
        <f>IFERROR(VLOOKUP($B186,TABLE_CYCLE,2,0),"")</f>
        <v/>
      </c>
      <c r="AA186" t="str">
        <f t="shared" si="49"/>
        <v/>
      </c>
      <c r="AB186" t="str">
        <f>IF($D186="","",IF(COUNTIF($D$2:$D186,$D186)=1,$D186,""))</f>
        <v/>
      </c>
      <c r="AC186">
        <f t="shared" si="50"/>
        <v>0</v>
      </c>
      <c r="AD186" t="str">
        <f t="shared" si="51"/>
        <v>|0</v>
      </c>
      <c r="AE186" t="str">
        <f t="shared" si="52"/>
        <v/>
      </c>
      <c r="AF186" t="str">
        <f t="shared" si="53"/>
        <v/>
      </c>
      <c r="AG186" t="str">
        <f t="shared" si="54"/>
        <v/>
      </c>
      <c r="AH186" t="str">
        <f t="shared" si="55"/>
        <v/>
      </c>
      <c r="AI186" t="str">
        <f t="shared" si="56"/>
        <v/>
      </c>
      <c r="AJ186" t="str">
        <f t="shared" si="57"/>
        <v/>
      </c>
      <c r="AK186" t="str">
        <f t="shared" si="58"/>
        <v/>
      </c>
      <c r="AL186" t="str">
        <f t="shared" si="59"/>
        <v/>
      </c>
      <c r="AM186" t="str">
        <f t="shared" si="60"/>
        <v/>
      </c>
      <c r="AN186" t="str">
        <f t="shared" si="61"/>
        <v/>
      </c>
      <c r="AO186" t="str">
        <f t="shared" si="62"/>
        <v/>
      </c>
      <c r="AP186">
        <f t="shared" si="63"/>
        <v>1</v>
      </c>
      <c r="AQ186" t="str">
        <f>IF(SAISIE!$F191="","",SAISIE!$Y191)</f>
        <v/>
      </c>
      <c r="AR186" t="str">
        <f>IF(OR(SAISIE!$U$4="",SAISIE!$W$4=""),"",IF(AND($A186=SAISIE!$U$4,$B186=SAISIE!$W$4,$C186="S1"),COUNTIFS($A$2:$A186,SAISIE!$U$4,$B$2:$B186,SAISIE!$W$4,$C$2:$C186,"S1"),""))</f>
        <v/>
      </c>
      <c r="AS186" t="str">
        <f t="shared" si="64"/>
        <v/>
      </c>
      <c r="AT186" t="str">
        <f t="shared" si="65"/>
        <v/>
      </c>
      <c r="AU186" t="str">
        <f t="shared" si="66"/>
        <v/>
      </c>
      <c r="AV186">
        <f>N(AV185)+IF(AND($AB186&lt;&gt;"",OR('PROFIL ELEVE'!$K$4="(Tous)",$AF186='PROFIL ELEVE'!$K$4)),1,0)</f>
        <v>0</v>
      </c>
      <c r="AW186">
        <f>N(AW185)+IF(AND($AB186&lt;&gt;"",OR('SUIVI LONGITUDINAL'!$Q$4="(Tous)",$AF186='SUIVI LONGITUDINAL'!$Q$4)),1,0)</f>
        <v>0</v>
      </c>
      <c r="AX186">
        <f t="shared" si="67"/>
        <v>0</v>
      </c>
      <c r="AY186">
        <f t="shared" si="68"/>
        <v>0</v>
      </c>
      <c r="AZ186">
        <f t="shared" si="69"/>
        <v>0</v>
      </c>
      <c r="BA186" t="str">
        <f t="shared" si="70"/>
        <v/>
      </c>
      <c r="BB186" t="str">
        <f t="shared" si="71"/>
        <v/>
      </c>
    </row>
    <row r="187" spans="1:54" ht="14.25" customHeight="1" x14ac:dyDescent="0.3">
      <c r="A187" t="str">
        <f>IF(SAISIE!$F192="","",SAISIE!$B192)</f>
        <v/>
      </c>
      <c r="B187" t="str">
        <f>IF(SAISIE!$F192="","",SAISIE!$C192)</f>
        <v/>
      </c>
      <c r="C187" t="str">
        <f>IF(SAISIE!$F192="","",SAISIE!$D192)</f>
        <v/>
      </c>
      <c r="D187" t="str">
        <f>IF(SAISIE!$E192="","",SAISIE!$E192)</f>
        <v/>
      </c>
      <c r="E187" t="str">
        <f>IF(SAISIE!$F192="","",SAISIE!$F192)</f>
        <v/>
      </c>
      <c r="F187" t="str">
        <f>IF(SAISIE!$G192="","",SAISIE!$G192)</f>
        <v/>
      </c>
      <c r="G187" t="str">
        <f>IF(SAISIE!$H192="","",SAISIE!$H192)</f>
        <v/>
      </c>
      <c r="H187" t="str">
        <f>IF(SAISIE!$I192="","",SAISIE!$I192)</f>
        <v/>
      </c>
      <c r="I187" t="str">
        <f>IF(SAISIE!$J192="","",SAISIE!$J192)</f>
        <v/>
      </c>
      <c r="J187" t="str">
        <f>IF(SAISIE!$K192="","",SAISIE!$K192)</f>
        <v/>
      </c>
      <c r="K187" t="str">
        <f>IF(SAISIE!$L192="","",SAISIE!$L192)</f>
        <v/>
      </c>
      <c r="L187" t="str">
        <f>IF(SAISIE!$M192="","",SAISIE!$M192)</f>
        <v/>
      </c>
      <c r="M187" t="str">
        <f>IF(SAISIE!$N192="","",SAISIE!$N192)</f>
        <v/>
      </c>
      <c r="N187" t="str">
        <f>IF(SAISIE!$O192="","",SAISIE!$O192)</f>
        <v/>
      </c>
      <c r="O187" t="str">
        <f>IF(SAISIE!$P192="","",SAISIE!$P192)</f>
        <v/>
      </c>
      <c r="P187" t="str">
        <f>IF(SAISIE!$Q192="","",SAISIE!$Q192)</f>
        <v/>
      </c>
      <c r="Q187" t="str">
        <f>IF($I187="","",IF($I187&gt;PARAMETRES!$G$29,5,IF($I187&gt;PARAMETRES!$F$29,4,IF($I187&gt;PARAMETRES!$E$29,3,IF($I187&gt;PARAMETRES!$D$29,2,1)))))</f>
        <v/>
      </c>
      <c r="R187" t="str">
        <f>IF($J187="","",IF($J187&gt;PARAMETRES!$G$30,5,IF($J187&gt;PARAMETRES!$F$30,4,IF($J187&gt;PARAMETRES!$E$30,3,IF($J187&gt;PARAMETRES!$D$30,2,1)))))</f>
        <v/>
      </c>
      <c r="S187" t="str">
        <f>IF($K187="","",IF($Z187=2,IF($K187&gt;PARAMETRES!$G$31,5,IF($K187&gt;PARAMETRES!$F$31,4,IF($K187&gt;PARAMETRES!$E$31,3,IF($K187&gt;PARAMETRES!$D$31,2,1)))),IF($K187&gt;PARAMETRES!$G$32,5,IF($K187&gt;PARAMETRES!$F$32,4,IF($K187&gt;PARAMETRES!$E$32,3,IF($K187&gt;PARAMETRES!$D$32,2,1))))))</f>
        <v/>
      </c>
      <c r="T187" t="str">
        <f>IF($L187="","",IF($L187&gt;PARAMETRES!$G$33,5,IF($L187&gt;PARAMETRES!$F$33,4,IF($L187&gt;PARAMETRES!$E$33,3,IF($L187&gt;PARAMETRES!$D$33,2,1)))))</f>
        <v/>
      </c>
      <c r="U187" t="str">
        <f>IF($M187="","",IF($M187&gt;PARAMETRES!$G$34,5,IF($M187&gt;PARAMETRES!$F$34,4,IF($M187&gt;PARAMETRES!$E$34,3,IF($M187&gt;PARAMETRES!$D$34,2,1)))))</f>
        <v/>
      </c>
      <c r="V187" t="str">
        <f>IF($N187="","",IF($N187&gt;PARAMETRES!$G$35,5,IF($N187&gt;PARAMETRES!$F$35,4,IF($N187&gt;PARAMETRES!$E$35,3,IF($N187&gt;PARAMETRES!$D$35,2,1)))))</f>
        <v/>
      </c>
      <c r="W187" t="str">
        <f>IF($O187="","",IF($O187&gt;PARAMETRES!$G$36,5,IF($O187&gt;PARAMETRES!$F$36,4,IF($O187&gt;PARAMETRES!$E$36,3,IF($O187&gt;PARAMETRES!$D$36,2,1)))))</f>
        <v/>
      </c>
      <c r="X187" t="str">
        <f>IF($P187="","",IF($P187&gt;PARAMETRES!$G$37,5,IF($P187&gt;PARAMETRES!$F$37,4,IF($P187&gt;PARAMETRES!$E$37,3,IF($P187&gt;PARAMETRES!$D$37,2,1)))))</f>
        <v/>
      </c>
      <c r="Y187" t="str">
        <f t="shared" si="48"/>
        <v/>
      </c>
      <c r="Z187" t="str">
        <f>IFERROR(VLOOKUP($B187,TABLE_CYCLE,2,0),"")</f>
        <v/>
      </c>
      <c r="AA187" t="str">
        <f t="shared" si="49"/>
        <v/>
      </c>
      <c r="AB187" t="str">
        <f>IF($D187="","",IF(COUNTIF($D$2:$D187,$D187)=1,$D187,""))</f>
        <v/>
      </c>
      <c r="AC187">
        <f t="shared" si="50"/>
        <v>0</v>
      </c>
      <c r="AD187" t="str">
        <f t="shared" si="51"/>
        <v>|0</v>
      </c>
      <c r="AE187" t="str">
        <f t="shared" si="52"/>
        <v/>
      </c>
      <c r="AF187" t="str">
        <f t="shared" si="53"/>
        <v/>
      </c>
      <c r="AG187" t="str">
        <f t="shared" si="54"/>
        <v/>
      </c>
      <c r="AH187" t="str">
        <f t="shared" si="55"/>
        <v/>
      </c>
      <c r="AI187" t="str">
        <f t="shared" si="56"/>
        <v/>
      </c>
      <c r="AJ187" t="str">
        <f t="shared" si="57"/>
        <v/>
      </c>
      <c r="AK187" t="str">
        <f t="shared" si="58"/>
        <v/>
      </c>
      <c r="AL187" t="str">
        <f t="shared" si="59"/>
        <v/>
      </c>
      <c r="AM187" t="str">
        <f t="shared" si="60"/>
        <v/>
      </c>
      <c r="AN187" t="str">
        <f t="shared" si="61"/>
        <v/>
      </c>
      <c r="AO187" t="str">
        <f t="shared" si="62"/>
        <v/>
      </c>
      <c r="AP187">
        <f t="shared" si="63"/>
        <v>1</v>
      </c>
      <c r="AQ187" t="str">
        <f>IF(SAISIE!$F192="","",SAISIE!$Y192)</f>
        <v/>
      </c>
      <c r="AR187" t="str">
        <f>IF(OR(SAISIE!$U$4="",SAISIE!$W$4=""),"",IF(AND($A187=SAISIE!$U$4,$B187=SAISIE!$W$4,$C187="S1"),COUNTIFS($A$2:$A187,SAISIE!$U$4,$B$2:$B187,SAISIE!$W$4,$C$2:$C187,"S1"),""))</f>
        <v/>
      </c>
      <c r="AS187" t="str">
        <f t="shared" si="64"/>
        <v/>
      </c>
      <c r="AT187" t="str">
        <f t="shared" si="65"/>
        <v/>
      </c>
      <c r="AU187" t="str">
        <f t="shared" si="66"/>
        <v/>
      </c>
      <c r="AV187">
        <f>N(AV186)+IF(AND($AB187&lt;&gt;"",OR('PROFIL ELEVE'!$K$4="(Tous)",$AF187='PROFIL ELEVE'!$K$4)),1,0)</f>
        <v>0</v>
      </c>
      <c r="AW187">
        <f>N(AW186)+IF(AND($AB187&lt;&gt;"",OR('SUIVI LONGITUDINAL'!$Q$4="(Tous)",$AF187='SUIVI LONGITUDINAL'!$Q$4)),1,0)</f>
        <v>0</v>
      </c>
      <c r="AX187">
        <f t="shared" si="67"/>
        <v>0</v>
      </c>
      <c r="AY187">
        <f t="shared" si="68"/>
        <v>0</v>
      </c>
      <c r="AZ187">
        <f t="shared" si="69"/>
        <v>0</v>
      </c>
      <c r="BA187" t="str">
        <f t="shared" si="70"/>
        <v/>
      </c>
      <c r="BB187" t="str">
        <f t="shared" si="71"/>
        <v/>
      </c>
    </row>
    <row r="188" spans="1:54" ht="14.25" customHeight="1" x14ac:dyDescent="0.3">
      <c r="A188" t="str">
        <f>IF(SAISIE!$F193="","",SAISIE!$B193)</f>
        <v/>
      </c>
      <c r="B188" t="str">
        <f>IF(SAISIE!$F193="","",SAISIE!$C193)</f>
        <v/>
      </c>
      <c r="C188" t="str">
        <f>IF(SAISIE!$F193="","",SAISIE!$D193)</f>
        <v/>
      </c>
      <c r="D188" t="str">
        <f>IF(SAISIE!$E193="","",SAISIE!$E193)</f>
        <v/>
      </c>
      <c r="E188" t="str">
        <f>IF(SAISIE!$F193="","",SAISIE!$F193)</f>
        <v/>
      </c>
      <c r="F188" t="str">
        <f>IF(SAISIE!$G193="","",SAISIE!$G193)</f>
        <v/>
      </c>
      <c r="G188" t="str">
        <f>IF(SAISIE!$H193="","",SAISIE!$H193)</f>
        <v/>
      </c>
      <c r="H188" t="str">
        <f>IF(SAISIE!$I193="","",SAISIE!$I193)</f>
        <v/>
      </c>
      <c r="I188" t="str">
        <f>IF(SAISIE!$J193="","",SAISIE!$J193)</f>
        <v/>
      </c>
      <c r="J188" t="str">
        <f>IF(SAISIE!$K193="","",SAISIE!$K193)</f>
        <v/>
      </c>
      <c r="K188" t="str">
        <f>IF(SAISIE!$L193="","",SAISIE!$L193)</f>
        <v/>
      </c>
      <c r="L188" t="str">
        <f>IF(SAISIE!$M193="","",SAISIE!$M193)</f>
        <v/>
      </c>
      <c r="M188" t="str">
        <f>IF(SAISIE!$N193="","",SAISIE!$N193)</f>
        <v/>
      </c>
      <c r="N188" t="str">
        <f>IF(SAISIE!$O193="","",SAISIE!$O193)</f>
        <v/>
      </c>
      <c r="O188" t="str">
        <f>IF(SAISIE!$P193="","",SAISIE!$P193)</f>
        <v/>
      </c>
      <c r="P188" t="str">
        <f>IF(SAISIE!$Q193="","",SAISIE!$Q193)</f>
        <v/>
      </c>
      <c r="Q188" t="str">
        <f>IF($I188="","",IF($I188&gt;PARAMETRES!$G$29,5,IF($I188&gt;PARAMETRES!$F$29,4,IF($I188&gt;PARAMETRES!$E$29,3,IF($I188&gt;PARAMETRES!$D$29,2,1)))))</f>
        <v/>
      </c>
      <c r="R188" t="str">
        <f>IF($J188="","",IF($J188&gt;PARAMETRES!$G$30,5,IF($J188&gt;PARAMETRES!$F$30,4,IF($J188&gt;PARAMETRES!$E$30,3,IF($J188&gt;PARAMETRES!$D$30,2,1)))))</f>
        <v/>
      </c>
      <c r="S188" t="str">
        <f>IF($K188="","",IF($Z188=2,IF($K188&gt;PARAMETRES!$G$31,5,IF($K188&gt;PARAMETRES!$F$31,4,IF($K188&gt;PARAMETRES!$E$31,3,IF($K188&gt;PARAMETRES!$D$31,2,1)))),IF($K188&gt;PARAMETRES!$G$32,5,IF($K188&gt;PARAMETRES!$F$32,4,IF($K188&gt;PARAMETRES!$E$32,3,IF($K188&gt;PARAMETRES!$D$32,2,1))))))</f>
        <v/>
      </c>
      <c r="T188" t="str">
        <f>IF($L188="","",IF($L188&gt;PARAMETRES!$G$33,5,IF($L188&gt;PARAMETRES!$F$33,4,IF($L188&gt;PARAMETRES!$E$33,3,IF($L188&gt;PARAMETRES!$D$33,2,1)))))</f>
        <v/>
      </c>
      <c r="U188" t="str">
        <f>IF($M188="","",IF($M188&gt;PARAMETRES!$G$34,5,IF($M188&gt;PARAMETRES!$F$34,4,IF($M188&gt;PARAMETRES!$E$34,3,IF($M188&gt;PARAMETRES!$D$34,2,1)))))</f>
        <v/>
      </c>
      <c r="V188" t="str">
        <f>IF($N188="","",IF($N188&gt;PARAMETRES!$G$35,5,IF($N188&gt;PARAMETRES!$F$35,4,IF($N188&gt;PARAMETRES!$E$35,3,IF($N188&gt;PARAMETRES!$D$35,2,1)))))</f>
        <v/>
      </c>
      <c r="W188" t="str">
        <f>IF($O188="","",IF($O188&gt;PARAMETRES!$G$36,5,IF($O188&gt;PARAMETRES!$F$36,4,IF($O188&gt;PARAMETRES!$E$36,3,IF($O188&gt;PARAMETRES!$D$36,2,1)))))</f>
        <v/>
      </c>
      <c r="X188" t="str">
        <f>IF($P188="","",IF($P188&gt;PARAMETRES!$G$37,5,IF($P188&gt;PARAMETRES!$F$37,4,IF($P188&gt;PARAMETRES!$E$37,3,IF($P188&gt;PARAMETRES!$D$37,2,1)))))</f>
        <v/>
      </c>
      <c r="Y188" t="str">
        <f t="shared" si="48"/>
        <v/>
      </c>
      <c r="Z188" t="str">
        <f>IFERROR(VLOOKUP($B188,TABLE_CYCLE,2,0),"")</f>
        <v/>
      </c>
      <c r="AA188" t="str">
        <f t="shared" si="49"/>
        <v/>
      </c>
      <c r="AB188" t="str">
        <f>IF($D188="","",IF(COUNTIF($D$2:$D188,$D188)=1,$D188,""))</f>
        <v/>
      </c>
      <c r="AC188">
        <f t="shared" si="50"/>
        <v>0</v>
      </c>
      <c r="AD188" t="str">
        <f t="shared" si="51"/>
        <v>|0</v>
      </c>
      <c r="AE188" t="str">
        <f t="shared" si="52"/>
        <v/>
      </c>
      <c r="AF188" t="str">
        <f t="shared" si="53"/>
        <v/>
      </c>
      <c r="AG188" t="str">
        <f t="shared" si="54"/>
        <v/>
      </c>
      <c r="AH188" t="str">
        <f t="shared" si="55"/>
        <v/>
      </c>
      <c r="AI188" t="str">
        <f t="shared" si="56"/>
        <v/>
      </c>
      <c r="AJ188" t="str">
        <f t="shared" si="57"/>
        <v/>
      </c>
      <c r="AK188" t="str">
        <f t="shared" si="58"/>
        <v/>
      </c>
      <c r="AL188" t="str">
        <f t="shared" si="59"/>
        <v/>
      </c>
      <c r="AM188" t="str">
        <f t="shared" si="60"/>
        <v/>
      </c>
      <c r="AN188" t="str">
        <f t="shared" si="61"/>
        <v/>
      </c>
      <c r="AO188" t="str">
        <f t="shared" si="62"/>
        <v/>
      </c>
      <c r="AP188">
        <f t="shared" si="63"/>
        <v>1</v>
      </c>
      <c r="AQ188" t="str">
        <f>IF(SAISIE!$F193="","",SAISIE!$Y193)</f>
        <v/>
      </c>
      <c r="AR188" t="str">
        <f>IF(OR(SAISIE!$U$4="",SAISIE!$W$4=""),"",IF(AND($A188=SAISIE!$U$4,$B188=SAISIE!$W$4,$C188="S1"),COUNTIFS($A$2:$A188,SAISIE!$U$4,$B$2:$B188,SAISIE!$W$4,$C$2:$C188,"S1"),""))</f>
        <v/>
      </c>
      <c r="AS188" t="str">
        <f t="shared" si="64"/>
        <v/>
      </c>
      <c r="AT188" t="str">
        <f t="shared" si="65"/>
        <v/>
      </c>
      <c r="AU188" t="str">
        <f t="shared" si="66"/>
        <v/>
      </c>
      <c r="AV188">
        <f>N(AV187)+IF(AND($AB188&lt;&gt;"",OR('PROFIL ELEVE'!$K$4="(Tous)",$AF188='PROFIL ELEVE'!$K$4)),1,0)</f>
        <v>0</v>
      </c>
      <c r="AW188">
        <f>N(AW187)+IF(AND($AB188&lt;&gt;"",OR('SUIVI LONGITUDINAL'!$Q$4="(Tous)",$AF188='SUIVI LONGITUDINAL'!$Q$4)),1,0)</f>
        <v>0</v>
      </c>
      <c r="AX188">
        <f t="shared" si="67"/>
        <v>0</v>
      </c>
      <c r="AY188">
        <f t="shared" si="68"/>
        <v>0</v>
      </c>
      <c r="AZ188">
        <f t="shared" si="69"/>
        <v>0</v>
      </c>
      <c r="BA188" t="str">
        <f t="shared" si="70"/>
        <v/>
      </c>
      <c r="BB188" t="str">
        <f t="shared" si="71"/>
        <v/>
      </c>
    </row>
    <row r="189" spans="1:54" ht="14.25" customHeight="1" x14ac:dyDescent="0.3">
      <c r="A189" t="str">
        <f>IF(SAISIE!$F194="","",SAISIE!$B194)</f>
        <v/>
      </c>
      <c r="B189" t="str">
        <f>IF(SAISIE!$F194="","",SAISIE!$C194)</f>
        <v/>
      </c>
      <c r="C189" t="str">
        <f>IF(SAISIE!$F194="","",SAISIE!$D194)</f>
        <v/>
      </c>
      <c r="D189" t="str">
        <f>IF(SAISIE!$E194="","",SAISIE!$E194)</f>
        <v/>
      </c>
      <c r="E189" t="str">
        <f>IF(SAISIE!$F194="","",SAISIE!$F194)</f>
        <v/>
      </c>
      <c r="F189" t="str">
        <f>IF(SAISIE!$G194="","",SAISIE!$G194)</f>
        <v/>
      </c>
      <c r="G189" t="str">
        <f>IF(SAISIE!$H194="","",SAISIE!$H194)</f>
        <v/>
      </c>
      <c r="H189" t="str">
        <f>IF(SAISIE!$I194="","",SAISIE!$I194)</f>
        <v/>
      </c>
      <c r="I189" t="str">
        <f>IF(SAISIE!$J194="","",SAISIE!$J194)</f>
        <v/>
      </c>
      <c r="J189" t="str">
        <f>IF(SAISIE!$K194="","",SAISIE!$K194)</f>
        <v/>
      </c>
      <c r="K189" t="str">
        <f>IF(SAISIE!$L194="","",SAISIE!$L194)</f>
        <v/>
      </c>
      <c r="L189" t="str">
        <f>IF(SAISIE!$M194="","",SAISIE!$M194)</f>
        <v/>
      </c>
      <c r="M189" t="str">
        <f>IF(SAISIE!$N194="","",SAISIE!$N194)</f>
        <v/>
      </c>
      <c r="N189" t="str">
        <f>IF(SAISIE!$O194="","",SAISIE!$O194)</f>
        <v/>
      </c>
      <c r="O189" t="str">
        <f>IF(SAISIE!$P194="","",SAISIE!$P194)</f>
        <v/>
      </c>
      <c r="P189" t="str">
        <f>IF(SAISIE!$Q194="","",SAISIE!$Q194)</f>
        <v/>
      </c>
      <c r="Q189" t="str">
        <f>IF($I189="","",IF($I189&gt;PARAMETRES!$G$29,5,IF($I189&gt;PARAMETRES!$F$29,4,IF($I189&gt;PARAMETRES!$E$29,3,IF($I189&gt;PARAMETRES!$D$29,2,1)))))</f>
        <v/>
      </c>
      <c r="R189" t="str">
        <f>IF($J189="","",IF($J189&gt;PARAMETRES!$G$30,5,IF($J189&gt;PARAMETRES!$F$30,4,IF($J189&gt;PARAMETRES!$E$30,3,IF($J189&gt;PARAMETRES!$D$30,2,1)))))</f>
        <v/>
      </c>
      <c r="S189" t="str">
        <f>IF($K189="","",IF($Z189=2,IF($K189&gt;PARAMETRES!$G$31,5,IF($K189&gt;PARAMETRES!$F$31,4,IF($K189&gt;PARAMETRES!$E$31,3,IF($K189&gt;PARAMETRES!$D$31,2,1)))),IF($K189&gt;PARAMETRES!$G$32,5,IF($K189&gt;PARAMETRES!$F$32,4,IF($K189&gt;PARAMETRES!$E$32,3,IF($K189&gt;PARAMETRES!$D$32,2,1))))))</f>
        <v/>
      </c>
      <c r="T189" t="str">
        <f>IF($L189="","",IF($L189&gt;PARAMETRES!$G$33,5,IF($L189&gt;PARAMETRES!$F$33,4,IF($L189&gt;PARAMETRES!$E$33,3,IF($L189&gt;PARAMETRES!$D$33,2,1)))))</f>
        <v/>
      </c>
      <c r="U189" t="str">
        <f>IF($M189="","",IF($M189&gt;PARAMETRES!$G$34,5,IF($M189&gt;PARAMETRES!$F$34,4,IF($M189&gt;PARAMETRES!$E$34,3,IF($M189&gt;PARAMETRES!$D$34,2,1)))))</f>
        <v/>
      </c>
      <c r="V189" t="str">
        <f>IF($N189="","",IF($N189&gt;PARAMETRES!$G$35,5,IF($N189&gt;PARAMETRES!$F$35,4,IF($N189&gt;PARAMETRES!$E$35,3,IF($N189&gt;PARAMETRES!$D$35,2,1)))))</f>
        <v/>
      </c>
      <c r="W189" t="str">
        <f>IF($O189="","",IF($O189&gt;PARAMETRES!$G$36,5,IF($O189&gt;PARAMETRES!$F$36,4,IF($O189&gt;PARAMETRES!$E$36,3,IF($O189&gt;PARAMETRES!$D$36,2,1)))))</f>
        <v/>
      </c>
      <c r="X189" t="str">
        <f>IF($P189="","",IF($P189&gt;PARAMETRES!$G$37,5,IF($P189&gt;PARAMETRES!$F$37,4,IF($P189&gt;PARAMETRES!$E$37,3,IF($P189&gt;PARAMETRES!$D$37,2,1)))))</f>
        <v/>
      </c>
      <c r="Y189" t="str">
        <f t="shared" si="48"/>
        <v/>
      </c>
      <c r="Z189" t="str">
        <f>IFERROR(VLOOKUP($B189,TABLE_CYCLE,2,0),"")</f>
        <v/>
      </c>
      <c r="AA189" t="str">
        <f t="shared" si="49"/>
        <v/>
      </c>
      <c r="AB189" t="str">
        <f>IF($D189="","",IF(COUNTIF($D$2:$D189,$D189)=1,$D189,""))</f>
        <v/>
      </c>
      <c r="AC189">
        <f t="shared" si="50"/>
        <v>0</v>
      </c>
      <c r="AD189" t="str">
        <f t="shared" si="51"/>
        <v>|0</v>
      </c>
      <c r="AE189" t="str">
        <f t="shared" si="52"/>
        <v/>
      </c>
      <c r="AF189" t="str">
        <f t="shared" si="53"/>
        <v/>
      </c>
      <c r="AG189" t="str">
        <f t="shared" si="54"/>
        <v/>
      </c>
      <c r="AH189" t="str">
        <f t="shared" si="55"/>
        <v/>
      </c>
      <c r="AI189" t="str">
        <f t="shared" si="56"/>
        <v/>
      </c>
      <c r="AJ189" t="str">
        <f t="shared" si="57"/>
        <v/>
      </c>
      <c r="AK189" t="str">
        <f t="shared" si="58"/>
        <v/>
      </c>
      <c r="AL189" t="str">
        <f t="shared" si="59"/>
        <v/>
      </c>
      <c r="AM189" t="str">
        <f t="shared" si="60"/>
        <v/>
      </c>
      <c r="AN189" t="str">
        <f t="shared" si="61"/>
        <v/>
      </c>
      <c r="AO189" t="str">
        <f t="shared" si="62"/>
        <v/>
      </c>
      <c r="AP189">
        <f t="shared" si="63"/>
        <v>1</v>
      </c>
      <c r="AQ189" t="str">
        <f>IF(SAISIE!$F194="","",SAISIE!$Y194)</f>
        <v/>
      </c>
      <c r="AR189" t="str">
        <f>IF(OR(SAISIE!$U$4="",SAISIE!$W$4=""),"",IF(AND($A189=SAISIE!$U$4,$B189=SAISIE!$W$4,$C189="S1"),COUNTIFS($A$2:$A189,SAISIE!$U$4,$B$2:$B189,SAISIE!$W$4,$C$2:$C189,"S1"),""))</f>
        <v/>
      </c>
      <c r="AS189" t="str">
        <f t="shared" si="64"/>
        <v/>
      </c>
      <c r="AT189" t="str">
        <f t="shared" si="65"/>
        <v/>
      </c>
      <c r="AU189" t="str">
        <f t="shared" si="66"/>
        <v/>
      </c>
      <c r="AV189">
        <f>N(AV188)+IF(AND($AB189&lt;&gt;"",OR('PROFIL ELEVE'!$K$4="(Tous)",$AF189='PROFIL ELEVE'!$K$4)),1,0)</f>
        <v>0</v>
      </c>
      <c r="AW189">
        <f>N(AW188)+IF(AND($AB189&lt;&gt;"",OR('SUIVI LONGITUDINAL'!$Q$4="(Tous)",$AF189='SUIVI LONGITUDINAL'!$Q$4)),1,0)</f>
        <v>0</v>
      </c>
      <c r="AX189">
        <f t="shared" si="67"/>
        <v>0</v>
      </c>
      <c r="AY189">
        <f t="shared" si="68"/>
        <v>0</v>
      </c>
      <c r="AZ189">
        <f t="shared" si="69"/>
        <v>0</v>
      </c>
      <c r="BA189" t="str">
        <f t="shared" si="70"/>
        <v/>
      </c>
      <c r="BB189" t="str">
        <f t="shared" si="71"/>
        <v/>
      </c>
    </row>
    <row r="190" spans="1:54" ht="14.25" customHeight="1" x14ac:dyDescent="0.3">
      <c r="A190" t="str">
        <f>IF(SAISIE!$F195="","",SAISIE!$B195)</f>
        <v/>
      </c>
      <c r="B190" t="str">
        <f>IF(SAISIE!$F195="","",SAISIE!$C195)</f>
        <v/>
      </c>
      <c r="C190" t="str">
        <f>IF(SAISIE!$F195="","",SAISIE!$D195)</f>
        <v/>
      </c>
      <c r="D190" t="str">
        <f>IF(SAISIE!$E195="","",SAISIE!$E195)</f>
        <v/>
      </c>
      <c r="E190" t="str">
        <f>IF(SAISIE!$F195="","",SAISIE!$F195)</f>
        <v/>
      </c>
      <c r="F190" t="str">
        <f>IF(SAISIE!$G195="","",SAISIE!$G195)</f>
        <v/>
      </c>
      <c r="G190" t="str">
        <f>IF(SAISIE!$H195="","",SAISIE!$H195)</f>
        <v/>
      </c>
      <c r="H190" t="str">
        <f>IF(SAISIE!$I195="","",SAISIE!$I195)</f>
        <v/>
      </c>
      <c r="I190" t="str">
        <f>IF(SAISIE!$J195="","",SAISIE!$J195)</f>
        <v/>
      </c>
      <c r="J190" t="str">
        <f>IF(SAISIE!$K195="","",SAISIE!$K195)</f>
        <v/>
      </c>
      <c r="K190" t="str">
        <f>IF(SAISIE!$L195="","",SAISIE!$L195)</f>
        <v/>
      </c>
      <c r="L190" t="str">
        <f>IF(SAISIE!$M195="","",SAISIE!$M195)</f>
        <v/>
      </c>
      <c r="M190" t="str">
        <f>IF(SAISIE!$N195="","",SAISIE!$N195)</f>
        <v/>
      </c>
      <c r="N190" t="str">
        <f>IF(SAISIE!$O195="","",SAISIE!$O195)</f>
        <v/>
      </c>
      <c r="O190" t="str">
        <f>IF(SAISIE!$P195="","",SAISIE!$P195)</f>
        <v/>
      </c>
      <c r="P190" t="str">
        <f>IF(SAISIE!$Q195="","",SAISIE!$Q195)</f>
        <v/>
      </c>
      <c r="Q190" t="str">
        <f>IF($I190="","",IF($I190&gt;PARAMETRES!$G$29,5,IF($I190&gt;PARAMETRES!$F$29,4,IF($I190&gt;PARAMETRES!$E$29,3,IF($I190&gt;PARAMETRES!$D$29,2,1)))))</f>
        <v/>
      </c>
      <c r="R190" t="str">
        <f>IF($J190="","",IF($J190&gt;PARAMETRES!$G$30,5,IF($J190&gt;PARAMETRES!$F$30,4,IF($J190&gt;PARAMETRES!$E$30,3,IF($J190&gt;PARAMETRES!$D$30,2,1)))))</f>
        <v/>
      </c>
      <c r="S190" t="str">
        <f>IF($K190="","",IF($Z190=2,IF($K190&gt;PARAMETRES!$G$31,5,IF($K190&gt;PARAMETRES!$F$31,4,IF($K190&gt;PARAMETRES!$E$31,3,IF($K190&gt;PARAMETRES!$D$31,2,1)))),IF($K190&gt;PARAMETRES!$G$32,5,IF($K190&gt;PARAMETRES!$F$32,4,IF($K190&gt;PARAMETRES!$E$32,3,IF($K190&gt;PARAMETRES!$D$32,2,1))))))</f>
        <v/>
      </c>
      <c r="T190" t="str">
        <f>IF($L190="","",IF($L190&gt;PARAMETRES!$G$33,5,IF($L190&gt;PARAMETRES!$F$33,4,IF($L190&gt;PARAMETRES!$E$33,3,IF($L190&gt;PARAMETRES!$D$33,2,1)))))</f>
        <v/>
      </c>
      <c r="U190" t="str">
        <f>IF($M190="","",IF($M190&gt;PARAMETRES!$G$34,5,IF($M190&gt;PARAMETRES!$F$34,4,IF($M190&gt;PARAMETRES!$E$34,3,IF($M190&gt;PARAMETRES!$D$34,2,1)))))</f>
        <v/>
      </c>
      <c r="V190" t="str">
        <f>IF($N190="","",IF($N190&gt;PARAMETRES!$G$35,5,IF($N190&gt;PARAMETRES!$F$35,4,IF($N190&gt;PARAMETRES!$E$35,3,IF($N190&gt;PARAMETRES!$D$35,2,1)))))</f>
        <v/>
      </c>
      <c r="W190" t="str">
        <f>IF($O190="","",IF($O190&gt;PARAMETRES!$G$36,5,IF($O190&gt;PARAMETRES!$F$36,4,IF($O190&gt;PARAMETRES!$E$36,3,IF($O190&gt;PARAMETRES!$D$36,2,1)))))</f>
        <v/>
      </c>
      <c r="X190" t="str">
        <f>IF($P190="","",IF($P190&gt;PARAMETRES!$G$37,5,IF($P190&gt;PARAMETRES!$F$37,4,IF($P190&gt;PARAMETRES!$E$37,3,IF($P190&gt;PARAMETRES!$D$37,2,1)))))</f>
        <v/>
      </c>
      <c r="Y190" t="str">
        <f t="shared" si="48"/>
        <v/>
      </c>
      <c r="Z190" t="str">
        <f>IFERROR(VLOOKUP($B190,TABLE_CYCLE,2,0),"")</f>
        <v/>
      </c>
      <c r="AA190" t="str">
        <f t="shared" si="49"/>
        <v/>
      </c>
      <c r="AB190" t="str">
        <f>IF($D190="","",IF(COUNTIF($D$2:$D190,$D190)=1,$D190,""))</f>
        <v/>
      </c>
      <c r="AC190">
        <f t="shared" si="50"/>
        <v>0</v>
      </c>
      <c r="AD190" t="str">
        <f t="shared" si="51"/>
        <v>|0</v>
      </c>
      <c r="AE190" t="str">
        <f t="shared" si="52"/>
        <v/>
      </c>
      <c r="AF190" t="str">
        <f t="shared" si="53"/>
        <v/>
      </c>
      <c r="AG190" t="str">
        <f t="shared" si="54"/>
        <v/>
      </c>
      <c r="AH190" t="str">
        <f t="shared" si="55"/>
        <v/>
      </c>
      <c r="AI190" t="str">
        <f t="shared" si="56"/>
        <v/>
      </c>
      <c r="AJ190" t="str">
        <f t="shared" si="57"/>
        <v/>
      </c>
      <c r="AK190" t="str">
        <f t="shared" si="58"/>
        <v/>
      </c>
      <c r="AL190" t="str">
        <f t="shared" si="59"/>
        <v/>
      </c>
      <c r="AM190" t="str">
        <f t="shared" si="60"/>
        <v/>
      </c>
      <c r="AN190" t="str">
        <f t="shared" si="61"/>
        <v/>
      </c>
      <c r="AO190" t="str">
        <f t="shared" si="62"/>
        <v/>
      </c>
      <c r="AP190">
        <f t="shared" si="63"/>
        <v>1</v>
      </c>
      <c r="AQ190" t="str">
        <f>IF(SAISIE!$F195="","",SAISIE!$Y195)</f>
        <v/>
      </c>
      <c r="AR190" t="str">
        <f>IF(OR(SAISIE!$U$4="",SAISIE!$W$4=""),"",IF(AND($A190=SAISIE!$U$4,$B190=SAISIE!$W$4,$C190="S1"),COUNTIFS($A$2:$A190,SAISIE!$U$4,$B$2:$B190,SAISIE!$W$4,$C$2:$C190,"S1"),""))</f>
        <v/>
      </c>
      <c r="AS190" t="str">
        <f t="shared" si="64"/>
        <v/>
      </c>
      <c r="AT190" t="str">
        <f t="shared" si="65"/>
        <v/>
      </c>
      <c r="AU190" t="str">
        <f t="shared" si="66"/>
        <v/>
      </c>
      <c r="AV190">
        <f>N(AV189)+IF(AND($AB190&lt;&gt;"",OR('PROFIL ELEVE'!$K$4="(Tous)",$AF190='PROFIL ELEVE'!$K$4)),1,0)</f>
        <v>0</v>
      </c>
      <c r="AW190">
        <f>N(AW189)+IF(AND($AB190&lt;&gt;"",OR('SUIVI LONGITUDINAL'!$Q$4="(Tous)",$AF190='SUIVI LONGITUDINAL'!$Q$4)),1,0)</f>
        <v>0</v>
      </c>
      <c r="AX190">
        <f t="shared" si="67"/>
        <v>0</v>
      </c>
      <c r="AY190">
        <f t="shared" si="68"/>
        <v>0</v>
      </c>
      <c r="AZ190">
        <f t="shared" si="69"/>
        <v>0</v>
      </c>
      <c r="BA190" t="str">
        <f t="shared" si="70"/>
        <v/>
      </c>
      <c r="BB190" t="str">
        <f t="shared" si="71"/>
        <v/>
      </c>
    </row>
    <row r="191" spans="1:54" ht="14.25" customHeight="1" x14ac:dyDescent="0.3">
      <c r="A191" t="str">
        <f>IF(SAISIE!$F196="","",SAISIE!$B196)</f>
        <v/>
      </c>
      <c r="B191" t="str">
        <f>IF(SAISIE!$F196="","",SAISIE!$C196)</f>
        <v/>
      </c>
      <c r="C191" t="str">
        <f>IF(SAISIE!$F196="","",SAISIE!$D196)</f>
        <v/>
      </c>
      <c r="D191" t="str">
        <f>IF(SAISIE!$E196="","",SAISIE!$E196)</f>
        <v/>
      </c>
      <c r="E191" t="str">
        <f>IF(SAISIE!$F196="","",SAISIE!$F196)</f>
        <v/>
      </c>
      <c r="F191" t="str">
        <f>IF(SAISIE!$G196="","",SAISIE!$G196)</f>
        <v/>
      </c>
      <c r="G191" t="str">
        <f>IF(SAISIE!$H196="","",SAISIE!$H196)</f>
        <v/>
      </c>
      <c r="H191" t="str">
        <f>IF(SAISIE!$I196="","",SAISIE!$I196)</f>
        <v/>
      </c>
      <c r="I191" t="str">
        <f>IF(SAISIE!$J196="","",SAISIE!$J196)</f>
        <v/>
      </c>
      <c r="J191" t="str">
        <f>IF(SAISIE!$K196="","",SAISIE!$K196)</f>
        <v/>
      </c>
      <c r="K191" t="str">
        <f>IF(SAISIE!$L196="","",SAISIE!$L196)</f>
        <v/>
      </c>
      <c r="L191" t="str">
        <f>IF(SAISIE!$M196="","",SAISIE!$M196)</f>
        <v/>
      </c>
      <c r="M191" t="str">
        <f>IF(SAISIE!$N196="","",SAISIE!$N196)</f>
        <v/>
      </c>
      <c r="N191" t="str">
        <f>IF(SAISIE!$O196="","",SAISIE!$O196)</f>
        <v/>
      </c>
      <c r="O191" t="str">
        <f>IF(SAISIE!$P196="","",SAISIE!$P196)</f>
        <v/>
      </c>
      <c r="P191" t="str">
        <f>IF(SAISIE!$Q196="","",SAISIE!$Q196)</f>
        <v/>
      </c>
      <c r="Q191" t="str">
        <f>IF($I191="","",IF($I191&gt;PARAMETRES!$G$29,5,IF($I191&gt;PARAMETRES!$F$29,4,IF($I191&gt;PARAMETRES!$E$29,3,IF($I191&gt;PARAMETRES!$D$29,2,1)))))</f>
        <v/>
      </c>
      <c r="R191" t="str">
        <f>IF($J191="","",IF($J191&gt;PARAMETRES!$G$30,5,IF($J191&gt;PARAMETRES!$F$30,4,IF($J191&gt;PARAMETRES!$E$30,3,IF($J191&gt;PARAMETRES!$D$30,2,1)))))</f>
        <v/>
      </c>
      <c r="S191" t="str">
        <f>IF($K191="","",IF($Z191=2,IF($K191&gt;PARAMETRES!$G$31,5,IF($K191&gt;PARAMETRES!$F$31,4,IF($K191&gt;PARAMETRES!$E$31,3,IF($K191&gt;PARAMETRES!$D$31,2,1)))),IF($K191&gt;PARAMETRES!$G$32,5,IF($K191&gt;PARAMETRES!$F$32,4,IF($K191&gt;PARAMETRES!$E$32,3,IF($K191&gt;PARAMETRES!$D$32,2,1))))))</f>
        <v/>
      </c>
      <c r="T191" t="str">
        <f>IF($L191="","",IF($L191&gt;PARAMETRES!$G$33,5,IF($L191&gt;PARAMETRES!$F$33,4,IF($L191&gt;PARAMETRES!$E$33,3,IF($L191&gt;PARAMETRES!$D$33,2,1)))))</f>
        <v/>
      </c>
      <c r="U191" t="str">
        <f>IF($M191="","",IF($M191&gt;PARAMETRES!$G$34,5,IF($M191&gt;PARAMETRES!$F$34,4,IF($M191&gt;PARAMETRES!$E$34,3,IF($M191&gt;PARAMETRES!$D$34,2,1)))))</f>
        <v/>
      </c>
      <c r="V191" t="str">
        <f>IF($N191="","",IF($N191&gt;PARAMETRES!$G$35,5,IF($N191&gt;PARAMETRES!$F$35,4,IF($N191&gt;PARAMETRES!$E$35,3,IF($N191&gt;PARAMETRES!$D$35,2,1)))))</f>
        <v/>
      </c>
      <c r="W191" t="str">
        <f>IF($O191="","",IF($O191&gt;PARAMETRES!$G$36,5,IF($O191&gt;PARAMETRES!$F$36,4,IF($O191&gt;PARAMETRES!$E$36,3,IF($O191&gt;PARAMETRES!$D$36,2,1)))))</f>
        <v/>
      </c>
      <c r="X191" t="str">
        <f>IF($P191="","",IF($P191&gt;PARAMETRES!$G$37,5,IF($P191&gt;PARAMETRES!$F$37,4,IF($P191&gt;PARAMETRES!$E$37,3,IF($P191&gt;PARAMETRES!$D$37,2,1)))))</f>
        <v/>
      </c>
      <c r="Y191" t="str">
        <f t="shared" si="48"/>
        <v/>
      </c>
      <c r="Z191" t="str">
        <f>IFERROR(VLOOKUP($B191,TABLE_CYCLE,2,0),"")</f>
        <v/>
      </c>
      <c r="AA191" t="str">
        <f t="shared" si="49"/>
        <v/>
      </c>
      <c r="AB191" t="str">
        <f>IF($D191="","",IF(COUNTIF($D$2:$D191,$D191)=1,$D191,""))</f>
        <v/>
      </c>
      <c r="AC191">
        <f t="shared" si="50"/>
        <v>0</v>
      </c>
      <c r="AD191" t="str">
        <f t="shared" si="51"/>
        <v>|0</v>
      </c>
      <c r="AE191" t="str">
        <f t="shared" si="52"/>
        <v/>
      </c>
      <c r="AF191" t="str">
        <f t="shared" si="53"/>
        <v/>
      </c>
      <c r="AG191" t="str">
        <f t="shared" si="54"/>
        <v/>
      </c>
      <c r="AH191" t="str">
        <f t="shared" si="55"/>
        <v/>
      </c>
      <c r="AI191" t="str">
        <f t="shared" si="56"/>
        <v/>
      </c>
      <c r="AJ191" t="str">
        <f t="shared" si="57"/>
        <v/>
      </c>
      <c r="AK191" t="str">
        <f t="shared" si="58"/>
        <v/>
      </c>
      <c r="AL191" t="str">
        <f t="shared" si="59"/>
        <v/>
      </c>
      <c r="AM191" t="str">
        <f t="shared" si="60"/>
        <v/>
      </c>
      <c r="AN191" t="str">
        <f t="shared" si="61"/>
        <v/>
      </c>
      <c r="AO191" t="str">
        <f t="shared" si="62"/>
        <v/>
      </c>
      <c r="AP191">
        <f t="shared" si="63"/>
        <v>1</v>
      </c>
      <c r="AQ191" t="str">
        <f>IF(SAISIE!$F196="","",SAISIE!$Y196)</f>
        <v/>
      </c>
      <c r="AR191" t="str">
        <f>IF(OR(SAISIE!$U$4="",SAISIE!$W$4=""),"",IF(AND($A191=SAISIE!$U$4,$B191=SAISIE!$W$4,$C191="S1"),COUNTIFS($A$2:$A191,SAISIE!$U$4,$B$2:$B191,SAISIE!$W$4,$C$2:$C191,"S1"),""))</f>
        <v/>
      </c>
      <c r="AS191" t="str">
        <f t="shared" si="64"/>
        <v/>
      </c>
      <c r="AT191" t="str">
        <f t="shared" si="65"/>
        <v/>
      </c>
      <c r="AU191" t="str">
        <f t="shared" si="66"/>
        <v/>
      </c>
      <c r="AV191">
        <f>N(AV190)+IF(AND($AB191&lt;&gt;"",OR('PROFIL ELEVE'!$K$4="(Tous)",$AF191='PROFIL ELEVE'!$K$4)),1,0)</f>
        <v>0</v>
      </c>
      <c r="AW191">
        <f>N(AW190)+IF(AND($AB191&lt;&gt;"",OR('SUIVI LONGITUDINAL'!$Q$4="(Tous)",$AF191='SUIVI LONGITUDINAL'!$Q$4)),1,0)</f>
        <v>0</v>
      </c>
      <c r="AX191">
        <f t="shared" si="67"/>
        <v>0</v>
      </c>
      <c r="AY191">
        <f t="shared" si="68"/>
        <v>0</v>
      </c>
      <c r="AZ191">
        <f t="shared" si="69"/>
        <v>0</v>
      </c>
      <c r="BA191" t="str">
        <f t="shared" si="70"/>
        <v/>
      </c>
      <c r="BB191" t="str">
        <f t="shared" si="71"/>
        <v/>
      </c>
    </row>
    <row r="192" spans="1:54" ht="14.25" customHeight="1" x14ac:dyDescent="0.3">
      <c r="A192" t="str">
        <f>IF(SAISIE!$F197="","",SAISIE!$B197)</f>
        <v/>
      </c>
      <c r="B192" t="str">
        <f>IF(SAISIE!$F197="","",SAISIE!$C197)</f>
        <v/>
      </c>
      <c r="C192" t="str">
        <f>IF(SAISIE!$F197="","",SAISIE!$D197)</f>
        <v/>
      </c>
      <c r="D192" t="str">
        <f>IF(SAISIE!$E197="","",SAISIE!$E197)</f>
        <v/>
      </c>
      <c r="E192" t="str">
        <f>IF(SAISIE!$F197="","",SAISIE!$F197)</f>
        <v/>
      </c>
      <c r="F192" t="str">
        <f>IF(SAISIE!$G197="","",SAISIE!$G197)</f>
        <v/>
      </c>
      <c r="G192" t="str">
        <f>IF(SAISIE!$H197="","",SAISIE!$H197)</f>
        <v/>
      </c>
      <c r="H192" t="str">
        <f>IF(SAISIE!$I197="","",SAISIE!$I197)</f>
        <v/>
      </c>
      <c r="I192" t="str">
        <f>IF(SAISIE!$J197="","",SAISIE!$J197)</f>
        <v/>
      </c>
      <c r="J192" t="str">
        <f>IF(SAISIE!$K197="","",SAISIE!$K197)</f>
        <v/>
      </c>
      <c r="K192" t="str">
        <f>IF(SAISIE!$L197="","",SAISIE!$L197)</f>
        <v/>
      </c>
      <c r="L192" t="str">
        <f>IF(SAISIE!$M197="","",SAISIE!$M197)</f>
        <v/>
      </c>
      <c r="M192" t="str">
        <f>IF(SAISIE!$N197="","",SAISIE!$N197)</f>
        <v/>
      </c>
      <c r="N192" t="str">
        <f>IF(SAISIE!$O197="","",SAISIE!$O197)</f>
        <v/>
      </c>
      <c r="O192" t="str">
        <f>IF(SAISIE!$P197="","",SAISIE!$P197)</f>
        <v/>
      </c>
      <c r="P192" t="str">
        <f>IF(SAISIE!$Q197="","",SAISIE!$Q197)</f>
        <v/>
      </c>
      <c r="Q192" t="str">
        <f>IF($I192="","",IF($I192&gt;PARAMETRES!$G$29,5,IF($I192&gt;PARAMETRES!$F$29,4,IF($I192&gt;PARAMETRES!$E$29,3,IF($I192&gt;PARAMETRES!$D$29,2,1)))))</f>
        <v/>
      </c>
      <c r="R192" t="str">
        <f>IF($J192="","",IF($J192&gt;PARAMETRES!$G$30,5,IF($J192&gt;PARAMETRES!$F$30,4,IF($J192&gt;PARAMETRES!$E$30,3,IF($J192&gt;PARAMETRES!$D$30,2,1)))))</f>
        <v/>
      </c>
      <c r="S192" t="str">
        <f>IF($K192="","",IF($Z192=2,IF($K192&gt;PARAMETRES!$G$31,5,IF($K192&gt;PARAMETRES!$F$31,4,IF($K192&gt;PARAMETRES!$E$31,3,IF($K192&gt;PARAMETRES!$D$31,2,1)))),IF($K192&gt;PARAMETRES!$G$32,5,IF($K192&gt;PARAMETRES!$F$32,4,IF($K192&gt;PARAMETRES!$E$32,3,IF($K192&gt;PARAMETRES!$D$32,2,1))))))</f>
        <v/>
      </c>
      <c r="T192" t="str">
        <f>IF($L192="","",IF($L192&gt;PARAMETRES!$G$33,5,IF($L192&gt;PARAMETRES!$F$33,4,IF($L192&gt;PARAMETRES!$E$33,3,IF($L192&gt;PARAMETRES!$D$33,2,1)))))</f>
        <v/>
      </c>
      <c r="U192" t="str">
        <f>IF($M192="","",IF($M192&gt;PARAMETRES!$G$34,5,IF($M192&gt;PARAMETRES!$F$34,4,IF($M192&gt;PARAMETRES!$E$34,3,IF($M192&gt;PARAMETRES!$D$34,2,1)))))</f>
        <v/>
      </c>
      <c r="V192" t="str">
        <f>IF($N192="","",IF($N192&gt;PARAMETRES!$G$35,5,IF($N192&gt;PARAMETRES!$F$35,4,IF($N192&gt;PARAMETRES!$E$35,3,IF($N192&gt;PARAMETRES!$D$35,2,1)))))</f>
        <v/>
      </c>
      <c r="W192" t="str">
        <f>IF($O192="","",IF($O192&gt;PARAMETRES!$G$36,5,IF($O192&gt;PARAMETRES!$F$36,4,IF($O192&gt;PARAMETRES!$E$36,3,IF($O192&gt;PARAMETRES!$D$36,2,1)))))</f>
        <v/>
      </c>
      <c r="X192" t="str">
        <f>IF($P192="","",IF($P192&gt;PARAMETRES!$G$37,5,IF($P192&gt;PARAMETRES!$F$37,4,IF($P192&gt;PARAMETRES!$E$37,3,IF($P192&gt;PARAMETRES!$D$37,2,1)))))</f>
        <v/>
      </c>
      <c r="Y192" t="str">
        <f t="shared" si="48"/>
        <v/>
      </c>
      <c r="Z192" t="str">
        <f>IFERROR(VLOOKUP($B192,TABLE_CYCLE,2,0),"")</f>
        <v/>
      </c>
      <c r="AA192" t="str">
        <f t="shared" si="49"/>
        <v/>
      </c>
      <c r="AB192" t="str">
        <f>IF($D192="","",IF(COUNTIF($D$2:$D192,$D192)=1,$D192,""))</f>
        <v/>
      </c>
      <c r="AC192">
        <f t="shared" si="50"/>
        <v>0</v>
      </c>
      <c r="AD192" t="str">
        <f t="shared" si="51"/>
        <v>|0</v>
      </c>
      <c r="AE192" t="str">
        <f t="shared" si="52"/>
        <v/>
      </c>
      <c r="AF192" t="str">
        <f t="shared" si="53"/>
        <v/>
      </c>
      <c r="AG192" t="str">
        <f t="shared" si="54"/>
        <v/>
      </c>
      <c r="AH192" t="str">
        <f t="shared" si="55"/>
        <v/>
      </c>
      <c r="AI192" t="str">
        <f t="shared" si="56"/>
        <v/>
      </c>
      <c r="AJ192" t="str">
        <f t="shared" si="57"/>
        <v/>
      </c>
      <c r="AK192" t="str">
        <f t="shared" si="58"/>
        <v/>
      </c>
      <c r="AL192" t="str">
        <f t="shared" si="59"/>
        <v/>
      </c>
      <c r="AM192" t="str">
        <f t="shared" si="60"/>
        <v/>
      </c>
      <c r="AN192" t="str">
        <f t="shared" si="61"/>
        <v/>
      </c>
      <c r="AO192" t="str">
        <f t="shared" si="62"/>
        <v/>
      </c>
      <c r="AP192">
        <f t="shared" si="63"/>
        <v>1</v>
      </c>
      <c r="AQ192" t="str">
        <f>IF(SAISIE!$F197="","",SAISIE!$Y197)</f>
        <v/>
      </c>
      <c r="AR192" t="str">
        <f>IF(OR(SAISIE!$U$4="",SAISIE!$W$4=""),"",IF(AND($A192=SAISIE!$U$4,$B192=SAISIE!$W$4,$C192="S1"),COUNTIFS($A$2:$A192,SAISIE!$U$4,$B$2:$B192,SAISIE!$W$4,$C$2:$C192,"S1"),""))</f>
        <v/>
      </c>
      <c r="AS192" t="str">
        <f t="shared" si="64"/>
        <v/>
      </c>
      <c r="AT192" t="str">
        <f t="shared" si="65"/>
        <v/>
      </c>
      <c r="AU192" t="str">
        <f t="shared" si="66"/>
        <v/>
      </c>
      <c r="AV192">
        <f>N(AV191)+IF(AND($AB192&lt;&gt;"",OR('PROFIL ELEVE'!$K$4="(Tous)",$AF192='PROFIL ELEVE'!$K$4)),1,0)</f>
        <v>0</v>
      </c>
      <c r="AW192">
        <f>N(AW191)+IF(AND($AB192&lt;&gt;"",OR('SUIVI LONGITUDINAL'!$Q$4="(Tous)",$AF192='SUIVI LONGITUDINAL'!$Q$4)),1,0)</f>
        <v>0</v>
      </c>
      <c r="AX192">
        <f t="shared" si="67"/>
        <v>0</v>
      </c>
      <c r="AY192">
        <f t="shared" si="68"/>
        <v>0</v>
      </c>
      <c r="AZ192">
        <f t="shared" si="69"/>
        <v>0</v>
      </c>
      <c r="BA192" t="str">
        <f t="shared" si="70"/>
        <v/>
      </c>
      <c r="BB192" t="str">
        <f t="shared" si="71"/>
        <v/>
      </c>
    </row>
    <row r="193" spans="1:54" ht="14.25" customHeight="1" x14ac:dyDescent="0.3">
      <c r="A193" t="str">
        <f>IF(SAISIE!$F198="","",SAISIE!$B198)</f>
        <v/>
      </c>
      <c r="B193" t="str">
        <f>IF(SAISIE!$F198="","",SAISIE!$C198)</f>
        <v/>
      </c>
      <c r="C193" t="str">
        <f>IF(SAISIE!$F198="","",SAISIE!$D198)</f>
        <v/>
      </c>
      <c r="D193" t="str">
        <f>IF(SAISIE!$E198="","",SAISIE!$E198)</f>
        <v/>
      </c>
      <c r="E193" t="str">
        <f>IF(SAISIE!$F198="","",SAISIE!$F198)</f>
        <v/>
      </c>
      <c r="F193" t="str">
        <f>IF(SAISIE!$G198="","",SAISIE!$G198)</f>
        <v/>
      </c>
      <c r="G193" t="str">
        <f>IF(SAISIE!$H198="","",SAISIE!$H198)</f>
        <v/>
      </c>
      <c r="H193" t="str">
        <f>IF(SAISIE!$I198="","",SAISIE!$I198)</f>
        <v/>
      </c>
      <c r="I193" t="str">
        <f>IF(SAISIE!$J198="","",SAISIE!$J198)</f>
        <v/>
      </c>
      <c r="J193" t="str">
        <f>IF(SAISIE!$K198="","",SAISIE!$K198)</f>
        <v/>
      </c>
      <c r="K193" t="str">
        <f>IF(SAISIE!$L198="","",SAISIE!$L198)</f>
        <v/>
      </c>
      <c r="L193" t="str">
        <f>IF(SAISIE!$M198="","",SAISIE!$M198)</f>
        <v/>
      </c>
      <c r="M193" t="str">
        <f>IF(SAISIE!$N198="","",SAISIE!$N198)</f>
        <v/>
      </c>
      <c r="N193" t="str">
        <f>IF(SAISIE!$O198="","",SAISIE!$O198)</f>
        <v/>
      </c>
      <c r="O193" t="str">
        <f>IF(SAISIE!$P198="","",SAISIE!$P198)</f>
        <v/>
      </c>
      <c r="P193" t="str">
        <f>IF(SAISIE!$Q198="","",SAISIE!$Q198)</f>
        <v/>
      </c>
      <c r="Q193" t="str">
        <f>IF($I193="","",IF($I193&gt;PARAMETRES!$G$29,5,IF($I193&gt;PARAMETRES!$F$29,4,IF($I193&gt;PARAMETRES!$E$29,3,IF($I193&gt;PARAMETRES!$D$29,2,1)))))</f>
        <v/>
      </c>
      <c r="R193" t="str">
        <f>IF($J193="","",IF($J193&gt;PARAMETRES!$G$30,5,IF($J193&gt;PARAMETRES!$F$30,4,IF($J193&gt;PARAMETRES!$E$30,3,IF($J193&gt;PARAMETRES!$D$30,2,1)))))</f>
        <v/>
      </c>
      <c r="S193" t="str">
        <f>IF($K193="","",IF($Z193=2,IF($K193&gt;PARAMETRES!$G$31,5,IF($K193&gt;PARAMETRES!$F$31,4,IF($K193&gt;PARAMETRES!$E$31,3,IF($K193&gt;PARAMETRES!$D$31,2,1)))),IF($K193&gt;PARAMETRES!$G$32,5,IF($K193&gt;PARAMETRES!$F$32,4,IF($K193&gt;PARAMETRES!$E$32,3,IF($K193&gt;PARAMETRES!$D$32,2,1))))))</f>
        <v/>
      </c>
      <c r="T193" t="str">
        <f>IF($L193="","",IF($L193&gt;PARAMETRES!$G$33,5,IF($L193&gt;PARAMETRES!$F$33,4,IF($L193&gt;PARAMETRES!$E$33,3,IF($L193&gt;PARAMETRES!$D$33,2,1)))))</f>
        <v/>
      </c>
      <c r="U193" t="str">
        <f>IF($M193="","",IF($M193&gt;PARAMETRES!$G$34,5,IF($M193&gt;PARAMETRES!$F$34,4,IF($M193&gt;PARAMETRES!$E$34,3,IF($M193&gt;PARAMETRES!$D$34,2,1)))))</f>
        <v/>
      </c>
      <c r="V193" t="str">
        <f>IF($N193="","",IF($N193&gt;PARAMETRES!$G$35,5,IF($N193&gt;PARAMETRES!$F$35,4,IF($N193&gt;PARAMETRES!$E$35,3,IF($N193&gt;PARAMETRES!$D$35,2,1)))))</f>
        <v/>
      </c>
      <c r="W193" t="str">
        <f>IF($O193="","",IF($O193&gt;PARAMETRES!$G$36,5,IF($O193&gt;PARAMETRES!$F$36,4,IF($O193&gt;PARAMETRES!$E$36,3,IF($O193&gt;PARAMETRES!$D$36,2,1)))))</f>
        <v/>
      </c>
      <c r="X193" t="str">
        <f>IF($P193="","",IF($P193&gt;PARAMETRES!$G$37,5,IF($P193&gt;PARAMETRES!$F$37,4,IF($P193&gt;PARAMETRES!$E$37,3,IF($P193&gt;PARAMETRES!$D$37,2,1)))))</f>
        <v/>
      </c>
      <c r="Y193" t="str">
        <f t="shared" si="48"/>
        <v/>
      </c>
      <c r="Z193" t="str">
        <f>IFERROR(VLOOKUP($B193,TABLE_CYCLE,2,0),"")</f>
        <v/>
      </c>
      <c r="AA193" t="str">
        <f t="shared" si="49"/>
        <v/>
      </c>
      <c r="AB193" t="str">
        <f>IF($D193="","",IF(COUNTIF($D$2:$D193,$D193)=1,$D193,""))</f>
        <v/>
      </c>
      <c r="AC193">
        <f t="shared" si="50"/>
        <v>0</v>
      </c>
      <c r="AD193" t="str">
        <f t="shared" si="51"/>
        <v>|0</v>
      </c>
      <c r="AE193" t="str">
        <f t="shared" si="52"/>
        <v/>
      </c>
      <c r="AF193" t="str">
        <f t="shared" si="53"/>
        <v/>
      </c>
      <c r="AG193" t="str">
        <f t="shared" si="54"/>
        <v/>
      </c>
      <c r="AH193" t="str">
        <f t="shared" si="55"/>
        <v/>
      </c>
      <c r="AI193" t="str">
        <f t="shared" si="56"/>
        <v/>
      </c>
      <c r="AJ193" t="str">
        <f t="shared" si="57"/>
        <v/>
      </c>
      <c r="AK193" t="str">
        <f t="shared" si="58"/>
        <v/>
      </c>
      <c r="AL193" t="str">
        <f t="shared" si="59"/>
        <v/>
      </c>
      <c r="AM193" t="str">
        <f t="shared" si="60"/>
        <v/>
      </c>
      <c r="AN193" t="str">
        <f t="shared" si="61"/>
        <v/>
      </c>
      <c r="AO193" t="str">
        <f t="shared" si="62"/>
        <v/>
      </c>
      <c r="AP193">
        <f t="shared" si="63"/>
        <v>1</v>
      </c>
      <c r="AQ193" t="str">
        <f>IF(SAISIE!$F198="","",SAISIE!$Y198)</f>
        <v/>
      </c>
      <c r="AR193" t="str">
        <f>IF(OR(SAISIE!$U$4="",SAISIE!$W$4=""),"",IF(AND($A193=SAISIE!$U$4,$B193=SAISIE!$W$4,$C193="S1"),COUNTIFS($A$2:$A193,SAISIE!$U$4,$B$2:$B193,SAISIE!$W$4,$C$2:$C193,"S1"),""))</f>
        <v/>
      </c>
      <c r="AS193" t="str">
        <f t="shared" si="64"/>
        <v/>
      </c>
      <c r="AT193" t="str">
        <f t="shared" si="65"/>
        <v/>
      </c>
      <c r="AU193" t="str">
        <f t="shared" si="66"/>
        <v/>
      </c>
      <c r="AV193">
        <f>N(AV192)+IF(AND($AB193&lt;&gt;"",OR('PROFIL ELEVE'!$K$4="(Tous)",$AF193='PROFIL ELEVE'!$K$4)),1,0)</f>
        <v>0</v>
      </c>
      <c r="AW193">
        <f>N(AW192)+IF(AND($AB193&lt;&gt;"",OR('SUIVI LONGITUDINAL'!$Q$4="(Tous)",$AF193='SUIVI LONGITUDINAL'!$Q$4)),1,0)</f>
        <v>0</v>
      </c>
      <c r="AX193">
        <f t="shared" si="67"/>
        <v>0</v>
      </c>
      <c r="AY193">
        <f t="shared" si="68"/>
        <v>0</v>
      </c>
      <c r="AZ193">
        <f t="shared" si="69"/>
        <v>0</v>
      </c>
      <c r="BA193" t="str">
        <f t="shared" si="70"/>
        <v/>
      </c>
      <c r="BB193" t="str">
        <f t="shared" si="71"/>
        <v/>
      </c>
    </row>
    <row r="194" spans="1:54" ht="14.25" customHeight="1" x14ac:dyDescent="0.3">
      <c r="A194" t="str">
        <f>IF(SAISIE!$F199="","",SAISIE!$B199)</f>
        <v/>
      </c>
      <c r="B194" t="str">
        <f>IF(SAISIE!$F199="","",SAISIE!$C199)</f>
        <v/>
      </c>
      <c r="C194" t="str">
        <f>IF(SAISIE!$F199="","",SAISIE!$D199)</f>
        <v/>
      </c>
      <c r="D194" t="str">
        <f>IF(SAISIE!$E199="","",SAISIE!$E199)</f>
        <v/>
      </c>
      <c r="E194" t="str">
        <f>IF(SAISIE!$F199="","",SAISIE!$F199)</f>
        <v/>
      </c>
      <c r="F194" t="str">
        <f>IF(SAISIE!$G199="","",SAISIE!$G199)</f>
        <v/>
      </c>
      <c r="G194" t="str">
        <f>IF(SAISIE!$H199="","",SAISIE!$H199)</f>
        <v/>
      </c>
      <c r="H194" t="str">
        <f>IF(SAISIE!$I199="","",SAISIE!$I199)</f>
        <v/>
      </c>
      <c r="I194" t="str">
        <f>IF(SAISIE!$J199="","",SAISIE!$J199)</f>
        <v/>
      </c>
      <c r="J194" t="str">
        <f>IF(SAISIE!$K199="","",SAISIE!$K199)</f>
        <v/>
      </c>
      <c r="K194" t="str">
        <f>IF(SAISIE!$L199="","",SAISIE!$L199)</f>
        <v/>
      </c>
      <c r="L194" t="str">
        <f>IF(SAISIE!$M199="","",SAISIE!$M199)</f>
        <v/>
      </c>
      <c r="M194" t="str">
        <f>IF(SAISIE!$N199="","",SAISIE!$N199)</f>
        <v/>
      </c>
      <c r="N194" t="str">
        <f>IF(SAISIE!$O199="","",SAISIE!$O199)</f>
        <v/>
      </c>
      <c r="O194" t="str">
        <f>IF(SAISIE!$P199="","",SAISIE!$P199)</f>
        <v/>
      </c>
      <c r="P194" t="str">
        <f>IF(SAISIE!$Q199="","",SAISIE!$Q199)</f>
        <v/>
      </c>
      <c r="Q194" t="str">
        <f>IF($I194="","",IF($I194&gt;PARAMETRES!$G$29,5,IF($I194&gt;PARAMETRES!$F$29,4,IF($I194&gt;PARAMETRES!$E$29,3,IF($I194&gt;PARAMETRES!$D$29,2,1)))))</f>
        <v/>
      </c>
      <c r="R194" t="str">
        <f>IF($J194="","",IF($J194&gt;PARAMETRES!$G$30,5,IF($J194&gt;PARAMETRES!$F$30,4,IF($J194&gt;PARAMETRES!$E$30,3,IF($J194&gt;PARAMETRES!$D$30,2,1)))))</f>
        <v/>
      </c>
      <c r="S194" t="str">
        <f>IF($K194="","",IF($Z194=2,IF($K194&gt;PARAMETRES!$G$31,5,IF($K194&gt;PARAMETRES!$F$31,4,IF($K194&gt;PARAMETRES!$E$31,3,IF($K194&gt;PARAMETRES!$D$31,2,1)))),IF($K194&gt;PARAMETRES!$G$32,5,IF($K194&gt;PARAMETRES!$F$32,4,IF($K194&gt;PARAMETRES!$E$32,3,IF($K194&gt;PARAMETRES!$D$32,2,1))))))</f>
        <v/>
      </c>
      <c r="T194" t="str">
        <f>IF($L194="","",IF($L194&gt;PARAMETRES!$G$33,5,IF($L194&gt;PARAMETRES!$F$33,4,IF($L194&gt;PARAMETRES!$E$33,3,IF($L194&gt;PARAMETRES!$D$33,2,1)))))</f>
        <v/>
      </c>
      <c r="U194" t="str">
        <f>IF($M194="","",IF($M194&gt;PARAMETRES!$G$34,5,IF($M194&gt;PARAMETRES!$F$34,4,IF($M194&gt;PARAMETRES!$E$34,3,IF($M194&gt;PARAMETRES!$D$34,2,1)))))</f>
        <v/>
      </c>
      <c r="V194" t="str">
        <f>IF($N194="","",IF($N194&gt;PARAMETRES!$G$35,5,IF($N194&gt;PARAMETRES!$F$35,4,IF($N194&gt;PARAMETRES!$E$35,3,IF($N194&gt;PARAMETRES!$D$35,2,1)))))</f>
        <v/>
      </c>
      <c r="W194" t="str">
        <f>IF($O194="","",IF($O194&gt;PARAMETRES!$G$36,5,IF($O194&gt;PARAMETRES!$F$36,4,IF($O194&gt;PARAMETRES!$E$36,3,IF($O194&gt;PARAMETRES!$D$36,2,1)))))</f>
        <v/>
      </c>
      <c r="X194" t="str">
        <f>IF($P194="","",IF($P194&gt;PARAMETRES!$G$37,5,IF($P194&gt;PARAMETRES!$F$37,4,IF($P194&gt;PARAMETRES!$E$37,3,IF($P194&gt;PARAMETRES!$D$37,2,1)))))</f>
        <v/>
      </c>
      <c r="Y194" t="str">
        <f t="shared" ref="Y194:Y257" si="72">IF(COUNT($Q194:$X194)=0,"",AVERAGE($Q194:$X194))</f>
        <v/>
      </c>
      <c r="Z194" t="str">
        <f>IFERROR(VLOOKUP($B194,TABLE_CYCLE,2,0),"")</f>
        <v/>
      </c>
      <c r="AA194" t="str">
        <f t="shared" ref="AA194:AA257" si="73">IF($D194="","",$D194&amp;"|"&amp;$A194&amp;"|"&amp;$C194)</f>
        <v/>
      </c>
      <c r="AB194" t="str">
        <f>IF($D194="","",IF(COUNTIF($D$2:$D194,$D194)=1,$D194,""))</f>
        <v/>
      </c>
      <c r="AC194">
        <f t="shared" ref="AC194:AC257" si="74">IFERROR(MATCH($A194,LISTE_ANNEES,0),0)</f>
        <v>0</v>
      </c>
      <c r="AD194" t="str">
        <f t="shared" ref="AD194:AD257" si="75">$D194&amp;"|"&amp;$AC194</f>
        <v>|0</v>
      </c>
      <c r="AE194" t="str">
        <f t="shared" ref="AE194:AE257" si="76">IF($D194="","",_xlfn.MAXIFS($AC$2:$AC$1201,$D$2:$D$1201,$D194))</f>
        <v/>
      </c>
      <c r="AF194" t="str">
        <f t="shared" ref="AF194:AF257" si="77">IF($AB194="","",IFERROR(INDEX($B$2:$B$1201,MATCH($D194&amp;"|"&amp;$AE194,$AD$2:$AD$1201,0)),""))</f>
        <v/>
      </c>
      <c r="AG194" t="str">
        <f t="shared" ref="AG194:AG257" si="78">IF($C194&lt;&gt;"S1","",IFERROR(MATCH($D194&amp;"|"&amp;$A194&amp;"|S2",$AA$2:$AA$1201,0),""))</f>
        <v/>
      </c>
      <c r="AH194" t="str">
        <f t="shared" ref="AH194:AH257" si="79">IF(OR($AG194="",$Q194=""),"",IF(INDEX($Q$2:$Q$1201,$AG194)="","",IF(INDEX($Q$2:$Q$1201,$AG194)&gt;$Q194,1,IF(INDEX($Q$2:$Q$1201,$AG194)&lt;$Q194,-1,0))))</f>
        <v/>
      </c>
      <c r="AI194" t="str">
        <f t="shared" ref="AI194:AI257" si="80">IF(OR($AG194="",$R194=""),"",IF(INDEX($R$2:$R$1201,$AG194)="","",IF(INDEX($R$2:$R$1201,$AG194)&gt;$R194,1,IF(INDEX($R$2:$R$1201,$AG194)&lt;$R194,-1,0))))</f>
        <v/>
      </c>
      <c r="AJ194" t="str">
        <f t="shared" ref="AJ194:AJ257" si="81">IF(OR($AG194="",$S194=""),"",IF(INDEX($S$2:$S$1201,$AG194)="","",IF(INDEX($S$2:$S$1201,$AG194)&gt;$S194,1,IF(INDEX($S$2:$S$1201,$AG194)&lt;$S194,-1,0))))</f>
        <v/>
      </c>
      <c r="AK194" t="str">
        <f t="shared" ref="AK194:AK257" si="82">IF(OR($AG194="",$T194=""),"",IF(INDEX($T$2:$T$1201,$AG194)="","",IF(INDEX($T$2:$T$1201,$AG194)&gt;$T194,1,IF(INDEX($T$2:$T$1201,$AG194)&lt;$T194,-1,0))))</f>
        <v/>
      </c>
      <c r="AL194" t="str">
        <f t="shared" ref="AL194:AL257" si="83">IF(OR($AG194="",$U194=""),"",IF(INDEX($U$2:$U$1201,$AG194)="","",IF(INDEX($U$2:$U$1201,$AG194)&gt;$U194,1,IF(INDEX($U$2:$U$1201,$AG194)&lt;$U194,-1,0))))</f>
        <v/>
      </c>
      <c r="AM194" t="str">
        <f t="shared" ref="AM194:AM257" si="84">IF(OR($AG194="",$V194=""),"",IF(INDEX($V$2:$V$1201,$AG194)="","",IF(INDEX($V$2:$V$1201,$AG194)&gt;$V194,1,IF(INDEX($V$2:$V$1201,$AG194)&lt;$V194,-1,0))))</f>
        <v/>
      </c>
      <c r="AN194" t="str">
        <f t="shared" ref="AN194:AN257" si="85">IF(OR($AG194="",$W194=""),"",IF(INDEX($W$2:$W$1201,$AG194)="","",IF(INDEX($W$2:$W$1201,$AG194)&gt;$W194,1,IF(INDEX($W$2:$W$1201,$AG194)&lt;$W194,-1,0))))</f>
        <v/>
      </c>
      <c r="AO194" t="str">
        <f t="shared" ref="AO194:AO257" si="86">IF(OR($AG194="",$X194=""),"",IF(INDEX($X$2:$X$1201,$AG194)="","",IF(INDEX($X$2:$X$1201,$AG194)&gt;$X194,1,IF(INDEX($X$2:$X$1201,$AG194)&lt;$X194,-1,0))))</f>
        <v/>
      </c>
      <c r="AP194">
        <f t="shared" ref="AP194:AP257" si="87">IF($D194="",1,COUNTIFS($D$2:$D$1201,$D194,$A$2:$A$1201,$A194))</f>
        <v>1</v>
      </c>
      <c r="AQ194" t="str">
        <f>IF(SAISIE!$F199="","",SAISIE!$Y199)</f>
        <v/>
      </c>
      <c r="AR194" t="str">
        <f>IF(OR(SAISIE!$U$4="",SAISIE!$W$4=""),"",IF(AND($A194=SAISIE!$U$4,$B194=SAISIE!$W$4,$C194="S1"),COUNTIFS($A$2:$A194,SAISIE!$U$4,$B$2:$B194,SAISIE!$W$4,$C$2:$C194,"S1"),""))</f>
        <v/>
      </c>
      <c r="AS194" t="str">
        <f t="shared" ref="AS194:AS257" si="88">IF($D194="","",$A194&amp;"|"&amp;$C194&amp;"|"&amp;$D194)</f>
        <v/>
      </c>
      <c r="AT194" t="str">
        <f t="shared" ref="AT194:AT257" si="89">IF($D194="","",$A194&amp;"|"&amp;$D194&amp;"|"&amp;IF($AQ194="Parti","P","A"))</f>
        <v/>
      </c>
      <c r="AU194" t="str">
        <f t="shared" ref="AU194:AU257" si="90">IF($A194="","",$A194&amp;"|"&amp;$B194&amp;"|"&amp;$C194)</f>
        <v/>
      </c>
      <c r="AV194">
        <f>N(AV193)+IF(AND($AB194&lt;&gt;"",OR('PROFIL ELEVE'!$K$4="(Tous)",$AF194='PROFIL ELEVE'!$K$4)),1,0)</f>
        <v>0</v>
      </c>
      <c r="AW194">
        <f>N(AW193)+IF(AND($AB194&lt;&gt;"",OR('SUIVI LONGITUDINAL'!$Q$4="(Tous)",$AF194='SUIVI LONGITUDINAL'!$Q$4)),1,0)</f>
        <v>0</v>
      </c>
      <c r="AX194">
        <f t="shared" ref="AX194:AX257" si="91">COUNTIF($AH194:$AO194,1)</f>
        <v>0</v>
      </c>
      <c r="AY194">
        <f t="shared" ref="AY194:AY257" si="92">COUNTIF($AH194:$AO194,0)</f>
        <v>0</v>
      </c>
      <c r="AZ194">
        <f t="shared" ref="AZ194:AZ257" si="93">COUNTIF($AH194:$AO194,-1)</f>
        <v>0</v>
      </c>
      <c r="BA194" t="str">
        <f t="shared" ref="BA194:BA257" si="94">IF($E194="","",COUNT($Q194:$X194))</f>
        <v/>
      </c>
      <c r="BB194" t="str">
        <f t="shared" ref="BB194:BB257" si="95">IF($E194="","",IF(COUNT($Q194:$X194)&gt;=IF($Z194=2,5,8),1,0))</f>
        <v/>
      </c>
    </row>
    <row r="195" spans="1:54" ht="14.25" customHeight="1" x14ac:dyDescent="0.3">
      <c r="A195" t="str">
        <f>IF(SAISIE!$F200="","",SAISIE!$B200)</f>
        <v/>
      </c>
      <c r="B195" t="str">
        <f>IF(SAISIE!$F200="","",SAISIE!$C200)</f>
        <v/>
      </c>
      <c r="C195" t="str">
        <f>IF(SAISIE!$F200="","",SAISIE!$D200)</f>
        <v/>
      </c>
      <c r="D195" t="str">
        <f>IF(SAISIE!$E200="","",SAISIE!$E200)</f>
        <v/>
      </c>
      <c r="E195" t="str">
        <f>IF(SAISIE!$F200="","",SAISIE!$F200)</f>
        <v/>
      </c>
      <c r="F195" t="str">
        <f>IF(SAISIE!$G200="","",SAISIE!$G200)</f>
        <v/>
      </c>
      <c r="G195" t="str">
        <f>IF(SAISIE!$H200="","",SAISIE!$H200)</f>
        <v/>
      </c>
      <c r="H195" t="str">
        <f>IF(SAISIE!$I200="","",SAISIE!$I200)</f>
        <v/>
      </c>
      <c r="I195" t="str">
        <f>IF(SAISIE!$J200="","",SAISIE!$J200)</f>
        <v/>
      </c>
      <c r="J195" t="str">
        <f>IF(SAISIE!$K200="","",SAISIE!$K200)</f>
        <v/>
      </c>
      <c r="K195" t="str">
        <f>IF(SAISIE!$L200="","",SAISIE!$L200)</f>
        <v/>
      </c>
      <c r="L195" t="str">
        <f>IF(SAISIE!$M200="","",SAISIE!$M200)</f>
        <v/>
      </c>
      <c r="M195" t="str">
        <f>IF(SAISIE!$N200="","",SAISIE!$N200)</f>
        <v/>
      </c>
      <c r="N195" t="str">
        <f>IF(SAISIE!$O200="","",SAISIE!$O200)</f>
        <v/>
      </c>
      <c r="O195" t="str">
        <f>IF(SAISIE!$P200="","",SAISIE!$P200)</f>
        <v/>
      </c>
      <c r="P195" t="str">
        <f>IF(SAISIE!$Q200="","",SAISIE!$Q200)</f>
        <v/>
      </c>
      <c r="Q195" t="str">
        <f>IF($I195="","",IF($I195&gt;PARAMETRES!$G$29,5,IF($I195&gt;PARAMETRES!$F$29,4,IF($I195&gt;PARAMETRES!$E$29,3,IF($I195&gt;PARAMETRES!$D$29,2,1)))))</f>
        <v/>
      </c>
      <c r="R195" t="str">
        <f>IF($J195="","",IF($J195&gt;PARAMETRES!$G$30,5,IF($J195&gt;PARAMETRES!$F$30,4,IF($J195&gt;PARAMETRES!$E$30,3,IF($J195&gt;PARAMETRES!$D$30,2,1)))))</f>
        <v/>
      </c>
      <c r="S195" t="str">
        <f>IF($K195="","",IF($Z195=2,IF($K195&gt;PARAMETRES!$G$31,5,IF($K195&gt;PARAMETRES!$F$31,4,IF($K195&gt;PARAMETRES!$E$31,3,IF($K195&gt;PARAMETRES!$D$31,2,1)))),IF($K195&gt;PARAMETRES!$G$32,5,IF($K195&gt;PARAMETRES!$F$32,4,IF($K195&gt;PARAMETRES!$E$32,3,IF($K195&gt;PARAMETRES!$D$32,2,1))))))</f>
        <v/>
      </c>
      <c r="T195" t="str">
        <f>IF($L195="","",IF($L195&gt;PARAMETRES!$G$33,5,IF($L195&gt;PARAMETRES!$F$33,4,IF($L195&gt;PARAMETRES!$E$33,3,IF($L195&gt;PARAMETRES!$D$33,2,1)))))</f>
        <v/>
      </c>
      <c r="U195" t="str">
        <f>IF($M195="","",IF($M195&gt;PARAMETRES!$G$34,5,IF($M195&gt;PARAMETRES!$F$34,4,IF($M195&gt;PARAMETRES!$E$34,3,IF($M195&gt;PARAMETRES!$D$34,2,1)))))</f>
        <v/>
      </c>
      <c r="V195" t="str">
        <f>IF($N195="","",IF($N195&gt;PARAMETRES!$G$35,5,IF($N195&gt;PARAMETRES!$F$35,4,IF($N195&gt;PARAMETRES!$E$35,3,IF($N195&gt;PARAMETRES!$D$35,2,1)))))</f>
        <v/>
      </c>
      <c r="W195" t="str">
        <f>IF($O195="","",IF($O195&gt;PARAMETRES!$G$36,5,IF($O195&gt;PARAMETRES!$F$36,4,IF($O195&gt;PARAMETRES!$E$36,3,IF($O195&gt;PARAMETRES!$D$36,2,1)))))</f>
        <v/>
      </c>
      <c r="X195" t="str">
        <f>IF($P195="","",IF($P195&gt;PARAMETRES!$G$37,5,IF($P195&gt;PARAMETRES!$F$37,4,IF($P195&gt;PARAMETRES!$E$37,3,IF($P195&gt;PARAMETRES!$D$37,2,1)))))</f>
        <v/>
      </c>
      <c r="Y195" t="str">
        <f t="shared" si="72"/>
        <v/>
      </c>
      <c r="Z195" t="str">
        <f>IFERROR(VLOOKUP($B195,TABLE_CYCLE,2,0),"")</f>
        <v/>
      </c>
      <c r="AA195" t="str">
        <f t="shared" si="73"/>
        <v/>
      </c>
      <c r="AB195" t="str">
        <f>IF($D195="","",IF(COUNTIF($D$2:$D195,$D195)=1,$D195,""))</f>
        <v/>
      </c>
      <c r="AC195">
        <f t="shared" si="74"/>
        <v>0</v>
      </c>
      <c r="AD195" t="str">
        <f t="shared" si="75"/>
        <v>|0</v>
      </c>
      <c r="AE195" t="str">
        <f t="shared" si="76"/>
        <v/>
      </c>
      <c r="AF195" t="str">
        <f t="shared" si="77"/>
        <v/>
      </c>
      <c r="AG195" t="str">
        <f t="shared" si="78"/>
        <v/>
      </c>
      <c r="AH195" t="str">
        <f t="shared" si="79"/>
        <v/>
      </c>
      <c r="AI195" t="str">
        <f t="shared" si="80"/>
        <v/>
      </c>
      <c r="AJ195" t="str">
        <f t="shared" si="81"/>
        <v/>
      </c>
      <c r="AK195" t="str">
        <f t="shared" si="82"/>
        <v/>
      </c>
      <c r="AL195" t="str">
        <f t="shared" si="83"/>
        <v/>
      </c>
      <c r="AM195" t="str">
        <f t="shared" si="84"/>
        <v/>
      </c>
      <c r="AN195" t="str">
        <f t="shared" si="85"/>
        <v/>
      </c>
      <c r="AO195" t="str">
        <f t="shared" si="86"/>
        <v/>
      </c>
      <c r="AP195">
        <f t="shared" si="87"/>
        <v>1</v>
      </c>
      <c r="AQ195" t="str">
        <f>IF(SAISIE!$F200="","",SAISIE!$Y200)</f>
        <v/>
      </c>
      <c r="AR195" t="str">
        <f>IF(OR(SAISIE!$U$4="",SAISIE!$W$4=""),"",IF(AND($A195=SAISIE!$U$4,$B195=SAISIE!$W$4,$C195="S1"),COUNTIFS($A$2:$A195,SAISIE!$U$4,$B$2:$B195,SAISIE!$W$4,$C$2:$C195,"S1"),""))</f>
        <v/>
      </c>
      <c r="AS195" t="str">
        <f t="shared" si="88"/>
        <v/>
      </c>
      <c r="AT195" t="str">
        <f t="shared" si="89"/>
        <v/>
      </c>
      <c r="AU195" t="str">
        <f t="shared" si="90"/>
        <v/>
      </c>
      <c r="AV195">
        <f>N(AV194)+IF(AND($AB195&lt;&gt;"",OR('PROFIL ELEVE'!$K$4="(Tous)",$AF195='PROFIL ELEVE'!$K$4)),1,0)</f>
        <v>0</v>
      </c>
      <c r="AW195">
        <f>N(AW194)+IF(AND($AB195&lt;&gt;"",OR('SUIVI LONGITUDINAL'!$Q$4="(Tous)",$AF195='SUIVI LONGITUDINAL'!$Q$4)),1,0)</f>
        <v>0</v>
      </c>
      <c r="AX195">
        <f t="shared" si="91"/>
        <v>0</v>
      </c>
      <c r="AY195">
        <f t="shared" si="92"/>
        <v>0</v>
      </c>
      <c r="AZ195">
        <f t="shared" si="93"/>
        <v>0</v>
      </c>
      <c r="BA195" t="str">
        <f t="shared" si="94"/>
        <v/>
      </c>
      <c r="BB195" t="str">
        <f t="shared" si="95"/>
        <v/>
      </c>
    </row>
    <row r="196" spans="1:54" ht="14.25" customHeight="1" x14ac:dyDescent="0.3">
      <c r="A196" t="str">
        <f>IF(SAISIE!$F201="","",SAISIE!$B201)</f>
        <v/>
      </c>
      <c r="B196" t="str">
        <f>IF(SAISIE!$F201="","",SAISIE!$C201)</f>
        <v/>
      </c>
      <c r="C196" t="str">
        <f>IF(SAISIE!$F201="","",SAISIE!$D201)</f>
        <v/>
      </c>
      <c r="D196" t="str">
        <f>IF(SAISIE!$E201="","",SAISIE!$E201)</f>
        <v/>
      </c>
      <c r="E196" t="str">
        <f>IF(SAISIE!$F201="","",SAISIE!$F201)</f>
        <v/>
      </c>
      <c r="F196" t="str">
        <f>IF(SAISIE!$G201="","",SAISIE!$G201)</f>
        <v/>
      </c>
      <c r="G196" t="str">
        <f>IF(SAISIE!$H201="","",SAISIE!$H201)</f>
        <v/>
      </c>
      <c r="H196" t="str">
        <f>IF(SAISIE!$I201="","",SAISIE!$I201)</f>
        <v/>
      </c>
      <c r="I196" t="str">
        <f>IF(SAISIE!$J201="","",SAISIE!$J201)</f>
        <v/>
      </c>
      <c r="J196" t="str">
        <f>IF(SAISIE!$K201="","",SAISIE!$K201)</f>
        <v/>
      </c>
      <c r="K196" t="str">
        <f>IF(SAISIE!$L201="","",SAISIE!$L201)</f>
        <v/>
      </c>
      <c r="L196" t="str">
        <f>IF(SAISIE!$M201="","",SAISIE!$M201)</f>
        <v/>
      </c>
      <c r="M196" t="str">
        <f>IF(SAISIE!$N201="","",SAISIE!$N201)</f>
        <v/>
      </c>
      <c r="N196" t="str">
        <f>IF(SAISIE!$O201="","",SAISIE!$O201)</f>
        <v/>
      </c>
      <c r="O196" t="str">
        <f>IF(SAISIE!$P201="","",SAISIE!$P201)</f>
        <v/>
      </c>
      <c r="P196" t="str">
        <f>IF(SAISIE!$Q201="","",SAISIE!$Q201)</f>
        <v/>
      </c>
      <c r="Q196" t="str">
        <f>IF($I196="","",IF($I196&gt;PARAMETRES!$G$29,5,IF($I196&gt;PARAMETRES!$F$29,4,IF($I196&gt;PARAMETRES!$E$29,3,IF($I196&gt;PARAMETRES!$D$29,2,1)))))</f>
        <v/>
      </c>
      <c r="R196" t="str">
        <f>IF($J196="","",IF($J196&gt;PARAMETRES!$G$30,5,IF($J196&gt;PARAMETRES!$F$30,4,IF($J196&gt;PARAMETRES!$E$30,3,IF($J196&gt;PARAMETRES!$D$30,2,1)))))</f>
        <v/>
      </c>
      <c r="S196" t="str">
        <f>IF($K196="","",IF($Z196=2,IF($K196&gt;PARAMETRES!$G$31,5,IF($K196&gt;PARAMETRES!$F$31,4,IF($K196&gt;PARAMETRES!$E$31,3,IF($K196&gt;PARAMETRES!$D$31,2,1)))),IF($K196&gt;PARAMETRES!$G$32,5,IF($K196&gt;PARAMETRES!$F$32,4,IF($K196&gt;PARAMETRES!$E$32,3,IF($K196&gt;PARAMETRES!$D$32,2,1))))))</f>
        <v/>
      </c>
      <c r="T196" t="str">
        <f>IF($L196="","",IF($L196&gt;PARAMETRES!$G$33,5,IF($L196&gt;PARAMETRES!$F$33,4,IF($L196&gt;PARAMETRES!$E$33,3,IF($L196&gt;PARAMETRES!$D$33,2,1)))))</f>
        <v/>
      </c>
      <c r="U196" t="str">
        <f>IF($M196="","",IF($M196&gt;PARAMETRES!$G$34,5,IF($M196&gt;PARAMETRES!$F$34,4,IF($M196&gt;PARAMETRES!$E$34,3,IF($M196&gt;PARAMETRES!$D$34,2,1)))))</f>
        <v/>
      </c>
      <c r="V196" t="str">
        <f>IF($N196="","",IF($N196&gt;PARAMETRES!$G$35,5,IF($N196&gt;PARAMETRES!$F$35,4,IF($N196&gt;PARAMETRES!$E$35,3,IF($N196&gt;PARAMETRES!$D$35,2,1)))))</f>
        <v/>
      </c>
      <c r="W196" t="str">
        <f>IF($O196="","",IF($O196&gt;PARAMETRES!$G$36,5,IF($O196&gt;PARAMETRES!$F$36,4,IF($O196&gt;PARAMETRES!$E$36,3,IF($O196&gt;PARAMETRES!$D$36,2,1)))))</f>
        <v/>
      </c>
      <c r="X196" t="str">
        <f>IF($P196="","",IF($P196&gt;PARAMETRES!$G$37,5,IF($P196&gt;PARAMETRES!$F$37,4,IF($P196&gt;PARAMETRES!$E$37,3,IF($P196&gt;PARAMETRES!$D$37,2,1)))))</f>
        <v/>
      </c>
      <c r="Y196" t="str">
        <f t="shared" si="72"/>
        <v/>
      </c>
      <c r="Z196" t="str">
        <f>IFERROR(VLOOKUP($B196,TABLE_CYCLE,2,0),"")</f>
        <v/>
      </c>
      <c r="AA196" t="str">
        <f t="shared" si="73"/>
        <v/>
      </c>
      <c r="AB196" t="str">
        <f>IF($D196="","",IF(COUNTIF($D$2:$D196,$D196)=1,$D196,""))</f>
        <v/>
      </c>
      <c r="AC196">
        <f t="shared" si="74"/>
        <v>0</v>
      </c>
      <c r="AD196" t="str">
        <f t="shared" si="75"/>
        <v>|0</v>
      </c>
      <c r="AE196" t="str">
        <f t="shared" si="76"/>
        <v/>
      </c>
      <c r="AF196" t="str">
        <f t="shared" si="77"/>
        <v/>
      </c>
      <c r="AG196" t="str">
        <f t="shared" si="78"/>
        <v/>
      </c>
      <c r="AH196" t="str">
        <f t="shared" si="79"/>
        <v/>
      </c>
      <c r="AI196" t="str">
        <f t="shared" si="80"/>
        <v/>
      </c>
      <c r="AJ196" t="str">
        <f t="shared" si="81"/>
        <v/>
      </c>
      <c r="AK196" t="str">
        <f t="shared" si="82"/>
        <v/>
      </c>
      <c r="AL196" t="str">
        <f t="shared" si="83"/>
        <v/>
      </c>
      <c r="AM196" t="str">
        <f t="shared" si="84"/>
        <v/>
      </c>
      <c r="AN196" t="str">
        <f t="shared" si="85"/>
        <v/>
      </c>
      <c r="AO196" t="str">
        <f t="shared" si="86"/>
        <v/>
      </c>
      <c r="AP196">
        <f t="shared" si="87"/>
        <v>1</v>
      </c>
      <c r="AQ196" t="str">
        <f>IF(SAISIE!$F201="","",SAISIE!$Y201)</f>
        <v/>
      </c>
      <c r="AR196" t="str">
        <f>IF(OR(SAISIE!$U$4="",SAISIE!$W$4=""),"",IF(AND($A196=SAISIE!$U$4,$B196=SAISIE!$W$4,$C196="S1"),COUNTIFS($A$2:$A196,SAISIE!$U$4,$B$2:$B196,SAISIE!$W$4,$C$2:$C196,"S1"),""))</f>
        <v/>
      </c>
      <c r="AS196" t="str">
        <f t="shared" si="88"/>
        <v/>
      </c>
      <c r="AT196" t="str">
        <f t="shared" si="89"/>
        <v/>
      </c>
      <c r="AU196" t="str">
        <f t="shared" si="90"/>
        <v/>
      </c>
      <c r="AV196">
        <f>N(AV195)+IF(AND($AB196&lt;&gt;"",OR('PROFIL ELEVE'!$K$4="(Tous)",$AF196='PROFIL ELEVE'!$K$4)),1,0)</f>
        <v>0</v>
      </c>
      <c r="AW196">
        <f>N(AW195)+IF(AND($AB196&lt;&gt;"",OR('SUIVI LONGITUDINAL'!$Q$4="(Tous)",$AF196='SUIVI LONGITUDINAL'!$Q$4)),1,0)</f>
        <v>0</v>
      </c>
      <c r="AX196">
        <f t="shared" si="91"/>
        <v>0</v>
      </c>
      <c r="AY196">
        <f t="shared" si="92"/>
        <v>0</v>
      </c>
      <c r="AZ196">
        <f t="shared" si="93"/>
        <v>0</v>
      </c>
      <c r="BA196" t="str">
        <f t="shared" si="94"/>
        <v/>
      </c>
      <c r="BB196" t="str">
        <f t="shared" si="95"/>
        <v/>
      </c>
    </row>
    <row r="197" spans="1:54" ht="14.25" customHeight="1" x14ac:dyDescent="0.3">
      <c r="A197" t="str">
        <f>IF(SAISIE!$F202="","",SAISIE!$B202)</f>
        <v/>
      </c>
      <c r="B197" t="str">
        <f>IF(SAISIE!$F202="","",SAISIE!$C202)</f>
        <v/>
      </c>
      <c r="C197" t="str">
        <f>IF(SAISIE!$F202="","",SAISIE!$D202)</f>
        <v/>
      </c>
      <c r="D197" t="str">
        <f>IF(SAISIE!$E202="","",SAISIE!$E202)</f>
        <v/>
      </c>
      <c r="E197" t="str">
        <f>IF(SAISIE!$F202="","",SAISIE!$F202)</f>
        <v/>
      </c>
      <c r="F197" t="str">
        <f>IF(SAISIE!$G202="","",SAISIE!$G202)</f>
        <v/>
      </c>
      <c r="G197" t="str">
        <f>IF(SAISIE!$H202="","",SAISIE!$H202)</f>
        <v/>
      </c>
      <c r="H197" t="str">
        <f>IF(SAISIE!$I202="","",SAISIE!$I202)</f>
        <v/>
      </c>
      <c r="I197" t="str">
        <f>IF(SAISIE!$J202="","",SAISIE!$J202)</f>
        <v/>
      </c>
      <c r="J197" t="str">
        <f>IF(SAISIE!$K202="","",SAISIE!$K202)</f>
        <v/>
      </c>
      <c r="K197" t="str">
        <f>IF(SAISIE!$L202="","",SAISIE!$L202)</f>
        <v/>
      </c>
      <c r="L197" t="str">
        <f>IF(SAISIE!$M202="","",SAISIE!$M202)</f>
        <v/>
      </c>
      <c r="M197" t="str">
        <f>IF(SAISIE!$N202="","",SAISIE!$N202)</f>
        <v/>
      </c>
      <c r="N197" t="str">
        <f>IF(SAISIE!$O202="","",SAISIE!$O202)</f>
        <v/>
      </c>
      <c r="O197" t="str">
        <f>IF(SAISIE!$P202="","",SAISIE!$P202)</f>
        <v/>
      </c>
      <c r="P197" t="str">
        <f>IF(SAISIE!$Q202="","",SAISIE!$Q202)</f>
        <v/>
      </c>
      <c r="Q197" t="str">
        <f>IF($I197="","",IF($I197&gt;PARAMETRES!$G$29,5,IF($I197&gt;PARAMETRES!$F$29,4,IF($I197&gt;PARAMETRES!$E$29,3,IF($I197&gt;PARAMETRES!$D$29,2,1)))))</f>
        <v/>
      </c>
      <c r="R197" t="str">
        <f>IF($J197="","",IF($J197&gt;PARAMETRES!$G$30,5,IF($J197&gt;PARAMETRES!$F$30,4,IF($J197&gt;PARAMETRES!$E$30,3,IF($J197&gt;PARAMETRES!$D$30,2,1)))))</f>
        <v/>
      </c>
      <c r="S197" t="str">
        <f>IF($K197="","",IF($Z197=2,IF($K197&gt;PARAMETRES!$G$31,5,IF($K197&gt;PARAMETRES!$F$31,4,IF($K197&gt;PARAMETRES!$E$31,3,IF($K197&gt;PARAMETRES!$D$31,2,1)))),IF($K197&gt;PARAMETRES!$G$32,5,IF($K197&gt;PARAMETRES!$F$32,4,IF($K197&gt;PARAMETRES!$E$32,3,IF($K197&gt;PARAMETRES!$D$32,2,1))))))</f>
        <v/>
      </c>
      <c r="T197" t="str">
        <f>IF($L197="","",IF($L197&gt;PARAMETRES!$G$33,5,IF($L197&gt;PARAMETRES!$F$33,4,IF($L197&gt;PARAMETRES!$E$33,3,IF($L197&gt;PARAMETRES!$D$33,2,1)))))</f>
        <v/>
      </c>
      <c r="U197" t="str">
        <f>IF($M197="","",IF($M197&gt;PARAMETRES!$G$34,5,IF($M197&gt;PARAMETRES!$F$34,4,IF($M197&gt;PARAMETRES!$E$34,3,IF($M197&gt;PARAMETRES!$D$34,2,1)))))</f>
        <v/>
      </c>
      <c r="V197" t="str">
        <f>IF($N197="","",IF($N197&gt;PARAMETRES!$G$35,5,IF($N197&gt;PARAMETRES!$F$35,4,IF($N197&gt;PARAMETRES!$E$35,3,IF($N197&gt;PARAMETRES!$D$35,2,1)))))</f>
        <v/>
      </c>
      <c r="W197" t="str">
        <f>IF($O197="","",IF($O197&gt;PARAMETRES!$G$36,5,IF($O197&gt;PARAMETRES!$F$36,4,IF($O197&gt;PARAMETRES!$E$36,3,IF($O197&gt;PARAMETRES!$D$36,2,1)))))</f>
        <v/>
      </c>
      <c r="X197" t="str">
        <f>IF($P197="","",IF($P197&gt;PARAMETRES!$G$37,5,IF($P197&gt;PARAMETRES!$F$37,4,IF($P197&gt;PARAMETRES!$E$37,3,IF($P197&gt;PARAMETRES!$D$37,2,1)))))</f>
        <v/>
      </c>
      <c r="Y197" t="str">
        <f t="shared" si="72"/>
        <v/>
      </c>
      <c r="Z197" t="str">
        <f>IFERROR(VLOOKUP($B197,TABLE_CYCLE,2,0),"")</f>
        <v/>
      </c>
      <c r="AA197" t="str">
        <f t="shared" si="73"/>
        <v/>
      </c>
      <c r="AB197" t="str">
        <f>IF($D197="","",IF(COUNTIF($D$2:$D197,$D197)=1,$D197,""))</f>
        <v/>
      </c>
      <c r="AC197">
        <f t="shared" si="74"/>
        <v>0</v>
      </c>
      <c r="AD197" t="str">
        <f t="shared" si="75"/>
        <v>|0</v>
      </c>
      <c r="AE197" t="str">
        <f t="shared" si="76"/>
        <v/>
      </c>
      <c r="AF197" t="str">
        <f t="shared" si="77"/>
        <v/>
      </c>
      <c r="AG197" t="str">
        <f t="shared" si="78"/>
        <v/>
      </c>
      <c r="AH197" t="str">
        <f t="shared" si="79"/>
        <v/>
      </c>
      <c r="AI197" t="str">
        <f t="shared" si="80"/>
        <v/>
      </c>
      <c r="AJ197" t="str">
        <f t="shared" si="81"/>
        <v/>
      </c>
      <c r="AK197" t="str">
        <f t="shared" si="82"/>
        <v/>
      </c>
      <c r="AL197" t="str">
        <f t="shared" si="83"/>
        <v/>
      </c>
      <c r="AM197" t="str">
        <f t="shared" si="84"/>
        <v/>
      </c>
      <c r="AN197" t="str">
        <f t="shared" si="85"/>
        <v/>
      </c>
      <c r="AO197" t="str">
        <f t="shared" si="86"/>
        <v/>
      </c>
      <c r="AP197">
        <f t="shared" si="87"/>
        <v>1</v>
      </c>
      <c r="AQ197" t="str">
        <f>IF(SAISIE!$F202="","",SAISIE!$Y202)</f>
        <v/>
      </c>
      <c r="AR197" t="str">
        <f>IF(OR(SAISIE!$U$4="",SAISIE!$W$4=""),"",IF(AND($A197=SAISIE!$U$4,$B197=SAISIE!$W$4,$C197="S1"),COUNTIFS($A$2:$A197,SAISIE!$U$4,$B$2:$B197,SAISIE!$W$4,$C$2:$C197,"S1"),""))</f>
        <v/>
      </c>
      <c r="AS197" t="str">
        <f t="shared" si="88"/>
        <v/>
      </c>
      <c r="AT197" t="str">
        <f t="shared" si="89"/>
        <v/>
      </c>
      <c r="AU197" t="str">
        <f t="shared" si="90"/>
        <v/>
      </c>
      <c r="AV197">
        <f>N(AV196)+IF(AND($AB197&lt;&gt;"",OR('PROFIL ELEVE'!$K$4="(Tous)",$AF197='PROFIL ELEVE'!$K$4)),1,0)</f>
        <v>0</v>
      </c>
      <c r="AW197">
        <f>N(AW196)+IF(AND($AB197&lt;&gt;"",OR('SUIVI LONGITUDINAL'!$Q$4="(Tous)",$AF197='SUIVI LONGITUDINAL'!$Q$4)),1,0)</f>
        <v>0</v>
      </c>
      <c r="AX197">
        <f t="shared" si="91"/>
        <v>0</v>
      </c>
      <c r="AY197">
        <f t="shared" si="92"/>
        <v>0</v>
      </c>
      <c r="AZ197">
        <f t="shared" si="93"/>
        <v>0</v>
      </c>
      <c r="BA197" t="str">
        <f t="shared" si="94"/>
        <v/>
      </c>
      <c r="BB197" t="str">
        <f t="shared" si="95"/>
        <v/>
      </c>
    </row>
    <row r="198" spans="1:54" ht="14.25" customHeight="1" x14ac:dyDescent="0.3">
      <c r="A198" t="str">
        <f>IF(SAISIE!$F203="","",SAISIE!$B203)</f>
        <v/>
      </c>
      <c r="B198" t="str">
        <f>IF(SAISIE!$F203="","",SAISIE!$C203)</f>
        <v/>
      </c>
      <c r="C198" t="str">
        <f>IF(SAISIE!$F203="","",SAISIE!$D203)</f>
        <v/>
      </c>
      <c r="D198" t="str">
        <f>IF(SAISIE!$E203="","",SAISIE!$E203)</f>
        <v/>
      </c>
      <c r="E198" t="str">
        <f>IF(SAISIE!$F203="","",SAISIE!$F203)</f>
        <v/>
      </c>
      <c r="F198" t="str">
        <f>IF(SAISIE!$G203="","",SAISIE!$G203)</f>
        <v/>
      </c>
      <c r="G198" t="str">
        <f>IF(SAISIE!$H203="","",SAISIE!$H203)</f>
        <v/>
      </c>
      <c r="H198" t="str">
        <f>IF(SAISIE!$I203="","",SAISIE!$I203)</f>
        <v/>
      </c>
      <c r="I198" t="str">
        <f>IF(SAISIE!$J203="","",SAISIE!$J203)</f>
        <v/>
      </c>
      <c r="J198" t="str">
        <f>IF(SAISIE!$K203="","",SAISIE!$K203)</f>
        <v/>
      </c>
      <c r="K198" t="str">
        <f>IF(SAISIE!$L203="","",SAISIE!$L203)</f>
        <v/>
      </c>
      <c r="L198" t="str">
        <f>IF(SAISIE!$M203="","",SAISIE!$M203)</f>
        <v/>
      </c>
      <c r="M198" t="str">
        <f>IF(SAISIE!$N203="","",SAISIE!$N203)</f>
        <v/>
      </c>
      <c r="N198" t="str">
        <f>IF(SAISIE!$O203="","",SAISIE!$O203)</f>
        <v/>
      </c>
      <c r="O198" t="str">
        <f>IF(SAISIE!$P203="","",SAISIE!$P203)</f>
        <v/>
      </c>
      <c r="P198" t="str">
        <f>IF(SAISIE!$Q203="","",SAISIE!$Q203)</f>
        <v/>
      </c>
      <c r="Q198" t="str">
        <f>IF($I198="","",IF($I198&gt;PARAMETRES!$G$29,5,IF($I198&gt;PARAMETRES!$F$29,4,IF($I198&gt;PARAMETRES!$E$29,3,IF($I198&gt;PARAMETRES!$D$29,2,1)))))</f>
        <v/>
      </c>
      <c r="R198" t="str">
        <f>IF($J198="","",IF($J198&gt;PARAMETRES!$G$30,5,IF($J198&gt;PARAMETRES!$F$30,4,IF($J198&gt;PARAMETRES!$E$30,3,IF($J198&gt;PARAMETRES!$D$30,2,1)))))</f>
        <v/>
      </c>
      <c r="S198" t="str">
        <f>IF($K198="","",IF($Z198=2,IF($K198&gt;PARAMETRES!$G$31,5,IF($K198&gt;PARAMETRES!$F$31,4,IF($K198&gt;PARAMETRES!$E$31,3,IF($K198&gt;PARAMETRES!$D$31,2,1)))),IF($K198&gt;PARAMETRES!$G$32,5,IF($K198&gt;PARAMETRES!$F$32,4,IF($K198&gt;PARAMETRES!$E$32,3,IF($K198&gt;PARAMETRES!$D$32,2,1))))))</f>
        <v/>
      </c>
      <c r="T198" t="str">
        <f>IF($L198="","",IF($L198&gt;PARAMETRES!$G$33,5,IF($L198&gt;PARAMETRES!$F$33,4,IF($L198&gt;PARAMETRES!$E$33,3,IF($L198&gt;PARAMETRES!$D$33,2,1)))))</f>
        <v/>
      </c>
      <c r="U198" t="str">
        <f>IF($M198="","",IF($M198&gt;PARAMETRES!$G$34,5,IF($M198&gt;PARAMETRES!$F$34,4,IF($M198&gt;PARAMETRES!$E$34,3,IF($M198&gt;PARAMETRES!$D$34,2,1)))))</f>
        <v/>
      </c>
      <c r="V198" t="str">
        <f>IF($N198="","",IF($N198&gt;PARAMETRES!$G$35,5,IF($N198&gt;PARAMETRES!$F$35,4,IF($N198&gt;PARAMETRES!$E$35,3,IF($N198&gt;PARAMETRES!$D$35,2,1)))))</f>
        <v/>
      </c>
      <c r="W198" t="str">
        <f>IF($O198="","",IF($O198&gt;PARAMETRES!$G$36,5,IF($O198&gt;PARAMETRES!$F$36,4,IF($O198&gt;PARAMETRES!$E$36,3,IF($O198&gt;PARAMETRES!$D$36,2,1)))))</f>
        <v/>
      </c>
      <c r="X198" t="str">
        <f>IF($P198="","",IF($P198&gt;PARAMETRES!$G$37,5,IF($P198&gt;PARAMETRES!$F$37,4,IF($P198&gt;PARAMETRES!$E$37,3,IF($P198&gt;PARAMETRES!$D$37,2,1)))))</f>
        <v/>
      </c>
      <c r="Y198" t="str">
        <f t="shared" si="72"/>
        <v/>
      </c>
      <c r="Z198" t="str">
        <f>IFERROR(VLOOKUP($B198,TABLE_CYCLE,2,0),"")</f>
        <v/>
      </c>
      <c r="AA198" t="str">
        <f t="shared" si="73"/>
        <v/>
      </c>
      <c r="AB198" t="str">
        <f>IF($D198="","",IF(COUNTIF($D$2:$D198,$D198)=1,$D198,""))</f>
        <v/>
      </c>
      <c r="AC198">
        <f t="shared" si="74"/>
        <v>0</v>
      </c>
      <c r="AD198" t="str">
        <f t="shared" si="75"/>
        <v>|0</v>
      </c>
      <c r="AE198" t="str">
        <f t="shared" si="76"/>
        <v/>
      </c>
      <c r="AF198" t="str">
        <f t="shared" si="77"/>
        <v/>
      </c>
      <c r="AG198" t="str">
        <f t="shared" si="78"/>
        <v/>
      </c>
      <c r="AH198" t="str">
        <f t="shared" si="79"/>
        <v/>
      </c>
      <c r="AI198" t="str">
        <f t="shared" si="80"/>
        <v/>
      </c>
      <c r="AJ198" t="str">
        <f t="shared" si="81"/>
        <v/>
      </c>
      <c r="AK198" t="str">
        <f t="shared" si="82"/>
        <v/>
      </c>
      <c r="AL198" t="str">
        <f t="shared" si="83"/>
        <v/>
      </c>
      <c r="AM198" t="str">
        <f t="shared" si="84"/>
        <v/>
      </c>
      <c r="AN198" t="str">
        <f t="shared" si="85"/>
        <v/>
      </c>
      <c r="AO198" t="str">
        <f t="shared" si="86"/>
        <v/>
      </c>
      <c r="AP198">
        <f t="shared" si="87"/>
        <v>1</v>
      </c>
      <c r="AQ198" t="str">
        <f>IF(SAISIE!$F203="","",SAISIE!$Y203)</f>
        <v/>
      </c>
      <c r="AR198" t="str">
        <f>IF(OR(SAISIE!$U$4="",SAISIE!$W$4=""),"",IF(AND($A198=SAISIE!$U$4,$B198=SAISIE!$W$4,$C198="S1"),COUNTIFS($A$2:$A198,SAISIE!$U$4,$B$2:$B198,SAISIE!$W$4,$C$2:$C198,"S1"),""))</f>
        <v/>
      </c>
      <c r="AS198" t="str">
        <f t="shared" si="88"/>
        <v/>
      </c>
      <c r="AT198" t="str">
        <f t="shared" si="89"/>
        <v/>
      </c>
      <c r="AU198" t="str">
        <f t="shared" si="90"/>
        <v/>
      </c>
      <c r="AV198">
        <f>N(AV197)+IF(AND($AB198&lt;&gt;"",OR('PROFIL ELEVE'!$K$4="(Tous)",$AF198='PROFIL ELEVE'!$K$4)),1,0)</f>
        <v>0</v>
      </c>
      <c r="AW198">
        <f>N(AW197)+IF(AND($AB198&lt;&gt;"",OR('SUIVI LONGITUDINAL'!$Q$4="(Tous)",$AF198='SUIVI LONGITUDINAL'!$Q$4)),1,0)</f>
        <v>0</v>
      </c>
      <c r="AX198">
        <f t="shared" si="91"/>
        <v>0</v>
      </c>
      <c r="AY198">
        <f t="shared" si="92"/>
        <v>0</v>
      </c>
      <c r="AZ198">
        <f t="shared" si="93"/>
        <v>0</v>
      </c>
      <c r="BA198" t="str">
        <f t="shared" si="94"/>
        <v/>
      </c>
      <c r="BB198" t="str">
        <f t="shared" si="95"/>
        <v/>
      </c>
    </row>
    <row r="199" spans="1:54" ht="14.25" customHeight="1" x14ac:dyDescent="0.3">
      <c r="A199" t="str">
        <f>IF(SAISIE!$F204="","",SAISIE!$B204)</f>
        <v/>
      </c>
      <c r="B199" t="str">
        <f>IF(SAISIE!$F204="","",SAISIE!$C204)</f>
        <v/>
      </c>
      <c r="C199" t="str">
        <f>IF(SAISIE!$F204="","",SAISIE!$D204)</f>
        <v/>
      </c>
      <c r="D199" t="str">
        <f>IF(SAISIE!$E204="","",SAISIE!$E204)</f>
        <v/>
      </c>
      <c r="E199" t="str">
        <f>IF(SAISIE!$F204="","",SAISIE!$F204)</f>
        <v/>
      </c>
      <c r="F199" t="str">
        <f>IF(SAISIE!$G204="","",SAISIE!$G204)</f>
        <v/>
      </c>
      <c r="G199" t="str">
        <f>IF(SAISIE!$H204="","",SAISIE!$H204)</f>
        <v/>
      </c>
      <c r="H199" t="str">
        <f>IF(SAISIE!$I204="","",SAISIE!$I204)</f>
        <v/>
      </c>
      <c r="I199" t="str">
        <f>IF(SAISIE!$J204="","",SAISIE!$J204)</f>
        <v/>
      </c>
      <c r="J199" t="str">
        <f>IF(SAISIE!$K204="","",SAISIE!$K204)</f>
        <v/>
      </c>
      <c r="K199" t="str">
        <f>IF(SAISIE!$L204="","",SAISIE!$L204)</f>
        <v/>
      </c>
      <c r="L199" t="str">
        <f>IF(SAISIE!$M204="","",SAISIE!$M204)</f>
        <v/>
      </c>
      <c r="M199" t="str">
        <f>IF(SAISIE!$N204="","",SAISIE!$N204)</f>
        <v/>
      </c>
      <c r="N199" t="str">
        <f>IF(SAISIE!$O204="","",SAISIE!$O204)</f>
        <v/>
      </c>
      <c r="O199" t="str">
        <f>IF(SAISIE!$P204="","",SAISIE!$P204)</f>
        <v/>
      </c>
      <c r="P199" t="str">
        <f>IF(SAISIE!$Q204="","",SAISIE!$Q204)</f>
        <v/>
      </c>
      <c r="Q199" t="str">
        <f>IF($I199="","",IF($I199&gt;PARAMETRES!$G$29,5,IF($I199&gt;PARAMETRES!$F$29,4,IF($I199&gt;PARAMETRES!$E$29,3,IF($I199&gt;PARAMETRES!$D$29,2,1)))))</f>
        <v/>
      </c>
      <c r="R199" t="str">
        <f>IF($J199="","",IF($J199&gt;PARAMETRES!$G$30,5,IF($J199&gt;PARAMETRES!$F$30,4,IF($J199&gt;PARAMETRES!$E$30,3,IF($J199&gt;PARAMETRES!$D$30,2,1)))))</f>
        <v/>
      </c>
      <c r="S199" t="str">
        <f>IF($K199="","",IF($Z199=2,IF($K199&gt;PARAMETRES!$G$31,5,IF($K199&gt;PARAMETRES!$F$31,4,IF($K199&gt;PARAMETRES!$E$31,3,IF($K199&gt;PARAMETRES!$D$31,2,1)))),IF($K199&gt;PARAMETRES!$G$32,5,IF($K199&gt;PARAMETRES!$F$32,4,IF($K199&gt;PARAMETRES!$E$32,3,IF($K199&gt;PARAMETRES!$D$32,2,1))))))</f>
        <v/>
      </c>
      <c r="T199" t="str">
        <f>IF($L199="","",IF($L199&gt;PARAMETRES!$G$33,5,IF($L199&gt;PARAMETRES!$F$33,4,IF($L199&gt;PARAMETRES!$E$33,3,IF($L199&gt;PARAMETRES!$D$33,2,1)))))</f>
        <v/>
      </c>
      <c r="U199" t="str">
        <f>IF($M199="","",IF($M199&gt;PARAMETRES!$G$34,5,IF($M199&gt;PARAMETRES!$F$34,4,IF($M199&gt;PARAMETRES!$E$34,3,IF($M199&gt;PARAMETRES!$D$34,2,1)))))</f>
        <v/>
      </c>
      <c r="V199" t="str">
        <f>IF($N199="","",IF($N199&gt;PARAMETRES!$G$35,5,IF($N199&gt;PARAMETRES!$F$35,4,IF($N199&gt;PARAMETRES!$E$35,3,IF($N199&gt;PARAMETRES!$D$35,2,1)))))</f>
        <v/>
      </c>
      <c r="W199" t="str">
        <f>IF($O199="","",IF($O199&gt;PARAMETRES!$G$36,5,IF($O199&gt;PARAMETRES!$F$36,4,IF($O199&gt;PARAMETRES!$E$36,3,IF($O199&gt;PARAMETRES!$D$36,2,1)))))</f>
        <v/>
      </c>
      <c r="X199" t="str">
        <f>IF($P199="","",IF($P199&gt;PARAMETRES!$G$37,5,IF($P199&gt;PARAMETRES!$F$37,4,IF($P199&gt;PARAMETRES!$E$37,3,IF($P199&gt;PARAMETRES!$D$37,2,1)))))</f>
        <v/>
      </c>
      <c r="Y199" t="str">
        <f t="shared" si="72"/>
        <v/>
      </c>
      <c r="Z199" t="str">
        <f>IFERROR(VLOOKUP($B199,TABLE_CYCLE,2,0),"")</f>
        <v/>
      </c>
      <c r="AA199" t="str">
        <f t="shared" si="73"/>
        <v/>
      </c>
      <c r="AB199" t="str">
        <f>IF($D199="","",IF(COUNTIF($D$2:$D199,$D199)=1,$D199,""))</f>
        <v/>
      </c>
      <c r="AC199">
        <f t="shared" si="74"/>
        <v>0</v>
      </c>
      <c r="AD199" t="str">
        <f t="shared" si="75"/>
        <v>|0</v>
      </c>
      <c r="AE199" t="str">
        <f t="shared" si="76"/>
        <v/>
      </c>
      <c r="AF199" t="str">
        <f t="shared" si="77"/>
        <v/>
      </c>
      <c r="AG199" t="str">
        <f t="shared" si="78"/>
        <v/>
      </c>
      <c r="AH199" t="str">
        <f t="shared" si="79"/>
        <v/>
      </c>
      <c r="AI199" t="str">
        <f t="shared" si="80"/>
        <v/>
      </c>
      <c r="AJ199" t="str">
        <f t="shared" si="81"/>
        <v/>
      </c>
      <c r="AK199" t="str">
        <f t="shared" si="82"/>
        <v/>
      </c>
      <c r="AL199" t="str">
        <f t="shared" si="83"/>
        <v/>
      </c>
      <c r="AM199" t="str">
        <f t="shared" si="84"/>
        <v/>
      </c>
      <c r="AN199" t="str">
        <f t="shared" si="85"/>
        <v/>
      </c>
      <c r="AO199" t="str">
        <f t="shared" si="86"/>
        <v/>
      </c>
      <c r="AP199">
        <f t="shared" si="87"/>
        <v>1</v>
      </c>
      <c r="AQ199" t="str">
        <f>IF(SAISIE!$F204="","",SAISIE!$Y204)</f>
        <v/>
      </c>
      <c r="AR199" t="str">
        <f>IF(OR(SAISIE!$U$4="",SAISIE!$W$4=""),"",IF(AND($A199=SAISIE!$U$4,$B199=SAISIE!$W$4,$C199="S1"),COUNTIFS($A$2:$A199,SAISIE!$U$4,$B$2:$B199,SAISIE!$W$4,$C$2:$C199,"S1"),""))</f>
        <v/>
      </c>
      <c r="AS199" t="str">
        <f t="shared" si="88"/>
        <v/>
      </c>
      <c r="AT199" t="str">
        <f t="shared" si="89"/>
        <v/>
      </c>
      <c r="AU199" t="str">
        <f t="shared" si="90"/>
        <v/>
      </c>
      <c r="AV199">
        <f>N(AV198)+IF(AND($AB199&lt;&gt;"",OR('PROFIL ELEVE'!$K$4="(Tous)",$AF199='PROFIL ELEVE'!$K$4)),1,0)</f>
        <v>0</v>
      </c>
      <c r="AW199">
        <f>N(AW198)+IF(AND($AB199&lt;&gt;"",OR('SUIVI LONGITUDINAL'!$Q$4="(Tous)",$AF199='SUIVI LONGITUDINAL'!$Q$4)),1,0)</f>
        <v>0</v>
      </c>
      <c r="AX199">
        <f t="shared" si="91"/>
        <v>0</v>
      </c>
      <c r="AY199">
        <f t="shared" si="92"/>
        <v>0</v>
      </c>
      <c r="AZ199">
        <f t="shared" si="93"/>
        <v>0</v>
      </c>
      <c r="BA199" t="str">
        <f t="shared" si="94"/>
        <v/>
      </c>
      <c r="BB199" t="str">
        <f t="shared" si="95"/>
        <v/>
      </c>
    </row>
    <row r="200" spans="1:54" ht="14.25" customHeight="1" x14ac:dyDescent="0.3">
      <c r="A200" t="str">
        <f>IF(SAISIE!$F205="","",SAISIE!$B205)</f>
        <v/>
      </c>
      <c r="B200" t="str">
        <f>IF(SAISIE!$F205="","",SAISIE!$C205)</f>
        <v/>
      </c>
      <c r="C200" t="str">
        <f>IF(SAISIE!$F205="","",SAISIE!$D205)</f>
        <v/>
      </c>
      <c r="D200" t="str">
        <f>IF(SAISIE!$E205="","",SAISIE!$E205)</f>
        <v/>
      </c>
      <c r="E200" t="str">
        <f>IF(SAISIE!$F205="","",SAISIE!$F205)</f>
        <v/>
      </c>
      <c r="F200" t="str">
        <f>IF(SAISIE!$G205="","",SAISIE!$G205)</f>
        <v/>
      </c>
      <c r="G200" t="str">
        <f>IF(SAISIE!$H205="","",SAISIE!$H205)</f>
        <v/>
      </c>
      <c r="H200" t="str">
        <f>IF(SAISIE!$I205="","",SAISIE!$I205)</f>
        <v/>
      </c>
      <c r="I200" t="str">
        <f>IF(SAISIE!$J205="","",SAISIE!$J205)</f>
        <v/>
      </c>
      <c r="J200" t="str">
        <f>IF(SAISIE!$K205="","",SAISIE!$K205)</f>
        <v/>
      </c>
      <c r="K200" t="str">
        <f>IF(SAISIE!$L205="","",SAISIE!$L205)</f>
        <v/>
      </c>
      <c r="L200" t="str">
        <f>IF(SAISIE!$M205="","",SAISIE!$M205)</f>
        <v/>
      </c>
      <c r="M200" t="str">
        <f>IF(SAISIE!$N205="","",SAISIE!$N205)</f>
        <v/>
      </c>
      <c r="N200" t="str">
        <f>IF(SAISIE!$O205="","",SAISIE!$O205)</f>
        <v/>
      </c>
      <c r="O200" t="str">
        <f>IF(SAISIE!$P205="","",SAISIE!$P205)</f>
        <v/>
      </c>
      <c r="P200" t="str">
        <f>IF(SAISIE!$Q205="","",SAISIE!$Q205)</f>
        <v/>
      </c>
      <c r="Q200" t="str">
        <f>IF($I200="","",IF($I200&gt;PARAMETRES!$G$29,5,IF($I200&gt;PARAMETRES!$F$29,4,IF($I200&gt;PARAMETRES!$E$29,3,IF($I200&gt;PARAMETRES!$D$29,2,1)))))</f>
        <v/>
      </c>
      <c r="R200" t="str">
        <f>IF($J200="","",IF($J200&gt;PARAMETRES!$G$30,5,IF($J200&gt;PARAMETRES!$F$30,4,IF($J200&gt;PARAMETRES!$E$30,3,IF($J200&gt;PARAMETRES!$D$30,2,1)))))</f>
        <v/>
      </c>
      <c r="S200" t="str">
        <f>IF($K200="","",IF($Z200=2,IF($K200&gt;PARAMETRES!$G$31,5,IF($K200&gt;PARAMETRES!$F$31,4,IF($K200&gt;PARAMETRES!$E$31,3,IF($K200&gt;PARAMETRES!$D$31,2,1)))),IF($K200&gt;PARAMETRES!$G$32,5,IF($K200&gt;PARAMETRES!$F$32,4,IF($K200&gt;PARAMETRES!$E$32,3,IF($K200&gt;PARAMETRES!$D$32,2,1))))))</f>
        <v/>
      </c>
      <c r="T200" t="str">
        <f>IF($L200="","",IF($L200&gt;PARAMETRES!$G$33,5,IF($L200&gt;PARAMETRES!$F$33,4,IF($L200&gt;PARAMETRES!$E$33,3,IF($L200&gt;PARAMETRES!$D$33,2,1)))))</f>
        <v/>
      </c>
      <c r="U200" t="str">
        <f>IF($M200="","",IF($M200&gt;PARAMETRES!$G$34,5,IF($M200&gt;PARAMETRES!$F$34,4,IF($M200&gt;PARAMETRES!$E$34,3,IF($M200&gt;PARAMETRES!$D$34,2,1)))))</f>
        <v/>
      </c>
      <c r="V200" t="str">
        <f>IF($N200="","",IF($N200&gt;PARAMETRES!$G$35,5,IF($N200&gt;PARAMETRES!$F$35,4,IF($N200&gt;PARAMETRES!$E$35,3,IF($N200&gt;PARAMETRES!$D$35,2,1)))))</f>
        <v/>
      </c>
      <c r="W200" t="str">
        <f>IF($O200="","",IF($O200&gt;PARAMETRES!$G$36,5,IF($O200&gt;PARAMETRES!$F$36,4,IF($O200&gt;PARAMETRES!$E$36,3,IF($O200&gt;PARAMETRES!$D$36,2,1)))))</f>
        <v/>
      </c>
      <c r="X200" t="str">
        <f>IF($P200="","",IF($P200&gt;PARAMETRES!$G$37,5,IF($P200&gt;PARAMETRES!$F$37,4,IF($P200&gt;PARAMETRES!$E$37,3,IF($P200&gt;PARAMETRES!$D$37,2,1)))))</f>
        <v/>
      </c>
      <c r="Y200" t="str">
        <f t="shared" si="72"/>
        <v/>
      </c>
      <c r="Z200" t="str">
        <f>IFERROR(VLOOKUP($B200,TABLE_CYCLE,2,0),"")</f>
        <v/>
      </c>
      <c r="AA200" t="str">
        <f t="shared" si="73"/>
        <v/>
      </c>
      <c r="AB200" t="str">
        <f>IF($D200="","",IF(COUNTIF($D$2:$D200,$D200)=1,$D200,""))</f>
        <v/>
      </c>
      <c r="AC200">
        <f t="shared" si="74"/>
        <v>0</v>
      </c>
      <c r="AD200" t="str">
        <f t="shared" si="75"/>
        <v>|0</v>
      </c>
      <c r="AE200" t="str">
        <f t="shared" si="76"/>
        <v/>
      </c>
      <c r="AF200" t="str">
        <f t="shared" si="77"/>
        <v/>
      </c>
      <c r="AG200" t="str">
        <f t="shared" si="78"/>
        <v/>
      </c>
      <c r="AH200" t="str">
        <f t="shared" si="79"/>
        <v/>
      </c>
      <c r="AI200" t="str">
        <f t="shared" si="80"/>
        <v/>
      </c>
      <c r="AJ200" t="str">
        <f t="shared" si="81"/>
        <v/>
      </c>
      <c r="AK200" t="str">
        <f t="shared" si="82"/>
        <v/>
      </c>
      <c r="AL200" t="str">
        <f t="shared" si="83"/>
        <v/>
      </c>
      <c r="AM200" t="str">
        <f t="shared" si="84"/>
        <v/>
      </c>
      <c r="AN200" t="str">
        <f t="shared" si="85"/>
        <v/>
      </c>
      <c r="AO200" t="str">
        <f t="shared" si="86"/>
        <v/>
      </c>
      <c r="AP200">
        <f t="shared" si="87"/>
        <v>1</v>
      </c>
      <c r="AQ200" t="str">
        <f>IF(SAISIE!$F205="","",SAISIE!$Y205)</f>
        <v/>
      </c>
      <c r="AR200" t="str">
        <f>IF(OR(SAISIE!$U$4="",SAISIE!$W$4=""),"",IF(AND($A200=SAISIE!$U$4,$B200=SAISIE!$W$4,$C200="S1"),COUNTIFS($A$2:$A200,SAISIE!$U$4,$B$2:$B200,SAISIE!$W$4,$C$2:$C200,"S1"),""))</f>
        <v/>
      </c>
      <c r="AS200" t="str">
        <f t="shared" si="88"/>
        <v/>
      </c>
      <c r="AT200" t="str">
        <f t="shared" si="89"/>
        <v/>
      </c>
      <c r="AU200" t="str">
        <f t="shared" si="90"/>
        <v/>
      </c>
      <c r="AV200">
        <f>N(AV199)+IF(AND($AB200&lt;&gt;"",OR('PROFIL ELEVE'!$K$4="(Tous)",$AF200='PROFIL ELEVE'!$K$4)),1,0)</f>
        <v>0</v>
      </c>
      <c r="AW200">
        <f>N(AW199)+IF(AND($AB200&lt;&gt;"",OR('SUIVI LONGITUDINAL'!$Q$4="(Tous)",$AF200='SUIVI LONGITUDINAL'!$Q$4)),1,0)</f>
        <v>0</v>
      </c>
      <c r="AX200">
        <f t="shared" si="91"/>
        <v>0</v>
      </c>
      <c r="AY200">
        <f t="shared" si="92"/>
        <v>0</v>
      </c>
      <c r="AZ200">
        <f t="shared" si="93"/>
        <v>0</v>
      </c>
      <c r="BA200" t="str">
        <f t="shared" si="94"/>
        <v/>
      </c>
      <c r="BB200" t="str">
        <f t="shared" si="95"/>
        <v/>
      </c>
    </row>
    <row r="201" spans="1:54" ht="14.25" customHeight="1" x14ac:dyDescent="0.3">
      <c r="A201" t="str">
        <f>IF(SAISIE!$F206="","",SAISIE!$B206)</f>
        <v/>
      </c>
      <c r="B201" t="str">
        <f>IF(SAISIE!$F206="","",SAISIE!$C206)</f>
        <v/>
      </c>
      <c r="C201" t="str">
        <f>IF(SAISIE!$F206="","",SAISIE!$D206)</f>
        <v/>
      </c>
      <c r="D201" t="str">
        <f>IF(SAISIE!$E206="","",SAISIE!$E206)</f>
        <v/>
      </c>
      <c r="E201" t="str">
        <f>IF(SAISIE!$F206="","",SAISIE!$F206)</f>
        <v/>
      </c>
      <c r="F201" t="str">
        <f>IF(SAISIE!$G206="","",SAISIE!$G206)</f>
        <v/>
      </c>
      <c r="G201" t="str">
        <f>IF(SAISIE!$H206="","",SAISIE!$H206)</f>
        <v/>
      </c>
      <c r="H201" t="str">
        <f>IF(SAISIE!$I206="","",SAISIE!$I206)</f>
        <v/>
      </c>
      <c r="I201" t="str">
        <f>IF(SAISIE!$J206="","",SAISIE!$J206)</f>
        <v/>
      </c>
      <c r="J201" t="str">
        <f>IF(SAISIE!$K206="","",SAISIE!$K206)</f>
        <v/>
      </c>
      <c r="K201" t="str">
        <f>IF(SAISIE!$L206="","",SAISIE!$L206)</f>
        <v/>
      </c>
      <c r="L201" t="str">
        <f>IF(SAISIE!$M206="","",SAISIE!$M206)</f>
        <v/>
      </c>
      <c r="M201" t="str">
        <f>IF(SAISIE!$N206="","",SAISIE!$N206)</f>
        <v/>
      </c>
      <c r="N201" t="str">
        <f>IF(SAISIE!$O206="","",SAISIE!$O206)</f>
        <v/>
      </c>
      <c r="O201" t="str">
        <f>IF(SAISIE!$P206="","",SAISIE!$P206)</f>
        <v/>
      </c>
      <c r="P201" t="str">
        <f>IF(SAISIE!$Q206="","",SAISIE!$Q206)</f>
        <v/>
      </c>
      <c r="Q201" t="str">
        <f>IF($I201="","",IF($I201&gt;PARAMETRES!$G$29,5,IF($I201&gt;PARAMETRES!$F$29,4,IF($I201&gt;PARAMETRES!$E$29,3,IF($I201&gt;PARAMETRES!$D$29,2,1)))))</f>
        <v/>
      </c>
      <c r="R201" t="str">
        <f>IF($J201="","",IF($J201&gt;PARAMETRES!$G$30,5,IF($J201&gt;PARAMETRES!$F$30,4,IF($J201&gt;PARAMETRES!$E$30,3,IF($J201&gt;PARAMETRES!$D$30,2,1)))))</f>
        <v/>
      </c>
      <c r="S201" t="str">
        <f>IF($K201="","",IF($Z201=2,IF($K201&gt;PARAMETRES!$G$31,5,IF($K201&gt;PARAMETRES!$F$31,4,IF($K201&gt;PARAMETRES!$E$31,3,IF($K201&gt;PARAMETRES!$D$31,2,1)))),IF($K201&gt;PARAMETRES!$G$32,5,IF($K201&gt;PARAMETRES!$F$32,4,IF($K201&gt;PARAMETRES!$E$32,3,IF($K201&gt;PARAMETRES!$D$32,2,1))))))</f>
        <v/>
      </c>
      <c r="T201" t="str">
        <f>IF($L201="","",IF($L201&gt;PARAMETRES!$G$33,5,IF($L201&gt;PARAMETRES!$F$33,4,IF($L201&gt;PARAMETRES!$E$33,3,IF($L201&gt;PARAMETRES!$D$33,2,1)))))</f>
        <v/>
      </c>
      <c r="U201" t="str">
        <f>IF($M201="","",IF($M201&gt;PARAMETRES!$G$34,5,IF($M201&gt;PARAMETRES!$F$34,4,IF($M201&gt;PARAMETRES!$E$34,3,IF($M201&gt;PARAMETRES!$D$34,2,1)))))</f>
        <v/>
      </c>
      <c r="V201" t="str">
        <f>IF($N201="","",IF($N201&gt;PARAMETRES!$G$35,5,IF($N201&gt;PARAMETRES!$F$35,4,IF($N201&gt;PARAMETRES!$E$35,3,IF($N201&gt;PARAMETRES!$D$35,2,1)))))</f>
        <v/>
      </c>
      <c r="W201" t="str">
        <f>IF($O201="","",IF($O201&gt;PARAMETRES!$G$36,5,IF($O201&gt;PARAMETRES!$F$36,4,IF($O201&gt;PARAMETRES!$E$36,3,IF($O201&gt;PARAMETRES!$D$36,2,1)))))</f>
        <v/>
      </c>
      <c r="X201" t="str">
        <f>IF($P201="","",IF($P201&gt;PARAMETRES!$G$37,5,IF($P201&gt;PARAMETRES!$F$37,4,IF($P201&gt;PARAMETRES!$E$37,3,IF($P201&gt;PARAMETRES!$D$37,2,1)))))</f>
        <v/>
      </c>
      <c r="Y201" t="str">
        <f t="shared" si="72"/>
        <v/>
      </c>
      <c r="Z201" t="str">
        <f>IFERROR(VLOOKUP($B201,TABLE_CYCLE,2,0),"")</f>
        <v/>
      </c>
      <c r="AA201" t="str">
        <f t="shared" si="73"/>
        <v/>
      </c>
      <c r="AB201" t="str">
        <f>IF($D201="","",IF(COUNTIF($D$2:$D201,$D201)=1,$D201,""))</f>
        <v/>
      </c>
      <c r="AC201">
        <f t="shared" si="74"/>
        <v>0</v>
      </c>
      <c r="AD201" t="str">
        <f t="shared" si="75"/>
        <v>|0</v>
      </c>
      <c r="AE201" t="str">
        <f t="shared" si="76"/>
        <v/>
      </c>
      <c r="AF201" t="str">
        <f t="shared" si="77"/>
        <v/>
      </c>
      <c r="AG201" t="str">
        <f t="shared" si="78"/>
        <v/>
      </c>
      <c r="AH201" t="str">
        <f t="shared" si="79"/>
        <v/>
      </c>
      <c r="AI201" t="str">
        <f t="shared" si="80"/>
        <v/>
      </c>
      <c r="AJ201" t="str">
        <f t="shared" si="81"/>
        <v/>
      </c>
      <c r="AK201" t="str">
        <f t="shared" si="82"/>
        <v/>
      </c>
      <c r="AL201" t="str">
        <f t="shared" si="83"/>
        <v/>
      </c>
      <c r="AM201" t="str">
        <f t="shared" si="84"/>
        <v/>
      </c>
      <c r="AN201" t="str">
        <f t="shared" si="85"/>
        <v/>
      </c>
      <c r="AO201" t="str">
        <f t="shared" si="86"/>
        <v/>
      </c>
      <c r="AP201">
        <f t="shared" si="87"/>
        <v>1</v>
      </c>
      <c r="AQ201" t="str">
        <f>IF(SAISIE!$F206="","",SAISIE!$Y206)</f>
        <v/>
      </c>
      <c r="AR201" t="str">
        <f>IF(OR(SAISIE!$U$4="",SAISIE!$W$4=""),"",IF(AND($A201=SAISIE!$U$4,$B201=SAISIE!$W$4,$C201="S1"),COUNTIFS($A$2:$A201,SAISIE!$U$4,$B$2:$B201,SAISIE!$W$4,$C$2:$C201,"S1"),""))</f>
        <v/>
      </c>
      <c r="AS201" t="str">
        <f t="shared" si="88"/>
        <v/>
      </c>
      <c r="AT201" t="str">
        <f t="shared" si="89"/>
        <v/>
      </c>
      <c r="AU201" t="str">
        <f t="shared" si="90"/>
        <v/>
      </c>
      <c r="AV201">
        <f>N(AV200)+IF(AND($AB201&lt;&gt;"",OR('PROFIL ELEVE'!$K$4="(Tous)",$AF201='PROFIL ELEVE'!$K$4)),1,0)</f>
        <v>0</v>
      </c>
      <c r="AW201">
        <f>N(AW200)+IF(AND($AB201&lt;&gt;"",OR('SUIVI LONGITUDINAL'!$Q$4="(Tous)",$AF201='SUIVI LONGITUDINAL'!$Q$4)),1,0)</f>
        <v>0</v>
      </c>
      <c r="AX201">
        <f t="shared" si="91"/>
        <v>0</v>
      </c>
      <c r="AY201">
        <f t="shared" si="92"/>
        <v>0</v>
      </c>
      <c r="AZ201">
        <f t="shared" si="93"/>
        <v>0</v>
      </c>
      <c r="BA201" t="str">
        <f t="shared" si="94"/>
        <v/>
      </c>
      <c r="BB201" t="str">
        <f t="shared" si="95"/>
        <v/>
      </c>
    </row>
    <row r="202" spans="1:54" ht="14.25" customHeight="1" x14ac:dyDescent="0.3">
      <c r="A202" t="str">
        <f>IF(SAISIE!$F207="","",SAISIE!$B207)</f>
        <v/>
      </c>
      <c r="B202" t="str">
        <f>IF(SAISIE!$F207="","",SAISIE!$C207)</f>
        <v/>
      </c>
      <c r="C202" t="str">
        <f>IF(SAISIE!$F207="","",SAISIE!$D207)</f>
        <v/>
      </c>
      <c r="D202" t="str">
        <f>IF(SAISIE!$E207="","",SAISIE!$E207)</f>
        <v/>
      </c>
      <c r="E202" t="str">
        <f>IF(SAISIE!$F207="","",SAISIE!$F207)</f>
        <v/>
      </c>
      <c r="F202" t="str">
        <f>IF(SAISIE!$G207="","",SAISIE!$G207)</f>
        <v/>
      </c>
      <c r="G202" t="str">
        <f>IF(SAISIE!$H207="","",SAISIE!$H207)</f>
        <v/>
      </c>
      <c r="H202" t="str">
        <f>IF(SAISIE!$I207="","",SAISIE!$I207)</f>
        <v/>
      </c>
      <c r="I202" t="str">
        <f>IF(SAISIE!$J207="","",SAISIE!$J207)</f>
        <v/>
      </c>
      <c r="J202" t="str">
        <f>IF(SAISIE!$K207="","",SAISIE!$K207)</f>
        <v/>
      </c>
      <c r="K202" t="str">
        <f>IF(SAISIE!$L207="","",SAISIE!$L207)</f>
        <v/>
      </c>
      <c r="L202" t="str">
        <f>IF(SAISIE!$M207="","",SAISIE!$M207)</f>
        <v/>
      </c>
      <c r="M202" t="str">
        <f>IF(SAISIE!$N207="","",SAISIE!$N207)</f>
        <v/>
      </c>
      <c r="N202" t="str">
        <f>IF(SAISIE!$O207="","",SAISIE!$O207)</f>
        <v/>
      </c>
      <c r="O202" t="str">
        <f>IF(SAISIE!$P207="","",SAISIE!$P207)</f>
        <v/>
      </c>
      <c r="P202" t="str">
        <f>IF(SAISIE!$Q207="","",SAISIE!$Q207)</f>
        <v/>
      </c>
      <c r="Q202" t="str">
        <f>IF($I202="","",IF($I202&gt;PARAMETRES!$G$29,5,IF($I202&gt;PARAMETRES!$F$29,4,IF($I202&gt;PARAMETRES!$E$29,3,IF($I202&gt;PARAMETRES!$D$29,2,1)))))</f>
        <v/>
      </c>
      <c r="R202" t="str">
        <f>IF($J202="","",IF($J202&gt;PARAMETRES!$G$30,5,IF($J202&gt;PARAMETRES!$F$30,4,IF($J202&gt;PARAMETRES!$E$30,3,IF($J202&gt;PARAMETRES!$D$30,2,1)))))</f>
        <v/>
      </c>
      <c r="S202" t="str">
        <f>IF($K202="","",IF($Z202=2,IF($K202&gt;PARAMETRES!$G$31,5,IF($K202&gt;PARAMETRES!$F$31,4,IF($K202&gt;PARAMETRES!$E$31,3,IF($K202&gt;PARAMETRES!$D$31,2,1)))),IF($K202&gt;PARAMETRES!$G$32,5,IF($K202&gt;PARAMETRES!$F$32,4,IF($K202&gt;PARAMETRES!$E$32,3,IF($K202&gt;PARAMETRES!$D$32,2,1))))))</f>
        <v/>
      </c>
      <c r="T202" t="str">
        <f>IF($L202="","",IF($L202&gt;PARAMETRES!$G$33,5,IF($L202&gt;PARAMETRES!$F$33,4,IF($L202&gt;PARAMETRES!$E$33,3,IF($L202&gt;PARAMETRES!$D$33,2,1)))))</f>
        <v/>
      </c>
      <c r="U202" t="str">
        <f>IF($M202="","",IF($M202&gt;PARAMETRES!$G$34,5,IF($M202&gt;PARAMETRES!$F$34,4,IF($M202&gt;PARAMETRES!$E$34,3,IF($M202&gt;PARAMETRES!$D$34,2,1)))))</f>
        <v/>
      </c>
      <c r="V202" t="str">
        <f>IF($N202="","",IF($N202&gt;PARAMETRES!$G$35,5,IF($N202&gt;PARAMETRES!$F$35,4,IF($N202&gt;PARAMETRES!$E$35,3,IF($N202&gt;PARAMETRES!$D$35,2,1)))))</f>
        <v/>
      </c>
      <c r="W202" t="str">
        <f>IF($O202="","",IF($O202&gt;PARAMETRES!$G$36,5,IF($O202&gt;PARAMETRES!$F$36,4,IF($O202&gt;PARAMETRES!$E$36,3,IF($O202&gt;PARAMETRES!$D$36,2,1)))))</f>
        <v/>
      </c>
      <c r="X202" t="str">
        <f>IF($P202="","",IF($P202&gt;PARAMETRES!$G$37,5,IF($P202&gt;PARAMETRES!$F$37,4,IF($P202&gt;PARAMETRES!$E$37,3,IF($P202&gt;PARAMETRES!$D$37,2,1)))))</f>
        <v/>
      </c>
      <c r="Y202" t="str">
        <f t="shared" si="72"/>
        <v/>
      </c>
      <c r="Z202" t="str">
        <f>IFERROR(VLOOKUP($B202,TABLE_CYCLE,2,0),"")</f>
        <v/>
      </c>
      <c r="AA202" t="str">
        <f t="shared" si="73"/>
        <v/>
      </c>
      <c r="AB202" t="str">
        <f>IF($D202="","",IF(COUNTIF($D$2:$D202,$D202)=1,$D202,""))</f>
        <v/>
      </c>
      <c r="AC202">
        <f t="shared" si="74"/>
        <v>0</v>
      </c>
      <c r="AD202" t="str">
        <f t="shared" si="75"/>
        <v>|0</v>
      </c>
      <c r="AE202" t="str">
        <f t="shared" si="76"/>
        <v/>
      </c>
      <c r="AF202" t="str">
        <f t="shared" si="77"/>
        <v/>
      </c>
      <c r="AG202" t="str">
        <f t="shared" si="78"/>
        <v/>
      </c>
      <c r="AH202" t="str">
        <f t="shared" si="79"/>
        <v/>
      </c>
      <c r="AI202" t="str">
        <f t="shared" si="80"/>
        <v/>
      </c>
      <c r="AJ202" t="str">
        <f t="shared" si="81"/>
        <v/>
      </c>
      <c r="AK202" t="str">
        <f t="shared" si="82"/>
        <v/>
      </c>
      <c r="AL202" t="str">
        <f t="shared" si="83"/>
        <v/>
      </c>
      <c r="AM202" t="str">
        <f t="shared" si="84"/>
        <v/>
      </c>
      <c r="AN202" t="str">
        <f t="shared" si="85"/>
        <v/>
      </c>
      <c r="AO202" t="str">
        <f t="shared" si="86"/>
        <v/>
      </c>
      <c r="AP202">
        <f t="shared" si="87"/>
        <v>1</v>
      </c>
      <c r="AQ202" t="str">
        <f>IF(SAISIE!$F207="","",SAISIE!$Y207)</f>
        <v/>
      </c>
      <c r="AR202" t="str">
        <f>IF(OR(SAISIE!$U$4="",SAISIE!$W$4=""),"",IF(AND($A202=SAISIE!$U$4,$B202=SAISIE!$W$4,$C202="S1"),COUNTIFS($A$2:$A202,SAISIE!$U$4,$B$2:$B202,SAISIE!$W$4,$C$2:$C202,"S1"),""))</f>
        <v/>
      </c>
      <c r="AS202" t="str">
        <f t="shared" si="88"/>
        <v/>
      </c>
      <c r="AT202" t="str">
        <f t="shared" si="89"/>
        <v/>
      </c>
      <c r="AU202" t="str">
        <f t="shared" si="90"/>
        <v/>
      </c>
      <c r="AV202">
        <f>N(AV201)+IF(AND($AB202&lt;&gt;"",OR('PROFIL ELEVE'!$K$4="(Tous)",$AF202='PROFIL ELEVE'!$K$4)),1,0)</f>
        <v>0</v>
      </c>
      <c r="AW202">
        <f>N(AW201)+IF(AND($AB202&lt;&gt;"",OR('SUIVI LONGITUDINAL'!$Q$4="(Tous)",$AF202='SUIVI LONGITUDINAL'!$Q$4)),1,0)</f>
        <v>0</v>
      </c>
      <c r="AX202">
        <f t="shared" si="91"/>
        <v>0</v>
      </c>
      <c r="AY202">
        <f t="shared" si="92"/>
        <v>0</v>
      </c>
      <c r="AZ202">
        <f t="shared" si="93"/>
        <v>0</v>
      </c>
      <c r="BA202" t="str">
        <f t="shared" si="94"/>
        <v/>
      </c>
      <c r="BB202" t="str">
        <f t="shared" si="95"/>
        <v/>
      </c>
    </row>
    <row r="203" spans="1:54" ht="14.25" customHeight="1" x14ac:dyDescent="0.3">
      <c r="A203" t="str">
        <f>IF(SAISIE!$F208="","",SAISIE!$B208)</f>
        <v/>
      </c>
      <c r="B203" t="str">
        <f>IF(SAISIE!$F208="","",SAISIE!$C208)</f>
        <v/>
      </c>
      <c r="C203" t="str">
        <f>IF(SAISIE!$F208="","",SAISIE!$D208)</f>
        <v/>
      </c>
      <c r="D203" t="str">
        <f>IF(SAISIE!$E208="","",SAISIE!$E208)</f>
        <v/>
      </c>
      <c r="E203" t="str">
        <f>IF(SAISIE!$F208="","",SAISIE!$F208)</f>
        <v/>
      </c>
      <c r="F203" t="str">
        <f>IF(SAISIE!$G208="","",SAISIE!$G208)</f>
        <v/>
      </c>
      <c r="G203" t="str">
        <f>IF(SAISIE!$H208="","",SAISIE!$H208)</f>
        <v/>
      </c>
      <c r="H203" t="str">
        <f>IF(SAISIE!$I208="","",SAISIE!$I208)</f>
        <v/>
      </c>
      <c r="I203" t="str">
        <f>IF(SAISIE!$J208="","",SAISIE!$J208)</f>
        <v/>
      </c>
      <c r="J203" t="str">
        <f>IF(SAISIE!$K208="","",SAISIE!$K208)</f>
        <v/>
      </c>
      <c r="K203" t="str">
        <f>IF(SAISIE!$L208="","",SAISIE!$L208)</f>
        <v/>
      </c>
      <c r="L203" t="str">
        <f>IF(SAISIE!$M208="","",SAISIE!$M208)</f>
        <v/>
      </c>
      <c r="M203" t="str">
        <f>IF(SAISIE!$N208="","",SAISIE!$N208)</f>
        <v/>
      </c>
      <c r="N203" t="str">
        <f>IF(SAISIE!$O208="","",SAISIE!$O208)</f>
        <v/>
      </c>
      <c r="O203" t="str">
        <f>IF(SAISIE!$P208="","",SAISIE!$P208)</f>
        <v/>
      </c>
      <c r="P203" t="str">
        <f>IF(SAISIE!$Q208="","",SAISIE!$Q208)</f>
        <v/>
      </c>
      <c r="Q203" t="str">
        <f>IF($I203="","",IF($I203&gt;PARAMETRES!$G$29,5,IF($I203&gt;PARAMETRES!$F$29,4,IF($I203&gt;PARAMETRES!$E$29,3,IF($I203&gt;PARAMETRES!$D$29,2,1)))))</f>
        <v/>
      </c>
      <c r="R203" t="str">
        <f>IF($J203="","",IF($J203&gt;PARAMETRES!$G$30,5,IF($J203&gt;PARAMETRES!$F$30,4,IF($J203&gt;PARAMETRES!$E$30,3,IF($J203&gt;PARAMETRES!$D$30,2,1)))))</f>
        <v/>
      </c>
      <c r="S203" t="str">
        <f>IF($K203="","",IF($Z203=2,IF($K203&gt;PARAMETRES!$G$31,5,IF($K203&gt;PARAMETRES!$F$31,4,IF($K203&gt;PARAMETRES!$E$31,3,IF($K203&gt;PARAMETRES!$D$31,2,1)))),IF($K203&gt;PARAMETRES!$G$32,5,IF($K203&gt;PARAMETRES!$F$32,4,IF($K203&gt;PARAMETRES!$E$32,3,IF($K203&gt;PARAMETRES!$D$32,2,1))))))</f>
        <v/>
      </c>
      <c r="T203" t="str">
        <f>IF($L203="","",IF($L203&gt;PARAMETRES!$G$33,5,IF($L203&gt;PARAMETRES!$F$33,4,IF($L203&gt;PARAMETRES!$E$33,3,IF($L203&gt;PARAMETRES!$D$33,2,1)))))</f>
        <v/>
      </c>
      <c r="U203" t="str">
        <f>IF($M203="","",IF($M203&gt;PARAMETRES!$G$34,5,IF($M203&gt;PARAMETRES!$F$34,4,IF($M203&gt;PARAMETRES!$E$34,3,IF($M203&gt;PARAMETRES!$D$34,2,1)))))</f>
        <v/>
      </c>
      <c r="V203" t="str">
        <f>IF($N203="","",IF($N203&gt;PARAMETRES!$G$35,5,IF($N203&gt;PARAMETRES!$F$35,4,IF($N203&gt;PARAMETRES!$E$35,3,IF($N203&gt;PARAMETRES!$D$35,2,1)))))</f>
        <v/>
      </c>
      <c r="W203" t="str">
        <f>IF($O203="","",IF($O203&gt;PARAMETRES!$G$36,5,IF($O203&gt;PARAMETRES!$F$36,4,IF($O203&gt;PARAMETRES!$E$36,3,IF($O203&gt;PARAMETRES!$D$36,2,1)))))</f>
        <v/>
      </c>
      <c r="X203" t="str">
        <f>IF($P203="","",IF($P203&gt;PARAMETRES!$G$37,5,IF($P203&gt;PARAMETRES!$F$37,4,IF($P203&gt;PARAMETRES!$E$37,3,IF($P203&gt;PARAMETRES!$D$37,2,1)))))</f>
        <v/>
      </c>
      <c r="Y203" t="str">
        <f t="shared" si="72"/>
        <v/>
      </c>
      <c r="Z203" t="str">
        <f>IFERROR(VLOOKUP($B203,TABLE_CYCLE,2,0),"")</f>
        <v/>
      </c>
      <c r="AA203" t="str">
        <f t="shared" si="73"/>
        <v/>
      </c>
      <c r="AB203" t="str">
        <f>IF($D203="","",IF(COUNTIF($D$2:$D203,$D203)=1,$D203,""))</f>
        <v/>
      </c>
      <c r="AC203">
        <f t="shared" si="74"/>
        <v>0</v>
      </c>
      <c r="AD203" t="str">
        <f t="shared" si="75"/>
        <v>|0</v>
      </c>
      <c r="AE203" t="str">
        <f t="shared" si="76"/>
        <v/>
      </c>
      <c r="AF203" t="str">
        <f t="shared" si="77"/>
        <v/>
      </c>
      <c r="AG203" t="str">
        <f t="shared" si="78"/>
        <v/>
      </c>
      <c r="AH203" t="str">
        <f t="shared" si="79"/>
        <v/>
      </c>
      <c r="AI203" t="str">
        <f t="shared" si="80"/>
        <v/>
      </c>
      <c r="AJ203" t="str">
        <f t="shared" si="81"/>
        <v/>
      </c>
      <c r="AK203" t="str">
        <f t="shared" si="82"/>
        <v/>
      </c>
      <c r="AL203" t="str">
        <f t="shared" si="83"/>
        <v/>
      </c>
      <c r="AM203" t="str">
        <f t="shared" si="84"/>
        <v/>
      </c>
      <c r="AN203" t="str">
        <f t="shared" si="85"/>
        <v/>
      </c>
      <c r="AO203" t="str">
        <f t="shared" si="86"/>
        <v/>
      </c>
      <c r="AP203">
        <f t="shared" si="87"/>
        <v>1</v>
      </c>
      <c r="AQ203" t="str">
        <f>IF(SAISIE!$F208="","",SAISIE!$Y208)</f>
        <v/>
      </c>
      <c r="AR203" t="str">
        <f>IF(OR(SAISIE!$U$4="",SAISIE!$W$4=""),"",IF(AND($A203=SAISIE!$U$4,$B203=SAISIE!$W$4,$C203="S1"),COUNTIFS($A$2:$A203,SAISIE!$U$4,$B$2:$B203,SAISIE!$W$4,$C$2:$C203,"S1"),""))</f>
        <v/>
      </c>
      <c r="AS203" t="str">
        <f t="shared" si="88"/>
        <v/>
      </c>
      <c r="AT203" t="str">
        <f t="shared" si="89"/>
        <v/>
      </c>
      <c r="AU203" t="str">
        <f t="shared" si="90"/>
        <v/>
      </c>
      <c r="AV203">
        <f>N(AV202)+IF(AND($AB203&lt;&gt;"",OR('PROFIL ELEVE'!$K$4="(Tous)",$AF203='PROFIL ELEVE'!$K$4)),1,0)</f>
        <v>0</v>
      </c>
      <c r="AW203">
        <f>N(AW202)+IF(AND($AB203&lt;&gt;"",OR('SUIVI LONGITUDINAL'!$Q$4="(Tous)",$AF203='SUIVI LONGITUDINAL'!$Q$4)),1,0)</f>
        <v>0</v>
      </c>
      <c r="AX203">
        <f t="shared" si="91"/>
        <v>0</v>
      </c>
      <c r="AY203">
        <f t="shared" si="92"/>
        <v>0</v>
      </c>
      <c r="AZ203">
        <f t="shared" si="93"/>
        <v>0</v>
      </c>
      <c r="BA203" t="str">
        <f t="shared" si="94"/>
        <v/>
      </c>
      <c r="BB203" t="str">
        <f t="shared" si="95"/>
        <v/>
      </c>
    </row>
    <row r="204" spans="1:54" ht="14.25" customHeight="1" x14ac:dyDescent="0.3">
      <c r="A204" t="str">
        <f>IF(SAISIE!$F209="","",SAISIE!$B209)</f>
        <v/>
      </c>
      <c r="B204" t="str">
        <f>IF(SAISIE!$F209="","",SAISIE!$C209)</f>
        <v/>
      </c>
      <c r="C204" t="str">
        <f>IF(SAISIE!$F209="","",SAISIE!$D209)</f>
        <v/>
      </c>
      <c r="D204" t="str">
        <f>IF(SAISIE!$E209="","",SAISIE!$E209)</f>
        <v/>
      </c>
      <c r="E204" t="str">
        <f>IF(SAISIE!$F209="","",SAISIE!$F209)</f>
        <v/>
      </c>
      <c r="F204" t="str">
        <f>IF(SAISIE!$G209="","",SAISIE!$G209)</f>
        <v/>
      </c>
      <c r="G204" t="str">
        <f>IF(SAISIE!$H209="","",SAISIE!$H209)</f>
        <v/>
      </c>
      <c r="H204" t="str">
        <f>IF(SAISIE!$I209="","",SAISIE!$I209)</f>
        <v/>
      </c>
      <c r="I204" t="str">
        <f>IF(SAISIE!$J209="","",SAISIE!$J209)</f>
        <v/>
      </c>
      <c r="J204" t="str">
        <f>IF(SAISIE!$K209="","",SAISIE!$K209)</f>
        <v/>
      </c>
      <c r="K204" t="str">
        <f>IF(SAISIE!$L209="","",SAISIE!$L209)</f>
        <v/>
      </c>
      <c r="L204" t="str">
        <f>IF(SAISIE!$M209="","",SAISIE!$M209)</f>
        <v/>
      </c>
      <c r="M204" t="str">
        <f>IF(SAISIE!$N209="","",SAISIE!$N209)</f>
        <v/>
      </c>
      <c r="N204" t="str">
        <f>IF(SAISIE!$O209="","",SAISIE!$O209)</f>
        <v/>
      </c>
      <c r="O204" t="str">
        <f>IF(SAISIE!$P209="","",SAISIE!$P209)</f>
        <v/>
      </c>
      <c r="P204" t="str">
        <f>IF(SAISIE!$Q209="","",SAISIE!$Q209)</f>
        <v/>
      </c>
      <c r="Q204" t="str">
        <f>IF($I204="","",IF($I204&gt;PARAMETRES!$G$29,5,IF($I204&gt;PARAMETRES!$F$29,4,IF($I204&gt;PARAMETRES!$E$29,3,IF($I204&gt;PARAMETRES!$D$29,2,1)))))</f>
        <v/>
      </c>
      <c r="R204" t="str">
        <f>IF($J204="","",IF($J204&gt;PARAMETRES!$G$30,5,IF($J204&gt;PARAMETRES!$F$30,4,IF($J204&gt;PARAMETRES!$E$30,3,IF($J204&gt;PARAMETRES!$D$30,2,1)))))</f>
        <v/>
      </c>
      <c r="S204" t="str">
        <f>IF($K204="","",IF($Z204=2,IF($K204&gt;PARAMETRES!$G$31,5,IF($K204&gt;PARAMETRES!$F$31,4,IF($K204&gt;PARAMETRES!$E$31,3,IF($K204&gt;PARAMETRES!$D$31,2,1)))),IF($K204&gt;PARAMETRES!$G$32,5,IF($K204&gt;PARAMETRES!$F$32,4,IF($K204&gt;PARAMETRES!$E$32,3,IF($K204&gt;PARAMETRES!$D$32,2,1))))))</f>
        <v/>
      </c>
      <c r="T204" t="str">
        <f>IF($L204="","",IF($L204&gt;PARAMETRES!$G$33,5,IF($L204&gt;PARAMETRES!$F$33,4,IF($L204&gt;PARAMETRES!$E$33,3,IF($L204&gt;PARAMETRES!$D$33,2,1)))))</f>
        <v/>
      </c>
      <c r="U204" t="str">
        <f>IF($M204="","",IF($M204&gt;PARAMETRES!$G$34,5,IF($M204&gt;PARAMETRES!$F$34,4,IF($M204&gt;PARAMETRES!$E$34,3,IF($M204&gt;PARAMETRES!$D$34,2,1)))))</f>
        <v/>
      </c>
      <c r="V204" t="str">
        <f>IF($N204="","",IF($N204&gt;PARAMETRES!$G$35,5,IF($N204&gt;PARAMETRES!$F$35,4,IF($N204&gt;PARAMETRES!$E$35,3,IF($N204&gt;PARAMETRES!$D$35,2,1)))))</f>
        <v/>
      </c>
      <c r="W204" t="str">
        <f>IF($O204="","",IF($O204&gt;PARAMETRES!$G$36,5,IF($O204&gt;PARAMETRES!$F$36,4,IF($O204&gt;PARAMETRES!$E$36,3,IF($O204&gt;PARAMETRES!$D$36,2,1)))))</f>
        <v/>
      </c>
      <c r="X204" t="str">
        <f>IF($P204="","",IF($P204&gt;PARAMETRES!$G$37,5,IF($P204&gt;PARAMETRES!$F$37,4,IF($P204&gt;PARAMETRES!$E$37,3,IF($P204&gt;PARAMETRES!$D$37,2,1)))))</f>
        <v/>
      </c>
      <c r="Y204" t="str">
        <f t="shared" si="72"/>
        <v/>
      </c>
      <c r="Z204" t="str">
        <f>IFERROR(VLOOKUP($B204,TABLE_CYCLE,2,0),"")</f>
        <v/>
      </c>
      <c r="AA204" t="str">
        <f t="shared" si="73"/>
        <v/>
      </c>
      <c r="AB204" t="str">
        <f>IF($D204="","",IF(COUNTIF($D$2:$D204,$D204)=1,$D204,""))</f>
        <v/>
      </c>
      <c r="AC204">
        <f t="shared" si="74"/>
        <v>0</v>
      </c>
      <c r="AD204" t="str">
        <f t="shared" si="75"/>
        <v>|0</v>
      </c>
      <c r="AE204" t="str">
        <f t="shared" si="76"/>
        <v/>
      </c>
      <c r="AF204" t="str">
        <f t="shared" si="77"/>
        <v/>
      </c>
      <c r="AG204" t="str">
        <f t="shared" si="78"/>
        <v/>
      </c>
      <c r="AH204" t="str">
        <f t="shared" si="79"/>
        <v/>
      </c>
      <c r="AI204" t="str">
        <f t="shared" si="80"/>
        <v/>
      </c>
      <c r="AJ204" t="str">
        <f t="shared" si="81"/>
        <v/>
      </c>
      <c r="AK204" t="str">
        <f t="shared" si="82"/>
        <v/>
      </c>
      <c r="AL204" t="str">
        <f t="shared" si="83"/>
        <v/>
      </c>
      <c r="AM204" t="str">
        <f t="shared" si="84"/>
        <v/>
      </c>
      <c r="AN204" t="str">
        <f t="shared" si="85"/>
        <v/>
      </c>
      <c r="AO204" t="str">
        <f t="shared" si="86"/>
        <v/>
      </c>
      <c r="AP204">
        <f t="shared" si="87"/>
        <v>1</v>
      </c>
      <c r="AQ204" t="str">
        <f>IF(SAISIE!$F209="","",SAISIE!$Y209)</f>
        <v/>
      </c>
      <c r="AR204" t="str">
        <f>IF(OR(SAISIE!$U$4="",SAISIE!$W$4=""),"",IF(AND($A204=SAISIE!$U$4,$B204=SAISIE!$W$4,$C204="S1"),COUNTIFS($A$2:$A204,SAISIE!$U$4,$B$2:$B204,SAISIE!$W$4,$C$2:$C204,"S1"),""))</f>
        <v/>
      </c>
      <c r="AS204" t="str">
        <f t="shared" si="88"/>
        <v/>
      </c>
      <c r="AT204" t="str">
        <f t="shared" si="89"/>
        <v/>
      </c>
      <c r="AU204" t="str">
        <f t="shared" si="90"/>
        <v/>
      </c>
      <c r="AV204">
        <f>N(AV203)+IF(AND($AB204&lt;&gt;"",OR('PROFIL ELEVE'!$K$4="(Tous)",$AF204='PROFIL ELEVE'!$K$4)),1,0)</f>
        <v>0</v>
      </c>
      <c r="AW204">
        <f>N(AW203)+IF(AND($AB204&lt;&gt;"",OR('SUIVI LONGITUDINAL'!$Q$4="(Tous)",$AF204='SUIVI LONGITUDINAL'!$Q$4)),1,0)</f>
        <v>0</v>
      </c>
      <c r="AX204">
        <f t="shared" si="91"/>
        <v>0</v>
      </c>
      <c r="AY204">
        <f t="shared" si="92"/>
        <v>0</v>
      </c>
      <c r="AZ204">
        <f t="shared" si="93"/>
        <v>0</v>
      </c>
      <c r="BA204" t="str">
        <f t="shared" si="94"/>
        <v/>
      </c>
      <c r="BB204" t="str">
        <f t="shared" si="95"/>
        <v/>
      </c>
    </row>
    <row r="205" spans="1:54" ht="14.25" customHeight="1" x14ac:dyDescent="0.3">
      <c r="A205" t="str">
        <f>IF(SAISIE!$F210="","",SAISIE!$B210)</f>
        <v/>
      </c>
      <c r="B205" t="str">
        <f>IF(SAISIE!$F210="","",SAISIE!$C210)</f>
        <v/>
      </c>
      <c r="C205" t="str">
        <f>IF(SAISIE!$F210="","",SAISIE!$D210)</f>
        <v/>
      </c>
      <c r="D205" t="str">
        <f>IF(SAISIE!$E210="","",SAISIE!$E210)</f>
        <v/>
      </c>
      <c r="E205" t="str">
        <f>IF(SAISIE!$F210="","",SAISIE!$F210)</f>
        <v/>
      </c>
      <c r="F205" t="str">
        <f>IF(SAISIE!$G210="","",SAISIE!$G210)</f>
        <v/>
      </c>
      <c r="G205" t="str">
        <f>IF(SAISIE!$H210="","",SAISIE!$H210)</f>
        <v/>
      </c>
      <c r="H205" t="str">
        <f>IF(SAISIE!$I210="","",SAISIE!$I210)</f>
        <v/>
      </c>
      <c r="I205" t="str">
        <f>IF(SAISIE!$J210="","",SAISIE!$J210)</f>
        <v/>
      </c>
      <c r="J205" t="str">
        <f>IF(SAISIE!$K210="","",SAISIE!$K210)</f>
        <v/>
      </c>
      <c r="K205" t="str">
        <f>IF(SAISIE!$L210="","",SAISIE!$L210)</f>
        <v/>
      </c>
      <c r="L205" t="str">
        <f>IF(SAISIE!$M210="","",SAISIE!$M210)</f>
        <v/>
      </c>
      <c r="M205" t="str">
        <f>IF(SAISIE!$N210="","",SAISIE!$N210)</f>
        <v/>
      </c>
      <c r="N205" t="str">
        <f>IF(SAISIE!$O210="","",SAISIE!$O210)</f>
        <v/>
      </c>
      <c r="O205" t="str">
        <f>IF(SAISIE!$P210="","",SAISIE!$P210)</f>
        <v/>
      </c>
      <c r="P205" t="str">
        <f>IF(SAISIE!$Q210="","",SAISIE!$Q210)</f>
        <v/>
      </c>
      <c r="Q205" t="str">
        <f>IF($I205="","",IF($I205&gt;PARAMETRES!$G$29,5,IF($I205&gt;PARAMETRES!$F$29,4,IF($I205&gt;PARAMETRES!$E$29,3,IF($I205&gt;PARAMETRES!$D$29,2,1)))))</f>
        <v/>
      </c>
      <c r="R205" t="str">
        <f>IF($J205="","",IF($J205&gt;PARAMETRES!$G$30,5,IF($J205&gt;PARAMETRES!$F$30,4,IF($J205&gt;PARAMETRES!$E$30,3,IF($J205&gt;PARAMETRES!$D$30,2,1)))))</f>
        <v/>
      </c>
      <c r="S205" t="str">
        <f>IF($K205="","",IF($Z205=2,IF($K205&gt;PARAMETRES!$G$31,5,IF($K205&gt;PARAMETRES!$F$31,4,IF($K205&gt;PARAMETRES!$E$31,3,IF($K205&gt;PARAMETRES!$D$31,2,1)))),IF($K205&gt;PARAMETRES!$G$32,5,IF($K205&gt;PARAMETRES!$F$32,4,IF($K205&gt;PARAMETRES!$E$32,3,IF($K205&gt;PARAMETRES!$D$32,2,1))))))</f>
        <v/>
      </c>
      <c r="T205" t="str">
        <f>IF($L205="","",IF($L205&gt;PARAMETRES!$G$33,5,IF($L205&gt;PARAMETRES!$F$33,4,IF($L205&gt;PARAMETRES!$E$33,3,IF($L205&gt;PARAMETRES!$D$33,2,1)))))</f>
        <v/>
      </c>
      <c r="U205" t="str">
        <f>IF($M205="","",IF($M205&gt;PARAMETRES!$G$34,5,IF($M205&gt;PARAMETRES!$F$34,4,IF($M205&gt;PARAMETRES!$E$34,3,IF($M205&gt;PARAMETRES!$D$34,2,1)))))</f>
        <v/>
      </c>
      <c r="V205" t="str">
        <f>IF($N205="","",IF($N205&gt;PARAMETRES!$G$35,5,IF($N205&gt;PARAMETRES!$F$35,4,IF($N205&gt;PARAMETRES!$E$35,3,IF($N205&gt;PARAMETRES!$D$35,2,1)))))</f>
        <v/>
      </c>
      <c r="W205" t="str">
        <f>IF($O205="","",IF($O205&gt;PARAMETRES!$G$36,5,IF($O205&gt;PARAMETRES!$F$36,4,IF($O205&gt;PARAMETRES!$E$36,3,IF($O205&gt;PARAMETRES!$D$36,2,1)))))</f>
        <v/>
      </c>
      <c r="X205" t="str">
        <f>IF($P205="","",IF($P205&gt;PARAMETRES!$G$37,5,IF($P205&gt;PARAMETRES!$F$37,4,IF($P205&gt;PARAMETRES!$E$37,3,IF($P205&gt;PARAMETRES!$D$37,2,1)))))</f>
        <v/>
      </c>
      <c r="Y205" t="str">
        <f t="shared" si="72"/>
        <v/>
      </c>
      <c r="Z205" t="str">
        <f>IFERROR(VLOOKUP($B205,TABLE_CYCLE,2,0),"")</f>
        <v/>
      </c>
      <c r="AA205" t="str">
        <f t="shared" si="73"/>
        <v/>
      </c>
      <c r="AB205" t="str">
        <f>IF($D205="","",IF(COUNTIF($D$2:$D205,$D205)=1,$D205,""))</f>
        <v/>
      </c>
      <c r="AC205">
        <f t="shared" si="74"/>
        <v>0</v>
      </c>
      <c r="AD205" t="str">
        <f t="shared" si="75"/>
        <v>|0</v>
      </c>
      <c r="AE205" t="str">
        <f t="shared" si="76"/>
        <v/>
      </c>
      <c r="AF205" t="str">
        <f t="shared" si="77"/>
        <v/>
      </c>
      <c r="AG205" t="str">
        <f t="shared" si="78"/>
        <v/>
      </c>
      <c r="AH205" t="str">
        <f t="shared" si="79"/>
        <v/>
      </c>
      <c r="AI205" t="str">
        <f t="shared" si="80"/>
        <v/>
      </c>
      <c r="AJ205" t="str">
        <f t="shared" si="81"/>
        <v/>
      </c>
      <c r="AK205" t="str">
        <f t="shared" si="82"/>
        <v/>
      </c>
      <c r="AL205" t="str">
        <f t="shared" si="83"/>
        <v/>
      </c>
      <c r="AM205" t="str">
        <f t="shared" si="84"/>
        <v/>
      </c>
      <c r="AN205" t="str">
        <f t="shared" si="85"/>
        <v/>
      </c>
      <c r="AO205" t="str">
        <f t="shared" si="86"/>
        <v/>
      </c>
      <c r="AP205">
        <f t="shared" si="87"/>
        <v>1</v>
      </c>
      <c r="AQ205" t="str">
        <f>IF(SAISIE!$F210="","",SAISIE!$Y210)</f>
        <v/>
      </c>
      <c r="AR205" t="str">
        <f>IF(OR(SAISIE!$U$4="",SAISIE!$W$4=""),"",IF(AND($A205=SAISIE!$U$4,$B205=SAISIE!$W$4,$C205="S1"),COUNTIFS($A$2:$A205,SAISIE!$U$4,$B$2:$B205,SAISIE!$W$4,$C$2:$C205,"S1"),""))</f>
        <v/>
      </c>
      <c r="AS205" t="str">
        <f t="shared" si="88"/>
        <v/>
      </c>
      <c r="AT205" t="str">
        <f t="shared" si="89"/>
        <v/>
      </c>
      <c r="AU205" t="str">
        <f t="shared" si="90"/>
        <v/>
      </c>
      <c r="AV205">
        <f>N(AV204)+IF(AND($AB205&lt;&gt;"",OR('PROFIL ELEVE'!$K$4="(Tous)",$AF205='PROFIL ELEVE'!$K$4)),1,0)</f>
        <v>0</v>
      </c>
      <c r="AW205">
        <f>N(AW204)+IF(AND($AB205&lt;&gt;"",OR('SUIVI LONGITUDINAL'!$Q$4="(Tous)",$AF205='SUIVI LONGITUDINAL'!$Q$4)),1,0)</f>
        <v>0</v>
      </c>
      <c r="AX205">
        <f t="shared" si="91"/>
        <v>0</v>
      </c>
      <c r="AY205">
        <f t="shared" si="92"/>
        <v>0</v>
      </c>
      <c r="AZ205">
        <f t="shared" si="93"/>
        <v>0</v>
      </c>
      <c r="BA205" t="str">
        <f t="shared" si="94"/>
        <v/>
      </c>
      <c r="BB205" t="str">
        <f t="shared" si="95"/>
        <v/>
      </c>
    </row>
    <row r="206" spans="1:54" ht="14.25" customHeight="1" x14ac:dyDescent="0.3">
      <c r="A206" t="str">
        <f>IF(SAISIE!$F211="","",SAISIE!$B211)</f>
        <v/>
      </c>
      <c r="B206" t="str">
        <f>IF(SAISIE!$F211="","",SAISIE!$C211)</f>
        <v/>
      </c>
      <c r="C206" t="str">
        <f>IF(SAISIE!$F211="","",SAISIE!$D211)</f>
        <v/>
      </c>
      <c r="D206" t="str">
        <f>IF(SAISIE!$E211="","",SAISIE!$E211)</f>
        <v/>
      </c>
      <c r="E206" t="str">
        <f>IF(SAISIE!$F211="","",SAISIE!$F211)</f>
        <v/>
      </c>
      <c r="F206" t="str">
        <f>IF(SAISIE!$G211="","",SAISIE!$G211)</f>
        <v/>
      </c>
      <c r="G206" t="str">
        <f>IF(SAISIE!$H211="","",SAISIE!$H211)</f>
        <v/>
      </c>
      <c r="H206" t="str">
        <f>IF(SAISIE!$I211="","",SAISIE!$I211)</f>
        <v/>
      </c>
      <c r="I206" t="str">
        <f>IF(SAISIE!$J211="","",SAISIE!$J211)</f>
        <v/>
      </c>
      <c r="J206" t="str">
        <f>IF(SAISIE!$K211="","",SAISIE!$K211)</f>
        <v/>
      </c>
      <c r="K206" t="str">
        <f>IF(SAISIE!$L211="","",SAISIE!$L211)</f>
        <v/>
      </c>
      <c r="L206" t="str">
        <f>IF(SAISIE!$M211="","",SAISIE!$M211)</f>
        <v/>
      </c>
      <c r="M206" t="str">
        <f>IF(SAISIE!$N211="","",SAISIE!$N211)</f>
        <v/>
      </c>
      <c r="N206" t="str">
        <f>IF(SAISIE!$O211="","",SAISIE!$O211)</f>
        <v/>
      </c>
      <c r="O206" t="str">
        <f>IF(SAISIE!$P211="","",SAISIE!$P211)</f>
        <v/>
      </c>
      <c r="P206" t="str">
        <f>IF(SAISIE!$Q211="","",SAISIE!$Q211)</f>
        <v/>
      </c>
      <c r="Q206" t="str">
        <f>IF($I206="","",IF($I206&gt;PARAMETRES!$G$29,5,IF($I206&gt;PARAMETRES!$F$29,4,IF($I206&gt;PARAMETRES!$E$29,3,IF($I206&gt;PARAMETRES!$D$29,2,1)))))</f>
        <v/>
      </c>
      <c r="R206" t="str">
        <f>IF($J206="","",IF($J206&gt;PARAMETRES!$G$30,5,IF($J206&gt;PARAMETRES!$F$30,4,IF($J206&gt;PARAMETRES!$E$30,3,IF($J206&gt;PARAMETRES!$D$30,2,1)))))</f>
        <v/>
      </c>
      <c r="S206" t="str">
        <f>IF($K206="","",IF($Z206=2,IF($K206&gt;PARAMETRES!$G$31,5,IF($K206&gt;PARAMETRES!$F$31,4,IF($K206&gt;PARAMETRES!$E$31,3,IF($K206&gt;PARAMETRES!$D$31,2,1)))),IF($K206&gt;PARAMETRES!$G$32,5,IF($K206&gt;PARAMETRES!$F$32,4,IF($K206&gt;PARAMETRES!$E$32,3,IF($K206&gt;PARAMETRES!$D$32,2,1))))))</f>
        <v/>
      </c>
      <c r="T206" t="str">
        <f>IF($L206="","",IF($L206&gt;PARAMETRES!$G$33,5,IF($L206&gt;PARAMETRES!$F$33,4,IF($L206&gt;PARAMETRES!$E$33,3,IF($L206&gt;PARAMETRES!$D$33,2,1)))))</f>
        <v/>
      </c>
      <c r="U206" t="str">
        <f>IF($M206="","",IF($M206&gt;PARAMETRES!$G$34,5,IF($M206&gt;PARAMETRES!$F$34,4,IF($M206&gt;PARAMETRES!$E$34,3,IF($M206&gt;PARAMETRES!$D$34,2,1)))))</f>
        <v/>
      </c>
      <c r="V206" t="str">
        <f>IF($N206="","",IF($N206&gt;PARAMETRES!$G$35,5,IF($N206&gt;PARAMETRES!$F$35,4,IF($N206&gt;PARAMETRES!$E$35,3,IF($N206&gt;PARAMETRES!$D$35,2,1)))))</f>
        <v/>
      </c>
      <c r="W206" t="str">
        <f>IF($O206="","",IF($O206&gt;PARAMETRES!$G$36,5,IF($O206&gt;PARAMETRES!$F$36,4,IF($O206&gt;PARAMETRES!$E$36,3,IF($O206&gt;PARAMETRES!$D$36,2,1)))))</f>
        <v/>
      </c>
      <c r="X206" t="str">
        <f>IF($P206="","",IF($P206&gt;PARAMETRES!$G$37,5,IF($P206&gt;PARAMETRES!$F$37,4,IF($P206&gt;PARAMETRES!$E$37,3,IF($P206&gt;PARAMETRES!$D$37,2,1)))))</f>
        <v/>
      </c>
      <c r="Y206" t="str">
        <f t="shared" si="72"/>
        <v/>
      </c>
      <c r="Z206" t="str">
        <f>IFERROR(VLOOKUP($B206,TABLE_CYCLE,2,0),"")</f>
        <v/>
      </c>
      <c r="AA206" t="str">
        <f t="shared" si="73"/>
        <v/>
      </c>
      <c r="AB206" t="str">
        <f>IF($D206="","",IF(COUNTIF($D$2:$D206,$D206)=1,$D206,""))</f>
        <v/>
      </c>
      <c r="AC206">
        <f t="shared" si="74"/>
        <v>0</v>
      </c>
      <c r="AD206" t="str">
        <f t="shared" si="75"/>
        <v>|0</v>
      </c>
      <c r="AE206" t="str">
        <f t="shared" si="76"/>
        <v/>
      </c>
      <c r="AF206" t="str">
        <f t="shared" si="77"/>
        <v/>
      </c>
      <c r="AG206" t="str">
        <f t="shared" si="78"/>
        <v/>
      </c>
      <c r="AH206" t="str">
        <f t="shared" si="79"/>
        <v/>
      </c>
      <c r="AI206" t="str">
        <f t="shared" si="80"/>
        <v/>
      </c>
      <c r="AJ206" t="str">
        <f t="shared" si="81"/>
        <v/>
      </c>
      <c r="AK206" t="str">
        <f t="shared" si="82"/>
        <v/>
      </c>
      <c r="AL206" t="str">
        <f t="shared" si="83"/>
        <v/>
      </c>
      <c r="AM206" t="str">
        <f t="shared" si="84"/>
        <v/>
      </c>
      <c r="AN206" t="str">
        <f t="shared" si="85"/>
        <v/>
      </c>
      <c r="AO206" t="str">
        <f t="shared" si="86"/>
        <v/>
      </c>
      <c r="AP206">
        <f t="shared" si="87"/>
        <v>1</v>
      </c>
      <c r="AQ206" t="str">
        <f>IF(SAISIE!$F211="","",SAISIE!$Y211)</f>
        <v/>
      </c>
      <c r="AR206" t="str">
        <f>IF(OR(SAISIE!$U$4="",SAISIE!$W$4=""),"",IF(AND($A206=SAISIE!$U$4,$B206=SAISIE!$W$4,$C206="S1"),COUNTIFS($A$2:$A206,SAISIE!$U$4,$B$2:$B206,SAISIE!$W$4,$C$2:$C206,"S1"),""))</f>
        <v/>
      </c>
      <c r="AS206" t="str">
        <f t="shared" si="88"/>
        <v/>
      </c>
      <c r="AT206" t="str">
        <f t="shared" si="89"/>
        <v/>
      </c>
      <c r="AU206" t="str">
        <f t="shared" si="90"/>
        <v/>
      </c>
      <c r="AV206">
        <f>N(AV205)+IF(AND($AB206&lt;&gt;"",OR('PROFIL ELEVE'!$K$4="(Tous)",$AF206='PROFIL ELEVE'!$K$4)),1,0)</f>
        <v>0</v>
      </c>
      <c r="AW206">
        <f>N(AW205)+IF(AND($AB206&lt;&gt;"",OR('SUIVI LONGITUDINAL'!$Q$4="(Tous)",$AF206='SUIVI LONGITUDINAL'!$Q$4)),1,0)</f>
        <v>0</v>
      </c>
      <c r="AX206">
        <f t="shared" si="91"/>
        <v>0</v>
      </c>
      <c r="AY206">
        <f t="shared" si="92"/>
        <v>0</v>
      </c>
      <c r="AZ206">
        <f t="shared" si="93"/>
        <v>0</v>
      </c>
      <c r="BA206" t="str">
        <f t="shared" si="94"/>
        <v/>
      </c>
      <c r="BB206" t="str">
        <f t="shared" si="95"/>
        <v/>
      </c>
    </row>
    <row r="207" spans="1:54" ht="14.25" customHeight="1" x14ac:dyDescent="0.3">
      <c r="A207" t="str">
        <f>IF(SAISIE!$F212="","",SAISIE!$B212)</f>
        <v/>
      </c>
      <c r="B207" t="str">
        <f>IF(SAISIE!$F212="","",SAISIE!$C212)</f>
        <v/>
      </c>
      <c r="C207" t="str">
        <f>IF(SAISIE!$F212="","",SAISIE!$D212)</f>
        <v/>
      </c>
      <c r="D207" t="str">
        <f>IF(SAISIE!$E212="","",SAISIE!$E212)</f>
        <v/>
      </c>
      <c r="E207" t="str">
        <f>IF(SAISIE!$F212="","",SAISIE!$F212)</f>
        <v/>
      </c>
      <c r="F207" t="str">
        <f>IF(SAISIE!$G212="","",SAISIE!$G212)</f>
        <v/>
      </c>
      <c r="G207" t="str">
        <f>IF(SAISIE!$H212="","",SAISIE!$H212)</f>
        <v/>
      </c>
      <c r="H207" t="str">
        <f>IF(SAISIE!$I212="","",SAISIE!$I212)</f>
        <v/>
      </c>
      <c r="I207" t="str">
        <f>IF(SAISIE!$J212="","",SAISIE!$J212)</f>
        <v/>
      </c>
      <c r="J207" t="str">
        <f>IF(SAISIE!$K212="","",SAISIE!$K212)</f>
        <v/>
      </c>
      <c r="K207" t="str">
        <f>IF(SAISIE!$L212="","",SAISIE!$L212)</f>
        <v/>
      </c>
      <c r="L207" t="str">
        <f>IF(SAISIE!$M212="","",SAISIE!$M212)</f>
        <v/>
      </c>
      <c r="M207" t="str">
        <f>IF(SAISIE!$N212="","",SAISIE!$N212)</f>
        <v/>
      </c>
      <c r="N207" t="str">
        <f>IF(SAISIE!$O212="","",SAISIE!$O212)</f>
        <v/>
      </c>
      <c r="O207" t="str">
        <f>IF(SAISIE!$P212="","",SAISIE!$P212)</f>
        <v/>
      </c>
      <c r="P207" t="str">
        <f>IF(SAISIE!$Q212="","",SAISIE!$Q212)</f>
        <v/>
      </c>
      <c r="Q207" t="str">
        <f>IF($I207="","",IF($I207&gt;PARAMETRES!$G$29,5,IF($I207&gt;PARAMETRES!$F$29,4,IF($I207&gt;PARAMETRES!$E$29,3,IF($I207&gt;PARAMETRES!$D$29,2,1)))))</f>
        <v/>
      </c>
      <c r="R207" t="str">
        <f>IF($J207="","",IF($J207&gt;PARAMETRES!$G$30,5,IF($J207&gt;PARAMETRES!$F$30,4,IF($J207&gt;PARAMETRES!$E$30,3,IF($J207&gt;PARAMETRES!$D$30,2,1)))))</f>
        <v/>
      </c>
      <c r="S207" t="str">
        <f>IF($K207="","",IF($Z207=2,IF($K207&gt;PARAMETRES!$G$31,5,IF($K207&gt;PARAMETRES!$F$31,4,IF($K207&gt;PARAMETRES!$E$31,3,IF($K207&gt;PARAMETRES!$D$31,2,1)))),IF($K207&gt;PARAMETRES!$G$32,5,IF($K207&gt;PARAMETRES!$F$32,4,IF($K207&gt;PARAMETRES!$E$32,3,IF($K207&gt;PARAMETRES!$D$32,2,1))))))</f>
        <v/>
      </c>
      <c r="T207" t="str">
        <f>IF($L207="","",IF($L207&gt;PARAMETRES!$G$33,5,IF($L207&gt;PARAMETRES!$F$33,4,IF($L207&gt;PARAMETRES!$E$33,3,IF($L207&gt;PARAMETRES!$D$33,2,1)))))</f>
        <v/>
      </c>
      <c r="U207" t="str">
        <f>IF($M207="","",IF($M207&gt;PARAMETRES!$G$34,5,IF($M207&gt;PARAMETRES!$F$34,4,IF($M207&gt;PARAMETRES!$E$34,3,IF($M207&gt;PARAMETRES!$D$34,2,1)))))</f>
        <v/>
      </c>
      <c r="V207" t="str">
        <f>IF($N207="","",IF($N207&gt;PARAMETRES!$G$35,5,IF($N207&gt;PARAMETRES!$F$35,4,IF($N207&gt;PARAMETRES!$E$35,3,IF($N207&gt;PARAMETRES!$D$35,2,1)))))</f>
        <v/>
      </c>
      <c r="W207" t="str">
        <f>IF($O207="","",IF($O207&gt;PARAMETRES!$G$36,5,IF($O207&gt;PARAMETRES!$F$36,4,IF($O207&gt;PARAMETRES!$E$36,3,IF($O207&gt;PARAMETRES!$D$36,2,1)))))</f>
        <v/>
      </c>
      <c r="X207" t="str">
        <f>IF($P207="","",IF($P207&gt;PARAMETRES!$G$37,5,IF($P207&gt;PARAMETRES!$F$37,4,IF($P207&gt;PARAMETRES!$E$37,3,IF($P207&gt;PARAMETRES!$D$37,2,1)))))</f>
        <v/>
      </c>
      <c r="Y207" t="str">
        <f t="shared" si="72"/>
        <v/>
      </c>
      <c r="Z207" t="str">
        <f>IFERROR(VLOOKUP($B207,TABLE_CYCLE,2,0),"")</f>
        <v/>
      </c>
      <c r="AA207" t="str">
        <f t="shared" si="73"/>
        <v/>
      </c>
      <c r="AB207" t="str">
        <f>IF($D207="","",IF(COUNTIF($D$2:$D207,$D207)=1,$D207,""))</f>
        <v/>
      </c>
      <c r="AC207">
        <f t="shared" si="74"/>
        <v>0</v>
      </c>
      <c r="AD207" t="str">
        <f t="shared" si="75"/>
        <v>|0</v>
      </c>
      <c r="AE207" t="str">
        <f t="shared" si="76"/>
        <v/>
      </c>
      <c r="AF207" t="str">
        <f t="shared" si="77"/>
        <v/>
      </c>
      <c r="AG207" t="str">
        <f t="shared" si="78"/>
        <v/>
      </c>
      <c r="AH207" t="str">
        <f t="shared" si="79"/>
        <v/>
      </c>
      <c r="AI207" t="str">
        <f t="shared" si="80"/>
        <v/>
      </c>
      <c r="AJ207" t="str">
        <f t="shared" si="81"/>
        <v/>
      </c>
      <c r="AK207" t="str">
        <f t="shared" si="82"/>
        <v/>
      </c>
      <c r="AL207" t="str">
        <f t="shared" si="83"/>
        <v/>
      </c>
      <c r="AM207" t="str">
        <f t="shared" si="84"/>
        <v/>
      </c>
      <c r="AN207" t="str">
        <f t="shared" si="85"/>
        <v/>
      </c>
      <c r="AO207" t="str">
        <f t="shared" si="86"/>
        <v/>
      </c>
      <c r="AP207">
        <f t="shared" si="87"/>
        <v>1</v>
      </c>
      <c r="AQ207" t="str">
        <f>IF(SAISIE!$F212="","",SAISIE!$Y212)</f>
        <v/>
      </c>
      <c r="AR207" t="str">
        <f>IF(OR(SAISIE!$U$4="",SAISIE!$W$4=""),"",IF(AND($A207=SAISIE!$U$4,$B207=SAISIE!$W$4,$C207="S1"),COUNTIFS($A$2:$A207,SAISIE!$U$4,$B$2:$B207,SAISIE!$W$4,$C$2:$C207,"S1"),""))</f>
        <v/>
      </c>
      <c r="AS207" t="str">
        <f t="shared" si="88"/>
        <v/>
      </c>
      <c r="AT207" t="str">
        <f t="shared" si="89"/>
        <v/>
      </c>
      <c r="AU207" t="str">
        <f t="shared" si="90"/>
        <v/>
      </c>
      <c r="AV207">
        <f>N(AV206)+IF(AND($AB207&lt;&gt;"",OR('PROFIL ELEVE'!$K$4="(Tous)",$AF207='PROFIL ELEVE'!$K$4)),1,0)</f>
        <v>0</v>
      </c>
      <c r="AW207">
        <f>N(AW206)+IF(AND($AB207&lt;&gt;"",OR('SUIVI LONGITUDINAL'!$Q$4="(Tous)",$AF207='SUIVI LONGITUDINAL'!$Q$4)),1,0)</f>
        <v>0</v>
      </c>
      <c r="AX207">
        <f t="shared" si="91"/>
        <v>0</v>
      </c>
      <c r="AY207">
        <f t="shared" si="92"/>
        <v>0</v>
      </c>
      <c r="AZ207">
        <f t="shared" si="93"/>
        <v>0</v>
      </c>
      <c r="BA207" t="str">
        <f t="shared" si="94"/>
        <v/>
      </c>
      <c r="BB207" t="str">
        <f t="shared" si="95"/>
        <v/>
      </c>
    </row>
    <row r="208" spans="1:54" ht="14.25" customHeight="1" x14ac:dyDescent="0.3">
      <c r="A208" t="str">
        <f>IF(SAISIE!$F213="","",SAISIE!$B213)</f>
        <v/>
      </c>
      <c r="B208" t="str">
        <f>IF(SAISIE!$F213="","",SAISIE!$C213)</f>
        <v/>
      </c>
      <c r="C208" t="str">
        <f>IF(SAISIE!$F213="","",SAISIE!$D213)</f>
        <v/>
      </c>
      <c r="D208" t="str">
        <f>IF(SAISIE!$E213="","",SAISIE!$E213)</f>
        <v/>
      </c>
      <c r="E208" t="str">
        <f>IF(SAISIE!$F213="","",SAISIE!$F213)</f>
        <v/>
      </c>
      <c r="F208" t="str">
        <f>IF(SAISIE!$G213="","",SAISIE!$G213)</f>
        <v/>
      </c>
      <c r="G208" t="str">
        <f>IF(SAISIE!$H213="","",SAISIE!$H213)</f>
        <v/>
      </c>
      <c r="H208" t="str">
        <f>IF(SAISIE!$I213="","",SAISIE!$I213)</f>
        <v/>
      </c>
      <c r="I208" t="str">
        <f>IF(SAISIE!$J213="","",SAISIE!$J213)</f>
        <v/>
      </c>
      <c r="J208" t="str">
        <f>IF(SAISIE!$K213="","",SAISIE!$K213)</f>
        <v/>
      </c>
      <c r="K208" t="str">
        <f>IF(SAISIE!$L213="","",SAISIE!$L213)</f>
        <v/>
      </c>
      <c r="L208" t="str">
        <f>IF(SAISIE!$M213="","",SAISIE!$M213)</f>
        <v/>
      </c>
      <c r="M208" t="str">
        <f>IF(SAISIE!$N213="","",SAISIE!$N213)</f>
        <v/>
      </c>
      <c r="N208" t="str">
        <f>IF(SAISIE!$O213="","",SAISIE!$O213)</f>
        <v/>
      </c>
      <c r="O208" t="str">
        <f>IF(SAISIE!$P213="","",SAISIE!$P213)</f>
        <v/>
      </c>
      <c r="P208" t="str">
        <f>IF(SAISIE!$Q213="","",SAISIE!$Q213)</f>
        <v/>
      </c>
      <c r="Q208" t="str">
        <f>IF($I208="","",IF($I208&gt;PARAMETRES!$G$29,5,IF($I208&gt;PARAMETRES!$F$29,4,IF($I208&gt;PARAMETRES!$E$29,3,IF($I208&gt;PARAMETRES!$D$29,2,1)))))</f>
        <v/>
      </c>
      <c r="R208" t="str">
        <f>IF($J208="","",IF($J208&gt;PARAMETRES!$G$30,5,IF($J208&gt;PARAMETRES!$F$30,4,IF($J208&gt;PARAMETRES!$E$30,3,IF($J208&gt;PARAMETRES!$D$30,2,1)))))</f>
        <v/>
      </c>
      <c r="S208" t="str">
        <f>IF($K208="","",IF($Z208=2,IF($K208&gt;PARAMETRES!$G$31,5,IF($K208&gt;PARAMETRES!$F$31,4,IF($K208&gt;PARAMETRES!$E$31,3,IF($K208&gt;PARAMETRES!$D$31,2,1)))),IF($K208&gt;PARAMETRES!$G$32,5,IF($K208&gt;PARAMETRES!$F$32,4,IF($K208&gt;PARAMETRES!$E$32,3,IF($K208&gt;PARAMETRES!$D$32,2,1))))))</f>
        <v/>
      </c>
      <c r="T208" t="str">
        <f>IF($L208="","",IF($L208&gt;PARAMETRES!$G$33,5,IF($L208&gt;PARAMETRES!$F$33,4,IF($L208&gt;PARAMETRES!$E$33,3,IF($L208&gt;PARAMETRES!$D$33,2,1)))))</f>
        <v/>
      </c>
      <c r="U208" t="str">
        <f>IF($M208="","",IF($M208&gt;PARAMETRES!$G$34,5,IF($M208&gt;PARAMETRES!$F$34,4,IF($M208&gt;PARAMETRES!$E$34,3,IF($M208&gt;PARAMETRES!$D$34,2,1)))))</f>
        <v/>
      </c>
      <c r="V208" t="str">
        <f>IF($N208="","",IF($N208&gt;PARAMETRES!$G$35,5,IF($N208&gt;PARAMETRES!$F$35,4,IF($N208&gt;PARAMETRES!$E$35,3,IF($N208&gt;PARAMETRES!$D$35,2,1)))))</f>
        <v/>
      </c>
      <c r="W208" t="str">
        <f>IF($O208="","",IF($O208&gt;PARAMETRES!$G$36,5,IF($O208&gt;PARAMETRES!$F$36,4,IF($O208&gt;PARAMETRES!$E$36,3,IF($O208&gt;PARAMETRES!$D$36,2,1)))))</f>
        <v/>
      </c>
      <c r="X208" t="str">
        <f>IF($P208="","",IF($P208&gt;PARAMETRES!$G$37,5,IF($P208&gt;PARAMETRES!$F$37,4,IF($P208&gt;PARAMETRES!$E$37,3,IF($P208&gt;PARAMETRES!$D$37,2,1)))))</f>
        <v/>
      </c>
      <c r="Y208" t="str">
        <f t="shared" si="72"/>
        <v/>
      </c>
      <c r="Z208" t="str">
        <f>IFERROR(VLOOKUP($B208,TABLE_CYCLE,2,0),"")</f>
        <v/>
      </c>
      <c r="AA208" t="str">
        <f t="shared" si="73"/>
        <v/>
      </c>
      <c r="AB208" t="str">
        <f>IF($D208="","",IF(COUNTIF($D$2:$D208,$D208)=1,$D208,""))</f>
        <v/>
      </c>
      <c r="AC208">
        <f t="shared" si="74"/>
        <v>0</v>
      </c>
      <c r="AD208" t="str">
        <f t="shared" si="75"/>
        <v>|0</v>
      </c>
      <c r="AE208" t="str">
        <f t="shared" si="76"/>
        <v/>
      </c>
      <c r="AF208" t="str">
        <f t="shared" si="77"/>
        <v/>
      </c>
      <c r="AG208" t="str">
        <f t="shared" si="78"/>
        <v/>
      </c>
      <c r="AH208" t="str">
        <f t="shared" si="79"/>
        <v/>
      </c>
      <c r="AI208" t="str">
        <f t="shared" si="80"/>
        <v/>
      </c>
      <c r="AJ208" t="str">
        <f t="shared" si="81"/>
        <v/>
      </c>
      <c r="AK208" t="str">
        <f t="shared" si="82"/>
        <v/>
      </c>
      <c r="AL208" t="str">
        <f t="shared" si="83"/>
        <v/>
      </c>
      <c r="AM208" t="str">
        <f t="shared" si="84"/>
        <v/>
      </c>
      <c r="AN208" t="str">
        <f t="shared" si="85"/>
        <v/>
      </c>
      <c r="AO208" t="str">
        <f t="shared" si="86"/>
        <v/>
      </c>
      <c r="AP208">
        <f t="shared" si="87"/>
        <v>1</v>
      </c>
      <c r="AQ208" t="str">
        <f>IF(SAISIE!$F213="","",SAISIE!$Y213)</f>
        <v/>
      </c>
      <c r="AR208" t="str">
        <f>IF(OR(SAISIE!$U$4="",SAISIE!$W$4=""),"",IF(AND($A208=SAISIE!$U$4,$B208=SAISIE!$W$4,$C208="S1"),COUNTIFS($A$2:$A208,SAISIE!$U$4,$B$2:$B208,SAISIE!$W$4,$C$2:$C208,"S1"),""))</f>
        <v/>
      </c>
      <c r="AS208" t="str">
        <f t="shared" si="88"/>
        <v/>
      </c>
      <c r="AT208" t="str">
        <f t="shared" si="89"/>
        <v/>
      </c>
      <c r="AU208" t="str">
        <f t="shared" si="90"/>
        <v/>
      </c>
      <c r="AV208">
        <f>N(AV207)+IF(AND($AB208&lt;&gt;"",OR('PROFIL ELEVE'!$K$4="(Tous)",$AF208='PROFIL ELEVE'!$K$4)),1,0)</f>
        <v>0</v>
      </c>
      <c r="AW208">
        <f>N(AW207)+IF(AND($AB208&lt;&gt;"",OR('SUIVI LONGITUDINAL'!$Q$4="(Tous)",$AF208='SUIVI LONGITUDINAL'!$Q$4)),1,0)</f>
        <v>0</v>
      </c>
      <c r="AX208">
        <f t="shared" si="91"/>
        <v>0</v>
      </c>
      <c r="AY208">
        <f t="shared" si="92"/>
        <v>0</v>
      </c>
      <c r="AZ208">
        <f t="shared" si="93"/>
        <v>0</v>
      </c>
      <c r="BA208" t="str">
        <f t="shared" si="94"/>
        <v/>
      </c>
      <c r="BB208" t="str">
        <f t="shared" si="95"/>
        <v/>
      </c>
    </row>
    <row r="209" spans="1:54" ht="14.25" customHeight="1" x14ac:dyDescent="0.3">
      <c r="A209" t="str">
        <f>IF(SAISIE!$F214="","",SAISIE!$B214)</f>
        <v/>
      </c>
      <c r="B209" t="str">
        <f>IF(SAISIE!$F214="","",SAISIE!$C214)</f>
        <v/>
      </c>
      <c r="C209" t="str">
        <f>IF(SAISIE!$F214="","",SAISIE!$D214)</f>
        <v/>
      </c>
      <c r="D209" t="str">
        <f>IF(SAISIE!$E214="","",SAISIE!$E214)</f>
        <v/>
      </c>
      <c r="E209" t="str">
        <f>IF(SAISIE!$F214="","",SAISIE!$F214)</f>
        <v/>
      </c>
      <c r="F209" t="str">
        <f>IF(SAISIE!$G214="","",SAISIE!$G214)</f>
        <v/>
      </c>
      <c r="G209" t="str">
        <f>IF(SAISIE!$H214="","",SAISIE!$H214)</f>
        <v/>
      </c>
      <c r="H209" t="str">
        <f>IF(SAISIE!$I214="","",SAISIE!$I214)</f>
        <v/>
      </c>
      <c r="I209" t="str">
        <f>IF(SAISIE!$J214="","",SAISIE!$J214)</f>
        <v/>
      </c>
      <c r="J209" t="str">
        <f>IF(SAISIE!$K214="","",SAISIE!$K214)</f>
        <v/>
      </c>
      <c r="K209" t="str">
        <f>IF(SAISIE!$L214="","",SAISIE!$L214)</f>
        <v/>
      </c>
      <c r="L209" t="str">
        <f>IF(SAISIE!$M214="","",SAISIE!$M214)</f>
        <v/>
      </c>
      <c r="M209" t="str">
        <f>IF(SAISIE!$N214="","",SAISIE!$N214)</f>
        <v/>
      </c>
      <c r="N209" t="str">
        <f>IF(SAISIE!$O214="","",SAISIE!$O214)</f>
        <v/>
      </c>
      <c r="O209" t="str">
        <f>IF(SAISIE!$P214="","",SAISIE!$P214)</f>
        <v/>
      </c>
      <c r="P209" t="str">
        <f>IF(SAISIE!$Q214="","",SAISIE!$Q214)</f>
        <v/>
      </c>
      <c r="Q209" t="str">
        <f>IF($I209="","",IF($I209&gt;PARAMETRES!$G$29,5,IF($I209&gt;PARAMETRES!$F$29,4,IF($I209&gt;PARAMETRES!$E$29,3,IF($I209&gt;PARAMETRES!$D$29,2,1)))))</f>
        <v/>
      </c>
      <c r="R209" t="str">
        <f>IF($J209="","",IF($J209&gt;PARAMETRES!$G$30,5,IF($J209&gt;PARAMETRES!$F$30,4,IF($J209&gt;PARAMETRES!$E$30,3,IF($J209&gt;PARAMETRES!$D$30,2,1)))))</f>
        <v/>
      </c>
      <c r="S209" t="str">
        <f>IF($K209="","",IF($Z209=2,IF($K209&gt;PARAMETRES!$G$31,5,IF($K209&gt;PARAMETRES!$F$31,4,IF($K209&gt;PARAMETRES!$E$31,3,IF($K209&gt;PARAMETRES!$D$31,2,1)))),IF($K209&gt;PARAMETRES!$G$32,5,IF($K209&gt;PARAMETRES!$F$32,4,IF($K209&gt;PARAMETRES!$E$32,3,IF($K209&gt;PARAMETRES!$D$32,2,1))))))</f>
        <v/>
      </c>
      <c r="T209" t="str">
        <f>IF($L209="","",IF($L209&gt;PARAMETRES!$G$33,5,IF($L209&gt;PARAMETRES!$F$33,4,IF($L209&gt;PARAMETRES!$E$33,3,IF($L209&gt;PARAMETRES!$D$33,2,1)))))</f>
        <v/>
      </c>
      <c r="U209" t="str">
        <f>IF($M209="","",IF($M209&gt;PARAMETRES!$G$34,5,IF($M209&gt;PARAMETRES!$F$34,4,IF($M209&gt;PARAMETRES!$E$34,3,IF($M209&gt;PARAMETRES!$D$34,2,1)))))</f>
        <v/>
      </c>
      <c r="V209" t="str">
        <f>IF($N209="","",IF($N209&gt;PARAMETRES!$G$35,5,IF($N209&gt;PARAMETRES!$F$35,4,IF($N209&gt;PARAMETRES!$E$35,3,IF($N209&gt;PARAMETRES!$D$35,2,1)))))</f>
        <v/>
      </c>
      <c r="W209" t="str">
        <f>IF($O209="","",IF($O209&gt;PARAMETRES!$G$36,5,IF($O209&gt;PARAMETRES!$F$36,4,IF($O209&gt;PARAMETRES!$E$36,3,IF($O209&gt;PARAMETRES!$D$36,2,1)))))</f>
        <v/>
      </c>
      <c r="X209" t="str">
        <f>IF($P209="","",IF($P209&gt;PARAMETRES!$G$37,5,IF($P209&gt;PARAMETRES!$F$37,4,IF($P209&gt;PARAMETRES!$E$37,3,IF($P209&gt;PARAMETRES!$D$37,2,1)))))</f>
        <v/>
      </c>
      <c r="Y209" t="str">
        <f t="shared" si="72"/>
        <v/>
      </c>
      <c r="Z209" t="str">
        <f>IFERROR(VLOOKUP($B209,TABLE_CYCLE,2,0),"")</f>
        <v/>
      </c>
      <c r="AA209" t="str">
        <f t="shared" si="73"/>
        <v/>
      </c>
      <c r="AB209" t="str">
        <f>IF($D209="","",IF(COUNTIF($D$2:$D209,$D209)=1,$D209,""))</f>
        <v/>
      </c>
      <c r="AC209">
        <f t="shared" si="74"/>
        <v>0</v>
      </c>
      <c r="AD209" t="str">
        <f t="shared" si="75"/>
        <v>|0</v>
      </c>
      <c r="AE209" t="str">
        <f t="shared" si="76"/>
        <v/>
      </c>
      <c r="AF209" t="str">
        <f t="shared" si="77"/>
        <v/>
      </c>
      <c r="AG209" t="str">
        <f t="shared" si="78"/>
        <v/>
      </c>
      <c r="AH209" t="str">
        <f t="shared" si="79"/>
        <v/>
      </c>
      <c r="AI209" t="str">
        <f t="shared" si="80"/>
        <v/>
      </c>
      <c r="AJ209" t="str">
        <f t="shared" si="81"/>
        <v/>
      </c>
      <c r="AK209" t="str">
        <f t="shared" si="82"/>
        <v/>
      </c>
      <c r="AL209" t="str">
        <f t="shared" si="83"/>
        <v/>
      </c>
      <c r="AM209" t="str">
        <f t="shared" si="84"/>
        <v/>
      </c>
      <c r="AN209" t="str">
        <f t="shared" si="85"/>
        <v/>
      </c>
      <c r="AO209" t="str">
        <f t="shared" si="86"/>
        <v/>
      </c>
      <c r="AP209">
        <f t="shared" si="87"/>
        <v>1</v>
      </c>
      <c r="AQ209" t="str">
        <f>IF(SAISIE!$F214="","",SAISIE!$Y214)</f>
        <v/>
      </c>
      <c r="AR209" t="str">
        <f>IF(OR(SAISIE!$U$4="",SAISIE!$W$4=""),"",IF(AND($A209=SAISIE!$U$4,$B209=SAISIE!$W$4,$C209="S1"),COUNTIFS($A$2:$A209,SAISIE!$U$4,$B$2:$B209,SAISIE!$W$4,$C$2:$C209,"S1"),""))</f>
        <v/>
      </c>
      <c r="AS209" t="str">
        <f t="shared" si="88"/>
        <v/>
      </c>
      <c r="AT209" t="str">
        <f t="shared" si="89"/>
        <v/>
      </c>
      <c r="AU209" t="str">
        <f t="shared" si="90"/>
        <v/>
      </c>
      <c r="AV209">
        <f>N(AV208)+IF(AND($AB209&lt;&gt;"",OR('PROFIL ELEVE'!$K$4="(Tous)",$AF209='PROFIL ELEVE'!$K$4)),1,0)</f>
        <v>0</v>
      </c>
      <c r="AW209">
        <f>N(AW208)+IF(AND($AB209&lt;&gt;"",OR('SUIVI LONGITUDINAL'!$Q$4="(Tous)",$AF209='SUIVI LONGITUDINAL'!$Q$4)),1,0)</f>
        <v>0</v>
      </c>
      <c r="AX209">
        <f t="shared" si="91"/>
        <v>0</v>
      </c>
      <c r="AY209">
        <f t="shared" si="92"/>
        <v>0</v>
      </c>
      <c r="AZ209">
        <f t="shared" si="93"/>
        <v>0</v>
      </c>
      <c r="BA209" t="str">
        <f t="shared" si="94"/>
        <v/>
      </c>
      <c r="BB209" t="str">
        <f t="shared" si="95"/>
        <v/>
      </c>
    </row>
    <row r="210" spans="1:54" ht="14.25" customHeight="1" x14ac:dyDescent="0.3">
      <c r="A210" t="str">
        <f>IF(SAISIE!$F215="","",SAISIE!$B215)</f>
        <v/>
      </c>
      <c r="B210" t="str">
        <f>IF(SAISIE!$F215="","",SAISIE!$C215)</f>
        <v/>
      </c>
      <c r="C210" t="str">
        <f>IF(SAISIE!$F215="","",SAISIE!$D215)</f>
        <v/>
      </c>
      <c r="D210" t="str">
        <f>IF(SAISIE!$E215="","",SAISIE!$E215)</f>
        <v/>
      </c>
      <c r="E210" t="str">
        <f>IF(SAISIE!$F215="","",SAISIE!$F215)</f>
        <v/>
      </c>
      <c r="F210" t="str">
        <f>IF(SAISIE!$G215="","",SAISIE!$G215)</f>
        <v/>
      </c>
      <c r="G210" t="str">
        <f>IF(SAISIE!$H215="","",SAISIE!$H215)</f>
        <v/>
      </c>
      <c r="H210" t="str">
        <f>IF(SAISIE!$I215="","",SAISIE!$I215)</f>
        <v/>
      </c>
      <c r="I210" t="str">
        <f>IF(SAISIE!$J215="","",SAISIE!$J215)</f>
        <v/>
      </c>
      <c r="J210" t="str">
        <f>IF(SAISIE!$K215="","",SAISIE!$K215)</f>
        <v/>
      </c>
      <c r="K210" t="str">
        <f>IF(SAISIE!$L215="","",SAISIE!$L215)</f>
        <v/>
      </c>
      <c r="L210" t="str">
        <f>IF(SAISIE!$M215="","",SAISIE!$M215)</f>
        <v/>
      </c>
      <c r="M210" t="str">
        <f>IF(SAISIE!$N215="","",SAISIE!$N215)</f>
        <v/>
      </c>
      <c r="N210" t="str">
        <f>IF(SAISIE!$O215="","",SAISIE!$O215)</f>
        <v/>
      </c>
      <c r="O210" t="str">
        <f>IF(SAISIE!$P215="","",SAISIE!$P215)</f>
        <v/>
      </c>
      <c r="P210" t="str">
        <f>IF(SAISIE!$Q215="","",SAISIE!$Q215)</f>
        <v/>
      </c>
      <c r="Q210" t="str">
        <f>IF($I210="","",IF($I210&gt;PARAMETRES!$G$29,5,IF($I210&gt;PARAMETRES!$F$29,4,IF($I210&gt;PARAMETRES!$E$29,3,IF($I210&gt;PARAMETRES!$D$29,2,1)))))</f>
        <v/>
      </c>
      <c r="R210" t="str">
        <f>IF($J210="","",IF($J210&gt;PARAMETRES!$G$30,5,IF($J210&gt;PARAMETRES!$F$30,4,IF($J210&gt;PARAMETRES!$E$30,3,IF($J210&gt;PARAMETRES!$D$30,2,1)))))</f>
        <v/>
      </c>
      <c r="S210" t="str">
        <f>IF($K210="","",IF($Z210=2,IF($K210&gt;PARAMETRES!$G$31,5,IF($K210&gt;PARAMETRES!$F$31,4,IF($K210&gt;PARAMETRES!$E$31,3,IF($K210&gt;PARAMETRES!$D$31,2,1)))),IF($K210&gt;PARAMETRES!$G$32,5,IF($K210&gt;PARAMETRES!$F$32,4,IF($K210&gt;PARAMETRES!$E$32,3,IF($K210&gt;PARAMETRES!$D$32,2,1))))))</f>
        <v/>
      </c>
      <c r="T210" t="str">
        <f>IF($L210="","",IF($L210&gt;PARAMETRES!$G$33,5,IF($L210&gt;PARAMETRES!$F$33,4,IF($L210&gt;PARAMETRES!$E$33,3,IF($L210&gt;PARAMETRES!$D$33,2,1)))))</f>
        <v/>
      </c>
      <c r="U210" t="str">
        <f>IF($M210="","",IF($M210&gt;PARAMETRES!$G$34,5,IF($M210&gt;PARAMETRES!$F$34,4,IF($M210&gt;PARAMETRES!$E$34,3,IF($M210&gt;PARAMETRES!$D$34,2,1)))))</f>
        <v/>
      </c>
      <c r="V210" t="str">
        <f>IF($N210="","",IF($N210&gt;PARAMETRES!$G$35,5,IF($N210&gt;PARAMETRES!$F$35,4,IF($N210&gt;PARAMETRES!$E$35,3,IF($N210&gt;PARAMETRES!$D$35,2,1)))))</f>
        <v/>
      </c>
      <c r="W210" t="str">
        <f>IF($O210="","",IF($O210&gt;PARAMETRES!$G$36,5,IF($O210&gt;PARAMETRES!$F$36,4,IF($O210&gt;PARAMETRES!$E$36,3,IF($O210&gt;PARAMETRES!$D$36,2,1)))))</f>
        <v/>
      </c>
      <c r="X210" t="str">
        <f>IF($P210="","",IF($P210&gt;PARAMETRES!$G$37,5,IF($P210&gt;PARAMETRES!$F$37,4,IF($P210&gt;PARAMETRES!$E$37,3,IF($P210&gt;PARAMETRES!$D$37,2,1)))))</f>
        <v/>
      </c>
      <c r="Y210" t="str">
        <f t="shared" si="72"/>
        <v/>
      </c>
      <c r="Z210" t="str">
        <f>IFERROR(VLOOKUP($B210,TABLE_CYCLE,2,0),"")</f>
        <v/>
      </c>
      <c r="AA210" t="str">
        <f t="shared" si="73"/>
        <v/>
      </c>
      <c r="AB210" t="str">
        <f>IF($D210="","",IF(COUNTIF($D$2:$D210,$D210)=1,$D210,""))</f>
        <v/>
      </c>
      <c r="AC210">
        <f t="shared" si="74"/>
        <v>0</v>
      </c>
      <c r="AD210" t="str">
        <f t="shared" si="75"/>
        <v>|0</v>
      </c>
      <c r="AE210" t="str">
        <f t="shared" si="76"/>
        <v/>
      </c>
      <c r="AF210" t="str">
        <f t="shared" si="77"/>
        <v/>
      </c>
      <c r="AG210" t="str">
        <f t="shared" si="78"/>
        <v/>
      </c>
      <c r="AH210" t="str">
        <f t="shared" si="79"/>
        <v/>
      </c>
      <c r="AI210" t="str">
        <f t="shared" si="80"/>
        <v/>
      </c>
      <c r="AJ210" t="str">
        <f t="shared" si="81"/>
        <v/>
      </c>
      <c r="AK210" t="str">
        <f t="shared" si="82"/>
        <v/>
      </c>
      <c r="AL210" t="str">
        <f t="shared" si="83"/>
        <v/>
      </c>
      <c r="AM210" t="str">
        <f t="shared" si="84"/>
        <v/>
      </c>
      <c r="AN210" t="str">
        <f t="shared" si="85"/>
        <v/>
      </c>
      <c r="AO210" t="str">
        <f t="shared" si="86"/>
        <v/>
      </c>
      <c r="AP210">
        <f t="shared" si="87"/>
        <v>1</v>
      </c>
      <c r="AQ210" t="str">
        <f>IF(SAISIE!$F215="","",SAISIE!$Y215)</f>
        <v/>
      </c>
      <c r="AR210" t="str">
        <f>IF(OR(SAISIE!$U$4="",SAISIE!$W$4=""),"",IF(AND($A210=SAISIE!$U$4,$B210=SAISIE!$W$4,$C210="S1"),COUNTIFS($A$2:$A210,SAISIE!$U$4,$B$2:$B210,SAISIE!$W$4,$C$2:$C210,"S1"),""))</f>
        <v/>
      </c>
      <c r="AS210" t="str">
        <f t="shared" si="88"/>
        <v/>
      </c>
      <c r="AT210" t="str">
        <f t="shared" si="89"/>
        <v/>
      </c>
      <c r="AU210" t="str">
        <f t="shared" si="90"/>
        <v/>
      </c>
      <c r="AV210">
        <f>N(AV209)+IF(AND($AB210&lt;&gt;"",OR('PROFIL ELEVE'!$K$4="(Tous)",$AF210='PROFIL ELEVE'!$K$4)),1,0)</f>
        <v>0</v>
      </c>
      <c r="AW210">
        <f>N(AW209)+IF(AND($AB210&lt;&gt;"",OR('SUIVI LONGITUDINAL'!$Q$4="(Tous)",$AF210='SUIVI LONGITUDINAL'!$Q$4)),1,0)</f>
        <v>0</v>
      </c>
      <c r="AX210">
        <f t="shared" si="91"/>
        <v>0</v>
      </c>
      <c r="AY210">
        <f t="shared" si="92"/>
        <v>0</v>
      </c>
      <c r="AZ210">
        <f t="shared" si="93"/>
        <v>0</v>
      </c>
      <c r="BA210" t="str">
        <f t="shared" si="94"/>
        <v/>
      </c>
      <c r="BB210" t="str">
        <f t="shared" si="95"/>
        <v/>
      </c>
    </row>
    <row r="211" spans="1:54" ht="14.25" customHeight="1" x14ac:dyDescent="0.3">
      <c r="A211" t="str">
        <f>IF(SAISIE!$F216="","",SAISIE!$B216)</f>
        <v/>
      </c>
      <c r="B211" t="str">
        <f>IF(SAISIE!$F216="","",SAISIE!$C216)</f>
        <v/>
      </c>
      <c r="C211" t="str">
        <f>IF(SAISIE!$F216="","",SAISIE!$D216)</f>
        <v/>
      </c>
      <c r="D211" t="str">
        <f>IF(SAISIE!$E216="","",SAISIE!$E216)</f>
        <v/>
      </c>
      <c r="E211" t="str">
        <f>IF(SAISIE!$F216="","",SAISIE!$F216)</f>
        <v/>
      </c>
      <c r="F211" t="str">
        <f>IF(SAISIE!$G216="","",SAISIE!$G216)</f>
        <v/>
      </c>
      <c r="G211" t="str">
        <f>IF(SAISIE!$H216="","",SAISIE!$H216)</f>
        <v/>
      </c>
      <c r="H211" t="str">
        <f>IF(SAISIE!$I216="","",SAISIE!$I216)</f>
        <v/>
      </c>
      <c r="I211" t="str">
        <f>IF(SAISIE!$J216="","",SAISIE!$J216)</f>
        <v/>
      </c>
      <c r="J211" t="str">
        <f>IF(SAISIE!$K216="","",SAISIE!$K216)</f>
        <v/>
      </c>
      <c r="K211" t="str">
        <f>IF(SAISIE!$L216="","",SAISIE!$L216)</f>
        <v/>
      </c>
      <c r="L211" t="str">
        <f>IF(SAISIE!$M216="","",SAISIE!$M216)</f>
        <v/>
      </c>
      <c r="M211" t="str">
        <f>IF(SAISIE!$N216="","",SAISIE!$N216)</f>
        <v/>
      </c>
      <c r="N211" t="str">
        <f>IF(SAISIE!$O216="","",SAISIE!$O216)</f>
        <v/>
      </c>
      <c r="O211" t="str">
        <f>IF(SAISIE!$P216="","",SAISIE!$P216)</f>
        <v/>
      </c>
      <c r="P211" t="str">
        <f>IF(SAISIE!$Q216="","",SAISIE!$Q216)</f>
        <v/>
      </c>
      <c r="Q211" t="str">
        <f>IF($I211="","",IF($I211&gt;PARAMETRES!$G$29,5,IF($I211&gt;PARAMETRES!$F$29,4,IF($I211&gt;PARAMETRES!$E$29,3,IF($I211&gt;PARAMETRES!$D$29,2,1)))))</f>
        <v/>
      </c>
      <c r="R211" t="str">
        <f>IF($J211="","",IF($J211&gt;PARAMETRES!$G$30,5,IF($J211&gt;PARAMETRES!$F$30,4,IF($J211&gt;PARAMETRES!$E$30,3,IF($J211&gt;PARAMETRES!$D$30,2,1)))))</f>
        <v/>
      </c>
      <c r="S211" t="str">
        <f>IF($K211="","",IF($Z211=2,IF($K211&gt;PARAMETRES!$G$31,5,IF($K211&gt;PARAMETRES!$F$31,4,IF($K211&gt;PARAMETRES!$E$31,3,IF($K211&gt;PARAMETRES!$D$31,2,1)))),IF($K211&gt;PARAMETRES!$G$32,5,IF($K211&gt;PARAMETRES!$F$32,4,IF($K211&gt;PARAMETRES!$E$32,3,IF($K211&gt;PARAMETRES!$D$32,2,1))))))</f>
        <v/>
      </c>
      <c r="T211" t="str">
        <f>IF($L211="","",IF($L211&gt;PARAMETRES!$G$33,5,IF($L211&gt;PARAMETRES!$F$33,4,IF($L211&gt;PARAMETRES!$E$33,3,IF($L211&gt;PARAMETRES!$D$33,2,1)))))</f>
        <v/>
      </c>
      <c r="U211" t="str">
        <f>IF($M211="","",IF($M211&gt;PARAMETRES!$G$34,5,IF($M211&gt;PARAMETRES!$F$34,4,IF($M211&gt;PARAMETRES!$E$34,3,IF($M211&gt;PARAMETRES!$D$34,2,1)))))</f>
        <v/>
      </c>
      <c r="V211" t="str">
        <f>IF($N211="","",IF($N211&gt;PARAMETRES!$G$35,5,IF($N211&gt;PARAMETRES!$F$35,4,IF($N211&gt;PARAMETRES!$E$35,3,IF($N211&gt;PARAMETRES!$D$35,2,1)))))</f>
        <v/>
      </c>
      <c r="W211" t="str">
        <f>IF($O211="","",IF($O211&gt;PARAMETRES!$G$36,5,IF($O211&gt;PARAMETRES!$F$36,4,IF($O211&gt;PARAMETRES!$E$36,3,IF($O211&gt;PARAMETRES!$D$36,2,1)))))</f>
        <v/>
      </c>
      <c r="X211" t="str">
        <f>IF($P211="","",IF($P211&gt;PARAMETRES!$G$37,5,IF($P211&gt;PARAMETRES!$F$37,4,IF($P211&gt;PARAMETRES!$E$37,3,IF($P211&gt;PARAMETRES!$D$37,2,1)))))</f>
        <v/>
      </c>
      <c r="Y211" t="str">
        <f t="shared" si="72"/>
        <v/>
      </c>
      <c r="Z211" t="str">
        <f>IFERROR(VLOOKUP($B211,TABLE_CYCLE,2,0),"")</f>
        <v/>
      </c>
      <c r="AA211" t="str">
        <f t="shared" si="73"/>
        <v/>
      </c>
      <c r="AB211" t="str">
        <f>IF($D211="","",IF(COUNTIF($D$2:$D211,$D211)=1,$D211,""))</f>
        <v/>
      </c>
      <c r="AC211">
        <f t="shared" si="74"/>
        <v>0</v>
      </c>
      <c r="AD211" t="str">
        <f t="shared" si="75"/>
        <v>|0</v>
      </c>
      <c r="AE211" t="str">
        <f t="shared" si="76"/>
        <v/>
      </c>
      <c r="AF211" t="str">
        <f t="shared" si="77"/>
        <v/>
      </c>
      <c r="AG211" t="str">
        <f t="shared" si="78"/>
        <v/>
      </c>
      <c r="AH211" t="str">
        <f t="shared" si="79"/>
        <v/>
      </c>
      <c r="AI211" t="str">
        <f t="shared" si="80"/>
        <v/>
      </c>
      <c r="AJ211" t="str">
        <f t="shared" si="81"/>
        <v/>
      </c>
      <c r="AK211" t="str">
        <f t="shared" si="82"/>
        <v/>
      </c>
      <c r="AL211" t="str">
        <f t="shared" si="83"/>
        <v/>
      </c>
      <c r="AM211" t="str">
        <f t="shared" si="84"/>
        <v/>
      </c>
      <c r="AN211" t="str">
        <f t="shared" si="85"/>
        <v/>
      </c>
      <c r="AO211" t="str">
        <f t="shared" si="86"/>
        <v/>
      </c>
      <c r="AP211">
        <f t="shared" si="87"/>
        <v>1</v>
      </c>
      <c r="AQ211" t="str">
        <f>IF(SAISIE!$F216="","",SAISIE!$Y216)</f>
        <v/>
      </c>
      <c r="AR211" t="str">
        <f>IF(OR(SAISIE!$U$4="",SAISIE!$W$4=""),"",IF(AND($A211=SAISIE!$U$4,$B211=SAISIE!$W$4,$C211="S1"),COUNTIFS($A$2:$A211,SAISIE!$U$4,$B$2:$B211,SAISIE!$W$4,$C$2:$C211,"S1"),""))</f>
        <v/>
      </c>
      <c r="AS211" t="str">
        <f t="shared" si="88"/>
        <v/>
      </c>
      <c r="AT211" t="str">
        <f t="shared" si="89"/>
        <v/>
      </c>
      <c r="AU211" t="str">
        <f t="shared" si="90"/>
        <v/>
      </c>
      <c r="AV211">
        <f>N(AV210)+IF(AND($AB211&lt;&gt;"",OR('PROFIL ELEVE'!$K$4="(Tous)",$AF211='PROFIL ELEVE'!$K$4)),1,0)</f>
        <v>0</v>
      </c>
      <c r="AW211">
        <f>N(AW210)+IF(AND($AB211&lt;&gt;"",OR('SUIVI LONGITUDINAL'!$Q$4="(Tous)",$AF211='SUIVI LONGITUDINAL'!$Q$4)),1,0)</f>
        <v>0</v>
      </c>
      <c r="AX211">
        <f t="shared" si="91"/>
        <v>0</v>
      </c>
      <c r="AY211">
        <f t="shared" si="92"/>
        <v>0</v>
      </c>
      <c r="AZ211">
        <f t="shared" si="93"/>
        <v>0</v>
      </c>
      <c r="BA211" t="str">
        <f t="shared" si="94"/>
        <v/>
      </c>
      <c r="BB211" t="str">
        <f t="shared" si="95"/>
        <v/>
      </c>
    </row>
    <row r="212" spans="1:54" ht="14.25" customHeight="1" x14ac:dyDescent="0.3">
      <c r="A212" t="str">
        <f>IF(SAISIE!$F217="","",SAISIE!$B217)</f>
        <v/>
      </c>
      <c r="B212" t="str">
        <f>IF(SAISIE!$F217="","",SAISIE!$C217)</f>
        <v/>
      </c>
      <c r="C212" t="str">
        <f>IF(SAISIE!$F217="","",SAISIE!$D217)</f>
        <v/>
      </c>
      <c r="D212" t="str">
        <f>IF(SAISIE!$E217="","",SAISIE!$E217)</f>
        <v/>
      </c>
      <c r="E212" t="str">
        <f>IF(SAISIE!$F217="","",SAISIE!$F217)</f>
        <v/>
      </c>
      <c r="F212" t="str">
        <f>IF(SAISIE!$G217="","",SAISIE!$G217)</f>
        <v/>
      </c>
      <c r="G212" t="str">
        <f>IF(SAISIE!$H217="","",SAISIE!$H217)</f>
        <v/>
      </c>
      <c r="H212" t="str">
        <f>IF(SAISIE!$I217="","",SAISIE!$I217)</f>
        <v/>
      </c>
      <c r="I212" t="str">
        <f>IF(SAISIE!$J217="","",SAISIE!$J217)</f>
        <v/>
      </c>
      <c r="J212" t="str">
        <f>IF(SAISIE!$K217="","",SAISIE!$K217)</f>
        <v/>
      </c>
      <c r="K212" t="str">
        <f>IF(SAISIE!$L217="","",SAISIE!$L217)</f>
        <v/>
      </c>
      <c r="L212" t="str">
        <f>IF(SAISIE!$M217="","",SAISIE!$M217)</f>
        <v/>
      </c>
      <c r="M212" t="str">
        <f>IF(SAISIE!$N217="","",SAISIE!$N217)</f>
        <v/>
      </c>
      <c r="N212" t="str">
        <f>IF(SAISIE!$O217="","",SAISIE!$O217)</f>
        <v/>
      </c>
      <c r="O212" t="str">
        <f>IF(SAISIE!$P217="","",SAISIE!$P217)</f>
        <v/>
      </c>
      <c r="P212" t="str">
        <f>IF(SAISIE!$Q217="","",SAISIE!$Q217)</f>
        <v/>
      </c>
      <c r="Q212" t="str">
        <f>IF($I212="","",IF($I212&gt;PARAMETRES!$G$29,5,IF($I212&gt;PARAMETRES!$F$29,4,IF($I212&gt;PARAMETRES!$E$29,3,IF($I212&gt;PARAMETRES!$D$29,2,1)))))</f>
        <v/>
      </c>
      <c r="R212" t="str">
        <f>IF($J212="","",IF($J212&gt;PARAMETRES!$G$30,5,IF($J212&gt;PARAMETRES!$F$30,4,IF($J212&gt;PARAMETRES!$E$30,3,IF($J212&gt;PARAMETRES!$D$30,2,1)))))</f>
        <v/>
      </c>
      <c r="S212" t="str">
        <f>IF($K212="","",IF($Z212=2,IF($K212&gt;PARAMETRES!$G$31,5,IF($K212&gt;PARAMETRES!$F$31,4,IF($K212&gt;PARAMETRES!$E$31,3,IF($K212&gt;PARAMETRES!$D$31,2,1)))),IF($K212&gt;PARAMETRES!$G$32,5,IF($K212&gt;PARAMETRES!$F$32,4,IF($K212&gt;PARAMETRES!$E$32,3,IF($K212&gt;PARAMETRES!$D$32,2,1))))))</f>
        <v/>
      </c>
      <c r="T212" t="str">
        <f>IF($L212="","",IF($L212&gt;PARAMETRES!$G$33,5,IF($L212&gt;PARAMETRES!$F$33,4,IF($L212&gt;PARAMETRES!$E$33,3,IF($L212&gt;PARAMETRES!$D$33,2,1)))))</f>
        <v/>
      </c>
      <c r="U212" t="str">
        <f>IF($M212="","",IF($M212&gt;PARAMETRES!$G$34,5,IF($M212&gt;PARAMETRES!$F$34,4,IF($M212&gt;PARAMETRES!$E$34,3,IF($M212&gt;PARAMETRES!$D$34,2,1)))))</f>
        <v/>
      </c>
      <c r="V212" t="str">
        <f>IF($N212="","",IF($N212&gt;PARAMETRES!$G$35,5,IF($N212&gt;PARAMETRES!$F$35,4,IF($N212&gt;PARAMETRES!$E$35,3,IF($N212&gt;PARAMETRES!$D$35,2,1)))))</f>
        <v/>
      </c>
      <c r="W212" t="str">
        <f>IF($O212="","",IF($O212&gt;PARAMETRES!$G$36,5,IF($O212&gt;PARAMETRES!$F$36,4,IF($O212&gt;PARAMETRES!$E$36,3,IF($O212&gt;PARAMETRES!$D$36,2,1)))))</f>
        <v/>
      </c>
      <c r="X212" t="str">
        <f>IF($P212="","",IF($P212&gt;PARAMETRES!$G$37,5,IF($P212&gt;PARAMETRES!$F$37,4,IF($P212&gt;PARAMETRES!$E$37,3,IF($P212&gt;PARAMETRES!$D$37,2,1)))))</f>
        <v/>
      </c>
      <c r="Y212" t="str">
        <f t="shared" si="72"/>
        <v/>
      </c>
      <c r="Z212" t="str">
        <f>IFERROR(VLOOKUP($B212,TABLE_CYCLE,2,0),"")</f>
        <v/>
      </c>
      <c r="AA212" t="str">
        <f t="shared" si="73"/>
        <v/>
      </c>
      <c r="AB212" t="str">
        <f>IF($D212="","",IF(COUNTIF($D$2:$D212,$D212)=1,$D212,""))</f>
        <v/>
      </c>
      <c r="AC212">
        <f t="shared" si="74"/>
        <v>0</v>
      </c>
      <c r="AD212" t="str">
        <f t="shared" si="75"/>
        <v>|0</v>
      </c>
      <c r="AE212" t="str">
        <f t="shared" si="76"/>
        <v/>
      </c>
      <c r="AF212" t="str">
        <f t="shared" si="77"/>
        <v/>
      </c>
      <c r="AG212" t="str">
        <f t="shared" si="78"/>
        <v/>
      </c>
      <c r="AH212" t="str">
        <f t="shared" si="79"/>
        <v/>
      </c>
      <c r="AI212" t="str">
        <f t="shared" si="80"/>
        <v/>
      </c>
      <c r="AJ212" t="str">
        <f t="shared" si="81"/>
        <v/>
      </c>
      <c r="AK212" t="str">
        <f t="shared" si="82"/>
        <v/>
      </c>
      <c r="AL212" t="str">
        <f t="shared" si="83"/>
        <v/>
      </c>
      <c r="AM212" t="str">
        <f t="shared" si="84"/>
        <v/>
      </c>
      <c r="AN212" t="str">
        <f t="shared" si="85"/>
        <v/>
      </c>
      <c r="AO212" t="str">
        <f t="shared" si="86"/>
        <v/>
      </c>
      <c r="AP212">
        <f t="shared" si="87"/>
        <v>1</v>
      </c>
      <c r="AQ212" t="str">
        <f>IF(SAISIE!$F217="","",SAISIE!$Y217)</f>
        <v/>
      </c>
      <c r="AR212" t="str">
        <f>IF(OR(SAISIE!$U$4="",SAISIE!$W$4=""),"",IF(AND($A212=SAISIE!$U$4,$B212=SAISIE!$W$4,$C212="S1"),COUNTIFS($A$2:$A212,SAISIE!$U$4,$B$2:$B212,SAISIE!$W$4,$C$2:$C212,"S1"),""))</f>
        <v/>
      </c>
      <c r="AS212" t="str">
        <f t="shared" si="88"/>
        <v/>
      </c>
      <c r="AT212" t="str">
        <f t="shared" si="89"/>
        <v/>
      </c>
      <c r="AU212" t="str">
        <f t="shared" si="90"/>
        <v/>
      </c>
      <c r="AV212">
        <f>N(AV211)+IF(AND($AB212&lt;&gt;"",OR('PROFIL ELEVE'!$K$4="(Tous)",$AF212='PROFIL ELEVE'!$K$4)),1,0)</f>
        <v>0</v>
      </c>
      <c r="AW212">
        <f>N(AW211)+IF(AND($AB212&lt;&gt;"",OR('SUIVI LONGITUDINAL'!$Q$4="(Tous)",$AF212='SUIVI LONGITUDINAL'!$Q$4)),1,0)</f>
        <v>0</v>
      </c>
      <c r="AX212">
        <f t="shared" si="91"/>
        <v>0</v>
      </c>
      <c r="AY212">
        <f t="shared" si="92"/>
        <v>0</v>
      </c>
      <c r="AZ212">
        <f t="shared" si="93"/>
        <v>0</v>
      </c>
      <c r="BA212" t="str">
        <f t="shared" si="94"/>
        <v/>
      </c>
      <c r="BB212" t="str">
        <f t="shared" si="95"/>
        <v/>
      </c>
    </row>
    <row r="213" spans="1:54" ht="14.25" customHeight="1" x14ac:dyDescent="0.3">
      <c r="A213" t="str">
        <f>IF(SAISIE!$F218="","",SAISIE!$B218)</f>
        <v/>
      </c>
      <c r="B213" t="str">
        <f>IF(SAISIE!$F218="","",SAISIE!$C218)</f>
        <v/>
      </c>
      <c r="C213" t="str">
        <f>IF(SAISIE!$F218="","",SAISIE!$D218)</f>
        <v/>
      </c>
      <c r="D213" t="str">
        <f>IF(SAISIE!$E218="","",SAISIE!$E218)</f>
        <v/>
      </c>
      <c r="E213" t="str">
        <f>IF(SAISIE!$F218="","",SAISIE!$F218)</f>
        <v/>
      </c>
      <c r="F213" t="str">
        <f>IF(SAISIE!$G218="","",SAISIE!$G218)</f>
        <v/>
      </c>
      <c r="G213" t="str">
        <f>IF(SAISIE!$H218="","",SAISIE!$H218)</f>
        <v/>
      </c>
      <c r="H213" t="str">
        <f>IF(SAISIE!$I218="","",SAISIE!$I218)</f>
        <v/>
      </c>
      <c r="I213" t="str">
        <f>IF(SAISIE!$J218="","",SAISIE!$J218)</f>
        <v/>
      </c>
      <c r="J213" t="str">
        <f>IF(SAISIE!$K218="","",SAISIE!$K218)</f>
        <v/>
      </c>
      <c r="K213" t="str">
        <f>IF(SAISIE!$L218="","",SAISIE!$L218)</f>
        <v/>
      </c>
      <c r="L213" t="str">
        <f>IF(SAISIE!$M218="","",SAISIE!$M218)</f>
        <v/>
      </c>
      <c r="M213" t="str">
        <f>IF(SAISIE!$N218="","",SAISIE!$N218)</f>
        <v/>
      </c>
      <c r="N213" t="str">
        <f>IF(SAISIE!$O218="","",SAISIE!$O218)</f>
        <v/>
      </c>
      <c r="O213" t="str">
        <f>IF(SAISIE!$P218="","",SAISIE!$P218)</f>
        <v/>
      </c>
      <c r="P213" t="str">
        <f>IF(SAISIE!$Q218="","",SAISIE!$Q218)</f>
        <v/>
      </c>
      <c r="Q213" t="str">
        <f>IF($I213="","",IF($I213&gt;PARAMETRES!$G$29,5,IF($I213&gt;PARAMETRES!$F$29,4,IF($I213&gt;PARAMETRES!$E$29,3,IF($I213&gt;PARAMETRES!$D$29,2,1)))))</f>
        <v/>
      </c>
      <c r="R213" t="str">
        <f>IF($J213="","",IF($J213&gt;PARAMETRES!$G$30,5,IF($J213&gt;PARAMETRES!$F$30,4,IF($J213&gt;PARAMETRES!$E$30,3,IF($J213&gt;PARAMETRES!$D$30,2,1)))))</f>
        <v/>
      </c>
      <c r="S213" t="str">
        <f>IF($K213="","",IF($Z213=2,IF($K213&gt;PARAMETRES!$G$31,5,IF($K213&gt;PARAMETRES!$F$31,4,IF($K213&gt;PARAMETRES!$E$31,3,IF($K213&gt;PARAMETRES!$D$31,2,1)))),IF($K213&gt;PARAMETRES!$G$32,5,IF($K213&gt;PARAMETRES!$F$32,4,IF($K213&gt;PARAMETRES!$E$32,3,IF($K213&gt;PARAMETRES!$D$32,2,1))))))</f>
        <v/>
      </c>
      <c r="T213" t="str">
        <f>IF($L213="","",IF($L213&gt;PARAMETRES!$G$33,5,IF($L213&gt;PARAMETRES!$F$33,4,IF($L213&gt;PARAMETRES!$E$33,3,IF($L213&gt;PARAMETRES!$D$33,2,1)))))</f>
        <v/>
      </c>
      <c r="U213" t="str">
        <f>IF($M213="","",IF($M213&gt;PARAMETRES!$G$34,5,IF($M213&gt;PARAMETRES!$F$34,4,IF($M213&gt;PARAMETRES!$E$34,3,IF($M213&gt;PARAMETRES!$D$34,2,1)))))</f>
        <v/>
      </c>
      <c r="V213" t="str">
        <f>IF($N213="","",IF($N213&gt;PARAMETRES!$G$35,5,IF($N213&gt;PARAMETRES!$F$35,4,IF($N213&gt;PARAMETRES!$E$35,3,IF($N213&gt;PARAMETRES!$D$35,2,1)))))</f>
        <v/>
      </c>
      <c r="W213" t="str">
        <f>IF($O213="","",IF($O213&gt;PARAMETRES!$G$36,5,IF($O213&gt;PARAMETRES!$F$36,4,IF($O213&gt;PARAMETRES!$E$36,3,IF($O213&gt;PARAMETRES!$D$36,2,1)))))</f>
        <v/>
      </c>
      <c r="X213" t="str">
        <f>IF($P213="","",IF($P213&gt;PARAMETRES!$G$37,5,IF($P213&gt;PARAMETRES!$F$37,4,IF($P213&gt;PARAMETRES!$E$37,3,IF($P213&gt;PARAMETRES!$D$37,2,1)))))</f>
        <v/>
      </c>
      <c r="Y213" t="str">
        <f t="shared" si="72"/>
        <v/>
      </c>
      <c r="Z213" t="str">
        <f>IFERROR(VLOOKUP($B213,TABLE_CYCLE,2,0),"")</f>
        <v/>
      </c>
      <c r="AA213" t="str">
        <f t="shared" si="73"/>
        <v/>
      </c>
      <c r="AB213" t="str">
        <f>IF($D213="","",IF(COUNTIF($D$2:$D213,$D213)=1,$D213,""))</f>
        <v/>
      </c>
      <c r="AC213">
        <f t="shared" si="74"/>
        <v>0</v>
      </c>
      <c r="AD213" t="str">
        <f t="shared" si="75"/>
        <v>|0</v>
      </c>
      <c r="AE213" t="str">
        <f t="shared" si="76"/>
        <v/>
      </c>
      <c r="AF213" t="str">
        <f t="shared" si="77"/>
        <v/>
      </c>
      <c r="AG213" t="str">
        <f t="shared" si="78"/>
        <v/>
      </c>
      <c r="AH213" t="str">
        <f t="shared" si="79"/>
        <v/>
      </c>
      <c r="AI213" t="str">
        <f t="shared" si="80"/>
        <v/>
      </c>
      <c r="AJ213" t="str">
        <f t="shared" si="81"/>
        <v/>
      </c>
      <c r="AK213" t="str">
        <f t="shared" si="82"/>
        <v/>
      </c>
      <c r="AL213" t="str">
        <f t="shared" si="83"/>
        <v/>
      </c>
      <c r="AM213" t="str">
        <f t="shared" si="84"/>
        <v/>
      </c>
      <c r="AN213" t="str">
        <f t="shared" si="85"/>
        <v/>
      </c>
      <c r="AO213" t="str">
        <f t="shared" si="86"/>
        <v/>
      </c>
      <c r="AP213">
        <f t="shared" si="87"/>
        <v>1</v>
      </c>
      <c r="AQ213" t="str">
        <f>IF(SAISIE!$F218="","",SAISIE!$Y218)</f>
        <v/>
      </c>
      <c r="AR213" t="str">
        <f>IF(OR(SAISIE!$U$4="",SAISIE!$W$4=""),"",IF(AND($A213=SAISIE!$U$4,$B213=SAISIE!$W$4,$C213="S1"),COUNTIFS($A$2:$A213,SAISIE!$U$4,$B$2:$B213,SAISIE!$W$4,$C$2:$C213,"S1"),""))</f>
        <v/>
      </c>
      <c r="AS213" t="str">
        <f t="shared" si="88"/>
        <v/>
      </c>
      <c r="AT213" t="str">
        <f t="shared" si="89"/>
        <v/>
      </c>
      <c r="AU213" t="str">
        <f t="shared" si="90"/>
        <v/>
      </c>
      <c r="AV213">
        <f>N(AV212)+IF(AND($AB213&lt;&gt;"",OR('PROFIL ELEVE'!$K$4="(Tous)",$AF213='PROFIL ELEVE'!$K$4)),1,0)</f>
        <v>0</v>
      </c>
      <c r="AW213">
        <f>N(AW212)+IF(AND($AB213&lt;&gt;"",OR('SUIVI LONGITUDINAL'!$Q$4="(Tous)",$AF213='SUIVI LONGITUDINAL'!$Q$4)),1,0)</f>
        <v>0</v>
      </c>
      <c r="AX213">
        <f t="shared" si="91"/>
        <v>0</v>
      </c>
      <c r="AY213">
        <f t="shared" si="92"/>
        <v>0</v>
      </c>
      <c r="AZ213">
        <f t="shared" si="93"/>
        <v>0</v>
      </c>
      <c r="BA213" t="str">
        <f t="shared" si="94"/>
        <v/>
      </c>
      <c r="BB213" t="str">
        <f t="shared" si="95"/>
        <v/>
      </c>
    </row>
    <row r="214" spans="1:54" ht="14.25" customHeight="1" x14ac:dyDescent="0.3">
      <c r="A214" t="str">
        <f>IF(SAISIE!$F219="","",SAISIE!$B219)</f>
        <v/>
      </c>
      <c r="B214" t="str">
        <f>IF(SAISIE!$F219="","",SAISIE!$C219)</f>
        <v/>
      </c>
      <c r="C214" t="str">
        <f>IF(SAISIE!$F219="","",SAISIE!$D219)</f>
        <v/>
      </c>
      <c r="D214" t="str">
        <f>IF(SAISIE!$E219="","",SAISIE!$E219)</f>
        <v/>
      </c>
      <c r="E214" t="str">
        <f>IF(SAISIE!$F219="","",SAISIE!$F219)</f>
        <v/>
      </c>
      <c r="F214" t="str">
        <f>IF(SAISIE!$G219="","",SAISIE!$G219)</f>
        <v/>
      </c>
      <c r="G214" t="str">
        <f>IF(SAISIE!$H219="","",SAISIE!$H219)</f>
        <v/>
      </c>
      <c r="H214" t="str">
        <f>IF(SAISIE!$I219="","",SAISIE!$I219)</f>
        <v/>
      </c>
      <c r="I214" t="str">
        <f>IF(SAISIE!$J219="","",SAISIE!$J219)</f>
        <v/>
      </c>
      <c r="J214" t="str">
        <f>IF(SAISIE!$K219="","",SAISIE!$K219)</f>
        <v/>
      </c>
      <c r="K214" t="str">
        <f>IF(SAISIE!$L219="","",SAISIE!$L219)</f>
        <v/>
      </c>
      <c r="L214" t="str">
        <f>IF(SAISIE!$M219="","",SAISIE!$M219)</f>
        <v/>
      </c>
      <c r="M214" t="str">
        <f>IF(SAISIE!$N219="","",SAISIE!$N219)</f>
        <v/>
      </c>
      <c r="N214" t="str">
        <f>IF(SAISIE!$O219="","",SAISIE!$O219)</f>
        <v/>
      </c>
      <c r="O214" t="str">
        <f>IF(SAISIE!$P219="","",SAISIE!$P219)</f>
        <v/>
      </c>
      <c r="P214" t="str">
        <f>IF(SAISIE!$Q219="","",SAISIE!$Q219)</f>
        <v/>
      </c>
      <c r="Q214" t="str">
        <f>IF($I214="","",IF($I214&gt;PARAMETRES!$G$29,5,IF($I214&gt;PARAMETRES!$F$29,4,IF($I214&gt;PARAMETRES!$E$29,3,IF($I214&gt;PARAMETRES!$D$29,2,1)))))</f>
        <v/>
      </c>
      <c r="R214" t="str">
        <f>IF($J214="","",IF($J214&gt;PARAMETRES!$G$30,5,IF($J214&gt;PARAMETRES!$F$30,4,IF($J214&gt;PARAMETRES!$E$30,3,IF($J214&gt;PARAMETRES!$D$30,2,1)))))</f>
        <v/>
      </c>
      <c r="S214" t="str">
        <f>IF($K214="","",IF($Z214=2,IF($K214&gt;PARAMETRES!$G$31,5,IF($K214&gt;PARAMETRES!$F$31,4,IF($K214&gt;PARAMETRES!$E$31,3,IF($K214&gt;PARAMETRES!$D$31,2,1)))),IF($K214&gt;PARAMETRES!$G$32,5,IF($K214&gt;PARAMETRES!$F$32,4,IF($K214&gt;PARAMETRES!$E$32,3,IF($K214&gt;PARAMETRES!$D$32,2,1))))))</f>
        <v/>
      </c>
      <c r="T214" t="str">
        <f>IF($L214="","",IF($L214&gt;PARAMETRES!$G$33,5,IF($L214&gt;PARAMETRES!$F$33,4,IF($L214&gt;PARAMETRES!$E$33,3,IF($L214&gt;PARAMETRES!$D$33,2,1)))))</f>
        <v/>
      </c>
      <c r="U214" t="str">
        <f>IF($M214="","",IF($M214&gt;PARAMETRES!$G$34,5,IF($M214&gt;PARAMETRES!$F$34,4,IF($M214&gt;PARAMETRES!$E$34,3,IF($M214&gt;PARAMETRES!$D$34,2,1)))))</f>
        <v/>
      </c>
      <c r="V214" t="str">
        <f>IF($N214="","",IF($N214&gt;PARAMETRES!$G$35,5,IF($N214&gt;PARAMETRES!$F$35,4,IF($N214&gt;PARAMETRES!$E$35,3,IF($N214&gt;PARAMETRES!$D$35,2,1)))))</f>
        <v/>
      </c>
      <c r="W214" t="str">
        <f>IF($O214="","",IF($O214&gt;PARAMETRES!$G$36,5,IF($O214&gt;PARAMETRES!$F$36,4,IF($O214&gt;PARAMETRES!$E$36,3,IF($O214&gt;PARAMETRES!$D$36,2,1)))))</f>
        <v/>
      </c>
      <c r="X214" t="str">
        <f>IF($P214="","",IF($P214&gt;PARAMETRES!$G$37,5,IF($P214&gt;PARAMETRES!$F$37,4,IF($P214&gt;PARAMETRES!$E$37,3,IF($P214&gt;PARAMETRES!$D$37,2,1)))))</f>
        <v/>
      </c>
      <c r="Y214" t="str">
        <f t="shared" si="72"/>
        <v/>
      </c>
      <c r="Z214" t="str">
        <f>IFERROR(VLOOKUP($B214,TABLE_CYCLE,2,0),"")</f>
        <v/>
      </c>
      <c r="AA214" t="str">
        <f t="shared" si="73"/>
        <v/>
      </c>
      <c r="AB214" t="str">
        <f>IF($D214="","",IF(COUNTIF($D$2:$D214,$D214)=1,$D214,""))</f>
        <v/>
      </c>
      <c r="AC214">
        <f t="shared" si="74"/>
        <v>0</v>
      </c>
      <c r="AD214" t="str">
        <f t="shared" si="75"/>
        <v>|0</v>
      </c>
      <c r="AE214" t="str">
        <f t="shared" si="76"/>
        <v/>
      </c>
      <c r="AF214" t="str">
        <f t="shared" si="77"/>
        <v/>
      </c>
      <c r="AG214" t="str">
        <f t="shared" si="78"/>
        <v/>
      </c>
      <c r="AH214" t="str">
        <f t="shared" si="79"/>
        <v/>
      </c>
      <c r="AI214" t="str">
        <f t="shared" si="80"/>
        <v/>
      </c>
      <c r="AJ214" t="str">
        <f t="shared" si="81"/>
        <v/>
      </c>
      <c r="AK214" t="str">
        <f t="shared" si="82"/>
        <v/>
      </c>
      <c r="AL214" t="str">
        <f t="shared" si="83"/>
        <v/>
      </c>
      <c r="AM214" t="str">
        <f t="shared" si="84"/>
        <v/>
      </c>
      <c r="AN214" t="str">
        <f t="shared" si="85"/>
        <v/>
      </c>
      <c r="AO214" t="str">
        <f t="shared" si="86"/>
        <v/>
      </c>
      <c r="AP214">
        <f t="shared" si="87"/>
        <v>1</v>
      </c>
      <c r="AQ214" t="str">
        <f>IF(SAISIE!$F219="","",SAISIE!$Y219)</f>
        <v/>
      </c>
      <c r="AR214" t="str">
        <f>IF(OR(SAISIE!$U$4="",SAISIE!$W$4=""),"",IF(AND($A214=SAISIE!$U$4,$B214=SAISIE!$W$4,$C214="S1"),COUNTIFS($A$2:$A214,SAISIE!$U$4,$B$2:$B214,SAISIE!$W$4,$C$2:$C214,"S1"),""))</f>
        <v/>
      </c>
      <c r="AS214" t="str">
        <f t="shared" si="88"/>
        <v/>
      </c>
      <c r="AT214" t="str">
        <f t="shared" si="89"/>
        <v/>
      </c>
      <c r="AU214" t="str">
        <f t="shared" si="90"/>
        <v/>
      </c>
      <c r="AV214">
        <f>N(AV213)+IF(AND($AB214&lt;&gt;"",OR('PROFIL ELEVE'!$K$4="(Tous)",$AF214='PROFIL ELEVE'!$K$4)),1,0)</f>
        <v>0</v>
      </c>
      <c r="AW214">
        <f>N(AW213)+IF(AND($AB214&lt;&gt;"",OR('SUIVI LONGITUDINAL'!$Q$4="(Tous)",$AF214='SUIVI LONGITUDINAL'!$Q$4)),1,0)</f>
        <v>0</v>
      </c>
      <c r="AX214">
        <f t="shared" si="91"/>
        <v>0</v>
      </c>
      <c r="AY214">
        <f t="shared" si="92"/>
        <v>0</v>
      </c>
      <c r="AZ214">
        <f t="shared" si="93"/>
        <v>0</v>
      </c>
      <c r="BA214" t="str">
        <f t="shared" si="94"/>
        <v/>
      </c>
      <c r="BB214" t="str">
        <f t="shared" si="95"/>
        <v/>
      </c>
    </row>
    <row r="215" spans="1:54" ht="14.25" customHeight="1" x14ac:dyDescent="0.3">
      <c r="A215" t="str">
        <f>IF(SAISIE!$F220="","",SAISIE!$B220)</f>
        <v/>
      </c>
      <c r="B215" t="str">
        <f>IF(SAISIE!$F220="","",SAISIE!$C220)</f>
        <v/>
      </c>
      <c r="C215" t="str">
        <f>IF(SAISIE!$F220="","",SAISIE!$D220)</f>
        <v/>
      </c>
      <c r="D215" t="str">
        <f>IF(SAISIE!$E220="","",SAISIE!$E220)</f>
        <v/>
      </c>
      <c r="E215" t="str">
        <f>IF(SAISIE!$F220="","",SAISIE!$F220)</f>
        <v/>
      </c>
      <c r="F215" t="str">
        <f>IF(SAISIE!$G220="","",SAISIE!$G220)</f>
        <v/>
      </c>
      <c r="G215" t="str">
        <f>IF(SAISIE!$H220="","",SAISIE!$H220)</f>
        <v/>
      </c>
      <c r="H215" t="str">
        <f>IF(SAISIE!$I220="","",SAISIE!$I220)</f>
        <v/>
      </c>
      <c r="I215" t="str">
        <f>IF(SAISIE!$J220="","",SAISIE!$J220)</f>
        <v/>
      </c>
      <c r="J215" t="str">
        <f>IF(SAISIE!$K220="","",SAISIE!$K220)</f>
        <v/>
      </c>
      <c r="K215" t="str">
        <f>IF(SAISIE!$L220="","",SAISIE!$L220)</f>
        <v/>
      </c>
      <c r="L215" t="str">
        <f>IF(SAISIE!$M220="","",SAISIE!$M220)</f>
        <v/>
      </c>
      <c r="M215" t="str">
        <f>IF(SAISIE!$N220="","",SAISIE!$N220)</f>
        <v/>
      </c>
      <c r="N215" t="str">
        <f>IF(SAISIE!$O220="","",SAISIE!$O220)</f>
        <v/>
      </c>
      <c r="O215" t="str">
        <f>IF(SAISIE!$P220="","",SAISIE!$P220)</f>
        <v/>
      </c>
      <c r="P215" t="str">
        <f>IF(SAISIE!$Q220="","",SAISIE!$Q220)</f>
        <v/>
      </c>
      <c r="Q215" t="str">
        <f>IF($I215="","",IF($I215&gt;PARAMETRES!$G$29,5,IF($I215&gt;PARAMETRES!$F$29,4,IF($I215&gt;PARAMETRES!$E$29,3,IF($I215&gt;PARAMETRES!$D$29,2,1)))))</f>
        <v/>
      </c>
      <c r="R215" t="str">
        <f>IF($J215="","",IF($J215&gt;PARAMETRES!$G$30,5,IF($J215&gt;PARAMETRES!$F$30,4,IF($J215&gt;PARAMETRES!$E$30,3,IF($J215&gt;PARAMETRES!$D$30,2,1)))))</f>
        <v/>
      </c>
      <c r="S215" t="str">
        <f>IF($K215="","",IF($Z215=2,IF($K215&gt;PARAMETRES!$G$31,5,IF($K215&gt;PARAMETRES!$F$31,4,IF($K215&gt;PARAMETRES!$E$31,3,IF($K215&gt;PARAMETRES!$D$31,2,1)))),IF($K215&gt;PARAMETRES!$G$32,5,IF($K215&gt;PARAMETRES!$F$32,4,IF($K215&gt;PARAMETRES!$E$32,3,IF($K215&gt;PARAMETRES!$D$32,2,1))))))</f>
        <v/>
      </c>
      <c r="T215" t="str">
        <f>IF($L215="","",IF($L215&gt;PARAMETRES!$G$33,5,IF($L215&gt;PARAMETRES!$F$33,4,IF($L215&gt;PARAMETRES!$E$33,3,IF($L215&gt;PARAMETRES!$D$33,2,1)))))</f>
        <v/>
      </c>
      <c r="U215" t="str">
        <f>IF($M215="","",IF($M215&gt;PARAMETRES!$G$34,5,IF($M215&gt;PARAMETRES!$F$34,4,IF($M215&gt;PARAMETRES!$E$34,3,IF($M215&gt;PARAMETRES!$D$34,2,1)))))</f>
        <v/>
      </c>
      <c r="V215" t="str">
        <f>IF($N215="","",IF($N215&gt;PARAMETRES!$G$35,5,IF($N215&gt;PARAMETRES!$F$35,4,IF($N215&gt;PARAMETRES!$E$35,3,IF($N215&gt;PARAMETRES!$D$35,2,1)))))</f>
        <v/>
      </c>
      <c r="W215" t="str">
        <f>IF($O215="","",IF($O215&gt;PARAMETRES!$G$36,5,IF($O215&gt;PARAMETRES!$F$36,4,IF($O215&gt;PARAMETRES!$E$36,3,IF($O215&gt;PARAMETRES!$D$36,2,1)))))</f>
        <v/>
      </c>
      <c r="X215" t="str">
        <f>IF($P215="","",IF($P215&gt;PARAMETRES!$G$37,5,IF($P215&gt;PARAMETRES!$F$37,4,IF($P215&gt;PARAMETRES!$E$37,3,IF($P215&gt;PARAMETRES!$D$37,2,1)))))</f>
        <v/>
      </c>
      <c r="Y215" t="str">
        <f t="shared" si="72"/>
        <v/>
      </c>
      <c r="Z215" t="str">
        <f>IFERROR(VLOOKUP($B215,TABLE_CYCLE,2,0),"")</f>
        <v/>
      </c>
      <c r="AA215" t="str">
        <f t="shared" si="73"/>
        <v/>
      </c>
      <c r="AB215" t="str">
        <f>IF($D215="","",IF(COUNTIF($D$2:$D215,$D215)=1,$D215,""))</f>
        <v/>
      </c>
      <c r="AC215">
        <f t="shared" si="74"/>
        <v>0</v>
      </c>
      <c r="AD215" t="str">
        <f t="shared" si="75"/>
        <v>|0</v>
      </c>
      <c r="AE215" t="str">
        <f t="shared" si="76"/>
        <v/>
      </c>
      <c r="AF215" t="str">
        <f t="shared" si="77"/>
        <v/>
      </c>
      <c r="AG215" t="str">
        <f t="shared" si="78"/>
        <v/>
      </c>
      <c r="AH215" t="str">
        <f t="shared" si="79"/>
        <v/>
      </c>
      <c r="AI215" t="str">
        <f t="shared" si="80"/>
        <v/>
      </c>
      <c r="AJ215" t="str">
        <f t="shared" si="81"/>
        <v/>
      </c>
      <c r="AK215" t="str">
        <f t="shared" si="82"/>
        <v/>
      </c>
      <c r="AL215" t="str">
        <f t="shared" si="83"/>
        <v/>
      </c>
      <c r="AM215" t="str">
        <f t="shared" si="84"/>
        <v/>
      </c>
      <c r="AN215" t="str">
        <f t="shared" si="85"/>
        <v/>
      </c>
      <c r="AO215" t="str">
        <f t="shared" si="86"/>
        <v/>
      </c>
      <c r="AP215">
        <f t="shared" si="87"/>
        <v>1</v>
      </c>
      <c r="AQ215" t="str">
        <f>IF(SAISIE!$F220="","",SAISIE!$Y220)</f>
        <v/>
      </c>
      <c r="AR215" t="str">
        <f>IF(OR(SAISIE!$U$4="",SAISIE!$W$4=""),"",IF(AND($A215=SAISIE!$U$4,$B215=SAISIE!$W$4,$C215="S1"),COUNTIFS($A$2:$A215,SAISIE!$U$4,$B$2:$B215,SAISIE!$W$4,$C$2:$C215,"S1"),""))</f>
        <v/>
      </c>
      <c r="AS215" t="str">
        <f t="shared" si="88"/>
        <v/>
      </c>
      <c r="AT215" t="str">
        <f t="shared" si="89"/>
        <v/>
      </c>
      <c r="AU215" t="str">
        <f t="shared" si="90"/>
        <v/>
      </c>
      <c r="AV215">
        <f>N(AV214)+IF(AND($AB215&lt;&gt;"",OR('PROFIL ELEVE'!$K$4="(Tous)",$AF215='PROFIL ELEVE'!$K$4)),1,0)</f>
        <v>0</v>
      </c>
      <c r="AW215">
        <f>N(AW214)+IF(AND($AB215&lt;&gt;"",OR('SUIVI LONGITUDINAL'!$Q$4="(Tous)",$AF215='SUIVI LONGITUDINAL'!$Q$4)),1,0)</f>
        <v>0</v>
      </c>
      <c r="AX215">
        <f t="shared" si="91"/>
        <v>0</v>
      </c>
      <c r="AY215">
        <f t="shared" si="92"/>
        <v>0</v>
      </c>
      <c r="AZ215">
        <f t="shared" si="93"/>
        <v>0</v>
      </c>
      <c r="BA215" t="str">
        <f t="shared" si="94"/>
        <v/>
      </c>
      <c r="BB215" t="str">
        <f t="shared" si="95"/>
        <v/>
      </c>
    </row>
    <row r="216" spans="1:54" ht="14.25" customHeight="1" x14ac:dyDescent="0.3">
      <c r="A216" t="str">
        <f>IF(SAISIE!$F221="","",SAISIE!$B221)</f>
        <v/>
      </c>
      <c r="B216" t="str">
        <f>IF(SAISIE!$F221="","",SAISIE!$C221)</f>
        <v/>
      </c>
      <c r="C216" t="str">
        <f>IF(SAISIE!$F221="","",SAISIE!$D221)</f>
        <v/>
      </c>
      <c r="D216" t="str">
        <f>IF(SAISIE!$E221="","",SAISIE!$E221)</f>
        <v/>
      </c>
      <c r="E216" t="str">
        <f>IF(SAISIE!$F221="","",SAISIE!$F221)</f>
        <v/>
      </c>
      <c r="F216" t="str">
        <f>IF(SAISIE!$G221="","",SAISIE!$G221)</f>
        <v/>
      </c>
      <c r="G216" t="str">
        <f>IF(SAISIE!$H221="","",SAISIE!$H221)</f>
        <v/>
      </c>
      <c r="H216" t="str">
        <f>IF(SAISIE!$I221="","",SAISIE!$I221)</f>
        <v/>
      </c>
      <c r="I216" t="str">
        <f>IF(SAISIE!$J221="","",SAISIE!$J221)</f>
        <v/>
      </c>
      <c r="J216" t="str">
        <f>IF(SAISIE!$K221="","",SAISIE!$K221)</f>
        <v/>
      </c>
      <c r="K216" t="str">
        <f>IF(SAISIE!$L221="","",SAISIE!$L221)</f>
        <v/>
      </c>
      <c r="L216" t="str">
        <f>IF(SAISIE!$M221="","",SAISIE!$M221)</f>
        <v/>
      </c>
      <c r="M216" t="str">
        <f>IF(SAISIE!$N221="","",SAISIE!$N221)</f>
        <v/>
      </c>
      <c r="N216" t="str">
        <f>IF(SAISIE!$O221="","",SAISIE!$O221)</f>
        <v/>
      </c>
      <c r="O216" t="str">
        <f>IF(SAISIE!$P221="","",SAISIE!$P221)</f>
        <v/>
      </c>
      <c r="P216" t="str">
        <f>IF(SAISIE!$Q221="","",SAISIE!$Q221)</f>
        <v/>
      </c>
      <c r="Q216" t="str">
        <f>IF($I216="","",IF($I216&gt;PARAMETRES!$G$29,5,IF($I216&gt;PARAMETRES!$F$29,4,IF($I216&gt;PARAMETRES!$E$29,3,IF($I216&gt;PARAMETRES!$D$29,2,1)))))</f>
        <v/>
      </c>
      <c r="R216" t="str">
        <f>IF($J216="","",IF($J216&gt;PARAMETRES!$G$30,5,IF($J216&gt;PARAMETRES!$F$30,4,IF($J216&gt;PARAMETRES!$E$30,3,IF($J216&gt;PARAMETRES!$D$30,2,1)))))</f>
        <v/>
      </c>
      <c r="S216" t="str">
        <f>IF($K216="","",IF($Z216=2,IF($K216&gt;PARAMETRES!$G$31,5,IF($K216&gt;PARAMETRES!$F$31,4,IF($K216&gt;PARAMETRES!$E$31,3,IF($K216&gt;PARAMETRES!$D$31,2,1)))),IF($K216&gt;PARAMETRES!$G$32,5,IF($K216&gt;PARAMETRES!$F$32,4,IF($K216&gt;PARAMETRES!$E$32,3,IF($K216&gt;PARAMETRES!$D$32,2,1))))))</f>
        <v/>
      </c>
      <c r="T216" t="str">
        <f>IF($L216="","",IF($L216&gt;PARAMETRES!$G$33,5,IF($L216&gt;PARAMETRES!$F$33,4,IF($L216&gt;PARAMETRES!$E$33,3,IF($L216&gt;PARAMETRES!$D$33,2,1)))))</f>
        <v/>
      </c>
      <c r="U216" t="str">
        <f>IF($M216="","",IF($M216&gt;PARAMETRES!$G$34,5,IF($M216&gt;PARAMETRES!$F$34,4,IF($M216&gt;PARAMETRES!$E$34,3,IF($M216&gt;PARAMETRES!$D$34,2,1)))))</f>
        <v/>
      </c>
      <c r="V216" t="str">
        <f>IF($N216="","",IF($N216&gt;PARAMETRES!$G$35,5,IF($N216&gt;PARAMETRES!$F$35,4,IF($N216&gt;PARAMETRES!$E$35,3,IF($N216&gt;PARAMETRES!$D$35,2,1)))))</f>
        <v/>
      </c>
      <c r="W216" t="str">
        <f>IF($O216="","",IF($O216&gt;PARAMETRES!$G$36,5,IF($O216&gt;PARAMETRES!$F$36,4,IF($O216&gt;PARAMETRES!$E$36,3,IF($O216&gt;PARAMETRES!$D$36,2,1)))))</f>
        <v/>
      </c>
      <c r="X216" t="str">
        <f>IF($P216="","",IF($P216&gt;PARAMETRES!$G$37,5,IF($P216&gt;PARAMETRES!$F$37,4,IF($P216&gt;PARAMETRES!$E$37,3,IF($P216&gt;PARAMETRES!$D$37,2,1)))))</f>
        <v/>
      </c>
      <c r="Y216" t="str">
        <f t="shared" si="72"/>
        <v/>
      </c>
      <c r="Z216" t="str">
        <f>IFERROR(VLOOKUP($B216,TABLE_CYCLE,2,0),"")</f>
        <v/>
      </c>
      <c r="AA216" t="str">
        <f t="shared" si="73"/>
        <v/>
      </c>
      <c r="AB216" t="str">
        <f>IF($D216="","",IF(COUNTIF($D$2:$D216,$D216)=1,$D216,""))</f>
        <v/>
      </c>
      <c r="AC216">
        <f t="shared" si="74"/>
        <v>0</v>
      </c>
      <c r="AD216" t="str">
        <f t="shared" si="75"/>
        <v>|0</v>
      </c>
      <c r="AE216" t="str">
        <f t="shared" si="76"/>
        <v/>
      </c>
      <c r="AF216" t="str">
        <f t="shared" si="77"/>
        <v/>
      </c>
      <c r="AG216" t="str">
        <f t="shared" si="78"/>
        <v/>
      </c>
      <c r="AH216" t="str">
        <f t="shared" si="79"/>
        <v/>
      </c>
      <c r="AI216" t="str">
        <f t="shared" si="80"/>
        <v/>
      </c>
      <c r="AJ216" t="str">
        <f t="shared" si="81"/>
        <v/>
      </c>
      <c r="AK216" t="str">
        <f t="shared" si="82"/>
        <v/>
      </c>
      <c r="AL216" t="str">
        <f t="shared" si="83"/>
        <v/>
      </c>
      <c r="AM216" t="str">
        <f t="shared" si="84"/>
        <v/>
      </c>
      <c r="AN216" t="str">
        <f t="shared" si="85"/>
        <v/>
      </c>
      <c r="AO216" t="str">
        <f t="shared" si="86"/>
        <v/>
      </c>
      <c r="AP216">
        <f t="shared" si="87"/>
        <v>1</v>
      </c>
      <c r="AQ216" t="str">
        <f>IF(SAISIE!$F221="","",SAISIE!$Y221)</f>
        <v/>
      </c>
      <c r="AR216" t="str">
        <f>IF(OR(SAISIE!$U$4="",SAISIE!$W$4=""),"",IF(AND($A216=SAISIE!$U$4,$B216=SAISIE!$W$4,$C216="S1"),COUNTIFS($A$2:$A216,SAISIE!$U$4,$B$2:$B216,SAISIE!$W$4,$C$2:$C216,"S1"),""))</f>
        <v/>
      </c>
      <c r="AS216" t="str">
        <f t="shared" si="88"/>
        <v/>
      </c>
      <c r="AT216" t="str">
        <f t="shared" si="89"/>
        <v/>
      </c>
      <c r="AU216" t="str">
        <f t="shared" si="90"/>
        <v/>
      </c>
      <c r="AV216">
        <f>N(AV215)+IF(AND($AB216&lt;&gt;"",OR('PROFIL ELEVE'!$K$4="(Tous)",$AF216='PROFIL ELEVE'!$K$4)),1,0)</f>
        <v>0</v>
      </c>
      <c r="AW216">
        <f>N(AW215)+IF(AND($AB216&lt;&gt;"",OR('SUIVI LONGITUDINAL'!$Q$4="(Tous)",$AF216='SUIVI LONGITUDINAL'!$Q$4)),1,0)</f>
        <v>0</v>
      </c>
      <c r="AX216">
        <f t="shared" si="91"/>
        <v>0</v>
      </c>
      <c r="AY216">
        <f t="shared" si="92"/>
        <v>0</v>
      </c>
      <c r="AZ216">
        <f t="shared" si="93"/>
        <v>0</v>
      </c>
      <c r="BA216" t="str">
        <f t="shared" si="94"/>
        <v/>
      </c>
      <c r="BB216" t="str">
        <f t="shared" si="95"/>
        <v/>
      </c>
    </row>
    <row r="217" spans="1:54" ht="14.25" customHeight="1" x14ac:dyDescent="0.3">
      <c r="A217" t="str">
        <f>IF(SAISIE!$F222="","",SAISIE!$B222)</f>
        <v/>
      </c>
      <c r="B217" t="str">
        <f>IF(SAISIE!$F222="","",SAISIE!$C222)</f>
        <v/>
      </c>
      <c r="C217" t="str">
        <f>IF(SAISIE!$F222="","",SAISIE!$D222)</f>
        <v/>
      </c>
      <c r="D217" t="str">
        <f>IF(SAISIE!$E222="","",SAISIE!$E222)</f>
        <v/>
      </c>
      <c r="E217" t="str">
        <f>IF(SAISIE!$F222="","",SAISIE!$F222)</f>
        <v/>
      </c>
      <c r="F217" t="str">
        <f>IF(SAISIE!$G222="","",SAISIE!$G222)</f>
        <v/>
      </c>
      <c r="G217" t="str">
        <f>IF(SAISIE!$H222="","",SAISIE!$H222)</f>
        <v/>
      </c>
      <c r="H217" t="str">
        <f>IF(SAISIE!$I222="","",SAISIE!$I222)</f>
        <v/>
      </c>
      <c r="I217" t="str">
        <f>IF(SAISIE!$J222="","",SAISIE!$J222)</f>
        <v/>
      </c>
      <c r="J217" t="str">
        <f>IF(SAISIE!$K222="","",SAISIE!$K222)</f>
        <v/>
      </c>
      <c r="K217" t="str">
        <f>IF(SAISIE!$L222="","",SAISIE!$L222)</f>
        <v/>
      </c>
      <c r="L217" t="str">
        <f>IF(SAISIE!$M222="","",SAISIE!$M222)</f>
        <v/>
      </c>
      <c r="M217" t="str">
        <f>IF(SAISIE!$N222="","",SAISIE!$N222)</f>
        <v/>
      </c>
      <c r="N217" t="str">
        <f>IF(SAISIE!$O222="","",SAISIE!$O222)</f>
        <v/>
      </c>
      <c r="O217" t="str">
        <f>IF(SAISIE!$P222="","",SAISIE!$P222)</f>
        <v/>
      </c>
      <c r="P217" t="str">
        <f>IF(SAISIE!$Q222="","",SAISIE!$Q222)</f>
        <v/>
      </c>
      <c r="Q217" t="str">
        <f>IF($I217="","",IF($I217&gt;PARAMETRES!$G$29,5,IF($I217&gt;PARAMETRES!$F$29,4,IF($I217&gt;PARAMETRES!$E$29,3,IF($I217&gt;PARAMETRES!$D$29,2,1)))))</f>
        <v/>
      </c>
      <c r="R217" t="str">
        <f>IF($J217="","",IF($J217&gt;PARAMETRES!$G$30,5,IF($J217&gt;PARAMETRES!$F$30,4,IF($J217&gt;PARAMETRES!$E$30,3,IF($J217&gt;PARAMETRES!$D$30,2,1)))))</f>
        <v/>
      </c>
      <c r="S217" t="str">
        <f>IF($K217="","",IF($Z217=2,IF($K217&gt;PARAMETRES!$G$31,5,IF($K217&gt;PARAMETRES!$F$31,4,IF($K217&gt;PARAMETRES!$E$31,3,IF($K217&gt;PARAMETRES!$D$31,2,1)))),IF($K217&gt;PARAMETRES!$G$32,5,IF($K217&gt;PARAMETRES!$F$32,4,IF($K217&gt;PARAMETRES!$E$32,3,IF($K217&gt;PARAMETRES!$D$32,2,1))))))</f>
        <v/>
      </c>
      <c r="T217" t="str">
        <f>IF($L217="","",IF($L217&gt;PARAMETRES!$G$33,5,IF($L217&gt;PARAMETRES!$F$33,4,IF($L217&gt;PARAMETRES!$E$33,3,IF($L217&gt;PARAMETRES!$D$33,2,1)))))</f>
        <v/>
      </c>
      <c r="U217" t="str">
        <f>IF($M217="","",IF($M217&gt;PARAMETRES!$G$34,5,IF($M217&gt;PARAMETRES!$F$34,4,IF($M217&gt;PARAMETRES!$E$34,3,IF($M217&gt;PARAMETRES!$D$34,2,1)))))</f>
        <v/>
      </c>
      <c r="V217" t="str">
        <f>IF($N217="","",IF($N217&gt;PARAMETRES!$G$35,5,IF($N217&gt;PARAMETRES!$F$35,4,IF($N217&gt;PARAMETRES!$E$35,3,IF($N217&gt;PARAMETRES!$D$35,2,1)))))</f>
        <v/>
      </c>
      <c r="W217" t="str">
        <f>IF($O217="","",IF($O217&gt;PARAMETRES!$G$36,5,IF($O217&gt;PARAMETRES!$F$36,4,IF($O217&gt;PARAMETRES!$E$36,3,IF($O217&gt;PARAMETRES!$D$36,2,1)))))</f>
        <v/>
      </c>
      <c r="X217" t="str">
        <f>IF($P217="","",IF($P217&gt;PARAMETRES!$G$37,5,IF($P217&gt;PARAMETRES!$F$37,4,IF($P217&gt;PARAMETRES!$E$37,3,IF($P217&gt;PARAMETRES!$D$37,2,1)))))</f>
        <v/>
      </c>
      <c r="Y217" t="str">
        <f t="shared" si="72"/>
        <v/>
      </c>
      <c r="Z217" t="str">
        <f>IFERROR(VLOOKUP($B217,TABLE_CYCLE,2,0),"")</f>
        <v/>
      </c>
      <c r="AA217" t="str">
        <f t="shared" si="73"/>
        <v/>
      </c>
      <c r="AB217" t="str">
        <f>IF($D217="","",IF(COUNTIF($D$2:$D217,$D217)=1,$D217,""))</f>
        <v/>
      </c>
      <c r="AC217">
        <f t="shared" si="74"/>
        <v>0</v>
      </c>
      <c r="AD217" t="str">
        <f t="shared" si="75"/>
        <v>|0</v>
      </c>
      <c r="AE217" t="str">
        <f t="shared" si="76"/>
        <v/>
      </c>
      <c r="AF217" t="str">
        <f t="shared" si="77"/>
        <v/>
      </c>
      <c r="AG217" t="str">
        <f t="shared" si="78"/>
        <v/>
      </c>
      <c r="AH217" t="str">
        <f t="shared" si="79"/>
        <v/>
      </c>
      <c r="AI217" t="str">
        <f t="shared" si="80"/>
        <v/>
      </c>
      <c r="AJ217" t="str">
        <f t="shared" si="81"/>
        <v/>
      </c>
      <c r="AK217" t="str">
        <f t="shared" si="82"/>
        <v/>
      </c>
      <c r="AL217" t="str">
        <f t="shared" si="83"/>
        <v/>
      </c>
      <c r="AM217" t="str">
        <f t="shared" si="84"/>
        <v/>
      </c>
      <c r="AN217" t="str">
        <f t="shared" si="85"/>
        <v/>
      </c>
      <c r="AO217" t="str">
        <f t="shared" si="86"/>
        <v/>
      </c>
      <c r="AP217">
        <f t="shared" si="87"/>
        <v>1</v>
      </c>
      <c r="AQ217" t="str">
        <f>IF(SAISIE!$F222="","",SAISIE!$Y222)</f>
        <v/>
      </c>
      <c r="AR217" t="str">
        <f>IF(OR(SAISIE!$U$4="",SAISIE!$W$4=""),"",IF(AND($A217=SAISIE!$U$4,$B217=SAISIE!$W$4,$C217="S1"),COUNTIFS($A$2:$A217,SAISIE!$U$4,$B$2:$B217,SAISIE!$W$4,$C$2:$C217,"S1"),""))</f>
        <v/>
      </c>
      <c r="AS217" t="str">
        <f t="shared" si="88"/>
        <v/>
      </c>
      <c r="AT217" t="str">
        <f t="shared" si="89"/>
        <v/>
      </c>
      <c r="AU217" t="str">
        <f t="shared" si="90"/>
        <v/>
      </c>
      <c r="AV217">
        <f>N(AV216)+IF(AND($AB217&lt;&gt;"",OR('PROFIL ELEVE'!$K$4="(Tous)",$AF217='PROFIL ELEVE'!$K$4)),1,0)</f>
        <v>0</v>
      </c>
      <c r="AW217">
        <f>N(AW216)+IF(AND($AB217&lt;&gt;"",OR('SUIVI LONGITUDINAL'!$Q$4="(Tous)",$AF217='SUIVI LONGITUDINAL'!$Q$4)),1,0)</f>
        <v>0</v>
      </c>
      <c r="AX217">
        <f t="shared" si="91"/>
        <v>0</v>
      </c>
      <c r="AY217">
        <f t="shared" si="92"/>
        <v>0</v>
      </c>
      <c r="AZ217">
        <f t="shared" si="93"/>
        <v>0</v>
      </c>
      <c r="BA217" t="str">
        <f t="shared" si="94"/>
        <v/>
      </c>
      <c r="BB217" t="str">
        <f t="shared" si="95"/>
        <v/>
      </c>
    </row>
    <row r="218" spans="1:54" ht="14.25" customHeight="1" x14ac:dyDescent="0.3">
      <c r="A218" t="str">
        <f>IF(SAISIE!$F223="","",SAISIE!$B223)</f>
        <v/>
      </c>
      <c r="B218" t="str">
        <f>IF(SAISIE!$F223="","",SAISIE!$C223)</f>
        <v/>
      </c>
      <c r="C218" t="str">
        <f>IF(SAISIE!$F223="","",SAISIE!$D223)</f>
        <v/>
      </c>
      <c r="D218" t="str">
        <f>IF(SAISIE!$E223="","",SAISIE!$E223)</f>
        <v/>
      </c>
      <c r="E218" t="str">
        <f>IF(SAISIE!$F223="","",SAISIE!$F223)</f>
        <v/>
      </c>
      <c r="F218" t="str">
        <f>IF(SAISIE!$G223="","",SAISIE!$G223)</f>
        <v/>
      </c>
      <c r="G218" t="str">
        <f>IF(SAISIE!$H223="","",SAISIE!$H223)</f>
        <v/>
      </c>
      <c r="H218" t="str">
        <f>IF(SAISIE!$I223="","",SAISIE!$I223)</f>
        <v/>
      </c>
      <c r="I218" t="str">
        <f>IF(SAISIE!$J223="","",SAISIE!$J223)</f>
        <v/>
      </c>
      <c r="J218" t="str">
        <f>IF(SAISIE!$K223="","",SAISIE!$K223)</f>
        <v/>
      </c>
      <c r="K218" t="str">
        <f>IF(SAISIE!$L223="","",SAISIE!$L223)</f>
        <v/>
      </c>
      <c r="L218" t="str">
        <f>IF(SAISIE!$M223="","",SAISIE!$M223)</f>
        <v/>
      </c>
      <c r="M218" t="str">
        <f>IF(SAISIE!$N223="","",SAISIE!$N223)</f>
        <v/>
      </c>
      <c r="N218" t="str">
        <f>IF(SAISIE!$O223="","",SAISIE!$O223)</f>
        <v/>
      </c>
      <c r="O218" t="str">
        <f>IF(SAISIE!$P223="","",SAISIE!$P223)</f>
        <v/>
      </c>
      <c r="P218" t="str">
        <f>IF(SAISIE!$Q223="","",SAISIE!$Q223)</f>
        <v/>
      </c>
      <c r="Q218" t="str">
        <f>IF($I218="","",IF($I218&gt;PARAMETRES!$G$29,5,IF($I218&gt;PARAMETRES!$F$29,4,IF($I218&gt;PARAMETRES!$E$29,3,IF($I218&gt;PARAMETRES!$D$29,2,1)))))</f>
        <v/>
      </c>
      <c r="R218" t="str">
        <f>IF($J218="","",IF($J218&gt;PARAMETRES!$G$30,5,IF($J218&gt;PARAMETRES!$F$30,4,IF($J218&gt;PARAMETRES!$E$30,3,IF($J218&gt;PARAMETRES!$D$30,2,1)))))</f>
        <v/>
      </c>
      <c r="S218" t="str">
        <f>IF($K218="","",IF($Z218=2,IF($K218&gt;PARAMETRES!$G$31,5,IF($K218&gt;PARAMETRES!$F$31,4,IF($K218&gt;PARAMETRES!$E$31,3,IF($K218&gt;PARAMETRES!$D$31,2,1)))),IF($K218&gt;PARAMETRES!$G$32,5,IF($K218&gt;PARAMETRES!$F$32,4,IF($K218&gt;PARAMETRES!$E$32,3,IF($K218&gt;PARAMETRES!$D$32,2,1))))))</f>
        <v/>
      </c>
      <c r="T218" t="str">
        <f>IF($L218="","",IF($L218&gt;PARAMETRES!$G$33,5,IF($L218&gt;PARAMETRES!$F$33,4,IF($L218&gt;PARAMETRES!$E$33,3,IF($L218&gt;PARAMETRES!$D$33,2,1)))))</f>
        <v/>
      </c>
      <c r="U218" t="str">
        <f>IF($M218="","",IF($M218&gt;PARAMETRES!$G$34,5,IF($M218&gt;PARAMETRES!$F$34,4,IF($M218&gt;PARAMETRES!$E$34,3,IF($M218&gt;PARAMETRES!$D$34,2,1)))))</f>
        <v/>
      </c>
      <c r="V218" t="str">
        <f>IF($N218="","",IF($N218&gt;PARAMETRES!$G$35,5,IF($N218&gt;PARAMETRES!$F$35,4,IF($N218&gt;PARAMETRES!$E$35,3,IF($N218&gt;PARAMETRES!$D$35,2,1)))))</f>
        <v/>
      </c>
      <c r="W218" t="str">
        <f>IF($O218="","",IF($O218&gt;PARAMETRES!$G$36,5,IF($O218&gt;PARAMETRES!$F$36,4,IF($O218&gt;PARAMETRES!$E$36,3,IF($O218&gt;PARAMETRES!$D$36,2,1)))))</f>
        <v/>
      </c>
      <c r="X218" t="str">
        <f>IF($P218="","",IF($P218&gt;PARAMETRES!$G$37,5,IF($P218&gt;PARAMETRES!$F$37,4,IF($P218&gt;PARAMETRES!$E$37,3,IF($P218&gt;PARAMETRES!$D$37,2,1)))))</f>
        <v/>
      </c>
      <c r="Y218" t="str">
        <f t="shared" si="72"/>
        <v/>
      </c>
      <c r="Z218" t="str">
        <f>IFERROR(VLOOKUP($B218,TABLE_CYCLE,2,0),"")</f>
        <v/>
      </c>
      <c r="AA218" t="str">
        <f t="shared" si="73"/>
        <v/>
      </c>
      <c r="AB218" t="str">
        <f>IF($D218="","",IF(COUNTIF($D$2:$D218,$D218)=1,$D218,""))</f>
        <v/>
      </c>
      <c r="AC218">
        <f t="shared" si="74"/>
        <v>0</v>
      </c>
      <c r="AD218" t="str">
        <f t="shared" si="75"/>
        <v>|0</v>
      </c>
      <c r="AE218" t="str">
        <f t="shared" si="76"/>
        <v/>
      </c>
      <c r="AF218" t="str">
        <f t="shared" si="77"/>
        <v/>
      </c>
      <c r="AG218" t="str">
        <f t="shared" si="78"/>
        <v/>
      </c>
      <c r="AH218" t="str">
        <f t="shared" si="79"/>
        <v/>
      </c>
      <c r="AI218" t="str">
        <f t="shared" si="80"/>
        <v/>
      </c>
      <c r="AJ218" t="str">
        <f t="shared" si="81"/>
        <v/>
      </c>
      <c r="AK218" t="str">
        <f t="shared" si="82"/>
        <v/>
      </c>
      <c r="AL218" t="str">
        <f t="shared" si="83"/>
        <v/>
      </c>
      <c r="AM218" t="str">
        <f t="shared" si="84"/>
        <v/>
      </c>
      <c r="AN218" t="str">
        <f t="shared" si="85"/>
        <v/>
      </c>
      <c r="AO218" t="str">
        <f t="shared" si="86"/>
        <v/>
      </c>
      <c r="AP218">
        <f t="shared" si="87"/>
        <v>1</v>
      </c>
      <c r="AQ218" t="str">
        <f>IF(SAISIE!$F223="","",SAISIE!$Y223)</f>
        <v/>
      </c>
      <c r="AR218" t="str">
        <f>IF(OR(SAISIE!$U$4="",SAISIE!$W$4=""),"",IF(AND($A218=SAISIE!$U$4,$B218=SAISIE!$W$4,$C218="S1"),COUNTIFS($A$2:$A218,SAISIE!$U$4,$B$2:$B218,SAISIE!$W$4,$C$2:$C218,"S1"),""))</f>
        <v/>
      </c>
      <c r="AS218" t="str">
        <f t="shared" si="88"/>
        <v/>
      </c>
      <c r="AT218" t="str">
        <f t="shared" si="89"/>
        <v/>
      </c>
      <c r="AU218" t="str">
        <f t="shared" si="90"/>
        <v/>
      </c>
      <c r="AV218">
        <f>N(AV217)+IF(AND($AB218&lt;&gt;"",OR('PROFIL ELEVE'!$K$4="(Tous)",$AF218='PROFIL ELEVE'!$K$4)),1,0)</f>
        <v>0</v>
      </c>
      <c r="AW218">
        <f>N(AW217)+IF(AND($AB218&lt;&gt;"",OR('SUIVI LONGITUDINAL'!$Q$4="(Tous)",$AF218='SUIVI LONGITUDINAL'!$Q$4)),1,0)</f>
        <v>0</v>
      </c>
      <c r="AX218">
        <f t="shared" si="91"/>
        <v>0</v>
      </c>
      <c r="AY218">
        <f t="shared" si="92"/>
        <v>0</v>
      </c>
      <c r="AZ218">
        <f t="shared" si="93"/>
        <v>0</v>
      </c>
      <c r="BA218" t="str">
        <f t="shared" si="94"/>
        <v/>
      </c>
      <c r="BB218" t="str">
        <f t="shared" si="95"/>
        <v/>
      </c>
    </row>
    <row r="219" spans="1:54" ht="14.25" customHeight="1" x14ac:dyDescent="0.3">
      <c r="A219" t="str">
        <f>IF(SAISIE!$F224="","",SAISIE!$B224)</f>
        <v/>
      </c>
      <c r="B219" t="str">
        <f>IF(SAISIE!$F224="","",SAISIE!$C224)</f>
        <v/>
      </c>
      <c r="C219" t="str">
        <f>IF(SAISIE!$F224="","",SAISIE!$D224)</f>
        <v/>
      </c>
      <c r="D219" t="str">
        <f>IF(SAISIE!$E224="","",SAISIE!$E224)</f>
        <v/>
      </c>
      <c r="E219" t="str">
        <f>IF(SAISIE!$F224="","",SAISIE!$F224)</f>
        <v/>
      </c>
      <c r="F219" t="str">
        <f>IF(SAISIE!$G224="","",SAISIE!$G224)</f>
        <v/>
      </c>
      <c r="G219" t="str">
        <f>IF(SAISIE!$H224="","",SAISIE!$H224)</f>
        <v/>
      </c>
      <c r="H219" t="str">
        <f>IF(SAISIE!$I224="","",SAISIE!$I224)</f>
        <v/>
      </c>
      <c r="I219" t="str">
        <f>IF(SAISIE!$J224="","",SAISIE!$J224)</f>
        <v/>
      </c>
      <c r="J219" t="str">
        <f>IF(SAISIE!$K224="","",SAISIE!$K224)</f>
        <v/>
      </c>
      <c r="K219" t="str">
        <f>IF(SAISIE!$L224="","",SAISIE!$L224)</f>
        <v/>
      </c>
      <c r="L219" t="str">
        <f>IF(SAISIE!$M224="","",SAISIE!$M224)</f>
        <v/>
      </c>
      <c r="M219" t="str">
        <f>IF(SAISIE!$N224="","",SAISIE!$N224)</f>
        <v/>
      </c>
      <c r="N219" t="str">
        <f>IF(SAISIE!$O224="","",SAISIE!$O224)</f>
        <v/>
      </c>
      <c r="O219" t="str">
        <f>IF(SAISIE!$P224="","",SAISIE!$P224)</f>
        <v/>
      </c>
      <c r="P219" t="str">
        <f>IF(SAISIE!$Q224="","",SAISIE!$Q224)</f>
        <v/>
      </c>
      <c r="Q219" t="str">
        <f>IF($I219="","",IF($I219&gt;PARAMETRES!$G$29,5,IF($I219&gt;PARAMETRES!$F$29,4,IF($I219&gt;PARAMETRES!$E$29,3,IF($I219&gt;PARAMETRES!$D$29,2,1)))))</f>
        <v/>
      </c>
      <c r="R219" t="str">
        <f>IF($J219="","",IF($J219&gt;PARAMETRES!$G$30,5,IF($J219&gt;PARAMETRES!$F$30,4,IF($J219&gt;PARAMETRES!$E$30,3,IF($J219&gt;PARAMETRES!$D$30,2,1)))))</f>
        <v/>
      </c>
      <c r="S219" t="str">
        <f>IF($K219="","",IF($Z219=2,IF($K219&gt;PARAMETRES!$G$31,5,IF($K219&gt;PARAMETRES!$F$31,4,IF($K219&gt;PARAMETRES!$E$31,3,IF($K219&gt;PARAMETRES!$D$31,2,1)))),IF($K219&gt;PARAMETRES!$G$32,5,IF($K219&gt;PARAMETRES!$F$32,4,IF($K219&gt;PARAMETRES!$E$32,3,IF($K219&gt;PARAMETRES!$D$32,2,1))))))</f>
        <v/>
      </c>
      <c r="T219" t="str">
        <f>IF($L219="","",IF($L219&gt;PARAMETRES!$G$33,5,IF($L219&gt;PARAMETRES!$F$33,4,IF($L219&gt;PARAMETRES!$E$33,3,IF($L219&gt;PARAMETRES!$D$33,2,1)))))</f>
        <v/>
      </c>
      <c r="U219" t="str">
        <f>IF($M219="","",IF($M219&gt;PARAMETRES!$G$34,5,IF($M219&gt;PARAMETRES!$F$34,4,IF($M219&gt;PARAMETRES!$E$34,3,IF($M219&gt;PARAMETRES!$D$34,2,1)))))</f>
        <v/>
      </c>
      <c r="V219" t="str">
        <f>IF($N219="","",IF($N219&gt;PARAMETRES!$G$35,5,IF($N219&gt;PARAMETRES!$F$35,4,IF($N219&gt;PARAMETRES!$E$35,3,IF($N219&gt;PARAMETRES!$D$35,2,1)))))</f>
        <v/>
      </c>
      <c r="W219" t="str">
        <f>IF($O219="","",IF($O219&gt;PARAMETRES!$G$36,5,IF($O219&gt;PARAMETRES!$F$36,4,IF($O219&gt;PARAMETRES!$E$36,3,IF($O219&gt;PARAMETRES!$D$36,2,1)))))</f>
        <v/>
      </c>
      <c r="X219" t="str">
        <f>IF($P219="","",IF($P219&gt;PARAMETRES!$G$37,5,IF($P219&gt;PARAMETRES!$F$37,4,IF($P219&gt;PARAMETRES!$E$37,3,IF($P219&gt;PARAMETRES!$D$37,2,1)))))</f>
        <v/>
      </c>
      <c r="Y219" t="str">
        <f t="shared" si="72"/>
        <v/>
      </c>
      <c r="Z219" t="str">
        <f>IFERROR(VLOOKUP($B219,TABLE_CYCLE,2,0),"")</f>
        <v/>
      </c>
      <c r="AA219" t="str">
        <f t="shared" si="73"/>
        <v/>
      </c>
      <c r="AB219" t="str">
        <f>IF($D219="","",IF(COUNTIF($D$2:$D219,$D219)=1,$D219,""))</f>
        <v/>
      </c>
      <c r="AC219">
        <f t="shared" si="74"/>
        <v>0</v>
      </c>
      <c r="AD219" t="str">
        <f t="shared" si="75"/>
        <v>|0</v>
      </c>
      <c r="AE219" t="str">
        <f t="shared" si="76"/>
        <v/>
      </c>
      <c r="AF219" t="str">
        <f t="shared" si="77"/>
        <v/>
      </c>
      <c r="AG219" t="str">
        <f t="shared" si="78"/>
        <v/>
      </c>
      <c r="AH219" t="str">
        <f t="shared" si="79"/>
        <v/>
      </c>
      <c r="AI219" t="str">
        <f t="shared" si="80"/>
        <v/>
      </c>
      <c r="AJ219" t="str">
        <f t="shared" si="81"/>
        <v/>
      </c>
      <c r="AK219" t="str">
        <f t="shared" si="82"/>
        <v/>
      </c>
      <c r="AL219" t="str">
        <f t="shared" si="83"/>
        <v/>
      </c>
      <c r="AM219" t="str">
        <f t="shared" si="84"/>
        <v/>
      </c>
      <c r="AN219" t="str">
        <f t="shared" si="85"/>
        <v/>
      </c>
      <c r="AO219" t="str">
        <f t="shared" si="86"/>
        <v/>
      </c>
      <c r="AP219">
        <f t="shared" si="87"/>
        <v>1</v>
      </c>
      <c r="AQ219" t="str">
        <f>IF(SAISIE!$F224="","",SAISIE!$Y224)</f>
        <v/>
      </c>
      <c r="AR219" t="str">
        <f>IF(OR(SAISIE!$U$4="",SAISIE!$W$4=""),"",IF(AND($A219=SAISIE!$U$4,$B219=SAISIE!$W$4,$C219="S1"),COUNTIFS($A$2:$A219,SAISIE!$U$4,$B$2:$B219,SAISIE!$W$4,$C$2:$C219,"S1"),""))</f>
        <v/>
      </c>
      <c r="AS219" t="str">
        <f t="shared" si="88"/>
        <v/>
      </c>
      <c r="AT219" t="str">
        <f t="shared" si="89"/>
        <v/>
      </c>
      <c r="AU219" t="str">
        <f t="shared" si="90"/>
        <v/>
      </c>
      <c r="AV219">
        <f>N(AV218)+IF(AND($AB219&lt;&gt;"",OR('PROFIL ELEVE'!$K$4="(Tous)",$AF219='PROFIL ELEVE'!$K$4)),1,0)</f>
        <v>0</v>
      </c>
      <c r="AW219">
        <f>N(AW218)+IF(AND($AB219&lt;&gt;"",OR('SUIVI LONGITUDINAL'!$Q$4="(Tous)",$AF219='SUIVI LONGITUDINAL'!$Q$4)),1,0)</f>
        <v>0</v>
      </c>
      <c r="AX219">
        <f t="shared" si="91"/>
        <v>0</v>
      </c>
      <c r="AY219">
        <f t="shared" si="92"/>
        <v>0</v>
      </c>
      <c r="AZ219">
        <f t="shared" si="93"/>
        <v>0</v>
      </c>
      <c r="BA219" t="str">
        <f t="shared" si="94"/>
        <v/>
      </c>
      <c r="BB219" t="str">
        <f t="shared" si="95"/>
        <v/>
      </c>
    </row>
    <row r="220" spans="1:54" ht="14.25" customHeight="1" x14ac:dyDescent="0.3">
      <c r="A220" t="str">
        <f>IF(SAISIE!$F225="","",SAISIE!$B225)</f>
        <v/>
      </c>
      <c r="B220" t="str">
        <f>IF(SAISIE!$F225="","",SAISIE!$C225)</f>
        <v/>
      </c>
      <c r="C220" t="str">
        <f>IF(SAISIE!$F225="","",SAISIE!$D225)</f>
        <v/>
      </c>
      <c r="D220" t="str">
        <f>IF(SAISIE!$E225="","",SAISIE!$E225)</f>
        <v/>
      </c>
      <c r="E220" t="str">
        <f>IF(SAISIE!$F225="","",SAISIE!$F225)</f>
        <v/>
      </c>
      <c r="F220" t="str">
        <f>IF(SAISIE!$G225="","",SAISIE!$G225)</f>
        <v/>
      </c>
      <c r="G220" t="str">
        <f>IF(SAISIE!$H225="","",SAISIE!$H225)</f>
        <v/>
      </c>
      <c r="H220" t="str">
        <f>IF(SAISIE!$I225="","",SAISIE!$I225)</f>
        <v/>
      </c>
      <c r="I220" t="str">
        <f>IF(SAISIE!$J225="","",SAISIE!$J225)</f>
        <v/>
      </c>
      <c r="J220" t="str">
        <f>IF(SAISIE!$K225="","",SAISIE!$K225)</f>
        <v/>
      </c>
      <c r="K220" t="str">
        <f>IF(SAISIE!$L225="","",SAISIE!$L225)</f>
        <v/>
      </c>
      <c r="L220" t="str">
        <f>IF(SAISIE!$M225="","",SAISIE!$M225)</f>
        <v/>
      </c>
      <c r="M220" t="str">
        <f>IF(SAISIE!$N225="","",SAISIE!$N225)</f>
        <v/>
      </c>
      <c r="N220" t="str">
        <f>IF(SAISIE!$O225="","",SAISIE!$O225)</f>
        <v/>
      </c>
      <c r="O220" t="str">
        <f>IF(SAISIE!$P225="","",SAISIE!$P225)</f>
        <v/>
      </c>
      <c r="P220" t="str">
        <f>IF(SAISIE!$Q225="","",SAISIE!$Q225)</f>
        <v/>
      </c>
      <c r="Q220" t="str">
        <f>IF($I220="","",IF($I220&gt;PARAMETRES!$G$29,5,IF($I220&gt;PARAMETRES!$F$29,4,IF($I220&gt;PARAMETRES!$E$29,3,IF($I220&gt;PARAMETRES!$D$29,2,1)))))</f>
        <v/>
      </c>
      <c r="R220" t="str">
        <f>IF($J220="","",IF($J220&gt;PARAMETRES!$G$30,5,IF($J220&gt;PARAMETRES!$F$30,4,IF($J220&gt;PARAMETRES!$E$30,3,IF($J220&gt;PARAMETRES!$D$30,2,1)))))</f>
        <v/>
      </c>
      <c r="S220" t="str">
        <f>IF($K220="","",IF($Z220=2,IF($K220&gt;PARAMETRES!$G$31,5,IF($K220&gt;PARAMETRES!$F$31,4,IF($K220&gt;PARAMETRES!$E$31,3,IF($K220&gt;PARAMETRES!$D$31,2,1)))),IF($K220&gt;PARAMETRES!$G$32,5,IF($K220&gt;PARAMETRES!$F$32,4,IF($K220&gt;PARAMETRES!$E$32,3,IF($K220&gt;PARAMETRES!$D$32,2,1))))))</f>
        <v/>
      </c>
      <c r="T220" t="str">
        <f>IF($L220="","",IF($L220&gt;PARAMETRES!$G$33,5,IF($L220&gt;PARAMETRES!$F$33,4,IF($L220&gt;PARAMETRES!$E$33,3,IF($L220&gt;PARAMETRES!$D$33,2,1)))))</f>
        <v/>
      </c>
      <c r="U220" t="str">
        <f>IF($M220="","",IF($M220&gt;PARAMETRES!$G$34,5,IF($M220&gt;PARAMETRES!$F$34,4,IF($M220&gt;PARAMETRES!$E$34,3,IF($M220&gt;PARAMETRES!$D$34,2,1)))))</f>
        <v/>
      </c>
      <c r="V220" t="str">
        <f>IF($N220="","",IF($N220&gt;PARAMETRES!$G$35,5,IF($N220&gt;PARAMETRES!$F$35,4,IF($N220&gt;PARAMETRES!$E$35,3,IF($N220&gt;PARAMETRES!$D$35,2,1)))))</f>
        <v/>
      </c>
      <c r="W220" t="str">
        <f>IF($O220="","",IF($O220&gt;PARAMETRES!$G$36,5,IF($O220&gt;PARAMETRES!$F$36,4,IF($O220&gt;PARAMETRES!$E$36,3,IF($O220&gt;PARAMETRES!$D$36,2,1)))))</f>
        <v/>
      </c>
      <c r="X220" t="str">
        <f>IF($P220="","",IF($P220&gt;PARAMETRES!$G$37,5,IF($P220&gt;PARAMETRES!$F$37,4,IF($P220&gt;PARAMETRES!$E$37,3,IF($P220&gt;PARAMETRES!$D$37,2,1)))))</f>
        <v/>
      </c>
      <c r="Y220" t="str">
        <f t="shared" si="72"/>
        <v/>
      </c>
      <c r="Z220" t="str">
        <f>IFERROR(VLOOKUP($B220,TABLE_CYCLE,2,0),"")</f>
        <v/>
      </c>
      <c r="AA220" t="str">
        <f t="shared" si="73"/>
        <v/>
      </c>
      <c r="AB220" t="str">
        <f>IF($D220="","",IF(COUNTIF($D$2:$D220,$D220)=1,$D220,""))</f>
        <v/>
      </c>
      <c r="AC220">
        <f t="shared" si="74"/>
        <v>0</v>
      </c>
      <c r="AD220" t="str">
        <f t="shared" si="75"/>
        <v>|0</v>
      </c>
      <c r="AE220" t="str">
        <f t="shared" si="76"/>
        <v/>
      </c>
      <c r="AF220" t="str">
        <f t="shared" si="77"/>
        <v/>
      </c>
      <c r="AG220" t="str">
        <f t="shared" si="78"/>
        <v/>
      </c>
      <c r="AH220" t="str">
        <f t="shared" si="79"/>
        <v/>
      </c>
      <c r="AI220" t="str">
        <f t="shared" si="80"/>
        <v/>
      </c>
      <c r="AJ220" t="str">
        <f t="shared" si="81"/>
        <v/>
      </c>
      <c r="AK220" t="str">
        <f t="shared" si="82"/>
        <v/>
      </c>
      <c r="AL220" t="str">
        <f t="shared" si="83"/>
        <v/>
      </c>
      <c r="AM220" t="str">
        <f t="shared" si="84"/>
        <v/>
      </c>
      <c r="AN220" t="str">
        <f t="shared" si="85"/>
        <v/>
      </c>
      <c r="AO220" t="str">
        <f t="shared" si="86"/>
        <v/>
      </c>
      <c r="AP220">
        <f t="shared" si="87"/>
        <v>1</v>
      </c>
      <c r="AQ220" t="str">
        <f>IF(SAISIE!$F225="","",SAISIE!$Y225)</f>
        <v/>
      </c>
      <c r="AR220" t="str">
        <f>IF(OR(SAISIE!$U$4="",SAISIE!$W$4=""),"",IF(AND($A220=SAISIE!$U$4,$B220=SAISIE!$W$4,$C220="S1"),COUNTIFS($A$2:$A220,SAISIE!$U$4,$B$2:$B220,SAISIE!$W$4,$C$2:$C220,"S1"),""))</f>
        <v/>
      </c>
      <c r="AS220" t="str">
        <f t="shared" si="88"/>
        <v/>
      </c>
      <c r="AT220" t="str">
        <f t="shared" si="89"/>
        <v/>
      </c>
      <c r="AU220" t="str">
        <f t="shared" si="90"/>
        <v/>
      </c>
      <c r="AV220">
        <f>N(AV219)+IF(AND($AB220&lt;&gt;"",OR('PROFIL ELEVE'!$K$4="(Tous)",$AF220='PROFIL ELEVE'!$K$4)),1,0)</f>
        <v>0</v>
      </c>
      <c r="AW220">
        <f>N(AW219)+IF(AND($AB220&lt;&gt;"",OR('SUIVI LONGITUDINAL'!$Q$4="(Tous)",$AF220='SUIVI LONGITUDINAL'!$Q$4)),1,0)</f>
        <v>0</v>
      </c>
      <c r="AX220">
        <f t="shared" si="91"/>
        <v>0</v>
      </c>
      <c r="AY220">
        <f t="shared" si="92"/>
        <v>0</v>
      </c>
      <c r="AZ220">
        <f t="shared" si="93"/>
        <v>0</v>
      </c>
      <c r="BA220" t="str">
        <f t="shared" si="94"/>
        <v/>
      </c>
      <c r="BB220" t="str">
        <f t="shared" si="95"/>
        <v/>
      </c>
    </row>
    <row r="221" spans="1:54" ht="14.25" customHeight="1" x14ac:dyDescent="0.3">
      <c r="A221" t="str">
        <f>IF(SAISIE!$F226="","",SAISIE!$B226)</f>
        <v/>
      </c>
      <c r="B221" t="str">
        <f>IF(SAISIE!$F226="","",SAISIE!$C226)</f>
        <v/>
      </c>
      <c r="C221" t="str">
        <f>IF(SAISIE!$F226="","",SAISIE!$D226)</f>
        <v/>
      </c>
      <c r="D221" t="str">
        <f>IF(SAISIE!$E226="","",SAISIE!$E226)</f>
        <v/>
      </c>
      <c r="E221" t="str">
        <f>IF(SAISIE!$F226="","",SAISIE!$F226)</f>
        <v/>
      </c>
      <c r="F221" t="str">
        <f>IF(SAISIE!$G226="","",SAISIE!$G226)</f>
        <v/>
      </c>
      <c r="G221" t="str">
        <f>IF(SAISIE!$H226="","",SAISIE!$H226)</f>
        <v/>
      </c>
      <c r="H221" t="str">
        <f>IF(SAISIE!$I226="","",SAISIE!$I226)</f>
        <v/>
      </c>
      <c r="I221" t="str">
        <f>IF(SAISIE!$J226="","",SAISIE!$J226)</f>
        <v/>
      </c>
      <c r="J221" t="str">
        <f>IF(SAISIE!$K226="","",SAISIE!$K226)</f>
        <v/>
      </c>
      <c r="K221" t="str">
        <f>IF(SAISIE!$L226="","",SAISIE!$L226)</f>
        <v/>
      </c>
      <c r="L221" t="str">
        <f>IF(SAISIE!$M226="","",SAISIE!$M226)</f>
        <v/>
      </c>
      <c r="M221" t="str">
        <f>IF(SAISIE!$N226="","",SAISIE!$N226)</f>
        <v/>
      </c>
      <c r="N221" t="str">
        <f>IF(SAISIE!$O226="","",SAISIE!$O226)</f>
        <v/>
      </c>
      <c r="O221" t="str">
        <f>IF(SAISIE!$P226="","",SAISIE!$P226)</f>
        <v/>
      </c>
      <c r="P221" t="str">
        <f>IF(SAISIE!$Q226="","",SAISIE!$Q226)</f>
        <v/>
      </c>
      <c r="Q221" t="str">
        <f>IF($I221="","",IF($I221&gt;PARAMETRES!$G$29,5,IF($I221&gt;PARAMETRES!$F$29,4,IF($I221&gt;PARAMETRES!$E$29,3,IF($I221&gt;PARAMETRES!$D$29,2,1)))))</f>
        <v/>
      </c>
      <c r="R221" t="str">
        <f>IF($J221="","",IF($J221&gt;PARAMETRES!$G$30,5,IF($J221&gt;PARAMETRES!$F$30,4,IF($J221&gt;PARAMETRES!$E$30,3,IF($J221&gt;PARAMETRES!$D$30,2,1)))))</f>
        <v/>
      </c>
      <c r="S221" t="str">
        <f>IF($K221="","",IF($Z221=2,IF($K221&gt;PARAMETRES!$G$31,5,IF($K221&gt;PARAMETRES!$F$31,4,IF($K221&gt;PARAMETRES!$E$31,3,IF($K221&gt;PARAMETRES!$D$31,2,1)))),IF($K221&gt;PARAMETRES!$G$32,5,IF($K221&gt;PARAMETRES!$F$32,4,IF($K221&gt;PARAMETRES!$E$32,3,IF($K221&gt;PARAMETRES!$D$32,2,1))))))</f>
        <v/>
      </c>
      <c r="T221" t="str">
        <f>IF($L221="","",IF($L221&gt;PARAMETRES!$G$33,5,IF($L221&gt;PARAMETRES!$F$33,4,IF($L221&gt;PARAMETRES!$E$33,3,IF($L221&gt;PARAMETRES!$D$33,2,1)))))</f>
        <v/>
      </c>
      <c r="U221" t="str">
        <f>IF($M221="","",IF($M221&gt;PARAMETRES!$G$34,5,IF($M221&gt;PARAMETRES!$F$34,4,IF($M221&gt;PARAMETRES!$E$34,3,IF($M221&gt;PARAMETRES!$D$34,2,1)))))</f>
        <v/>
      </c>
      <c r="V221" t="str">
        <f>IF($N221="","",IF($N221&gt;PARAMETRES!$G$35,5,IF($N221&gt;PARAMETRES!$F$35,4,IF($N221&gt;PARAMETRES!$E$35,3,IF($N221&gt;PARAMETRES!$D$35,2,1)))))</f>
        <v/>
      </c>
      <c r="W221" t="str">
        <f>IF($O221="","",IF($O221&gt;PARAMETRES!$G$36,5,IF($O221&gt;PARAMETRES!$F$36,4,IF($O221&gt;PARAMETRES!$E$36,3,IF($O221&gt;PARAMETRES!$D$36,2,1)))))</f>
        <v/>
      </c>
      <c r="X221" t="str">
        <f>IF($P221="","",IF($P221&gt;PARAMETRES!$G$37,5,IF($P221&gt;PARAMETRES!$F$37,4,IF($P221&gt;PARAMETRES!$E$37,3,IF($P221&gt;PARAMETRES!$D$37,2,1)))))</f>
        <v/>
      </c>
      <c r="Y221" t="str">
        <f t="shared" si="72"/>
        <v/>
      </c>
      <c r="Z221" t="str">
        <f>IFERROR(VLOOKUP($B221,TABLE_CYCLE,2,0),"")</f>
        <v/>
      </c>
      <c r="AA221" t="str">
        <f t="shared" si="73"/>
        <v/>
      </c>
      <c r="AB221" t="str">
        <f>IF($D221="","",IF(COUNTIF($D$2:$D221,$D221)=1,$D221,""))</f>
        <v/>
      </c>
      <c r="AC221">
        <f t="shared" si="74"/>
        <v>0</v>
      </c>
      <c r="AD221" t="str">
        <f t="shared" si="75"/>
        <v>|0</v>
      </c>
      <c r="AE221" t="str">
        <f t="shared" si="76"/>
        <v/>
      </c>
      <c r="AF221" t="str">
        <f t="shared" si="77"/>
        <v/>
      </c>
      <c r="AG221" t="str">
        <f t="shared" si="78"/>
        <v/>
      </c>
      <c r="AH221" t="str">
        <f t="shared" si="79"/>
        <v/>
      </c>
      <c r="AI221" t="str">
        <f t="shared" si="80"/>
        <v/>
      </c>
      <c r="AJ221" t="str">
        <f t="shared" si="81"/>
        <v/>
      </c>
      <c r="AK221" t="str">
        <f t="shared" si="82"/>
        <v/>
      </c>
      <c r="AL221" t="str">
        <f t="shared" si="83"/>
        <v/>
      </c>
      <c r="AM221" t="str">
        <f t="shared" si="84"/>
        <v/>
      </c>
      <c r="AN221" t="str">
        <f t="shared" si="85"/>
        <v/>
      </c>
      <c r="AO221" t="str">
        <f t="shared" si="86"/>
        <v/>
      </c>
      <c r="AP221">
        <f t="shared" si="87"/>
        <v>1</v>
      </c>
      <c r="AQ221" t="str">
        <f>IF(SAISIE!$F226="","",SAISIE!$Y226)</f>
        <v/>
      </c>
      <c r="AR221" t="str">
        <f>IF(OR(SAISIE!$U$4="",SAISIE!$W$4=""),"",IF(AND($A221=SAISIE!$U$4,$B221=SAISIE!$W$4,$C221="S1"),COUNTIFS($A$2:$A221,SAISIE!$U$4,$B$2:$B221,SAISIE!$W$4,$C$2:$C221,"S1"),""))</f>
        <v/>
      </c>
      <c r="AS221" t="str">
        <f t="shared" si="88"/>
        <v/>
      </c>
      <c r="AT221" t="str">
        <f t="shared" si="89"/>
        <v/>
      </c>
      <c r="AU221" t="str">
        <f t="shared" si="90"/>
        <v/>
      </c>
      <c r="AV221">
        <f>N(AV220)+IF(AND($AB221&lt;&gt;"",OR('PROFIL ELEVE'!$K$4="(Tous)",$AF221='PROFIL ELEVE'!$K$4)),1,0)</f>
        <v>0</v>
      </c>
      <c r="AW221">
        <f>N(AW220)+IF(AND($AB221&lt;&gt;"",OR('SUIVI LONGITUDINAL'!$Q$4="(Tous)",$AF221='SUIVI LONGITUDINAL'!$Q$4)),1,0)</f>
        <v>0</v>
      </c>
      <c r="AX221">
        <f t="shared" si="91"/>
        <v>0</v>
      </c>
      <c r="AY221">
        <f t="shared" si="92"/>
        <v>0</v>
      </c>
      <c r="AZ221">
        <f t="shared" si="93"/>
        <v>0</v>
      </c>
      <c r="BA221" t="str">
        <f t="shared" si="94"/>
        <v/>
      </c>
      <c r="BB221" t="str">
        <f t="shared" si="95"/>
        <v/>
      </c>
    </row>
    <row r="222" spans="1:54" ht="14.25" customHeight="1" x14ac:dyDescent="0.3">
      <c r="A222" t="str">
        <f>IF(SAISIE!$F227="","",SAISIE!$B227)</f>
        <v/>
      </c>
      <c r="B222" t="str">
        <f>IF(SAISIE!$F227="","",SAISIE!$C227)</f>
        <v/>
      </c>
      <c r="C222" t="str">
        <f>IF(SAISIE!$F227="","",SAISIE!$D227)</f>
        <v/>
      </c>
      <c r="D222" t="str">
        <f>IF(SAISIE!$E227="","",SAISIE!$E227)</f>
        <v/>
      </c>
      <c r="E222" t="str">
        <f>IF(SAISIE!$F227="","",SAISIE!$F227)</f>
        <v/>
      </c>
      <c r="F222" t="str">
        <f>IF(SAISIE!$G227="","",SAISIE!$G227)</f>
        <v/>
      </c>
      <c r="G222" t="str">
        <f>IF(SAISIE!$H227="","",SAISIE!$H227)</f>
        <v/>
      </c>
      <c r="H222" t="str">
        <f>IF(SAISIE!$I227="","",SAISIE!$I227)</f>
        <v/>
      </c>
      <c r="I222" t="str">
        <f>IF(SAISIE!$J227="","",SAISIE!$J227)</f>
        <v/>
      </c>
      <c r="J222" t="str">
        <f>IF(SAISIE!$K227="","",SAISIE!$K227)</f>
        <v/>
      </c>
      <c r="K222" t="str">
        <f>IF(SAISIE!$L227="","",SAISIE!$L227)</f>
        <v/>
      </c>
      <c r="L222" t="str">
        <f>IF(SAISIE!$M227="","",SAISIE!$M227)</f>
        <v/>
      </c>
      <c r="M222" t="str">
        <f>IF(SAISIE!$N227="","",SAISIE!$N227)</f>
        <v/>
      </c>
      <c r="N222" t="str">
        <f>IF(SAISIE!$O227="","",SAISIE!$O227)</f>
        <v/>
      </c>
      <c r="O222" t="str">
        <f>IF(SAISIE!$P227="","",SAISIE!$P227)</f>
        <v/>
      </c>
      <c r="P222" t="str">
        <f>IF(SAISIE!$Q227="","",SAISIE!$Q227)</f>
        <v/>
      </c>
      <c r="Q222" t="str">
        <f>IF($I222="","",IF($I222&gt;PARAMETRES!$G$29,5,IF($I222&gt;PARAMETRES!$F$29,4,IF($I222&gt;PARAMETRES!$E$29,3,IF($I222&gt;PARAMETRES!$D$29,2,1)))))</f>
        <v/>
      </c>
      <c r="R222" t="str">
        <f>IF($J222="","",IF($J222&gt;PARAMETRES!$G$30,5,IF($J222&gt;PARAMETRES!$F$30,4,IF($J222&gt;PARAMETRES!$E$30,3,IF($J222&gt;PARAMETRES!$D$30,2,1)))))</f>
        <v/>
      </c>
      <c r="S222" t="str">
        <f>IF($K222="","",IF($Z222=2,IF($K222&gt;PARAMETRES!$G$31,5,IF($K222&gt;PARAMETRES!$F$31,4,IF($K222&gt;PARAMETRES!$E$31,3,IF($K222&gt;PARAMETRES!$D$31,2,1)))),IF($K222&gt;PARAMETRES!$G$32,5,IF($K222&gt;PARAMETRES!$F$32,4,IF($K222&gt;PARAMETRES!$E$32,3,IF($K222&gt;PARAMETRES!$D$32,2,1))))))</f>
        <v/>
      </c>
      <c r="T222" t="str">
        <f>IF($L222="","",IF($L222&gt;PARAMETRES!$G$33,5,IF($L222&gt;PARAMETRES!$F$33,4,IF($L222&gt;PARAMETRES!$E$33,3,IF($L222&gt;PARAMETRES!$D$33,2,1)))))</f>
        <v/>
      </c>
      <c r="U222" t="str">
        <f>IF($M222="","",IF($M222&gt;PARAMETRES!$G$34,5,IF($M222&gt;PARAMETRES!$F$34,4,IF($M222&gt;PARAMETRES!$E$34,3,IF($M222&gt;PARAMETRES!$D$34,2,1)))))</f>
        <v/>
      </c>
      <c r="V222" t="str">
        <f>IF($N222="","",IF($N222&gt;PARAMETRES!$G$35,5,IF($N222&gt;PARAMETRES!$F$35,4,IF($N222&gt;PARAMETRES!$E$35,3,IF($N222&gt;PARAMETRES!$D$35,2,1)))))</f>
        <v/>
      </c>
      <c r="W222" t="str">
        <f>IF($O222="","",IF($O222&gt;PARAMETRES!$G$36,5,IF($O222&gt;PARAMETRES!$F$36,4,IF($O222&gt;PARAMETRES!$E$36,3,IF($O222&gt;PARAMETRES!$D$36,2,1)))))</f>
        <v/>
      </c>
      <c r="X222" t="str">
        <f>IF($P222="","",IF($P222&gt;PARAMETRES!$G$37,5,IF($P222&gt;PARAMETRES!$F$37,4,IF($P222&gt;PARAMETRES!$E$37,3,IF($P222&gt;PARAMETRES!$D$37,2,1)))))</f>
        <v/>
      </c>
      <c r="Y222" t="str">
        <f t="shared" si="72"/>
        <v/>
      </c>
      <c r="Z222" t="str">
        <f>IFERROR(VLOOKUP($B222,TABLE_CYCLE,2,0),"")</f>
        <v/>
      </c>
      <c r="AA222" t="str">
        <f t="shared" si="73"/>
        <v/>
      </c>
      <c r="AB222" t="str">
        <f>IF($D222="","",IF(COUNTIF($D$2:$D222,$D222)=1,$D222,""))</f>
        <v/>
      </c>
      <c r="AC222">
        <f t="shared" si="74"/>
        <v>0</v>
      </c>
      <c r="AD222" t="str">
        <f t="shared" si="75"/>
        <v>|0</v>
      </c>
      <c r="AE222" t="str">
        <f t="shared" si="76"/>
        <v/>
      </c>
      <c r="AF222" t="str">
        <f t="shared" si="77"/>
        <v/>
      </c>
      <c r="AG222" t="str">
        <f t="shared" si="78"/>
        <v/>
      </c>
      <c r="AH222" t="str">
        <f t="shared" si="79"/>
        <v/>
      </c>
      <c r="AI222" t="str">
        <f t="shared" si="80"/>
        <v/>
      </c>
      <c r="AJ222" t="str">
        <f t="shared" si="81"/>
        <v/>
      </c>
      <c r="AK222" t="str">
        <f t="shared" si="82"/>
        <v/>
      </c>
      <c r="AL222" t="str">
        <f t="shared" si="83"/>
        <v/>
      </c>
      <c r="AM222" t="str">
        <f t="shared" si="84"/>
        <v/>
      </c>
      <c r="AN222" t="str">
        <f t="shared" si="85"/>
        <v/>
      </c>
      <c r="AO222" t="str">
        <f t="shared" si="86"/>
        <v/>
      </c>
      <c r="AP222">
        <f t="shared" si="87"/>
        <v>1</v>
      </c>
      <c r="AQ222" t="str">
        <f>IF(SAISIE!$F227="","",SAISIE!$Y227)</f>
        <v/>
      </c>
      <c r="AR222" t="str">
        <f>IF(OR(SAISIE!$U$4="",SAISIE!$W$4=""),"",IF(AND($A222=SAISIE!$U$4,$B222=SAISIE!$W$4,$C222="S1"),COUNTIFS($A$2:$A222,SAISIE!$U$4,$B$2:$B222,SAISIE!$W$4,$C$2:$C222,"S1"),""))</f>
        <v/>
      </c>
      <c r="AS222" t="str">
        <f t="shared" si="88"/>
        <v/>
      </c>
      <c r="AT222" t="str">
        <f t="shared" si="89"/>
        <v/>
      </c>
      <c r="AU222" t="str">
        <f t="shared" si="90"/>
        <v/>
      </c>
      <c r="AV222">
        <f>N(AV221)+IF(AND($AB222&lt;&gt;"",OR('PROFIL ELEVE'!$K$4="(Tous)",$AF222='PROFIL ELEVE'!$K$4)),1,0)</f>
        <v>0</v>
      </c>
      <c r="AW222">
        <f>N(AW221)+IF(AND($AB222&lt;&gt;"",OR('SUIVI LONGITUDINAL'!$Q$4="(Tous)",$AF222='SUIVI LONGITUDINAL'!$Q$4)),1,0)</f>
        <v>0</v>
      </c>
      <c r="AX222">
        <f t="shared" si="91"/>
        <v>0</v>
      </c>
      <c r="AY222">
        <f t="shared" si="92"/>
        <v>0</v>
      </c>
      <c r="AZ222">
        <f t="shared" si="93"/>
        <v>0</v>
      </c>
      <c r="BA222" t="str">
        <f t="shared" si="94"/>
        <v/>
      </c>
      <c r="BB222" t="str">
        <f t="shared" si="95"/>
        <v/>
      </c>
    </row>
    <row r="223" spans="1:54" ht="14.25" customHeight="1" x14ac:dyDescent="0.3">
      <c r="A223" t="str">
        <f>IF(SAISIE!$F228="","",SAISIE!$B228)</f>
        <v/>
      </c>
      <c r="B223" t="str">
        <f>IF(SAISIE!$F228="","",SAISIE!$C228)</f>
        <v/>
      </c>
      <c r="C223" t="str">
        <f>IF(SAISIE!$F228="","",SAISIE!$D228)</f>
        <v/>
      </c>
      <c r="D223" t="str">
        <f>IF(SAISIE!$E228="","",SAISIE!$E228)</f>
        <v/>
      </c>
      <c r="E223" t="str">
        <f>IF(SAISIE!$F228="","",SAISIE!$F228)</f>
        <v/>
      </c>
      <c r="F223" t="str">
        <f>IF(SAISIE!$G228="","",SAISIE!$G228)</f>
        <v/>
      </c>
      <c r="G223" t="str">
        <f>IF(SAISIE!$H228="","",SAISIE!$H228)</f>
        <v/>
      </c>
      <c r="H223" t="str">
        <f>IF(SAISIE!$I228="","",SAISIE!$I228)</f>
        <v/>
      </c>
      <c r="I223" t="str">
        <f>IF(SAISIE!$J228="","",SAISIE!$J228)</f>
        <v/>
      </c>
      <c r="J223" t="str">
        <f>IF(SAISIE!$K228="","",SAISIE!$K228)</f>
        <v/>
      </c>
      <c r="K223" t="str">
        <f>IF(SAISIE!$L228="","",SAISIE!$L228)</f>
        <v/>
      </c>
      <c r="L223" t="str">
        <f>IF(SAISIE!$M228="","",SAISIE!$M228)</f>
        <v/>
      </c>
      <c r="M223" t="str">
        <f>IF(SAISIE!$N228="","",SAISIE!$N228)</f>
        <v/>
      </c>
      <c r="N223" t="str">
        <f>IF(SAISIE!$O228="","",SAISIE!$O228)</f>
        <v/>
      </c>
      <c r="O223" t="str">
        <f>IF(SAISIE!$P228="","",SAISIE!$P228)</f>
        <v/>
      </c>
      <c r="P223" t="str">
        <f>IF(SAISIE!$Q228="","",SAISIE!$Q228)</f>
        <v/>
      </c>
      <c r="Q223" t="str">
        <f>IF($I223="","",IF($I223&gt;PARAMETRES!$G$29,5,IF($I223&gt;PARAMETRES!$F$29,4,IF($I223&gt;PARAMETRES!$E$29,3,IF($I223&gt;PARAMETRES!$D$29,2,1)))))</f>
        <v/>
      </c>
      <c r="R223" t="str">
        <f>IF($J223="","",IF($J223&gt;PARAMETRES!$G$30,5,IF($J223&gt;PARAMETRES!$F$30,4,IF($J223&gt;PARAMETRES!$E$30,3,IF($J223&gt;PARAMETRES!$D$30,2,1)))))</f>
        <v/>
      </c>
      <c r="S223" t="str">
        <f>IF($K223="","",IF($Z223=2,IF($K223&gt;PARAMETRES!$G$31,5,IF($K223&gt;PARAMETRES!$F$31,4,IF($K223&gt;PARAMETRES!$E$31,3,IF($K223&gt;PARAMETRES!$D$31,2,1)))),IF($K223&gt;PARAMETRES!$G$32,5,IF($K223&gt;PARAMETRES!$F$32,4,IF($K223&gt;PARAMETRES!$E$32,3,IF($K223&gt;PARAMETRES!$D$32,2,1))))))</f>
        <v/>
      </c>
      <c r="T223" t="str">
        <f>IF($L223="","",IF($L223&gt;PARAMETRES!$G$33,5,IF($L223&gt;PARAMETRES!$F$33,4,IF($L223&gt;PARAMETRES!$E$33,3,IF($L223&gt;PARAMETRES!$D$33,2,1)))))</f>
        <v/>
      </c>
      <c r="U223" t="str">
        <f>IF($M223="","",IF($M223&gt;PARAMETRES!$G$34,5,IF($M223&gt;PARAMETRES!$F$34,4,IF($M223&gt;PARAMETRES!$E$34,3,IF($M223&gt;PARAMETRES!$D$34,2,1)))))</f>
        <v/>
      </c>
      <c r="V223" t="str">
        <f>IF($N223="","",IF($N223&gt;PARAMETRES!$G$35,5,IF($N223&gt;PARAMETRES!$F$35,4,IF($N223&gt;PARAMETRES!$E$35,3,IF($N223&gt;PARAMETRES!$D$35,2,1)))))</f>
        <v/>
      </c>
      <c r="W223" t="str">
        <f>IF($O223="","",IF($O223&gt;PARAMETRES!$G$36,5,IF($O223&gt;PARAMETRES!$F$36,4,IF($O223&gt;PARAMETRES!$E$36,3,IF($O223&gt;PARAMETRES!$D$36,2,1)))))</f>
        <v/>
      </c>
      <c r="X223" t="str">
        <f>IF($P223="","",IF($P223&gt;PARAMETRES!$G$37,5,IF($P223&gt;PARAMETRES!$F$37,4,IF($P223&gt;PARAMETRES!$E$37,3,IF($P223&gt;PARAMETRES!$D$37,2,1)))))</f>
        <v/>
      </c>
      <c r="Y223" t="str">
        <f t="shared" si="72"/>
        <v/>
      </c>
      <c r="Z223" t="str">
        <f>IFERROR(VLOOKUP($B223,TABLE_CYCLE,2,0),"")</f>
        <v/>
      </c>
      <c r="AA223" t="str">
        <f t="shared" si="73"/>
        <v/>
      </c>
      <c r="AB223" t="str">
        <f>IF($D223="","",IF(COUNTIF($D$2:$D223,$D223)=1,$D223,""))</f>
        <v/>
      </c>
      <c r="AC223">
        <f t="shared" si="74"/>
        <v>0</v>
      </c>
      <c r="AD223" t="str">
        <f t="shared" si="75"/>
        <v>|0</v>
      </c>
      <c r="AE223" t="str">
        <f t="shared" si="76"/>
        <v/>
      </c>
      <c r="AF223" t="str">
        <f t="shared" si="77"/>
        <v/>
      </c>
      <c r="AG223" t="str">
        <f t="shared" si="78"/>
        <v/>
      </c>
      <c r="AH223" t="str">
        <f t="shared" si="79"/>
        <v/>
      </c>
      <c r="AI223" t="str">
        <f t="shared" si="80"/>
        <v/>
      </c>
      <c r="AJ223" t="str">
        <f t="shared" si="81"/>
        <v/>
      </c>
      <c r="AK223" t="str">
        <f t="shared" si="82"/>
        <v/>
      </c>
      <c r="AL223" t="str">
        <f t="shared" si="83"/>
        <v/>
      </c>
      <c r="AM223" t="str">
        <f t="shared" si="84"/>
        <v/>
      </c>
      <c r="AN223" t="str">
        <f t="shared" si="85"/>
        <v/>
      </c>
      <c r="AO223" t="str">
        <f t="shared" si="86"/>
        <v/>
      </c>
      <c r="AP223">
        <f t="shared" si="87"/>
        <v>1</v>
      </c>
      <c r="AQ223" t="str">
        <f>IF(SAISIE!$F228="","",SAISIE!$Y228)</f>
        <v/>
      </c>
      <c r="AR223" t="str">
        <f>IF(OR(SAISIE!$U$4="",SAISIE!$W$4=""),"",IF(AND($A223=SAISIE!$U$4,$B223=SAISIE!$W$4,$C223="S1"),COUNTIFS($A$2:$A223,SAISIE!$U$4,$B$2:$B223,SAISIE!$W$4,$C$2:$C223,"S1"),""))</f>
        <v/>
      </c>
      <c r="AS223" t="str">
        <f t="shared" si="88"/>
        <v/>
      </c>
      <c r="AT223" t="str">
        <f t="shared" si="89"/>
        <v/>
      </c>
      <c r="AU223" t="str">
        <f t="shared" si="90"/>
        <v/>
      </c>
      <c r="AV223">
        <f>N(AV222)+IF(AND($AB223&lt;&gt;"",OR('PROFIL ELEVE'!$K$4="(Tous)",$AF223='PROFIL ELEVE'!$K$4)),1,0)</f>
        <v>0</v>
      </c>
      <c r="AW223">
        <f>N(AW222)+IF(AND($AB223&lt;&gt;"",OR('SUIVI LONGITUDINAL'!$Q$4="(Tous)",$AF223='SUIVI LONGITUDINAL'!$Q$4)),1,0)</f>
        <v>0</v>
      </c>
      <c r="AX223">
        <f t="shared" si="91"/>
        <v>0</v>
      </c>
      <c r="AY223">
        <f t="shared" si="92"/>
        <v>0</v>
      </c>
      <c r="AZ223">
        <f t="shared" si="93"/>
        <v>0</v>
      </c>
      <c r="BA223" t="str">
        <f t="shared" si="94"/>
        <v/>
      </c>
      <c r="BB223" t="str">
        <f t="shared" si="95"/>
        <v/>
      </c>
    </row>
    <row r="224" spans="1:54" ht="14.25" customHeight="1" x14ac:dyDescent="0.3">
      <c r="A224" t="str">
        <f>IF(SAISIE!$F229="","",SAISIE!$B229)</f>
        <v/>
      </c>
      <c r="B224" t="str">
        <f>IF(SAISIE!$F229="","",SAISIE!$C229)</f>
        <v/>
      </c>
      <c r="C224" t="str">
        <f>IF(SAISIE!$F229="","",SAISIE!$D229)</f>
        <v/>
      </c>
      <c r="D224" t="str">
        <f>IF(SAISIE!$E229="","",SAISIE!$E229)</f>
        <v/>
      </c>
      <c r="E224" t="str">
        <f>IF(SAISIE!$F229="","",SAISIE!$F229)</f>
        <v/>
      </c>
      <c r="F224" t="str">
        <f>IF(SAISIE!$G229="","",SAISIE!$G229)</f>
        <v/>
      </c>
      <c r="G224" t="str">
        <f>IF(SAISIE!$H229="","",SAISIE!$H229)</f>
        <v/>
      </c>
      <c r="H224" t="str">
        <f>IF(SAISIE!$I229="","",SAISIE!$I229)</f>
        <v/>
      </c>
      <c r="I224" t="str">
        <f>IF(SAISIE!$J229="","",SAISIE!$J229)</f>
        <v/>
      </c>
      <c r="J224" t="str">
        <f>IF(SAISIE!$K229="","",SAISIE!$K229)</f>
        <v/>
      </c>
      <c r="K224" t="str">
        <f>IF(SAISIE!$L229="","",SAISIE!$L229)</f>
        <v/>
      </c>
      <c r="L224" t="str">
        <f>IF(SAISIE!$M229="","",SAISIE!$M229)</f>
        <v/>
      </c>
      <c r="M224" t="str">
        <f>IF(SAISIE!$N229="","",SAISIE!$N229)</f>
        <v/>
      </c>
      <c r="N224" t="str">
        <f>IF(SAISIE!$O229="","",SAISIE!$O229)</f>
        <v/>
      </c>
      <c r="O224" t="str">
        <f>IF(SAISIE!$P229="","",SAISIE!$P229)</f>
        <v/>
      </c>
      <c r="P224" t="str">
        <f>IF(SAISIE!$Q229="","",SAISIE!$Q229)</f>
        <v/>
      </c>
      <c r="Q224" t="str">
        <f>IF($I224="","",IF($I224&gt;PARAMETRES!$G$29,5,IF($I224&gt;PARAMETRES!$F$29,4,IF($I224&gt;PARAMETRES!$E$29,3,IF($I224&gt;PARAMETRES!$D$29,2,1)))))</f>
        <v/>
      </c>
      <c r="R224" t="str">
        <f>IF($J224="","",IF($J224&gt;PARAMETRES!$G$30,5,IF($J224&gt;PARAMETRES!$F$30,4,IF($J224&gt;PARAMETRES!$E$30,3,IF($J224&gt;PARAMETRES!$D$30,2,1)))))</f>
        <v/>
      </c>
      <c r="S224" t="str">
        <f>IF($K224="","",IF($Z224=2,IF($K224&gt;PARAMETRES!$G$31,5,IF($K224&gt;PARAMETRES!$F$31,4,IF($K224&gt;PARAMETRES!$E$31,3,IF($K224&gt;PARAMETRES!$D$31,2,1)))),IF($K224&gt;PARAMETRES!$G$32,5,IF($K224&gt;PARAMETRES!$F$32,4,IF($K224&gt;PARAMETRES!$E$32,3,IF($K224&gt;PARAMETRES!$D$32,2,1))))))</f>
        <v/>
      </c>
      <c r="T224" t="str">
        <f>IF($L224="","",IF($L224&gt;PARAMETRES!$G$33,5,IF($L224&gt;PARAMETRES!$F$33,4,IF($L224&gt;PARAMETRES!$E$33,3,IF($L224&gt;PARAMETRES!$D$33,2,1)))))</f>
        <v/>
      </c>
      <c r="U224" t="str">
        <f>IF($M224="","",IF($M224&gt;PARAMETRES!$G$34,5,IF($M224&gt;PARAMETRES!$F$34,4,IF($M224&gt;PARAMETRES!$E$34,3,IF($M224&gt;PARAMETRES!$D$34,2,1)))))</f>
        <v/>
      </c>
      <c r="V224" t="str">
        <f>IF($N224="","",IF($N224&gt;PARAMETRES!$G$35,5,IF($N224&gt;PARAMETRES!$F$35,4,IF($N224&gt;PARAMETRES!$E$35,3,IF($N224&gt;PARAMETRES!$D$35,2,1)))))</f>
        <v/>
      </c>
      <c r="W224" t="str">
        <f>IF($O224="","",IF($O224&gt;PARAMETRES!$G$36,5,IF($O224&gt;PARAMETRES!$F$36,4,IF($O224&gt;PARAMETRES!$E$36,3,IF($O224&gt;PARAMETRES!$D$36,2,1)))))</f>
        <v/>
      </c>
      <c r="X224" t="str">
        <f>IF($P224="","",IF($P224&gt;PARAMETRES!$G$37,5,IF($P224&gt;PARAMETRES!$F$37,4,IF($P224&gt;PARAMETRES!$E$37,3,IF($P224&gt;PARAMETRES!$D$37,2,1)))))</f>
        <v/>
      </c>
      <c r="Y224" t="str">
        <f t="shared" si="72"/>
        <v/>
      </c>
      <c r="Z224" t="str">
        <f>IFERROR(VLOOKUP($B224,TABLE_CYCLE,2,0),"")</f>
        <v/>
      </c>
      <c r="AA224" t="str">
        <f t="shared" si="73"/>
        <v/>
      </c>
      <c r="AB224" t="str">
        <f>IF($D224="","",IF(COUNTIF($D$2:$D224,$D224)=1,$D224,""))</f>
        <v/>
      </c>
      <c r="AC224">
        <f t="shared" si="74"/>
        <v>0</v>
      </c>
      <c r="AD224" t="str">
        <f t="shared" si="75"/>
        <v>|0</v>
      </c>
      <c r="AE224" t="str">
        <f t="shared" si="76"/>
        <v/>
      </c>
      <c r="AF224" t="str">
        <f t="shared" si="77"/>
        <v/>
      </c>
      <c r="AG224" t="str">
        <f t="shared" si="78"/>
        <v/>
      </c>
      <c r="AH224" t="str">
        <f t="shared" si="79"/>
        <v/>
      </c>
      <c r="AI224" t="str">
        <f t="shared" si="80"/>
        <v/>
      </c>
      <c r="AJ224" t="str">
        <f t="shared" si="81"/>
        <v/>
      </c>
      <c r="AK224" t="str">
        <f t="shared" si="82"/>
        <v/>
      </c>
      <c r="AL224" t="str">
        <f t="shared" si="83"/>
        <v/>
      </c>
      <c r="AM224" t="str">
        <f t="shared" si="84"/>
        <v/>
      </c>
      <c r="AN224" t="str">
        <f t="shared" si="85"/>
        <v/>
      </c>
      <c r="AO224" t="str">
        <f t="shared" si="86"/>
        <v/>
      </c>
      <c r="AP224">
        <f t="shared" si="87"/>
        <v>1</v>
      </c>
      <c r="AQ224" t="str">
        <f>IF(SAISIE!$F229="","",SAISIE!$Y229)</f>
        <v/>
      </c>
      <c r="AR224" t="str">
        <f>IF(OR(SAISIE!$U$4="",SAISIE!$W$4=""),"",IF(AND($A224=SAISIE!$U$4,$B224=SAISIE!$W$4,$C224="S1"),COUNTIFS($A$2:$A224,SAISIE!$U$4,$B$2:$B224,SAISIE!$W$4,$C$2:$C224,"S1"),""))</f>
        <v/>
      </c>
      <c r="AS224" t="str">
        <f t="shared" si="88"/>
        <v/>
      </c>
      <c r="AT224" t="str">
        <f t="shared" si="89"/>
        <v/>
      </c>
      <c r="AU224" t="str">
        <f t="shared" si="90"/>
        <v/>
      </c>
      <c r="AV224">
        <f>N(AV223)+IF(AND($AB224&lt;&gt;"",OR('PROFIL ELEVE'!$K$4="(Tous)",$AF224='PROFIL ELEVE'!$K$4)),1,0)</f>
        <v>0</v>
      </c>
      <c r="AW224">
        <f>N(AW223)+IF(AND($AB224&lt;&gt;"",OR('SUIVI LONGITUDINAL'!$Q$4="(Tous)",$AF224='SUIVI LONGITUDINAL'!$Q$4)),1,0)</f>
        <v>0</v>
      </c>
      <c r="AX224">
        <f t="shared" si="91"/>
        <v>0</v>
      </c>
      <c r="AY224">
        <f t="shared" si="92"/>
        <v>0</v>
      </c>
      <c r="AZ224">
        <f t="shared" si="93"/>
        <v>0</v>
      </c>
      <c r="BA224" t="str">
        <f t="shared" si="94"/>
        <v/>
      </c>
      <c r="BB224" t="str">
        <f t="shared" si="95"/>
        <v/>
      </c>
    </row>
    <row r="225" spans="1:54" ht="14.25" customHeight="1" x14ac:dyDescent="0.3">
      <c r="A225" t="str">
        <f>IF(SAISIE!$F230="","",SAISIE!$B230)</f>
        <v/>
      </c>
      <c r="B225" t="str">
        <f>IF(SAISIE!$F230="","",SAISIE!$C230)</f>
        <v/>
      </c>
      <c r="C225" t="str">
        <f>IF(SAISIE!$F230="","",SAISIE!$D230)</f>
        <v/>
      </c>
      <c r="D225" t="str">
        <f>IF(SAISIE!$E230="","",SAISIE!$E230)</f>
        <v/>
      </c>
      <c r="E225" t="str">
        <f>IF(SAISIE!$F230="","",SAISIE!$F230)</f>
        <v/>
      </c>
      <c r="F225" t="str">
        <f>IF(SAISIE!$G230="","",SAISIE!$G230)</f>
        <v/>
      </c>
      <c r="G225" t="str">
        <f>IF(SAISIE!$H230="","",SAISIE!$H230)</f>
        <v/>
      </c>
      <c r="H225" t="str">
        <f>IF(SAISIE!$I230="","",SAISIE!$I230)</f>
        <v/>
      </c>
      <c r="I225" t="str">
        <f>IF(SAISIE!$J230="","",SAISIE!$J230)</f>
        <v/>
      </c>
      <c r="J225" t="str">
        <f>IF(SAISIE!$K230="","",SAISIE!$K230)</f>
        <v/>
      </c>
      <c r="K225" t="str">
        <f>IF(SAISIE!$L230="","",SAISIE!$L230)</f>
        <v/>
      </c>
      <c r="L225" t="str">
        <f>IF(SAISIE!$M230="","",SAISIE!$M230)</f>
        <v/>
      </c>
      <c r="M225" t="str">
        <f>IF(SAISIE!$N230="","",SAISIE!$N230)</f>
        <v/>
      </c>
      <c r="N225" t="str">
        <f>IF(SAISIE!$O230="","",SAISIE!$O230)</f>
        <v/>
      </c>
      <c r="O225" t="str">
        <f>IF(SAISIE!$P230="","",SAISIE!$P230)</f>
        <v/>
      </c>
      <c r="P225" t="str">
        <f>IF(SAISIE!$Q230="","",SAISIE!$Q230)</f>
        <v/>
      </c>
      <c r="Q225" t="str">
        <f>IF($I225="","",IF($I225&gt;PARAMETRES!$G$29,5,IF($I225&gt;PARAMETRES!$F$29,4,IF($I225&gt;PARAMETRES!$E$29,3,IF($I225&gt;PARAMETRES!$D$29,2,1)))))</f>
        <v/>
      </c>
      <c r="R225" t="str">
        <f>IF($J225="","",IF($J225&gt;PARAMETRES!$G$30,5,IF($J225&gt;PARAMETRES!$F$30,4,IF($J225&gt;PARAMETRES!$E$30,3,IF($J225&gt;PARAMETRES!$D$30,2,1)))))</f>
        <v/>
      </c>
      <c r="S225" t="str">
        <f>IF($K225="","",IF($Z225=2,IF($K225&gt;PARAMETRES!$G$31,5,IF($K225&gt;PARAMETRES!$F$31,4,IF($K225&gt;PARAMETRES!$E$31,3,IF($K225&gt;PARAMETRES!$D$31,2,1)))),IF($K225&gt;PARAMETRES!$G$32,5,IF($K225&gt;PARAMETRES!$F$32,4,IF($K225&gt;PARAMETRES!$E$32,3,IF($K225&gt;PARAMETRES!$D$32,2,1))))))</f>
        <v/>
      </c>
      <c r="T225" t="str">
        <f>IF($L225="","",IF($L225&gt;PARAMETRES!$G$33,5,IF($L225&gt;PARAMETRES!$F$33,4,IF($L225&gt;PARAMETRES!$E$33,3,IF($L225&gt;PARAMETRES!$D$33,2,1)))))</f>
        <v/>
      </c>
      <c r="U225" t="str">
        <f>IF($M225="","",IF($M225&gt;PARAMETRES!$G$34,5,IF($M225&gt;PARAMETRES!$F$34,4,IF($M225&gt;PARAMETRES!$E$34,3,IF($M225&gt;PARAMETRES!$D$34,2,1)))))</f>
        <v/>
      </c>
      <c r="V225" t="str">
        <f>IF($N225="","",IF($N225&gt;PARAMETRES!$G$35,5,IF($N225&gt;PARAMETRES!$F$35,4,IF($N225&gt;PARAMETRES!$E$35,3,IF($N225&gt;PARAMETRES!$D$35,2,1)))))</f>
        <v/>
      </c>
      <c r="W225" t="str">
        <f>IF($O225="","",IF($O225&gt;PARAMETRES!$G$36,5,IF($O225&gt;PARAMETRES!$F$36,4,IF($O225&gt;PARAMETRES!$E$36,3,IF($O225&gt;PARAMETRES!$D$36,2,1)))))</f>
        <v/>
      </c>
      <c r="X225" t="str">
        <f>IF($P225="","",IF($P225&gt;PARAMETRES!$G$37,5,IF($P225&gt;PARAMETRES!$F$37,4,IF($P225&gt;PARAMETRES!$E$37,3,IF($P225&gt;PARAMETRES!$D$37,2,1)))))</f>
        <v/>
      </c>
      <c r="Y225" t="str">
        <f t="shared" si="72"/>
        <v/>
      </c>
      <c r="Z225" t="str">
        <f>IFERROR(VLOOKUP($B225,TABLE_CYCLE,2,0),"")</f>
        <v/>
      </c>
      <c r="AA225" t="str">
        <f t="shared" si="73"/>
        <v/>
      </c>
      <c r="AB225" t="str">
        <f>IF($D225="","",IF(COUNTIF($D$2:$D225,$D225)=1,$D225,""))</f>
        <v/>
      </c>
      <c r="AC225">
        <f t="shared" si="74"/>
        <v>0</v>
      </c>
      <c r="AD225" t="str">
        <f t="shared" si="75"/>
        <v>|0</v>
      </c>
      <c r="AE225" t="str">
        <f t="shared" si="76"/>
        <v/>
      </c>
      <c r="AF225" t="str">
        <f t="shared" si="77"/>
        <v/>
      </c>
      <c r="AG225" t="str">
        <f t="shared" si="78"/>
        <v/>
      </c>
      <c r="AH225" t="str">
        <f t="shared" si="79"/>
        <v/>
      </c>
      <c r="AI225" t="str">
        <f t="shared" si="80"/>
        <v/>
      </c>
      <c r="AJ225" t="str">
        <f t="shared" si="81"/>
        <v/>
      </c>
      <c r="AK225" t="str">
        <f t="shared" si="82"/>
        <v/>
      </c>
      <c r="AL225" t="str">
        <f t="shared" si="83"/>
        <v/>
      </c>
      <c r="AM225" t="str">
        <f t="shared" si="84"/>
        <v/>
      </c>
      <c r="AN225" t="str">
        <f t="shared" si="85"/>
        <v/>
      </c>
      <c r="AO225" t="str">
        <f t="shared" si="86"/>
        <v/>
      </c>
      <c r="AP225">
        <f t="shared" si="87"/>
        <v>1</v>
      </c>
      <c r="AQ225" t="str">
        <f>IF(SAISIE!$F230="","",SAISIE!$Y230)</f>
        <v/>
      </c>
      <c r="AR225" t="str">
        <f>IF(OR(SAISIE!$U$4="",SAISIE!$W$4=""),"",IF(AND($A225=SAISIE!$U$4,$B225=SAISIE!$W$4,$C225="S1"),COUNTIFS($A$2:$A225,SAISIE!$U$4,$B$2:$B225,SAISIE!$W$4,$C$2:$C225,"S1"),""))</f>
        <v/>
      </c>
      <c r="AS225" t="str">
        <f t="shared" si="88"/>
        <v/>
      </c>
      <c r="AT225" t="str">
        <f t="shared" si="89"/>
        <v/>
      </c>
      <c r="AU225" t="str">
        <f t="shared" si="90"/>
        <v/>
      </c>
      <c r="AV225">
        <f>N(AV224)+IF(AND($AB225&lt;&gt;"",OR('PROFIL ELEVE'!$K$4="(Tous)",$AF225='PROFIL ELEVE'!$K$4)),1,0)</f>
        <v>0</v>
      </c>
      <c r="AW225">
        <f>N(AW224)+IF(AND($AB225&lt;&gt;"",OR('SUIVI LONGITUDINAL'!$Q$4="(Tous)",$AF225='SUIVI LONGITUDINAL'!$Q$4)),1,0)</f>
        <v>0</v>
      </c>
      <c r="AX225">
        <f t="shared" si="91"/>
        <v>0</v>
      </c>
      <c r="AY225">
        <f t="shared" si="92"/>
        <v>0</v>
      </c>
      <c r="AZ225">
        <f t="shared" si="93"/>
        <v>0</v>
      </c>
      <c r="BA225" t="str">
        <f t="shared" si="94"/>
        <v/>
      </c>
      <c r="BB225" t="str">
        <f t="shared" si="95"/>
        <v/>
      </c>
    </row>
    <row r="226" spans="1:54" ht="14.25" customHeight="1" x14ac:dyDescent="0.3">
      <c r="A226" t="str">
        <f>IF(SAISIE!$F231="","",SAISIE!$B231)</f>
        <v/>
      </c>
      <c r="B226" t="str">
        <f>IF(SAISIE!$F231="","",SAISIE!$C231)</f>
        <v/>
      </c>
      <c r="C226" t="str">
        <f>IF(SAISIE!$F231="","",SAISIE!$D231)</f>
        <v/>
      </c>
      <c r="D226" t="str">
        <f>IF(SAISIE!$E231="","",SAISIE!$E231)</f>
        <v/>
      </c>
      <c r="E226" t="str">
        <f>IF(SAISIE!$F231="","",SAISIE!$F231)</f>
        <v/>
      </c>
      <c r="F226" t="str">
        <f>IF(SAISIE!$G231="","",SAISIE!$G231)</f>
        <v/>
      </c>
      <c r="G226" t="str">
        <f>IF(SAISIE!$H231="","",SAISIE!$H231)</f>
        <v/>
      </c>
      <c r="H226" t="str">
        <f>IF(SAISIE!$I231="","",SAISIE!$I231)</f>
        <v/>
      </c>
      <c r="I226" t="str">
        <f>IF(SAISIE!$J231="","",SAISIE!$J231)</f>
        <v/>
      </c>
      <c r="J226" t="str">
        <f>IF(SAISIE!$K231="","",SAISIE!$K231)</f>
        <v/>
      </c>
      <c r="K226" t="str">
        <f>IF(SAISIE!$L231="","",SAISIE!$L231)</f>
        <v/>
      </c>
      <c r="L226" t="str">
        <f>IF(SAISIE!$M231="","",SAISIE!$M231)</f>
        <v/>
      </c>
      <c r="M226" t="str">
        <f>IF(SAISIE!$N231="","",SAISIE!$N231)</f>
        <v/>
      </c>
      <c r="N226" t="str">
        <f>IF(SAISIE!$O231="","",SAISIE!$O231)</f>
        <v/>
      </c>
      <c r="O226" t="str">
        <f>IF(SAISIE!$P231="","",SAISIE!$P231)</f>
        <v/>
      </c>
      <c r="P226" t="str">
        <f>IF(SAISIE!$Q231="","",SAISIE!$Q231)</f>
        <v/>
      </c>
      <c r="Q226" t="str">
        <f>IF($I226="","",IF($I226&gt;PARAMETRES!$G$29,5,IF($I226&gt;PARAMETRES!$F$29,4,IF($I226&gt;PARAMETRES!$E$29,3,IF($I226&gt;PARAMETRES!$D$29,2,1)))))</f>
        <v/>
      </c>
      <c r="R226" t="str">
        <f>IF($J226="","",IF($J226&gt;PARAMETRES!$G$30,5,IF($J226&gt;PARAMETRES!$F$30,4,IF($J226&gt;PARAMETRES!$E$30,3,IF($J226&gt;PARAMETRES!$D$30,2,1)))))</f>
        <v/>
      </c>
      <c r="S226" t="str">
        <f>IF($K226="","",IF($Z226=2,IF($K226&gt;PARAMETRES!$G$31,5,IF($K226&gt;PARAMETRES!$F$31,4,IF($K226&gt;PARAMETRES!$E$31,3,IF($K226&gt;PARAMETRES!$D$31,2,1)))),IF($K226&gt;PARAMETRES!$G$32,5,IF($K226&gt;PARAMETRES!$F$32,4,IF($K226&gt;PARAMETRES!$E$32,3,IF($K226&gt;PARAMETRES!$D$32,2,1))))))</f>
        <v/>
      </c>
      <c r="T226" t="str">
        <f>IF($L226="","",IF($L226&gt;PARAMETRES!$G$33,5,IF($L226&gt;PARAMETRES!$F$33,4,IF($L226&gt;PARAMETRES!$E$33,3,IF($L226&gt;PARAMETRES!$D$33,2,1)))))</f>
        <v/>
      </c>
      <c r="U226" t="str">
        <f>IF($M226="","",IF($M226&gt;PARAMETRES!$G$34,5,IF($M226&gt;PARAMETRES!$F$34,4,IF($M226&gt;PARAMETRES!$E$34,3,IF($M226&gt;PARAMETRES!$D$34,2,1)))))</f>
        <v/>
      </c>
      <c r="V226" t="str">
        <f>IF($N226="","",IF($N226&gt;PARAMETRES!$G$35,5,IF($N226&gt;PARAMETRES!$F$35,4,IF($N226&gt;PARAMETRES!$E$35,3,IF($N226&gt;PARAMETRES!$D$35,2,1)))))</f>
        <v/>
      </c>
      <c r="W226" t="str">
        <f>IF($O226="","",IF($O226&gt;PARAMETRES!$G$36,5,IF($O226&gt;PARAMETRES!$F$36,4,IF($O226&gt;PARAMETRES!$E$36,3,IF($O226&gt;PARAMETRES!$D$36,2,1)))))</f>
        <v/>
      </c>
      <c r="X226" t="str">
        <f>IF($P226="","",IF($P226&gt;PARAMETRES!$G$37,5,IF($P226&gt;PARAMETRES!$F$37,4,IF($P226&gt;PARAMETRES!$E$37,3,IF($P226&gt;PARAMETRES!$D$37,2,1)))))</f>
        <v/>
      </c>
      <c r="Y226" t="str">
        <f t="shared" si="72"/>
        <v/>
      </c>
      <c r="Z226" t="str">
        <f>IFERROR(VLOOKUP($B226,TABLE_CYCLE,2,0),"")</f>
        <v/>
      </c>
      <c r="AA226" t="str">
        <f t="shared" si="73"/>
        <v/>
      </c>
      <c r="AB226" t="str">
        <f>IF($D226="","",IF(COUNTIF($D$2:$D226,$D226)=1,$D226,""))</f>
        <v/>
      </c>
      <c r="AC226">
        <f t="shared" si="74"/>
        <v>0</v>
      </c>
      <c r="AD226" t="str">
        <f t="shared" si="75"/>
        <v>|0</v>
      </c>
      <c r="AE226" t="str">
        <f t="shared" si="76"/>
        <v/>
      </c>
      <c r="AF226" t="str">
        <f t="shared" si="77"/>
        <v/>
      </c>
      <c r="AG226" t="str">
        <f t="shared" si="78"/>
        <v/>
      </c>
      <c r="AH226" t="str">
        <f t="shared" si="79"/>
        <v/>
      </c>
      <c r="AI226" t="str">
        <f t="shared" si="80"/>
        <v/>
      </c>
      <c r="AJ226" t="str">
        <f t="shared" si="81"/>
        <v/>
      </c>
      <c r="AK226" t="str">
        <f t="shared" si="82"/>
        <v/>
      </c>
      <c r="AL226" t="str">
        <f t="shared" si="83"/>
        <v/>
      </c>
      <c r="AM226" t="str">
        <f t="shared" si="84"/>
        <v/>
      </c>
      <c r="AN226" t="str">
        <f t="shared" si="85"/>
        <v/>
      </c>
      <c r="AO226" t="str">
        <f t="shared" si="86"/>
        <v/>
      </c>
      <c r="AP226">
        <f t="shared" si="87"/>
        <v>1</v>
      </c>
      <c r="AQ226" t="str">
        <f>IF(SAISIE!$F231="","",SAISIE!$Y231)</f>
        <v/>
      </c>
      <c r="AR226" t="str">
        <f>IF(OR(SAISIE!$U$4="",SAISIE!$W$4=""),"",IF(AND($A226=SAISIE!$U$4,$B226=SAISIE!$W$4,$C226="S1"),COUNTIFS($A$2:$A226,SAISIE!$U$4,$B$2:$B226,SAISIE!$W$4,$C$2:$C226,"S1"),""))</f>
        <v/>
      </c>
      <c r="AS226" t="str">
        <f t="shared" si="88"/>
        <v/>
      </c>
      <c r="AT226" t="str">
        <f t="shared" si="89"/>
        <v/>
      </c>
      <c r="AU226" t="str">
        <f t="shared" si="90"/>
        <v/>
      </c>
      <c r="AV226">
        <f>N(AV225)+IF(AND($AB226&lt;&gt;"",OR('PROFIL ELEVE'!$K$4="(Tous)",$AF226='PROFIL ELEVE'!$K$4)),1,0)</f>
        <v>0</v>
      </c>
      <c r="AW226">
        <f>N(AW225)+IF(AND($AB226&lt;&gt;"",OR('SUIVI LONGITUDINAL'!$Q$4="(Tous)",$AF226='SUIVI LONGITUDINAL'!$Q$4)),1,0)</f>
        <v>0</v>
      </c>
      <c r="AX226">
        <f t="shared" si="91"/>
        <v>0</v>
      </c>
      <c r="AY226">
        <f t="shared" si="92"/>
        <v>0</v>
      </c>
      <c r="AZ226">
        <f t="shared" si="93"/>
        <v>0</v>
      </c>
      <c r="BA226" t="str">
        <f t="shared" si="94"/>
        <v/>
      </c>
      <c r="BB226" t="str">
        <f t="shared" si="95"/>
        <v/>
      </c>
    </row>
    <row r="227" spans="1:54" ht="14.25" customHeight="1" x14ac:dyDescent="0.3">
      <c r="A227" t="str">
        <f>IF(SAISIE!$F232="","",SAISIE!$B232)</f>
        <v/>
      </c>
      <c r="B227" t="str">
        <f>IF(SAISIE!$F232="","",SAISIE!$C232)</f>
        <v/>
      </c>
      <c r="C227" t="str">
        <f>IF(SAISIE!$F232="","",SAISIE!$D232)</f>
        <v/>
      </c>
      <c r="D227" t="str">
        <f>IF(SAISIE!$E232="","",SAISIE!$E232)</f>
        <v/>
      </c>
      <c r="E227" t="str">
        <f>IF(SAISIE!$F232="","",SAISIE!$F232)</f>
        <v/>
      </c>
      <c r="F227" t="str">
        <f>IF(SAISIE!$G232="","",SAISIE!$G232)</f>
        <v/>
      </c>
      <c r="G227" t="str">
        <f>IF(SAISIE!$H232="","",SAISIE!$H232)</f>
        <v/>
      </c>
      <c r="H227" t="str">
        <f>IF(SAISIE!$I232="","",SAISIE!$I232)</f>
        <v/>
      </c>
      <c r="I227" t="str">
        <f>IF(SAISIE!$J232="","",SAISIE!$J232)</f>
        <v/>
      </c>
      <c r="J227" t="str">
        <f>IF(SAISIE!$K232="","",SAISIE!$K232)</f>
        <v/>
      </c>
      <c r="K227" t="str">
        <f>IF(SAISIE!$L232="","",SAISIE!$L232)</f>
        <v/>
      </c>
      <c r="L227" t="str">
        <f>IF(SAISIE!$M232="","",SAISIE!$M232)</f>
        <v/>
      </c>
      <c r="M227" t="str">
        <f>IF(SAISIE!$N232="","",SAISIE!$N232)</f>
        <v/>
      </c>
      <c r="N227" t="str">
        <f>IF(SAISIE!$O232="","",SAISIE!$O232)</f>
        <v/>
      </c>
      <c r="O227" t="str">
        <f>IF(SAISIE!$P232="","",SAISIE!$P232)</f>
        <v/>
      </c>
      <c r="P227" t="str">
        <f>IF(SAISIE!$Q232="","",SAISIE!$Q232)</f>
        <v/>
      </c>
      <c r="Q227" t="str">
        <f>IF($I227="","",IF($I227&gt;PARAMETRES!$G$29,5,IF($I227&gt;PARAMETRES!$F$29,4,IF($I227&gt;PARAMETRES!$E$29,3,IF($I227&gt;PARAMETRES!$D$29,2,1)))))</f>
        <v/>
      </c>
      <c r="R227" t="str">
        <f>IF($J227="","",IF($J227&gt;PARAMETRES!$G$30,5,IF($J227&gt;PARAMETRES!$F$30,4,IF($J227&gt;PARAMETRES!$E$30,3,IF($J227&gt;PARAMETRES!$D$30,2,1)))))</f>
        <v/>
      </c>
      <c r="S227" t="str">
        <f>IF($K227="","",IF($Z227=2,IF($K227&gt;PARAMETRES!$G$31,5,IF($K227&gt;PARAMETRES!$F$31,4,IF($K227&gt;PARAMETRES!$E$31,3,IF($K227&gt;PARAMETRES!$D$31,2,1)))),IF($K227&gt;PARAMETRES!$G$32,5,IF($K227&gt;PARAMETRES!$F$32,4,IF($K227&gt;PARAMETRES!$E$32,3,IF($K227&gt;PARAMETRES!$D$32,2,1))))))</f>
        <v/>
      </c>
      <c r="T227" t="str">
        <f>IF($L227="","",IF($L227&gt;PARAMETRES!$G$33,5,IF($L227&gt;PARAMETRES!$F$33,4,IF($L227&gt;PARAMETRES!$E$33,3,IF($L227&gt;PARAMETRES!$D$33,2,1)))))</f>
        <v/>
      </c>
      <c r="U227" t="str">
        <f>IF($M227="","",IF($M227&gt;PARAMETRES!$G$34,5,IF($M227&gt;PARAMETRES!$F$34,4,IF($M227&gt;PARAMETRES!$E$34,3,IF($M227&gt;PARAMETRES!$D$34,2,1)))))</f>
        <v/>
      </c>
      <c r="V227" t="str">
        <f>IF($N227="","",IF($N227&gt;PARAMETRES!$G$35,5,IF($N227&gt;PARAMETRES!$F$35,4,IF($N227&gt;PARAMETRES!$E$35,3,IF($N227&gt;PARAMETRES!$D$35,2,1)))))</f>
        <v/>
      </c>
      <c r="W227" t="str">
        <f>IF($O227="","",IF($O227&gt;PARAMETRES!$G$36,5,IF($O227&gt;PARAMETRES!$F$36,4,IF($O227&gt;PARAMETRES!$E$36,3,IF($O227&gt;PARAMETRES!$D$36,2,1)))))</f>
        <v/>
      </c>
      <c r="X227" t="str">
        <f>IF($P227="","",IF($P227&gt;PARAMETRES!$G$37,5,IF($P227&gt;PARAMETRES!$F$37,4,IF($P227&gt;PARAMETRES!$E$37,3,IF($P227&gt;PARAMETRES!$D$37,2,1)))))</f>
        <v/>
      </c>
      <c r="Y227" t="str">
        <f t="shared" si="72"/>
        <v/>
      </c>
      <c r="Z227" t="str">
        <f>IFERROR(VLOOKUP($B227,TABLE_CYCLE,2,0),"")</f>
        <v/>
      </c>
      <c r="AA227" t="str">
        <f t="shared" si="73"/>
        <v/>
      </c>
      <c r="AB227" t="str">
        <f>IF($D227="","",IF(COUNTIF($D$2:$D227,$D227)=1,$D227,""))</f>
        <v/>
      </c>
      <c r="AC227">
        <f t="shared" si="74"/>
        <v>0</v>
      </c>
      <c r="AD227" t="str">
        <f t="shared" si="75"/>
        <v>|0</v>
      </c>
      <c r="AE227" t="str">
        <f t="shared" si="76"/>
        <v/>
      </c>
      <c r="AF227" t="str">
        <f t="shared" si="77"/>
        <v/>
      </c>
      <c r="AG227" t="str">
        <f t="shared" si="78"/>
        <v/>
      </c>
      <c r="AH227" t="str">
        <f t="shared" si="79"/>
        <v/>
      </c>
      <c r="AI227" t="str">
        <f t="shared" si="80"/>
        <v/>
      </c>
      <c r="AJ227" t="str">
        <f t="shared" si="81"/>
        <v/>
      </c>
      <c r="AK227" t="str">
        <f t="shared" si="82"/>
        <v/>
      </c>
      <c r="AL227" t="str">
        <f t="shared" si="83"/>
        <v/>
      </c>
      <c r="AM227" t="str">
        <f t="shared" si="84"/>
        <v/>
      </c>
      <c r="AN227" t="str">
        <f t="shared" si="85"/>
        <v/>
      </c>
      <c r="AO227" t="str">
        <f t="shared" si="86"/>
        <v/>
      </c>
      <c r="AP227">
        <f t="shared" si="87"/>
        <v>1</v>
      </c>
      <c r="AQ227" t="str">
        <f>IF(SAISIE!$F232="","",SAISIE!$Y232)</f>
        <v/>
      </c>
      <c r="AR227" t="str">
        <f>IF(OR(SAISIE!$U$4="",SAISIE!$W$4=""),"",IF(AND($A227=SAISIE!$U$4,$B227=SAISIE!$W$4,$C227="S1"),COUNTIFS($A$2:$A227,SAISIE!$U$4,$B$2:$B227,SAISIE!$W$4,$C$2:$C227,"S1"),""))</f>
        <v/>
      </c>
      <c r="AS227" t="str">
        <f t="shared" si="88"/>
        <v/>
      </c>
      <c r="AT227" t="str">
        <f t="shared" si="89"/>
        <v/>
      </c>
      <c r="AU227" t="str">
        <f t="shared" si="90"/>
        <v/>
      </c>
      <c r="AV227">
        <f>N(AV226)+IF(AND($AB227&lt;&gt;"",OR('PROFIL ELEVE'!$K$4="(Tous)",$AF227='PROFIL ELEVE'!$K$4)),1,0)</f>
        <v>0</v>
      </c>
      <c r="AW227">
        <f>N(AW226)+IF(AND($AB227&lt;&gt;"",OR('SUIVI LONGITUDINAL'!$Q$4="(Tous)",$AF227='SUIVI LONGITUDINAL'!$Q$4)),1,0)</f>
        <v>0</v>
      </c>
      <c r="AX227">
        <f t="shared" si="91"/>
        <v>0</v>
      </c>
      <c r="AY227">
        <f t="shared" si="92"/>
        <v>0</v>
      </c>
      <c r="AZ227">
        <f t="shared" si="93"/>
        <v>0</v>
      </c>
      <c r="BA227" t="str">
        <f t="shared" si="94"/>
        <v/>
      </c>
      <c r="BB227" t="str">
        <f t="shared" si="95"/>
        <v/>
      </c>
    </row>
    <row r="228" spans="1:54" ht="14.25" customHeight="1" x14ac:dyDescent="0.3">
      <c r="A228" t="str">
        <f>IF(SAISIE!$F233="","",SAISIE!$B233)</f>
        <v/>
      </c>
      <c r="B228" t="str">
        <f>IF(SAISIE!$F233="","",SAISIE!$C233)</f>
        <v/>
      </c>
      <c r="C228" t="str">
        <f>IF(SAISIE!$F233="","",SAISIE!$D233)</f>
        <v/>
      </c>
      <c r="D228" t="str">
        <f>IF(SAISIE!$E233="","",SAISIE!$E233)</f>
        <v/>
      </c>
      <c r="E228" t="str">
        <f>IF(SAISIE!$F233="","",SAISIE!$F233)</f>
        <v/>
      </c>
      <c r="F228" t="str">
        <f>IF(SAISIE!$G233="","",SAISIE!$G233)</f>
        <v/>
      </c>
      <c r="G228" t="str">
        <f>IF(SAISIE!$H233="","",SAISIE!$H233)</f>
        <v/>
      </c>
      <c r="H228" t="str">
        <f>IF(SAISIE!$I233="","",SAISIE!$I233)</f>
        <v/>
      </c>
      <c r="I228" t="str">
        <f>IF(SAISIE!$J233="","",SAISIE!$J233)</f>
        <v/>
      </c>
      <c r="J228" t="str">
        <f>IF(SAISIE!$K233="","",SAISIE!$K233)</f>
        <v/>
      </c>
      <c r="K228" t="str">
        <f>IF(SAISIE!$L233="","",SAISIE!$L233)</f>
        <v/>
      </c>
      <c r="L228" t="str">
        <f>IF(SAISIE!$M233="","",SAISIE!$M233)</f>
        <v/>
      </c>
      <c r="M228" t="str">
        <f>IF(SAISIE!$N233="","",SAISIE!$N233)</f>
        <v/>
      </c>
      <c r="N228" t="str">
        <f>IF(SAISIE!$O233="","",SAISIE!$O233)</f>
        <v/>
      </c>
      <c r="O228" t="str">
        <f>IF(SAISIE!$P233="","",SAISIE!$P233)</f>
        <v/>
      </c>
      <c r="P228" t="str">
        <f>IF(SAISIE!$Q233="","",SAISIE!$Q233)</f>
        <v/>
      </c>
      <c r="Q228" t="str">
        <f>IF($I228="","",IF($I228&gt;PARAMETRES!$G$29,5,IF($I228&gt;PARAMETRES!$F$29,4,IF($I228&gt;PARAMETRES!$E$29,3,IF($I228&gt;PARAMETRES!$D$29,2,1)))))</f>
        <v/>
      </c>
      <c r="R228" t="str">
        <f>IF($J228="","",IF($J228&gt;PARAMETRES!$G$30,5,IF($J228&gt;PARAMETRES!$F$30,4,IF($J228&gt;PARAMETRES!$E$30,3,IF($J228&gt;PARAMETRES!$D$30,2,1)))))</f>
        <v/>
      </c>
      <c r="S228" t="str">
        <f>IF($K228="","",IF($Z228=2,IF($K228&gt;PARAMETRES!$G$31,5,IF($K228&gt;PARAMETRES!$F$31,4,IF($K228&gt;PARAMETRES!$E$31,3,IF($K228&gt;PARAMETRES!$D$31,2,1)))),IF($K228&gt;PARAMETRES!$G$32,5,IF($K228&gt;PARAMETRES!$F$32,4,IF($K228&gt;PARAMETRES!$E$32,3,IF($K228&gt;PARAMETRES!$D$32,2,1))))))</f>
        <v/>
      </c>
      <c r="T228" t="str">
        <f>IF($L228="","",IF($L228&gt;PARAMETRES!$G$33,5,IF($L228&gt;PARAMETRES!$F$33,4,IF($L228&gt;PARAMETRES!$E$33,3,IF($L228&gt;PARAMETRES!$D$33,2,1)))))</f>
        <v/>
      </c>
      <c r="U228" t="str">
        <f>IF($M228="","",IF($M228&gt;PARAMETRES!$G$34,5,IF($M228&gt;PARAMETRES!$F$34,4,IF($M228&gt;PARAMETRES!$E$34,3,IF($M228&gt;PARAMETRES!$D$34,2,1)))))</f>
        <v/>
      </c>
      <c r="V228" t="str">
        <f>IF($N228="","",IF($N228&gt;PARAMETRES!$G$35,5,IF($N228&gt;PARAMETRES!$F$35,4,IF($N228&gt;PARAMETRES!$E$35,3,IF($N228&gt;PARAMETRES!$D$35,2,1)))))</f>
        <v/>
      </c>
      <c r="W228" t="str">
        <f>IF($O228="","",IF($O228&gt;PARAMETRES!$G$36,5,IF($O228&gt;PARAMETRES!$F$36,4,IF($O228&gt;PARAMETRES!$E$36,3,IF($O228&gt;PARAMETRES!$D$36,2,1)))))</f>
        <v/>
      </c>
      <c r="X228" t="str">
        <f>IF($P228="","",IF($P228&gt;PARAMETRES!$G$37,5,IF($P228&gt;PARAMETRES!$F$37,4,IF($P228&gt;PARAMETRES!$E$37,3,IF($P228&gt;PARAMETRES!$D$37,2,1)))))</f>
        <v/>
      </c>
      <c r="Y228" t="str">
        <f t="shared" si="72"/>
        <v/>
      </c>
      <c r="Z228" t="str">
        <f>IFERROR(VLOOKUP($B228,TABLE_CYCLE,2,0),"")</f>
        <v/>
      </c>
      <c r="AA228" t="str">
        <f t="shared" si="73"/>
        <v/>
      </c>
      <c r="AB228" t="str">
        <f>IF($D228="","",IF(COUNTIF($D$2:$D228,$D228)=1,$D228,""))</f>
        <v/>
      </c>
      <c r="AC228">
        <f t="shared" si="74"/>
        <v>0</v>
      </c>
      <c r="AD228" t="str">
        <f t="shared" si="75"/>
        <v>|0</v>
      </c>
      <c r="AE228" t="str">
        <f t="shared" si="76"/>
        <v/>
      </c>
      <c r="AF228" t="str">
        <f t="shared" si="77"/>
        <v/>
      </c>
      <c r="AG228" t="str">
        <f t="shared" si="78"/>
        <v/>
      </c>
      <c r="AH228" t="str">
        <f t="shared" si="79"/>
        <v/>
      </c>
      <c r="AI228" t="str">
        <f t="shared" si="80"/>
        <v/>
      </c>
      <c r="AJ228" t="str">
        <f t="shared" si="81"/>
        <v/>
      </c>
      <c r="AK228" t="str">
        <f t="shared" si="82"/>
        <v/>
      </c>
      <c r="AL228" t="str">
        <f t="shared" si="83"/>
        <v/>
      </c>
      <c r="AM228" t="str">
        <f t="shared" si="84"/>
        <v/>
      </c>
      <c r="AN228" t="str">
        <f t="shared" si="85"/>
        <v/>
      </c>
      <c r="AO228" t="str">
        <f t="shared" si="86"/>
        <v/>
      </c>
      <c r="AP228">
        <f t="shared" si="87"/>
        <v>1</v>
      </c>
      <c r="AQ228" t="str">
        <f>IF(SAISIE!$F233="","",SAISIE!$Y233)</f>
        <v/>
      </c>
      <c r="AR228" t="str">
        <f>IF(OR(SAISIE!$U$4="",SAISIE!$W$4=""),"",IF(AND($A228=SAISIE!$U$4,$B228=SAISIE!$W$4,$C228="S1"),COUNTIFS($A$2:$A228,SAISIE!$U$4,$B$2:$B228,SAISIE!$W$4,$C$2:$C228,"S1"),""))</f>
        <v/>
      </c>
      <c r="AS228" t="str">
        <f t="shared" si="88"/>
        <v/>
      </c>
      <c r="AT228" t="str">
        <f t="shared" si="89"/>
        <v/>
      </c>
      <c r="AU228" t="str">
        <f t="shared" si="90"/>
        <v/>
      </c>
      <c r="AV228">
        <f>N(AV227)+IF(AND($AB228&lt;&gt;"",OR('PROFIL ELEVE'!$K$4="(Tous)",$AF228='PROFIL ELEVE'!$K$4)),1,0)</f>
        <v>0</v>
      </c>
      <c r="AW228">
        <f>N(AW227)+IF(AND($AB228&lt;&gt;"",OR('SUIVI LONGITUDINAL'!$Q$4="(Tous)",$AF228='SUIVI LONGITUDINAL'!$Q$4)),1,0)</f>
        <v>0</v>
      </c>
      <c r="AX228">
        <f t="shared" si="91"/>
        <v>0</v>
      </c>
      <c r="AY228">
        <f t="shared" si="92"/>
        <v>0</v>
      </c>
      <c r="AZ228">
        <f t="shared" si="93"/>
        <v>0</v>
      </c>
      <c r="BA228" t="str">
        <f t="shared" si="94"/>
        <v/>
      </c>
      <c r="BB228" t="str">
        <f t="shared" si="95"/>
        <v/>
      </c>
    </row>
    <row r="229" spans="1:54" ht="14.25" customHeight="1" x14ac:dyDescent="0.3">
      <c r="A229" t="str">
        <f>IF(SAISIE!$F234="","",SAISIE!$B234)</f>
        <v/>
      </c>
      <c r="B229" t="str">
        <f>IF(SAISIE!$F234="","",SAISIE!$C234)</f>
        <v/>
      </c>
      <c r="C229" t="str">
        <f>IF(SAISIE!$F234="","",SAISIE!$D234)</f>
        <v/>
      </c>
      <c r="D229" t="str">
        <f>IF(SAISIE!$E234="","",SAISIE!$E234)</f>
        <v/>
      </c>
      <c r="E229" t="str">
        <f>IF(SAISIE!$F234="","",SAISIE!$F234)</f>
        <v/>
      </c>
      <c r="F229" t="str">
        <f>IF(SAISIE!$G234="","",SAISIE!$G234)</f>
        <v/>
      </c>
      <c r="G229" t="str">
        <f>IF(SAISIE!$H234="","",SAISIE!$H234)</f>
        <v/>
      </c>
      <c r="H229" t="str">
        <f>IF(SAISIE!$I234="","",SAISIE!$I234)</f>
        <v/>
      </c>
      <c r="I229" t="str">
        <f>IF(SAISIE!$J234="","",SAISIE!$J234)</f>
        <v/>
      </c>
      <c r="J229" t="str">
        <f>IF(SAISIE!$K234="","",SAISIE!$K234)</f>
        <v/>
      </c>
      <c r="K229" t="str">
        <f>IF(SAISIE!$L234="","",SAISIE!$L234)</f>
        <v/>
      </c>
      <c r="L229" t="str">
        <f>IF(SAISIE!$M234="","",SAISIE!$M234)</f>
        <v/>
      </c>
      <c r="M229" t="str">
        <f>IF(SAISIE!$N234="","",SAISIE!$N234)</f>
        <v/>
      </c>
      <c r="N229" t="str">
        <f>IF(SAISIE!$O234="","",SAISIE!$O234)</f>
        <v/>
      </c>
      <c r="O229" t="str">
        <f>IF(SAISIE!$P234="","",SAISIE!$P234)</f>
        <v/>
      </c>
      <c r="P229" t="str">
        <f>IF(SAISIE!$Q234="","",SAISIE!$Q234)</f>
        <v/>
      </c>
      <c r="Q229" t="str">
        <f>IF($I229="","",IF($I229&gt;PARAMETRES!$G$29,5,IF($I229&gt;PARAMETRES!$F$29,4,IF($I229&gt;PARAMETRES!$E$29,3,IF($I229&gt;PARAMETRES!$D$29,2,1)))))</f>
        <v/>
      </c>
      <c r="R229" t="str">
        <f>IF($J229="","",IF($J229&gt;PARAMETRES!$G$30,5,IF($J229&gt;PARAMETRES!$F$30,4,IF($J229&gt;PARAMETRES!$E$30,3,IF($J229&gt;PARAMETRES!$D$30,2,1)))))</f>
        <v/>
      </c>
      <c r="S229" t="str">
        <f>IF($K229="","",IF($Z229=2,IF($K229&gt;PARAMETRES!$G$31,5,IF($K229&gt;PARAMETRES!$F$31,4,IF($K229&gt;PARAMETRES!$E$31,3,IF($K229&gt;PARAMETRES!$D$31,2,1)))),IF($K229&gt;PARAMETRES!$G$32,5,IF($K229&gt;PARAMETRES!$F$32,4,IF($K229&gt;PARAMETRES!$E$32,3,IF($K229&gt;PARAMETRES!$D$32,2,1))))))</f>
        <v/>
      </c>
      <c r="T229" t="str">
        <f>IF($L229="","",IF($L229&gt;PARAMETRES!$G$33,5,IF($L229&gt;PARAMETRES!$F$33,4,IF($L229&gt;PARAMETRES!$E$33,3,IF($L229&gt;PARAMETRES!$D$33,2,1)))))</f>
        <v/>
      </c>
      <c r="U229" t="str">
        <f>IF($M229="","",IF($M229&gt;PARAMETRES!$G$34,5,IF($M229&gt;PARAMETRES!$F$34,4,IF($M229&gt;PARAMETRES!$E$34,3,IF($M229&gt;PARAMETRES!$D$34,2,1)))))</f>
        <v/>
      </c>
      <c r="V229" t="str">
        <f>IF($N229="","",IF($N229&gt;PARAMETRES!$G$35,5,IF($N229&gt;PARAMETRES!$F$35,4,IF($N229&gt;PARAMETRES!$E$35,3,IF($N229&gt;PARAMETRES!$D$35,2,1)))))</f>
        <v/>
      </c>
      <c r="W229" t="str">
        <f>IF($O229="","",IF($O229&gt;PARAMETRES!$G$36,5,IF($O229&gt;PARAMETRES!$F$36,4,IF($O229&gt;PARAMETRES!$E$36,3,IF($O229&gt;PARAMETRES!$D$36,2,1)))))</f>
        <v/>
      </c>
      <c r="X229" t="str">
        <f>IF($P229="","",IF($P229&gt;PARAMETRES!$G$37,5,IF($P229&gt;PARAMETRES!$F$37,4,IF($P229&gt;PARAMETRES!$E$37,3,IF($P229&gt;PARAMETRES!$D$37,2,1)))))</f>
        <v/>
      </c>
      <c r="Y229" t="str">
        <f t="shared" si="72"/>
        <v/>
      </c>
      <c r="Z229" t="str">
        <f>IFERROR(VLOOKUP($B229,TABLE_CYCLE,2,0),"")</f>
        <v/>
      </c>
      <c r="AA229" t="str">
        <f t="shared" si="73"/>
        <v/>
      </c>
      <c r="AB229" t="str">
        <f>IF($D229="","",IF(COUNTIF($D$2:$D229,$D229)=1,$D229,""))</f>
        <v/>
      </c>
      <c r="AC229">
        <f t="shared" si="74"/>
        <v>0</v>
      </c>
      <c r="AD229" t="str">
        <f t="shared" si="75"/>
        <v>|0</v>
      </c>
      <c r="AE229" t="str">
        <f t="shared" si="76"/>
        <v/>
      </c>
      <c r="AF229" t="str">
        <f t="shared" si="77"/>
        <v/>
      </c>
      <c r="AG229" t="str">
        <f t="shared" si="78"/>
        <v/>
      </c>
      <c r="AH229" t="str">
        <f t="shared" si="79"/>
        <v/>
      </c>
      <c r="AI229" t="str">
        <f t="shared" si="80"/>
        <v/>
      </c>
      <c r="AJ229" t="str">
        <f t="shared" si="81"/>
        <v/>
      </c>
      <c r="AK229" t="str">
        <f t="shared" si="82"/>
        <v/>
      </c>
      <c r="AL229" t="str">
        <f t="shared" si="83"/>
        <v/>
      </c>
      <c r="AM229" t="str">
        <f t="shared" si="84"/>
        <v/>
      </c>
      <c r="AN229" t="str">
        <f t="shared" si="85"/>
        <v/>
      </c>
      <c r="AO229" t="str">
        <f t="shared" si="86"/>
        <v/>
      </c>
      <c r="AP229">
        <f t="shared" si="87"/>
        <v>1</v>
      </c>
      <c r="AQ229" t="str">
        <f>IF(SAISIE!$F234="","",SAISIE!$Y234)</f>
        <v/>
      </c>
      <c r="AR229" t="str">
        <f>IF(OR(SAISIE!$U$4="",SAISIE!$W$4=""),"",IF(AND($A229=SAISIE!$U$4,$B229=SAISIE!$W$4,$C229="S1"),COUNTIFS($A$2:$A229,SAISIE!$U$4,$B$2:$B229,SAISIE!$W$4,$C$2:$C229,"S1"),""))</f>
        <v/>
      </c>
      <c r="AS229" t="str">
        <f t="shared" si="88"/>
        <v/>
      </c>
      <c r="AT229" t="str">
        <f t="shared" si="89"/>
        <v/>
      </c>
      <c r="AU229" t="str">
        <f t="shared" si="90"/>
        <v/>
      </c>
      <c r="AV229">
        <f>N(AV228)+IF(AND($AB229&lt;&gt;"",OR('PROFIL ELEVE'!$K$4="(Tous)",$AF229='PROFIL ELEVE'!$K$4)),1,0)</f>
        <v>0</v>
      </c>
      <c r="AW229">
        <f>N(AW228)+IF(AND($AB229&lt;&gt;"",OR('SUIVI LONGITUDINAL'!$Q$4="(Tous)",$AF229='SUIVI LONGITUDINAL'!$Q$4)),1,0)</f>
        <v>0</v>
      </c>
      <c r="AX229">
        <f t="shared" si="91"/>
        <v>0</v>
      </c>
      <c r="AY229">
        <f t="shared" si="92"/>
        <v>0</v>
      </c>
      <c r="AZ229">
        <f t="shared" si="93"/>
        <v>0</v>
      </c>
      <c r="BA229" t="str">
        <f t="shared" si="94"/>
        <v/>
      </c>
      <c r="BB229" t="str">
        <f t="shared" si="95"/>
        <v/>
      </c>
    </row>
    <row r="230" spans="1:54" ht="14.25" customHeight="1" x14ac:dyDescent="0.3">
      <c r="A230" t="str">
        <f>IF(SAISIE!$F235="","",SAISIE!$B235)</f>
        <v/>
      </c>
      <c r="B230" t="str">
        <f>IF(SAISIE!$F235="","",SAISIE!$C235)</f>
        <v/>
      </c>
      <c r="C230" t="str">
        <f>IF(SAISIE!$F235="","",SAISIE!$D235)</f>
        <v/>
      </c>
      <c r="D230" t="str">
        <f>IF(SAISIE!$E235="","",SAISIE!$E235)</f>
        <v/>
      </c>
      <c r="E230" t="str">
        <f>IF(SAISIE!$F235="","",SAISIE!$F235)</f>
        <v/>
      </c>
      <c r="F230" t="str">
        <f>IF(SAISIE!$G235="","",SAISIE!$G235)</f>
        <v/>
      </c>
      <c r="G230" t="str">
        <f>IF(SAISIE!$H235="","",SAISIE!$H235)</f>
        <v/>
      </c>
      <c r="H230" t="str">
        <f>IF(SAISIE!$I235="","",SAISIE!$I235)</f>
        <v/>
      </c>
      <c r="I230" t="str">
        <f>IF(SAISIE!$J235="","",SAISIE!$J235)</f>
        <v/>
      </c>
      <c r="J230" t="str">
        <f>IF(SAISIE!$K235="","",SAISIE!$K235)</f>
        <v/>
      </c>
      <c r="K230" t="str">
        <f>IF(SAISIE!$L235="","",SAISIE!$L235)</f>
        <v/>
      </c>
      <c r="L230" t="str">
        <f>IF(SAISIE!$M235="","",SAISIE!$M235)</f>
        <v/>
      </c>
      <c r="M230" t="str">
        <f>IF(SAISIE!$N235="","",SAISIE!$N235)</f>
        <v/>
      </c>
      <c r="N230" t="str">
        <f>IF(SAISIE!$O235="","",SAISIE!$O235)</f>
        <v/>
      </c>
      <c r="O230" t="str">
        <f>IF(SAISIE!$P235="","",SAISIE!$P235)</f>
        <v/>
      </c>
      <c r="P230" t="str">
        <f>IF(SAISIE!$Q235="","",SAISIE!$Q235)</f>
        <v/>
      </c>
      <c r="Q230" t="str">
        <f>IF($I230="","",IF($I230&gt;PARAMETRES!$G$29,5,IF($I230&gt;PARAMETRES!$F$29,4,IF($I230&gt;PARAMETRES!$E$29,3,IF($I230&gt;PARAMETRES!$D$29,2,1)))))</f>
        <v/>
      </c>
      <c r="R230" t="str">
        <f>IF($J230="","",IF($J230&gt;PARAMETRES!$G$30,5,IF($J230&gt;PARAMETRES!$F$30,4,IF($J230&gt;PARAMETRES!$E$30,3,IF($J230&gt;PARAMETRES!$D$30,2,1)))))</f>
        <v/>
      </c>
      <c r="S230" t="str">
        <f>IF($K230="","",IF($Z230=2,IF($K230&gt;PARAMETRES!$G$31,5,IF($K230&gt;PARAMETRES!$F$31,4,IF($K230&gt;PARAMETRES!$E$31,3,IF($K230&gt;PARAMETRES!$D$31,2,1)))),IF($K230&gt;PARAMETRES!$G$32,5,IF($K230&gt;PARAMETRES!$F$32,4,IF($K230&gt;PARAMETRES!$E$32,3,IF($K230&gt;PARAMETRES!$D$32,2,1))))))</f>
        <v/>
      </c>
      <c r="T230" t="str">
        <f>IF($L230="","",IF($L230&gt;PARAMETRES!$G$33,5,IF($L230&gt;PARAMETRES!$F$33,4,IF($L230&gt;PARAMETRES!$E$33,3,IF($L230&gt;PARAMETRES!$D$33,2,1)))))</f>
        <v/>
      </c>
      <c r="U230" t="str">
        <f>IF($M230="","",IF($M230&gt;PARAMETRES!$G$34,5,IF($M230&gt;PARAMETRES!$F$34,4,IF($M230&gt;PARAMETRES!$E$34,3,IF($M230&gt;PARAMETRES!$D$34,2,1)))))</f>
        <v/>
      </c>
      <c r="V230" t="str">
        <f>IF($N230="","",IF($N230&gt;PARAMETRES!$G$35,5,IF($N230&gt;PARAMETRES!$F$35,4,IF($N230&gt;PARAMETRES!$E$35,3,IF($N230&gt;PARAMETRES!$D$35,2,1)))))</f>
        <v/>
      </c>
      <c r="W230" t="str">
        <f>IF($O230="","",IF($O230&gt;PARAMETRES!$G$36,5,IF($O230&gt;PARAMETRES!$F$36,4,IF($O230&gt;PARAMETRES!$E$36,3,IF($O230&gt;PARAMETRES!$D$36,2,1)))))</f>
        <v/>
      </c>
      <c r="X230" t="str">
        <f>IF($P230="","",IF($P230&gt;PARAMETRES!$G$37,5,IF($P230&gt;PARAMETRES!$F$37,4,IF($P230&gt;PARAMETRES!$E$37,3,IF($P230&gt;PARAMETRES!$D$37,2,1)))))</f>
        <v/>
      </c>
      <c r="Y230" t="str">
        <f t="shared" si="72"/>
        <v/>
      </c>
      <c r="Z230" t="str">
        <f>IFERROR(VLOOKUP($B230,TABLE_CYCLE,2,0),"")</f>
        <v/>
      </c>
      <c r="AA230" t="str">
        <f t="shared" si="73"/>
        <v/>
      </c>
      <c r="AB230" t="str">
        <f>IF($D230="","",IF(COUNTIF($D$2:$D230,$D230)=1,$D230,""))</f>
        <v/>
      </c>
      <c r="AC230">
        <f t="shared" si="74"/>
        <v>0</v>
      </c>
      <c r="AD230" t="str">
        <f t="shared" si="75"/>
        <v>|0</v>
      </c>
      <c r="AE230" t="str">
        <f t="shared" si="76"/>
        <v/>
      </c>
      <c r="AF230" t="str">
        <f t="shared" si="77"/>
        <v/>
      </c>
      <c r="AG230" t="str">
        <f t="shared" si="78"/>
        <v/>
      </c>
      <c r="AH230" t="str">
        <f t="shared" si="79"/>
        <v/>
      </c>
      <c r="AI230" t="str">
        <f t="shared" si="80"/>
        <v/>
      </c>
      <c r="AJ230" t="str">
        <f t="shared" si="81"/>
        <v/>
      </c>
      <c r="AK230" t="str">
        <f t="shared" si="82"/>
        <v/>
      </c>
      <c r="AL230" t="str">
        <f t="shared" si="83"/>
        <v/>
      </c>
      <c r="AM230" t="str">
        <f t="shared" si="84"/>
        <v/>
      </c>
      <c r="AN230" t="str">
        <f t="shared" si="85"/>
        <v/>
      </c>
      <c r="AO230" t="str">
        <f t="shared" si="86"/>
        <v/>
      </c>
      <c r="AP230">
        <f t="shared" si="87"/>
        <v>1</v>
      </c>
      <c r="AQ230" t="str">
        <f>IF(SAISIE!$F235="","",SAISIE!$Y235)</f>
        <v/>
      </c>
      <c r="AR230" t="str">
        <f>IF(OR(SAISIE!$U$4="",SAISIE!$W$4=""),"",IF(AND($A230=SAISIE!$U$4,$B230=SAISIE!$W$4,$C230="S1"),COUNTIFS($A$2:$A230,SAISIE!$U$4,$B$2:$B230,SAISIE!$W$4,$C$2:$C230,"S1"),""))</f>
        <v/>
      </c>
      <c r="AS230" t="str">
        <f t="shared" si="88"/>
        <v/>
      </c>
      <c r="AT230" t="str">
        <f t="shared" si="89"/>
        <v/>
      </c>
      <c r="AU230" t="str">
        <f t="shared" si="90"/>
        <v/>
      </c>
      <c r="AV230">
        <f>N(AV229)+IF(AND($AB230&lt;&gt;"",OR('PROFIL ELEVE'!$K$4="(Tous)",$AF230='PROFIL ELEVE'!$K$4)),1,0)</f>
        <v>0</v>
      </c>
      <c r="AW230">
        <f>N(AW229)+IF(AND($AB230&lt;&gt;"",OR('SUIVI LONGITUDINAL'!$Q$4="(Tous)",$AF230='SUIVI LONGITUDINAL'!$Q$4)),1,0)</f>
        <v>0</v>
      </c>
      <c r="AX230">
        <f t="shared" si="91"/>
        <v>0</v>
      </c>
      <c r="AY230">
        <f t="shared" si="92"/>
        <v>0</v>
      </c>
      <c r="AZ230">
        <f t="shared" si="93"/>
        <v>0</v>
      </c>
      <c r="BA230" t="str">
        <f t="shared" si="94"/>
        <v/>
      </c>
      <c r="BB230" t="str">
        <f t="shared" si="95"/>
        <v/>
      </c>
    </row>
    <row r="231" spans="1:54" ht="14.25" customHeight="1" x14ac:dyDescent="0.3">
      <c r="A231" t="str">
        <f>IF(SAISIE!$F236="","",SAISIE!$B236)</f>
        <v/>
      </c>
      <c r="B231" t="str">
        <f>IF(SAISIE!$F236="","",SAISIE!$C236)</f>
        <v/>
      </c>
      <c r="C231" t="str">
        <f>IF(SAISIE!$F236="","",SAISIE!$D236)</f>
        <v/>
      </c>
      <c r="D231" t="str">
        <f>IF(SAISIE!$E236="","",SAISIE!$E236)</f>
        <v/>
      </c>
      <c r="E231" t="str">
        <f>IF(SAISIE!$F236="","",SAISIE!$F236)</f>
        <v/>
      </c>
      <c r="F231" t="str">
        <f>IF(SAISIE!$G236="","",SAISIE!$G236)</f>
        <v/>
      </c>
      <c r="G231" t="str">
        <f>IF(SAISIE!$H236="","",SAISIE!$H236)</f>
        <v/>
      </c>
      <c r="H231" t="str">
        <f>IF(SAISIE!$I236="","",SAISIE!$I236)</f>
        <v/>
      </c>
      <c r="I231" t="str">
        <f>IF(SAISIE!$J236="","",SAISIE!$J236)</f>
        <v/>
      </c>
      <c r="J231" t="str">
        <f>IF(SAISIE!$K236="","",SAISIE!$K236)</f>
        <v/>
      </c>
      <c r="K231" t="str">
        <f>IF(SAISIE!$L236="","",SAISIE!$L236)</f>
        <v/>
      </c>
      <c r="L231" t="str">
        <f>IF(SAISIE!$M236="","",SAISIE!$M236)</f>
        <v/>
      </c>
      <c r="M231" t="str">
        <f>IF(SAISIE!$N236="","",SAISIE!$N236)</f>
        <v/>
      </c>
      <c r="N231" t="str">
        <f>IF(SAISIE!$O236="","",SAISIE!$O236)</f>
        <v/>
      </c>
      <c r="O231" t="str">
        <f>IF(SAISIE!$P236="","",SAISIE!$P236)</f>
        <v/>
      </c>
      <c r="P231" t="str">
        <f>IF(SAISIE!$Q236="","",SAISIE!$Q236)</f>
        <v/>
      </c>
      <c r="Q231" t="str">
        <f>IF($I231="","",IF($I231&gt;PARAMETRES!$G$29,5,IF($I231&gt;PARAMETRES!$F$29,4,IF($I231&gt;PARAMETRES!$E$29,3,IF($I231&gt;PARAMETRES!$D$29,2,1)))))</f>
        <v/>
      </c>
      <c r="R231" t="str">
        <f>IF($J231="","",IF($J231&gt;PARAMETRES!$G$30,5,IF($J231&gt;PARAMETRES!$F$30,4,IF($J231&gt;PARAMETRES!$E$30,3,IF($J231&gt;PARAMETRES!$D$30,2,1)))))</f>
        <v/>
      </c>
      <c r="S231" t="str">
        <f>IF($K231="","",IF($Z231=2,IF($K231&gt;PARAMETRES!$G$31,5,IF($K231&gt;PARAMETRES!$F$31,4,IF($K231&gt;PARAMETRES!$E$31,3,IF($K231&gt;PARAMETRES!$D$31,2,1)))),IF($K231&gt;PARAMETRES!$G$32,5,IF($K231&gt;PARAMETRES!$F$32,4,IF($K231&gt;PARAMETRES!$E$32,3,IF($K231&gt;PARAMETRES!$D$32,2,1))))))</f>
        <v/>
      </c>
      <c r="T231" t="str">
        <f>IF($L231="","",IF($L231&gt;PARAMETRES!$G$33,5,IF($L231&gt;PARAMETRES!$F$33,4,IF($L231&gt;PARAMETRES!$E$33,3,IF($L231&gt;PARAMETRES!$D$33,2,1)))))</f>
        <v/>
      </c>
      <c r="U231" t="str">
        <f>IF($M231="","",IF($M231&gt;PARAMETRES!$G$34,5,IF($M231&gt;PARAMETRES!$F$34,4,IF($M231&gt;PARAMETRES!$E$34,3,IF($M231&gt;PARAMETRES!$D$34,2,1)))))</f>
        <v/>
      </c>
      <c r="V231" t="str">
        <f>IF($N231="","",IF($N231&gt;PARAMETRES!$G$35,5,IF($N231&gt;PARAMETRES!$F$35,4,IF($N231&gt;PARAMETRES!$E$35,3,IF($N231&gt;PARAMETRES!$D$35,2,1)))))</f>
        <v/>
      </c>
      <c r="W231" t="str">
        <f>IF($O231="","",IF($O231&gt;PARAMETRES!$G$36,5,IF($O231&gt;PARAMETRES!$F$36,4,IF($O231&gt;PARAMETRES!$E$36,3,IF($O231&gt;PARAMETRES!$D$36,2,1)))))</f>
        <v/>
      </c>
      <c r="X231" t="str">
        <f>IF($P231="","",IF($P231&gt;PARAMETRES!$G$37,5,IF($P231&gt;PARAMETRES!$F$37,4,IF($P231&gt;PARAMETRES!$E$37,3,IF($P231&gt;PARAMETRES!$D$37,2,1)))))</f>
        <v/>
      </c>
      <c r="Y231" t="str">
        <f t="shared" si="72"/>
        <v/>
      </c>
      <c r="Z231" t="str">
        <f>IFERROR(VLOOKUP($B231,TABLE_CYCLE,2,0),"")</f>
        <v/>
      </c>
      <c r="AA231" t="str">
        <f t="shared" si="73"/>
        <v/>
      </c>
      <c r="AB231" t="str">
        <f>IF($D231="","",IF(COUNTIF($D$2:$D231,$D231)=1,$D231,""))</f>
        <v/>
      </c>
      <c r="AC231">
        <f t="shared" si="74"/>
        <v>0</v>
      </c>
      <c r="AD231" t="str">
        <f t="shared" si="75"/>
        <v>|0</v>
      </c>
      <c r="AE231" t="str">
        <f t="shared" si="76"/>
        <v/>
      </c>
      <c r="AF231" t="str">
        <f t="shared" si="77"/>
        <v/>
      </c>
      <c r="AG231" t="str">
        <f t="shared" si="78"/>
        <v/>
      </c>
      <c r="AH231" t="str">
        <f t="shared" si="79"/>
        <v/>
      </c>
      <c r="AI231" t="str">
        <f t="shared" si="80"/>
        <v/>
      </c>
      <c r="AJ231" t="str">
        <f t="shared" si="81"/>
        <v/>
      </c>
      <c r="AK231" t="str">
        <f t="shared" si="82"/>
        <v/>
      </c>
      <c r="AL231" t="str">
        <f t="shared" si="83"/>
        <v/>
      </c>
      <c r="AM231" t="str">
        <f t="shared" si="84"/>
        <v/>
      </c>
      <c r="AN231" t="str">
        <f t="shared" si="85"/>
        <v/>
      </c>
      <c r="AO231" t="str">
        <f t="shared" si="86"/>
        <v/>
      </c>
      <c r="AP231">
        <f t="shared" si="87"/>
        <v>1</v>
      </c>
      <c r="AQ231" t="str">
        <f>IF(SAISIE!$F236="","",SAISIE!$Y236)</f>
        <v/>
      </c>
      <c r="AR231" t="str">
        <f>IF(OR(SAISIE!$U$4="",SAISIE!$W$4=""),"",IF(AND($A231=SAISIE!$U$4,$B231=SAISIE!$W$4,$C231="S1"),COUNTIFS($A$2:$A231,SAISIE!$U$4,$B$2:$B231,SAISIE!$W$4,$C$2:$C231,"S1"),""))</f>
        <v/>
      </c>
      <c r="AS231" t="str">
        <f t="shared" si="88"/>
        <v/>
      </c>
      <c r="AT231" t="str">
        <f t="shared" si="89"/>
        <v/>
      </c>
      <c r="AU231" t="str">
        <f t="shared" si="90"/>
        <v/>
      </c>
      <c r="AV231">
        <f>N(AV230)+IF(AND($AB231&lt;&gt;"",OR('PROFIL ELEVE'!$K$4="(Tous)",$AF231='PROFIL ELEVE'!$K$4)),1,0)</f>
        <v>0</v>
      </c>
      <c r="AW231">
        <f>N(AW230)+IF(AND($AB231&lt;&gt;"",OR('SUIVI LONGITUDINAL'!$Q$4="(Tous)",$AF231='SUIVI LONGITUDINAL'!$Q$4)),1,0)</f>
        <v>0</v>
      </c>
      <c r="AX231">
        <f t="shared" si="91"/>
        <v>0</v>
      </c>
      <c r="AY231">
        <f t="shared" si="92"/>
        <v>0</v>
      </c>
      <c r="AZ231">
        <f t="shared" si="93"/>
        <v>0</v>
      </c>
      <c r="BA231" t="str">
        <f t="shared" si="94"/>
        <v/>
      </c>
      <c r="BB231" t="str">
        <f t="shared" si="95"/>
        <v/>
      </c>
    </row>
    <row r="232" spans="1:54" ht="14.25" customHeight="1" x14ac:dyDescent="0.3">
      <c r="A232" t="str">
        <f>IF(SAISIE!$F237="","",SAISIE!$B237)</f>
        <v/>
      </c>
      <c r="B232" t="str">
        <f>IF(SAISIE!$F237="","",SAISIE!$C237)</f>
        <v/>
      </c>
      <c r="C232" t="str">
        <f>IF(SAISIE!$F237="","",SAISIE!$D237)</f>
        <v/>
      </c>
      <c r="D232" t="str">
        <f>IF(SAISIE!$E237="","",SAISIE!$E237)</f>
        <v/>
      </c>
      <c r="E232" t="str">
        <f>IF(SAISIE!$F237="","",SAISIE!$F237)</f>
        <v/>
      </c>
      <c r="F232" t="str">
        <f>IF(SAISIE!$G237="","",SAISIE!$G237)</f>
        <v/>
      </c>
      <c r="G232" t="str">
        <f>IF(SAISIE!$H237="","",SAISIE!$H237)</f>
        <v/>
      </c>
      <c r="H232" t="str">
        <f>IF(SAISIE!$I237="","",SAISIE!$I237)</f>
        <v/>
      </c>
      <c r="I232" t="str">
        <f>IF(SAISIE!$J237="","",SAISIE!$J237)</f>
        <v/>
      </c>
      <c r="J232" t="str">
        <f>IF(SAISIE!$K237="","",SAISIE!$K237)</f>
        <v/>
      </c>
      <c r="K232" t="str">
        <f>IF(SAISIE!$L237="","",SAISIE!$L237)</f>
        <v/>
      </c>
      <c r="L232" t="str">
        <f>IF(SAISIE!$M237="","",SAISIE!$M237)</f>
        <v/>
      </c>
      <c r="M232" t="str">
        <f>IF(SAISIE!$N237="","",SAISIE!$N237)</f>
        <v/>
      </c>
      <c r="N232" t="str">
        <f>IF(SAISIE!$O237="","",SAISIE!$O237)</f>
        <v/>
      </c>
      <c r="O232" t="str">
        <f>IF(SAISIE!$P237="","",SAISIE!$P237)</f>
        <v/>
      </c>
      <c r="P232" t="str">
        <f>IF(SAISIE!$Q237="","",SAISIE!$Q237)</f>
        <v/>
      </c>
      <c r="Q232" t="str">
        <f>IF($I232="","",IF($I232&gt;PARAMETRES!$G$29,5,IF($I232&gt;PARAMETRES!$F$29,4,IF($I232&gt;PARAMETRES!$E$29,3,IF($I232&gt;PARAMETRES!$D$29,2,1)))))</f>
        <v/>
      </c>
      <c r="R232" t="str">
        <f>IF($J232="","",IF($J232&gt;PARAMETRES!$G$30,5,IF($J232&gt;PARAMETRES!$F$30,4,IF($J232&gt;PARAMETRES!$E$30,3,IF($J232&gt;PARAMETRES!$D$30,2,1)))))</f>
        <v/>
      </c>
      <c r="S232" t="str">
        <f>IF($K232="","",IF($Z232=2,IF($K232&gt;PARAMETRES!$G$31,5,IF($K232&gt;PARAMETRES!$F$31,4,IF($K232&gt;PARAMETRES!$E$31,3,IF($K232&gt;PARAMETRES!$D$31,2,1)))),IF($K232&gt;PARAMETRES!$G$32,5,IF($K232&gt;PARAMETRES!$F$32,4,IF($K232&gt;PARAMETRES!$E$32,3,IF($K232&gt;PARAMETRES!$D$32,2,1))))))</f>
        <v/>
      </c>
      <c r="T232" t="str">
        <f>IF($L232="","",IF($L232&gt;PARAMETRES!$G$33,5,IF($L232&gt;PARAMETRES!$F$33,4,IF($L232&gt;PARAMETRES!$E$33,3,IF($L232&gt;PARAMETRES!$D$33,2,1)))))</f>
        <v/>
      </c>
      <c r="U232" t="str">
        <f>IF($M232="","",IF($M232&gt;PARAMETRES!$G$34,5,IF($M232&gt;PARAMETRES!$F$34,4,IF($M232&gt;PARAMETRES!$E$34,3,IF($M232&gt;PARAMETRES!$D$34,2,1)))))</f>
        <v/>
      </c>
      <c r="V232" t="str">
        <f>IF($N232="","",IF($N232&gt;PARAMETRES!$G$35,5,IF($N232&gt;PARAMETRES!$F$35,4,IF($N232&gt;PARAMETRES!$E$35,3,IF($N232&gt;PARAMETRES!$D$35,2,1)))))</f>
        <v/>
      </c>
      <c r="W232" t="str">
        <f>IF($O232="","",IF($O232&gt;PARAMETRES!$G$36,5,IF($O232&gt;PARAMETRES!$F$36,4,IF($O232&gt;PARAMETRES!$E$36,3,IF($O232&gt;PARAMETRES!$D$36,2,1)))))</f>
        <v/>
      </c>
      <c r="X232" t="str">
        <f>IF($P232="","",IF($P232&gt;PARAMETRES!$G$37,5,IF($P232&gt;PARAMETRES!$F$37,4,IF($P232&gt;PARAMETRES!$E$37,3,IF($P232&gt;PARAMETRES!$D$37,2,1)))))</f>
        <v/>
      </c>
      <c r="Y232" t="str">
        <f t="shared" si="72"/>
        <v/>
      </c>
      <c r="Z232" t="str">
        <f>IFERROR(VLOOKUP($B232,TABLE_CYCLE,2,0),"")</f>
        <v/>
      </c>
      <c r="AA232" t="str">
        <f t="shared" si="73"/>
        <v/>
      </c>
      <c r="AB232" t="str">
        <f>IF($D232="","",IF(COUNTIF($D$2:$D232,$D232)=1,$D232,""))</f>
        <v/>
      </c>
      <c r="AC232">
        <f t="shared" si="74"/>
        <v>0</v>
      </c>
      <c r="AD232" t="str">
        <f t="shared" si="75"/>
        <v>|0</v>
      </c>
      <c r="AE232" t="str">
        <f t="shared" si="76"/>
        <v/>
      </c>
      <c r="AF232" t="str">
        <f t="shared" si="77"/>
        <v/>
      </c>
      <c r="AG232" t="str">
        <f t="shared" si="78"/>
        <v/>
      </c>
      <c r="AH232" t="str">
        <f t="shared" si="79"/>
        <v/>
      </c>
      <c r="AI232" t="str">
        <f t="shared" si="80"/>
        <v/>
      </c>
      <c r="AJ232" t="str">
        <f t="shared" si="81"/>
        <v/>
      </c>
      <c r="AK232" t="str">
        <f t="shared" si="82"/>
        <v/>
      </c>
      <c r="AL232" t="str">
        <f t="shared" si="83"/>
        <v/>
      </c>
      <c r="AM232" t="str">
        <f t="shared" si="84"/>
        <v/>
      </c>
      <c r="AN232" t="str">
        <f t="shared" si="85"/>
        <v/>
      </c>
      <c r="AO232" t="str">
        <f t="shared" si="86"/>
        <v/>
      </c>
      <c r="AP232">
        <f t="shared" si="87"/>
        <v>1</v>
      </c>
      <c r="AQ232" t="str">
        <f>IF(SAISIE!$F237="","",SAISIE!$Y237)</f>
        <v/>
      </c>
      <c r="AR232" t="str">
        <f>IF(OR(SAISIE!$U$4="",SAISIE!$W$4=""),"",IF(AND($A232=SAISIE!$U$4,$B232=SAISIE!$W$4,$C232="S1"),COUNTIFS($A$2:$A232,SAISIE!$U$4,$B$2:$B232,SAISIE!$W$4,$C$2:$C232,"S1"),""))</f>
        <v/>
      </c>
      <c r="AS232" t="str">
        <f t="shared" si="88"/>
        <v/>
      </c>
      <c r="AT232" t="str">
        <f t="shared" si="89"/>
        <v/>
      </c>
      <c r="AU232" t="str">
        <f t="shared" si="90"/>
        <v/>
      </c>
      <c r="AV232">
        <f>N(AV231)+IF(AND($AB232&lt;&gt;"",OR('PROFIL ELEVE'!$K$4="(Tous)",$AF232='PROFIL ELEVE'!$K$4)),1,0)</f>
        <v>0</v>
      </c>
      <c r="AW232">
        <f>N(AW231)+IF(AND($AB232&lt;&gt;"",OR('SUIVI LONGITUDINAL'!$Q$4="(Tous)",$AF232='SUIVI LONGITUDINAL'!$Q$4)),1,0)</f>
        <v>0</v>
      </c>
      <c r="AX232">
        <f t="shared" si="91"/>
        <v>0</v>
      </c>
      <c r="AY232">
        <f t="shared" si="92"/>
        <v>0</v>
      </c>
      <c r="AZ232">
        <f t="shared" si="93"/>
        <v>0</v>
      </c>
      <c r="BA232" t="str">
        <f t="shared" si="94"/>
        <v/>
      </c>
      <c r="BB232" t="str">
        <f t="shared" si="95"/>
        <v/>
      </c>
    </row>
    <row r="233" spans="1:54" ht="14.25" customHeight="1" x14ac:dyDescent="0.3">
      <c r="A233" t="str">
        <f>IF(SAISIE!$F238="","",SAISIE!$B238)</f>
        <v/>
      </c>
      <c r="B233" t="str">
        <f>IF(SAISIE!$F238="","",SAISIE!$C238)</f>
        <v/>
      </c>
      <c r="C233" t="str">
        <f>IF(SAISIE!$F238="","",SAISIE!$D238)</f>
        <v/>
      </c>
      <c r="D233" t="str">
        <f>IF(SAISIE!$E238="","",SAISIE!$E238)</f>
        <v/>
      </c>
      <c r="E233" t="str">
        <f>IF(SAISIE!$F238="","",SAISIE!$F238)</f>
        <v/>
      </c>
      <c r="F233" t="str">
        <f>IF(SAISIE!$G238="","",SAISIE!$G238)</f>
        <v/>
      </c>
      <c r="G233" t="str">
        <f>IF(SAISIE!$H238="","",SAISIE!$H238)</f>
        <v/>
      </c>
      <c r="H233" t="str">
        <f>IF(SAISIE!$I238="","",SAISIE!$I238)</f>
        <v/>
      </c>
      <c r="I233" t="str">
        <f>IF(SAISIE!$J238="","",SAISIE!$J238)</f>
        <v/>
      </c>
      <c r="J233" t="str">
        <f>IF(SAISIE!$K238="","",SAISIE!$K238)</f>
        <v/>
      </c>
      <c r="K233" t="str">
        <f>IF(SAISIE!$L238="","",SAISIE!$L238)</f>
        <v/>
      </c>
      <c r="L233" t="str">
        <f>IF(SAISIE!$M238="","",SAISIE!$M238)</f>
        <v/>
      </c>
      <c r="M233" t="str">
        <f>IF(SAISIE!$N238="","",SAISIE!$N238)</f>
        <v/>
      </c>
      <c r="N233" t="str">
        <f>IF(SAISIE!$O238="","",SAISIE!$O238)</f>
        <v/>
      </c>
      <c r="O233" t="str">
        <f>IF(SAISIE!$P238="","",SAISIE!$P238)</f>
        <v/>
      </c>
      <c r="P233" t="str">
        <f>IF(SAISIE!$Q238="","",SAISIE!$Q238)</f>
        <v/>
      </c>
      <c r="Q233" t="str">
        <f>IF($I233="","",IF($I233&gt;PARAMETRES!$G$29,5,IF($I233&gt;PARAMETRES!$F$29,4,IF($I233&gt;PARAMETRES!$E$29,3,IF($I233&gt;PARAMETRES!$D$29,2,1)))))</f>
        <v/>
      </c>
      <c r="R233" t="str">
        <f>IF($J233="","",IF($J233&gt;PARAMETRES!$G$30,5,IF($J233&gt;PARAMETRES!$F$30,4,IF($J233&gt;PARAMETRES!$E$30,3,IF($J233&gt;PARAMETRES!$D$30,2,1)))))</f>
        <v/>
      </c>
      <c r="S233" t="str">
        <f>IF($K233="","",IF($Z233=2,IF($K233&gt;PARAMETRES!$G$31,5,IF($K233&gt;PARAMETRES!$F$31,4,IF($K233&gt;PARAMETRES!$E$31,3,IF($K233&gt;PARAMETRES!$D$31,2,1)))),IF($K233&gt;PARAMETRES!$G$32,5,IF($K233&gt;PARAMETRES!$F$32,4,IF($K233&gt;PARAMETRES!$E$32,3,IF($K233&gt;PARAMETRES!$D$32,2,1))))))</f>
        <v/>
      </c>
      <c r="T233" t="str">
        <f>IF($L233="","",IF($L233&gt;PARAMETRES!$G$33,5,IF($L233&gt;PARAMETRES!$F$33,4,IF($L233&gt;PARAMETRES!$E$33,3,IF($L233&gt;PARAMETRES!$D$33,2,1)))))</f>
        <v/>
      </c>
      <c r="U233" t="str">
        <f>IF($M233="","",IF($M233&gt;PARAMETRES!$G$34,5,IF($M233&gt;PARAMETRES!$F$34,4,IF($M233&gt;PARAMETRES!$E$34,3,IF($M233&gt;PARAMETRES!$D$34,2,1)))))</f>
        <v/>
      </c>
      <c r="V233" t="str">
        <f>IF($N233="","",IF($N233&gt;PARAMETRES!$G$35,5,IF($N233&gt;PARAMETRES!$F$35,4,IF($N233&gt;PARAMETRES!$E$35,3,IF($N233&gt;PARAMETRES!$D$35,2,1)))))</f>
        <v/>
      </c>
      <c r="W233" t="str">
        <f>IF($O233="","",IF($O233&gt;PARAMETRES!$G$36,5,IF($O233&gt;PARAMETRES!$F$36,4,IF($O233&gt;PARAMETRES!$E$36,3,IF($O233&gt;PARAMETRES!$D$36,2,1)))))</f>
        <v/>
      </c>
      <c r="X233" t="str">
        <f>IF($P233="","",IF($P233&gt;PARAMETRES!$G$37,5,IF($P233&gt;PARAMETRES!$F$37,4,IF($P233&gt;PARAMETRES!$E$37,3,IF($P233&gt;PARAMETRES!$D$37,2,1)))))</f>
        <v/>
      </c>
      <c r="Y233" t="str">
        <f t="shared" si="72"/>
        <v/>
      </c>
      <c r="Z233" t="str">
        <f>IFERROR(VLOOKUP($B233,TABLE_CYCLE,2,0),"")</f>
        <v/>
      </c>
      <c r="AA233" t="str">
        <f t="shared" si="73"/>
        <v/>
      </c>
      <c r="AB233" t="str">
        <f>IF($D233="","",IF(COUNTIF($D$2:$D233,$D233)=1,$D233,""))</f>
        <v/>
      </c>
      <c r="AC233">
        <f t="shared" si="74"/>
        <v>0</v>
      </c>
      <c r="AD233" t="str">
        <f t="shared" si="75"/>
        <v>|0</v>
      </c>
      <c r="AE233" t="str">
        <f t="shared" si="76"/>
        <v/>
      </c>
      <c r="AF233" t="str">
        <f t="shared" si="77"/>
        <v/>
      </c>
      <c r="AG233" t="str">
        <f t="shared" si="78"/>
        <v/>
      </c>
      <c r="AH233" t="str">
        <f t="shared" si="79"/>
        <v/>
      </c>
      <c r="AI233" t="str">
        <f t="shared" si="80"/>
        <v/>
      </c>
      <c r="AJ233" t="str">
        <f t="shared" si="81"/>
        <v/>
      </c>
      <c r="AK233" t="str">
        <f t="shared" si="82"/>
        <v/>
      </c>
      <c r="AL233" t="str">
        <f t="shared" si="83"/>
        <v/>
      </c>
      <c r="AM233" t="str">
        <f t="shared" si="84"/>
        <v/>
      </c>
      <c r="AN233" t="str">
        <f t="shared" si="85"/>
        <v/>
      </c>
      <c r="AO233" t="str">
        <f t="shared" si="86"/>
        <v/>
      </c>
      <c r="AP233">
        <f t="shared" si="87"/>
        <v>1</v>
      </c>
      <c r="AQ233" t="str">
        <f>IF(SAISIE!$F238="","",SAISIE!$Y238)</f>
        <v/>
      </c>
      <c r="AR233" t="str">
        <f>IF(OR(SAISIE!$U$4="",SAISIE!$W$4=""),"",IF(AND($A233=SAISIE!$U$4,$B233=SAISIE!$W$4,$C233="S1"),COUNTIFS($A$2:$A233,SAISIE!$U$4,$B$2:$B233,SAISIE!$W$4,$C$2:$C233,"S1"),""))</f>
        <v/>
      </c>
      <c r="AS233" t="str">
        <f t="shared" si="88"/>
        <v/>
      </c>
      <c r="AT233" t="str">
        <f t="shared" si="89"/>
        <v/>
      </c>
      <c r="AU233" t="str">
        <f t="shared" si="90"/>
        <v/>
      </c>
      <c r="AV233">
        <f>N(AV232)+IF(AND($AB233&lt;&gt;"",OR('PROFIL ELEVE'!$K$4="(Tous)",$AF233='PROFIL ELEVE'!$K$4)),1,0)</f>
        <v>0</v>
      </c>
      <c r="AW233">
        <f>N(AW232)+IF(AND($AB233&lt;&gt;"",OR('SUIVI LONGITUDINAL'!$Q$4="(Tous)",$AF233='SUIVI LONGITUDINAL'!$Q$4)),1,0)</f>
        <v>0</v>
      </c>
      <c r="AX233">
        <f t="shared" si="91"/>
        <v>0</v>
      </c>
      <c r="AY233">
        <f t="shared" si="92"/>
        <v>0</v>
      </c>
      <c r="AZ233">
        <f t="shared" si="93"/>
        <v>0</v>
      </c>
      <c r="BA233" t="str">
        <f t="shared" si="94"/>
        <v/>
      </c>
      <c r="BB233" t="str">
        <f t="shared" si="95"/>
        <v/>
      </c>
    </row>
    <row r="234" spans="1:54" ht="14.25" customHeight="1" x14ac:dyDescent="0.3">
      <c r="A234" t="str">
        <f>IF(SAISIE!$F239="","",SAISIE!$B239)</f>
        <v/>
      </c>
      <c r="B234" t="str">
        <f>IF(SAISIE!$F239="","",SAISIE!$C239)</f>
        <v/>
      </c>
      <c r="C234" t="str">
        <f>IF(SAISIE!$F239="","",SAISIE!$D239)</f>
        <v/>
      </c>
      <c r="D234" t="str">
        <f>IF(SAISIE!$E239="","",SAISIE!$E239)</f>
        <v/>
      </c>
      <c r="E234" t="str">
        <f>IF(SAISIE!$F239="","",SAISIE!$F239)</f>
        <v/>
      </c>
      <c r="F234" t="str">
        <f>IF(SAISIE!$G239="","",SAISIE!$G239)</f>
        <v/>
      </c>
      <c r="G234" t="str">
        <f>IF(SAISIE!$H239="","",SAISIE!$H239)</f>
        <v/>
      </c>
      <c r="H234" t="str">
        <f>IF(SAISIE!$I239="","",SAISIE!$I239)</f>
        <v/>
      </c>
      <c r="I234" t="str">
        <f>IF(SAISIE!$J239="","",SAISIE!$J239)</f>
        <v/>
      </c>
      <c r="J234" t="str">
        <f>IF(SAISIE!$K239="","",SAISIE!$K239)</f>
        <v/>
      </c>
      <c r="K234" t="str">
        <f>IF(SAISIE!$L239="","",SAISIE!$L239)</f>
        <v/>
      </c>
      <c r="L234" t="str">
        <f>IF(SAISIE!$M239="","",SAISIE!$M239)</f>
        <v/>
      </c>
      <c r="M234" t="str">
        <f>IF(SAISIE!$N239="","",SAISIE!$N239)</f>
        <v/>
      </c>
      <c r="N234" t="str">
        <f>IF(SAISIE!$O239="","",SAISIE!$O239)</f>
        <v/>
      </c>
      <c r="O234" t="str">
        <f>IF(SAISIE!$P239="","",SAISIE!$P239)</f>
        <v/>
      </c>
      <c r="P234" t="str">
        <f>IF(SAISIE!$Q239="","",SAISIE!$Q239)</f>
        <v/>
      </c>
      <c r="Q234" t="str">
        <f>IF($I234="","",IF($I234&gt;PARAMETRES!$G$29,5,IF($I234&gt;PARAMETRES!$F$29,4,IF($I234&gt;PARAMETRES!$E$29,3,IF($I234&gt;PARAMETRES!$D$29,2,1)))))</f>
        <v/>
      </c>
      <c r="R234" t="str">
        <f>IF($J234="","",IF($J234&gt;PARAMETRES!$G$30,5,IF($J234&gt;PARAMETRES!$F$30,4,IF($J234&gt;PARAMETRES!$E$30,3,IF($J234&gt;PARAMETRES!$D$30,2,1)))))</f>
        <v/>
      </c>
      <c r="S234" t="str">
        <f>IF($K234="","",IF($Z234=2,IF($K234&gt;PARAMETRES!$G$31,5,IF($K234&gt;PARAMETRES!$F$31,4,IF($K234&gt;PARAMETRES!$E$31,3,IF($K234&gt;PARAMETRES!$D$31,2,1)))),IF($K234&gt;PARAMETRES!$G$32,5,IF($K234&gt;PARAMETRES!$F$32,4,IF($K234&gt;PARAMETRES!$E$32,3,IF($K234&gt;PARAMETRES!$D$32,2,1))))))</f>
        <v/>
      </c>
      <c r="T234" t="str">
        <f>IF($L234="","",IF($L234&gt;PARAMETRES!$G$33,5,IF($L234&gt;PARAMETRES!$F$33,4,IF($L234&gt;PARAMETRES!$E$33,3,IF($L234&gt;PARAMETRES!$D$33,2,1)))))</f>
        <v/>
      </c>
      <c r="U234" t="str">
        <f>IF($M234="","",IF($M234&gt;PARAMETRES!$G$34,5,IF($M234&gt;PARAMETRES!$F$34,4,IF($M234&gt;PARAMETRES!$E$34,3,IF($M234&gt;PARAMETRES!$D$34,2,1)))))</f>
        <v/>
      </c>
      <c r="V234" t="str">
        <f>IF($N234="","",IF($N234&gt;PARAMETRES!$G$35,5,IF($N234&gt;PARAMETRES!$F$35,4,IF($N234&gt;PARAMETRES!$E$35,3,IF($N234&gt;PARAMETRES!$D$35,2,1)))))</f>
        <v/>
      </c>
      <c r="W234" t="str">
        <f>IF($O234="","",IF($O234&gt;PARAMETRES!$G$36,5,IF($O234&gt;PARAMETRES!$F$36,4,IF($O234&gt;PARAMETRES!$E$36,3,IF($O234&gt;PARAMETRES!$D$36,2,1)))))</f>
        <v/>
      </c>
      <c r="X234" t="str">
        <f>IF($P234="","",IF($P234&gt;PARAMETRES!$G$37,5,IF($P234&gt;PARAMETRES!$F$37,4,IF($P234&gt;PARAMETRES!$E$37,3,IF($P234&gt;PARAMETRES!$D$37,2,1)))))</f>
        <v/>
      </c>
      <c r="Y234" t="str">
        <f t="shared" si="72"/>
        <v/>
      </c>
      <c r="Z234" t="str">
        <f>IFERROR(VLOOKUP($B234,TABLE_CYCLE,2,0),"")</f>
        <v/>
      </c>
      <c r="AA234" t="str">
        <f t="shared" si="73"/>
        <v/>
      </c>
      <c r="AB234" t="str">
        <f>IF($D234="","",IF(COUNTIF($D$2:$D234,$D234)=1,$D234,""))</f>
        <v/>
      </c>
      <c r="AC234">
        <f t="shared" si="74"/>
        <v>0</v>
      </c>
      <c r="AD234" t="str">
        <f t="shared" si="75"/>
        <v>|0</v>
      </c>
      <c r="AE234" t="str">
        <f t="shared" si="76"/>
        <v/>
      </c>
      <c r="AF234" t="str">
        <f t="shared" si="77"/>
        <v/>
      </c>
      <c r="AG234" t="str">
        <f t="shared" si="78"/>
        <v/>
      </c>
      <c r="AH234" t="str">
        <f t="shared" si="79"/>
        <v/>
      </c>
      <c r="AI234" t="str">
        <f t="shared" si="80"/>
        <v/>
      </c>
      <c r="AJ234" t="str">
        <f t="shared" si="81"/>
        <v/>
      </c>
      <c r="AK234" t="str">
        <f t="shared" si="82"/>
        <v/>
      </c>
      <c r="AL234" t="str">
        <f t="shared" si="83"/>
        <v/>
      </c>
      <c r="AM234" t="str">
        <f t="shared" si="84"/>
        <v/>
      </c>
      <c r="AN234" t="str">
        <f t="shared" si="85"/>
        <v/>
      </c>
      <c r="AO234" t="str">
        <f t="shared" si="86"/>
        <v/>
      </c>
      <c r="AP234">
        <f t="shared" si="87"/>
        <v>1</v>
      </c>
      <c r="AQ234" t="str">
        <f>IF(SAISIE!$F239="","",SAISIE!$Y239)</f>
        <v/>
      </c>
      <c r="AR234" t="str">
        <f>IF(OR(SAISIE!$U$4="",SAISIE!$W$4=""),"",IF(AND($A234=SAISIE!$U$4,$B234=SAISIE!$W$4,$C234="S1"),COUNTIFS($A$2:$A234,SAISIE!$U$4,$B$2:$B234,SAISIE!$W$4,$C$2:$C234,"S1"),""))</f>
        <v/>
      </c>
      <c r="AS234" t="str">
        <f t="shared" si="88"/>
        <v/>
      </c>
      <c r="AT234" t="str">
        <f t="shared" si="89"/>
        <v/>
      </c>
      <c r="AU234" t="str">
        <f t="shared" si="90"/>
        <v/>
      </c>
      <c r="AV234">
        <f>N(AV233)+IF(AND($AB234&lt;&gt;"",OR('PROFIL ELEVE'!$K$4="(Tous)",$AF234='PROFIL ELEVE'!$K$4)),1,0)</f>
        <v>0</v>
      </c>
      <c r="AW234">
        <f>N(AW233)+IF(AND($AB234&lt;&gt;"",OR('SUIVI LONGITUDINAL'!$Q$4="(Tous)",$AF234='SUIVI LONGITUDINAL'!$Q$4)),1,0)</f>
        <v>0</v>
      </c>
      <c r="AX234">
        <f t="shared" si="91"/>
        <v>0</v>
      </c>
      <c r="AY234">
        <f t="shared" si="92"/>
        <v>0</v>
      </c>
      <c r="AZ234">
        <f t="shared" si="93"/>
        <v>0</v>
      </c>
      <c r="BA234" t="str">
        <f t="shared" si="94"/>
        <v/>
      </c>
      <c r="BB234" t="str">
        <f t="shared" si="95"/>
        <v/>
      </c>
    </row>
    <row r="235" spans="1:54" ht="14.25" customHeight="1" x14ac:dyDescent="0.3">
      <c r="A235" t="str">
        <f>IF(SAISIE!$F240="","",SAISIE!$B240)</f>
        <v/>
      </c>
      <c r="B235" t="str">
        <f>IF(SAISIE!$F240="","",SAISIE!$C240)</f>
        <v/>
      </c>
      <c r="C235" t="str">
        <f>IF(SAISIE!$F240="","",SAISIE!$D240)</f>
        <v/>
      </c>
      <c r="D235" t="str">
        <f>IF(SAISIE!$E240="","",SAISIE!$E240)</f>
        <v/>
      </c>
      <c r="E235" t="str">
        <f>IF(SAISIE!$F240="","",SAISIE!$F240)</f>
        <v/>
      </c>
      <c r="F235" t="str">
        <f>IF(SAISIE!$G240="","",SAISIE!$G240)</f>
        <v/>
      </c>
      <c r="G235" t="str">
        <f>IF(SAISIE!$H240="","",SAISIE!$H240)</f>
        <v/>
      </c>
      <c r="H235" t="str">
        <f>IF(SAISIE!$I240="","",SAISIE!$I240)</f>
        <v/>
      </c>
      <c r="I235" t="str">
        <f>IF(SAISIE!$J240="","",SAISIE!$J240)</f>
        <v/>
      </c>
      <c r="J235" t="str">
        <f>IF(SAISIE!$K240="","",SAISIE!$K240)</f>
        <v/>
      </c>
      <c r="K235" t="str">
        <f>IF(SAISIE!$L240="","",SAISIE!$L240)</f>
        <v/>
      </c>
      <c r="L235" t="str">
        <f>IF(SAISIE!$M240="","",SAISIE!$M240)</f>
        <v/>
      </c>
      <c r="M235" t="str">
        <f>IF(SAISIE!$N240="","",SAISIE!$N240)</f>
        <v/>
      </c>
      <c r="N235" t="str">
        <f>IF(SAISIE!$O240="","",SAISIE!$O240)</f>
        <v/>
      </c>
      <c r="O235" t="str">
        <f>IF(SAISIE!$P240="","",SAISIE!$P240)</f>
        <v/>
      </c>
      <c r="P235" t="str">
        <f>IF(SAISIE!$Q240="","",SAISIE!$Q240)</f>
        <v/>
      </c>
      <c r="Q235" t="str">
        <f>IF($I235="","",IF($I235&gt;PARAMETRES!$G$29,5,IF($I235&gt;PARAMETRES!$F$29,4,IF($I235&gt;PARAMETRES!$E$29,3,IF($I235&gt;PARAMETRES!$D$29,2,1)))))</f>
        <v/>
      </c>
      <c r="R235" t="str">
        <f>IF($J235="","",IF($J235&gt;PARAMETRES!$G$30,5,IF($J235&gt;PARAMETRES!$F$30,4,IF($J235&gt;PARAMETRES!$E$30,3,IF($J235&gt;PARAMETRES!$D$30,2,1)))))</f>
        <v/>
      </c>
      <c r="S235" t="str">
        <f>IF($K235="","",IF($Z235=2,IF($K235&gt;PARAMETRES!$G$31,5,IF($K235&gt;PARAMETRES!$F$31,4,IF($K235&gt;PARAMETRES!$E$31,3,IF($K235&gt;PARAMETRES!$D$31,2,1)))),IF($K235&gt;PARAMETRES!$G$32,5,IF($K235&gt;PARAMETRES!$F$32,4,IF($K235&gt;PARAMETRES!$E$32,3,IF($K235&gt;PARAMETRES!$D$32,2,1))))))</f>
        <v/>
      </c>
      <c r="T235" t="str">
        <f>IF($L235="","",IF($L235&gt;PARAMETRES!$G$33,5,IF($L235&gt;PARAMETRES!$F$33,4,IF($L235&gt;PARAMETRES!$E$33,3,IF($L235&gt;PARAMETRES!$D$33,2,1)))))</f>
        <v/>
      </c>
      <c r="U235" t="str">
        <f>IF($M235="","",IF($M235&gt;PARAMETRES!$G$34,5,IF($M235&gt;PARAMETRES!$F$34,4,IF($M235&gt;PARAMETRES!$E$34,3,IF($M235&gt;PARAMETRES!$D$34,2,1)))))</f>
        <v/>
      </c>
      <c r="V235" t="str">
        <f>IF($N235="","",IF($N235&gt;PARAMETRES!$G$35,5,IF($N235&gt;PARAMETRES!$F$35,4,IF($N235&gt;PARAMETRES!$E$35,3,IF($N235&gt;PARAMETRES!$D$35,2,1)))))</f>
        <v/>
      </c>
      <c r="W235" t="str">
        <f>IF($O235="","",IF($O235&gt;PARAMETRES!$G$36,5,IF($O235&gt;PARAMETRES!$F$36,4,IF($O235&gt;PARAMETRES!$E$36,3,IF($O235&gt;PARAMETRES!$D$36,2,1)))))</f>
        <v/>
      </c>
      <c r="X235" t="str">
        <f>IF($P235="","",IF($P235&gt;PARAMETRES!$G$37,5,IF($P235&gt;PARAMETRES!$F$37,4,IF($P235&gt;PARAMETRES!$E$37,3,IF($P235&gt;PARAMETRES!$D$37,2,1)))))</f>
        <v/>
      </c>
      <c r="Y235" t="str">
        <f t="shared" si="72"/>
        <v/>
      </c>
      <c r="Z235" t="str">
        <f>IFERROR(VLOOKUP($B235,TABLE_CYCLE,2,0),"")</f>
        <v/>
      </c>
      <c r="AA235" t="str">
        <f t="shared" si="73"/>
        <v/>
      </c>
      <c r="AB235" t="str">
        <f>IF($D235="","",IF(COUNTIF($D$2:$D235,$D235)=1,$D235,""))</f>
        <v/>
      </c>
      <c r="AC235">
        <f t="shared" si="74"/>
        <v>0</v>
      </c>
      <c r="AD235" t="str">
        <f t="shared" si="75"/>
        <v>|0</v>
      </c>
      <c r="AE235" t="str">
        <f t="shared" si="76"/>
        <v/>
      </c>
      <c r="AF235" t="str">
        <f t="shared" si="77"/>
        <v/>
      </c>
      <c r="AG235" t="str">
        <f t="shared" si="78"/>
        <v/>
      </c>
      <c r="AH235" t="str">
        <f t="shared" si="79"/>
        <v/>
      </c>
      <c r="AI235" t="str">
        <f t="shared" si="80"/>
        <v/>
      </c>
      <c r="AJ235" t="str">
        <f t="shared" si="81"/>
        <v/>
      </c>
      <c r="AK235" t="str">
        <f t="shared" si="82"/>
        <v/>
      </c>
      <c r="AL235" t="str">
        <f t="shared" si="83"/>
        <v/>
      </c>
      <c r="AM235" t="str">
        <f t="shared" si="84"/>
        <v/>
      </c>
      <c r="AN235" t="str">
        <f t="shared" si="85"/>
        <v/>
      </c>
      <c r="AO235" t="str">
        <f t="shared" si="86"/>
        <v/>
      </c>
      <c r="AP235">
        <f t="shared" si="87"/>
        <v>1</v>
      </c>
      <c r="AQ235" t="str">
        <f>IF(SAISIE!$F240="","",SAISIE!$Y240)</f>
        <v/>
      </c>
      <c r="AR235" t="str">
        <f>IF(OR(SAISIE!$U$4="",SAISIE!$W$4=""),"",IF(AND($A235=SAISIE!$U$4,$B235=SAISIE!$W$4,$C235="S1"),COUNTIFS($A$2:$A235,SAISIE!$U$4,$B$2:$B235,SAISIE!$W$4,$C$2:$C235,"S1"),""))</f>
        <v/>
      </c>
      <c r="AS235" t="str">
        <f t="shared" si="88"/>
        <v/>
      </c>
      <c r="AT235" t="str">
        <f t="shared" si="89"/>
        <v/>
      </c>
      <c r="AU235" t="str">
        <f t="shared" si="90"/>
        <v/>
      </c>
      <c r="AV235">
        <f>N(AV234)+IF(AND($AB235&lt;&gt;"",OR('PROFIL ELEVE'!$K$4="(Tous)",$AF235='PROFIL ELEVE'!$K$4)),1,0)</f>
        <v>0</v>
      </c>
      <c r="AW235">
        <f>N(AW234)+IF(AND($AB235&lt;&gt;"",OR('SUIVI LONGITUDINAL'!$Q$4="(Tous)",$AF235='SUIVI LONGITUDINAL'!$Q$4)),1,0)</f>
        <v>0</v>
      </c>
      <c r="AX235">
        <f t="shared" si="91"/>
        <v>0</v>
      </c>
      <c r="AY235">
        <f t="shared" si="92"/>
        <v>0</v>
      </c>
      <c r="AZ235">
        <f t="shared" si="93"/>
        <v>0</v>
      </c>
      <c r="BA235" t="str">
        <f t="shared" si="94"/>
        <v/>
      </c>
      <c r="BB235" t="str">
        <f t="shared" si="95"/>
        <v/>
      </c>
    </row>
    <row r="236" spans="1:54" ht="14.25" customHeight="1" x14ac:dyDescent="0.3">
      <c r="A236" t="str">
        <f>IF(SAISIE!$F241="","",SAISIE!$B241)</f>
        <v/>
      </c>
      <c r="B236" t="str">
        <f>IF(SAISIE!$F241="","",SAISIE!$C241)</f>
        <v/>
      </c>
      <c r="C236" t="str">
        <f>IF(SAISIE!$F241="","",SAISIE!$D241)</f>
        <v/>
      </c>
      <c r="D236" t="str">
        <f>IF(SAISIE!$E241="","",SAISIE!$E241)</f>
        <v/>
      </c>
      <c r="E236" t="str">
        <f>IF(SAISIE!$F241="","",SAISIE!$F241)</f>
        <v/>
      </c>
      <c r="F236" t="str">
        <f>IF(SAISIE!$G241="","",SAISIE!$G241)</f>
        <v/>
      </c>
      <c r="G236" t="str">
        <f>IF(SAISIE!$H241="","",SAISIE!$H241)</f>
        <v/>
      </c>
      <c r="H236" t="str">
        <f>IF(SAISIE!$I241="","",SAISIE!$I241)</f>
        <v/>
      </c>
      <c r="I236" t="str">
        <f>IF(SAISIE!$J241="","",SAISIE!$J241)</f>
        <v/>
      </c>
      <c r="J236" t="str">
        <f>IF(SAISIE!$K241="","",SAISIE!$K241)</f>
        <v/>
      </c>
      <c r="K236" t="str">
        <f>IF(SAISIE!$L241="","",SAISIE!$L241)</f>
        <v/>
      </c>
      <c r="L236" t="str">
        <f>IF(SAISIE!$M241="","",SAISIE!$M241)</f>
        <v/>
      </c>
      <c r="M236" t="str">
        <f>IF(SAISIE!$N241="","",SAISIE!$N241)</f>
        <v/>
      </c>
      <c r="N236" t="str">
        <f>IF(SAISIE!$O241="","",SAISIE!$O241)</f>
        <v/>
      </c>
      <c r="O236" t="str">
        <f>IF(SAISIE!$P241="","",SAISIE!$P241)</f>
        <v/>
      </c>
      <c r="P236" t="str">
        <f>IF(SAISIE!$Q241="","",SAISIE!$Q241)</f>
        <v/>
      </c>
      <c r="Q236" t="str">
        <f>IF($I236="","",IF($I236&gt;PARAMETRES!$G$29,5,IF($I236&gt;PARAMETRES!$F$29,4,IF($I236&gt;PARAMETRES!$E$29,3,IF($I236&gt;PARAMETRES!$D$29,2,1)))))</f>
        <v/>
      </c>
      <c r="R236" t="str">
        <f>IF($J236="","",IF($J236&gt;PARAMETRES!$G$30,5,IF($J236&gt;PARAMETRES!$F$30,4,IF($J236&gt;PARAMETRES!$E$30,3,IF($J236&gt;PARAMETRES!$D$30,2,1)))))</f>
        <v/>
      </c>
      <c r="S236" t="str">
        <f>IF($K236="","",IF($Z236=2,IF($K236&gt;PARAMETRES!$G$31,5,IF($K236&gt;PARAMETRES!$F$31,4,IF($K236&gt;PARAMETRES!$E$31,3,IF($K236&gt;PARAMETRES!$D$31,2,1)))),IF($K236&gt;PARAMETRES!$G$32,5,IF($K236&gt;PARAMETRES!$F$32,4,IF($K236&gt;PARAMETRES!$E$32,3,IF($K236&gt;PARAMETRES!$D$32,2,1))))))</f>
        <v/>
      </c>
      <c r="T236" t="str">
        <f>IF($L236="","",IF($L236&gt;PARAMETRES!$G$33,5,IF($L236&gt;PARAMETRES!$F$33,4,IF($L236&gt;PARAMETRES!$E$33,3,IF($L236&gt;PARAMETRES!$D$33,2,1)))))</f>
        <v/>
      </c>
      <c r="U236" t="str">
        <f>IF($M236="","",IF($M236&gt;PARAMETRES!$G$34,5,IF($M236&gt;PARAMETRES!$F$34,4,IF($M236&gt;PARAMETRES!$E$34,3,IF($M236&gt;PARAMETRES!$D$34,2,1)))))</f>
        <v/>
      </c>
      <c r="V236" t="str">
        <f>IF($N236="","",IF($N236&gt;PARAMETRES!$G$35,5,IF($N236&gt;PARAMETRES!$F$35,4,IF($N236&gt;PARAMETRES!$E$35,3,IF($N236&gt;PARAMETRES!$D$35,2,1)))))</f>
        <v/>
      </c>
      <c r="W236" t="str">
        <f>IF($O236="","",IF($O236&gt;PARAMETRES!$G$36,5,IF($O236&gt;PARAMETRES!$F$36,4,IF($O236&gt;PARAMETRES!$E$36,3,IF($O236&gt;PARAMETRES!$D$36,2,1)))))</f>
        <v/>
      </c>
      <c r="X236" t="str">
        <f>IF($P236="","",IF($P236&gt;PARAMETRES!$G$37,5,IF($P236&gt;PARAMETRES!$F$37,4,IF($P236&gt;PARAMETRES!$E$37,3,IF($P236&gt;PARAMETRES!$D$37,2,1)))))</f>
        <v/>
      </c>
      <c r="Y236" t="str">
        <f t="shared" si="72"/>
        <v/>
      </c>
      <c r="Z236" t="str">
        <f>IFERROR(VLOOKUP($B236,TABLE_CYCLE,2,0),"")</f>
        <v/>
      </c>
      <c r="AA236" t="str">
        <f t="shared" si="73"/>
        <v/>
      </c>
      <c r="AB236" t="str">
        <f>IF($D236="","",IF(COUNTIF($D$2:$D236,$D236)=1,$D236,""))</f>
        <v/>
      </c>
      <c r="AC236">
        <f t="shared" si="74"/>
        <v>0</v>
      </c>
      <c r="AD236" t="str">
        <f t="shared" si="75"/>
        <v>|0</v>
      </c>
      <c r="AE236" t="str">
        <f t="shared" si="76"/>
        <v/>
      </c>
      <c r="AF236" t="str">
        <f t="shared" si="77"/>
        <v/>
      </c>
      <c r="AG236" t="str">
        <f t="shared" si="78"/>
        <v/>
      </c>
      <c r="AH236" t="str">
        <f t="shared" si="79"/>
        <v/>
      </c>
      <c r="AI236" t="str">
        <f t="shared" si="80"/>
        <v/>
      </c>
      <c r="AJ236" t="str">
        <f t="shared" si="81"/>
        <v/>
      </c>
      <c r="AK236" t="str">
        <f t="shared" si="82"/>
        <v/>
      </c>
      <c r="AL236" t="str">
        <f t="shared" si="83"/>
        <v/>
      </c>
      <c r="AM236" t="str">
        <f t="shared" si="84"/>
        <v/>
      </c>
      <c r="AN236" t="str">
        <f t="shared" si="85"/>
        <v/>
      </c>
      <c r="AO236" t="str">
        <f t="shared" si="86"/>
        <v/>
      </c>
      <c r="AP236">
        <f t="shared" si="87"/>
        <v>1</v>
      </c>
      <c r="AQ236" t="str">
        <f>IF(SAISIE!$F241="","",SAISIE!$Y241)</f>
        <v/>
      </c>
      <c r="AR236" t="str">
        <f>IF(OR(SAISIE!$U$4="",SAISIE!$W$4=""),"",IF(AND($A236=SAISIE!$U$4,$B236=SAISIE!$W$4,$C236="S1"),COUNTIFS($A$2:$A236,SAISIE!$U$4,$B$2:$B236,SAISIE!$W$4,$C$2:$C236,"S1"),""))</f>
        <v/>
      </c>
      <c r="AS236" t="str">
        <f t="shared" si="88"/>
        <v/>
      </c>
      <c r="AT236" t="str">
        <f t="shared" si="89"/>
        <v/>
      </c>
      <c r="AU236" t="str">
        <f t="shared" si="90"/>
        <v/>
      </c>
      <c r="AV236">
        <f>N(AV235)+IF(AND($AB236&lt;&gt;"",OR('PROFIL ELEVE'!$K$4="(Tous)",$AF236='PROFIL ELEVE'!$K$4)),1,0)</f>
        <v>0</v>
      </c>
      <c r="AW236">
        <f>N(AW235)+IF(AND($AB236&lt;&gt;"",OR('SUIVI LONGITUDINAL'!$Q$4="(Tous)",$AF236='SUIVI LONGITUDINAL'!$Q$4)),1,0)</f>
        <v>0</v>
      </c>
      <c r="AX236">
        <f t="shared" si="91"/>
        <v>0</v>
      </c>
      <c r="AY236">
        <f t="shared" si="92"/>
        <v>0</v>
      </c>
      <c r="AZ236">
        <f t="shared" si="93"/>
        <v>0</v>
      </c>
      <c r="BA236" t="str">
        <f t="shared" si="94"/>
        <v/>
      </c>
      <c r="BB236" t="str">
        <f t="shared" si="95"/>
        <v/>
      </c>
    </row>
    <row r="237" spans="1:54" ht="14.25" customHeight="1" x14ac:dyDescent="0.3">
      <c r="A237" t="str">
        <f>IF(SAISIE!$F242="","",SAISIE!$B242)</f>
        <v/>
      </c>
      <c r="B237" t="str">
        <f>IF(SAISIE!$F242="","",SAISIE!$C242)</f>
        <v/>
      </c>
      <c r="C237" t="str">
        <f>IF(SAISIE!$F242="","",SAISIE!$D242)</f>
        <v/>
      </c>
      <c r="D237" t="str">
        <f>IF(SAISIE!$E242="","",SAISIE!$E242)</f>
        <v/>
      </c>
      <c r="E237" t="str">
        <f>IF(SAISIE!$F242="","",SAISIE!$F242)</f>
        <v/>
      </c>
      <c r="F237" t="str">
        <f>IF(SAISIE!$G242="","",SAISIE!$G242)</f>
        <v/>
      </c>
      <c r="G237" t="str">
        <f>IF(SAISIE!$H242="","",SAISIE!$H242)</f>
        <v/>
      </c>
      <c r="H237" t="str">
        <f>IF(SAISIE!$I242="","",SAISIE!$I242)</f>
        <v/>
      </c>
      <c r="I237" t="str">
        <f>IF(SAISIE!$J242="","",SAISIE!$J242)</f>
        <v/>
      </c>
      <c r="J237" t="str">
        <f>IF(SAISIE!$K242="","",SAISIE!$K242)</f>
        <v/>
      </c>
      <c r="K237" t="str">
        <f>IF(SAISIE!$L242="","",SAISIE!$L242)</f>
        <v/>
      </c>
      <c r="L237" t="str">
        <f>IF(SAISIE!$M242="","",SAISIE!$M242)</f>
        <v/>
      </c>
      <c r="M237" t="str">
        <f>IF(SAISIE!$N242="","",SAISIE!$N242)</f>
        <v/>
      </c>
      <c r="N237" t="str">
        <f>IF(SAISIE!$O242="","",SAISIE!$O242)</f>
        <v/>
      </c>
      <c r="O237" t="str">
        <f>IF(SAISIE!$P242="","",SAISIE!$P242)</f>
        <v/>
      </c>
      <c r="P237" t="str">
        <f>IF(SAISIE!$Q242="","",SAISIE!$Q242)</f>
        <v/>
      </c>
      <c r="Q237" t="str">
        <f>IF($I237="","",IF($I237&gt;PARAMETRES!$G$29,5,IF($I237&gt;PARAMETRES!$F$29,4,IF($I237&gt;PARAMETRES!$E$29,3,IF($I237&gt;PARAMETRES!$D$29,2,1)))))</f>
        <v/>
      </c>
      <c r="R237" t="str">
        <f>IF($J237="","",IF($J237&gt;PARAMETRES!$G$30,5,IF($J237&gt;PARAMETRES!$F$30,4,IF($J237&gt;PARAMETRES!$E$30,3,IF($J237&gt;PARAMETRES!$D$30,2,1)))))</f>
        <v/>
      </c>
      <c r="S237" t="str">
        <f>IF($K237="","",IF($Z237=2,IF($K237&gt;PARAMETRES!$G$31,5,IF($K237&gt;PARAMETRES!$F$31,4,IF($K237&gt;PARAMETRES!$E$31,3,IF($K237&gt;PARAMETRES!$D$31,2,1)))),IF($K237&gt;PARAMETRES!$G$32,5,IF($K237&gt;PARAMETRES!$F$32,4,IF($K237&gt;PARAMETRES!$E$32,3,IF($K237&gt;PARAMETRES!$D$32,2,1))))))</f>
        <v/>
      </c>
      <c r="T237" t="str">
        <f>IF($L237="","",IF($L237&gt;PARAMETRES!$G$33,5,IF($L237&gt;PARAMETRES!$F$33,4,IF($L237&gt;PARAMETRES!$E$33,3,IF($L237&gt;PARAMETRES!$D$33,2,1)))))</f>
        <v/>
      </c>
      <c r="U237" t="str">
        <f>IF($M237="","",IF($M237&gt;PARAMETRES!$G$34,5,IF($M237&gt;PARAMETRES!$F$34,4,IF($M237&gt;PARAMETRES!$E$34,3,IF($M237&gt;PARAMETRES!$D$34,2,1)))))</f>
        <v/>
      </c>
      <c r="V237" t="str">
        <f>IF($N237="","",IF($N237&gt;PARAMETRES!$G$35,5,IF($N237&gt;PARAMETRES!$F$35,4,IF($N237&gt;PARAMETRES!$E$35,3,IF($N237&gt;PARAMETRES!$D$35,2,1)))))</f>
        <v/>
      </c>
      <c r="W237" t="str">
        <f>IF($O237="","",IF($O237&gt;PARAMETRES!$G$36,5,IF($O237&gt;PARAMETRES!$F$36,4,IF($O237&gt;PARAMETRES!$E$36,3,IF($O237&gt;PARAMETRES!$D$36,2,1)))))</f>
        <v/>
      </c>
      <c r="X237" t="str">
        <f>IF($P237="","",IF($P237&gt;PARAMETRES!$G$37,5,IF($P237&gt;PARAMETRES!$F$37,4,IF($P237&gt;PARAMETRES!$E$37,3,IF($P237&gt;PARAMETRES!$D$37,2,1)))))</f>
        <v/>
      </c>
      <c r="Y237" t="str">
        <f t="shared" si="72"/>
        <v/>
      </c>
      <c r="Z237" t="str">
        <f>IFERROR(VLOOKUP($B237,TABLE_CYCLE,2,0),"")</f>
        <v/>
      </c>
      <c r="AA237" t="str">
        <f t="shared" si="73"/>
        <v/>
      </c>
      <c r="AB237" t="str">
        <f>IF($D237="","",IF(COUNTIF($D$2:$D237,$D237)=1,$D237,""))</f>
        <v/>
      </c>
      <c r="AC237">
        <f t="shared" si="74"/>
        <v>0</v>
      </c>
      <c r="AD237" t="str">
        <f t="shared" si="75"/>
        <v>|0</v>
      </c>
      <c r="AE237" t="str">
        <f t="shared" si="76"/>
        <v/>
      </c>
      <c r="AF237" t="str">
        <f t="shared" si="77"/>
        <v/>
      </c>
      <c r="AG237" t="str">
        <f t="shared" si="78"/>
        <v/>
      </c>
      <c r="AH237" t="str">
        <f t="shared" si="79"/>
        <v/>
      </c>
      <c r="AI237" t="str">
        <f t="shared" si="80"/>
        <v/>
      </c>
      <c r="AJ237" t="str">
        <f t="shared" si="81"/>
        <v/>
      </c>
      <c r="AK237" t="str">
        <f t="shared" si="82"/>
        <v/>
      </c>
      <c r="AL237" t="str">
        <f t="shared" si="83"/>
        <v/>
      </c>
      <c r="AM237" t="str">
        <f t="shared" si="84"/>
        <v/>
      </c>
      <c r="AN237" t="str">
        <f t="shared" si="85"/>
        <v/>
      </c>
      <c r="AO237" t="str">
        <f t="shared" si="86"/>
        <v/>
      </c>
      <c r="AP237">
        <f t="shared" si="87"/>
        <v>1</v>
      </c>
      <c r="AQ237" t="str">
        <f>IF(SAISIE!$F242="","",SAISIE!$Y242)</f>
        <v/>
      </c>
      <c r="AR237" t="str">
        <f>IF(OR(SAISIE!$U$4="",SAISIE!$W$4=""),"",IF(AND($A237=SAISIE!$U$4,$B237=SAISIE!$W$4,$C237="S1"),COUNTIFS($A$2:$A237,SAISIE!$U$4,$B$2:$B237,SAISIE!$W$4,$C$2:$C237,"S1"),""))</f>
        <v/>
      </c>
      <c r="AS237" t="str">
        <f t="shared" si="88"/>
        <v/>
      </c>
      <c r="AT237" t="str">
        <f t="shared" si="89"/>
        <v/>
      </c>
      <c r="AU237" t="str">
        <f t="shared" si="90"/>
        <v/>
      </c>
      <c r="AV237">
        <f>N(AV236)+IF(AND($AB237&lt;&gt;"",OR('PROFIL ELEVE'!$K$4="(Tous)",$AF237='PROFIL ELEVE'!$K$4)),1,0)</f>
        <v>0</v>
      </c>
      <c r="AW237">
        <f>N(AW236)+IF(AND($AB237&lt;&gt;"",OR('SUIVI LONGITUDINAL'!$Q$4="(Tous)",$AF237='SUIVI LONGITUDINAL'!$Q$4)),1,0)</f>
        <v>0</v>
      </c>
      <c r="AX237">
        <f t="shared" si="91"/>
        <v>0</v>
      </c>
      <c r="AY237">
        <f t="shared" si="92"/>
        <v>0</v>
      </c>
      <c r="AZ237">
        <f t="shared" si="93"/>
        <v>0</v>
      </c>
      <c r="BA237" t="str">
        <f t="shared" si="94"/>
        <v/>
      </c>
      <c r="BB237" t="str">
        <f t="shared" si="95"/>
        <v/>
      </c>
    </row>
    <row r="238" spans="1:54" ht="14.25" customHeight="1" x14ac:dyDescent="0.3">
      <c r="A238" t="str">
        <f>IF(SAISIE!$F243="","",SAISIE!$B243)</f>
        <v/>
      </c>
      <c r="B238" t="str">
        <f>IF(SAISIE!$F243="","",SAISIE!$C243)</f>
        <v/>
      </c>
      <c r="C238" t="str">
        <f>IF(SAISIE!$F243="","",SAISIE!$D243)</f>
        <v/>
      </c>
      <c r="D238" t="str">
        <f>IF(SAISIE!$E243="","",SAISIE!$E243)</f>
        <v/>
      </c>
      <c r="E238" t="str">
        <f>IF(SAISIE!$F243="","",SAISIE!$F243)</f>
        <v/>
      </c>
      <c r="F238" t="str">
        <f>IF(SAISIE!$G243="","",SAISIE!$G243)</f>
        <v/>
      </c>
      <c r="G238" t="str">
        <f>IF(SAISIE!$H243="","",SAISIE!$H243)</f>
        <v/>
      </c>
      <c r="H238" t="str">
        <f>IF(SAISIE!$I243="","",SAISIE!$I243)</f>
        <v/>
      </c>
      <c r="I238" t="str">
        <f>IF(SAISIE!$J243="","",SAISIE!$J243)</f>
        <v/>
      </c>
      <c r="J238" t="str">
        <f>IF(SAISIE!$K243="","",SAISIE!$K243)</f>
        <v/>
      </c>
      <c r="K238" t="str">
        <f>IF(SAISIE!$L243="","",SAISIE!$L243)</f>
        <v/>
      </c>
      <c r="L238" t="str">
        <f>IF(SAISIE!$M243="","",SAISIE!$M243)</f>
        <v/>
      </c>
      <c r="M238" t="str">
        <f>IF(SAISIE!$N243="","",SAISIE!$N243)</f>
        <v/>
      </c>
      <c r="N238" t="str">
        <f>IF(SAISIE!$O243="","",SAISIE!$O243)</f>
        <v/>
      </c>
      <c r="O238" t="str">
        <f>IF(SAISIE!$P243="","",SAISIE!$P243)</f>
        <v/>
      </c>
      <c r="P238" t="str">
        <f>IF(SAISIE!$Q243="","",SAISIE!$Q243)</f>
        <v/>
      </c>
      <c r="Q238" t="str">
        <f>IF($I238="","",IF($I238&gt;PARAMETRES!$G$29,5,IF($I238&gt;PARAMETRES!$F$29,4,IF($I238&gt;PARAMETRES!$E$29,3,IF($I238&gt;PARAMETRES!$D$29,2,1)))))</f>
        <v/>
      </c>
      <c r="R238" t="str">
        <f>IF($J238="","",IF($J238&gt;PARAMETRES!$G$30,5,IF($J238&gt;PARAMETRES!$F$30,4,IF($J238&gt;PARAMETRES!$E$30,3,IF($J238&gt;PARAMETRES!$D$30,2,1)))))</f>
        <v/>
      </c>
      <c r="S238" t="str">
        <f>IF($K238="","",IF($Z238=2,IF($K238&gt;PARAMETRES!$G$31,5,IF($K238&gt;PARAMETRES!$F$31,4,IF($K238&gt;PARAMETRES!$E$31,3,IF($K238&gt;PARAMETRES!$D$31,2,1)))),IF($K238&gt;PARAMETRES!$G$32,5,IF($K238&gt;PARAMETRES!$F$32,4,IF($K238&gt;PARAMETRES!$E$32,3,IF($K238&gt;PARAMETRES!$D$32,2,1))))))</f>
        <v/>
      </c>
      <c r="T238" t="str">
        <f>IF($L238="","",IF($L238&gt;PARAMETRES!$G$33,5,IF($L238&gt;PARAMETRES!$F$33,4,IF($L238&gt;PARAMETRES!$E$33,3,IF($L238&gt;PARAMETRES!$D$33,2,1)))))</f>
        <v/>
      </c>
      <c r="U238" t="str">
        <f>IF($M238="","",IF($M238&gt;PARAMETRES!$G$34,5,IF($M238&gt;PARAMETRES!$F$34,4,IF($M238&gt;PARAMETRES!$E$34,3,IF($M238&gt;PARAMETRES!$D$34,2,1)))))</f>
        <v/>
      </c>
      <c r="V238" t="str">
        <f>IF($N238="","",IF($N238&gt;PARAMETRES!$G$35,5,IF($N238&gt;PARAMETRES!$F$35,4,IF($N238&gt;PARAMETRES!$E$35,3,IF($N238&gt;PARAMETRES!$D$35,2,1)))))</f>
        <v/>
      </c>
      <c r="W238" t="str">
        <f>IF($O238="","",IF($O238&gt;PARAMETRES!$G$36,5,IF($O238&gt;PARAMETRES!$F$36,4,IF($O238&gt;PARAMETRES!$E$36,3,IF($O238&gt;PARAMETRES!$D$36,2,1)))))</f>
        <v/>
      </c>
      <c r="X238" t="str">
        <f>IF($P238="","",IF($P238&gt;PARAMETRES!$G$37,5,IF($P238&gt;PARAMETRES!$F$37,4,IF($P238&gt;PARAMETRES!$E$37,3,IF($P238&gt;PARAMETRES!$D$37,2,1)))))</f>
        <v/>
      </c>
      <c r="Y238" t="str">
        <f t="shared" si="72"/>
        <v/>
      </c>
      <c r="Z238" t="str">
        <f>IFERROR(VLOOKUP($B238,TABLE_CYCLE,2,0),"")</f>
        <v/>
      </c>
      <c r="AA238" t="str">
        <f t="shared" si="73"/>
        <v/>
      </c>
      <c r="AB238" t="str">
        <f>IF($D238="","",IF(COUNTIF($D$2:$D238,$D238)=1,$D238,""))</f>
        <v/>
      </c>
      <c r="AC238">
        <f t="shared" si="74"/>
        <v>0</v>
      </c>
      <c r="AD238" t="str">
        <f t="shared" si="75"/>
        <v>|0</v>
      </c>
      <c r="AE238" t="str">
        <f t="shared" si="76"/>
        <v/>
      </c>
      <c r="AF238" t="str">
        <f t="shared" si="77"/>
        <v/>
      </c>
      <c r="AG238" t="str">
        <f t="shared" si="78"/>
        <v/>
      </c>
      <c r="AH238" t="str">
        <f t="shared" si="79"/>
        <v/>
      </c>
      <c r="AI238" t="str">
        <f t="shared" si="80"/>
        <v/>
      </c>
      <c r="AJ238" t="str">
        <f t="shared" si="81"/>
        <v/>
      </c>
      <c r="AK238" t="str">
        <f t="shared" si="82"/>
        <v/>
      </c>
      <c r="AL238" t="str">
        <f t="shared" si="83"/>
        <v/>
      </c>
      <c r="AM238" t="str">
        <f t="shared" si="84"/>
        <v/>
      </c>
      <c r="AN238" t="str">
        <f t="shared" si="85"/>
        <v/>
      </c>
      <c r="AO238" t="str">
        <f t="shared" si="86"/>
        <v/>
      </c>
      <c r="AP238">
        <f t="shared" si="87"/>
        <v>1</v>
      </c>
      <c r="AQ238" t="str">
        <f>IF(SAISIE!$F243="","",SAISIE!$Y243)</f>
        <v/>
      </c>
      <c r="AR238" t="str">
        <f>IF(OR(SAISIE!$U$4="",SAISIE!$W$4=""),"",IF(AND($A238=SAISIE!$U$4,$B238=SAISIE!$W$4,$C238="S1"),COUNTIFS($A$2:$A238,SAISIE!$U$4,$B$2:$B238,SAISIE!$W$4,$C$2:$C238,"S1"),""))</f>
        <v/>
      </c>
      <c r="AS238" t="str">
        <f t="shared" si="88"/>
        <v/>
      </c>
      <c r="AT238" t="str">
        <f t="shared" si="89"/>
        <v/>
      </c>
      <c r="AU238" t="str">
        <f t="shared" si="90"/>
        <v/>
      </c>
      <c r="AV238">
        <f>N(AV237)+IF(AND($AB238&lt;&gt;"",OR('PROFIL ELEVE'!$K$4="(Tous)",$AF238='PROFIL ELEVE'!$K$4)),1,0)</f>
        <v>0</v>
      </c>
      <c r="AW238">
        <f>N(AW237)+IF(AND($AB238&lt;&gt;"",OR('SUIVI LONGITUDINAL'!$Q$4="(Tous)",$AF238='SUIVI LONGITUDINAL'!$Q$4)),1,0)</f>
        <v>0</v>
      </c>
      <c r="AX238">
        <f t="shared" si="91"/>
        <v>0</v>
      </c>
      <c r="AY238">
        <f t="shared" si="92"/>
        <v>0</v>
      </c>
      <c r="AZ238">
        <f t="shared" si="93"/>
        <v>0</v>
      </c>
      <c r="BA238" t="str">
        <f t="shared" si="94"/>
        <v/>
      </c>
      <c r="BB238" t="str">
        <f t="shared" si="95"/>
        <v/>
      </c>
    </row>
    <row r="239" spans="1:54" ht="14.25" customHeight="1" x14ac:dyDescent="0.3">
      <c r="A239" t="str">
        <f>IF(SAISIE!$F244="","",SAISIE!$B244)</f>
        <v/>
      </c>
      <c r="B239" t="str">
        <f>IF(SAISIE!$F244="","",SAISIE!$C244)</f>
        <v/>
      </c>
      <c r="C239" t="str">
        <f>IF(SAISIE!$F244="","",SAISIE!$D244)</f>
        <v/>
      </c>
      <c r="D239" t="str">
        <f>IF(SAISIE!$E244="","",SAISIE!$E244)</f>
        <v/>
      </c>
      <c r="E239" t="str">
        <f>IF(SAISIE!$F244="","",SAISIE!$F244)</f>
        <v/>
      </c>
      <c r="F239" t="str">
        <f>IF(SAISIE!$G244="","",SAISIE!$G244)</f>
        <v/>
      </c>
      <c r="G239" t="str">
        <f>IF(SAISIE!$H244="","",SAISIE!$H244)</f>
        <v/>
      </c>
      <c r="H239" t="str">
        <f>IF(SAISIE!$I244="","",SAISIE!$I244)</f>
        <v/>
      </c>
      <c r="I239" t="str">
        <f>IF(SAISIE!$J244="","",SAISIE!$J244)</f>
        <v/>
      </c>
      <c r="J239" t="str">
        <f>IF(SAISIE!$K244="","",SAISIE!$K244)</f>
        <v/>
      </c>
      <c r="K239" t="str">
        <f>IF(SAISIE!$L244="","",SAISIE!$L244)</f>
        <v/>
      </c>
      <c r="L239" t="str">
        <f>IF(SAISIE!$M244="","",SAISIE!$M244)</f>
        <v/>
      </c>
      <c r="M239" t="str">
        <f>IF(SAISIE!$N244="","",SAISIE!$N244)</f>
        <v/>
      </c>
      <c r="N239" t="str">
        <f>IF(SAISIE!$O244="","",SAISIE!$O244)</f>
        <v/>
      </c>
      <c r="O239" t="str">
        <f>IF(SAISIE!$P244="","",SAISIE!$P244)</f>
        <v/>
      </c>
      <c r="P239" t="str">
        <f>IF(SAISIE!$Q244="","",SAISIE!$Q244)</f>
        <v/>
      </c>
      <c r="Q239" t="str">
        <f>IF($I239="","",IF($I239&gt;PARAMETRES!$G$29,5,IF($I239&gt;PARAMETRES!$F$29,4,IF($I239&gt;PARAMETRES!$E$29,3,IF($I239&gt;PARAMETRES!$D$29,2,1)))))</f>
        <v/>
      </c>
      <c r="R239" t="str">
        <f>IF($J239="","",IF($J239&gt;PARAMETRES!$G$30,5,IF($J239&gt;PARAMETRES!$F$30,4,IF($J239&gt;PARAMETRES!$E$30,3,IF($J239&gt;PARAMETRES!$D$30,2,1)))))</f>
        <v/>
      </c>
      <c r="S239" t="str">
        <f>IF($K239="","",IF($Z239=2,IF($K239&gt;PARAMETRES!$G$31,5,IF($K239&gt;PARAMETRES!$F$31,4,IF($K239&gt;PARAMETRES!$E$31,3,IF($K239&gt;PARAMETRES!$D$31,2,1)))),IF($K239&gt;PARAMETRES!$G$32,5,IF($K239&gt;PARAMETRES!$F$32,4,IF($K239&gt;PARAMETRES!$E$32,3,IF($K239&gt;PARAMETRES!$D$32,2,1))))))</f>
        <v/>
      </c>
      <c r="T239" t="str">
        <f>IF($L239="","",IF($L239&gt;PARAMETRES!$G$33,5,IF($L239&gt;PARAMETRES!$F$33,4,IF($L239&gt;PARAMETRES!$E$33,3,IF($L239&gt;PARAMETRES!$D$33,2,1)))))</f>
        <v/>
      </c>
      <c r="U239" t="str">
        <f>IF($M239="","",IF($M239&gt;PARAMETRES!$G$34,5,IF($M239&gt;PARAMETRES!$F$34,4,IF($M239&gt;PARAMETRES!$E$34,3,IF($M239&gt;PARAMETRES!$D$34,2,1)))))</f>
        <v/>
      </c>
      <c r="V239" t="str">
        <f>IF($N239="","",IF($N239&gt;PARAMETRES!$G$35,5,IF($N239&gt;PARAMETRES!$F$35,4,IF($N239&gt;PARAMETRES!$E$35,3,IF($N239&gt;PARAMETRES!$D$35,2,1)))))</f>
        <v/>
      </c>
      <c r="W239" t="str">
        <f>IF($O239="","",IF($O239&gt;PARAMETRES!$G$36,5,IF($O239&gt;PARAMETRES!$F$36,4,IF($O239&gt;PARAMETRES!$E$36,3,IF($O239&gt;PARAMETRES!$D$36,2,1)))))</f>
        <v/>
      </c>
      <c r="X239" t="str">
        <f>IF($P239="","",IF($P239&gt;PARAMETRES!$G$37,5,IF($P239&gt;PARAMETRES!$F$37,4,IF($P239&gt;PARAMETRES!$E$37,3,IF($P239&gt;PARAMETRES!$D$37,2,1)))))</f>
        <v/>
      </c>
      <c r="Y239" t="str">
        <f t="shared" si="72"/>
        <v/>
      </c>
      <c r="Z239" t="str">
        <f>IFERROR(VLOOKUP($B239,TABLE_CYCLE,2,0),"")</f>
        <v/>
      </c>
      <c r="AA239" t="str">
        <f t="shared" si="73"/>
        <v/>
      </c>
      <c r="AB239" t="str">
        <f>IF($D239="","",IF(COUNTIF($D$2:$D239,$D239)=1,$D239,""))</f>
        <v/>
      </c>
      <c r="AC239">
        <f t="shared" si="74"/>
        <v>0</v>
      </c>
      <c r="AD239" t="str">
        <f t="shared" si="75"/>
        <v>|0</v>
      </c>
      <c r="AE239" t="str">
        <f t="shared" si="76"/>
        <v/>
      </c>
      <c r="AF239" t="str">
        <f t="shared" si="77"/>
        <v/>
      </c>
      <c r="AG239" t="str">
        <f t="shared" si="78"/>
        <v/>
      </c>
      <c r="AH239" t="str">
        <f t="shared" si="79"/>
        <v/>
      </c>
      <c r="AI239" t="str">
        <f t="shared" si="80"/>
        <v/>
      </c>
      <c r="AJ239" t="str">
        <f t="shared" si="81"/>
        <v/>
      </c>
      <c r="AK239" t="str">
        <f t="shared" si="82"/>
        <v/>
      </c>
      <c r="AL239" t="str">
        <f t="shared" si="83"/>
        <v/>
      </c>
      <c r="AM239" t="str">
        <f t="shared" si="84"/>
        <v/>
      </c>
      <c r="AN239" t="str">
        <f t="shared" si="85"/>
        <v/>
      </c>
      <c r="AO239" t="str">
        <f t="shared" si="86"/>
        <v/>
      </c>
      <c r="AP239">
        <f t="shared" si="87"/>
        <v>1</v>
      </c>
      <c r="AQ239" t="str">
        <f>IF(SAISIE!$F244="","",SAISIE!$Y244)</f>
        <v/>
      </c>
      <c r="AR239" t="str">
        <f>IF(OR(SAISIE!$U$4="",SAISIE!$W$4=""),"",IF(AND($A239=SAISIE!$U$4,$B239=SAISIE!$W$4,$C239="S1"),COUNTIFS($A$2:$A239,SAISIE!$U$4,$B$2:$B239,SAISIE!$W$4,$C$2:$C239,"S1"),""))</f>
        <v/>
      </c>
      <c r="AS239" t="str">
        <f t="shared" si="88"/>
        <v/>
      </c>
      <c r="AT239" t="str">
        <f t="shared" si="89"/>
        <v/>
      </c>
      <c r="AU239" t="str">
        <f t="shared" si="90"/>
        <v/>
      </c>
      <c r="AV239">
        <f>N(AV238)+IF(AND($AB239&lt;&gt;"",OR('PROFIL ELEVE'!$K$4="(Tous)",$AF239='PROFIL ELEVE'!$K$4)),1,0)</f>
        <v>0</v>
      </c>
      <c r="AW239">
        <f>N(AW238)+IF(AND($AB239&lt;&gt;"",OR('SUIVI LONGITUDINAL'!$Q$4="(Tous)",$AF239='SUIVI LONGITUDINAL'!$Q$4)),1,0)</f>
        <v>0</v>
      </c>
      <c r="AX239">
        <f t="shared" si="91"/>
        <v>0</v>
      </c>
      <c r="AY239">
        <f t="shared" si="92"/>
        <v>0</v>
      </c>
      <c r="AZ239">
        <f t="shared" si="93"/>
        <v>0</v>
      </c>
      <c r="BA239" t="str">
        <f t="shared" si="94"/>
        <v/>
      </c>
      <c r="BB239" t="str">
        <f t="shared" si="95"/>
        <v/>
      </c>
    </row>
    <row r="240" spans="1:54" ht="14.25" customHeight="1" x14ac:dyDescent="0.3">
      <c r="A240" t="str">
        <f>IF(SAISIE!$F245="","",SAISIE!$B245)</f>
        <v/>
      </c>
      <c r="B240" t="str">
        <f>IF(SAISIE!$F245="","",SAISIE!$C245)</f>
        <v/>
      </c>
      <c r="C240" t="str">
        <f>IF(SAISIE!$F245="","",SAISIE!$D245)</f>
        <v/>
      </c>
      <c r="D240" t="str">
        <f>IF(SAISIE!$E245="","",SAISIE!$E245)</f>
        <v/>
      </c>
      <c r="E240" t="str">
        <f>IF(SAISIE!$F245="","",SAISIE!$F245)</f>
        <v/>
      </c>
      <c r="F240" t="str">
        <f>IF(SAISIE!$G245="","",SAISIE!$G245)</f>
        <v/>
      </c>
      <c r="G240" t="str">
        <f>IF(SAISIE!$H245="","",SAISIE!$H245)</f>
        <v/>
      </c>
      <c r="H240" t="str">
        <f>IF(SAISIE!$I245="","",SAISIE!$I245)</f>
        <v/>
      </c>
      <c r="I240" t="str">
        <f>IF(SAISIE!$J245="","",SAISIE!$J245)</f>
        <v/>
      </c>
      <c r="J240" t="str">
        <f>IF(SAISIE!$K245="","",SAISIE!$K245)</f>
        <v/>
      </c>
      <c r="K240" t="str">
        <f>IF(SAISIE!$L245="","",SAISIE!$L245)</f>
        <v/>
      </c>
      <c r="L240" t="str">
        <f>IF(SAISIE!$M245="","",SAISIE!$M245)</f>
        <v/>
      </c>
      <c r="M240" t="str">
        <f>IF(SAISIE!$N245="","",SAISIE!$N245)</f>
        <v/>
      </c>
      <c r="N240" t="str">
        <f>IF(SAISIE!$O245="","",SAISIE!$O245)</f>
        <v/>
      </c>
      <c r="O240" t="str">
        <f>IF(SAISIE!$P245="","",SAISIE!$P245)</f>
        <v/>
      </c>
      <c r="P240" t="str">
        <f>IF(SAISIE!$Q245="","",SAISIE!$Q245)</f>
        <v/>
      </c>
      <c r="Q240" t="str">
        <f>IF($I240="","",IF($I240&gt;PARAMETRES!$G$29,5,IF($I240&gt;PARAMETRES!$F$29,4,IF($I240&gt;PARAMETRES!$E$29,3,IF($I240&gt;PARAMETRES!$D$29,2,1)))))</f>
        <v/>
      </c>
      <c r="R240" t="str">
        <f>IF($J240="","",IF($J240&gt;PARAMETRES!$G$30,5,IF($J240&gt;PARAMETRES!$F$30,4,IF($J240&gt;PARAMETRES!$E$30,3,IF($J240&gt;PARAMETRES!$D$30,2,1)))))</f>
        <v/>
      </c>
      <c r="S240" t="str">
        <f>IF($K240="","",IF($Z240=2,IF($K240&gt;PARAMETRES!$G$31,5,IF($K240&gt;PARAMETRES!$F$31,4,IF($K240&gt;PARAMETRES!$E$31,3,IF($K240&gt;PARAMETRES!$D$31,2,1)))),IF($K240&gt;PARAMETRES!$G$32,5,IF($K240&gt;PARAMETRES!$F$32,4,IF($K240&gt;PARAMETRES!$E$32,3,IF($K240&gt;PARAMETRES!$D$32,2,1))))))</f>
        <v/>
      </c>
      <c r="T240" t="str">
        <f>IF($L240="","",IF($L240&gt;PARAMETRES!$G$33,5,IF($L240&gt;PARAMETRES!$F$33,4,IF($L240&gt;PARAMETRES!$E$33,3,IF($L240&gt;PARAMETRES!$D$33,2,1)))))</f>
        <v/>
      </c>
      <c r="U240" t="str">
        <f>IF($M240="","",IF($M240&gt;PARAMETRES!$G$34,5,IF($M240&gt;PARAMETRES!$F$34,4,IF($M240&gt;PARAMETRES!$E$34,3,IF($M240&gt;PARAMETRES!$D$34,2,1)))))</f>
        <v/>
      </c>
      <c r="V240" t="str">
        <f>IF($N240="","",IF($N240&gt;PARAMETRES!$G$35,5,IF($N240&gt;PARAMETRES!$F$35,4,IF($N240&gt;PARAMETRES!$E$35,3,IF($N240&gt;PARAMETRES!$D$35,2,1)))))</f>
        <v/>
      </c>
      <c r="W240" t="str">
        <f>IF($O240="","",IF($O240&gt;PARAMETRES!$G$36,5,IF($O240&gt;PARAMETRES!$F$36,4,IF($O240&gt;PARAMETRES!$E$36,3,IF($O240&gt;PARAMETRES!$D$36,2,1)))))</f>
        <v/>
      </c>
      <c r="X240" t="str">
        <f>IF($P240="","",IF($P240&gt;PARAMETRES!$G$37,5,IF($P240&gt;PARAMETRES!$F$37,4,IF($P240&gt;PARAMETRES!$E$37,3,IF($P240&gt;PARAMETRES!$D$37,2,1)))))</f>
        <v/>
      </c>
      <c r="Y240" t="str">
        <f t="shared" si="72"/>
        <v/>
      </c>
      <c r="Z240" t="str">
        <f>IFERROR(VLOOKUP($B240,TABLE_CYCLE,2,0),"")</f>
        <v/>
      </c>
      <c r="AA240" t="str">
        <f t="shared" si="73"/>
        <v/>
      </c>
      <c r="AB240" t="str">
        <f>IF($D240="","",IF(COUNTIF($D$2:$D240,$D240)=1,$D240,""))</f>
        <v/>
      </c>
      <c r="AC240">
        <f t="shared" si="74"/>
        <v>0</v>
      </c>
      <c r="AD240" t="str">
        <f t="shared" si="75"/>
        <v>|0</v>
      </c>
      <c r="AE240" t="str">
        <f t="shared" si="76"/>
        <v/>
      </c>
      <c r="AF240" t="str">
        <f t="shared" si="77"/>
        <v/>
      </c>
      <c r="AG240" t="str">
        <f t="shared" si="78"/>
        <v/>
      </c>
      <c r="AH240" t="str">
        <f t="shared" si="79"/>
        <v/>
      </c>
      <c r="AI240" t="str">
        <f t="shared" si="80"/>
        <v/>
      </c>
      <c r="AJ240" t="str">
        <f t="shared" si="81"/>
        <v/>
      </c>
      <c r="AK240" t="str">
        <f t="shared" si="82"/>
        <v/>
      </c>
      <c r="AL240" t="str">
        <f t="shared" si="83"/>
        <v/>
      </c>
      <c r="AM240" t="str">
        <f t="shared" si="84"/>
        <v/>
      </c>
      <c r="AN240" t="str">
        <f t="shared" si="85"/>
        <v/>
      </c>
      <c r="AO240" t="str">
        <f t="shared" si="86"/>
        <v/>
      </c>
      <c r="AP240">
        <f t="shared" si="87"/>
        <v>1</v>
      </c>
      <c r="AQ240" t="str">
        <f>IF(SAISIE!$F245="","",SAISIE!$Y245)</f>
        <v/>
      </c>
      <c r="AR240" t="str">
        <f>IF(OR(SAISIE!$U$4="",SAISIE!$W$4=""),"",IF(AND($A240=SAISIE!$U$4,$B240=SAISIE!$W$4,$C240="S1"),COUNTIFS($A$2:$A240,SAISIE!$U$4,$B$2:$B240,SAISIE!$W$4,$C$2:$C240,"S1"),""))</f>
        <v/>
      </c>
      <c r="AS240" t="str">
        <f t="shared" si="88"/>
        <v/>
      </c>
      <c r="AT240" t="str">
        <f t="shared" si="89"/>
        <v/>
      </c>
      <c r="AU240" t="str">
        <f t="shared" si="90"/>
        <v/>
      </c>
      <c r="AV240">
        <f>N(AV239)+IF(AND($AB240&lt;&gt;"",OR('PROFIL ELEVE'!$K$4="(Tous)",$AF240='PROFIL ELEVE'!$K$4)),1,0)</f>
        <v>0</v>
      </c>
      <c r="AW240">
        <f>N(AW239)+IF(AND($AB240&lt;&gt;"",OR('SUIVI LONGITUDINAL'!$Q$4="(Tous)",$AF240='SUIVI LONGITUDINAL'!$Q$4)),1,0)</f>
        <v>0</v>
      </c>
      <c r="AX240">
        <f t="shared" si="91"/>
        <v>0</v>
      </c>
      <c r="AY240">
        <f t="shared" si="92"/>
        <v>0</v>
      </c>
      <c r="AZ240">
        <f t="shared" si="93"/>
        <v>0</v>
      </c>
      <c r="BA240" t="str">
        <f t="shared" si="94"/>
        <v/>
      </c>
      <c r="BB240" t="str">
        <f t="shared" si="95"/>
        <v/>
      </c>
    </row>
    <row r="241" spans="1:54" ht="14.25" customHeight="1" x14ac:dyDescent="0.3">
      <c r="A241" t="str">
        <f>IF(SAISIE!$F246="","",SAISIE!$B246)</f>
        <v/>
      </c>
      <c r="B241" t="str">
        <f>IF(SAISIE!$F246="","",SAISIE!$C246)</f>
        <v/>
      </c>
      <c r="C241" t="str">
        <f>IF(SAISIE!$F246="","",SAISIE!$D246)</f>
        <v/>
      </c>
      <c r="D241" t="str">
        <f>IF(SAISIE!$E246="","",SAISIE!$E246)</f>
        <v/>
      </c>
      <c r="E241" t="str">
        <f>IF(SAISIE!$F246="","",SAISIE!$F246)</f>
        <v/>
      </c>
      <c r="F241" t="str">
        <f>IF(SAISIE!$G246="","",SAISIE!$G246)</f>
        <v/>
      </c>
      <c r="G241" t="str">
        <f>IF(SAISIE!$H246="","",SAISIE!$H246)</f>
        <v/>
      </c>
      <c r="H241" t="str">
        <f>IF(SAISIE!$I246="","",SAISIE!$I246)</f>
        <v/>
      </c>
      <c r="I241" t="str">
        <f>IF(SAISIE!$J246="","",SAISIE!$J246)</f>
        <v/>
      </c>
      <c r="J241" t="str">
        <f>IF(SAISIE!$K246="","",SAISIE!$K246)</f>
        <v/>
      </c>
      <c r="K241" t="str">
        <f>IF(SAISIE!$L246="","",SAISIE!$L246)</f>
        <v/>
      </c>
      <c r="L241" t="str">
        <f>IF(SAISIE!$M246="","",SAISIE!$M246)</f>
        <v/>
      </c>
      <c r="M241" t="str">
        <f>IF(SAISIE!$N246="","",SAISIE!$N246)</f>
        <v/>
      </c>
      <c r="N241" t="str">
        <f>IF(SAISIE!$O246="","",SAISIE!$O246)</f>
        <v/>
      </c>
      <c r="O241" t="str">
        <f>IF(SAISIE!$P246="","",SAISIE!$P246)</f>
        <v/>
      </c>
      <c r="P241" t="str">
        <f>IF(SAISIE!$Q246="","",SAISIE!$Q246)</f>
        <v/>
      </c>
      <c r="Q241" t="str">
        <f>IF($I241="","",IF($I241&gt;PARAMETRES!$G$29,5,IF($I241&gt;PARAMETRES!$F$29,4,IF($I241&gt;PARAMETRES!$E$29,3,IF($I241&gt;PARAMETRES!$D$29,2,1)))))</f>
        <v/>
      </c>
      <c r="R241" t="str">
        <f>IF($J241="","",IF($J241&gt;PARAMETRES!$G$30,5,IF($J241&gt;PARAMETRES!$F$30,4,IF($J241&gt;PARAMETRES!$E$30,3,IF($J241&gt;PARAMETRES!$D$30,2,1)))))</f>
        <v/>
      </c>
      <c r="S241" t="str">
        <f>IF($K241="","",IF($Z241=2,IF($K241&gt;PARAMETRES!$G$31,5,IF($K241&gt;PARAMETRES!$F$31,4,IF($K241&gt;PARAMETRES!$E$31,3,IF($K241&gt;PARAMETRES!$D$31,2,1)))),IF($K241&gt;PARAMETRES!$G$32,5,IF($K241&gt;PARAMETRES!$F$32,4,IF($K241&gt;PARAMETRES!$E$32,3,IF($K241&gt;PARAMETRES!$D$32,2,1))))))</f>
        <v/>
      </c>
      <c r="T241" t="str">
        <f>IF($L241="","",IF($L241&gt;PARAMETRES!$G$33,5,IF($L241&gt;PARAMETRES!$F$33,4,IF($L241&gt;PARAMETRES!$E$33,3,IF($L241&gt;PARAMETRES!$D$33,2,1)))))</f>
        <v/>
      </c>
      <c r="U241" t="str">
        <f>IF($M241="","",IF($M241&gt;PARAMETRES!$G$34,5,IF($M241&gt;PARAMETRES!$F$34,4,IF($M241&gt;PARAMETRES!$E$34,3,IF($M241&gt;PARAMETRES!$D$34,2,1)))))</f>
        <v/>
      </c>
      <c r="V241" t="str">
        <f>IF($N241="","",IF($N241&gt;PARAMETRES!$G$35,5,IF($N241&gt;PARAMETRES!$F$35,4,IF($N241&gt;PARAMETRES!$E$35,3,IF($N241&gt;PARAMETRES!$D$35,2,1)))))</f>
        <v/>
      </c>
      <c r="W241" t="str">
        <f>IF($O241="","",IF($O241&gt;PARAMETRES!$G$36,5,IF($O241&gt;PARAMETRES!$F$36,4,IF($O241&gt;PARAMETRES!$E$36,3,IF($O241&gt;PARAMETRES!$D$36,2,1)))))</f>
        <v/>
      </c>
      <c r="X241" t="str">
        <f>IF($P241="","",IF($P241&gt;PARAMETRES!$G$37,5,IF($P241&gt;PARAMETRES!$F$37,4,IF($P241&gt;PARAMETRES!$E$37,3,IF($P241&gt;PARAMETRES!$D$37,2,1)))))</f>
        <v/>
      </c>
      <c r="Y241" t="str">
        <f t="shared" si="72"/>
        <v/>
      </c>
      <c r="Z241" t="str">
        <f>IFERROR(VLOOKUP($B241,TABLE_CYCLE,2,0),"")</f>
        <v/>
      </c>
      <c r="AA241" t="str">
        <f t="shared" si="73"/>
        <v/>
      </c>
      <c r="AB241" t="str">
        <f>IF($D241="","",IF(COUNTIF($D$2:$D241,$D241)=1,$D241,""))</f>
        <v/>
      </c>
      <c r="AC241">
        <f t="shared" si="74"/>
        <v>0</v>
      </c>
      <c r="AD241" t="str">
        <f t="shared" si="75"/>
        <v>|0</v>
      </c>
      <c r="AE241" t="str">
        <f t="shared" si="76"/>
        <v/>
      </c>
      <c r="AF241" t="str">
        <f t="shared" si="77"/>
        <v/>
      </c>
      <c r="AG241" t="str">
        <f t="shared" si="78"/>
        <v/>
      </c>
      <c r="AH241" t="str">
        <f t="shared" si="79"/>
        <v/>
      </c>
      <c r="AI241" t="str">
        <f t="shared" si="80"/>
        <v/>
      </c>
      <c r="AJ241" t="str">
        <f t="shared" si="81"/>
        <v/>
      </c>
      <c r="AK241" t="str">
        <f t="shared" si="82"/>
        <v/>
      </c>
      <c r="AL241" t="str">
        <f t="shared" si="83"/>
        <v/>
      </c>
      <c r="AM241" t="str">
        <f t="shared" si="84"/>
        <v/>
      </c>
      <c r="AN241" t="str">
        <f t="shared" si="85"/>
        <v/>
      </c>
      <c r="AO241" t="str">
        <f t="shared" si="86"/>
        <v/>
      </c>
      <c r="AP241">
        <f t="shared" si="87"/>
        <v>1</v>
      </c>
      <c r="AQ241" t="str">
        <f>IF(SAISIE!$F246="","",SAISIE!$Y246)</f>
        <v/>
      </c>
      <c r="AR241" t="str">
        <f>IF(OR(SAISIE!$U$4="",SAISIE!$W$4=""),"",IF(AND($A241=SAISIE!$U$4,$B241=SAISIE!$W$4,$C241="S1"),COUNTIFS($A$2:$A241,SAISIE!$U$4,$B$2:$B241,SAISIE!$W$4,$C$2:$C241,"S1"),""))</f>
        <v/>
      </c>
      <c r="AS241" t="str">
        <f t="shared" si="88"/>
        <v/>
      </c>
      <c r="AT241" t="str">
        <f t="shared" si="89"/>
        <v/>
      </c>
      <c r="AU241" t="str">
        <f t="shared" si="90"/>
        <v/>
      </c>
      <c r="AV241">
        <f>N(AV240)+IF(AND($AB241&lt;&gt;"",OR('PROFIL ELEVE'!$K$4="(Tous)",$AF241='PROFIL ELEVE'!$K$4)),1,0)</f>
        <v>0</v>
      </c>
      <c r="AW241">
        <f>N(AW240)+IF(AND($AB241&lt;&gt;"",OR('SUIVI LONGITUDINAL'!$Q$4="(Tous)",$AF241='SUIVI LONGITUDINAL'!$Q$4)),1,0)</f>
        <v>0</v>
      </c>
      <c r="AX241">
        <f t="shared" si="91"/>
        <v>0</v>
      </c>
      <c r="AY241">
        <f t="shared" si="92"/>
        <v>0</v>
      </c>
      <c r="AZ241">
        <f t="shared" si="93"/>
        <v>0</v>
      </c>
      <c r="BA241" t="str">
        <f t="shared" si="94"/>
        <v/>
      </c>
      <c r="BB241" t="str">
        <f t="shared" si="95"/>
        <v/>
      </c>
    </row>
    <row r="242" spans="1:54" ht="14.25" customHeight="1" x14ac:dyDescent="0.3">
      <c r="A242" t="str">
        <f>IF(SAISIE!$F247="","",SAISIE!$B247)</f>
        <v/>
      </c>
      <c r="B242" t="str">
        <f>IF(SAISIE!$F247="","",SAISIE!$C247)</f>
        <v/>
      </c>
      <c r="C242" t="str">
        <f>IF(SAISIE!$F247="","",SAISIE!$D247)</f>
        <v/>
      </c>
      <c r="D242" t="str">
        <f>IF(SAISIE!$E247="","",SAISIE!$E247)</f>
        <v/>
      </c>
      <c r="E242" t="str">
        <f>IF(SAISIE!$F247="","",SAISIE!$F247)</f>
        <v/>
      </c>
      <c r="F242" t="str">
        <f>IF(SAISIE!$G247="","",SAISIE!$G247)</f>
        <v/>
      </c>
      <c r="G242" t="str">
        <f>IF(SAISIE!$H247="","",SAISIE!$H247)</f>
        <v/>
      </c>
      <c r="H242" t="str">
        <f>IF(SAISIE!$I247="","",SAISIE!$I247)</f>
        <v/>
      </c>
      <c r="I242" t="str">
        <f>IF(SAISIE!$J247="","",SAISIE!$J247)</f>
        <v/>
      </c>
      <c r="J242" t="str">
        <f>IF(SAISIE!$K247="","",SAISIE!$K247)</f>
        <v/>
      </c>
      <c r="K242" t="str">
        <f>IF(SAISIE!$L247="","",SAISIE!$L247)</f>
        <v/>
      </c>
      <c r="L242" t="str">
        <f>IF(SAISIE!$M247="","",SAISIE!$M247)</f>
        <v/>
      </c>
      <c r="M242" t="str">
        <f>IF(SAISIE!$N247="","",SAISIE!$N247)</f>
        <v/>
      </c>
      <c r="N242" t="str">
        <f>IF(SAISIE!$O247="","",SAISIE!$O247)</f>
        <v/>
      </c>
      <c r="O242" t="str">
        <f>IF(SAISIE!$P247="","",SAISIE!$P247)</f>
        <v/>
      </c>
      <c r="P242" t="str">
        <f>IF(SAISIE!$Q247="","",SAISIE!$Q247)</f>
        <v/>
      </c>
      <c r="Q242" t="str">
        <f>IF($I242="","",IF($I242&gt;PARAMETRES!$G$29,5,IF($I242&gt;PARAMETRES!$F$29,4,IF($I242&gt;PARAMETRES!$E$29,3,IF($I242&gt;PARAMETRES!$D$29,2,1)))))</f>
        <v/>
      </c>
      <c r="R242" t="str">
        <f>IF($J242="","",IF($J242&gt;PARAMETRES!$G$30,5,IF($J242&gt;PARAMETRES!$F$30,4,IF($J242&gt;PARAMETRES!$E$30,3,IF($J242&gt;PARAMETRES!$D$30,2,1)))))</f>
        <v/>
      </c>
      <c r="S242" t="str">
        <f>IF($K242="","",IF($Z242=2,IF($K242&gt;PARAMETRES!$G$31,5,IF($K242&gt;PARAMETRES!$F$31,4,IF($K242&gt;PARAMETRES!$E$31,3,IF($K242&gt;PARAMETRES!$D$31,2,1)))),IF($K242&gt;PARAMETRES!$G$32,5,IF($K242&gt;PARAMETRES!$F$32,4,IF($K242&gt;PARAMETRES!$E$32,3,IF($K242&gt;PARAMETRES!$D$32,2,1))))))</f>
        <v/>
      </c>
      <c r="T242" t="str">
        <f>IF($L242="","",IF($L242&gt;PARAMETRES!$G$33,5,IF($L242&gt;PARAMETRES!$F$33,4,IF($L242&gt;PARAMETRES!$E$33,3,IF($L242&gt;PARAMETRES!$D$33,2,1)))))</f>
        <v/>
      </c>
      <c r="U242" t="str">
        <f>IF($M242="","",IF($M242&gt;PARAMETRES!$G$34,5,IF($M242&gt;PARAMETRES!$F$34,4,IF($M242&gt;PARAMETRES!$E$34,3,IF($M242&gt;PARAMETRES!$D$34,2,1)))))</f>
        <v/>
      </c>
      <c r="V242" t="str">
        <f>IF($N242="","",IF($N242&gt;PARAMETRES!$G$35,5,IF($N242&gt;PARAMETRES!$F$35,4,IF($N242&gt;PARAMETRES!$E$35,3,IF($N242&gt;PARAMETRES!$D$35,2,1)))))</f>
        <v/>
      </c>
      <c r="W242" t="str">
        <f>IF($O242="","",IF($O242&gt;PARAMETRES!$G$36,5,IF($O242&gt;PARAMETRES!$F$36,4,IF($O242&gt;PARAMETRES!$E$36,3,IF($O242&gt;PARAMETRES!$D$36,2,1)))))</f>
        <v/>
      </c>
      <c r="X242" t="str">
        <f>IF($P242="","",IF($P242&gt;PARAMETRES!$G$37,5,IF($P242&gt;PARAMETRES!$F$37,4,IF($P242&gt;PARAMETRES!$E$37,3,IF($P242&gt;PARAMETRES!$D$37,2,1)))))</f>
        <v/>
      </c>
      <c r="Y242" t="str">
        <f t="shared" si="72"/>
        <v/>
      </c>
      <c r="Z242" t="str">
        <f>IFERROR(VLOOKUP($B242,TABLE_CYCLE,2,0),"")</f>
        <v/>
      </c>
      <c r="AA242" t="str">
        <f t="shared" si="73"/>
        <v/>
      </c>
      <c r="AB242" t="str">
        <f>IF($D242="","",IF(COUNTIF($D$2:$D242,$D242)=1,$D242,""))</f>
        <v/>
      </c>
      <c r="AC242">
        <f t="shared" si="74"/>
        <v>0</v>
      </c>
      <c r="AD242" t="str">
        <f t="shared" si="75"/>
        <v>|0</v>
      </c>
      <c r="AE242" t="str">
        <f t="shared" si="76"/>
        <v/>
      </c>
      <c r="AF242" t="str">
        <f t="shared" si="77"/>
        <v/>
      </c>
      <c r="AG242" t="str">
        <f t="shared" si="78"/>
        <v/>
      </c>
      <c r="AH242" t="str">
        <f t="shared" si="79"/>
        <v/>
      </c>
      <c r="AI242" t="str">
        <f t="shared" si="80"/>
        <v/>
      </c>
      <c r="AJ242" t="str">
        <f t="shared" si="81"/>
        <v/>
      </c>
      <c r="AK242" t="str">
        <f t="shared" si="82"/>
        <v/>
      </c>
      <c r="AL242" t="str">
        <f t="shared" si="83"/>
        <v/>
      </c>
      <c r="AM242" t="str">
        <f t="shared" si="84"/>
        <v/>
      </c>
      <c r="AN242" t="str">
        <f t="shared" si="85"/>
        <v/>
      </c>
      <c r="AO242" t="str">
        <f t="shared" si="86"/>
        <v/>
      </c>
      <c r="AP242">
        <f t="shared" si="87"/>
        <v>1</v>
      </c>
      <c r="AQ242" t="str">
        <f>IF(SAISIE!$F247="","",SAISIE!$Y247)</f>
        <v/>
      </c>
      <c r="AR242" t="str">
        <f>IF(OR(SAISIE!$U$4="",SAISIE!$W$4=""),"",IF(AND($A242=SAISIE!$U$4,$B242=SAISIE!$W$4,$C242="S1"),COUNTIFS($A$2:$A242,SAISIE!$U$4,$B$2:$B242,SAISIE!$W$4,$C$2:$C242,"S1"),""))</f>
        <v/>
      </c>
      <c r="AS242" t="str">
        <f t="shared" si="88"/>
        <v/>
      </c>
      <c r="AT242" t="str">
        <f t="shared" si="89"/>
        <v/>
      </c>
      <c r="AU242" t="str">
        <f t="shared" si="90"/>
        <v/>
      </c>
      <c r="AV242">
        <f>N(AV241)+IF(AND($AB242&lt;&gt;"",OR('PROFIL ELEVE'!$K$4="(Tous)",$AF242='PROFIL ELEVE'!$K$4)),1,0)</f>
        <v>0</v>
      </c>
      <c r="AW242">
        <f>N(AW241)+IF(AND($AB242&lt;&gt;"",OR('SUIVI LONGITUDINAL'!$Q$4="(Tous)",$AF242='SUIVI LONGITUDINAL'!$Q$4)),1,0)</f>
        <v>0</v>
      </c>
      <c r="AX242">
        <f t="shared" si="91"/>
        <v>0</v>
      </c>
      <c r="AY242">
        <f t="shared" si="92"/>
        <v>0</v>
      </c>
      <c r="AZ242">
        <f t="shared" si="93"/>
        <v>0</v>
      </c>
      <c r="BA242" t="str">
        <f t="shared" si="94"/>
        <v/>
      </c>
      <c r="BB242" t="str">
        <f t="shared" si="95"/>
        <v/>
      </c>
    </row>
    <row r="243" spans="1:54" ht="14.25" customHeight="1" x14ac:dyDescent="0.3">
      <c r="A243" t="str">
        <f>IF(SAISIE!$F248="","",SAISIE!$B248)</f>
        <v/>
      </c>
      <c r="B243" t="str">
        <f>IF(SAISIE!$F248="","",SAISIE!$C248)</f>
        <v/>
      </c>
      <c r="C243" t="str">
        <f>IF(SAISIE!$F248="","",SAISIE!$D248)</f>
        <v/>
      </c>
      <c r="D243" t="str">
        <f>IF(SAISIE!$E248="","",SAISIE!$E248)</f>
        <v/>
      </c>
      <c r="E243" t="str">
        <f>IF(SAISIE!$F248="","",SAISIE!$F248)</f>
        <v/>
      </c>
      <c r="F243" t="str">
        <f>IF(SAISIE!$G248="","",SAISIE!$G248)</f>
        <v/>
      </c>
      <c r="G243" t="str">
        <f>IF(SAISIE!$H248="","",SAISIE!$H248)</f>
        <v/>
      </c>
      <c r="H243" t="str">
        <f>IF(SAISIE!$I248="","",SAISIE!$I248)</f>
        <v/>
      </c>
      <c r="I243" t="str">
        <f>IF(SAISIE!$J248="","",SAISIE!$J248)</f>
        <v/>
      </c>
      <c r="J243" t="str">
        <f>IF(SAISIE!$K248="","",SAISIE!$K248)</f>
        <v/>
      </c>
      <c r="K243" t="str">
        <f>IF(SAISIE!$L248="","",SAISIE!$L248)</f>
        <v/>
      </c>
      <c r="L243" t="str">
        <f>IF(SAISIE!$M248="","",SAISIE!$M248)</f>
        <v/>
      </c>
      <c r="M243" t="str">
        <f>IF(SAISIE!$N248="","",SAISIE!$N248)</f>
        <v/>
      </c>
      <c r="N243" t="str">
        <f>IF(SAISIE!$O248="","",SAISIE!$O248)</f>
        <v/>
      </c>
      <c r="O243" t="str">
        <f>IF(SAISIE!$P248="","",SAISIE!$P248)</f>
        <v/>
      </c>
      <c r="P243" t="str">
        <f>IF(SAISIE!$Q248="","",SAISIE!$Q248)</f>
        <v/>
      </c>
      <c r="Q243" t="str">
        <f>IF($I243="","",IF($I243&gt;PARAMETRES!$G$29,5,IF($I243&gt;PARAMETRES!$F$29,4,IF($I243&gt;PARAMETRES!$E$29,3,IF($I243&gt;PARAMETRES!$D$29,2,1)))))</f>
        <v/>
      </c>
      <c r="R243" t="str">
        <f>IF($J243="","",IF($J243&gt;PARAMETRES!$G$30,5,IF($J243&gt;PARAMETRES!$F$30,4,IF($J243&gt;PARAMETRES!$E$30,3,IF($J243&gt;PARAMETRES!$D$30,2,1)))))</f>
        <v/>
      </c>
      <c r="S243" t="str">
        <f>IF($K243="","",IF($Z243=2,IF($K243&gt;PARAMETRES!$G$31,5,IF($K243&gt;PARAMETRES!$F$31,4,IF($K243&gt;PARAMETRES!$E$31,3,IF($K243&gt;PARAMETRES!$D$31,2,1)))),IF($K243&gt;PARAMETRES!$G$32,5,IF($K243&gt;PARAMETRES!$F$32,4,IF($K243&gt;PARAMETRES!$E$32,3,IF($K243&gt;PARAMETRES!$D$32,2,1))))))</f>
        <v/>
      </c>
      <c r="T243" t="str">
        <f>IF($L243="","",IF($L243&gt;PARAMETRES!$G$33,5,IF($L243&gt;PARAMETRES!$F$33,4,IF($L243&gt;PARAMETRES!$E$33,3,IF($L243&gt;PARAMETRES!$D$33,2,1)))))</f>
        <v/>
      </c>
      <c r="U243" t="str">
        <f>IF($M243="","",IF($M243&gt;PARAMETRES!$G$34,5,IF($M243&gt;PARAMETRES!$F$34,4,IF($M243&gt;PARAMETRES!$E$34,3,IF($M243&gt;PARAMETRES!$D$34,2,1)))))</f>
        <v/>
      </c>
      <c r="V243" t="str">
        <f>IF($N243="","",IF($N243&gt;PARAMETRES!$G$35,5,IF($N243&gt;PARAMETRES!$F$35,4,IF($N243&gt;PARAMETRES!$E$35,3,IF($N243&gt;PARAMETRES!$D$35,2,1)))))</f>
        <v/>
      </c>
      <c r="W243" t="str">
        <f>IF($O243="","",IF($O243&gt;PARAMETRES!$G$36,5,IF($O243&gt;PARAMETRES!$F$36,4,IF($O243&gt;PARAMETRES!$E$36,3,IF($O243&gt;PARAMETRES!$D$36,2,1)))))</f>
        <v/>
      </c>
      <c r="X243" t="str">
        <f>IF($P243="","",IF($P243&gt;PARAMETRES!$G$37,5,IF($P243&gt;PARAMETRES!$F$37,4,IF($P243&gt;PARAMETRES!$E$37,3,IF($P243&gt;PARAMETRES!$D$37,2,1)))))</f>
        <v/>
      </c>
      <c r="Y243" t="str">
        <f t="shared" si="72"/>
        <v/>
      </c>
      <c r="Z243" t="str">
        <f>IFERROR(VLOOKUP($B243,TABLE_CYCLE,2,0),"")</f>
        <v/>
      </c>
      <c r="AA243" t="str">
        <f t="shared" si="73"/>
        <v/>
      </c>
      <c r="AB243" t="str">
        <f>IF($D243="","",IF(COUNTIF($D$2:$D243,$D243)=1,$D243,""))</f>
        <v/>
      </c>
      <c r="AC243">
        <f t="shared" si="74"/>
        <v>0</v>
      </c>
      <c r="AD243" t="str">
        <f t="shared" si="75"/>
        <v>|0</v>
      </c>
      <c r="AE243" t="str">
        <f t="shared" si="76"/>
        <v/>
      </c>
      <c r="AF243" t="str">
        <f t="shared" si="77"/>
        <v/>
      </c>
      <c r="AG243" t="str">
        <f t="shared" si="78"/>
        <v/>
      </c>
      <c r="AH243" t="str">
        <f t="shared" si="79"/>
        <v/>
      </c>
      <c r="AI243" t="str">
        <f t="shared" si="80"/>
        <v/>
      </c>
      <c r="AJ243" t="str">
        <f t="shared" si="81"/>
        <v/>
      </c>
      <c r="AK243" t="str">
        <f t="shared" si="82"/>
        <v/>
      </c>
      <c r="AL243" t="str">
        <f t="shared" si="83"/>
        <v/>
      </c>
      <c r="AM243" t="str">
        <f t="shared" si="84"/>
        <v/>
      </c>
      <c r="AN243" t="str">
        <f t="shared" si="85"/>
        <v/>
      </c>
      <c r="AO243" t="str">
        <f t="shared" si="86"/>
        <v/>
      </c>
      <c r="AP243">
        <f t="shared" si="87"/>
        <v>1</v>
      </c>
      <c r="AQ243" t="str">
        <f>IF(SAISIE!$F248="","",SAISIE!$Y248)</f>
        <v/>
      </c>
      <c r="AR243" t="str">
        <f>IF(OR(SAISIE!$U$4="",SAISIE!$W$4=""),"",IF(AND($A243=SAISIE!$U$4,$B243=SAISIE!$W$4,$C243="S1"),COUNTIFS($A$2:$A243,SAISIE!$U$4,$B$2:$B243,SAISIE!$W$4,$C$2:$C243,"S1"),""))</f>
        <v/>
      </c>
      <c r="AS243" t="str">
        <f t="shared" si="88"/>
        <v/>
      </c>
      <c r="AT243" t="str">
        <f t="shared" si="89"/>
        <v/>
      </c>
      <c r="AU243" t="str">
        <f t="shared" si="90"/>
        <v/>
      </c>
      <c r="AV243">
        <f>N(AV242)+IF(AND($AB243&lt;&gt;"",OR('PROFIL ELEVE'!$K$4="(Tous)",$AF243='PROFIL ELEVE'!$K$4)),1,0)</f>
        <v>0</v>
      </c>
      <c r="AW243">
        <f>N(AW242)+IF(AND($AB243&lt;&gt;"",OR('SUIVI LONGITUDINAL'!$Q$4="(Tous)",$AF243='SUIVI LONGITUDINAL'!$Q$4)),1,0)</f>
        <v>0</v>
      </c>
      <c r="AX243">
        <f t="shared" si="91"/>
        <v>0</v>
      </c>
      <c r="AY243">
        <f t="shared" si="92"/>
        <v>0</v>
      </c>
      <c r="AZ243">
        <f t="shared" si="93"/>
        <v>0</v>
      </c>
      <c r="BA243" t="str">
        <f t="shared" si="94"/>
        <v/>
      </c>
      <c r="BB243" t="str">
        <f t="shared" si="95"/>
        <v/>
      </c>
    </row>
    <row r="244" spans="1:54" ht="14.25" customHeight="1" x14ac:dyDescent="0.3">
      <c r="A244" t="str">
        <f>IF(SAISIE!$F249="","",SAISIE!$B249)</f>
        <v/>
      </c>
      <c r="B244" t="str">
        <f>IF(SAISIE!$F249="","",SAISIE!$C249)</f>
        <v/>
      </c>
      <c r="C244" t="str">
        <f>IF(SAISIE!$F249="","",SAISIE!$D249)</f>
        <v/>
      </c>
      <c r="D244" t="str">
        <f>IF(SAISIE!$E249="","",SAISIE!$E249)</f>
        <v/>
      </c>
      <c r="E244" t="str">
        <f>IF(SAISIE!$F249="","",SAISIE!$F249)</f>
        <v/>
      </c>
      <c r="F244" t="str">
        <f>IF(SAISIE!$G249="","",SAISIE!$G249)</f>
        <v/>
      </c>
      <c r="G244" t="str">
        <f>IF(SAISIE!$H249="","",SAISIE!$H249)</f>
        <v/>
      </c>
      <c r="H244" t="str">
        <f>IF(SAISIE!$I249="","",SAISIE!$I249)</f>
        <v/>
      </c>
      <c r="I244" t="str">
        <f>IF(SAISIE!$J249="","",SAISIE!$J249)</f>
        <v/>
      </c>
      <c r="J244" t="str">
        <f>IF(SAISIE!$K249="","",SAISIE!$K249)</f>
        <v/>
      </c>
      <c r="K244" t="str">
        <f>IF(SAISIE!$L249="","",SAISIE!$L249)</f>
        <v/>
      </c>
      <c r="L244" t="str">
        <f>IF(SAISIE!$M249="","",SAISIE!$M249)</f>
        <v/>
      </c>
      <c r="M244" t="str">
        <f>IF(SAISIE!$N249="","",SAISIE!$N249)</f>
        <v/>
      </c>
      <c r="N244" t="str">
        <f>IF(SAISIE!$O249="","",SAISIE!$O249)</f>
        <v/>
      </c>
      <c r="O244" t="str">
        <f>IF(SAISIE!$P249="","",SAISIE!$P249)</f>
        <v/>
      </c>
      <c r="P244" t="str">
        <f>IF(SAISIE!$Q249="","",SAISIE!$Q249)</f>
        <v/>
      </c>
      <c r="Q244" t="str">
        <f>IF($I244="","",IF($I244&gt;PARAMETRES!$G$29,5,IF($I244&gt;PARAMETRES!$F$29,4,IF($I244&gt;PARAMETRES!$E$29,3,IF($I244&gt;PARAMETRES!$D$29,2,1)))))</f>
        <v/>
      </c>
      <c r="R244" t="str">
        <f>IF($J244="","",IF($J244&gt;PARAMETRES!$G$30,5,IF($J244&gt;PARAMETRES!$F$30,4,IF($J244&gt;PARAMETRES!$E$30,3,IF($J244&gt;PARAMETRES!$D$30,2,1)))))</f>
        <v/>
      </c>
      <c r="S244" t="str">
        <f>IF($K244="","",IF($Z244=2,IF($K244&gt;PARAMETRES!$G$31,5,IF($K244&gt;PARAMETRES!$F$31,4,IF($K244&gt;PARAMETRES!$E$31,3,IF($K244&gt;PARAMETRES!$D$31,2,1)))),IF($K244&gt;PARAMETRES!$G$32,5,IF($K244&gt;PARAMETRES!$F$32,4,IF($K244&gt;PARAMETRES!$E$32,3,IF($K244&gt;PARAMETRES!$D$32,2,1))))))</f>
        <v/>
      </c>
      <c r="T244" t="str">
        <f>IF($L244="","",IF($L244&gt;PARAMETRES!$G$33,5,IF($L244&gt;PARAMETRES!$F$33,4,IF($L244&gt;PARAMETRES!$E$33,3,IF($L244&gt;PARAMETRES!$D$33,2,1)))))</f>
        <v/>
      </c>
      <c r="U244" t="str">
        <f>IF($M244="","",IF($M244&gt;PARAMETRES!$G$34,5,IF($M244&gt;PARAMETRES!$F$34,4,IF($M244&gt;PARAMETRES!$E$34,3,IF($M244&gt;PARAMETRES!$D$34,2,1)))))</f>
        <v/>
      </c>
      <c r="V244" t="str">
        <f>IF($N244="","",IF($N244&gt;PARAMETRES!$G$35,5,IF($N244&gt;PARAMETRES!$F$35,4,IF($N244&gt;PARAMETRES!$E$35,3,IF($N244&gt;PARAMETRES!$D$35,2,1)))))</f>
        <v/>
      </c>
      <c r="W244" t="str">
        <f>IF($O244="","",IF($O244&gt;PARAMETRES!$G$36,5,IF($O244&gt;PARAMETRES!$F$36,4,IF($O244&gt;PARAMETRES!$E$36,3,IF($O244&gt;PARAMETRES!$D$36,2,1)))))</f>
        <v/>
      </c>
      <c r="X244" t="str">
        <f>IF($P244="","",IF($P244&gt;PARAMETRES!$G$37,5,IF($P244&gt;PARAMETRES!$F$37,4,IF($P244&gt;PARAMETRES!$E$37,3,IF($P244&gt;PARAMETRES!$D$37,2,1)))))</f>
        <v/>
      </c>
      <c r="Y244" t="str">
        <f t="shared" si="72"/>
        <v/>
      </c>
      <c r="Z244" t="str">
        <f>IFERROR(VLOOKUP($B244,TABLE_CYCLE,2,0),"")</f>
        <v/>
      </c>
      <c r="AA244" t="str">
        <f t="shared" si="73"/>
        <v/>
      </c>
      <c r="AB244" t="str">
        <f>IF($D244="","",IF(COUNTIF($D$2:$D244,$D244)=1,$D244,""))</f>
        <v/>
      </c>
      <c r="AC244">
        <f t="shared" si="74"/>
        <v>0</v>
      </c>
      <c r="AD244" t="str">
        <f t="shared" si="75"/>
        <v>|0</v>
      </c>
      <c r="AE244" t="str">
        <f t="shared" si="76"/>
        <v/>
      </c>
      <c r="AF244" t="str">
        <f t="shared" si="77"/>
        <v/>
      </c>
      <c r="AG244" t="str">
        <f t="shared" si="78"/>
        <v/>
      </c>
      <c r="AH244" t="str">
        <f t="shared" si="79"/>
        <v/>
      </c>
      <c r="AI244" t="str">
        <f t="shared" si="80"/>
        <v/>
      </c>
      <c r="AJ244" t="str">
        <f t="shared" si="81"/>
        <v/>
      </c>
      <c r="AK244" t="str">
        <f t="shared" si="82"/>
        <v/>
      </c>
      <c r="AL244" t="str">
        <f t="shared" si="83"/>
        <v/>
      </c>
      <c r="AM244" t="str">
        <f t="shared" si="84"/>
        <v/>
      </c>
      <c r="AN244" t="str">
        <f t="shared" si="85"/>
        <v/>
      </c>
      <c r="AO244" t="str">
        <f t="shared" si="86"/>
        <v/>
      </c>
      <c r="AP244">
        <f t="shared" si="87"/>
        <v>1</v>
      </c>
      <c r="AQ244" t="str">
        <f>IF(SAISIE!$F249="","",SAISIE!$Y249)</f>
        <v/>
      </c>
      <c r="AR244" t="str">
        <f>IF(OR(SAISIE!$U$4="",SAISIE!$W$4=""),"",IF(AND($A244=SAISIE!$U$4,$B244=SAISIE!$W$4,$C244="S1"),COUNTIFS($A$2:$A244,SAISIE!$U$4,$B$2:$B244,SAISIE!$W$4,$C$2:$C244,"S1"),""))</f>
        <v/>
      </c>
      <c r="AS244" t="str">
        <f t="shared" si="88"/>
        <v/>
      </c>
      <c r="AT244" t="str">
        <f t="shared" si="89"/>
        <v/>
      </c>
      <c r="AU244" t="str">
        <f t="shared" si="90"/>
        <v/>
      </c>
      <c r="AV244">
        <f>N(AV243)+IF(AND($AB244&lt;&gt;"",OR('PROFIL ELEVE'!$K$4="(Tous)",$AF244='PROFIL ELEVE'!$K$4)),1,0)</f>
        <v>0</v>
      </c>
      <c r="AW244">
        <f>N(AW243)+IF(AND($AB244&lt;&gt;"",OR('SUIVI LONGITUDINAL'!$Q$4="(Tous)",$AF244='SUIVI LONGITUDINAL'!$Q$4)),1,0)</f>
        <v>0</v>
      </c>
      <c r="AX244">
        <f t="shared" si="91"/>
        <v>0</v>
      </c>
      <c r="AY244">
        <f t="shared" si="92"/>
        <v>0</v>
      </c>
      <c r="AZ244">
        <f t="shared" si="93"/>
        <v>0</v>
      </c>
      <c r="BA244" t="str">
        <f t="shared" si="94"/>
        <v/>
      </c>
      <c r="BB244" t="str">
        <f t="shared" si="95"/>
        <v/>
      </c>
    </row>
    <row r="245" spans="1:54" ht="14.25" customHeight="1" x14ac:dyDescent="0.3">
      <c r="A245" t="str">
        <f>IF(SAISIE!$F250="","",SAISIE!$B250)</f>
        <v/>
      </c>
      <c r="B245" t="str">
        <f>IF(SAISIE!$F250="","",SAISIE!$C250)</f>
        <v/>
      </c>
      <c r="C245" t="str">
        <f>IF(SAISIE!$F250="","",SAISIE!$D250)</f>
        <v/>
      </c>
      <c r="D245" t="str">
        <f>IF(SAISIE!$E250="","",SAISIE!$E250)</f>
        <v/>
      </c>
      <c r="E245" t="str">
        <f>IF(SAISIE!$F250="","",SAISIE!$F250)</f>
        <v/>
      </c>
      <c r="F245" t="str">
        <f>IF(SAISIE!$G250="","",SAISIE!$G250)</f>
        <v/>
      </c>
      <c r="G245" t="str">
        <f>IF(SAISIE!$H250="","",SAISIE!$H250)</f>
        <v/>
      </c>
      <c r="H245" t="str">
        <f>IF(SAISIE!$I250="","",SAISIE!$I250)</f>
        <v/>
      </c>
      <c r="I245" t="str">
        <f>IF(SAISIE!$J250="","",SAISIE!$J250)</f>
        <v/>
      </c>
      <c r="J245" t="str">
        <f>IF(SAISIE!$K250="","",SAISIE!$K250)</f>
        <v/>
      </c>
      <c r="K245" t="str">
        <f>IF(SAISIE!$L250="","",SAISIE!$L250)</f>
        <v/>
      </c>
      <c r="L245" t="str">
        <f>IF(SAISIE!$M250="","",SAISIE!$M250)</f>
        <v/>
      </c>
      <c r="M245" t="str">
        <f>IF(SAISIE!$N250="","",SAISIE!$N250)</f>
        <v/>
      </c>
      <c r="N245" t="str">
        <f>IF(SAISIE!$O250="","",SAISIE!$O250)</f>
        <v/>
      </c>
      <c r="O245" t="str">
        <f>IF(SAISIE!$P250="","",SAISIE!$P250)</f>
        <v/>
      </c>
      <c r="P245" t="str">
        <f>IF(SAISIE!$Q250="","",SAISIE!$Q250)</f>
        <v/>
      </c>
      <c r="Q245" t="str">
        <f>IF($I245="","",IF($I245&gt;PARAMETRES!$G$29,5,IF($I245&gt;PARAMETRES!$F$29,4,IF($I245&gt;PARAMETRES!$E$29,3,IF($I245&gt;PARAMETRES!$D$29,2,1)))))</f>
        <v/>
      </c>
      <c r="R245" t="str">
        <f>IF($J245="","",IF($J245&gt;PARAMETRES!$G$30,5,IF($J245&gt;PARAMETRES!$F$30,4,IF($J245&gt;PARAMETRES!$E$30,3,IF($J245&gt;PARAMETRES!$D$30,2,1)))))</f>
        <v/>
      </c>
      <c r="S245" t="str">
        <f>IF($K245="","",IF($Z245=2,IF($K245&gt;PARAMETRES!$G$31,5,IF($K245&gt;PARAMETRES!$F$31,4,IF($K245&gt;PARAMETRES!$E$31,3,IF($K245&gt;PARAMETRES!$D$31,2,1)))),IF($K245&gt;PARAMETRES!$G$32,5,IF($K245&gt;PARAMETRES!$F$32,4,IF($K245&gt;PARAMETRES!$E$32,3,IF($K245&gt;PARAMETRES!$D$32,2,1))))))</f>
        <v/>
      </c>
      <c r="T245" t="str">
        <f>IF($L245="","",IF($L245&gt;PARAMETRES!$G$33,5,IF($L245&gt;PARAMETRES!$F$33,4,IF($L245&gt;PARAMETRES!$E$33,3,IF($L245&gt;PARAMETRES!$D$33,2,1)))))</f>
        <v/>
      </c>
      <c r="U245" t="str">
        <f>IF($M245="","",IF($M245&gt;PARAMETRES!$G$34,5,IF($M245&gt;PARAMETRES!$F$34,4,IF($M245&gt;PARAMETRES!$E$34,3,IF($M245&gt;PARAMETRES!$D$34,2,1)))))</f>
        <v/>
      </c>
      <c r="V245" t="str">
        <f>IF($N245="","",IF($N245&gt;PARAMETRES!$G$35,5,IF($N245&gt;PARAMETRES!$F$35,4,IF($N245&gt;PARAMETRES!$E$35,3,IF($N245&gt;PARAMETRES!$D$35,2,1)))))</f>
        <v/>
      </c>
      <c r="W245" t="str">
        <f>IF($O245="","",IF($O245&gt;PARAMETRES!$G$36,5,IF($O245&gt;PARAMETRES!$F$36,4,IF($O245&gt;PARAMETRES!$E$36,3,IF($O245&gt;PARAMETRES!$D$36,2,1)))))</f>
        <v/>
      </c>
      <c r="X245" t="str">
        <f>IF($P245="","",IF($P245&gt;PARAMETRES!$G$37,5,IF($P245&gt;PARAMETRES!$F$37,4,IF($P245&gt;PARAMETRES!$E$37,3,IF($P245&gt;PARAMETRES!$D$37,2,1)))))</f>
        <v/>
      </c>
      <c r="Y245" t="str">
        <f t="shared" si="72"/>
        <v/>
      </c>
      <c r="Z245" t="str">
        <f>IFERROR(VLOOKUP($B245,TABLE_CYCLE,2,0),"")</f>
        <v/>
      </c>
      <c r="AA245" t="str">
        <f t="shared" si="73"/>
        <v/>
      </c>
      <c r="AB245" t="str">
        <f>IF($D245="","",IF(COUNTIF($D$2:$D245,$D245)=1,$D245,""))</f>
        <v/>
      </c>
      <c r="AC245">
        <f t="shared" si="74"/>
        <v>0</v>
      </c>
      <c r="AD245" t="str">
        <f t="shared" si="75"/>
        <v>|0</v>
      </c>
      <c r="AE245" t="str">
        <f t="shared" si="76"/>
        <v/>
      </c>
      <c r="AF245" t="str">
        <f t="shared" si="77"/>
        <v/>
      </c>
      <c r="AG245" t="str">
        <f t="shared" si="78"/>
        <v/>
      </c>
      <c r="AH245" t="str">
        <f t="shared" si="79"/>
        <v/>
      </c>
      <c r="AI245" t="str">
        <f t="shared" si="80"/>
        <v/>
      </c>
      <c r="AJ245" t="str">
        <f t="shared" si="81"/>
        <v/>
      </c>
      <c r="AK245" t="str">
        <f t="shared" si="82"/>
        <v/>
      </c>
      <c r="AL245" t="str">
        <f t="shared" si="83"/>
        <v/>
      </c>
      <c r="AM245" t="str">
        <f t="shared" si="84"/>
        <v/>
      </c>
      <c r="AN245" t="str">
        <f t="shared" si="85"/>
        <v/>
      </c>
      <c r="AO245" t="str">
        <f t="shared" si="86"/>
        <v/>
      </c>
      <c r="AP245">
        <f t="shared" si="87"/>
        <v>1</v>
      </c>
      <c r="AQ245" t="str">
        <f>IF(SAISIE!$F250="","",SAISIE!$Y250)</f>
        <v/>
      </c>
      <c r="AR245" t="str">
        <f>IF(OR(SAISIE!$U$4="",SAISIE!$W$4=""),"",IF(AND($A245=SAISIE!$U$4,$B245=SAISIE!$W$4,$C245="S1"),COUNTIFS($A$2:$A245,SAISIE!$U$4,$B$2:$B245,SAISIE!$W$4,$C$2:$C245,"S1"),""))</f>
        <v/>
      </c>
      <c r="AS245" t="str">
        <f t="shared" si="88"/>
        <v/>
      </c>
      <c r="AT245" t="str">
        <f t="shared" si="89"/>
        <v/>
      </c>
      <c r="AU245" t="str">
        <f t="shared" si="90"/>
        <v/>
      </c>
      <c r="AV245">
        <f>N(AV244)+IF(AND($AB245&lt;&gt;"",OR('PROFIL ELEVE'!$K$4="(Tous)",$AF245='PROFIL ELEVE'!$K$4)),1,0)</f>
        <v>0</v>
      </c>
      <c r="AW245">
        <f>N(AW244)+IF(AND($AB245&lt;&gt;"",OR('SUIVI LONGITUDINAL'!$Q$4="(Tous)",$AF245='SUIVI LONGITUDINAL'!$Q$4)),1,0)</f>
        <v>0</v>
      </c>
      <c r="AX245">
        <f t="shared" si="91"/>
        <v>0</v>
      </c>
      <c r="AY245">
        <f t="shared" si="92"/>
        <v>0</v>
      </c>
      <c r="AZ245">
        <f t="shared" si="93"/>
        <v>0</v>
      </c>
      <c r="BA245" t="str">
        <f t="shared" si="94"/>
        <v/>
      </c>
      <c r="BB245" t="str">
        <f t="shared" si="95"/>
        <v/>
      </c>
    </row>
    <row r="246" spans="1:54" ht="14.25" customHeight="1" x14ac:dyDescent="0.3">
      <c r="A246" t="str">
        <f>IF(SAISIE!$F251="","",SAISIE!$B251)</f>
        <v/>
      </c>
      <c r="B246" t="str">
        <f>IF(SAISIE!$F251="","",SAISIE!$C251)</f>
        <v/>
      </c>
      <c r="C246" t="str">
        <f>IF(SAISIE!$F251="","",SAISIE!$D251)</f>
        <v/>
      </c>
      <c r="D246" t="str">
        <f>IF(SAISIE!$E251="","",SAISIE!$E251)</f>
        <v/>
      </c>
      <c r="E246" t="str">
        <f>IF(SAISIE!$F251="","",SAISIE!$F251)</f>
        <v/>
      </c>
      <c r="F246" t="str">
        <f>IF(SAISIE!$G251="","",SAISIE!$G251)</f>
        <v/>
      </c>
      <c r="G246" t="str">
        <f>IF(SAISIE!$H251="","",SAISIE!$H251)</f>
        <v/>
      </c>
      <c r="H246" t="str">
        <f>IF(SAISIE!$I251="","",SAISIE!$I251)</f>
        <v/>
      </c>
      <c r="I246" t="str">
        <f>IF(SAISIE!$J251="","",SAISIE!$J251)</f>
        <v/>
      </c>
      <c r="J246" t="str">
        <f>IF(SAISIE!$K251="","",SAISIE!$K251)</f>
        <v/>
      </c>
      <c r="K246" t="str">
        <f>IF(SAISIE!$L251="","",SAISIE!$L251)</f>
        <v/>
      </c>
      <c r="L246" t="str">
        <f>IF(SAISIE!$M251="","",SAISIE!$M251)</f>
        <v/>
      </c>
      <c r="M246" t="str">
        <f>IF(SAISIE!$N251="","",SAISIE!$N251)</f>
        <v/>
      </c>
      <c r="N246" t="str">
        <f>IF(SAISIE!$O251="","",SAISIE!$O251)</f>
        <v/>
      </c>
      <c r="O246" t="str">
        <f>IF(SAISIE!$P251="","",SAISIE!$P251)</f>
        <v/>
      </c>
      <c r="P246" t="str">
        <f>IF(SAISIE!$Q251="","",SAISIE!$Q251)</f>
        <v/>
      </c>
      <c r="Q246" t="str">
        <f>IF($I246="","",IF($I246&gt;PARAMETRES!$G$29,5,IF($I246&gt;PARAMETRES!$F$29,4,IF($I246&gt;PARAMETRES!$E$29,3,IF($I246&gt;PARAMETRES!$D$29,2,1)))))</f>
        <v/>
      </c>
      <c r="R246" t="str">
        <f>IF($J246="","",IF($J246&gt;PARAMETRES!$G$30,5,IF($J246&gt;PARAMETRES!$F$30,4,IF($J246&gt;PARAMETRES!$E$30,3,IF($J246&gt;PARAMETRES!$D$30,2,1)))))</f>
        <v/>
      </c>
      <c r="S246" t="str">
        <f>IF($K246="","",IF($Z246=2,IF($K246&gt;PARAMETRES!$G$31,5,IF($K246&gt;PARAMETRES!$F$31,4,IF($K246&gt;PARAMETRES!$E$31,3,IF($K246&gt;PARAMETRES!$D$31,2,1)))),IF($K246&gt;PARAMETRES!$G$32,5,IF($K246&gt;PARAMETRES!$F$32,4,IF($K246&gt;PARAMETRES!$E$32,3,IF($K246&gt;PARAMETRES!$D$32,2,1))))))</f>
        <v/>
      </c>
      <c r="T246" t="str">
        <f>IF($L246="","",IF($L246&gt;PARAMETRES!$G$33,5,IF($L246&gt;PARAMETRES!$F$33,4,IF($L246&gt;PARAMETRES!$E$33,3,IF($L246&gt;PARAMETRES!$D$33,2,1)))))</f>
        <v/>
      </c>
      <c r="U246" t="str">
        <f>IF($M246="","",IF($M246&gt;PARAMETRES!$G$34,5,IF($M246&gt;PARAMETRES!$F$34,4,IF($M246&gt;PARAMETRES!$E$34,3,IF($M246&gt;PARAMETRES!$D$34,2,1)))))</f>
        <v/>
      </c>
      <c r="V246" t="str">
        <f>IF($N246="","",IF($N246&gt;PARAMETRES!$G$35,5,IF($N246&gt;PARAMETRES!$F$35,4,IF($N246&gt;PARAMETRES!$E$35,3,IF($N246&gt;PARAMETRES!$D$35,2,1)))))</f>
        <v/>
      </c>
      <c r="W246" t="str">
        <f>IF($O246="","",IF($O246&gt;PARAMETRES!$G$36,5,IF($O246&gt;PARAMETRES!$F$36,4,IF($O246&gt;PARAMETRES!$E$36,3,IF($O246&gt;PARAMETRES!$D$36,2,1)))))</f>
        <v/>
      </c>
      <c r="X246" t="str">
        <f>IF($P246="","",IF($P246&gt;PARAMETRES!$G$37,5,IF($P246&gt;PARAMETRES!$F$37,4,IF($P246&gt;PARAMETRES!$E$37,3,IF($P246&gt;PARAMETRES!$D$37,2,1)))))</f>
        <v/>
      </c>
      <c r="Y246" t="str">
        <f t="shared" si="72"/>
        <v/>
      </c>
      <c r="Z246" t="str">
        <f>IFERROR(VLOOKUP($B246,TABLE_CYCLE,2,0),"")</f>
        <v/>
      </c>
      <c r="AA246" t="str">
        <f t="shared" si="73"/>
        <v/>
      </c>
      <c r="AB246" t="str">
        <f>IF($D246="","",IF(COUNTIF($D$2:$D246,$D246)=1,$D246,""))</f>
        <v/>
      </c>
      <c r="AC246">
        <f t="shared" si="74"/>
        <v>0</v>
      </c>
      <c r="AD246" t="str">
        <f t="shared" si="75"/>
        <v>|0</v>
      </c>
      <c r="AE246" t="str">
        <f t="shared" si="76"/>
        <v/>
      </c>
      <c r="AF246" t="str">
        <f t="shared" si="77"/>
        <v/>
      </c>
      <c r="AG246" t="str">
        <f t="shared" si="78"/>
        <v/>
      </c>
      <c r="AH246" t="str">
        <f t="shared" si="79"/>
        <v/>
      </c>
      <c r="AI246" t="str">
        <f t="shared" si="80"/>
        <v/>
      </c>
      <c r="AJ246" t="str">
        <f t="shared" si="81"/>
        <v/>
      </c>
      <c r="AK246" t="str">
        <f t="shared" si="82"/>
        <v/>
      </c>
      <c r="AL246" t="str">
        <f t="shared" si="83"/>
        <v/>
      </c>
      <c r="AM246" t="str">
        <f t="shared" si="84"/>
        <v/>
      </c>
      <c r="AN246" t="str">
        <f t="shared" si="85"/>
        <v/>
      </c>
      <c r="AO246" t="str">
        <f t="shared" si="86"/>
        <v/>
      </c>
      <c r="AP246">
        <f t="shared" si="87"/>
        <v>1</v>
      </c>
      <c r="AQ246" t="str">
        <f>IF(SAISIE!$F251="","",SAISIE!$Y251)</f>
        <v/>
      </c>
      <c r="AR246" t="str">
        <f>IF(OR(SAISIE!$U$4="",SAISIE!$W$4=""),"",IF(AND($A246=SAISIE!$U$4,$B246=SAISIE!$W$4,$C246="S1"),COUNTIFS($A$2:$A246,SAISIE!$U$4,$B$2:$B246,SAISIE!$W$4,$C$2:$C246,"S1"),""))</f>
        <v/>
      </c>
      <c r="AS246" t="str">
        <f t="shared" si="88"/>
        <v/>
      </c>
      <c r="AT246" t="str">
        <f t="shared" si="89"/>
        <v/>
      </c>
      <c r="AU246" t="str">
        <f t="shared" si="90"/>
        <v/>
      </c>
      <c r="AV246">
        <f>N(AV245)+IF(AND($AB246&lt;&gt;"",OR('PROFIL ELEVE'!$K$4="(Tous)",$AF246='PROFIL ELEVE'!$K$4)),1,0)</f>
        <v>0</v>
      </c>
      <c r="AW246">
        <f>N(AW245)+IF(AND($AB246&lt;&gt;"",OR('SUIVI LONGITUDINAL'!$Q$4="(Tous)",$AF246='SUIVI LONGITUDINAL'!$Q$4)),1,0)</f>
        <v>0</v>
      </c>
      <c r="AX246">
        <f t="shared" si="91"/>
        <v>0</v>
      </c>
      <c r="AY246">
        <f t="shared" si="92"/>
        <v>0</v>
      </c>
      <c r="AZ246">
        <f t="shared" si="93"/>
        <v>0</v>
      </c>
      <c r="BA246" t="str">
        <f t="shared" si="94"/>
        <v/>
      </c>
      <c r="BB246" t="str">
        <f t="shared" si="95"/>
        <v/>
      </c>
    </row>
    <row r="247" spans="1:54" ht="14.25" customHeight="1" x14ac:dyDescent="0.3">
      <c r="A247" t="str">
        <f>IF(SAISIE!$F252="","",SAISIE!$B252)</f>
        <v/>
      </c>
      <c r="B247" t="str">
        <f>IF(SAISIE!$F252="","",SAISIE!$C252)</f>
        <v/>
      </c>
      <c r="C247" t="str">
        <f>IF(SAISIE!$F252="","",SAISIE!$D252)</f>
        <v/>
      </c>
      <c r="D247" t="str">
        <f>IF(SAISIE!$E252="","",SAISIE!$E252)</f>
        <v/>
      </c>
      <c r="E247" t="str">
        <f>IF(SAISIE!$F252="","",SAISIE!$F252)</f>
        <v/>
      </c>
      <c r="F247" t="str">
        <f>IF(SAISIE!$G252="","",SAISIE!$G252)</f>
        <v/>
      </c>
      <c r="G247" t="str">
        <f>IF(SAISIE!$H252="","",SAISIE!$H252)</f>
        <v/>
      </c>
      <c r="H247" t="str">
        <f>IF(SAISIE!$I252="","",SAISIE!$I252)</f>
        <v/>
      </c>
      <c r="I247" t="str">
        <f>IF(SAISIE!$J252="","",SAISIE!$J252)</f>
        <v/>
      </c>
      <c r="J247" t="str">
        <f>IF(SAISIE!$K252="","",SAISIE!$K252)</f>
        <v/>
      </c>
      <c r="K247" t="str">
        <f>IF(SAISIE!$L252="","",SAISIE!$L252)</f>
        <v/>
      </c>
      <c r="L247" t="str">
        <f>IF(SAISIE!$M252="","",SAISIE!$M252)</f>
        <v/>
      </c>
      <c r="M247" t="str">
        <f>IF(SAISIE!$N252="","",SAISIE!$N252)</f>
        <v/>
      </c>
      <c r="N247" t="str">
        <f>IF(SAISIE!$O252="","",SAISIE!$O252)</f>
        <v/>
      </c>
      <c r="O247" t="str">
        <f>IF(SAISIE!$P252="","",SAISIE!$P252)</f>
        <v/>
      </c>
      <c r="P247" t="str">
        <f>IF(SAISIE!$Q252="","",SAISIE!$Q252)</f>
        <v/>
      </c>
      <c r="Q247" t="str">
        <f>IF($I247="","",IF($I247&gt;PARAMETRES!$G$29,5,IF($I247&gt;PARAMETRES!$F$29,4,IF($I247&gt;PARAMETRES!$E$29,3,IF($I247&gt;PARAMETRES!$D$29,2,1)))))</f>
        <v/>
      </c>
      <c r="R247" t="str">
        <f>IF($J247="","",IF($J247&gt;PARAMETRES!$G$30,5,IF($J247&gt;PARAMETRES!$F$30,4,IF($J247&gt;PARAMETRES!$E$30,3,IF($J247&gt;PARAMETRES!$D$30,2,1)))))</f>
        <v/>
      </c>
      <c r="S247" t="str">
        <f>IF($K247="","",IF($Z247=2,IF($K247&gt;PARAMETRES!$G$31,5,IF($K247&gt;PARAMETRES!$F$31,4,IF($K247&gt;PARAMETRES!$E$31,3,IF($K247&gt;PARAMETRES!$D$31,2,1)))),IF($K247&gt;PARAMETRES!$G$32,5,IF($K247&gt;PARAMETRES!$F$32,4,IF($K247&gt;PARAMETRES!$E$32,3,IF($K247&gt;PARAMETRES!$D$32,2,1))))))</f>
        <v/>
      </c>
      <c r="T247" t="str">
        <f>IF($L247="","",IF($L247&gt;PARAMETRES!$G$33,5,IF($L247&gt;PARAMETRES!$F$33,4,IF($L247&gt;PARAMETRES!$E$33,3,IF($L247&gt;PARAMETRES!$D$33,2,1)))))</f>
        <v/>
      </c>
      <c r="U247" t="str">
        <f>IF($M247="","",IF($M247&gt;PARAMETRES!$G$34,5,IF($M247&gt;PARAMETRES!$F$34,4,IF($M247&gt;PARAMETRES!$E$34,3,IF($M247&gt;PARAMETRES!$D$34,2,1)))))</f>
        <v/>
      </c>
      <c r="V247" t="str">
        <f>IF($N247="","",IF($N247&gt;PARAMETRES!$G$35,5,IF($N247&gt;PARAMETRES!$F$35,4,IF($N247&gt;PARAMETRES!$E$35,3,IF($N247&gt;PARAMETRES!$D$35,2,1)))))</f>
        <v/>
      </c>
      <c r="W247" t="str">
        <f>IF($O247="","",IF($O247&gt;PARAMETRES!$G$36,5,IF($O247&gt;PARAMETRES!$F$36,4,IF($O247&gt;PARAMETRES!$E$36,3,IF($O247&gt;PARAMETRES!$D$36,2,1)))))</f>
        <v/>
      </c>
      <c r="X247" t="str">
        <f>IF($P247="","",IF($P247&gt;PARAMETRES!$G$37,5,IF($P247&gt;PARAMETRES!$F$37,4,IF($P247&gt;PARAMETRES!$E$37,3,IF($P247&gt;PARAMETRES!$D$37,2,1)))))</f>
        <v/>
      </c>
      <c r="Y247" t="str">
        <f t="shared" si="72"/>
        <v/>
      </c>
      <c r="Z247" t="str">
        <f>IFERROR(VLOOKUP($B247,TABLE_CYCLE,2,0),"")</f>
        <v/>
      </c>
      <c r="AA247" t="str">
        <f t="shared" si="73"/>
        <v/>
      </c>
      <c r="AB247" t="str">
        <f>IF($D247="","",IF(COUNTIF($D$2:$D247,$D247)=1,$D247,""))</f>
        <v/>
      </c>
      <c r="AC247">
        <f t="shared" si="74"/>
        <v>0</v>
      </c>
      <c r="AD247" t="str">
        <f t="shared" si="75"/>
        <v>|0</v>
      </c>
      <c r="AE247" t="str">
        <f t="shared" si="76"/>
        <v/>
      </c>
      <c r="AF247" t="str">
        <f t="shared" si="77"/>
        <v/>
      </c>
      <c r="AG247" t="str">
        <f t="shared" si="78"/>
        <v/>
      </c>
      <c r="AH247" t="str">
        <f t="shared" si="79"/>
        <v/>
      </c>
      <c r="AI247" t="str">
        <f t="shared" si="80"/>
        <v/>
      </c>
      <c r="AJ247" t="str">
        <f t="shared" si="81"/>
        <v/>
      </c>
      <c r="AK247" t="str">
        <f t="shared" si="82"/>
        <v/>
      </c>
      <c r="AL247" t="str">
        <f t="shared" si="83"/>
        <v/>
      </c>
      <c r="AM247" t="str">
        <f t="shared" si="84"/>
        <v/>
      </c>
      <c r="AN247" t="str">
        <f t="shared" si="85"/>
        <v/>
      </c>
      <c r="AO247" t="str">
        <f t="shared" si="86"/>
        <v/>
      </c>
      <c r="AP247">
        <f t="shared" si="87"/>
        <v>1</v>
      </c>
      <c r="AQ247" t="str">
        <f>IF(SAISIE!$F252="","",SAISIE!$Y252)</f>
        <v/>
      </c>
      <c r="AR247" t="str">
        <f>IF(OR(SAISIE!$U$4="",SAISIE!$W$4=""),"",IF(AND($A247=SAISIE!$U$4,$B247=SAISIE!$W$4,$C247="S1"),COUNTIFS($A$2:$A247,SAISIE!$U$4,$B$2:$B247,SAISIE!$W$4,$C$2:$C247,"S1"),""))</f>
        <v/>
      </c>
      <c r="AS247" t="str">
        <f t="shared" si="88"/>
        <v/>
      </c>
      <c r="AT247" t="str">
        <f t="shared" si="89"/>
        <v/>
      </c>
      <c r="AU247" t="str">
        <f t="shared" si="90"/>
        <v/>
      </c>
      <c r="AV247">
        <f>N(AV246)+IF(AND($AB247&lt;&gt;"",OR('PROFIL ELEVE'!$K$4="(Tous)",$AF247='PROFIL ELEVE'!$K$4)),1,0)</f>
        <v>0</v>
      </c>
      <c r="AW247">
        <f>N(AW246)+IF(AND($AB247&lt;&gt;"",OR('SUIVI LONGITUDINAL'!$Q$4="(Tous)",$AF247='SUIVI LONGITUDINAL'!$Q$4)),1,0)</f>
        <v>0</v>
      </c>
      <c r="AX247">
        <f t="shared" si="91"/>
        <v>0</v>
      </c>
      <c r="AY247">
        <f t="shared" si="92"/>
        <v>0</v>
      </c>
      <c r="AZ247">
        <f t="shared" si="93"/>
        <v>0</v>
      </c>
      <c r="BA247" t="str">
        <f t="shared" si="94"/>
        <v/>
      </c>
      <c r="BB247" t="str">
        <f t="shared" si="95"/>
        <v/>
      </c>
    </row>
    <row r="248" spans="1:54" ht="14.25" customHeight="1" x14ac:dyDescent="0.3">
      <c r="A248" t="str">
        <f>IF(SAISIE!$F253="","",SAISIE!$B253)</f>
        <v/>
      </c>
      <c r="B248" t="str">
        <f>IF(SAISIE!$F253="","",SAISIE!$C253)</f>
        <v/>
      </c>
      <c r="C248" t="str">
        <f>IF(SAISIE!$F253="","",SAISIE!$D253)</f>
        <v/>
      </c>
      <c r="D248" t="str">
        <f>IF(SAISIE!$E253="","",SAISIE!$E253)</f>
        <v/>
      </c>
      <c r="E248" t="str">
        <f>IF(SAISIE!$F253="","",SAISIE!$F253)</f>
        <v/>
      </c>
      <c r="F248" t="str">
        <f>IF(SAISIE!$G253="","",SAISIE!$G253)</f>
        <v/>
      </c>
      <c r="G248" t="str">
        <f>IF(SAISIE!$H253="","",SAISIE!$H253)</f>
        <v/>
      </c>
      <c r="H248" t="str">
        <f>IF(SAISIE!$I253="","",SAISIE!$I253)</f>
        <v/>
      </c>
      <c r="I248" t="str">
        <f>IF(SAISIE!$J253="","",SAISIE!$J253)</f>
        <v/>
      </c>
      <c r="J248" t="str">
        <f>IF(SAISIE!$K253="","",SAISIE!$K253)</f>
        <v/>
      </c>
      <c r="K248" t="str">
        <f>IF(SAISIE!$L253="","",SAISIE!$L253)</f>
        <v/>
      </c>
      <c r="L248" t="str">
        <f>IF(SAISIE!$M253="","",SAISIE!$M253)</f>
        <v/>
      </c>
      <c r="M248" t="str">
        <f>IF(SAISIE!$N253="","",SAISIE!$N253)</f>
        <v/>
      </c>
      <c r="N248" t="str">
        <f>IF(SAISIE!$O253="","",SAISIE!$O253)</f>
        <v/>
      </c>
      <c r="O248" t="str">
        <f>IF(SAISIE!$P253="","",SAISIE!$P253)</f>
        <v/>
      </c>
      <c r="P248" t="str">
        <f>IF(SAISIE!$Q253="","",SAISIE!$Q253)</f>
        <v/>
      </c>
      <c r="Q248" t="str">
        <f>IF($I248="","",IF($I248&gt;PARAMETRES!$G$29,5,IF($I248&gt;PARAMETRES!$F$29,4,IF($I248&gt;PARAMETRES!$E$29,3,IF($I248&gt;PARAMETRES!$D$29,2,1)))))</f>
        <v/>
      </c>
      <c r="R248" t="str">
        <f>IF($J248="","",IF($J248&gt;PARAMETRES!$G$30,5,IF($J248&gt;PARAMETRES!$F$30,4,IF($J248&gt;PARAMETRES!$E$30,3,IF($J248&gt;PARAMETRES!$D$30,2,1)))))</f>
        <v/>
      </c>
      <c r="S248" t="str">
        <f>IF($K248="","",IF($Z248=2,IF($K248&gt;PARAMETRES!$G$31,5,IF($K248&gt;PARAMETRES!$F$31,4,IF($K248&gt;PARAMETRES!$E$31,3,IF($K248&gt;PARAMETRES!$D$31,2,1)))),IF($K248&gt;PARAMETRES!$G$32,5,IF($K248&gt;PARAMETRES!$F$32,4,IF($K248&gt;PARAMETRES!$E$32,3,IF($K248&gt;PARAMETRES!$D$32,2,1))))))</f>
        <v/>
      </c>
      <c r="T248" t="str">
        <f>IF($L248="","",IF($L248&gt;PARAMETRES!$G$33,5,IF($L248&gt;PARAMETRES!$F$33,4,IF($L248&gt;PARAMETRES!$E$33,3,IF($L248&gt;PARAMETRES!$D$33,2,1)))))</f>
        <v/>
      </c>
      <c r="U248" t="str">
        <f>IF($M248="","",IF($M248&gt;PARAMETRES!$G$34,5,IF($M248&gt;PARAMETRES!$F$34,4,IF($M248&gt;PARAMETRES!$E$34,3,IF($M248&gt;PARAMETRES!$D$34,2,1)))))</f>
        <v/>
      </c>
      <c r="V248" t="str">
        <f>IF($N248="","",IF($N248&gt;PARAMETRES!$G$35,5,IF($N248&gt;PARAMETRES!$F$35,4,IF($N248&gt;PARAMETRES!$E$35,3,IF($N248&gt;PARAMETRES!$D$35,2,1)))))</f>
        <v/>
      </c>
      <c r="W248" t="str">
        <f>IF($O248="","",IF($O248&gt;PARAMETRES!$G$36,5,IF($O248&gt;PARAMETRES!$F$36,4,IF($O248&gt;PARAMETRES!$E$36,3,IF($O248&gt;PARAMETRES!$D$36,2,1)))))</f>
        <v/>
      </c>
      <c r="X248" t="str">
        <f>IF($P248="","",IF($P248&gt;PARAMETRES!$G$37,5,IF($P248&gt;PARAMETRES!$F$37,4,IF($P248&gt;PARAMETRES!$E$37,3,IF($P248&gt;PARAMETRES!$D$37,2,1)))))</f>
        <v/>
      </c>
      <c r="Y248" t="str">
        <f t="shared" si="72"/>
        <v/>
      </c>
      <c r="Z248" t="str">
        <f>IFERROR(VLOOKUP($B248,TABLE_CYCLE,2,0),"")</f>
        <v/>
      </c>
      <c r="AA248" t="str">
        <f t="shared" si="73"/>
        <v/>
      </c>
      <c r="AB248" t="str">
        <f>IF($D248="","",IF(COUNTIF($D$2:$D248,$D248)=1,$D248,""))</f>
        <v/>
      </c>
      <c r="AC248">
        <f t="shared" si="74"/>
        <v>0</v>
      </c>
      <c r="AD248" t="str">
        <f t="shared" si="75"/>
        <v>|0</v>
      </c>
      <c r="AE248" t="str">
        <f t="shared" si="76"/>
        <v/>
      </c>
      <c r="AF248" t="str">
        <f t="shared" si="77"/>
        <v/>
      </c>
      <c r="AG248" t="str">
        <f t="shared" si="78"/>
        <v/>
      </c>
      <c r="AH248" t="str">
        <f t="shared" si="79"/>
        <v/>
      </c>
      <c r="AI248" t="str">
        <f t="shared" si="80"/>
        <v/>
      </c>
      <c r="AJ248" t="str">
        <f t="shared" si="81"/>
        <v/>
      </c>
      <c r="AK248" t="str">
        <f t="shared" si="82"/>
        <v/>
      </c>
      <c r="AL248" t="str">
        <f t="shared" si="83"/>
        <v/>
      </c>
      <c r="AM248" t="str">
        <f t="shared" si="84"/>
        <v/>
      </c>
      <c r="AN248" t="str">
        <f t="shared" si="85"/>
        <v/>
      </c>
      <c r="AO248" t="str">
        <f t="shared" si="86"/>
        <v/>
      </c>
      <c r="AP248">
        <f t="shared" si="87"/>
        <v>1</v>
      </c>
      <c r="AQ248" t="str">
        <f>IF(SAISIE!$F253="","",SAISIE!$Y253)</f>
        <v/>
      </c>
      <c r="AR248" t="str">
        <f>IF(OR(SAISIE!$U$4="",SAISIE!$W$4=""),"",IF(AND($A248=SAISIE!$U$4,$B248=SAISIE!$W$4,$C248="S1"),COUNTIFS($A$2:$A248,SAISIE!$U$4,$B$2:$B248,SAISIE!$W$4,$C$2:$C248,"S1"),""))</f>
        <v/>
      </c>
      <c r="AS248" t="str">
        <f t="shared" si="88"/>
        <v/>
      </c>
      <c r="AT248" t="str">
        <f t="shared" si="89"/>
        <v/>
      </c>
      <c r="AU248" t="str">
        <f t="shared" si="90"/>
        <v/>
      </c>
      <c r="AV248">
        <f>N(AV247)+IF(AND($AB248&lt;&gt;"",OR('PROFIL ELEVE'!$K$4="(Tous)",$AF248='PROFIL ELEVE'!$K$4)),1,0)</f>
        <v>0</v>
      </c>
      <c r="AW248">
        <f>N(AW247)+IF(AND($AB248&lt;&gt;"",OR('SUIVI LONGITUDINAL'!$Q$4="(Tous)",$AF248='SUIVI LONGITUDINAL'!$Q$4)),1,0)</f>
        <v>0</v>
      </c>
      <c r="AX248">
        <f t="shared" si="91"/>
        <v>0</v>
      </c>
      <c r="AY248">
        <f t="shared" si="92"/>
        <v>0</v>
      </c>
      <c r="AZ248">
        <f t="shared" si="93"/>
        <v>0</v>
      </c>
      <c r="BA248" t="str">
        <f t="shared" si="94"/>
        <v/>
      </c>
      <c r="BB248" t="str">
        <f t="shared" si="95"/>
        <v/>
      </c>
    </row>
    <row r="249" spans="1:54" ht="14.25" customHeight="1" x14ac:dyDescent="0.3">
      <c r="A249" t="str">
        <f>IF(SAISIE!$F254="","",SAISIE!$B254)</f>
        <v/>
      </c>
      <c r="B249" t="str">
        <f>IF(SAISIE!$F254="","",SAISIE!$C254)</f>
        <v/>
      </c>
      <c r="C249" t="str">
        <f>IF(SAISIE!$F254="","",SAISIE!$D254)</f>
        <v/>
      </c>
      <c r="D249" t="str">
        <f>IF(SAISIE!$E254="","",SAISIE!$E254)</f>
        <v/>
      </c>
      <c r="E249" t="str">
        <f>IF(SAISIE!$F254="","",SAISIE!$F254)</f>
        <v/>
      </c>
      <c r="F249" t="str">
        <f>IF(SAISIE!$G254="","",SAISIE!$G254)</f>
        <v/>
      </c>
      <c r="G249" t="str">
        <f>IF(SAISIE!$H254="","",SAISIE!$H254)</f>
        <v/>
      </c>
      <c r="H249" t="str">
        <f>IF(SAISIE!$I254="","",SAISIE!$I254)</f>
        <v/>
      </c>
      <c r="I249" t="str">
        <f>IF(SAISIE!$J254="","",SAISIE!$J254)</f>
        <v/>
      </c>
      <c r="J249" t="str">
        <f>IF(SAISIE!$K254="","",SAISIE!$K254)</f>
        <v/>
      </c>
      <c r="K249" t="str">
        <f>IF(SAISIE!$L254="","",SAISIE!$L254)</f>
        <v/>
      </c>
      <c r="L249" t="str">
        <f>IF(SAISIE!$M254="","",SAISIE!$M254)</f>
        <v/>
      </c>
      <c r="M249" t="str">
        <f>IF(SAISIE!$N254="","",SAISIE!$N254)</f>
        <v/>
      </c>
      <c r="N249" t="str">
        <f>IF(SAISIE!$O254="","",SAISIE!$O254)</f>
        <v/>
      </c>
      <c r="O249" t="str">
        <f>IF(SAISIE!$P254="","",SAISIE!$P254)</f>
        <v/>
      </c>
      <c r="P249" t="str">
        <f>IF(SAISIE!$Q254="","",SAISIE!$Q254)</f>
        <v/>
      </c>
      <c r="Q249" t="str">
        <f>IF($I249="","",IF($I249&gt;PARAMETRES!$G$29,5,IF($I249&gt;PARAMETRES!$F$29,4,IF($I249&gt;PARAMETRES!$E$29,3,IF($I249&gt;PARAMETRES!$D$29,2,1)))))</f>
        <v/>
      </c>
      <c r="R249" t="str">
        <f>IF($J249="","",IF($J249&gt;PARAMETRES!$G$30,5,IF($J249&gt;PARAMETRES!$F$30,4,IF($J249&gt;PARAMETRES!$E$30,3,IF($J249&gt;PARAMETRES!$D$30,2,1)))))</f>
        <v/>
      </c>
      <c r="S249" t="str">
        <f>IF($K249="","",IF($Z249=2,IF($K249&gt;PARAMETRES!$G$31,5,IF($K249&gt;PARAMETRES!$F$31,4,IF($K249&gt;PARAMETRES!$E$31,3,IF($K249&gt;PARAMETRES!$D$31,2,1)))),IF($K249&gt;PARAMETRES!$G$32,5,IF($K249&gt;PARAMETRES!$F$32,4,IF($K249&gt;PARAMETRES!$E$32,3,IF($K249&gt;PARAMETRES!$D$32,2,1))))))</f>
        <v/>
      </c>
      <c r="T249" t="str">
        <f>IF($L249="","",IF($L249&gt;PARAMETRES!$G$33,5,IF($L249&gt;PARAMETRES!$F$33,4,IF($L249&gt;PARAMETRES!$E$33,3,IF($L249&gt;PARAMETRES!$D$33,2,1)))))</f>
        <v/>
      </c>
      <c r="U249" t="str">
        <f>IF($M249="","",IF($M249&gt;PARAMETRES!$G$34,5,IF($M249&gt;PARAMETRES!$F$34,4,IF($M249&gt;PARAMETRES!$E$34,3,IF($M249&gt;PARAMETRES!$D$34,2,1)))))</f>
        <v/>
      </c>
      <c r="V249" t="str">
        <f>IF($N249="","",IF($N249&gt;PARAMETRES!$G$35,5,IF($N249&gt;PARAMETRES!$F$35,4,IF($N249&gt;PARAMETRES!$E$35,3,IF($N249&gt;PARAMETRES!$D$35,2,1)))))</f>
        <v/>
      </c>
      <c r="W249" t="str">
        <f>IF($O249="","",IF($O249&gt;PARAMETRES!$G$36,5,IF($O249&gt;PARAMETRES!$F$36,4,IF($O249&gt;PARAMETRES!$E$36,3,IF($O249&gt;PARAMETRES!$D$36,2,1)))))</f>
        <v/>
      </c>
      <c r="X249" t="str">
        <f>IF($P249="","",IF($P249&gt;PARAMETRES!$G$37,5,IF($P249&gt;PARAMETRES!$F$37,4,IF($P249&gt;PARAMETRES!$E$37,3,IF($P249&gt;PARAMETRES!$D$37,2,1)))))</f>
        <v/>
      </c>
      <c r="Y249" t="str">
        <f t="shared" si="72"/>
        <v/>
      </c>
      <c r="Z249" t="str">
        <f>IFERROR(VLOOKUP($B249,TABLE_CYCLE,2,0),"")</f>
        <v/>
      </c>
      <c r="AA249" t="str">
        <f t="shared" si="73"/>
        <v/>
      </c>
      <c r="AB249" t="str">
        <f>IF($D249="","",IF(COUNTIF($D$2:$D249,$D249)=1,$D249,""))</f>
        <v/>
      </c>
      <c r="AC249">
        <f t="shared" si="74"/>
        <v>0</v>
      </c>
      <c r="AD249" t="str">
        <f t="shared" si="75"/>
        <v>|0</v>
      </c>
      <c r="AE249" t="str">
        <f t="shared" si="76"/>
        <v/>
      </c>
      <c r="AF249" t="str">
        <f t="shared" si="77"/>
        <v/>
      </c>
      <c r="AG249" t="str">
        <f t="shared" si="78"/>
        <v/>
      </c>
      <c r="AH249" t="str">
        <f t="shared" si="79"/>
        <v/>
      </c>
      <c r="AI249" t="str">
        <f t="shared" si="80"/>
        <v/>
      </c>
      <c r="AJ249" t="str">
        <f t="shared" si="81"/>
        <v/>
      </c>
      <c r="AK249" t="str">
        <f t="shared" si="82"/>
        <v/>
      </c>
      <c r="AL249" t="str">
        <f t="shared" si="83"/>
        <v/>
      </c>
      <c r="AM249" t="str">
        <f t="shared" si="84"/>
        <v/>
      </c>
      <c r="AN249" t="str">
        <f t="shared" si="85"/>
        <v/>
      </c>
      <c r="AO249" t="str">
        <f t="shared" si="86"/>
        <v/>
      </c>
      <c r="AP249">
        <f t="shared" si="87"/>
        <v>1</v>
      </c>
      <c r="AQ249" t="str">
        <f>IF(SAISIE!$F254="","",SAISIE!$Y254)</f>
        <v/>
      </c>
      <c r="AR249" t="str">
        <f>IF(OR(SAISIE!$U$4="",SAISIE!$W$4=""),"",IF(AND($A249=SAISIE!$U$4,$B249=SAISIE!$W$4,$C249="S1"),COUNTIFS($A$2:$A249,SAISIE!$U$4,$B$2:$B249,SAISIE!$W$4,$C$2:$C249,"S1"),""))</f>
        <v/>
      </c>
      <c r="AS249" t="str">
        <f t="shared" si="88"/>
        <v/>
      </c>
      <c r="AT249" t="str">
        <f t="shared" si="89"/>
        <v/>
      </c>
      <c r="AU249" t="str">
        <f t="shared" si="90"/>
        <v/>
      </c>
      <c r="AV249">
        <f>N(AV248)+IF(AND($AB249&lt;&gt;"",OR('PROFIL ELEVE'!$K$4="(Tous)",$AF249='PROFIL ELEVE'!$K$4)),1,0)</f>
        <v>0</v>
      </c>
      <c r="AW249">
        <f>N(AW248)+IF(AND($AB249&lt;&gt;"",OR('SUIVI LONGITUDINAL'!$Q$4="(Tous)",$AF249='SUIVI LONGITUDINAL'!$Q$4)),1,0)</f>
        <v>0</v>
      </c>
      <c r="AX249">
        <f t="shared" si="91"/>
        <v>0</v>
      </c>
      <c r="AY249">
        <f t="shared" si="92"/>
        <v>0</v>
      </c>
      <c r="AZ249">
        <f t="shared" si="93"/>
        <v>0</v>
      </c>
      <c r="BA249" t="str">
        <f t="shared" si="94"/>
        <v/>
      </c>
      <c r="BB249" t="str">
        <f t="shared" si="95"/>
        <v/>
      </c>
    </row>
    <row r="250" spans="1:54" ht="14.25" customHeight="1" x14ac:dyDescent="0.3">
      <c r="A250" t="str">
        <f>IF(SAISIE!$F255="","",SAISIE!$B255)</f>
        <v/>
      </c>
      <c r="B250" t="str">
        <f>IF(SAISIE!$F255="","",SAISIE!$C255)</f>
        <v/>
      </c>
      <c r="C250" t="str">
        <f>IF(SAISIE!$F255="","",SAISIE!$D255)</f>
        <v/>
      </c>
      <c r="D250" t="str">
        <f>IF(SAISIE!$E255="","",SAISIE!$E255)</f>
        <v/>
      </c>
      <c r="E250" t="str">
        <f>IF(SAISIE!$F255="","",SAISIE!$F255)</f>
        <v/>
      </c>
      <c r="F250" t="str">
        <f>IF(SAISIE!$G255="","",SAISIE!$G255)</f>
        <v/>
      </c>
      <c r="G250" t="str">
        <f>IF(SAISIE!$H255="","",SAISIE!$H255)</f>
        <v/>
      </c>
      <c r="H250" t="str">
        <f>IF(SAISIE!$I255="","",SAISIE!$I255)</f>
        <v/>
      </c>
      <c r="I250" t="str">
        <f>IF(SAISIE!$J255="","",SAISIE!$J255)</f>
        <v/>
      </c>
      <c r="J250" t="str">
        <f>IF(SAISIE!$K255="","",SAISIE!$K255)</f>
        <v/>
      </c>
      <c r="K250" t="str">
        <f>IF(SAISIE!$L255="","",SAISIE!$L255)</f>
        <v/>
      </c>
      <c r="L250" t="str">
        <f>IF(SAISIE!$M255="","",SAISIE!$M255)</f>
        <v/>
      </c>
      <c r="M250" t="str">
        <f>IF(SAISIE!$N255="","",SAISIE!$N255)</f>
        <v/>
      </c>
      <c r="N250" t="str">
        <f>IF(SAISIE!$O255="","",SAISIE!$O255)</f>
        <v/>
      </c>
      <c r="O250" t="str">
        <f>IF(SAISIE!$P255="","",SAISIE!$P255)</f>
        <v/>
      </c>
      <c r="P250" t="str">
        <f>IF(SAISIE!$Q255="","",SAISIE!$Q255)</f>
        <v/>
      </c>
      <c r="Q250" t="str">
        <f>IF($I250="","",IF($I250&gt;PARAMETRES!$G$29,5,IF($I250&gt;PARAMETRES!$F$29,4,IF($I250&gt;PARAMETRES!$E$29,3,IF($I250&gt;PARAMETRES!$D$29,2,1)))))</f>
        <v/>
      </c>
      <c r="R250" t="str">
        <f>IF($J250="","",IF($J250&gt;PARAMETRES!$G$30,5,IF($J250&gt;PARAMETRES!$F$30,4,IF($J250&gt;PARAMETRES!$E$30,3,IF($J250&gt;PARAMETRES!$D$30,2,1)))))</f>
        <v/>
      </c>
      <c r="S250" t="str">
        <f>IF($K250="","",IF($Z250=2,IF($K250&gt;PARAMETRES!$G$31,5,IF($K250&gt;PARAMETRES!$F$31,4,IF($K250&gt;PARAMETRES!$E$31,3,IF($K250&gt;PARAMETRES!$D$31,2,1)))),IF($K250&gt;PARAMETRES!$G$32,5,IF($K250&gt;PARAMETRES!$F$32,4,IF($K250&gt;PARAMETRES!$E$32,3,IF($K250&gt;PARAMETRES!$D$32,2,1))))))</f>
        <v/>
      </c>
      <c r="T250" t="str">
        <f>IF($L250="","",IF($L250&gt;PARAMETRES!$G$33,5,IF($L250&gt;PARAMETRES!$F$33,4,IF($L250&gt;PARAMETRES!$E$33,3,IF($L250&gt;PARAMETRES!$D$33,2,1)))))</f>
        <v/>
      </c>
      <c r="U250" t="str">
        <f>IF($M250="","",IF($M250&gt;PARAMETRES!$G$34,5,IF($M250&gt;PARAMETRES!$F$34,4,IF($M250&gt;PARAMETRES!$E$34,3,IF($M250&gt;PARAMETRES!$D$34,2,1)))))</f>
        <v/>
      </c>
      <c r="V250" t="str">
        <f>IF($N250="","",IF($N250&gt;PARAMETRES!$G$35,5,IF($N250&gt;PARAMETRES!$F$35,4,IF($N250&gt;PARAMETRES!$E$35,3,IF($N250&gt;PARAMETRES!$D$35,2,1)))))</f>
        <v/>
      </c>
      <c r="W250" t="str">
        <f>IF($O250="","",IF($O250&gt;PARAMETRES!$G$36,5,IF($O250&gt;PARAMETRES!$F$36,4,IF($O250&gt;PARAMETRES!$E$36,3,IF($O250&gt;PARAMETRES!$D$36,2,1)))))</f>
        <v/>
      </c>
      <c r="X250" t="str">
        <f>IF($P250="","",IF($P250&gt;PARAMETRES!$G$37,5,IF($P250&gt;PARAMETRES!$F$37,4,IF($P250&gt;PARAMETRES!$E$37,3,IF($P250&gt;PARAMETRES!$D$37,2,1)))))</f>
        <v/>
      </c>
      <c r="Y250" t="str">
        <f t="shared" si="72"/>
        <v/>
      </c>
      <c r="Z250" t="str">
        <f>IFERROR(VLOOKUP($B250,TABLE_CYCLE,2,0),"")</f>
        <v/>
      </c>
      <c r="AA250" t="str">
        <f t="shared" si="73"/>
        <v/>
      </c>
      <c r="AB250" t="str">
        <f>IF($D250="","",IF(COUNTIF($D$2:$D250,$D250)=1,$D250,""))</f>
        <v/>
      </c>
      <c r="AC250">
        <f t="shared" si="74"/>
        <v>0</v>
      </c>
      <c r="AD250" t="str">
        <f t="shared" si="75"/>
        <v>|0</v>
      </c>
      <c r="AE250" t="str">
        <f t="shared" si="76"/>
        <v/>
      </c>
      <c r="AF250" t="str">
        <f t="shared" si="77"/>
        <v/>
      </c>
      <c r="AG250" t="str">
        <f t="shared" si="78"/>
        <v/>
      </c>
      <c r="AH250" t="str">
        <f t="shared" si="79"/>
        <v/>
      </c>
      <c r="AI250" t="str">
        <f t="shared" si="80"/>
        <v/>
      </c>
      <c r="AJ250" t="str">
        <f t="shared" si="81"/>
        <v/>
      </c>
      <c r="AK250" t="str">
        <f t="shared" si="82"/>
        <v/>
      </c>
      <c r="AL250" t="str">
        <f t="shared" si="83"/>
        <v/>
      </c>
      <c r="AM250" t="str">
        <f t="shared" si="84"/>
        <v/>
      </c>
      <c r="AN250" t="str">
        <f t="shared" si="85"/>
        <v/>
      </c>
      <c r="AO250" t="str">
        <f t="shared" si="86"/>
        <v/>
      </c>
      <c r="AP250">
        <f t="shared" si="87"/>
        <v>1</v>
      </c>
      <c r="AQ250" t="str">
        <f>IF(SAISIE!$F255="","",SAISIE!$Y255)</f>
        <v/>
      </c>
      <c r="AR250" t="str">
        <f>IF(OR(SAISIE!$U$4="",SAISIE!$W$4=""),"",IF(AND($A250=SAISIE!$U$4,$B250=SAISIE!$W$4,$C250="S1"),COUNTIFS($A$2:$A250,SAISIE!$U$4,$B$2:$B250,SAISIE!$W$4,$C$2:$C250,"S1"),""))</f>
        <v/>
      </c>
      <c r="AS250" t="str">
        <f t="shared" si="88"/>
        <v/>
      </c>
      <c r="AT250" t="str">
        <f t="shared" si="89"/>
        <v/>
      </c>
      <c r="AU250" t="str">
        <f t="shared" si="90"/>
        <v/>
      </c>
      <c r="AV250">
        <f>N(AV249)+IF(AND($AB250&lt;&gt;"",OR('PROFIL ELEVE'!$K$4="(Tous)",$AF250='PROFIL ELEVE'!$K$4)),1,0)</f>
        <v>0</v>
      </c>
      <c r="AW250">
        <f>N(AW249)+IF(AND($AB250&lt;&gt;"",OR('SUIVI LONGITUDINAL'!$Q$4="(Tous)",$AF250='SUIVI LONGITUDINAL'!$Q$4)),1,0)</f>
        <v>0</v>
      </c>
      <c r="AX250">
        <f t="shared" si="91"/>
        <v>0</v>
      </c>
      <c r="AY250">
        <f t="shared" si="92"/>
        <v>0</v>
      </c>
      <c r="AZ250">
        <f t="shared" si="93"/>
        <v>0</v>
      </c>
      <c r="BA250" t="str">
        <f t="shared" si="94"/>
        <v/>
      </c>
      <c r="BB250" t="str">
        <f t="shared" si="95"/>
        <v/>
      </c>
    </row>
    <row r="251" spans="1:54" ht="14.25" customHeight="1" x14ac:dyDescent="0.3">
      <c r="A251" t="str">
        <f>IF(SAISIE!$F256="","",SAISIE!$B256)</f>
        <v/>
      </c>
      <c r="B251" t="str">
        <f>IF(SAISIE!$F256="","",SAISIE!$C256)</f>
        <v/>
      </c>
      <c r="C251" t="str">
        <f>IF(SAISIE!$F256="","",SAISIE!$D256)</f>
        <v/>
      </c>
      <c r="D251" t="str">
        <f>IF(SAISIE!$E256="","",SAISIE!$E256)</f>
        <v/>
      </c>
      <c r="E251" t="str">
        <f>IF(SAISIE!$F256="","",SAISIE!$F256)</f>
        <v/>
      </c>
      <c r="F251" t="str">
        <f>IF(SAISIE!$G256="","",SAISIE!$G256)</f>
        <v/>
      </c>
      <c r="G251" t="str">
        <f>IF(SAISIE!$H256="","",SAISIE!$H256)</f>
        <v/>
      </c>
      <c r="H251" t="str">
        <f>IF(SAISIE!$I256="","",SAISIE!$I256)</f>
        <v/>
      </c>
      <c r="I251" t="str">
        <f>IF(SAISIE!$J256="","",SAISIE!$J256)</f>
        <v/>
      </c>
      <c r="J251" t="str">
        <f>IF(SAISIE!$K256="","",SAISIE!$K256)</f>
        <v/>
      </c>
      <c r="K251" t="str">
        <f>IF(SAISIE!$L256="","",SAISIE!$L256)</f>
        <v/>
      </c>
      <c r="L251" t="str">
        <f>IF(SAISIE!$M256="","",SAISIE!$M256)</f>
        <v/>
      </c>
      <c r="M251" t="str">
        <f>IF(SAISIE!$N256="","",SAISIE!$N256)</f>
        <v/>
      </c>
      <c r="N251" t="str">
        <f>IF(SAISIE!$O256="","",SAISIE!$O256)</f>
        <v/>
      </c>
      <c r="O251" t="str">
        <f>IF(SAISIE!$P256="","",SAISIE!$P256)</f>
        <v/>
      </c>
      <c r="P251" t="str">
        <f>IF(SAISIE!$Q256="","",SAISIE!$Q256)</f>
        <v/>
      </c>
      <c r="Q251" t="str">
        <f>IF($I251="","",IF($I251&gt;PARAMETRES!$G$29,5,IF($I251&gt;PARAMETRES!$F$29,4,IF($I251&gt;PARAMETRES!$E$29,3,IF($I251&gt;PARAMETRES!$D$29,2,1)))))</f>
        <v/>
      </c>
      <c r="R251" t="str">
        <f>IF($J251="","",IF($J251&gt;PARAMETRES!$G$30,5,IF($J251&gt;PARAMETRES!$F$30,4,IF($J251&gt;PARAMETRES!$E$30,3,IF($J251&gt;PARAMETRES!$D$30,2,1)))))</f>
        <v/>
      </c>
      <c r="S251" t="str">
        <f>IF($K251="","",IF($Z251=2,IF($K251&gt;PARAMETRES!$G$31,5,IF($K251&gt;PARAMETRES!$F$31,4,IF($K251&gt;PARAMETRES!$E$31,3,IF($K251&gt;PARAMETRES!$D$31,2,1)))),IF($K251&gt;PARAMETRES!$G$32,5,IF($K251&gt;PARAMETRES!$F$32,4,IF($K251&gt;PARAMETRES!$E$32,3,IF($K251&gt;PARAMETRES!$D$32,2,1))))))</f>
        <v/>
      </c>
      <c r="T251" t="str">
        <f>IF($L251="","",IF($L251&gt;PARAMETRES!$G$33,5,IF($L251&gt;PARAMETRES!$F$33,4,IF($L251&gt;PARAMETRES!$E$33,3,IF($L251&gt;PARAMETRES!$D$33,2,1)))))</f>
        <v/>
      </c>
      <c r="U251" t="str">
        <f>IF($M251="","",IF($M251&gt;PARAMETRES!$G$34,5,IF($M251&gt;PARAMETRES!$F$34,4,IF($M251&gt;PARAMETRES!$E$34,3,IF($M251&gt;PARAMETRES!$D$34,2,1)))))</f>
        <v/>
      </c>
      <c r="V251" t="str">
        <f>IF($N251="","",IF($N251&gt;PARAMETRES!$G$35,5,IF($N251&gt;PARAMETRES!$F$35,4,IF($N251&gt;PARAMETRES!$E$35,3,IF($N251&gt;PARAMETRES!$D$35,2,1)))))</f>
        <v/>
      </c>
      <c r="W251" t="str">
        <f>IF($O251="","",IF($O251&gt;PARAMETRES!$G$36,5,IF($O251&gt;PARAMETRES!$F$36,4,IF($O251&gt;PARAMETRES!$E$36,3,IF($O251&gt;PARAMETRES!$D$36,2,1)))))</f>
        <v/>
      </c>
      <c r="X251" t="str">
        <f>IF($P251="","",IF($P251&gt;PARAMETRES!$G$37,5,IF($P251&gt;PARAMETRES!$F$37,4,IF($P251&gt;PARAMETRES!$E$37,3,IF($P251&gt;PARAMETRES!$D$37,2,1)))))</f>
        <v/>
      </c>
      <c r="Y251" t="str">
        <f t="shared" si="72"/>
        <v/>
      </c>
      <c r="Z251" t="str">
        <f>IFERROR(VLOOKUP($B251,TABLE_CYCLE,2,0),"")</f>
        <v/>
      </c>
      <c r="AA251" t="str">
        <f t="shared" si="73"/>
        <v/>
      </c>
      <c r="AB251" t="str">
        <f>IF($D251="","",IF(COUNTIF($D$2:$D251,$D251)=1,$D251,""))</f>
        <v/>
      </c>
      <c r="AC251">
        <f t="shared" si="74"/>
        <v>0</v>
      </c>
      <c r="AD251" t="str">
        <f t="shared" si="75"/>
        <v>|0</v>
      </c>
      <c r="AE251" t="str">
        <f t="shared" si="76"/>
        <v/>
      </c>
      <c r="AF251" t="str">
        <f t="shared" si="77"/>
        <v/>
      </c>
      <c r="AG251" t="str">
        <f t="shared" si="78"/>
        <v/>
      </c>
      <c r="AH251" t="str">
        <f t="shared" si="79"/>
        <v/>
      </c>
      <c r="AI251" t="str">
        <f t="shared" si="80"/>
        <v/>
      </c>
      <c r="AJ251" t="str">
        <f t="shared" si="81"/>
        <v/>
      </c>
      <c r="AK251" t="str">
        <f t="shared" si="82"/>
        <v/>
      </c>
      <c r="AL251" t="str">
        <f t="shared" si="83"/>
        <v/>
      </c>
      <c r="AM251" t="str">
        <f t="shared" si="84"/>
        <v/>
      </c>
      <c r="AN251" t="str">
        <f t="shared" si="85"/>
        <v/>
      </c>
      <c r="AO251" t="str">
        <f t="shared" si="86"/>
        <v/>
      </c>
      <c r="AP251">
        <f t="shared" si="87"/>
        <v>1</v>
      </c>
      <c r="AQ251" t="str">
        <f>IF(SAISIE!$F256="","",SAISIE!$Y256)</f>
        <v/>
      </c>
      <c r="AR251" t="str">
        <f>IF(OR(SAISIE!$U$4="",SAISIE!$W$4=""),"",IF(AND($A251=SAISIE!$U$4,$B251=SAISIE!$W$4,$C251="S1"),COUNTIFS($A$2:$A251,SAISIE!$U$4,$B$2:$B251,SAISIE!$W$4,$C$2:$C251,"S1"),""))</f>
        <v/>
      </c>
      <c r="AS251" t="str">
        <f t="shared" si="88"/>
        <v/>
      </c>
      <c r="AT251" t="str">
        <f t="shared" si="89"/>
        <v/>
      </c>
      <c r="AU251" t="str">
        <f t="shared" si="90"/>
        <v/>
      </c>
      <c r="AV251">
        <f>N(AV250)+IF(AND($AB251&lt;&gt;"",OR('PROFIL ELEVE'!$K$4="(Tous)",$AF251='PROFIL ELEVE'!$K$4)),1,0)</f>
        <v>0</v>
      </c>
      <c r="AW251">
        <f>N(AW250)+IF(AND($AB251&lt;&gt;"",OR('SUIVI LONGITUDINAL'!$Q$4="(Tous)",$AF251='SUIVI LONGITUDINAL'!$Q$4)),1,0)</f>
        <v>0</v>
      </c>
      <c r="AX251">
        <f t="shared" si="91"/>
        <v>0</v>
      </c>
      <c r="AY251">
        <f t="shared" si="92"/>
        <v>0</v>
      </c>
      <c r="AZ251">
        <f t="shared" si="93"/>
        <v>0</v>
      </c>
      <c r="BA251" t="str">
        <f t="shared" si="94"/>
        <v/>
      </c>
      <c r="BB251" t="str">
        <f t="shared" si="95"/>
        <v/>
      </c>
    </row>
    <row r="252" spans="1:54" ht="14.25" customHeight="1" x14ac:dyDescent="0.3">
      <c r="A252" t="str">
        <f>IF(SAISIE!$F257="","",SAISIE!$B257)</f>
        <v/>
      </c>
      <c r="B252" t="str">
        <f>IF(SAISIE!$F257="","",SAISIE!$C257)</f>
        <v/>
      </c>
      <c r="C252" t="str">
        <f>IF(SAISIE!$F257="","",SAISIE!$D257)</f>
        <v/>
      </c>
      <c r="D252" t="str">
        <f>IF(SAISIE!$E257="","",SAISIE!$E257)</f>
        <v/>
      </c>
      <c r="E252" t="str">
        <f>IF(SAISIE!$F257="","",SAISIE!$F257)</f>
        <v/>
      </c>
      <c r="F252" t="str">
        <f>IF(SAISIE!$G257="","",SAISIE!$G257)</f>
        <v/>
      </c>
      <c r="G252" t="str">
        <f>IF(SAISIE!$H257="","",SAISIE!$H257)</f>
        <v/>
      </c>
      <c r="H252" t="str">
        <f>IF(SAISIE!$I257="","",SAISIE!$I257)</f>
        <v/>
      </c>
      <c r="I252" t="str">
        <f>IF(SAISIE!$J257="","",SAISIE!$J257)</f>
        <v/>
      </c>
      <c r="J252" t="str">
        <f>IF(SAISIE!$K257="","",SAISIE!$K257)</f>
        <v/>
      </c>
      <c r="K252" t="str">
        <f>IF(SAISIE!$L257="","",SAISIE!$L257)</f>
        <v/>
      </c>
      <c r="L252" t="str">
        <f>IF(SAISIE!$M257="","",SAISIE!$M257)</f>
        <v/>
      </c>
      <c r="M252" t="str">
        <f>IF(SAISIE!$N257="","",SAISIE!$N257)</f>
        <v/>
      </c>
      <c r="N252" t="str">
        <f>IF(SAISIE!$O257="","",SAISIE!$O257)</f>
        <v/>
      </c>
      <c r="O252" t="str">
        <f>IF(SAISIE!$P257="","",SAISIE!$P257)</f>
        <v/>
      </c>
      <c r="P252" t="str">
        <f>IF(SAISIE!$Q257="","",SAISIE!$Q257)</f>
        <v/>
      </c>
      <c r="Q252" t="str">
        <f>IF($I252="","",IF($I252&gt;PARAMETRES!$G$29,5,IF($I252&gt;PARAMETRES!$F$29,4,IF($I252&gt;PARAMETRES!$E$29,3,IF($I252&gt;PARAMETRES!$D$29,2,1)))))</f>
        <v/>
      </c>
      <c r="R252" t="str">
        <f>IF($J252="","",IF($J252&gt;PARAMETRES!$G$30,5,IF($J252&gt;PARAMETRES!$F$30,4,IF($J252&gt;PARAMETRES!$E$30,3,IF($J252&gt;PARAMETRES!$D$30,2,1)))))</f>
        <v/>
      </c>
      <c r="S252" t="str">
        <f>IF($K252="","",IF($Z252=2,IF($K252&gt;PARAMETRES!$G$31,5,IF($K252&gt;PARAMETRES!$F$31,4,IF($K252&gt;PARAMETRES!$E$31,3,IF($K252&gt;PARAMETRES!$D$31,2,1)))),IF($K252&gt;PARAMETRES!$G$32,5,IF($K252&gt;PARAMETRES!$F$32,4,IF($K252&gt;PARAMETRES!$E$32,3,IF($K252&gt;PARAMETRES!$D$32,2,1))))))</f>
        <v/>
      </c>
      <c r="T252" t="str">
        <f>IF($L252="","",IF($L252&gt;PARAMETRES!$G$33,5,IF($L252&gt;PARAMETRES!$F$33,4,IF($L252&gt;PARAMETRES!$E$33,3,IF($L252&gt;PARAMETRES!$D$33,2,1)))))</f>
        <v/>
      </c>
      <c r="U252" t="str">
        <f>IF($M252="","",IF($M252&gt;PARAMETRES!$G$34,5,IF($M252&gt;PARAMETRES!$F$34,4,IF($M252&gt;PARAMETRES!$E$34,3,IF($M252&gt;PARAMETRES!$D$34,2,1)))))</f>
        <v/>
      </c>
      <c r="V252" t="str">
        <f>IF($N252="","",IF($N252&gt;PARAMETRES!$G$35,5,IF($N252&gt;PARAMETRES!$F$35,4,IF($N252&gt;PARAMETRES!$E$35,3,IF($N252&gt;PARAMETRES!$D$35,2,1)))))</f>
        <v/>
      </c>
      <c r="W252" t="str">
        <f>IF($O252="","",IF($O252&gt;PARAMETRES!$G$36,5,IF($O252&gt;PARAMETRES!$F$36,4,IF($O252&gt;PARAMETRES!$E$36,3,IF($O252&gt;PARAMETRES!$D$36,2,1)))))</f>
        <v/>
      </c>
      <c r="X252" t="str">
        <f>IF($P252="","",IF($P252&gt;PARAMETRES!$G$37,5,IF($P252&gt;PARAMETRES!$F$37,4,IF($P252&gt;PARAMETRES!$E$37,3,IF($P252&gt;PARAMETRES!$D$37,2,1)))))</f>
        <v/>
      </c>
      <c r="Y252" t="str">
        <f t="shared" si="72"/>
        <v/>
      </c>
      <c r="Z252" t="str">
        <f>IFERROR(VLOOKUP($B252,TABLE_CYCLE,2,0),"")</f>
        <v/>
      </c>
      <c r="AA252" t="str">
        <f t="shared" si="73"/>
        <v/>
      </c>
      <c r="AB252" t="str">
        <f>IF($D252="","",IF(COUNTIF($D$2:$D252,$D252)=1,$D252,""))</f>
        <v/>
      </c>
      <c r="AC252">
        <f t="shared" si="74"/>
        <v>0</v>
      </c>
      <c r="AD252" t="str">
        <f t="shared" si="75"/>
        <v>|0</v>
      </c>
      <c r="AE252" t="str">
        <f t="shared" si="76"/>
        <v/>
      </c>
      <c r="AF252" t="str">
        <f t="shared" si="77"/>
        <v/>
      </c>
      <c r="AG252" t="str">
        <f t="shared" si="78"/>
        <v/>
      </c>
      <c r="AH252" t="str">
        <f t="shared" si="79"/>
        <v/>
      </c>
      <c r="AI252" t="str">
        <f t="shared" si="80"/>
        <v/>
      </c>
      <c r="AJ252" t="str">
        <f t="shared" si="81"/>
        <v/>
      </c>
      <c r="AK252" t="str">
        <f t="shared" si="82"/>
        <v/>
      </c>
      <c r="AL252" t="str">
        <f t="shared" si="83"/>
        <v/>
      </c>
      <c r="AM252" t="str">
        <f t="shared" si="84"/>
        <v/>
      </c>
      <c r="AN252" t="str">
        <f t="shared" si="85"/>
        <v/>
      </c>
      <c r="AO252" t="str">
        <f t="shared" si="86"/>
        <v/>
      </c>
      <c r="AP252">
        <f t="shared" si="87"/>
        <v>1</v>
      </c>
      <c r="AQ252" t="str">
        <f>IF(SAISIE!$F257="","",SAISIE!$Y257)</f>
        <v/>
      </c>
      <c r="AR252" t="str">
        <f>IF(OR(SAISIE!$U$4="",SAISIE!$W$4=""),"",IF(AND($A252=SAISIE!$U$4,$B252=SAISIE!$W$4,$C252="S1"),COUNTIFS($A$2:$A252,SAISIE!$U$4,$B$2:$B252,SAISIE!$W$4,$C$2:$C252,"S1"),""))</f>
        <v/>
      </c>
      <c r="AS252" t="str">
        <f t="shared" si="88"/>
        <v/>
      </c>
      <c r="AT252" t="str">
        <f t="shared" si="89"/>
        <v/>
      </c>
      <c r="AU252" t="str">
        <f t="shared" si="90"/>
        <v/>
      </c>
      <c r="AV252">
        <f>N(AV251)+IF(AND($AB252&lt;&gt;"",OR('PROFIL ELEVE'!$K$4="(Tous)",$AF252='PROFIL ELEVE'!$K$4)),1,0)</f>
        <v>0</v>
      </c>
      <c r="AW252">
        <f>N(AW251)+IF(AND($AB252&lt;&gt;"",OR('SUIVI LONGITUDINAL'!$Q$4="(Tous)",$AF252='SUIVI LONGITUDINAL'!$Q$4)),1,0)</f>
        <v>0</v>
      </c>
      <c r="AX252">
        <f t="shared" si="91"/>
        <v>0</v>
      </c>
      <c r="AY252">
        <f t="shared" si="92"/>
        <v>0</v>
      </c>
      <c r="AZ252">
        <f t="shared" si="93"/>
        <v>0</v>
      </c>
      <c r="BA252" t="str">
        <f t="shared" si="94"/>
        <v/>
      </c>
      <c r="BB252" t="str">
        <f t="shared" si="95"/>
        <v/>
      </c>
    </row>
    <row r="253" spans="1:54" ht="14.25" customHeight="1" x14ac:dyDescent="0.3">
      <c r="A253" t="str">
        <f>IF(SAISIE!$F258="","",SAISIE!$B258)</f>
        <v/>
      </c>
      <c r="B253" t="str">
        <f>IF(SAISIE!$F258="","",SAISIE!$C258)</f>
        <v/>
      </c>
      <c r="C253" t="str">
        <f>IF(SAISIE!$F258="","",SAISIE!$D258)</f>
        <v/>
      </c>
      <c r="D253" t="str">
        <f>IF(SAISIE!$E258="","",SAISIE!$E258)</f>
        <v/>
      </c>
      <c r="E253" t="str">
        <f>IF(SAISIE!$F258="","",SAISIE!$F258)</f>
        <v/>
      </c>
      <c r="F253" t="str">
        <f>IF(SAISIE!$G258="","",SAISIE!$G258)</f>
        <v/>
      </c>
      <c r="G253" t="str">
        <f>IF(SAISIE!$H258="","",SAISIE!$H258)</f>
        <v/>
      </c>
      <c r="H253" t="str">
        <f>IF(SAISIE!$I258="","",SAISIE!$I258)</f>
        <v/>
      </c>
      <c r="I253" t="str">
        <f>IF(SAISIE!$J258="","",SAISIE!$J258)</f>
        <v/>
      </c>
      <c r="J253" t="str">
        <f>IF(SAISIE!$K258="","",SAISIE!$K258)</f>
        <v/>
      </c>
      <c r="K253" t="str">
        <f>IF(SAISIE!$L258="","",SAISIE!$L258)</f>
        <v/>
      </c>
      <c r="L253" t="str">
        <f>IF(SAISIE!$M258="","",SAISIE!$M258)</f>
        <v/>
      </c>
      <c r="M253" t="str">
        <f>IF(SAISIE!$N258="","",SAISIE!$N258)</f>
        <v/>
      </c>
      <c r="N253" t="str">
        <f>IF(SAISIE!$O258="","",SAISIE!$O258)</f>
        <v/>
      </c>
      <c r="O253" t="str">
        <f>IF(SAISIE!$P258="","",SAISIE!$P258)</f>
        <v/>
      </c>
      <c r="P253" t="str">
        <f>IF(SAISIE!$Q258="","",SAISIE!$Q258)</f>
        <v/>
      </c>
      <c r="Q253" t="str">
        <f>IF($I253="","",IF($I253&gt;PARAMETRES!$G$29,5,IF($I253&gt;PARAMETRES!$F$29,4,IF($I253&gt;PARAMETRES!$E$29,3,IF($I253&gt;PARAMETRES!$D$29,2,1)))))</f>
        <v/>
      </c>
      <c r="R253" t="str">
        <f>IF($J253="","",IF($J253&gt;PARAMETRES!$G$30,5,IF($J253&gt;PARAMETRES!$F$30,4,IF($J253&gt;PARAMETRES!$E$30,3,IF($J253&gt;PARAMETRES!$D$30,2,1)))))</f>
        <v/>
      </c>
      <c r="S253" t="str">
        <f>IF($K253="","",IF($Z253=2,IF($K253&gt;PARAMETRES!$G$31,5,IF($K253&gt;PARAMETRES!$F$31,4,IF($K253&gt;PARAMETRES!$E$31,3,IF($K253&gt;PARAMETRES!$D$31,2,1)))),IF($K253&gt;PARAMETRES!$G$32,5,IF($K253&gt;PARAMETRES!$F$32,4,IF($K253&gt;PARAMETRES!$E$32,3,IF($K253&gt;PARAMETRES!$D$32,2,1))))))</f>
        <v/>
      </c>
      <c r="T253" t="str">
        <f>IF($L253="","",IF($L253&gt;PARAMETRES!$G$33,5,IF($L253&gt;PARAMETRES!$F$33,4,IF($L253&gt;PARAMETRES!$E$33,3,IF($L253&gt;PARAMETRES!$D$33,2,1)))))</f>
        <v/>
      </c>
      <c r="U253" t="str">
        <f>IF($M253="","",IF($M253&gt;PARAMETRES!$G$34,5,IF($M253&gt;PARAMETRES!$F$34,4,IF($M253&gt;PARAMETRES!$E$34,3,IF($M253&gt;PARAMETRES!$D$34,2,1)))))</f>
        <v/>
      </c>
      <c r="V253" t="str">
        <f>IF($N253="","",IF($N253&gt;PARAMETRES!$G$35,5,IF($N253&gt;PARAMETRES!$F$35,4,IF($N253&gt;PARAMETRES!$E$35,3,IF($N253&gt;PARAMETRES!$D$35,2,1)))))</f>
        <v/>
      </c>
      <c r="W253" t="str">
        <f>IF($O253="","",IF($O253&gt;PARAMETRES!$G$36,5,IF($O253&gt;PARAMETRES!$F$36,4,IF($O253&gt;PARAMETRES!$E$36,3,IF($O253&gt;PARAMETRES!$D$36,2,1)))))</f>
        <v/>
      </c>
      <c r="X253" t="str">
        <f>IF($P253="","",IF($P253&gt;PARAMETRES!$G$37,5,IF($P253&gt;PARAMETRES!$F$37,4,IF($P253&gt;PARAMETRES!$E$37,3,IF($P253&gt;PARAMETRES!$D$37,2,1)))))</f>
        <v/>
      </c>
      <c r="Y253" t="str">
        <f t="shared" si="72"/>
        <v/>
      </c>
      <c r="Z253" t="str">
        <f>IFERROR(VLOOKUP($B253,TABLE_CYCLE,2,0),"")</f>
        <v/>
      </c>
      <c r="AA253" t="str">
        <f t="shared" si="73"/>
        <v/>
      </c>
      <c r="AB253" t="str">
        <f>IF($D253="","",IF(COUNTIF($D$2:$D253,$D253)=1,$D253,""))</f>
        <v/>
      </c>
      <c r="AC253">
        <f t="shared" si="74"/>
        <v>0</v>
      </c>
      <c r="AD253" t="str">
        <f t="shared" si="75"/>
        <v>|0</v>
      </c>
      <c r="AE253" t="str">
        <f t="shared" si="76"/>
        <v/>
      </c>
      <c r="AF253" t="str">
        <f t="shared" si="77"/>
        <v/>
      </c>
      <c r="AG253" t="str">
        <f t="shared" si="78"/>
        <v/>
      </c>
      <c r="AH253" t="str">
        <f t="shared" si="79"/>
        <v/>
      </c>
      <c r="AI253" t="str">
        <f t="shared" si="80"/>
        <v/>
      </c>
      <c r="AJ253" t="str">
        <f t="shared" si="81"/>
        <v/>
      </c>
      <c r="AK253" t="str">
        <f t="shared" si="82"/>
        <v/>
      </c>
      <c r="AL253" t="str">
        <f t="shared" si="83"/>
        <v/>
      </c>
      <c r="AM253" t="str">
        <f t="shared" si="84"/>
        <v/>
      </c>
      <c r="AN253" t="str">
        <f t="shared" si="85"/>
        <v/>
      </c>
      <c r="AO253" t="str">
        <f t="shared" si="86"/>
        <v/>
      </c>
      <c r="AP253">
        <f t="shared" si="87"/>
        <v>1</v>
      </c>
      <c r="AQ253" t="str">
        <f>IF(SAISIE!$F258="","",SAISIE!$Y258)</f>
        <v/>
      </c>
      <c r="AR253" t="str">
        <f>IF(OR(SAISIE!$U$4="",SAISIE!$W$4=""),"",IF(AND($A253=SAISIE!$U$4,$B253=SAISIE!$W$4,$C253="S1"),COUNTIFS($A$2:$A253,SAISIE!$U$4,$B$2:$B253,SAISIE!$W$4,$C$2:$C253,"S1"),""))</f>
        <v/>
      </c>
      <c r="AS253" t="str">
        <f t="shared" si="88"/>
        <v/>
      </c>
      <c r="AT253" t="str">
        <f t="shared" si="89"/>
        <v/>
      </c>
      <c r="AU253" t="str">
        <f t="shared" si="90"/>
        <v/>
      </c>
      <c r="AV253">
        <f>N(AV252)+IF(AND($AB253&lt;&gt;"",OR('PROFIL ELEVE'!$K$4="(Tous)",$AF253='PROFIL ELEVE'!$K$4)),1,0)</f>
        <v>0</v>
      </c>
      <c r="AW253">
        <f>N(AW252)+IF(AND($AB253&lt;&gt;"",OR('SUIVI LONGITUDINAL'!$Q$4="(Tous)",$AF253='SUIVI LONGITUDINAL'!$Q$4)),1,0)</f>
        <v>0</v>
      </c>
      <c r="AX253">
        <f t="shared" si="91"/>
        <v>0</v>
      </c>
      <c r="AY253">
        <f t="shared" si="92"/>
        <v>0</v>
      </c>
      <c r="AZ253">
        <f t="shared" si="93"/>
        <v>0</v>
      </c>
      <c r="BA253" t="str">
        <f t="shared" si="94"/>
        <v/>
      </c>
      <c r="BB253" t="str">
        <f t="shared" si="95"/>
        <v/>
      </c>
    </row>
    <row r="254" spans="1:54" ht="14.25" customHeight="1" x14ac:dyDescent="0.3">
      <c r="A254" t="str">
        <f>IF(SAISIE!$F259="","",SAISIE!$B259)</f>
        <v/>
      </c>
      <c r="B254" t="str">
        <f>IF(SAISIE!$F259="","",SAISIE!$C259)</f>
        <v/>
      </c>
      <c r="C254" t="str">
        <f>IF(SAISIE!$F259="","",SAISIE!$D259)</f>
        <v/>
      </c>
      <c r="D254" t="str">
        <f>IF(SAISIE!$E259="","",SAISIE!$E259)</f>
        <v/>
      </c>
      <c r="E254" t="str">
        <f>IF(SAISIE!$F259="","",SAISIE!$F259)</f>
        <v/>
      </c>
      <c r="F254" t="str">
        <f>IF(SAISIE!$G259="","",SAISIE!$G259)</f>
        <v/>
      </c>
      <c r="G254" t="str">
        <f>IF(SAISIE!$H259="","",SAISIE!$H259)</f>
        <v/>
      </c>
      <c r="H254" t="str">
        <f>IF(SAISIE!$I259="","",SAISIE!$I259)</f>
        <v/>
      </c>
      <c r="I254" t="str">
        <f>IF(SAISIE!$J259="","",SAISIE!$J259)</f>
        <v/>
      </c>
      <c r="J254" t="str">
        <f>IF(SAISIE!$K259="","",SAISIE!$K259)</f>
        <v/>
      </c>
      <c r="K254" t="str">
        <f>IF(SAISIE!$L259="","",SAISIE!$L259)</f>
        <v/>
      </c>
      <c r="L254" t="str">
        <f>IF(SAISIE!$M259="","",SAISIE!$M259)</f>
        <v/>
      </c>
      <c r="M254" t="str">
        <f>IF(SAISIE!$N259="","",SAISIE!$N259)</f>
        <v/>
      </c>
      <c r="N254" t="str">
        <f>IF(SAISIE!$O259="","",SAISIE!$O259)</f>
        <v/>
      </c>
      <c r="O254" t="str">
        <f>IF(SAISIE!$P259="","",SAISIE!$P259)</f>
        <v/>
      </c>
      <c r="P254" t="str">
        <f>IF(SAISIE!$Q259="","",SAISIE!$Q259)</f>
        <v/>
      </c>
      <c r="Q254" t="str">
        <f>IF($I254="","",IF($I254&gt;PARAMETRES!$G$29,5,IF($I254&gt;PARAMETRES!$F$29,4,IF($I254&gt;PARAMETRES!$E$29,3,IF($I254&gt;PARAMETRES!$D$29,2,1)))))</f>
        <v/>
      </c>
      <c r="R254" t="str">
        <f>IF($J254="","",IF($J254&gt;PARAMETRES!$G$30,5,IF($J254&gt;PARAMETRES!$F$30,4,IF($J254&gt;PARAMETRES!$E$30,3,IF($J254&gt;PARAMETRES!$D$30,2,1)))))</f>
        <v/>
      </c>
      <c r="S254" t="str">
        <f>IF($K254="","",IF($Z254=2,IF($K254&gt;PARAMETRES!$G$31,5,IF($K254&gt;PARAMETRES!$F$31,4,IF($K254&gt;PARAMETRES!$E$31,3,IF($K254&gt;PARAMETRES!$D$31,2,1)))),IF($K254&gt;PARAMETRES!$G$32,5,IF($K254&gt;PARAMETRES!$F$32,4,IF($K254&gt;PARAMETRES!$E$32,3,IF($K254&gt;PARAMETRES!$D$32,2,1))))))</f>
        <v/>
      </c>
      <c r="T254" t="str">
        <f>IF($L254="","",IF($L254&gt;PARAMETRES!$G$33,5,IF($L254&gt;PARAMETRES!$F$33,4,IF($L254&gt;PARAMETRES!$E$33,3,IF($L254&gt;PARAMETRES!$D$33,2,1)))))</f>
        <v/>
      </c>
      <c r="U254" t="str">
        <f>IF($M254="","",IF($M254&gt;PARAMETRES!$G$34,5,IF($M254&gt;PARAMETRES!$F$34,4,IF($M254&gt;PARAMETRES!$E$34,3,IF($M254&gt;PARAMETRES!$D$34,2,1)))))</f>
        <v/>
      </c>
      <c r="V254" t="str">
        <f>IF($N254="","",IF($N254&gt;PARAMETRES!$G$35,5,IF($N254&gt;PARAMETRES!$F$35,4,IF($N254&gt;PARAMETRES!$E$35,3,IF($N254&gt;PARAMETRES!$D$35,2,1)))))</f>
        <v/>
      </c>
      <c r="W254" t="str">
        <f>IF($O254="","",IF($O254&gt;PARAMETRES!$G$36,5,IF($O254&gt;PARAMETRES!$F$36,4,IF($O254&gt;PARAMETRES!$E$36,3,IF($O254&gt;PARAMETRES!$D$36,2,1)))))</f>
        <v/>
      </c>
      <c r="X254" t="str">
        <f>IF($P254="","",IF($P254&gt;PARAMETRES!$G$37,5,IF($P254&gt;PARAMETRES!$F$37,4,IF($P254&gt;PARAMETRES!$E$37,3,IF($P254&gt;PARAMETRES!$D$37,2,1)))))</f>
        <v/>
      </c>
      <c r="Y254" t="str">
        <f t="shared" si="72"/>
        <v/>
      </c>
      <c r="Z254" t="str">
        <f>IFERROR(VLOOKUP($B254,TABLE_CYCLE,2,0),"")</f>
        <v/>
      </c>
      <c r="AA254" t="str">
        <f t="shared" si="73"/>
        <v/>
      </c>
      <c r="AB254" t="str">
        <f>IF($D254="","",IF(COUNTIF($D$2:$D254,$D254)=1,$D254,""))</f>
        <v/>
      </c>
      <c r="AC254">
        <f t="shared" si="74"/>
        <v>0</v>
      </c>
      <c r="AD254" t="str">
        <f t="shared" si="75"/>
        <v>|0</v>
      </c>
      <c r="AE254" t="str">
        <f t="shared" si="76"/>
        <v/>
      </c>
      <c r="AF254" t="str">
        <f t="shared" si="77"/>
        <v/>
      </c>
      <c r="AG254" t="str">
        <f t="shared" si="78"/>
        <v/>
      </c>
      <c r="AH254" t="str">
        <f t="shared" si="79"/>
        <v/>
      </c>
      <c r="AI254" t="str">
        <f t="shared" si="80"/>
        <v/>
      </c>
      <c r="AJ254" t="str">
        <f t="shared" si="81"/>
        <v/>
      </c>
      <c r="AK254" t="str">
        <f t="shared" si="82"/>
        <v/>
      </c>
      <c r="AL254" t="str">
        <f t="shared" si="83"/>
        <v/>
      </c>
      <c r="AM254" t="str">
        <f t="shared" si="84"/>
        <v/>
      </c>
      <c r="AN254" t="str">
        <f t="shared" si="85"/>
        <v/>
      </c>
      <c r="AO254" t="str">
        <f t="shared" si="86"/>
        <v/>
      </c>
      <c r="AP254">
        <f t="shared" si="87"/>
        <v>1</v>
      </c>
      <c r="AQ254" t="str">
        <f>IF(SAISIE!$F259="","",SAISIE!$Y259)</f>
        <v/>
      </c>
      <c r="AR254" t="str">
        <f>IF(OR(SAISIE!$U$4="",SAISIE!$W$4=""),"",IF(AND($A254=SAISIE!$U$4,$B254=SAISIE!$W$4,$C254="S1"),COUNTIFS($A$2:$A254,SAISIE!$U$4,$B$2:$B254,SAISIE!$W$4,$C$2:$C254,"S1"),""))</f>
        <v/>
      </c>
      <c r="AS254" t="str">
        <f t="shared" si="88"/>
        <v/>
      </c>
      <c r="AT254" t="str">
        <f t="shared" si="89"/>
        <v/>
      </c>
      <c r="AU254" t="str">
        <f t="shared" si="90"/>
        <v/>
      </c>
      <c r="AV254">
        <f>N(AV253)+IF(AND($AB254&lt;&gt;"",OR('PROFIL ELEVE'!$K$4="(Tous)",$AF254='PROFIL ELEVE'!$K$4)),1,0)</f>
        <v>0</v>
      </c>
      <c r="AW254">
        <f>N(AW253)+IF(AND($AB254&lt;&gt;"",OR('SUIVI LONGITUDINAL'!$Q$4="(Tous)",$AF254='SUIVI LONGITUDINAL'!$Q$4)),1,0)</f>
        <v>0</v>
      </c>
      <c r="AX254">
        <f t="shared" si="91"/>
        <v>0</v>
      </c>
      <c r="AY254">
        <f t="shared" si="92"/>
        <v>0</v>
      </c>
      <c r="AZ254">
        <f t="shared" si="93"/>
        <v>0</v>
      </c>
      <c r="BA254" t="str">
        <f t="shared" si="94"/>
        <v/>
      </c>
      <c r="BB254" t="str">
        <f t="shared" si="95"/>
        <v/>
      </c>
    </row>
    <row r="255" spans="1:54" ht="14.25" customHeight="1" x14ac:dyDescent="0.3">
      <c r="A255" t="str">
        <f>IF(SAISIE!$F260="","",SAISIE!$B260)</f>
        <v/>
      </c>
      <c r="B255" t="str">
        <f>IF(SAISIE!$F260="","",SAISIE!$C260)</f>
        <v/>
      </c>
      <c r="C255" t="str">
        <f>IF(SAISIE!$F260="","",SAISIE!$D260)</f>
        <v/>
      </c>
      <c r="D255" t="str">
        <f>IF(SAISIE!$E260="","",SAISIE!$E260)</f>
        <v/>
      </c>
      <c r="E255" t="str">
        <f>IF(SAISIE!$F260="","",SAISIE!$F260)</f>
        <v/>
      </c>
      <c r="F255" t="str">
        <f>IF(SAISIE!$G260="","",SAISIE!$G260)</f>
        <v/>
      </c>
      <c r="G255" t="str">
        <f>IF(SAISIE!$H260="","",SAISIE!$H260)</f>
        <v/>
      </c>
      <c r="H255" t="str">
        <f>IF(SAISIE!$I260="","",SAISIE!$I260)</f>
        <v/>
      </c>
      <c r="I255" t="str">
        <f>IF(SAISIE!$J260="","",SAISIE!$J260)</f>
        <v/>
      </c>
      <c r="J255" t="str">
        <f>IF(SAISIE!$K260="","",SAISIE!$K260)</f>
        <v/>
      </c>
      <c r="K255" t="str">
        <f>IF(SAISIE!$L260="","",SAISIE!$L260)</f>
        <v/>
      </c>
      <c r="L255" t="str">
        <f>IF(SAISIE!$M260="","",SAISIE!$M260)</f>
        <v/>
      </c>
      <c r="M255" t="str">
        <f>IF(SAISIE!$N260="","",SAISIE!$N260)</f>
        <v/>
      </c>
      <c r="N255" t="str">
        <f>IF(SAISIE!$O260="","",SAISIE!$O260)</f>
        <v/>
      </c>
      <c r="O255" t="str">
        <f>IF(SAISIE!$P260="","",SAISIE!$P260)</f>
        <v/>
      </c>
      <c r="P255" t="str">
        <f>IF(SAISIE!$Q260="","",SAISIE!$Q260)</f>
        <v/>
      </c>
      <c r="Q255" t="str">
        <f>IF($I255="","",IF($I255&gt;PARAMETRES!$G$29,5,IF($I255&gt;PARAMETRES!$F$29,4,IF($I255&gt;PARAMETRES!$E$29,3,IF($I255&gt;PARAMETRES!$D$29,2,1)))))</f>
        <v/>
      </c>
      <c r="R255" t="str">
        <f>IF($J255="","",IF($J255&gt;PARAMETRES!$G$30,5,IF($J255&gt;PARAMETRES!$F$30,4,IF($J255&gt;PARAMETRES!$E$30,3,IF($J255&gt;PARAMETRES!$D$30,2,1)))))</f>
        <v/>
      </c>
      <c r="S255" t="str">
        <f>IF($K255="","",IF($Z255=2,IF($K255&gt;PARAMETRES!$G$31,5,IF($K255&gt;PARAMETRES!$F$31,4,IF($K255&gt;PARAMETRES!$E$31,3,IF($K255&gt;PARAMETRES!$D$31,2,1)))),IF($K255&gt;PARAMETRES!$G$32,5,IF($K255&gt;PARAMETRES!$F$32,4,IF($K255&gt;PARAMETRES!$E$32,3,IF($K255&gt;PARAMETRES!$D$32,2,1))))))</f>
        <v/>
      </c>
      <c r="T255" t="str">
        <f>IF($L255="","",IF($L255&gt;PARAMETRES!$G$33,5,IF($L255&gt;PARAMETRES!$F$33,4,IF($L255&gt;PARAMETRES!$E$33,3,IF($L255&gt;PARAMETRES!$D$33,2,1)))))</f>
        <v/>
      </c>
      <c r="U255" t="str">
        <f>IF($M255="","",IF($M255&gt;PARAMETRES!$G$34,5,IF($M255&gt;PARAMETRES!$F$34,4,IF($M255&gt;PARAMETRES!$E$34,3,IF($M255&gt;PARAMETRES!$D$34,2,1)))))</f>
        <v/>
      </c>
      <c r="V255" t="str">
        <f>IF($N255="","",IF($N255&gt;PARAMETRES!$G$35,5,IF($N255&gt;PARAMETRES!$F$35,4,IF($N255&gt;PARAMETRES!$E$35,3,IF($N255&gt;PARAMETRES!$D$35,2,1)))))</f>
        <v/>
      </c>
      <c r="W255" t="str">
        <f>IF($O255="","",IF($O255&gt;PARAMETRES!$G$36,5,IF($O255&gt;PARAMETRES!$F$36,4,IF($O255&gt;PARAMETRES!$E$36,3,IF($O255&gt;PARAMETRES!$D$36,2,1)))))</f>
        <v/>
      </c>
      <c r="X255" t="str">
        <f>IF($P255="","",IF($P255&gt;PARAMETRES!$G$37,5,IF($P255&gt;PARAMETRES!$F$37,4,IF($P255&gt;PARAMETRES!$E$37,3,IF($P255&gt;PARAMETRES!$D$37,2,1)))))</f>
        <v/>
      </c>
      <c r="Y255" t="str">
        <f t="shared" si="72"/>
        <v/>
      </c>
      <c r="Z255" t="str">
        <f>IFERROR(VLOOKUP($B255,TABLE_CYCLE,2,0),"")</f>
        <v/>
      </c>
      <c r="AA255" t="str">
        <f t="shared" si="73"/>
        <v/>
      </c>
      <c r="AB255" t="str">
        <f>IF($D255="","",IF(COUNTIF($D$2:$D255,$D255)=1,$D255,""))</f>
        <v/>
      </c>
      <c r="AC255">
        <f t="shared" si="74"/>
        <v>0</v>
      </c>
      <c r="AD255" t="str">
        <f t="shared" si="75"/>
        <v>|0</v>
      </c>
      <c r="AE255" t="str">
        <f t="shared" si="76"/>
        <v/>
      </c>
      <c r="AF255" t="str">
        <f t="shared" si="77"/>
        <v/>
      </c>
      <c r="AG255" t="str">
        <f t="shared" si="78"/>
        <v/>
      </c>
      <c r="AH255" t="str">
        <f t="shared" si="79"/>
        <v/>
      </c>
      <c r="AI255" t="str">
        <f t="shared" si="80"/>
        <v/>
      </c>
      <c r="AJ255" t="str">
        <f t="shared" si="81"/>
        <v/>
      </c>
      <c r="AK255" t="str">
        <f t="shared" si="82"/>
        <v/>
      </c>
      <c r="AL255" t="str">
        <f t="shared" si="83"/>
        <v/>
      </c>
      <c r="AM255" t="str">
        <f t="shared" si="84"/>
        <v/>
      </c>
      <c r="AN255" t="str">
        <f t="shared" si="85"/>
        <v/>
      </c>
      <c r="AO255" t="str">
        <f t="shared" si="86"/>
        <v/>
      </c>
      <c r="AP255">
        <f t="shared" si="87"/>
        <v>1</v>
      </c>
      <c r="AQ255" t="str">
        <f>IF(SAISIE!$F260="","",SAISIE!$Y260)</f>
        <v/>
      </c>
      <c r="AR255" t="str">
        <f>IF(OR(SAISIE!$U$4="",SAISIE!$W$4=""),"",IF(AND($A255=SAISIE!$U$4,$B255=SAISIE!$W$4,$C255="S1"),COUNTIFS($A$2:$A255,SAISIE!$U$4,$B$2:$B255,SAISIE!$W$4,$C$2:$C255,"S1"),""))</f>
        <v/>
      </c>
      <c r="AS255" t="str">
        <f t="shared" si="88"/>
        <v/>
      </c>
      <c r="AT255" t="str">
        <f t="shared" si="89"/>
        <v/>
      </c>
      <c r="AU255" t="str">
        <f t="shared" si="90"/>
        <v/>
      </c>
      <c r="AV255">
        <f>N(AV254)+IF(AND($AB255&lt;&gt;"",OR('PROFIL ELEVE'!$K$4="(Tous)",$AF255='PROFIL ELEVE'!$K$4)),1,0)</f>
        <v>0</v>
      </c>
      <c r="AW255">
        <f>N(AW254)+IF(AND($AB255&lt;&gt;"",OR('SUIVI LONGITUDINAL'!$Q$4="(Tous)",$AF255='SUIVI LONGITUDINAL'!$Q$4)),1,0)</f>
        <v>0</v>
      </c>
      <c r="AX255">
        <f t="shared" si="91"/>
        <v>0</v>
      </c>
      <c r="AY255">
        <f t="shared" si="92"/>
        <v>0</v>
      </c>
      <c r="AZ255">
        <f t="shared" si="93"/>
        <v>0</v>
      </c>
      <c r="BA255" t="str">
        <f t="shared" si="94"/>
        <v/>
      </c>
      <c r="BB255" t="str">
        <f t="shared" si="95"/>
        <v/>
      </c>
    </row>
    <row r="256" spans="1:54" ht="14.25" customHeight="1" x14ac:dyDescent="0.3">
      <c r="A256" t="str">
        <f>IF(SAISIE!$F261="","",SAISIE!$B261)</f>
        <v/>
      </c>
      <c r="B256" t="str">
        <f>IF(SAISIE!$F261="","",SAISIE!$C261)</f>
        <v/>
      </c>
      <c r="C256" t="str">
        <f>IF(SAISIE!$F261="","",SAISIE!$D261)</f>
        <v/>
      </c>
      <c r="D256" t="str">
        <f>IF(SAISIE!$E261="","",SAISIE!$E261)</f>
        <v/>
      </c>
      <c r="E256" t="str">
        <f>IF(SAISIE!$F261="","",SAISIE!$F261)</f>
        <v/>
      </c>
      <c r="F256" t="str">
        <f>IF(SAISIE!$G261="","",SAISIE!$G261)</f>
        <v/>
      </c>
      <c r="G256" t="str">
        <f>IF(SAISIE!$H261="","",SAISIE!$H261)</f>
        <v/>
      </c>
      <c r="H256" t="str">
        <f>IF(SAISIE!$I261="","",SAISIE!$I261)</f>
        <v/>
      </c>
      <c r="I256" t="str">
        <f>IF(SAISIE!$J261="","",SAISIE!$J261)</f>
        <v/>
      </c>
      <c r="J256" t="str">
        <f>IF(SAISIE!$K261="","",SAISIE!$K261)</f>
        <v/>
      </c>
      <c r="K256" t="str">
        <f>IF(SAISIE!$L261="","",SAISIE!$L261)</f>
        <v/>
      </c>
      <c r="L256" t="str">
        <f>IF(SAISIE!$M261="","",SAISIE!$M261)</f>
        <v/>
      </c>
      <c r="M256" t="str">
        <f>IF(SAISIE!$N261="","",SAISIE!$N261)</f>
        <v/>
      </c>
      <c r="N256" t="str">
        <f>IF(SAISIE!$O261="","",SAISIE!$O261)</f>
        <v/>
      </c>
      <c r="O256" t="str">
        <f>IF(SAISIE!$P261="","",SAISIE!$P261)</f>
        <v/>
      </c>
      <c r="P256" t="str">
        <f>IF(SAISIE!$Q261="","",SAISIE!$Q261)</f>
        <v/>
      </c>
      <c r="Q256" t="str">
        <f>IF($I256="","",IF($I256&gt;PARAMETRES!$G$29,5,IF($I256&gt;PARAMETRES!$F$29,4,IF($I256&gt;PARAMETRES!$E$29,3,IF($I256&gt;PARAMETRES!$D$29,2,1)))))</f>
        <v/>
      </c>
      <c r="R256" t="str">
        <f>IF($J256="","",IF($J256&gt;PARAMETRES!$G$30,5,IF($J256&gt;PARAMETRES!$F$30,4,IF($J256&gt;PARAMETRES!$E$30,3,IF($J256&gt;PARAMETRES!$D$30,2,1)))))</f>
        <v/>
      </c>
      <c r="S256" t="str">
        <f>IF($K256="","",IF($Z256=2,IF($K256&gt;PARAMETRES!$G$31,5,IF($K256&gt;PARAMETRES!$F$31,4,IF($K256&gt;PARAMETRES!$E$31,3,IF($K256&gt;PARAMETRES!$D$31,2,1)))),IF($K256&gt;PARAMETRES!$G$32,5,IF($K256&gt;PARAMETRES!$F$32,4,IF($K256&gt;PARAMETRES!$E$32,3,IF($K256&gt;PARAMETRES!$D$32,2,1))))))</f>
        <v/>
      </c>
      <c r="T256" t="str">
        <f>IF($L256="","",IF($L256&gt;PARAMETRES!$G$33,5,IF($L256&gt;PARAMETRES!$F$33,4,IF($L256&gt;PARAMETRES!$E$33,3,IF($L256&gt;PARAMETRES!$D$33,2,1)))))</f>
        <v/>
      </c>
      <c r="U256" t="str">
        <f>IF($M256="","",IF($M256&gt;PARAMETRES!$G$34,5,IF($M256&gt;PARAMETRES!$F$34,4,IF($M256&gt;PARAMETRES!$E$34,3,IF($M256&gt;PARAMETRES!$D$34,2,1)))))</f>
        <v/>
      </c>
      <c r="V256" t="str">
        <f>IF($N256="","",IF($N256&gt;PARAMETRES!$G$35,5,IF($N256&gt;PARAMETRES!$F$35,4,IF($N256&gt;PARAMETRES!$E$35,3,IF($N256&gt;PARAMETRES!$D$35,2,1)))))</f>
        <v/>
      </c>
      <c r="W256" t="str">
        <f>IF($O256="","",IF($O256&gt;PARAMETRES!$G$36,5,IF($O256&gt;PARAMETRES!$F$36,4,IF($O256&gt;PARAMETRES!$E$36,3,IF($O256&gt;PARAMETRES!$D$36,2,1)))))</f>
        <v/>
      </c>
      <c r="X256" t="str">
        <f>IF($P256="","",IF($P256&gt;PARAMETRES!$G$37,5,IF($P256&gt;PARAMETRES!$F$37,4,IF($P256&gt;PARAMETRES!$E$37,3,IF($P256&gt;PARAMETRES!$D$37,2,1)))))</f>
        <v/>
      </c>
      <c r="Y256" t="str">
        <f t="shared" si="72"/>
        <v/>
      </c>
      <c r="Z256" t="str">
        <f>IFERROR(VLOOKUP($B256,TABLE_CYCLE,2,0),"")</f>
        <v/>
      </c>
      <c r="AA256" t="str">
        <f t="shared" si="73"/>
        <v/>
      </c>
      <c r="AB256" t="str">
        <f>IF($D256="","",IF(COUNTIF($D$2:$D256,$D256)=1,$D256,""))</f>
        <v/>
      </c>
      <c r="AC256">
        <f t="shared" si="74"/>
        <v>0</v>
      </c>
      <c r="AD256" t="str">
        <f t="shared" si="75"/>
        <v>|0</v>
      </c>
      <c r="AE256" t="str">
        <f t="shared" si="76"/>
        <v/>
      </c>
      <c r="AF256" t="str">
        <f t="shared" si="77"/>
        <v/>
      </c>
      <c r="AG256" t="str">
        <f t="shared" si="78"/>
        <v/>
      </c>
      <c r="AH256" t="str">
        <f t="shared" si="79"/>
        <v/>
      </c>
      <c r="AI256" t="str">
        <f t="shared" si="80"/>
        <v/>
      </c>
      <c r="AJ256" t="str">
        <f t="shared" si="81"/>
        <v/>
      </c>
      <c r="AK256" t="str">
        <f t="shared" si="82"/>
        <v/>
      </c>
      <c r="AL256" t="str">
        <f t="shared" si="83"/>
        <v/>
      </c>
      <c r="AM256" t="str">
        <f t="shared" si="84"/>
        <v/>
      </c>
      <c r="AN256" t="str">
        <f t="shared" si="85"/>
        <v/>
      </c>
      <c r="AO256" t="str">
        <f t="shared" si="86"/>
        <v/>
      </c>
      <c r="AP256">
        <f t="shared" si="87"/>
        <v>1</v>
      </c>
      <c r="AQ256" t="str">
        <f>IF(SAISIE!$F261="","",SAISIE!$Y261)</f>
        <v/>
      </c>
      <c r="AR256" t="str">
        <f>IF(OR(SAISIE!$U$4="",SAISIE!$W$4=""),"",IF(AND($A256=SAISIE!$U$4,$B256=SAISIE!$W$4,$C256="S1"),COUNTIFS($A$2:$A256,SAISIE!$U$4,$B$2:$B256,SAISIE!$W$4,$C$2:$C256,"S1"),""))</f>
        <v/>
      </c>
      <c r="AS256" t="str">
        <f t="shared" si="88"/>
        <v/>
      </c>
      <c r="AT256" t="str">
        <f t="shared" si="89"/>
        <v/>
      </c>
      <c r="AU256" t="str">
        <f t="shared" si="90"/>
        <v/>
      </c>
      <c r="AV256">
        <f>N(AV255)+IF(AND($AB256&lt;&gt;"",OR('PROFIL ELEVE'!$K$4="(Tous)",$AF256='PROFIL ELEVE'!$K$4)),1,0)</f>
        <v>0</v>
      </c>
      <c r="AW256">
        <f>N(AW255)+IF(AND($AB256&lt;&gt;"",OR('SUIVI LONGITUDINAL'!$Q$4="(Tous)",$AF256='SUIVI LONGITUDINAL'!$Q$4)),1,0)</f>
        <v>0</v>
      </c>
      <c r="AX256">
        <f t="shared" si="91"/>
        <v>0</v>
      </c>
      <c r="AY256">
        <f t="shared" si="92"/>
        <v>0</v>
      </c>
      <c r="AZ256">
        <f t="shared" si="93"/>
        <v>0</v>
      </c>
      <c r="BA256" t="str">
        <f t="shared" si="94"/>
        <v/>
      </c>
      <c r="BB256" t="str">
        <f t="shared" si="95"/>
        <v/>
      </c>
    </row>
    <row r="257" spans="1:54" ht="14.25" customHeight="1" x14ac:dyDescent="0.3">
      <c r="A257" t="str">
        <f>IF(SAISIE!$F262="","",SAISIE!$B262)</f>
        <v/>
      </c>
      <c r="B257" t="str">
        <f>IF(SAISIE!$F262="","",SAISIE!$C262)</f>
        <v/>
      </c>
      <c r="C257" t="str">
        <f>IF(SAISIE!$F262="","",SAISIE!$D262)</f>
        <v/>
      </c>
      <c r="D257" t="str">
        <f>IF(SAISIE!$E262="","",SAISIE!$E262)</f>
        <v/>
      </c>
      <c r="E257" t="str">
        <f>IF(SAISIE!$F262="","",SAISIE!$F262)</f>
        <v/>
      </c>
      <c r="F257" t="str">
        <f>IF(SAISIE!$G262="","",SAISIE!$G262)</f>
        <v/>
      </c>
      <c r="G257" t="str">
        <f>IF(SAISIE!$H262="","",SAISIE!$H262)</f>
        <v/>
      </c>
      <c r="H257" t="str">
        <f>IF(SAISIE!$I262="","",SAISIE!$I262)</f>
        <v/>
      </c>
      <c r="I257" t="str">
        <f>IF(SAISIE!$J262="","",SAISIE!$J262)</f>
        <v/>
      </c>
      <c r="J257" t="str">
        <f>IF(SAISIE!$K262="","",SAISIE!$K262)</f>
        <v/>
      </c>
      <c r="K257" t="str">
        <f>IF(SAISIE!$L262="","",SAISIE!$L262)</f>
        <v/>
      </c>
      <c r="L257" t="str">
        <f>IF(SAISIE!$M262="","",SAISIE!$M262)</f>
        <v/>
      </c>
      <c r="M257" t="str">
        <f>IF(SAISIE!$N262="","",SAISIE!$N262)</f>
        <v/>
      </c>
      <c r="N257" t="str">
        <f>IF(SAISIE!$O262="","",SAISIE!$O262)</f>
        <v/>
      </c>
      <c r="O257" t="str">
        <f>IF(SAISIE!$P262="","",SAISIE!$P262)</f>
        <v/>
      </c>
      <c r="P257" t="str">
        <f>IF(SAISIE!$Q262="","",SAISIE!$Q262)</f>
        <v/>
      </c>
      <c r="Q257" t="str">
        <f>IF($I257="","",IF($I257&gt;PARAMETRES!$G$29,5,IF($I257&gt;PARAMETRES!$F$29,4,IF($I257&gt;PARAMETRES!$E$29,3,IF($I257&gt;PARAMETRES!$D$29,2,1)))))</f>
        <v/>
      </c>
      <c r="R257" t="str">
        <f>IF($J257="","",IF($J257&gt;PARAMETRES!$G$30,5,IF($J257&gt;PARAMETRES!$F$30,4,IF($J257&gt;PARAMETRES!$E$30,3,IF($J257&gt;PARAMETRES!$D$30,2,1)))))</f>
        <v/>
      </c>
      <c r="S257" t="str">
        <f>IF($K257="","",IF($Z257=2,IF($K257&gt;PARAMETRES!$G$31,5,IF($K257&gt;PARAMETRES!$F$31,4,IF($K257&gt;PARAMETRES!$E$31,3,IF($K257&gt;PARAMETRES!$D$31,2,1)))),IF($K257&gt;PARAMETRES!$G$32,5,IF($K257&gt;PARAMETRES!$F$32,4,IF($K257&gt;PARAMETRES!$E$32,3,IF($K257&gt;PARAMETRES!$D$32,2,1))))))</f>
        <v/>
      </c>
      <c r="T257" t="str">
        <f>IF($L257="","",IF($L257&gt;PARAMETRES!$G$33,5,IF($L257&gt;PARAMETRES!$F$33,4,IF($L257&gt;PARAMETRES!$E$33,3,IF($L257&gt;PARAMETRES!$D$33,2,1)))))</f>
        <v/>
      </c>
      <c r="U257" t="str">
        <f>IF($M257="","",IF($M257&gt;PARAMETRES!$G$34,5,IF($M257&gt;PARAMETRES!$F$34,4,IF($M257&gt;PARAMETRES!$E$34,3,IF($M257&gt;PARAMETRES!$D$34,2,1)))))</f>
        <v/>
      </c>
      <c r="V257" t="str">
        <f>IF($N257="","",IF($N257&gt;PARAMETRES!$G$35,5,IF($N257&gt;PARAMETRES!$F$35,4,IF($N257&gt;PARAMETRES!$E$35,3,IF($N257&gt;PARAMETRES!$D$35,2,1)))))</f>
        <v/>
      </c>
      <c r="W257" t="str">
        <f>IF($O257="","",IF($O257&gt;PARAMETRES!$G$36,5,IF($O257&gt;PARAMETRES!$F$36,4,IF($O257&gt;PARAMETRES!$E$36,3,IF($O257&gt;PARAMETRES!$D$36,2,1)))))</f>
        <v/>
      </c>
      <c r="X257" t="str">
        <f>IF($P257="","",IF($P257&gt;PARAMETRES!$G$37,5,IF($P257&gt;PARAMETRES!$F$37,4,IF($P257&gt;PARAMETRES!$E$37,3,IF($P257&gt;PARAMETRES!$D$37,2,1)))))</f>
        <v/>
      </c>
      <c r="Y257" t="str">
        <f t="shared" si="72"/>
        <v/>
      </c>
      <c r="Z257" t="str">
        <f>IFERROR(VLOOKUP($B257,TABLE_CYCLE,2,0),"")</f>
        <v/>
      </c>
      <c r="AA257" t="str">
        <f t="shared" si="73"/>
        <v/>
      </c>
      <c r="AB257" t="str">
        <f>IF($D257="","",IF(COUNTIF($D$2:$D257,$D257)=1,$D257,""))</f>
        <v/>
      </c>
      <c r="AC257">
        <f t="shared" si="74"/>
        <v>0</v>
      </c>
      <c r="AD257" t="str">
        <f t="shared" si="75"/>
        <v>|0</v>
      </c>
      <c r="AE257" t="str">
        <f t="shared" si="76"/>
        <v/>
      </c>
      <c r="AF257" t="str">
        <f t="shared" si="77"/>
        <v/>
      </c>
      <c r="AG257" t="str">
        <f t="shared" si="78"/>
        <v/>
      </c>
      <c r="AH257" t="str">
        <f t="shared" si="79"/>
        <v/>
      </c>
      <c r="AI257" t="str">
        <f t="shared" si="80"/>
        <v/>
      </c>
      <c r="AJ257" t="str">
        <f t="shared" si="81"/>
        <v/>
      </c>
      <c r="AK257" t="str">
        <f t="shared" si="82"/>
        <v/>
      </c>
      <c r="AL257" t="str">
        <f t="shared" si="83"/>
        <v/>
      </c>
      <c r="AM257" t="str">
        <f t="shared" si="84"/>
        <v/>
      </c>
      <c r="AN257" t="str">
        <f t="shared" si="85"/>
        <v/>
      </c>
      <c r="AO257" t="str">
        <f t="shared" si="86"/>
        <v/>
      </c>
      <c r="AP257">
        <f t="shared" si="87"/>
        <v>1</v>
      </c>
      <c r="AQ257" t="str">
        <f>IF(SAISIE!$F262="","",SAISIE!$Y262)</f>
        <v/>
      </c>
      <c r="AR257" t="str">
        <f>IF(OR(SAISIE!$U$4="",SAISIE!$W$4=""),"",IF(AND($A257=SAISIE!$U$4,$B257=SAISIE!$W$4,$C257="S1"),COUNTIFS($A$2:$A257,SAISIE!$U$4,$B$2:$B257,SAISIE!$W$4,$C$2:$C257,"S1"),""))</f>
        <v/>
      </c>
      <c r="AS257" t="str">
        <f t="shared" si="88"/>
        <v/>
      </c>
      <c r="AT257" t="str">
        <f t="shared" si="89"/>
        <v/>
      </c>
      <c r="AU257" t="str">
        <f t="shared" si="90"/>
        <v/>
      </c>
      <c r="AV257">
        <f>N(AV256)+IF(AND($AB257&lt;&gt;"",OR('PROFIL ELEVE'!$K$4="(Tous)",$AF257='PROFIL ELEVE'!$K$4)),1,0)</f>
        <v>0</v>
      </c>
      <c r="AW257">
        <f>N(AW256)+IF(AND($AB257&lt;&gt;"",OR('SUIVI LONGITUDINAL'!$Q$4="(Tous)",$AF257='SUIVI LONGITUDINAL'!$Q$4)),1,0)</f>
        <v>0</v>
      </c>
      <c r="AX257">
        <f t="shared" si="91"/>
        <v>0</v>
      </c>
      <c r="AY257">
        <f t="shared" si="92"/>
        <v>0</v>
      </c>
      <c r="AZ257">
        <f t="shared" si="93"/>
        <v>0</v>
      </c>
      <c r="BA257" t="str">
        <f t="shared" si="94"/>
        <v/>
      </c>
      <c r="BB257" t="str">
        <f t="shared" si="95"/>
        <v/>
      </c>
    </row>
    <row r="258" spans="1:54" ht="14.25" customHeight="1" x14ac:dyDescent="0.3">
      <c r="A258" t="str">
        <f>IF(SAISIE!$F263="","",SAISIE!$B263)</f>
        <v/>
      </c>
      <c r="B258" t="str">
        <f>IF(SAISIE!$F263="","",SAISIE!$C263)</f>
        <v/>
      </c>
      <c r="C258" t="str">
        <f>IF(SAISIE!$F263="","",SAISIE!$D263)</f>
        <v/>
      </c>
      <c r="D258" t="str">
        <f>IF(SAISIE!$E263="","",SAISIE!$E263)</f>
        <v/>
      </c>
      <c r="E258" t="str">
        <f>IF(SAISIE!$F263="","",SAISIE!$F263)</f>
        <v/>
      </c>
      <c r="F258" t="str">
        <f>IF(SAISIE!$G263="","",SAISIE!$G263)</f>
        <v/>
      </c>
      <c r="G258" t="str">
        <f>IF(SAISIE!$H263="","",SAISIE!$H263)</f>
        <v/>
      </c>
      <c r="H258" t="str">
        <f>IF(SAISIE!$I263="","",SAISIE!$I263)</f>
        <v/>
      </c>
      <c r="I258" t="str">
        <f>IF(SAISIE!$J263="","",SAISIE!$J263)</f>
        <v/>
      </c>
      <c r="J258" t="str">
        <f>IF(SAISIE!$K263="","",SAISIE!$K263)</f>
        <v/>
      </c>
      <c r="K258" t="str">
        <f>IF(SAISIE!$L263="","",SAISIE!$L263)</f>
        <v/>
      </c>
      <c r="L258" t="str">
        <f>IF(SAISIE!$M263="","",SAISIE!$M263)</f>
        <v/>
      </c>
      <c r="M258" t="str">
        <f>IF(SAISIE!$N263="","",SAISIE!$N263)</f>
        <v/>
      </c>
      <c r="N258" t="str">
        <f>IF(SAISIE!$O263="","",SAISIE!$O263)</f>
        <v/>
      </c>
      <c r="O258" t="str">
        <f>IF(SAISIE!$P263="","",SAISIE!$P263)</f>
        <v/>
      </c>
      <c r="P258" t="str">
        <f>IF(SAISIE!$Q263="","",SAISIE!$Q263)</f>
        <v/>
      </c>
      <c r="Q258" t="str">
        <f>IF($I258="","",IF($I258&gt;PARAMETRES!$G$29,5,IF($I258&gt;PARAMETRES!$F$29,4,IF($I258&gt;PARAMETRES!$E$29,3,IF($I258&gt;PARAMETRES!$D$29,2,1)))))</f>
        <v/>
      </c>
      <c r="R258" t="str">
        <f>IF($J258="","",IF($J258&gt;PARAMETRES!$G$30,5,IF($J258&gt;PARAMETRES!$F$30,4,IF($J258&gt;PARAMETRES!$E$30,3,IF($J258&gt;PARAMETRES!$D$30,2,1)))))</f>
        <v/>
      </c>
      <c r="S258" t="str">
        <f>IF($K258="","",IF($Z258=2,IF($K258&gt;PARAMETRES!$G$31,5,IF($K258&gt;PARAMETRES!$F$31,4,IF($K258&gt;PARAMETRES!$E$31,3,IF($K258&gt;PARAMETRES!$D$31,2,1)))),IF($K258&gt;PARAMETRES!$G$32,5,IF($K258&gt;PARAMETRES!$F$32,4,IF($K258&gt;PARAMETRES!$E$32,3,IF($K258&gt;PARAMETRES!$D$32,2,1))))))</f>
        <v/>
      </c>
      <c r="T258" t="str">
        <f>IF($L258="","",IF($L258&gt;PARAMETRES!$G$33,5,IF($L258&gt;PARAMETRES!$F$33,4,IF($L258&gt;PARAMETRES!$E$33,3,IF($L258&gt;PARAMETRES!$D$33,2,1)))))</f>
        <v/>
      </c>
      <c r="U258" t="str">
        <f>IF($M258="","",IF($M258&gt;PARAMETRES!$G$34,5,IF($M258&gt;PARAMETRES!$F$34,4,IF($M258&gt;PARAMETRES!$E$34,3,IF($M258&gt;PARAMETRES!$D$34,2,1)))))</f>
        <v/>
      </c>
      <c r="V258" t="str">
        <f>IF($N258="","",IF($N258&gt;PARAMETRES!$G$35,5,IF($N258&gt;PARAMETRES!$F$35,4,IF($N258&gt;PARAMETRES!$E$35,3,IF($N258&gt;PARAMETRES!$D$35,2,1)))))</f>
        <v/>
      </c>
      <c r="W258" t="str">
        <f>IF($O258="","",IF($O258&gt;PARAMETRES!$G$36,5,IF($O258&gt;PARAMETRES!$F$36,4,IF($O258&gt;PARAMETRES!$E$36,3,IF($O258&gt;PARAMETRES!$D$36,2,1)))))</f>
        <v/>
      </c>
      <c r="X258" t="str">
        <f>IF($P258="","",IF($P258&gt;PARAMETRES!$G$37,5,IF($P258&gt;PARAMETRES!$F$37,4,IF($P258&gt;PARAMETRES!$E$37,3,IF($P258&gt;PARAMETRES!$D$37,2,1)))))</f>
        <v/>
      </c>
      <c r="Y258" t="str">
        <f t="shared" ref="Y258:Y321" si="96">IF(COUNT($Q258:$X258)=0,"",AVERAGE($Q258:$X258))</f>
        <v/>
      </c>
      <c r="Z258" t="str">
        <f>IFERROR(VLOOKUP($B258,TABLE_CYCLE,2,0),"")</f>
        <v/>
      </c>
      <c r="AA258" t="str">
        <f t="shared" ref="AA258:AA321" si="97">IF($D258="","",$D258&amp;"|"&amp;$A258&amp;"|"&amp;$C258)</f>
        <v/>
      </c>
      <c r="AB258" t="str">
        <f>IF($D258="","",IF(COUNTIF($D$2:$D258,$D258)=1,$D258,""))</f>
        <v/>
      </c>
      <c r="AC258">
        <f t="shared" ref="AC258:AC321" si="98">IFERROR(MATCH($A258,LISTE_ANNEES,0),0)</f>
        <v>0</v>
      </c>
      <c r="AD258" t="str">
        <f t="shared" ref="AD258:AD321" si="99">$D258&amp;"|"&amp;$AC258</f>
        <v>|0</v>
      </c>
      <c r="AE258" t="str">
        <f t="shared" ref="AE258:AE321" si="100">IF($D258="","",_xlfn.MAXIFS($AC$2:$AC$1201,$D$2:$D$1201,$D258))</f>
        <v/>
      </c>
      <c r="AF258" t="str">
        <f t="shared" ref="AF258:AF321" si="101">IF($AB258="","",IFERROR(INDEX($B$2:$B$1201,MATCH($D258&amp;"|"&amp;$AE258,$AD$2:$AD$1201,0)),""))</f>
        <v/>
      </c>
      <c r="AG258" t="str">
        <f t="shared" ref="AG258:AG321" si="102">IF($C258&lt;&gt;"S1","",IFERROR(MATCH($D258&amp;"|"&amp;$A258&amp;"|S2",$AA$2:$AA$1201,0),""))</f>
        <v/>
      </c>
      <c r="AH258" t="str">
        <f t="shared" ref="AH258:AH321" si="103">IF(OR($AG258="",$Q258=""),"",IF(INDEX($Q$2:$Q$1201,$AG258)="","",IF(INDEX($Q$2:$Q$1201,$AG258)&gt;$Q258,1,IF(INDEX($Q$2:$Q$1201,$AG258)&lt;$Q258,-1,0))))</f>
        <v/>
      </c>
      <c r="AI258" t="str">
        <f t="shared" ref="AI258:AI321" si="104">IF(OR($AG258="",$R258=""),"",IF(INDEX($R$2:$R$1201,$AG258)="","",IF(INDEX($R$2:$R$1201,$AG258)&gt;$R258,1,IF(INDEX($R$2:$R$1201,$AG258)&lt;$R258,-1,0))))</f>
        <v/>
      </c>
      <c r="AJ258" t="str">
        <f t="shared" ref="AJ258:AJ321" si="105">IF(OR($AG258="",$S258=""),"",IF(INDEX($S$2:$S$1201,$AG258)="","",IF(INDEX($S$2:$S$1201,$AG258)&gt;$S258,1,IF(INDEX($S$2:$S$1201,$AG258)&lt;$S258,-1,0))))</f>
        <v/>
      </c>
      <c r="AK258" t="str">
        <f t="shared" ref="AK258:AK321" si="106">IF(OR($AG258="",$T258=""),"",IF(INDEX($T$2:$T$1201,$AG258)="","",IF(INDEX($T$2:$T$1201,$AG258)&gt;$T258,1,IF(INDEX($T$2:$T$1201,$AG258)&lt;$T258,-1,0))))</f>
        <v/>
      </c>
      <c r="AL258" t="str">
        <f t="shared" ref="AL258:AL321" si="107">IF(OR($AG258="",$U258=""),"",IF(INDEX($U$2:$U$1201,$AG258)="","",IF(INDEX($U$2:$U$1201,$AG258)&gt;$U258,1,IF(INDEX($U$2:$U$1201,$AG258)&lt;$U258,-1,0))))</f>
        <v/>
      </c>
      <c r="AM258" t="str">
        <f t="shared" ref="AM258:AM321" si="108">IF(OR($AG258="",$V258=""),"",IF(INDEX($V$2:$V$1201,$AG258)="","",IF(INDEX($V$2:$V$1201,$AG258)&gt;$V258,1,IF(INDEX($V$2:$V$1201,$AG258)&lt;$V258,-1,0))))</f>
        <v/>
      </c>
      <c r="AN258" t="str">
        <f t="shared" ref="AN258:AN321" si="109">IF(OR($AG258="",$W258=""),"",IF(INDEX($W$2:$W$1201,$AG258)="","",IF(INDEX($W$2:$W$1201,$AG258)&gt;$W258,1,IF(INDEX($W$2:$W$1201,$AG258)&lt;$W258,-1,0))))</f>
        <v/>
      </c>
      <c r="AO258" t="str">
        <f t="shared" ref="AO258:AO321" si="110">IF(OR($AG258="",$X258=""),"",IF(INDEX($X$2:$X$1201,$AG258)="","",IF(INDEX($X$2:$X$1201,$AG258)&gt;$X258,1,IF(INDEX($X$2:$X$1201,$AG258)&lt;$X258,-1,0))))</f>
        <v/>
      </c>
      <c r="AP258">
        <f t="shared" ref="AP258:AP321" si="111">IF($D258="",1,COUNTIFS($D$2:$D$1201,$D258,$A$2:$A$1201,$A258))</f>
        <v>1</v>
      </c>
      <c r="AQ258" t="str">
        <f>IF(SAISIE!$F263="","",SAISIE!$Y263)</f>
        <v/>
      </c>
      <c r="AR258" t="str">
        <f>IF(OR(SAISIE!$U$4="",SAISIE!$W$4=""),"",IF(AND($A258=SAISIE!$U$4,$B258=SAISIE!$W$4,$C258="S1"),COUNTIFS($A$2:$A258,SAISIE!$U$4,$B$2:$B258,SAISIE!$W$4,$C$2:$C258,"S1"),""))</f>
        <v/>
      </c>
      <c r="AS258" t="str">
        <f t="shared" ref="AS258:AS321" si="112">IF($D258="","",$A258&amp;"|"&amp;$C258&amp;"|"&amp;$D258)</f>
        <v/>
      </c>
      <c r="AT258" t="str">
        <f t="shared" ref="AT258:AT321" si="113">IF($D258="","",$A258&amp;"|"&amp;$D258&amp;"|"&amp;IF($AQ258="Parti","P","A"))</f>
        <v/>
      </c>
      <c r="AU258" t="str">
        <f t="shared" ref="AU258:AU321" si="114">IF($A258="","",$A258&amp;"|"&amp;$B258&amp;"|"&amp;$C258)</f>
        <v/>
      </c>
      <c r="AV258">
        <f>N(AV257)+IF(AND($AB258&lt;&gt;"",OR('PROFIL ELEVE'!$K$4="(Tous)",$AF258='PROFIL ELEVE'!$K$4)),1,0)</f>
        <v>0</v>
      </c>
      <c r="AW258">
        <f>N(AW257)+IF(AND($AB258&lt;&gt;"",OR('SUIVI LONGITUDINAL'!$Q$4="(Tous)",$AF258='SUIVI LONGITUDINAL'!$Q$4)),1,0)</f>
        <v>0</v>
      </c>
      <c r="AX258">
        <f t="shared" ref="AX258:AX321" si="115">COUNTIF($AH258:$AO258,1)</f>
        <v>0</v>
      </c>
      <c r="AY258">
        <f t="shared" ref="AY258:AY321" si="116">COUNTIF($AH258:$AO258,0)</f>
        <v>0</v>
      </c>
      <c r="AZ258">
        <f t="shared" ref="AZ258:AZ321" si="117">COUNTIF($AH258:$AO258,-1)</f>
        <v>0</v>
      </c>
      <c r="BA258" t="str">
        <f t="shared" ref="BA258:BA321" si="118">IF($E258="","",COUNT($Q258:$X258))</f>
        <v/>
      </c>
      <c r="BB258" t="str">
        <f t="shared" ref="BB258:BB321" si="119">IF($E258="","",IF(COUNT($Q258:$X258)&gt;=IF($Z258=2,5,8),1,0))</f>
        <v/>
      </c>
    </row>
    <row r="259" spans="1:54" ht="14.25" customHeight="1" x14ac:dyDescent="0.3">
      <c r="A259" t="str">
        <f>IF(SAISIE!$F264="","",SAISIE!$B264)</f>
        <v/>
      </c>
      <c r="B259" t="str">
        <f>IF(SAISIE!$F264="","",SAISIE!$C264)</f>
        <v/>
      </c>
      <c r="C259" t="str">
        <f>IF(SAISIE!$F264="","",SAISIE!$D264)</f>
        <v/>
      </c>
      <c r="D259" t="str">
        <f>IF(SAISIE!$E264="","",SAISIE!$E264)</f>
        <v/>
      </c>
      <c r="E259" t="str">
        <f>IF(SAISIE!$F264="","",SAISIE!$F264)</f>
        <v/>
      </c>
      <c r="F259" t="str">
        <f>IF(SAISIE!$G264="","",SAISIE!$G264)</f>
        <v/>
      </c>
      <c r="G259" t="str">
        <f>IF(SAISIE!$H264="","",SAISIE!$H264)</f>
        <v/>
      </c>
      <c r="H259" t="str">
        <f>IF(SAISIE!$I264="","",SAISIE!$I264)</f>
        <v/>
      </c>
      <c r="I259" t="str">
        <f>IF(SAISIE!$J264="","",SAISIE!$J264)</f>
        <v/>
      </c>
      <c r="J259" t="str">
        <f>IF(SAISIE!$K264="","",SAISIE!$K264)</f>
        <v/>
      </c>
      <c r="K259" t="str">
        <f>IF(SAISIE!$L264="","",SAISIE!$L264)</f>
        <v/>
      </c>
      <c r="L259" t="str">
        <f>IF(SAISIE!$M264="","",SAISIE!$M264)</f>
        <v/>
      </c>
      <c r="M259" t="str">
        <f>IF(SAISIE!$N264="","",SAISIE!$N264)</f>
        <v/>
      </c>
      <c r="N259" t="str">
        <f>IF(SAISIE!$O264="","",SAISIE!$O264)</f>
        <v/>
      </c>
      <c r="O259" t="str">
        <f>IF(SAISIE!$P264="","",SAISIE!$P264)</f>
        <v/>
      </c>
      <c r="P259" t="str">
        <f>IF(SAISIE!$Q264="","",SAISIE!$Q264)</f>
        <v/>
      </c>
      <c r="Q259" t="str">
        <f>IF($I259="","",IF($I259&gt;PARAMETRES!$G$29,5,IF($I259&gt;PARAMETRES!$F$29,4,IF($I259&gt;PARAMETRES!$E$29,3,IF($I259&gt;PARAMETRES!$D$29,2,1)))))</f>
        <v/>
      </c>
      <c r="R259" t="str">
        <f>IF($J259="","",IF($J259&gt;PARAMETRES!$G$30,5,IF($J259&gt;PARAMETRES!$F$30,4,IF($J259&gt;PARAMETRES!$E$30,3,IF($J259&gt;PARAMETRES!$D$30,2,1)))))</f>
        <v/>
      </c>
      <c r="S259" t="str">
        <f>IF($K259="","",IF($Z259=2,IF($K259&gt;PARAMETRES!$G$31,5,IF($K259&gt;PARAMETRES!$F$31,4,IF($K259&gt;PARAMETRES!$E$31,3,IF($K259&gt;PARAMETRES!$D$31,2,1)))),IF($K259&gt;PARAMETRES!$G$32,5,IF($K259&gt;PARAMETRES!$F$32,4,IF($K259&gt;PARAMETRES!$E$32,3,IF($K259&gt;PARAMETRES!$D$32,2,1))))))</f>
        <v/>
      </c>
      <c r="T259" t="str">
        <f>IF($L259="","",IF($L259&gt;PARAMETRES!$G$33,5,IF($L259&gt;PARAMETRES!$F$33,4,IF($L259&gt;PARAMETRES!$E$33,3,IF($L259&gt;PARAMETRES!$D$33,2,1)))))</f>
        <v/>
      </c>
      <c r="U259" t="str">
        <f>IF($M259="","",IF($M259&gt;PARAMETRES!$G$34,5,IF($M259&gt;PARAMETRES!$F$34,4,IF($M259&gt;PARAMETRES!$E$34,3,IF($M259&gt;PARAMETRES!$D$34,2,1)))))</f>
        <v/>
      </c>
      <c r="V259" t="str">
        <f>IF($N259="","",IF($N259&gt;PARAMETRES!$G$35,5,IF($N259&gt;PARAMETRES!$F$35,4,IF($N259&gt;PARAMETRES!$E$35,3,IF($N259&gt;PARAMETRES!$D$35,2,1)))))</f>
        <v/>
      </c>
      <c r="W259" t="str">
        <f>IF($O259="","",IF($O259&gt;PARAMETRES!$G$36,5,IF($O259&gt;PARAMETRES!$F$36,4,IF($O259&gt;PARAMETRES!$E$36,3,IF($O259&gt;PARAMETRES!$D$36,2,1)))))</f>
        <v/>
      </c>
      <c r="X259" t="str">
        <f>IF($P259="","",IF($P259&gt;PARAMETRES!$G$37,5,IF($P259&gt;PARAMETRES!$F$37,4,IF($P259&gt;PARAMETRES!$E$37,3,IF($P259&gt;PARAMETRES!$D$37,2,1)))))</f>
        <v/>
      </c>
      <c r="Y259" t="str">
        <f t="shared" si="96"/>
        <v/>
      </c>
      <c r="Z259" t="str">
        <f>IFERROR(VLOOKUP($B259,TABLE_CYCLE,2,0),"")</f>
        <v/>
      </c>
      <c r="AA259" t="str">
        <f t="shared" si="97"/>
        <v/>
      </c>
      <c r="AB259" t="str">
        <f>IF($D259="","",IF(COUNTIF($D$2:$D259,$D259)=1,$D259,""))</f>
        <v/>
      </c>
      <c r="AC259">
        <f t="shared" si="98"/>
        <v>0</v>
      </c>
      <c r="AD259" t="str">
        <f t="shared" si="99"/>
        <v>|0</v>
      </c>
      <c r="AE259" t="str">
        <f t="shared" si="100"/>
        <v/>
      </c>
      <c r="AF259" t="str">
        <f t="shared" si="101"/>
        <v/>
      </c>
      <c r="AG259" t="str">
        <f t="shared" si="102"/>
        <v/>
      </c>
      <c r="AH259" t="str">
        <f t="shared" si="103"/>
        <v/>
      </c>
      <c r="AI259" t="str">
        <f t="shared" si="104"/>
        <v/>
      </c>
      <c r="AJ259" t="str">
        <f t="shared" si="105"/>
        <v/>
      </c>
      <c r="AK259" t="str">
        <f t="shared" si="106"/>
        <v/>
      </c>
      <c r="AL259" t="str">
        <f t="shared" si="107"/>
        <v/>
      </c>
      <c r="AM259" t="str">
        <f t="shared" si="108"/>
        <v/>
      </c>
      <c r="AN259" t="str">
        <f t="shared" si="109"/>
        <v/>
      </c>
      <c r="AO259" t="str">
        <f t="shared" si="110"/>
        <v/>
      </c>
      <c r="AP259">
        <f t="shared" si="111"/>
        <v>1</v>
      </c>
      <c r="AQ259" t="str">
        <f>IF(SAISIE!$F264="","",SAISIE!$Y264)</f>
        <v/>
      </c>
      <c r="AR259" t="str">
        <f>IF(OR(SAISIE!$U$4="",SAISIE!$W$4=""),"",IF(AND($A259=SAISIE!$U$4,$B259=SAISIE!$W$4,$C259="S1"),COUNTIFS($A$2:$A259,SAISIE!$U$4,$B$2:$B259,SAISIE!$W$4,$C$2:$C259,"S1"),""))</f>
        <v/>
      </c>
      <c r="AS259" t="str">
        <f t="shared" si="112"/>
        <v/>
      </c>
      <c r="AT259" t="str">
        <f t="shared" si="113"/>
        <v/>
      </c>
      <c r="AU259" t="str">
        <f t="shared" si="114"/>
        <v/>
      </c>
      <c r="AV259">
        <f>N(AV258)+IF(AND($AB259&lt;&gt;"",OR('PROFIL ELEVE'!$K$4="(Tous)",$AF259='PROFIL ELEVE'!$K$4)),1,0)</f>
        <v>0</v>
      </c>
      <c r="AW259">
        <f>N(AW258)+IF(AND($AB259&lt;&gt;"",OR('SUIVI LONGITUDINAL'!$Q$4="(Tous)",$AF259='SUIVI LONGITUDINAL'!$Q$4)),1,0)</f>
        <v>0</v>
      </c>
      <c r="AX259">
        <f t="shared" si="115"/>
        <v>0</v>
      </c>
      <c r="AY259">
        <f t="shared" si="116"/>
        <v>0</v>
      </c>
      <c r="AZ259">
        <f t="shared" si="117"/>
        <v>0</v>
      </c>
      <c r="BA259" t="str">
        <f t="shared" si="118"/>
        <v/>
      </c>
      <c r="BB259" t="str">
        <f t="shared" si="119"/>
        <v/>
      </c>
    </row>
    <row r="260" spans="1:54" ht="14.25" customHeight="1" x14ac:dyDescent="0.3">
      <c r="A260" t="str">
        <f>IF(SAISIE!$F265="","",SAISIE!$B265)</f>
        <v/>
      </c>
      <c r="B260" t="str">
        <f>IF(SAISIE!$F265="","",SAISIE!$C265)</f>
        <v/>
      </c>
      <c r="C260" t="str">
        <f>IF(SAISIE!$F265="","",SAISIE!$D265)</f>
        <v/>
      </c>
      <c r="D260" t="str">
        <f>IF(SAISIE!$E265="","",SAISIE!$E265)</f>
        <v/>
      </c>
      <c r="E260" t="str">
        <f>IF(SAISIE!$F265="","",SAISIE!$F265)</f>
        <v/>
      </c>
      <c r="F260" t="str">
        <f>IF(SAISIE!$G265="","",SAISIE!$G265)</f>
        <v/>
      </c>
      <c r="G260" t="str">
        <f>IF(SAISIE!$H265="","",SAISIE!$H265)</f>
        <v/>
      </c>
      <c r="H260" t="str">
        <f>IF(SAISIE!$I265="","",SAISIE!$I265)</f>
        <v/>
      </c>
      <c r="I260" t="str">
        <f>IF(SAISIE!$J265="","",SAISIE!$J265)</f>
        <v/>
      </c>
      <c r="J260" t="str">
        <f>IF(SAISIE!$K265="","",SAISIE!$K265)</f>
        <v/>
      </c>
      <c r="K260" t="str">
        <f>IF(SAISIE!$L265="","",SAISIE!$L265)</f>
        <v/>
      </c>
      <c r="L260" t="str">
        <f>IF(SAISIE!$M265="","",SAISIE!$M265)</f>
        <v/>
      </c>
      <c r="M260" t="str">
        <f>IF(SAISIE!$N265="","",SAISIE!$N265)</f>
        <v/>
      </c>
      <c r="N260" t="str">
        <f>IF(SAISIE!$O265="","",SAISIE!$O265)</f>
        <v/>
      </c>
      <c r="O260" t="str">
        <f>IF(SAISIE!$P265="","",SAISIE!$P265)</f>
        <v/>
      </c>
      <c r="P260" t="str">
        <f>IF(SAISIE!$Q265="","",SAISIE!$Q265)</f>
        <v/>
      </c>
      <c r="Q260" t="str">
        <f>IF($I260="","",IF($I260&gt;PARAMETRES!$G$29,5,IF($I260&gt;PARAMETRES!$F$29,4,IF($I260&gt;PARAMETRES!$E$29,3,IF($I260&gt;PARAMETRES!$D$29,2,1)))))</f>
        <v/>
      </c>
      <c r="R260" t="str">
        <f>IF($J260="","",IF($J260&gt;PARAMETRES!$G$30,5,IF($J260&gt;PARAMETRES!$F$30,4,IF($J260&gt;PARAMETRES!$E$30,3,IF($J260&gt;PARAMETRES!$D$30,2,1)))))</f>
        <v/>
      </c>
      <c r="S260" t="str">
        <f>IF($K260="","",IF($Z260=2,IF($K260&gt;PARAMETRES!$G$31,5,IF($K260&gt;PARAMETRES!$F$31,4,IF($K260&gt;PARAMETRES!$E$31,3,IF($K260&gt;PARAMETRES!$D$31,2,1)))),IF($K260&gt;PARAMETRES!$G$32,5,IF($K260&gt;PARAMETRES!$F$32,4,IF($K260&gt;PARAMETRES!$E$32,3,IF($K260&gt;PARAMETRES!$D$32,2,1))))))</f>
        <v/>
      </c>
      <c r="T260" t="str">
        <f>IF($L260="","",IF($L260&gt;PARAMETRES!$G$33,5,IF($L260&gt;PARAMETRES!$F$33,4,IF($L260&gt;PARAMETRES!$E$33,3,IF($L260&gt;PARAMETRES!$D$33,2,1)))))</f>
        <v/>
      </c>
      <c r="U260" t="str">
        <f>IF($M260="","",IF($M260&gt;PARAMETRES!$G$34,5,IF($M260&gt;PARAMETRES!$F$34,4,IF($M260&gt;PARAMETRES!$E$34,3,IF($M260&gt;PARAMETRES!$D$34,2,1)))))</f>
        <v/>
      </c>
      <c r="V260" t="str">
        <f>IF($N260="","",IF($N260&gt;PARAMETRES!$G$35,5,IF($N260&gt;PARAMETRES!$F$35,4,IF($N260&gt;PARAMETRES!$E$35,3,IF($N260&gt;PARAMETRES!$D$35,2,1)))))</f>
        <v/>
      </c>
      <c r="W260" t="str">
        <f>IF($O260="","",IF($O260&gt;PARAMETRES!$G$36,5,IF($O260&gt;PARAMETRES!$F$36,4,IF($O260&gt;PARAMETRES!$E$36,3,IF($O260&gt;PARAMETRES!$D$36,2,1)))))</f>
        <v/>
      </c>
      <c r="X260" t="str">
        <f>IF($P260="","",IF($P260&gt;PARAMETRES!$G$37,5,IF($P260&gt;PARAMETRES!$F$37,4,IF($P260&gt;PARAMETRES!$E$37,3,IF($P260&gt;PARAMETRES!$D$37,2,1)))))</f>
        <v/>
      </c>
      <c r="Y260" t="str">
        <f t="shared" si="96"/>
        <v/>
      </c>
      <c r="Z260" t="str">
        <f>IFERROR(VLOOKUP($B260,TABLE_CYCLE,2,0),"")</f>
        <v/>
      </c>
      <c r="AA260" t="str">
        <f t="shared" si="97"/>
        <v/>
      </c>
      <c r="AB260" t="str">
        <f>IF($D260="","",IF(COUNTIF($D$2:$D260,$D260)=1,$D260,""))</f>
        <v/>
      </c>
      <c r="AC260">
        <f t="shared" si="98"/>
        <v>0</v>
      </c>
      <c r="AD260" t="str">
        <f t="shared" si="99"/>
        <v>|0</v>
      </c>
      <c r="AE260" t="str">
        <f t="shared" si="100"/>
        <v/>
      </c>
      <c r="AF260" t="str">
        <f t="shared" si="101"/>
        <v/>
      </c>
      <c r="AG260" t="str">
        <f t="shared" si="102"/>
        <v/>
      </c>
      <c r="AH260" t="str">
        <f t="shared" si="103"/>
        <v/>
      </c>
      <c r="AI260" t="str">
        <f t="shared" si="104"/>
        <v/>
      </c>
      <c r="AJ260" t="str">
        <f t="shared" si="105"/>
        <v/>
      </c>
      <c r="AK260" t="str">
        <f t="shared" si="106"/>
        <v/>
      </c>
      <c r="AL260" t="str">
        <f t="shared" si="107"/>
        <v/>
      </c>
      <c r="AM260" t="str">
        <f t="shared" si="108"/>
        <v/>
      </c>
      <c r="AN260" t="str">
        <f t="shared" si="109"/>
        <v/>
      </c>
      <c r="AO260" t="str">
        <f t="shared" si="110"/>
        <v/>
      </c>
      <c r="AP260">
        <f t="shared" si="111"/>
        <v>1</v>
      </c>
      <c r="AQ260" t="str">
        <f>IF(SAISIE!$F265="","",SAISIE!$Y265)</f>
        <v/>
      </c>
      <c r="AR260" t="str">
        <f>IF(OR(SAISIE!$U$4="",SAISIE!$W$4=""),"",IF(AND($A260=SAISIE!$U$4,$B260=SAISIE!$W$4,$C260="S1"),COUNTIFS($A$2:$A260,SAISIE!$U$4,$B$2:$B260,SAISIE!$W$4,$C$2:$C260,"S1"),""))</f>
        <v/>
      </c>
      <c r="AS260" t="str">
        <f t="shared" si="112"/>
        <v/>
      </c>
      <c r="AT260" t="str">
        <f t="shared" si="113"/>
        <v/>
      </c>
      <c r="AU260" t="str">
        <f t="shared" si="114"/>
        <v/>
      </c>
      <c r="AV260">
        <f>N(AV259)+IF(AND($AB260&lt;&gt;"",OR('PROFIL ELEVE'!$K$4="(Tous)",$AF260='PROFIL ELEVE'!$K$4)),1,0)</f>
        <v>0</v>
      </c>
      <c r="AW260">
        <f>N(AW259)+IF(AND($AB260&lt;&gt;"",OR('SUIVI LONGITUDINAL'!$Q$4="(Tous)",$AF260='SUIVI LONGITUDINAL'!$Q$4)),1,0)</f>
        <v>0</v>
      </c>
      <c r="AX260">
        <f t="shared" si="115"/>
        <v>0</v>
      </c>
      <c r="AY260">
        <f t="shared" si="116"/>
        <v>0</v>
      </c>
      <c r="AZ260">
        <f t="shared" si="117"/>
        <v>0</v>
      </c>
      <c r="BA260" t="str">
        <f t="shared" si="118"/>
        <v/>
      </c>
      <c r="BB260" t="str">
        <f t="shared" si="119"/>
        <v/>
      </c>
    </row>
    <row r="261" spans="1:54" ht="14.25" customHeight="1" x14ac:dyDescent="0.3">
      <c r="A261" t="str">
        <f>IF(SAISIE!$F266="","",SAISIE!$B266)</f>
        <v/>
      </c>
      <c r="B261" t="str">
        <f>IF(SAISIE!$F266="","",SAISIE!$C266)</f>
        <v/>
      </c>
      <c r="C261" t="str">
        <f>IF(SAISIE!$F266="","",SAISIE!$D266)</f>
        <v/>
      </c>
      <c r="D261" t="str">
        <f>IF(SAISIE!$E266="","",SAISIE!$E266)</f>
        <v/>
      </c>
      <c r="E261" t="str">
        <f>IF(SAISIE!$F266="","",SAISIE!$F266)</f>
        <v/>
      </c>
      <c r="F261" t="str">
        <f>IF(SAISIE!$G266="","",SAISIE!$G266)</f>
        <v/>
      </c>
      <c r="G261" t="str">
        <f>IF(SAISIE!$H266="","",SAISIE!$H266)</f>
        <v/>
      </c>
      <c r="H261" t="str">
        <f>IF(SAISIE!$I266="","",SAISIE!$I266)</f>
        <v/>
      </c>
      <c r="I261" t="str">
        <f>IF(SAISIE!$J266="","",SAISIE!$J266)</f>
        <v/>
      </c>
      <c r="J261" t="str">
        <f>IF(SAISIE!$K266="","",SAISIE!$K266)</f>
        <v/>
      </c>
      <c r="K261" t="str">
        <f>IF(SAISIE!$L266="","",SAISIE!$L266)</f>
        <v/>
      </c>
      <c r="L261" t="str">
        <f>IF(SAISIE!$M266="","",SAISIE!$M266)</f>
        <v/>
      </c>
      <c r="M261" t="str">
        <f>IF(SAISIE!$N266="","",SAISIE!$N266)</f>
        <v/>
      </c>
      <c r="N261" t="str">
        <f>IF(SAISIE!$O266="","",SAISIE!$O266)</f>
        <v/>
      </c>
      <c r="O261" t="str">
        <f>IF(SAISIE!$P266="","",SAISIE!$P266)</f>
        <v/>
      </c>
      <c r="P261" t="str">
        <f>IF(SAISIE!$Q266="","",SAISIE!$Q266)</f>
        <v/>
      </c>
      <c r="Q261" t="str">
        <f>IF($I261="","",IF($I261&gt;PARAMETRES!$G$29,5,IF($I261&gt;PARAMETRES!$F$29,4,IF($I261&gt;PARAMETRES!$E$29,3,IF($I261&gt;PARAMETRES!$D$29,2,1)))))</f>
        <v/>
      </c>
      <c r="R261" t="str">
        <f>IF($J261="","",IF($J261&gt;PARAMETRES!$G$30,5,IF($J261&gt;PARAMETRES!$F$30,4,IF($J261&gt;PARAMETRES!$E$30,3,IF($J261&gt;PARAMETRES!$D$30,2,1)))))</f>
        <v/>
      </c>
      <c r="S261" t="str">
        <f>IF($K261="","",IF($Z261=2,IF($K261&gt;PARAMETRES!$G$31,5,IF($K261&gt;PARAMETRES!$F$31,4,IF($K261&gt;PARAMETRES!$E$31,3,IF($K261&gt;PARAMETRES!$D$31,2,1)))),IF($K261&gt;PARAMETRES!$G$32,5,IF($K261&gt;PARAMETRES!$F$32,4,IF($K261&gt;PARAMETRES!$E$32,3,IF($K261&gt;PARAMETRES!$D$32,2,1))))))</f>
        <v/>
      </c>
      <c r="T261" t="str">
        <f>IF($L261="","",IF($L261&gt;PARAMETRES!$G$33,5,IF($L261&gt;PARAMETRES!$F$33,4,IF($L261&gt;PARAMETRES!$E$33,3,IF($L261&gt;PARAMETRES!$D$33,2,1)))))</f>
        <v/>
      </c>
      <c r="U261" t="str">
        <f>IF($M261="","",IF($M261&gt;PARAMETRES!$G$34,5,IF($M261&gt;PARAMETRES!$F$34,4,IF($M261&gt;PARAMETRES!$E$34,3,IF($M261&gt;PARAMETRES!$D$34,2,1)))))</f>
        <v/>
      </c>
      <c r="V261" t="str">
        <f>IF($N261="","",IF($N261&gt;PARAMETRES!$G$35,5,IF($N261&gt;PARAMETRES!$F$35,4,IF($N261&gt;PARAMETRES!$E$35,3,IF($N261&gt;PARAMETRES!$D$35,2,1)))))</f>
        <v/>
      </c>
      <c r="W261" t="str">
        <f>IF($O261="","",IF($O261&gt;PARAMETRES!$G$36,5,IF($O261&gt;PARAMETRES!$F$36,4,IF($O261&gt;PARAMETRES!$E$36,3,IF($O261&gt;PARAMETRES!$D$36,2,1)))))</f>
        <v/>
      </c>
      <c r="X261" t="str">
        <f>IF($P261="","",IF($P261&gt;PARAMETRES!$G$37,5,IF($P261&gt;PARAMETRES!$F$37,4,IF($P261&gt;PARAMETRES!$E$37,3,IF($P261&gt;PARAMETRES!$D$37,2,1)))))</f>
        <v/>
      </c>
      <c r="Y261" t="str">
        <f t="shared" si="96"/>
        <v/>
      </c>
      <c r="Z261" t="str">
        <f>IFERROR(VLOOKUP($B261,TABLE_CYCLE,2,0),"")</f>
        <v/>
      </c>
      <c r="AA261" t="str">
        <f t="shared" si="97"/>
        <v/>
      </c>
      <c r="AB261" t="str">
        <f>IF($D261="","",IF(COUNTIF($D$2:$D261,$D261)=1,$D261,""))</f>
        <v/>
      </c>
      <c r="AC261">
        <f t="shared" si="98"/>
        <v>0</v>
      </c>
      <c r="AD261" t="str">
        <f t="shared" si="99"/>
        <v>|0</v>
      </c>
      <c r="AE261" t="str">
        <f t="shared" si="100"/>
        <v/>
      </c>
      <c r="AF261" t="str">
        <f t="shared" si="101"/>
        <v/>
      </c>
      <c r="AG261" t="str">
        <f t="shared" si="102"/>
        <v/>
      </c>
      <c r="AH261" t="str">
        <f t="shared" si="103"/>
        <v/>
      </c>
      <c r="AI261" t="str">
        <f t="shared" si="104"/>
        <v/>
      </c>
      <c r="AJ261" t="str">
        <f t="shared" si="105"/>
        <v/>
      </c>
      <c r="AK261" t="str">
        <f t="shared" si="106"/>
        <v/>
      </c>
      <c r="AL261" t="str">
        <f t="shared" si="107"/>
        <v/>
      </c>
      <c r="AM261" t="str">
        <f t="shared" si="108"/>
        <v/>
      </c>
      <c r="AN261" t="str">
        <f t="shared" si="109"/>
        <v/>
      </c>
      <c r="AO261" t="str">
        <f t="shared" si="110"/>
        <v/>
      </c>
      <c r="AP261">
        <f t="shared" si="111"/>
        <v>1</v>
      </c>
      <c r="AQ261" t="str">
        <f>IF(SAISIE!$F266="","",SAISIE!$Y266)</f>
        <v/>
      </c>
      <c r="AR261" t="str">
        <f>IF(OR(SAISIE!$U$4="",SAISIE!$W$4=""),"",IF(AND($A261=SAISIE!$U$4,$B261=SAISIE!$W$4,$C261="S1"),COUNTIFS($A$2:$A261,SAISIE!$U$4,$B$2:$B261,SAISIE!$W$4,$C$2:$C261,"S1"),""))</f>
        <v/>
      </c>
      <c r="AS261" t="str">
        <f t="shared" si="112"/>
        <v/>
      </c>
      <c r="AT261" t="str">
        <f t="shared" si="113"/>
        <v/>
      </c>
      <c r="AU261" t="str">
        <f t="shared" si="114"/>
        <v/>
      </c>
      <c r="AV261">
        <f>N(AV260)+IF(AND($AB261&lt;&gt;"",OR('PROFIL ELEVE'!$K$4="(Tous)",$AF261='PROFIL ELEVE'!$K$4)),1,0)</f>
        <v>0</v>
      </c>
      <c r="AW261">
        <f>N(AW260)+IF(AND($AB261&lt;&gt;"",OR('SUIVI LONGITUDINAL'!$Q$4="(Tous)",$AF261='SUIVI LONGITUDINAL'!$Q$4)),1,0)</f>
        <v>0</v>
      </c>
      <c r="AX261">
        <f t="shared" si="115"/>
        <v>0</v>
      </c>
      <c r="AY261">
        <f t="shared" si="116"/>
        <v>0</v>
      </c>
      <c r="AZ261">
        <f t="shared" si="117"/>
        <v>0</v>
      </c>
      <c r="BA261" t="str">
        <f t="shared" si="118"/>
        <v/>
      </c>
      <c r="BB261" t="str">
        <f t="shared" si="119"/>
        <v/>
      </c>
    </row>
    <row r="262" spans="1:54" ht="14.25" customHeight="1" x14ac:dyDescent="0.3">
      <c r="A262" t="str">
        <f>IF(SAISIE!$F267="","",SAISIE!$B267)</f>
        <v/>
      </c>
      <c r="B262" t="str">
        <f>IF(SAISIE!$F267="","",SAISIE!$C267)</f>
        <v/>
      </c>
      <c r="C262" t="str">
        <f>IF(SAISIE!$F267="","",SAISIE!$D267)</f>
        <v/>
      </c>
      <c r="D262" t="str">
        <f>IF(SAISIE!$E267="","",SAISIE!$E267)</f>
        <v/>
      </c>
      <c r="E262" t="str">
        <f>IF(SAISIE!$F267="","",SAISIE!$F267)</f>
        <v/>
      </c>
      <c r="F262" t="str">
        <f>IF(SAISIE!$G267="","",SAISIE!$G267)</f>
        <v/>
      </c>
      <c r="G262" t="str">
        <f>IF(SAISIE!$H267="","",SAISIE!$H267)</f>
        <v/>
      </c>
      <c r="H262" t="str">
        <f>IF(SAISIE!$I267="","",SAISIE!$I267)</f>
        <v/>
      </c>
      <c r="I262" t="str">
        <f>IF(SAISIE!$J267="","",SAISIE!$J267)</f>
        <v/>
      </c>
      <c r="J262" t="str">
        <f>IF(SAISIE!$K267="","",SAISIE!$K267)</f>
        <v/>
      </c>
      <c r="K262" t="str">
        <f>IF(SAISIE!$L267="","",SAISIE!$L267)</f>
        <v/>
      </c>
      <c r="L262" t="str">
        <f>IF(SAISIE!$M267="","",SAISIE!$M267)</f>
        <v/>
      </c>
      <c r="M262" t="str">
        <f>IF(SAISIE!$N267="","",SAISIE!$N267)</f>
        <v/>
      </c>
      <c r="N262" t="str">
        <f>IF(SAISIE!$O267="","",SAISIE!$O267)</f>
        <v/>
      </c>
      <c r="O262" t="str">
        <f>IF(SAISIE!$P267="","",SAISIE!$P267)</f>
        <v/>
      </c>
      <c r="P262" t="str">
        <f>IF(SAISIE!$Q267="","",SAISIE!$Q267)</f>
        <v/>
      </c>
      <c r="Q262" t="str">
        <f>IF($I262="","",IF($I262&gt;PARAMETRES!$G$29,5,IF($I262&gt;PARAMETRES!$F$29,4,IF($I262&gt;PARAMETRES!$E$29,3,IF($I262&gt;PARAMETRES!$D$29,2,1)))))</f>
        <v/>
      </c>
      <c r="R262" t="str">
        <f>IF($J262="","",IF($J262&gt;PARAMETRES!$G$30,5,IF($J262&gt;PARAMETRES!$F$30,4,IF($J262&gt;PARAMETRES!$E$30,3,IF($J262&gt;PARAMETRES!$D$30,2,1)))))</f>
        <v/>
      </c>
      <c r="S262" t="str">
        <f>IF($K262="","",IF($Z262=2,IF($K262&gt;PARAMETRES!$G$31,5,IF($K262&gt;PARAMETRES!$F$31,4,IF($K262&gt;PARAMETRES!$E$31,3,IF($K262&gt;PARAMETRES!$D$31,2,1)))),IF($K262&gt;PARAMETRES!$G$32,5,IF($K262&gt;PARAMETRES!$F$32,4,IF($K262&gt;PARAMETRES!$E$32,3,IF($K262&gt;PARAMETRES!$D$32,2,1))))))</f>
        <v/>
      </c>
      <c r="T262" t="str">
        <f>IF($L262="","",IF($L262&gt;PARAMETRES!$G$33,5,IF($L262&gt;PARAMETRES!$F$33,4,IF($L262&gt;PARAMETRES!$E$33,3,IF($L262&gt;PARAMETRES!$D$33,2,1)))))</f>
        <v/>
      </c>
      <c r="U262" t="str">
        <f>IF($M262="","",IF($M262&gt;PARAMETRES!$G$34,5,IF($M262&gt;PARAMETRES!$F$34,4,IF($M262&gt;PARAMETRES!$E$34,3,IF($M262&gt;PARAMETRES!$D$34,2,1)))))</f>
        <v/>
      </c>
      <c r="V262" t="str">
        <f>IF($N262="","",IF($N262&gt;PARAMETRES!$G$35,5,IF($N262&gt;PARAMETRES!$F$35,4,IF($N262&gt;PARAMETRES!$E$35,3,IF($N262&gt;PARAMETRES!$D$35,2,1)))))</f>
        <v/>
      </c>
      <c r="W262" t="str">
        <f>IF($O262="","",IF($O262&gt;PARAMETRES!$G$36,5,IF($O262&gt;PARAMETRES!$F$36,4,IF($O262&gt;PARAMETRES!$E$36,3,IF($O262&gt;PARAMETRES!$D$36,2,1)))))</f>
        <v/>
      </c>
      <c r="X262" t="str">
        <f>IF($P262="","",IF($P262&gt;PARAMETRES!$G$37,5,IF($P262&gt;PARAMETRES!$F$37,4,IF($P262&gt;PARAMETRES!$E$37,3,IF($P262&gt;PARAMETRES!$D$37,2,1)))))</f>
        <v/>
      </c>
      <c r="Y262" t="str">
        <f t="shared" si="96"/>
        <v/>
      </c>
      <c r="Z262" t="str">
        <f>IFERROR(VLOOKUP($B262,TABLE_CYCLE,2,0),"")</f>
        <v/>
      </c>
      <c r="AA262" t="str">
        <f t="shared" si="97"/>
        <v/>
      </c>
      <c r="AB262" t="str">
        <f>IF($D262="","",IF(COUNTIF($D$2:$D262,$D262)=1,$D262,""))</f>
        <v/>
      </c>
      <c r="AC262">
        <f t="shared" si="98"/>
        <v>0</v>
      </c>
      <c r="AD262" t="str">
        <f t="shared" si="99"/>
        <v>|0</v>
      </c>
      <c r="AE262" t="str">
        <f t="shared" si="100"/>
        <v/>
      </c>
      <c r="AF262" t="str">
        <f t="shared" si="101"/>
        <v/>
      </c>
      <c r="AG262" t="str">
        <f t="shared" si="102"/>
        <v/>
      </c>
      <c r="AH262" t="str">
        <f t="shared" si="103"/>
        <v/>
      </c>
      <c r="AI262" t="str">
        <f t="shared" si="104"/>
        <v/>
      </c>
      <c r="AJ262" t="str">
        <f t="shared" si="105"/>
        <v/>
      </c>
      <c r="AK262" t="str">
        <f t="shared" si="106"/>
        <v/>
      </c>
      <c r="AL262" t="str">
        <f t="shared" si="107"/>
        <v/>
      </c>
      <c r="AM262" t="str">
        <f t="shared" si="108"/>
        <v/>
      </c>
      <c r="AN262" t="str">
        <f t="shared" si="109"/>
        <v/>
      </c>
      <c r="AO262" t="str">
        <f t="shared" si="110"/>
        <v/>
      </c>
      <c r="AP262">
        <f t="shared" si="111"/>
        <v>1</v>
      </c>
      <c r="AQ262" t="str">
        <f>IF(SAISIE!$F267="","",SAISIE!$Y267)</f>
        <v/>
      </c>
      <c r="AR262" t="str">
        <f>IF(OR(SAISIE!$U$4="",SAISIE!$W$4=""),"",IF(AND($A262=SAISIE!$U$4,$B262=SAISIE!$W$4,$C262="S1"),COUNTIFS($A$2:$A262,SAISIE!$U$4,$B$2:$B262,SAISIE!$W$4,$C$2:$C262,"S1"),""))</f>
        <v/>
      </c>
      <c r="AS262" t="str">
        <f t="shared" si="112"/>
        <v/>
      </c>
      <c r="AT262" t="str">
        <f t="shared" si="113"/>
        <v/>
      </c>
      <c r="AU262" t="str">
        <f t="shared" si="114"/>
        <v/>
      </c>
      <c r="AV262">
        <f>N(AV261)+IF(AND($AB262&lt;&gt;"",OR('PROFIL ELEVE'!$K$4="(Tous)",$AF262='PROFIL ELEVE'!$K$4)),1,0)</f>
        <v>0</v>
      </c>
      <c r="AW262">
        <f>N(AW261)+IF(AND($AB262&lt;&gt;"",OR('SUIVI LONGITUDINAL'!$Q$4="(Tous)",$AF262='SUIVI LONGITUDINAL'!$Q$4)),1,0)</f>
        <v>0</v>
      </c>
      <c r="AX262">
        <f t="shared" si="115"/>
        <v>0</v>
      </c>
      <c r="AY262">
        <f t="shared" si="116"/>
        <v>0</v>
      </c>
      <c r="AZ262">
        <f t="shared" si="117"/>
        <v>0</v>
      </c>
      <c r="BA262" t="str">
        <f t="shared" si="118"/>
        <v/>
      </c>
      <c r="BB262" t="str">
        <f t="shared" si="119"/>
        <v/>
      </c>
    </row>
    <row r="263" spans="1:54" ht="14.25" customHeight="1" x14ac:dyDescent="0.3">
      <c r="A263" t="str">
        <f>IF(SAISIE!$F268="","",SAISIE!$B268)</f>
        <v/>
      </c>
      <c r="B263" t="str">
        <f>IF(SAISIE!$F268="","",SAISIE!$C268)</f>
        <v/>
      </c>
      <c r="C263" t="str">
        <f>IF(SAISIE!$F268="","",SAISIE!$D268)</f>
        <v/>
      </c>
      <c r="D263" t="str">
        <f>IF(SAISIE!$E268="","",SAISIE!$E268)</f>
        <v/>
      </c>
      <c r="E263" t="str">
        <f>IF(SAISIE!$F268="","",SAISIE!$F268)</f>
        <v/>
      </c>
      <c r="F263" t="str">
        <f>IF(SAISIE!$G268="","",SAISIE!$G268)</f>
        <v/>
      </c>
      <c r="G263" t="str">
        <f>IF(SAISIE!$H268="","",SAISIE!$H268)</f>
        <v/>
      </c>
      <c r="H263" t="str">
        <f>IF(SAISIE!$I268="","",SAISIE!$I268)</f>
        <v/>
      </c>
      <c r="I263" t="str">
        <f>IF(SAISIE!$J268="","",SAISIE!$J268)</f>
        <v/>
      </c>
      <c r="J263" t="str">
        <f>IF(SAISIE!$K268="","",SAISIE!$K268)</f>
        <v/>
      </c>
      <c r="K263" t="str">
        <f>IF(SAISIE!$L268="","",SAISIE!$L268)</f>
        <v/>
      </c>
      <c r="L263" t="str">
        <f>IF(SAISIE!$M268="","",SAISIE!$M268)</f>
        <v/>
      </c>
      <c r="M263" t="str">
        <f>IF(SAISIE!$N268="","",SAISIE!$N268)</f>
        <v/>
      </c>
      <c r="N263" t="str">
        <f>IF(SAISIE!$O268="","",SAISIE!$O268)</f>
        <v/>
      </c>
      <c r="O263" t="str">
        <f>IF(SAISIE!$P268="","",SAISIE!$P268)</f>
        <v/>
      </c>
      <c r="P263" t="str">
        <f>IF(SAISIE!$Q268="","",SAISIE!$Q268)</f>
        <v/>
      </c>
      <c r="Q263" t="str">
        <f>IF($I263="","",IF($I263&gt;PARAMETRES!$G$29,5,IF($I263&gt;PARAMETRES!$F$29,4,IF($I263&gt;PARAMETRES!$E$29,3,IF($I263&gt;PARAMETRES!$D$29,2,1)))))</f>
        <v/>
      </c>
      <c r="R263" t="str">
        <f>IF($J263="","",IF($J263&gt;PARAMETRES!$G$30,5,IF($J263&gt;PARAMETRES!$F$30,4,IF($J263&gt;PARAMETRES!$E$30,3,IF($J263&gt;PARAMETRES!$D$30,2,1)))))</f>
        <v/>
      </c>
      <c r="S263" t="str">
        <f>IF($K263="","",IF($Z263=2,IF($K263&gt;PARAMETRES!$G$31,5,IF($K263&gt;PARAMETRES!$F$31,4,IF($K263&gt;PARAMETRES!$E$31,3,IF($K263&gt;PARAMETRES!$D$31,2,1)))),IF($K263&gt;PARAMETRES!$G$32,5,IF($K263&gt;PARAMETRES!$F$32,4,IF($K263&gt;PARAMETRES!$E$32,3,IF($K263&gt;PARAMETRES!$D$32,2,1))))))</f>
        <v/>
      </c>
      <c r="T263" t="str">
        <f>IF($L263="","",IF($L263&gt;PARAMETRES!$G$33,5,IF($L263&gt;PARAMETRES!$F$33,4,IF($L263&gt;PARAMETRES!$E$33,3,IF($L263&gt;PARAMETRES!$D$33,2,1)))))</f>
        <v/>
      </c>
      <c r="U263" t="str">
        <f>IF($M263="","",IF($M263&gt;PARAMETRES!$G$34,5,IF($M263&gt;PARAMETRES!$F$34,4,IF($M263&gt;PARAMETRES!$E$34,3,IF($M263&gt;PARAMETRES!$D$34,2,1)))))</f>
        <v/>
      </c>
      <c r="V263" t="str">
        <f>IF($N263="","",IF($N263&gt;PARAMETRES!$G$35,5,IF($N263&gt;PARAMETRES!$F$35,4,IF($N263&gt;PARAMETRES!$E$35,3,IF($N263&gt;PARAMETRES!$D$35,2,1)))))</f>
        <v/>
      </c>
      <c r="W263" t="str">
        <f>IF($O263="","",IF($O263&gt;PARAMETRES!$G$36,5,IF($O263&gt;PARAMETRES!$F$36,4,IF($O263&gt;PARAMETRES!$E$36,3,IF($O263&gt;PARAMETRES!$D$36,2,1)))))</f>
        <v/>
      </c>
      <c r="X263" t="str">
        <f>IF($P263="","",IF($P263&gt;PARAMETRES!$G$37,5,IF($P263&gt;PARAMETRES!$F$37,4,IF($P263&gt;PARAMETRES!$E$37,3,IF($P263&gt;PARAMETRES!$D$37,2,1)))))</f>
        <v/>
      </c>
      <c r="Y263" t="str">
        <f t="shared" si="96"/>
        <v/>
      </c>
      <c r="Z263" t="str">
        <f>IFERROR(VLOOKUP($B263,TABLE_CYCLE,2,0),"")</f>
        <v/>
      </c>
      <c r="AA263" t="str">
        <f t="shared" si="97"/>
        <v/>
      </c>
      <c r="AB263" t="str">
        <f>IF($D263="","",IF(COUNTIF($D$2:$D263,$D263)=1,$D263,""))</f>
        <v/>
      </c>
      <c r="AC263">
        <f t="shared" si="98"/>
        <v>0</v>
      </c>
      <c r="AD263" t="str">
        <f t="shared" si="99"/>
        <v>|0</v>
      </c>
      <c r="AE263" t="str">
        <f t="shared" si="100"/>
        <v/>
      </c>
      <c r="AF263" t="str">
        <f t="shared" si="101"/>
        <v/>
      </c>
      <c r="AG263" t="str">
        <f t="shared" si="102"/>
        <v/>
      </c>
      <c r="AH263" t="str">
        <f t="shared" si="103"/>
        <v/>
      </c>
      <c r="AI263" t="str">
        <f t="shared" si="104"/>
        <v/>
      </c>
      <c r="AJ263" t="str">
        <f t="shared" si="105"/>
        <v/>
      </c>
      <c r="AK263" t="str">
        <f t="shared" si="106"/>
        <v/>
      </c>
      <c r="AL263" t="str">
        <f t="shared" si="107"/>
        <v/>
      </c>
      <c r="AM263" t="str">
        <f t="shared" si="108"/>
        <v/>
      </c>
      <c r="AN263" t="str">
        <f t="shared" si="109"/>
        <v/>
      </c>
      <c r="AO263" t="str">
        <f t="shared" si="110"/>
        <v/>
      </c>
      <c r="AP263">
        <f t="shared" si="111"/>
        <v>1</v>
      </c>
      <c r="AQ263" t="str">
        <f>IF(SAISIE!$F268="","",SAISIE!$Y268)</f>
        <v/>
      </c>
      <c r="AR263" t="str">
        <f>IF(OR(SAISIE!$U$4="",SAISIE!$W$4=""),"",IF(AND($A263=SAISIE!$U$4,$B263=SAISIE!$W$4,$C263="S1"),COUNTIFS($A$2:$A263,SAISIE!$U$4,$B$2:$B263,SAISIE!$W$4,$C$2:$C263,"S1"),""))</f>
        <v/>
      </c>
      <c r="AS263" t="str">
        <f t="shared" si="112"/>
        <v/>
      </c>
      <c r="AT263" t="str">
        <f t="shared" si="113"/>
        <v/>
      </c>
      <c r="AU263" t="str">
        <f t="shared" si="114"/>
        <v/>
      </c>
      <c r="AV263">
        <f>N(AV262)+IF(AND($AB263&lt;&gt;"",OR('PROFIL ELEVE'!$K$4="(Tous)",$AF263='PROFIL ELEVE'!$K$4)),1,0)</f>
        <v>0</v>
      </c>
      <c r="AW263">
        <f>N(AW262)+IF(AND($AB263&lt;&gt;"",OR('SUIVI LONGITUDINAL'!$Q$4="(Tous)",$AF263='SUIVI LONGITUDINAL'!$Q$4)),1,0)</f>
        <v>0</v>
      </c>
      <c r="AX263">
        <f t="shared" si="115"/>
        <v>0</v>
      </c>
      <c r="AY263">
        <f t="shared" si="116"/>
        <v>0</v>
      </c>
      <c r="AZ263">
        <f t="shared" si="117"/>
        <v>0</v>
      </c>
      <c r="BA263" t="str">
        <f t="shared" si="118"/>
        <v/>
      </c>
      <c r="BB263" t="str">
        <f t="shared" si="119"/>
        <v/>
      </c>
    </row>
    <row r="264" spans="1:54" ht="14.25" customHeight="1" x14ac:dyDescent="0.3">
      <c r="A264" t="str">
        <f>IF(SAISIE!$F269="","",SAISIE!$B269)</f>
        <v/>
      </c>
      <c r="B264" t="str">
        <f>IF(SAISIE!$F269="","",SAISIE!$C269)</f>
        <v/>
      </c>
      <c r="C264" t="str">
        <f>IF(SAISIE!$F269="","",SAISIE!$D269)</f>
        <v/>
      </c>
      <c r="D264" t="str">
        <f>IF(SAISIE!$E269="","",SAISIE!$E269)</f>
        <v/>
      </c>
      <c r="E264" t="str">
        <f>IF(SAISIE!$F269="","",SAISIE!$F269)</f>
        <v/>
      </c>
      <c r="F264" t="str">
        <f>IF(SAISIE!$G269="","",SAISIE!$G269)</f>
        <v/>
      </c>
      <c r="G264" t="str">
        <f>IF(SAISIE!$H269="","",SAISIE!$H269)</f>
        <v/>
      </c>
      <c r="H264" t="str">
        <f>IF(SAISIE!$I269="","",SAISIE!$I269)</f>
        <v/>
      </c>
      <c r="I264" t="str">
        <f>IF(SAISIE!$J269="","",SAISIE!$J269)</f>
        <v/>
      </c>
      <c r="J264" t="str">
        <f>IF(SAISIE!$K269="","",SAISIE!$K269)</f>
        <v/>
      </c>
      <c r="K264" t="str">
        <f>IF(SAISIE!$L269="","",SAISIE!$L269)</f>
        <v/>
      </c>
      <c r="L264" t="str">
        <f>IF(SAISIE!$M269="","",SAISIE!$M269)</f>
        <v/>
      </c>
      <c r="M264" t="str">
        <f>IF(SAISIE!$N269="","",SAISIE!$N269)</f>
        <v/>
      </c>
      <c r="N264" t="str">
        <f>IF(SAISIE!$O269="","",SAISIE!$O269)</f>
        <v/>
      </c>
      <c r="O264" t="str">
        <f>IF(SAISIE!$P269="","",SAISIE!$P269)</f>
        <v/>
      </c>
      <c r="P264" t="str">
        <f>IF(SAISIE!$Q269="","",SAISIE!$Q269)</f>
        <v/>
      </c>
      <c r="Q264" t="str">
        <f>IF($I264="","",IF($I264&gt;PARAMETRES!$G$29,5,IF($I264&gt;PARAMETRES!$F$29,4,IF($I264&gt;PARAMETRES!$E$29,3,IF($I264&gt;PARAMETRES!$D$29,2,1)))))</f>
        <v/>
      </c>
      <c r="R264" t="str">
        <f>IF($J264="","",IF($J264&gt;PARAMETRES!$G$30,5,IF($J264&gt;PARAMETRES!$F$30,4,IF($J264&gt;PARAMETRES!$E$30,3,IF($J264&gt;PARAMETRES!$D$30,2,1)))))</f>
        <v/>
      </c>
      <c r="S264" t="str">
        <f>IF($K264="","",IF($Z264=2,IF($K264&gt;PARAMETRES!$G$31,5,IF($K264&gt;PARAMETRES!$F$31,4,IF($K264&gt;PARAMETRES!$E$31,3,IF($K264&gt;PARAMETRES!$D$31,2,1)))),IF($K264&gt;PARAMETRES!$G$32,5,IF($K264&gt;PARAMETRES!$F$32,4,IF($K264&gt;PARAMETRES!$E$32,3,IF($K264&gt;PARAMETRES!$D$32,2,1))))))</f>
        <v/>
      </c>
      <c r="T264" t="str">
        <f>IF($L264="","",IF($L264&gt;PARAMETRES!$G$33,5,IF($L264&gt;PARAMETRES!$F$33,4,IF($L264&gt;PARAMETRES!$E$33,3,IF($L264&gt;PARAMETRES!$D$33,2,1)))))</f>
        <v/>
      </c>
      <c r="U264" t="str">
        <f>IF($M264="","",IF($M264&gt;PARAMETRES!$G$34,5,IF($M264&gt;PARAMETRES!$F$34,4,IF($M264&gt;PARAMETRES!$E$34,3,IF($M264&gt;PARAMETRES!$D$34,2,1)))))</f>
        <v/>
      </c>
      <c r="V264" t="str">
        <f>IF($N264="","",IF($N264&gt;PARAMETRES!$G$35,5,IF($N264&gt;PARAMETRES!$F$35,4,IF($N264&gt;PARAMETRES!$E$35,3,IF($N264&gt;PARAMETRES!$D$35,2,1)))))</f>
        <v/>
      </c>
      <c r="W264" t="str">
        <f>IF($O264="","",IF($O264&gt;PARAMETRES!$G$36,5,IF($O264&gt;PARAMETRES!$F$36,4,IF($O264&gt;PARAMETRES!$E$36,3,IF($O264&gt;PARAMETRES!$D$36,2,1)))))</f>
        <v/>
      </c>
      <c r="X264" t="str">
        <f>IF($P264="","",IF($P264&gt;PARAMETRES!$G$37,5,IF($P264&gt;PARAMETRES!$F$37,4,IF($P264&gt;PARAMETRES!$E$37,3,IF($P264&gt;PARAMETRES!$D$37,2,1)))))</f>
        <v/>
      </c>
      <c r="Y264" t="str">
        <f t="shared" si="96"/>
        <v/>
      </c>
      <c r="Z264" t="str">
        <f>IFERROR(VLOOKUP($B264,TABLE_CYCLE,2,0),"")</f>
        <v/>
      </c>
      <c r="AA264" t="str">
        <f t="shared" si="97"/>
        <v/>
      </c>
      <c r="AB264" t="str">
        <f>IF($D264="","",IF(COUNTIF($D$2:$D264,$D264)=1,$D264,""))</f>
        <v/>
      </c>
      <c r="AC264">
        <f t="shared" si="98"/>
        <v>0</v>
      </c>
      <c r="AD264" t="str">
        <f t="shared" si="99"/>
        <v>|0</v>
      </c>
      <c r="AE264" t="str">
        <f t="shared" si="100"/>
        <v/>
      </c>
      <c r="AF264" t="str">
        <f t="shared" si="101"/>
        <v/>
      </c>
      <c r="AG264" t="str">
        <f t="shared" si="102"/>
        <v/>
      </c>
      <c r="AH264" t="str">
        <f t="shared" si="103"/>
        <v/>
      </c>
      <c r="AI264" t="str">
        <f t="shared" si="104"/>
        <v/>
      </c>
      <c r="AJ264" t="str">
        <f t="shared" si="105"/>
        <v/>
      </c>
      <c r="AK264" t="str">
        <f t="shared" si="106"/>
        <v/>
      </c>
      <c r="AL264" t="str">
        <f t="shared" si="107"/>
        <v/>
      </c>
      <c r="AM264" t="str">
        <f t="shared" si="108"/>
        <v/>
      </c>
      <c r="AN264" t="str">
        <f t="shared" si="109"/>
        <v/>
      </c>
      <c r="AO264" t="str">
        <f t="shared" si="110"/>
        <v/>
      </c>
      <c r="AP264">
        <f t="shared" si="111"/>
        <v>1</v>
      </c>
      <c r="AQ264" t="str">
        <f>IF(SAISIE!$F269="","",SAISIE!$Y269)</f>
        <v/>
      </c>
      <c r="AR264" t="str">
        <f>IF(OR(SAISIE!$U$4="",SAISIE!$W$4=""),"",IF(AND($A264=SAISIE!$U$4,$B264=SAISIE!$W$4,$C264="S1"),COUNTIFS($A$2:$A264,SAISIE!$U$4,$B$2:$B264,SAISIE!$W$4,$C$2:$C264,"S1"),""))</f>
        <v/>
      </c>
      <c r="AS264" t="str">
        <f t="shared" si="112"/>
        <v/>
      </c>
      <c r="AT264" t="str">
        <f t="shared" si="113"/>
        <v/>
      </c>
      <c r="AU264" t="str">
        <f t="shared" si="114"/>
        <v/>
      </c>
      <c r="AV264">
        <f>N(AV263)+IF(AND($AB264&lt;&gt;"",OR('PROFIL ELEVE'!$K$4="(Tous)",$AF264='PROFIL ELEVE'!$K$4)),1,0)</f>
        <v>0</v>
      </c>
      <c r="AW264">
        <f>N(AW263)+IF(AND($AB264&lt;&gt;"",OR('SUIVI LONGITUDINAL'!$Q$4="(Tous)",$AF264='SUIVI LONGITUDINAL'!$Q$4)),1,0)</f>
        <v>0</v>
      </c>
      <c r="AX264">
        <f t="shared" si="115"/>
        <v>0</v>
      </c>
      <c r="AY264">
        <f t="shared" si="116"/>
        <v>0</v>
      </c>
      <c r="AZ264">
        <f t="shared" si="117"/>
        <v>0</v>
      </c>
      <c r="BA264" t="str">
        <f t="shared" si="118"/>
        <v/>
      </c>
      <c r="BB264" t="str">
        <f t="shared" si="119"/>
        <v/>
      </c>
    </row>
    <row r="265" spans="1:54" ht="14.25" customHeight="1" x14ac:dyDescent="0.3">
      <c r="A265" t="str">
        <f>IF(SAISIE!$F270="","",SAISIE!$B270)</f>
        <v/>
      </c>
      <c r="B265" t="str">
        <f>IF(SAISIE!$F270="","",SAISIE!$C270)</f>
        <v/>
      </c>
      <c r="C265" t="str">
        <f>IF(SAISIE!$F270="","",SAISIE!$D270)</f>
        <v/>
      </c>
      <c r="D265" t="str">
        <f>IF(SAISIE!$E270="","",SAISIE!$E270)</f>
        <v/>
      </c>
      <c r="E265" t="str">
        <f>IF(SAISIE!$F270="","",SAISIE!$F270)</f>
        <v/>
      </c>
      <c r="F265" t="str">
        <f>IF(SAISIE!$G270="","",SAISIE!$G270)</f>
        <v/>
      </c>
      <c r="G265" t="str">
        <f>IF(SAISIE!$H270="","",SAISIE!$H270)</f>
        <v/>
      </c>
      <c r="H265" t="str">
        <f>IF(SAISIE!$I270="","",SAISIE!$I270)</f>
        <v/>
      </c>
      <c r="I265" t="str">
        <f>IF(SAISIE!$J270="","",SAISIE!$J270)</f>
        <v/>
      </c>
      <c r="J265" t="str">
        <f>IF(SAISIE!$K270="","",SAISIE!$K270)</f>
        <v/>
      </c>
      <c r="K265" t="str">
        <f>IF(SAISIE!$L270="","",SAISIE!$L270)</f>
        <v/>
      </c>
      <c r="L265" t="str">
        <f>IF(SAISIE!$M270="","",SAISIE!$M270)</f>
        <v/>
      </c>
      <c r="M265" t="str">
        <f>IF(SAISIE!$N270="","",SAISIE!$N270)</f>
        <v/>
      </c>
      <c r="N265" t="str">
        <f>IF(SAISIE!$O270="","",SAISIE!$O270)</f>
        <v/>
      </c>
      <c r="O265" t="str">
        <f>IF(SAISIE!$P270="","",SAISIE!$P270)</f>
        <v/>
      </c>
      <c r="P265" t="str">
        <f>IF(SAISIE!$Q270="","",SAISIE!$Q270)</f>
        <v/>
      </c>
      <c r="Q265" t="str">
        <f>IF($I265="","",IF($I265&gt;PARAMETRES!$G$29,5,IF($I265&gt;PARAMETRES!$F$29,4,IF($I265&gt;PARAMETRES!$E$29,3,IF($I265&gt;PARAMETRES!$D$29,2,1)))))</f>
        <v/>
      </c>
      <c r="R265" t="str">
        <f>IF($J265="","",IF($J265&gt;PARAMETRES!$G$30,5,IF($J265&gt;PARAMETRES!$F$30,4,IF($J265&gt;PARAMETRES!$E$30,3,IF($J265&gt;PARAMETRES!$D$30,2,1)))))</f>
        <v/>
      </c>
      <c r="S265" t="str">
        <f>IF($K265="","",IF($Z265=2,IF($K265&gt;PARAMETRES!$G$31,5,IF($K265&gt;PARAMETRES!$F$31,4,IF($K265&gt;PARAMETRES!$E$31,3,IF($K265&gt;PARAMETRES!$D$31,2,1)))),IF($K265&gt;PARAMETRES!$G$32,5,IF($K265&gt;PARAMETRES!$F$32,4,IF($K265&gt;PARAMETRES!$E$32,3,IF($K265&gt;PARAMETRES!$D$32,2,1))))))</f>
        <v/>
      </c>
      <c r="T265" t="str">
        <f>IF($L265="","",IF($L265&gt;PARAMETRES!$G$33,5,IF($L265&gt;PARAMETRES!$F$33,4,IF($L265&gt;PARAMETRES!$E$33,3,IF($L265&gt;PARAMETRES!$D$33,2,1)))))</f>
        <v/>
      </c>
      <c r="U265" t="str">
        <f>IF($M265="","",IF($M265&gt;PARAMETRES!$G$34,5,IF($M265&gt;PARAMETRES!$F$34,4,IF($M265&gt;PARAMETRES!$E$34,3,IF($M265&gt;PARAMETRES!$D$34,2,1)))))</f>
        <v/>
      </c>
      <c r="V265" t="str">
        <f>IF($N265="","",IF($N265&gt;PARAMETRES!$G$35,5,IF($N265&gt;PARAMETRES!$F$35,4,IF($N265&gt;PARAMETRES!$E$35,3,IF($N265&gt;PARAMETRES!$D$35,2,1)))))</f>
        <v/>
      </c>
      <c r="W265" t="str">
        <f>IF($O265="","",IF($O265&gt;PARAMETRES!$G$36,5,IF($O265&gt;PARAMETRES!$F$36,4,IF($O265&gt;PARAMETRES!$E$36,3,IF($O265&gt;PARAMETRES!$D$36,2,1)))))</f>
        <v/>
      </c>
      <c r="X265" t="str">
        <f>IF($P265="","",IF($P265&gt;PARAMETRES!$G$37,5,IF($P265&gt;PARAMETRES!$F$37,4,IF($P265&gt;PARAMETRES!$E$37,3,IF($P265&gt;PARAMETRES!$D$37,2,1)))))</f>
        <v/>
      </c>
      <c r="Y265" t="str">
        <f t="shared" si="96"/>
        <v/>
      </c>
      <c r="Z265" t="str">
        <f>IFERROR(VLOOKUP($B265,TABLE_CYCLE,2,0),"")</f>
        <v/>
      </c>
      <c r="AA265" t="str">
        <f t="shared" si="97"/>
        <v/>
      </c>
      <c r="AB265" t="str">
        <f>IF($D265="","",IF(COUNTIF($D$2:$D265,$D265)=1,$D265,""))</f>
        <v/>
      </c>
      <c r="AC265">
        <f t="shared" si="98"/>
        <v>0</v>
      </c>
      <c r="AD265" t="str">
        <f t="shared" si="99"/>
        <v>|0</v>
      </c>
      <c r="AE265" t="str">
        <f t="shared" si="100"/>
        <v/>
      </c>
      <c r="AF265" t="str">
        <f t="shared" si="101"/>
        <v/>
      </c>
      <c r="AG265" t="str">
        <f t="shared" si="102"/>
        <v/>
      </c>
      <c r="AH265" t="str">
        <f t="shared" si="103"/>
        <v/>
      </c>
      <c r="AI265" t="str">
        <f t="shared" si="104"/>
        <v/>
      </c>
      <c r="AJ265" t="str">
        <f t="shared" si="105"/>
        <v/>
      </c>
      <c r="AK265" t="str">
        <f t="shared" si="106"/>
        <v/>
      </c>
      <c r="AL265" t="str">
        <f t="shared" si="107"/>
        <v/>
      </c>
      <c r="AM265" t="str">
        <f t="shared" si="108"/>
        <v/>
      </c>
      <c r="AN265" t="str">
        <f t="shared" si="109"/>
        <v/>
      </c>
      <c r="AO265" t="str">
        <f t="shared" si="110"/>
        <v/>
      </c>
      <c r="AP265">
        <f t="shared" si="111"/>
        <v>1</v>
      </c>
      <c r="AQ265" t="str">
        <f>IF(SAISIE!$F270="","",SAISIE!$Y270)</f>
        <v/>
      </c>
      <c r="AR265" t="str">
        <f>IF(OR(SAISIE!$U$4="",SAISIE!$W$4=""),"",IF(AND($A265=SAISIE!$U$4,$B265=SAISIE!$W$4,$C265="S1"),COUNTIFS($A$2:$A265,SAISIE!$U$4,$B$2:$B265,SAISIE!$W$4,$C$2:$C265,"S1"),""))</f>
        <v/>
      </c>
      <c r="AS265" t="str">
        <f t="shared" si="112"/>
        <v/>
      </c>
      <c r="AT265" t="str">
        <f t="shared" si="113"/>
        <v/>
      </c>
      <c r="AU265" t="str">
        <f t="shared" si="114"/>
        <v/>
      </c>
      <c r="AV265">
        <f>N(AV264)+IF(AND($AB265&lt;&gt;"",OR('PROFIL ELEVE'!$K$4="(Tous)",$AF265='PROFIL ELEVE'!$K$4)),1,0)</f>
        <v>0</v>
      </c>
      <c r="AW265">
        <f>N(AW264)+IF(AND($AB265&lt;&gt;"",OR('SUIVI LONGITUDINAL'!$Q$4="(Tous)",$AF265='SUIVI LONGITUDINAL'!$Q$4)),1,0)</f>
        <v>0</v>
      </c>
      <c r="AX265">
        <f t="shared" si="115"/>
        <v>0</v>
      </c>
      <c r="AY265">
        <f t="shared" si="116"/>
        <v>0</v>
      </c>
      <c r="AZ265">
        <f t="shared" si="117"/>
        <v>0</v>
      </c>
      <c r="BA265" t="str">
        <f t="shared" si="118"/>
        <v/>
      </c>
      <c r="BB265" t="str">
        <f t="shared" si="119"/>
        <v/>
      </c>
    </row>
    <row r="266" spans="1:54" ht="14.25" customHeight="1" x14ac:dyDescent="0.3">
      <c r="A266" t="str">
        <f>IF(SAISIE!$F271="","",SAISIE!$B271)</f>
        <v/>
      </c>
      <c r="B266" t="str">
        <f>IF(SAISIE!$F271="","",SAISIE!$C271)</f>
        <v/>
      </c>
      <c r="C266" t="str">
        <f>IF(SAISIE!$F271="","",SAISIE!$D271)</f>
        <v/>
      </c>
      <c r="D266" t="str">
        <f>IF(SAISIE!$E271="","",SAISIE!$E271)</f>
        <v/>
      </c>
      <c r="E266" t="str">
        <f>IF(SAISIE!$F271="","",SAISIE!$F271)</f>
        <v/>
      </c>
      <c r="F266" t="str">
        <f>IF(SAISIE!$G271="","",SAISIE!$G271)</f>
        <v/>
      </c>
      <c r="G266" t="str">
        <f>IF(SAISIE!$H271="","",SAISIE!$H271)</f>
        <v/>
      </c>
      <c r="H266" t="str">
        <f>IF(SAISIE!$I271="","",SAISIE!$I271)</f>
        <v/>
      </c>
      <c r="I266" t="str">
        <f>IF(SAISIE!$J271="","",SAISIE!$J271)</f>
        <v/>
      </c>
      <c r="J266" t="str">
        <f>IF(SAISIE!$K271="","",SAISIE!$K271)</f>
        <v/>
      </c>
      <c r="K266" t="str">
        <f>IF(SAISIE!$L271="","",SAISIE!$L271)</f>
        <v/>
      </c>
      <c r="L266" t="str">
        <f>IF(SAISIE!$M271="","",SAISIE!$M271)</f>
        <v/>
      </c>
      <c r="M266" t="str">
        <f>IF(SAISIE!$N271="","",SAISIE!$N271)</f>
        <v/>
      </c>
      <c r="N266" t="str">
        <f>IF(SAISIE!$O271="","",SAISIE!$O271)</f>
        <v/>
      </c>
      <c r="O266" t="str">
        <f>IF(SAISIE!$P271="","",SAISIE!$P271)</f>
        <v/>
      </c>
      <c r="P266" t="str">
        <f>IF(SAISIE!$Q271="","",SAISIE!$Q271)</f>
        <v/>
      </c>
      <c r="Q266" t="str">
        <f>IF($I266="","",IF($I266&gt;PARAMETRES!$G$29,5,IF($I266&gt;PARAMETRES!$F$29,4,IF($I266&gt;PARAMETRES!$E$29,3,IF($I266&gt;PARAMETRES!$D$29,2,1)))))</f>
        <v/>
      </c>
      <c r="R266" t="str">
        <f>IF($J266="","",IF($J266&gt;PARAMETRES!$G$30,5,IF($J266&gt;PARAMETRES!$F$30,4,IF($J266&gt;PARAMETRES!$E$30,3,IF($J266&gt;PARAMETRES!$D$30,2,1)))))</f>
        <v/>
      </c>
      <c r="S266" t="str">
        <f>IF($K266="","",IF($Z266=2,IF($K266&gt;PARAMETRES!$G$31,5,IF($K266&gt;PARAMETRES!$F$31,4,IF($K266&gt;PARAMETRES!$E$31,3,IF($K266&gt;PARAMETRES!$D$31,2,1)))),IF($K266&gt;PARAMETRES!$G$32,5,IF($K266&gt;PARAMETRES!$F$32,4,IF($K266&gt;PARAMETRES!$E$32,3,IF($K266&gt;PARAMETRES!$D$32,2,1))))))</f>
        <v/>
      </c>
      <c r="T266" t="str">
        <f>IF($L266="","",IF($L266&gt;PARAMETRES!$G$33,5,IF($L266&gt;PARAMETRES!$F$33,4,IF($L266&gt;PARAMETRES!$E$33,3,IF($L266&gt;PARAMETRES!$D$33,2,1)))))</f>
        <v/>
      </c>
      <c r="U266" t="str">
        <f>IF($M266="","",IF($M266&gt;PARAMETRES!$G$34,5,IF($M266&gt;PARAMETRES!$F$34,4,IF($M266&gt;PARAMETRES!$E$34,3,IF($M266&gt;PARAMETRES!$D$34,2,1)))))</f>
        <v/>
      </c>
      <c r="V266" t="str">
        <f>IF($N266="","",IF($N266&gt;PARAMETRES!$G$35,5,IF($N266&gt;PARAMETRES!$F$35,4,IF($N266&gt;PARAMETRES!$E$35,3,IF($N266&gt;PARAMETRES!$D$35,2,1)))))</f>
        <v/>
      </c>
      <c r="W266" t="str">
        <f>IF($O266="","",IF($O266&gt;PARAMETRES!$G$36,5,IF($O266&gt;PARAMETRES!$F$36,4,IF($O266&gt;PARAMETRES!$E$36,3,IF($O266&gt;PARAMETRES!$D$36,2,1)))))</f>
        <v/>
      </c>
      <c r="X266" t="str">
        <f>IF($P266="","",IF($P266&gt;PARAMETRES!$G$37,5,IF($P266&gt;PARAMETRES!$F$37,4,IF($P266&gt;PARAMETRES!$E$37,3,IF($P266&gt;PARAMETRES!$D$37,2,1)))))</f>
        <v/>
      </c>
      <c r="Y266" t="str">
        <f t="shared" si="96"/>
        <v/>
      </c>
      <c r="Z266" t="str">
        <f>IFERROR(VLOOKUP($B266,TABLE_CYCLE,2,0),"")</f>
        <v/>
      </c>
      <c r="AA266" t="str">
        <f t="shared" si="97"/>
        <v/>
      </c>
      <c r="AB266" t="str">
        <f>IF($D266="","",IF(COUNTIF($D$2:$D266,$D266)=1,$D266,""))</f>
        <v/>
      </c>
      <c r="AC266">
        <f t="shared" si="98"/>
        <v>0</v>
      </c>
      <c r="AD266" t="str">
        <f t="shared" si="99"/>
        <v>|0</v>
      </c>
      <c r="AE266" t="str">
        <f t="shared" si="100"/>
        <v/>
      </c>
      <c r="AF266" t="str">
        <f t="shared" si="101"/>
        <v/>
      </c>
      <c r="AG266" t="str">
        <f t="shared" si="102"/>
        <v/>
      </c>
      <c r="AH266" t="str">
        <f t="shared" si="103"/>
        <v/>
      </c>
      <c r="AI266" t="str">
        <f t="shared" si="104"/>
        <v/>
      </c>
      <c r="AJ266" t="str">
        <f t="shared" si="105"/>
        <v/>
      </c>
      <c r="AK266" t="str">
        <f t="shared" si="106"/>
        <v/>
      </c>
      <c r="AL266" t="str">
        <f t="shared" si="107"/>
        <v/>
      </c>
      <c r="AM266" t="str">
        <f t="shared" si="108"/>
        <v/>
      </c>
      <c r="AN266" t="str">
        <f t="shared" si="109"/>
        <v/>
      </c>
      <c r="AO266" t="str">
        <f t="shared" si="110"/>
        <v/>
      </c>
      <c r="AP266">
        <f t="shared" si="111"/>
        <v>1</v>
      </c>
      <c r="AQ266" t="str">
        <f>IF(SAISIE!$F271="","",SAISIE!$Y271)</f>
        <v/>
      </c>
      <c r="AR266" t="str">
        <f>IF(OR(SAISIE!$U$4="",SAISIE!$W$4=""),"",IF(AND($A266=SAISIE!$U$4,$B266=SAISIE!$W$4,$C266="S1"),COUNTIFS($A$2:$A266,SAISIE!$U$4,$B$2:$B266,SAISIE!$W$4,$C$2:$C266,"S1"),""))</f>
        <v/>
      </c>
      <c r="AS266" t="str">
        <f t="shared" si="112"/>
        <v/>
      </c>
      <c r="AT266" t="str">
        <f t="shared" si="113"/>
        <v/>
      </c>
      <c r="AU266" t="str">
        <f t="shared" si="114"/>
        <v/>
      </c>
      <c r="AV266">
        <f>N(AV265)+IF(AND($AB266&lt;&gt;"",OR('PROFIL ELEVE'!$K$4="(Tous)",$AF266='PROFIL ELEVE'!$K$4)),1,0)</f>
        <v>0</v>
      </c>
      <c r="AW266">
        <f>N(AW265)+IF(AND($AB266&lt;&gt;"",OR('SUIVI LONGITUDINAL'!$Q$4="(Tous)",$AF266='SUIVI LONGITUDINAL'!$Q$4)),1,0)</f>
        <v>0</v>
      </c>
      <c r="AX266">
        <f t="shared" si="115"/>
        <v>0</v>
      </c>
      <c r="AY266">
        <f t="shared" si="116"/>
        <v>0</v>
      </c>
      <c r="AZ266">
        <f t="shared" si="117"/>
        <v>0</v>
      </c>
      <c r="BA266" t="str">
        <f t="shared" si="118"/>
        <v/>
      </c>
      <c r="BB266" t="str">
        <f t="shared" si="119"/>
        <v/>
      </c>
    </row>
    <row r="267" spans="1:54" ht="14.25" customHeight="1" x14ac:dyDescent="0.3">
      <c r="A267" t="str">
        <f>IF(SAISIE!$F272="","",SAISIE!$B272)</f>
        <v/>
      </c>
      <c r="B267" t="str">
        <f>IF(SAISIE!$F272="","",SAISIE!$C272)</f>
        <v/>
      </c>
      <c r="C267" t="str">
        <f>IF(SAISIE!$F272="","",SAISIE!$D272)</f>
        <v/>
      </c>
      <c r="D267" t="str">
        <f>IF(SAISIE!$E272="","",SAISIE!$E272)</f>
        <v/>
      </c>
      <c r="E267" t="str">
        <f>IF(SAISIE!$F272="","",SAISIE!$F272)</f>
        <v/>
      </c>
      <c r="F267" t="str">
        <f>IF(SAISIE!$G272="","",SAISIE!$G272)</f>
        <v/>
      </c>
      <c r="G267" t="str">
        <f>IF(SAISIE!$H272="","",SAISIE!$H272)</f>
        <v/>
      </c>
      <c r="H267" t="str">
        <f>IF(SAISIE!$I272="","",SAISIE!$I272)</f>
        <v/>
      </c>
      <c r="I267" t="str">
        <f>IF(SAISIE!$J272="","",SAISIE!$J272)</f>
        <v/>
      </c>
      <c r="J267" t="str">
        <f>IF(SAISIE!$K272="","",SAISIE!$K272)</f>
        <v/>
      </c>
      <c r="K267" t="str">
        <f>IF(SAISIE!$L272="","",SAISIE!$L272)</f>
        <v/>
      </c>
      <c r="L267" t="str">
        <f>IF(SAISIE!$M272="","",SAISIE!$M272)</f>
        <v/>
      </c>
      <c r="M267" t="str">
        <f>IF(SAISIE!$N272="","",SAISIE!$N272)</f>
        <v/>
      </c>
      <c r="N267" t="str">
        <f>IF(SAISIE!$O272="","",SAISIE!$O272)</f>
        <v/>
      </c>
      <c r="O267" t="str">
        <f>IF(SAISIE!$P272="","",SAISIE!$P272)</f>
        <v/>
      </c>
      <c r="P267" t="str">
        <f>IF(SAISIE!$Q272="","",SAISIE!$Q272)</f>
        <v/>
      </c>
      <c r="Q267" t="str">
        <f>IF($I267="","",IF($I267&gt;PARAMETRES!$G$29,5,IF($I267&gt;PARAMETRES!$F$29,4,IF($I267&gt;PARAMETRES!$E$29,3,IF($I267&gt;PARAMETRES!$D$29,2,1)))))</f>
        <v/>
      </c>
      <c r="R267" t="str">
        <f>IF($J267="","",IF($J267&gt;PARAMETRES!$G$30,5,IF($J267&gt;PARAMETRES!$F$30,4,IF($J267&gt;PARAMETRES!$E$30,3,IF($J267&gt;PARAMETRES!$D$30,2,1)))))</f>
        <v/>
      </c>
      <c r="S267" t="str">
        <f>IF($K267="","",IF($Z267=2,IF($K267&gt;PARAMETRES!$G$31,5,IF($K267&gt;PARAMETRES!$F$31,4,IF($K267&gt;PARAMETRES!$E$31,3,IF($K267&gt;PARAMETRES!$D$31,2,1)))),IF($K267&gt;PARAMETRES!$G$32,5,IF($K267&gt;PARAMETRES!$F$32,4,IF($K267&gt;PARAMETRES!$E$32,3,IF($K267&gt;PARAMETRES!$D$32,2,1))))))</f>
        <v/>
      </c>
      <c r="T267" t="str">
        <f>IF($L267="","",IF($L267&gt;PARAMETRES!$G$33,5,IF($L267&gt;PARAMETRES!$F$33,4,IF($L267&gt;PARAMETRES!$E$33,3,IF($L267&gt;PARAMETRES!$D$33,2,1)))))</f>
        <v/>
      </c>
      <c r="U267" t="str">
        <f>IF($M267="","",IF($M267&gt;PARAMETRES!$G$34,5,IF($M267&gt;PARAMETRES!$F$34,4,IF($M267&gt;PARAMETRES!$E$34,3,IF($M267&gt;PARAMETRES!$D$34,2,1)))))</f>
        <v/>
      </c>
      <c r="V267" t="str">
        <f>IF($N267="","",IF($N267&gt;PARAMETRES!$G$35,5,IF($N267&gt;PARAMETRES!$F$35,4,IF($N267&gt;PARAMETRES!$E$35,3,IF($N267&gt;PARAMETRES!$D$35,2,1)))))</f>
        <v/>
      </c>
      <c r="W267" t="str">
        <f>IF($O267="","",IF($O267&gt;PARAMETRES!$G$36,5,IF($O267&gt;PARAMETRES!$F$36,4,IF($O267&gt;PARAMETRES!$E$36,3,IF($O267&gt;PARAMETRES!$D$36,2,1)))))</f>
        <v/>
      </c>
      <c r="X267" t="str">
        <f>IF($P267="","",IF($P267&gt;PARAMETRES!$G$37,5,IF($P267&gt;PARAMETRES!$F$37,4,IF($P267&gt;PARAMETRES!$E$37,3,IF($P267&gt;PARAMETRES!$D$37,2,1)))))</f>
        <v/>
      </c>
      <c r="Y267" t="str">
        <f t="shared" si="96"/>
        <v/>
      </c>
      <c r="Z267" t="str">
        <f>IFERROR(VLOOKUP($B267,TABLE_CYCLE,2,0),"")</f>
        <v/>
      </c>
      <c r="AA267" t="str">
        <f t="shared" si="97"/>
        <v/>
      </c>
      <c r="AB267" t="str">
        <f>IF($D267="","",IF(COUNTIF($D$2:$D267,$D267)=1,$D267,""))</f>
        <v/>
      </c>
      <c r="AC267">
        <f t="shared" si="98"/>
        <v>0</v>
      </c>
      <c r="AD267" t="str">
        <f t="shared" si="99"/>
        <v>|0</v>
      </c>
      <c r="AE267" t="str">
        <f t="shared" si="100"/>
        <v/>
      </c>
      <c r="AF267" t="str">
        <f t="shared" si="101"/>
        <v/>
      </c>
      <c r="AG267" t="str">
        <f t="shared" si="102"/>
        <v/>
      </c>
      <c r="AH267" t="str">
        <f t="shared" si="103"/>
        <v/>
      </c>
      <c r="AI267" t="str">
        <f t="shared" si="104"/>
        <v/>
      </c>
      <c r="AJ267" t="str">
        <f t="shared" si="105"/>
        <v/>
      </c>
      <c r="AK267" t="str">
        <f t="shared" si="106"/>
        <v/>
      </c>
      <c r="AL267" t="str">
        <f t="shared" si="107"/>
        <v/>
      </c>
      <c r="AM267" t="str">
        <f t="shared" si="108"/>
        <v/>
      </c>
      <c r="AN267" t="str">
        <f t="shared" si="109"/>
        <v/>
      </c>
      <c r="AO267" t="str">
        <f t="shared" si="110"/>
        <v/>
      </c>
      <c r="AP267">
        <f t="shared" si="111"/>
        <v>1</v>
      </c>
      <c r="AQ267" t="str">
        <f>IF(SAISIE!$F272="","",SAISIE!$Y272)</f>
        <v/>
      </c>
      <c r="AR267" t="str">
        <f>IF(OR(SAISIE!$U$4="",SAISIE!$W$4=""),"",IF(AND($A267=SAISIE!$U$4,$B267=SAISIE!$W$4,$C267="S1"),COUNTIFS($A$2:$A267,SAISIE!$U$4,$B$2:$B267,SAISIE!$W$4,$C$2:$C267,"S1"),""))</f>
        <v/>
      </c>
      <c r="AS267" t="str">
        <f t="shared" si="112"/>
        <v/>
      </c>
      <c r="AT267" t="str">
        <f t="shared" si="113"/>
        <v/>
      </c>
      <c r="AU267" t="str">
        <f t="shared" si="114"/>
        <v/>
      </c>
      <c r="AV267">
        <f>N(AV266)+IF(AND($AB267&lt;&gt;"",OR('PROFIL ELEVE'!$K$4="(Tous)",$AF267='PROFIL ELEVE'!$K$4)),1,0)</f>
        <v>0</v>
      </c>
      <c r="AW267">
        <f>N(AW266)+IF(AND($AB267&lt;&gt;"",OR('SUIVI LONGITUDINAL'!$Q$4="(Tous)",$AF267='SUIVI LONGITUDINAL'!$Q$4)),1,0)</f>
        <v>0</v>
      </c>
      <c r="AX267">
        <f t="shared" si="115"/>
        <v>0</v>
      </c>
      <c r="AY267">
        <f t="shared" si="116"/>
        <v>0</v>
      </c>
      <c r="AZ267">
        <f t="shared" si="117"/>
        <v>0</v>
      </c>
      <c r="BA267" t="str">
        <f t="shared" si="118"/>
        <v/>
      </c>
      <c r="BB267" t="str">
        <f t="shared" si="119"/>
        <v/>
      </c>
    </row>
    <row r="268" spans="1:54" ht="14.25" customHeight="1" x14ac:dyDescent="0.3">
      <c r="A268" t="str">
        <f>IF(SAISIE!$F273="","",SAISIE!$B273)</f>
        <v/>
      </c>
      <c r="B268" t="str">
        <f>IF(SAISIE!$F273="","",SAISIE!$C273)</f>
        <v/>
      </c>
      <c r="C268" t="str">
        <f>IF(SAISIE!$F273="","",SAISIE!$D273)</f>
        <v/>
      </c>
      <c r="D268" t="str">
        <f>IF(SAISIE!$E273="","",SAISIE!$E273)</f>
        <v/>
      </c>
      <c r="E268" t="str">
        <f>IF(SAISIE!$F273="","",SAISIE!$F273)</f>
        <v/>
      </c>
      <c r="F268" t="str">
        <f>IF(SAISIE!$G273="","",SAISIE!$G273)</f>
        <v/>
      </c>
      <c r="G268" t="str">
        <f>IF(SAISIE!$H273="","",SAISIE!$H273)</f>
        <v/>
      </c>
      <c r="H268" t="str">
        <f>IF(SAISIE!$I273="","",SAISIE!$I273)</f>
        <v/>
      </c>
      <c r="I268" t="str">
        <f>IF(SAISIE!$J273="","",SAISIE!$J273)</f>
        <v/>
      </c>
      <c r="J268" t="str">
        <f>IF(SAISIE!$K273="","",SAISIE!$K273)</f>
        <v/>
      </c>
      <c r="K268" t="str">
        <f>IF(SAISIE!$L273="","",SAISIE!$L273)</f>
        <v/>
      </c>
      <c r="L268" t="str">
        <f>IF(SAISIE!$M273="","",SAISIE!$M273)</f>
        <v/>
      </c>
      <c r="M268" t="str">
        <f>IF(SAISIE!$N273="","",SAISIE!$N273)</f>
        <v/>
      </c>
      <c r="N268" t="str">
        <f>IF(SAISIE!$O273="","",SAISIE!$O273)</f>
        <v/>
      </c>
      <c r="O268" t="str">
        <f>IF(SAISIE!$P273="","",SAISIE!$P273)</f>
        <v/>
      </c>
      <c r="P268" t="str">
        <f>IF(SAISIE!$Q273="","",SAISIE!$Q273)</f>
        <v/>
      </c>
      <c r="Q268" t="str">
        <f>IF($I268="","",IF($I268&gt;PARAMETRES!$G$29,5,IF($I268&gt;PARAMETRES!$F$29,4,IF($I268&gt;PARAMETRES!$E$29,3,IF($I268&gt;PARAMETRES!$D$29,2,1)))))</f>
        <v/>
      </c>
      <c r="R268" t="str">
        <f>IF($J268="","",IF($J268&gt;PARAMETRES!$G$30,5,IF($J268&gt;PARAMETRES!$F$30,4,IF($J268&gt;PARAMETRES!$E$30,3,IF($J268&gt;PARAMETRES!$D$30,2,1)))))</f>
        <v/>
      </c>
      <c r="S268" t="str">
        <f>IF($K268="","",IF($Z268=2,IF($K268&gt;PARAMETRES!$G$31,5,IF($K268&gt;PARAMETRES!$F$31,4,IF($K268&gt;PARAMETRES!$E$31,3,IF($K268&gt;PARAMETRES!$D$31,2,1)))),IF($K268&gt;PARAMETRES!$G$32,5,IF($K268&gt;PARAMETRES!$F$32,4,IF($K268&gt;PARAMETRES!$E$32,3,IF($K268&gt;PARAMETRES!$D$32,2,1))))))</f>
        <v/>
      </c>
      <c r="T268" t="str">
        <f>IF($L268="","",IF($L268&gt;PARAMETRES!$G$33,5,IF($L268&gt;PARAMETRES!$F$33,4,IF($L268&gt;PARAMETRES!$E$33,3,IF($L268&gt;PARAMETRES!$D$33,2,1)))))</f>
        <v/>
      </c>
      <c r="U268" t="str">
        <f>IF($M268="","",IF($M268&gt;PARAMETRES!$G$34,5,IF($M268&gt;PARAMETRES!$F$34,4,IF($M268&gt;PARAMETRES!$E$34,3,IF($M268&gt;PARAMETRES!$D$34,2,1)))))</f>
        <v/>
      </c>
      <c r="V268" t="str">
        <f>IF($N268="","",IF($N268&gt;PARAMETRES!$G$35,5,IF($N268&gt;PARAMETRES!$F$35,4,IF($N268&gt;PARAMETRES!$E$35,3,IF($N268&gt;PARAMETRES!$D$35,2,1)))))</f>
        <v/>
      </c>
      <c r="W268" t="str">
        <f>IF($O268="","",IF($O268&gt;PARAMETRES!$G$36,5,IF($O268&gt;PARAMETRES!$F$36,4,IF($O268&gt;PARAMETRES!$E$36,3,IF($O268&gt;PARAMETRES!$D$36,2,1)))))</f>
        <v/>
      </c>
      <c r="X268" t="str">
        <f>IF($P268="","",IF($P268&gt;PARAMETRES!$G$37,5,IF($P268&gt;PARAMETRES!$F$37,4,IF($P268&gt;PARAMETRES!$E$37,3,IF($P268&gt;PARAMETRES!$D$37,2,1)))))</f>
        <v/>
      </c>
      <c r="Y268" t="str">
        <f t="shared" si="96"/>
        <v/>
      </c>
      <c r="Z268" t="str">
        <f>IFERROR(VLOOKUP($B268,TABLE_CYCLE,2,0),"")</f>
        <v/>
      </c>
      <c r="AA268" t="str">
        <f t="shared" si="97"/>
        <v/>
      </c>
      <c r="AB268" t="str">
        <f>IF($D268="","",IF(COUNTIF($D$2:$D268,$D268)=1,$D268,""))</f>
        <v/>
      </c>
      <c r="AC268">
        <f t="shared" si="98"/>
        <v>0</v>
      </c>
      <c r="AD268" t="str">
        <f t="shared" si="99"/>
        <v>|0</v>
      </c>
      <c r="AE268" t="str">
        <f t="shared" si="100"/>
        <v/>
      </c>
      <c r="AF268" t="str">
        <f t="shared" si="101"/>
        <v/>
      </c>
      <c r="AG268" t="str">
        <f t="shared" si="102"/>
        <v/>
      </c>
      <c r="AH268" t="str">
        <f t="shared" si="103"/>
        <v/>
      </c>
      <c r="AI268" t="str">
        <f t="shared" si="104"/>
        <v/>
      </c>
      <c r="AJ268" t="str">
        <f t="shared" si="105"/>
        <v/>
      </c>
      <c r="AK268" t="str">
        <f t="shared" si="106"/>
        <v/>
      </c>
      <c r="AL268" t="str">
        <f t="shared" si="107"/>
        <v/>
      </c>
      <c r="AM268" t="str">
        <f t="shared" si="108"/>
        <v/>
      </c>
      <c r="AN268" t="str">
        <f t="shared" si="109"/>
        <v/>
      </c>
      <c r="AO268" t="str">
        <f t="shared" si="110"/>
        <v/>
      </c>
      <c r="AP268">
        <f t="shared" si="111"/>
        <v>1</v>
      </c>
      <c r="AQ268" t="str">
        <f>IF(SAISIE!$F273="","",SAISIE!$Y273)</f>
        <v/>
      </c>
      <c r="AR268" t="str">
        <f>IF(OR(SAISIE!$U$4="",SAISIE!$W$4=""),"",IF(AND($A268=SAISIE!$U$4,$B268=SAISIE!$W$4,$C268="S1"),COUNTIFS($A$2:$A268,SAISIE!$U$4,$B$2:$B268,SAISIE!$W$4,$C$2:$C268,"S1"),""))</f>
        <v/>
      </c>
      <c r="AS268" t="str">
        <f t="shared" si="112"/>
        <v/>
      </c>
      <c r="AT268" t="str">
        <f t="shared" si="113"/>
        <v/>
      </c>
      <c r="AU268" t="str">
        <f t="shared" si="114"/>
        <v/>
      </c>
      <c r="AV268">
        <f>N(AV267)+IF(AND($AB268&lt;&gt;"",OR('PROFIL ELEVE'!$K$4="(Tous)",$AF268='PROFIL ELEVE'!$K$4)),1,0)</f>
        <v>0</v>
      </c>
      <c r="AW268">
        <f>N(AW267)+IF(AND($AB268&lt;&gt;"",OR('SUIVI LONGITUDINAL'!$Q$4="(Tous)",$AF268='SUIVI LONGITUDINAL'!$Q$4)),1,0)</f>
        <v>0</v>
      </c>
      <c r="AX268">
        <f t="shared" si="115"/>
        <v>0</v>
      </c>
      <c r="AY268">
        <f t="shared" si="116"/>
        <v>0</v>
      </c>
      <c r="AZ268">
        <f t="shared" si="117"/>
        <v>0</v>
      </c>
      <c r="BA268" t="str">
        <f t="shared" si="118"/>
        <v/>
      </c>
      <c r="BB268" t="str">
        <f t="shared" si="119"/>
        <v/>
      </c>
    </row>
    <row r="269" spans="1:54" ht="14.25" customHeight="1" x14ac:dyDescent="0.3">
      <c r="A269" t="str">
        <f>IF(SAISIE!$F274="","",SAISIE!$B274)</f>
        <v/>
      </c>
      <c r="B269" t="str">
        <f>IF(SAISIE!$F274="","",SAISIE!$C274)</f>
        <v/>
      </c>
      <c r="C269" t="str">
        <f>IF(SAISIE!$F274="","",SAISIE!$D274)</f>
        <v/>
      </c>
      <c r="D269" t="str">
        <f>IF(SAISIE!$E274="","",SAISIE!$E274)</f>
        <v/>
      </c>
      <c r="E269" t="str">
        <f>IF(SAISIE!$F274="","",SAISIE!$F274)</f>
        <v/>
      </c>
      <c r="F269" t="str">
        <f>IF(SAISIE!$G274="","",SAISIE!$G274)</f>
        <v/>
      </c>
      <c r="G269" t="str">
        <f>IF(SAISIE!$H274="","",SAISIE!$H274)</f>
        <v/>
      </c>
      <c r="H269" t="str">
        <f>IF(SAISIE!$I274="","",SAISIE!$I274)</f>
        <v/>
      </c>
      <c r="I269" t="str">
        <f>IF(SAISIE!$J274="","",SAISIE!$J274)</f>
        <v/>
      </c>
      <c r="J269" t="str">
        <f>IF(SAISIE!$K274="","",SAISIE!$K274)</f>
        <v/>
      </c>
      <c r="K269" t="str">
        <f>IF(SAISIE!$L274="","",SAISIE!$L274)</f>
        <v/>
      </c>
      <c r="L269" t="str">
        <f>IF(SAISIE!$M274="","",SAISIE!$M274)</f>
        <v/>
      </c>
      <c r="M269" t="str">
        <f>IF(SAISIE!$N274="","",SAISIE!$N274)</f>
        <v/>
      </c>
      <c r="N269" t="str">
        <f>IF(SAISIE!$O274="","",SAISIE!$O274)</f>
        <v/>
      </c>
      <c r="O269" t="str">
        <f>IF(SAISIE!$P274="","",SAISIE!$P274)</f>
        <v/>
      </c>
      <c r="P269" t="str">
        <f>IF(SAISIE!$Q274="","",SAISIE!$Q274)</f>
        <v/>
      </c>
      <c r="Q269" t="str">
        <f>IF($I269="","",IF($I269&gt;PARAMETRES!$G$29,5,IF($I269&gt;PARAMETRES!$F$29,4,IF($I269&gt;PARAMETRES!$E$29,3,IF($I269&gt;PARAMETRES!$D$29,2,1)))))</f>
        <v/>
      </c>
      <c r="R269" t="str">
        <f>IF($J269="","",IF($J269&gt;PARAMETRES!$G$30,5,IF($J269&gt;PARAMETRES!$F$30,4,IF($J269&gt;PARAMETRES!$E$30,3,IF($J269&gt;PARAMETRES!$D$30,2,1)))))</f>
        <v/>
      </c>
      <c r="S269" t="str">
        <f>IF($K269="","",IF($Z269=2,IF($K269&gt;PARAMETRES!$G$31,5,IF($K269&gt;PARAMETRES!$F$31,4,IF($K269&gt;PARAMETRES!$E$31,3,IF($K269&gt;PARAMETRES!$D$31,2,1)))),IF($K269&gt;PARAMETRES!$G$32,5,IF($K269&gt;PARAMETRES!$F$32,4,IF($K269&gt;PARAMETRES!$E$32,3,IF($K269&gt;PARAMETRES!$D$32,2,1))))))</f>
        <v/>
      </c>
      <c r="T269" t="str">
        <f>IF($L269="","",IF($L269&gt;PARAMETRES!$G$33,5,IF($L269&gt;PARAMETRES!$F$33,4,IF($L269&gt;PARAMETRES!$E$33,3,IF($L269&gt;PARAMETRES!$D$33,2,1)))))</f>
        <v/>
      </c>
      <c r="U269" t="str">
        <f>IF($M269="","",IF($M269&gt;PARAMETRES!$G$34,5,IF($M269&gt;PARAMETRES!$F$34,4,IF($M269&gt;PARAMETRES!$E$34,3,IF($M269&gt;PARAMETRES!$D$34,2,1)))))</f>
        <v/>
      </c>
      <c r="V269" t="str">
        <f>IF($N269="","",IF($N269&gt;PARAMETRES!$G$35,5,IF($N269&gt;PARAMETRES!$F$35,4,IF($N269&gt;PARAMETRES!$E$35,3,IF($N269&gt;PARAMETRES!$D$35,2,1)))))</f>
        <v/>
      </c>
      <c r="W269" t="str">
        <f>IF($O269="","",IF($O269&gt;PARAMETRES!$G$36,5,IF($O269&gt;PARAMETRES!$F$36,4,IF($O269&gt;PARAMETRES!$E$36,3,IF($O269&gt;PARAMETRES!$D$36,2,1)))))</f>
        <v/>
      </c>
      <c r="X269" t="str">
        <f>IF($P269="","",IF($P269&gt;PARAMETRES!$G$37,5,IF($P269&gt;PARAMETRES!$F$37,4,IF($P269&gt;PARAMETRES!$E$37,3,IF($P269&gt;PARAMETRES!$D$37,2,1)))))</f>
        <v/>
      </c>
      <c r="Y269" t="str">
        <f t="shared" si="96"/>
        <v/>
      </c>
      <c r="Z269" t="str">
        <f>IFERROR(VLOOKUP($B269,TABLE_CYCLE,2,0),"")</f>
        <v/>
      </c>
      <c r="AA269" t="str">
        <f t="shared" si="97"/>
        <v/>
      </c>
      <c r="AB269" t="str">
        <f>IF($D269="","",IF(COUNTIF($D$2:$D269,$D269)=1,$D269,""))</f>
        <v/>
      </c>
      <c r="AC269">
        <f t="shared" si="98"/>
        <v>0</v>
      </c>
      <c r="AD269" t="str">
        <f t="shared" si="99"/>
        <v>|0</v>
      </c>
      <c r="AE269" t="str">
        <f t="shared" si="100"/>
        <v/>
      </c>
      <c r="AF269" t="str">
        <f t="shared" si="101"/>
        <v/>
      </c>
      <c r="AG269" t="str">
        <f t="shared" si="102"/>
        <v/>
      </c>
      <c r="AH269" t="str">
        <f t="shared" si="103"/>
        <v/>
      </c>
      <c r="AI269" t="str">
        <f t="shared" si="104"/>
        <v/>
      </c>
      <c r="AJ269" t="str">
        <f t="shared" si="105"/>
        <v/>
      </c>
      <c r="AK269" t="str">
        <f t="shared" si="106"/>
        <v/>
      </c>
      <c r="AL269" t="str">
        <f t="shared" si="107"/>
        <v/>
      </c>
      <c r="AM269" t="str">
        <f t="shared" si="108"/>
        <v/>
      </c>
      <c r="AN269" t="str">
        <f t="shared" si="109"/>
        <v/>
      </c>
      <c r="AO269" t="str">
        <f t="shared" si="110"/>
        <v/>
      </c>
      <c r="AP269">
        <f t="shared" si="111"/>
        <v>1</v>
      </c>
      <c r="AQ269" t="str">
        <f>IF(SAISIE!$F274="","",SAISIE!$Y274)</f>
        <v/>
      </c>
      <c r="AR269" t="str">
        <f>IF(OR(SAISIE!$U$4="",SAISIE!$W$4=""),"",IF(AND($A269=SAISIE!$U$4,$B269=SAISIE!$W$4,$C269="S1"),COUNTIFS($A$2:$A269,SAISIE!$U$4,$B$2:$B269,SAISIE!$W$4,$C$2:$C269,"S1"),""))</f>
        <v/>
      </c>
      <c r="AS269" t="str">
        <f t="shared" si="112"/>
        <v/>
      </c>
      <c r="AT269" t="str">
        <f t="shared" si="113"/>
        <v/>
      </c>
      <c r="AU269" t="str">
        <f t="shared" si="114"/>
        <v/>
      </c>
      <c r="AV269">
        <f>N(AV268)+IF(AND($AB269&lt;&gt;"",OR('PROFIL ELEVE'!$K$4="(Tous)",$AF269='PROFIL ELEVE'!$K$4)),1,0)</f>
        <v>0</v>
      </c>
      <c r="AW269">
        <f>N(AW268)+IF(AND($AB269&lt;&gt;"",OR('SUIVI LONGITUDINAL'!$Q$4="(Tous)",$AF269='SUIVI LONGITUDINAL'!$Q$4)),1,0)</f>
        <v>0</v>
      </c>
      <c r="AX269">
        <f t="shared" si="115"/>
        <v>0</v>
      </c>
      <c r="AY269">
        <f t="shared" si="116"/>
        <v>0</v>
      </c>
      <c r="AZ269">
        <f t="shared" si="117"/>
        <v>0</v>
      </c>
      <c r="BA269" t="str">
        <f t="shared" si="118"/>
        <v/>
      </c>
      <c r="BB269" t="str">
        <f t="shared" si="119"/>
        <v/>
      </c>
    </row>
    <row r="270" spans="1:54" ht="14.25" customHeight="1" x14ac:dyDescent="0.3">
      <c r="A270" t="str">
        <f>IF(SAISIE!$F275="","",SAISIE!$B275)</f>
        <v/>
      </c>
      <c r="B270" t="str">
        <f>IF(SAISIE!$F275="","",SAISIE!$C275)</f>
        <v/>
      </c>
      <c r="C270" t="str">
        <f>IF(SAISIE!$F275="","",SAISIE!$D275)</f>
        <v/>
      </c>
      <c r="D270" t="str">
        <f>IF(SAISIE!$E275="","",SAISIE!$E275)</f>
        <v/>
      </c>
      <c r="E270" t="str">
        <f>IF(SAISIE!$F275="","",SAISIE!$F275)</f>
        <v/>
      </c>
      <c r="F270" t="str">
        <f>IF(SAISIE!$G275="","",SAISIE!$G275)</f>
        <v/>
      </c>
      <c r="G270" t="str">
        <f>IF(SAISIE!$H275="","",SAISIE!$H275)</f>
        <v/>
      </c>
      <c r="H270" t="str">
        <f>IF(SAISIE!$I275="","",SAISIE!$I275)</f>
        <v/>
      </c>
      <c r="I270" t="str">
        <f>IF(SAISIE!$J275="","",SAISIE!$J275)</f>
        <v/>
      </c>
      <c r="J270" t="str">
        <f>IF(SAISIE!$K275="","",SAISIE!$K275)</f>
        <v/>
      </c>
      <c r="K270" t="str">
        <f>IF(SAISIE!$L275="","",SAISIE!$L275)</f>
        <v/>
      </c>
      <c r="L270" t="str">
        <f>IF(SAISIE!$M275="","",SAISIE!$M275)</f>
        <v/>
      </c>
      <c r="M270" t="str">
        <f>IF(SAISIE!$N275="","",SAISIE!$N275)</f>
        <v/>
      </c>
      <c r="N270" t="str">
        <f>IF(SAISIE!$O275="","",SAISIE!$O275)</f>
        <v/>
      </c>
      <c r="O270" t="str">
        <f>IF(SAISIE!$P275="","",SAISIE!$P275)</f>
        <v/>
      </c>
      <c r="P270" t="str">
        <f>IF(SAISIE!$Q275="","",SAISIE!$Q275)</f>
        <v/>
      </c>
      <c r="Q270" t="str">
        <f>IF($I270="","",IF($I270&gt;PARAMETRES!$G$29,5,IF($I270&gt;PARAMETRES!$F$29,4,IF($I270&gt;PARAMETRES!$E$29,3,IF($I270&gt;PARAMETRES!$D$29,2,1)))))</f>
        <v/>
      </c>
      <c r="R270" t="str">
        <f>IF($J270="","",IF($J270&gt;PARAMETRES!$G$30,5,IF($J270&gt;PARAMETRES!$F$30,4,IF($J270&gt;PARAMETRES!$E$30,3,IF($J270&gt;PARAMETRES!$D$30,2,1)))))</f>
        <v/>
      </c>
      <c r="S270" t="str">
        <f>IF($K270="","",IF($Z270=2,IF($K270&gt;PARAMETRES!$G$31,5,IF($K270&gt;PARAMETRES!$F$31,4,IF($K270&gt;PARAMETRES!$E$31,3,IF($K270&gt;PARAMETRES!$D$31,2,1)))),IF($K270&gt;PARAMETRES!$G$32,5,IF($K270&gt;PARAMETRES!$F$32,4,IF($K270&gt;PARAMETRES!$E$32,3,IF($K270&gt;PARAMETRES!$D$32,2,1))))))</f>
        <v/>
      </c>
      <c r="T270" t="str">
        <f>IF($L270="","",IF($L270&gt;PARAMETRES!$G$33,5,IF($L270&gt;PARAMETRES!$F$33,4,IF($L270&gt;PARAMETRES!$E$33,3,IF($L270&gt;PARAMETRES!$D$33,2,1)))))</f>
        <v/>
      </c>
      <c r="U270" t="str">
        <f>IF($M270="","",IF($M270&gt;PARAMETRES!$G$34,5,IF($M270&gt;PARAMETRES!$F$34,4,IF($M270&gt;PARAMETRES!$E$34,3,IF($M270&gt;PARAMETRES!$D$34,2,1)))))</f>
        <v/>
      </c>
      <c r="V270" t="str">
        <f>IF($N270="","",IF($N270&gt;PARAMETRES!$G$35,5,IF($N270&gt;PARAMETRES!$F$35,4,IF($N270&gt;PARAMETRES!$E$35,3,IF($N270&gt;PARAMETRES!$D$35,2,1)))))</f>
        <v/>
      </c>
      <c r="W270" t="str">
        <f>IF($O270="","",IF($O270&gt;PARAMETRES!$G$36,5,IF($O270&gt;PARAMETRES!$F$36,4,IF($O270&gt;PARAMETRES!$E$36,3,IF($O270&gt;PARAMETRES!$D$36,2,1)))))</f>
        <v/>
      </c>
      <c r="X270" t="str">
        <f>IF($P270="","",IF($P270&gt;PARAMETRES!$G$37,5,IF($P270&gt;PARAMETRES!$F$37,4,IF($P270&gt;PARAMETRES!$E$37,3,IF($P270&gt;PARAMETRES!$D$37,2,1)))))</f>
        <v/>
      </c>
      <c r="Y270" t="str">
        <f t="shared" si="96"/>
        <v/>
      </c>
      <c r="Z270" t="str">
        <f>IFERROR(VLOOKUP($B270,TABLE_CYCLE,2,0),"")</f>
        <v/>
      </c>
      <c r="AA270" t="str">
        <f t="shared" si="97"/>
        <v/>
      </c>
      <c r="AB270" t="str">
        <f>IF($D270="","",IF(COUNTIF($D$2:$D270,$D270)=1,$D270,""))</f>
        <v/>
      </c>
      <c r="AC270">
        <f t="shared" si="98"/>
        <v>0</v>
      </c>
      <c r="AD270" t="str">
        <f t="shared" si="99"/>
        <v>|0</v>
      </c>
      <c r="AE270" t="str">
        <f t="shared" si="100"/>
        <v/>
      </c>
      <c r="AF270" t="str">
        <f t="shared" si="101"/>
        <v/>
      </c>
      <c r="AG270" t="str">
        <f t="shared" si="102"/>
        <v/>
      </c>
      <c r="AH270" t="str">
        <f t="shared" si="103"/>
        <v/>
      </c>
      <c r="AI270" t="str">
        <f t="shared" si="104"/>
        <v/>
      </c>
      <c r="AJ270" t="str">
        <f t="shared" si="105"/>
        <v/>
      </c>
      <c r="AK270" t="str">
        <f t="shared" si="106"/>
        <v/>
      </c>
      <c r="AL270" t="str">
        <f t="shared" si="107"/>
        <v/>
      </c>
      <c r="AM270" t="str">
        <f t="shared" si="108"/>
        <v/>
      </c>
      <c r="AN270" t="str">
        <f t="shared" si="109"/>
        <v/>
      </c>
      <c r="AO270" t="str">
        <f t="shared" si="110"/>
        <v/>
      </c>
      <c r="AP270">
        <f t="shared" si="111"/>
        <v>1</v>
      </c>
      <c r="AQ270" t="str">
        <f>IF(SAISIE!$F275="","",SAISIE!$Y275)</f>
        <v/>
      </c>
      <c r="AR270" t="str">
        <f>IF(OR(SAISIE!$U$4="",SAISIE!$W$4=""),"",IF(AND($A270=SAISIE!$U$4,$B270=SAISIE!$W$4,$C270="S1"),COUNTIFS($A$2:$A270,SAISIE!$U$4,$B$2:$B270,SAISIE!$W$4,$C$2:$C270,"S1"),""))</f>
        <v/>
      </c>
      <c r="AS270" t="str">
        <f t="shared" si="112"/>
        <v/>
      </c>
      <c r="AT270" t="str">
        <f t="shared" si="113"/>
        <v/>
      </c>
      <c r="AU270" t="str">
        <f t="shared" si="114"/>
        <v/>
      </c>
      <c r="AV270">
        <f>N(AV269)+IF(AND($AB270&lt;&gt;"",OR('PROFIL ELEVE'!$K$4="(Tous)",$AF270='PROFIL ELEVE'!$K$4)),1,0)</f>
        <v>0</v>
      </c>
      <c r="AW270">
        <f>N(AW269)+IF(AND($AB270&lt;&gt;"",OR('SUIVI LONGITUDINAL'!$Q$4="(Tous)",$AF270='SUIVI LONGITUDINAL'!$Q$4)),1,0)</f>
        <v>0</v>
      </c>
      <c r="AX270">
        <f t="shared" si="115"/>
        <v>0</v>
      </c>
      <c r="AY270">
        <f t="shared" si="116"/>
        <v>0</v>
      </c>
      <c r="AZ270">
        <f t="shared" si="117"/>
        <v>0</v>
      </c>
      <c r="BA270" t="str">
        <f t="shared" si="118"/>
        <v/>
      </c>
      <c r="BB270" t="str">
        <f t="shared" si="119"/>
        <v/>
      </c>
    </row>
    <row r="271" spans="1:54" ht="14.25" customHeight="1" x14ac:dyDescent="0.3">
      <c r="A271" t="str">
        <f>IF(SAISIE!$F276="","",SAISIE!$B276)</f>
        <v/>
      </c>
      <c r="B271" t="str">
        <f>IF(SAISIE!$F276="","",SAISIE!$C276)</f>
        <v/>
      </c>
      <c r="C271" t="str">
        <f>IF(SAISIE!$F276="","",SAISIE!$D276)</f>
        <v/>
      </c>
      <c r="D271" t="str">
        <f>IF(SAISIE!$E276="","",SAISIE!$E276)</f>
        <v/>
      </c>
      <c r="E271" t="str">
        <f>IF(SAISIE!$F276="","",SAISIE!$F276)</f>
        <v/>
      </c>
      <c r="F271" t="str">
        <f>IF(SAISIE!$G276="","",SAISIE!$G276)</f>
        <v/>
      </c>
      <c r="G271" t="str">
        <f>IF(SAISIE!$H276="","",SAISIE!$H276)</f>
        <v/>
      </c>
      <c r="H271" t="str">
        <f>IF(SAISIE!$I276="","",SAISIE!$I276)</f>
        <v/>
      </c>
      <c r="I271" t="str">
        <f>IF(SAISIE!$J276="","",SAISIE!$J276)</f>
        <v/>
      </c>
      <c r="J271" t="str">
        <f>IF(SAISIE!$K276="","",SAISIE!$K276)</f>
        <v/>
      </c>
      <c r="K271" t="str">
        <f>IF(SAISIE!$L276="","",SAISIE!$L276)</f>
        <v/>
      </c>
      <c r="L271" t="str">
        <f>IF(SAISIE!$M276="","",SAISIE!$M276)</f>
        <v/>
      </c>
      <c r="M271" t="str">
        <f>IF(SAISIE!$N276="","",SAISIE!$N276)</f>
        <v/>
      </c>
      <c r="N271" t="str">
        <f>IF(SAISIE!$O276="","",SAISIE!$O276)</f>
        <v/>
      </c>
      <c r="O271" t="str">
        <f>IF(SAISIE!$P276="","",SAISIE!$P276)</f>
        <v/>
      </c>
      <c r="P271" t="str">
        <f>IF(SAISIE!$Q276="","",SAISIE!$Q276)</f>
        <v/>
      </c>
      <c r="Q271" t="str">
        <f>IF($I271="","",IF($I271&gt;PARAMETRES!$G$29,5,IF($I271&gt;PARAMETRES!$F$29,4,IF($I271&gt;PARAMETRES!$E$29,3,IF($I271&gt;PARAMETRES!$D$29,2,1)))))</f>
        <v/>
      </c>
      <c r="R271" t="str">
        <f>IF($J271="","",IF($J271&gt;PARAMETRES!$G$30,5,IF($J271&gt;PARAMETRES!$F$30,4,IF($J271&gt;PARAMETRES!$E$30,3,IF($J271&gt;PARAMETRES!$D$30,2,1)))))</f>
        <v/>
      </c>
      <c r="S271" t="str">
        <f>IF($K271="","",IF($Z271=2,IF($K271&gt;PARAMETRES!$G$31,5,IF($K271&gt;PARAMETRES!$F$31,4,IF($K271&gt;PARAMETRES!$E$31,3,IF($K271&gt;PARAMETRES!$D$31,2,1)))),IF($K271&gt;PARAMETRES!$G$32,5,IF($K271&gt;PARAMETRES!$F$32,4,IF($K271&gt;PARAMETRES!$E$32,3,IF($K271&gt;PARAMETRES!$D$32,2,1))))))</f>
        <v/>
      </c>
      <c r="T271" t="str">
        <f>IF($L271="","",IF($L271&gt;PARAMETRES!$G$33,5,IF($L271&gt;PARAMETRES!$F$33,4,IF($L271&gt;PARAMETRES!$E$33,3,IF($L271&gt;PARAMETRES!$D$33,2,1)))))</f>
        <v/>
      </c>
      <c r="U271" t="str">
        <f>IF($M271="","",IF($M271&gt;PARAMETRES!$G$34,5,IF($M271&gt;PARAMETRES!$F$34,4,IF($M271&gt;PARAMETRES!$E$34,3,IF($M271&gt;PARAMETRES!$D$34,2,1)))))</f>
        <v/>
      </c>
      <c r="V271" t="str">
        <f>IF($N271="","",IF($N271&gt;PARAMETRES!$G$35,5,IF($N271&gt;PARAMETRES!$F$35,4,IF($N271&gt;PARAMETRES!$E$35,3,IF($N271&gt;PARAMETRES!$D$35,2,1)))))</f>
        <v/>
      </c>
      <c r="W271" t="str">
        <f>IF($O271="","",IF($O271&gt;PARAMETRES!$G$36,5,IF($O271&gt;PARAMETRES!$F$36,4,IF($O271&gt;PARAMETRES!$E$36,3,IF($O271&gt;PARAMETRES!$D$36,2,1)))))</f>
        <v/>
      </c>
      <c r="X271" t="str">
        <f>IF($P271="","",IF($P271&gt;PARAMETRES!$G$37,5,IF($P271&gt;PARAMETRES!$F$37,4,IF($P271&gt;PARAMETRES!$E$37,3,IF($P271&gt;PARAMETRES!$D$37,2,1)))))</f>
        <v/>
      </c>
      <c r="Y271" t="str">
        <f t="shared" si="96"/>
        <v/>
      </c>
      <c r="Z271" t="str">
        <f>IFERROR(VLOOKUP($B271,TABLE_CYCLE,2,0),"")</f>
        <v/>
      </c>
      <c r="AA271" t="str">
        <f t="shared" si="97"/>
        <v/>
      </c>
      <c r="AB271" t="str">
        <f>IF($D271="","",IF(COUNTIF($D$2:$D271,$D271)=1,$D271,""))</f>
        <v/>
      </c>
      <c r="AC271">
        <f t="shared" si="98"/>
        <v>0</v>
      </c>
      <c r="AD271" t="str">
        <f t="shared" si="99"/>
        <v>|0</v>
      </c>
      <c r="AE271" t="str">
        <f t="shared" si="100"/>
        <v/>
      </c>
      <c r="AF271" t="str">
        <f t="shared" si="101"/>
        <v/>
      </c>
      <c r="AG271" t="str">
        <f t="shared" si="102"/>
        <v/>
      </c>
      <c r="AH271" t="str">
        <f t="shared" si="103"/>
        <v/>
      </c>
      <c r="AI271" t="str">
        <f t="shared" si="104"/>
        <v/>
      </c>
      <c r="AJ271" t="str">
        <f t="shared" si="105"/>
        <v/>
      </c>
      <c r="AK271" t="str">
        <f t="shared" si="106"/>
        <v/>
      </c>
      <c r="AL271" t="str">
        <f t="shared" si="107"/>
        <v/>
      </c>
      <c r="AM271" t="str">
        <f t="shared" si="108"/>
        <v/>
      </c>
      <c r="AN271" t="str">
        <f t="shared" si="109"/>
        <v/>
      </c>
      <c r="AO271" t="str">
        <f t="shared" si="110"/>
        <v/>
      </c>
      <c r="AP271">
        <f t="shared" si="111"/>
        <v>1</v>
      </c>
      <c r="AQ271" t="str">
        <f>IF(SAISIE!$F276="","",SAISIE!$Y276)</f>
        <v/>
      </c>
      <c r="AR271" t="str">
        <f>IF(OR(SAISIE!$U$4="",SAISIE!$W$4=""),"",IF(AND($A271=SAISIE!$U$4,$B271=SAISIE!$W$4,$C271="S1"),COUNTIFS($A$2:$A271,SAISIE!$U$4,$B$2:$B271,SAISIE!$W$4,$C$2:$C271,"S1"),""))</f>
        <v/>
      </c>
      <c r="AS271" t="str">
        <f t="shared" si="112"/>
        <v/>
      </c>
      <c r="AT271" t="str">
        <f t="shared" si="113"/>
        <v/>
      </c>
      <c r="AU271" t="str">
        <f t="shared" si="114"/>
        <v/>
      </c>
      <c r="AV271">
        <f>N(AV270)+IF(AND($AB271&lt;&gt;"",OR('PROFIL ELEVE'!$K$4="(Tous)",$AF271='PROFIL ELEVE'!$K$4)),1,0)</f>
        <v>0</v>
      </c>
      <c r="AW271">
        <f>N(AW270)+IF(AND($AB271&lt;&gt;"",OR('SUIVI LONGITUDINAL'!$Q$4="(Tous)",$AF271='SUIVI LONGITUDINAL'!$Q$4)),1,0)</f>
        <v>0</v>
      </c>
      <c r="AX271">
        <f t="shared" si="115"/>
        <v>0</v>
      </c>
      <c r="AY271">
        <f t="shared" si="116"/>
        <v>0</v>
      </c>
      <c r="AZ271">
        <f t="shared" si="117"/>
        <v>0</v>
      </c>
      <c r="BA271" t="str">
        <f t="shared" si="118"/>
        <v/>
      </c>
      <c r="BB271" t="str">
        <f t="shared" si="119"/>
        <v/>
      </c>
    </row>
    <row r="272" spans="1:54" ht="14.25" customHeight="1" x14ac:dyDescent="0.3">
      <c r="A272" t="str">
        <f>IF(SAISIE!$F277="","",SAISIE!$B277)</f>
        <v/>
      </c>
      <c r="B272" t="str">
        <f>IF(SAISIE!$F277="","",SAISIE!$C277)</f>
        <v/>
      </c>
      <c r="C272" t="str">
        <f>IF(SAISIE!$F277="","",SAISIE!$D277)</f>
        <v/>
      </c>
      <c r="D272" t="str">
        <f>IF(SAISIE!$E277="","",SAISIE!$E277)</f>
        <v/>
      </c>
      <c r="E272" t="str">
        <f>IF(SAISIE!$F277="","",SAISIE!$F277)</f>
        <v/>
      </c>
      <c r="F272" t="str">
        <f>IF(SAISIE!$G277="","",SAISIE!$G277)</f>
        <v/>
      </c>
      <c r="G272" t="str">
        <f>IF(SAISIE!$H277="","",SAISIE!$H277)</f>
        <v/>
      </c>
      <c r="H272" t="str">
        <f>IF(SAISIE!$I277="","",SAISIE!$I277)</f>
        <v/>
      </c>
      <c r="I272" t="str">
        <f>IF(SAISIE!$J277="","",SAISIE!$J277)</f>
        <v/>
      </c>
      <c r="J272" t="str">
        <f>IF(SAISIE!$K277="","",SAISIE!$K277)</f>
        <v/>
      </c>
      <c r="K272" t="str">
        <f>IF(SAISIE!$L277="","",SAISIE!$L277)</f>
        <v/>
      </c>
      <c r="L272" t="str">
        <f>IF(SAISIE!$M277="","",SAISIE!$M277)</f>
        <v/>
      </c>
      <c r="M272" t="str">
        <f>IF(SAISIE!$N277="","",SAISIE!$N277)</f>
        <v/>
      </c>
      <c r="N272" t="str">
        <f>IF(SAISIE!$O277="","",SAISIE!$O277)</f>
        <v/>
      </c>
      <c r="O272" t="str">
        <f>IF(SAISIE!$P277="","",SAISIE!$P277)</f>
        <v/>
      </c>
      <c r="P272" t="str">
        <f>IF(SAISIE!$Q277="","",SAISIE!$Q277)</f>
        <v/>
      </c>
      <c r="Q272" t="str">
        <f>IF($I272="","",IF($I272&gt;PARAMETRES!$G$29,5,IF($I272&gt;PARAMETRES!$F$29,4,IF($I272&gt;PARAMETRES!$E$29,3,IF($I272&gt;PARAMETRES!$D$29,2,1)))))</f>
        <v/>
      </c>
      <c r="R272" t="str">
        <f>IF($J272="","",IF($J272&gt;PARAMETRES!$G$30,5,IF($J272&gt;PARAMETRES!$F$30,4,IF($J272&gt;PARAMETRES!$E$30,3,IF($J272&gt;PARAMETRES!$D$30,2,1)))))</f>
        <v/>
      </c>
      <c r="S272" t="str">
        <f>IF($K272="","",IF($Z272=2,IF($K272&gt;PARAMETRES!$G$31,5,IF($K272&gt;PARAMETRES!$F$31,4,IF($K272&gt;PARAMETRES!$E$31,3,IF($K272&gt;PARAMETRES!$D$31,2,1)))),IF($K272&gt;PARAMETRES!$G$32,5,IF($K272&gt;PARAMETRES!$F$32,4,IF($K272&gt;PARAMETRES!$E$32,3,IF($K272&gt;PARAMETRES!$D$32,2,1))))))</f>
        <v/>
      </c>
      <c r="T272" t="str">
        <f>IF($L272="","",IF($L272&gt;PARAMETRES!$G$33,5,IF($L272&gt;PARAMETRES!$F$33,4,IF($L272&gt;PARAMETRES!$E$33,3,IF($L272&gt;PARAMETRES!$D$33,2,1)))))</f>
        <v/>
      </c>
      <c r="U272" t="str">
        <f>IF($M272="","",IF($M272&gt;PARAMETRES!$G$34,5,IF($M272&gt;PARAMETRES!$F$34,4,IF($M272&gt;PARAMETRES!$E$34,3,IF($M272&gt;PARAMETRES!$D$34,2,1)))))</f>
        <v/>
      </c>
      <c r="V272" t="str">
        <f>IF($N272="","",IF($N272&gt;PARAMETRES!$G$35,5,IF($N272&gt;PARAMETRES!$F$35,4,IF($N272&gt;PARAMETRES!$E$35,3,IF($N272&gt;PARAMETRES!$D$35,2,1)))))</f>
        <v/>
      </c>
      <c r="W272" t="str">
        <f>IF($O272="","",IF($O272&gt;PARAMETRES!$G$36,5,IF($O272&gt;PARAMETRES!$F$36,4,IF($O272&gt;PARAMETRES!$E$36,3,IF($O272&gt;PARAMETRES!$D$36,2,1)))))</f>
        <v/>
      </c>
      <c r="X272" t="str">
        <f>IF($P272="","",IF($P272&gt;PARAMETRES!$G$37,5,IF($P272&gt;PARAMETRES!$F$37,4,IF($P272&gt;PARAMETRES!$E$37,3,IF($P272&gt;PARAMETRES!$D$37,2,1)))))</f>
        <v/>
      </c>
      <c r="Y272" t="str">
        <f t="shared" si="96"/>
        <v/>
      </c>
      <c r="Z272" t="str">
        <f>IFERROR(VLOOKUP($B272,TABLE_CYCLE,2,0),"")</f>
        <v/>
      </c>
      <c r="AA272" t="str">
        <f t="shared" si="97"/>
        <v/>
      </c>
      <c r="AB272" t="str">
        <f>IF($D272="","",IF(COUNTIF($D$2:$D272,$D272)=1,$D272,""))</f>
        <v/>
      </c>
      <c r="AC272">
        <f t="shared" si="98"/>
        <v>0</v>
      </c>
      <c r="AD272" t="str">
        <f t="shared" si="99"/>
        <v>|0</v>
      </c>
      <c r="AE272" t="str">
        <f t="shared" si="100"/>
        <v/>
      </c>
      <c r="AF272" t="str">
        <f t="shared" si="101"/>
        <v/>
      </c>
      <c r="AG272" t="str">
        <f t="shared" si="102"/>
        <v/>
      </c>
      <c r="AH272" t="str">
        <f t="shared" si="103"/>
        <v/>
      </c>
      <c r="AI272" t="str">
        <f t="shared" si="104"/>
        <v/>
      </c>
      <c r="AJ272" t="str">
        <f t="shared" si="105"/>
        <v/>
      </c>
      <c r="AK272" t="str">
        <f t="shared" si="106"/>
        <v/>
      </c>
      <c r="AL272" t="str">
        <f t="shared" si="107"/>
        <v/>
      </c>
      <c r="AM272" t="str">
        <f t="shared" si="108"/>
        <v/>
      </c>
      <c r="AN272" t="str">
        <f t="shared" si="109"/>
        <v/>
      </c>
      <c r="AO272" t="str">
        <f t="shared" si="110"/>
        <v/>
      </c>
      <c r="AP272">
        <f t="shared" si="111"/>
        <v>1</v>
      </c>
      <c r="AQ272" t="str">
        <f>IF(SAISIE!$F277="","",SAISIE!$Y277)</f>
        <v/>
      </c>
      <c r="AR272" t="str">
        <f>IF(OR(SAISIE!$U$4="",SAISIE!$W$4=""),"",IF(AND($A272=SAISIE!$U$4,$B272=SAISIE!$W$4,$C272="S1"),COUNTIFS($A$2:$A272,SAISIE!$U$4,$B$2:$B272,SAISIE!$W$4,$C$2:$C272,"S1"),""))</f>
        <v/>
      </c>
      <c r="AS272" t="str">
        <f t="shared" si="112"/>
        <v/>
      </c>
      <c r="AT272" t="str">
        <f t="shared" si="113"/>
        <v/>
      </c>
      <c r="AU272" t="str">
        <f t="shared" si="114"/>
        <v/>
      </c>
      <c r="AV272">
        <f>N(AV271)+IF(AND($AB272&lt;&gt;"",OR('PROFIL ELEVE'!$K$4="(Tous)",$AF272='PROFIL ELEVE'!$K$4)),1,0)</f>
        <v>0</v>
      </c>
      <c r="AW272">
        <f>N(AW271)+IF(AND($AB272&lt;&gt;"",OR('SUIVI LONGITUDINAL'!$Q$4="(Tous)",$AF272='SUIVI LONGITUDINAL'!$Q$4)),1,0)</f>
        <v>0</v>
      </c>
      <c r="AX272">
        <f t="shared" si="115"/>
        <v>0</v>
      </c>
      <c r="AY272">
        <f t="shared" si="116"/>
        <v>0</v>
      </c>
      <c r="AZ272">
        <f t="shared" si="117"/>
        <v>0</v>
      </c>
      <c r="BA272" t="str">
        <f t="shared" si="118"/>
        <v/>
      </c>
      <c r="BB272" t="str">
        <f t="shared" si="119"/>
        <v/>
      </c>
    </row>
    <row r="273" spans="1:54" ht="14.25" customHeight="1" x14ac:dyDescent="0.3">
      <c r="A273" t="str">
        <f>IF(SAISIE!$F278="","",SAISIE!$B278)</f>
        <v/>
      </c>
      <c r="B273" t="str">
        <f>IF(SAISIE!$F278="","",SAISIE!$C278)</f>
        <v/>
      </c>
      <c r="C273" t="str">
        <f>IF(SAISIE!$F278="","",SAISIE!$D278)</f>
        <v/>
      </c>
      <c r="D273" t="str">
        <f>IF(SAISIE!$E278="","",SAISIE!$E278)</f>
        <v/>
      </c>
      <c r="E273" t="str">
        <f>IF(SAISIE!$F278="","",SAISIE!$F278)</f>
        <v/>
      </c>
      <c r="F273" t="str">
        <f>IF(SAISIE!$G278="","",SAISIE!$G278)</f>
        <v/>
      </c>
      <c r="G273" t="str">
        <f>IF(SAISIE!$H278="","",SAISIE!$H278)</f>
        <v/>
      </c>
      <c r="H273" t="str">
        <f>IF(SAISIE!$I278="","",SAISIE!$I278)</f>
        <v/>
      </c>
      <c r="I273" t="str">
        <f>IF(SAISIE!$J278="","",SAISIE!$J278)</f>
        <v/>
      </c>
      <c r="J273" t="str">
        <f>IF(SAISIE!$K278="","",SAISIE!$K278)</f>
        <v/>
      </c>
      <c r="K273" t="str">
        <f>IF(SAISIE!$L278="","",SAISIE!$L278)</f>
        <v/>
      </c>
      <c r="L273" t="str">
        <f>IF(SAISIE!$M278="","",SAISIE!$M278)</f>
        <v/>
      </c>
      <c r="M273" t="str">
        <f>IF(SAISIE!$N278="","",SAISIE!$N278)</f>
        <v/>
      </c>
      <c r="N273" t="str">
        <f>IF(SAISIE!$O278="","",SAISIE!$O278)</f>
        <v/>
      </c>
      <c r="O273" t="str">
        <f>IF(SAISIE!$P278="","",SAISIE!$P278)</f>
        <v/>
      </c>
      <c r="P273" t="str">
        <f>IF(SAISIE!$Q278="","",SAISIE!$Q278)</f>
        <v/>
      </c>
      <c r="Q273" t="str">
        <f>IF($I273="","",IF($I273&gt;PARAMETRES!$G$29,5,IF($I273&gt;PARAMETRES!$F$29,4,IF($I273&gt;PARAMETRES!$E$29,3,IF($I273&gt;PARAMETRES!$D$29,2,1)))))</f>
        <v/>
      </c>
      <c r="R273" t="str">
        <f>IF($J273="","",IF($J273&gt;PARAMETRES!$G$30,5,IF($J273&gt;PARAMETRES!$F$30,4,IF($J273&gt;PARAMETRES!$E$30,3,IF($J273&gt;PARAMETRES!$D$30,2,1)))))</f>
        <v/>
      </c>
      <c r="S273" t="str">
        <f>IF($K273="","",IF($Z273=2,IF($K273&gt;PARAMETRES!$G$31,5,IF($K273&gt;PARAMETRES!$F$31,4,IF($K273&gt;PARAMETRES!$E$31,3,IF($K273&gt;PARAMETRES!$D$31,2,1)))),IF($K273&gt;PARAMETRES!$G$32,5,IF($K273&gt;PARAMETRES!$F$32,4,IF($K273&gt;PARAMETRES!$E$32,3,IF($K273&gt;PARAMETRES!$D$32,2,1))))))</f>
        <v/>
      </c>
      <c r="T273" t="str">
        <f>IF($L273="","",IF($L273&gt;PARAMETRES!$G$33,5,IF($L273&gt;PARAMETRES!$F$33,4,IF($L273&gt;PARAMETRES!$E$33,3,IF($L273&gt;PARAMETRES!$D$33,2,1)))))</f>
        <v/>
      </c>
      <c r="U273" t="str">
        <f>IF($M273="","",IF($M273&gt;PARAMETRES!$G$34,5,IF($M273&gt;PARAMETRES!$F$34,4,IF($M273&gt;PARAMETRES!$E$34,3,IF($M273&gt;PARAMETRES!$D$34,2,1)))))</f>
        <v/>
      </c>
      <c r="V273" t="str">
        <f>IF($N273="","",IF($N273&gt;PARAMETRES!$G$35,5,IF($N273&gt;PARAMETRES!$F$35,4,IF($N273&gt;PARAMETRES!$E$35,3,IF($N273&gt;PARAMETRES!$D$35,2,1)))))</f>
        <v/>
      </c>
      <c r="W273" t="str">
        <f>IF($O273="","",IF($O273&gt;PARAMETRES!$G$36,5,IF($O273&gt;PARAMETRES!$F$36,4,IF($O273&gt;PARAMETRES!$E$36,3,IF($O273&gt;PARAMETRES!$D$36,2,1)))))</f>
        <v/>
      </c>
      <c r="X273" t="str">
        <f>IF($P273="","",IF($P273&gt;PARAMETRES!$G$37,5,IF($P273&gt;PARAMETRES!$F$37,4,IF($P273&gt;PARAMETRES!$E$37,3,IF($P273&gt;PARAMETRES!$D$37,2,1)))))</f>
        <v/>
      </c>
      <c r="Y273" t="str">
        <f t="shared" si="96"/>
        <v/>
      </c>
      <c r="Z273" t="str">
        <f>IFERROR(VLOOKUP($B273,TABLE_CYCLE,2,0),"")</f>
        <v/>
      </c>
      <c r="AA273" t="str">
        <f t="shared" si="97"/>
        <v/>
      </c>
      <c r="AB273" t="str">
        <f>IF($D273="","",IF(COUNTIF($D$2:$D273,$D273)=1,$D273,""))</f>
        <v/>
      </c>
      <c r="AC273">
        <f t="shared" si="98"/>
        <v>0</v>
      </c>
      <c r="AD273" t="str">
        <f t="shared" si="99"/>
        <v>|0</v>
      </c>
      <c r="AE273" t="str">
        <f t="shared" si="100"/>
        <v/>
      </c>
      <c r="AF273" t="str">
        <f t="shared" si="101"/>
        <v/>
      </c>
      <c r="AG273" t="str">
        <f t="shared" si="102"/>
        <v/>
      </c>
      <c r="AH273" t="str">
        <f t="shared" si="103"/>
        <v/>
      </c>
      <c r="AI273" t="str">
        <f t="shared" si="104"/>
        <v/>
      </c>
      <c r="AJ273" t="str">
        <f t="shared" si="105"/>
        <v/>
      </c>
      <c r="AK273" t="str">
        <f t="shared" si="106"/>
        <v/>
      </c>
      <c r="AL273" t="str">
        <f t="shared" si="107"/>
        <v/>
      </c>
      <c r="AM273" t="str">
        <f t="shared" si="108"/>
        <v/>
      </c>
      <c r="AN273" t="str">
        <f t="shared" si="109"/>
        <v/>
      </c>
      <c r="AO273" t="str">
        <f t="shared" si="110"/>
        <v/>
      </c>
      <c r="AP273">
        <f t="shared" si="111"/>
        <v>1</v>
      </c>
      <c r="AQ273" t="str">
        <f>IF(SAISIE!$F278="","",SAISIE!$Y278)</f>
        <v/>
      </c>
      <c r="AR273" t="str">
        <f>IF(OR(SAISIE!$U$4="",SAISIE!$W$4=""),"",IF(AND($A273=SAISIE!$U$4,$B273=SAISIE!$W$4,$C273="S1"),COUNTIFS($A$2:$A273,SAISIE!$U$4,$B$2:$B273,SAISIE!$W$4,$C$2:$C273,"S1"),""))</f>
        <v/>
      </c>
      <c r="AS273" t="str">
        <f t="shared" si="112"/>
        <v/>
      </c>
      <c r="AT273" t="str">
        <f t="shared" si="113"/>
        <v/>
      </c>
      <c r="AU273" t="str">
        <f t="shared" si="114"/>
        <v/>
      </c>
      <c r="AV273">
        <f>N(AV272)+IF(AND($AB273&lt;&gt;"",OR('PROFIL ELEVE'!$K$4="(Tous)",$AF273='PROFIL ELEVE'!$K$4)),1,0)</f>
        <v>0</v>
      </c>
      <c r="AW273">
        <f>N(AW272)+IF(AND($AB273&lt;&gt;"",OR('SUIVI LONGITUDINAL'!$Q$4="(Tous)",$AF273='SUIVI LONGITUDINAL'!$Q$4)),1,0)</f>
        <v>0</v>
      </c>
      <c r="AX273">
        <f t="shared" si="115"/>
        <v>0</v>
      </c>
      <c r="AY273">
        <f t="shared" si="116"/>
        <v>0</v>
      </c>
      <c r="AZ273">
        <f t="shared" si="117"/>
        <v>0</v>
      </c>
      <c r="BA273" t="str">
        <f t="shared" si="118"/>
        <v/>
      </c>
      <c r="BB273" t="str">
        <f t="shared" si="119"/>
        <v/>
      </c>
    </row>
    <row r="274" spans="1:54" ht="14.25" customHeight="1" x14ac:dyDescent="0.3">
      <c r="A274" t="str">
        <f>IF(SAISIE!$F279="","",SAISIE!$B279)</f>
        <v/>
      </c>
      <c r="B274" t="str">
        <f>IF(SAISIE!$F279="","",SAISIE!$C279)</f>
        <v/>
      </c>
      <c r="C274" t="str">
        <f>IF(SAISIE!$F279="","",SAISIE!$D279)</f>
        <v/>
      </c>
      <c r="D274" t="str">
        <f>IF(SAISIE!$E279="","",SAISIE!$E279)</f>
        <v/>
      </c>
      <c r="E274" t="str">
        <f>IF(SAISIE!$F279="","",SAISIE!$F279)</f>
        <v/>
      </c>
      <c r="F274" t="str">
        <f>IF(SAISIE!$G279="","",SAISIE!$G279)</f>
        <v/>
      </c>
      <c r="G274" t="str">
        <f>IF(SAISIE!$H279="","",SAISIE!$H279)</f>
        <v/>
      </c>
      <c r="H274" t="str">
        <f>IF(SAISIE!$I279="","",SAISIE!$I279)</f>
        <v/>
      </c>
      <c r="I274" t="str">
        <f>IF(SAISIE!$J279="","",SAISIE!$J279)</f>
        <v/>
      </c>
      <c r="J274" t="str">
        <f>IF(SAISIE!$K279="","",SAISIE!$K279)</f>
        <v/>
      </c>
      <c r="K274" t="str">
        <f>IF(SAISIE!$L279="","",SAISIE!$L279)</f>
        <v/>
      </c>
      <c r="L274" t="str">
        <f>IF(SAISIE!$M279="","",SAISIE!$M279)</f>
        <v/>
      </c>
      <c r="M274" t="str">
        <f>IF(SAISIE!$N279="","",SAISIE!$N279)</f>
        <v/>
      </c>
      <c r="N274" t="str">
        <f>IF(SAISIE!$O279="","",SAISIE!$O279)</f>
        <v/>
      </c>
      <c r="O274" t="str">
        <f>IF(SAISIE!$P279="","",SAISIE!$P279)</f>
        <v/>
      </c>
      <c r="P274" t="str">
        <f>IF(SAISIE!$Q279="","",SAISIE!$Q279)</f>
        <v/>
      </c>
      <c r="Q274" t="str">
        <f>IF($I274="","",IF($I274&gt;PARAMETRES!$G$29,5,IF($I274&gt;PARAMETRES!$F$29,4,IF($I274&gt;PARAMETRES!$E$29,3,IF($I274&gt;PARAMETRES!$D$29,2,1)))))</f>
        <v/>
      </c>
      <c r="R274" t="str">
        <f>IF($J274="","",IF($J274&gt;PARAMETRES!$G$30,5,IF($J274&gt;PARAMETRES!$F$30,4,IF($J274&gt;PARAMETRES!$E$30,3,IF($J274&gt;PARAMETRES!$D$30,2,1)))))</f>
        <v/>
      </c>
      <c r="S274" t="str">
        <f>IF($K274="","",IF($Z274=2,IF($K274&gt;PARAMETRES!$G$31,5,IF($K274&gt;PARAMETRES!$F$31,4,IF($K274&gt;PARAMETRES!$E$31,3,IF($K274&gt;PARAMETRES!$D$31,2,1)))),IF($K274&gt;PARAMETRES!$G$32,5,IF($K274&gt;PARAMETRES!$F$32,4,IF($K274&gt;PARAMETRES!$E$32,3,IF($K274&gt;PARAMETRES!$D$32,2,1))))))</f>
        <v/>
      </c>
      <c r="T274" t="str">
        <f>IF($L274="","",IF($L274&gt;PARAMETRES!$G$33,5,IF($L274&gt;PARAMETRES!$F$33,4,IF($L274&gt;PARAMETRES!$E$33,3,IF($L274&gt;PARAMETRES!$D$33,2,1)))))</f>
        <v/>
      </c>
      <c r="U274" t="str">
        <f>IF($M274="","",IF($M274&gt;PARAMETRES!$G$34,5,IF($M274&gt;PARAMETRES!$F$34,4,IF($M274&gt;PARAMETRES!$E$34,3,IF($M274&gt;PARAMETRES!$D$34,2,1)))))</f>
        <v/>
      </c>
      <c r="V274" t="str">
        <f>IF($N274="","",IF($N274&gt;PARAMETRES!$G$35,5,IF($N274&gt;PARAMETRES!$F$35,4,IF($N274&gt;PARAMETRES!$E$35,3,IF($N274&gt;PARAMETRES!$D$35,2,1)))))</f>
        <v/>
      </c>
      <c r="W274" t="str">
        <f>IF($O274="","",IF($O274&gt;PARAMETRES!$G$36,5,IF($O274&gt;PARAMETRES!$F$36,4,IF($O274&gt;PARAMETRES!$E$36,3,IF($O274&gt;PARAMETRES!$D$36,2,1)))))</f>
        <v/>
      </c>
      <c r="X274" t="str">
        <f>IF($P274="","",IF($P274&gt;PARAMETRES!$G$37,5,IF($P274&gt;PARAMETRES!$F$37,4,IF($P274&gt;PARAMETRES!$E$37,3,IF($P274&gt;PARAMETRES!$D$37,2,1)))))</f>
        <v/>
      </c>
      <c r="Y274" t="str">
        <f t="shared" si="96"/>
        <v/>
      </c>
      <c r="Z274" t="str">
        <f>IFERROR(VLOOKUP($B274,TABLE_CYCLE,2,0),"")</f>
        <v/>
      </c>
      <c r="AA274" t="str">
        <f t="shared" si="97"/>
        <v/>
      </c>
      <c r="AB274" t="str">
        <f>IF($D274="","",IF(COUNTIF($D$2:$D274,$D274)=1,$D274,""))</f>
        <v/>
      </c>
      <c r="AC274">
        <f t="shared" si="98"/>
        <v>0</v>
      </c>
      <c r="AD274" t="str">
        <f t="shared" si="99"/>
        <v>|0</v>
      </c>
      <c r="AE274" t="str">
        <f t="shared" si="100"/>
        <v/>
      </c>
      <c r="AF274" t="str">
        <f t="shared" si="101"/>
        <v/>
      </c>
      <c r="AG274" t="str">
        <f t="shared" si="102"/>
        <v/>
      </c>
      <c r="AH274" t="str">
        <f t="shared" si="103"/>
        <v/>
      </c>
      <c r="AI274" t="str">
        <f t="shared" si="104"/>
        <v/>
      </c>
      <c r="AJ274" t="str">
        <f t="shared" si="105"/>
        <v/>
      </c>
      <c r="AK274" t="str">
        <f t="shared" si="106"/>
        <v/>
      </c>
      <c r="AL274" t="str">
        <f t="shared" si="107"/>
        <v/>
      </c>
      <c r="AM274" t="str">
        <f t="shared" si="108"/>
        <v/>
      </c>
      <c r="AN274" t="str">
        <f t="shared" si="109"/>
        <v/>
      </c>
      <c r="AO274" t="str">
        <f t="shared" si="110"/>
        <v/>
      </c>
      <c r="AP274">
        <f t="shared" si="111"/>
        <v>1</v>
      </c>
      <c r="AQ274" t="str">
        <f>IF(SAISIE!$F279="","",SAISIE!$Y279)</f>
        <v/>
      </c>
      <c r="AR274" t="str">
        <f>IF(OR(SAISIE!$U$4="",SAISIE!$W$4=""),"",IF(AND($A274=SAISIE!$U$4,$B274=SAISIE!$W$4,$C274="S1"),COUNTIFS($A$2:$A274,SAISIE!$U$4,$B$2:$B274,SAISIE!$W$4,$C$2:$C274,"S1"),""))</f>
        <v/>
      </c>
      <c r="AS274" t="str">
        <f t="shared" si="112"/>
        <v/>
      </c>
      <c r="AT274" t="str">
        <f t="shared" si="113"/>
        <v/>
      </c>
      <c r="AU274" t="str">
        <f t="shared" si="114"/>
        <v/>
      </c>
      <c r="AV274">
        <f>N(AV273)+IF(AND($AB274&lt;&gt;"",OR('PROFIL ELEVE'!$K$4="(Tous)",$AF274='PROFIL ELEVE'!$K$4)),1,0)</f>
        <v>0</v>
      </c>
      <c r="AW274">
        <f>N(AW273)+IF(AND($AB274&lt;&gt;"",OR('SUIVI LONGITUDINAL'!$Q$4="(Tous)",$AF274='SUIVI LONGITUDINAL'!$Q$4)),1,0)</f>
        <v>0</v>
      </c>
      <c r="AX274">
        <f t="shared" si="115"/>
        <v>0</v>
      </c>
      <c r="AY274">
        <f t="shared" si="116"/>
        <v>0</v>
      </c>
      <c r="AZ274">
        <f t="shared" si="117"/>
        <v>0</v>
      </c>
      <c r="BA274" t="str">
        <f t="shared" si="118"/>
        <v/>
      </c>
      <c r="BB274" t="str">
        <f t="shared" si="119"/>
        <v/>
      </c>
    </row>
    <row r="275" spans="1:54" ht="14.25" customHeight="1" x14ac:dyDescent="0.3">
      <c r="A275" t="str">
        <f>IF(SAISIE!$F280="","",SAISIE!$B280)</f>
        <v/>
      </c>
      <c r="B275" t="str">
        <f>IF(SAISIE!$F280="","",SAISIE!$C280)</f>
        <v/>
      </c>
      <c r="C275" t="str">
        <f>IF(SAISIE!$F280="","",SAISIE!$D280)</f>
        <v/>
      </c>
      <c r="D275" t="str">
        <f>IF(SAISIE!$E280="","",SAISIE!$E280)</f>
        <v/>
      </c>
      <c r="E275" t="str">
        <f>IF(SAISIE!$F280="","",SAISIE!$F280)</f>
        <v/>
      </c>
      <c r="F275" t="str">
        <f>IF(SAISIE!$G280="","",SAISIE!$G280)</f>
        <v/>
      </c>
      <c r="G275" t="str">
        <f>IF(SAISIE!$H280="","",SAISIE!$H280)</f>
        <v/>
      </c>
      <c r="H275" t="str">
        <f>IF(SAISIE!$I280="","",SAISIE!$I280)</f>
        <v/>
      </c>
      <c r="I275" t="str">
        <f>IF(SAISIE!$J280="","",SAISIE!$J280)</f>
        <v/>
      </c>
      <c r="J275" t="str">
        <f>IF(SAISIE!$K280="","",SAISIE!$K280)</f>
        <v/>
      </c>
      <c r="K275" t="str">
        <f>IF(SAISIE!$L280="","",SAISIE!$L280)</f>
        <v/>
      </c>
      <c r="L275" t="str">
        <f>IF(SAISIE!$M280="","",SAISIE!$M280)</f>
        <v/>
      </c>
      <c r="M275" t="str">
        <f>IF(SAISIE!$N280="","",SAISIE!$N280)</f>
        <v/>
      </c>
      <c r="N275" t="str">
        <f>IF(SAISIE!$O280="","",SAISIE!$O280)</f>
        <v/>
      </c>
      <c r="O275" t="str">
        <f>IF(SAISIE!$P280="","",SAISIE!$P280)</f>
        <v/>
      </c>
      <c r="P275" t="str">
        <f>IF(SAISIE!$Q280="","",SAISIE!$Q280)</f>
        <v/>
      </c>
      <c r="Q275" t="str">
        <f>IF($I275="","",IF($I275&gt;PARAMETRES!$G$29,5,IF($I275&gt;PARAMETRES!$F$29,4,IF($I275&gt;PARAMETRES!$E$29,3,IF($I275&gt;PARAMETRES!$D$29,2,1)))))</f>
        <v/>
      </c>
      <c r="R275" t="str">
        <f>IF($J275="","",IF($J275&gt;PARAMETRES!$G$30,5,IF($J275&gt;PARAMETRES!$F$30,4,IF($J275&gt;PARAMETRES!$E$30,3,IF($J275&gt;PARAMETRES!$D$30,2,1)))))</f>
        <v/>
      </c>
      <c r="S275" t="str">
        <f>IF($K275="","",IF($Z275=2,IF($K275&gt;PARAMETRES!$G$31,5,IF($K275&gt;PARAMETRES!$F$31,4,IF($K275&gt;PARAMETRES!$E$31,3,IF($K275&gt;PARAMETRES!$D$31,2,1)))),IF($K275&gt;PARAMETRES!$G$32,5,IF($K275&gt;PARAMETRES!$F$32,4,IF($K275&gt;PARAMETRES!$E$32,3,IF($K275&gt;PARAMETRES!$D$32,2,1))))))</f>
        <v/>
      </c>
      <c r="T275" t="str">
        <f>IF($L275="","",IF($L275&gt;PARAMETRES!$G$33,5,IF($L275&gt;PARAMETRES!$F$33,4,IF($L275&gt;PARAMETRES!$E$33,3,IF($L275&gt;PARAMETRES!$D$33,2,1)))))</f>
        <v/>
      </c>
      <c r="U275" t="str">
        <f>IF($M275="","",IF($M275&gt;PARAMETRES!$G$34,5,IF($M275&gt;PARAMETRES!$F$34,4,IF($M275&gt;PARAMETRES!$E$34,3,IF($M275&gt;PARAMETRES!$D$34,2,1)))))</f>
        <v/>
      </c>
      <c r="V275" t="str">
        <f>IF($N275="","",IF($N275&gt;PARAMETRES!$G$35,5,IF($N275&gt;PARAMETRES!$F$35,4,IF($N275&gt;PARAMETRES!$E$35,3,IF($N275&gt;PARAMETRES!$D$35,2,1)))))</f>
        <v/>
      </c>
      <c r="W275" t="str">
        <f>IF($O275="","",IF($O275&gt;PARAMETRES!$G$36,5,IF($O275&gt;PARAMETRES!$F$36,4,IF($O275&gt;PARAMETRES!$E$36,3,IF($O275&gt;PARAMETRES!$D$36,2,1)))))</f>
        <v/>
      </c>
      <c r="X275" t="str">
        <f>IF($P275="","",IF($P275&gt;PARAMETRES!$G$37,5,IF($P275&gt;PARAMETRES!$F$37,4,IF($P275&gt;PARAMETRES!$E$37,3,IF($P275&gt;PARAMETRES!$D$37,2,1)))))</f>
        <v/>
      </c>
      <c r="Y275" t="str">
        <f t="shared" si="96"/>
        <v/>
      </c>
      <c r="Z275" t="str">
        <f>IFERROR(VLOOKUP($B275,TABLE_CYCLE,2,0),"")</f>
        <v/>
      </c>
      <c r="AA275" t="str">
        <f t="shared" si="97"/>
        <v/>
      </c>
      <c r="AB275" t="str">
        <f>IF($D275="","",IF(COUNTIF($D$2:$D275,$D275)=1,$D275,""))</f>
        <v/>
      </c>
      <c r="AC275">
        <f t="shared" si="98"/>
        <v>0</v>
      </c>
      <c r="AD275" t="str">
        <f t="shared" si="99"/>
        <v>|0</v>
      </c>
      <c r="AE275" t="str">
        <f t="shared" si="100"/>
        <v/>
      </c>
      <c r="AF275" t="str">
        <f t="shared" si="101"/>
        <v/>
      </c>
      <c r="AG275" t="str">
        <f t="shared" si="102"/>
        <v/>
      </c>
      <c r="AH275" t="str">
        <f t="shared" si="103"/>
        <v/>
      </c>
      <c r="AI275" t="str">
        <f t="shared" si="104"/>
        <v/>
      </c>
      <c r="AJ275" t="str">
        <f t="shared" si="105"/>
        <v/>
      </c>
      <c r="AK275" t="str">
        <f t="shared" si="106"/>
        <v/>
      </c>
      <c r="AL275" t="str">
        <f t="shared" si="107"/>
        <v/>
      </c>
      <c r="AM275" t="str">
        <f t="shared" si="108"/>
        <v/>
      </c>
      <c r="AN275" t="str">
        <f t="shared" si="109"/>
        <v/>
      </c>
      <c r="AO275" t="str">
        <f t="shared" si="110"/>
        <v/>
      </c>
      <c r="AP275">
        <f t="shared" si="111"/>
        <v>1</v>
      </c>
      <c r="AQ275" t="str">
        <f>IF(SAISIE!$F280="","",SAISIE!$Y280)</f>
        <v/>
      </c>
      <c r="AR275" t="str">
        <f>IF(OR(SAISIE!$U$4="",SAISIE!$W$4=""),"",IF(AND($A275=SAISIE!$U$4,$B275=SAISIE!$W$4,$C275="S1"),COUNTIFS($A$2:$A275,SAISIE!$U$4,$B$2:$B275,SAISIE!$W$4,$C$2:$C275,"S1"),""))</f>
        <v/>
      </c>
      <c r="AS275" t="str">
        <f t="shared" si="112"/>
        <v/>
      </c>
      <c r="AT275" t="str">
        <f t="shared" si="113"/>
        <v/>
      </c>
      <c r="AU275" t="str">
        <f t="shared" si="114"/>
        <v/>
      </c>
      <c r="AV275">
        <f>N(AV274)+IF(AND($AB275&lt;&gt;"",OR('PROFIL ELEVE'!$K$4="(Tous)",$AF275='PROFIL ELEVE'!$K$4)),1,0)</f>
        <v>0</v>
      </c>
      <c r="AW275">
        <f>N(AW274)+IF(AND($AB275&lt;&gt;"",OR('SUIVI LONGITUDINAL'!$Q$4="(Tous)",$AF275='SUIVI LONGITUDINAL'!$Q$4)),1,0)</f>
        <v>0</v>
      </c>
      <c r="AX275">
        <f t="shared" si="115"/>
        <v>0</v>
      </c>
      <c r="AY275">
        <f t="shared" si="116"/>
        <v>0</v>
      </c>
      <c r="AZ275">
        <f t="shared" si="117"/>
        <v>0</v>
      </c>
      <c r="BA275" t="str">
        <f t="shared" si="118"/>
        <v/>
      </c>
      <c r="BB275" t="str">
        <f t="shared" si="119"/>
        <v/>
      </c>
    </row>
    <row r="276" spans="1:54" ht="14.25" customHeight="1" x14ac:dyDescent="0.3">
      <c r="A276" t="str">
        <f>IF(SAISIE!$F281="","",SAISIE!$B281)</f>
        <v/>
      </c>
      <c r="B276" t="str">
        <f>IF(SAISIE!$F281="","",SAISIE!$C281)</f>
        <v/>
      </c>
      <c r="C276" t="str">
        <f>IF(SAISIE!$F281="","",SAISIE!$D281)</f>
        <v/>
      </c>
      <c r="D276" t="str">
        <f>IF(SAISIE!$E281="","",SAISIE!$E281)</f>
        <v/>
      </c>
      <c r="E276" t="str">
        <f>IF(SAISIE!$F281="","",SAISIE!$F281)</f>
        <v/>
      </c>
      <c r="F276" t="str">
        <f>IF(SAISIE!$G281="","",SAISIE!$G281)</f>
        <v/>
      </c>
      <c r="G276" t="str">
        <f>IF(SAISIE!$H281="","",SAISIE!$H281)</f>
        <v/>
      </c>
      <c r="H276" t="str">
        <f>IF(SAISIE!$I281="","",SAISIE!$I281)</f>
        <v/>
      </c>
      <c r="I276" t="str">
        <f>IF(SAISIE!$J281="","",SAISIE!$J281)</f>
        <v/>
      </c>
      <c r="J276" t="str">
        <f>IF(SAISIE!$K281="","",SAISIE!$K281)</f>
        <v/>
      </c>
      <c r="K276" t="str">
        <f>IF(SAISIE!$L281="","",SAISIE!$L281)</f>
        <v/>
      </c>
      <c r="L276" t="str">
        <f>IF(SAISIE!$M281="","",SAISIE!$M281)</f>
        <v/>
      </c>
      <c r="M276" t="str">
        <f>IF(SAISIE!$N281="","",SAISIE!$N281)</f>
        <v/>
      </c>
      <c r="N276" t="str">
        <f>IF(SAISIE!$O281="","",SAISIE!$O281)</f>
        <v/>
      </c>
      <c r="O276" t="str">
        <f>IF(SAISIE!$P281="","",SAISIE!$P281)</f>
        <v/>
      </c>
      <c r="P276" t="str">
        <f>IF(SAISIE!$Q281="","",SAISIE!$Q281)</f>
        <v/>
      </c>
      <c r="Q276" t="str">
        <f>IF($I276="","",IF($I276&gt;PARAMETRES!$G$29,5,IF($I276&gt;PARAMETRES!$F$29,4,IF($I276&gt;PARAMETRES!$E$29,3,IF($I276&gt;PARAMETRES!$D$29,2,1)))))</f>
        <v/>
      </c>
      <c r="R276" t="str">
        <f>IF($J276="","",IF($J276&gt;PARAMETRES!$G$30,5,IF($J276&gt;PARAMETRES!$F$30,4,IF($J276&gt;PARAMETRES!$E$30,3,IF($J276&gt;PARAMETRES!$D$30,2,1)))))</f>
        <v/>
      </c>
      <c r="S276" t="str">
        <f>IF($K276="","",IF($Z276=2,IF($K276&gt;PARAMETRES!$G$31,5,IF($K276&gt;PARAMETRES!$F$31,4,IF($K276&gt;PARAMETRES!$E$31,3,IF($K276&gt;PARAMETRES!$D$31,2,1)))),IF($K276&gt;PARAMETRES!$G$32,5,IF($K276&gt;PARAMETRES!$F$32,4,IF($K276&gt;PARAMETRES!$E$32,3,IF($K276&gt;PARAMETRES!$D$32,2,1))))))</f>
        <v/>
      </c>
      <c r="T276" t="str">
        <f>IF($L276="","",IF($L276&gt;PARAMETRES!$G$33,5,IF($L276&gt;PARAMETRES!$F$33,4,IF($L276&gt;PARAMETRES!$E$33,3,IF($L276&gt;PARAMETRES!$D$33,2,1)))))</f>
        <v/>
      </c>
      <c r="U276" t="str">
        <f>IF($M276="","",IF($M276&gt;PARAMETRES!$G$34,5,IF($M276&gt;PARAMETRES!$F$34,4,IF($M276&gt;PARAMETRES!$E$34,3,IF($M276&gt;PARAMETRES!$D$34,2,1)))))</f>
        <v/>
      </c>
      <c r="V276" t="str">
        <f>IF($N276="","",IF($N276&gt;PARAMETRES!$G$35,5,IF($N276&gt;PARAMETRES!$F$35,4,IF($N276&gt;PARAMETRES!$E$35,3,IF($N276&gt;PARAMETRES!$D$35,2,1)))))</f>
        <v/>
      </c>
      <c r="W276" t="str">
        <f>IF($O276="","",IF($O276&gt;PARAMETRES!$G$36,5,IF($O276&gt;PARAMETRES!$F$36,4,IF($O276&gt;PARAMETRES!$E$36,3,IF($O276&gt;PARAMETRES!$D$36,2,1)))))</f>
        <v/>
      </c>
      <c r="X276" t="str">
        <f>IF($P276="","",IF($P276&gt;PARAMETRES!$G$37,5,IF($P276&gt;PARAMETRES!$F$37,4,IF($P276&gt;PARAMETRES!$E$37,3,IF($P276&gt;PARAMETRES!$D$37,2,1)))))</f>
        <v/>
      </c>
      <c r="Y276" t="str">
        <f t="shared" si="96"/>
        <v/>
      </c>
      <c r="Z276" t="str">
        <f>IFERROR(VLOOKUP($B276,TABLE_CYCLE,2,0),"")</f>
        <v/>
      </c>
      <c r="AA276" t="str">
        <f t="shared" si="97"/>
        <v/>
      </c>
      <c r="AB276" t="str">
        <f>IF($D276="","",IF(COUNTIF($D$2:$D276,$D276)=1,$D276,""))</f>
        <v/>
      </c>
      <c r="AC276">
        <f t="shared" si="98"/>
        <v>0</v>
      </c>
      <c r="AD276" t="str">
        <f t="shared" si="99"/>
        <v>|0</v>
      </c>
      <c r="AE276" t="str">
        <f t="shared" si="100"/>
        <v/>
      </c>
      <c r="AF276" t="str">
        <f t="shared" si="101"/>
        <v/>
      </c>
      <c r="AG276" t="str">
        <f t="shared" si="102"/>
        <v/>
      </c>
      <c r="AH276" t="str">
        <f t="shared" si="103"/>
        <v/>
      </c>
      <c r="AI276" t="str">
        <f t="shared" si="104"/>
        <v/>
      </c>
      <c r="AJ276" t="str">
        <f t="shared" si="105"/>
        <v/>
      </c>
      <c r="AK276" t="str">
        <f t="shared" si="106"/>
        <v/>
      </c>
      <c r="AL276" t="str">
        <f t="shared" si="107"/>
        <v/>
      </c>
      <c r="AM276" t="str">
        <f t="shared" si="108"/>
        <v/>
      </c>
      <c r="AN276" t="str">
        <f t="shared" si="109"/>
        <v/>
      </c>
      <c r="AO276" t="str">
        <f t="shared" si="110"/>
        <v/>
      </c>
      <c r="AP276">
        <f t="shared" si="111"/>
        <v>1</v>
      </c>
      <c r="AQ276" t="str">
        <f>IF(SAISIE!$F281="","",SAISIE!$Y281)</f>
        <v/>
      </c>
      <c r="AR276" t="str">
        <f>IF(OR(SAISIE!$U$4="",SAISIE!$W$4=""),"",IF(AND($A276=SAISIE!$U$4,$B276=SAISIE!$W$4,$C276="S1"),COUNTIFS($A$2:$A276,SAISIE!$U$4,$B$2:$B276,SAISIE!$W$4,$C$2:$C276,"S1"),""))</f>
        <v/>
      </c>
      <c r="AS276" t="str">
        <f t="shared" si="112"/>
        <v/>
      </c>
      <c r="AT276" t="str">
        <f t="shared" si="113"/>
        <v/>
      </c>
      <c r="AU276" t="str">
        <f t="shared" si="114"/>
        <v/>
      </c>
      <c r="AV276">
        <f>N(AV275)+IF(AND($AB276&lt;&gt;"",OR('PROFIL ELEVE'!$K$4="(Tous)",$AF276='PROFIL ELEVE'!$K$4)),1,0)</f>
        <v>0</v>
      </c>
      <c r="AW276">
        <f>N(AW275)+IF(AND($AB276&lt;&gt;"",OR('SUIVI LONGITUDINAL'!$Q$4="(Tous)",$AF276='SUIVI LONGITUDINAL'!$Q$4)),1,0)</f>
        <v>0</v>
      </c>
      <c r="AX276">
        <f t="shared" si="115"/>
        <v>0</v>
      </c>
      <c r="AY276">
        <f t="shared" si="116"/>
        <v>0</v>
      </c>
      <c r="AZ276">
        <f t="shared" si="117"/>
        <v>0</v>
      </c>
      <c r="BA276" t="str">
        <f t="shared" si="118"/>
        <v/>
      </c>
      <c r="BB276" t="str">
        <f t="shared" si="119"/>
        <v/>
      </c>
    </row>
    <row r="277" spans="1:54" ht="14.25" customHeight="1" x14ac:dyDescent="0.3">
      <c r="A277" t="str">
        <f>IF(SAISIE!$F282="","",SAISIE!$B282)</f>
        <v/>
      </c>
      <c r="B277" t="str">
        <f>IF(SAISIE!$F282="","",SAISIE!$C282)</f>
        <v/>
      </c>
      <c r="C277" t="str">
        <f>IF(SAISIE!$F282="","",SAISIE!$D282)</f>
        <v/>
      </c>
      <c r="D277" t="str">
        <f>IF(SAISIE!$E282="","",SAISIE!$E282)</f>
        <v/>
      </c>
      <c r="E277" t="str">
        <f>IF(SAISIE!$F282="","",SAISIE!$F282)</f>
        <v/>
      </c>
      <c r="F277" t="str">
        <f>IF(SAISIE!$G282="","",SAISIE!$G282)</f>
        <v/>
      </c>
      <c r="G277" t="str">
        <f>IF(SAISIE!$H282="","",SAISIE!$H282)</f>
        <v/>
      </c>
      <c r="H277" t="str">
        <f>IF(SAISIE!$I282="","",SAISIE!$I282)</f>
        <v/>
      </c>
      <c r="I277" t="str">
        <f>IF(SAISIE!$J282="","",SAISIE!$J282)</f>
        <v/>
      </c>
      <c r="J277" t="str">
        <f>IF(SAISIE!$K282="","",SAISIE!$K282)</f>
        <v/>
      </c>
      <c r="K277" t="str">
        <f>IF(SAISIE!$L282="","",SAISIE!$L282)</f>
        <v/>
      </c>
      <c r="L277" t="str">
        <f>IF(SAISIE!$M282="","",SAISIE!$M282)</f>
        <v/>
      </c>
      <c r="M277" t="str">
        <f>IF(SAISIE!$N282="","",SAISIE!$N282)</f>
        <v/>
      </c>
      <c r="N277" t="str">
        <f>IF(SAISIE!$O282="","",SAISIE!$O282)</f>
        <v/>
      </c>
      <c r="O277" t="str">
        <f>IF(SAISIE!$P282="","",SAISIE!$P282)</f>
        <v/>
      </c>
      <c r="P277" t="str">
        <f>IF(SAISIE!$Q282="","",SAISIE!$Q282)</f>
        <v/>
      </c>
      <c r="Q277" t="str">
        <f>IF($I277="","",IF($I277&gt;PARAMETRES!$G$29,5,IF($I277&gt;PARAMETRES!$F$29,4,IF($I277&gt;PARAMETRES!$E$29,3,IF($I277&gt;PARAMETRES!$D$29,2,1)))))</f>
        <v/>
      </c>
      <c r="R277" t="str">
        <f>IF($J277="","",IF($J277&gt;PARAMETRES!$G$30,5,IF($J277&gt;PARAMETRES!$F$30,4,IF($J277&gt;PARAMETRES!$E$30,3,IF($J277&gt;PARAMETRES!$D$30,2,1)))))</f>
        <v/>
      </c>
      <c r="S277" t="str">
        <f>IF($K277="","",IF($Z277=2,IF($K277&gt;PARAMETRES!$G$31,5,IF($K277&gt;PARAMETRES!$F$31,4,IF($K277&gt;PARAMETRES!$E$31,3,IF($K277&gt;PARAMETRES!$D$31,2,1)))),IF($K277&gt;PARAMETRES!$G$32,5,IF($K277&gt;PARAMETRES!$F$32,4,IF($K277&gt;PARAMETRES!$E$32,3,IF($K277&gt;PARAMETRES!$D$32,2,1))))))</f>
        <v/>
      </c>
      <c r="T277" t="str">
        <f>IF($L277="","",IF($L277&gt;PARAMETRES!$G$33,5,IF($L277&gt;PARAMETRES!$F$33,4,IF($L277&gt;PARAMETRES!$E$33,3,IF($L277&gt;PARAMETRES!$D$33,2,1)))))</f>
        <v/>
      </c>
      <c r="U277" t="str">
        <f>IF($M277="","",IF($M277&gt;PARAMETRES!$G$34,5,IF($M277&gt;PARAMETRES!$F$34,4,IF($M277&gt;PARAMETRES!$E$34,3,IF($M277&gt;PARAMETRES!$D$34,2,1)))))</f>
        <v/>
      </c>
      <c r="V277" t="str">
        <f>IF($N277="","",IF($N277&gt;PARAMETRES!$G$35,5,IF($N277&gt;PARAMETRES!$F$35,4,IF($N277&gt;PARAMETRES!$E$35,3,IF($N277&gt;PARAMETRES!$D$35,2,1)))))</f>
        <v/>
      </c>
      <c r="W277" t="str">
        <f>IF($O277="","",IF($O277&gt;PARAMETRES!$G$36,5,IF($O277&gt;PARAMETRES!$F$36,4,IF($O277&gt;PARAMETRES!$E$36,3,IF($O277&gt;PARAMETRES!$D$36,2,1)))))</f>
        <v/>
      </c>
      <c r="X277" t="str">
        <f>IF($P277="","",IF($P277&gt;PARAMETRES!$G$37,5,IF($P277&gt;PARAMETRES!$F$37,4,IF($P277&gt;PARAMETRES!$E$37,3,IF($P277&gt;PARAMETRES!$D$37,2,1)))))</f>
        <v/>
      </c>
      <c r="Y277" t="str">
        <f t="shared" si="96"/>
        <v/>
      </c>
      <c r="Z277" t="str">
        <f>IFERROR(VLOOKUP($B277,TABLE_CYCLE,2,0),"")</f>
        <v/>
      </c>
      <c r="AA277" t="str">
        <f t="shared" si="97"/>
        <v/>
      </c>
      <c r="AB277" t="str">
        <f>IF($D277="","",IF(COUNTIF($D$2:$D277,$D277)=1,$D277,""))</f>
        <v/>
      </c>
      <c r="AC277">
        <f t="shared" si="98"/>
        <v>0</v>
      </c>
      <c r="AD277" t="str">
        <f t="shared" si="99"/>
        <v>|0</v>
      </c>
      <c r="AE277" t="str">
        <f t="shared" si="100"/>
        <v/>
      </c>
      <c r="AF277" t="str">
        <f t="shared" si="101"/>
        <v/>
      </c>
      <c r="AG277" t="str">
        <f t="shared" si="102"/>
        <v/>
      </c>
      <c r="AH277" t="str">
        <f t="shared" si="103"/>
        <v/>
      </c>
      <c r="AI277" t="str">
        <f t="shared" si="104"/>
        <v/>
      </c>
      <c r="AJ277" t="str">
        <f t="shared" si="105"/>
        <v/>
      </c>
      <c r="AK277" t="str">
        <f t="shared" si="106"/>
        <v/>
      </c>
      <c r="AL277" t="str">
        <f t="shared" si="107"/>
        <v/>
      </c>
      <c r="AM277" t="str">
        <f t="shared" si="108"/>
        <v/>
      </c>
      <c r="AN277" t="str">
        <f t="shared" si="109"/>
        <v/>
      </c>
      <c r="AO277" t="str">
        <f t="shared" si="110"/>
        <v/>
      </c>
      <c r="AP277">
        <f t="shared" si="111"/>
        <v>1</v>
      </c>
      <c r="AQ277" t="str">
        <f>IF(SAISIE!$F282="","",SAISIE!$Y282)</f>
        <v/>
      </c>
      <c r="AR277" t="str">
        <f>IF(OR(SAISIE!$U$4="",SAISIE!$W$4=""),"",IF(AND($A277=SAISIE!$U$4,$B277=SAISIE!$W$4,$C277="S1"),COUNTIFS($A$2:$A277,SAISIE!$U$4,$B$2:$B277,SAISIE!$W$4,$C$2:$C277,"S1"),""))</f>
        <v/>
      </c>
      <c r="AS277" t="str">
        <f t="shared" si="112"/>
        <v/>
      </c>
      <c r="AT277" t="str">
        <f t="shared" si="113"/>
        <v/>
      </c>
      <c r="AU277" t="str">
        <f t="shared" si="114"/>
        <v/>
      </c>
      <c r="AV277">
        <f>N(AV276)+IF(AND($AB277&lt;&gt;"",OR('PROFIL ELEVE'!$K$4="(Tous)",$AF277='PROFIL ELEVE'!$K$4)),1,0)</f>
        <v>0</v>
      </c>
      <c r="AW277">
        <f>N(AW276)+IF(AND($AB277&lt;&gt;"",OR('SUIVI LONGITUDINAL'!$Q$4="(Tous)",$AF277='SUIVI LONGITUDINAL'!$Q$4)),1,0)</f>
        <v>0</v>
      </c>
      <c r="AX277">
        <f t="shared" si="115"/>
        <v>0</v>
      </c>
      <c r="AY277">
        <f t="shared" si="116"/>
        <v>0</v>
      </c>
      <c r="AZ277">
        <f t="shared" si="117"/>
        <v>0</v>
      </c>
      <c r="BA277" t="str">
        <f t="shared" si="118"/>
        <v/>
      </c>
      <c r="BB277" t="str">
        <f t="shared" si="119"/>
        <v/>
      </c>
    </row>
    <row r="278" spans="1:54" ht="14.25" customHeight="1" x14ac:dyDescent="0.3">
      <c r="A278" t="str">
        <f>IF(SAISIE!$F283="","",SAISIE!$B283)</f>
        <v/>
      </c>
      <c r="B278" t="str">
        <f>IF(SAISIE!$F283="","",SAISIE!$C283)</f>
        <v/>
      </c>
      <c r="C278" t="str">
        <f>IF(SAISIE!$F283="","",SAISIE!$D283)</f>
        <v/>
      </c>
      <c r="D278" t="str">
        <f>IF(SAISIE!$E283="","",SAISIE!$E283)</f>
        <v/>
      </c>
      <c r="E278" t="str">
        <f>IF(SAISIE!$F283="","",SAISIE!$F283)</f>
        <v/>
      </c>
      <c r="F278" t="str">
        <f>IF(SAISIE!$G283="","",SAISIE!$G283)</f>
        <v/>
      </c>
      <c r="G278" t="str">
        <f>IF(SAISIE!$H283="","",SAISIE!$H283)</f>
        <v/>
      </c>
      <c r="H278" t="str">
        <f>IF(SAISIE!$I283="","",SAISIE!$I283)</f>
        <v/>
      </c>
      <c r="I278" t="str">
        <f>IF(SAISIE!$J283="","",SAISIE!$J283)</f>
        <v/>
      </c>
      <c r="J278" t="str">
        <f>IF(SAISIE!$K283="","",SAISIE!$K283)</f>
        <v/>
      </c>
      <c r="K278" t="str">
        <f>IF(SAISIE!$L283="","",SAISIE!$L283)</f>
        <v/>
      </c>
      <c r="L278" t="str">
        <f>IF(SAISIE!$M283="","",SAISIE!$M283)</f>
        <v/>
      </c>
      <c r="M278" t="str">
        <f>IF(SAISIE!$N283="","",SAISIE!$N283)</f>
        <v/>
      </c>
      <c r="N278" t="str">
        <f>IF(SAISIE!$O283="","",SAISIE!$O283)</f>
        <v/>
      </c>
      <c r="O278" t="str">
        <f>IF(SAISIE!$P283="","",SAISIE!$P283)</f>
        <v/>
      </c>
      <c r="P278" t="str">
        <f>IF(SAISIE!$Q283="","",SAISIE!$Q283)</f>
        <v/>
      </c>
      <c r="Q278" t="str">
        <f>IF($I278="","",IF($I278&gt;PARAMETRES!$G$29,5,IF($I278&gt;PARAMETRES!$F$29,4,IF($I278&gt;PARAMETRES!$E$29,3,IF($I278&gt;PARAMETRES!$D$29,2,1)))))</f>
        <v/>
      </c>
      <c r="R278" t="str">
        <f>IF($J278="","",IF($J278&gt;PARAMETRES!$G$30,5,IF($J278&gt;PARAMETRES!$F$30,4,IF($J278&gt;PARAMETRES!$E$30,3,IF($J278&gt;PARAMETRES!$D$30,2,1)))))</f>
        <v/>
      </c>
      <c r="S278" t="str">
        <f>IF($K278="","",IF($Z278=2,IF($K278&gt;PARAMETRES!$G$31,5,IF($K278&gt;PARAMETRES!$F$31,4,IF($K278&gt;PARAMETRES!$E$31,3,IF($K278&gt;PARAMETRES!$D$31,2,1)))),IF($K278&gt;PARAMETRES!$G$32,5,IF($K278&gt;PARAMETRES!$F$32,4,IF($K278&gt;PARAMETRES!$E$32,3,IF($K278&gt;PARAMETRES!$D$32,2,1))))))</f>
        <v/>
      </c>
      <c r="T278" t="str">
        <f>IF($L278="","",IF($L278&gt;PARAMETRES!$G$33,5,IF($L278&gt;PARAMETRES!$F$33,4,IF($L278&gt;PARAMETRES!$E$33,3,IF($L278&gt;PARAMETRES!$D$33,2,1)))))</f>
        <v/>
      </c>
      <c r="U278" t="str">
        <f>IF($M278="","",IF($M278&gt;PARAMETRES!$G$34,5,IF($M278&gt;PARAMETRES!$F$34,4,IF($M278&gt;PARAMETRES!$E$34,3,IF($M278&gt;PARAMETRES!$D$34,2,1)))))</f>
        <v/>
      </c>
      <c r="V278" t="str">
        <f>IF($N278="","",IF($N278&gt;PARAMETRES!$G$35,5,IF($N278&gt;PARAMETRES!$F$35,4,IF($N278&gt;PARAMETRES!$E$35,3,IF($N278&gt;PARAMETRES!$D$35,2,1)))))</f>
        <v/>
      </c>
      <c r="W278" t="str">
        <f>IF($O278="","",IF($O278&gt;PARAMETRES!$G$36,5,IF($O278&gt;PARAMETRES!$F$36,4,IF($O278&gt;PARAMETRES!$E$36,3,IF($O278&gt;PARAMETRES!$D$36,2,1)))))</f>
        <v/>
      </c>
      <c r="X278" t="str">
        <f>IF($P278="","",IF($P278&gt;PARAMETRES!$G$37,5,IF($P278&gt;PARAMETRES!$F$37,4,IF($P278&gt;PARAMETRES!$E$37,3,IF($P278&gt;PARAMETRES!$D$37,2,1)))))</f>
        <v/>
      </c>
      <c r="Y278" t="str">
        <f t="shared" si="96"/>
        <v/>
      </c>
      <c r="Z278" t="str">
        <f>IFERROR(VLOOKUP($B278,TABLE_CYCLE,2,0),"")</f>
        <v/>
      </c>
      <c r="AA278" t="str">
        <f t="shared" si="97"/>
        <v/>
      </c>
      <c r="AB278" t="str">
        <f>IF($D278="","",IF(COUNTIF($D$2:$D278,$D278)=1,$D278,""))</f>
        <v/>
      </c>
      <c r="AC278">
        <f t="shared" si="98"/>
        <v>0</v>
      </c>
      <c r="AD278" t="str">
        <f t="shared" si="99"/>
        <v>|0</v>
      </c>
      <c r="AE278" t="str">
        <f t="shared" si="100"/>
        <v/>
      </c>
      <c r="AF278" t="str">
        <f t="shared" si="101"/>
        <v/>
      </c>
      <c r="AG278" t="str">
        <f t="shared" si="102"/>
        <v/>
      </c>
      <c r="AH278" t="str">
        <f t="shared" si="103"/>
        <v/>
      </c>
      <c r="AI278" t="str">
        <f t="shared" si="104"/>
        <v/>
      </c>
      <c r="AJ278" t="str">
        <f t="shared" si="105"/>
        <v/>
      </c>
      <c r="AK278" t="str">
        <f t="shared" si="106"/>
        <v/>
      </c>
      <c r="AL278" t="str">
        <f t="shared" si="107"/>
        <v/>
      </c>
      <c r="AM278" t="str">
        <f t="shared" si="108"/>
        <v/>
      </c>
      <c r="AN278" t="str">
        <f t="shared" si="109"/>
        <v/>
      </c>
      <c r="AO278" t="str">
        <f t="shared" si="110"/>
        <v/>
      </c>
      <c r="AP278">
        <f t="shared" si="111"/>
        <v>1</v>
      </c>
      <c r="AQ278" t="str">
        <f>IF(SAISIE!$F283="","",SAISIE!$Y283)</f>
        <v/>
      </c>
      <c r="AR278" t="str">
        <f>IF(OR(SAISIE!$U$4="",SAISIE!$W$4=""),"",IF(AND($A278=SAISIE!$U$4,$B278=SAISIE!$W$4,$C278="S1"),COUNTIFS($A$2:$A278,SAISIE!$U$4,$B$2:$B278,SAISIE!$W$4,$C$2:$C278,"S1"),""))</f>
        <v/>
      </c>
      <c r="AS278" t="str">
        <f t="shared" si="112"/>
        <v/>
      </c>
      <c r="AT278" t="str">
        <f t="shared" si="113"/>
        <v/>
      </c>
      <c r="AU278" t="str">
        <f t="shared" si="114"/>
        <v/>
      </c>
      <c r="AV278">
        <f>N(AV277)+IF(AND($AB278&lt;&gt;"",OR('PROFIL ELEVE'!$K$4="(Tous)",$AF278='PROFIL ELEVE'!$K$4)),1,0)</f>
        <v>0</v>
      </c>
      <c r="AW278">
        <f>N(AW277)+IF(AND($AB278&lt;&gt;"",OR('SUIVI LONGITUDINAL'!$Q$4="(Tous)",$AF278='SUIVI LONGITUDINAL'!$Q$4)),1,0)</f>
        <v>0</v>
      </c>
      <c r="AX278">
        <f t="shared" si="115"/>
        <v>0</v>
      </c>
      <c r="AY278">
        <f t="shared" si="116"/>
        <v>0</v>
      </c>
      <c r="AZ278">
        <f t="shared" si="117"/>
        <v>0</v>
      </c>
      <c r="BA278" t="str">
        <f t="shared" si="118"/>
        <v/>
      </c>
      <c r="BB278" t="str">
        <f t="shared" si="119"/>
        <v/>
      </c>
    </row>
    <row r="279" spans="1:54" ht="14.25" customHeight="1" x14ac:dyDescent="0.3">
      <c r="A279" t="str">
        <f>IF(SAISIE!$F284="","",SAISIE!$B284)</f>
        <v/>
      </c>
      <c r="B279" t="str">
        <f>IF(SAISIE!$F284="","",SAISIE!$C284)</f>
        <v/>
      </c>
      <c r="C279" t="str">
        <f>IF(SAISIE!$F284="","",SAISIE!$D284)</f>
        <v/>
      </c>
      <c r="D279" t="str">
        <f>IF(SAISIE!$E284="","",SAISIE!$E284)</f>
        <v/>
      </c>
      <c r="E279" t="str">
        <f>IF(SAISIE!$F284="","",SAISIE!$F284)</f>
        <v/>
      </c>
      <c r="F279" t="str">
        <f>IF(SAISIE!$G284="","",SAISIE!$G284)</f>
        <v/>
      </c>
      <c r="G279" t="str">
        <f>IF(SAISIE!$H284="","",SAISIE!$H284)</f>
        <v/>
      </c>
      <c r="H279" t="str">
        <f>IF(SAISIE!$I284="","",SAISIE!$I284)</f>
        <v/>
      </c>
      <c r="I279" t="str">
        <f>IF(SAISIE!$J284="","",SAISIE!$J284)</f>
        <v/>
      </c>
      <c r="J279" t="str">
        <f>IF(SAISIE!$K284="","",SAISIE!$K284)</f>
        <v/>
      </c>
      <c r="K279" t="str">
        <f>IF(SAISIE!$L284="","",SAISIE!$L284)</f>
        <v/>
      </c>
      <c r="L279" t="str">
        <f>IF(SAISIE!$M284="","",SAISIE!$M284)</f>
        <v/>
      </c>
      <c r="M279" t="str">
        <f>IF(SAISIE!$N284="","",SAISIE!$N284)</f>
        <v/>
      </c>
      <c r="N279" t="str">
        <f>IF(SAISIE!$O284="","",SAISIE!$O284)</f>
        <v/>
      </c>
      <c r="O279" t="str">
        <f>IF(SAISIE!$P284="","",SAISIE!$P284)</f>
        <v/>
      </c>
      <c r="P279" t="str">
        <f>IF(SAISIE!$Q284="","",SAISIE!$Q284)</f>
        <v/>
      </c>
      <c r="Q279" t="str">
        <f>IF($I279="","",IF($I279&gt;PARAMETRES!$G$29,5,IF($I279&gt;PARAMETRES!$F$29,4,IF($I279&gt;PARAMETRES!$E$29,3,IF($I279&gt;PARAMETRES!$D$29,2,1)))))</f>
        <v/>
      </c>
      <c r="R279" t="str">
        <f>IF($J279="","",IF($J279&gt;PARAMETRES!$G$30,5,IF($J279&gt;PARAMETRES!$F$30,4,IF($J279&gt;PARAMETRES!$E$30,3,IF($J279&gt;PARAMETRES!$D$30,2,1)))))</f>
        <v/>
      </c>
      <c r="S279" t="str">
        <f>IF($K279="","",IF($Z279=2,IF($K279&gt;PARAMETRES!$G$31,5,IF($K279&gt;PARAMETRES!$F$31,4,IF($K279&gt;PARAMETRES!$E$31,3,IF($K279&gt;PARAMETRES!$D$31,2,1)))),IF($K279&gt;PARAMETRES!$G$32,5,IF($K279&gt;PARAMETRES!$F$32,4,IF($K279&gt;PARAMETRES!$E$32,3,IF($K279&gt;PARAMETRES!$D$32,2,1))))))</f>
        <v/>
      </c>
      <c r="T279" t="str">
        <f>IF($L279="","",IF($L279&gt;PARAMETRES!$G$33,5,IF($L279&gt;PARAMETRES!$F$33,4,IF($L279&gt;PARAMETRES!$E$33,3,IF($L279&gt;PARAMETRES!$D$33,2,1)))))</f>
        <v/>
      </c>
      <c r="U279" t="str">
        <f>IF($M279="","",IF($M279&gt;PARAMETRES!$G$34,5,IF($M279&gt;PARAMETRES!$F$34,4,IF($M279&gt;PARAMETRES!$E$34,3,IF($M279&gt;PARAMETRES!$D$34,2,1)))))</f>
        <v/>
      </c>
      <c r="V279" t="str">
        <f>IF($N279="","",IF($N279&gt;PARAMETRES!$G$35,5,IF($N279&gt;PARAMETRES!$F$35,4,IF($N279&gt;PARAMETRES!$E$35,3,IF($N279&gt;PARAMETRES!$D$35,2,1)))))</f>
        <v/>
      </c>
      <c r="W279" t="str">
        <f>IF($O279="","",IF($O279&gt;PARAMETRES!$G$36,5,IF($O279&gt;PARAMETRES!$F$36,4,IF($O279&gt;PARAMETRES!$E$36,3,IF($O279&gt;PARAMETRES!$D$36,2,1)))))</f>
        <v/>
      </c>
      <c r="X279" t="str">
        <f>IF($P279="","",IF($P279&gt;PARAMETRES!$G$37,5,IF($P279&gt;PARAMETRES!$F$37,4,IF($P279&gt;PARAMETRES!$E$37,3,IF($P279&gt;PARAMETRES!$D$37,2,1)))))</f>
        <v/>
      </c>
      <c r="Y279" t="str">
        <f t="shared" si="96"/>
        <v/>
      </c>
      <c r="Z279" t="str">
        <f>IFERROR(VLOOKUP($B279,TABLE_CYCLE,2,0),"")</f>
        <v/>
      </c>
      <c r="AA279" t="str">
        <f t="shared" si="97"/>
        <v/>
      </c>
      <c r="AB279" t="str">
        <f>IF($D279="","",IF(COUNTIF($D$2:$D279,$D279)=1,$D279,""))</f>
        <v/>
      </c>
      <c r="AC279">
        <f t="shared" si="98"/>
        <v>0</v>
      </c>
      <c r="AD279" t="str">
        <f t="shared" si="99"/>
        <v>|0</v>
      </c>
      <c r="AE279" t="str">
        <f t="shared" si="100"/>
        <v/>
      </c>
      <c r="AF279" t="str">
        <f t="shared" si="101"/>
        <v/>
      </c>
      <c r="AG279" t="str">
        <f t="shared" si="102"/>
        <v/>
      </c>
      <c r="AH279" t="str">
        <f t="shared" si="103"/>
        <v/>
      </c>
      <c r="AI279" t="str">
        <f t="shared" si="104"/>
        <v/>
      </c>
      <c r="AJ279" t="str">
        <f t="shared" si="105"/>
        <v/>
      </c>
      <c r="AK279" t="str">
        <f t="shared" si="106"/>
        <v/>
      </c>
      <c r="AL279" t="str">
        <f t="shared" si="107"/>
        <v/>
      </c>
      <c r="AM279" t="str">
        <f t="shared" si="108"/>
        <v/>
      </c>
      <c r="AN279" t="str">
        <f t="shared" si="109"/>
        <v/>
      </c>
      <c r="AO279" t="str">
        <f t="shared" si="110"/>
        <v/>
      </c>
      <c r="AP279">
        <f t="shared" si="111"/>
        <v>1</v>
      </c>
      <c r="AQ279" t="str">
        <f>IF(SAISIE!$F284="","",SAISIE!$Y284)</f>
        <v/>
      </c>
      <c r="AR279" t="str">
        <f>IF(OR(SAISIE!$U$4="",SAISIE!$W$4=""),"",IF(AND($A279=SAISIE!$U$4,$B279=SAISIE!$W$4,$C279="S1"),COUNTIFS($A$2:$A279,SAISIE!$U$4,$B$2:$B279,SAISIE!$W$4,$C$2:$C279,"S1"),""))</f>
        <v/>
      </c>
      <c r="AS279" t="str">
        <f t="shared" si="112"/>
        <v/>
      </c>
      <c r="AT279" t="str">
        <f t="shared" si="113"/>
        <v/>
      </c>
      <c r="AU279" t="str">
        <f t="shared" si="114"/>
        <v/>
      </c>
      <c r="AV279">
        <f>N(AV278)+IF(AND($AB279&lt;&gt;"",OR('PROFIL ELEVE'!$K$4="(Tous)",$AF279='PROFIL ELEVE'!$K$4)),1,0)</f>
        <v>0</v>
      </c>
      <c r="AW279">
        <f>N(AW278)+IF(AND($AB279&lt;&gt;"",OR('SUIVI LONGITUDINAL'!$Q$4="(Tous)",$AF279='SUIVI LONGITUDINAL'!$Q$4)),1,0)</f>
        <v>0</v>
      </c>
      <c r="AX279">
        <f t="shared" si="115"/>
        <v>0</v>
      </c>
      <c r="AY279">
        <f t="shared" si="116"/>
        <v>0</v>
      </c>
      <c r="AZ279">
        <f t="shared" si="117"/>
        <v>0</v>
      </c>
      <c r="BA279" t="str">
        <f t="shared" si="118"/>
        <v/>
      </c>
      <c r="BB279" t="str">
        <f t="shared" si="119"/>
        <v/>
      </c>
    </row>
    <row r="280" spans="1:54" ht="14.25" customHeight="1" x14ac:dyDescent="0.3">
      <c r="A280" t="str">
        <f>IF(SAISIE!$F285="","",SAISIE!$B285)</f>
        <v/>
      </c>
      <c r="B280" t="str">
        <f>IF(SAISIE!$F285="","",SAISIE!$C285)</f>
        <v/>
      </c>
      <c r="C280" t="str">
        <f>IF(SAISIE!$F285="","",SAISIE!$D285)</f>
        <v/>
      </c>
      <c r="D280" t="str">
        <f>IF(SAISIE!$E285="","",SAISIE!$E285)</f>
        <v/>
      </c>
      <c r="E280" t="str">
        <f>IF(SAISIE!$F285="","",SAISIE!$F285)</f>
        <v/>
      </c>
      <c r="F280" t="str">
        <f>IF(SAISIE!$G285="","",SAISIE!$G285)</f>
        <v/>
      </c>
      <c r="G280" t="str">
        <f>IF(SAISIE!$H285="","",SAISIE!$H285)</f>
        <v/>
      </c>
      <c r="H280" t="str">
        <f>IF(SAISIE!$I285="","",SAISIE!$I285)</f>
        <v/>
      </c>
      <c r="I280" t="str">
        <f>IF(SAISIE!$J285="","",SAISIE!$J285)</f>
        <v/>
      </c>
      <c r="J280" t="str">
        <f>IF(SAISIE!$K285="","",SAISIE!$K285)</f>
        <v/>
      </c>
      <c r="K280" t="str">
        <f>IF(SAISIE!$L285="","",SAISIE!$L285)</f>
        <v/>
      </c>
      <c r="L280" t="str">
        <f>IF(SAISIE!$M285="","",SAISIE!$M285)</f>
        <v/>
      </c>
      <c r="M280" t="str">
        <f>IF(SAISIE!$N285="","",SAISIE!$N285)</f>
        <v/>
      </c>
      <c r="N280" t="str">
        <f>IF(SAISIE!$O285="","",SAISIE!$O285)</f>
        <v/>
      </c>
      <c r="O280" t="str">
        <f>IF(SAISIE!$P285="","",SAISIE!$P285)</f>
        <v/>
      </c>
      <c r="P280" t="str">
        <f>IF(SAISIE!$Q285="","",SAISIE!$Q285)</f>
        <v/>
      </c>
      <c r="Q280" t="str">
        <f>IF($I280="","",IF($I280&gt;PARAMETRES!$G$29,5,IF($I280&gt;PARAMETRES!$F$29,4,IF($I280&gt;PARAMETRES!$E$29,3,IF($I280&gt;PARAMETRES!$D$29,2,1)))))</f>
        <v/>
      </c>
      <c r="R280" t="str">
        <f>IF($J280="","",IF($J280&gt;PARAMETRES!$G$30,5,IF($J280&gt;PARAMETRES!$F$30,4,IF($J280&gt;PARAMETRES!$E$30,3,IF($J280&gt;PARAMETRES!$D$30,2,1)))))</f>
        <v/>
      </c>
      <c r="S280" t="str">
        <f>IF($K280="","",IF($Z280=2,IF($K280&gt;PARAMETRES!$G$31,5,IF($K280&gt;PARAMETRES!$F$31,4,IF($K280&gt;PARAMETRES!$E$31,3,IF($K280&gt;PARAMETRES!$D$31,2,1)))),IF($K280&gt;PARAMETRES!$G$32,5,IF($K280&gt;PARAMETRES!$F$32,4,IF($K280&gt;PARAMETRES!$E$32,3,IF($K280&gt;PARAMETRES!$D$32,2,1))))))</f>
        <v/>
      </c>
      <c r="T280" t="str">
        <f>IF($L280="","",IF($L280&gt;PARAMETRES!$G$33,5,IF($L280&gt;PARAMETRES!$F$33,4,IF($L280&gt;PARAMETRES!$E$33,3,IF($L280&gt;PARAMETRES!$D$33,2,1)))))</f>
        <v/>
      </c>
      <c r="U280" t="str">
        <f>IF($M280="","",IF($M280&gt;PARAMETRES!$G$34,5,IF($M280&gt;PARAMETRES!$F$34,4,IF($M280&gt;PARAMETRES!$E$34,3,IF($M280&gt;PARAMETRES!$D$34,2,1)))))</f>
        <v/>
      </c>
      <c r="V280" t="str">
        <f>IF($N280="","",IF($N280&gt;PARAMETRES!$G$35,5,IF($N280&gt;PARAMETRES!$F$35,4,IF($N280&gt;PARAMETRES!$E$35,3,IF($N280&gt;PARAMETRES!$D$35,2,1)))))</f>
        <v/>
      </c>
      <c r="W280" t="str">
        <f>IF($O280="","",IF($O280&gt;PARAMETRES!$G$36,5,IF($O280&gt;PARAMETRES!$F$36,4,IF($O280&gt;PARAMETRES!$E$36,3,IF($O280&gt;PARAMETRES!$D$36,2,1)))))</f>
        <v/>
      </c>
      <c r="X280" t="str">
        <f>IF($P280="","",IF($P280&gt;PARAMETRES!$G$37,5,IF($P280&gt;PARAMETRES!$F$37,4,IF($P280&gt;PARAMETRES!$E$37,3,IF($P280&gt;PARAMETRES!$D$37,2,1)))))</f>
        <v/>
      </c>
      <c r="Y280" t="str">
        <f t="shared" si="96"/>
        <v/>
      </c>
      <c r="Z280" t="str">
        <f>IFERROR(VLOOKUP($B280,TABLE_CYCLE,2,0),"")</f>
        <v/>
      </c>
      <c r="AA280" t="str">
        <f t="shared" si="97"/>
        <v/>
      </c>
      <c r="AB280" t="str">
        <f>IF($D280="","",IF(COUNTIF($D$2:$D280,$D280)=1,$D280,""))</f>
        <v/>
      </c>
      <c r="AC280">
        <f t="shared" si="98"/>
        <v>0</v>
      </c>
      <c r="AD280" t="str">
        <f t="shared" si="99"/>
        <v>|0</v>
      </c>
      <c r="AE280" t="str">
        <f t="shared" si="100"/>
        <v/>
      </c>
      <c r="AF280" t="str">
        <f t="shared" si="101"/>
        <v/>
      </c>
      <c r="AG280" t="str">
        <f t="shared" si="102"/>
        <v/>
      </c>
      <c r="AH280" t="str">
        <f t="shared" si="103"/>
        <v/>
      </c>
      <c r="AI280" t="str">
        <f t="shared" si="104"/>
        <v/>
      </c>
      <c r="AJ280" t="str">
        <f t="shared" si="105"/>
        <v/>
      </c>
      <c r="AK280" t="str">
        <f t="shared" si="106"/>
        <v/>
      </c>
      <c r="AL280" t="str">
        <f t="shared" si="107"/>
        <v/>
      </c>
      <c r="AM280" t="str">
        <f t="shared" si="108"/>
        <v/>
      </c>
      <c r="AN280" t="str">
        <f t="shared" si="109"/>
        <v/>
      </c>
      <c r="AO280" t="str">
        <f t="shared" si="110"/>
        <v/>
      </c>
      <c r="AP280">
        <f t="shared" si="111"/>
        <v>1</v>
      </c>
      <c r="AQ280" t="str">
        <f>IF(SAISIE!$F285="","",SAISIE!$Y285)</f>
        <v/>
      </c>
      <c r="AR280" t="str">
        <f>IF(OR(SAISIE!$U$4="",SAISIE!$W$4=""),"",IF(AND($A280=SAISIE!$U$4,$B280=SAISIE!$W$4,$C280="S1"),COUNTIFS($A$2:$A280,SAISIE!$U$4,$B$2:$B280,SAISIE!$W$4,$C$2:$C280,"S1"),""))</f>
        <v/>
      </c>
      <c r="AS280" t="str">
        <f t="shared" si="112"/>
        <v/>
      </c>
      <c r="AT280" t="str">
        <f t="shared" si="113"/>
        <v/>
      </c>
      <c r="AU280" t="str">
        <f t="shared" si="114"/>
        <v/>
      </c>
      <c r="AV280">
        <f>N(AV279)+IF(AND($AB280&lt;&gt;"",OR('PROFIL ELEVE'!$K$4="(Tous)",$AF280='PROFIL ELEVE'!$K$4)),1,0)</f>
        <v>0</v>
      </c>
      <c r="AW280">
        <f>N(AW279)+IF(AND($AB280&lt;&gt;"",OR('SUIVI LONGITUDINAL'!$Q$4="(Tous)",$AF280='SUIVI LONGITUDINAL'!$Q$4)),1,0)</f>
        <v>0</v>
      </c>
      <c r="AX280">
        <f t="shared" si="115"/>
        <v>0</v>
      </c>
      <c r="AY280">
        <f t="shared" si="116"/>
        <v>0</v>
      </c>
      <c r="AZ280">
        <f t="shared" si="117"/>
        <v>0</v>
      </c>
      <c r="BA280" t="str">
        <f t="shared" si="118"/>
        <v/>
      </c>
      <c r="BB280" t="str">
        <f t="shared" si="119"/>
        <v/>
      </c>
    </row>
    <row r="281" spans="1:54" ht="14.25" customHeight="1" x14ac:dyDescent="0.3">
      <c r="A281" t="str">
        <f>IF(SAISIE!$F286="","",SAISIE!$B286)</f>
        <v/>
      </c>
      <c r="B281" t="str">
        <f>IF(SAISIE!$F286="","",SAISIE!$C286)</f>
        <v/>
      </c>
      <c r="C281" t="str">
        <f>IF(SAISIE!$F286="","",SAISIE!$D286)</f>
        <v/>
      </c>
      <c r="D281" t="str">
        <f>IF(SAISIE!$E286="","",SAISIE!$E286)</f>
        <v/>
      </c>
      <c r="E281" t="str">
        <f>IF(SAISIE!$F286="","",SAISIE!$F286)</f>
        <v/>
      </c>
      <c r="F281" t="str">
        <f>IF(SAISIE!$G286="","",SAISIE!$G286)</f>
        <v/>
      </c>
      <c r="G281" t="str">
        <f>IF(SAISIE!$H286="","",SAISIE!$H286)</f>
        <v/>
      </c>
      <c r="H281" t="str">
        <f>IF(SAISIE!$I286="","",SAISIE!$I286)</f>
        <v/>
      </c>
      <c r="I281" t="str">
        <f>IF(SAISIE!$J286="","",SAISIE!$J286)</f>
        <v/>
      </c>
      <c r="J281" t="str">
        <f>IF(SAISIE!$K286="","",SAISIE!$K286)</f>
        <v/>
      </c>
      <c r="K281" t="str">
        <f>IF(SAISIE!$L286="","",SAISIE!$L286)</f>
        <v/>
      </c>
      <c r="L281" t="str">
        <f>IF(SAISIE!$M286="","",SAISIE!$M286)</f>
        <v/>
      </c>
      <c r="M281" t="str">
        <f>IF(SAISIE!$N286="","",SAISIE!$N286)</f>
        <v/>
      </c>
      <c r="N281" t="str">
        <f>IF(SAISIE!$O286="","",SAISIE!$O286)</f>
        <v/>
      </c>
      <c r="O281" t="str">
        <f>IF(SAISIE!$P286="","",SAISIE!$P286)</f>
        <v/>
      </c>
      <c r="P281" t="str">
        <f>IF(SAISIE!$Q286="","",SAISIE!$Q286)</f>
        <v/>
      </c>
      <c r="Q281" t="str">
        <f>IF($I281="","",IF($I281&gt;PARAMETRES!$G$29,5,IF($I281&gt;PARAMETRES!$F$29,4,IF($I281&gt;PARAMETRES!$E$29,3,IF($I281&gt;PARAMETRES!$D$29,2,1)))))</f>
        <v/>
      </c>
      <c r="R281" t="str">
        <f>IF($J281="","",IF($J281&gt;PARAMETRES!$G$30,5,IF($J281&gt;PARAMETRES!$F$30,4,IF($J281&gt;PARAMETRES!$E$30,3,IF($J281&gt;PARAMETRES!$D$30,2,1)))))</f>
        <v/>
      </c>
      <c r="S281" t="str">
        <f>IF($K281="","",IF($Z281=2,IF($K281&gt;PARAMETRES!$G$31,5,IF($K281&gt;PARAMETRES!$F$31,4,IF($K281&gt;PARAMETRES!$E$31,3,IF($K281&gt;PARAMETRES!$D$31,2,1)))),IF($K281&gt;PARAMETRES!$G$32,5,IF($K281&gt;PARAMETRES!$F$32,4,IF($K281&gt;PARAMETRES!$E$32,3,IF($K281&gt;PARAMETRES!$D$32,2,1))))))</f>
        <v/>
      </c>
      <c r="T281" t="str">
        <f>IF($L281="","",IF($L281&gt;PARAMETRES!$G$33,5,IF($L281&gt;PARAMETRES!$F$33,4,IF($L281&gt;PARAMETRES!$E$33,3,IF($L281&gt;PARAMETRES!$D$33,2,1)))))</f>
        <v/>
      </c>
      <c r="U281" t="str">
        <f>IF($M281="","",IF($M281&gt;PARAMETRES!$G$34,5,IF($M281&gt;PARAMETRES!$F$34,4,IF($M281&gt;PARAMETRES!$E$34,3,IF($M281&gt;PARAMETRES!$D$34,2,1)))))</f>
        <v/>
      </c>
      <c r="V281" t="str">
        <f>IF($N281="","",IF($N281&gt;PARAMETRES!$G$35,5,IF($N281&gt;PARAMETRES!$F$35,4,IF($N281&gt;PARAMETRES!$E$35,3,IF($N281&gt;PARAMETRES!$D$35,2,1)))))</f>
        <v/>
      </c>
      <c r="W281" t="str">
        <f>IF($O281="","",IF($O281&gt;PARAMETRES!$G$36,5,IF($O281&gt;PARAMETRES!$F$36,4,IF($O281&gt;PARAMETRES!$E$36,3,IF($O281&gt;PARAMETRES!$D$36,2,1)))))</f>
        <v/>
      </c>
      <c r="X281" t="str">
        <f>IF($P281="","",IF($P281&gt;PARAMETRES!$G$37,5,IF($P281&gt;PARAMETRES!$F$37,4,IF($P281&gt;PARAMETRES!$E$37,3,IF($P281&gt;PARAMETRES!$D$37,2,1)))))</f>
        <v/>
      </c>
      <c r="Y281" t="str">
        <f t="shared" si="96"/>
        <v/>
      </c>
      <c r="Z281" t="str">
        <f>IFERROR(VLOOKUP($B281,TABLE_CYCLE,2,0),"")</f>
        <v/>
      </c>
      <c r="AA281" t="str">
        <f t="shared" si="97"/>
        <v/>
      </c>
      <c r="AB281" t="str">
        <f>IF($D281="","",IF(COUNTIF($D$2:$D281,$D281)=1,$D281,""))</f>
        <v/>
      </c>
      <c r="AC281">
        <f t="shared" si="98"/>
        <v>0</v>
      </c>
      <c r="AD281" t="str">
        <f t="shared" si="99"/>
        <v>|0</v>
      </c>
      <c r="AE281" t="str">
        <f t="shared" si="100"/>
        <v/>
      </c>
      <c r="AF281" t="str">
        <f t="shared" si="101"/>
        <v/>
      </c>
      <c r="AG281" t="str">
        <f t="shared" si="102"/>
        <v/>
      </c>
      <c r="AH281" t="str">
        <f t="shared" si="103"/>
        <v/>
      </c>
      <c r="AI281" t="str">
        <f t="shared" si="104"/>
        <v/>
      </c>
      <c r="AJ281" t="str">
        <f t="shared" si="105"/>
        <v/>
      </c>
      <c r="AK281" t="str">
        <f t="shared" si="106"/>
        <v/>
      </c>
      <c r="AL281" t="str">
        <f t="shared" si="107"/>
        <v/>
      </c>
      <c r="AM281" t="str">
        <f t="shared" si="108"/>
        <v/>
      </c>
      <c r="AN281" t="str">
        <f t="shared" si="109"/>
        <v/>
      </c>
      <c r="AO281" t="str">
        <f t="shared" si="110"/>
        <v/>
      </c>
      <c r="AP281">
        <f t="shared" si="111"/>
        <v>1</v>
      </c>
      <c r="AQ281" t="str">
        <f>IF(SAISIE!$F286="","",SAISIE!$Y286)</f>
        <v/>
      </c>
      <c r="AR281" t="str">
        <f>IF(OR(SAISIE!$U$4="",SAISIE!$W$4=""),"",IF(AND($A281=SAISIE!$U$4,$B281=SAISIE!$W$4,$C281="S1"),COUNTIFS($A$2:$A281,SAISIE!$U$4,$B$2:$B281,SAISIE!$W$4,$C$2:$C281,"S1"),""))</f>
        <v/>
      </c>
      <c r="AS281" t="str">
        <f t="shared" si="112"/>
        <v/>
      </c>
      <c r="AT281" t="str">
        <f t="shared" si="113"/>
        <v/>
      </c>
      <c r="AU281" t="str">
        <f t="shared" si="114"/>
        <v/>
      </c>
      <c r="AV281">
        <f>N(AV280)+IF(AND($AB281&lt;&gt;"",OR('PROFIL ELEVE'!$K$4="(Tous)",$AF281='PROFIL ELEVE'!$K$4)),1,0)</f>
        <v>0</v>
      </c>
      <c r="AW281">
        <f>N(AW280)+IF(AND($AB281&lt;&gt;"",OR('SUIVI LONGITUDINAL'!$Q$4="(Tous)",$AF281='SUIVI LONGITUDINAL'!$Q$4)),1,0)</f>
        <v>0</v>
      </c>
      <c r="AX281">
        <f t="shared" si="115"/>
        <v>0</v>
      </c>
      <c r="AY281">
        <f t="shared" si="116"/>
        <v>0</v>
      </c>
      <c r="AZ281">
        <f t="shared" si="117"/>
        <v>0</v>
      </c>
      <c r="BA281" t="str">
        <f t="shared" si="118"/>
        <v/>
      </c>
      <c r="BB281" t="str">
        <f t="shared" si="119"/>
        <v/>
      </c>
    </row>
    <row r="282" spans="1:54" ht="14.25" customHeight="1" x14ac:dyDescent="0.3">
      <c r="A282" t="str">
        <f>IF(SAISIE!$F287="","",SAISIE!$B287)</f>
        <v/>
      </c>
      <c r="B282" t="str">
        <f>IF(SAISIE!$F287="","",SAISIE!$C287)</f>
        <v/>
      </c>
      <c r="C282" t="str">
        <f>IF(SAISIE!$F287="","",SAISIE!$D287)</f>
        <v/>
      </c>
      <c r="D282" t="str">
        <f>IF(SAISIE!$E287="","",SAISIE!$E287)</f>
        <v/>
      </c>
      <c r="E282" t="str">
        <f>IF(SAISIE!$F287="","",SAISIE!$F287)</f>
        <v/>
      </c>
      <c r="F282" t="str">
        <f>IF(SAISIE!$G287="","",SAISIE!$G287)</f>
        <v/>
      </c>
      <c r="G282" t="str">
        <f>IF(SAISIE!$H287="","",SAISIE!$H287)</f>
        <v/>
      </c>
      <c r="H282" t="str">
        <f>IF(SAISIE!$I287="","",SAISIE!$I287)</f>
        <v/>
      </c>
      <c r="I282" t="str">
        <f>IF(SAISIE!$J287="","",SAISIE!$J287)</f>
        <v/>
      </c>
      <c r="J282" t="str">
        <f>IF(SAISIE!$K287="","",SAISIE!$K287)</f>
        <v/>
      </c>
      <c r="K282" t="str">
        <f>IF(SAISIE!$L287="","",SAISIE!$L287)</f>
        <v/>
      </c>
      <c r="L282" t="str">
        <f>IF(SAISIE!$M287="","",SAISIE!$M287)</f>
        <v/>
      </c>
      <c r="M282" t="str">
        <f>IF(SAISIE!$N287="","",SAISIE!$N287)</f>
        <v/>
      </c>
      <c r="N282" t="str">
        <f>IF(SAISIE!$O287="","",SAISIE!$O287)</f>
        <v/>
      </c>
      <c r="O282" t="str">
        <f>IF(SAISIE!$P287="","",SAISIE!$P287)</f>
        <v/>
      </c>
      <c r="P282" t="str">
        <f>IF(SAISIE!$Q287="","",SAISIE!$Q287)</f>
        <v/>
      </c>
      <c r="Q282" t="str">
        <f>IF($I282="","",IF($I282&gt;PARAMETRES!$G$29,5,IF($I282&gt;PARAMETRES!$F$29,4,IF($I282&gt;PARAMETRES!$E$29,3,IF($I282&gt;PARAMETRES!$D$29,2,1)))))</f>
        <v/>
      </c>
      <c r="R282" t="str">
        <f>IF($J282="","",IF($J282&gt;PARAMETRES!$G$30,5,IF($J282&gt;PARAMETRES!$F$30,4,IF($J282&gt;PARAMETRES!$E$30,3,IF($J282&gt;PARAMETRES!$D$30,2,1)))))</f>
        <v/>
      </c>
      <c r="S282" t="str">
        <f>IF($K282="","",IF($Z282=2,IF($K282&gt;PARAMETRES!$G$31,5,IF($K282&gt;PARAMETRES!$F$31,4,IF($K282&gt;PARAMETRES!$E$31,3,IF($K282&gt;PARAMETRES!$D$31,2,1)))),IF($K282&gt;PARAMETRES!$G$32,5,IF($K282&gt;PARAMETRES!$F$32,4,IF($K282&gt;PARAMETRES!$E$32,3,IF($K282&gt;PARAMETRES!$D$32,2,1))))))</f>
        <v/>
      </c>
      <c r="T282" t="str">
        <f>IF($L282="","",IF($L282&gt;PARAMETRES!$G$33,5,IF($L282&gt;PARAMETRES!$F$33,4,IF($L282&gt;PARAMETRES!$E$33,3,IF($L282&gt;PARAMETRES!$D$33,2,1)))))</f>
        <v/>
      </c>
      <c r="U282" t="str">
        <f>IF($M282="","",IF($M282&gt;PARAMETRES!$G$34,5,IF($M282&gt;PARAMETRES!$F$34,4,IF($M282&gt;PARAMETRES!$E$34,3,IF($M282&gt;PARAMETRES!$D$34,2,1)))))</f>
        <v/>
      </c>
      <c r="V282" t="str">
        <f>IF($N282="","",IF($N282&gt;PARAMETRES!$G$35,5,IF($N282&gt;PARAMETRES!$F$35,4,IF($N282&gt;PARAMETRES!$E$35,3,IF($N282&gt;PARAMETRES!$D$35,2,1)))))</f>
        <v/>
      </c>
      <c r="W282" t="str">
        <f>IF($O282="","",IF($O282&gt;PARAMETRES!$G$36,5,IF($O282&gt;PARAMETRES!$F$36,4,IF($O282&gt;PARAMETRES!$E$36,3,IF($O282&gt;PARAMETRES!$D$36,2,1)))))</f>
        <v/>
      </c>
      <c r="X282" t="str">
        <f>IF($P282="","",IF($P282&gt;PARAMETRES!$G$37,5,IF($P282&gt;PARAMETRES!$F$37,4,IF($P282&gt;PARAMETRES!$E$37,3,IF($P282&gt;PARAMETRES!$D$37,2,1)))))</f>
        <v/>
      </c>
      <c r="Y282" t="str">
        <f t="shared" si="96"/>
        <v/>
      </c>
      <c r="Z282" t="str">
        <f>IFERROR(VLOOKUP($B282,TABLE_CYCLE,2,0),"")</f>
        <v/>
      </c>
      <c r="AA282" t="str">
        <f t="shared" si="97"/>
        <v/>
      </c>
      <c r="AB282" t="str">
        <f>IF($D282="","",IF(COUNTIF($D$2:$D282,$D282)=1,$D282,""))</f>
        <v/>
      </c>
      <c r="AC282">
        <f t="shared" si="98"/>
        <v>0</v>
      </c>
      <c r="AD282" t="str">
        <f t="shared" si="99"/>
        <v>|0</v>
      </c>
      <c r="AE282" t="str">
        <f t="shared" si="100"/>
        <v/>
      </c>
      <c r="AF282" t="str">
        <f t="shared" si="101"/>
        <v/>
      </c>
      <c r="AG282" t="str">
        <f t="shared" si="102"/>
        <v/>
      </c>
      <c r="AH282" t="str">
        <f t="shared" si="103"/>
        <v/>
      </c>
      <c r="AI282" t="str">
        <f t="shared" si="104"/>
        <v/>
      </c>
      <c r="AJ282" t="str">
        <f t="shared" si="105"/>
        <v/>
      </c>
      <c r="AK282" t="str">
        <f t="shared" si="106"/>
        <v/>
      </c>
      <c r="AL282" t="str">
        <f t="shared" si="107"/>
        <v/>
      </c>
      <c r="AM282" t="str">
        <f t="shared" si="108"/>
        <v/>
      </c>
      <c r="AN282" t="str">
        <f t="shared" si="109"/>
        <v/>
      </c>
      <c r="AO282" t="str">
        <f t="shared" si="110"/>
        <v/>
      </c>
      <c r="AP282">
        <f t="shared" si="111"/>
        <v>1</v>
      </c>
      <c r="AQ282" t="str">
        <f>IF(SAISIE!$F287="","",SAISIE!$Y287)</f>
        <v/>
      </c>
      <c r="AR282" t="str">
        <f>IF(OR(SAISIE!$U$4="",SAISIE!$W$4=""),"",IF(AND($A282=SAISIE!$U$4,$B282=SAISIE!$W$4,$C282="S1"),COUNTIFS($A$2:$A282,SAISIE!$U$4,$B$2:$B282,SAISIE!$W$4,$C$2:$C282,"S1"),""))</f>
        <v/>
      </c>
      <c r="AS282" t="str">
        <f t="shared" si="112"/>
        <v/>
      </c>
      <c r="AT282" t="str">
        <f t="shared" si="113"/>
        <v/>
      </c>
      <c r="AU282" t="str">
        <f t="shared" si="114"/>
        <v/>
      </c>
      <c r="AV282">
        <f>N(AV281)+IF(AND($AB282&lt;&gt;"",OR('PROFIL ELEVE'!$K$4="(Tous)",$AF282='PROFIL ELEVE'!$K$4)),1,0)</f>
        <v>0</v>
      </c>
      <c r="AW282">
        <f>N(AW281)+IF(AND($AB282&lt;&gt;"",OR('SUIVI LONGITUDINAL'!$Q$4="(Tous)",$AF282='SUIVI LONGITUDINAL'!$Q$4)),1,0)</f>
        <v>0</v>
      </c>
      <c r="AX282">
        <f t="shared" si="115"/>
        <v>0</v>
      </c>
      <c r="AY282">
        <f t="shared" si="116"/>
        <v>0</v>
      </c>
      <c r="AZ282">
        <f t="shared" si="117"/>
        <v>0</v>
      </c>
      <c r="BA282" t="str">
        <f t="shared" si="118"/>
        <v/>
      </c>
      <c r="BB282" t="str">
        <f t="shared" si="119"/>
        <v/>
      </c>
    </row>
    <row r="283" spans="1:54" ht="14.25" customHeight="1" x14ac:dyDescent="0.3">
      <c r="A283" t="str">
        <f>IF(SAISIE!$F288="","",SAISIE!$B288)</f>
        <v/>
      </c>
      <c r="B283" t="str">
        <f>IF(SAISIE!$F288="","",SAISIE!$C288)</f>
        <v/>
      </c>
      <c r="C283" t="str">
        <f>IF(SAISIE!$F288="","",SAISIE!$D288)</f>
        <v/>
      </c>
      <c r="D283" t="str">
        <f>IF(SAISIE!$E288="","",SAISIE!$E288)</f>
        <v/>
      </c>
      <c r="E283" t="str">
        <f>IF(SAISIE!$F288="","",SAISIE!$F288)</f>
        <v/>
      </c>
      <c r="F283" t="str">
        <f>IF(SAISIE!$G288="","",SAISIE!$G288)</f>
        <v/>
      </c>
      <c r="G283" t="str">
        <f>IF(SAISIE!$H288="","",SAISIE!$H288)</f>
        <v/>
      </c>
      <c r="H283" t="str">
        <f>IF(SAISIE!$I288="","",SAISIE!$I288)</f>
        <v/>
      </c>
      <c r="I283" t="str">
        <f>IF(SAISIE!$J288="","",SAISIE!$J288)</f>
        <v/>
      </c>
      <c r="J283" t="str">
        <f>IF(SAISIE!$K288="","",SAISIE!$K288)</f>
        <v/>
      </c>
      <c r="K283" t="str">
        <f>IF(SAISIE!$L288="","",SAISIE!$L288)</f>
        <v/>
      </c>
      <c r="L283" t="str">
        <f>IF(SAISIE!$M288="","",SAISIE!$M288)</f>
        <v/>
      </c>
      <c r="M283" t="str">
        <f>IF(SAISIE!$N288="","",SAISIE!$N288)</f>
        <v/>
      </c>
      <c r="N283" t="str">
        <f>IF(SAISIE!$O288="","",SAISIE!$O288)</f>
        <v/>
      </c>
      <c r="O283" t="str">
        <f>IF(SAISIE!$P288="","",SAISIE!$P288)</f>
        <v/>
      </c>
      <c r="P283" t="str">
        <f>IF(SAISIE!$Q288="","",SAISIE!$Q288)</f>
        <v/>
      </c>
      <c r="Q283" t="str">
        <f>IF($I283="","",IF($I283&gt;PARAMETRES!$G$29,5,IF($I283&gt;PARAMETRES!$F$29,4,IF($I283&gt;PARAMETRES!$E$29,3,IF($I283&gt;PARAMETRES!$D$29,2,1)))))</f>
        <v/>
      </c>
      <c r="R283" t="str">
        <f>IF($J283="","",IF($J283&gt;PARAMETRES!$G$30,5,IF($J283&gt;PARAMETRES!$F$30,4,IF($J283&gt;PARAMETRES!$E$30,3,IF($J283&gt;PARAMETRES!$D$30,2,1)))))</f>
        <v/>
      </c>
      <c r="S283" t="str">
        <f>IF($K283="","",IF($Z283=2,IF($K283&gt;PARAMETRES!$G$31,5,IF($K283&gt;PARAMETRES!$F$31,4,IF($K283&gt;PARAMETRES!$E$31,3,IF($K283&gt;PARAMETRES!$D$31,2,1)))),IF($K283&gt;PARAMETRES!$G$32,5,IF($K283&gt;PARAMETRES!$F$32,4,IF($K283&gt;PARAMETRES!$E$32,3,IF($K283&gt;PARAMETRES!$D$32,2,1))))))</f>
        <v/>
      </c>
      <c r="T283" t="str">
        <f>IF($L283="","",IF($L283&gt;PARAMETRES!$G$33,5,IF($L283&gt;PARAMETRES!$F$33,4,IF($L283&gt;PARAMETRES!$E$33,3,IF($L283&gt;PARAMETRES!$D$33,2,1)))))</f>
        <v/>
      </c>
      <c r="U283" t="str">
        <f>IF($M283="","",IF($M283&gt;PARAMETRES!$G$34,5,IF($M283&gt;PARAMETRES!$F$34,4,IF($M283&gt;PARAMETRES!$E$34,3,IF($M283&gt;PARAMETRES!$D$34,2,1)))))</f>
        <v/>
      </c>
      <c r="V283" t="str">
        <f>IF($N283="","",IF($N283&gt;PARAMETRES!$G$35,5,IF($N283&gt;PARAMETRES!$F$35,4,IF($N283&gt;PARAMETRES!$E$35,3,IF($N283&gt;PARAMETRES!$D$35,2,1)))))</f>
        <v/>
      </c>
      <c r="W283" t="str">
        <f>IF($O283="","",IF($O283&gt;PARAMETRES!$G$36,5,IF($O283&gt;PARAMETRES!$F$36,4,IF($O283&gt;PARAMETRES!$E$36,3,IF($O283&gt;PARAMETRES!$D$36,2,1)))))</f>
        <v/>
      </c>
      <c r="X283" t="str">
        <f>IF($P283="","",IF($P283&gt;PARAMETRES!$G$37,5,IF($P283&gt;PARAMETRES!$F$37,4,IF($P283&gt;PARAMETRES!$E$37,3,IF($P283&gt;PARAMETRES!$D$37,2,1)))))</f>
        <v/>
      </c>
      <c r="Y283" t="str">
        <f t="shared" si="96"/>
        <v/>
      </c>
      <c r="Z283" t="str">
        <f>IFERROR(VLOOKUP($B283,TABLE_CYCLE,2,0),"")</f>
        <v/>
      </c>
      <c r="AA283" t="str">
        <f t="shared" si="97"/>
        <v/>
      </c>
      <c r="AB283" t="str">
        <f>IF($D283="","",IF(COUNTIF($D$2:$D283,$D283)=1,$D283,""))</f>
        <v/>
      </c>
      <c r="AC283">
        <f t="shared" si="98"/>
        <v>0</v>
      </c>
      <c r="AD283" t="str">
        <f t="shared" si="99"/>
        <v>|0</v>
      </c>
      <c r="AE283" t="str">
        <f t="shared" si="100"/>
        <v/>
      </c>
      <c r="AF283" t="str">
        <f t="shared" si="101"/>
        <v/>
      </c>
      <c r="AG283" t="str">
        <f t="shared" si="102"/>
        <v/>
      </c>
      <c r="AH283" t="str">
        <f t="shared" si="103"/>
        <v/>
      </c>
      <c r="AI283" t="str">
        <f t="shared" si="104"/>
        <v/>
      </c>
      <c r="AJ283" t="str">
        <f t="shared" si="105"/>
        <v/>
      </c>
      <c r="AK283" t="str">
        <f t="shared" si="106"/>
        <v/>
      </c>
      <c r="AL283" t="str">
        <f t="shared" si="107"/>
        <v/>
      </c>
      <c r="AM283" t="str">
        <f t="shared" si="108"/>
        <v/>
      </c>
      <c r="AN283" t="str">
        <f t="shared" si="109"/>
        <v/>
      </c>
      <c r="AO283" t="str">
        <f t="shared" si="110"/>
        <v/>
      </c>
      <c r="AP283">
        <f t="shared" si="111"/>
        <v>1</v>
      </c>
      <c r="AQ283" t="str">
        <f>IF(SAISIE!$F288="","",SAISIE!$Y288)</f>
        <v/>
      </c>
      <c r="AR283" t="str">
        <f>IF(OR(SAISIE!$U$4="",SAISIE!$W$4=""),"",IF(AND($A283=SAISIE!$U$4,$B283=SAISIE!$W$4,$C283="S1"),COUNTIFS($A$2:$A283,SAISIE!$U$4,$B$2:$B283,SAISIE!$W$4,$C$2:$C283,"S1"),""))</f>
        <v/>
      </c>
      <c r="AS283" t="str">
        <f t="shared" si="112"/>
        <v/>
      </c>
      <c r="AT283" t="str">
        <f t="shared" si="113"/>
        <v/>
      </c>
      <c r="AU283" t="str">
        <f t="shared" si="114"/>
        <v/>
      </c>
      <c r="AV283">
        <f>N(AV282)+IF(AND($AB283&lt;&gt;"",OR('PROFIL ELEVE'!$K$4="(Tous)",$AF283='PROFIL ELEVE'!$K$4)),1,0)</f>
        <v>0</v>
      </c>
      <c r="AW283">
        <f>N(AW282)+IF(AND($AB283&lt;&gt;"",OR('SUIVI LONGITUDINAL'!$Q$4="(Tous)",$AF283='SUIVI LONGITUDINAL'!$Q$4)),1,0)</f>
        <v>0</v>
      </c>
      <c r="AX283">
        <f t="shared" si="115"/>
        <v>0</v>
      </c>
      <c r="AY283">
        <f t="shared" si="116"/>
        <v>0</v>
      </c>
      <c r="AZ283">
        <f t="shared" si="117"/>
        <v>0</v>
      </c>
      <c r="BA283" t="str">
        <f t="shared" si="118"/>
        <v/>
      </c>
      <c r="BB283" t="str">
        <f t="shared" si="119"/>
        <v/>
      </c>
    </row>
    <row r="284" spans="1:54" ht="14.25" customHeight="1" x14ac:dyDescent="0.3">
      <c r="A284" t="str">
        <f>IF(SAISIE!$F289="","",SAISIE!$B289)</f>
        <v/>
      </c>
      <c r="B284" t="str">
        <f>IF(SAISIE!$F289="","",SAISIE!$C289)</f>
        <v/>
      </c>
      <c r="C284" t="str">
        <f>IF(SAISIE!$F289="","",SAISIE!$D289)</f>
        <v/>
      </c>
      <c r="D284" t="str">
        <f>IF(SAISIE!$E289="","",SAISIE!$E289)</f>
        <v/>
      </c>
      <c r="E284" t="str">
        <f>IF(SAISIE!$F289="","",SAISIE!$F289)</f>
        <v/>
      </c>
      <c r="F284" t="str">
        <f>IF(SAISIE!$G289="","",SAISIE!$G289)</f>
        <v/>
      </c>
      <c r="G284" t="str">
        <f>IF(SAISIE!$H289="","",SAISIE!$H289)</f>
        <v/>
      </c>
      <c r="H284" t="str">
        <f>IF(SAISIE!$I289="","",SAISIE!$I289)</f>
        <v/>
      </c>
      <c r="I284" t="str">
        <f>IF(SAISIE!$J289="","",SAISIE!$J289)</f>
        <v/>
      </c>
      <c r="J284" t="str">
        <f>IF(SAISIE!$K289="","",SAISIE!$K289)</f>
        <v/>
      </c>
      <c r="K284" t="str">
        <f>IF(SAISIE!$L289="","",SAISIE!$L289)</f>
        <v/>
      </c>
      <c r="L284" t="str">
        <f>IF(SAISIE!$M289="","",SAISIE!$M289)</f>
        <v/>
      </c>
      <c r="M284" t="str">
        <f>IF(SAISIE!$N289="","",SAISIE!$N289)</f>
        <v/>
      </c>
      <c r="N284" t="str">
        <f>IF(SAISIE!$O289="","",SAISIE!$O289)</f>
        <v/>
      </c>
      <c r="O284" t="str">
        <f>IF(SAISIE!$P289="","",SAISIE!$P289)</f>
        <v/>
      </c>
      <c r="P284" t="str">
        <f>IF(SAISIE!$Q289="","",SAISIE!$Q289)</f>
        <v/>
      </c>
      <c r="Q284" t="str">
        <f>IF($I284="","",IF($I284&gt;PARAMETRES!$G$29,5,IF($I284&gt;PARAMETRES!$F$29,4,IF($I284&gt;PARAMETRES!$E$29,3,IF($I284&gt;PARAMETRES!$D$29,2,1)))))</f>
        <v/>
      </c>
      <c r="R284" t="str">
        <f>IF($J284="","",IF($J284&gt;PARAMETRES!$G$30,5,IF($J284&gt;PARAMETRES!$F$30,4,IF($J284&gt;PARAMETRES!$E$30,3,IF($J284&gt;PARAMETRES!$D$30,2,1)))))</f>
        <v/>
      </c>
      <c r="S284" t="str">
        <f>IF($K284="","",IF($Z284=2,IF($K284&gt;PARAMETRES!$G$31,5,IF($K284&gt;PARAMETRES!$F$31,4,IF($K284&gt;PARAMETRES!$E$31,3,IF($K284&gt;PARAMETRES!$D$31,2,1)))),IF($K284&gt;PARAMETRES!$G$32,5,IF($K284&gt;PARAMETRES!$F$32,4,IF($K284&gt;PARAMETRES!$E$32,3,IF($K284&gt;PARAMETRES!$D$32,2,1))))))</f>
        <v/>
      </c>
      <c r="T284" t="str">
        <f>IF($L284="","",IF($L284&gt;PARAMETRES!$G$33,5,IF($L284&gt;PARAMETRES!$F$33,4,IF($L284&gt;PARAMETRES!$E$33,3,IF($L284&gt;PARAMETRES!$D$33,2,1)))))</f>
        <v/>
      </c>
      <c r="U284" t="str">
        <f>IF($M284="","",IF($M284&gt;PARAMETRES!$G$34,5,IF($M284&gt;PARAMETRES!$F$34,4,IF($M284&gt;PARAMETRES!$E$34,3,IF($M284&gt;PARAMETRES!$D$34,2,1)))))</f>
        <v/>
      </c>
      <c r="V284" t="str">
        <f>IF($N284="","",IF($N284&gt;PARAMETRES!$G$35,5,IF($N284&gt;PARAMETRES!$F$35,4,IF($N284&gt;PARAMETRES!$E$35,3,IF($N284&gt;PARAMETRES!$D$35,2,1)))))</f>
        <v/>
      </c>
      <c r="W284" t="str">
        <f>IF($O284="","",IF($O284&gt;PARAMETRES!$G$36,5,IF($O284&gt;PARAMETRES!$F$36,4,IF($O284&gt;PARAMETRES!$E$36,3,IF($O284&gt;PARAMETRES!$D$36,2,1)))))</f>
        <v/>
      </c>
      <c r="X284" t="str">
        <f>IF($P284="","",IF($P284&gt;PARAMETRES!$G$37,5,IF($P284&gt;PARAMETRES!$F$37,4,IF($P284&gt;PARAMETRES!$E$37,3,IF($P284&gt;PARAMETRES!$D$37,2,1)))))</f>
        <v/>
      </c>
      <c r="Y284" t="str">
        <f t="shared" si="96"/>
        <v/>
      </c>
      <c r="Z284" t="str">
        <f>IFERROR(VLOOKUP($B284,TABLE_CYCLE,2,0),"")</f>
        <v/>
      </c>
      <c r="AA284" t="str">
        <f t="shared" si="97"/>
        <v/>
      </c>
      <c r="AB284" t="str">
        <f>IF($D284="","",IF(COUNTIF($D$2:$D284,$D284)=1,$D284,""))</f>
        <v/>
      </c>
      <c r="AC284">
        <f t="shared" si="98"/>
        <v>0</v>
      </c>
      <c r="AD284" t="str">
        <f t="shared" si="99"/>
        <v>|0</v>
      </c>
      <c r="AE284" t="str">
        <f t="shared" si="100"/>
        <v/>
      </c>
      <c r="AF284" t="str">
        <f t="shared" si="101"/>
        <v/>
      </c>
      <c r="AG284" t="str">
        <f t="shared" si="102"/>
        <v/>
      </c>
      <c r="AH284" t="str">
        <f t="shared" si="103"/>
        <v/>
      </c>
      <c r="AI284" t="str">
        <f t="shared" si="104"/>
        <v/>
      </c>
      <c r="AJ284" t="str">
        <f t="shared" si="105"/>
        <v/>
      </c>
      <c r="AK284" t="str">
        <f t="shared" si="106"/>
        <v/>
      </c>
      <c r="AL284" t="str">
        <f t="shared" si="107"/>
        <v/>
      </c>
      <c r="AM284" t="str">
        <f t="shared" si="108"/>
        <v/>
      </c>
      <c r="AN284" t="str">
        <f t="shared" si="109"/>
        <v/>
      </c>
      <c r="AO284" t="str">
        <f t="shared" si="110"/>
        <v/>
      </c>
      <c r="AP284">
        <f t="shared" si="111"/>
        <v>1</v>
      </c>
      <c r="AQ284" t="str">
        <f>IF(SAISIE!$F289="","",SAISIE!$Y289)</f>
        <v/>
      </c>
      <c r="AR284" t="str">
        <f>IF(OR(SAISIE!$U$4="",SAISIE!$W$4=""),"",IF(AND($A284=SAISIE!$U$4,$B284=SAISIE!$W$4,$C284="S1"),COUNTIFS($A$2:$A284,SAISIE!$U$4,$B$2:$B284,SAISIE!$W$4,$C$2:$C284,"S1"),""))</f>
        <v/>
      </c>
      <c r="AS284" t="str">
        <f t="shared" si="112"/>
        <v/>
      </c>
      <c r="AT284" t="str">
        <f t="shared" si="113"/>
        <v/>
      </c>
      <c r="AU284" t="str">
        <f t="shared" si="114"/>
        <v/>
      </c>
      <c r="AV284">
        <f>N(AV283)+IF(AND($AB284&lt;&gt;"",OR('PROFIL ELEVE'!$K$4="(Tous)",$AF284='PROFIL ELEVE'!$K$4)),1,0)</f>
        <v>0</v>
      </c>
      <c r="AW284">
        <f>N(AW283)+IF(AND($AB284&lt;&gt;"",OR('SUIVI LONGITUDINAL'!$Q$4="(Tous)",$AF284='SUIVI LONGITUDINAL'!$Q$4)),1,0)</f>
        <v>0</v>
      </c>
      <c r="AX284">
        <f t="shared" si="115"/>
        <v>0</v>
      </c>
      <c r="AY284">
        <f t="shared" si="116"/>
        <v>0</v>
      </c>
      <c r="AZ284">
        <f t="shared" si="117"/>
        <v>0</v>
      </c>
      <c r="BA284" t="str">
        <f t="shared" si="118"/>
        <v/>
      </c>
      <c r="BB284" t="str">
        <f t="shared" si="119"/>
        <v/>
      </c>
    </row>
    <row r="285" spans="1:54" ht="14.25" customHeight="1" x14ac:dyDescent="0.3">
      <c r="A285" t="str">
        <f>IF(SAISIE!$F290="","",SAISIE!$B290)</f>
        <v/>
      </c>
      <c r="B285" t="str">
        <f>IF(SAISIE!$F290="","",SAISIE!$C290)</f>
        <v/>
      </c>
      <c r="C285" t="str">
        <f>IF(SAISIE!$F290="","",SAISIE!$D290)</f>
        <v/>
      </c>
      <c r="D285" t="str">
        <f>IF(SAISIE!$E290="","",SAISIE!$E290)</f>
        <v/>
      </c>
      <c r="E285" t="str">
        <f>IF(SAISIE!$F290="","",SAISIE!$F290)</f>
        <v/>
      </c>
      <c r="F285" t="str">
        <f>IF(SAISIE!$G290="","",SAISIE!$G290)</f>
        <v/>
      </c>
      <c r="G285" t="str">
        <f>IF(SAISIE!$H290="","",SAISIE!$H290)</f>
        <v/>
      </c>
      <c r="H285" t="str">
        <f>IF(SAISIE!$I290="","",SAISIE!$I290)</f>
        <v/>
      </c>
      <c r="I285" t="str">
        <f>IF(SAISIE!$J290="","",SAISIE!$J290)</f>
        <v/>
      </c>
      <c r="J285" t="str">
        <f>IF(SAISIE!$K290="","",SAISIE!$K290)</f>
        <v/>
      </c>
      <c r="K285" t="str">
        <f>IF(SAISIE!$L290="","",SAISIE!$L290)</f>
        <v/>
      </c>
      <c r="L285" t="str">
        <f>IF(SAISIE!$M290="","",SAISIE!$M290)</f>
        <v/>
      </c>
      <c r="M285" t="str">
        <f>IF(SAISIE!$N290="","",SAISIE!$N290)</f>
        <v/>
      </c>
      <c r="N285" t="str">
        <f>IF(SAISIE!$O290="","",SAISIE!$O290)</f>
        <v/>
      </c>
      <c r="O285" t="str">
        <f>IF(SAISIE!$P290="","",SAISIE!$P290)</f>
        <v/>
      </c>
      <c r="P285" t="str">
        <f>IF(SAISIE!$Q290="","",SAISIE!$Q290)</f>
        <v/>
      </c>
      <c r="Q285" t="str">
        <f>IF($I285="","",IF($I285&gt;PARAMETRES!$G$29,5,IF($I285&gt;PARAMETRES!$F$29,4,IF($I285&gt;PARAMETRES!$E$29,3,IF($I285&gt;PARAMETRES!$D$29,2,1)))))</f>
        <v/>
      </c>
      <c r="R285" t="str">
        <f>IF($J285="","",IF($J285&gt;PARAMETRES!$G$30,5,IF($J285&gt;PARAMETRES!$F$30,4,IF($J285&gt;PARAMETRES!$E$30,3,IF($J285&gt;PARAMETRES!$D$30,2,1)))))</f>
        <v/>
      </c>
      <c r="S285" t="str">
        <f>IF($K285="","",IF($Z285=2,IF($K285&gt;PARAMETRES!$G$31,5,IF($K285&gt;PARAMETRES!$F$31,4,IF($K285&gt;PARAMETRES!$E$31,3,IF($K285&gt;PARAMETRES!$D$31,2,1)))),IF($K285&gt;PARAMETRES!$G$32,5,IF($K285&gt;PARAMETRES!$F$32,4,IF($K285&gt;PARAMETRES!$E$32,3,IF($K285&gt;PARAMETRES!$D$32,2,1))))))</f>
        <v/>
      </c>
      <c r="T285" t="str">
        <f>IF($L285="","",IF($L285&gt;PARAMETRES!$G$33,5,IF($L285&gt;PARAMETRES!$F$33,4,IF($L285&gt;PARAMETRES!$E$33,3,IF($L285&gt;PARAMETRES!$D$33,2,1)))))</f>
        <v/>
      </c>
      <c r="U285" t="str">
        <f>IF($M285="","",IF($M285&gt;PARAMETRES!$G$34,5,IF($M285&gt;PARAMETRES!$F$34,4,IF($M285&gt;PARAMETRES!$E$34,3,IF($M285&gt;PARAMETRES!$D$34,2,1)))))</f>
        <v/>
      </c>
      <c r="V285" t="str">
        <f>IF($N285="","",IF($N285&gt;PARAMETRES!$G$35,5,IF($N285&gt;PARAMETRES!$F$35,4,IF($N285&gt;PARAMETRES!$E$35,3,IF($N285&gt;PARAMETRES!$D$35,2,1)))))</f>
        <v/>
      </c>
      <c r="W285" t="str">
        <f>IF($O285="","",IF($O285&gt;PARAMETRES!$G$36,5,IF($O285&gt;PARAMETRES!$F$36,4,IF($O285&gt;PARAMETRES!$E$36,3,IF($O285&gt;PARAMETRES!$D$36,2,1)))))</f>
        <v/>
      </c>
      <c r="X285" t="str">
        <f>IF($P285="","",IF($P285&gt;PARAMETRES!$G$37,5,IF($P285&gt;PARAMETRES!$F$37,4,IF($P285&gt;PARAMETRES!$E$37,3,IF($P285&gt;PARAMETRES!$D$37,2,1)))))</f>
        <v/>
      </c>
      <c r="Y285" t="str">
        <f t="shared" si="96"/>
        <v/>
      </c>
      <c r="Z285" t="str">
        <f>IFERROR(VLOOKUP($B285,TABLE_CYCLE,2,0),"")</f>
        <v/>
      </c>
      <c r="AA285" t="str">
        <f t="shared" si="97"/>
        <v/>
      </c>
      <c r="AB285" t="str">
        <f>IF($D285="","",IF(COUNTIF($D$2:$D285,$D285)=1,$D285,""))</f>
        <v/>
      </c>
      <c r="AC285">
        <f t="shared" si="98"/>
        <v>0</v>
      </c>
      <c r="AD285" t="str">
        <f t="shared" si="99"/>
        <v>|0</v>
      </c>
      <c r="AE285" t="str">
        <f t="shared" si="100"/>
        <v/>
      </c>
      <c r="AF285" t="str">
        <f t="shared" si="101"/>
        <v/>
      </c>
      <c r="AG285" t="str">
        <f t="shared" si="102"/>
        <v/>
      </c>
      <c r="AH285" t="str">
        <f t="shared" si="103"/>
        <v/>
      </c>
      <c r="AI285" t="str">
        <f t="shared" si="104"/>
        <v/>
      </c>
      <c r="AJ285" t="str">
        <f t="shared" si="105"/>
        <v/>
      </c>
      <c r="AK285" t="str">
        <f t="shared" si="106"/>
        <v/>
      </c>
      <c r="AL285" t="str">
        <f t="shared" si="107"/>
        <v/>
      </c>
      <c r="AM285" t="str">
        <f t="shared" si="108"/>
        <v/>
      </c>
      <c r="AN285" t="str">
        <f t="shared" si="109"/>
        <v/>
      </c>
      <c r="AO285" t="str">
        <f t="shared" si="110"/>
        <v/>
      </c>
      <c r="AP285">
        <f t="shared" si="111"/>
        <v>1</v>
      </c>
      <c r="AQ285" t="str">
        <f>IF(SAISIE!$F290="","",SAISIE!$Y290)</f>
        <v/>
      </c>
      <c r="AR285" t="str">
        <f>IF(OR(SAISIE!$U$4="",SAISIE!$W$4=""),"",IF(AND($A285=SAISIE!$U$4,$B285=SAISIE!$W$4,$C285="S1"),COUNTIFS($A$2:$A285,SAISIE!$U$4,$B$2:$B285,SAISIE!$W$4,$C$2:$C285,"S1"),""))</f>
        <v/>
      </c>
      <c r="AS285" t="str">
        <f t="shared" si="112"/>
        <v/>
      </c>
      <c r="AT285" t="str">
        <f t="shared" si="113"/>
        <v/>
      </c>
      <c r="AU285" t="str">
        <f t="shared" si="114"/>
        <v/>
      </c>
      <c r="AV285">
        <f>N(AV284)+IF(AND($AB285&lt;&gt;"",OR('PROFIL ELEVE'!$K$4="(Tous)",$AF285='PROFIL ELEVE'!$K$4)),1,0)</f>
        <v>0</v>
      </c>
      <c r="AW285">
        <f>N(AW284)+IF(AND($AB285&lt;&gt;"",OR('SUIVI LONGITUDINAL'!$Q$4="(Tous)",$AF285='SUIVI LONGITUDINAL'!$Q$4)),1,0)</f>
        <v>0</v>
      </c>
      <c r="AX285">
        <f t="shared" si="115"/>
        <v>0</v>
      </c>
      <c r="AY285">
        <f t="shared" si="116"/>
        <v>0</v>
      </c>
      <c r="AZ285">
        <f t="shared" si="117"/>
        <v>0</v>
      </c>
      <c r="BA285" t="str">
        <f t="shared" si="118"/>
        <v/>
      </c>
      <c r="BB285" t="str">
        <f t="shared" si="119"/>
        <v/>
      </c>
    </row>
    <row r="286" spans="1:54" ht="14.25" customHeight="1" x14ac:dyDescent="0.3">
      <c r="A286" t="str">
        <f>IF(SAISIE!$F291="","",SAISIE!$B291)</f>
        <v/>
      </c>
      <c r="B286" t="str">
        <f>IF(SAISIE!$F291="","",SAISIE!$C291)</f>
        <v/>
      </c>
      <c r="C286" t="str">
        <f>IF(SAISIE!$F291="","",SAISIE!$D291)</f>
        <v/>
      </c>
      <c r="D286" t="str">
        <f>IF(SAISIE!$E291="","",SAISIE!$E291)</f>
        <v/>
      </c>
      <c r="E286" t="str">
        <f>IF(SAISIE!$F291="","",SAISIE!$F291)</f>
        <v/>
      </c>
      <c r="F286" t="str">
        <f>IF(SAISIE!$G291="","",SAISIE!$G291)</f>
        <v/>
      </c>
      <c r="G286" t="str">
        <f>IF(SAISIE!$H291="","",SAISIE!$H291)</f>
        <v/>
      </c>
      <c r="H286" t="str">
        <f>IF(SAISIE!$I291="","",SAISIE!$I291)</f>
        <v/>
      </c>
      <c r="I286" t="str">
        <f>IF(SAISIE!$J291="","",SAISIE!$J291)</f>
        <v/>
      </c>
      <c r="J286" t="str">
        <f>IF(SAISIE!$K291="","",SAISIE!$K291)</f>
        <v/>
      </c>
      <c r="K286" t="str">
        <f>IF(SAISIE!$L291="","",SAISIE!$L291)</f>
        <v/>
      </c>
      <c r="L286" t="str">
        <f>IF(SAISIE!$M291="","",SAISIE!$M291)</f>
        <v/>
      </c>
      <c r="M286" t="str">
        <f>IF(SAISIE!$N291="","",SAISIE!$N291)</f>
        <v/>
      </c>
      <c r="N286" t="str">
        <f>IF(SAISIE!$O291="","",SAISIE!$O291)</f>
        <v/>
      </c>
      <c r="O286" t="str">
        <f>IF(SAISIE!$P291="","",SAISIE!$P291)</f>
        <v/>
      </c>
      <c r="P286" t="str">
        <f>IF(SAISIE!$Q291="","",SAISIE!$Q291)</f>
        <v/>
      </c>
      <c r="Q286" t="str">
        <f>IF($I286="","",IF($I286&gt;PARAMETRES!$G$29,5,IF($I286&gt;PARAMETRES!$F$29,4,IF($I286&gt;PARAMETRES!$E$29,3,IF($I286&gt;PARAMETRES!$D$29,2,1)))))</f>
        <v/>
      </c>
      <c r="R286" t="str">
        <f>IF($J286="","",IF($J286&gt;PARAMETRES!$G$30,5,IF($J286&gt;PARAMETRES!$F$30,4,IF($J286&gt;PARAMETRES!$E$30,3,IF($J286&gt;PARAMETRES!$D$30,2,1)))))</f>
        <v/>
      </c>
      <c r="S286" t="str">
        <f>IF($K286="","",IF($Z286=2,IF($K286&gt;PARAMETRES!$G$31,5,IF($K286&gt;PARAMETRES!$F$31,4,IF($K286&gt;PARAMETRES!$E$31,3,IF($K286&gt;PARAMETRES!$D$31,2,1)))),IF($K286&gt;PARAMETRES!$G$32,5,IF($K286&gt;PARAMETRES!$F$32,4,IF($K286&gt;PARAMETRES!$E$32,3,IF($K286&gt;PARAMETRES!$D$32,2,1))))))</f>
        <v/>
      </c>
      <c r="T286" t="str">
        <f>IF($L286="","",IF($L286&gt;PARAMETRES!$G$33,5,IF($L286&gt;PARAMETRES!$F$33,4,IF($L286&gt;PARAMETRES!$E$33,3,IF($L286&gt;PARAMETRES!$D$33,2,1)))))</f>
        <v/>
      </c>
      <c r="U286" t="str">
        <f>IF($M286="","",IF($M286&gt;PARAMETRES!$G$34,5,IF($M286&gt;PARAMETRES!$F$34,4,IF($M286&gt;PARAMETRES!$E$34,3,IF($M286&gt;PARAMETRES!$D$34,2,1)))))</f>
        <v/>
      </c>
      <c r="V286" t="str">
        <f>IF($N286="","",IF($N286&gt;PARAMETRES!$G$35,5,IF($N286&gt;PARAMETRES!$F$35,4,IF($N286&gt;PARAMETRES!$E$35,3,IF($N286&gt;PARAMETRES!$D$35,2,1)))))</f>
        <v/>
      </c>
      <c r="W286" t="str">
        <f>IF($O286="","",IF($O286&gt;PARAMETRES!$G$36,5,IF($O286&gt;PARAMETRES!$F$36,4,IF($O286&gt;PARAMETRES!$E$36,3,IF($O286&gt;PARAMETRES!$D$36,2,1)))))</f>
        <v/>
      </c>
      <c r="X286" t="str">
        <f>IF($P286="","",IF($P286&gt;PARAMETRES!$G$37,5,IF($P286&gt;PARAMETRES!$F$37,4,IF($P286&gt;PARAMETRES!$E$37,3,IF($P286&gt;PARAMETRES!$D$37,2,1)))))</f>
        <v/>
      </c>
      <c r="Y286" t="str">
        <f t="shared" si="96"/>
        <v/>
      </c>
      <c r="Z286" t="str">
        <f>IFERROR(VLOOKUP($B286,TABLE_CYCLE,2,0),"")</f>
        <v/>
      </c>
      <c r="AA286" t="str">
        <f t="shared" si="97"/>
        <v/>
      </c>
      <c r="AB286" t="str">
        <f>IF($D286="","",IF(COUNTIF($D$2:$D286,$D286)=1,$D286,""))</f>
        <v/>
      </c>
      <c r="AC286">
        <f t="shared" si="98"/>
        <v>0</v>
      </c>
      <c r="AD286" t="str">
        <f t="shared" si="99"/>
        <v>|0</v>
      </c>
      <c r="AE286" t="str">
        <f t="shared" si="100"/>
        <v/>
      </c>
      <c r="AF286" t="str">
        <f t="shared" si="101"/>
        <v/>
      </c>
      <c r="AG286" t="str">
        <f t="shared" si="102"/>
        <v/>
      </c>
      <c r="AH286" t="str">
        <f t="shared" si="103"/>
        <v/>
      </c>
      <c r="AI286" t="str">
        <f t="shared" si="104"/>
        <v/>
      </c>
      <c r="AJ286" t="str">
        <f t="shared" si="105"/>
        <v/>
      </c>
      <c r="AK286" t="str">
        <f t="shared" si="106"/>
        <v/>
      </c>
      <c r="AL286" t="str">
        <f t="shared" si="107"/>
        <v/>
      </c>
      <c r="AM286" t="str">
        <f t="shared" si="108"/>
        <v/>
      </c>
      <c r="AN286" t="str">
        <f t="shared" si="109"/>
        <v/>
      </c>
      <c r="AO286" t="str">
        <f t="shared" si="110"/>
        <v/>
      </c>
      <c r="AP286">
        <f t="shared" si="111"/>
        <v>1</v>
      </c>
      <c r="AQ286" t="str">
        <f>IF(SAISIE!$F291="","",SAISIE!$Y291)</f>
        <v/>
      </c>
      <c r="AR286" t="str">
        <f>IF(OR(SAISIE!$U$4="",SAISIE!$W$4=""),"",IF(AND($A286=SAISIE!$U$4,$B286=SAISIE!$W$4,$C286="S1"),COUNTIFS($A$2:$A286,SAISIE!$U$4,$B$2:$B286,SAISIE!$W$4,$C$2:$C286,"S1"),""))</f>
        <v/>
      </c>
      <c r="AS286" t="str">
        <f t="shared" si="112"/>
        <v/>
      </c>
      <c r="AT286" t="str">
        <f t="shared" si="113"/>
        <v/>
      </c>
      <c r="AU286" t="str">
        <f t="shared" si="114"/>
        <v/>
      </c>
      <c r="AV286">
        <f>N(AV285)+IF(AND($AB286&lt;&gt;"",OR('PROFIL ELEVE'!$K$4="(Tous)",$AF286='PROFIL ELEVE'!$K$4)),1,0)</f>
        <v>0</v>
      </c>
      <c r="AW286">
        <f>N(AW285)+IF(AND($AB286&lt;&gt;"",OR('SUIVI LONGITUDINAL'!$Q$4="(Tous)",$AF286='SUIVI LONGITUDINAL'!$Q$4)),1,0)</f>
        <v>0</v>
      </c>
      <c r="AX286">
        <f t="shared" si="115"/>
        <v>0</v>
      </c>
      <c r="AY286">
        <f t="shared" si="116"/>
        <v>0</v>
      </c>
      <c r="AZ286">
        <f t="shared" si="117"/>
        <v>0</v>
      </c>
      <c r="BA286" t="str">
        <f t="shared" si="118"/>
        <v/>
      </c>
      <c r="BB286" t="str">
        <f t="shared" si="119"/>
        <v/>
      </c>
    </row>
    <row r="287" spans="1:54" ht="14.25" customHeight="1" x14ac:dyDescent="0.3">
      <c r="A287" t="str">
        <f>IF(SAISIE!$F292="","",SAISIE!$B292)</f>
        <v/>
      </c>
      <c r="B287" t="str">
        <f>IF(SAISIE!$F292="","",SAISIE!$C292)</f>
        <v/>
      </c>
      <c r="C287" t="str">
        <f>IF(SAISIE!$F292="","",SAISIE!$D292)</f>
        <v/>
      </c>
      <c r="D287" t="str">
        <f>IF(SAISIE!$E292="","",SAISIE!$E292)</f>
        <v/>
      </c>
      <c r="E287" t="str">
        <f>IF(SAISIE!$F292="","",SAISIE!$F292)</f>
        <v/>
      </c>
      <c r="F287" t="str">
        <f>IF(SAISIE!$G292="","",SAISIE!$G292)</f>
        <v/>
      </c>
      <c r="G287" t="str">
        <f>IF(SAISIE!$H292="","",SAISIE!$H292)</f>
        <v/>
      </c>
      <c r="H287" t="str">
        <f>IF(SAISIE!$I292="","",SAISIE!$I292)</f>
        <v/>
      </c>
      <c r="I287" t="str">
        <f>IF(SAISIE!$J292="","",SAISIE!$J292)</f>
        <v/>
      </c>
      <c r="J287" t="str">
        <f>IF(SAISIE!$K292="","",SAISIE!$K292)</f>
        <v/>
      </c>
      <c r="K287" t="str">
        <f>IF(SAISIE!$L292="","",SAISIE!$L292)</f>
        <v/>
      </c>
      <c r="L287" t="str">
        <f>IF(SAISIE!$M292="","",SAISIE!$M292)</f>
        <v/>
      </c>
      <c r="M287" t="str">
        <f>IF(SAISIE!$N292="","",SAISIE!$N292)</f>
        <v/>
      </c>
      <c r="N287" t="str">
        <f>IF(SAISIE!$O292="","",SAISIE!$O292)</f>
        <v/>
      </c>
      <c r="O287" t="str">
        <f>IF(SAISIE!$P292="","",SAISIE!$P292)</f>
        <v/>
      </c>
      <c r="P287" t="str">
        <f>IF(SAISIE!$Q292="","",SAISIE!$Q292)</f>
        <v/>
      </c>
      <c r="Q287" t="str">
        <f>IF($I287="","",IF($I287&gt;PARAMETRES!$G$29,5,IF($I287&gt;PARAMETRES!$F$29,4,IF($I287&gt;PARAMETRES!$E$29,3,IF($I287&gt;PARAMETRES!$D$29,2,1)))))</f>
        <v/>
      </c>
      <c r="R287" t="str">
        <f>IF($J287="","",IF($J287&gt;PARAMETRES!$G$30,5,IF($J287&gt;PARAMETRES!$F$30,4,IF($J287&gt;PARAMETRES!$E$30,3,IF($J287&gt;PARAMETRES!$D$30,2,1)))))</f>
        <v/>
      </c>
      <c r="S287" t="str">
        <f>IF($K287="","",IF($Z287=2,IF($K287&gt;PARAMETRES!$G$31,5,IF($K287&gt;PARAMETRES!$F$31,4,IF($K287&gt;PARAMETRES!$E$31,3,IF($K287&gt;PARAMETRES!$D$31,2,1)))),IF($K287&gt;PARAMETRES!$G$32,5,IF($K287&gt;PARAMETRES!$F$32,4,IF($K287&gt;PARAMETRES!$E$32,3,IF($K287&gt;PARAMETRES!$D$32,2,1))))))</f>
        <v/>
      </c>
      <c r="T287" t="str">
        <f>IF($L287="","",IF($L287&gt;PARAMETRES!$G$33,5,IF($L287&gt;PARAMETRES!$F$33,4,IF($L287&gt;PARAMETRES!$E$33,3,IF($L287&gt;PARAMETRES!$D$33,2,1)))))</f>
        <v/>
      </c>
      <c r="U287" t="str">
        <f>IF($M287="","",IF($M287&gt;PARAMETRES!$G$34,5,IF($M287&gt;PARAMETRES!$F$34,4,IF($M287&gt;PARAMETRES!$E$34,3,IF($M287&gt;PARAMETRES!$D$34,2,1)))))</f>
        <v/>
      </c>
      <c r="V287" t="str">
        <f>IF($N287="","",IF($N287&gt;PARAMETRES!$G$35,5,IF($N287&gt;PARAMETRES!$F$35,4,IF($N287&gt;PARAMETRES!$E$35,3,IF($N287&gt;PARAMETRES!$D$35,2,1)))))</f>
        <v/>
      </c>
      <c r="W287" t="str">
        <f>IF($O287="","",IF($O287&gt;PARAMETRES!$G$36,5,IF($O287&gt;PARAMETRES!$F$36,4,IF($O287&gt;PARAMETRES!$E$36,3,IF($O287&gt;PARAMETRES!$D$36,2,1)))))</f>
        <v/>
      </c>
      <c r="X287" t="str">
        <f>IF($P287="","",IF($P287&gt;PARAMETRES!$G$37,5,IF($P287&gt;PARAMETRES!$F$37,4,IF($P287&gt;PARAMETRES!$E$37,3,IF($P287&gt;PARAMETRES!$D$37,2,1)))))</f>
        <v/>
      </c>
      <c r="Y287" t="str">
        <f t="shared" si="96"/>
        <v/>
      </c>
      <c r="Z287" t="str">
        <f>IFERROR(VLOOKUP($B287,TABLE_CYCLE,2,0),"")</f>
        <v/>
      </c>
      <c r="AA287" t="str">
        <f t="shared" si="97"/>
        <v/>
      </c>
      <c r="AB287" t="str">
        <f>IF($D287="","",IF(COUNTIF($D$2:$D287,$D287)=1,$D287,""))</f>
        <v/>
      </c>
      <c r="AC287">
        <f t="shared" si="98"/>
        <v>0</v>
      </c>
      <c r="AD287" t="str">
        <f t="shared" si="99"/>
        <v>|0</v>
      </c>
      <c r="AE287" t="str">
        <f t="shared" si="100"/>
        <v/>
      </c>
      <c r="AF287" t="str">
        <f t="shared" si="101"/>
        <v/>
      </c>
      <c r="AG287" t="str">
        <f t="shared" si="102"/>
        <v/>
      </c>
      <c r="AH287" t="str">
        <f t="shared" si="103"/>
        <v/>
      </c>
      <c r="AI287" t="str">
        <f t="shared" si="104"/>
        <v/>
      </c>
      <c r="AJ287" t="str">
        <f t="shared" si="105"/>
        <v/>
      </c>
      <c r="AK287" t="str">
        <f t="shared" si="106"/>
        <v/>
      </c>
      <c r="AL287" t="str">
        <f t="shared" si="107"/>
        <v/>
      </c>
      <c r="AM287" t="str">
        <f t="shared" si="108"/>
        <v/>
      </c>
      <c r="AN287" t="str">
        <f t="shared" si="109"/>
        <v/>
      </c>
      <c r="AO287" t="str">
        <f t="shared" si="110"/>
        <v/>
      </c>
      <c r="AP287">
        <f t="shared" si="111"/>
        <v>1</v>
      </c>
      <c r="AQ287" t="str">
        <f>IF(SAISIE!$F292="","",SAISIE!$Y292)</f>
        <v/>
      </c>
      <c r="AR287" t="str">
        <f>IF(OR(SAISIE!$U$4="",SAISIE!$W$4=""),"",IF(AND($A287=SAISIE!$U$4,$B287=SAISIE!$W$4,$C287="S1"),COUNTIFS($A$2:$A287,SAISIE!$U$4,$B$2:$B287,SAISIE!$W$4,$C$2:$C287,"S1"),""))</f>
        <v/>
      </c>
      <c r="AS287" t="str">
        <f t="shared" si="112"/>
        <v/>
      </c>
      <c r="AT287" t="str">
        <f t="shared" si="113"/>
        <v/>
      </c>
      <c r="AU287" t="str">
        <f t="shared" si="114"/>
        <v/>
      </c>
      <c r="AV287">
        <f>N(AV286)+IF(AND($AB287&lt;&gt;"",OR('PROFIL ELEVE'!$K$4="(Tous)",$AF287='PROFIL ELEVE'!$K$4)),1,0)</f>
        <v>0</v>
      </c>
      <c r="AW287">
        <f>N(AW286)+IF(AND($AB287&lt;&gt;"",OR('SUIVI LONGITUDINAL'!$Q$4="(Tous)",$AF287='SUIVI LONGITUDINAL'!$Q$4)),1,0)</f>
        <v>0</v>
      </c>
      <c r="AX287">
        <f t="shared" si="115"/>
        <v>0</v>
      </c>
      <c r="AY287">
        <f t="shared" si="116"/>
        <v>0</v>
      </c>
      <c r="AZ287">
        <f t="shared" si="117"/>
        <v>0</v>
      </c>
      <c r="BA287" t="str">
        <f t="shared" si="118"/>
        <v/>
      </c>
      <c r="BB287" t="str">
        <f t="shared" si="119"/>
        <v/>
      </c>
    </row>
    <row r="288" spans="1:54" ht="14.25" customHeight="1" x14ac:dyDescent="0.3">
      <c r="A288" t="str">
        <f>IF(SAISIE!$F293="","",SAISIE!$B293)</f>
        <v/>
      </c>
      <c r="B288" t="str">
        <f>IF(SAISIE!$F293="","",SAISIE!$C293)</f>
        <v/>
      </c>
      <c r="C288" t="str">
        <f>IF(SAISIE!$F293="","",SAISIE!$D293)</f>
        <v/>
      </c>
      <c r="D288" t="str">
        <f>IF(SAISIE!$E293="","",SAISIE!$E293)</f>
        <v/>
      </c>
      <c r="E288" t="str">
        <f>IF(SAISIE!$F293="","",SAISIE!$F293)</f>
        <v/>
      </c>
      <c r="F288" t="str">
        <f>IF(SAISIE!$G293="","",SAISIE!$G293)</f>
        <v/>
      </c>
      <c r="G288" t="str">
        <f>IF(SAISIE!$H293="","",SAISIE!$H293)</f>
        <v/>
      </c>
      <c r="H288" t="str">
        <f>IF(SAISIE!$I293="","",SAISIE!$I293)</f>
        <v/>
      </c>
      <c r="I288" t="str">
        <f>IF(SAISIE!$J293="","",SAISIE!$J293)</f>
        <v/>
      </c>
      <c r="J288" t="str">
        <f>IF(SAISIE!$K293="","",SAISIE!$K293)</f>
        <v/>
      </c>
      <c r="K288" t="str">
        <f>IF(SAISIE!$L293="","",SAISIE!$L293)</f>
        <v/>
      </c>
      <c r="L288" t="str">
        <f>IF(SAISIE!$M293="","",SAISIE!$M293)</f>
        <v/>
      </c>
      <c r="M288" t="str">
        <f>IF(SAISIE!$N293="","",SAISIE!$N293)</f>
        <v/>
      </c>
      <c r="N288" t="str">
        <f>IF(SAISIE!$O293="","",SAISIE!$O293)</f>
        <v/>
      </c>
      <c r="O288" t="str">
        <f>IF(SAISIE!$P293="","",SAISIE!$P293)</f>
        <v/>
      </c>
      <c r="P288" t="str">
        <f>IF(SAISIE!$Q293="","",SAISIE!$Q293)</f>
        <v/>
      </c>
      <c r="Q288" t="str">
        <f>IF($I288="","",IF($I288&gt;PARAMETRES!$G$29,5,IF($I288&gt;PARAMETRES!$F$29,4,IF($I288&gt;PARAMETRES!$E$29,3,IF($I288&gt;PARAMETRES!$D$29,2,1)))))</f>
        <v/>
      </c>
      <c r="R288" t="str">
        <f>IF($J288="","",IF($J288&gt;PARAMETRES!$G$30,5,IF($J288&gt;PARAMETRES!$F$30,4,IF($J288&gt;PARAMETRES!$E$30,3,IF($J288&gt;PARAMETRES!$D$30,2,1)))))</f>
        <v/>
      </c>
      <c r="S288" t="str">
        <f>IF($K288="","",IF($Z288=2,IF($K288&gt;PARAMETRES!$G$31,5,IF($K288&gt;PARAMETRES!$F$31,4,IF($K288&gt;PARAMETRES!$E$31,3,IF($K288&gt;PARAMETRES!$D$31,2,1)))),IF($K288&gt;PARAMETRES!$G$32,5,IF($K288&gt;PARAMETRES!$F$32,4,IF($K288&gt;PARAMETRES!$E$32,3,IF($K288&gt;PARAMETRES!$D$32,2,1))))))</f>
        <v/>
      </c>
      <c r="T288" t="str">
        <f>IF($L288="","",IF($L288&gt;PARAMETRES!$G$33,5,IF($L288&gt;PARAMETRES!$F$33,4,IF($L288&gt;PARAMETRES!$E$33,3,IF($L288&gt;PARAMETRES!$D$33,2,1)))))</f>
        <v/>
      </c>
      <c r="U288" t="str">
        <f>IF($M288="","",IF($M288&gt;PARAMETRES!$G$34,5,IF($M288&gt;PARAMETRES!$F$34,4,IF($M288&gt;PARAMETRES!$E$34,3,IF($M288&gt;PARAMETRES!$D$34,2,1)))))</f>
        <v/>
      </c>
      <c r="V288" t="str">
        <f>IF($N288="","",IF($N288&gt;PARAMETRES!$G$35,5,IF($N288&gt;PARAMETRES!$F$35,4,IF($N288&gt;PARAMETRES!$E$35,3,IF($N288&gt;PARAMETRES!$D$35,2,1)))))</f>
        <v/>
      </c>
      <c r="W288" t="str">
        <f>IF($O288="","",IF($O288&gt;PARAMETRES!$G$36,5,IF($O288&gt;PARAMETRES!$F$36,4,IF($O288&gt;PARAMETRES!$E$36,3,IF($O288&gt;PARAMETRES!$D$36,2,1)))))</f>
        <v/>
      </c>
      <c r="X288" t="str">
        <f>IF($P288="","",IF($P288&gt;PARAMETRES!$G$37,5,IF($P288&gt;PARAMETRES!$F$37,4,IF($P288&gt;PARAMETRES!$E$37,3,IF($P288&gt;PARAMETRES!$D$37,2,1)))))</f>
        <v/>
      </c>
      <c r="Y288" t="str">
        <f t="shared" si="96"/>
        <v/>
      </c>
      <c r="Z288" t="str">
        <f>IFERROR(VLOOKUP($B288,TABLE_CYCLE,2,0),"")</f>
        <v/>
      </c>
      <c r="AA288" t="str">
        <f t="shared" si="97"/>
        <v/>
      </c>
      <c r="AB288" t="str">
        <f>IF($D288="","",IF(COUNTIF($D$2:$D288,$D288)=1,$D288,""))</f>
        <v/>
      </c>
      <c r="AC288">
        <f t="shared" si="98"/>
        <v>0</v>
      </c>
      <c r="AD288" t="str">
        <f t="shared" si="99"/>
        <v>|0</v>
      </c>
      <c r="AE288" t="str">
        <f t="shared" si="100"/>
        <v/>
      </c>
      <c r="AF288" t="str">
        <f t="shared" si="101"/>
        <v/>
      </c>
      <c r="AG288" t="str">
        <f t="shared" si="102"/>
        <v/>
      </c>
      <c r="AH288" t="str">
        <f t="shared" si="103"/>
        <v/>
      </c>
      <c r="AI288" t="str">
        <f t="shared" si="104"/>
        <v/>
      </c>
      <c r="AJ288" t="str">
        <f t="shared" si="105"/>
        <v/>
      </c>
      <c r="AK288" t="str">
        <f t="shared" si="106"/>
        <v/>
      </c>
      <c r="AL288" t="str">
        <f t="shared" si="107"/>
        <v/>
      </c>
      <c r="AM288" t="str">
        <f t="shared" si="108"/>
        <v/>
      </c>
      <c r="AN288" t="str">
        <f t="shared" si="109"/>
        <v/>
      </c>
      <c r="AO288" t="str">
        <f t="shared" si="110"/>
        <v/>
      </c>
      <c r="AP288">
        <f t="shared" si="111"/>
        <v>1</v>
      </c>
      <c r="AQ288" t="str">
        <f>IF(SAISIE!$F293="","",SAISIE!$Y293)</f>
        <v/>
      </c>
      <c r="AR288" t="str">
        <f>IF(OR(SAISIE!$U$4="",SAISIE!$W$4=""),"",IF(AND($A288=SAISIE!$U$4,$B288=SAISIE!$W$4,$C288="S1"),COUNTIFS($A$2:$A288,SAISIE!$U$4,$B$2:$B288,SAISIE!$W$4,$C$2:$C288,"S1"),""))</f>
        <v/>
      </c>
      <c r="AS288" t="str">
        <f t="shared" si="112"/>
        <v/>
      </c>
      <c r="AT288" t="str">
        <f t="shared" si="113"/>
        <v/>
      </c>
      <c r="AU288" t="str">
        <f t="shared" si="114"/>
        <v/>
      </c>
      <c r="AV288">
        <f>N(AV287)+IF(AND($AB288&lt;&gt;"",OR('PROFIL ELEVE'!$K$4="(Tous)",$AF288='PROFIL ELEVE'!$K$4)),1,0)</f>
        <v>0</v>
      </c>
      <c r="AW288">
        <f>N(AW287)+IF(AND($AB288&lt;&gt;"",OR('SUIVI LONGITUDINAL'!$Q$4="(Tous)",$AF288='SUIVI LONGITUDINAL'!$Q$4)),1,0)</f>
        <v>0</v>
      </c>
      <c r="AX288">
        <f t="shared" si="115"/>
        <v>0</v>
      </c>
      <c r="AY288">
        <f t="shared" si="116"/>
        <v>0</v>
      </c>
      <c r="AZ288">
        <f t="shared" si="117"/>
        <v>0</v>
      </c>
      <c r="BA288" t="str">
        <f t="shared" si="118"/>
        <v/>
      </c>
      <c r="BB288" t="str">
        <f t="shared" si="119"/>
        <v/>
      </c>
    </row>
    <row r="289" spans="1:54" ht="14.25" customHeight="1" x14ac:dyDescent="0.3">
      <c r="A289" t="str">
        <f>IF(SAISIE!$F294="","",SAISIE!$B294)</f>
        <v/>
      </c>
      <c r="B289" t="str">
        <f>IF(SAISIE!$F294="","",SAISIE!$C294)</f>
        <v/>
      </c>
      <c r="C289" t="str">
        <f>IF(SAISIE!$F294="","",SAISIE!$D294)</f>
        <v/>
      </c>
      <c r="D289" t="str">
        <f>IF(SAISIE!$E294="","",SAISIE!$E294)</f>
        <v/>
      </c>
      <c r="E289" t="str">
        <f>IF(SAISIE!$F294="","",SAISIE!$F294)</f>
        <v/>
      </c>
      <c r="F289" t="str">
        <f>IF(SAISIE!$G294="","",SAISIE!$G294)</f>
        <v/>
      </c>
      <c r="G289" t="str">
        <f>IF(SAISIE!$H294="","",SAISIE!$H294)</f>
        <v/>
      </c>
      <c r="H289" t="str">
        <f>IF(SAISIE!$I294="","",SAISIE!$I294)</f>
        <v/>
      </c>
      <c r="I289" t="str">
        <f>IF(SAISIE!$J294="","",SAISIE!$J294)</f>
        <v/>
      </c>
      <c r="J289" t="str">
        <f>IF(SAISIE!$K294="","",SAISIE!$K294)</f>
        <v/>
      </c>
      <c r="K289" t="str">
        <f>IF(SAISIE!$L294="","",SAISIE!$L294)</f>
        <v/>
      </c>
      <c r="L289" t="str">
        <f>IF(SAISIE!$M294="","",SAISIE!$M294)</f>
        <v/>
      </c>
      <c r="M289" t="str">
        <f>IF(SAISIE!$N294="","",SAISIE!$N294)</f>
        <v/>
      </c>
      <c r="N289" t="str">
        <f>IF(SAISIE!$O294="","",SAISIE!$O294)</f>
        <v/>
      </c>
      <c r="O289" t="str">
        <f>IF(SAISIE!$P294="","",SAISIE!$P294)</f>
        <v/>
      </c>
      <c r="P289" t="str">
        <f>IF(SAISIE!$Q294="","",SAISIE!$Q294)</f>
        <v/>
      </c>
      <c r="Q289" t="str">
        <f>IF($I289="","",IF($I289&gt;PARAMETRES!$G$29,5,IF($I289&gt;PARAMETRES!$F$29,4,IF($I289&gt;PARAMETRES!$E$29,3,IF($I289&gt;PARAMETRES!$D$29,2,1)))))</f>
        <v/>
      </c>
      <c r="R289" t="str">
        <f>IF($J289="","",IF($J289&gt;PARAMETRES!$G$30,5,IF($J289&gt;PARAMETRES!$F$30,4,IF($J289&gt;PARAMETRES!$E$30,3,IF($J289&gt;PARAMETRES!$D$30,2,1)))))</f>
        <v/>
      </c>
      <c r="S289" t="str">
        <f>IF($K289="","",IF($Z289=2,IF($K289&gt;PARAMETRES!$G$31,5,IF($K289&gt;PARAMETRES!$F$31,4,IF($K289&gt;PARAMETRES!$E$31,3,IF($K289&gt;PARAMETRES!$D$31,2,1)))),IF($K289&gt;PARAMETRES!$G$32,5,IF($K289&gt;PARAMETRES!$F$32,4,IF($K289&gt;PARAMETRES!$E$32,3,IF($K289&gt;PARAMETRES!$D$32,2,1))))))</f>
        <v/>
      </c>
      <c r="T289" t="str">
        <f>IF($L289="","",IF($L289&gt;PARAMETRES!$G$33,5,IF($L289&gt;PARAMETRES!$F$33,4,IF($L289&gt;PARAMETRES!$E$33,3,IF($L289&gt;PARAMETRES!$D$33,2,1)))))</f>
        <v/>
      </c>
      <c r="U289" t="str">
        <f>IF($M289="","",IF($M289&gt;PARAMETRES!$G$34,5,IF($M289&gt;PARAMETRES!$F$34,4,IF($M289&gt;PARAMETRES!$E$34,3,IF($M289&gt;PARAMETRES!$D$34,2,1)))))</f>
        <v/>
      </c>
      <c r="V289" t="str">
        <f>IF($N289="","",IF($N289&gt;PARAMETRES!$G$35,5,IF($N289&gt;PARAMETRES!$F$35,4,IF($N289&gt;PARAMETRES!$E$35,3,IF($N289&gt;PARAMETRES!$D$35,2,1)))))</f>
        <v/>
      </c>
      <c r="W289" t="str">
        <f>IF($O289="","",IF($O289&gt;PARAMETRES!$G$36,5,IF($O289&gt;PARAMETRES!$F$36,4,IF($O289&gt;PARAMETRES!$E$36,3,IF($O289&gt;PARAMETRES!$D$36,2,1)))))</f>
        <v/>
      </c>
      <c r="X289" t="str">
        <f>IF($P289="","",IF($P289&gt;PARAMETRES!$G$37,5,IF($P289&gt;PARAMETRES!$F$37,4,IF($P289&gt;PARAMETRES!$E$37,3,IF($P289&gt;PARAMETRES!$D$37,2,1)))))</f>
        <v/>
      </c>
      <c r="Y289" t="str">
        <f t="shared" si="96"/>
        <v/>
      </c>
      <c r="Z289" t="str">
        <f>IFERROR(VLOOKUP($B289,TABLE_CYCLE,2,0),"")</f>
        <v/>
      </c>
      <c r="AA289" t="str">
        <f t="shared" si="97"/>
        <v/>
      </c>
      <c r="AB289" t="str">
        <f>IF($D289="","",IF(COUNTIF($D$2:$D289,$D289)=1,$D289,""))</f>
        <v/>
      </c>
      <c r="AC289">
        <f t="shared" si="98"/>
        <v>0</v>
      </c>
      <c r="AD289" t="str">
        <f t="shared" si="99"/>
        <v>|0</v>
      </c>
      <c r="AE289" t="str">
        <f t="shared" si="100"/>
        <v/>
      </c>
      <c r="AF289" t="str">
        <f t="shared" si="101"/>
        <v/>
      </c>
      <c r="AG289" t="str">
        <f t="shared" si="102"/>
        <v/>
      </c>
      <c r="AH289" t="str">
        <f t="shared" si="103"/>
        <v/>
      </c>
      <c r="AI289" t="str">
        <f t="shared" si="104"/>
        <v/>
      </c>
      <c r="AJ289" t="str">
        <f t="shared" si="105"/>
        <v/>
      </c>
      <c r="AK289" t="str">
        <f t="shared" si="106"/>
        <v/>
      </c>
      <c r="AL289" t="str">
        <f t="shared" si="107"/>
        <v/>
      </c>
      <c r="AM289" t="str">
        <f t="shared" si="108"/>
        <v/>
      </c>
      <c r="AN289" t="str">
        <f t="shared" si="109"/>
        <v/>
      </c>
      <c r="AO289" t="str">
        <f t="shared" si="110"/>
        <v/>
      </c>
      <c r="AP289">
        <f t="shared" si="111"/>
        <v>1</v>
      </c>
      <c r="AQ289" t="str">
        <f>IF(SAISIE!$F294="","",SAISIE!$Y294)</f>
        <v/>
      </c>
      <c r="AR289" t="str">
        <f>IF(OR(SAISIE!$U$4="",SAISIE!$W$4=""),"",IF(AND($A289=SAISIE!$U$4,$B289=SAISIE!$W$4,$C289="S1"),COUNTIFS($A$2:$A289,SAISIE!$U$4,$B$2:$B289,SAISIE!$W$4,$C$2:$C289,"S1"),""))</f>
        <v/>
      </c>
      <c r="AS289" t="str">
        <f t="shared" si="112"/>
        <v/>
      </c>
      <c r="AT289" t="str">
        <f t="shared" si="113"/>
        <v/>
      </c>
      <c r="AU289" t="str">
        <f t="shared" si="114"/>
        <v/>
      </c>
      <c r="AV289">
        <f>N(AV288)+IF(AND($AB289&lt;&gt;"",OR('PROFIL ELEVE'!$K$4="(Tous)",$AF289='PROFIL ELEVE'!$K$4)),1,0)</f>
        <v>0</v>
      </c>
      <c r="AW289">
        <f>N(AW288)+IF(AND($AB289&lt;&gt;"",OR('SUIVI LONGITUDINAL'!$Q$4="(Tous)",$AF289='SUIVI LONGITUDINAL'!$Q$4)),1,0)</f>
        <v>0</v>
      </c>
      <c r="AX289">
        <f t="shared" si="115"/>
        <v>0</v>
      </c>
      <c r="AY289">
        <f t="shared" si="116"/>
        <v>0</v>
      </c>
      <c r="AZ289">
        <f t="shared" si="117"/>
        <v>0</v>
      </c>
      <c r="BA289" t="str">
        <f t="shared" si="118"/>
        <v/>
      </c>
      <c r="BB289" t="str">
        <f t="shared" si="119"/>
        <v/>
      </c>
    </row>
    <row r="290" spans="1:54" ht="14.25" customHeight="1" x14ac:dyDescent="0.3">
      <c r="A290" t="str">
        <f>IF(SAISIE!$F295="","",SAISIE!$B295)</f>
        <v/>
      </c>
      <c r="B290" t="str">
        <f>IF(SAISIE!$F295="","",SAISIE!$C295)</f>
        <v/>
      </c>
      <c r="C290" t="str">
        <f>IF(SAISIE!$F295="","",SAISIE!$D295)</f>
        <v/>
      </c>
      <c r="D290" t="str">
        <f>IF(SAISIE!$E295="","",SAISIE!$E295)</f>
        <v/>
      </c>
      <c r="E290" t="str">
        <f>IF(SAISIE!$F295="","",SAISIE!$F295)</f>
        <v/>
      </c>
      <c r="F290" t="str">
        <f>IF(SAISIE!$G295="","",SAISIE!$G295)</f>
        <v/>
      </c>
      <c r="G290" t="str">
        <f>IF(SAISIE!$H295="","",SAISIE!$H295)</f>
        <v/>
      </c>
      <c r="H290" t="str">
        <f>IF(SAISIE!$I295="","",SAISIE!$I295)</f>
        <v/>
      </c>
      <c r="I290" t="str">
        <f>IF(SAISIE!$J295="","",SAISIE!$J295)</f>
        <v/>
      </c>
      <c r="J290" t="str">
        <f>IF(SAISIE!$K295="","",SAISIE!$K295)</f>
        <v/>
      </c>
      <c r="K290" t="str">
        <f>IF(SAISIE!$L295="","",SAISIE!$L295)</f>
        <v/>
      </c>
      <c r="L290" t="str">
        <f>IF(SAISIE!$M295="","",SAISIE!$M295)</f>
        <v/>
      </c>
      <c r="M290" t="str">
        <f>IF(SAISIE!$N295="","",SAISIE!$N295)</f>
        <v/>
      </c>
      <c r="N290" t="str">
        <f>IF(SAISIE!$O295="","",SAISIE!$O295)</f>
        <v/>
      </c>
      <c r="O290" t="str">
        <f>IF(SAISIE!$P295="","",SAISIE!$P295)</f>
        <v/>
      </c>
      <c r="P290" t="str">
        <f>IF(SAISIE!$Q295="","",SAISIE!$Q295)</f>
        <v/>
      </c>
      <c r="Q290" t="str">
        <f>IF($I290="","",IF($I290&gt;PARAMETRES!$G$29,5,IF($I290&gt;PARAMETRES!$F$29,4,IF($I290&gt;PARAMETRES!$E$29,3,IF($I290&gt;PARAMETRES!$D$29,2,1)))))</f>
        <v/>
      </c>
      <c r="R290" t="str">
        <f>IF($J290="","",IF($J290&gt;PARAMETRES!$G$30,5,IF($J290&gt;PARAMETRES!$F$30,4,IF($J290&gt;PARAMETRES!$E$30,3,IF($J290&gt;PARAMETRES!$D$30,2,1)))))</f>
        <v/>
      </c>
      <c r="S290" t="str">
        <f>IF($K290="","",IF($Z290=2,IF($K290&gt;PARAMETRES!$G$31,5,IF($K290&gt;PARAMETRES!$F$31,4,IF($K290&gt;PARAMETRES!$E$31,3,IF($K290&gt;PARAMETRES!$D$31,2,1)))),IF($K290&gt;PARAMETRES!$G$32,5,IF($K290&gt;PARAMETRES!$F$32,4,IF($K290&gt;PARAMETRES!$E$32,3,IF($K290&gt;PARAMETRES!$D$32,2,1))))))</f>
        <v/>
      </c>
      <c r="T290" t="str">
        <f>IF($L290="","",IF($L290&gt;PARAMETRES!$G$33,5,IF($L290&gt;PARAMETRES!$F$33,4,IF($L290&gt;PARAMETRES!$E$33,3,IF($L290&gt;PARAMETRES!$D$33,2,1)))))</f>
        <v/>
      </c>
      <c r="U290" t="str">
        <f>IF($M290="","",IF($M290&gt;PARAMETRES!$G$34,5,IF($M290&gt;PARAMETRES!$F$34,4,IF($M290&gt;PARAMETRES!$E$34,3,IF($M290&gt;PARAMETRES!$D$34,2,1)))))</f>
        <v/>
      </c>
      <c r="V290" t="str">
        <f>IF($N290="","",IF($N290&gt;PARAMETRES!$G$35,5,IF($N290&gt;PARAMETRES!$F$35,4,IF($N290&gt;PARAMETRES!$E$35,3,IF($N290&gt;PARAMETRES!$D$35,2,1)))))</f>
        <v/>
      </c>
      <c r="W290" t="str">
        <f>IF($O290="","",IF($O290&gt;PARAMETRES!$G$36,5,IF($O290&gt;PARAMETRES!$F$36,4,IF($O290&gt;PARAMETRES!$E$36,3,IF($O290&gt;PARAMETRES!$D$36,2,1)))))</f>
        <v/>
      </c>
      <c r="X290" t="str">
        <f>IF($P290="","",IF($P290&gt;PARAMETRES!$G$37,5,IF($P290&gt;PARAMETRES!$F$37,4,IF($P290&gt;PARAMETRES!$E$37,3,IF($P290&gt;PARAMETRES!$D$37,2,1)))))</f>
        <v/>
      </c>
      <c r="Y290" t="str">
        <f t="shared" si="96"/>
        <v/>
      </c>
      <c r="Z290" t="str">
        <f>IFERROR(VLOOKUP($B290,TABLE_CYCLE,2,0),"")</f>
        <v/>
      </c>
      <c r="AA290" t="str">
        <f t="shared" si="97"/>
        <v/>
      </c>
      <c r="AB290" t="str">
        <f>IF($D290="","",IF(COUNTIF($D$2:$D290,$D290)=1,$D290,""))</f>
        <v/>
      </c>
      <c r="AC290">
        <f t="shared" si="98"/>
        <v>0</v>
      </c>
      <c r="AD290" t="str">
        <f t="shared" si="99"/>
        <v>|0</v>
      </c>
      <c r="AE290" t="str">
        <f t="shared" si="100"/>
        <v/>
      </c>
      <c r="AF290" t="str">
        <f t="shared" si="101"/>
        <v/>
      </c>
      <c r="AG290" t="str">
        <f t="shared" si="102"/>
        <v/>
      </c>
      <c r="AH290" t="str">
        <f t="shared" si="103"/>
        <v/>
      </c>
      <c r="AI290" t="str">
        <f t="shared" si="104"/>
        <v/>
      </c>
      <c r="AJ290" t="str">
        <f t="shared" si="105"/>
        <v/>
      </c>
      <c r="AK290" t="str">
        <f t="shared" si="106"/>
        <v/>
      </c>
      <c r="AL290" t="str">
        <f t="shared" si="107"/>
        <v/>
      </c>
      <c r="AM290" t="str">
        <f t="shared" si="108"/>
        <v/>
      </c>
      <c r="AN290" t="str">
        <f t="shared" si="109"/>
        <v/>
      </c>
      <c r="AO290" t="str">
        <f t="shared" si="110"/>
        <v/>
      </c>
      <c r="AP290">
        <f t="shared" si="111"/>
        <v>1</v>
      </c>
      <c r="AQ290" t="str">
        <f>IF(SAISIE!$F295="","",SAISIE!$Y295)</f>
        <v/>
      </c>
      <c r="AR290" t="str">
        <f>IF(OR(SAISIE!$U$4="",SAISIE!$W$4=""),"",IF(AND($A290=SAISIE!$U$4,$B290=SAISIE!$W$4,$C290="S1"),COUNTIFS($A$2:$A290,SAISIE!$U$4,$B$2:$B290,SAISIE!$W$4,$C$2:$C290,"S1"),""))</f>
        <v/>
      </c>
      <c r="AS290" t="str">
        <f t="shared" si="112"/>
        <v/>
      </c>
      <c r="AT290" t="str">
        <f t="shared" si="113"/>
        <v/>
      </c>
      <c r="AU290" t="str">
        <f t="shared" si="114"/>
        <v/>
      </c>
      <c r="AV290">
        <f>N(AV289)+IF(AND($AB290&lt;&gt;"",OR('PROFIL ELEVE'!$K$4="(Tous)",$AF290='PROFIL ELEVE'!$K$4)),1,0)</f>
        <v>0</v>
      </c>
      <c r="AW290">
        <f>N(AW289)+IF(AND($AB290&lt;&gt;"",OR('SUIVI LONGITUDINAL'!$Q$4="(Tous)",$AF290='SUIVI LONGITUDINAL'!$Q$4)),1,0)</f>
        <v>0</v>
      </c>
      <c r="AX290">
        <f t="shared" si="115"/>
        <v>0</v>
      </c>
      <c r="AY290">
        <f t="shared" si="116"/>
        <v>0</v>
      </c>
      <c r="AZ290">
        <f t="shared" si="117"/>
        <v>0</v>
      </c>
      <c r="BA290" t="str">
        <f t="shared" si="118"/>
        <v/>
      </c>
      <c r="BB290" t="str">
        <f t="shared" si="119"/>
        <v/>
      </c>
    </row>
    <row r="291" spans="1:54" ht="14.25" customHeight="1" x14ac:dyDescent="0.3">
      <c r="A291" t="str">
        <f>IF(SAISIE!$F296="","",SAISIE!$B296)</f>
        <v/>
      </c>
      <c r="B291" t="str">
        <f>IF(SAISIE!$F296="","",SAISIE!$C296)</f>
        <v/>
      </c>
      <c r="C291" t="str">
        <f>IF(SAISIE!$F296="","",SAISIE!$D296)</f>
        <v/>
      </c>
      <c r="D291" t="str">
        <f>IF(SAISIE!$E296="","",SAISIE!$E296)</f>
        <v/>
      </c>
      <c r="E291" t="str">
        <f>IF(SAISIE!$F296="","",SAISIE!$F296)</f>
        <v/>
      </c>
      <c r="F291" t="str">
        <f>IF(SAISIE!$G296="","",SAISIE!$G296)</f>
        <v/>
      </c>
      <c r="G291" t="str">
        <f>IF(SAISIE!$H296="","",SAISIE!$H296)</f>
        <v/>
      </c>
      <c r="H291" t="str">
        <f>IF(SAISIE!$I296="","",SAISIE!$I296)</f>
        <v/>
      </c>
      <c r="I291" t="str">
        <f>IF(SAISIE!$J296="","",SAISIE!$J296)</f>
        <v/>
      </c>
      <c r="J291" t="str">
        <f>IF(SAISIE!$K296="","",SAISIE!$K296)</f>
        <v/>
      </c>
      <c r="K291" t="str">
        <f>IF(SAISIE!$L296="","",SAISIE!$L296)</f>
        <v/>
      </c>
      <c r="L291" t="str">
        <f>IF(SAISIE!$M296="","",SAISIE!$M296)</f>
        <v/>
      </c>
      <c r="M291" t="str">
        <f>IF(SAISIE!$N296="","",SAISIE!$N296)</f>
        <v/>
      </c>
      <c r="N291" t="str">
        <f>IF(SAISIE!$O296="","",SAISIE!$O296)</f>
        <v/>
      </c>
      <c r="O291" t="str">
        <f>IF(SAISIE!$P296="","",SAISIE!$P296)</f>
        <v/>
      </c>
      <c r="P291" t="str">
        <f>IF(SAISIE!$Q296="","",SAISIE!$Q296)</f>
        <v/>
      </c>
      <c r="Q291" t="str">
        <f>IF($I291="","",IF($I291&gt;PARAMETRES!$G$29,5,IF($I291&gt;PARAMETRES!$F$29,4,IF($I291&gt;PARAMETRES!$E$29,3,IF($I291&gt;PARAMETRES!$D$29,2,1)))))</f>
        <v/>
      </c>
      <c r="R291" t="str">
        <f>IF($J291="","",IF($J291&gt;PARAMETRES!$G$30,5,IF($J291&gt;PARAMETRES!$F$30,4,IF($J291&gt;PARAMETRES!$E$30,3,IF($J291&gt;PARAMETRES!$D$30,2,1)))))</f>
        <v/>
      </c>
      <c r="S291" t="str">
        <f>IF($K291="","",IF($Z291=2,IF($K291&gt;PARAMETRES!$G$31,5,IF($K291&gt;PARAMETRES!$F$31,4,IF($K291&gt;PARAMETRES!$E$31,3,IF($K291&gt;PARAMETRES!$D$31,2,1)))),IF($K291&gt;PARAMETRES!$G$32,5,IF($K291&gt;PARAMETRES!$F$32,4,IF($K291&gt;PARAMETRES!$E$32,3,IF($K291&gt;PARAMETRES!$D$32,2,1))))))</f>
        <v/>
      </c>
      <c r="T291" t="str">
        <f>IF($L291="","",IF($L291&gt;PARAMETRES!$G$33,5,IF($L291&gt;PARAMETRES!$F$33,4,IF($L291&gt;PARAMETRES!$E$33,3,IF($L291&gt;PARAMETRES!$D$33,2,1)))))</f>
        <v/>
      </c>
      <c r="U291" t="str">
        <f>IF($M291="","",IF($M291&gt;PARAMETRES!$G$34,5,IF($M291&gt;PARAMETRES!$F$34,4,IF($M291&gt;PARAMETRES!$E$34,3,IF($M291&gt;PARAMETRES!$D$34,2,1)))))</f>
        <v/>
      </c>
      <c r="V291" t="str">
        <f>IF($N291="","",IF($N291&gt;PARAMETRES!$G$35,5,IF($N291&gt;PARAMETRES!$F$35,4,IF($N291&gt;PARAMETRES!$E$35,3,IF($N291&gt;PARAMETRES!$D$35,2,1)))))</f>
        <v/>
      </c>
      <c r="W291" t="str">
        <f>IF($O291="","",IF($O291&gt;PARAMETRES!$G$36,5,IF($O291&gt;PARAMETRES!$F$36,4,IF($O291&gt;PARAMETRES!$E$36,3,IF($O291&gt;PARAMETRES!$D$36,2,1)))))</f>
        <v/>
      </c>
      <c r="X291" t="str">
        <f>IF($P291="","",IF($P291&gt;PARAMETRES!$G$37,5,IF($P291&gt;PARAMETRES!$F$37,4,IF($P291&gt;PARAMETRES!$E$37,3,IF($P291&gt;PARAMETRES!$D$37,2,1)))))</f>
        <v/>
      </c>
      <c r="Y291" t="str">
        <f t="shared" si="96"/>
        <v/>
      </c>
      <c r="Z291" t="str">
        <f>IFERROR(VLOOKUP($B291,TABLE_CYCLE,2,0),"")</f>
        <v/>
      </c>
      <c r="AA291" t="str">
        <f t="shared" si="97"/>
        <v/>
      </c>
      <c r="AB291" t="str">
        <f>IF($D291="","",IF(COUNTIF($D$2:$D291,$D291)=1,$D291,""))</f>
        <v/>
      </c>
      <c r="AC291">
        <f t="shared" si="98"/>
        <v>0</v>
      </c>
      <c r="AD291" t="str">
        <f t="shared" si="99"/>
        <v>|0</v>
      </c>
      <c r="AE291" t="str">
        <f t="shared" si="100"/>
        <v/>
      </c>
      <c r="AF291" t="str">
        <f t="shared" si="101"/>
        <v/>
      </c>
      <c r="AG291" t="str">
        <f t="shared" si="102"/>
        <v/>
      </c>
      <c r="AH291" t="str">
        <f t="shared" si="103"/>
        <v/>
      </c>
      <c r="AI291" t="str">
        <f t="shared" si="104"/>
        <v/>
      </c>
      <c r="AJ291" t="str">
        <f t="shared" si="105"/>
        <v/>
      </c>
      <c r="AK291" t="str">
        <f t="shared" si="106"/>
        <v/>
      </c>
      <c r="AL291" t="str">
        <f t="shared" si="107"/>
        <v/>
      </c>
      <c r="AM291" t="str">
        <f t="shared" si="108"/>
        <v/>
      </c>
      <c r="AN291" t="str">
        <f t="shared" si="109"/>
        <v/>
      </c>
      <c r="AO291" t="str">
        <f t="shared" si="110"/>
        <v/>
      </c>
      <c r="AP291">
        <f t="shared" si="111"/>
        <v>1</v>
      </c>
      <c r="AQ291" t="str">
        <f>IF(SAISIE!$F296="","",SAISIE!$Y296)</f>
        <v/>
      </c>
      <c r="AR291" t="str">
        <f>IF(OR(SAISIE!$U$4="",SAISIE!$W$4=""),"",IF(AND($A291=SAISIE!$U$4,$B291=SAISIE!$W$4,$C291="S1"),COUNTIFS($A$2:$A291,SAISIE!$U$4,$B$2:$B291,SAISIE!$W$4,$C$2:$C291,"S1"),""))</f>
        <v/>
      </c>
      <c r="AS291" t="str">
        <f t="shared" si="112"/>
        <v/>
      </c>
      <c r="AT291" t="str">
        <f t="shared" si="113"/>
        <v/>
      </c>
      <c r="AU291" t="str">
        <f t="shared" si="114"/>
        <v/>
      </c>
      <c r="AV291">
        <f>N(AV290)+IF(AND($AB291&lt;&gt;"",OR('PROFIL ELEVE'!$K$4="(Tous)",$AF291='PROFIL ELEVE'!$K$4)),1,0)</f>
        <v>0</v>
      </c>
      <c r="AW291">
        <f>N(AW290)+IF(AND($AB291&lt;&gt;"",OR('SUIVI LONGITUDINAL'!$Q$4="(Tous)",$AF291='SUIVI LONGITUDINAL'!$Q$4)),1,0)</f>
        <v>0</v>
      </c>
      <c r="AX291">
        <f t="shared" si="115"/>
        <v>0</v>
      </c>
      <c r="AY291">
        <f t="shared" si="116"/>
        <v>0</v>
      </c>
      <c r="AZ291">
        <f t="shared" si="117"/>
        <v>0</v>
      </c>
      <c r="BA291" t="str">
        <f t="shared" si="118"/>
        <v/>
      </c>
      <c r="BB291" t="str">
        <f t="shared" si="119"/>
        <v/>
      </c>
    </row>
    <row r="292" spans="1:54" ht="14.25" customHeight="1" x14ac:dyDescent="0.3">
      <c r="A292" t="str">
        <f>IF(SAISIE!$F297="","",SAISIE!$B297)</f>
        <v/>
      </c>
      <c r="B292" t="str">
        <f>IF(SAISIE!$F297="","",SAISIE!$C297)</f>
        <v/>
      </c>
      <c r="C292" t="str">
        <f>IF(SAISIE!$F297="","",SAISIE!$D297)</f>
        <v/>
      </c>
      <c r="D292" t="str">
        <f>IF(SAISIE!$E297="","",SAISIE!$E297)</f>
        <v/>
      </c>
      <c r="E292" t="str">
        <f>IF(SAISIE!$F297="","",SAISIE!$F297)</f>
        <v/>
      </c>
      <c r="F292" t="str">
        <f>IF(SAISIE!$G297="","",SAISIE!$G297)</f>
        <v/>
      </c>
      <c r="G292" t="str">
        <f>IF(SAISIE!$H297="","",SAISIE!$H297)</f>
        <v/>
      </c>
      <c r="H292" t="str">
        <f>IF(SAISIE!$I297="","",SAISIE!$I297)</f>
        <v/>
      </c>
      <c r="I292" t="str">
        <f>IF(SAISIE!$J297="","",SAISIE!$J297)</f>
        <v/>
      </c>
      <c r="J292" t="str">
        <f>IF(SAISIE!$K297="","",SAISIE!$K297)</f>
        <v/>
      </c>
      <c r="K292" t="str">
        <f>IF(SAISIE!$L297="","",SAISIE!$L297)</f>
        <v/>
      </c>
      <c r="L292" t="str">
        <f>IF(SAISIE!$M297="","",SAISIE!$M297)</f>
        <v/>
      </c>
      <c r="M292" t="str">
        <f>IF(SAISIE!$N297="","",SAISIE!$N297)</f>
        <v/>
      </c>
      <c r="N292" t="str">
        <f>IF(SAISIE!$O297="","",SAISIE!$O297)</f>
        <v/>
      </c>
      <c r="O292" t="str">
        <f>IF(SAISIE!$P297="","",SAISIE!$P297)</f>
        <v/>
      </c>
      <c r="P292" t="str">
        <f>IF(SAISIE!$Q297="","",SAISIE!$Q297)</f>
        <v/>
      </c>
      <c r="Q292" t="str">
        <f>IF($I292="","",IF($I292&gt;PARAMETRES!$G$29,5,IF($I292&gt;PARAMETRES!$F$29,4,IF($I292&gt;PARAMETRES!$E$29,3,IF($I292&gt;PARAMETRES!$D$29,2,1)))))</f>
        <v/>
      </c>
      <c r="R292" t="str">
        <f>IF($J292="","",IF($J292&gt;PARAMETRES!$G$30,5,IF($J292&gt;PARAMETRES!$F$30,4,IF($J292&gt;PARAMETRES!$E$30,3,IF($J292&gt;PARAMETRES!$D$30,2,1)))))</f>
        <v/>
      </c>
      <c r="S292" t="str">
        <f>IF($K292="","",IF($Z292=2,IF($K292&gt;PARAMETRES!$G$31,5,IF($K292&gt;PARAMETRES!$F$31,4,IF($K292&gt;PARAMETRES!$E$31,3,IF($K292&gt;PARAMETRES!$D$31,2,1)))),IF($K292&gt;PARAMETRES!$G$32,5,IF($K292&gt;PARAMETRES!$F$32,4,IF($K292&gt;PARAMETRES!$E$32,3,IF($K292&gt;PARAMETRES!$D$32,2,1))))))</f>
        <v/>
      </c>
      <c r="T292" t="str">
        <f>IF($L292="","",IF($L292&gt;PARAMETRES!$G$33,5,IF($L292&gt;PARAMETRES!$F$33,4,IF($L292&gt;PARAMETRES!$E$33,3,IF($L292&gt;PARAMETRES!$D$33,2,1)))))</f>
        <v/>
      </c>
      <c r="U292" t="str">
        <f>IF($M292="","",IF($M292&gt;PARAMETRES!$G$34,5,IF($M292&gt;PARAMETRES!$F$34,4,IF($M292&gt;PARAMETRES!$E$34,3,IF($M292&gt;PARAMETRES!$D$34,2,1)))))</f>
        <v/>
      </c>
      <c r="V292" t="str">
        <f>IF($N292="","",IF($N292&gt;PARAMETRES!$G$35,5,IF($N292&gt;PARAMETRES!$F$35,4,IF($N292&gt;PARAMETRES!$E$35,3,IF($N292&gt;PARAMETRES!$D$35,2,1)))))</f>
        <v/>
      </c>
      <c r="W292" t="str">
        <f>IF($O292="","",IF($O292&gt;PARAMETRES!$G$36,5,IF($O292&gt;PARAMETRES!$F$36,4,IF($O292&gt;PARAMETRES!$E$36,3,IF($O292&gt;PARAMETRES!$D$36,2,1)))))</f>
        <v/>
      </c>
      <c r="X292" t="str">
        <f>IF($P292="","",IF($P292&gt;PARAMETRES!$G$37,5,IF($P292&gt;PARAMETRES!$F$37,4,IF($P292&gt;PARAMETRES!$E$37,3,IF($P292&gt;PARAMETRES!$D$37,2,1)))))</f>
        <v/>
      </c>
      <c r="Y292" t="str">
        <f t="shared" si="96"/>
        <v/>
      </c>
      <c r="Z292" t="str">
        <f>IFERROR(VLOOKUP($B292,TABLE_CYCLE,2,0),"")</f>
        <v/>
      </c>
      <c r="AA292" t="str">
        <f t="shared" si="97"/>
        <v/>
      </c>
      <c r="AB292" t="str">
        <f>IF($D292="","",IF(COUNTIF($D$2:$D292,$D292)=1,$D292,""))</f>
        <v/>
      </c>
      <c r="AC292">
        <f t="shared" si="98"/>
        <v>0</v>
      </c>
      <c r="AD292" t="str">
        <f t="shared" si="99"/>
        <v>|0</v>
      </c>
      <c r="AE292" t="str">
        <f t="shared" si="100"/>
        <v/>
      </c>
      <c r="AF292" t="str">
        <f t="shared" si="101"/>
        <v/>
      </c>
      <c r="AG292" t="str">
        <f t="shared" si="102"/>
        <v/>
      </c>
      <c r="AH292" t="str">
        <f t="shared" si="103"/>
        <v/>
      </c>
      <c r="AI292" t="str">
        <f t="shared" si="104"/>
        <v/>
      </c>
      <c r="AJ292" t="str">
        <f t="shared" si="105"/>
        <v/>
      </c>
      <c r="AK292" t="str">
        <f t="shared" si="106"/>
        <v/>
      </c>
      <c r="AL292" t="str">
        <f t="shared" si="107"/>
        <v/>
      </c>
      <c r="AM292" t="str">
        <f t="shared" si="108"/>
        <v/>
      </c>
      <c r="AN292" t="str">
        <f t="shared" si="109"/>
        <v/>
      </c>
      <c r="AO292" t="str">
        <f t="shared" si="110"/>
        <v/>
      </c>
      <c r="AP292">
        <f t="shared" si="111"/>
        <v>1</v>
      </c>
      <c r="AQ292" t="str">
        <f>IF(SAISIE!$F297="","",SAISIE!$Y297)</f>
        <v/>
      </c>
      <c r="AR292" t="str">
        <f>IF(OR(SAISIE!$U$4="",SAISIE!$W$4=""),"",IF(AND($A292=SAISIE!$U$4,$B292=SAISIE!$W$4,$C292="S1"),COUNTIFS($A$2:$A292,SAISIE!$U$4,$B$2:$B292,SAISIE!$W$4,$C$2:$C292,"S1"),""))</f>
        <v/>
      </c>
      <c r="AS292" t="str">
        <f t="shared" si="112"/>
        <v/>
      </c>
      <c r="AT292" t="str">
        <f t="shared" si="113"/>
        <v/>
      </c>
      <c r="AU292" t="str">
        <f t="shared" si="114"/>
        <v/>
      </c>
      <c r="AV292">
        <f>N(AV291)+IF(AND($AB292&lt;&gt;"",OR('PROFIL ELEVE'!$K$4="(Tous)",$AF292='PROFIL ELEVE'!$K$4)),1,0)</f>
        <v>0</v>
      </c>
      <c r="AW292">
        <f>N(AW291)+IF(AND($AB292&lt;&gt;"",OR('SUIVI LONGITUDINAL'!$Q$4="(Tous)",$AF292='SUIVI LONGITUDINAL'!$Q$4)),1,0)</f>
        <v>0</v>
      </c>
      <c r="AX292">
        <f t="shared" si="115"/>
        <v>0</v>
      </c>
      <c r="AY292">
        <f t="shared" si="116"/>
        <v>0</v>
      </c>
      <c r="AZ292">
        <f t="shared" si="117"/>
        <v>0</v>
      </c>
      <c r="BA292" t="str">
        <f t="shared" si="118"/>
        <v/>
      </c>
      <c r="BB292" t="str">
        <f t="shared" si="119"/>
        <v/>
      </c>
    </row>
    <row r="293" spans="1:54" ht="14.25" customHeight="1" x14ac:dyDescent="0.3">
      <c r="A293" t="str">
        <f>IF(SAISIE!$F298="","",SAISIE!$B298)</f>
        <v/>
      </c>
      <c r="B293" t="str">
        <f>IF(SAISIE!$F298="","",SAISIE!$C298)</f>
        <v/>
      </c>
      <c r="C293" t="str">
        <f>IF(SAISIE!$F298="","",SAISIE!$D298)</f>
        <v/>
      </c>
      <c r="D293" t="str">
        <f>IF(SAISIE!$E298="","",SAISIE!$E298)</f>
        <v/>
      </c>
      <c r="E293" t="str">
        <f>IF(SAISIE!$F298="","",SAISIE!$F298)</f>
        <v/>
      </c>
      <c r="F293" t="str">
        <f>IF(SAISIE!$G298="","",SAISIE!$G298)</f>
        <v/>
      </c>
      <c r="G293" t="str">
        <f>IF(SAISIE!$H298="","",SAISIE!$H298)</f>
        <v/>
      </c>
      <c r="H293" t="str">
        <f>IF(SAISIE!$I298="","",SAISIE!$I298)</f>
        <v/>
      </c>
      <c r="I293" t="str">
        <f>IF(SAISIE!$J298="","",SAISIE!$J298)</f>
        <v/>
      </c>
      <c r="J293" t="str">
        <f>IF(SAISIE!$K298="","",SAISIE!$K298)</f>
        <v/>
      </c>
      <c r="K293" t="str">
        <f>IF(SAISIE!$L298="","",SAISIE!$L298)</f>
        <v/>
      </c>
      <c r="L293" t="str">
        <f>IF(SAISIE!$M298="","",SAISIE!$M298)</f>
        <v/>
      </c>
      <c r="M293" t="str">
        <f>IF(SAISIE!$N298="","",SAISIE!$N298)</f>
        <v/>
      </c>
      <c r="N293" t="str">
        <f>IF(SAISIE!$O298="","",SAISIE!$O298)</f>
        <v/>
      </c>
      <c r="O293" t="str">
        <f>IF(SAISIE!$P298="","",SAISIE!$P298)</f>
        <v/>
      </c>
      <c r="P293" t="str">
        <f>IF(SAISIE!$Q298="","",SAISIE!$Q298)</f>
        <v/>
      </c>
      <c r="Q293" t="str">
        <f>IF($I293="","",IF($I293&gt;PARAMETRES!$G$29,5,IF($I293&gt;PARAMETRES!$F$29,4,IF($I293&gt;PARAMETRES!$E$29,3,IF($I293&gt;PARAMETRES!$D$29,2,1)))))</f>
        <v/>
      </c>
      <c r="R293" t="str">
        <f>IF($J293="","",IF($J293&gt;PARAMETRES!$G$30,5,IF($J293&gt;PARAMETRES!$F$30,4,IF($J293&gt;PARAMETRES!$E$30,3,IF($J293&gt;PARAMETRES!$D$30,2,1)))))</f>
        <v/>
      </c>
      <c r="S293" t="str">
        <f>IF($K293="","",IF($Z293=2,IF($K293&gt;PARAMETRES!$G$31,5,IF($K293&gt;PARAMETRES!$F$31,4,IF($K293&gt;PARAMETRES!$E$31,3,IF($K293&gt;PARAMETRES!$D$31,2,1)))),IF($K293&gt;PARAMETRES!$G$32,5,IF($K293&gt;PARAMETRES!$F$32,4,IF($K293&gt;PARAMETRES!$E$32,3,IF($K293&gt;PARAMETRES!$D$32,2,1))))))</f>
        <v/>
      </c>
      <c r="T293" t="str">
        <f>IF($L293="","",IF($L293&gt;PARAMETRES!$G$33,5,IF($L293&gt;PARAMETRES!$F$33,4,IF($L293&gt;PARAMETRES!$E$33,3,IF($L293&gt;PARAMETRES!$D$33,2,1)))))</f>
        <v/>
      </c>
      <c r="U293" t="str">
        <f>IF($M293="","",IF($M293&gt;PARAMETRES!$G$34,5,IF($M293&gt;PARAMETRES!$F$34,4,IF($M293&gt;PARAMETRES!$E$34,3,IF($M293&gt;PARAMETRES!$D$34,2,1)))))</f>
        <v/>
      </c>
      <c r="V293" t="str">
        <f>IF($N293="","",IF($N293&gt;PARAMETRES!$G$35,5,IF($N293&gt;PARAMETRES!$F$35,4,IF($N293&gt;PARAMETRES!$E$35,3,IF($N293&gt;PARAMETRES!$D$35,2,1)))))</f>
        <v/>
      </c>
      <c r="W293" t="str">
        <f>IF($O293="","",IF($O293&gt;PARAMETRES!$G$36,5,IF($O293&gt;PARAMETRES!$F$36,4,IF($O293&gt;PARAMETRES!$E$36,3,IF($O293&gt;PARAMETRES!$D$36,2,1)))))</f>
        <v/>
      </c>
      <c r="X293" t="str">
        <f>IF($P293="","",IF($P293&gt;PARAMETRES!$G$37,5,IF($P293&gt;PARAMETRES!$F$37,4,IF($P293&gt;PARAMETRES!$E$37,3,IF($P293&gt;PARAMETRES!$D$37,2,1)))))</f>
        <v/>
      </c>
      <c r="Y293" t="str">
        <f t="shared" si="96"/>
        <v/>
      </c>
      <c r="Z293" t="str">
        <f>IFERROR(VLOOKUP($B293,TABLE_CYCLE,2,0),"")</f>
        <v/>
      </c>
      <c r="AA293" t="str">
        <f t="shared" si="97"/>
        <v/>
      </c>
      <c r="AB293" t="str">
        <f>IF($D293="","",IF(COUNTIF($D$2:$D293,$D293)=1,$D293,""))</f>
        <v/>
      </c>
      <c r="AC293">
        <f t="shared" si="98"/>
        <v>0</v>
      </c>
      <c r="AD293" t="str">
        <f t="shared" si="99"/>
        <v>|0</v>
      </c>
      <c r="AE293" t="str">
        <f t="shared" si="100"/>
        <v/>
      </c>
      <c r="AF293" t="str">
        <f t="shared" si="101"/>
        <v/>
      </c>
      <c r="AG293" t="str">
        <f t="shared" si="102"/>
        <v/>
      </c>
      <c r="AH293" t="str">
        <f t="shared" si="103"/>
        <v/>
      </c>
      <c r="AI293" t="str">
        <f t="shared" si="104"/>
        <v/>
      </c>
      <c r="AJ293" t="str">
        <f t="shared" si="105"/>
        <v/>
      </c>
      <c r="AK293" t="str">
        <f t="shared" si="106"/>
        <v/>
      </c>
      <c r="AL293" t="str">
        <f t="shared" si="107"/>
        <v/>
      </c>
      <c r="AM293" t="str">
        <f t="shared" si="108"/>
        <v/>
      </c>
      <c r="AN293" t="str">
        <f t="shared" si="109"/>
        <v/>
      </c>
      <c r="AO293" t="str">
        <f t="shared" si="110"/>
        <v/>
      </c>
      <c r="AP293">
        <f t="shared" si="111"/>
        <v>1</v>
      </c>
      <c r="AQ293" t="str">
        <f>IF(SAISIE!$F298="","",SAISIE!$Y298)</f>
        <v/>
      </c>
      <c r="AR293" t="str">
        <f>IF(OR(SAISIE!$U$4="",SAISIE!$W$4=""),"",IF(AND($A293=SAISIE!$U$4,$B293=SAISIE!$W$4,$C293="S1"),COUNTIFS($A$2:$A293,SAISIE!$U$4,$B$2:$B293,SAISIE!$W$4,$C$2:$C293,"S1"),""))</f>
        <v/>
      </c>
      <c r="AS293" t="str">
        <f t="shared" si="112"/>
        <v/>
      </c>
      <c r="AT293" t="str">
        <f t="shared" si="113"/>
        <v/>
      </c>
      <c r="AU293" t="str">
        <f t="shared" si="114"/>
        <v/>
      </c>
      <c r="AV293">
        <f>N(AV292)+IF(AND($AB293&lt;&gt;"",OR('PROFIL ELEVE'!$K$4="(Tous)",$AF293='PROFIL ELEVE'!$K$4)),1,0)</f>
        <v>0</v>
      </c>
      <c r="AW293">
        <f>N(AW292)+IF(AND($AB293&lt;&gt;"",OR('SUIVI LONGITUDINAL'!$Q$4="(Tous)",$AF293='SUIVI LONGITUDINAL'!$Q$4)),1,0)</f>
        <v>0</v>
      </c>
      <c r="AX293">
        <f t="shared" si="115"/>
        <v>0</v>
      </c>
      <c r="AY293">
        <f t="shared" si="116"/>
        <v>0</v>
      </c>
      <c r="AZ293">
        <f t="shared" si="117"/>
        <v>0</v>
      </c>
      <c r="BA293" t="str">
        <f t="shared" si="118"/>
        <v/>
      </c>
      <c r="BB293" t="str">
        <f t="shared" si="119"/>
        <v/>
      </c>
    </row>
    <row r="294" spans="1:54" ht="14.25" customHeight="1" x14ac:dyDescent="0.3">
      <c r="A294" t="str">
        <f>IF(SAISIE!$F299="","",SAISIE!$B299)</f>
        <v/>
      </c>
      <c r="B294" t="str">
        <f>IF(SAISIE!$F299="","",SAISIE!$C299)</f>
        <v/>
      </c>
      <c r="C294" t="str">
        <f>IF(SAISIE!$F299="","",SAISIE!$D299)</f>
        <v/>
      </c>
      <c r="D294" t="str">
        <f>IF(SAISIE!$E299="","",SAISIE!$E299)</f>
        <v/>
      </c>
      <c r="E294" t="str">
        <f>IF(SAISIE!$F299="","",SAISIE!$F299)</f>
        <v/>
      </c>
      <c r="F294" t="str">
        <f>IF(SAISIE!$G299="","",SAISIE!$G299)</f>
        <v/>
      </c>
      <c r="G294" t="str">
        <f>IF(SAISIE!$H299="","",SAISIE!$H299)</f>
        <v/>
      </c>
      <c r="H294" t="str">
        <f>IF(SAISIE!$I299="","",SAISIE!$I299)</f>
        <v/>
      </c>
      <c r="I294" t="str">
        <f>IF(SAISIE!$J299="","",SAISIE!$J299)</f>
        <v/>
      </c>
      <c r="J294" t="str">
        <f>IF(SAISIE!$K299="","",SAISIE!$K299)</f>
        <v/>
      </c>
      <c r="K294" t="str">
        <f>IF(SAISIE!$L299="","",SAISIE!$L299)</f>
        <v/>
      </c>
      <c r="L294" t="str">
        <f>IF(SAISIE!$M299="","",SAISIE!$M299)</f>
        <v/>
      </c>
      <c r="M294" t="str">
        <f>IF(SAISIE!$N299="","",SAISIE!$N299)</f>
        <v/>
      </c>
      <c r="N294" t="str">
        <f>IF(SAISIE!$O299="","",SAISIE!$O299)</f>
        <v/>
      </c>
      <c r="O294" t="str">
        <f>IF(SAISIE!$P299="","",SAISIE!$P299)</f>
        <v/>
      </c>
      <c r="P294" t="str">
        <f>IF(SAISIE!$Q299="","",SAISIE!$Q299)</f>
        <v/>
      </c>
      <c r="Q294" t="str">
        <f>IF($I294="","",IF($I294&gt;PARAMETRES!$G$29,5,IF($I294&gt;PARAMETRES!$F$29,4,IF($I294&gt;PARAMETRES!$E$29,3,IF($I294&gt;PARAMETRES!$D$29,2,1)))))</f>
        <v/>
      </c>
      <c r="R294" t="str">
        <f>IF($J294="","",IF($J294&gt;PARAMETRES!$G$30,5,IF($J294&gt;PARAMETRES!$F$30,4,IF($J294&gt;PARAMETRES!$E$30,3,IF($J294&gt;PARAMETRES!$D$30,2,1)))))</f>
        <v/>
      </c>
      <c r="S294" t="str">
        <f>IF($K294="","",IF($Z294=2,IF($K294&gt;PARAMETRES!$G$31,5,IF($K294&gt;PARAMETRES!$F$31,4,IF($K294&gt;PARAMETRES!$E$31,3,IF($K294&gt;PARAMETRES!$D$31,2,1)))),IF($K294&gt;PARAMETRES!$G$32,5,IF($K294&gt;PARAMETRES!$F$32,4,IF($K294&gt;PARAMETRES!$E$32,3,IF($K294&gt;PARAMETRES!$D$32,2,1))))))</f>
        <v/>
      </c>
      <c r="T294" t="str">
        <f>IF($L294="","",IF($L294&gt;PARAMETRES!$G$33,5,IF($L294&gt;PARAMETRES!$F$33,4,IF($L294&gt;PARAMETRES!$E$33,3,IF($L294&gt;PARAMETRES!$D$33,2,1)))))</f>
        <v/>
      </c>
      <c r="U294" t="str">
        <f>IF($M294="","",IF($M294&gt;PARAMETRES!$G$34,5,IF($M294&gt;PARAMETRES!$F$34,4,IF($M294&gt;PARAMETRES!$E$34,3,IF($M294&gt;PARAMETRES!$D$34,2,1)))))</f>
        <v/>
      </c>
      <c r="V294" t="str">
        <f>IF($N294="","",IF($N294&gt;PARAMETRES!$G$35,5,IF($N294&gt;PARAMETRES!$F$35,4,IF($N294&gt;PARAMETRES!$E$35,3,IF($N294&gt;PARAMETRES!$D$35,2,1)))))</f>
        <v/>
      </c>
      <c r="W294" t="str">
        <f>IF($O294="","",IF($O294&gt;PARAMETRES!$G$36,5,IF($O294&gt;PARAMETRES!$F$36,4,IF($O294&gt;PARAMETRES!$E$36,3,IF($O294&gt;PARAMETRES!$D$36,2,1)))))</f>
        <v/>
      </c>
      <c r="X294" t="str">
        <f>IF($P294="","",IF($P294&gt;PARAMETRES!$G$37,5,IF($P294&gt;PARAMETRES!$F$37,4,IF($P294&gt;PARAMETRES!$E$37,3,IF($P294&gt;PARAMETRES!$D$37,2,1)))))</f>
        <v/>
      </c>
      <c r="Y294" t="str">
        <f t="shared" si="96"/>
        <v/>
      </c>
      <c r="Z294" t="str">
        <f>IFERROR(VLOOKUP($B294,TABLE_CYCLE,2,0),"")</f>
        <v/>
      </c>
      <c r="AA294" t="str">
        <f t="shared" si="97"/>
        <v/>
      </c>
      <c r="AB294" t="str">
        <f>IF($D294="","",IF(COUNTIF($D$2:$D294,$D294)=1,$D294,""))</f>
        <v/>
      </c>
      <c r="AC294">
        <f t="shared" si="98"/>
        <v>0</v>
      </c>
      <c r="AD294" t="str">
        <f t="shared" si="99"/>
        <v>|0</v>
      </c>
      <c r="AE294" t="str">
        <f t="shared" si="100"/>
        <v/>
      </c>
      <c r="AF294" t="str">
        <f t="shared" si="101"/>
        <v/>
      </c>
      <c r="AG294" t="str">
        <f t="shared" si="102"/>
        <v/>
      </c>
      <c r="AH294" t="str">
        <f t="shared" si="103"/>
        <v/>
      </c>
      <c r="AI294" t="str">
        <f t="shared" si="104"/>
        <v/>
      </c>
      <c r="AJ294" t="str">
        <f t="shared" si="105"/>
        <v/>
      </c>
      <c r="AK294" t="str">
        <f t="shared" si="106"/>
        <v/>
      </c>
      <c r="AL294" t="str">
        <f t="shared" si="107"/>
        <v/>
      </c>
      <c r="AM294" t="str">
        <f t="shared" si="108"/>
        <v/>
      </c>
      <c r="AN294" t="str">
        <f t="shared" si="109"/>
        <v/>
      </c>
      <c r="AO294" t="str">
        <f t="shared" si="110"/>
        <v/>
      </c>
      <c r="AP294">
        <f t="shared" si="111"/>
        <v>1</v>
      </c>
      <c r="AQ294" t="str">
        <f>IF(SAISIE!$F299="","",SAISIE!$Y299)</f>
        <v/>
      </c>
      <c r="AR294" t="str">
        <f>IF(OR(SAISIE!$U$4="",SAISIE!$W$4=""),"",IF(AND($A294=SAISIE!$U$4,$B294=SAISIE!$W$4,$C294="S1"),COUNTIFS($A$2:$A294,SAISIE!$U$4,$B$2:$B294,SAISIE!$W$4,$C$2:$C294,"S1"),""))</f>
        <v/>
      </c>
      <c r="AS294" t="str">
        <f t="shared" si="112"/>
        <v/>
      </c>
      <c r="AT294" t="str">
        <f t="shared" si="113"/>
        <v/>
      </c>
      <c r="AU294" t="str">
        <f t="shared" si="114"/>
        <v/>
      </c>
      <c r="AV294">
        <f>N(AV293)+IF(AND($AB294&lt;&gt;"",OR('PROFIL ELEVE'!$K$4="(Tous)",$AF294='PROFIL ELEVE'!$K$4)),1,0)</f>
        <v>0</v>
      </c>
      <c r="AW294">
        <f>N(AW293)+IF(AND($AB294&lt;&gt;"",OR('SUIVI LONGITUDINAL'!$Q$4="(Tous)",$AF294='SUIVI LONGITUDINAL'!$Q$4)),1,0)</f>
        <v>0</v>
      </c>
      <c r="AX294">
        <f t="shared" si="115"/>
        <v>0</v>
      </c>
      <c r="AY294">
        <f t="shared" si="116"/>
        <v>0</v>
      </c>
      <c r="AZ294">
        <f t="shared" si="117"/>
        <v>0</v>
      </c>
      <c r="BA294" t="str">
        <f t="shared" si="118"/>
        <v/>
      </c>
      <c r="BB294" t="str">
        <f t="shared" si="119"/>
        <v/>
      </c>
    </row>
    <row r="295" spans="1:54" ht="14.25" customHeight="1" x14ac:dyDescent="0.3">
      <c r="A295" t="str">
        <f>IF(SAISIE!$F300="","",SAISIE!$B300)</f>
        <v/>
      </c>
      <c r="B295" t="str">
        <f>IF(SAISIE!$F300="","",SAISIE!$C300)</f>
        <v/>
      </c>
      <c r="C295" t="str">
        <f>IF(SAISIE!$F300="","",SAISIE!$D300)</f>
        <v/>
      </c>
      <c r="D295" t="str">
        <f>IF(SAISIE!$E300="","",SAISIE!$E300)</f>
        <v/>
      </c>
      <c r="E295" t="str">
        <f>IF(SAISIE!$F300="","",SAISIE!$F300)</f>
        <v/>
      </c>
      <c r="F295" t="str">
        <f>IF(SAISIE!$G300="","",SAISIE!$G300)</f>
        <v/>
      </c>
      <c r="G295" t="str">
        <f>IF(SAISIE!$H300="","",SAISIE!$H300)</f>
        <v/>
      </c>
      <c r="H295" t="str">
        <f>IF(SAISIE!$I300="","",SAISIE!$I300)</f>
        <v/>
      </c>
      <c r="I295" t="str">
        <f>IF(SAISIE!$J300="","",SAISIE!$J300)</f>
        <v/>
      </c>
      <c r="J295" t="str">
        <f>IF(SAISIE!$K300="","",SAISIE!$K300)</f>
        <v/>
      </c>
      <c r="K295" t="str">
        <f>IF(SAISIE!$L300="","",SAISIE!$L300)</f>
        <v/>
      </c>
      <c r="L295" t="str">
        <f>IF(SAISIE!$M300="","",SAISIE!$M300)</f>
        <v/>
      </c>
      <c r="M295" t="str">
        <f>IF(SAISIE!$N300="","",SAISIE!$N300)</f>
        <v/>
      </c>
      <c r="N295" t="str">
        <f>IF(SAISIE!$O300="","",SAISIE!$O300)</f>
        <v/>
      </c>
      <c r="O295" t="str">
        <f>IF(SAISIE!$P300="","",SAISIE!$P300)</f>
        <v/>
      </c>
      <c r="P295" t="str">
        <f>IF(SAISIE!$Q300="","",SAISIE!$Q300)</f>
        <v/>
      </c>
      <c r="Q295" t="str">
        <f>IF($I295="","",IF($I295&gt;PARAMETRES!$G$29,5,IF($I295&gt;PARAMETRES!$F$29,4,IF($I295&gt;PARAMETRES!$E$29,3,IF($I295&gt;PARAMETRES!$D$29,2,1)))))</f>
        <v/>
      </c>
      <c r="R295" t="str">
        <f>IF($J295="","",IF($J295&gt;PARAMETRES!$G$30,5,IF($J295&gt;PARAMETRES!$F$30,4,IF($J295&gt;PARAMETRES!$E$30,3,IF($J295&gt;PARAMETRES!$D$30,2,1)))))</f>
        <v/>
      </c>
      <c r="S295" t="str">
        <f>IF($K295="","",IF($Z295=2,IF($K295&gt;PARAMETRES!$G$31,5,IF($K295&gt;PARAMETRES!$F$31,4,IF($K295&gt;PARAMETRES!$E$31,3,IF($K295&gt;PARAMETRES!$D$31,2,1)))),IF($K295&gt;PARAMETRES!$G$32,5,IF($K295&gt;PARAMETRES!$F$32,4,IF($K295&gt;PARAMETRES!$E$32,3,IF($K295&gt;PARAMETRES!$D$32,2,1))))))</f>
        <v/>
      </c>
      <c r="T295" t="str">
        <f>IF($L295="","",IF($L295&gt;PARAMETRES!$G$33,5,IF($L295&gt;PARAMETRES!$F$33,4,IF($L295&gt;PARAMETRES!$E$33,3,IF($L295&gt;PARAMETRES!$D$33,2,1)))))</f>
        <v/>
      </c>
      <c r="U295" t="str">
        <f>IF($M295="","",IF($M295&gt;PARAMETRES!$G$34,5,IF($M295&gt;PARAMETRES!$F$34,4,IF($M295&gt;PARAMETRES!$E$34,3,IF($M295&gt;PARAMETRES!$D$34,2,1)))))</f>
        <v/>
      </c>
      <c r="V295" t="str">
        <f>IF($N295="","",IF($N295&gt;PARAMETRES!$G$35,5,IF($N295&gt;PARAMETRES!$F$35,4,IF($N295&gt;PARAMETRES!$E$35,3,IF($N295&gt;PARAMETRES!$D$35,2,1)))))</f>
        <v/>
      </c>
      <c r="W295" t="str">
        <f>IF($O295="","",IF($O295&gt;PARAMETRES!$G$36,5,IF($O295&gt;PARAMETRES!$F$36,4,IF($O295&gt;PARAMETRES!$E$36,3,IF($O295&gt;PARAMETRES!$D$36,2,1)))))</f>
        <v/>
      </c>
      <c r="X295" t="str">
        <f>IF($P295="","",IF($P295&gt;PARAMETRES!$G$37,5,IF($P295&gt;PARAMETRES!$F$37,4,IF($P295&gt;PARAMETRES!$E$37,3,IF($P295&gt;PARAMETRES!$D$37,2,1)))))</f>
        <v/>
      </c>
      <c r="Y295" t="str">
        <f t="shared" si="96"/>
        <v/>
      </c>
      <c r="Z295" t="str">
        <f>IFERROR(VLOOKUP($B295,TABLE_CYCLE,2,0),"")</f>
        <v/>
      </c>
      <c r="AA295" t="str">
        <f t="shared" si="97"/>
        <v/>
      </c>
      <c r="AB295" t="str">
        <f>IF($D295="","",IF(COUNTIF($D$2:$D295,$D295)=1,$D295,""))</f>
        <v/>
      </c>
      <c r="AC295">
        <f t="shared" si="98"/>
        <v>0</v>
      </c>
      <c r="AD295" t="str">
        <f t="shared" si="99"/>
        <v>|0</v>
      </c>
      <c r="AE295" t="str">
        <f t="shared" si="100"/>
        <v/>
      </c>
      <c r="AF295" t="str">
        <f t="shared" si="101"/>
        <v/>
      </c>
      <c r="AG295" t="str">
        <f t="shared" si="102"/>
        <v/>
      </c>
      <c r="AH295" t="str">
        <f t="shared" si="103"/>
        <v/>
      </c>
      <c r="AI295" t="str">
        <f t="shared" si="104"/>
        <v/>
      </c>
      <c r="AJ295" t="str">
        <f t="shared" si="105"/>
        <v/>
      </c>
      <c r="AK295" t="str">
        <f t="shared" si="106"/>
        <v/>
      </c>
      <c r="AL295" t="str">
        <f t="shared" si="107"/>
        <v/>
      </c>
      <c r="AM295" t="str">
        <f t="shared" si="108"/>
        <v/>
      </c>
      <c r="AN295" t="str">
        <f t="shared" si="109"/>
        <v/>
      </c>
      <c r="AO295" t="str">
        <f t="shared" si="110"/>
        <v/>
      </c>
      <c r="AP295">
        <f t="shared" si="111"/>
        <v>1</v>
      </c>
      <c r="AQ295" t="str">
        <f>IF(SAISIE!$F300="","",SAISIE!$Y300)</f>
        <v/>
      </c>
      <c r="AR295" t="str">
        <f>IF(OR(SAISIE!$U$4="",SAISIE!$W$4=""),"",IF(AND($A295=SAISIE!$U$4,$B295=SAISIE!$W$4,$C295="S1"),COUNTIFS($A$2:$A295,SAISIE!$U$4,$B$2:$B295,SAISIE!$W$4,$C$2:$C295,"S1"),""))</f>
        <v/>
      </c>
      <c r="AS295" t="str">
        <f t="shared" si="112"/>
        <v/>
      </c>
      <c r="AT295" t="str">
        <f t="shared" si="113"/>
        <v/>
      </c>
      <c r="AU295" t="str">
        <f t="shared" si="114"/>
        <v/>
      </c>
      <c r="AV295">
        <f>N(AV294)+IF(AND($AB295&lt;&gt;"",OR('PROFIL ELEVE'!$K$4="(Tous)",$AF295='PROFIL ELEVE'!$K$4)),1,0)</f>
        <v>0</v>
      </c>
      <c r="AW295">
        <f>N(AW294)+IF(AND($AB295&lt;&gt;"",OR('SUIVI LONGITUDINAL'!$Q$4="(Tous)",$AF295='SUIVI LONGITUDINAL'!$Q$4)),1,0)</f>
        <v>0</v>
      </c>
      <c r="AX295">
        <f t="shared" si="115"/>
        <v>0</v>
      </c>
      <c r="AY295">
        <f t="shared" si="116"/>
        <v>0</v>
      </c>
      <c r="AZ295">
        <f t="shared" si="117"/>
        <v>0</v>
      </c>
      <c r="BA295" t="str">
        <f t="shared" si="118"/>
        <v/>
      </c>
      <c r="BB295" t="str">
        <f t="shared" si="119"/>
        <v/>
      </c>
    </row>
    <row r="296" spans="1:54" ht="14.25" customHeight="1" x14ac:dyDescent="0.3">
      <c r="A296" t="str">
        <f>IF(SAISIE!$F301="","",SAISIE!$B301)</f>
        <v/>
      </c>
      <c r="B296" t="str">
        <f>IF(SAISIE!$F301="","",SAISIE!$C301)</f>
        <v/>
      </c>
      <c r="C296" t="str">
        <f>IF(SAISIE!$F301="","",SAISIE!$D301)</f>
        <v/>
      </c>
      <c r="D296" t="str">
        <f>IF(SAISIE!$E301="","",SAISIE!$E301)</f>
        <v/>
      </c>
      <c r="E296" t="str">
        <f>IF(SAISIE!$F301="","",SAISIE!$F301)</f>
        <v/>
      </c>
      <c r="F296" t="str">
        <f>IF(SAISIE!$G301="","",SAISIE!$G301)</f>
        <v/>
      </c>
      <c r="G296" t="str">
        <f>IF(SAISIE!$H301="","",SAISIE!$H301)</f>
        <v/>
      </c>
      <c r="H296" t="str">
        <f>IF(SAISIE!$I301="","",SAISIE!$I301)</f>
        <v/>
      </c>
      <c r="I296" t="str">
        <f>IF(SAISIE!$J301="","",SAISIE!$J301)</f>
        <v/>
      </c>
      <c r="J296" t="str">
        <f>IF(SAISIE!$K301="","",SAISIE!$K301)</f>
        <v/>
      </c>
      <c r="K296" t="str">
        <f>IF(SAISIE!$L301="","",SAISIE!$L301)</f>
        <v/>
      </c>
      <c r="L296" t="str">
        <f>IF(SAISIE!$M301="","",SAISIE!$M301)</f>
        <v/>
      </c>
      <c r="M296" t="str">
        <f>IF(SAISIE!$N301="","",SAISIE!$N301)</f>
        <v/>
      </c>
      <c r="N296" t="str">
        <f>IF(SAISIE!$O301="","",SAISIE!$O301)</f>
        <v/>
      </c>
      <c r="O296" t="str">
        <f>IF(SAISIE!$P301="","",SAISIE!$P301)</f>
        <v/>
      </c>
      <c r="P296" t="str">
        <f>IF(SAISIE!$Q301="","",SAISIE!$Q301)</f>
        <v/>
      </c>
      <c r="Q296" t="str">
        <f>IF($I296="","",IF($I296&gt;PARAMETRES!$G$29,5,IF($I296&gt;PARAMETRES!$F$29,4,IF($I296&gt;PARAMETRES!$E$29,3,IF($I296&gt;PARAMETRES!$D$29,2,1)))))</f>
        <v/>
      </c>
      <c r="R296" t="str">
        <f>IF($J296="","",IF($J296&gt;PARAMETRES!$G$30,5,IF($J296&gt;PARAMETRES!$F$30,4,IF($J296&gt;PARAMETRES!$E$30,3,IF($J296&gt;PARAMETRES!$D$30,2,1)))))</f>
        <v/>
      </c>
      <c r="S296" t="str">
        <f>IF($K296="","",IF($Z296=2,IF($K296&gt;PARAMETRES!$G$31,5,IF($K296&gt;PARAMETRES!$F$31,4,IF($K296&gt;PARAMETRES!$E$31,3,IF($K296&gt;PARAMETRES!$D$31,2,1)))),IF($K296&gt;PARAMETRES!$G$32,5,IF($K296&gt;PARAMETRES!$F$32,4,IF($K296&gt;PARAMETRES!$E$32,3,IF($K296&gt;PARAMETRES!$D$32,2,1))))))</f>
        <v/>
      </c>
      <c r="T296" t="str">
        <f>IF($L296="","",IF($L296&gt;PARAMETRES!$G$33,5,IF($L296&gt;PARAMETRES!$F$33,4,IF($L296&gt;PARAMETRES!$E$33,3,IF($L296&gt;PARAMETRES!$D$33,2,1)))))</f>
        <v/>
      </c>
      <c r="U296" t="str">
        <f>IF($M296="","",IF($M296&gt;PARAMETRES!$G$34,5,IF($M296&gt;PARAMETRES!$F$34,4,IF($M296&gt;PARAMETRES!$E$34,3,IF($M296&gt;PARAMETRES!$D$34,2,1)))))</f>
        <v/>
      </c>
      <c r="V296" t="str">
        <f>IF($N296="","",IF($N296&gt;PARAMETRES!$G$35,5,IF($N296&gt;PARAMETRES!$F$35,4,IF($N296&gt;PARAMETRES!$E$35,3,IF($N296&gt;PARAMETRES!$D$35,2,1)))))</f>
        <v/>
      </c>
      <c r="W296" t="str">
        <f>IF($O296="","",IF($O296&gt;PARAMETRES!$G$36,5,IF($O296&gt;PARAMETRES!$F$36,4,IF($O296&gt;PARAMETRES!$E$36,3,IF($O296&gt;PARAMETRES!$D$36,2,1)))))</f>
        <v/>
      </c>
      <c r="X296" t="str">
        <f>IF($P296="","",IF($P296&gt;PARAMETRES!$G$37,5,IF($P296&gt;PARAMETRES!$F$37,4,IF($P296&gt;PARAMETRES!$E$37,3,IF($P296&gt;PARAMETRES!$D$37,2,1)))))</f>
        <v/>
      </c>
      <c r="Y296" t="str">
        <f t="shared" si="96"/>
        <v/>
      </c>
      <c r="Z296" t="str">
        <f>IFERROR(VLOOKUP($B296,TABLE_CYCLE,2,0),"")</f>
        <v/>
      </c>
      <c r="AA296" t="str">
        <f t="shared" si="97"/>
        <v/>
      </c>
      <c r="AB296" t="str">
        <f>IF($D296="","",IF(COUNTIF($D$2:$D296,$D296)=1,$D296,""))</f>
        <v/>
      </c>
      <c r="AC296">
        <f t="shared" si="98"/>
        <v>0</v>
      </c>
      <c r="AD296" t="str">
        <f t="shared" si="99"/>
        <v>|0</v>
      </c>
      <c r="AE296" t="str">
        <f t="shared" si="100"/>
        <v/>
      </c>
      <c r="AF296" t="str">
        <f t="shared" si="101"/>
        <v/>
      </c>
      <c r="AG296" t="str">
        <f t="shared" si="102"/>
        <v/>
      </c>
      <c r="AH296" t="str">
        <f t="shared" si="103"/>
        <v/>
      </c>
      <c r="AI296" t="str">
        <f t="shared" si="104"/>
        <v/>
      </c>
      <c r="AJ296" t="str">
        <f t="shared" si="105"/>
        <v/>
      </c>
      <c r="AK296" t="str">
        <f t="shared" si="106"/>
        <v/>
      </c>
      <c r="AL296" t="str">
        <f t="shared" si="107"/>
        <v/>
      </c>
      <c r="AM296" t="str">
        <f t="shared" si="108"/>
        <v/>
      </c>
      <c r="AN296" t="str">
        <f t="shared" si="109"/>
        <v/>
      </c>
      <c r="AO296" t="str">
        <f t="shared" si="110"/>
        <v/>
      </c>
      <c r="AP296">
        <f t="shared" si="111"/>
        <v>1</v>
      </c>
      <c r="AQ296" t="str">
        <f>IF(SAISIE!$F301="","",SAISIE!$Y301)</f>
        <v/>
      </c>
      <c r="AR296" t="str">
        <f>IF(OR(SAISIE!$U$4="",SAISIE!$W$4=""),"",IF(AND($A296=SAISIE!$U$4,$B296=SAISIE!$W$4,$C296="S1"),COUNTIFS($A$2:$A296,SAISIE!$U$4,$B$2:$B296,SAISIE!$W$4,$C$2:$C296,"S1"),""))</f>
        <v/>
      </c>
      <c r="AS296" t="str">
        <f t="shared" si="112"/>
        <v/>
      </c>
      <c r="AT296" t="str">
        <f t="shared" si="113"/>
        <v/>
      </c>
      <c r="AU296" t="str">
        <f t="shared" si="114"/>
        <v/>
      </c>
      <c r="AV296">
        <f>N(AV295)+IF(AND($AB296&lt;&gt;"",OR('PROFIL ELEVE'!$K$4="(Tous)",$AF296='PROFIL ELEVE'!$K$4)),1,0)</f>
        <v>0</v>
      </c>
      <c r="AW296">
        <f>N(AW295)+IF(AND($AB296&lt;&gt;"",OR('SUIVI LONGITUDINAL'!$Q$4="(Tous)",$AF296='SUIVI LONGITUDINAL'!$Q$4)),1,0)</f>
        <v>0</v>
      </c>
      <c r="AX296">
        <f t="shared" si="115"/>
        <v>0</v>
      </c>
      <c r="AY296">
        <f t="shared" si="116"/>
        <v>0</v>
      </c>
      <c r="AZ296">
        <f t="shared" si="117"/>
        <v>0</v>
      </c>
      <c r="BA296" t="str">
        <f t="shared" si="118"/>
        <v/>
      </c>
      <c r="BB296" t="str">
        <f t="shared" si="119"/>
        <v/>
      </c>
    </row>
    <row r="297" spans="1:54" ht="14.25" customHeight="1" x14ac:dyDescent="0.3">
      <c r="A297" t="str">
        <f>IF(SAISIE!$F302="","",SAISIE!$B302)</f>
        <v/>
      </c>
      <c r="B297" t="str">
        <f>IF(SAISIE!$F302="","",SAISIE!$C302)</f>
        <v/>
      </c>
      <c r="C297" t="str">
        <f>IF(SAISIE!$F302="","",SAISIE!$D302)</f>
        <v/>
      </c>
      <c r="D297" t="str">
        <f>IF(SAISIE!$E302="","",SAISIE!$E302)</f>
        <v/>
      </c>
      <c r="E297" t="str">
        <f>IF(SAISIE!$F302="","",SAISIE!$F302)</f>
        <v/>
      </c>
      <c r="F297" t="str">
        <f>IF(SAISIE!$G302="","",SAISIE!$G302)</f>
        <v/>
      </c>
      <c r="G297" t="str">
        <f>IF(SAISIE!$H302="","",SAISIE!$H302)</f>
        <v/>
      </c>
      <c r="H297" t="str">
        <f>IF(SAISIE!$I302="","",SAISIE!$I302)</f>
        <v/>
      </c>
      <c r="I297" t="str">
        <f>IF(SAISIE!$J302="","",SAISIE!$J302)</f>
        <v/>
      </c>
      <c r="J297" t="str">
        <f>IF(SAISIE!$K302="","",SAISIE!$K302)</f>
        <v/>
      </c>
      <c r="K297" t="str">
        <f>IF(SAISIE!$L302="","",SAISIE!$L302)</f>
        <v/>
      </c>
      <c r="L297" t="str">
        <f>IF(SAISIE!$M302="","",SAISIE!$M302)</f>
        <v/>
      </c>
      <c r="M297" t="str">
        <f>IF(SAISIE!$N302="","",SAISIE!$N302)</f>
        <v/>
      </c>
      <c r="N297" t="str">
        <f>IF(SAISIE!$O302="","",SAISIE!$O302)</f>
        <v/>
      </c>
      <c r="O297" t="str">
        <f>IF(SAISIE!$P302="","",SAISIE!$P302)</f>
        <v/>
      </c>
      <c r="P297" t="str">
        <f>IF(SAISIE!$Q302="","",SAISIE!$Q302)</f>
        <v/>
      </c>
      <c r="Q297" t="str">
        <f>IF($I297="","",IF($I297&gt;PARAMETRES!$G$29,5,IF($I297&gt;PARAMETRES!$F$29,4,IF($I297&gt;PARAMETRES!$E$29,3,IF($I297&gt;PARAMETRES!$D$29,2,1)))))</f>
        <v/>
      </c>
      <c r="R297" t="str">
        <f>IF($J297="","",IF($J297&gt;PARAMETRES!$G$30,5,IF($J297&gt;PARAMETRES!$F$30,4,IF($J297&gt;PARAMETRES!$E$30,3,IF($J297&gt;PARAMETRES!$D$30,2,1)))))</f>
        <v/>
      </c>
      <c r="S297" t="str">
        <f>IF($K297="","",IF($Z297=2,IF($K297&gt;PARAMETRES!$G$31,5,IF($K297&gt;PARAMETRES!$F$31,4,IF($K297&gt;PARAMETRES!$E$31,3,IF($K297&gt;PARAMETRES!$D$31,2,1)))),IF($K297&gt;PARAMETRES!$G$32,5,IF($K297&gt;PARAMETRES!$F$32,4,IF($K297&gt;PARAMETRES!$E$32,3,IF($K297&gt;PARAMETRES!$D$32,2,1))))))</f>
        <v/>
      </c>
      <c r="T297" t="str">
        <f>IF($L297="","",IF($L297&gt;PARAMETRES!$G$33,5,IF($L297&gt;PARAMETRES!$F$33,4,IF($L297&gt;PARAMETRES!$E$33,3,IF($L297&gt;PARAMETRES!$D$33,2,1)))))</f>
        <v/>
      </c>
      <c r="U297" t="str">
        <f>IF($M297="","",IF($M297&gt;PARAMETRES!$G$34,5,IF($M297&gt;PARAMETRES!$F$34,4,IF($M297&gt;PARAMETRES!$E$34,3,IF($M297&gt;PARAMETRES!$D$34,2,1)))))</f>
        <v/>
      </c>
      <c r="V297" t="str">
        <f>IF($N297="","",IF($N297&gt;PARAMETRES!$G$35,5,IF($N297&gt;PARAMETRES!$F$35,4,IF($N297&gt;PARAMETRES!$E$35,3,IF($N297&gt;PARAMETRES!$D$35,2,1)))))</f>
        <v/>
      </c>
      <c r="W297" t="str">
        <f>IF($O297="","",IF($O297&gt;PARAMETRES!$G$36,5,IF($O297&gt;PARAMETRES!$F$36,4,IF($O297&gt;PARAMETRES!$E$36,3,IF($O297&gt;PARAMETRES!$D$36,2,1)))))</f>
        <v/>
      </c>
      <c r="X297" t="str">
        <f>IF($P297="","",IF($P297&gt;PARAMETRES!$G$37,5,IF($P297&gt;PARAMETRES!$F$37,4,IF($P297&gt;PARAMETRES!$E$37,3,IF($P297&gt;PARAMETRES!$D$37,2,1)))))</f>
        <v/>
      </c>
      <c r="Y297" t="str">
        <f t="shared" si="96"/>
        <v/>
      </c>
      <c r="Z297" t="str">
        <f>IFERROR(VLOOKUP($B297,TABLE_CYCLE,2,0),"")</f>
        <v/>
      </c>
      <c r="AA297" t="str">
        <f t="shared" si="97"/>
        <v/>
      </c>
      <c r="AB297" t="str">
        <f>IF($D297="","",IF(COUNTIF($D$2:$D297,$D297)=1,$D297,""))</f>
        <v/>
      </c>
      <c r="AC297">
        <f t="shared" si="98"/>
        <v>0</v>
      </c>
      <c r="AD297" t="str">
        <f t="shared" si="99"/>
        <v>|0</v>
      </c>
      <c r="AE297" t="str">
        <f t="shared" si="100"/>
        <v/>
      </c>
      <c r="AF297" t="str">
        <f t="shared" si="101"/>
        <v/>
      </c>
      <c r="AG297" t="str">
        <f t="shared" si="102"/>
        <v/>
      </c>
      <c r="AH297" t="str">
        <f t="shared" si="103"/>
        <v/>
      </c>
      <c r="AI297" t="str">
        <f t="shared" si="104"/>
        <v/>
      </c>
      <c r="AJ297" t="str">
        <f t="shared" si="105"/>
        <v/>
      </c>
      <c r="AK297" t="str">
        <f t="shared" si="106"/>
        <v/>
      </c>
      <c r="AL297" t="str">
        <f t="shared" si="107"/>
        <v/>
      </c>
      <c r="AM297" t="str">
        <f t="shared" si="108"/>
        <v/>
      </c>
      <c r="AN297" t="str">
        <f t="shared" si="109"/>
        <v/>
      </c>
      <c r="AO297" t="str">
        <f t="shared" si="110"/>
        <v/>
      </c>
      <c r="AP297">
        <f t="shared" si="111"/>
        <v>1</v>
      </c>
      <c r="AQ297" t="str">
        <f>IF(SAISIE!$F302="","",SAISIE!$Y302)</f>
        <v/>
      </c>
      <c r="AR297" t="str">
        <f>IF(OR(SAISIE!$U$4="",SAISIE!$W$4=""),"",IF(AND($A297=SAISIE!$U$4,$B297=SAISIE!$W$4,$C297="S1"),COUNTIFS($A$2:$A297,SAISIE!$U$4,$B$2:$B297,SAISIE!$W$4,$C$2:$C297,"S1"),""))</f>
        <v/>
      </c>
      <c r="AS297" t="str">
        <f t="shared" si="112"/>
        <v/>
      </c>
      <c r="AT297" t="str">
        <f t="shared" si="113"/>
        <v/>
      </c>
      <c r="AU297" t="str">
        <f t="shared" si="114"/>
        <v/>
      </c>
      <c r="AV297">
        <f>N(AV296)+IF(AND($AB297&lt;&gt;"",OR('PROFIL ELEVE'!$K$4="(Tous)",$AF297='PROFIL ELEVE'!$K$4)),1,0)</f>
        <v>0</v>
      </c>
      <c r="AW297">
        <f>N(AW296)+IF(AND($AB297&lt;&gt;"",OR('SUIVI LONGITUDINAL'!$Q$4="(Tous)",$AF297='SUIVI LONGITUDINAL'!$Q$4)),1,0)</f>
        <v>0</v>
      </c>
      <c r="AX297">
        <f t="shared" si="115"/>
        <v>0</v>
      </c>
      <c r="AY297">
        <f t="shared" si="116"/>
        <v>0</v>
      </c>
      <c r="AZ297">
        <f t="shared" si="117"/>
        <v>0</v>
      </c>
      <c r="BA297" t="str">
        <f t="shared" si="118"/>
        <v/>
      </c>
      <c r="BB297" t="str">
        <f t="shared" si="119"/>
        <v/>
      </c>
    </row>
    <row r="298" spans="1:54" ht="14.25" customHeight="1" x14ac:dyDescent="0.3">
      <c r="A298" t="str">
        <f>IF(SAISIE!$F303="","",SAISIE!$B303)</f>
        <v/>
      </c>
      <c r="B298" t="str">
        <f>IF(SAISIE!$F303="","",SAISIE!$C303)</f>
        <v/>
      </c>
      <c r="C298" t="str">
        <f>IF(SAISIE!$F303="","",SAISIE!$D303)</f>
        <v/>
      </c>
      <c r="D298" t="str">
        <f>IF(SAISIE!$E303="","",SAISIE!$E303)</f>
        <v/>
      </c>
      <c r="E298" t="str">
        <f>IF(SAISIE!$F303="","",SAISIE!$F303)</f>
        <v/>
      </c>
      <c r="F298" t="str">
        <f>IF(SAISIE!$G303="","",SAISIE!$G303)</f>
        <v/>
      </c>
      <c r="G298" t="str">
        <f>IF(SAISIE!$H303="","",SAISIE!$H303)</f>
        <v/>
      </c>
      <c r="H298" t="str">
        <f>IF(SAISIE!$I303="","",SAISIE!$I303)</f>
        <v/>
      </c>
      <c r="I298" t="str">
        <f>IF(SAISIE!$J303="","",SAISIE!$J303)</f>
        <v/>
      </c>
      <c r="J298" t="str">
        <f>IF(SAISIE!$K303="","",SAISIE!$K303)</f>
        <v/>
      </c>
      <c r="K298" t="str">
        <f>IF(SAISIE!$L303="","",SAISIE!$L303)</f>
        <v/>
      </c>
      <c r="L298" t="str">
        <f>IF(SAISIE!$M303="","",SAISIE!$M303)</f>
        <v/>
      </c>
      <c r="M298" t="str">
        <f>IF(SAISIE!$N303="","",SAISIE!$N303)</f>
        <v/>
      </c>
      <c r="N298" t="str">
        <f>IF(SAISIE!$O303="","",SAISIE!$O303)</f>
        <v/>
      </c>
      <c r="O298" t="str">
        <f>IF(SAISIE!$P303="","",SAISIE!$P303)</f>
        <v/>
      </c>
      <c r="P298" t="str">
        <f>IF(SAISIE!$Q303="","",SAISIE!$Q303)</f>
        <v/>
      </c>
      <c r="Q298" t="str">
        <f>IF($I298="","",IF($I298&gt;PARAMETRES!$G$29,5,IF($I298&gt;PARAMETRES!$F$29,4,IF($I298&gt;PARAMETRES!$E$29,3,IF($I298&gt;PARAMETRES!$D$29,2,1)))))</f>
        <v/>
      </c>
      <c r="R298" t="str">
        <f>IF($J298="","",IF($J298&gt;PARAMETRES!$G$30,5,IF($J298&gt;PARAMETRES!$F$30,4,IF($J298&gt;PARAMETRES!$E$30,3,IF($J298&gt;PARAMETRES!$D$30,2,1)))))</f>
        <v/>
      </c>
      <c r="S298" t="str">
        <f>IF($K298="","",IF($Z298=2,IF($K298&gt;PARAMETRES!$G$31,5,IF($K298&gt;PARAMETRES!$F$31,4,IF($K298&gt;PARAMETRES!$E$31,3,IF($K298&gt;PARAMETRES!$D$31,2,1)))),IF($K298&gt;PARAMETRES!$G$32,5,IF($K298&gt;PARAMETRES!$F$32,4,IF($K298&gt;PARAMETRES!$E$32,3,IF($K298&gt;PARAMETRES!$D$32,2,1))))))</f>
        <v/>
      </c>
      <c r="T298" t="str">
        <f>IF($L298="","",IF($L298&gt;PARAMETRES!$G$33,5,IF($L298&gt;PARAMETRES!$F$33,4,IF($L298&gt;PARAMETRES!$E$33,3,IF($L298&gt;PARAMETRES!$D$33,2,1)))))</f>
        <v/>
      </c>
      <c r="U298" t="str">
        <f>IF($M298="","",IF($M298&gt;PARAMETRES!$G$34,5,IF($M298&gt;PARAMETRES!$F$34,4,IF($M298&gt;PARAMETRES!$E$34,3,IF($M298&gt;PARAMETRES!$D$34,2,1)))))</f>
        <v/>
      </c>
      <c r="V298" t="str">
        <f>IF($N298="","",IF($N298&gt;PARAMETRES!$G$35,5,IF($N298&gt;PARAMETRES!$F$35,4,IF($N298&gt;PARAMETRES!$E$35,3,IF($N298&gt;PARAMETRES!$D$35,2,1)))))</f>
        <v/>
      </c>
      <c r="W298" t="str">
        <f>IF($O298="","",IF($O298&gt;PARAMETRES!$G$36,5,IF($O298&gt;PARAMETRES!$F$36,4,IF($O298&gt;PARAMETRES!$E$36,3,IF($O298&gt;PARAMETRES!$D$36,2,1)))))</f>
        <v/>
      </c>
      <c r="X298" t="str">
        <f>IF($P298="","",IF($P298&gt;PARAMETRES!$G$37,5,IF($P298&gt;PARAMETRES!$F$37,4,IF($P298&gt;PARAMETRES!$E$37,3,IF($P298&gt;PARAMETRES!$D$37,2,1)))))</f>
        <v/>
      </c>
      <c r="Y298" t="str">
        <f t="shared" si="96"/>
        <v/>
      </c>
      <c r="Z298" t="str">
        <f>IFERROR(VLOOKUP($B298,TABLE_CYCLE,2,0),"")</f>
        <v/>
      </c>
      <c r="AA298" t="str">
        <f t="shared" si="97"/>
        <v/>
      </c>
      <c r="AB298" t="str">
        <f>IF($D298="","",IF(COUNTIF($D$2:$D298,$D298)=1,$D298,""))</f>
        <v/>
      </c>
      <c r="AC298">
        <f t="shared" si="98"/>
        <v>0</v>
      </c>
      <c r="AD298" t="str">
        <f t="shared" si="99"/>
        <v>|0</v>
      </c>
      <c r="AE298" t="str">
        <f t="shared" si="100"/>
        <v/>
      </c>
      <c r="AF298" t="str">
        <f t="shared" si="101"/>
        <v/>
      </c>
      <c r="AG298" t="str">
        <f t="shared" si="102"/>
        <v/>
      </c>
      <c r="AH298" t="str">
        <f t="shared" si="103"/>
        <v/>
      </c>
      <c r="AI298" t="str">
        <f t="shared" si="104"/>
        <v/>
      </c>
      <c r="AJ298" t="str">
        <f t="shared" si="105"/>
        <v/>
      </c>
      <c r="AK298" t="str">
        <f t="shared" si="106"/>
        <v/>
      </c>
      <c r="AL298" t="str">
        <f t="shared" si="107"/>
        <v/>
      </c>
      <c r="AM298" t="str">
        <f t="shared" si="108"/>
        <v/>
      </c>
      <c r="AN298" t="str">
        <f t="shared" si="109"/>
        <v/>
      </c>
      <c r="AO298" t="str">
        <f t="shared" si="110"/>
        <v/>
      </c>
      <c r="AP298">
        <f t="shared" si="111"/>
        <v>1</v>
      </c>
      <c r="AQ298" t="str">
        <f>IF(SAISIE!$F303="","",SAISIE!$Y303)</f>
        <v/>
      </c>
      <c r="AR298" t="str">
        <f>IF(OR(SAISIE!$U$4="",SAISIE!$W$4=""),"",IF(AND($A298=SAISIE!$U$4,$B298=SAISIE!$W$4,$C298="S1"),COUNTIFS($A$2:$A298,SAISIE!$U$4,$B$2:$B298,SAISIE!$W$4,$C$2:$C298,"S1"),""))</f>
        <v/>
      </c>
      <c r="AS298" t="str">
        <f t="shared" si="112"/>
        <v/>
      </c>
      <c r="AT298" t="str">
        <f t="shared" si="113"/>
        <v/>
      </c>
      <c r="AU298" t="str">
        <f t="shared" si="114"/>
        <v/>
      </c>
      <c r="AV298">
        <f>N(AV297)+IF(AND($AB298&lt;&gt;"",OR('PROFIL ELEVE'!$K$4="(Tous)",$AF298='PROFIL ELEVE'!$K$4)),1,0)</f>
        <v>0</v>
      </c>
      <c r="AW298">
        <f>N(AW297)+IF(AND($AB298&lt;&gt;"",OR('SUIVI LONGITUDINAL'!$Q$4="(Tous)",$AF298='SUIVI LONGITUDINAL'!$Q$4)),1,0)</f>
        <v>0</v>
      </c>
      <c r="AX298">
        <f t="shared" si="115"/>
        <v>0</v>
      </c>
      <c r="AY298">
        <f t="shared" si="116"/>
        <v>0</v>
      </c>
      <c r="AZ298">
        <f t="shared" si="117"/>
        <v>0</v>
      </c>
      <c r="BA298" t="str">
        <f t="shared" si="118"/>
        <v/>
      </c>
      <c r="BB298" t="str">
        <f t="shared" si="119"/>
        <v/>
      </c>
    </row>
    <row r="299" spans="1:54" ht="14.25" customHeight="1" x14ac:dyDescent="0.3">
      <c r="A299" t="str">
        <f>IF(SAISIE!$F304="","",SAISIE!$B304)</f>
        <v/>
      </c>
      <c r="B299" t="str">
        <f>IF(SAISIE!$F304="","",SAISIE!$C304)</f>
        <v/>
      </c>
      <c r="C299" t="str">
        <f>IF(SAISIE!$F304="","",SAISIE!$D304)</f>
        <v/>
      </c>
      <c r="D299" t="str">
        <f>IF(SAISIE!$E304="","",SAISIE!$E304)</f>
        <v/>
      </c>
      <c r="E299" t="str">
        <f>IF(SAISIE!$F304="","",SAISIE!$F304)</f>
        <v/>
      </c>
      <c r="F299" t="str">
        <f>IF(SAISIE!$G304="","",SAISIE!$G304)</f>
        <v/>
      </c>
      <c r="G299" t="str">
        <f>IF(SAISIE!$H304="","",SAISIE!$H304)</f>
        <v/>
      </c>
      <c r="H299" t="str">
        <f>IF(SAISIE!$I304="","",SAISIE!$I304)</f>
        <v/>
      </c>
      <c r="I299" t="str">
        <f>IF(SAISIE!$J304="","",SAISIE!$J304)</f>
        <v/>
      </c>
      <c r="J299" t="str">
        <f>IF(SAISIE!$K304="","",SAISIE!$K304)</f>
        <v/>
      </c>
      <c r="K299" t="str">
        <f>IF(SAISIE!$L304="","",SAISIE!$L304)</f>
        <v/>
      </c>
      <c r="L299" t="str">
        <f>IF(SAISIE!$M304="","",SAISIE!$M304)</f>
        <v/>
      </c>
      <c r="M299" t="str">
        <f>IF(SAISIE!$N304="","",SAISIE!$N304)</f>
        <v/>
      </c>
      <c r="N299" t="str">
        <f>IF(SAISIE!$O304="","",SAISIE!$O304)</f>
        <v/>
      </c>
      <c r="O299" t="str">
        <f>IF(SAISIE!$P304="","",SAISIE!$P304)</f>
        <v/>
      </c>
      <c r="P299" t="str">
        <f>IF(SAISIE!$Q304="","",SAISIE!$Q304)</f>
        <v/>
      </c>
      <c r="Q299" t="str">
        <f>IF($I299="","",IF($I299&gt;PARAMETRES!$G$29,5,IF($I299&gt;PARAMETRES!$F$29,4,IF($I299&gt;PARAMETRES!$E$29,3,IF($I299&gt;PARAMETRES!$D$29,2,1)))))</f>
        <v/>
      </c>
      <c r="R299" t="str">
        <f>IF($J299="","",IF($J299&gt;PARAMETRES!$G$30,5,IF($J299&gt;PARAMETRES!$F$30,4,IF($J299&gt;PARAMETRES!$E$30,3,IF($J299&gt;PARAMETRES!$D$30,2,1)))))</f>
        <v/>
      </c>
      <c r="S299" t="str">
        <f>IF($K299="","",IF($Z299=2,IF($K299&gt;PARAMETRES!$G$31,5,IF($K299&gt;PARAMETRES!$F$31,4,IF($K299&gt;PARAMETRES!$E$31,3,IF($K299&gt;PARAMETRES!$D$31,2,1)))),IF($K299&gt;PARAMETRES!$G$32,5,IF($K299&gt;PARAMETRES!$F$32,4,IF($K299&gt;PARAMETRES!$E$32,3,IF($K299&gt;PARAMETRES!$D$32,2,1))))))</f>
        <v/>
      </c>
      <c r="T299" t="str">
        <f>IF($L299="","",IF($L299&gt;PARAMETRES!$G$33,5,IF($L299&gt;PARAMETRES!$F$33,4,IF($L299&gt;PARAMETRES!$E$33,3,IF($L299&gt;PARAMETRES!$D$33,2,1)))))</f>
        <v/>
      </c>
      <c r="U299" t="str">
        <f>IF($M299="","",IF($M299&gt;PARAMETRES!$G$34,5,IF($M299&gt;PARAMETRES!$F$34,4,IF($M299&gt;PARAMETRES!$E$34,3,IF($M299&gt;PARAMETRES!$D$34,2,1)))))</f>
        <v/>
      </c>
      <c r="V299" t="str">
        <f>IF($N299="","",IF($N299&gt;PARAMETRES!$G$35,5,IF($N299&gt;PARAMETRES!$F$35,4,IF($N299&gt;PARAMETRES!$E$35,3,IF($N299&gt;PARAMETRES!$D$35,2,1)))))</f>
        <v/>
      </c>
      <c r="W299" t="str">
        <f>IF($O299="","",IF($O299&gt;PARAMETRES!$G$36,5,IF($O299&gt;PARAMETRES!$F$36,4,IF($O299&gt;PARAMETRES!$E$36,3,IF($O299&gt;PARAMETRES!$D$36,2,1)))))</f>
        <v/>
      </c>
      <c r="X299" t="str">
        <f>IF($P299="","",IF($P299&gt;PARAMETRES!$G$37,5,IF($P299&gt;PARAMETRES!$F$37,4,IF($P299&gt;PARAMETRES!$E$37,3,IF($P299&gt;PARAMETRES!$D$37,2,1)))))</f>
        <v/>
      </c>
      <c r="Y299" t="str">
        <f t="shared" si="96"/>
        <v/>
      </c>
      <c r="Z299" t="str">
        <f>IFERROR(VLOOKUP($B299,TABLE_CYCLE,2,0),"")</f>
        <v/>
      </c>
      <c r="AA299" t="str">
        <f t="shared" si="97"/>
        <v/>
      </c>
      <c r="AB299" t="str">
        <f>IF($D299="","",IF(COUNTIF($D$2:$D299,$D299)=1,$D299,""))</f>
        <v/>
      </c>
      <c r="AC299">
        <f t="shared" si="98"/>
        <v>0</v>
      </c>
      <c r="AD299" t="str">
        <f t="shared" si="99"/>
        <v>|0</v>
      </c>
      <c r="AE299" t="str">
        <f t="shared" si="100"/>
        <v/>
      </c>
      <c r="AF299" t="str">
        <f t="shared" si="101"/>
        <v/>
      </c>
      <c r="AG299" t="str">
        <f t="shared" si="102"/>
        <v/>
      </c>
      <c r="AH299" t="str">
        <f t="shared" si="103"/>
        <v/>
      </c>
      <c r="AI299" t="str">
        <f t="shared" si="104"/>
        <v/>
      </c>
      <c r="AJ299" t="str">
        <f t="shared" si="105"/>
        <v/>
      </c>
      <c r="AK299" t="str">
        <f t="shared" si="106"/>
        <v/>
      </c>
      <c r="AL299" t="str">
        <f t="shared" si="107"/>
        <v/>
      </c>
      <c r="AM299" t="str">
        <f t="shared" si="108"/>
        <v/>
      </c>
      <c r="AN299" t="str">
        <f t="shared" si="109"/>
        <v/>
      </c>
      <c r="AO299" t="str">
        <f t="shared" si="110"/>
        <v/>
      </c>
      <c r="AP299">
        <f t="shared" si="111"/>
        <v>1</v>
      </c>
      <c r="AQ299" t="str">
        <f>IF(SAISIE!$F304="","",SAISIE!$Y304)</f>
        <v/>
      </c>
      <c r="AR299" t="str">
        <f>IF(OR(SAISIE!$U$4="",SAISIE!$W$4=""),"",IF(AND($A299=SAISIE!$U$4,$B299=SAISIE!$W$4,$C299="S1"),COUNTIFS($A$2:$A299,SAISIE!$U$4,$B$2:$B299,SAISIE!$W$4,$C$2:$C299,"S1"),""))</f>
        <v/>
      </c>
      <c r="AS299" t="str">
        <f t="shared" si="112"/>
        <v/>
      </c>
      <c r="AT299" t="str">
        <f t="shared" si="113"/>
        <v/>
      </c>
      <c r="AU299" t="str">
        <f t="shared" si="114"/>
        <v/>
      </c>
      <c r="AV299">
        <f>N(AV298)+IF(AND($AB299&lt;&gt;"",OR('PROFIL ELEVE'!$K$4="(Tous)",$AF299='PROFIL ELEVE'!$K$4)),1,0)</f>
        <v>0</v>
      </c>
      <c r="AW299">
        <f>N(AW298)+IF(AND($AB299&lt;&gt;"",OR('SUIVI LONGITUDINAL'!$Q$4="(Tous)",$AF299='SUIVI LONGITUDINAL'!$Q$4)),1,0)</f>
        <v>0</v>
      </c>
      <c r="AX299">
        <f t="shared" si="115"/>
        <v>0</v>
      </c>
      <c r="AY299">
        <f t="shared" si="116"/>
        <v>0</v>
      </c>
      <c r="AZ299">
        <f t="shared" si="117"/>
        <v>0</v>
      </c>
      <c r="BA299" t="str">
        <f t="shared" si="118"/>
        <v/>
      </c>
      <c r="BB299" t="str">
        <f t="shared" si="119"/>
        <v/>
      </c>
    </row>
    <row r="300" spans="1:54" ht="14.25" customHeight="1" x14ac:dyDescent="0.3">
      <c r="A300" t="str">
        <f>IF(SAISIE!$F305="","",SAISIE!$B305)</f>
        <v/>
      </c>
      <c r="B300" t="str">
        <f>IF(SAISIE!$F305="","",SAISIE!$C305)</f>
        <v/>
      </c>
      <c r="C300" t="str">
        <f>IF(SAISIE!$F305="","",SAISIE!$D305)</f>
        <v/>
      </c>
      <c r="D300" t="str">
        <f>IF(SAISIE!$E305="","",SAISIE!$E305)</f>
        <v/>
      </c>
      <c r="E300" t="str">
        <f>IF(SAISIE!$F305="","",SAISIE!$F305)</f>
        <v/>
      </c>
      <c r="F300" t="str">
        <f>IF(SAISIE!$G305="","",SAISIE!$G305)</f>
        <v/>
      </c>
      <c r="G300" t="str">
        <f>IF(SAISIE!$H305="","",SAISIE!$H305)</f>
        <v/>
      </c>
      <c r="H300" t="str">
        <f>IF(SAISIE!$I305="","",SAISIE!$I305)</f>
        <v/>
      </c>
      <c r="I300" t="str">
        <f>IF(SAISIE!$J305="","",SAISIE!$J305)</f>
        <v/>
      </c>
      <c r="J300" t="str">
        <f>IF(SAISIE!$K305="","",SAISIE!$K305)</f>
        <v/>
      </c>
      <c r="K300" t="str">
        <f>IF(SAISIE!$L305="","",SAISIE!$L305)</f>
        <v/>
      </c>
      <c r="L300" t="str">
        <f>IF(SAISIE!$M305="","",SAISIE!$M305)</f>
        <v/>
      </c>
      <c r="M300" t="str">
        <f>IF(SAISIE!$N305="","",SAISIE!$N305)</f>
        <v/>
      </c>
      <c r="N300" t="str">
        <f>IF(SAISIE!$O305="","",SAISIE!$O305)</f>
        <v/>
      </c>
      <c r="O300" t="str">
        <f>IF(SAISIE!$P305="","",SAISIE!$P305)</f>
        <v/>
      </c>
      <c r="P300" t="str">
        <f>IF(SAISIE!$Q305="","",SAISIE!$Q305)</f>
        <v/>
      </c>
      <c r="Q300" t="str">
        <f>IF($I300="","",IF($I300&gt;PARAMETRES!$G$29,5,IF($I300&gt;PARAMETRES!$F$29,4,IF($I300&gt;PARAMETRES!$E$29,3,IF($I300&gt;PARAMETRES!$D$29,2,1)))))</f>
        <v/>
      </c>
      <c r="R300" t="str">
        <f>IF($J300="","",IF($J300&gt;PARAMETRES!$G$30,5,IF($J300&gt;PARAMETRES!$F$30,4,IF($J300&gt;PARAMETRES!$E$30,3,IF($J300&gt;PARAMETRES!$D$30,2,1)))))</f>
        <v/>
      </c>
      <c r="S300" t="str">
        <f>IF($K300="","",IF($Z300=2,IF($K300&gt;PARAMETRES!$G$31,5,IF($K300&gt;PARAMETRES!$F$31,4,IF($K300&gt;PARAMETRES!$E$31,3,IF($K300&gt;PARAMETRES!$D$31,2,1)))),IF($K300&gt;PARAMETRES!$G$32,5,IF($K300&gt;PARAMETRES!$F$32,4,IF($K300&gt;PARAMETRES!$E$32,3,IF($K300&gt;PARAMETRES!$D$32,2,1))))))</f>
        <v/>
      </c>
      <c r="T300" t="str">
        <f>IF($L300="","",IF($L300&gt;PARAMETRES!$G$33,5,IF($L300&gt;PARAMETRES!$F$33,4,IF($L300&gt;PARAMETRES!$E$33,3,IF($L300&gt;PARAMETRES!$D$33,2,1)))))</f>
        <v/>
      </c>
      <c r="U300" t="str">
        <f>IF($M300="","",IF($M300&gt;PARAMETRES!$G$34,5,IF($M300&gt;PARAMETRES!$F$34,4,IF($M300&gt;PARAMETRES!$E$34,3,IF($M300&gt;PARAMETRES!$D$34,2,1)))))</f>
        <v/>
      </c>
      <c r="V300" t="str">
        <f>IF($N300="","",IF($N300&gt;PARAMETRES!$G$35,5,IF($N300&gt;PARAMETRES!$F$35,4,IF($N300&gt;PARAMETRES!$E$35,3,IF($N300&gt;PARAMETRES!$D$35,2,1)))))</f>
        <v/>
      </c>
      <c r="W300" t="str">
        <f>IF($O300="","",IF($O300&gt;PARAMETRES!$G$36,5,IF($O300&gt;PARAMETRES!$F$36,4,IF($O300&gt;PARAMETRES!$E$36,3,IF($O300&gt;PARAMETRES!$D$36,2,1)))))</f>
        <v/>
      </c>
      <c r="X300" t="str">
        <f>IF($P300="","",IF($P300&gt;PARAMETRES!$G$37,5,IF($P300&gt;PARAMETRES!$F$37,4,IF($P300&gt;PARAMETRES!$E$37,3,IF($P300&gt;PARAMETRES!$D$37,2,1)))))</f>
        <v/>
      </c>
      <c r="Y300" t="str">
        <f t="shared" si="96"/>
        <v/>
      </c>
      <c r="Z300" t="str">
        <f>IFERROR(VLOOKUP($B300,TABLE_CYCLE,2,0),"")</f>
        <v/>
      </c>
      <c r="AA300" t="str">
        <f t="shared" si="97"/>
        <v/>
      </c>
      <c r="AB300" t="str">
        <f>IF($D300="","",IF(COUNTIF($D$2:$D300,$D300)=1,$D300,""))</f>
        <v/>
      </c>
      <c r="AC300">
        <f t="shared" si="98"/>
        <v>0</v>
      </c>
      <c r="AD300" t="str">
        <f t="shared" si="99"/>
        <v>|0</v>
      </c>
      <c r="AE300" t="str">
        <f t="shared" si="100"/>
        <v/>
      </c>
      <c r="AF300" t="str">
        <f t="shared" si="101"/>
        <v/>
      </c>
      <c r="AG300" t="str">
        <f t="shared" si="102"/>
        <v/>
      </c>
      <c r="AH300" t="str">
        <f t="shared" si="103"/>
        <v/>
      </c>
      <c r="AI300" t="str">
        <f t="shared" si="104"/>
        <v/>
      </c>
      <c r="AJ300" t="str">
        <f t="shared" si="105"/>
        <v/>
      </c>
      <c r="AK300" t="str">
        <f t="shared" si="106"/>
        <v/>
      </c>
      <c r="AL300" t="str">
        <f t="shared" si="107"/>
        <v/>
      </c>
      <c r="AM300" t="str">
        <f t="shared" si="108"/>
        <v/>
      </c>
      <c r="AN300" t="str">
        <f t="shared" si="109"/>
        <v/>
      </c>
      <c r="AO300" t="str">
        <f t="shared" si="110"/>
        <v/>
      </c>
      <c r="AP300">
        <f t="shared" si="111"/>
        <v>1</v>
      </c>
      <c r="AQ300" t="str">
        <f>IF(SAISIE!$F305="","",SAISIE!$Y305)</f>
        <v/>
      </c>
      <c r="AR300" t="str">
        <f>IF(OR(SAISIE!$U$4="",SAISIE!$W$4=""),"",IF(AND($A300=SAISIE!$U$4,$B300=SAISIE!$W$4,$C300="S1"),COUNTIFS($A$2:$A300,SAISIE!$U$4,$B$2:$B300,SAISIE!$W$4,$C$2:$C300,"S1"),""))</f>
        <v/>
      </c>
      <c r="AS300" t="str">
        <f t="shared" si="112"/>
        <v/>
      </c>
      <c r="AT300" t="str">
        <f t="shared" si="113"/>
        <v/>
      </c>
      <c r="AU300" t="str">
        <f t="shared" si="114"/>
        <v/>
      </c>
      <c r="AV300">
        <f>N(AV299)+IF(AND($AB300&lt;&gt;"",OR('PROFIL ELEVE'!$K$4="(Tous)",$AF300='PROFIL ELEVE'!$K$4)),1,0)</f>
        <v>0</v>
      </c>
      <c r="AW300">
        <f>N(AW299)+IF(AND($AB300&lt;&gt;"",OR('SUIVI LONGITUDINAL'!$Q$4="(Tous)",$AF300='SUIVI LONGITUDINAL'!$Q$4)),1,0)</f>
        <v>0</v>
      </c>
      <c r="AX300">
        <f t="shared" si="115"/>
        <v>0</v>
      </c>
      <c r="AY300">
        <f t="shared" si="116"/>
        <v>0</v>
      </c>
      <c r="AZ300">
        <f t="shared" si="117"/>
        <v>0</v>
      </c>
      <c r="BA300" t="str">
        <f t="shared" si="118"/>
        <v/>
      </c>
      <c r="BB300" t="str">
        <f t="shared" si="119"/>
        <v/>
      </c>
    </row>
    <row r="301" spans="1:54" ht="14.25" customHeight="1" x14ac:dyDescent="0.3">
      <c r="A301" t="str">
        <f>IF(SAISIE!$F306="","",SAISIE!$B306)</f>
        <v/>
      </c>
      <c r="B301" t="str">
        <f>IF(SAISIE!$F306="","",SAISIE!$C306)</f>
        <v/>
      </c>
      <c r="C301" t="str">
        <f>IF(SAISIE!$F306="","",SAISIE!$D306)</f>
        <v/>
      </c>
      <c r="D301" t="str">
        <f>IF(SAISIE!$E306="","",SAISIE!$E306)</f>
        <v/>
      </c>
      <c r="E301" t="str">
        <f>IF(SAISIE!$F306="","",SAISIE!$F306)</f>
        <v/>
      </c>
      <c r="F301" t="str">
        <f>IF(SAISIE!$G306="","",SAISIE!$G306)</f>
        <v/>
      </c>
      <c r="G301" t="str">
        <f>IF(SAISIE!$H306="","",SAISIE!$H306)</f>
        <v/>
      </c>
      <c r="H301" t="str">
        <f>IF(SAISIE!$I306="","",SAISIE!$I306)</f>
        <v/>
      </c>
      <c r="I301" t="str">
        <f>IF(SAISIE!$J306="","",SAISIE!$J306)</f>
        <v/>
      </c>
      <c r="J301" t="str">
        <f>IF(SAISIE!$K306="","",SAISIE!$K306)</f>
        <v/>
      </c>
      <c r="K301" t="str">
        <f>IF(SAISIE!$L306="","",SAISIE!$L306)</f>
        <v/>
      </c>
      <c r="L301" t="str">
        <f>IF(SAISIE!$M306="","",SAISIE!$M306)</f>
        <v/>
      </c>
      <c r="M301" t="str">
        <f>IF(SAISIE!$N306="","",SAISIE!$N306)</f>
        <v/>
      </c>
      <c r="N301" t="str">
        <f>IF(SAISIE!$O306="","",SAISIE!$O306)</f>
        <v/>
      </c>
      <c r="O301" t="str">
        <f>IF(SAISIE!$P306="","",SAISIE!$P306)</f>
        <v/>
      </c>
      <c r="P301" t="str">
        <f>IF(SAISIE!$Q306="","",SAISIE!$Q306)</f>
        <v/>
      </c>
      <c r="Q301" t="str">
        <f>IF($I301="","",IF($I301&gt;PARAMETRES!$G$29,5,IF($I301&gt;PARAMETRES!$F$29,4,IF($I301&gt;PARAMETRES!$E$29,3,IF($I301&gt;PARAMETRES!$D$29,2,1)))))</f>
        <v/>
      </c>
      <c r="R301" t="str">
        <f>IF($J301="","",IF($J301&gt;PARAMETRES!$G$30,5,IF($J301&gt;PARAMETRES!$F$30,4,IF($J301&gt;PARAMETRES!$E$30,3,IF($J301&gt;PARAMETRES!$D$30,2,1)))))</f>
        <v/>
      </c>
      <c r="S301" t="str">
        <f>IF($K301="","",IF($Z301=2,IF($K301&gt;PARAMETRES!$G$31,5,IF($K301&gt;PARAMETRES!$F$31,4,IF($K301&gt;PARAMETRES!$E$31,3,IF($K301&gt;PARAMETRES!$D$31,2,1)))),IF($K301&gt;PARAMETRES!$G$32,5,IF($K301&gt;PARAMETRES!$F$32,4,IF($K301&gt;PARAMETRES!$E$32,3,IF($K301&gt;PARAMETRES!$D$32,2,1))))))</f>
        <v/>
      </c>
      <c r="T301" t="str">
        <f>IF($L301="","",IF($L301&gt;PARAMETRES!$G$33,5,IF($L301&gt;PARAMETRES!$F$33,4,IF($L301&gt;PARAMETRES!$E$33,3,IF($L301&gt;PARAMETRES!$D$33,2,1)))))</f>
        <v/>
      </c>
      <c r="U301" t="str">
        <f>IF($M301="","",IF($M301&gt;PARAMETRES!$G$34,5,IF($M301&gt;PARAMETRES!$F$34,4,IF($M301&gt;PARAMETRES!$E$34,3,IF($M301&gt;PARAMETRES!$D$34,2,1)))))</f>
        <v/>
      </c>
      <c r="V301" t="str">
        <f>IF($N301="","",IF($N301&gt;PARAMETRES!$G$35,5,IF($N301&gt;PARAMETRES!$F$35,4,IF($N301&gt;PARAMETRES!$E$35,3,IF($N301&gt;PARAMETRES!$D$35,2,1)))))</f>
        <v/>
      </c>
      <c r="W301" t="str">
        <f>IF($O301="","",IF($O301&gt;PARAMETRES!$G$36,5,IF($O301&gt;PARAMETRES!$F$36,4,IF($O301&gt;PARAMETRES!$E$36,3,IF($O301&gt;PARAMETRES!$D$36,2,1)))))</f>
        <v/>
      </c>
      <c r="X301" t="str">
        <f>IF($P301="","",IF($P301&gt;PARAMETRES!$G$37,5,IF($P301&gt;PARAMETRES!$F$37,4,IF($P301&gt;PARAMETRES!$E$37,3,IF($P301&gt;PARAMETRES!$D$37,2,1)))))</f>
        <v/>
      </c>
      <c r="Y301" t="str">
        <f t="shared" si="96"/>
        <v/>
      </c>
      <c r="Z301" t="str">
        <f>IFERROR(VLOOKUP($B301,TABLE_CYCLE,2,0),"")</f>
        <v/>
      </c>
      <c r="AA301" t="str">
        <f t="shared" si="97"/>
        <v/>
      </c>
      <c r="AB301" t="str">
        <f>IF($D301="","",IF(COUNTIF($D$2:$D301,$D301)=1,$D301,""))</f>
        <v/>
      </c>
      <c r="AC301">
        <f t="shared" si="98"/>
        <v>0</v>
      </c>
      <c r="AD301" t="str">
        <f t="shared" si="99"/>
        <v>|0</v>
      </c>
      <c r="AE301" t="str">
        <f t="shared" si="100"/>
        <v/>
      </c>
      <c r="AF301" t="str">
        <f t="shared" si="101"/>
        <v/>
      </c>
      <c r="AG301" t="str">
        <f t="shared" si="102"/>
        <v/>
      </c>
      <c r="AH301" t="str">
        <f t="shared" si="103"/>
        <v/>
      </c>
      <c r="AI301" t="str">
        <f t="shared" si="104"/>
        <v/>
      </c>
      <c r="AJ301" t="str">
        <f t="shared" si="105"/>
        <v/>
      </c>
      <c r="AK301" t="str">
        <f t="shared" si="106"/>
        <v/>
      </c>
      <c r="AL301" t="str">
        <f t="shared" si="107"/>
        <v/>
      </c>
      <c r="AM301" t="str">
        <f t="shared" si="108"/>
        <v/>
      </c>
      <c r="AN301" t="str">
        <f t="shared" si="109"/>
        <v/>
      </c>
      <c r="AO301" t="str">
        <f t="shared" si="110"/>
        <v/>
      </c>
      <c r="AP301">
        <f t="shared" si="111"/>
        <v>1</v>
      </c>
      <c r="AQ301" t="str">
        <f>IF(SAISIE!$F306="","",SAISIE!$Y306)</f>
        <v/>
      </c>
      <c r="AR301" t="str">
        <f>IF(OR(SAISIE!$U$4="",SAISIE!$W$4=""),"",IF(AND($A301=SAISIE!$U$4,$B301=SAISIE!$W$4,$C301="S1"),COUNTIFS($A$2:$A301,SAISIE!$U$4,$B$2:$B301,SAISIE!$W$4,$C$2:$C301,"S1"),""))</f>
        <v/>
      </c>
      <c r="AS301" t="str">
        <f t="shared" si="112"/>
        <v/>
      </c>
      <c r="AT301" t="str">
        <f t="shared" si="113"/>
        <v/>
      </c>
      <c r="AU301" t="str">
        <f t="shared" si="114"/>
        <v/>
      </c>
      <c r="AV301">
        <f>N(AV300)+IF(AND($AB301&lt;&gt;"",OR('PROFIL ELEVE'!$K$4="(Tous)",$AF301='PROFIL ELEVE'!$K$4)),1,0)</f>
        <v>0</v>
      </c>
      <c r="AW301">
        <f>N(AW300)+IF(AND($AB301&lt;&gt;"",OR('SUIVI LONGITUDINAL'!$Q$4="(Tous)",$AF301='SUIVI LONGITUDINAL'!$Q$4)),1,0)</f>
        <v>0</v>
      </c>
      <c r="AX301">
        <f t="shared" si="115"/>
        <v>0</v>
      </c>
      <c r="AY301">
        <f t="shared" si="116"/>
        <v>0</v>
      </c>
      <c r="AZ301">
        <f t="shared" si="117"/>
        <v>0</v>
      </c>
      <c r="BA301" t="str">
        <f t="shared" si="118"/>
        <v/>
      </c>
      <c r="BB301" t="str">
        <f t="shared" si="119"/>
        <v/>
      </c>
    </row>
    <row r="302" spans="1:54" ht="14.25" customHeight="1" x14ac:dyDescent="0.3">
      <c r="A302" t="str">
        <f>IF(SAISIE!$F307="","",SAISIE!$B307)</f>
        <v/>
      </c>
      <c r="B302" t="str">
        <f>IF(SAISIE!$F307="","",SAISIE!$C307)</f>
        <v/>
      </c>
      <c r="C302" t="str">
        <f>IF(SAISIE!$F307="","",SAISIE!$D307)</f>
        <v/>
      </c>
      <c r="D302" t="str">
        <f>IF(SAISIE!$E307="","",SAISIE!$E307)</f>
        <v/>
      </c>
      <c r="E302" t="str">
        <f>IF(SAISIE!$F307="","",SAISIE!$F307)</f>
        <v/>
      </c>
      <c r="F302" t="str">
        <f>IF(SAISIE!$G307="","",SAISIE!$G307)</f>
        <v/>
      </c>
      <c r="G302" t="str">
        <f>IF(SAISIE!$H307="","",SAISIE!$H307)</f>
        <v/>
      </c>
      <c r="H302" t="str">
        <f>IF(SAISIE!$I307="","",SAISIE!$I307)</f>
        <v/>
      </c>
      <c r="I302" t="str">
        <f>IF(SAISIE!$J307="","",SAISIE!$J307)</f>
        <v/>
      </c>
      <c r="J302" t="str">
        <f>IF(SAISIE!$K307="","",SAISIE!$K307)</f>
        <v/>
      </c>
      <c r="K302" t="str">
        <f>IF(SAISIE!$L307="","",SAISIE!$L307)</f>
        <v/>
      </c>
      <c r="L302" t="str">
        <f>IF(SAISIE!$M307="","",SAISIE!$M307)</f>
        <v/>
      </c>
      <c r="M302" t="str">
        <f>IF(SAISIE!$N307="","",SAISIE!$N307)</f>
        <v/>
      </c>
      <c r="N302" t="str">
        <f>IF(SAISIE!$O307="","",SAISIE!$O307)</f>
        <v/>
      </c>
      <c r="O302" t="str">
        <f>IF(SAISIE!$P307="","",SAISIE!$P307)</f>
        <v/>
      </c>
      <c r="P302" t="str">
        <f>IF(SAISIE!$Q307="","",SAISIE!$Q307)</f>
        <v/>
      </c>
      <c r="Q302" t="str">
        <f>IF($I302="","",IF($I302&gt;PARAMETRES!$G$29,5,IF($I302&gt;PARAMETRES!$F$29,4,IF($I302&gt;PARAMETRES!$E$29,3,IF($I302&gt;PARAMETRES!$D$29,2,1)))))</f>
        <v/>
      </c>
      <c r="R302" t="str">
        <f>IF($J302="","",IF($J302&gt;PARAMETRES!$G$30,5,IF($J302&gt;PARAMETRES!$F$30,4,IF($J302&gt;PARAMETRES!$E$30,3,IF($J302&gt;PARAMETRES!$D$30,2,1)))))</f>
        <v/>
      </c>
      <c r="S302" t="str">
        <f>IF($K302="","",IF($Z302=2,IF($K302&gt;PARAMETRES!$G$31,5,IF($K302&gt;PARAMETRES!$F$31,4,IF($K302&gt;PARAMETRES!$E$31,3,IF($K302&gt;PARAMETRES!$D$31,2,1)))),IF($K302&gt;PARAMETRES!$G$32,5,IF($K302&gt;PARAMETRES!$F$32,4,IF($K302&gt;PARAMETRES!$E$32,3,IF($K302&gt;PARAMETRES!$D$32,2,1))))))</f>
        <v/>
      </c>
      <c r="T302" t="str">
        <f>IF($L302="","",IF($L302&gt;PARAMETRES!$G$33,5,IF($L302&gt;PARAMETRES!$F$33,4,IF($L302&gt;PARAMETRES!$E$33,3,IF($L302&gt;PARAMETRES!$D$33,2,1)))))</f>
        <v/>
      </c>
      <c r="U302" t="str">
        <f>IF($M302="","",IF($M302&gt;PARAMETRES!$G$34,5,IF($M302&gt;PARAMETRES!$F$34,4,IF($M302&gt;PARAMETRES!$E$34,3,IF($M302&gt;PARAMETRES!$D$34,2,1)))))</f>
        <v/>
      </c>
      <c r="V302" t="str">
        <f>IF($N302="","",IF($N302&gt;PARAMETRES!$G$35,5,IF($N302&gt;PARAMETRES!$F$35,4,IF($N302&gt;PARAMETRES!$E$35,3,IF($N302&gt;PARAMETRES!$D$35,2,1)))))</f>
        <v/>
      </c>
      <c r="W302" t="str">
        <f>IF($O302="","",IF($O302&gt;PARAMETRES!$G$36,5,IF($O302&gt;PARAMETRES!$F$36,4,IF($O302&gt;PARAMETRES!$E$36,3,IF($O302&gt;PARAMETRES!$D$36,2,1)))))</f>
        <v/>
      </c>
      <c r="X302" t="str">
        <f>IF($P302="","",IF($P302&gt;PARAMETRES!$G$37,5,IF($P302&gt;PARAMETRES!$F$37,4,IF($P302&gt;PARAMETRES!$E$37,3,IF($P302&gt;PARAMETRES!$D$37,2,1)))))</f>
        <v/>
      </c>
      <c r="Y302" t="str">
        <f t="shared" si="96"/>
        <v/>
      </c>
      <c r="Z302" t="str">
        <f>IFERROR(VLOOKUP($B302,TABLE_CYCLE,2,0),"")</f>
        <v/>
      </c>
      <c r="AA302" t="str">
        <f t="shared" si="97"/>
        <v/>
      </c>
      <c r="AB302" t="str">
        <f>IF($D302="","",IF(COUNTIF($D$2:$D302,$D302)=1,$D302,""))</f>
        <v/>
      </c>
      <c r="AC302">
        <f t="shared" si="98"/>
        <v>0</v>
      </c>
      <c r="AD302" t="str">
        <f t="shared" si="99"/>
        <v>|0</v>
      </c>
      <c r="AE302" t="str">
        <f t="shared" si="100"/>
        <v/>
      </c>
      <c r="AF302" t="str">
        <f t="shared" si="101"/>
        <v/>
      </c>
      <c r="AG302" t="str">
        <f t="shared" si="102"/>
        <v/>
      </c>
      <c r="AH302" t="str">
        <f t="shared" si="103"/>
        <v/>
      </c>
      <c r="AI302" t="str">
        <f t="shared" si="104"/>
        <v/>
      </c>
      <c r="AJ302" t="str">
        <f t="shared" si="105"/>
        <v/>
      </c>
      <c r="AK302" t="str">
        <f t="shared" si="106"/>
        <v/>
      </c>
      <c r="AL302" t="str">
        <f t="shared" si="107"/>
        <v/>
      </c>
      <c r="AM302" t="str">
        <f t="shared" si="108"/>
        <v/>
      </c>
      <c r="AN302" t="str">
        <f t="shared" si="109"/>
        <v/>
      </c>
      <c r="AO302" t="str">
        <f t="shared" si="110"/>
        <v/>
      </c>
      <c r="AP302">
        <f t="shared" si="111"/>
        <v>1</v>
      </c>
      <c r="AQ302" t="str">
        <f>IF(SAISIE!$F307="","",SAISIE!$Y307)</f>
        <v/>
      </c>
      <c r="AR302" t="str">
        <f>IF(OR(SAISIE!$U$4="",SAISIE!$W$4=""),"",IF(AND($A302=SAISIE!$U$4,$B302=SAISIE!$W$4,$C302="S1"),COUNTIFS($A$2:$A302,SAISIE!$U$4,$B$2:$B302,SAISIE!$W$4,$C$2:$C302,"S1"),""))</f>
        <v/>
      </c>
      <c r="AS302" t="str">
        <f t="shared" si="112"/>
        <v/>
      </c>
      <c r="AT302" t="str">
        <f t="shared" si="113"/>
        <v/>
      </c>
      <c r="AU302" t="str">
        <f t="shared" si="114"/>
        <v/>
      </c>
      <c r="AV302">
        <f>N(AV301)+IF(AND($AB302&lt;&gt;"",OR('PROFIL ELEVE'!$K$4="(Tous)",$AF302='PROFIL ELEVE'!$K$4)),1,0)</f>
        <v>0</v>
      </c>
      <c r="AW302">
        <f>N(AW301)+IF(AND($AB302&lt;&gt;"",OR('SUIVI LONGITUDINAL'!$Q$4="(Tous)",$AF302='SUIVI LONGITUDINAL'!$Q$4)),1,0)</f>
        <v>0</v>
      </c>
      <c r="AX302">
        <f t="shared" si="115"/>
        <v>0</v>
      </c>
      <c r="AY302">
        <f t="shared" si="116"/>
        <v>0</v>
      </c>
      <c r="AZ302">
        <f t="shared" si="117"/>
        <v>0</v>
      </c>
      <c r="BA302" t="str">
        <f t="shared" si="118"/>
        <v/>
      </c>
      <c r="BB302" t="str">
        <f t="shared" si="119"/>
        <v/>
      </c>
    </row>
    <row r="303" spans="1:54" ht="14.25" customHeight="1" x14ac:dyDescent="0.3">
      <c r="A303" t="str">
        <f>IF(SAISIE!$F308="","",SAISIE!$B308)</f>
        <v/>
      </c>
      <c r="B303" t="str">
        <f>IF(SAISIE!$F308="","",SAISIE!$C308)</f>
        <v/>
      </c>
      <c r="C303" t="str">
        <f>IF(SAISIE!$F308="","",SAISIE!$D308)</f>
        <v/>
      </c>
      <c r="D303" t="str">
        <f>IF(SAISIE!$E308="","",SAISIE!$E308)</f>
        <v/>
      </c>
      <c r="E303" t="str">
        <f>IF(SAISIE!$F308="","",SAISIE!$F308)</f>
        <v/>
      </c>
      <c r="F303" t="str">
        <f>IF(SAISIE!$G308="","",SAISIE!$G308)</f>
        <v/>
      </c>
      <c r="G303" t="str">
        <f>IF(SAISIE!$H308="","",SAISIE!$H308)</f>
        <v/>
      </c>
      <c r="H303" t="str">
        <f>IF(SAISIE!$I308="","",SAISIE!$I308)</f>
        <v/>
      </c>
      <c r="I303" t="str">
        <f>IF(SAISIE!$J308="","",SAISIE!$J308)</f>
        <v/>
      </c>
      <c r="J303" t="str">
        <f>IF(SAISIE!$K308="","",SAISIE!$K308)</f>
        <v/>
      </c>
      <c r="K303" t="str">
        <f>IF(SAISIE!$L308="","",SAISIE!$L308)</f>
        <v/>
      </c>
      <c r="L303" t="str">
        <f>IF(SAISIE!$M308="","",SAISIE!$M308)</f>
        <v/>
      </c>
      <c r="M303" t="str">
        <f>IF(SAISIE!$N308="","",SAISIE!$N308)</f>
        <v/>
      </c>
      <c r="N303" t="str">
        <f>IF(SAISIE!$O308="","",SAISIE!$O308)</f>
        <v/>
      </c>
      <c r="O303" t="str">
        <f>IF(SAISIE!$P308="","",SAISIE!$P308)</f>
        <v/>
      </c>
      <c r="P303" t="str">
        <f>IF(SAISIE!$Q308="","",SAISIE!$Q308)</f>
        <v/>
      </c>
      <c r="Q303" t="str">
        <f>IF($I303="","",IF($I303&gt;PARAMETRES!$G$29,5,IF($I303&gt;PARAMETRES!$F$29,4,IF($I303&gt;PARAMETRES!$E$29,3,IF($I303&gt;PARAMETRES!$D$29,2,1)))))</f>
        <v/>
      </c>
      <c r="R303" t="str">
        <f>IF($J303="","",IF($J303&gt;PARAMETRES!$G$30,5,IF($J303&gt;PARAMETRES!$F$30,4,IF($J303&gt;PARAMETRES!$E$30,3,IF($J303&gt;PARAMETRES!$D$30,2,1)))))</f>
        <v/>
      </c>
      <c r="S303" t="str">
        <f>IF($K303="","",IF($Z303=2,IF($K303&gt;PARAMETRES!$G$31,5,IF($K303&gt;PARAMETRES!$F$31,4,IF($K303&gt;PARAMETRES!$E$31,3,IF($K303&gt;PARAMETRES!$D$31,2,1)))),IF($K303&gt;PARAMETRES!$G$32,5,IF($K303&gt;PARAMETRES!$F$32,4,IF($K303&gt;PARAMETRES!$E$32,3,IF($K303&gt;PARAMETRES!$D$32,2,1))))))</f>
        <v/>
      </c>
      <c r="T303" t="str">
        <f>IF($L303="","",IF($L303&gt;PARAMETRES!$G$33,5,IF($L303&gt;PARAMETRES!$F$33,4,IF($L303&gt;PARAMETRES!$E$33,3,IF($L303&gt;PARAMETRES!$D$33,2,1)))))</f>
        <v/>
      </c>
      <c r="U303" t="str">
        <f>IF($M303="","",IF($M303&gt;PARAMETRES!$G$34,5,IF($M303&gt;PARAMETRES!$F$34,4,IF($M303&gt;PARAMETRES!$E$34,3,IF($M303&gt;PARAMETRES!$D$34,2,1)))))</f>
        <v/>
      </c>
      <c r="V303" t="str">
        <f>IF($N303="","",IF($N303&gt;PARAMETRES!$G$35,5,IF($N303&gt;PARAMETRES!$F$35,4,IF($N303&gt;PARAMETRES!$E$35,3,IF($N303&gt;PARAMETRES!$D$35,2,1)))))</f>
        <v/>
      </c>
      <c r="W303" t="str">
        <f>IF($O303="","",IF($O303&gt;PARAMETRES!$G$36,5,IF($O303&gt;PARAMETRES!$F$36,4,IF($O303&gt;PARAMETRES!$E$36,3,IF($O303&gt;PARAMETRES!$D$36,2,1)))))</f>
        <v/>
      </c>
      <c r="X303" t="str">
        <f>IF($P303="","",IF($P303&gt;PARAMETRES!$G$37,5,IF($P303&gt;PARAMETRES!$F$37,4,IF($P303&gt;PARAMETRES!$E$37,3,IF($P303&gt;PARAMETRES!$D$37,2,1)))))</f>
        <v/>
      </c>
      <c r="Y303" t="str">
        <f t="shared" si="96"/>
        <v/>
      </c>
      <c r="Z303" t="str">
        <f>IFERROR(VLOOKUP($B303,TABLE_CYCLE,2,0),"")</f>
        <v/>
      </c>
      <c r="AA303" t="str">
        <f t="shared" si="97"/>
        <v/>
      </c>
      <c r="AB303" t="str">
        <f>IF($D303="","",IF(COUNTIF($D$2:$D303,$D303)=1,$D303,""))</f>
        <v/>
      </c>
      <c r="AC303">
        <f t="shared" si="98"/>
        <v>0</v>
      </c>
      <c r="AD303" t="str">
        <f t="shared" si="99"/>
        <v>|0</v>
      </c>
      <c r="AE303" t="str">
        <f t="shared" si="100"/>
        <v/>
      </c>
      <c r="AF303" t="str">
        <f t="shared" si="101"/>
        <v/>
      </c>
      <c r="AG303" t="str">
        <f t="shared" si="102"/>
        <v/>
      </c>
      <c r="AH303" t="str">
        <f t="shared" si="103"/>
        <v/>
      </c>
      <c r="AI303" t="str">
        <f t="shared" si="104"/>
        <v/>
      </c>
      <c r="AJ303" t="str">
        <f t="shared" si="105"/>
        <v/>
      </c>
      <c r="AK303" t="str">
        <f t="shared" si="106"/>
        <v/>
      </c>
      <c r="AL303" t="str">
        <f t="shared" si="107"/>
        <v/>
      </c>
      <c r="AM303" t="str">
        <f t="shared" si="108"/>
        <v/>
      </c>
      <c r="AN303" t="str">
        <f t="shared" si="109"/>
        <v/>
      </c>
      <c r="AO303" t="str">
        <f t="shared" si="110"/>
        <v/>
      </c>
      <c r="AP303">
        <f t="shared" si="111"/>
        <v>1</v>
      </c>
      <c r="AQ303" t="str">
        <f>IF(SAISIE!$F308="","",SAISIE!$Y308)</f>
        <v/>
      </c>
      <c r="AR303" t="str">
        <f>IF(OR(SAISIE!$U$4="",SAISIE!$W$4=""),"",IF(AND($A303=SAISIE!$U$4,$B303=SAISIE!$W$4,$C303="S1"),COUNTIFS($A$2:$A303,SAISIE!$U$4,$B$2:$B303,SAISIE!$W$4,$C$2:$C303,"S1"),""))</f>
        <v/>
      </c>
      <c r="AS303" t="str">
        <f t="shared" si="112"/>
        <v/>
      </c>
      <c r="AT303" t="str">
        <f t="shared" si="113"/>
        <v/>
      </c>
      <c r="AU303" t="str">
        <f t="shared" si="114"/>
        <v/>
      </c>
      <c r="AV303">
        <f>N(AV302)+IF(AND($AB303&lt;&gt;"",OR('PROFIL ELEVE'!$K$4="(Tous)",$AF303='PROFIL ELEVE'!$K$4)),1,0)</f>
        <v>0</v>
      </c>
      <c r="AW303">
        <f>N(AW302)+IF(AND($AB303&lt;&gt;"",OR('SUIVI LONGITUDINAL'!$Q$4="(Tous)",$AF303='SUIVI LONGITUDINAL'!$Q$4)),1,0)</f>
        <v>0</v>
      </c>
      <c r="AX303">
        <f t="shared" si="115"/>
        <v>0</v>
      </c>
      <c r="AY303">
        <f t="shared" si="116"/>
        <v>0</v>
      </c>
      <c r="AZ303">
        <f t="shared" si="117"/>
        <v>0</v>
      </c>
      <c r="BA303" t="str">
        <f t="shared" si="118"/>
        <v/>
      </c>
      <c r="BB303" t="str">
        <f t="shared" si="119"/>
        <v/>
      </c>
    </row>
    <row r="304" spans="1:54" ht="14.25" customHeight="1" x14ac:dyDescent="0.3">
      <c r="A304" t="str">
        <f>IF(SAISIE!$F309="","",SAISIE!$B309)</f>
        <v/>
      </c>
      <c r="B304" t="str">
        <f>IF(SAISIE!$F309="","",SAISIE!$C309)</f>
        <v/>
      </c>
      <c r="C304" t="str">
        <f>IF(SAISIE!$F309="","",SAISIE!$D309)</f>
        <v/>
      </c>
      <c r="D304" t="str">
        <f>IF(SAISIE!$E309="","",SAISIE!$E309)</f>
        <v/>
      </c>
      <c r="E304" t="str">
        <f>IF(SAISIE!$F309="","",SAISIE!$F309)</f>
        <v/>
      </c>
      <c r="F304" t="str">
        <f>IF(SAISIE!$G309="","",SAISIE!$G309)</f>
        <v/>
      </c>
      <c r="G304" t="str">
        <f>IF(SAISIE!$H309="","",SAISIE!$H309)</f>
        <v/>
      </c>
      <c r="H304" t="str">
        <f>IF(SAISIE!$I309="","",SAISIE!$I309)</f>
        <v/>
      </c>
      <c r="I304" t="str">
        <f>IF(SAISIE!$J309="","",SAISIE!$J309)</f>
        <v/>
      </c>
      <c r="J304" t="str">
        <f>IF(SAISIE!$K309="","",SAISIE!$K309)</f>
        <v/>
      </c>
      <c r="K304" t="str">
        <f>IF(SAISIE!$L309="","",SAISIE!$L309)</f>
        <v/>
      </c>
      <c r="L304" t="str">
        <f>IF(SAISIE!$M309="","",SAISIE!$M309)</f>
        <v/>
      </c>
      <c r="M304" t="str">
        <f>IF(SAISIE!$N309="","",SAISIE!$N309)</f>
        <v/>
      </c>
      <c r="N304" t="str">
        <f>IF(SAISIE!$O309="","",SAISIE!$O309)</f>
        <v/>
      </c>
      <c r="O304" t="str">
        <f>IF(SAISIE!$P309="","",SAISIE!$P309)</f>
        <v/>
      </c>
      <c r="P304" t="str">
        <f>IF(SAISIE!$Q309="","",SAISIE!$Q309)</f>
        <v/>
      </c>
      <c r="Q304" t="str">
        <f>IF($I304="","",IF($I304&gt;PARAMETRES!$G$29,5,IF($I304&gt;PARAMETRES!$F$29,4,IF($I304&gt;PARAMETRES!$E$29,3,IF($I304&gt;PARAMETRES!$D$29,2,1)))))</f>
        <v/>
      </c>
      <c r="R304" t="str">
        <f>IF($J304="","",IF($J304&gt;PARAMETRES!$G$30,5,IF($J304&gt;PARAMETRES!$F$30,4,IF($J304&gt;PARAMETRES!$E$30,3,IF($J304&gt;PARAMETRES!$D$30,2,1)))))</f>
        <v/>
      </c>
      <c r="S304" t="str">
        <f>IF($K304="","",IF($Z304=2,IF($K304&gt;PARAMETRES!$G$31,5,IF($K304&gt;PARAMETRES!$F$31,4,IF($K304&gt;PARAMETRES!$E$31,3,IF($K304&gt;PARAMETRES!$D$31,2,1)))),IF($K304&gt;PARAMETRES!$G$32,5,IF($K304&gt;PARAMETRES!$F$32,4,IF($K304&gt;PARAMETRES!$E$32,3,IF($K304&gt;PARAMETRES!$D$32,2,1))))))</f>
        <v/>
      </c>
      <c r="T304" t="str">
        <f>IF($L304="","",IF($L304&gt;PARAMETRES!$G$33,5,IF($L304&gt;PARAMETRES!$F$33,4,IF($L304&gt;PARAMETRES!$E$33,3,IF($L304&gt;PARAMETRES!$D$33,2,1)))))</f>
        <v/>
      </c>
      <c r="U304" t="str">
        <f>IF($M304="","",IF($M304&gt;PARAMETRES!$G$34,5,IF($M304&gt;PARAMETRES!$F$34,4,IF($M304&gt;PARAMETRES!$E$34,3,IF($M304&gt;PARAMETRES!$D$34,2,1)))))</f>
        <v/>
      </c>
      <c r="V304" t="str">
        <f>IF($N304="","",IF($N304&gt;PARAMETRES!$G$35,5,IF($N304&gt;PARAMETRES!$F$35,4,IF($N304&gt;PARAMETRES!$E$35,3,IF($N304&gt;PARAMETRES!$D$35,2,1)))))</f>
        <v/>
      </c>
      <c r="W304" t="str">
        <f>IF($O304="","",IF($O304&gt;PARAMETRES!$G$36,5,IF($O304&gt;PARAMETRES!$F$36,4,IF($O304&gt;PARAMETRES!$E$36,3,IF($O304&gt;PARAMETRES!$D$36,2,1)))))</f>
        <v/>
      </c>
      <c r="X304" t="str">
        <f>IF($P304="","",IF($P304&gt;PARAMETRES!$G$37,5,IF($P304&gt;PARAMETRES!$F$37,4,IF($P304&gt;PARAMETRES!$E$37,3,IF($P304&gt;PARAMETRES!$D$37,2,1)))))</f>
        <v/>
      </c>
      <c r="Y304" t="str">
        <f t="shared" si="96"/>
        <v/>
      </c>
      <c r="Z304" t="str">
        <f>IFERROR(VLOOKUP($B304,TABLE_CYCLE,2,0),"")</f>
        <v/>
      </c>
      <c r="AA304" t="str">
        <f t="shared" si="97"/>
        <v/>
      </c>
      <c r="AB304" t="str">
        <f>IF($D304="","",IF(COUNTIF($D$2:$D304,$D304)=1,$D304,""))</f>
        <v/>
      </c>
      <c r="AC304">
        <f t="shared" si="98"/>
        <v>0</v>
      </c>
      <c r="AD304" t="str">
        <f t="shared" si="99"/>
        <v>|0</v>
      </c>
      <c r="AE304" t="str">
        <f t="shared" si="100"/>
        <v/>
      </c>
      <c r="AF304" t="str">
        <f t="shared" si="101"/>
        <v/>
      </c>
      <c r="AG304" t="str">
        <f t="shared" si="102"/>
        <v/>
      </c>
      <c r="AH304" t="str">
        <f t="shared" si="103"/>
        <v/>
      </c>
      <c r="AI304" t="str">
        <f t="shared" si="104"/>
        <v/>
      </c>
      <c r="AJ304" t="str">
        <f t="shared" si="105"/>
        <v/>
      </c>
      <c r="AK304" t="str">
        <f t="shared" si="106"/>
        <v/>
      </c>
      <c r="AL304" t="str">
        <f t="shared" si="107"/>
        <v/>
      </c>
      <c r="AM304" t="str">
        <f t="shared" si="108"/>
        <v/>
      </c>
      <c r="AN304" t="str">
        <f t="shared" si="109"/>
        <v/>
      </c>
      <c r="AO304" t="str">
        <f t="shared" si="110"/>
        <v/>
      </c>
      <c r="AP304">
        <f t="shared" si="111"/>
        <v>1</v>
      </c>
      <c r="AQ304" t="str">
        <f>IF(SAISIE!$F309="","",SAISIE!$Y309)</f>
        <v/>
      </c>
      <c r="AR304" t="str">
        <f>IF(OR(SAISIE!$U$4="",SAISIE!$W$4=""),"",IF(AND($A304=SAISIE!$U$4,$B304=SAISIE!$W$4,$C304="S1"),COUNTIFS($A$2:$A304,SAISIE!$U$4,$B$2:$B304,SAISIE!$W$4,$C$2:$C304,"S1"),""))</f>
        <v/>
      </c>
      <c r="AS304" t="str">
        <f t="shared" si="112"/>
        <v/>
      </c>
      <c r="AT304" t="str">
        <f t="shared" si="113"/>
        <v/>
      </c>
      <c r="AU304" t="str">
        <f t="shared" si="114"/>
        <v/>
      </c>
      <c r="AV304">
        <f>N(AV303)+IF(AND($AB304&lt;&gt;"",OR('PROFIL ELEVE'!$K$4="(Tous)",$AF304='PROFIL ELEVE'!$K$4)),1,0)</f>
        <v>0</v>
      </c>
      <c r="AW304">
        <f>N(AW303)+IF(AND($AB304&lt;&gt;"",OR('SUIVI LONGITUDINAL'!$Q$4="(Tous)",$AF304='SUIVI LONGITUDINAL'!$Q$4)),1,0)</f>
        <v>0</v>
      </c>
      <c r="AX304">
        <f t="shared" si="115"/>
        <v>0</v>
      </c>
      <c r="AY304">
        <f t="shared" si="116"/>
        <v>0</v>
      </c>
      <c r="AZ304">
        <f t="shared" si="117"/>
        <v>0</v>
      </c>
      <c r="BA304" t="str">
        <f t="shared" si="118"/>
        <v/>
      </c>
      <c r="BB304" t="str">
        <f t="shared" si="119"/>
        <v/>
      </c>
    </row>
    <row r="305" spans="1:54" ht="14.25" customHeight="1" x14ac:dyDescent="0.3">
      <c r="A305" t="str">
        <f>IF(SAISIE!$F310="","",SAISIE!$B310)</f>
        <v/>
      </c>
      <c r="B305" t="str">
        <f>IF(SAISIE!$F310="","",SAISIE!$C310)</f>
        <v/>
      </c>
      <c r="C305" t="str">
        <f>IF(SAISIE!$F310="","",SAISIE!$D310)</f>
        <v/>
      </c>
      <c r="D305" t="str">
        <f>IF(SAISIE!$E310="","",SAISIE!$E310)</f>
        <v/>
      </c>
      <c r="E305" t="str">
        <f>IF(SAISIE!$F310="","",SAISIE!$F310)</f>
        <v/>
      </c>
      <c r="F305" t="str">
        <f>IF(SAISIE!$G310="","",SAISIE!$G310)</f>
        <v/>
      </c>
      <c r="G305" t="str">
        <f>IF(SAISIE!$H310="","",SAISIE!$H310)</f>
        <v/>
      </c>
      <c r="H305" t="str">
        <f>IF(SAISIE!$I310="","",SAISIE!$I310)</f>
        <v/>
      </c>
      <c r="I305" t="str">
        <f>IF(SAISIE!$J310="","",SAISIE!$J310)</f>
        <v/>
      </c>
      <c r="J305" t="str">
        <f>IF(SAISIE!$K310="","",SAISIE!$K310)</f>
        <v/>
      </c>
      <c r="K305" t="str">
        <f>IF(SAISIE!$L310="","",SAISIE!$L310)</f>
        <v/>
      </c>
      <c r="L305" t="str">
        <f>IF(SAISIE!$M310="","",SAISIE!$M310)</f>
        <v/>
      </c>
      <c r="M305" t="str">
        <f>IF(SAISIE!$N310="","",SAISIE!$N310)</f>
        <v/>
      </c>
      <c r="N305" t="str">
        <f>IF(SAISIE!$O310="","",SAISIE!$O310)</f>
        <v/>
      </c>
      <c r="O305" t="str">
        <f>IF(SAISIE!$P310="","",SAISIE!$P310)</f>
        <v/>
      </c>
      <c r="P305" t="str">
        <f>IF(SAISIE!$Q310="","",SAISIE!$Q310)</f>
        <v/>
      </c>
      <c r="Q305" t="str">
        <f>IF($I305="","",IF($I305&gt;PARAMETRES!$G$29,5,IF($I305&gt;PARAMETRES!$F$29,4,IF($I305&gt;PARAMETRES!$E$29,3,IF($I305&gt;PARAMETRES!$D$29,2,1)))))</f>
        <v/>
      </c>
      <c r="R305" t="str">
        <f>IF($J305="","",IF($J305&gt;PARAMETRES!$G$30,5,IF($J305&gt;PARAMETRES!$F$30,4,IF($J305&gt;PARAMETRES!$E$30,3,IF($J305&gt;PARAMETRES!$D$30,2,1)))))</f>
        <v/>
      </c>
      <c r="S305" t="str">
        <f>IF($K305="","",IF($Z305=2,IF($K305&gt;PARAMETRES!$G$31,5,IF($K305&gt;PARAMETRES!$F$31,4,IF($K305&gt;PARAMETRES!$E$31,3,IF($K305&gt;PARAMETRES!$D$31,2,1)))),IF($K305&gt;PARAMETRES!$G$32,5,IF($K305&gt;PARAMETRES!$F$32,4,IF($K305&gt;PARAMETRES!$E$32,3,IF($K305&gt;PARAMETRES!$D$32,2,1))))))</f>
        <v/>
      </c>
      <c r="T305" t="str">
        <f>IF($L305="","",IF($L305&gt;PARAMETRES!$G$33,5,IF($L305&gt;PARAMETRES!$F$33,4,IF($L305&gt;PARAMETRES!$E$33,3,IF($L305&gt;PARAMETRES!$D$33,2,1)))))</f>
        <v/>
      </c>
      <c r="U305" t="str">
        <f>IF($M305="","",IF($M305&gt;PARAMETRES!$G$34,5,IF($M305&gt;PARAMETRES!$F$34,4,IF($M305&gt;PARAMETRES!$E$34,3,IF($M305&gt;PARAMETRES!$D$34,2,1)))))</f>
        <v/>
      </c>
      <c r="V305" t="str">
        <f>IF($N305="","",IF($N305&gt;PARAMETRES!$G$35,5,IF($N305&gt;PARAMETRES!$F$35,4,IF($N305&gt;PARAMETRES!$E$35,3,IF($N305&gt;PARAMETRES!$D$35,2,1)))))</f>
        <v/>
      </c>
      <c r="W305" t="str">
        <f>IF($O305="","",IF($O305&gt;PARAMETRES!$G$36,5,IF($O305&gt;PARAMETRES!$F$36,4,IF($O305&gt;PARAMETRES!$E$36,3,IF($O305&gt;PARAMETRES!$D$36,2,1)))))</f>
        <v/>
      </c>
      <c r="X305" t="str">
        <f>IF($P305="","",IF($P305&gt;PARAMETRES!$G$37,5,IF($P305&gt;PARAMETRES!$F$37,4,IF($P305&gt;PARAMETRES!$E$37,3,IF($P305&gt;PARAMETRES!$D$37,2,1)))))</f>
        <v/>
      </c>
      <c r="Y305" t="str">
        <f t="shared" si="96"/>
        <v/>
      </c>
      <c r="Z305" t="str">
        <f>IFERROR(VLOOKUP($B305,TABLE_CYCLE,2,0),"")</f>
        <v/>
      </c>
      <c r="AA305" t="str">
        <f t="shared" si="97"/>
        <v/>
      </c>
      <c r="AB305" t="str">
        <f>IF($D305="","",IF(COUNTIF($D$2:$D305,$D305)=1,$D305,""))</f>
        <v/>
      </c>
      <c r="AC305">
        <f t="shared" si="98"/>
        <v>0</v>
      </c>
      <c r="AD305" t="str">
        <f t="shared" si="99"/>
        <v>|0</v>
      </c>
      <c r="AE305" t="str">
        <f t="shared" si="100"/>
        <v/>
      </c>
      <c r="AF305" t="str">
        <f t="shared" si="101"/>
        <v/>
      </c>
      <c r="AG305" t="str">
        <f t="shared" si="102"/>
        <v/>
      </c>
      <c r="AH305" t="str">
        <f t="shared" si="103"/>
        <v/>
      </c>
      <c r="AI305" t="str">
        <f t="shared" si="104"/>
        <v/>
      </c>
      <c r="AJ305" t="str">
        <f t="shared" si="105"/>
        <v/>
      </c>
      <c r="AK305" t="str">
        <f t="shared" si="106"/>
        <v/>
      </c>
      <c r="AL305" t="str">
        <f t="shared" si="107"/>
        <v/>
      </c>
      <c r="AM305" t="str">
        <f t="shared" si="108"/>
        <v/>
      </c>
      <c r="AN305" t="str">
        <f t="shared" si="109"/>
        <v/>
      </c>
      <c r="AO305" t="str">
        <f t="shared" si="110"/>
        <v/>
      </c>
      <c r="AP305">
        <f t="shared" si="111"/>
        <v>1</v>
      </c>
      <c r="AQ305" t="str">
        <f>IF(SAISIE!$F310="","",SAISIE!$Y310)</f>
        <v/>
      </c>
      <c r="AR305" t="str">
        <f>IF(OR(SAISIE!$U$4="",SAISIE!$W$4=""),"",IF(AND($A305=SAISIE!$U$4,$B305=SAISIE!$W$4,$C305="S1"),COUNTIFS($A$2:$A305,SAISIE!$U$4,$B$2:$B305,SAISIE!$W$4,$C$2:$C305,"S1"),""))</f>
        <v/>
      </c>
      <c r="AS305" t="str">
        <f t="shared" si="112"/>
        <v/>
      </c>
      <c r="AT305" t="str">
        <f t="shared" si="113"/>
        <v/>
      </c>
      <c r="AU305" t="str">
        <f t="shared" si="114"/>
        <v/>
      </c>
      <c r="AV305">
        <f>N(AV304)+IF(AND($AB305&lt;&gt;"",OR('PROFIL ELEVE'!$K$4="(Tous)",$AF305='PROFIL ELEVE'!$K$4)),1,0)</f>
        <v>0</v>
      </c>
      <c r="AW305">
        <f>N(AW304)+IF(AND($AB305&lt;&gt;"",OR('SUIVI LONGITUDINAL'!$Q$4="(Tous)",$AF305='SUIVI LONGITUDINAL'!$Q$4)),1,0)</f>
        <v>0</v>
      </c>
      <c r="AX305">
        <f t="shared" si="115"/>
        <v>0</v>
      </c>
      <c r="AY305">
        <f t="shared" si="116"/>
        <v>0</v>
      </c>
      <c r="AZ305">
        <f t="shared" si="117"/>
        <v>0</v>
      </c>
      <c r="BA305" t="str">
        <f t="shared" si="118"/>
        <v/>
      </c>
      <c r="BB305" t="str">
        <f t="shared" si="119"/>
        <v/>
      </c>
    </row>
    <row r="306" spans="1:54" ht="14.25" customHeight="1" x14ac:dyDescent="0.3">
      <c r="A306" t="str">
        <f>IF(SAISIE!$F311="","",SAISIE!$B311)</f>
        <v/>
      </c>
      <c r="B306" t="str">
        <f>IF(SAISIE!$F311="","",SAISIE!$C311)</f>
        <v/>
      </c>
      <c r="C306" t="str">
        <f>IF(SAISIE!$F311="","",SAISIE!$D311)</f>
        <v/>
      </c>
      <c r="D306" t="str">
        <f>IF(SAISIE!$E311="","",SAISIE!$E311)</f>
        <v/>
      </c>
      <c r="E306" t="str">
        <f>IF(SAISIE!$F311="","",SAISIE!$F311)</f>
        <v/>
      </c>
      <c r="F306" t="str">
        <f>IF(SAISIE!$G311="","",SAISIE!$G311)</f>
        <v/>
      </c>
      <c r="G306" t="str">
        <f>IF(SAISIE!$H311="","",SAISIE!$H311)</f>
        <v/>
      </c>
      <c r="H306" t="str">
        <f>IF(SAISIE!$I311="","",SAISIE!$I311)</f>
        <v/>
      </c>
      <c r="I306" t="str">
        <f>IF(SAISIE!$J311="","",SAISIE!$J311)</f>
        <v/>
      </c>
      <c r="J306" t="str">
        <f>IF(SAISIE!$K311="","",SAISIE!$K311)</f>
        <v/>
      </c>
      <c r="K306" t="str">
        <f>IF(SAISIE!$L311="","",SAISIE!$L311)</f>
        <v/>
      </c>
      <c r="L306" t="str">
        <f>IF(SAISIE!$M311="","",SAISIE!$M311)</f>
        <v/>
      </c>
      <c r="M306" t="str">
        <f>IF(SAISIE!$N311="","",SAISIE!$N311)</f>
        <v/>
      </c>
      <c r="N306" t="str">
        <f>IF(SAISIE!$O311="","",SAISIE!$O311)</f>
        <v/>
      </c>
      <c r="O306" t="str">
        <f>IF(SAISIE!$P311="","",SAISIE!$P311)</f>
        <v/>
      </c>
      <c r="P306" t="str">
        <f>IF(SAISIE!$Q311="","",SAISIE!$Q311)</f>
        <v/>
      </c>
      <c r="Q306" t="str">
        <f>IF($I306="","",IF($I306&gt;PARAMETRES!$G$29,5,IF($I306&gt;PARAMETRES!$F$29,4,IF($I306&gt;PARAMETRES!$E$29,3,IF($I306&gt;PARAMETRES!$D$29,2,1)))))</f>
        <v/>
      </c>
      <c r="R306" t="str">
        <f>IF($J306="","",IF($J306&gt;PARAMETRES!$G$30,5,IF($J306&gt;PARAMETRES!$F$30,4,IF($J306&gt;PARAMETRES!$E$30,3,IF($J306&gt;PARAMETRES!$D$30,2,1)))))</f>
        <v/>
      </c>
      <c r="S306" t="str">
        <f>IF($K306="","",IF($Z306=2,IF($K306&gt;PARAMETRES!$G$31,5,IF($K306&gt;PARAMETRES!$F$31,4,IF($K306&gt;PARAMETRES!$E$31,3,IF($K306&gt;PARAMETRES!$D$31,2,1)))),IF($K306&gt;PARAMETRES!$G$32,5,IF($K306&gt;PARAMETRES!$F$32,4,IF($K306&gt;PARAMETRES!$E$32,3,IF($K306&gt;PARAMETRES!$D$32,2,1))))))</f>
        <v/>
      </c>
      <c r="T306" t="str">
        <f>IF($L306="","",IF($L306&gt;PARAMETRES!$G$33,5,IF($L306&gt;PARAMETRES!$F$33,4,IF($L306&gt;PARAMETRES!$E$33,3,IF($L306&gt;PARAMETRES!$D$33,2,1)))))</f>
        <v/>
      </c>
      <c r="U306" t="str">
        <f>IF($M306="","",IF($M306&gt;PARAMETRES!$G$34,5,IF($M306&gt;PARAMETRES!$F$34,4,IF($M306&gt;PARAMETRES!$E$34,3,IF($M306&gt;PARAMETRES!$D$34,2,1)))))</f>
        <v/>
      </c>
      <c r="V306" t="str">
        <f>IF($N306="","",IF($N306&gt;PARAMETRES!$G$35,5,IF($N306&gt;PARAMETRES!$F$35,4,IF($N306&gt;PARAMETRES!$E$35,3,IF($N306&gt;PARAMETRES!$D$35,2,1)))))</f>
        <v/>
      </c>
      <c r="W306" t="str">
        <f>IF($O306="","",IF($O306&gt;PARAMETRES!$G$36,5,IF($O306&gt;PARAMETRES!$F$36,4,IF($O306&gt;PARAMETRES!$E$36,3,IF($O306&gt;PARAMETRES!$D$36,2,1)))))</f>
        <v/>
      </c>
      <c r="X306" t="str">
        <f>IF($P306="","",IF($P306&gt;PARAMETRES!$G$37,5,IF($P306&gt;PARAMETRES!$F$37,4,IF($P306&gt;PARAMETRES!$E$37,3,IF($P306&gt;PARAMETRES!$D$37,2,1)))))</f>
        <v/>
      </c>
      <c r="Y306" t="str">
        <f t="shared" si="96"/>
        <v/>
      </c>
      <c r="Z306" t="str">
        <f>IFERROR(VLOOKUP($B306,TABLE_CYCLE,2,0),"")</f>
        <v/>
      </c>
      <c r="AA306" t="str">
        <f t="shared" si="97"/>
        <v/>
      </c>
      <c r="AB306" t="str">
        <f>IF($D306="","",IF(COUNTIF($D$2:$D306,$D306)=1,$D306,""))</f>
        <v/>
      </c>
      <c r="AC306">
        <f t="shared" si="98"/>
        <v>0</v>
      </c>
      <c r="AD306" t="str">
        <f t="shared" si="99"/>
        <v>|0</v>
      </c>
      <c r="AE306" t="str">
        <f t="shared" si="100"/>
        <v/>
      </c>
      <c r="AF306" t="str">
        <f t="shared" si="101"/>
        <v/>
      </c>
      <c r="AG306" t="str">
        <f t="shared" si="102"/>
        <v/>
      </c>
      <c r="AH306" t="str">
        <f t="shared" si="103"/>
        <v/>
      </c>
      <c r="AI306" t="str">
        <f t="shared" si="104"/>
        <v/>
      </c>
      <c r="AJ306" t="str">
        <f t="shared" si="105"/>
        <v/>
      </c>
      <c r="AK306" t="str">
        <f t="shared" si="106"/>
        <v/>
      </c>
      <c r="AL306" t="str">
        <f t="shared" si="107"/>
        <v/>
      </c>
      <c r="AM306" t="str">
        <f t="shared" si="108"/>
        <v/>
      </c>
      <c r="AN306" t="str">
        <f t="shared" si="109"/>
        <v/>
      </c>
      <c r="AO306" t="str">
        <f t="shared" si="110"/>
        <v/>
      </c>
      <c r="AP306">
        <f t="shared" si="111"/>
        <v>1</v>
      </c>
      <c r="AQ306" t="str">
        <f>IF(SAISIE!$F311="","",SAISIE!$Y311)</f>
        <v/>
      </c>
      <c r="AR306" t="str">
        <f>IF(OR(SAISIE!$U$4="",SAISIE!$W$4=""),"",IF(AND($A306=SAISIE!$U$4,$B306=SAISIE!$W$4,$C306="S1"),COUNTIFS($A$2:$A306,SAISIE!$U$4,$B$2:$B306,SAISIE!$W$4,$C$2:$C306,"S1"),""))</f>
        <v/>
      </c>
      <c r="AS306" t="str">
        <f t="shared" si="112"/>
        <v/>
      </c>
      <c r="AT306" t="str">
        <f t="shared" si="113"/>
        <v/>
      </c>
      <c r="AU306" t="str">
        <f t="shared" si="114"/>
        <v/>
      </c>
      <c r="AV306">
        <f>N(AV305)+IF(AND($AB306&lt;&gt;"",OR('PROFIL ELEVE'!$K$4="(Tous)",$AF306='PROFIL ELEVE'!$K$4)),1,0)</f>
        <v>0</v>
      </c>
      <c r="AW306">
        <f>N(AW305)+IF(AND($AB306&lt;&gt;"",OR('SUIVI LONGITUDINAL'!$Q$4="(Tous)",$AF306='SUIVI LONGITUDINAL'!$Q$4)),1,0)</f>
        <v>0</v>
      </c>
      <c r="AX306">
        <f t="shared" si="115"/>
        <v>0</v>
      </c>
      <c r="AY306">
        <f t="shared" si="116"/>
        <v>0</v>
      </c>
      <c r="AZ306">
        <f t="shared" si="117"/>
        <v>0</v>
      </c>
      <c r="BA306" t="str">
        <f t="shared" si="118"/>
        <v/>
      </c>
      <c r="BB306" t="str">
        <f t="shared" si="119"/>
        <v/>
      </c>
    </row>
    <row r="307" spans="1:54" ht="14.25" customHeight="1" x14ac:dyDescent="0.3">
      <c r="A307" t="str">
        <f>IF(SAISIE!$F312="","",SAISIE!$B312)</f>
        <v/>
      </c>
      <c r="B307" t="str">
        <f>IF(SAISIE!$F312="","",SAISIE!$C312)</f>
        <v/>
      </c>
      <c r="C307" t="str">
        <f>IF(SAISIE!$F312="","",SAISIE!$D312)</f>
        <v/>
      </c>
      <c r="D307" t="str">
        <f>IF(SAISIE!$E312="","",SAISIE!$E312)</f>
        <v/>
      </c>
      <c r="E307" t="str">
        <f>IF(SAISIE!$F312="","",SAISIE!$F312)</f>
        <v/>
      </c>
      <c r="F307" t="str">
        <f>IF(SAISIE!$G312="","",SAISIE!$G312)</f>
        <v/>
      </c>
      <c r="G307" t="str">
        <f>IF(SAISIE!$H312="","",SAISIE!$H312)</f>
        <v/>
      </c>
      <c r="H307" t="str">
        <f>IF(SAISIE!$I312="","",SAISIE!$I312)</f>
        <v/>
      </c>
      <c r="I307" t="str">
        <f>IF(SAISIE!$J312="","",SAISIE!$J312)</f>
        <v/>
      </c>
      <c r="J307" t="str">
        <f>IF(SAISIE!$K312="","",SAISIE!$K312)</f>
        <v/>
      </c>
      <c r="K307" t="str">
        <f>IF(SAISIE!$L312="","",SAISIE!$L312)</f>
        <v/>
      </c>
      <c r="L307" t="str">
        <f>IF(SAISIE!$M312="","",SAISIE!$M312)</f>
        <v/>
      </c>
      <c r="M307" t="str">
        <f>IF(SAISIE!$N312="","",SAISIE!$N312)</f>
        <v/>
      </c>
      <c r="N307" t="str">
        <f>IF(SAISIE!$O312="","",SAISIE!$O312)</f>
        <v/>
      </c>
      <c r="O307" t="str">
        <f>IF(SAISIE!$P312="","",SAISIE!$P312)</f>
        <v/>
      </c>
      <c r="P307" t="str">
        <f>IF(SAISIE!$Q312="","",SAISIE!$Q312)</f>
        <v/>
      </c>
      <c r="Q307" t="str">
        <f>IF($I307="","",IF($I307&gt;PARAMETRES!$G$29,5,IF($I307&gt;PARAMETRES!$F$29,4,IF($I307&gt;PARAMETRES!$E$29,3,IF($I307&gt;PARAMETRES!$D$29,2,1)))))</f>
        <v/>
      </c>
      <c r="R307" t="str">
        <f>IF($J307="","",IF($J307&gt;PARAMETRES!$G$30,5,IF($J307&gt;PARAMETRES!$F$30,4,IF($J307&gt;PARAMETRES!$E$30,3,IF($J307&gt;PARAMETRES!$D$30,2,1)))))</f>
        <v/>
      </c>
      <c r="S307" t="str">
        <f>IF($K307="","",IF($Z307=2,IF($K307&gt;PARAMETRES!$G$31,5,IF($K307&gt;PARAMETRES!$F$31,4,IF($K307&gt;PARAMETRES!$E$31,3,IF($K307&gt;PARAMETRES!$D$31,2,1)))),IF($K307&gt;PARAMETRES!$G$32,5,IF($K307&gt;PARAMETRES!$F$32,4,IF($K307&gt;PARAMETRES!$E$32,3,IF($K307&gt;PARAMETRES!$D$32,2,1))))))</f>
        <v/>
      </c>
      <c r="T307" t="str">
        <f>IF($L307="","",IF($L307&gt;PARAMETRES!$G$33,5,IF($L307&gt;PARAMETRES!$F$33,4,IF($L307&gt;PARAMETRES!$E$33,3,IF($L307&gt;PARAMETRES!$D$33,2,1)))))</f>
        <v/>
      </c>
      <c r="U307" t="str">
        <f>IF($M307="","",IF($M307&gt;PARAMETRES!$G$34,5,IF($M307&gt;PARAMETRES!$F$34,4,IF($M307&gt;PARAMETRES!$E$34,3,IF($M307&gt;PARAMETRES!$D$34,2,1)))))</f>
        <v/>
      </c>
      <c r="V307" t="str">
        <f>IF($N307="","",IF($N307&gt;PARAMETRES!$G$35,5,IF($N307&gt;PARAMETRES!$F$35,4,IF($N307&gt;PARAMETRES!$E$35,3,IF($N307&gt;PARAMETRES!$D$35,2,1)))))</f>
        <v/>
      </c>
      <c r="W307" t="str">
        <f>IF($O307="","",IF($O307&gt;PARAMETRES!$G$36,5,IF($O307&gt;PARAMETRES!$F$36,4,IF($O307&gt;PARAMETRES!$E$36,3,IF($O307&gt;PARAMETRES!$D$36,2,1)))))</f>
        <v/>
      </c>
      <c r="X307" t="str">
        <f>IF($P307="","",IF($P307&gt;PARAMETRES!$G$37,5,IF($P307&gt;PARAMETRES!$F$37,4,IF($P307&gt;PARAMETRES!$E$37,3,IF($P307&gt;PARAMETRES!$D$37,2,1)))))</f>
        <v/>
      </c>
      <c r="Y307" t="str">
        <f t="shared" si="96"/>
        <v/>
      </c>
      <c r="Z307" t="str">
        <f>IFERROR(VLOOKUP($B307,TABLE_CYCLE,2,0),"")</f>
        <v/>
      </c>
      <c r="AA307" t="str">
        <f t="shared" si="97"/>
        <v/>
      </c>
      <c r="AB307" t="str">
        <f>IF($D307="","",IF(COUNTIF($D$2:$D307,$D307)=1,$D307,""))</f>
        <v/>
      </c>
      <c r="AC307">
        <f t="shared" si="98"/>
        <v>0</v>
      </c>
      <c r="AD307" t="str">
        <f t="shared" si="99"/>
        <v>|0</v>
      </c>
      <c r="AE307" t="str">
        <f t="shared" si="100"/>
        <v/>
      </c>
      <c r="AF307" t="str">
        <f t="shared" si="101"/>
        <v/>
      </c>
      <c r="AG307" t="str">
        <f t="shared" si="102"/>
        <v/>
      </c>
      <c r="AH307" t="str">
        <f t="shared" si="103"/>
        <v/>
      </c>
      <c r="AI307" t="str">
        <f t="shared" si="104"/>
        <v/>
      </c>
      <c r="AJ307" t="str">
        <f t="shared" si="105"/>
        <v/>
      </c>
      <c r="AK307" t="str">
        <f t="shared" si="106"/>
        <v/>
      </c>
      <c r="AL307" t="str">
        <f t="shared" si="107"/>
        <v/>
      </c>
      <c r="AM307" t="str">
        <f t="shared" si="108"/>
        <v/>
      </c>
      <c r="AN307" t="str">
        <f t="shared" si="109"/>
        <v/>
      </c>
      <c r="AO307" t="str">
        <f t="shared" si="110"/>
        <v/>
      </c>
      <c r="AP307">
        <f t="shared" si="111"/>
        <v>1</v>
      </c>
      <c r="AQ307" t="str">
        <f>IF(SAISIE!$F312="","",SAISIE!$Y312)</f>
        <v/>
      </c>
      <c r="AR307" t="str">
        <f>IF(OR(SAISIE!$U$4="",SAISIE!$W$4=""),"",IF(AND($A307=SAISIE!$U$4,$B307=SAISIE!$W$4,$C307="S1"),COUNTIFS($A$2:$A307,SAISIE!$U$4,$B$2:$B307,SAISIE!$W$4,$C$2:$C307,"S1"),""))</f>
        <v/>
      </c>
      <c r="AS307" t="str">
        <f t="shared" si="112"/>
        <v/>
      </c>
      <c r="AT307" t="str">
        <f t="shared" si="113"/>
        <v/>
      </c>
      <c r="AU307" t="str">
        <f t="shared" si="114"/>
        <v/>
      </c>
      <c r="AV307">
        <f>N(AV306)+IF(AND($AB307&lt;&gt;"",OR('PROFIL ELEVE'!$K$4="(Tous)",$AF307='PROFIL ELEVE'!$K$4)),1,0)</f>
        <v>0</v>
      </c>
      <c r="AW307">
        <f>N(AW306)+IF(AND($AB307&lt;&gt;"",OR('SUIVI LONGITUDINAL'!$Q$4="(Tous)",$AF307='SUIVI LONGITUDINAL'!$Q$4)),1,0)</f>
        <v>0</v>
      </c>
      <c r="AX307">
        <f t="shared" si="115"/>
        <v>0</v>
      </c>
      <c r="AY307">
        <f t="shared" si="116"/>
        <v>0</v>
      </c>
      <c r="AZ307">
        <f t="shared" si="117"/>
        <v>0</v>
      </c>
      <c r="BA307" t="str">
        <f t="shared" si="118"/>
        <v/>
      </c>
      <c r="BB307" t="str">
        <f t="shared" si="119"/>
        <v/>
      </c>
    </row>
    <row r="308" spans="1:54" ht="14.25" customHeight="1" x14ac:dyDescent="0.3">
      <c r="A308" t="str">
        <f>IF(SAISIE!$F313="","",SAISIE!$B313)</f>
        <v/>
      </c>
      <c r="B308" t="str">
        <f>IF(SAISIE!$F313="","",SAISIE!$C313)</f>
        <v/>
      </c>
      <c r="C308" t="str">
        <f>IF(SAISIE!$F313="","",SAISIE!$D313)</f>
        <v/>
      </c>
      <c r="D308" t="str">
        <f>IF(SAISIE!$E313="","",SAISIE!$E313)</f>
        <v/>
      </c>
      <c r="E308" t="str">
        <f>IF(SAISIE!$F313="","",SAISIE!$F313)</f>
        <v/>
      </c>
      <c r="F308" t="str">
        <f>IF(SAISIE!$G313="","",SAISIE!$G313)</f>
        <v/>
      </c>
      <c r="G308" t="str">
        <f>IF(SAISIE!$H313="","",SAISIE!$H313)</f>
        <v/>
      </c>
      <c r="H308" t="str">
        <f>IF(SAISIE!$I313="","",SAISIE!$I313)</f>
        <v/>
      </c>
      <c r="I308" t="str">
        <f>IF(SAISIE!$J313="","",SAISIE!$J313)</f>
        <v/>
      </c>
      <c r="J308" t="str">
        <f>IF(SAISIE!$K313="","",SAISIE!$K313)</f>
        <v/>
      </c>
      <c r="K308" t="str">
        <f>IF(SAISIE!$L313="","",SAISIE!$L313)</f>
        <v/>
      </c>
      <c r="L308" t="str">
        <f>IF(SAISIE!$M313="","",SAISIE!$M313)</f>
        <v/>
      </c>
      <c r="M308" t="str">
        <f>IF(SAISIE!$N313="","",SAISIE!$N313)</f>
        <v/>
      </c>
      <c r="N308" t="str">
        <f>IF(SAISIE!$O313="","",SAISIE!$O313)</f>
        <v/>
      </c>
      <c r="O308" t="str">
        <f>IF(SAISIE!$P313="","",SAISIE!$P313)</f>
        <v/>
      </c>
      <c r="P308" t="str">
        <f>IF(SAISIE!$Q313="","",SAISIE!$Q313)</f>
        <v/>
      </c>
      <c r="Q308" t="str">
        <f>IF($I308="","",IF($I308&gt;PARAMETRES!$G$29,5,IF($I308&gt;PARAMETRES!$F$29,4,IF($I308&gt;PARAMETRES!$E$29,3,IF($I308&gt;PARAMETRES!$D$29,2,1)))))</f>
        <v/>
      </c>
      <c r="R308" t="str">
        <f>IF($J308="","",IF($J308&gt;PARAMETRES!$G$30,5,IF($J308&gt;PARAMETRES!$F$30,4,IF($J308&gt;PARAMETRES!$E$30,3,IF($J308&gt;PARAMETRES!$D$30,2,1)))))</f>
        <v/>
      </c>
      <c r="S308" t="str">
        <f>IF($K308="","",IF($Z308=2,IF($K308&gt;PARAMETRES!$G$31,5,IF($K308&gt;PARAMETRES!$F$31,4,IF($K308&gt;PARAMETRES!$E$31,3,IF($K308&gt;PARAMETRES!$D$31,2,1)))),IF($K308&gt;PARAMETRES!$G$32,5,IF($K308&gt;PARAMETRES!$F$32,4,IF($K308&gt;PARAMETRES!$E$32,3,IF($K308&gt;PARAMETRES!$D$32,2,1))))))</f>
        <v/>
      </c>
      <c r="T308" t="str">
        <f>IF($L308="","",IF($L308&gt;PARAMETRES!$G$33,5,IF($L308&gt;PARAMETRES!$F$33,4,IF($L308&gt;PARAMETRES!$E$33,3,IF($L308&gt;PARAMETRES!$D$33,2,1)))))</f>
        <v/>
      </c>
      <c r="U308" t="str">
        <f>IF($M308="","",IF($M308&gt;PARAMETRES!$G$34,5,IF($M308&gt;PARAMETRES!$F$34,4,IF($M308&gt;PARAMETRES!$E$34,3,IF($M308&gt;PARAMETRES!$D$34,2,1)))))</f>
        <v/>
      </c>
      <c r="V308" t="str">
        <f>IF($N308="","",IF($N308&gt;PARAMETRES!$G$35,5,IF($N308&gt;PARAMETRES!$F$35,4,IF($N308&gt;PARAMETRES!$E$35,3,IF($N308&gt;PARAMETRES!$D$35,2,1)))))</f>
        <v/>
      </c>
      <c r="W308" t="str">
        <f>IF($O308="","",IF($O308&gt;PARAMETRES!$G$36,5,IF($O308&gt;PARAMETRES!$F$36,4,IF($O308&gt;PARAMETRES!$E$36,3,IF($O308&gt;PARAMETRES!$D$36,2,1)))))</f>
        <v/>
      </c>
      <c r="X308" t="str">
        <f>IF($P308="","",IF($P308&gt;PARAMETRES!$G$37,5,IF($P308&gt;PARAMETRES!$F$37,4,IF($P308&gt;PARAMETRES!$E$37,3,IF($P308&gt;PARAMETRES!$D$37,2,1)))))</f>
        <v/>
      </c>
      <c r="Y308" t="str">
        <f t="shared" si="96"/>
        <v/>
      </c>
      <c r="Z308" t="str">
        <f>IFERROR(VLOOKUP($B308,TABLE_CYCLE,2,0),"")</f>
        <v/>
      </c>
      <c r="AA308" t="str">
        <f t="shared" si="97"/>
        <v/>
      </c>
      <c r="AB308" t="str">
        <f>IF($D308="","",IF(COUNTIF($D$2:$D308,$D308)=1,$D308,""))</f>
        <v/>
      </c>
      <c r="AC308">
        <f t="shared" si="98"/>
        <v>0</v>
      </c>
      <c r="AD308" t="str">
        <f t="shared" si="99"/>
        <v>|0</v>
      </c>
      <c r="AE308" t="str">
        <f t="shared" si="100"/>
        <v/>
      </c>
      <c r="AF308" t="str">
        <f t="shared" si="101"/>
        <v/>
      </c>
      <c r="AG308" t="str">
        <f t="shared" si="102"/>
        <v/>
      </c>
      <c r="AH308" t="str">
        <f t="shared" si="103"/>
        <v/>
      </c>
      <c r="AI308" t="str">
        <f t="shared" si="104"/>
        <v/>
      </c>
      <c r="AJ308" t="str">
        <f t="shared" si="105"/>
        <v/>
      </c>
      <c r="AK308" t="str">
        <f t="shared" si="106"/>
        <v/>
      </c>
      <c r="AL308" t="str">
        <f t="shared" si="107"/>
        <v/>
      </c>
      <c r="AM308" t="str">
        <f t="shared" si="108"/>
        <v/>
      </c>
      <c r="AN308" t="str">
        <f t="shared" si="109"/>
        <v/>
      </c>
      <c r="AO308" t="str">
        <f t="shared" si="110"/>
        <v/>
      </c>
      <c r="AP308">
        <f t="shared" si="111"/>
        <v>1</v>
      </c>
      <c r="AQ308" t="str">
        <f>IF(SAISIE!$F313="","",SAISIE!$Y313)</f>
        <v/>
      </c>
      <c r="AR308" t="str">
        <f>IF(OR(SAISIE!$U$4="",SAISIE!$W$4=""),"",IF(AND($A308=SAISIE!$U$4,$B308=SAISIE!$W$4,$C308="S1"),COUNTIFS($A$2:$A308,SAISIE!$U$4,$B$2:$B308,SAISIE!$W$4,$C$2:$C308,"S1"),""))</f>
        <v/>
      </c>
      <c r="AS308" t="str">
        <f t="shared" si="112"/>
        <v/>
      </c>
      <c r="AT308" t="str">
        <f t="shared" si="113"/>
        <v/>
      </c>
      <c r="AU308" t="str">
        <f t="shared" si="114"/>
        <v/>
      </c>
      <c r="AV308">
        <f>N(AV307)+IF(AND($AB308&lt;&gt;"",OR('PROFIL ELEVE'!$K$4="(Tous)",$AF308='PROFIL ELEVE'!$K$4)),1,0)</f>
        <v>0</v>
      </c>
      <c r="AW308">
        <f>N(AW307)+IF(AND($AB308&lt;&gt;"",OR('SUIVI LONGITUDINAL'!$Q$4="(Tous)",$AF308='SUIVI LONGITUDINAL'!$Q$4)),1,0)</f>
        <v>0</v>
      </c>
      <c r="AX308">
        <f t="shared" si="115"/>
        <v>0</v>
      </c>
      <c r="AY308">
        <f t="shared" si="116"/>
        <v>0</v>
      </c>
      <c r="AZ308">
        <f t="shared" si="117"/>
        <v>0</v>
      </c>
      <c r="BA308" t="str">
        <f t="shared" si="118"/>
        <v/>
      </c>
      <c r="BB308" t="str">
        <f t="shared" si="119"/>
        <v/>
      </c>
    </row>
    <row r="309" spans="1:54" ht="14.25" customHeight="1" x14ac:dyDescent="0.3">
      <c r="A309" t="str">
        <f>IF(SAISIE!$F314="","",SAISIE!$B314)</f>
        <v/>
      </c>
      <c r="B309" t="str">
        <f>IF(SAISIE!$F314="","",SAISIE!$C314)</f>
        <v/>
      </c>
      <c r="C309" t="str">
        <f>IF(SAISIE!$F314="","",SAISIE!$D314)</f>
        <v/>
      </c>
      <c r="D309" t="str">
        <f>IF(SAISIE!$E314="","",SAISIE!$E314)</f>
        <v/>
      </c>
      <c r="E309" t="str">
        <f>IF(SAISIE!$F314="","",SAISIE!$F314)</f>
        <v/>
      </c>
      <c r="F309" t="str">
        <f>IF(SAISIE!$G314="","",SAISIE!$G314)</f>
        <v/>
      </c>
      <c r="G309" t="str">
        <f>IF(SAISIE!$H314="","",SAISIE!$H314)</f>
        <v/>
      </c>
      <c r="H309" t="str">
        <f>IF(SAISIE!$I314="","",SAISIE!$I314)</f>
        <v/>
      </c>
      <c r="I309" t="str">
        <f>IF(SAISIE!$J314="","",SAISIE!$J314)</f>
        <v/>
      </c>
      <c r="J309" t="str">
        <f>IF(SAISIE!$K314="","",SAISIE!$K314)</f>
        <v/>
      </c>
      <c r="K309" t="str">
        <f>IF(SAISIE!$L314="","",SAISIE!$L314)</f>
        <v/>
      </c>
      <c r="L309" t="str">
        <f>IF(SAISIE!$M314="","",SAISIE!$M314)</f>
        <v/>
      </c>
      <c r="M309" t="str">
        <f>IF(SAISIE!$N314="","",SAISIE!$N314)</f>
        <v/>
      </c>
      <c r="N309" t="str">
        <f>IF(SAISIE!$O314="","",SAISIE!$O314)</f>
        <v/>
      </c>
      <c r="O309" t="str">
        <f>IF(SAISIE!$P314="","",SAISIE!$P314)</f>
        <v/>
      </c>
      <c r="P309" t="str">
        <f>IF(SAISIE!$Q314="","",SAISIE!$Q314)</f>
        <v/>
      </c>
      <c r="Q309" t="str">
        <f>IF($I309="","",IF($I309&gt;PARAMETRES!$G$29,5,IF($I309&gt;PARAMETRES!$F$29,4,IF($I309&gt;PARAMETRES!$E$29,3,IF($I309&gt;PARAMETRES!$D$29,2,1)))))</f>
        <v/>
      </c>
      <c r="R309" t="str">
        <f>IF($J309="","",IF($J309&gt;PARAMETRES!$G$30,5,IF($J309&gt;PARAMETRES!$F$30,4,IF($J309&gt;PARAMETRES!$E$30,3,IF($J309&gt;PARAMETRES!$D$30,2,1)))))</f>
        <v/>
      </c>
      <c r="S309" t="str">
        <f>IF($K309="","",IF($Z309=2,IF($K309&gt;PARAMETRES!$G$31,5,IF($K309&gt;PARAMETRES!$F$31,4,IF($K309&gt;PARAMETRES!$E$31,3,IF($K309&gt;PARAMETRES!$D$31,2,1)))),IF($K309&gt;PARAMETRES!$G$32,5,IF($K309&gt;PARAMETRES!$F$32,4,IF($K309&gt;PARAMETRES!$E$32,3,IF($K309&gt;PARAMETRES!$D$32,2,1))))))</f>
        <v/>
      </c>
      <c r="T309" t="str">
        <f>IF($L309="","",IF($L309&gt;PARAMETRES!$G$33,5,IF($L309&gt;PARAMETRES!$F$33,4,IF($L309&gt;PARAMETRES!$E$33,3,IF($L309&gt;PARAMETRES!$D$33,2,1)))))</f>
        <v/>
      </c>
      <c r="U309" t="str">
        <f>IF($M309="","",IF($M309&gt;PARAMETRES!$G$34,5,IF($M309&gt;PARAMETRES!$F$34,4,IF($M309&gt;PARAMETRES!$E$34,3,IF($M309&gt;PARAMETRES!$D$34,2,1)))))</f>
        <v/>
      </c>
      <c r="V309" t="str">
        <f>IF($N309="","",IF($N309&gt;PARAMETRES!$G$35,5,IF($N309&gt;PARAMETRES!$F$35,4,IF($N309&gt;PARAMETRES!$E$35,3,IF($N309&gt;PARAMETRES!$D$35,2,1)))))</f>
        <v/>
      </c>
      <c r="W309" t="str">
        <f>IF($O309="","",IF($O309&gt;PARAMETRES!$G$36,5,IF($O309&gt;PARAMETRES!$F$36,4,IF($O309&gt;PARAMETRES!$E$36,3,IF($O309&gt;PARAMETRES!$D$36,2,1)))))</f>
        <v/>
      </c>
      <c r="X309" t="str">
        <f>IF($P309="","",IF($P309&gt;PARAMETRES!$G$37,5,IF($P309&gt;PARAMETRES!$F$37,4,IF($P309&gt;PARAMETRES!$E$37,3,IF($P309&gt;PARAMETRES!$D$37,2,1)))))</f>
        <v/>
      </c>
      <c r="Y309" t="str">
        <f t="shared" si="96"/>
        <v/>
      </c>
      <c r="Z309" t="str">
        <f>IFERROR(VLOOKUP($B309,TABLE_CYCLE,2,0),"")</f>
        <v/>
      </c>
      <c r="AA309" t="str">
        <f t="shared" si="97"/>
        <v/>
      </c>
      <c r="AB309" t="str">
        <f>IF($D309="","",IF(COUNTIF($D$2:$D309,$D309)=1,$D309,""))</f>
        <v/>
      </c>
      <c r="AC309">
        <f t="shared" si="98"/>
        <v>0</v>
      </c>
      <c r="AD309" t="str">
        <f t="shared" si="99"/>
        <v>|0</v>
      </c>
      <c r="AE309" t="str">
        <f t="shared" si="100"/>
        <v/>
      </c>
      <c r="AF309" t="str">
        <f t="shared" si="101"/>
        <v/>
      </c>
      <c r="AG309" t="str">
        <f t="shared" si="102"/>
        <v/>
      </c>
      <c r="AH309" t="str">
        <f t="shared" si="103"/>
        <v/>
      </c>
      <c r="AI309" t="str">
        <f t="shared" si="104"/>
        <v/>
      </c>
      <c r="AJ309" t="str">
        <f t="shared" si="105"/>
        <v/>
      </c>
      <c r="AK309" t="str">
        <f t="shared" si="106"/>
        <v/>
      </c>
      <c r="AL309" t="str">
        <f t="shared" si="107"/>
        <v/>
      </c>
      <c r="AM309" t="str">
        <f t="shared" si="108"/>
        <v/>
      </c>
      <c r="AN309" t="str">
        <f t="shared" si="109"/>
        <v/>
      </c>
      <c r="AO309" t="str">
        <f t="shared" si="110"/>
        <v/>
      </c>
      <c r="AP309">
        <f t="shared" si="111"/>
        <v>1</v>
      </c>
      <c r="AQ309" t="str">
        <f>IF(SAISIE!$F314="","",SAISIE!$Y314)</f>
        <v/>
      </c>
      <c r="AR309" t="str">
        <f>IF(OR(SAISIE!$U$4="",SAISIE!$W$4=""),"",IF(AND($A309=SAISIE!$U$4,$B309=SAISIE!$W$4,$C309="S1"),COUNTIFS($A$2:$A309,SAISIE!$U$4,$B$2:$B309,SAISIE!$W$4,$C$2:$C309,"S1"),""))</f>
        <v/>
      </c>
      <c r="AS309" t="str">
        <f t="shared" si="112"/>
        <v/>
      </c>
      <c r="AT309" t="str">
        <f t="shared" si="113"/>
        <v/>
      </c>
      <c r="AU309" t="str">
        <f t="shared" si="114"/>
        <v/>
      </c>
      <c r="AV309">
        <f>N(AV308)+IF(AND($AB309&lt;&gt;"",OR('PROFIL ELEVE'!$K$4="(Tous)",$AF309='PROFIL ELEVE'!$K$4)),1,0)</f>
        <v>0</v>
      </c>
      <c r="AW309">
        <f>N(AW308)+IF(AND($AB309&lt;&gt;"",OR('SUIVI LONGITUDINAL'!$Q$4="(Tous)",$AF309='SUIVI LONGITUDINAL'!$Q$4)),1,0)</f>
        <v>0</v>
      </c>
      <c r="AX309">
        <f t="shared" si="115"/>
        <v>0</v>
      </c>
      <c r="AY309">
        <f t="shared" si="116"/>
        <v>0</v>
      </c>
      <c r="AZ309">
        <f t="shared" si="117"/>
        <v>0</v>
      </c>
      <c r="BA309" t="str">
        <f t="shared" si="118"/>
        <v/>
      </c>
      <c r="BB309" t="str">
        <f t="shared" si="119"/>
        <v/>
      </c>
    </row>
    <row r="310" spans="1:54" ht="14.25" customHeight="1" x14ac:dyDescent="0.3">
      <c r="A310" t="str">
        <f>IF(SAISIE!$F315="","",SAISIE!$B315)</f>
        <v/>
      </c>
      <c r="B310" t="str">
        <f>IF(SAISIE!$F315="","",SAISIE!$C315)</f>
        <v/>
      </c>
      <c r="C310" t="str">
        <f>IF(SAISIE!$F315="","",SAISIE!$D315)</f>
        <v/>
      </c>
      <c r="D310" t="str">
        <f>IF(SAISIE!$E315="","",SAISIE!$E315)</f>
        <v/>
      </c>
      <c r="E310" t="str">
        <f>IF(SAISIE!$F315="","",SAISIE!$F315)</f>
        <v/>
      </c>
      <c r="F310" t="str">
        <f>IF(SAISIE!$G315="","",SAISIE!$G315)</f>
        <v/>
      </c>
      <c r="G310" t="str">
        <f>IF(SAISIE!$H315="","",SAISIE!$H315)</f>
        <v/>
      </c>
      <c r="H310" t="str">
        <f>IF(SAISIE!$I315="","",SAISIE!$I315)</f>
        <v/>
      </c>
      <c r="I310" t="str">
        <f>IF(SAISIE!$J315="","",SAISIE!$J315)</f>
        <v/>
      </c>
      <c r="J310" t="str">
        <f>IF(SAISIE!$K315="","",SAISIE!$K315)</f>
        <v/>
      </c>
      <c r="K310" t="str">
        <f>IF(SAISIE!$L315="","",SAISIE!$L315)</f>
        <v/>
      </c>
      <c r="L310" t="str">
        <f>IF(SAISIE!$M315="","",SAISIE!$M315)</f>
        <v/>
      </c>
      <c r="M310" t="str">
        <f>IF(SAISIE!$N315="","",SAISIE!$N315)</f>
        <v/>
      </c>
      <c r="N310" t="str">
        <f>IF(SAISIE!$O315="","",SAISIE!$O315)</f>
        <v/>
      </c>
      <c r="O310" t="str">
        <f>IF(SAISIE!$P315="","",SAISIE!$P315)</f>
        <v/>
      </c>
      <c r="P310" t="str">
        <f>IF(SAISIE!$Q315="","",SAISIE!$Q315)</f>
        <v/>
      </c>
      <c r="Q310" t="str">
        <f>IF($I310="","",IF($I310&gt;PARAMETRES!$G$29,5,IF($I310&gt;PARAMETRES!$F$29,4,IF($I310&gt;PARAMETRES!$E$29,3,IF($I310&gt;PARAMETRES!$D$29,2,1)))))</f>
        <v/>
      </c>
      <c r="R310" t="str">
        <f>IF($J310="","",IF($J310&gt;PARAMETRES!$G$30,5,IF($J310&gt;PARAMETRES!$F$30,4,IF($J310&gt;PARAMETRES!$E$30,3,IF($J310&gt;PARAMETRES!$D$30,2,1)))))</f>
        <v/>
      </c>
      <c r="S310" t="str">
        <f>IF($K310="","",IF($Z310=2,IF($K310&gt;PARAMETRES!$G$31,5,IF($K310&gt;PARAMETRES!$F$31,4,IF($K310&gt;PARAMETRES!$E$31,3,IF($K310&gt;PARAMETRES!$D$31,2,1)))),IF($K310&gt;PARAMETRES!$G$32,5,IF($K310&gt;PARAMETRES!$F$32,4,IF($K310&gt;PARAMETRES!$E$32,3,IF($K310&gt;PARAMETRES!$D$32,2,1))))))</f>
        <v/>
      </c>
      <c r="T310" t="str">
        <f>IF($L310="","",IF($L310&gt;PARAMETRES!$G$33,5,IF($L310&gt;PARAMETRES!$F$33,4,IF($L310&gt;PARAMETRES!$E$33,3,IF($L310&gt;PARAMETRES!$D$33,2,1)))))</f>
        <v/>
      </c>
      <c r="U310" t="str">
        <f>IF($M310="","",IF($M310&gt;PARAMETRES!$G$34,5,IF($M310&gt;PARAMETRES!$F$34,4,IF($M310&gt;PARAMETRES!$E$34,3,IF($M310&gt;PARAMETRES!$D$34,2,1)))))</f>
        <v/>
      </c>
      <c r="V310" t="str">
        <f>IF($N310="","",IF($N310&gt;PARAMETRES!$G$35,5,IF($N310&gt;PARAMETRES!$F$35,4,IF($N310&gt;PARAMETRES!$E$35,3,IF($N310&gt;PARAMETRES!$D$35,2,1)))))</f>
        <v/>
      </c>
      <c r="W310" t="str">
        <f>IF($O310="","",IF($O310&gt;PARAMETRES!$G$36,5,IF($O310&gt;PARAMETRES!$F$36,4,IF($O310&gt;PARAMETRES!$E$36,3,IF($O310&gt;PARAMETRES!$D$36,2,1)))))</f>
        <v/>
      </c>
      <c r="X310" t="str">
        <f>IF($P310="","",IF($P310&gt;PARAMETRES!$G$37,5,IF($P310&gt;PARAMETRES!$F$37,4,IF($P310&gt;PARAMETRES!$E$37,3,IF($P310&gt;PARAMETRES!$D$37,2,1)))))</f>
        <v/>
      </c>
      <c r="Y310" t="str">
        <f t="shared" si="96"/>
        <v/>
      </c>
      <c r="Z310" t="str">
        <f>IFERROR(VLOOKUP($B310,TABLE_CYCLE,2,0),"")</f>
        <v/>
      </c>
      <c r="AA310" t="str">
        <f t="shared" si="97"/>
        <v/>
      </c>
      <c r="AB310" t="str">
        <f>IF($D310="","",IF(COUNTIF($D$2:$D310,$D310)=1,$D310,""))</f>
        <v/>
      </c>
      <c r="AC310">
        <f t="shared" si="98"/>
        <v>0</v>
      </c>
      <c r="AD310" t="str">
        <f t="shared" si="99"/>
        <v>|0</v>
      </c>
      <c r="AE310" t="str">
        <f t="shared" si="100"/>
        <v/>
      </c>
      <c r="AF310" t="str">
        <f t="shared" si="101"/>
        <v/>
      </c>
      <c r="AG310" t="str">
        <f t="shared" si="102"/>
        <v/>
      </c>
      <c r="AH310" t="str">
        <f t="shared" si="103"/>
        <v/>
      </c>
      <c r="AI310" t="str">
        <f t="shared" si="104"/>
        <v/>
      </c>
      <c r="AJ310" t="str">
        <f t="shared" si="105"/>
        <v/>
      </c>
      <c r="AK310" t="str">
        <f t="shared" si="106"/>
        <v/>
      </c>
      <c r="AL310" t="str">
        <f t="shared" si="107"/>
        <v/>
      </c>
      <c r="AM310" t="str">
        <f t="shared" si="108"/>
        <v/>
      </c>
      <c r="AN310" t="str">
        <f t="shared" si="109"/>
        <v/>
      </c>
      <c r="AO310" t="str">
        <f t="shared" si="110"/>
        <v/>
      </c>
      <c r="AP310">
        <f t="shared" si="111"/>
        <v>1</v>
      </c>
      <c r="AQ310" t="str">
        <f>IF(SAISIE!$F315="","",SAISIE!$Y315)</f>
        <v/>
      </c>
      <c r="AR310" t="str">
        <f>IF(OR(SAISIE!$U$4="",SAISIE!$W$4=""),"",IF(AND($A310=SAISIE!$U$4,$B310=SAISIE!$W$4,$C310="S1"),COUNTIFS($A$2:$A310,SAISIE!$U$4,$B$2:$B310,SAISIE!$W$4,$C$2:$C310,"S1"),""))</f>
        <v/>
      </c>
      <c r="AS310" t="str">
        <f t="shared" si="112"/>
        <v/>
      </c>
      <c r="AT310" t="str">
        <f t="shared" si="113"/>
        <v/>
      </c>
      <c r="AU310" t="str">
        <f t="shared" si="114"/>
        <v/>
      </c>
      <c r="AV310">
        <f>N(AV309)+IF(AND($AB310&lt;&gt;"",OR('PROFIL ELEVE'!$K$4="(Tous)",$AF310='PROFIL ELEVE'!$K$4)),1,0)</f>
        <v>0</v>
      </c>
      <c r="AW310">
        <f>N(AW309)+IF(AND($AB310&lt;&gt;"",OR('SUIVI LONGITUDINAL'!$Q$4="(Tous)",$AF310='SUIVI LONGITUDINAL'!$Q$4)),1,0)</f>
        <v>0</v>
      </c>
      <c r="AX310">
        <f t="shared" si="115"/>
        <v>0</v>
      </c>
      <c r="AY310">
        <f t="shared" si="116"/>
        <v>0</v>
      </c>
      <c r="AZ310">
        <f t="shared" si="117"/>
        <v>0</v>
      </c>
      <c r="BA310" t="str">
        <f t="shared" si="118"/>
        <v/>
      </c>
      <c r="BB310" t="str">
        <f t="shared" si="119"/>
        <v/>
      </c>
    </row>
    <row r="311" spans="1:54" ht="14.25" customHeight="1" x14ac:dyDescent="0.3">
      <c r="A311" t="str">
        <f>IF(SAISIE!$F316="","",SAISIE!$B316)</f>
        <v/>
      </c>
      <c r="B311" t="str">
        <f>IF(SAISIE!$F316="","",SAISIE!$C316)</f>
        <v/>
      </c>
      <c r="C311" t="str">
        <f>IF(SAISIE!$F316="","",SAISIE!$D316)</f>
        <v/>
      </c>
      <c r="D311" t="str">
        <f>IF(SAISIE!$E316="","",SAISIE!$E316)</f>
        <v/>
      </c>
      <c r="E311" t="str">
        <f>IF(SAISIE!$F316="","",SAISIE!$F316)</f>
        <v/>
      </c>
      <c r="F311" t="str">
        <f>IF(SAISIE!$G316="","",SAISIE!$G316)</f>
        <v/>
      </c>
      <c r="G311" t="str">
        <f>IF(SAISIE!$H316="","",SAISIE!$H316)</f>
        <v/>
      </c>
      <c r="H311" t="str">
        <f>IF(SAISIE!$I316="","",SAISIE!$I316)</f>
        <v/>
      </c>
      <c r="I311" t="str">
        <f>IF(SAISIE!$J316="","",SAISIE!$J316)</f>
        <v/>
      </c>
      <c r="J311" t="str">
        <f>IF(SAISIE!$K316="","",SAISIE!$K316)</f>
        <v/>
      </c>
      <c r="K311" t="str">
        <f>IF(SAISIE!$L316="","",SAISIE!$L316)</f>
        <v/>
      </c>
      <c r="L311" t="str">
        <f>IF(SAISIE!$M316="","",SAISIE!$M316)</f>
        <v/>
      </c>
      <c r="M311" t="str">
        <f>IF(SAISIE!$N316="","",SAISIE!$N316)</f>
        <v/>
      </c>
      <c r="N311" t="str">
        <f>IF(SAISIE!$O316="","",SAISIE!$O316)</f>
        <v/>
      </c>
      <c r="O311" t="str">
        <f>IF(SAISIE!$P316="","",SAISIE!$P316)</f>
        <v/>
      </c>
      <c r="P311" t="str">
        <f>IF(SAISIE!$Q316="","",SAISIE!$Q316)</f>
        <v/>
      </c>
      <c r="Q311" t="str">
        <f>IF($I311="","",IF($I311&gt;PARAMETRES!$G$29,5,IF($I311&gt;PARAMETRES!$F$29,4,IF($I311&gt;PARAMETRES!$E$29,3,IF($I311&gt;PARAMETRES!$D$29,2,1)))))</f>
        <v/>
      </c>
      <c r="R311" t="str">
        <f>IF($J311="","",IF($J311&gt;PARAMETRES!$G$30,5,IF($J311&gt;PARAMETRES!$F$30,4,IF($J311&gt;PARAMETRES!$E$30,3,IF($J311&gt;PARAMETRES!$D$30,2,1)))))</f>
        <v/>
      </c>
      <c r="S311" t="str">
        <f>IF($K311="","",IF($Z311=2,IF($K311&gt;PARAMETRES!$G$31,5,IF($K311&gt;PARAMETRES!$F$31,4,IF($K311&gt;PARAMETRES!$E$31,3,IF($K311&gt;PARAMETRES!$D$31,2,1)))),IF($K311&gt;PARAMETRES!$G$32,5,IF($K311&gt;PARAMETRES!$F$32,4,IF($K311&gt;PARAMETRES!$E$32,3,IF($K311&gt;PARAMETRES!$D$32,2,1))))))</f>
        <v/>
      </c>
      <c r="T311" t="str">
        <f>IF($L311="","",IF($L311&gt;PARAMETRES!$G$33,5,IF($L311&gt;PARAMETRES!$F$33,4,IF($L311&gt;PARAMETRES!$E$33,3,IF($L311&gt;PARAMETRES!$D$33,2,1)))))</f>
        <v/>
      </c>
      <c r="U311" t="str">
        <f>IF($M311="","",IF($M311&gt;PARAMETRES!$G$34,5,IF($M311&gt;PARAMETRES!$F$34,4,IF($M311&gt;PARAMETRES!$E$34,3,IF($M311&gt;PARAMETRES!$D$34,2,1)))))</f>
        <v/>
      </c>
      <c r="V311" t="str">
        <f>IF($N311="","",IF($N311&gt;PARAMETRES!$G$35,5,IF($N311&gt;PARAMETRES!$F$35,4,IF($N311&gt;PARAMETRES!$E$35,3,IF($N311&gt;PARAMETRES!$D$35,2,1)))))</f>
        <v/>
      </c>
      <c r="W311" t="str">
        <f>IF($O311="","",IF($O311&gt;PARAMETRES!$G$36,5,IF($O311&gt;PARAMETRES!$F$36,4,IF($O311&gt;PARAMETRES!$E$36,3,IF($O311&gt;PARAMETRES!$D$36,2,1)))))</f>
        <v/>
      </c>
      <c r="X311" t="str">
        <f>IF($P311="","",IF($P311&gt;PARAMETRES!$G$37,5,IF($P311&gt;PARAMETRES!$F$37,4,IF($P311&gt;PARAMETRES!$E$37,3,IF($P311&gt;PARAMETRES!$D$37,2,1)))))</f>
        <v/>
      </c>
      <c r="Y311" t="str">
        <f t="shared" si="96"/>
        <v/>
      </c>
      <c r="Z311" t="str">
        <f>IFERROR(VLOOKUP($B311,TABLE_CYCLE,2,0),"")</f>
        <v/>
      </c>
      <c r="AA311" t="str">
        <f t="shared" si="97"/>
        <v/>
      </c>
      <c r="AB311" t="str">
        <f>IF($D311="","",IF(COUNTIF($D$2:$D311,$D311)=1,$D311,""))</f>
        <v/>
      </c>
      <c r="AC311">
        <f t="shared" si="98"/>
        <v>0</v>
      </c>
      <c r="AD311" t="str">
        <f t="shared" si="99"/>
        <v>|0</v>
      </c>
      <c r="AE311" t="str">
        <f t="shared" si="100"/>
        <v/>
      </c>
      <c r="AF311" t="str">
        <f t="shared" si="101"/>
        <v/>
      </c>
      <c r="AG311" t="str">
        <f t="shared" si="102"/>
        <v/>
      </c>
      <c r="AH311" t="str">
        <f t="shared" si="103"/>
        <v/>
      </c>
      <c r="AI311" t="str">
        <f t="shared" si="104"/>
        <v/>
      </c>
      <c r="AJ311" t="str">
        <f t="shared" si="105"/>
        <v/>
      </c>
      <c r="AK311" t="str">
        <f t="shared" si="106"/>
        <v/>
      </c>
      <c r="AL311" t="str">
        <f t="shared" si="107"/>
        <v/>
      </c>
      <c r="AM311" t="str">
        <f t="shared" si="108"/>
        <v/>
      </c>
      <c r="AN311" t="str">
        <f t="shared" si="109"/>
        <v/>
      </c>
      <c r="AO311" t="str">
        <f t="shared" si="110"/>
        <v/>
      </c>
      <c r="AP311">
        <f t="shared" si="111"/>
        <v>1</v>
      </c>
      <c r="AQ311" t="str">
        <f>IF(SAISIE!$F316="","",SAISIE!$Y316)</f>
        <v/>
      </c>
      <c r="AR311" t="str">
        <f>IF(OR(SAISIE!$U$4="",SAISIE!$W$4=""),"",IF(AND($A311=SAISIE!$U$4,$B311=SAISIE!$W$4,$C311="S1"),COUNTIFS($A$2:$A311,SAISIE!$U$4,$B$2:$B311,SAISIE!$W$4,$C$2:$C311,"S1"),""))</f>
        <v/>
      </c>
      <c r="AS311" t="str">
        <f t="shared" si="112"/>
        <v/>
      </c>
      <c r="AT311" t="str">
        <f t="shared" si="113"/>
        <v/>
      </c>
      <c r="AU311" t="str">
        <f t="shared" si="114"/>
        <v/>
      </c>
      <c r="AV311">
        <f>N(AV310)+IF(AND($AB311&lt;&gt;"",OR('PROFIL ELEVE'!$K$4="(Tous)",$AF311='PROFIL ELEVE'!$K$4)),1,0)</f>
        <v>0</v>
      </c>
      <c r="AW311">
        <f>N(AW310)+IF(AND($AB311&lt;&gt;"",OR('SUIVI LONGITUDINAL'!$Q$4="(Tous)",$AF311='SUIVI LONGITUDINAL'!$Q$4)),1,0)</f>
        <v>0</v>
      </c>
      <c r="AX311">
        <f t="shared" si="115"/>
        <v>0</v>
      </c>
      <c r="AY311">
        <f t="shared" si="116"/>
        <v>0</v>
      </c>
      <c r="AZ311">
        <f t="shared" si="117"/>
        <v>0</v>
      </c>
      <c r="BA311" t="str">
        <f t="shared" si="118"/>
        <v/>
      </c>
      <c r="BB311" t="str">
        <f t="shared" si="119"/>
        <v/>
      </c>
    </row>
    <row r="312" spans="1:54" ht="14.25" customHeight="1" x14ac:dyDescent="0.3">
      <c r="A312" t="str">
        <f>IF(SAISIE!$F317="","",SAISIE!$B317)</f>
        <v/>
      </c>
      <c r="B312" t="str">
        <f>IF(SAISIE!$F317="","",SAISIE!$C317)</f>
        <v/>
      </c>
      <c r="C312" t="str">
        <f>IF(SAISIE!$F317="","",SAISIE!$D317)</f>
        <v/>
      </c>
      <c r="D312" t="str">
        <f>IF(SAISIE!$E317="","",SAISIE!$E317)</f>
        <v/>
      </c>
      <c r="E312" t="str">
        <f>IF(SAISIE!$F317="","",SAISIE!$F317)</f>
        <v/>
      </c>
      <c r="F312" t="str">
        <f>IF(SAISIE!$G317="","",SAISIE!$G317)</f>
        <v/>
      </c>
      <c r="G312" t="str">
        <f>IF(SAISIE!$H317="","",SAISIE!$H317)</f>
        <v/>
      </c>
      <c r="H312" t="str">
        <f>IF(SAISIE!$I317="","",SAISIE!$I317)</f>
        <v/>
      </c>
      <c r="I312" t="str">
        <f>IF(SAISIE!$J317="","",SAISIE!$J317)</f>
        <v/>
      </c>
      <c r="J312" t="str">
        <f>IF(SAISIE!$K317="","",SAISIE!$K317)</f>
        <v/>
      </c>
      <c r="K312" t="str">
        <f>IF(SAISIE!$L317="","",SAISIE!$L317)</f>
        <v/>
      </c>
      <c r="L312" t="str">
        <f>IF(SAISIE!$M317="","",SAISIE!$M317)</f>
        <v/>
      </c>
      <c r="M312" t="str">
        <f>IF(SAISIE!$N317="","",SAISIE!$N317)</f>
        <v/>
      </c>
      <c r="N312" t="str">
        <f>IF(SAISIE!$O317="","",SAISIE!$O317)</f>
        <v/>
      </c>
      <c r="O312" t="str">
        <f>IF(SAISIE!$P317="","",SAISIE!$P317)</f>
        <v/>
      </c>
      <c r="P312" t="str">
        <f>IF(SAISIE!$Q317="","",SAISIE!$Q317)</f>
        <v/>
      </c>
      <c r="Q312" t="str">
        <f>IF($I312="","",IF($I312&gt;PARAMETRES!$G$29,5,IF($I312&gt;PARAMETRES!$F$29,4,IF($I312&gt;PARAMETRES!$E$29,3,IF($I312&gt;PARAMETRES!$D$29,2,1)))))</f>
        <v/>
      </c>
      <c r="R312" t="str">
        <f>IF($J312="","",IF($J312&gt;PARAMETRES!$G$30,5,IF($J312&gt;PARAMETRES!$F$30,4,IF($J312&gt;PARAMETRES!$E$30,3,IF($J312&gt;PARAMETRES!$D$30,2,1)))))</f>
        <v/>
      </c>
      <c r="S312" t="str">
        <f>IF($K312="","",IF($Z312=2,IF($K312&gt;PARAMETRES!$G$31,5,IF($K312&gt;PARAMETRES!$F$31,4,IF($K312&gt;PARAMETRES!$E$31,3,IF($K312&gt;PARAMETRES!$D$31,2,1)))),IF($K312&gt;PARAMETRES!$G$32,5,IF($K312&gt;PARAMETRES!$F$32,4,IF($K312&gt;PARAMETRES!$E$32,3,IF($K312&gt;PARAMETRES!$D$32,2,1))))))</f>
        <v/>
      </c>
      <c r="T312" t="str">
        <f>IF($L312="","",IF($L312&gt;PARAMETRES!$G$33,5,IF($L312&gt;PARAMETRES!$F$33,4,IF($L312&gt;PARAMETRES!$E$33,3,IF($L312&gt;PARAMETRES!$D$33,2,1)))))</f>
        <v/>
      </c>
      <c r="U312" t="str">
        <f>IF($M312="","",IF($M312&gt;PARAMETRES!$G$34,5,IF($M312&gt;PARAMETRES!$F$34,4,IF($M312&gt;PARAMETRES!$E$34,3,IF($M312&gt;PARAMETRES!$D$34,2,1)))))</f>
        <v/>
      </c>
      <c r="V312" t="str">
        <f>IF($N312="","",IF($N312&gt;PARAMETRES!$G$35,5,IF($N312&gt;PARAMETRES!$F$35,4,IF($N312&gt;PARAMETRES!$E$35,3,IF($N312&gt;PARAMETRES!$D$35,2,1)))))</f>
        <v/>
      </c>
      <c r="W312" t="str">
        <f>IF($O312="","",IF($O312&gt;PARAMETRES!$G$36,5,IF($O312&gt;PARAMETRES!$F$36,4,IF($O312&gt;PARAMETRES!$E$36,3,IF($O312&gt;PARAMETRES!$D$36,2,1)))))</f>
        <v/>
      </c>
      <c r="X312" t="str">
        <f>IF($P312="","",IF($P312&gt;PARAMETRES!$G$37,5,IF($P312&gt;PARAMETRES!$F$37,4,IF($P312&gt;PARAMETRES!$E$37,3,IF($P312&gt;PARAMETRES!$D$37,2,1)))))</f>
        <v/>
      </c>
      <c r="Y312" t="str">
        <f t="shared" si="96"/>
        <v/>
      </c>
      <c r="Z312" t="str">
        <f>IFERROR(VLOOKUP($B312,TABLE_CYCLE,2,0),"")</f>
        <v/>
      </c>
      <c r="AA312" t="str">
        <f t="shared" si="97"/>
        <v/>
      </c>
      <c r="AB312" t="str">
        <f>IF($D312="","",IF(COUNTIF($D$2:$D312,$D312)=1,$D312,""))</f>
        <v/>
      </c>
      <c r="AC312">
        <f t="shared" si="98"/>
        <v>0</v>
      </c>
      <c r="AD312" t="str">
        <f t="shared" si="99"/>
        <v>|0</v>
      </c>
      <c r="AE312" t="str">
        <f t="shared" si="100"/>
        <v/>
      </c>
      <c r="AF312" t="str">
        <f t="shared" si="101"/>
        <v/>
      </c>
      <c r="AG312" t="str">
        <f t="shared" si="102"/>
        <v/>
      </c>
      <c r="AH312" t="str">
        <f t="shared" si="103"/>
        <v/>
      </c>
      <c r="AI312" t="str">
        <f t="shared" si="104"/>
        <v/>
      </c>
      <c r="AJ312" t="str">
        <f t="shared" si="105"/>
        <v/>
      </c>
      <c r="AK312" t="str">
        <f t="shared" si="106"/>
        <v/>
      </c>
      <c r="AL312" t="str">
        <f t="shared" si="107"/>
        <v/>
      </c>
      <c r="AM312" t="str">
        <f t="shared" si="108"/>
        <v/>
      </c>
      <c r="AN312" t="str">
        <f t="shared" si="109"/>
        <v/>
      </c>
      <c r="AO312" t="str">
        <f t="shared" si="110"/>
        <v/>
      </c>
      <c r="AP312">
        <f t="shared" si="111"/>
        <v>1</v>
      </c>
      <c r="AQ312" t="str">
        <f>IF(SAISIE!$F317="","",SAISIE!$Y317)</f>
        <v/>
      </c>
      <c r="AR312" t="str">
        <f>IF(OR(SAISIE!$U$4="",SAISIE!$W$4=""),"",IF(AND($A312=SAISIE!$U$4,$B312=SAISIE!$W$4,$C312="S1"),COUNTIFS($A$2:$A312,SAISIE!$U$4,$B$2:$B312,SAISIE!$W$4,$C$2:$C312,"S1"),""))</f>
        <v/>
      </c>
      <c r="AS312" t="str">
        <f t="shared" si="112"/>
        <v/>
      </c>
      <c r="AT312" t="str">
        <f t="shared" si="113"/>
        <v/>
      </c>
      <c r="AU312" t="str">
        <f t="shared" si="114"/>
        <v/>
      </c>
      <c r="AV312">
        <f>N(AV311)+IF(AND($AB312&lt;&gt;"",OR('PROFIL ELEVE'!$K$4="(Tous)",$AF312='PROFIL ELEVE'!$K$4)),1,0)</f>
        <v>0</v>
      </c>
      <c r="AW312">
        <f>N(AW311)+IF(AND($AB312&lt;&gt;"",OR('SUIVI LONGITUDINAL'!$Q$4="(Tous)",$AF312='SUIVI LONGITUDINAL'!$Q$4)),1,0)</f>
        <v>0</v>
      </c>
      <c r="AX312">
        <f t="shared" si="115"/>
        <v>0</v>
      </c>
      <c r="AY312">
        <f t="shared" si="116"/>
        <v>0</v>
      </c>
      <c r="AZ312">
        <f t="shared" si="117"/>
        <v>0</v>
      </c>
      <c r="BA312" t="str">
        <f t="shared" si="118"/>
        <v/>
      </c>
      <c r="BB312" t="str">
        <f t="shared" si="119"/>
        <v/>
      </c>
    </row>
    <row r="313" spans="1:54" ht="14.25" customHeight="1" x14ac:dyDescent="0.3">
      <c r="A313" t="str">
        <f>IF(SAISIE!$F318="","",SAISIE!$B318)</f>
        <v/>
      </c>
      <c r="B313" t="str">
        <f>IF(SAISIE!$F318="","",SAISIE!$C318)</f>
        <v/>
      </c>
      <c r="C313" t="str">
        <f>IF(SAISIE!$F318="","",SAISIE!$D318)</f>
        <v/>
      </c>
      <c r="D313" t="str">
        <f>IF(SAISIE!$E318="","",SAISIE!$E318)</f>
        <v/>
      </c>
      <c r="E313" t="str">
        <f>IF(SAISIE!$F318="","",SAISIE!$F318)</f>
        <v/>
      </c>
      <c r="F313" t="str">
        <f>IF(SAISIE!$G318="","",SAISIE!$G318)</f>
        <v/>
      </c>
      <c r="G313" t="str">
        <f>IF(SAISIE!$H318="","",SAISIE!$H318)</f>
        <v/>
      </c>
      <c r="H313" t="str">
        <f>IF(SAISIE!$I318="","",SAISIE!$I318)</f>
        <v/>
      </c>
      <c r="I313" t="str">
        <f>IF(SAISIE!$J318="","",SAISIE!$J318)</f>
        <v/>
      </c>
      <c r="J313" t="str">
        <f>IF(SAISIE!$K318="","",SAISIE!$K318)</f>
        <v/>
      </c>
      <c r="K313" t="str">
        <f>IF(SAISIE!$L318="","",SAISIE!$L318)</f>
        <v/>
      </c>
      <c r="L313" t="str">
        <f>IF(SAISIE!$M318="","",SAISIE!$M318)</f>
        <v/>
      </c>
      <c r="M313" t="str">
        <f>IF(SAISIE!$N318="","",SAISIE!$N318)</f>
        <v/>
      </c>
      <c r="N313" t="str">
        <f>IF(SAISIE!$O318="","",SAISIE!$O318)</f>
        <v/>
      </c>
      <c r="O313" t="str">
        <f>IF(SAISIE!$P318="","",SAISIE!$P318)</f>
        <v/>
      </c>
      <c r="P313" t="str">
        <f>IF(SAISIE!$Q318="","",SAISIE!$Q318)</f>
        <v/>
      </c>
      <c r="Q313" t="str">
        <f>IF($I313="","",IF($I313&gt;PARAMETRES!$G$29,5,IF($I313&gt;PARAMETRES!$F$29,4,IF($I313&gt;PARAMETRES!$E$29,3,IF($I313&gt;PARAMETRES!$D$29,2,1)))))</f>
        <v/>
      </c>
      <c r="R313" t="str">
        <f>IF($J313="","",IF($J313&gt;PARAMETRES!$G$30,5,IF($J313&gt;PARAMETRES!$F$30,4,IF($J313&gt;PARAMETRES!$E$30,3,IF($J313&gt;PARAMETRES!$D$30,2,1)))))</f>
        <v/>
      </c>
      <c r="S313" t="str">
        <f>IF($K313="","",IF($Z313=2,IF($K313&gt;PARAMETRES!$G$31,5,IF($K313&gt;PARAMETRES!$F$31,4,IF($K313&gt;PARAMETRES!$E$31,3,IF($K313&gt;PARAMETRES!$D$31,2,1)))),IF($K313&gt;PARAMETRES!$G$32,5,IF($K313&gt;PARAMETRES!$F$32,4,IF($K313&gt;PARAMETRES!$E$32,3,IF($K313&gt;PARAMETRES!$D$32,2,1))))))</f>
        <v/>
      </c>
      <c r="T313" t="str">
        <f>IF($L313="","",IF($L313&gt;PARAMETRES!$G$33,5,IF($L313&gt;PARAMETRES!$F$33,4,IF($L313&gt;PARAMETRES!$E$33,3,IF($L313&gt;PARAMETRES!$D$33,2,1)))))</f>
        <v/>
      </c>
      <c r="U313" t="str">
        <f>IF($M313="","",IF($M313&gt;PARAMETRES!$G$34,5,IF($M313&gt;PARAMETRES!$F$34,4,IF($M313&gt;PARAMETRES!$E$34,3,IF($M313&gt;PARAMETRES!$D$34,2,1)))))</f>
        <v/>
      </c>
      <c r="V313" t="str">
        <f>IF($N313="","",IF($N313&gt;PARAMETRES!$G$35,5,IF($N313&gt;PARAMETRES!$F$35,4,IF($N313&gt;PARAMETRES!$E$35,3,IF($N313&gt;PARAMETRES!$D$35,2,1)))))</f>
        <v/>
      </c>
      <c r="W313" t="str">
        <f>IF($O313="","",IF($O313&gt;PARAMETRES!$G$36,5,IF($O313&gt;PARAMETRES!$F$36,4,IF($O313&gt;PARAMETRES!$E$36,3,IF($O313&gt;PARAMETRES!$D$36,2,1)))))</f>
        <v/>
      </c>
      <c r="X313" t="str">
        <f>IF($P313="","",IF($P313&gt;PARAMETRES!$G$37,5,IF($P313&gt;PARAMETRES!$F$37,4,IF($P313&gt;PARAMETRES!$E$37,3,IF($P313&gt;PARAMETRES!$D$37,2,1)))))</f>
        <v/>
      </c>
      <c r="Y313" t="str">
        <f t="shared" si="96"/>
        <v/>
      </c>
      <c r="Z313" t="str">
        <f>IFERROR(VLOOKUP($B313,TABLE_CYCLE,2,0),"")</f>
        <v/>
      </c>
      <c r="AA313" t="str">
        <f t="shared" si="97"/>
        <v/>
      </c>
      <c r="AB313" t="str">
        <f>IF($D313="","",IF(COUNTIF($D$2:$D313,$D313)=1,$D313,""))</f>
        <v/>
      </c>
      <c r="AC313">
        <f t="shared" si="98"/>
        <v>0</v>
      </c>
      <c r="AD313" t="str">
        <f t="shared" si="99"/>
        <v>|0</v>
      </c>
      <c r="AE313" t="str">
        <f t="shared" si="100"/>
        <v/>
      </c>
      <c r="AF313" t="str">
        <f t="shared" si="101"/>
        <v/>
      </c>
      <c r="AG313" t="str">
        <f t="shared" si="102"/>
        <v/>
      </c>
      <c r="AH313" t="str">
        <f t="shared" si="103"/>
        <v/>
      </c>
      <c r="AI313" t="str">
        <f t="shared" si="104"/>
        <v/>
      </c>
      <c r="AJ313" t="str">
        <f t="shared" si="105"/>
        <v/>
      </c>
      <c r="AK313" t="str">
        <f t="shared" si="106"/>
        <v/>
      </c>
      <c r="AL313" t="str">
        <f t="shared" si="107"/>
        <v/>
      </c>
      <c r="AM313" t="str">
        <f t="shared" si="108"/>
        <v/>
      </c>
      <c r="AN313" t="str">
        <f t="shared" si="109"/>
        <v/>
      </c>
      <c r="AO313" t="str">
        <f t="shared" si="110"/>
        <v/>
      </c>
      <c r="AP313">
        <f t="shared" si="111"/>
        <v>1</v>
      </c>
      <c r="AQ313" t="str">
        <f>IF(SAISIE!$F318="","",SAISIE!$Y318)</f>
        <v/>
      </c>
      <c r="AR313" t="str">
        <f>IF(OR(SAISIE!$U$4="",SAISIE!$W$4=""),"",IF(AND($A313=SAISIE!$U$4,$B313=SAISIE!$W$4,$C313="S1"),COUNTIFS($A$2:$A313,SAISIE!$U$4,$B$2:$B313,SAISIE!$W$4,$C$2:$C313,"S1"),""))</f>
        <v/>
      </c>
      <c r="AS313" t="str">
        <f t="shared" si="112"/>
        <v/>
      </c>
      <c r="AT313" t="str">
        <f t="shared" si="113"/>
        <v/>
      </c>
      <c r="AU313" t="str">
        <f t="shared" si="114"/>
        <v/>
      </c>
      <c r="AV313">
        <f>N(AV312)+IF(AND($AB313&lt;&gt;"",OR('PROFIL ELEVE'!$K$4="(Tous)",$AF313='PROFIL ELEVE'!$K$4)),1,0)</f>
        <v>0</v>
      </c>
      <c r="AW313">
        <f>N(AW312)+IF(AND($AB313&lt;&gt;"",OR('SUIVI LONGITUDINAL'!$Q$4="(Tous)",$AF313='SUIVI LONGITUDINAL'!$Q$4)),1,0)</f>
        <v>0</v>
      </c>
      <c r="AX313">
        <f t="shared" si="115"/>
        <v>0</v>
      </c>
      <c r="AY313">
        <f t="shared" si="116"/>
        <v>0</v>
      </c>
      <c r="AZ313">
        <f t="shared" si="117"/>
        <v>0</v>
      </c>
      <c r="BA313" t="str">
        <f t="shared" si="118"/>
        <v/>
      </c>
      <c r="BB313" t="str">
        <f t="shared" si="119"/>
        <v/>
      </c>
    </row>
    <row r="314" spans="1:54" ht="14.25" customHeight="1" x14ac:dyDescent="0.3">
      <c r="A314" t="str">
        <f>IF(SAISIE!$F319="","",SAISIE!$B319)</f>
        <v/>
      </c>
      <c r="B314" t="str">
        <f>IF(SAISIE!$F319="","",SAISIE!$C319)</f>
        <v/>
      </c>
      <c r="C314" t="str">
        <f>IF(SAISIE!$F319="","",SAISIE!$D319)</f>
        <v/>
      </c>
      <c r="D314" t="str">
        <f>IF(SAISIE!$E319="","",SAISIE!$E319)</f>
        <v/>
      </c>
      <c r="E314" t="str">
        <f>IF(SAISIE!$F319="","",SAISIE!$F319)</f>
        <v/>
      </c>
      <c r="F314" t="str">
        <f>IF(SAISIE!$G319="","",SAISIE!$G319)</f>
        <v/>
      </c>
      <c r="G314" t="str">
        <f>IF(SAISIE!$H319="","",SAISIE!$H319)</f>
        <v/>
      </c>
      <c r="H314" t="str">
        <f>IF(SAISIE!$I319="","",SAISIE!$I319)</f>
        <v/>
      </c>
      <c r="I314" t="str">
        <f>IF(SAISIE!$J319="","",SAISIE!$J319)</f>
        <v/>
      </c>
      <c r="J314" t="str">
        <f>IF(SAISIE!$K319="","",SAISIE!$K319)</f>
        <v/>
      </c>
      <c r="K314" t="str">
        <f>IF(SAISIE!$L319="","",SAISIE!$L319)</f>
        <v/>
      </c>
      <c r="L314" t="str">
        <f>IF(SAISIE!$M319="","",SAISIE!$M319)</f>
        <v/>
      </c>
      <c r="M314" t="str">
        <f>IF(SAISIE!$N319="","",SAISIE!$N319)</f>
        <v/>
      </c>
      <c r="N314" t="str">
        <f>IF(SAISIE!$O319="","",SAISIE!$O319)</f>
        <v/>
      </c>
      <c r="O314" t="str">
        <f>IF(SAISIE!$P319="","",SAISIE!$P319)</f>
        <v/>
      </c>
      <c r="P314" t="str">
        <f>IF(SAISIE!$Q319="","",SAISIE!$Q319)</f>
        <v/>
      </c>
      <c r="Q314" t="str">
        <f>IF($I314="","",IF($I314&gt;PARAMETRES!$G$29,5,IF($I314&gt;PARAMETRES!$F$29,4,IF($I314&gt;PARAMETRES!$E$29,3,IF($I314&gt;PARAMETRES!$D$29,2,1)))))</f>
        <v/>
      </c>
      <c r="R314" t="str">
        <f>IF($J314="","",IF($J314&gt;PARAMETRES!$G$30,5,IF($J314&gt;PARAMETRES!$F$30,4,IF($J314&gt;PARAMETRES!$E$30,3,IF($J314&gt;PARAMETRES!$D$30,2,1)))))</f>
        <v/>
      </c>
      <c r="S314" t="str">
        <f>IF($K314="","",IF($Z314=2,IF($K314&gt;PARAMETRES!$G$31,5,IF($K314&gt;PARAMETRES!$F$31,4,IF($K314&gt;PARAMETRES!$E$31,3,IF($K314&gt;PARAMETRES!$D$31,2,1)))),IF($K314&gt;PARAMETRES!$G$32,5,IF($K314&gt;PARAMETRES!$F$32,4,IF($K314&gt;PARAMETRES!$E$32,3,IF($K314&gt;PARAMETRES!$D$32,2,1))))))</f>
        <v/>
      </c>
      <c r="T314" t="str">
        <f>IF($L314="","",IF($L314&gt;PARAMETRES!$G$33,5,IF($L314&gt;PARAMETRES!$F$33,4,IF($L314&gt;PARAMETRES!$E$33,3,IF($L314&gt;PARAMETRES!$D$33,2,1)))))</f>
        <v/>
      </c>
      <c r="U314" t="str">
        <f>IF($M314="","",IF($M314&gt;PARAMETRES!$G$34,5,IF($M314&gt;PARAMETRES!$F$34,4,IF($M314&gt;PARAMETRES!$E$34,3,IF($M314&gt;PARAMETRES!$D$34,2,1)))))</f>
        <v/>
      </c>
      <c r="V314" t="str">
        <f>IF($N314="","",IF($N314&gt;PARAMETRES!$G$35,5,IF($N314&gt;PARAMETRES!$F$35,4,IF($N314&gt;PARAMETRES!$E$35,3,IF($N314&gt;PARAMETRES!$D$35,2,1)))))</f>
        <v/>
      </c>
      <c r="W314" t="str">
        <f>IF($O314="","",IF($O314&gt;PARAMETRES!$G$36,5,IF($O314&gt;PARAMETRES!$F$36,4,IF($O314&gt;PARAMETRES!$E$36,3,IF($O314&gt;PARAMETRES!$D$36,2,1)))))</f>
        <v/>
      </c>
      <c r="X314" t="str">
        <f>IF($P314="","",IF($P314&gt;PARAMETRES!$G$37,5,IF($P314&gt;PARAMETRES!$F$37,4,IF($P314&gt;PARAMETRES!$E$37,3,IF($P314&gt;PARAMETRES!$D$37,2,1)))))</f>
        <v/>
      </c>
      <c r="Y314" t="str">
        <f t="shared" si="96"/>
        <v/>
      </c>
      <c r="Z314" t="str">
        <f>IFERROR(VLOOKUP($B314,TABLE_CYCLE,2,0),"")</f>
        <v/>
      </c>
      <c r="AA314" t="str">
        <f t="shared" si="97"/>
        <v/>
      </c>
      <c r="AB314" t="str">
        <f>IF($D314="","",IF(COUNTIF($D$2:$D314,$D314)=1,$D314,""))</f>
        <v/>
      </c>
      <c r="AC314">
        <f t="shared" si="98"/>
        <v>0</v>
      </c>
      <c r="AD314" t="str">
        <f t="shared" si="99"/>
        <v>|0</v>
      </c>
      <c r="AE314" t="str">
        <f t="shared" si="100"/>
        <v/>
      </c>
      <c r="AF314" t="str">
        <f t="shared" si="101"/>
        <v/>
      </c>
      <c r="AG314" t="str">
        <f t="shared" si="102"/>
        <v/>
      </c>
      <c r="AH314" t="str">
        <f t="shared" si="103"/>
        <v/>
      </c>
      <c r="AI314" t="str">
        <f t="shared" si="104"/>
        <v/>
      </c>
      <c r="AJ314" t="str">
        <f t="shared" si="105"/>
        <v/>
      </c>
      <c r="AK314" t="str">
        <f t="shared" si="106"/>
        <v/>
      </c>
      <c r="AL314" t="str">
        <f t="shared" si="107"/>
        <v/>
      </c>
      <c r="AM314" t="str">
        <f t="shared" si="108"/>
        <v/>
      </c>
      <c r="AN314" t="str">
        <f t="shared" si="109"/>
        <v/>
      </c>
      <c r="AO314" t="str">
        <f t="shared" si="110"/>
        <v/>
      </c>
      <c r="AP314">
        <f t="shared" si="111"/>
        <v>1</v>
      </c>
      <c r="AQ314" t="str">
        <f>IF(SAISIE!$F319="","",SAISIE!$Y319)</f>
        <v/>
      </c>
      <c r="AR314" t="str">
        <f>IF(OR(SAISIE!$U$4="",SAISIE!$W$4=""),"",IF(AND($A314=SAISIE!$U$4,$B314=SAISIE!$W$4,$C314="S1"),COUNTIFS($A$2:$A314,SAISIE!$U$4,$B$2:$B314,SAISIE!$W$4,$C$2:$C314,"S1"),""))</f>
        <v/>
      </c>
      <c r="AS314" t="str">
        <f t="shared" si="112"/>
        <v/>
      </c>
      <c r="AT314" t="str">
        <f t="shared" si="113"/>
        <v/>
      </c>
      <c r="AU314" t="str">
        <f t="shared" si="114"/>
        <v/>
      </c>
      <c r="AV314">
        <f>N(AV313)+IF(AND($AB314&lt;&gt;"",OR('PROFIL ELEVE'!$K$4="(Tous)",$AF314='PROFIL ELEVE'!$K$4)),1,0)</f>
        <v>0</v>
      </c>
      <c r="AW314">
        <f>N(AW313)+IF(AND($AB314&lt;&gt;"",OR('SUIVI LONGITUDINAL'!$Q$4="(Tous)",$AF314='SUIVI LONGITUDINAL'!$Q$4)),1,0)</f>
        <v>0</v>
      </c>
      <c r="AX314">
        <f t="shared" si="115"/>
        <v>0</v>
      </c>
      <c r="AY314">
        <f t="shared" si="116"/>
        <v>0</v>
      </c>
      <c r="AZ314">
        <f t="shared" si="117"/>
        <v>0</v>
      </c>
      <c r="BA314" t="str">
        <f t="shared" si="118"/>
        <v/>
      </c>
      <c r="BB314" t="str">
        <f t="shared" si="119"/>
        <v/>
      </c>
    </row>
    <row r="315" spans="1:54" ht="14.25" customHeight="1" x14ac:dyDescent="0.3">
      <c r="A315" t="str">
        <f>IF(SAISIE!$F320="","",SAISIE!$B320)</f>
        <v/>
      </c>
      <c r="B315" t="str">
        <f>IF(SAISIE!$F320="","",SAISIE!$C320)</f>
        <v/>
      </c>
      <c r="C315" t="str">
        <f>IF(SAISIE!$F320="","",SAISIE!$D320)</f>
        <v/>
      </c>
      <c r="D315" t="str">
        <f>IF(SAISIE!$E320="","",SAISIE!$E320)</f>
        <v/>
      </c>
      <c r="E315" t="str">
        <f>IF(SAISIE!$F320="","",SAISIE!$F320)</f>
        <v/>
      </c>
      <c r="F315" t="str">
        <f>IF(SAISIE!$G320="","",SAISIE!$G320)</f>
        <v/>
      </c>
      <c r="G315" t="str">
        <f>IF(SAISIE!$H320="","",SAISIE!$H320)</f>
        <v/>
      </c>
      <c r="H315" t="str">
        <f>IF(SAISIE!$I320="","",SAISIE!$I320)</f>
        <v/>
      </c>
      <c r="I315" t="str">
        <f>IF(SAISIE!$J320="","",SAISIE!$J320)</f>
        <v/>
      </c>
      <c r="J315" t="str">
        <f>IF(SAISIE!$K320="","",SAISIE!$K320)</f>
        <v/>
      </c>
      <c r="K315" t="str">
        <f>IF(SAISIE!$L320="","",SAISIE!$L320)</f>
        <v/>
      </c>
      <c r="L315" t="str">
        <f>IF(SAISIE!$M320="","",SAISIE!$M320)</f>
        <v/>
      </c>
      <c r="M315" t="str">
        <f>IF(SAISIE!$N320="","",SAISIE!$N320)</f>
        <v/>
      </c>
      <c r="N315" t="str">
        <f>IF(SAISIE!$O320="","",SAISIE!$O320)</f>
        <v/>
      </c>
      <c r="O315" t="str">
        <f>IF(SAISIE!$P320="","",SAISIE!$P320)</f>
        <v/>
      </c>
      <c r="P315" t="str">
        <f>IF(SAISIE!$Q320="","",SAISIE!$Q320)</f>
        <v/>
      </c>
      <c r="Q315" t="str">
        <f>IF($I315="","",IF($I315&gt;PARAMETRES!$G$29,5,IF($I315&gt;PARAMETRES!$F$29,4,IF($I315&gt;PARAMETRES!$E$29,3,IF($I315&gt;PARAMETRES!$D$29,2,1)))))</f>
        <v/>
      </c>
      <c r="R315" t="str">
        <f>IF($J315="","",IF($J315&gt;PARAMETRES!$G$30,5,IF($J315&gt;PARAMETRES!$F$30,4,IF($J315&gt;PARAMETRES!$E$30,3,IF($J315&gt;PARAMETRES!$D$30,2,1)))))</f>
        <v/>
      </c>
      <c r="S315" t="str">
        <f>IF($K315="","",IF($Z315=2,IF($K315&gt;PARAMETRES!$G$31,5,IF($K315&gt;PARAMETRES!$F$31,4,IF($K315&gt;PARAMETRES!$E$31,3,IF($K315&gt;PARAMETRES!$D$31,2,1)))),IF($K315&gt;PARAMETRES!$G$32,5,IF($K315&gt;PARAMETRES!$F$32,4,IF($K315&gt;PARAMETRES!$E$32,3,IF($K315&gt;PARAMETRES!$D$32,2,1))))))</f>
        <v/>
      </c>
      <c r="T315" t="str">
        <f>IF($L315="","",IF($L315&gt;PARAMETRES!$G$33,5,IF($L315&gt;PARAMETRES!$F$33,4,IF($L315&gt;PARAMETRES!$E$33,3,IF($L315&gt;PARAMETRES!$D$33,2,1)))))</f>
        <v/>
      </c>
      <c r="U315" t="str">
        <f>IF($M315="","",IF($M315&gt;PARAMETRES!$G$34,5,IF($M315&gt;PARAMETRES!$F$34,4,IF($M315&gt;PARAMETRES!$E$34,3,IF($M315&gt;PARAMETRES!$D$34,2,1)))))</f>
        <v/>
      </c>
      <c r="V315" t="str">
        <f>IF($N315="","",IF($N315&gt;PARAMETRES!$G$35,5,IF($N315&gt;PARAMETRES!$F$35,4,IF($N315&gt;PARAMETRES!$E$35,3,IF($N315&gt;PARAMETRES!$D$35,2,1)))))</f>
        <v/>
      </c>
      <c r="W315" t="str">
        <f>IF($O315="","",IF($O315&gt;PARAMETRES!$G$36,5,IF($O315&gt;PARAMETRES!$F$36,4,IF($O315&gt;PARAMETRES!$E$36,3,IF($O315&gt;PARAMETRES!$D$36,2,1)))))</f>
        <v/>
      </c>
      <c r="X315" t="str">
        <f>IF($P315="","",IF($P315&gt;PARAMETRES!$G$37,5,IF($P315&gt;PARAMETRES!$F$37,4,IF($P315&gt;PARAMETRES!$E$37,3,IF($P315&gt;PARAMETRES!$D$37,2,1)))))</f>
        <v/>
      </c>
      <c r="Y315" t="str">
        <f t="shared" si="96"/>
        <v/>
      </c>
      <c r="Z315" t="str">
        <f>IFERROR(VLOOKUP($B315,TABLE_CYCLE,2,0),"")</f>
        <v/>
      </c>
      <c r="AA315" t="str">
        <f t="shared" si="97"/>
        <v/>
      </c>
      <c r="AB315" t="str">
        <f>IF($D315="","",IF(COUNTIF($D$2:$D315,$D315)=1,$D315,""))</f>
        <v/>
      </c>
      <c r="AC315">
        <f t="shared" si="98"/>
        <v>0</v>
      </c>
      <c r="AD315" t="str">
        <f t="shared" si="99"/>
        <v>|0</v>
      </c>
      <c r="AE315" t="str">
        <f t="shared" si="100"/>
        <v/>
      </c>
      <c r="AF315" t="str">
        <f t="shared" si="101"/>
        <v/>
      </c>
      <c r="AG315" t="str">
        <f t="shared" si="102"/>
        <v/>
      </c>
      <c r="AH315" t="str">
        <f t="shared" si="103"/>
        <v/>
      </c>
      <c r="AI315" t="str">
        <f t="shared" si="104"/>
        <v/>
      </c>
      <c r="AJ315" t="str">
        <f t="shared" si="105"/>
        <v/>
      </c>
      <c r="AK315" t="str">
        <f t="shared" si="106"/>
        <v/>
      </c>
      <c r="AL315" t="str">
        <f t="shared" si="107"/>
        <v/>
      </c>
      <c r="AM315" t="str">
        <f t="shared" si="108"/>
        <v/>
      </c>
      <c r="AN315" t="str">
        <f t="shared" si="109"/>
        <v/>
      </c>
      <c r="AO315" t="str">
        <f t="shared" si="110"/>
        <v/>
      </c>
      <c r="AP315">
        <f t="shared" si="111"/>
        <v>1</v>
      </c>
      <c r="AQ315" t="str">
        <f>IF(SAISIE!$F320="","",SAISIE!$Y320)</f>
        <v/>
      </c>
      <c r="AR315" t="str">
        <f>IF(OR(SAISIE!$U$4="",SAISIE!$W$4=""),"",IF(AND($A315=SAISIE!$U$4,$B315=SAISIE!$W$4,$C315="S1"),COUNTIFS($A$2:$A315,SAISIE!$U$4,$B$2:$B315,SAISIE!$W$4,$C$2:$C315,"S1"),""))</f>
        <v/>
      </c>
      <c r="AS315" t="str">
        <f t="shared" si="112"/>
        <v/>
      </c>
      <c r="AT315" t="str">
        <f t="shared" si="113"/>
        <v/>
      </c>
      <c r="AU315" t="str">
        <f t="shared" si="114"/>
        <v/>
      </c>
      <c r="AV315">
        <f>N(AV314)+IF(AND($AB315&lt;&gt;"",OR('PROFIL ELEVE'!$K$4="(Tous)",$AF315='PROFIL ELEVE'!$K$4)),1,0)</f>
        <v>0</v>
      </c>
      <c r="AW315">
        <f>N(AW314)+IF(AND($AB315&lt;&gt;"",OR('SUIVI LONGITUDINAL'!$Q$4="(Tous)",$AF315='SUIVI LONGITUDINAL'!$Q$4)),1,0)</f>
        <v>0</v>
      </c>
      <c r="AX315">
        <f t="shared" si="115"/>
        <v>0</v>
      </c>
      <c r="AY315">
        <f t="shared" si="116"/>
        <v>0</v>
      </c>
      <c r="AZ315">
        <f t="shared" si="117"/>
        <v>0</v>
      </c>
      <c r="BA315" t="str">
        <f t="shared" si="118"/>
        <v/>
      </c>
      <c r="BB315" t="str">
        <f t="shared" si="119"/>
        <v/>
      </c>
    </row>
    <row r="316" spans="1:54" ht="14.25" customHeight="1" x14ac:dyDescent="0.3">
      <c r="A316" t="str">
        <f>IF(SAISIE!$F321="","",SAISIE!$B321)</f>
        <v/>
      </c>
      <c r="B316" t="str">
        <f>IF(SAISIE!$F321="","",SAISIE!$C321)</f>
        <v/>
      </c>
      <c r="C316" t="str">
        <f>IF(SAISIE!$F321="","",SAISIE!$D321)</f>
        <v/>
      </c>
      <c r="D316" t="str">
        <f>IF(SAISIE!$E321="","",SAISIE!$E321)</f>
        <v/>
      </c>
      <c r="E316" t="str">
        <f>IF(SAISIE!$F321="","",SAISIE!$F321)</f>
        <v/>
      </c>
      <c r="F316" t="str">
        <f>IF(SAISIE!$G321="","",SAISIE!$G321)</f>
        <v/>
      </c>
      <c r="G316" t="str">
        <f>IF(SAISIE!$H321="","",SAISIE!$H321)</f>
        <v/>
      </c>
      <c r="H316" t="str">
        <f>IF(SAISIE!$I321="","",SAISIE!$I321)</f>
        <v/>
      </c>
      <c r="I316" t="str">
        <f>IF(SAISIE!$J321="","",SAISIE!$J321)</f>
        <v/>
      </c>
      <c r="J316" t="str">
        <f>IF(SAISIE!$K321="","",SAISIE!$K321)</f>
        <v/>
      </c>
      <c r="K316" t="str">
        <f>IF(SAISIE!$L321="","",SAISIE!$L321)</f>
        <v/>
      </c>
      <c r="L316" t="str">
        <f>IF(SAISIE!$M321="","",SAISIE!$M321)</f>
        <v/>
      </c>
      <c r="M316" t="str">
        <f>IF(SAISIE!$N321="","",SAISIE!$N321)</f>
        <v/>
      </c>
      <c r="N316" t="str">
        <f>IF(SAISIE!$O321="","",SAISIE!$O321)</f>
        <v/>
      </c>
      <c r="O316" t="str">
        <f>IF(SAISIE!$P321="","",SAISIE!$P321)</f>
        <v/>
      </c>
      <c r="P316" t="str">
        <f>IF(SAISIE!$Q321="","",SAISIE!$Q321)</f>
        <v/>
      </c>
      <c r="Q316" t="str">
        <f>IF($I316="","",IF($I316&gt;PARAMETRES!$G$29,5,IF($I316&gt;PARAMETRES!$F$29,4,IF($I316&gt;PARAMETRES!$E$29,3,IF($I316&gt;PARAMETRES!$D$29,2,1)))))</f>
        <v/>
      </c>
      <c r="R316" t="str">
        <f>IF($J316="","",IF($J316&gt;PARAMETRES!$G$30,5,IF($J316&gt;PARAMETRES!$F$30,4,IF($J316&gt;PARAMETRES!$E$30,3,IF($J316&gt;PARAMETRES!$D$30,2,1)))))</f>
        <v/>
      </c>
      <c r="S316" t="str">
        <f>IF($K316="","",IF($Z316=2,IF($K316&gt;PARAMETRES!$G$31,5,IF($K316&gt;PARAMETRES!$F$31,4,IF($K316&gt;PARAMETRES!$E$31,3,IF($K316&gt;PARAMETRES!$D$31,2,1)))),IF($K316&gt;PARAMETRES!$G$32,5,IF($K316&gt;PARAMETRES!$F$32,4,IF($K316&gt;PARAMETRES!$E$32,3,IF($K316&gt;PARAMETRES!$D$32,2,1))))))</f>
        <v/>
      </c>
      <c r="T316" t="str">
        <f>IF($L316="","",IF($L316&gt;PARAMETRES!$G$33,5,IF($L316&gt;PARAMETRES!$F$33,4,IF($L316&gt;PARAMETRES!$E$33,3,IF($L316&gt;PARAMETRES!$D$33,2,1)))))</f>
        <v/>
      </c>
      <c r="U316" t="str">
        <f>IF($M316="","",IF($M316&gt;PARAMETRES!$G$34,5,IF($M316&gt;PARAMETRES!$F$34,4,IF($M316&gt;PARAMETRES!$E$34,3,IF($M316&gt;PARAMETRES!$D$34,2,1)))))</f>
        <v/>
      </c>
      <c r="V316" t="str">
        <f>IF($N316="","",IF($N316&gt;PARAMETRES!$G$35,5,IF($N316&gt;PARAMETRES!$F$35,4,IF($N316&gt;PARAMETRES!$E$35,3,IF($N316&gt;PARAMETRES!$D$35,2,1)))))</f>
        <v/>
      </c>
      <c r="W316" t="str">
        <f>IF($O316="","",IF($O316&gt;PARAMETRES!$G$36,5,IF($O316&gt;PARAMETRES!$F$36,4,IF($O316&gt;PARAMETRES!$E$36,3,IF($O316&gt;PARAMETRES!$D$36,2,1)))))</f>
        <v/>
      </c>
      <c r="X316" t="str">
        <f>IF($P316="","",IF($P316&gt;PARAMETRES!$G$37,5,IF($P316&gt;PARAMETRES!$F$37,4,IF($P316&gt;PARAMETRES!$E$37,3,IF($P316&gt;PARAMETRES!$D$37,2,1)))))</f>
        <v/>
      </c>
      <c r="Y316" t="str">
        <f t="shared" si="96"/>
        <v/>
      </c>
      <c r="Z316" t="str">
        <f>IFERROR(VLOOKUP($B316,TABLE_CYCLE,2,0),"")</f>
        <v/>
      </c>
      <c r="AA316" t="str">
        <f t="shared" si="97"/>
        <v/>
      </c>
      <c r="AB316" t="str">
        <f>IF($D316="","",IF(COUNTIF($D$2:$D316,$D316)=1,$D316,""))</f>
        <v/>
      </c>
      <c r="AC316">
        <f t="shared" si="98"/>
        <v>0</v>
      </c>
      <c r="AD316" t="str">
        <f t="shared" si="99"/>
        <v>|0</v>
      </c>
      <c r="AE316" t="str">
        <f t="shared" si="100"/>
        <v/>
      </c>
      <c r="AF316" t="str">
        <f t="shared" si="101"/>
        <v/>
      </c>
      <c r="AG316" t="str">
        <f t="shared" si="102"/>
        <v/>
      </c>
      <c r="AH316" t="str">
        <f t="shared" si="103"/>
        <v/>
      </c>
      <c r="AI316" t="str">
        <f t="shared" si="104"/>
        <v/>
      </c>
      <c r="AJ316" t="str">
        <f t="shared" si="105"/>
        <v/>
      </c>
      <c r="AK316" t="str">
        <f t="shared" si="106"/>
        <v/>
      </c>
      <c r="AL316" t="str">
        <f t="shared" si="107"/>
        <v/>
      </c>
      <c r="AM316" t="str">
        <f t="shared" si="108"/>
        <v/>
      </c>
      <c r="AN316" t="str">
        <f t="shared" si="109"/>
        <v/>
      </c>
      <c r="AO316" t="str">
        <f t="shared" si="110"/>
        <v/>
      </c>
      <c r="AP316">
        <f t="shared" si="111"/>
        <v>1</v>
      </c>
      <c r="AQ316" t="str">
        <f>IF(SAISIE!$F321="","",SAISIE!$Y321)</f>
        <v/>
      </c>
      <c r="AR316" t="str">
        <f>IF(OR(SAISIE!$U$4="",SAISIE!$W$4=""),"",IF(AND($A316=SAISIE!$U$4,$B316=SAISIE!$W$4,$C316="S1"),COUNTIFS($A$2:$A316,SAISIE!$U$4,$B$2:$B316,SAISIE!$W$4,$C$2:$C316,"S1"),""))</f>
        <v/>
      </c>
      <c r="AS316" t="str">
        <f t="shared" si="112"/>
        <v/>
      </c>
      <c r="AT316" t="str">
        <f t="shared" si="113"/>
        <v/>
      </c>
      <c r="AU316" t="str">
        <f t="shared" si="114"/>
        <v/>
      </c>
      <c r="AV316">
        <f>N(AV315)+IF(AND($AB316&lt;&gt;"",OR('PROFIL ELEVE'!$K$4="(Tous)",$AF316='PROFIL ELEVE'!$K$4)),1,0)</f>
        <v>0</v>
      </c>
      <c r="AW316">
        <f>N(AW315)+IF(AND($AB316&lt;&gt;"",OR('SUIVI LONGITUDINAL'!$Q$4="(Tous)",$AF316='SUIVI LONGITUDINAL'!$Q$4)),1,0)</f>
        <v>0</v>
      </c>
      <c r="AX316">
        <f t="shared" si="115"/>
        <v>0</v>
      </c>
      <c r="AY316">
        <f t="shared" si="116"/>
        <v>0</v>
      </c>
      <c r="AZ316">
        <f t="shared" si="117"/>
        <v>0</v>
      </c>
      <c r="BA316" t="str">
        <f t="shared" si="118"/>
        <v/>
      </c>
      <c r="BB316" t="str">
        <f t="shared" si="119"/>
        <v/>
      </c>
    </row>
    <row r="317" spans="1:54" ht="14.25" customHeight="1" x14ac:dyDescent="0.3">
      <c r="A317" t="str">
        <f>IF(SAISIE!$F322="","",SAISIE!$B322)</f>
        <v/>
      </c>
      <c r="B317" t="str">
        <f>IF(SAISIE!$F322="","",SAISIE!$C322)</f>
        <v/>
      </c>
      <c r="C317" t="str">
        <f>IF(SAISIE!$F322="","",SAISIE!$D322)</f>
        <v/>
      </c>
      <c r="D317" t="str">
        <f>IF(SAISIE!$E322="","",SAISIE!$E322)</f>
        <v/>
      </c>
      <c r="E317" t="str">
        <f>IF(SAISIE!$F322="","",SAISIE!$F322)</f>
        <v/>
      </c>
      <c r="F317" t="str">
        <f>IF(SAISIE!$G322="","",SAISIE!$G322)</f>
        <v/>
      </c>
      <c r="G317" t="str">
        <f>IF(SAISIE!$H322="","",SAISIE!$H322)</f>
        <v/>
      </c>
      <c r="H317" t="str">
        <f>IF(SAISIE!$I322="","",SAISIE!$I322)</f>
        <v/>
      </c>
      <c r="I317" t="str">
        <f>IF(SAISIE!$J322="","",SAISIE!$J322)</f>
        <v/>
      </c>
      <c r="J317" t="str">
        <f>IF(SAISIE!$K322="","",SAISIE!$K322)</f>
        <v/>
      </c>
      <c r="K317" t="str">
        <f>IF(SAISIE!$L322="","",SAISIE!$L322)</f>
        <v/>
      </c>
      <c r="L317" t="str">
        <f>IF(SAISIE!$M322="","",SAISIE!$M322)</f>
        <v/>
      </c>
      <c r="M317" t="str">
        <f>IF(SAISIE!$N322="","",SAISIE!$N322)</f>
        <v/>
      </c>
      <c r="N317" t="str">
        <f>IF(SAISIE!$O322="","",SAISIE!$O322)</f>
        <v/>
      </c>
      <c r="O317" t="str">
        <f>IF(SAISIE!$P322="","",SAISIE!$P322)</f>
        <v/>
      </c>
      <c r="P317" t="str">
        <f>IF(SAISIE!$Q322="","",SAISIE!$Q322)</f>
        <v/>
      </c>
      <c r="Q317" t="str">
        <f>IF($I317="","",IF($I317&gt;PARAMETRES!$G$29,5,IF($I317&gt;PARAMETRES!$F$29,4,IF($I317&gt;PARAMETRES!$E$29,3,IF($I317&gt;PARAMETRES!$D$29,2,1)))))</f>
        <v/>
      </c>
      <c r="R317" t="str">
        <f>IF($J317="","",IF($J317&gt;PARAMETRES!$G$30,5,IF($J317&gt;PARAMETRES!$F$30,4,IF($J317&gt;PARAMETRES!$E$30,3,IF($J317&gt;PARAMETRES!$D$30,2,1)))))</f>
        <v/>
      </c>
      <c r="S317" t="str">
        <f>IF($K317="","",IF($Z317=2,IF($K317&gt;PARAMETRES!$G$31,5,IF($K317&gt;PARAMETRES!$F$31,4,IF($K317&gt;PARAMETRES!$E$31,3,IF($K317&gt;PARAMETRES!$D$31,2,1)))),IF($K317&gt;PARAMETRES!$G$32,5,IF($K317&gt;PARAMETRES!$F$32,4,IF($K317&gt;PARAMETRES!$E$32,3,IF($K317&gt;PARAMETRES!$D$32,2,1))))))</f>
        <v/>
      </c>
      <c r="T317" t="str">
        <f>IF($L317="","",IF($L317&gt;PARAMETRES!$G$33,5,IF($L317&gt;PARAMETRES!$F$33,4,IF($L317&gt;PARAMETRES!$E$33,3,IF($L317&gt;PARAMETRES!$D$33,2,1)))))</f>
        <v/>
      </c>
      <c r="U317" t="str">
        <f>IF($M317="","",IF($M317&gt;PARAMETRES!$G$34,5,IF($M317&gt;PARAMETRES!$F$34,4,IF($M317&gt;PARAMETRES!$E$34,3,IF($M317&gt;PARAMETRES!$D$34,2,1)))))</f>
        <v/>
      </c>
      <c r="V317" t="str">
        <f>IF($N317="","",IF($N317&gt;PARAMETRES!$G$35,5,IF($N317&gt;PARAMETRES!$F$35,4,IF($N317&gt;PARAMETRES!$E$35,3,IF($N317&gt;PARAMETRES!$D$35,2,1)))))</f>
        <v/>
      </c>
      <c r="W317" t="str">
        <f>IF($O317="","",IF($O317&gt;PARAMETRES!$G$36,5,IF($O317&gt;PARAMETRES!$F$36,4,IF($O317&gt;PARAMETRES!$E$36,3,IF($O317&gt;PARAMETRES!$D$36,2,1)))))</f>
        <v/>
      </c>
      <c r="X317" t="str">
        <f>IF($P317="","",IF($P317&gt;PARAMETRES!$G$37,5,IF($P317&gt;PARAMETRES!$F$37,4,IF($P317&gt;PARAMETRES!$E$37,3,IF($P317&gt;PARAMETRES!$D$37,2,1)))))</f>
        <v/>
      </c>
      <c r="Y317" t="str">
        <f t="shared" si="96"/>
        <v/>
      </c>
      <c r="Z317" t="str">
        <f>IFERROR(VLOOKUP($B317,TABLE_CYCLE,2,0),"")</f>
        <v/>
      </c>
      <c r="AA317" t="str">
        <f t="shared" si="97"/>
        <v/>
      </c>
      <c r="AB317" t="str">
        <f>IF($D317="","",IF(COUNTIF($D$2:$D317,$D317)=1,$D317,""))</f>
        <v/>
      </c>
      <c r="AC317">
        <f t="shared" si="98"/>
        <v>0</v>
      </c>
      <c r="AD317" t="str">
        <f t="shared" si="99"/>
        <v>|0</v>
      </c>
      <c r="AE317" t="str">
        <f t="shared" si="100"/>
        <v/>
      </c>
      <c r="AF317" t="str">
        <f t="shared" si="101"/>
        <v/>
      </c>
      <c r="AG317" t="str">
        <f t="shared" si="102"/>
        <v/>
      </c>
      <c r="AH317" t="str">
        <f t="shared" si="103"/>
        <v/>
      </c>
      <c r="AI317" t="str">
        <f t="shared" si="104"/>
        <v/>
      </c>
      <c r="AJ317" t="str">
        <f t="shared" si="105"/>
        <v/>
      </c>
      <c r="AK317" t="str">
        <f t="shared" si="106"/>
        <v/>
      </c>
      <c r="AL317" t="str">
        <f t="shared" si="107"/>
        <v/>
      </c>
      <c r="AM317" t="str">
        <f t="shared" si="108"/>
        <v/>
      </c>
      <c r="AN317" t="str">
        <f t="shared" si="109"/>
        <v/>
      </c>
      <c r="AO317" t="str">
        <f t="shared" si="110"/>
        <v/>
      </c>
      <c r="AP317">
        <f t="shared" si="111"/>
        <v>1</v>
      </c>
      <c r="AQ317" t="str">
        <f>IF(SAISIE!$F322="","",SAISIE!$Y322)</f>
        <v/>
      </c>
      <c r="AR317" t="str">
        <f>IF(OR(SAISIE!$U$4="",SAISIE!$W$4=""),"",IF(AND($A317=SAISIE!$U$4,$B317=SAISIE!$W$4,$C317="S1"),COUNTIFS($A$2:$A317,SAISIE!$U$4,$B$2:$B317,SAISIE!$W$4,$C$2:$C317,"S1"),""))</f>
        <v/>
      </c>
      <c r="AS317" t="str">
        <f t="shared" si="112"/>
        <v/>
      </c>
      <c r="AT317" t="str">
        <f t="shared" si="113"/>
        <v/>
      </c>
      <c r="AU317" t="str">
        <f t="shared" si="114"/>
        <v/>
      </c>
      <c r="AV317">
        <f>N(AV316)+IF(AND($AB317&lt;&gt;"",OR('PROFIL ELEVE'!$K$4="(Tous)",$AF317='PROFIL ELEVE'!$K$4)),1,0)</f>
        <v>0</v>
      </c>
      <c r="AW317">
        <f>N(AW316)+IF(AND($AB317&lt;&gt;"",OR('SUIVI LONGITUDINAL'!$Q$4="(Tous)",$AF317='SUIVI LONGITUDINAL'!$Q$4)),1,0)</f>
        <v>0</v>
      </c>
      <c r="AX317">
        <f t="shared" si="115"/>
        <v>0</v>
      </c>
      <c r="AY317">
        <f t="shared" si="116"/>
        <v>0</v>
      </c>
      <c r="AZ317">
        <f t="shared" si="117"/>
        <v>0</v>
      </c>
      <c r="BA317" t="str">
        <f t="shared" si="118"/>
        <v/>
      </c>
      <c r="BB317" t="str">
        <f t="shared" si="119"/>
        <v/>
      </c>
    </row>
    <row r="318" spans="1:54" ht="14.25" customHeight="1" x14ac:dyDescent="0.3">
      <c r="A318" t="str">
        <f>IF(SAISIE!$F323="","",SAISIE!$B323)</f>
        <v/>
      </c>
      <c r="B318" t="str">
        <f>IF(SAISIE!$F323="","",SAISIE!$C323)</f>
        <v/>
      </c>
      <c r="C318" t="str">
        <f>IF(SAISIE!$F323="","",SAISIE!$D323)</f>
        <v/>
      </c>
      <c r="D318" t="str">
        <f>IF(SAISIE!$E323="","",SAISIE!$E323)</f>
        <v/>
      </c>
      <c r="E318" t="str">
        <f>IF(SAISIE!$F323="","",SAISIE!$F323)</f>
        <v/>
      </c>
      <c r="F318" t="str">
        <f>IF(SAISIE!$G323="","",SAISIE!$G323)</f>
        <v/>
      </c>
      <c r="G318" t="str">
        <f>IF(SAISIE!$H323="","",SAISIE!$H323)</f>
        <v/>
      </c>
      <c r="H318" t="str">
        <f>IF(SAISIE!$I323="","",SAISIE!$I323)</f>
        <v/>
      </c>
      <c r="I318" t="str">
        <f>IF(SAISIE!$J323="","",SAISIE!$J323)</f>
        <v/>
      </c>
      <c r="J318" t="str">
        <f>IF(SAISIE!$K323="","",SAISIE!$K323)</f>
        <v/>
      </c>
      <c r="K318" t="str">
        <f>IF(SAISIE!$L323="","",SAISIE!$L323)</f>
        <v/>
      </c>
      <c r="L318" t="str">
        <f>IF(SAISIE!$M323="","",SAISIE!$M323)</f>
        <v/>
      </c>
      <c r="M318" t="str">
        <f>IF(SAISIE!$N323="","",SAISIE!$N323)</f>
        <v/>
      </c>
      <c r="N318" t="str">
        <f>IF(SAISIE!$O323="","",SAISIE!$O323)</f>
        <v/>
      </c>
      <c r="O318" t="str">
        <f>IF(SAISIE!$P323="","",SAISIE!$P323)</f>
        <v/>
      </c>
      <c r="P318" t="str">
        <f>IF(SAISIE!$Q323="","",SAISIE!$Q323)</f>
        <v/>
      </c>
      <c r="Q318" t="str">
        <f>IF($I318="","",IF($I318&gt;PARAMETRES!$G$29,5,IF($I318&gt;PARAMETRES!$F$29,4,IF($I318&gt;PARAMETRES!$E$29,3,IF($I318&gt;PARAMETRES!$D$29,2,1)))))</f>
        <v/>
      </c>
      <c r="R318" t="str">
        <f>IF($J318="","",IF($J318&gt;PARAMETRES!$G$30,5,IF($J318&gt;PARAMETRES!$F$30,4,IF($J318&gt;PARAMETRES!$E$30,3,IF($J318&gt;PARAMETRES!$D$30,2,1)))))</f>
        <v/>
      </c>
      <c r="S318" t="str">
        <f>IF($K318="","",IF($Z318=2,IF($K318&gt;PARAMETRES!$G$31,5,IF($K318&gt;PARAMETRES!$F$31,4,IF($K318&gt;PARAMETRES!$E$31,3,IF($K318&gt;PARAMETRES!$D$31,2,1)))),IF($K318&gt;PARAMETRES!$G$32,5,IF($K318&gt;PARAMETRES!$F$32,4,IF($K318&gt;PARAMETRES!$E$32,3,IF($K318&gt;PARAMETRES!$D$32,2,1))))))</f>
        <v/>
      </c>
      <c r="T318" t="str">
        <f>IF($L318="","",IF($L318&gt;PARAMETRES!$G$33,5,IF($L318&gt;PARAMETRES!$F$33,4,IF($L318&gt;PARAMETRES!$E$33,3,IF($L318&gt;PARAMETRES!$D$33,2,1)))))</f>
        <v/>
      </c>
      <c r="U318" t="str">
        <f>IF($M318="","",IF($M318&gt;PARAMETRES!$G$34,5,IF($M318&gt;PARAMETRES!$F$34,4,IF($M318&gt;PARAMETRES!$E$34,3,IF($M318&gt;PARAMETRES!$D$34,2,1)))))</f>
        <v/>
      </c>
      <c r="V318" t="str">
        <f>IF($N318="","",IF($N318&gt;PARAMETRES!$G$35,5,IF($N318&gt;PARAMETRES!$F$35,4,IF($N318&gt;PARAMETRES!$E$35,3,IF($N318&gt;PARAMETRES!$D$35,2,1)))))</f>
        <v/>
      </c>
      <c r="W318" t="str">
        <f>IF($O318="","",IF($O318&gt;PARAMETRES!$G$36,5,IF($O318&gt;PARAMETRES!$F$36,4,IF($O318&gt;PARAMETRES!$E$36,3,IF($O318&gt;PARAMETRES!$D$36,2,1)))))</f>
        <v/>
      </c>
      <c r="X318" t="str">
        <f>IF($P318="","",IF($P318&gt;PARAMETRES!$G$37,5,IF($P318&gt;PARAMETRES!$F$37,4,IF($P318&gt;PARAMETRES!$E$37,3,IF($P318&gt;PARAMETRES!$D$37,2,1)))))</f>
        <v/>
      </c>
      <c r="Y318" t="str">
        <f t="shared" si="96"/>
        <v/>
      </c>
      <c r="Z318" t="str">
        <f>IFERROR(VLOOKUP($B318,TABLE_CYCLE,2,0),"")</f>
        <v/>
      </c>
      <c r="AA318" t="str">
        <f t="shared" si="97"/>
        <v/>
      </c>
      <c r="AB318" t="str">
        <f>IF($D318="","",IF(COUNTIF($D$2:$D318,$D318)=1,$D318,""))</f>
        <v/>
      </c>
      <c r="AC318">
        <f t="shared" si="98"/>
        <v>0</v>
      </c>
      <c r="AD318" t="str">
        <f t="shared" si="99"/>
        <v>|0</v>
      </c>
      <c r="AE318" t="str">
        <f t="shared" si="100"/>
        <v/>
      </c>
      <c r="AF318" t="str">
        <f t="shared" si="101"/>
        <v/>
      </c>
      <c r="AG318" t="str">
        <f t="shared" si="102"/>
        <v/>
      </c>
      <c r="AH318" t="str">
        <f t="shared" si="103"/>
        <v/>
      </c>
      <c r="AI318" t="str">
        <f t="shared" si="104"/>
        <v/>
      </c>
      <c r="AJ318" t="str">
        <f t="shared" si="105"/>
        <v/>
      </c>
      <c r="AK318" t="str">
        <f t="shared" si="106"/>
        <v/>
      </c>
      <c r="AL318" t="str">
        <f t="shared" si="107"/>
        <v/>
      </c>
      <c r="AM318" t="str">
        <f t="shared" si="108"/>
        <v/>
      </c>
      <c r="AN318" t="str">
        <f t="shared" si="109"/>
        <v/>
      </c>
      <c r="AO318" t="str">
        <f t="shared" si="110"/>
        <v/>
      </c>
      <c r="AP318">
        <f t="shared" si="111"/>
        <v>1</v>
      </c>
      <c r="AQ318" t="str">
        <f>IF(SAISIE!$F323="","",SAISIE!$Y323)</f>
        <v/>
      </c>
      <c r="AR318" t="str">
        <f>IF(OR(SAISIE!$U$4="",SAISIE!$W$4=""),"",IF(AND($A318=SAISIE!$U$4,$B318=SAISIE!$W$4,$C318="S1"),COUNTIFS($A$2:$A318,SAISIE!$U$4,$B$2:$B318,SAISIE!$W$4,$C$2:$C318,"S1"),""))</f>
        <v/>
      </c>
      <c r="AS318" t="str">
        <f t="shared" si="112"/>
        <v/>
      </c>
      <c r="AT318" t="str">
        <f t="shared" si="113"/>
        <v/>
      </c>
      <c r="AU318" t="str">
        <f t="shared" si="114"/>
        <v/>
      </c>
      <c r="AV318">
        <f>N(AV317)+IF(AND($AB318&lt;&gt;"",OR('PROFIL ELEVE'!$K$4="(Tous)",$AF318='PROFIL ELEVE'!$K$4)),1,0)</f>
        <v>0</v>
      </c>
      <c r="AW318">
        <f>N(AW317)+IF(AND($AB318&lt;&gt;"",OR('SUIVI LONGITUDINAL'!$Q$4="(Tous)",$AF318='SUIVI LONGITUDINAL'!$Q$4)),1,0)</f>
        <v>0</v>
      </c>
      <c r="AX318">
        <f t="shared" si="115"/>
        <v>0</v>
      </c>
      <c r="AY318">
        <f t="shared" si="116"/>
        <v>0</v>
      </c>
      <c r="AZ318">
        <f t="shared" si="117"/>
        <v>0</v>
      </c>
      <c r="BA318" t="str">
        <f t="shared" si="118"/>
        <v/>
      </c>
      <c r="BB318" t="str">
        <f t="shared" si="119"/>
        <v/>
      </c>
    </row>
    <row r="319" spans="1:54" ht="14.25" customHeight="1" x14ac:dyDescent="0.3">
      <c r="A319" t="str">
        <f>IF(SAISIE!$F324="","",SAISIE!$B324)</f>
        <v/>
      </c>
      <c r="B319" t="str">
        <f>IF(SAISIE!$F324="","",SAISIE!$C324)</f>
        <v/>
      </c>
      <c r="C319" t="str">
        <f>IF(SAISIE!$F324="","",SAISIE!$D324)</f>
        <v/>
      </c>
      <c r="D319" t="str">
        <f>IF(SAISIE!$E324="","",SAISIE!$E324)</f>
        <v/>
      </c>
      <c r="E319" t="str">
        <f>IF(SAISIE!$F324="","",SAISIE!$F324)</f>
        <v/>
      </c>
      <c r="F319" t="str">
        <f>IF(SAISIE!$G324="","",SAISIE!$G324)</f>
        <v/>
      </c>
      <c r="G319" t="str">
        <f>IF(SAISIE!$H324="","",SAISIE!$H324)</f>
        <v/>
      </c>
      <c r="H319" t="str">
        <f>IF(SAISIE!$I324="","",SAISIE!$I324)</f>
        <v/>
      </c>
      <c r="I319" t="str">
        <f>IF(SAISIE!$J324="","",SAISIE!$J324)</f>
        <v/>
      </c>
      <c r="J319" t="str">
        <f>IF(SAISIE!$K324="","",SAISIE!$K324)</f>
        <v/>
      </c>
      <c r="K319" t="str">
        <f>IF(SAISIE!$L324="","",SAISIE!$L324)</f>
        <v/>
      </c>
      <c r="L319" t="str">
        <f>IF(SAISIE!$M324="","",SAISIE!$M324)</f>
        <v/>
      </c>
      <c r="M319" t="str">
        <f>IF(SAISIE!$N324="","",SAISIE!$N324)</f>
        <v/>
      </c>
      <c r="N319" t="str">
        <f>IF(SAISIE!$O324="","",SAISIE!$O324)</f>
        <v/>
      </c>
      <c r="O319" t="str">
        <f>IF(SAISIE!$P324="","",SAISIE!$P324)</f>
        <v/>
      </c>
      <c r="P319" t="str">
        <f>IF(SAISIE!$Q324="","",SAISIE!$Q324)</f>
        <v/>
      </c>
      <c r="Q319" t="str">
        <f>IF($I319="","",IF($I319&gt;PARAMETRES!$G$29,5,IF($I319&gt;PARAMETRES!$F$29,4,IF($I319&gt;PARAMETRES!$E$29,3,IF($I319&gt;PARAMETRES!$D$29,2,1)))))</f>
        <v/>
      </c>
      <c r="R319" t="str">
        <f>IF($J319="","",IF($J319&gt;PARAMETRES!$G$30,5,IF($J319&gt;PARAMETRES!$F$30,4,IF($J319&gt;PARAMETRES!$E$30,3,IF($J319&gt;PARAMETRES!$D$30,2,1)))))</f>
        <v/>
      </c>
      <c r="S319" t="str">
        <f>IF($K319="","",IF($Z319=2,IF($K319&gt;PARAMETRES!$G$31,5,IF($K319&gt;PARAMETRES!$F$31,4,IF($K319&gt;PARAMETRES!$E$31,3,IF($K319&gt;PARAMETRES!$D$31,2,1)))),IF($K319&gt;PARAMETRES!$G$32,5,IF($K319&gt;PARAMETRES!$F$32,4,IF($K319&gt;PARAMETRES!$E$32,3,IF($K319&gt;PARAMETRES!$D$32,2,1))))))</f>
        <v/>
      </c>
      <c r="T319" t="str">
        <f>IF($L319="","",IF($L319&gt;PARAMETRES!$G$33,5,IF($L319&gt;PARAMETRES!$F$33,4,IF($L319&gt;PARAMETRES!$E$33,3,IF($L319&gt;PARAMETRES!$D$33,2,1)))))</f>
        <v/>
      </c>
      <c r="U319" t="str">
        <f>IF($M319="","",IF($M319&gt;PARAMETRES!$G$34,5,IF($M319&gt;PARAMETRES!$F$34,4,IF($M319&gt;PARAMETRES!$E$34,3,IF($M319&gt;PARAMETRES!$D$34,2,1)))))</f>
        <v/>
      </c>
      <c r="V319" t="str">
        <f>IF($N319="","",IF($N319&gt;PARAMETRES!$G$35,5,IF($N319&gt;PARAMETRES!$F$35,4,IF($N319&gt;PARAMETRES!$E$35,3,IF($N319&gt;PARAMETRES!$D$35,2,1)))))</f>
        <v/>
      </c>
      <c r="W319" t="str">
        <f>IF($O319="","",IF($O319&gt;PARAMETRES!$G$36,5,IF($O319&gt;PARAMETRES!$F$36,4,IF($O319&gt;PARAMETRES!$E$36,3,IF($O319&gt;PARAMETRES!$D$36,2,1)))))</f>
        <v/>
      </c>
      <c r="X319" t="str">
        <f>IF($P319="","",IF($P319&gt;PARAMETRES!$G$37,5,IF($P319&gt;PARAMETRES!$F$37,4,IF($P319&gt;PARAMETRES!$E$37,3,IF($P319&gt;PARAMETRES!$D$37,2,1)))))</f>
        <v/>
      </c>
      <c r="Y319" t="str">
        <f t="shared" si="96"/>
        <v/>
      </c>
      <c r="Z319" t="str">
        <f>IFERROR(VLOOKUP($B319,TABLE_CYCLE,2,0),"")</f>
        <v/>
      </c>
      <c r="AA319" t="str">
        <f t="shared" si="97"/>
        <v/>
      </c>
      <c r="AB319" t="str">
        <f>IF($D319="","",IF(COUNTIF($D$2:$D319,$D319)=1,$D319,""))</f>
        <v/>
      </c>
      <c r="AC319">
        <f t="shared" si="98"/>
        <v>0</v>
      </c>
      <c r="AD319" t="str">
        <f t="shared" si="99"/>
        <v>|0</v>
      </c>
      <c r="AE319" t="str">
        <f t="shared" si="100"/>
        <v/>
      </c>
      <c r="AF319" t="str">
        <f t="shared" si="101"/>
        <v/>
      </c>
      <c r="AG319" t="str">
        <f t="shared" si="102"/>
        <v/>
      </c>
      <c r="AH319" t="str">
        <f t="shared" si="103"/>
        <v/>
      </c>
      <c r="AI319" t="str">
        <f t="shared" si="104"/>
        <v/>
      </c>
      <c r="AJ319" t="str">
        <f t="shared" si="105"/>
        <v/>
      </c>
      <c r="AK319" t="str">
        <f t="shared" si="106"/>
        <v/>
      </c>
      <c r="AL319" t="str">
        <f t="shared" si="107"/>
        <v/>
      </c>
      <c r="AM319" t="str">
        <f t="shared" si="108"/>
        <v/>
      </c>
      <c r="AN319" t="str">
        <f t="shared" si="109"/>
        <v/>
      </c>
      <c r="AO319" t="str">
        <f t="shared" si="110"/>
        <v/>
      </c>
      <c r="AP319">
        <f t="shared" si="111"/>
        <v>1</v>
      </c>
      <c r="AQ319" t="str">
        <f>IF(SAISIE!$F324="","",SAISIE!$Y324)</f>
        <v/>
      </c>
      <c r="AR319" t="str">
        <f>IF(OR(SAISIE!$U$4="",SAISIE!$W$4=""),"",IF(AND($A319=SAISIE!$U$4,$B319=SAISIE!$W$4,$C319="S1"),COUNTIFS($A$2:$A319,SAISIE!$U$4,$B$2:$B319,SAISIE!$W$4,$C$2:$C319,"S1"),""))</f>
        <v/>
      </c>
      <c r="AS319" t="str">
        <f t="shared" si="112"/>
        <v/>
      </c>
      <c r="AT319" t="str">
        <f t="shared" si="113"/>
        <v/>
      </c>
      <c r="AU319" t="str">
        <f t="shared" si="114"/>
        <v/>
      </c>
      <c r="AV319">
        <f>N(AV318)+IF(AND($AB319&lt;&gt;"",OR('PROFIL ELEVE'!$K$4="(Tous)",$AF319='PROFIL ELEVE'!$K$4)),1,0)</f>
        <v>0</v>
      </c>
      <c r="AW319">
        <f>N(AW318)+IF(AND($AB319&lt;&gt;"",OR('SUIVI LONGITUDINAL'!$Q$4="(Tous)",$AF319='SUIVI LONGITUDINAL'!$Q$4)),1,0)</f>
        <v>0</v>
      </c>
      <c r="AX319">
        <f t="shared" si="115"/>
        <v>0</v>
      </c>
      <c r="AY319">
        <f t="shared" si="116"/>
        <v>0</v>
      </c>
      <c r="AZ319">
        <f t="shared" si="117"/>
        <v>0</v>
      </c>
      <c r="BA319" t="str">
        <f t="shared" si="118"/>
        <v/>
      </c>
      <c r="BB319" t="str">
        <f t="shared" si="119"/>
        <v/>
      </c>
    </row>
    <row r="320" spans="1:54" ht="14.25" customHeight="1" x14ac:dyDescent="0.3">
      <c r="A320" t="str">
        <f>IF(SAISIE!$F325="","",SAISIE!$B325)</f>
        <v/>
      </c>
      <c r="B320" t="str">
        <f>IF(SAISIE!$F325="","",SAISIE!$C325)</f>
        <v/>
      </c>
      <c r="C320" t="str">
        <f>IF(SAISIE!$F325="","",SAISIE!$D325)</f>
        <v/>
      </c>
      <c r="D320" t="str">
        <f>IF(SAISIE!$E325="","",SAISIE!$E325)</f>
        <v/>
      </c>
      <c r="E320" t="str">
        <f>IF(SAISIE!$F325="","",SAISIE!$F325)</f>
        <v/>
      </c>
      <c r="F320" t="str">
        <f>IF(SAISIE!$G325="","",SAISIE!$G325)</f>
        <v/>
      </c>
      <c r="G320" t="str">
        <f>IF(SAISIE!$H325="","",SAISIE!$H325)</f>
        <v/>
      </c>
      <c r="H320" t="str">
        <f>IF(SAISIE!$I325="","",SAISIE!$I325)</f>
        <v/>
      </c>
      <c r="I320" t="str">
        <f>IF(SAISIE!$J325="","",SAISIE!$J325)</f>
        <v/>
      </c>
      <c r="J320" t="str">
        <f>IF(SAISIE!$K325="","",SAISIE!$K325)</f>
        <v/>
      </c>
      <c r="K320" t="str">
        <f>IF(SAISIE!$L325="","",SAISIE!$L325)</f>
        <v/>
      </c>
      <c r="L320" t="str">
        <f>IF(SAISIE!$M325="","",SAISIE!$M325)</f>
        <v/>
      </c>
      <c r="M320" t="str">
        <f>IF(SAISIE!$N325="","",SAISIE!$N325)</f>
        <v/>
      </c>
      <c r="N320" t="str">
        <f>IF(SAISIE!$O325="","",SAISIE!$O325)</f>
        <v/>
      </c>
      <c r="O320" t="str">
        <f>IF(SAISIE!$P325="","",SAISIE!$P325)</f>
        <v/>
      </c>
      <c r="P320" t="str">
        <f>IF(SAISIE!$Q325="","",SAISIE!$Q325)</f>
        <v/>
      </c>
      <c r="Q320" t="str">
        <f>IF($I320="","",IF($I320&gt;PARAMETRES!$G$29,5,IF($I320&gt;PARAMETRES!$F$29,4,IF($I320&gt;PARAMETRES!$E$29,3,IF($I320&gt;PARAMETRES!$D$29,2,1)))))</f>
        <v/>
      </c>
      <c r="R320" t="str">
        <f>IF($J320="","",IF($J320&gt;PARAMETRES!$G$30,5,IF($J320&gt;PARAMETRES!$F$30,4,IF($J320&gt;PARAMETRES!$E$30,3,IF($J320&gt;PARAMETRES!$D$30,2,1)))))</f>
        <v/>
      </c>
      <c r="S320" t="str">
        <f>IF($K320="","",IF($Z320=2,IF($K320&gt;PARAMETRES!$G$31,5,IF($K320&gt;PARAMETRES!$F$31,4,IF($K320&gt;PARAMETRES!$E$31,3,IF($K320&gt;PARAMETRES!$D$31,2,1)))),IF($K320&gt;PARAMETRES!$G$32,5,IF($K320&gt;PARAMETRES!$F$32,4,IF($K320&gt;PARAMETRES!$E$32,3,IF($K320&gt;PARAMETRES!$D$32,2,1))))))</f>
        <v/>
      </c>
      <c r="T320" t="str">
        <f>IF($L320="","",IF($L320&gt;PARAMETRES!$G$33,5,IF($L320&gt;PARAMETRES!$F$33,4,IF($L320&gt;PARAMETRES!$E$33,3,IF($L320&gt;PARAMETRES!$D$33,2,1)))))</f>
        <v/>
      </c>
      <c r="U320" t="str">
        <f>IF($M320="","",IF($M320&gt;PARAMETRES!$G$34,5,IF($M320&gt;PARAMETRES!$F$34,4,IF($M320&gt;PARAMETRES!$E$34,3,IF($M320&gt;PARAMETRES!$D$34,2,1)))))</f>
        <v/>
      </c>
      <c r="V320" t="str">
        <f>IF($N320="","",IF($N320&gt;PARAMETRES!$G$35,5,IF($N320&gt;PARAMETRES!$F$35,4,IF($N320&gt;PARAMETRES!$E$35,3,IF($N320&gt;PARAMETRES!$D$35,2,1)))))</f>
        <v/>
      </c>
      <c r="W320" t="str">
        <f>IF($O320="","",IF($O320&gt;PARAMETRES!$G$36,5,IF($O320&gt;PARAMETRES!$F$36,4,IF($O320&gt;PARAMETRES!$E$36,3,IF($O320&gt;PARAMETRES!$D$36,2,1)))))</f>
        <v/>
      </c>
      <c r="X320" t="str">
        <f>IF($P320="","",IF($P320&gt;PARAMETRES!$G$37,5,IF($P320&gt;PARAMETRES!$F$37,4,IF($P320&gt;PARAMETRES!$E$37,3,IF($P320&gt;PARAMETRES!$D$37,2,1)))))</f>
        <v/>
      </c>
      <c r="Y320" t="str">
        <f t="shared" si="96"/>
        <v/>
      </c>
      <c r="Z320" t="str">
        <f>IFERROR(VLOOKUP($B320,TABLE_CYCLE,2,0),"")</f>
        <v/>
      </c>
      <c r="AA320" t="str">
        <f t="shared" si="97"/>
        <v/>
      </c>
      <c r="AB320" t="str">
        <f>IF($D320="","",IF(COUNTIF($D$2:$D320,$D320)=1,$D320,""))</f>
        <v/>
      </c>
      <c r="AC320">
        <f t="shared" si="98"/>
        <v>0</v>
      </c>
      <c r="AD320" t="str">
        <f t="shared" si="99"/>
        <v>|0</v>
      </c>
      <c r="AE320" t="str">
        <f t="shared" si="100"/>
        <v/>
      </c>
      <c r="AF320" t="str">
        <f t="shared" si="101"/>
        <v/>
      </c>
      <c r="AG320" t="str">
        <f t="shared" si="102"/>
        <v/>
      </c>
      <c r="AH320" t="str">
        <f t="shared" si="103"/>
        <v/>
      </c>
      <c r="AI320" t="str">
        <f t="shared" si="104"/>
        <v/>
      </c>
      <c r="AJ320" t="str">
        <f t="shared" si="105"/>
        <v/>
      </c>
      <c r="AK320" t="str">
        <f t="shared" si="106"/>
        <v/>
      </c>
      <c r="AL320" t="str">
        <f t="shared" si="107"/>
        <v/>
      </c>
      <c r="AM320" t="str">
        <f t="shared" si="108"/>
        <v/>
      </c>
      <c r="AN320" t="str">
        <f t="shared" si="109"/>
        <v/>
      </c>
      <c r="AO320" t="str">
        <f t="shared" si="110"/>
        <v/>
      </c>
      <c r="AP320">
        <f t="shared" si="111"/>
        <v>1</v>
      </c>
      <c r="AQ320" t="str">
        <f>IF(SAISIE!$F325="","",SAISIE!$Y325)</f>
        <v/>
      </c>
      <c r="AR320" t="str">
        <f>IF(OR(SAISIE!$U$4="",SAISIE!$W$4=""),"",IF(AND($A320=SAISIE!$U$4,$B320=SAISIE!$W$4,$C320="S1"),COUNTIFS($A$2:$A320,SAISIE!$U$4,$B$2:$B320,SAISIE!$W$4,$C$2:$C320,"S1"),""))</f>
        <v/>
      </c>
      <c r="AS320" t="str">
        <f t="shared" si="112"/>
        <v/>
      </c>
      <c r="AT320" t="str">
        <f t="shared" si="113"/>
        <v/>
      </c>
      <c r="AU320" t="str">
        <f t="shared" si="114"/>
        <v/>
      </c>
      <c r="AV320">
        <f>N(AV319)+IF(AND($AB320&lt;&gt;"",OR('PROFIL ELEVE'!$K$4="(Tous)",$AF320='PROFIL ELEVE'!$K$4)),1,0)</f>
        <v>0</v>
      </c>
      <c r="AW320">
        <f>N(AW319)+IF(AND($AB320&lt;&gt;"",OR('SUIVI LONGITUDINAL'!$Q$4="(Tous)",$AF320='SUIVI LONGITUDINAL'!$Q$4)),1,0)</f>
        <v>0</v>
      </c>
      <c r="AX320">
        <f t="shared" si="115"/>
        <v>0</v>
      </c>
      <c r="AY320">
        <f t="shared" si="116"/>
        <v>0</v>
      </c>
      <c r="AZ320">
        <f t="shared" si="117"/>
        <v>0</v>
      </c>
      <c r="BA320" t="str">
        <f t="shared" si="118"/>
        <v/>
      </c>
      <c r="BB320" t="str">
        <f t="shared" si="119"/>
        <v/>
      </c>
    </row>
    <row r="321" spans="1:54" ht="14.25" customHeight="1" x14ac:dyDescent="0.3">
      <c r="A321" t="str">
        <f>IF(SAISIE!$F326="","",SAISIE!$B326)</f>
        <v/>
      </c>
      <c r="B321" t="str">
        <f>IF(SAISIE!$F326="","",SAISIE!$C326)</f>
        <v/>
      </c>
      <c r="C321" t="str">
        <f>IF(SAISIE!$F326="","",SAISIE!$D326)</f>
        <v/>
      </c>
      <c r="D321" t="str">
        <f>IF(SAISIE!$E326="","",SAISIE!$E326)</f>
        <v/>
      </c>
      <c r="E321" t="str">
        <f>IF(SAISIE!$F326="","",SAISIE!$F326)</f>
        <v/>
      </c>
      <c r="F321" t="str">
        <f>IF(SAISIE!$G326="","",SAISIE!$G326)</f>
        <v/>
      </c>
      <c r="G321" t="str">
        <f>IF(SAISIE!$H326="","",SAISIE!$H326)</f>
        <v/>
      </c>
      <c r="H321" t="str">
        <f>IF(SAISIE!$I326="","",SAISIE!$I326)</f>
        <v/>
      </c>
      <c r="I321" t="str">
        <f>IF(SAISIE!$J326="","",SAISIE!$J326)</f>
        <v/>
      </c>
      <c r="J321" t="str">
        <f>IF(SAISIE!$K326="","",SAISIE!$K326)</f>
        <v/>
      </c>
      <c r="K321" t="str">
        <f>IF(SAISIE!$L326="","",SAISIE!$L326)</f>
        <v/>
      </c>
      <c r="L321" t="str">
        <f>IF(SAISIE!$M326="","",SAISIE!$M326)</f>
        <v/>
      </c>
      <c r="M321" t="str">
        <f>IF(SAISIE!$N326="","",SAISIE!$N326)</f>
        <v/>
      </c>
      <c r="N321" t="str">
        <f>IF(SAISIE!$O326="","",SAISIE!$O326)</f>
        <v/>
      </c>
      <c r="O321" t="str">
        <f>IF(SAISIE!$P326="","",SAISIE!$P326)</f>
        <v/>
      </c>
      <c r="P321" t="str">
        <f>IF(SAISIE!$Q326="","",SAISIE!$Q326)</f>
        <v/>
      </c>
      <c r="Q321" t="str">
        <f>IF($I321="","",IF($I321&gt;PARAMETRES!$G$29,5,IF($I321&gt;PARAMETRES!$F$29,4,IF($I321&gt;PARAMETRES!$E$29,3,IF($I321&gt;PARAMETRES!$D$29,2,1)))))</f>
        <v/>
      </c>
      <c r="R321" t="str">
        <f>IF($J321="","",IF($J321&gt;PARAMETRES!$G$30,5,IF($J321&gt;PARAMETRES!$F$30,4,IF($J321&gt;PARAMETRES!$E$30,3,IF($J321&gt;PARAMETRES!$D$30,2,1)))))</f>
        <v/>
      </c>
      <c r="S321" t="str">
        <f>IF($K321="","",IF($Z321=2,IF($K321&gt;PARAMETRES!$G$31,5,IF($K321&gt;PARAMETRES!$F$31,4,IF($K321&gt;PARAMETRES!$E$31,3,IF($K321&gt;PARAMETRES!$D$31,2,1)))),IF($K321&gt;PARAMETRES!$G$32,5,IF($K321&gt;PARAMETRES!$F$32,4,IF($K321&gt;PARAMETRES!$E$32,3,IF($K321&gt;PARAMETRES!$D$32,2,1))))))</f>
        <v/>
      </c>
      <c r="T321" t="str">
        <f>IF($L321="","",IF($L321&gt;PARAMETRES!$G$33,5,IF($L321&gt;PARAMETRES!$F$33,4,IF($L321&gt;PARAMETRES!$E$33,3,IF($L321&gt;PARAMETRES!$D$33,2,1)))))</f>
        <v/>
      </c>
      <c r="U321" t="str">
        <f>IF($M321="","",IF($M321&gt;PARAMETRES!$G$34,5,IF($M321&gt;PARAMETRES!$F$34,4,IF($M321&gt;PARAMETRES!$E$34,3,IF($M321&gt;PARAMETRES!$D$34,2,1)))))</f>
        <v/>
      </c>
      <c r="V321" t="str">
        <f>IF($N321="","",IF($N321&gt;PARAMETRES!$G$35,5,IF($N321&gt;PARAMETRES!$F$35,4,IF($N321&gt;PARAMETRES!$E$35,3,IF($N321&gt;PARAMETRES!$D$35,2,1)))))</f>
        <v/>
      </c>
      <c r="W321" t="str">
        <f>IF($O321="","",IF($O321&gt;PARAMETRES!$G$36,5,IF($O321&gt;PARAMETRES!$F$36,4,IF($O321&gt;PARAMETRES!$E$36,3,IF($O321&gt;PARAMETRES!$D$36,2,1)))))</f>
        <v/>
      </c>
      <c r="X321" t="str">
        <f>IF($P321="","",IF($P321&gt;PARAMETRES!$G$37,5,IF($P321&gt;PARAMETRES!$F$37,4,IF($P321&gt;PARAMETRES!$E$37,3,IF($P321&gt;PARAMETRES!$D$37,2,1)))))</f>
        <v/>
      </c>
      <c r="Y321" t="str">
        <f t="shared" si="96"/>
        <v/>
      </c>
      <c r="Z321" t="str">
        <f>IFERROR(VLOOKUP($B321,TABLE_CYCLE,2,0),"")</f>
        <v/>
      </c>
      <c r="AA321" t="str">
        <f t="shared" si="97"/>
        <v/>
      </c>
      <c r="AB321" t="str">
        <f>IF($D321="","",IF(COUNTIF($D$2:$D321,$D321)=1,$D321,""))</f>
        <v/>
      </c>
      <c r="AC321">
        <f t="shared" si="98"/>
        <v>0</v>
      </c>
      <c r="AD321" t="str">
        <f t="shared" si="99"/>
        <v>|0</v>
      </c>
      <c r="AE321" t="str">
        <f t="shared" si="100"/>
        <v/>
      </c>
      <c r="AF321" t="str">
        <f t="shared" si="101"/>
        <v/>
      </c>
      <c r="AG321" t="str">
        <f t="shared" si="102"/>
        <v/>
      </c>
      <c r="AH321" t="str">
        <f t="shared" si="103"/>
        <v/>
      </c>
      <c r="AI321" t="str">
        <f t="shared" si="104"/>
        <v/>
      </c>
      <c r="AJ321" t="str">
        <f t="shared" si="105"/>
        <v/>
      </c>
      <c r="AK321" t="str">
        <f t="shared" si="106"/>
        <v/>
      </c>
      <c r="AL321" t="str">
        <f t="shared" si="107"/>
        <v/>
      </c>
      <c r="AM321" t="str">
        <f t="shared" si="108"/>
        <v/>
      </c>
      <c r="AN321" t="str">
        <f t="shared" si="109"/>
        <v/>
      </c>
      <c r="AO321" t="str">
        <f t="shared" si="110"/>
        <v/>
      </c>
      <c r="AP321">
        <f t="shared" si="111"/>
        <v>1</v>
      </c>
      <c r="AQ321" t="str">
        <f>IF(SAISIE!$F326="","",SAISIE!$Y326)</f>
        <v/>
      </c>
      <c r="AR321" t="str">
        <f>IF(OR(SAISIE!$U$4="",SAISIE!$W$4=""),"",IF(AND($A321=SAISIE!$U$4,$B321=SAISIE!$W$4,$C321="S1"),COUNTIFS($A$2:$A321,SAISIE!$U$4,$B$2:$B321,SAISIE!$W$4,$C$2:$C321,"S1"),""))</f>
        <v/>
      </c>
      <c r="AS321" t="str">
        <f t="shared" si="112"/>
        <v/>
      </c>
      <c r="AT321" t="str">
        <f t="shared" si="113"/>
        <v/>
      </c>
      <c r="AU321" t="str">
        <f t="shared" si="114"/>
        <v/>
      </c>
      <c r="AV321">
        <f>N(AV320)+IF(AND($AB321&lt;&gt;"",OR('PROFIL ELEVE'!$K$4="(Tous)",$AF321='PROFIL ELEVE'!$K$4)),1,0)</f>
        <v>0</v>
      </c>
      <c r="AW321">
        <f>N(AW320)+IF(AND($AB321&lt;&gt;"",OR('SUIVI LONGITUDINAL'!$Q$4="(Tous)",$AF321='SUIVI LONGITUDINAL'!$Q$4)),1,0)</f>
        <v>0</v>
      </c>
      <c r="AX321">
        <f t="shared" si="115"/>
        <v>0</v>
      </c>
      <c r="AY321">
        <f t="shared" si="116"/>
        <v>0</v>
      </c>
      <c r="AZ321">
        <f t="shared" si="117"/>
        <v>0</v>
      </c>
      <c r="BA321" t="str">
        <f t="shared" si="118"/>
        <v/>
      </c>
      <c r="BB321" t="str">
        <f t="shared" si="119"/>
        <v/>
      </c>
    </row>
    <row r="322" spans="1:54" ht="14.25" customHeight="1" x14ac:dyDescent="0.3">
      <c r="A322" t="str">
        <f>IF(SAISIE!$F327="","",SAISIE!$B327)</f>
        <v/>
      </c>
      <c r="B322" t="str">
        <f>IF(SAISIE!$F327="","",SAISIE!$C327)</f>
        <v/>
      </c>
      <c r="C322" t="str">
        <f>IF(SAISIE!$F327="","",SAISIE!$D327)</f>
        <v/>
      </c>
      <c r="D322" t="str">
        <f>IF(SAISIE!$E327="","",SAISIE!$E327)</f>
        <v/>
      </c>
      <c r="E322" t="str">
        <f>IF(SAISIE!$F327="","",SAISIE!$F327)</f>
        <v/>
      </c>
      <c r="F322" t="str">
        <f>IF(SAISIE!$G327="","",SAISIE!$G327)</f>
        <v/>
      </c>
      <c r="G322" t="str">
        <f>IF(SAISIE!$H327="","",SAISIE!$H327)</f>
        <v/>
      </c>
      <c r="H322" t="str">
        <f>IF(SAISIE!$I327="","",SAISIE!$I327)</f>
        <v/>
      </c>
      <c r="I322" t="str">
        <f>IF(SAISIE!$J327="","",SAISIE!$J327)</f>
        <v/>
      </c>
      <c r="J322" t="str">
        <f>IF(SAISIE!$K327="","",SAISIE!$K327)</f>
        <v/>
      </c>
      <c r="K322" t="str">
        <f>IF(SAISIE!$L327="","",SAISIE!$L327)</f>
        <v/>
      </c>
      <c r="L322" t="str">
        <f>IF(SAISIE!$M327="","",SAISIE!$M327)</f>
        <v/>
      </c>
      <c r="M322" t="str">
        <f>IF(SAISIE!$N327="","",SAISIE!$N327)</f>
        <v/>
      </c>
      <c r="N322" t="str">
        <f>IF(SAISIE!$O327="","",SAISIE!$O327)</f>
        <v/>
      </c>
      <c r="O322" t="str">
        <f>IF(SAISIE!$P327="","",SAISIE!$P327)</f>
        <v/>
      </c>
      <c r="P322" t="str">
        <f>IF(SAISIE!$Q327="","",SAISIE!$Q327)</f>
        <v/>
      </c>
      <c r="Q322" t="str">
        <f>IF($I322="","",IF($I322&gt;PARAMETRES!$G$29,5,IF($I322&gt;PARAMETRES!$F$29,4,IF($I322&gt;PARAMETRES!$E$29,3,IF($I322&gt;PARAMETRES!$D$29,2,1)))))</f>
        <v/>
      </c>
      <c r="R322" t="str">
        <f>IF($J322="","",IF($J322&gt;PARAMETRES!$G$30,5,IF($J322&gt;PARAMETRES!$F$30,4,IF($J322&gt;PARAMETRES!$E$30,3,IF($J322&gt;PARAMETRES!$D$30,2,1)))))</f>
        <v/>
      </c>
      <c r="S322" t="str">
        <f>IF($K322="","",IF($Z322=2,IF($K322&gt;PARAMETRES!$G$31,5,IF($K322&gt;PARAMETRES!$F$31,4,IF($K322&gt;PARAMETRES!$E$31,3,IF($K322&gt;PARAMETRES!$D$31,2,1)))),IF($K322&gt;PARAMETRES!$G$32,5,IF($K322&gt;PARAMETRES!$F$32,4,IF($K322&gt;PARAMETRES!$E$32,3,IF($K322&gt;PARAMETRES!$D$32,2,1))))))</f>
        <v/>
      </c>
      <c r="T322" t="str">
        <f>IF($L322="","",IF($L322&gt;PARAMETRES!$G$33,5,IF($L322&gt;PARAMETRES!$F$33,4,IF($L322&gt;PARAMETRES!$E$33,3,IF($L322&gt;PARAMETRES!$D$33,2,1)))))</f>
        <v/>
      </c>
      <c r="U322" t="str">
        <f>IF($M322="","",IF($M322&gt;PARAMETRES!$G$34,5,IF($M322&gt;PARAMETRES!$F$34,4,IF($M322&gt;PARAMETRES!$E$34,3,IF($M322&gt;PARAMETRES!$D$34,2,1)))))</f>
        <v/>
      </c>
      <c r="V322" t="str">
        <f>IF($N322="","",IF($N322&gt;PARAMETRES!$G$35,5,IF($N322&gt;PARAMETRES!$F$35,4,IF($N322&gt;PARAMETRES!$E$35,3,IF($N322&gt;PARAMETRES!$D$35,2,1)))))</f>
        <v/>
      </c>
      <c r="W322" t="str">
        <f>IF($O322="","",IF($O322&gt;PARAMETRES!$G$36,5,IF($O322&gt;PARAMETRES!$F$36,4,IF($O322&gt;PARAMETRES!$E$36,3,IF($O322&gt;PARAMETRES!$D$36,2,1)))))</f>
        <v/>
      </c>
      <c r="X322" t="str">
        <f>IF($P322="","",IF($P322&gt;PARAMETRES!$G$37,5,IF($P322&gt;PARAMETRES!$F$37,4,IF($P322&gt;PARAMETRES!$E$37,3,IF($P322&gt;PARAMETRES!$D$37,2,1)))))</f>
        <v/>
      </c>
      <c r="Y322" t="str">
        <f t="shared" ref="Y322:Y385" si="120">IF(COUNT($Q322:$X322)=0,"",AVERAGE($Q322:$X322))</f>
        <v/>
      </c>
      <c r="Z322" t="str">
        <f>IFERROR(VLOOKUP($B322,TABLE_CYCLE,2,0),"")</f>
        <v/>
      </c>
      <c r="AA322" t="str">
        <f t="shared" ref="AA322:AA385" si="121">IF($D322="","",$D322&amp;"|"&amp;$A322&amp;"|"&amp;$C322)</f>
        <v/>
      </c>
      <c r="AB322" t="str">
        <f>IF($D322="","",IF(COUNTIF($D$2:$D322,$D322)=1,$D322,""))</f>
        <v/>
      </c>
      <c r="AC322">
        <f t="shared" ref="AC322:AC385" si="122">IFERROR(MATCH($A322,LISTE_ANNEES,0),0)</f>
        <v>0</v>
      </c>
      <c r="AD322" t="str">
        <f t="shared" ref="AD322:AD385" si="123">$D322&amp;"|"&amp;$AC322</f>
        <v>|0</v>
      </c>
      <c r="AE322" t="str">
        <f t="shared" ref="AE322:AE385" si="124">IF($D322="","",_xlfn.MAXIFS($AC$2:$AC$1201,$D$2:$D$1201,$D322))</f>
        <v/>
      </c>
      <c r="AF322" t="str">
        <f t="shared" ref="AF322:AF385" si="125">IF($AB322="","",IFERROR(INDEX($B$2:$B$1201,MATCH($D322&amp;"|"&amp;$AE322,$AD$2:$AD$1201,0)),""))</f>
        <v/>
      </c>
      <c r="AG322" t="str">
        <f t="shared" ref="AG322:AG385" si="126">IF($C322&lt;&gt;"S1","",IFERROR(MATCH($D322&amp;"|"&amp;$A322&amp;"|S2",$AA$2:$AA$1201,0),""))</f>
        <v/>
      </c>
      <c r="AH322" t="str">
        <f t="shared" ref="AH322:AH385" si="127">IF(OR($AG322="",$Q322=""),"",IF(INDEX($Q$2:$Q$1201,$AG322)="","",IF(INDEX($Q$2:$Q$1201,$AG322)&gt;$Q322,1,IF(INDEX($Q$2:$Q$1201,$AG322)&lt;$Q322,-1,0))))</f>
        <v/>
      </c>
      <c r="AI322" t="str">
        <f t="shared" ref="AI322:AI385" si="128">IF(OR($AG322="",$R322=""),"",IF(INDEX($R$2:$R$1201,$AG322)="","",IF(INDEX($R$2:$R$1201,$AG322)&gt;$R322,1,IF(INDEX($R$2:$R$1201,$AG322)&lt;$R322,-1,0))))</f>
        <v/>
      </c>
      <c r="AJ322" t="str">
        <f t="shared" ref="AJ322:AJ385" si="129">IF(OR($AG322="",$S322=""),"",IF(INDEX($S$2:$S$1201,$AG322)="","",IF(INDEX($S$2:$S$1201,$AG322)&gt;$S322,1,IF(INDEX($S$2:$S$1201,$AG322)&lt;$S322,-1,0))))</f>
        <v/>
      </c>
      <c r="AK322" t="str">
        <f t="shared" ref="AK322:AK385" si="130">IF(OR($AG322="",$T322=""),"",IF(INDEX($T$2:$T$1201,$AG322)="","",IF(INDEX($T$2:$T$1201,$AG322)&gt;$T322,1,IF(INDEX($T$2:$T$1201,$AG322)&lt;$T322,-1,0))))</f>
        <v/>
      </c>
      <c r="AL322" t="str">
        <f t="shared" ref="AL322:AL385" si="131">IF(OR($AG322="",$U322=""),"",IF(INDEX($U$2:$U$1201,$AG322)="","",IF(INDEX($U$2:$U$1201,$AG322)&gt;$U322,1,IF(INDEX($U$2:$U$1201,$AG322)&lt;$U322,-1,0))))</f>
        <v/>
      </c>
      <c r="AM322" t="str">
        <f t="shared" ref="AM322:AM385" si="132">IF(OR($AG322="",$V322=""),"",IF(INDEX($V$2:$V$1201,$AG322)="","",IF(INDEX($V$2:$V$1201,$AG322)&gt;$V322,1,IF(INDEX($V$2:$V$1201,$AG322)&lt;$V322,-1,0))))</f>
        <v/>
      </c>
      <c r="AN322" t="str">
        <f t="shared" ref="AN322:AN385" si="133">IF(OR($AG322="",$W322=""),"",IF(INDEX($W$2:$W$1201,$AG322)="","",IF(INDEX($W$2:$W$1201,$AG322)&gt;$W322,1,IF(INDEX($W$2:$W$1201,$AG322)&lt;$W322,-1,0))))</f>
        <v/>
      </c>
      <c r="AO322" t="str">
        <f t="shared" ref="AO322:AO385" si="134">IF(OR($AG322="",$X322=""),"",IF(INDEX($X$2:$X$1201,$AG322)="","",IF(INDEX($X$2:$X$1201,$AG322)&gt;$X322,1,IF(INDEX($X$2:$X$1201,$AG322)&lt;$X322,-1,0))))</f>
        <v/>
      </c>
      <c r="AP322">
        <f t="shared" ref="AP322:AP385" si="135">IF($D322="",1,COUNTIFS($D$2:$D$1201,$D322,$A$2:$A$1201,$A322))</f>
        <v>1</v>
      </c>
      <c r="AQ322" t="str">
        <f>IF(SAISIE!$F327="","",SAISIE!$Y327)</f>
        <v/>
      </c>
      <c r="AR322" t="str">
        <f>IF(OR(SAISIE!$U$4="",SAISIE!$W$4=""),"",IF(AND($A322=SAISIE!$U$4,$B322=SAISIE!$W$4,$C322="S1"),COUNTIFS($A$2:$A322,SAISIE!$U$4,$B$2:$B322,SAISIE!$W$4,$C$2:$C322,"S1"),""))</f>
        <v/>
      </c>
      <c r="AS322" t="str">
        <f t="shared" ref="AS322:AS385" si="136">IF($D322="","",$A322&amp;"|"&amp;$C322&amp;"|"&amp;$D322)</f>
        <v/>
      </c>
      <c r="AT322" t="str">
        <f t="shared" ref="AT322:AT385" si="137">IF($D322="","",$A322&amp;"|"&amp;$D322&amp;"|"&amp;IF($AQ322="Parti","P","A"))</f>
        <v/>
      </c>
      <c r="AU322" t="str">
        <f t="shared" ref="AU322:AU385" si="138">IF($A322="","",$A322&amp;"|"&amp;$B322&amp;"|"&amp;$C322)</f>
        <v/>
      </c>
      <c r="AV322">
        <f>N(AV321)+IF(AND($AB322&lt;&gt;"",OR('PROFIL ELEVE'!$K$4="(Tous)",$AF322='PROFIL ELEVE'!$K$4)),1,0)</f>
        <v>0</v>
      </c>
      <c r="AW322">
        <f>N(AW321)+IF(AND($AB322&lt;&gt;"",OR('SUIVI LONGITUDINAL'!$Q$4="(Tous)",$AF322='SUIVI LONGITUDINAL'!$Q$4)),1,0)</f>
        <v>0</v>
      </c>
      <c r="AX322">
        <f t="shared" ref="AX322:AX385" si="139">COUNTIF($AH322:$AO322,1)</f>
        <v>0</v>
      </c>
      <c r="AY322">
        <f t="shared" ref="AY322:AY385" si="140">COUNTIF($AH322:$AO322,0)</f>
        <v>0</v>
      </c>
      <c r="AZ322">
        <f t="shared" ref="AZ322:AZ385" si="141">COUNTIF($AH322:$AO322,-1)</f>
        <v>0</v>
      </c>
      <c r="BA322" t="str">
        <f t="shared" ref="BA322:BA385" si="142">IF($E322="","",COUNT($Q322:$X322))</f>
        <v/>
      </c>
      <c r="BB322" t="str">
        <f t="shared" ref="BB322:BB385" si="143">IF($E322="","",IF(COUNT($Q322:$X322)&gt;=IF($Z322=2,5,8),1,0))</f>
        <v/>
      </c>
    </row>
    <row r="323" spans="1:54" ht="14.25" customHeight="1" x14ac:dyDescent="0.3">
      <c r="A323" t="str">
        <f>IF(SAISIE!$F328="","",SAISIE!$B328)</f>
        <v/>
      </c>
      <c r="B323" t="str">
        <f>IF(SAISIE!$F328="","",SAISIE!$C328)</f>
        <v/>
      </c>
      <c r="C323" t="str">
        <f>IF(SAISIE!$F328="","",SAISIE!$D328)</f>
        <v/>
      </c>
      <c r="D323" t="str">
        <f>IF(SAISIE!$E328="","",SAISIE!$E328)</f>
        <v/>
      </c>
      <c r="E323" t="str">
        <f>IF(SAISIE!$F328="","",SAISIE!$F328)</f>
        <v/>
      </c>
      <c r="F323" t="str">
        <f>IF(SAISIE!$G328="","",SAISIE!$G328)</f>
        <v/>
      </c>
      <c r="G323" t="str">
        <f>IF(SAISIE!$H328="","",SAISIE!$H328)</f>
        <v/>
      </c>
      <c r="H323" t="str">
        <f>IF(SAISIE!$I328="","",SAISIE!$I328)</f>
        <v/>
      </c>
      <c r="I323" t="str">
        <f>IF(SAISIE!$J328="","",SAISIE!$J328)</f>
        <v/>
      </c>
      <c r="J323" t="str">
        <f>IF(SAISIE!$K328="","",SAISIE!$K328)</f>
        <v/>
      </c>
      <c r="K323" t="str">
        <f>IF(SAISIE!$L328="","",SAISIE!$L328)</f>
        <v/>
      </c>
      <c r="L323" t="str">
        <f>IF(SAISIE!$M328="","",SAISIE!$M328)</f>
        <v/>
      </c>
      <c r="M323" t="str">
        <f>IF(SAISIE!$N328="","",SAISIE!$N328)</f>
        <v/>
      </c>
      <c r="N323" t="str">
        <f>IF(SAISIE!$O328="","",SAISIE!$O328)</f>
        <v/>
      </c>
      <c r="O323" t="str">
        <f>IF(SAISIE!$P328="","",SAISIE!$P328)</f>
        <v/>
      </c>
      <c r="P323" t="str">
        <f>IF(SAISIE!$Q328="","",SAISIE!$Q328)</f>
        <v/>
      </c>
      <c r="Q323" t="str">
        <f>IF($I323="","",IF($I323&gt;PARAMETRES!$G$29,5,IF($I323&gt;PARAMETRES!$F$29,4,IF($I323&gt;PARAMETRES!$E$29,3,IF($I323&gt;PARAMETRES!$D$29,2,1)))))</f>
        <v/>
      </c>
      <c r="R323" t="str">
        <f>IF($J323="","",IF($J323&gt;PARAMETRES!$G$30,5,IF($J323&gt;PARAMETRES!$F$30,4,IF($J323&gt;PARAMETRES!$E$30,3,IF($J323&gt;PARAMETRES!$D$30,2,1)))))</f>
        <v/>
      </c>
      <c r="S323" t="str">
        <f>IF($K323="","",IF($Z323=2,IF($K323&gt;PARAMETRES!$G$31,5,IF($K323&gt;PARAMETRES!$F$31,4,IF($K323&gt;PARAMETRES!$E$31,3,IF($K323&gt;PARAMETRES!$D$31,2,1)))),IF($K323&gt;PARAMETRES!$G$32,5,IF($K323&gt;PARAMETRES!$F$32,4,IF($K323&gt;PARAMETRES!$E$32,3,IF($K323&gt;PARAMETRES!$D$32,2,1))))))</f>
        <v/>
      </c>
      <c r="T323" t="str">
        <f>IF($L323="","",IF($L323&gt;PARAMETRES!$G$33,5,IF($L323&gt;PARAMETRES!$F$33,4,IF($L323&gt;PARAMETRES!$E$33,3,IF($L323&gt;PARAMETRES!$D$33,2,1)))))</f>
        <v/>
      </c>
      <c r="U323" t="str">
        <f>IF($M323="","",IF($M323&gt;PARAMETRES!$G$34,5,IF($M323&gt;PARAMETRES!$F$34,4,IF($M323&gt;PARAMETRES!$E$34,3,IF($M323&gt;PARAMETRES!$D$34,2,1)))))</f>
        <v/>
      </c>
      <c r="V323" t="str">
        <f>IF($N323="","",IF($N323&gt;PARAMETRES!$G$35,5,IF($N323&gt;PARAMETRES!$F$35,4,IF($N323&gt;PARAMETRES!$E$35,3,IF($N323&gt;PARAMETRES!$D$35,2,1)))))</f>
        <v/>
      </c>
      <c r="W323" t="str">
        <f>IF($O323="","",IF($O323&gt;PARAMETRES!$G$36,5,IF($O323&gt;PARAMETRES!$F$36,4,IF($O323&gt;PARAMETRES!$E$36,3,IF($O323&gt;PARAMETRES!$D$36,2,1)))))</f>
        <v/>
      </c>
      <c r="X323" t="str">
        <f>IF($P323="","",IF($P323&gt;PARAMETRES!$G$37,5,IF($P323&gt;PARAMETRES!$F$37,4,IF($P323&gt;PARAMETRES!$E$37,3,IF($P323&gt;PARAMETRES!$D$37,2,1)))))</f>
        <v/>
      </c>
      <c r="Y323" t="str">
        <f t="shared" si="120"/>
        <v/>
      </c>
      <c r="Z323" t="str">
        <f>IFERROR(VLOOKUP($B323,TABLE_CYCLE,2,0),"")</f>
        <v/>
      </c>
      <c r="AA323" t="str">
        <f t="shared" si="121"/>
        <v/>
      </c>
      <c r="AB323" t="str">
        <f>IF($D323="","",IF(COUNTIF($D$2:$D323,$D323)=1,$D323,""))</f>
        <v/>
      </c>
      <c r="AC323">
        <f t="shared" si="122"/>
        <v>0</v>
      </c>
      <c r="AD323" t="str">
        <f t="shared" si="123"/>
        <v>|0</v>
      </c>
      <c r="AE323" t="str">
        <f t="shared" si="124"/>
        <v/>
      </c>
      <c r="AF323" t="str">
        <f t="shared" si="125"/>
        <v/>
      </c>
      <c r="AG323" t="str">
        <f t="shared" si="126"/>
        <v/>
      </c>
      <c r="AH323" t="str">
        <f t="shared" si="127"/>
        <v/>
      </c>
      <c r="AI323" t="str">
        <f t="shared" si="128"/>
        <v/>
      </c>
      <c r="AJ323" t="str">
        <f t="shared" si="129"/>
        <v/>
      </c>
      <c r="AK323" t="str">
        <f t="shared" si="130"/>
        <v/>
      </c>
      <c r="AL323" t="str">
        <f t="shared" si="131"/>
        <v/>
      </c>
      <c r="AM323" t="str">
        <f t="shared" si="132"/>
        <v/>
      </c>
      <c r="AN323" t="str">
        <f t="shared" si="133"/>
        <v/>
      </c>
      <c r="AO323" t="str">
        <f t="shared" si="134"/>
        <v/>
      </c>
      <c r="AP323">
        <f t="shared" si="135"/>
        <v>1</v>
      </c>
      <c r="AQ323" t="str">
        <f>IF(SAISIE!$F328="","",SAISIE!$Y328)</f>
        <v/>
      </c>
      <c r="AR323" t="str">
        <f>IF(OR(SAISIE!$U$4="",SAISIE!$W$4=""),"",IF(AND($A323=SAISIE!$U$4,$B323=SAISIE!$W$4,$C323="S1"),COUNTIFS($A$2:$A323,SAISIE!$U$4,$B$2:$B323,SAISIE!$W$4,$C$2:$C323,"S1"),""))</f>
        <v/>
      </c>
      <c r="AS323" t="str">
        <f t="shared" si="136"/>
        <v/>
      </c>
      <c r="AT323" t="str">
        <f t="shared" si="137"/>
        <v/>
      </c>
      <c r="AU323" t="str">
        <f t="shared" si="138"/>
        <v/>
      </c>
      <c r="AV323">
        <f>N(AV322)+IF(AND($AB323&lt;&gt;"",OR('PROFIL ELEVE'!$K$4="(Tous)",$AF323='PROFIL ELEVE'!$K$4)),1,0)</f>
        <v>0</v>
      </c>
      <c r="AW323">
        <f>N(AW322)+IF(AND($AB323&lt;&gt;"",OR('SUIVI LONGITUDINAL'!$Q$4="(Tous)",$AF323='SUIVI LONGITUDINAL'!$Q$4)),1,0)</f>
        <v>0</v>
      </c>
      <c r="AX323">
        <f t="shared" si="139"/>
        <v>0</v>
      </c>
      <c r="AY323">
        <f t="shared" si="140"/>
        <v>0</v>
      </c>
      <c r="AZ323">
        <f t="shared" si="141"/>
        <v>0</v>
      </c>
      <c r="BA323" t="str">
        <f t="shared" si="142"/>
        <v/>
      </c>
      <c r="BB323" t="str">
        <f t="shared" si="143"/>
        <v/>
      </c>
    </row>
    <row r="324" spans="1:54" ht="14.25" customHeight="1" x14ac:dyDescent="0.3">
      <c r="A324" t="str">
        <f>IF(SAISIE!$F329="","",SAISIE!$B329)</f>
        <v/>
      </c>
      <c r="B324" t="str">
        <f>IF(SAISIE!$F329="","",SAISIE!$C329)</f>
        <v/>
      </c>
      <c r="C324" t="str">
        <f>IF(SAISIE!$F329="","",SAISIE!$D329)</f>
        <v/>
      </c>
      <c r="D324" t="str">
        <f>IF(SAISIE!$E329="","",SAISIE!$E329)</f>
        <v/>
      </c>
      <c r="E324" t="str">
        <f>IF(SAISIE!$F329="","",SAISIE!$F329)</f>
        <v/>
      </c>
      <c r="F324" t="str">
        <f>IF(SAISIE!$G329="","",SAISIE!$G329)</f>
        <v/>
      </c>
      <c r="G324" t="str">
        <f>IF(SAISIE!$H329="","",SAISIE!$H329)</f>
        <v/>
      </c>
      <c r="H324" t="str">
        <f>IF(SAISIE!$I329="","",SAISIE!$I329)</f>
        <v/>
      </c>
      <c r="I324" t="str">
        <f>IF(SAISIE!$J329="","",SAISIE!$J329)</f>
        <v/>
      </c>
      <c r="J324" t="str">
        <f>IF(SAISIE!$K329="","",SAISIE!$K329)</f>
        <v/>
      </c>
      <c r="K324" t="str">
        <f>IF(SAISIE!$L329="","",SAISIE!$L329)</f>
        <v/>
      </c>
      <c r="L324" t="str">
        <f>IF(SAISIE!$M329="","",SAISIE!$M329)</f>
        <v/>
      </c>
      <c r="M324" t="str">
        <f>IF(SAISIE!$N329="","",SAISIE!$N329)</f>
        <v/>
      </c>
      <c r="N324" t="str">
        <f>IF(SAISIE!$O329="","",SAISIE!$O329)</f>
        <v/>
      </c>
      <c r="O324" t="str">
        <f>IF(SAISIE!$P329="","",SAISIE!$P329)</f>
        <v/>
      </c>
      <c r="P324" t="str">
        <f>IF(SAISIE!$Q329="","",SAISIE!$Q329)</f>
        <v/>
      </c>
      <c r="Q324" t="str">
        <f>IF($I324="","",IF($I324&gt;PARAMETRES!$G$29,5,IF($I324&gt;PARAMETRES!$F$29,4,IF($I324&gt;PARAMETRES!$E$29,3,IF($I324&gt;PARAMETRES!$D$29,2,1)))))</f>
        <v/>
      </c>
      <c r="R324" t="str">
        <f>IF($J324="","",IF($J324&gt;PARAMETRES!$G$30,5,IF($J324&gt;PARAMETRES!$F$30,4,IF($J324&gt;PARAMETRES!$E$30,3,IF($J324&gt;PARAMETRES!$D$30,2,1)))))</f>
        <v/>
      </c>
      <c r="S324" t="str">
        <f>IF($K324="","",IF($Z324=2,IF($K324&gt;PARAMETRES!$G$31,5,IF($K324&gt;PARAMETRES!$F$31,4,IF($K324&gt;PARAMETRES!$E$31,3,IF($K324&gt;PARAMETRES!$D$31,2,1)))),IF($K324&gt;PARAMETRES!$G$32,5,IF($K324&gt;PARAMETRES!$F$32,4,IF($K324&gt;PARAMETRES!$E$32,3,IF($K324&gt;PARAMETRES!$D$32,2,1))))))</f>
        <v/>
      </c>
      <c r="T324" t="str">
        <f>IF($L324="","",IF($L324&gt;PARAMETRES!$G$33,5,IF($L324&gt;PARAMETRES!$F$33,4,IF($L324&gt;PARAMETRES!$E$33,3,IF($L324&gt;PARAMETRES!$D$33,2,1)))))</f>
        <v/>
      </c>
      <c r="U324" t="str">
        <f>IF($M324="","",IF($M324&gt;PARAMETRES!$G$34,5,IF($M324&gt;PARAMETRES!$F$34,4,IF($M324&gt;PARAMETRES!$E$34,3,IF($M324&gt;PARAMETRES!$D$34,2,1)))))</f>
        <v/>
      </c>
      <c r="V324" t="str">
        <f>IF($N324="","",IF($N324&gt;PARAMETRES!$G$35,5,IF($N324&gt;PARAMETRES!$F$35,4,IF($N324&gt;PARAMETRES!$E$35,3,IF($N324&gt;PARAMETRES!$D$35,2,1)))))</f>
        <v/>
      </c>
      <c r="W324" t="str">
        <f>IF($O324="","",IF($O324&gt;PARAMETRES!$G$36,5,IF($O324&gt;PARAMETRES!$F$36,4,IF($O324&gt;PARAMETRES!$E$36,3,IF($O324&gt;PARAMETRES!$D$36,2,1)))))</f>
        <v/>
      </c>
      <c r="X324" t="str">
        <f>IF($P324="","",IF($P324&gt;PARAMETRES!$G$37,5,IF($P324&gt;PARAMETRES!$F$37,4,IF($P324&gt;PARAMETRES!$E$37,3,IF($P324&gt;PARAMETRES!$D$37,2,1)))))</f>
        <v/>
      </c>
      <c r="Y324" t="str">
        <f t="shared" si="120"/>
        <v/>
      </c>
      <c r="Z324" t="str">
        <f>IFERROR(VLOOKUP($B324,TABLE_CYCLE,2,0),"")</f>
        <v/>
      </c>
      <c r="AA324" t="str">
        <f t="shared" si="121"/>
        <v/>
      </c>
      <c r="AB324" t="str">
        <f>IF($D324="","",IF(COUNTIF($D$2:$D324,$D324)=1,$D324,""))</f>
        <v/>
      </c>
      <c r="AC324">
        <f t="shared" si="122"/>
        <v>0</v>
      </c>
      <c r="AD324" t="str">
        <f t="shared" si="123"/>
        <v>|0</v>
      </c>
      <c r="AE324" t="str">
        <f t="shared" si="124"/>
        <v/>
      </c>
      <c r="AF324" t="str">
        <f t="shared" si="125"/>
        <v/>
      </c>
      <c r="AG324" t="str">
        <f t="shared" si="126"/>
        <v/>
      </c>
      <c r="AH324" t="str">
        <f t="shared" si="127"/>
        <v/>
      </c>
      <c r="AI324" t="str">
        <f t="shared" si="128"/>
        <v/>
      </c>
      <c r="AJ324" t="str">
        <f t="shared" si="129"/>
        <v/>
      </c>
      <c r="AK324" t="str">
        <f t="shared" si="130"/>
        <v/>
      </c>
      <c r="AL324" t="str">
        <f t="shared" si="131"/>
        <v/>
      </c>
      <c r="AM324" t="str">
        <f t="shared" si="132"/>
        <v/>
      </c>
      <c r="AN324" t="str">
        <f t="shared" si="133"/>
        <v/>
      </c>
      <c r="AO324" t="str">
        <f t="shared" si="134"/>
        <v/>
      </c>
      <c r="AP324">
        <f t="shared" si="135"/>
        <v>1</v>
      </c>
      <c r="AQ324" t="str">
        <f>IF(SAISIE!$F329="","",SAISIE!$Y329)</f>
        <v/>
      </c>
      <c r="AR324" t="str">
        <f>IF(OR(SAISIE!$U$4="",SAISIE!$W$4=""),"",IF(AND($A324=SAISIE!$U$4,$B324=SAISIE!$W$4,$C324="S1"),COUNTIFS($A$2:$A324,SAISIE!$U$4,$B$2:$B324,SAISIE!$W$4,$C$2:$C324,"S1"),""))</f>
        <v/>
      </c>
      <c r="AS324" t="str">
        <f t="shared" si="136"/>
        <v/>
      </c>
      <c r="AT324" t="str">
        <f t="shared" si="137"/>
        <v/>
      </c>
      <c r="AU324" t="str">
        <f t="shared" si="138"/>
        <v/>
      </c>
      <c r="AV324">
        <f>N(AV323)+IF(AND($AB324&lt;&gt;"",OR('PROFIL ELEVE'!$K$4="(Tous)",$AF324='PROFIL ELEVE'!$K$4)),1,0)</f>
        <v>0</v>
      </c>
      <c r="AW324">
        <f>N(AW323)+IF(AND($AB324&lt;&gt;"",OR('SUIVI LONGITUDINAL'!$Q$4="(Tous)",$AF324='SUIVI LONGITUDINAL'!$Q$4)),1,0)</f>
        <v>0</v>
      </c>
      <c r="AX324">
        <f t="shared" si="139"/>
        <v>0</v>
      </c>
      <c r="AY324">
        <f t="shared" si="140"/>
        <v>0</v>
      </c>
      <c r="AZ324">
        <f t="shared" si="141"/>
        <v>0</v>
      </c>
      <c r="BA324" t="str">
        <f t="shared" si="142"/>
        <v/>
      </c>
      <c r="BB324" t="str">
        <f t="shared" si="143"/>
        <v/>
      </c>
    </row>
    <row r="325" spans="1:54" ht="14.25" customHeight="1" x14ac:dyDescent="0.3">
      <c r="A325" t="str">
        <f>IF(SAISIE!$F330="","",SAISIE!$B330)</f>
        <v/>
      </c>
      <c r="B325" t="str">
        <f>IF(SAISIE!$F330="","",SAISIE!$C330)</f>
        <v/>
      </c>
      <c r="C325" t="str">
        <f>IF(SAISIE!$F330="","",SAISIE!$D330)</f>
        <v/>
      </c>
      <c r="D325" t="str">
        <f>IF(SAISIE!$E330="","",SAISIE!$E330)</f>
        <v/>
      </c>
      <c r="E325" t="str">
        <f>IF(SAISIE!$F330="","",SAISIE!$F330)</f>
        <v/>
      </c>
      <c r="F325" t="str">
        <f>IF(SAISIE!$G330="","",SAISIE!$G330)</f>
        <v/>
      </c>
      <c r="G325" t="str">
        <f>IF(SAISIE!$H330="","",SAISIE!$H330)</f>
        <v/>
      </c>
      <c r="H325" t="str">
        <f>IF(SAISIE!$I330="","",SAISIE!$I330)</f>
        <v/>
      </c>
      <c r="I325" t="str">
        <f>IF(SAISIE!$J330="","",SAISIE!$J330)</f>
        <v/>
      </c>
      <c r="J325" t="str">
        <f>IF(SAISIE!$K330="","",SAISIE!$K330)</f>
        <v/>
      </c>
      <c r="K325" t="str">
        <f>IF(SAISIE!$L330="","",SAISIE!$L330)</f>
        <v/>
      </c>
      <c r="L325" t="str">
        <f>IF(SAISIE!$M330="","",SAISIE!$M330)</f>
        <v/>
      </c>
      <c r="M325" t="str">
        <f>IF(SAISIE!$N330="","",SAISIE!$N330)</f>
        <v/>
      </c>
      <c r="N325" t="str">
        <f>IF(SAISIE!$O330="","",SAISIE!$O330)</f>
        <v/>
      </c>
      <c r="O325" t="str">
        <f>IF(SAISIE!$P330="","",SAISIE!$P330)</f>
        <v/>
      </c>
      <c r="P325" t="str">
        <f>IF(SAISIE!$Q330="","",SAISIE!$Q330)</f>
        <v/>
      </c>
      <c r="Q325" t="str">
        <f>IF($I325="","",IF($I325&gt;PARAMETRES!$G$29,5,IF($I325&gt;PARAMETRES!$F$29,4,IF($I325&gt;PARAMETRES!$E$29,3,IF($I325&gt;PARAMETRES!$D$29,2,1)))))</f>
        <v/>
      </c>
      <c r="R325" t="str">
        <f>IF($J325="","",IF($J325&gt;PARAMETRES!$G$30,5,IF($J325&gt;PARAMETRES!$F$30,4,IF($J325&gt;PARAMETRES!$E$30,3,IF($J325&gt;PARAMETRES!$D$30,2,1)))))</f>
        <v/>
      </c>
      <c r="S325" t="str">
        <f>IF($K325="","",IF($Z325=2,IF($K325&gt;PARAMETRES!$G$31,5,IF($K325&gt;PARAMETRES!$F$31,4,IF($K325&gt;PARAMETRES!$E$31,3,IF($K325&gt;PARAMETRES!$D$31,2,1)))),IF($K325&gt;PARAMETRES!$G$32,5,IF($K325&gt;PARAMETRES!$F$32,4,IF($K325&gt;PARAMETRES!$E$32,3,IF($K325&gt;PARAMETRES!$D$32,2,1))))))</f>
        <v/>
      </c>
      <c r="T325" t="str">
        <f>IF($L325="","",IF($L325&gt;PARAMETRES!$G$33,5,IF($L325&gt;PARAMETRES!$F$33,4,IF($L325&gt;PARAMETRES!$E$33,3,IF($L325&gt;PARAMETRES!$D$33,2,1)))))</f>
        <v/>
      </c>
      <c r="U325" t="str">
        <f>IF($M325="","",IF($M325&gt;PARAMETRES!$G$34,5,IF($M325&gt;PARAMETRES!$F$34,4,IF($M325&gt;PARAMETRES!$E$34,3,IF($M325&gt;PARAMETRES!$D$34,2,1)))))</f>
        <v/>
      </c>
      <c r="V325" t="str">
        <f>IF($N325="","",IF($N325&gt;PARAMETRES!$G$35,5,IF($N325&gt;PARAMETRES!$F$35,4,IF($N325&gt;PARAMETRES!$E$35,3,IF($N325&gt;PARAMETRES!$D$35,2,1)))))</f>
        <v/>
      </c>
      <c r="W325" t="str">
        <f>IF($O325="","",IF($O325&gt;PARAMETRES!$G$36,5,IF($O325&gt;PARAMETRES!$F$36,4,IF($O325&gt;PARAMETRES!$E$36,3,IF($O325&gt;PARAMETRES!$D$36,2,1)))))</f>
        <v/>
      </c>
      <c r="X325" t="str">
        <f>IF($P325="","",IF($P325&gt;PARAMETRES!$G$37,5,IF($P325&gt;PARAMETRES!$F$37,4,IF($P325&gt;PARAMETRES!$E$37,3,IF($P325&gt;PARAMETRES!$D$37,2,1)))))</f>
        <v/>
      </c>
      <c r="Y325" t="str">
        <f t="shared" si="120"/>
        <v/>
      </c>
      <c r="Z325" t="str">
        <f>IFERROR(VLOOKUP($B325,TABLE_CYCLE,2,0),"")</f>
        <v/>
      </c>
      <c r="AA325" t="str">
        <f t="shared" si="121"/>
        <v/>
      </c>
      <c r="AB325" t="str">
        <f>IF($D325="","",IF(COUNTIF($D$2:$D325,$D325)=1,$D325,""))</f>
        <v/>
      </c>
      <c r="AC325">
        <f t="shared" si="122"/>
        <v>0</v>
      </c>
      <c r="AD325" t="str">
        <f t="shared" si="123"/>
        <v>|0</v>
      </c>
      <c r="AE325" t="str">
        <f t="shared" si="124"/>
        <v/>
      </c>
      <c r="AF325" t="str">
        <f t="shared" si="125"/>
        <v/>
      </c>
      <c r="AG325" t="str">
        <f t="shared" si="126"/>
        <v/>
      </c>
      <c r="AH325" t="str">
        <f t="shared" si="127"/>
        <v/>
      </c>
      <c r="AI325" t="str">
        <f t="shared" si="128"/>
        <v/>
      </c>
      <c r="AJ325" t="str">
        <f t="shared" si="129"/>
        <v/>
      </c>
      <c r="AK325" t="str">
        <f t="shared" si="130"/>
        <v/>
      </c>
      <c r="AL325" t="str">
        <f t="shared" si="131"/>
        <v/>
      </c>
      <c r="AM325" t="str">
        <f t="shared" si="132"/>
        <v/>
      </c>
      <c r="AN325" t="str">
        <f t="shared" si="133"/>
        <v/>
      </c>
      <c r="AO325" t="str">
        <f t="shared" si="134"/>
        <v/>
      </c>
      <c r="AP325">
        <f t="shared" si="135"/>
        <v>1</v>
      </c>
      <c r="AQ325" t="str">
        <f>IF(SAISIE!$F330="","",SAISIE!$Y330)</f>
        <v/>
      </c>
      <c r="AR325" t="str">
        <f>IF(OR(SAISIE!$U$4="",SAISIE!$W$4=""),"",IF(AND($A325=SAISIE!$U$4,$B325=SAISIE!$W$4,$C325="S1"),COUNTIFS($A$2:$A325,SAISIE!$U$4,$B$2:$B325,SAISIE!$W$4,$C$2:$C325,"S1"),""))</f>
        <v/>
      </c>
      <c r="AS325" t="str">
        <f t="shared" si="136"/>
        <v/>
      </c>
      <c r="AT325" t="str">
        <f t="shared" si="137"/>
        <v/>
      </c>
      <c r="AU325" t="str">
        <f t="shared" si="138"/>
        <v/>
      </c>
      <c r="AV325">
        <f>N(AV324)+IF(AND($AB325&lt;&gt;"",OR('PROFIL ELEVE'!$K$4="(Tous)",$AF325='PROFIL ELEVE'!$K$4)),1,0)</f>
        <v>0</v>
      </c>
      <c r="AW325">
        <f>N(AW324)+IF(AND($AB325&lt;&gt;"",OR('SUIVI LONGITUDINAL'!$Q$4="(Tous)",$AF325='SUIVI LONGITUDINAL'!$Q$4)),1,0)</f>
        <v>0</v>
      </c>
      <c r="AX325">
        <f t="shared" si="139"/>
        <v>0</v>
      </c>
      <c r="AY325">
        <f t="shared" si="140"/>
        <v>0</v>
      </c>
      <c r="AZ325">
        <f t="shared" si="141"/>
        <v>0</v>
      </c>
      <c r="BA325" t="str">
        <f t="shared" si="142"/>
        <v/>
      </c>
      <c r="BB325" t="str">
        <f t="shared" si="143"/>
        <v/>
      </c>
    </row>
    <row r="326" spans="1:54" ht="14.25" customHeight="1" x14ac:dyDescent="0.3">
      <c r="A326" t="str">
        <f>IF(SAISIE!$F331="","",SAISIE!$B331)</f>
        <v/>
      </c>
      <c r="B326" t="str">
        <f>IF(SAISIE!$F331="","",SAISIE!$C331)</f>
        <v/>
      </c>
      <c r="C326" t="str">
        <f>IF(SAISIE!$F331="","",SAISIE!$D331)</f>
        <v/>
      </c>
      <c r="D326" t="str">
        <f>IF(SAISIE!$E331="","",SAISIE!$E331)</f>
        <v/>
      </c>
      <c r="E326" t="str">
        <f>IF(SAISIE!$F331="","",SAISIE!$F331)</f>
        <v/>
      </c>
      <c r="F326" t="str">
        <f>IF(SAISIE!$G331="","",SAISIE!$G331)</f>
        <v/>
      </c>
      <c r="G326" t="str">
        <f>IF(SAISIE!$H331="","",SAISIE!$H331)</f>
        <v/>
      </c>
      <c r="H326" t="str">
        <f>IF(SAISIE!$I331="","",SAISIE!$I331)</f>
        <v/>
      </c>
      <c r="I326" t="str">
        <f>IF(SAISIE!$J331="","",SAISIE!$J331)</f>
        <v/>
      </c>
      <c r="J326" t="str">
        <f>IF(SAISIE!$K331="","",SAISIE!$K331)</f>
        <v/>
      </c>
      <c r="K326" t="str">
        <f>IF(SAISIE!$L331="","",SAISIE!$L331)</f>
        <v/>
      </c>
      <c r="L326" t="str">
        <f>IF(SAISIE!$M331="","",SAISIE!$M331)</f>
        <v/>
      </c>
      <c r="M326" t="str">
        <f>IF(SAISIE!$N331="","",SAISIE!$N331)</f>
        <v/>
      </c>
      <c r="N326" t="str">
        <f>IF(SAISIE!$O331="","",SAISIE!$O331)</f>
        <v/>
      </c>
      <c r="O326" t="str">
        <f>IF(SAISIE!$P331="","",SAISIE!$P331)</f>
        <v/>
      </c>
      <c r="P326" t="str">
        <f>IF(SAISIE!$Q331="","",SAISIE!$Q331)</f>
        <v/>
      </c>
      <c r="Q326" t="str">
        <f>IF($I326="","",IF($I326&gt;PARAMETRES!$G$29,5,IF($I326&gt;PARAMETRES!$F$29,4,IF($I326&gt;PARAMETRES!$E$29,3,IF($I326&gt;PARAMETRES!$D$29,2,1)))))</f>
        <v/>
      </c>
      <c r="R326" t="str">
        <f>IF($J326="","",IF($J326&gt;PARAMETRES!$G$30,5,IF($J326&gt;PARAMETRES!$F$30,4,IF($J326&gt;PARAMETRES!$E$30,3,IF($J326&gt;PARAMETRES!$D$30,2,1)))))</f>
        <v/>
      </c>
      <c r="S326" t="str">
        <f>IF($K326="","",IF($Z326=2,IF($K326&gt;PARAMETRES!$G$31,5,IF($K326&gt;PARAMETRES!$F$31,4,IF($K326&gt;PARAMETRES!$E$31,3,IF($K326&gt;PARAMETRES!$D$31,2,1)))),IF($K326&gt;PARAMETRES!$G$32,5,IF($K326&gt;PARAMETRES!$F$32,4,IF($K326&gt;PARAMETRES!$E$32,3,IF($K326&gt;PARAMETRES!$D$32,2,1))))))</f>
        <v/>
      </c>
      <c r="T326" t="str">
        <f>IF($L326="","",IF($L326&gt;PARAMETRES!$G$33,5,IF($L326&gt;PARAMETRES!$F$33,4,IF($L326&gt;PARAMETRES!$E$33,3,IF($L326&gt;PARAMETRES!$D$33,2,1)))))</f>
        <v/>
      </c>
      <c r="U326" t="str">
        <f>IF($M326="","",IF($M326&gt;PARAMETRES!$G$34,5,IF($M326&gt;PARAMETRES!$F$34,4,IF($M326&gt;PARAMETRES!$E$34,3,IF($M326&gt;PARAMETRES!$D$34,2,1)))))</f>
        <v/>
      </c>
      <c r="V326" t="str">
        <f>IF($N326="","",IF($N326&gt;PARAMETRES!$G$35,5,IF($N326&gt;PARAMETRES!$F$35,4,IF($N326&gt;PARAMETRES!$E$35,3,IF($N326&gt;PARAMETRES!$D$35,2,1)))))</f>
        <v/>
      </c>
      <c r="W326" t="str">
        <f>IF($O326="","",IF($O326&gt;PARAMETRES!$G$36,5,IF($O326&gt;PARAMETRES!$F$36,4,IF($O326&gt;PARAMETRES!$E$36,3,IF($O326&gt;PARAMETRES!$D$36,2,1)))))</f>
        <v/>
      </c>
      <c r="X326" t="str">
        <f>IF($P326="","",IF($P326&gt;PARAMETRES!$G$37,5,IF($P326&gt;PARAMETRES!$F$37,4,IF($P326&gt;PARAMETRES!$E$37,3,IF($P326&gt;PARAMETRES!$D$37,2,1)))))</f>
        <v/>
      </c>
      <c r="Y326" t="str">
        <f t="shared" si="120"/>
        <v/>
      </c>
      <c r="Z326" t="str">
        <f>IFERROR(VLOOKUP($B326,TABLE_CYCLE,2,0),"")</f>
        <v/>
      </c>
      <c r="AA326" t="str">
        <f t="shared" si="121"/>
        <v/>
      </c>
      <c r="AB326" t="str">
        <f>IF($D326="","",IF(COUNTIF($D$2:$D326,$D326)=1,$D326,""))</f>
        <v/>
      </c>
      <c r="AC326">
        <f t="shared" si="122"/>
        <v>0</v>
      </c>
      <c r="AD326" t="str">
        <f t="shared" si="123"/>
        <v>|0</v>
      </c>
      <c r="AE326" t="str">
        <f t="shared" si="124"/>
        <v/>
      </c>
      <c r="AF326" t="str">
        <f t="shared" si="125"/>
        <v/>
      </c>
      <c r="AG326" t="str">
        <f t="shared" si="126"/>
        <v/>
      </c>
      <c r="AH326" t="str">
        <f t="shared" si="127"/>
        <v/>
      </c>
      <c r="AI326" t="str">
        <f t="shared" si="128"/>
        <v/>
      </c>
      <c r="AJ326" t="str">
        <f t="shared" si="129"/>
        <v/>
      </c>
      <c r="AK326" t="str">
        <f t="shared" si="130"/>
        <v/>
      </c>
      <c r="AL326" t="str">
        <f t="shared" si="131"/>
        <v/>
      </c>
      <c r="AM326" t="str">
        <f t="shared" si="132"/>
        <v/>
      </c>
      <c r="AN326" t="str">
        <f t="shared" si="133"/>
        <v/>
      </c>
      <c r="AO326" t="str">
        <f t="shared" si="134"/>
        <v/>
      </c>
      <c r="AP326">
        <f t="shared" si="135"/>
        <v>1</v>
      </c>
      <c r="AQ326" t="str">
        <f>IF(SAISIE!$F331="","",SAISIE!$Y331)</f>
        <v/>
      </c>
      <c r="AR326" t="str">
        <f>IF(OR(SAISIE!$U$4="",SAISIE!$W$4=""),"",IF(AND($A326=SAISIE!$U$4,$B326=SAISIE!$W$4,$C326="S1"),COUNTIFS($A$2:$A326,SAISIE!$U$4,$B$2:$B326,SAISIE!$W$4,$C$2:$C326,"S1"),""))</f>
        <v/>
      </c>
      <c r="AS326" t="str">
        <f t="shared" si="136"/>
        <v/>
      </c>
      <c r="AT326" t="str">
        <f t="shared" si="137"/>
        <v/>
      </c>
      <c r="AU326" t="str">
        <f t="shared" si="138"/>
        <v/>
      </c>
      <c r="AV326">
        <f>N(AV325)+IF(AND($AB326&lt;&gt;"",OR('PROFIL ELEVE'!$K$4="(Tous)",$AF326='PROFIL ELEVE'!$K$4)),1,0)</f>
        <v>0</v>
      </c>
      <c r="AW326">
        <f>N(AW325)+IF(AND($AB326&lt;&gt;"",OR('SUIVI LONGITUDINAL'!$Q$4="(Tous)",$AF326='SUIVI LONGITUDINAL'!$Q$4)),1,0)</f>
        <v>0</v>
      </c>
      <c r="AX326">
        <f t="shared" si="139"/>
        <v>0</v>
      </c>
      <c r="AY326">
        <f t="shared" si="140"/>
        <v>0</v>
      </c>
      <c r="AZ326">
        <f t="shared" si="141"/>
        <v>0</v>
      </c>
      <c r="BA326" t="str">
        <f t="shared" si="142"/>
        <v/>
      </c>
      <c r="BB326" t="str">
        <f t="shared" si="143"/>
        <v/>
      </c>
    </row>
    <row r="327" spans="1:54" ht="14.25" customHeight="1" x14ac:dyDescent="0.3">
      <c r="A327" t="str">
        <f>IF(SAISIE!$F332="","",SAISIE!$B332)</f>
        <v/>
      </c>
      <c r="B327" t="str">
        <f>IF(SAISIE!$F332="","",SAISIE!$C332)</f>
        <v/>
      </c>
      <c r="C327" t="str">
        <f>IF(SAISIE!$F332="","",SAISIE!$D332)</f>
        <v/>
      </c>
      <c r="D327" t="str">
        <f>IF(SAISIE!$E332="","",SAISIE!$E332)</f>
        <v/>
      </c>
      <c r="E327" t="str">
        <f>IF(SAISIE!$F332="","",SAISIE!$F332)</f>
        <v/>
      </c>
      <c r="F327" t="str">
        <f>IF(SAISIE!$G332="","",SAISIE!$G332)</f>
        <v/>
      </c>
      <c r="G327" t="str">
        <f>IF(SAISIE!$H332="","",SAISIE!$H332)</f>
        <v/>
      </c>
      <c r="H327" t="str">
        <f>IF(SAISIE!$I332="","",SAISIE!$I332)</f>
        <v/>
      </c>
      <c r="I327" t="str">
        <f>IF(SAISIE!$J332="","",SAISIE!$J332)</f>
        <v/>
      </c>
      <c r="J327" t="str">
        <f>IF(SAISIE!$K332="","",SAISIE!$K332)</f>
        <v/>
      </c>
      <c r="K327" t="str">
        <f>IF(SAISIE!$L332="","",SAISIE!$L332)</f>
        <v/>
      </c>
      <c r="L327" t="str">
        <f>IF(SAISIE!$M332="","",SAISIE!$M332)</f>
        <v/>
      </c>
      <c r="M327" t="str">
        <f>IF(SAISIE!$N332="","",SAISIE!$N332)</f>
        <v/>
      </c>
      <c r="N327" t="str">
        <f>IF(SAISIE!$O332="","",SAISIE!$O332)</f>
        <v/>
      </c>
      <c r="O327" t="str">
        <f>IF(SAISIE!$P332="","",SAISIE!$P332)</f>
        <v/>
      </c>
      <c r="P327" t="str">
        <f>IF(SAISIE!$Q332="","",SAISIE!$Q332)</f>
        <v/>
      </c>
      <c r="Q327" t="str">
        <f>IF($I327="","",IF($I327&gt;PARAMETRES!$G$29,5,IF($I327&gt;PARAMETRES!$F$29,4,IF($I327&gt;PARAMETRES!$E$29,3,IF($I327&gt;PARAMETRES!$D$29,2,1)))))</f>
        <v/>
      </c>
      <c r="R327" t="str">
        <f>IF($J327="","",IF($J327&gt;PARAMETRES!$G$30,5,IF($J327&gt;PARAMETRES!$F$30,4,IF($J327&gt;PARAMETRES!$E$30,3,IF($J327&gt;PARAMETRES!$D$30,2,1)))))</f>
        <v/>
      </c>
      <c r="S327" t="str">
        <f>IF($K327="","",IF($Z327=2,IF($K327&gt;PARAMETRES!$G$31,5,IF($K327&gt;PARAMETRES!$F$31,4,IF($K327&gt;PARAMETRES!$E$31,3,IF($K327&gt;PARAMETRES!$D$31,2,1)))),IF($K327&gt;PARAMETRES!$G$32,5,IF($K327&gt;PARAMETRES!$F$32,4,IF($K327&gt;PARAMETRES!$E$32,3,IF($K327&gt;PARAMETRES!$D$32,2,1))))))</f>
        <v/>
      </c>
      <c r="T327" t="str">
        <f>IF($L327="","",IF($L327&gt;PARAMETRES!$G$33,5,IF($L327&gt;PARAMETRES!$F$33,4,IF($L327&gt;PARAMETRES!$E$33,3,IF($L327&gt;PARAMETRES!$D$33,2,1)))))</f>
        <v/>
      </c>
      <c r="U327" t="str">
        <f>IF($M327="","",IF($M327&gt;PARAMETRES!$G$34,5,IF($M327&gt;PARAMETRES!$F$34,4,IF($M327&gt;PARAMETRES!$E$34,3,IF($M327&gt;PARAMETRES!$D$34,2,1)))))</f>
        <v/>
      </c>
      <c r="V327" t="str">
        <f>IF($N327="","",IF($N327&gt;PARAMETRES!$G$35,5,IF($N327&gt;PARAMETRES!$F$35,4,IF($N327&gt;PARAMETRES!$E$35,3,IF($N327&gt;PARAMETRES!$D$35,2,1)))))</f>
        <v/>
      </c>
      <c r="W327" t="str">
        <f>IF($O327="","",IF($O327&gt;PARAMETRES!$G$36,5,IF($O327&gt;PARAMETRES!$F$36,4,IF($O327&gt;PARAMETRES!$E$36,3,IF($O327&gt;PARAMETRES!$D$36,2,1)))))</f>
        <v/>
      </c>
      <c r="X327" t="str">
        <f>IF($P327="","",IF($P327&gt;PARAMETRES!$G$37,5,IF($P327&gt;PARAMETRES!$F$37,4,IF($P327&gt;PARAMETRES!$E$37,3,IF($P327&gt;PARAMETRES!$D$37,2,1)))))</f>
        <v/>
      </c>
      <c r="Y327" t="str">
        <f t="shared" si="120"/>
        <v/>
      </c>
      <c r="Z327" t="str">
        <f>IFERROR(VLOOKUP($B327,TABLE_CYCLE,2,0),"")</f>
        <v/>
      </c>
      <c r="AA327" t="str">
        <f t="shared" si="121"/>
        <v/>
      </c>
      <c r="AB327" t="str">
        <f>IF($D327="","",IF(COUNTIF($D$2:$D327,$D327)=1,$D327,""))</f>
        <v/>
      </c>
      <c r="AC327">
        <f t="shared" si="122"/>
        <v>0</v>
      </c>
      <c r="AD327" t="str">
        <f t="shared" si="123"/>
        <v>|0</v>
      </c>
      <c r="AE327" t="str">
        <f t="shared" si="124"/>
        <v/>
      </c>
      <c r="AF327" t="str">
        <f t="shared" si="125"/>
        <v/>
      </c>
      <c r="AG327" t="str">
        <f t="shared" si="126"/>
        <v/>
      </c>
      <c r="AH327" t="str">
        <f t="shared" si="127"/>
        <v/>
      </c>
      <c r="AI327" t="str">
        <f t="shared" si="128"/>
        <v/>
      </c>
      <c r="AJ327" t="str">
        <f t="shared" si="129"/>
        <v/>
      </c>
      <c r="AK327" t="str">
        <f t="shared" si="130"/>
        <v/>
      </c>
      <c r="AL327" t="str">
        <f t="shared" si="131"/>
        <v/>
      </c>
      <c r="AM327" t="str">
        <f t="shared" si="132"/>
        <v/>
      </c>
      <c r="AN327" t="str">
        <f t="shared" si="133"/>
        <v/>
      </c>
      <c r="AO327" t="str">
        <f t="shared" si="134"/>
        <v/>
      </c>
      <c r="AP327">
        <f t="shared" si="135"/>
        <v>1</v>
      </c>
      <c r="AQ327" t="str">
        <f>IF(SAISIE!$F332="","",SAISIE!$Y332)</f>
        <v/>
      </c>
      <c r="AR327" t="str">
        <f>IF(OR(SAISIE!$U$4="",SAISIE!$W$4=""),"",IF(AND($A327=SAISIE!$U$4,$B327=SAISIE!$W$4,$C327="S1"),COUNTIFS($A$2:$A327,SAISIE!$U$4,$B$2:$B327,SAISIE!$W$4,$C$2:$C327,"S1"),""))</f>
        <v/>
      </c>
      <c r="AS327" t="str">
        <f t="shared" si="136"/>
        <v/>
      </c>
      <c r="AT327" t="str">
        <f t="shared" si="137"/>
        <v/>
      </c>
      <c r="AU327" t="str">
        <f t="shared" si="138"/>
        <v/>
      </c>
      <c r="AV327">
        <f>N(AV326)+IF(AND($AB327&lt;&gt;"",OR('PROFIL ELEVE'!$K$4="(Tous)",$AF327='PROFIL ELEVE'!$K$4)),1,0)</f>
        <v>0</v>
      </c>
      <c r="AW327">
        <f>N(AW326)+IF(AND($AB327&lt;&gt;"",OR('SUIVI LONGITUDINAL'!$Q$4="(Tous)",$AF327='SUIVI LONGITUDINAL'!$Q$4)),1,0)</f>
        <v>0</v>
      </c>
      <c r="AX327">
        <f t="shared" si="139"/>
        <v>0</v>
      </c>
      <c r="AY327">
        <f t="shared" si="140"/>
        <v>0</v>
      </c>
      <c r="AZ327">
        <f t="shared" si="141"/>
        <v>0</v>
      </c>
      <c r="BA327" t="str">
        <f t="shared" si="142"/>
        <v/>
      </c>
      <c r="BB327" t="str">
        <f t="shared" si="143"/>
        <v/>
      </c>
    </row>
    <row r="328" spans="1:54" ht="14.25" customHeight="1" x14ac:dyDescent="0.3">
      <c r="A328" t="str">
        <f>IF(SAISIE!$F333="","",SAISIE!$B333)</f>
        <v/>
      </c>
      <c r="B328" t="str">
        <f>IF(SAISIE!$F333="","",SAISIE!$C333)</f>
        <v/>
      </c>
      <c r="C328" t="str">
        <f>IF(SAISIE!$F333="","",SAISIE!$D333)</f>
        <v/>
      </c>
      <c r="D328" t="str">
        <f>IF(SAISIE!$E333="","",SAISIE!$E333)</f>
        <v/>
      </c>
      <c r="E328" t="str">
        <f>IF(SAISIE!$F333="","",SAISIE!$F333)</f>
        <v/>
      </c>
      <c r="F328" t="str">
        <f>IF(SAISIE!$G333="","",SAISIE!$G333)</f>
        <v/>
      </c>
      <c r="G328" t="str">
        <f>IF(SAISIE!$H333="","",SAISIE!$H333)</f>
        <v/>
      </c>
      <c r="H328" t="str">
        <f>IF(SAISIE!$I333="","",SAISIE!$I333)</f>
        <v/>
      </c>
      <c r="I328" t="str">
        <f>IF(SAISIE!$J333="","",SAISIE!$J333)</f>
        <v/>
      </c>
      <c r="J328" t="str">
        <f>IF(SAISIE!$K333="","",SAISIE!$K333)</f>
        <v/>
      </c>
      <c r="K328" t="str">
        <f>IF(SAISIE!$L333="","",SAISIE!$L333)</f>
        <v/>
      </c>
      <c r="L328" t="str">
        <f>IF(SAISIE!$M333="","",SAISIE!$M333)</f>
        <v/>
      </c>
      <c r="M328" t="str">
        <f>IF(SAISIE!$N333="","",SAISIE!$N333)</f>
        <v/>
      </c>
      <c r="N328" t="str">
        <f>IF(SAISIE!$O333="","",SAISIE!$O333)</f>
        <v/>
      </c>
      <c r="O328" t="str">
        <f>IF(SAISIE!$P333="","",SAISIE!$P333)</f>
        <v/>
      </c>
      <c r="P328" t="str">
        <f>IF(SAISIE!$Q333="","",SAISIE!$Q333)</f>
        <v/>
      </c>
      <c r="Q328" t="str">
        <f>IF($I328="","",IF($I328&gt;PARAMETRES!$G$29,5,IF($I328&gt;PARAMETRES!$F$29,4,IF($I328&gt;PARAMETRES!$E$29,3,IF($I328&gt;PARAMETRES!$D$29,2,1)))))</f>
        <v/>
      </c>
      <c r="R328" t="str">
        <f>IF($J328="","",IF($J328&gt;PARAMETRES!$G$30,5,IF($J328&gt;PARAMETRES!$F$30,4,IF($J328&gt;PARAMETRES!$E$30,3,IF($J328&gt;PARAMETRES!$D$30,2,1)))))</f>
        <v/>
      </c>
      <c r="S328" t="str">
        <f>IF($K328="","",IF($Z328=2,IF($K328&gt;PARAMETRES!$G$31,5,IF($K328&gt;PARAMETRES!$F$31,4,IF($K328&gt;PARAMETRES!$E$31,3,IF($K328&gt;PARAMETRES!$D$31,2,1)))),IF($K328&gt;PARAMETRES!$G$32,5,IF($K328&gt;PARAMETRES!$F$32,4,IF($K328&gt;PARAMETRES!$E$32,3,IF($K328&gt;PARAMETRES!$D$32,2,1))))))</f>
        <v/>
      </c>
      <c r="T328" t="str">
        <f>IF($L328="","",IF($L328&gt;PARAMETRES!$G$33,5,IF($L328&gt;PARAMETRES!$F$33,4,IF($L328&gt;PARAMETRES!$E$33,3,IF($L328&gt;PARAMETRES!$D$33,2,1)))))</f>
        <v/>
      </c>
      <c r="U328" t="str">
        <f>IF($M328="","",IF($M328&gt;PARAMETRES!$G$34,5,IF($M328&gt;PARAMETRES!$F$34,4,IF($M328&gt;PARAMETRES!$E$34,3,IF($M328&gt;PARAMETRES!$D$34,2,1)))))</f>
        <v/>
      </c>
      <c r="V328" t="str">
        <f>IF($N328="","",IF($N328&gt;PARAMETRES!$G$35,5,IF($N328&gt;PARAMETRES!$F$35,4,IF($N328&gt;PARAMETRES!$E$35,3,IF($N328&gt;PARAMETRES!$D$35,2,1)))))</f>
        <v/>
      </c>
      <c r="W328" t="str">
        <f>IF($O328="","",IF($O328&gt;PARAMETRES!$G$36,5,IF($O328&gt;PARAMETRES!$F$36,4,IF($O328&gt;PARAMETRES!$E$36,3,IF($O328&gt;PARAMETRES!$D$36,2,1)))))</f>
        <v/>
      </c>
      <c r="X328" t="str">
        <f>IF($P328="","",IF($P328&gt;PARAMETRES!$G$37,5,IF($P328&gt;PARAMETRES!$F$37,4,IF($P328&gt;PARAMETRES!$E$37,3,IF($P328&gt;PARAMETRES!$D$37,2,1)))))</f>
        <v/>
      </c>
      <c r="Y328" t="str">
        <f t="shared" si="120"/>
        <v/>
      </c>
      <c r="Z328" t="str">
        <f>IFERROR(VLOOKUP($B328,TABLE_CYCLE,2,0),"")</f>
        <v/>
      </c>
      <c r="AA328" t="str">
        <f t="shared" si="121"/>
        <v/>
      </c>
      <c r="AB328" t="str">
        <f>IF($D328="","",IF(COUNTIF($D$2:$D328,$D328)=1,$D328,""))</f>
        <v/>
      </c>
      <c r="AC328">
        <f t="shared" si="122"/>
        <v>0</v>
      </c>
      <c r="AD328" t="str">
        <f t="shared" si="123"/>
        <v>|0</v>
      </c>
      <c r="AE328" t="str">
        <f t="shared" si="124"/>
        <v/>
      </c>
      <c r="AF328" t="str">
        <f t="shared" si="125"/>
        <v/>
      </c>
      <c r="AG328" t="str">
        <f t="shared" si="126"/>
        <v/>
      </c>
      <c r="AH328" t="str">
        <f t="shared" si="127"/>
        <v/>
      </c>
      <c r="AI328" t="str">
        <f t="shared" si="128"/>
        <v/>
      </c>
      <c r="AJ328" t="str">
        <f t="shared" si="129"/>
        <v/>
      </c>
      <c r="AK328" t="str">
        <f t="shared" si="130"/>
        <v/>
      </c>
      <c r="AL328" t="str">
        <f t="shared" si="131"/>
        <v/>
      </c>
      <c r="AM328" t="str">
        <f t="shared" si="132"/>
        <v/>
      </c>
      <c r="AN328" t="str">
        <f t="shared" si="133"/>
        <v/>
      </c>
      <c r="AO328" t="str">
        <f t="shared" si="134"/>
        <v/>
      </c>
      <c r="AP328">
        <f t="shared" si="135"/>
        <v>1</v>
      </c>
      <c r="AQ328" t="str">
        <f>IF(SAISIE!$F333="","",SAISIE!$Y333)</f>
        <v/>
      </c>
      <c r="AR328" t="str">
        <f>IF(OR(SAISIE!$U$4="",SAISIE!$W$4=""),"",IF(AND($A328=SAISIE!$U$4,$B328=SAISIE!$W$4,$C328="S1"),COUNTIFS($A$2:$A328,SAISIE!$U$4,$B$2:$B328,SAISIE!$W$4,$C$2:$C328,"S1"),""))</f>
        <v/>
      </c>
      <c r="AS328" t="str">
        <f t="shared" si="136"/>
        <v/>
      </c>
      <c r="AT328" t="str">
        <f t="shared" si="137"/>
        <v/>
      </c>
      <c r="AU328" t="str">
        <f t="shared" si="138"/>
        <v/>
      </c>
      <c r="AV328">
        <f>N(AV327)+IF(AND($AB328&lt;&gt;"",OR('PROFIL ELEVE'!$K$4="(Tous)",$AF328='PROFIL ELEVE'!$K$4)),1,0)</f>
        <v>0</v>
      </c>
      <c r="AW328">
        <f>N(AW327)+IF(AND($AB328&lt;&gt;"",OR('SUIVI LONGITUDINAL'!$Q$4="(Tous)",$AF328='SUIVI LONGITUDINAL'!$Q$4)),1,0)</f>
        <v>0</v>
      </c>
      <c r="AX328">
        <f t="shared" si="139"/>
        <v>0</v>
      </c>
      <c r="AY328">
        <f t="shared" si="140"/>
        <v>0</v>
      </c>
      <c r="AZ328">
        <f t="shared" si="141"/>
        <v>0</v>
      </c>
      <c r="BA328" t="str">
        <f t="shared" si="142"/>
        <v/>
      </c>
      <c r="BB328" t="str">
        <f t="shared" si="143"/>
        <v/>
      </c>
    </row>
    <row r="329" spans="1:54" ht="14.25" customHeight="1" x14ac:dyDescent="0.3">
      <c r="A329" t="str">
        <f>IF(SAISIE!$F334="","",SAISIE!$B334)</f>
        <v/>
      </c>
      <c r="B329" t="str">
        <f>IF(SAISIE!$F334="","",SAISIE!$C334)</f>
        <v/>
      </c>
      <c r="C329" t="str">
        <f>IF(SAISIE!$F334="","",SAISIE!$D334)</f>
        <v/>
      </c>
      <c r="D329" t="str">
        <f>IF(SAISIE!$E334="","",SAISIE!$E334)</f>
        <v/>
      </c>
      <c r="E329" t="str">
        <f>IF(SAISIE!$F334="","",SAISIE!$F334)</f>
        <v/>
      </c>
      <c r="F329" t="str">
        <f>IF(SAISIE!$G334="","",SAISIE!$G334)</f>
        <v/>
      </c>
      <c r="G329" t="str">
        <f>IF(SAISIE!$H334="","",SAISIE!$H334)</f>
        <v/>
      </c>
      <c r="H329" t="str">
        <f>IF(SAISIE!$I334="","",SAISIE!$I334)</f>
        <v/>
      </c>
      <c r="I329" t="str">
        <f>IF(SAISIE!$J334="","",SAISIE!$J334)</f>
        <v/>
      </c>
      <c r="J329" t="str">
        <f>IF(SAISIE!$K334="","",SAISIE!$K334)</f>
        <v/>
      </c>
      <c r="K329" t="str">
        <f>IF(SAISIE!$L334="","",SAISIE!$L334)</f>
        <v/>
      </c>
      <c r="L329" t="str">
        <f>IF(SAISIE!$M334="","",SAISIE!$M334)</f>
        <v/>
      </c>
      <c r="M329" t="str">
        <f>IF(SAISIE!$N334="","",SAISIE!$N334)</f>
        <v/>
      </c>
      <c r="N329" t="str">
        <f>IF(SAISIE!$O334="","",SAISIE!$O334)</f>
        <v/>
      </c>
      <c r="O329" t="str">
        <f>IF(SAISIE!$P334="","",SAISIE!$P334)</f>
        <v/>
      </c>
      <c r="P329" t="str">
        <f>IF(SAISIE!$Q334="","",SAISIE!$Q334)</f>
        <v/>
      </c>
      <c r="Q329" t="str">
        <f>IF($I329="","",IF($I329&gt;PARAMETRES!$G$29,5,IF($I329&gt;PARAMETRES!$F$29,4,IF($I329&gt;PARAMETRES!$E$29,3,IF($I329&gt;PARAMETRES!$D$29,2,1)))))</f>
        <v/>
      </c>
      <c r="R329" t="str">
        <f>IF($J329="","",IF($J329&gt;PARAMETRES!$G$30,5,IF($J329&gt;PARAMETRES!$F$30,4,IF($J329&gt;PARAMETRES!$E$30,3,IF($J329&gt;PARAMETRES!$D$30,2,1)))))</f>
        <v/>
      </c>
      <c r="S329" t="str">
        <f>IF($K329="","",IF($Z329=2,IF($K329&gt;PARAMETRES!$G$31,5,IF($K329&gt;PARAMETRES!$F$31,4,IF($K329&gt;PARAMETRES!$E$31,3,IF($K329&gt;PARAMETRES!$D$31,2,1)))),IF($K329&gt;PARAMETRES!$G$32,5,IF($K329&gt;PARAMETRES!$F$32,4,IF($K329&gt;PARAMETRES!$E$32,3,IF($K329&gt;PARAMETRES!$D$32,2,1))))))</f>
        <v/>
      </c>
      <c r="T329" t="str">
        <f>IF($L329="","",IF($L329&gt;PARAMETRES!$G$33,5,IF($L329&gt;PARAMETRES!$F$33,4,IF($L329&gt;PARAMETRES!$E$33,3,IF($L329&gt;PARAMETRES!$D$33,2,1)))))</f>
        <v/>
      </c>
      <c r="U329" t="str">
        <f>IF($M329="","",IF($M329&gt;PARAMETRES!$G$34,5,IF($M329&gt;PARAMETRES!$F$34,4,IF($M329&gt;PARAMETRES!$E$34,3,IF($M329&gt;PARAMETRES!$D$34,2,1)))))</f>
        <v/>
      </c>
      <c r="V329" t="str">
        <f>IF($N329="","",IF($N329&gt;PARAMETRES!$G$35,5,IF($N329&gt;PARAMETRES!$F$35,4,IF($N329&gt;PARAMETRES!$E$35,3,IF($N329&gt;PARAMETRES!$D$35,2,1)))))</f>
        <v/>
      </c>
      <c r="W329" t="str">
        <f>IF($O329="","",IF($O329&gt;PARAMETRES!$G$36,5,IF($O329&gt;PARAMETRES!$F$36,4,IF($O329&gt;PARAMETRES!$E$36,3,IF($O329&gt;PARAMETRES!$D$36,2,1)))))</f>
        <v/>
      </c>
      <c r="X329" t="str">
        <f>IF($P329="","",IF($P329&gt;PARAMETRES!$G$37,5,IF($P329&gt;PARAMETRES!$F$37,4,IF($P329&gt;PARAMETRES!$E$37,3,IF($P329&gt;PARAMETRES!$D$37,2,1)))))</f>
        <v/>
      </c>
      <c r="Y329" t="str">
        <f t="shared" si="120"/>
        <v/>
      </c>
      <c r="Z329" t="str">
        <f>IFERROR(VLOOKUP($B329,TABLE_CYCLE,2,0),"")</f>
        <v/>
      </c>
      <c r="AA329" t="str">
        <f t="shared" si="121"/>
        <v/>
      </c>
      <c r="AB329" t="str">
        <f>IF($D329="","",IF(COUNTIF($D$2:$D329,$D329)=1,$D329,""))</f>
        <v/>
      </c>
      <c r="AC329">
        <f t="shared" si="122"/>
        <v>0</v>
      </c>
      <c r="AD329" t="str">
        <f t="shared" si="123"/>
        <v>|0</v>
      </c>
      <c r="AE329" t="str">
        <f t="shared" si="124"/>
        <v/>
      </c>
      <c r="AF329" t="str">
        <f t="shared" si="125"/>
        <v/>
      </c>
      <c r="AG329" t="str">
        <f t="shared" si="126"/>
        <v/>
      </c>
      <c r="AH329" t="str">
        <f t="shared" si="127"/>
        <v/>
      </c>
      <c r="AI329" t="str">
        <f t="shared" si="128"/>
        <v/>
      </c>
      <c r="AJ329" t="str">
        <f t="shared" si="129"/>
        <v/>
      </c>
      <c r="AK329" t="str">
        <f t="shared" si="130"/>
        <v/>
      </c>
      <c r="AL329" t="str">
        <f t="shared" si="131"/>
        <v/>
      </c>
      <c r="AM329" t="str">
        <f t="shared" si="132"/>
        <v/>
      </c>
      <c r="AN329" t="str">
        <f t="shared" si="133"/>
        <v/>
      </c>
      <c r="AO329" t="str">
        <f t="shared" si="134"/>
        <v/>
      </c>
      <c r="AP329">
        <f t="shared" si="135"/>
        <v>1</v>
      </c>
      <c r="AQ329" t="str">
        <f>IF(SAISIE!$F334="","",SAISIE!$Y334)</f>
        <v/>
      </c>
      <c r="AR329" t="str">
        <f>IF(OR(SAISIE!$U$4="",SAISIE!$W$4=""),"",IF(AND($A329=SAISIE!$U$4,$B329=SAISIE!$W$4,$C329="S1"),COUNTIFS($A$2:$A329,SAISIE!$U$4,$B$2:$B329,SAISIE!$W$4,$C$2:$C329,"S1"),""))</f>
        <v/>
      </c>
      <c r="AS329" t="str">
        <f t="shared" si="136"/>
        <v/>
      </c>
      <c r="AT329" t="str">
        <f t="shared" si="137"/>
        <v/>
      </c>
      <c r="AU329" t="str">
        <f t="shared" si="138"/>
        <v/>
      </c>
      <c r="AV329">
        <f>N(AV328)+IF(AND($AB329&lt;&gt;"",OR('PROFIL ELEVE'!$K$4="(Tous)",$AF329='PROFIL ELEVE'!$K$4)),1,0)</f>
        <v>0</v>
      </c>
      <c r="AW329">
        <f>N(AW328)+IF(AND($AB329&lt;&gt;"",OR('SUIVI LONGITUDINAL'!$Q$4="(Tous)",$AF329='SUIVI LONGITUDINAL'!$Q$4)),1,0)</f>
        <v>0</v>
      </c>
      <c r="AX329">
        <f t="shared" si="139"/>
        <v>0</v>
      </c>
      <c r="AY329">
        <f t="shared" si="140"/>
        <v>0</v>
      </c>
      <c r="AZ329">
        <f t="shared" si="141"/>
        <v>0</v>
      </c>
      <c r="BA329" t="str">
        <f t="shared" si="142"/>
        <v/>
      </c>
      <c r="BB329" t="str">
        <f t="shared" si="143"/>
        <v/>
      </c>
    </row>
    <row r="330" spans="1:54" ht="14.25" customHeight="1" x14ac:dyDescent="0.3">
      <c r="A330" t="str">
        <f>IF(SAISIE!$F335="","",SAISIE!$B335)</f>
        <v/>
      </c>
      <c r="B330" t="str">
        <f>IF(SAISIE!$F335="","",SAISIE!$C335)</f>
        <v/>
      </c>
      <c r="C330" t="str">
        <f>IF(SAISIE!$F335="","",SAISIE!$D335)</f>
        <v/>
      </c>
      <c r="D330" t="str">
        <f>IF(SAISIE!$E335="","",SAISIE!$E335)</f>
        <v/>
      </c>
      <c r="E330" t="str">
        <f>IF(SAISIE!$F335="","",SAISIE!$F335)</f>
        <v/>
      </c>
      <c r="F330" t="str">
        <f>IF(SAISIE!$G335="","",SAISIE!$G335)</f>
        <v/>
      </c>
      <c r="G330" t="str">
        <f>IF(SAISIE!$H335="","",SAISIE!$H335)</f>
        <v/>
      </c>
      <c r="H330" t="str">
        <f>IF(SAISIE!$I335="","",SAISIE!$I335)</f>
        <v/>
      </c>
      <c r="I330" t="str">
        <f>IF(SAISIE!$J335="","",SAISIE!$J335)</f>
        <v/>
      </c>
      <c r="J330" t="str">
        <f>IF(SAISIE!$K335="","",SAISIE!$K335)</f>
        <v/>
      </c>
      <c r="K330" t="str">
        <f>IF(SAISIE!$L335="","",SAISIE!$L335)</f>
        <v/>
      </c>
      <c r="L330" t="str">
        <f>IF(SAISIE!$M335="","",SAISIE!$M335)</f>
        <v/>
      </c>
      <c r="M330" t="str">
        <f>IF(SAISIE!$N335="","",SAISIE!$N335)</f>
        <v/>
      </c>
      <c r="N330" t="str">
        <f>IF(SAISIE!$O335="","",SAISIE!$O335)</f>
        <v/>
      </c>
      <c r="O330" t="str">
        <f>IF(SAISIE!$P335="","",SAISIE!$P335)</f>
        <v/>
      </c>
      <c r="P330" t="str">
        <f>IF(SAISIE!$Q335="","",SAISIE!$Q335)</f>
        <v/>
      </c>
      <c r="Q330" t="str">
        <f>IF($I330="","",IF($I330&gt;PARAMETRES!$G$29,5,IF($I330&gt;PARAMETRES!$F$29,4,IF($I330&gt;PARAMETRES!$E$29,3,IF($I330&gt;PARAMETRES!$D$29,2,1)))))</f>
        <v/>
      </c>
      <c r="R330" t="str">
        <f>IF($J330="","",IF($J330&gt;PARAMETRES!$G$30,5,IF($J330&gt;PARAMETRES!$F$30,4,IF($J330&gt;PARAMETRES!$E$30,3,IF($J330&gt;PARAMETRES!$D$30,2,1)))))</f>
        <v/>
      </c>
      <c r="S330" t="str">
        <f>IF($K330="","",IF($Z330=2,IF($K330&gt;PARAMETRES!$G$31,5,IF($K330&gt;PARAMETRES!$F$31,4,IF($K330&gt;PARAMETRES!$E$31,3,IF($K330&gt;PARAMETRES!$D$31,2,1)))),IF($K330&gt;PARAMETRES!$G$32,5,IF($K330&gt;PARAMETRES!$F$32,4,IF($K330&gt;PARAMETRES!$E$32,3,IF($K330&gt;PARAMETRES!$D$32,2,1))))))</f>
        <v/>
      </c>
      <c r="T330" t="str">
        <f>IF($L330="","",IF($L330&gt;PARAMETRES!$G$33,5,IF($L330&gt;PARAMETRES!$F$33,4,IF($L330&gt;PARAMETRES!$E$33,3,IF($L330&gt;PARAMETRES!$D$33,2,1)))))</f>
        <v/>
      </c>
      <c r="U330" t="str">
        <f>IF($M330="","",IF($M330&gt;PARAMETRES!$G$34,5,IF($M330&gt;PARAMETRES!$F$34,4,IF($M330&gt;PARAMETRES!$E$34,3,IF($M330&gt;PARAMETRES!$D$34,2,1)))))</f>
        <v/>
      </c>
      <c r="V330" t="str">
        <f>IF($N330="","",IF($N330&gt;PARAMETRES!$G$35,5,IF($N330&gt;PARAMETRES!$F$35,4,IF($N330&gt;PARAMETRES!$E$35,3,IF($N330&gt;PARAMETRES!$D$35,2,1)))))</f>
        <v/>
      </c>
      <c r="W330" t="str">
        <f>IF($O330="","",IF($O330&gt;PARAMETRES!$G$36,5,IF($O330&gt;PARAMETRES!$F$36,4,IF($O330&gt;PARAMETRES!$E$36,3,IF($O330&gt;PARAMETRES!$D$36,2,1)))))</f>
        <v/>
      </c>
      <c r="X330" t="str">
        <f>IF($P330="","",IF($P330&gt;PARAMETRES!$G$37,5,IF($P330&gt;PARAMETRES!$F$37,4,IF($P330&gt;PARAMETRES!$E$37,3,IF($P330&gt;PARAMETRES!$D$37,2,1)))))</f>
        <v/>
      </c>
      <c r="Y330" t="str">
        <f t="shared" si="120"/>
        <v/>
      </c>
      <c r="Z330" t="str">
        <f>IFERROR(VLOOKUP($B330,TABLE_CYCLE,2,0),"")</f>
        <v/>
      </c>
      <c r="AA330" t="str">
        <f t="shared" si="121"/>
        <v/>
      </c>
      <c r="AB330" t="str">
        <f>IF($D330="","",IF(COUNTIF($D$2:$D330,$D330)=1,$D330,""))</f>
        <v/>
      </c>
      <c r="AC330">
        <f t="shared" si="122"/>
        <v>0</v>
      </c>
      <c r="AD330" t="str">
        <f t="shared" si="123"/>
        <v>|0</v>
      </c>
      <c r="AE330" t="str">
        <f t="shared" si="124"/>
        <v/>
      </c>
      <c r="AF330" t="str">
        <f t="shared" si="125"/>
        <v/>
      </c>
      <c r="AG330" t="str">
        <f t="shared" si="126"/>
        <v/>
      </c>
      <c r="AH330" t="str">
        <f t="shared" si="127"/>
        <v/>
      </c>
      <c r="AI330" t="str">
        <f t="shared" si="128"/>
        <v/>
      </c>
      <c r="AJ330" t="str">
        <f t="shared" si="129"/>
        <v/>
      </c>
      <c r="AK330" t="str">
        <f t="shared" si="130"/>
        <v/>
      </c>
      <c r="AL330" t="str">
        <f t="shared" si="131"/>
        <v/>
      </c>
      <c r="AM330" t="str">
        <f t="shared" si="132"/>
        <v/>
      </c>
      <c r="AN330" t="str">
        <f t="shared" si="133"/>
        <v/>
      </c>
      <c r="AO330" t="str">
        <f t="shared" si="134"/>
        <v/>
      </c>
      <c r="AP330">
        <f t="shared" si="135"/>
        <v>1</v>
      </c>
      <c r="AQ330" t="str">
        <f>IF(SAISIE!$F335="","",SAISIE!$Y335)</f>
        <v/>
      </c>
      <c r="AR330" t="str">
        <f>IF(OR(SAISIE!$U$4="",SAISIE!$W$4=""),"",IF(AND($A330=SAISIE!$U$4,$B330=SAISIE!$W$4,$C330="S1"),COUNTIFS($A$2:$A330,SAISIE!$U$4,$B$2:$B330,SAISIE!$W$4,$C$2:$C330,"S1"),""))</f>
        <v/>
      </c>
      <c r="AS330" t="str">
        <f t="shared" si="136"/>
        <v/>
      </c>
      <c r="AT330" t="str">
        <f t="shared" si="137"/>
        <v/>
      </c>
      <c r="AU330" t="str">
        <f t="shared" si="138"/>
        <v/>
      </c>
      <c r="AV330">
        <f>N(AV329)+IF(AND($AB330&lt;&gt;"",OR('PROFIL ELEVE'!$K$4="(Tous)",$AF330='PROFIL ELEVE'!$K$4)),1,0)</f>
        <v>0</v>
      </c>
      <c r="AW330">
        <f>N(AW329)+IF(AND($AB330&lt;&gt;"",OR('SUIVI LONGITUDINAL'!$Q$4="(Tous)",$AF330='SUIVI LONGITUDINAL'!$Q$4)),1,0)</f>
        <v>0</v>
      </c>
      <c r="AX330">
        <f t="shared" si="139"/>
        <v>0</v>
      </c>
      <c r="AY330">
        <f t="shared" si="140"/>
        <v>0</v>
      </c>
      <c r="AZ330">
        <f t="shared" si="141"/>
        <v>0</v>
      </c>
      <c r="BA330" t="str">
        <f t="shared" si="142"/>
        <v/>
      </c>
      <c r="BB330" t="str">
        <f t="shared" si="143"/>
        <v/>
      </c>
    </row>
    <row r="331" spans="1:54" ht="14.25" customHeight="1" x14ac:dyDescent="0.3">
      <c r="A331" t="str">
        <f>IF(SAISIE!$F336="","",SAISIE!$B336)</f>
        <v/>
      </c>
      <c r="B331" t="str">
        <f>IF(SAISIE!$F336="","",SAISIE!$C336)</f>
        <v/>
      </c>
      <c r="C331" t="str">
        <f>IF(SAISIE!$F336="","",SAISIE!$D336)</f>
        <v/>
      </c>
      <c r="D331" t="str">
        <f>IF(SAISIE!$E336="","",SAISIE!$E336)</f>
        <v/>
      </c>
      <c r="E331" t="str">
        <f>IF(SAISIE!$F336="","",SAISIE!$F336)</f>
        <v/>
      </c>
      <c r="F331" t="str">
        <f>IF(SAISIE!$G336="","",SAISIE!$G336)</f>
        <v/>
      </c>
      <c r="G331" t="str">
        <f>IF(SAISIE!$H336="","",SAISIE!$H336)</f>
        <v/>
      </c>
      <c r="H331" t="str">
        <f>IF(SAISIE!$I336="","",SAISIE!$I336)</f>
        <v/>
      </c>
      <c r="I331" t="str">
        <f>IF(SAISIE!$J336="","",SAISIE!$J336)</f>
        <v/>
      </c>
      <c r="J331" t="str">
        <f>IF(SAISIE!$K336="","",SAISIE!$K336)</f>
        <v/>
      </c>
      <c r="K331" t="str">
        <f>IF(SAISIE!$L336="","",SAISIE!$L336)</f>
        <v/>
      </c>
      <c r="L331" t="str">
        <f>IF(SAISIE!$M336="","",SAISIE!$M336)</f>
        <v/>
      </c>
      <c r="M331" t="str">
        <f>IF(SAISIE!$N336="","",SAISIE!$N336)</f>
        <v/>
      </c>
      <c r="N331" t="str">
        <f>IF(SAISIE!$O336="","",SAISIE!$O336)</f>
        <v/>
      </c>
      <c r="O331" t="str">
        <f>IF(SAISIE!$P336="","",SAISIE!$P336)</f>
        <v/>
      </c>
      <c r="P331" t="str">
        <f>IF(SAISIE!$Q336="","",SAISIE!$Q336)</f>
        <v/>
      </c>
      <c r="Q331" t="str">
        <f>IF($I331="","",IF($I331&gt;PARAMETRES!$G$29,5,IF($I331&gt;PARAMETRES!$F$29,4,IF($I331&gt;PARAMETRES!$E$29,3,IF($I331&gt;PARAMETRES!$D$29,2,1)))))</f>
        <v/>
      </c>
      <c r="R331" t="str">
        <f>IF($J331="","",IF($J331&gt;PARAMETRES!$G$30,5,IF($J331&gt;PARAMETRES!$F$30,4,IF($J331&gt;PARAMETRES!$E$30,3,IF($J331&gt;PARAMETRES!$D$30,2,1)))))</f>
        <v/>
      </c>
      <c r="S331" t="str">
        <f>IF($K331="","",IF($Z331=2,IF($K331&gt;PARAMETRES!$G$31,5,IF($K331&gt;PARAMETRES!$F$31,4,IF($K331&gt;PARAMETRES!$E$31,3,IF($K331&gt;PARAMETRES!$D$31,2,1)))),IF($K331&gt;PARAMETRES!$G$32,5,IF($K331&gt;PARAMETRES!$F$32,4,IF($K331&gt;PARAMETRES!$E$32,3,IF($K331&gt;PARAMETRES!$D$32,2,1))))))</f>
        <v/>
      </c>
      <c r="T331" t="str">
        <f>IF($L331="","",IF($L331&gt;PARAMETRES!$G$33,5,IF($L331&gt;PARAMETRES!$F$33,4,IF($L331&gt;PARAMETRES!$E$33,3,IF($L331&gt;PARAMETRES!$D$33,2,1)))))</f>
        <v/>
      </c>
      <c r="U331" t="str">
        <f>IF($M331="","",IF($M331&gt;PARAMETRES!$G$34,5,IF($M331&gt;PARAMETRES!$F$34,4,IF($M331&gt;PARAMETRES!$E$34,3,IF($M331&gt;PARAMETRES!$D$34,2,1)))))</f>
        <v/>
      </c>
      <c r="V331" t="str">
        <f>IF($N331="","",IF($N331&gt;PARAMETRES!$G$35,5,IF($N331&gt;PARAMETRES!$F$35,4,IF($N331&gt;PARAMETRES!$E$35,3,IF($N331&gt;PARAMETRES!$D$35,2,1)))))</f>
        <v/>
      </c>
      <c r="W331" t="str">
        <f>IF($O331="","",IF($O331&gt;PARAMETRES!$G$36,5,IF($O331&gt;PARAMETRES!$F$36,4,IF($O331&gt;PARAMETRES!$E$36,3,IF($O331&gt;PARAMETRES!$D$36,2,1)))))</f>
        <v/>
      </c>
      <c r="X331" t="str">
        <f>IF($P331="","",IF($P331&gt;PARAMETRES!$G$37,5,IF($P331&gt;PARAMETRES!$F$37,4,IF($P331&gt;PARAMETRES!$E$37,3,IF($P331&gt;PARAMETRES!$D$37,2,1)))))</f>
        <v/>
      </c>
      <c r="Y331" t="str">
        <f t="shared" si="120"/>
        <v/>
      </c>
      <c r="Z331" t="str">
        <f>IFERROR(VLOOKUP($B331,TABLE_CYCLE,2,0),"")</f>
        <v/>
      </c>
      <c r="AA331" t="str">
        <f t="shared" si="121"/>
        <v/>
      </c>
      <c r="AB331" t="str">
        <f>IF($D331="","",IF(COUNTIF($D$2:$D331,$D331)=1,$D331,""))</f>
        <v/>
      </c>
      <c r="AC331">
        <f t="shared" si="122"/>
        <v>0</v>
      </c>
      <c r="AD331" t="str">
        <f t="shared" si="123"/>
        <v>|0</v>
      </c>
      <c r="AE331" t="str">
        <f t="shared" si="124"/>
        <v/>
      </c>
      <c r="AF331" t="str">
        <f t="shared" si="125"/>
        <v/>
      </c>
      <c r="AG331" t="str">
        <f t="shared" si="126"/>
        <v/>
      </c>
      <c r="AH331" t="str">
        <f t="shared" si="127"/>
        <v/>
      </c>
      <c r="AI331" t="str">
        <f t="shared" si="128"/>
        <v/>
      </c>
      <c r="AJ331" t="str">
        <f t="shared" si="129"/>
        <v/>
      </c>
      <c r="AK331" t="str">
        <f t="shared" si="130"/>
        <v/>
      </c>
      <c r="AL331" t="str">
        <f t="shared" si="131"/>
        <v/>
      </c>
      <c r="AM331" t="str">
        <f t="shared" si="132"/>
        <v/>
      </c>
      <c r="AN331" t="str">
        <f t="shared" si="133"/>
        <v/>
      </c>
      <c r="AO331" t="str">
        <f t="shared" si="134"/>
        <v/>
      </c>
      <c r="AP331">
        <f t="shared" si="135"/>
        <v>1</v>
      </c>
      <c r="AQ331" t="str">
        <f>IF(SAISIE!$F336="","",SAISIE!$Y336)</f>
        <v/>
      </c>
      <c r="AR331" t="str">
        <f>IF(OR(SAISIE!$U$4="",SAISIE!$W$4=""),"",IF(AND($A331=SAISIE!$U$4,$B331=SAISIE!$W$4,$C331="S1"),COUNTIFS($A$2:$A331,SAISIE!$U$4,$B$2:$B331,SAISIE!$W$4,$C$2:$C331,"S1"),""))</f>
        <v/>
      </c>
      <c r="AS331" t="str">
        <f t="shared" si="136"/>
        <v/>
      </c>
      <c r="AT331" t="str">
        <f t="shared" si="137"/>
        <v/>
      </c>
      <c r="AU331" t="str">
        <f t="shared" si="138"/>
        <v/>
      </c>
      <c r="AV331">
        <f>N(AV330)+IF(AND($AB331&lt;&gt;"",OR('PROFIL ELEVE'!$K$4="(Tous)",$AF331='PROFIL ELEVE'!$K$4)),1,0)</f>
        <v>0</v>
      </c>
      <c r="AW331">
        <f>N(AW330)+IF(AND($AB331&lt;&gt;"",OR('SUIVI LONGITUDINAL'!$Q$4="(Tous)",$AF331='SUIVI LONGITUDINAL'!$Q$4)),1,0)</f>
        <v>0</v>
      </c>
      <c r="AX331">
        <f t="shared" si="139"/>
        <v>0</v>
      </c>
      <c r="AY331">
        <f t="shared" si="140"/>
        <v>0</v>
      </c>
      <c r="AZ331">
        <f t="shared" si="141"/>
        <v>0</v>
      </c>
      <c r="BA331" t="str">
        <f t="shared" si="142"/>
        <v/>
      </c>
      <c r="BB331" t="str">
        <f t="shared" si="143"/>
        <v/>
      </c>
    </row>
    <row r="332" spans="1:54" ht="14.25" customHeight="1" x14ac:dyDescent="0.3">
      <c r="A332" t="str">
        <f>IF(SAISIE!$F337="","",SAISIE!$B337)</f>
        <v/>
      </c>
      <c r="B332" t="str">
        <f>IF(SAISIE!$F337="","",SAISIE!$C337)</f>
        <v/>
      </c>
      <c r="C332" t="str">
        <f>IF(SAISIE!$F337="","",SAISIE!$D337)</f>
        <v/>
      </c>
      <c r="D332" t="str">
        <f>IF(SAISIE!$E337="","",SAISIE!$E337)</f>
        <v/>
      </c>
      <c r="E332" t="str">
        <f>IF(SAISIE!$F337="","",SAISIE!$F337)</f>
        <v/>
      </c>
      <c r="F332" t="str">
        <f>IF(SAISIE!$G337="","",SAISIE!$G337)</f>
        <v/>
      </c>
      <c r="G332" t="str">
        <f>IF(SAISIE!$H337="","",SAISIE!$H337)</f>
        <v/>
      </c>
      <c r="H332" t="str">
        <f>IF(SAISIE!$I337="","",SAISIE!$I337)</f>
        <v/>
      </c>
      <c r="I332" t="str">
        <f>IF(SAISIE!$J337="","",SAISIE!$J337)</f>
        <v/>
      </c>
      <c r="J332" t="str">
        <f>IF(SAISIE!$K337="","",SAISIE!$K337)</f>
        <v/>
      </c>
      <c r="K332" t="str">
        <f>IF(SAISIE!$L337="","",SAISIE!$L337)</f>
        <v/>
      </c>
      <c r="L332" t="str">
        <f>IF(SAISIE!$M337="","",SAISIE!$M337)</f>
        <v/>
      </c>
      <c r="M332" t="str">
        <f>IF(SAISIE!$N337="","",SAISIE!$N337)</f>
        <v/>
      </c>
      <c r="N332" t="str">
        <f>IF(SAISIE!$O337="","",SAISIE!$O337)</f>
        <v/>
      </c>
      <c r="O332" t="str">
        <f>IF(SAISIE!$P337="","",SAISIE!$P337)</f>
        <v/>
      </c>
      <c r="P332" t="str">
        <f>IF(SAISIE!$Q337="","",SAISIE!$Q337)</f>
        <v/>
      </c>
      <c r="Q332" t="str">
        <f>IF($I332="","",IF($I332&gt;PARAMETRES!$G$29,5,IF($I332&gt;PARAMETRES!$F$29,4,IF($I332&gt;PARAMETRES!$E$29,3,IF($I332&gt;PARAMETRES!$D$29,2,1)))))</f>
        <v/>
      </c>
      <c r="R332" t="str">
        <f>IF($J332="","",IF($J332&gt;PARAMETRES!$G$30,5,IF($J332&gt;PARAMETRES!$F$30,4,IF($J332&gt;PARAMETRES!$E$30,3,IF($J332&gt;PARAMETRES!$D$30,2,1)))))</f>
        <v/>
      </c>
      <c r="S332" t="str">
        <f>IF($K332="","",IF($Z332=2,IF($K332&gt;PARAMETRES!$G$31,5,IF($K332&gt;PARAMETRES!$F$31,4,IF($K332&gt;PARAMETRES!$E$31,3,IF($K332&gt;PARAMETRES!$D$31,2,1)))),IF($K332&gt;PARAMETRES!$G$32,5,IF($K332&gt;PARAMETRES!$F$32,4,IF($K332&gt;PARAMETRES!$E$32,3,IF($K332&gt;PARAMETRES!$D$32,2,1))))))</f>
        <v/>
      </c>
      <c r="T332" t="str">
        <f>IF($L332="","",IF($L332&gt;PARAMETRES!$G$33,5,IF($L332&gt;PARAMETRES!$F$33,4,IF($L332&gt;PARAMETRES!$E$33,3,IF($L332&gt;PARAMETRES!$D$33,2,1)))))</f>
        <v/>
      </c>
      <c r="U332" t="str">
        <f>IF($M332="","",IF($M332&gt;PARAMETRES!$G$34,5,IF($M332&gt;PARAMETRES!$F$34,4,IF($M332&gt;PARAMETRES!$E$34,3,IF($M332&gt;PARAMETRES!$D$34,2,1)))))</f>
        <v/>
      </c>
      <c r="V332" t="str">
        <f>IF($N332="","",IF($N332&gt;PARAMETRES!$G$35,5,IF($N332&gt;PARAMETRES!$F$35,4,IF($N332&gt;PARAMETRES!$E$35,3,IF($N332&gt;PARAMETRES!$D$35,2,1)))))</f>
        <v/>
      </c>
      <c r="W332" t="str">
        <f>IF($O332="","",IF($O332&gt;PARAMETRES!$G$36,5,IF($O332&gt;PARAMETRES!$F$36,4,IF($O332&gt;PARAMETRES!$E$36,3,IF($O332&gt;PARAMETRES!$D$36,2,1)))))</f>
        <v/>
      </c>
      <c r="X332" t="str">
        <f>IF($P332="","",IF($P332&gt;PARAMETRES!$G$37,5,IF($P332&gt;PARAMETRES!$F$37,4,IF($P332&gt;PARAMETRES!$E$37,3,IF($P332&gt;PARAMETRES!$D$37,2,1)))))</f>
        <v/>
      </c>
      <c r="Y332" t="str">
        <f t="shared" si="120"/>
        <v/>
      </c>
      <c r="Z332" t="str">
        <f>IFERROR(VLOOKUP($B332,TABLE_CYCLE,2,0),"")</f>
        <v/>
      </c>
      <c r="AA332" t="str">
        <f t="shared" si="121"/>
        <v/>
      </c>
      <c r="AB332" t="str">
        <f>IF($D332="","",IF(COUNTIF($D$2:$D332,$D332)=1,$D332,""))</f>
        <v/>
      </c>
      <c r="AC332">
        <f t="shared" si="122"/>
        <v>0</v>
      </c>
      <c r="AD332" t="str">
        <f t="shared" si="123"/>
        <v>|0</v>
      </c>
      <c r="AE332" t="str">
        <f t="shared" si="124"/>
        <v/>
      </c>
      <c r="AF332" t="str">
        <f t="shared" si="125"/>
        <v/>
      </c>
      <c r="AG332" t="str">
        <f t="shared" si="126"/>
        <v/>
      </c>
      <c r="AH332" t="str">
        <f t="shared" si="127"/>
        <v/>
      </c>
      <c r="AI332" t="str">
        <f t="shared" si="128"/>
        <v/>
      </c>
      <c r="AJ332" t="str">
        <f t="shared" si="129"/>
        <v/>
      </c>
      <c r="AK332" t="str">
        <f t="shared" si="130"/>
        <v/>
      </c>
      <c r="AL332" t="str">
        <f t="shared" si="131"/>
        <v/>
      </c>
      <c r="AM332" t="str">
        <f t="shared" si="132"/>
        <v/>
      </c>
      <c r="AN332" t="str">
        <f t="shared" si="133"/>
        <v/>
      </c>
      <c r="AO332" t="str">
        <f t="shared" si="134"/>
        <v/>
      </c>
      <c r="AP332">
        <f t="shared" si="135"/>
        <v>1</v>
      </c>
      <c r="AQ332" t="str">
        <f>IF(SAISIE!$F337="","",SAISIE!$Y337)</f>
        <v/>
      </c>
      <c r="AR332" t="str">
        <f>IF(OR(SAISIE!$U$4="",SAISIE!$W$4=""),"",IF(AND($A332=SAISIE!$U$4,$B332=SAISIE!$W$4,$C332="S1"),COUNTIFS($A$2:$A332,SAISIE!$U$4,$B$2:$B332,SAISIE!$W$4,$C$2:$C332,"S1"),""))</f>
        <v/>
      </c>
      <c r="AS332" t="str">
        <f t="shared" si="136"/>
        <v/>
      </c>
      <c r="AT332" t="str">
        <f t="shared" si="137"/>
        <v/>
      </c>
      <c r="AU332" t="str">
        <f t="shared" si="138"/>
        <v/>
      </c>
      <c r="AV332">
        <f>N(AV331)+IF(AND($AB332&lt;&gt;"",OR('PROFIL ELEVE'!$K$4="(Tous)",$AF332='PROFIL ELEVE'!$K$4)),1,0)</f>
        <v>0</v>
      </c>
      <c r="AW332">
        <f>N(AW331)+IF(AND($AB332&lt;&gt;"",OR('SUIVI LONGITUDINAL'!$Q$4="(Tous)",$AF332='SUIVI LONGITUDINAL'!$Q$4)),1,0)</f>
        <v>0</v>
      </c>
      <c r="AX332">
        <f t="shared" si="139"/>
        <v>0</v>
      </c>
      <c r="AY332">
        <f t="shared" si="140"/>
        <v>0</v>
      </c>
      <c r="AZ332">
        <f t="shared" si="141"/>
        <v>0</v>
      </c>
      <c r="BA332" t="str">
        <f t="shared" si="142"/>
        <v/>
      </c>
      <c r="BB332" t="str">
        <f t="shared" si="143"/>
        <v/>
      </c>
    </row>
    <row r="333" spans="1:54" ht="14.25" customHeight="1" x14ac:dyDescent="0.3">
      <c r="A333" t="str">
        <f>IF(SAISIE!$F338="","",SAISIE!$B338)</f>
        <v/>
      </c>
      <c r="B333" t="str">
        <f>IF(SAISIE!$F338="","",SAISIE!$C338)</f>
        <v/>
      </c>
      <c r="C333" t="str">
        <f>IF(SAISIE!$F338="","",SAISIE!$D338)</f>
        <v/>
      </c>
      <c r="D333" t="str">
        <f>IF(SAISIE!$E338="","",SAISIE!$E338)</f>
        <v/>
      </c>
      <c r="E333" t="str">
        <f>IF(SAISIE!$F338="","",SAISIE!$F338)</f>
        <v/>
      </c>
      <c r="F333" t="str">
        <f>IF(SAISIE!$G338="","",SAISIE!$G338)</f>
        <v/>
      </c>
      <c r="G333" t="str">
        <f>IF(SAISIE!$H338="","",SAISIE!$H338)</f>
        <v/>
      </c>
      <c r="H333" t="str">
        <f>IF(SAISIE!$I338="","",SAISIE!$I338)</f>
        <v/>
      </c>
      <c r="I333" t="str">
        <f>IF(SAISIE!$J338="","",SAISIE!$J338)</f>
        <v/>
      </c>
      <c r="J333" t="str">
        <f>IF(SAISIE!$K338="","",SAISIE!$K338)</f>
        <v/>
      </c>
      <c r="K333" t="str">
        <f>IF(SAISIE!$L338="","",SAISIE!$L338)</f>
        <v/>
      </c>
      <c r="L333" t="str">
        <f>IF(SAISIE!$M338="","",SAISIE!$M338)</f>
        <v/>
      </c>
      <c r="M333" t="str">
        <f>IF(SAISIE!$N338="","",SAISIE!$N338)</f>
        <v/>
      </c>
      <c r="N333" t="str">
        <f>IF(SAISIE!$O338="","",SAISIE!$O338)</f>
        <v/>
      </c>
      <c r="O333" t="str">
        <f>IF(SAISIE!$P338="","",SAISIE!$P338)</f>
        <v/>
      </c>
      <c r="P333" t="str">
        <f>IF(SAISIE!$Q338="","",SAISIE!$Q338)</f>
        <v/>
      </c>
      <c r="Q333" t="str">
        <f>IF($I333="","",IF($I333&gt;PARAMETRES!$G$29,5,IF($I333&gt;PARAMETRES!$F$29,4,IF($I333&gt;PARAMETRES!$E$29,3,IF($I333&gt;PARAMETRES!$D$29,2,1)))))</f>
        <v/>
      </c>
      <c r="R333" t="str">
        <f>IF($J333="","",IF($J333&gt;PARAMETRES!$G$30,5,IF($J333&gt;PARAMETRES!$F$30,4,IF($J333&gt;PARAMETRES!$E$30,3,IF($J333&gt;PARAMETRES!$D$30,2,1)))))</f>
        <v/>
      </c>
      <c r="S333" t="str">
        <f>IF($K333="","",IF($Z333=2,IF($K333&gt;PARAMETRES!$G$31,5,IF($K333&gt;PARAMETRES!$F$31,4,IF($K333&gt;PARAMETRES!$E$31,3,IF($K333&gt;PARAMETRES!$D$31,2,1)))),IF($K333&gt;PARAMETRES!$G$32,5,IF($K333&gt;PARAMETRES!$F$32,4,IF($K333&gt;PARAMETRES!$E$32,3,IF($K333&gt;PARAMETRES!$D$32,2,1))))))</f>
        <v/>
      </c>
      <c r="T333" t="str">
        <f>IF($L333="","",IF($L333&gt;PARAMETRES!$G$33,5,IF($L333&gt;PARAMETRES!$F$33,4,IF($L333&gt;PARAMETRES!$E$33,3,IF($L333&gt;PARAMETRES!$D$33,2,1)))))</f>
        <v/>
      </c>
      <c r="U333" t="str">
        <f>IF($M333="","",IF($M333&gt;PARAMETRES!$G$34,5,IF($M333&gt;PARAMETRES!$F$34,4,IF($M333&gt;PARAMETRES!$E$34,3,IF($M333&gt;PARAMETRES!$D$34,2,1)))))</f>
        <v/>
      </c>
      <c r="V333" t="str">
        <f>IF($N333="","",IF($N333&gt;PARAMETRES!$G$35,5,IF($N333&gt;PARAMETRES!$F$35,4,IF($N333&gt;PARAMETRES!$E$35,3,IF($N333&gt;PARAMETRES!$D$35,2,1)))))</f>
        <v/>
      </c>
      <c r="W333" t="str">
        <f>IF($O333="","",IF($O333&gt;PARAMETRES!$G$36,5,IF($O333&gt;PARAMETRES!$F$36,4,IF($O333&gt;PARAMETRES!$E$36,3,IF($O333&gt;PARAMETRES!$D$36,2,1)))))</f>
        <v/>
      </c>
      <c r="X333" t="str">
        <f>IF($P333="","",IF($P333&gt;PARAMETRES!$G$37,5,IF($P333&gt;PARAMETRES!$F$37,4,IF($P333&gt;PARAMETRES!$E$37,3,IF($P333&gt;PARAMETRES!$D$37,2,1)))))</f>
        <v/>
      </c>
      <c r="Y333" t="str">
        <f t="shared" si="120"/>
        <v/>
      </c>
      <c r="Z333" t="str">
        <f>IFERROR(VLOOKUP($B333,TABLE_CYCLE,2,0),"")</f>
        <v/>
      </c>
      <c r="AA333" t="str">
        <f t="shared" si="121"/>
        <v/>
      </c>
      <c r="AB333" t="str">
        <f>IF($D333="","",IF(COUNTIF($D$2:$D333,$D333)=1,$D333,""))</f>
        <v/>
      </c>
      <c r="AC333">
        <f t="shared" si="122"/>
        <v>0</v>
      </c>
      <c r="AD333" t="str">
        <f t="shared" si="123"/>
        <v>|0</v>
      </c>
      <c r="AE333" t="str">
        <f t="shared" si="124"/>
        <v/>
      </c>
      <c r="AF333" t="str">
        <f t="shared" si="125"/>
        <v/>
      </c>
      <c r="AG333" t="str">
        <f t="shared" si="126"/>
        <v/>
      </c>
      <c r="AH333" t="str">
        <f t="shared" si="127"/>
        <v/>
      </c>
      <c r="AI333" t="str">
        <f t="shared" si="128"/>
        <v/>
      </c>
      <c r="AJ333" t="str">
        <f t="shared" si="129"/>
        <v/>
      </c>
      <c r="AK333" t="str">
        <f t="shared" si="130"/>
        <v/>
      </c>
      <c r="AL333" t="str">
        <f t="shared" si="131"/>
        <v/>
      </c>
      <c r="AM333" t="str">
        <f t="shared" si="132"/>
        <v/>
      </c>
      <c r="AN333" t="str">
        <f t="shared" si="133"/>
        <v/>
      </c>
      <c r="AO333" t="str">
        <f t="shared" si="134"/>
        <v/>
      </c>
      <c r="AP333">
        <f t="shared" si="135"/>
        <v>1</v>
      </c>
      <c r="AQ333" t="str">
        <f>IF(SAISIE!$F338="","",SAISIE!$Y338)</f>
        <v/>
      </c>
      <c r="AR333" t="str">
        <f>IF(OR(SAISIE!$U$4="",SAISIE!$W$4=""),"",IF(AND($A333=SAISIE!$U$4,$B333=SAISIE!$W$4,$C333="S1"),COUNTIFS($A$2:$A333,SAISIE!$U$4,$B$2:$B333,SAISIE!$W$4,$C$2:$C333,"S1"),""))</f>
        <v/>
      </c>
      <c r="AS333" t="str">
        <f t="shared" si="136"/>
        <v/>
      </c>
      <c r="AT333" t="str">
        <f t="shared" si="137"/>
        <v/>
      </c>
      <c r="AU333" t="str">
        <f t="shared" si="138"/>
        <v/>
      </c>
      <c r="AV333">
        <f>N(AV332)+IF(AND($AB333&lt;&gt;"",OR('PROFIL ELEVE'!$K$4="(Tous)",$AF333='PROFIL ELEVE'!$K$4)),1,0)</f>
        <v>0</v>
      </c>
      <c r="AW333">
        <f>N(AW332)+IF(AND($AB333&lt;&gt;"",OR('SUIVI LONGITUDINAL'!$Q$4="(Tous)",$AF333='SUIVI LONGITUDINAL'!$Q$4)),1,0)</f>
        <v>0</v>
      </c>
      <c r="AX333">
        <f t="shared" si="139"/>
        <v>0</v>
      </c>
      <c r="AY333">
        <f t="shared" si="140"/>
        <v>0</v>
      </c>
      <c r="AZ333">
        <f t="shared" si="141"/>
        <v>0</v>
      </c>
      <c r="BA333" t="str">
        <f t="shared" si="142"/>
        <v/>
      </c>
      <c r="BB333" t="str">
        <f t="shared" si="143"/>
        <v/>
      </c>
    </row>
    <row r="334" spans="1:54" ht="14.25" customHeight="1" x14ac:dyDescent="0.3">
      <c r="A334" t="str">
        <f>IF(SAISIE!$F339="","",SAISIE!$B339)</f>
        <v/>
      </c>
      <c r="B334" t="str">
        <f>IF(SAISIE!$F339="","",SAISIE!$C339)</f>
        <v/>
      </c>
      <c r="C334" t="str">
        <f>IF(SAISIE!$F339="","",SAISIE!$D339)</f>
        <v/>
      </c>
      <c r="D334" t="str">
        <f>IF(SAISIE!$E339="","",SAISIE!$E339)</f>
        <v/>
      </c>
      <c r="E334" t="str">
        <f>IF(SAISIE!$F339="","",SAISIE!$F339)</f>
        <v/>
      </c>
      <c r="F334" t="str">
        <f>IF(SAISIE!$G339="","",SAISIE!$G339)</f>
        <v/>
      </c>
      <c r="G334" t="str">
        <f>IF(SAISIE!$H339="","",SAISIE!$H339)</f>
        <v/>
      </c>
      <c r="H334" t="str">
        <f>IF(SAISIE!$I339="","",SAISIE!$I339)</f>
        <v/>
      </c>
      <c r="I334" t="str">
        <f>IF(SAISIE!$J339="","",SAISIE!$J339)</f>
        <v/>
      </c>
      <c r="J334" t="str">
        <f>IF(SAISIE!$K339="","",SAISIE!$K339)</f>
        <v/>
      </c>
      <c r="K334" t="str">
        <f>IF(SAISIE!$L339="","",SAISIE!$L339)</f>
        <v/>
      </c>
      <c r="L334" t="str">
        <f>IF(SAISIE!$M339="","",SAISIE!$M339)</f>
        <v/>
      </c>
      <c r="M334" t="str">
        <f>IF(SAISIE!$N339="","",SAISIE!$N339)</f>
        <v/>
      </c>
      <c r="N334" t="str">
        <f>IF(SAISIE!$O339="","",SAISIE!$O339)</f>
        <v/>
      </c>
      <c r="O334" t="str">
        <f>IF(SAISIE!$P339="","",SAISIE!$P339)</f>
        <v/>
      </c>
      <c r="P334" t="str">
        <f>IF(SAISIE!$Q339="","",SAISIE!$Q339)</f>
        <v/>
      </c>
      <c r="Q334" t="str">
        <f>IF($I334="","",IF($I334&gt;PARAMETRES!$G$29,5,IF($I334&gt;PARAMETRES!$F$29,4,IF($I334&gt;PARAMETRES!$E$29,3,IF($I334&gt;PARAMETRES!$D$29,2,1)))))</f>
        <v/>
      </c>
      <c r="R334" t="str">
        <f>IF($J334="","",IF($J334&gt;PARAMETRES!$G$30,5,IF($J334&gt;PARAMETRES!$F$30,4,IF($J334&gt;PARAMETRES!$E$30,3,IF($J334&gt;PARAMETRES!$D$30,2,1)))))</f>
        <v/>
      </c>
      <c r="S334" t="str">
        <f>IF($K334="","",IF($Z334=2,IF($K334&gt;PARAMETRES!$G$31,5,IF($K334&gt;PARAMETRES!$F$31,4,IF($K334&gt;PARAMETRES!$E$31,3,IF($K334&gt;PARAMETRES!$D$31,2,1)))),IF($K334&gt;PARAMETRES!$G$32,5,IF($K334&gt;PARAMETRES!$F$32,4,IF($K334&gt;PARAMETRES!$E$32,3,IF($K334&gt;PARAMETRES!$D$32,2,1))))))</f>
        <v/>
      </c>
      <c r="T334" t="str">
        <f>IF($L334="","",IF($L334&gt;PARAMETRES!$G$33,5,IF($L334&gt;PARAMETRES!$F$33,4,IF($L334&gt;PARAMETRES!$E$33,3,IF($L334&gt;PARAMETRES!$D$33,2,1)))))</f>
        <v/>
      </c>
      <c r="U334" t="str">
        <f>IF($M334="","",IF($M334&gt;PARAMETRES!$G$34,5,IF($M334&gt;PARAMETRES!$F$34,4,IF($M334&gt;PARAMETRES!$E$34,3,IF($M334&gt;PARAMETRES!$D$34,2,1)))))</f>
        <v/>
      </c>
      <c r="V334" t="str">
        <f>IF($N334="","",IF($N334&gt;PARAMETRES!$G$35,5,IF($N334&gt;PARAMETRES!$F$35,4,IF($N334&gt;PARAMETRES!$E$35,3,IF($N334&gt;PARAMETRES!$D$35,2,1)))))</f>
        <v/>
      </c>
      <c r="W334" t="str">
        <f>IF($O334="","",IF($O334&gt;PARAMETRES!$G$36,5,IF($O334&gt;PARAMETRES!$F$36,4,IF($O334&gt;PARAMETRES!$E$36,3,IF($O334&gt;PARAMETRES!$D$36,2,1)))))</f>
        <v/>
      </c>
      <c r="X334" t="str">
        <f>IF($P334="","",IF($P334&gt;PARAMETRES!$G$37,5,IF($P334&gt;PARAMETRES!$F$37,4,IF($P334&gt;PARAMETRES!$E$37,3,IF($P334&gt;PARAMETRES!$D$37,2,1)))))</f>
        <v/>
      </c>
      <c r="Y334" t="str">
        <f t="shared" si="120"/>
        <v/>
      </c>
      <c r="Z334" t="str">
        <f>IFERROR(VLOOKUP($B334,TABLE_CYCLE,2,0),"")</f>
        <v/>
      </c>
      <c r="AA334" t="str">
        <f t="shared" si="121"/>
        <v/>
      </c>
      <c r="AB334" t="str">
        <f>IF($D334="","",IF(COUNTIF($D$2:$D334,$D334)=1,$D334,""))</f>
        <v/>
      </c>
      <c r="AC334">
        <f t="shared" si="122"/>
        <v>0</v>
      </c>
      <c r="AD334" t="str">
        <f t="shared" si="123"/>
        <v>|0</v>
      </c>
      <c r="AE334" t="str">
        <f t="shared" si="124"/>
        <v/>
      </c>
      <c r="AF334" t="str">
        <f t="shared" si="125"/>
        <v/>
      </c>
      <c r="AG334" t="str">
        <f t="shared" si="126"/>
        <v/>
      </c>
      <c r="AH334" t="str">
        <f t="shared" si="127"/>
        <v/>
      </c>
      <c r="AI334" t="str">
        <f t="shared" si="128"/>
        <v/>
      </c>
      <c r="AJ334" t="str">
        <f t="shared" si="129"/>
        <v/>
      </c>
      <c r="AK334" t="str">
        <f t="shared" si="130"/>
        <v/>
      </c>
      <c r="AL334" t="str">
        <f t="shared" si="131"/>
        <v/>
      </c>
      <c r="AM334" t="str">
        <f t="shared" si="132"/>
        <v/>
      </c>
      <c r="AN334" t="str">
        <f t="shared" si="133"/>
        <v/>
      </c>
      <c r="AO334" t="str">
        <f t="shared" si="134"/>
        <v/>
      </c>
      <c r="AP334">
        <f t="shared" si="135"/>
        <v>1</v>
      </c>
      <c r="AQ334" t="str">
        <f>IF(SAISIE!$F339="","",SAISIE!$Y339)</f>
        <v/>
      </c>
      <c r="AR334" t="str">
        <f>IF(OR(SAISIE!$U$4="",SAISIE!$W$4=""),"",IF(AND($A334=SAISIE!$U$4,$B334=SAISIE!$W$4,$C334="S1"),COUNTIFS($A$2:$A334,SAISIE!$U$4,$B$2:$B334,SAISIE!$W$4,$C$2:$C334,"S1"),""))</f>
        <v/>
      </c>
      <c r="AS334" t="str">
        <f t="shared" si="136"/>
        <v/>
      </c>
      <c r="AT334" t="str">
        <f t="shared" si="137"/>
        <v/>
      </c>
      <c r="AU334" t="str">
        <f t="shared" si="138"/>
        <v/>
      </c>
      <c r="AV334">
        <f>N(AV333)+IF(AND($AB334&lt;&gt;"",OR('PROFIL ELEVE'!$K$4="(Tous)",$AF334='PROFIL ELEVE'!$K$4)),1,0)</f>
        <v>0</v>
      </c>
      <c r="AW334">
        <f>N(AW333)+IF(AND($AB334&lt;&gt;"",OR('SUIVI LONGITUDINAL'!$Q$4="(Tous)",$AF334='SUIVI LONGITUDINAL'!$Q$4)),1,0)</f>
        <v>0</v>
      </c>
      <c r="AX334">
        <f t="shared" si="139"/>
        <v>0</v>
      </c>
      <c r="AY334">
        <f t="shared" si="140"/>
        <v>0</v>
      </c>
      <c r="AZ334">
        <f t="shared" si="141"/>
        <v>0</v>
      </c>
      <c r="BA334" t="str">
        <f t="shared" si="142"/>
        <v/>
      </c>
      <c r="BB334" t="str">
        <f t="shared" si="143"/>
        <v/>
      </c>
    </row>
    <row r="335" spans="1:54" ht="14.25" customHeight="1" x14ac:dyDescent="0.3">
      <c r="A335" t="str">
        <f>IF(SAISIE!$F340="","",SAISIE!$B340)</f>
        <v/>
      </c>
      <c r="B335" t="str">
        <f>IF(SAISIE!$F340="","",SAISIE!$C340)</f>
        <v/>
      </c>
      <c r="C335" t="str">
        <f>IF(SAISIE!$F340="","",SAISIE!$D340)</f>
        <v/>
      </c>
      <c r="D335" t="str">
        <f>IF(SAISIE!$E340="","",SAISIE!$E340)</f>
        <v/>
      </c>
      <c r="E335" t="str">
        <f>IF(SAISIE!$F340="","",SAISIE!$F340)</f>
        <v/>
      </c>
      <c r="F335" t="str">
        <f>IF(SAISIE!$G340="","",SAISIE!$G340)</f>
        <v/>
      </c>
      <c r="G335" t="str">
        <f>IF(SAISIE!$H340="","",SAISIE!$H340)</f>
        <v/>
      </c>
      <c r="H335" t="str">
        <f>IF(SAISIE!$I340="","",SAISIE!$I340)</f>
        <v/>
      </c>
      <c r="I335" t="str">
        <f>IF(SAISIE!$J340="","",SAISIE!$J340)</f>
        <v/>
      </c>
      <c r="J335" t="str">
        <f>IF(SAISIE!$K340="","",SAISIE!$K340)</f>
        <v/>
      </c>
      <c r="K335" t="str">
        <f>IF(SAISIE!$L340="","",SAISIE!$L340)</f>
        <v/>
      </c>
      <c r="L335" t="str">
        <f>IF(SAISIE!$M340="","",SAISIE!$M340)</f>
        <v/>
      </c>
      <c r="M335" t="str">
        <f>IF(SAISIE!$N340="","",SAISIE!$N340)</f>
        <v/>
      </c>
      <c r="N335" t="str">
        <f>IF(SAISIE!$O340="","",SAISIE!$O340)</f>
        <v/>
      </c>
      <c r="O335" t="str">
        <f>IF(SAISIE!$P340="","",SAISIE!$P340)</f>
        <v/>
      </c>
      <c r="P335" t="str">
        <f>IF(SAISIE!$Q340="","",SAISIE!$Q340)</f>
        <v/>
      </c>
      <c r="Q335" t="str">
        <f>IF($I335="","",IF($I335&gt;PARAMETRES!$G$29,5,IF($I335&gt;PARAMETRES!$F$29,4,IF($I335&gt;PARAMETRES!$E$29,3,IF($I335&gt;PARAMETRES!$D$29,2,1)))))</f>
        <v/>
      </c>
      <c r="R335" t="str">
        <f>IF($J335="","",IF($J335&gt;PARAMETRES!$G$30,5,IF($J335&gt;PARAMETRES!$F$30,4,IF($J335&gt;PARAMETRES!$E$30,3,IF($J335&gt;PARAMETRES!$D$30,2,1)))))</f>
        <v/>
      </c>
      <c r="S335" t="str">
        <f>IF($K335="","",IF($Z335=2,IF($K335&gt;PARAMETRES!$G$31,5,IF($K335&gt;PARAMETRES!$F$31,4,IF($K335&gt;PARAMETRES!$E$31,3,IF($K335&gt;PARAMETRES!$D$31,2,1)))),IF($K335&gt;PARAMETRES!$G$32,5,IF($K335&gt;PARAMETRES!$F$32,4,IF($K335&gt;PARAMETRES!$E$32,3,IF($K335&gt;PARAMETRES!$D$32,2,1))))))</f>
        <v/>
      </c>
      <c r="T335" t="str">
        <f>IF($L335="","",IF($L335&gt;PARAMETRES!$G$33,5,IF($L335&gt;PARAMETRES!$F$33,4,IF($L335&gt;PARAMETRES!$E$33,3,IF($L335&gt;PARAMETRES!$D$33,2,1)))))</f>
        <v/>
      </c>
      <c r="U335" t="str">
        <f>IF($M335="","",IF($M335&gt;PARAMETRES!$G$34,5,IF($M335&gt;PARAMETRES!$F$34,4,IF($M335&gt;PARAMETRES!$E$34,3,IF($M335&gt;PARAMETRES!$D$34,2,1)))))</f>
        <v/>
      </c>
      <c r="V335" t="str">
        <f>IF($N335="","",IF($N335&gt;PARAMETRES!$G$35,5,IF($N335&gt;PARAMETRES!$F$35,4,IF($N335&gt;PARAMETRES!$E$35,3,IF($N335&gt;PARAMETRES!$D$35,2,1)))))</f>
        <v/>
      </c>
      <c r="W335" t="str">
        <f>IF($O335="","",IF($O335&gt;PARAMETRES!$G$36,5,IF($O335&gt;PARAMETRES!$F$36,4,IF($O335&gt;PARAMETRES!$E$36,3,IF($O335&gt;PARAMETRES!$D$36,2,1)))))</f>
        <v/>
      </c>
      <c r="X335" t="str">
        <f>IF($P335="","",IF($P335&gt;PARAMETRES!$G$37,5,IF($P335&gt;PARAMETRES!$F$37,4,IF($P335&gt;PARAMETRES!$E$37,3,IF($P335&gt;PARAMETRES!$D$37,2,1)))))</f>
        <v/>
      </c>
      <c r="Y335" t="str">
        <f t="shared" si="120"/>
        <v/>
      </c>
      <c r="Z335" t="str">
        <f>IFERROR(VLOOKUP($B335,TABLE_CYCLE,2,0),"")</f>
        <v/>
      </c>
      <c r="AA335" t="str">
        <f t="shared" si="121"/>
        <v/>
      </c>
      <c r="AB335" t="str">
        <f>IF($D335="","",IF(COUNTIF($D$2:$D335,$D335)=1,$D335,""))</f>
        <v/>
      </c>
      <c r="AC335">
        <f t="shared" si="122"/>
        <v>0</v>
      </c>
      <c r="AD335" t="str">
        <f t="shared" si="123"/>
        <v>|0</v>
      </c>
      <c r="AE335" t="str">
        <f t="shared" si="124"/>
        <v/>
      </c>
      <c r="AF335" t="str">
        <f t="shared" si="125"/>
        <v/>
      </c>
      <c r="AG335" t="str">
        <f t="shared" si="126"/>
        <v/>
      </c>
      <c r="AH335" t="str">
        <f t="shared" si="127"/>
        <v/>
      </c>
      <c r="AI335" t="str">
        <f t="shared" si="128"/>
        <v/>
      </c>
      <c r="AJ335" t="str">
        <f t="shared" si="129"/>
        <v/>
      </c>
      <c r="AK335" t="str">
        <f t="shared" si="130"/>
        <v/>
      </c>
      <c r="AL335" t="str">
        <f t="shared" si="131"/>
        <v/>
      </c>
      <c r="AM335" t="str">
        <f t="shared" si="132"/>
        <v/>
      </c>
      <c r="AN335" t="str">
        <f t="shared" si="133"/>
        <v/>
      </c>
      <c r="AO335" t="str">
        <f t="shared" si="134"/>
        <v/>
      </c>
      <c r="AP335">
        <f t="shared" si="135"/>
        <v>1</v>
      </c>
      <c r="AQ335" t="str">
        <f>IF(SAISIE!$F340="","",SAISIE!$Y340)</f>
        <v/>
      </c>
      <c r="AR335" t="str">
        <f>IF(OR(SAISIE!$U$4="",SAISIE!$W$4=""),"",IF(AND($A335=SAISIE!$U$4,$B335=SAISIE!$W$4,$C335="S1"),COUNTIFS($A$2:$A335,SAISIE!$U$4,$B$2:$B335,SAISIE!$W$4,$C$2:$C335,"S1"),""))</f>
        <v/>
      </c>
      <c r="AS335" t="str">
        <f t="shared" si="136"/>
        <v/>
      </c>
      <c r="AT335" t="str">
        <f t="shared" si="137"/>
        <v/>
      </c>
      <c r="AU335" t="str">
        <f t="shared" si="138"/>
        <v/>
      </c>
      <c r="AV335">
        <f>N(AV334)+IF(AND($AB335&lt;&gt;"",OR('PROFIL ELEVE'!$K$4="(Tous)",$AF335='PROFIL ELEVE'!$K$4)),1,0)</f>
        <v>0</v>
      </c>
      <c r="AW335">
        <f>N(AW334)+IF(AND($AB335&lt;&gt;"",OR('SUIVI LONGITUDINAL'!$Q$4="(Tous)",$AF335='SUIVI LONGITUDINAL'!$Q$4)),1,0)</f>
        <v>0</v>
      </c>
      <c r="AX335">
        <f t="shared" si="139"/>
        <v>0</v>
      </c>
      <c r="AY335">
        <f t="shared" si="140"/>
        <v>0</v>
      </c>
      <c r="AZ335">
        <f t="shared" si="141"/>
        <v>0</v>
      </c>
      <c r="BA335" t="str">
        <f t="shared" si="142"/>
        <v/>
      </c>
      <c r="BB335" t="str">
        <f t="shared" si="143"/>
        <v/>
      </c>
    </row>
    <row r="336" spans="1:54" ht="14.25" customHeight="1" x14ac:dyDescent="0.3">
      <c r="A336" t="str">
        <f>IF(SAISIE!$F341="","",SAISIE!$B341)</f>
        <v/>
      </c>
      <c r="B336" t="str">
        <f>IF(SAISIE!$F341="","",SAISIE!$C341)</f>
        <v/>
      </c>
      <c r="C336" t="str">
        <f>IF(SAISIE!$F341="","",SAISIE!$D341)</f>
        <v/>
      </c>
      <c r="D336" t="str">
        <f>IF(SAISIE!$E341="","",SAISIE!$E341)</f>
        <v/>
      </c>
      <c r="E336" t="str">
        <f>IF(SAISIE!$F341="","",SAISIE!$F341)</f>
        <v/>
      </c>
      <c r="F336" t="str">
        <f>IF(SAISIE!$G341="","",SAISIE!$G341)</f>
        <v/>
      </c>
      <c r="G336" t="str">
        <f>IF(SAISIE!$H341="","",SAISIE!$H341)</f>
        <v/>
      </c>
      <c r="H336" t="str">
        <f>IF(SAISIE!$I341="","",SAISIE!$I341)</f>
        <v/>
      </c>
      <c r="I336" t="str">
        <f>IF(SAISIE!$J341="","",SAISIE!$J341)</f>
        <v/>
      </c>
      <c r="J336" t="str">
        <f>IF(SAISIE!$K341="","",SAISIE!$K341)</f>
        <v/>
      </c>
      <c r="K336" t="str">
        <f>IF(SAISIE!$L341="","",SAISIE!$L341)</f>
        <v/>
      </c>
      <c r="L336" t="str">
        <f>IF(SAISIE!$M341="","",SAISIE!$M341)</f>
        <v/>
      </c>
      <c r="M336" t="str">
        <f>IF(SAISIE!$N341="","",SAISIE!$N341)</f>
        <v/>
      </c>
      <c r="N336" t="str">
        <f>IF(SAISIE!$O341="","",SAISIE!$O341)</f>
        <v/>
      </c>
      <c r="O336" t="str">
        <f>IF(SAISIE!$P341="","",SAISIE!$P341)</f>
        <v/>
      </c>
      <c r="P336" t="str">
        <f>IF(SAISIE!$Q341="","",SAISIE!$Q341)</f>
        <v/>
      </c>
      <c r="Q336" t="str">
        <f>IF($I336="","",IF($I336&gt;PARAMETRES!$G$29,5,IF($I336&gt;PARAMETRES!$F$29,4,IF($I336&gt;PARAMETRES!$E$29,3,IF($I336&gt;PARAMETRES!$D$29,2,1)))))</f>
        <v/>
      </c>
      <c r="R336" t="str">
        <f>IF($J336="","",IF($J336&gt;PARAMETRES!$G$30,5,IF($J336&gt;PARAMETRES!$F$30,4,IF($J336&gt;PARAMETRES!$E$30,3,IF($J336&gt;PARAMETRES!$D$30,2,1)))))</f>
        <v/>
      </c>
      <c r="S336" t="str">
        <f>IF($K336="","",IF($Z336=2,IF($K336&gt;PARAMETRES!$G$31,5,IF($K336&gt;PARAMETRES!$F$31,4,IF($K336&gt;PARAMETRES!$E$31,3,IF($K336&gt;PARAMETRES!$D$31,2,1)))),IF($K336&gt;PARAMETRES!$G$32,5,IF($K336&gt;PARAMETRES!$F$32,4,IF($K336&gt;PARAMETRES!$E$32,3,IF($K336&gt;PARAMETRES!$D$32,2,1))))))</f>
        <v/>
      </c>
      <c r="T336" t="str">
        <f>IF($L336="","",IF($L336&gt;PARAMETRES!$G$33,5,IF($L336&gt;PARAMETRES!$F$33,4,IF($L336&gt;PARAMETRES!$E$33,3,IF($L336&gt;PARAMETRES!$D$33,2,1)))))</f>
        <v/>
      </c>
      <c r="U336" t="str">
        <f>IF($M336="","",IF($M336&gt;PARAMETRES!$G$34,5,IF($M336&gt;PARAMETRES!$F$34,4,IF($M336&gt;PARAMETRES!$E$34,3,IF($M336&gt;PARAMETRES!$D$34,2,1)))))</f>
        <v/>
      </c>
      <c r="V336" t="str">
        <f>IF($N336="","",IF($N336&gt;PARAMETRES!$G$35,5,IF($N336&gt;PARAMETRES!$F$35,4,IF($N336&gt;PARAMETRES!$E$35,3,IF($N336&gt;PARAMETRES!$D$35,2,1)))))</f>
        <v/>
      </c>
      <c r="W336" t="str">
        <f>IF($O336="","",IF($O336&gt;PARAMETRES!$G$36,5,IF($O336&gt;PARAMETRES!$F$36,4,IF($O336&gt;PARAMETRES!$E$36,3,IF($O336&gt;PARAMETRES!$D$36,2,1)))))</f>
        <v/>
      </c>
      <c r="X336" t="str">
        <f>IF($P336="","",IF($P336&gt;PARAMETRES!$G$37,5,IF($P336&gt;PARAMETRES!$F$37,4,IF($P336&gt;PARAMETRES!$E$37,3,IF($P336&gt;PARAMETRES!$D$37,2,1)))))</f>
        <v/>
      </c>
      <c r="Y336" t="str">
        <f t="shared" si="120"/>
        <v/>
      </c>
      <c r="Z336" t="str">
        <f>IFERROR(VLOOKUP($B336,TABLE_CYCLE,2,0),"")</f>
        <v/>
      </c>
      <c r="AA336" t="str">
        <f t="shared" si="121"/>
        <v/>
      </c>
      <c r="AB336" t="str">
        <f>IF($D336="","",IF(COUNTIF($D$2:$D336,$D336)=1,$D336,""))</f>
        <v/>
      </c>
      <c r="AC336">
        <f t="shared" si="122"/>
        <v>0</v>
      </c>
      <c r="AD336" t="str">
        <f t="shared" si="123"/>
        <v>|0</v>
      </c>
      <c r="AE336" t="str">
        <f t="shared" si="124"/>
        <v/>
      </c>
      <c r="AF336" t="str">
        <f t="shared" si="125"/>
        <v/>
      </c>
      <c r="AG336" t="str">
        <f t="shared" si="126"/>
        <v/>
      </c>
      <c r="AH336" t="str">
        <f t="shared" si="127"/>
        <v/>
      </c>
      <c r="AI336" t="str">
        <f t="shared" si="128"/>
        <v/>
      </c>
      <c r="AJ336" t="str">
        <f t="shared" si="129"/>
        <v/>
      </c>
      <c r="AK336" t="str">
        <f t="shared" si="130"/>
        <v/>
      </c>
      <c r="AL336" t="str">
        <f t="shared" si="131"/>
        <v/>
      </c>
      <c r="AM336" t="str">
        <f t="shared" si="132"/>
        <v/>
      </c>
      <c r="AN336" t="str">
        <f t="shared" si="133"/>
        <v/>
      </c>
      <c r="AO336" t="str">
        <f t="shared" si="134"/>
        <v/>
      </c>
      <c r="AP336">
        <f t="shared" si="135"/>
        <v>1</v>
      </c>
      <c r="AQ336" t="str">
        <f>IF(SAISIE!$F341="","",SAISIE!$Y341)</f>
        <v/>
      </c>
      <c r="AR336" t="str">
        <f>IF(OR(SAISIE!$U$4="",SAISIE!$W$4=""),"",IF(AND($A336=SAISIE!$U$4,$B336=SAISIE!$W$4,$C336="S1"),COUNTIFS($A$2:$A336,SAISIE!$U$4,$B$2:$B336,SAISIE!$W$4,$C$2:$C336,"S1"),""))</f>
        <v/>
      </c>
      <c r="AS336" t="str">
        <f t="shared" si="136"/>
        <v/>
      </c>
      <c r="AT336" t="str">
        <f t="shared" si="137"/>
        <v/>
      </c>
      <c r="AU336" t="str">
        <f t="shared" si="138"/>
        <v/>
      </c>
      <c r="AV336">
        <f>N(AV335)+IF(AND($AB336&lt;&gt;"",OR('PROFIL ELEVE'!$K$4="(Tous)",$AF336='PROFIL ELEVE'!$K$4)),1,0)</f>
        <v>0</v>
      </c>
      <c r="AW336">
        <f>N(AW335)+IF(AND($AB336&lt;&gt;"",OR('SUIVI LONGITUDINAL'!$Q$4="(Tous)",$AF336='SUIVI LONGITUDINAL'!$Q$4)),1,0)</f>
        <v>0</v>
      </c>
      <c r="AX336">
        <f t="shared" si="139"/>
        <v>0</v>
      </c>
      <c r="AY336">
        <f t="shared" si="140"/>
        <v>0</v>
      </c>
      <c r="AZ336">
        <f t="shared" si="141"/>
        <v>0</v>
      </c>
      <c r="BA336" t="str">
        <f t="shared" si="142"/>
        <v/>
      </c>
      <c r="BB336" t="str">
        <f t="shared" si="143"/>
        <v/>
      </c>
    </row>
    <row r="337" spans="1:54" ht="14.25" customHeight="1" x14ac:dyDescent="0.3">
      <c r="A337" t="str">
        <f>IF(SAISIE!$F342="","",SAISIE!$B342)</f>
        <v/>
      </c>
      <c r="B337" t="str">
        <f>IF(SAISIE!$F342="","",SAISIE!$C342)</f>
        <v/>
      </c>
      <c r="C337" t="str">
        <f>IF(SAISIE!$F342="","",SAISIE!$D342)</f>
        <v/>
      </c>
      <c r="D337" t="str">
        <f>IF(SAISIE!$E342="","",SAISIE!$E342)</f>
        <v/>
      </c>
      <c r="E337" t="str">
        <f>IF(SAISIE!$F342="","",SAISIE!$F342)</f>
        <v/>
      </c>
      <c r="F337" t="str">
        <f>IF(SAISIE!$G342="","",SAISIE!$G342)</f>
        <v/>
      </c>
      <c r="G337" t="str">
        <f>IF(SAISIE!$H342="","",SAISIE!$H342)</f>
        <v/>
      </c>
      <c r="H337" t="str">
        <f>IF(SAISIE!$I342="","",SAISIE!$I342)</f>
        <v/>
      </c>
      <c r="I337" t="str">
        <f>IF(SAISIE!$J342="","",SAISIE!$J342)</f>
        <v/>
      </c>
      <c r="J337" t="str">
        <f>IF(SAISIE!$K342="","",SAISIE!$K342)</f>
        <v/>
      </c>
      <c r="K337" t="str">
        <f>IF(SAISIE!$L342="","",SAISIE!$L342)</f>
        <v/>
      </c>
      <c r="L337" t="str">
        <f>IF(SAISIE!$M342="","",SAISIE!$M342)</f>
        <v/>
      </c>
      <c r="M337" t="str">
        <f>IF(SAISIE!$N342="","",SAISIE!$N342)</f>
        <v/>
      </c>
      <c r="N337" t="str">
        <f>IF(SAISIE!$O342="","",SAISIE!$O342)</f>
        <v/>
      </c>
      <c r="O337" t="str">
        <f>IF(SAISIE!$P342="","",SAISIE!$P342)</f>
        <v/>
      </c>
      <c r="P337" t="str">
        <f>IF(SAISIE!$Q342="","",SAISIE!$Q342)</f>
        <v/>
      </c>
      <c r="Q337" t="str">
        <f>IF($I337="","",IF($I337&gt;PARAMETRES!$G$29,5,IF($I337&gt;PARAMETRES!$F$29,4,IF($I337&gt;PARAMETRES!$E$29,3,IF($I337&gt;PARAMETRES!$D$29,2,1)))))</f>
        <v/>
      </c>
      <c r="R337" t="str">
        <f>IF($J337="","",IF($J337&gt;PARAMETRES!$G$30,5,IF($J337&gt;PARAMETRES!$F$30,4,IF($J337&gt;PARAMETRES!$E$30,3,IF($J337&gt;PARAMETRES!$D$30,2,1)))))</f>
        <v/>
      </c>
      <c r="S337" t="str">
        <f>IF($K337="","",IF($Z337=2,IF($K337&gt;PARAMETRES!$G$31,5,IF($K337&gt;PARAMETRES!$F$31,4,IF($K337&gt;PARAMETRES!$E$31,3,IF($K337&gt;PARAMETRES!$D$31,2,1)))),IF($K337&gt;PARAMETRES!$G$32,5,IF($K337&gt;PARAMETRES!$F$32,4,IF($K337&gt;PARAMETRES!$E$32,3,IF($K337&gt;PARAMETRES!$D$32,2,1))))))</f>
        <v/>
      </c>
      <c r="T337" t="str">
        <f>IF($L337="","",IF($L337&gt;PARAMETRES!$G$33,5,IF($L337&gt;PARAMETRES!$F$33,4,IF($L337&gt;PARAMETRES!$E$33,3,IF($L337&gt;PARAMETRES!$D$33,2,1)))))</f>
        <v/>
      </c>
      <c r="U337" t="str">
        <f>IF($M337="","",IF($M337&gt;PARAMETRES!$G$34,5,IF($M337&gt;PARAMETRES!$F$34,4,IF($M337&gt;PARAMETRES!$E$34,3,IF($M337&gt;PARAMETRES!$D$34,2,1)))))</f>
        <v/>
      </c>
      <c r="V337" t="str">
        <f>IF($N337="","",IF($N337&gt;PARAMETRES!$G$35,5,IF($N337&gt;PARAMETRES!$F$35,4,IF($N337&gt;PARAMETRES!$E$35,3,IF($N337&gt;PARAMETRES!$D$35,2,1)))))</f>
        <v/>
      </c>
      <c r="W337" t="str">
        <f>IF($O337="","",IF($O337&gt;PARAMETRES!$G$36,5,IF($O337&gt;PARAMETRES!$F$36,4,IF($O337&gt;PARAMETRES!$E$36,3,IF($O337&gt;PARAMETRES!$D$36,2,1)))))</f>
        <v/>
      </c>
      <c r="X337" t="str">
        <f>IF($P337="","",IF($P337&gt;PARAMETRES!$G$37,5,IF($P337&gt;PARAMETRES!$F$37,4,IF($P337&gt;PARAMETRES!$E$37,3,IF($P337&gt;PARAMETRES!$D$37,2,1)))))</f>
        <v/>
      </c>
      <c r="Y337" t="str">
        <f t="shared" si="120"/>
        <v/>
      </c>
      <c r="Z337" t="str">
        <f>IFERROR(VLOOKUP($B337,TABLE_CYCLE,2,0),"")</f>
        <v/>
      </c>
      <c r="AA337" t="str">
        <f t="shared" si="121"/>
        <v/>
      </c>
      <c r="AB337" t="str">
        <f>IF($D337="","",IF(COUNTIF($D$2:$D337,$D337)=1,$D337,""))</f>
        <v/>
      </c>
      <c r="AC337">
        <f t="shared" si="122"/>
        <v>0</v>
      </c>
      <c r="AD337" t="str">
        <f t="shared" si="123"/>
        <v>|0</v>
      </c>
      <c r="AE337" t="str">
        <f t="shared" si="124"/>
        <v/>
      </c>
      <c r="AF337" t="str">
        <f t="shared" si="125"/>
        <v/>
      </c>
      <c r="AG337" t="str">
        <f t="shared" si="126"/>
        <v/>
      </c>
      <c r="AH337" t="str">
        <f t="shared" si="127"/>
        <v/>
      </c>
      <c r="AI337" t="str">
        <f t="shared" si="128"/>
        <v/>
      </c>
      <c r="AJ337" t="str">
        <f t="shared" si="129"/>
        <v/>
      </c>
      <c r="AK337" t="str">
        <f t="shared" si="130"/>
        <v/>
      </c>
      <c r="AL337" t="str">
        <f t="shared" si="131"/>
        <v/>
      </c>
      <c r="AM337" t="str">
        <f t="shared" si="132"/>
        <v/>
      </c>
      <c r="AN337" t="str">
        <f t="shared" si="133"/>
        <v/>
      </c>
      <c r="AO337" t="str">
        <f t="shared" si="134"/>
        <v/>
      </c>
      <c r="AP337">
        <f t="shared" si="135"/>
        <v>1</v>
      </c>
      <c r="AQ337" t="str">
        <f>IF(SAISIE!$F342="","",SAISIE!$Y342)</f>
        <v/>
      </c>
      <c r="AR337" t="str">
        <f>IF(OR(SAISIE!$U$4="",SAISIE!$W$4=""),"",IF(AND($A337=SAISIE!$U$4,$B337=SAISIE!$W$4,$C337="S1"),COUNTIFS($A$2:$A337,SAISIE!$U$4,$B$2:$B337,SAISIE!$W$4,$C$2:$C337,"S1"),""))</f>
        <v/>
      </c>
      <c r="AS337" t="str">
        <f t="shared" si="136"/>
        <v/>
      </c>
      <c r="AT337" t="str">
        <f t="shared" si="137"/>
        <v/>
      </c>
      <c r="AU337" t="str">
        <f t="shared" si="138"/>
        <v/>
      </c>
      <c r="AV337">
        <f>N(AV336)+IF(AND($AB337&lt;&gt;"",OR('PROFIL ELEVE'!$K$4="(Tous)",$AF337='PROFIL ELEVE'!$K$4)),1,0)</f>
        <v>0</v>
      </c>
      <c r="AW337">
        <f>N(AW336)+IF(AND($AB337&lt;&gt;"",OR('SUIVI LONGITUDINAL'!$Q$4="(Tous)",$AF337='SUIVI LONGITUDINAL'!$Q$4)),1,0)</f>
        <v>0</v>
      </c>
      <c r="AX337">
        <f t="shared" si="139"/>
        <v>0</v>
      </c>
      <c r="AY337">
        <f t="shared" si="140"/>
        <v>0</v>
      </c>
      <c r="AZ337">
        <f t="shared" si="141"/>
        <v>0</v>
      </c>
      <c r="BA337" t="str">
        <f t="shared" si="142"/>
        <v/>
      </c>
      <c r="BB337" t="str">
        <f t="shared" si="143"/>
        <v/>
      </c>
    </row>
    <row r="338" spans="1:54" ht="14.25" customHeight="1" x14ac:dyDescent="0.3">
      <c r="A338" t="str">
        <f>IF(SAISIE!$F343="","",SAISIE!$B343)</f>
        <v/>
      </c>
      <c r="B338" t="str">
        <f>IF(SAISIE!$F343="","",SAISIE!$C343)</f>
        <v/>
      </c>
      <c r="C338" t="str">
        <f>IF(SAISIE!$F343="","",SAISIE!$D343)</f>
        <v/>
      </c>
      <c r="D338" t="str">
        <f>IF(SAISIE!$E343="","",SAISIE!$E343)</f>
        <v/>
      </c>
      <c r="E338" t="str">
        <f>IF(SAISIE!$F343="","",SAISIE!$F343)</f>
        <v/>
      </c>
      <c r="F338" t="str">
        <f>IF(SAISIE!$G343="","",SAISIE!$G343)</f>
        <v/>
      </c>
      <c r="G338" t="str">
        <f>IF(SAISIE!$H343="","",SAISIE!$H343)</f>
        <v/>
      </c>
      <c r="H338" t="str">
        <f>IF(SAISIE!$I343="","",SAISIE!$I343)</f>
        <v/>
      </c>
      <c r="I338" t="str">
        <f>IF(SAISIE!$J343="","",SAISIE!$J343)</f>
        <v/>
      </c>
      <c r="J338" t="str">
        <f>IF(SAISIE!$K343="","",SAISIE!$K343)</f>
        <v/>
      </c>
      <c r="K338" t="str">
        <f>IF(SAISIE!$L343="","",SAISIE!$L343)</f>
        <v/>
      </c>
      <c r="L338" t="str">
        <f>IF(SAISIE!$M343="","",SAISIE!$M343)</f>
        <v/>
      </c>
      <c r="M338" t="str">
        <f>IF(SAISIE!$N343="","",SAISIE!$N343)</f>
        <v/>
      </c>
      <c r="N338" t="str">
        <f>IF(SAISIE!$O343="","",SAISIE!$O343)</f>
        <v/>
      </c>
      <c r="O338" t="str">
        <f>IF(SAISIE!$P343="","",SAISIE!$P343)</f>
        <v/>
      </c>
      <c r="P338" t="str">
        <f>IF(SAISIE!$Q343="","",SAISIE!$Q343)</f>
        <v/>
      </c>
      <c r="Q338" t="str">
        <f>IF($I338="","",IF($I338&gt;PARAMETRES!$G$29,5,IF($I338&gt;PARAMETRES!$F$29,4,IF($I338&gt;PARAMETRES!$E$29,3,IF($I338&gt;PARAMETRES!$D$29,2,1)))))</f>
        <v/>
      </c>
      <c r="R338" t="str">
        <f>IF($J338="","",IF($J338&gt;PARAMETRES!$G$30,5,IF($J338&gt;PARAMETRES!$F$30,4,IF($J338&gt;PARAMETRES!$E$30,3,IF($J338&gt;PARAMETRES!$D$30,2,1)))))</f>
        <v/>
      </c>
      <c r="S338" t="str">
        <f>IF($K338="","",IF($Z338=2,IF($K338&gt;PARAMETRES!$G$31,5,IF($K338&gt;PARAMETRES!$F$31,4,IF($K338&gt;PARAMETRES!$E$31,3,IF($K338&gt;PARAMETRES!$D$31,2,1)))),IF($K338&gt;PARAMETRES!$G$32,5,IF($K338&gt;PARAMETRES!$F$32,4,IF($K338&gt;PARAMETRES!$E$32,3,IF($K338&gt;PARAMETRES!$D$32,2,1))))))</f>
        <v/>
      </c>
      <c r="T338" t="str">
        <f>IF($L338="","",IF($L338&gt;PARAMETRES!$G$33,5,IF($L338&gt;PARAMETRES!$F$33,4,IF($L338&gt;PARAMETRES!$E$33,3,IF($L338&gt;PARAMETRES!$D$33,2,1)))))</f>
        <v/>
      </c>
      <c r="U338" t="str">
        <f>IF($M338="","",IF($M338&gt;PARAMETRES!$G$34,5,IF($M338&gt;PARAMETRES!$F$34,4,IF($M338&gt;PARAMETRES!$E$34,3,IF($M338&gt;PARAMETRES!$D$34,2,1)))))</f>
        <v/>
      </c>
      <c r="V338" t="str">
        <f>IF($N338="","",IF($N338&gt;PARAMETRES!$G$35,5,IF($N338&gt;PARAMETRES!$F$35,4,IF($N338&gt;PARAMETRES!$E$35,3,IF($N338&gt;PARAMETRES!$D$35,2,1)))))</f>
        <v/>
      </c>
      <c r="W338" t="str">
        <f>IF($O338="","",IF($O338&gt;PARAMETRES!$G$36,5,IF($O338&gt;PARAMETRES!$F$36,4,IF($O338&gt;PARAMETRES!$E$36,3,IF($O338&gt;PARAMETRES!$D$36,2,1)))))</f>
        <v/>
      </c>
      <c r="X338" t="str">
        <f>IF($P338="","",IF($P338&gt;PARAMETRES!$G$37,5,IF($P338&gt;PARAMETRES!$F$37,4,IF($P338&gt;PARAMETRES!$E$37,3,IF($P338&gt;PARAMETRES!$D$37,2,1)))))</f>
        <v/>
      </c>
      <c r="Y338" t="str">
        <f t="shared" si="120"/>
        <v/>
      </c>
      <c r="Z338" t="str">
        <f>IFERROR(VLOOKUP($B338,TABLE_CYCLE,2,0),"")</f>
        <v/>
      </c>
      <c r="AA338" t="str">
        <f t="shared" si="121"/>
        <v/>
      </c>
      <c r="AB338" t="str">
        <f>IF($D338="","",IF(COUNTIF($D$2:$D338,$D338)=1,$D338,""))</f>
        <v/>
      </c>
      <c r="AC338">
        <f t="shared" si="122"/>
        <v>0</v>
      </c>
      <c r="AD338" t="str">
        <f t="shared" si="123"/>
        <v>|0</v>
      </c>
      <c r="AE338" t="str">
        <f t="shared" si="124"/>
        <v/>
      </c>
      <c r="AF338" t="str">
        <f t="shared" si="125"/>
        <v/>
      </c>
      <c r="AG338" t="str">
        <f t="shared" si="126"/>
        <v/>
      </c>
      <c r="AH338" t="str">
        <f t="shared" si="127"/>
        <v/>
      </c>
      <c r="AI338" t="str">
        <f t="shared" si="128"/>
        <v/>
      </c>
      <c r="AJ338" t="str">
        <f t="shared" si="129"/>
        <v/>
      </c>
      <c r="AK338" t="str">
        <f t="shared" si="130"/>
        <v/>
      </c>
      <c r="AL338" t="str">
        <f t="shared" si="131"/>
        <v/>
      </c>
      <c r="AM338" t="str">
        <f t="shared" si="132"/>
        <v/>
      </c>
      <c r="AN338" t="str">
        <f t="shared" si="133"/>
        <v/>
      </c>
      <c r="AO338" t="str">
        <f t="shared" si="134"/>
        <v/>
      </c>
      <c r="AP338">
        <f t="shared" si="135"/>
        <v>1</v>
      </c>
      <c r="AQ338" t="str">
        <f>IF(SAISIE!$F343="","",SAISIE!$Y343)</f>
        <v/>
      </c>
      <c r="AR338" t="str">
        <f>IF(OR(SAISIE!$U$4="",SAISIE!$W$4=""),"",IF(AND($A338=SAISIE!$U$4,$B338=SAISIE!$W$4,$C338="S1"),COUNTIFS($A$2:$A338,SAISIE!$U$4,$B$2:$B338,SAISIE!$W$4,$C$2:$C338,"S1"),""))</f>
        <v/>
      </c>
      <c r="AS338" t="str">
        <f t="shared" si="136"/>
        <v/>
      </c>
      <c r="AT338" t="str">
        <f t="shared" si="137"/>
        <v/>
      </c>
      <c r="AU338" t="str">
        <f t="shared" si="138"/>
        <v/>
      </c>
      <c r="AV338">
        <f>N(AV337)+IF(AND($AB338&lt;&gt;"",OR('PROFIL ELEVE'!$K$4="(Tous)",$AF338='PROFIL ELEVE'!$K$4)),1,0)</f>
        <v>0</v>
      </c>
      <c r="AW338">
        <f>N(AW337)+IF(AND($AB338&lt;&gt;"",OR('SUIVI LONGITUDINAL'!$Q$4="(Tous)",$AF338='SUIVI LONGITUDINAL'!$Q$4)),1,0)</f>
        <v>0</v>
      </c>
      <c r="AX338">
        <f t="shared" si="139"/>
        <v>0</v>
      </c>
      <c r="AY338">
        <f t="shared" si="140"/>
        <v>0</v>
      </c>
      <c r="AZ338">
        <f t="shared" si="141"/>
        <v>0</v>
      </c>
      <c r="BA338" t="str">
        <f t="shared" si="142"/>
        <v/>
      </c>
      <c r="BB338" t="str">
        <f t="shared" si="143"/>
        <v/>
      </c>
    </row>
    <row r="339" spans="1:54" ht="14.25" customHeight="1" x14ac:dyDescent="0.3">
      <c r="A339" t="str">
        <f>IF(SAISIE!$F344="","",SAISIE!$B344)</f>
        <v/>
      </c>
      <c r="B339" t="str">
        <f>IF(SAISIE!$F344="","",SAISIE!$C344)</f>
        <v/>
      </c>
      <c r="C339" t="str">
        <f>IF(SAISIE!$F344="","",SAISIE!$D344)</f>
        <v/>
      </c>
      <c r="D339" t="str">
        <f>IF(SAISIE!$E344="","",SAISIE!$E344)</f>
        <v/>
      </c>
      <c r="E339" t="str">
        <f>IF(SAISIE!$F344="","",SAISIE!$F344)</f>
        <v/>
      </c>
      <c r="F339" t="str">
        <f>IF(SAISIE!$G344="","",SAISIE!$G344)</f>
        <v/>
      </c>
      <c r="G339" t="str">
        <f>IF(SAISIE!$H344="","",SAISIE!$H344)</f>
        <v/>
      </c>
      <c r="H339" t="str">
        <f>IF(SAISIE!$I344="","",SAISIE!$I344)</f>
        <v/>
      </c>
      <c r="I339" t="str">
        <f>IF(SAISIE!$J344="","",SAISIE!$J344)</f>
        <v/>
      </c>
      <c r="J339" t="str">
        <f>IF(SAISIE!$K344="","",SAISIE!$K344)</f>
        <v/>
      </c>
      <c r="K339" t="str">
        <f>IF(SAISIE!$L344="","",SAISIE!$L344)</f>
        <v/>
      </c>
      <c r="L339" t="str">
        <f>IF(SAISIE!$M344="","",SAISIE!$M344)</f>
        <v/>
      </c>
      <c r="M339" t="str">
        <f>IF(SAISIE!$N344="","",SAISIE!$N344)</f>
        <v/>
      </c>
      <c r="N339" t="str">
        <f>IF(SAISIE!$O344="","",SAISIE!$O344)</f>
        <v/>
      </c>
      <c r="O339" t="str">
        <f>IF(SAISIE!$P344="","",SAISIE!$P344)</f>
        <v/>
      </c>
      <c r="P339" t="str">
        <f>IF(SAISIE!$Q344="","",SAISIE!$Q344)</f>
        <v/>
      </c>
      <c r="Q339" t="str">
        <f>IF($I339="","",IF($I339&gt;PARAMETRES!$G$29,5,IF($I339&gt;PARAMETRES!$F$29,4,IF($I339&gt;PARAMETRES!$E$29,3,IF($I339&gt;PARAMETRES!$D$29,2,1)))))</f>
        <v/>
      </c>
      <c r="R339" t="str">
        <f>IF($J339="","",IF($J339&gt;PARAMETRES!$G$30,5,IF($J339&gt;PARAMETRES!$F$30,4,IF($J339&gt;PARAMETRES!$E$30,3,IF($J339&gt;PARAMETRES!$D$30,2,1)))))</f>
        <v/>
      </c>
      <c r="S339" t="str">
        <f>IF($K339="","",IF($Z339=2,IF($K339&gt;PARAMETRES!$G$31,5,IF($K339&gt;PARAMETRES!$F$31,4,IF($K339&gt;PARAMETRES!$E$31,3,IF($K339&gt;PARAMETRES!$D$31,2,1)))),IF($K339&gt;PARAMETRES!$G$32,5,IF($K339&gt;PARAMETRES!$F$32,4,IF($K339&gt;PARAMETRES!$E$32,3,IF($K339&gt;PARAMETRES!$D$32,2,1))))))</f>
        <v/>
      </c>
      <c r="T339" t="str">
        <f>IF($L339="","",IF($L339&gt;PARAMETRES!$G$33,5,IF($L339&gt;PARAMETRES!$F$33,4,IF($L339&gt;PARAMETRES!$E$33,3,IF($L339&gt;PARAMETRES!$D$33,2,1)))))</f>
        <v/>
      </c>
      <c r="U339" t="str">
        <f>IF($M339="","",IF($M339&gt;PARAMETRES!$G$34,5,IF($M339&gt;PARAMETRES!$F$34,4,IF($M339&gt;PARAMETRES!$E$34,3,IF($M339&gt;PARAMETRES!$D$34,2,1)))))</f>
        <v/>
      </c>
      <c r="V339" t="str">
        <f>IF($N339="","",IF($N339&gt;PARAMETRES!$G$35,5,IF($N339&gt;PARAMETRES!$F$35,4,IF($N339&gt;PARAMETRES!$E$35,3,IF($N339&gt;PARAMETRES!$D$35,2,1)))))</f>
        <v/>
      </c>
      <c r="W339" t="str">
        <f>IF($O339="","",IF($O339&gt;PARAMETRES!$G$36,5,IF($O339&gt;PARAMETRES!$F$36,4,IF($O339&gt;PARAMETRES!$E$36,3,IF($O339&gt;PARAMETRES!$D$36,2,1)))))</f>
        <v/>
      </c>
      <c r="X339" t="str">
        <f>IF($P339="","",IF($P339&gt;PARAMETRES!$G$37,5,IF($P339&gt;PARAMETRES!$F$37,4,IF($P339&gt;PARAMETRES!$E$37,3,IF($P339&gt;PARAMETRES!$D$37,2,1)))))</f>
        <v/>
      </c>
      <c r="Y339" t="str">
        <f t="shared" si="120"/>
        <v/>
      </c>
      <c r="Z339" t="str">
        <f>IFERROR(VLOOKUP($B339,TABLE_CYCLE,2,0),"")</f>
        <v/>
      </c>
      <c r="AA339" t="str">
        <f t="shared" si="121"/>
        <v/>
      </c>
      <c r="AB339" t="str">
        <f>IF($D339="","",IF(COUNTIF($D$2:$D339,$D339)=1,$D339,""))</f>
        <v/>
      </c>
      <c r="AC339">
        <f t="shared" si="122"/>
        <v>0</v>
      </c>
      <c r="AD339" t="str">
        <f t="shared" si="123"/>
        <v>|0</v>
      </c>
      <c r="AE339" t="str">
        <f t="shared" si="124"/>
        <v/>
      </c>
      <c r="AF339" t="str">
        <f t="shared" si="125"/>
        <v/>
      </c>
      <c r="AG339" t="str">
        <f t="shared" si="126"/>
        <v/>
      </c>
      <c r="AH339" t="str">
        <f t="shared" si="127"/>
        <v/>
      </c>
      <c r="AI339" t="str">
        <f t="shared" si="128"/>
        <v/>
      </c>
      <c r="AJ339" t="str">
        <f t="shared" si="129"/>
        <v/>
      </c>
      <c r="AK339" t="str">
        <f t="shared" si="130"/>
        <v/>
      </c>
      <c r="AL339" t="str">
        <f t="shared" si="131"/>
        <v/>
      </c>
      <c r="AM339" t="str">
        <f t="shared" si="132"/>
        <v/>
      </c>
      <c r="AN339" t="str">
        <f t="shared" si="133"/>
        <v/>
      </c>
      <c r="AO339" t="str">
        <f t="shared" si="134"/>
        <v/>
      </c>
      <c r="AP339">
        <f t="shared" si="135"/>
        <v>1</v>
      </c>
      <c r="AQ339" t="str">
        <f>IF(SAISIE!$F344="","",SAISIE!$Y344)</f>
        <v/>
      </c>
      <c r="AR339" t="str">
        <f>IF(OR(SAISIE!$U$4="",SAISIE!$W$4=""),"",IF(AND($A339=SAISIE!$U$4,$B339=SAISIE!$W$4,$C339="S1"),COUNTIFS($A$2:$A339,SAISIE!$U$4,$B$2:$B339,SAISIE!$W$4,$C$2:$C339,"S1"),""))</f>
        <v/>
      </c>
      <c r="AS339" t="str">
        <f t="shared" si="136"/>
        <v/>
      </c>
      <c r="AT339" t="str">
        <f t="shared" si="137"/>
        <v/>
      </c>
      <c r="AU339" t="str">
        <f t="shared" si="138"/>
        <v/>
      </c>
      <c r="AV339">
        <f>N(AV338)+IF(AND($AB339&lt;&gt;"",OR('PROFIL ELEVE'!$K$4="(Tous)",$AF339='PROFIL ELEVE'!$K$4)),1,0)</f>
        <v>0</v>
      </c>
      <c r="AW339">
        <f>N(AW338)+IF(AND($AB339&lt;&gt;"",OR('SUIVI LONGITUDINAL'!$Q$4="(Tous)",$AF339='SUIVI LONGITUDINAL'!$Q$4)),1,0)</f>
        <v>0</v>
      </c>
      <c r="AX339">
        <f t="shared" si="139"/>
        <v>0</v>
      </c>
      <c r="AY339">
        <f t="shared" si="140"/>
        <v>0</v>
      </c>
      <c r="AZ339">
        <f t="shared" si="141"/>
        <v>0</v>
      </c>
      <c r="BA339" t="str">
        <f t="shared" si="142"/>
        <v/>
      </c>
      <c r="BB339" t="str">
        <f t="shared" si="143"/>
        <v/>
      </c>
    </row>
    <row r="340" spans="1:54" ht="14.25" customHeight="1" x14ac:dyDescent="0.3">
      <c r="A340" t="str">
        <f>IF(SAISIE!$F345="","",SAISIE!$B345)</f>
        <v/>
      </c>
      <c r="B340" t="str">
        <f>IF(SAISIE!$F345="","",SAISIE!$C345)</f>
        <v/>
      </c>
      <c r="C340" t="str">
        <f>IF(SAISIE!$F345="","",SAISIE!$D345)</f>
        <v/>
      </c>
      <c r="D340" t="str">
        <f>IF(SAISIE!$E345="","",SAISIE!$E345)</f>
        <v/>
      </c>
      <c r="E340" t="str">
        <f>IF(SAISIE!$F345="","",SAISIE!$F345)</f>
        <v/>
      </c>
      <c r="F340" t="str">
        <f>IF(SAISIE!$G345="","",SAISIE!$G345)</f>
        <v/>
      </c>
      <c r="G340" t="str">
        <f>IF(SAISIE!$H345="","",SAISIE!$H345)</f>
        <v/>
      </c>
      <c r="H340" t="str">
        <f>IF(SAISIE!$I345="","",SAISIE!$I345)</f>
        <v/>
      </c>
      <c r="I340" t="str">
        <f>IF(SAISIE!$J345="","",SAISIE!$J345)</f>
        <v/>
      </c>
      <c r="J340" t="str">
        <f>IF(SAISIE!$K345="","",SAISIE!$K345)</f>
        <v/>
      </c>
      <c r="K340" t="str">
        <f>IF(SAISIE!$L345="","",SAISIE!$L345)</f>
        <v/>
      </c>
      <c r="L340" t="str">
        <f>IF(SAISIE!$M345="","",SAISIE!$M345)</f>
        <v/>
      </c>
      <c r="M340" t="str">
        <f>IF(SAISIE!$N345="","",SAISIE!$N345)</f>
        <v/>
      </c>
      <c r="N340" t="str">
        <f>IF(SAISIE!$O345="","",SAISIE!$O345)</f>
        <v/>
      </c>
      <c r="O340" t="str">
        <f>IF(SAISIE!$P345="","",SAISIE!$P345)</f>
        <v/>
      </c>
      <c r="P340" t="str">
        <f>IF(SAISIE!$Q345="","",SAISIE!$Q345)</f>
        <v/>
      </c>
      <c r="Q340" t="str">
        <f>IF($I340="","",IF($I340&gt;PARAMETRES!$G$29,5,IF($I340&gt;PARAMETRES!$F$29,4,IF($I340&gt;PARAMETRES!$E$29,3,IF($I340&gt;PARAMETRES!$D$29,2,1)))))</f>
        <v/>
      </c>
      <c r="R340" t="str">
        <f>IF($J340="","",IF($J340&gt;PARAMETRES!$G$30,5,IF($J340&gt;PARAMETRES!$F$30,4,IF($J340&gt;PARAMETRES!$E$30,3,IF($J340&gt;PARAMETRES!$D$30,2,1)))))</f>
        <v/>
      </c>
      <c r="S340" t="str">
        <f>IF($K340="","",IF($Z340=2,IF($K340&gt;PARAMETRES!$G$31,5,IF($K340&gt;PARAMETRES!$F$31,4,IF($K340&gt;PARAMETRES!$E$31,3,IF($K340&gt;PARAMETRES!$D$31,2,1)))),IF($K340&gt;PARAMETRES!$G$32,5,IF($K340&gt;PARAMETRES!$F$32,4,IF($K340&gt;PARAMETRES!$E$32,3,IF($K340&gt;PARAMETRES!$D$32,2,1))))))</f>
        <v/>
      </c>
      <c r="T340" t="str">
        <f>IF($L340="","",IF($L340&gt;PARAMETRES!$G$33,5,IF($L340&gt;PARAMETRES!$F$33,4,IF($L340&gt;PARAMETRES!$E$33,3,IF($L340&gt;PARAMETRES!$D$33,2,1)))))</f>
        <v/>
      </c>
      <c r="U340" t="str">
        <f>IF($M340="","",IF($M340&gt;PARAMETRES!$G$34,5,IF($M340&gt;PARAMETRES!$F$34,4,IF($M340&gt;PARAMETRES!$E$34,3,IF($M340&gt;PARAMETRES!$D$34,2,1)))))</f>
        <v/>
      </c>
      <c r="V340" t="str">
        <f>IF($N340="","",IF($N340&gt;PARAMETRES!$G$35,5,IF($N340&gt;PARAMETRES!$F$35,4,IF($N340&gt;PARAMETRES!$E$35,3,IF($N340&gt;PARAMETRES!$D$35,2,1)))))</f>
        <v/>
      </c>
      <c r="W340" t="str">
        <f>IF($O340="","",IF($O340&gt;PARAMETRES!$G$36,5,IF($O340&gt;PARAMETRES!$F$36,4,IF($O340&gt;PARAMETRES!$E$36,3,IF($O340&gt;PARAMETRES!$D$36,2,1)))))</f>
        <v/>
      </c>
      <c r="X340" t="str">
        <f>IF($P340="","",IF($P340&gt;PARAMETRES!$G$37,5,IF($P340&gt;PARAMETRES!$F$37,4,IF($P340&gt;PARAMETRES!$E$37,3,IF($P340&gt;PARAMETRES!$D$37,2,1)))))</f>
        <v/>
      </c>
      <c r="Y340" t="str">
        <f t="shared" si="120"/>
        <v/>
      </c>
      <c r="Z340" t="str">
        <f>IFERROR(VLOOKUP($B340,TABLE_CYCLE,2,0),"")</f>
        <v/>
      </c>
      <c r="AA340" t="str">
        <f t="shared" si="121"/>
        <v/>
      </c>
      <c r="AB340" t="str">
        <f>IF($D340="","",IF(COUNTIF($D$2:$D340,$D340)=1,$D340,""))</f>
        <v/>
      </c>
      <c r="AC340">
        <f t="shared" si="122"/>
        <v>0</v>
      </c>
      <c r="AD340" t="str">
        <f t="shared" si="123"/>
        <v>|0</v>
      </c>
      <c r="AE340" t="str">
        <f t="shared" si="124"/>
        <v/>
      </c>
      <c r="AF340" t="str">
        <f t="shared" si="125"/>
        <v/>
      </c>
      <c r="AG340" t="str">
        <f t="shared" si="126"/>
        <v/>
      </c>
      <c r="AH340" t="str">
        <f t="shared" si="127"/>
        <v/>
      </c>
      <c r="AI340" t="str">
        <f t="shared" si="128"/>
        <v/>
      </c>
      <c r="AJ340" t="str">
        <f t="shared" si="129"/>
        <v/>
      </c>
      <c r="AK340" t="str">
        <f t="shared" si="130"/>
        <v/>
      </c>
      <c r="AL340" t="str">
        <f t="shared" si="131"/>
        <v/>
      </c>
      <c r="AM340" t="str">
        <f t="shared" si="132"/>
        <v/>
      </c>
      <c r="AN340" t="str">
        <f t="shared" si="133"/>
        <v/>
      </c>
      <c r="AO340" t="str">
        <f t="shared" si="134"/>
        <v/>
      </c>
      <c r="AP340">
        <f t="shared" si="135"/>
        <v>1</v>
      </c>
      <c r="AQ340" t="str">
        <f>IF(SAISIE!$F345="","",SAISIE!$Y345)</f>
        <v/>
      </c>
      <c r="AR340" t="str">
        <f>IF(OR(SAISIE!$U$4="",SAISIE!$W$4=""),"",IF(AND($A340=SAISIE!$U$4,$B340=SAISIE!$W$4,$C340="S1"),COUNTIFS($A$2:$A340,SAISIE!$U$4,$B$2:$B340,SAISIE!$W$4,$C$2:$C340,"S1"),""))</f>
        <v/>
      </c>
      <c r="AS340" t="str">
        <f t="shared" si="136"/>
        <v/>
      </c>
      <c r="AT340" t="str">
        <f t="shared" si="137"/>
        <v/>
      </c>
      <c r="AU340" t="str">
        <f t="shared" si="138"/>
        <v/>
      </c>
      <c r="AV340">
        <f>N(AV339)+IF(AND($AB340&lt;&gt;"",OR('PROFIL ELEVE'!$K$4="(Tous)",$AF340='PROFIL ELEVE'!$K$4)),1,0)</f>
        <v>0</v>
      </c>
      <c r="AW340">
        <f>N(AW339)+IF(AND($AB340&lt;&gt;"",OR('SUIVI LONGITUDINAL'!$Q$4="(Tous)",$AF340='SUIVI LONGITUDINAL'!$Q$4)),1,0)</f>
        <v>0</v>
      </c>
      <c r="AX340">
        <f t="shared" si="139"/>
        <v>0</v>
      </c>
      <c r="AY340">
        <f t="shared" si="140"/>
        <v>0</v>
      </c>
      <c r="AZ340">
        <f t="shared" si="141"/>
        <v>0</v>
      </c>
      <c r="BA340" t="str">
        <f t="shared" si="142"/>
        <v/>
      </c>
      <c r="BB340" t="str">
        <f t="shared" si="143"/>
        <v/>
      </c>
    </row>
    <row r="341" spans="1:54" ht="14.25" customHeight="1" x14ac:dyDescent="0.3">
      <c r="A341" t="str">
        <f>IF(SAISIE!$F346="","",SAISIE!$B346)</f>
        <v/>
      </c>
      <c r="B341" t="str">
        <f>IF(SAISIE!$F346="","",SAISIE!$C346)</f>
        <v/>
      </c>
      <c r="C341" t="str">
        <f>IF(SAISIE!$F346="","",SAISIE!$D346)</f>
        <v/>
      </c>
      <c r="D341" t="str">
        <f>IF(SAISIE!$E346="","",SAISIE!$E346)</f>
        <v/>
      </c>
      <c r="E341" t="str">
        <f>IF(SAISIE!$F346="","",SAISIE!$F346)</f>
        <v/>
      </c>
      <c r="F341" t="str">
        <f>IF(SAISIE!$G346="","",SAISIE!$G346)</f>
        <v/>
      </c>
      <c r="G341" t="str">
        <f>IF(SAISIE!$H346="","",SAISIE!$H346)</f>
        <v/>
      </c>
      <c r="H341" t="str">
        <f>IF(SAISIE!$I346="","",SAISIE!$I346)</f>
        <v/>
      </c>
      <c r="I341" t="str">
        <f>IF(SAISIE!$J346="","",SAISIE!$J346)</f>
        <v/>
      </c>
      <c r="J341" t="str">
        <f>IF(SAISIE!$K346="","",SAISIE!$K346)</f>
        <v/>
      </c>
      <c r="K341" t="str">
        <f>IF(SAISIE!$L346="","",SAISIE!$L346)</f>
        <v/>
      </c>
      <c r="L341" t="str">
        <f>IF(SAISIE!$M346="","",SAISIE!$M346)</f>
        <v/>
      </c>
      <c r="M341" t="str">
        <f>IF(SAISIE!$N346="","",SAISIE!$N346)</f>
        <v/>
      </c>
      <c r="N341" t="str">
        <f>IF(SAISIE!$O346="","",SAISIE!$O346)</f>
        <v/>
      </c>
      <c r="O341" t="str">
        <f>IF(SAISIE!$P346="","",SAISIE!$P346)</f>
        <v/>
      </c>
      <c r="P341" t="str">
        <f>IF(SAISIE!$Q346="","",SAISIE!$Q346)</f>
        <v/>
      </c>
      <c r="Q341" t="str">
        <f>IF($I341="","",IF($I341&gt;PARAMETRES!$G$29,5,IF($I341&gt;PARAMETRES!$F$29,4,IF($I341&gt;PARAMETRES!$E$29,3,IF($I341&gt;PARAMETRES!$D$29,2,1)))))</f>
        <v/>
      </c>
      <c r="R341" t="str">
        <f>IF($J341="","",IF($J341&gt;PARAMETRES!$G$30,5,IF($J341&gt;PARAMETRES!$F$30,4,IF($J341&gt;PARAMETRES!$E$30,3,IF($J341&gt;PARAMETRES!$D$30,2,1)))))</f>
        <v/>
      </c>
      <c r="S341" t="str">
        <f>IF($K341="","",IF($Z341=2,IF($K341&gt;PARAMETRES!$G$31,5,IF($K341&gt;PARAMETRES!$F$31,4,IF($K341&gt;PARAMETRES!$E$31,3,IF($K341&gt;PARAMETRES!$D$31,2,1)))),IF($K341&gt;PARAMETRES!$G$32,5,IF($K341&gt;PARAMETRES!$F$32,4,IF($K341&gt;PARAMETRES!$E$32,3,IF($K341&gt;PARAMETRES!$D$32,2,1))))))</f>
        <v/>
      </c>
      <c r="T341" t="str">
        <f>IF($L341="","",IF($L341&gt;PARAMETRES!$G$33,5,IF($L341&gt;PARAMETRES!$F$33,4,IF($L341&gt;PARAMETRES!$E$33,3,IF($L341&gt;PARAMETRES!$D$33,2,1)))))</f>
        <v/>
      </c>
      <c r="U341" t="str">
        <f>IF($M341="","",IF($M341&gt;PARAMETRES!$G$34,5,IF($M341&gt;PARAMETRES!$F$34,4,IF($M341&gt;PARAMETRES!$E$34,3,IF($M341&gt;PARAMETRES!$D$34,2,1)))))</f>
        <v/>
      </c>
      <c r="V341" t="str">
        <f>IF($N341="","",IF($N341&gt;PARAMETRES!$G$35,5,IF($N341&gt;PARAMETRES!$F$35,4,IF($N341&gt;PARAMETRES!$E$35,3,IF($N341&gt;PARAMETRES!$D$35,2,1)))))</f>
        <v/>
      </c>
      <c r="W341" t="str">
        <f>IF($O341="","",IF($O341&gt;PARAMETRES!$G$36,5,IF($O341&gt;PARAMETRES!$F$36,4,IF($O341&gt;PARAMETRES!$E$36,3,IF($O341&gt;PARAMETRES!$D$36,2,1)))))</f>
        <v/>
      </c>
      <c r="X341" t="str">
        <f>IF($P341="","",IF($P341&gt;PARAMETRES!$G$37,5,IF($P341&gt;PARAMETRES!$F$37,4,IF($P341&gt;PARAMETRES!$E$37,3,IF($P341&gt;PARAMETRES!$D$37,2,1)))))</f>
        <v/>
      </c>
      <c r="Y341" t="str">
        <f t="shared" si="120"/>
        <v/>
      </c>
      <c r="Z341" t="str">
        <f>IFERROR(VLOOKUP($B341,TABLE_CYCLE,2,0),"")</f>
        <v/>
      </c>
      <c r="AA341" t="str">
        <f t="shared" si="121"/>
        <v/>
      </c>
      <c r="AB341" t="str">
        <f>IF($D341="","",IF(COUNTIF($D$2:$D341,$D341)=1,$D341,""))</f>
        <v/>
      </c>
      <c r="AC341">
        <f t="shared" si="122"/>
        <v>0</v>
      </c>
      <c r="AD341" t="str">
        <f t="shared" si="123"/>
        <v>|0</v>
      </c>
      <c r="AE341" t="str">
        <f t="shared" si="124"/>
        <v/>
      </c>
      <c r="AF341" t="str">
        <f t="shared" si="125"/>
        <v/>
      </c>
      <c r="AG341" t="str">
        <f t="shared" si="126"/>
        <v/>
      </c>
      <c r="AH341" t="str">
        <f t="shared" si="127"/>
        <v/>
      </c>
      <c r="AI341" t="str">
        <f t="shared" si="128"/>
        <v/>
      </c>
      <c r="AJ341" t="str">
        <f t="shared" si="129"/>
        <v/>
      </c>
      <c r="AK341" t="str">
        <f t="shared" si="130"/>
        <v/>
      </c>
      <c r="AL341" t="str">
        <f t="shared" si="131"/>
        <v/>
      </c>
      <c r="AM341" t="str">
        <f t="shared" si="132"/>
        <v/>
      </c>
      <c r="AN341" t="str">
        <f t="shared" si="133"/>
        <v/>
      </c>
      <c r="AO341" t="str">
        <f t="shared" si="134"/>
        <v/>
      </c>
      <c r="AP341">
        <f t="shared" si="135"/>
        <v>1</v>
      </c>
      <c r="AQ341" t="str">
        <f>IF(SAISIE!$F346="","",SAISIE!$Y346)</f>
        <v/>
      </c>
      <c r="AR341" t="str">
        <f>IF(OR(SAISIE!$U$4="",SAISIE!$W$4=""),"",IF(AND($A341=SAISIE!$U$4,$B341=SAISIE!$W$4,$C341="S1"),COUNTIFS($A$2:$A341,SAISIE!$U$4,$B$2:$B341,SAISIE!$W$4,$C$2:$C341,"S1"),""))</f>
        <v/>
      </c>
      <c r="AS341" t="str">
        <f t="shared" si="136"/>
        <v/>
      </c>
      <c r="AT341" t="str">
        <f t="shared" si="137"/>
        <v/>
      </c>
      <c r="AU341" t="str">
        <f t="shared" si="138"/>
        <v/>
      </c>
      <c r="AV341">
        <f>N(AV340)+IF(AND($AB341&lt;&gt;"",OR('PROFIL ELEVE'!$K$4="(Tous)",$AF341='PROFIL ELEVE'!$K$4)),1,0)</f>
        <v>0</v>
      </c>
      <c r="AW341">
        <f>N(AW340)+IF(AND($AB341&lt;&gt;"",OR('SUIVI LONGITUDINAL'!$Q$4="(Tous)",$AF341='SUIVI LONGITUDINAL'!$Q$4)),1,0)</f>
        <v>0</v>
      </c>
      <c r="AX341">
        <f t="shared" si="139"/>
        <v>0</v>
      </c>
      <c r="AY341">
        <f t="shared" si="140"/>
        <v>0</v>
      </c>
      <c r="AZ341">
        <f t="shared" si="141"/>
        <v>0</v>
      </c>
      <c r="BA341" t="str">
        <f t="shared" si="142"/>
        <v/>
      </c>
      <c r="BB341" t="str">
        <f t="shared" si="143"/>
        <v/>
      </c>
    </row>
    <row r="342" spans="1:54" ht="14.25" customHeight="1" x14ac:dyDescent="0.3">
      <c r="A342" t="str">
        <f>IF(SAISIE!$F347="","",SAISIE!$B347)</f>
        <v/>
      </c>
      <c r="B342" t="str">
        <f>IF(SAISIE!$F347="","",SAISIE!$C347)</f>
        <v/>
      </c>
      <c r="C342" t="str">
        <f>IF(SAISIE!$F347="","",SAISIE!$D347)</f>
        <v/>
      </c>
      <c r="D342" t="str">
        <f>IF(SAISIE!$E347="","",SAISIE!$E347)</f>
        <v/>
      </c>
      <c r="E342" t="str">
        <f>IF(SAISIE!$F347="","",SAISIE!$F347)</f>
        <v/>
      </c>
      <c r="F342" t="str">
        <f>IF(SAISIE!$G347="","",SAISIE!$G347)</f>
        <v/>
      </c>
      <c r="G342" t="str">
        <f>IF(SAISIE!$H347="","",SAISIE!$H347)</f>
        <v/>
      </c>
      <c r="H342" t="str">
        <f>IF(SAISIE!$I347="","",SAISIE!$I347)</f>
        <v/>
      </c>
      <c r="I342" t="str">
        <f>IF(SAISIE!$J347="","",SAISIE!$J347)</f>
        <v/>
      </c>
      <c r="J342" t="str">
        <f>IF(SAISIE!$K347="","",SAISIE!$K347)</f>
        <v/>
      </c>
      <c r="K342" t="str">
        <f>IF(SAISIE!$L347="","",SAISIE!$L347)</f>
        <v/>
      </c>
      <c r="L342" t="str">
        <f>IF(SAISIE!$M347="","",SAISIE!$M347)</f>
        <v/>
      </c>
      <c r="M342" t="str">
        <f>IF(SAISIE!$N347="","",SAISIE!$N347)</f>
        <v/>
      </c>
      <c r="N342" t="str">
        <f>IF(SAISIE!$O347="","",SAISIE!$O347)</f>
        <v/>
      </c>
      <c r="O342" t="str">
        <f>IF(SAISIE!$P347="","",SAISIE!$P347)</f>
        <v/>
      </c>
      <c r="P342" t="str">
        <f>IF(SAISIE!$Q347="","",SAISIE!$Q347)</f>
        <v/>
      </c>
      <c r="Q342" t="str">
        <f>IF($I342="","",IF($I342&gt;PARAMETRES!$G$29,5,IF($I342&gt;PARAMETRES!$F$29,4,IF($I342&gt;PARAMETRES!$E$29,3,IF($I342&gt;PARAMETRES!$D$29,2,1)))))</f>
        <v/>
      </c>
      <c r="R342" t="str">
        <f>IF($J342="","",IF($J342&gt;PARAMETRES!$G$30,5,IF($J342&gt;PARAMETRES!$F$30,4,IF($J342&gt;PARAMETRES!$E$30,3,IF($J342&gt;PARAMETRES!$D$30,2,1)))))</f>
        <v/>
      </c>
      <c r="S342" t="str">
        <f>IF($K342="","",IF($Z342=2,IF($K342&gt;PARAMETRES!$G$31,5,IF($K342&gt;PARAMETRES!$F$31,4,IF($K342&gt;PARAMETRES!$E$31,3,IF($K342&gt;PARAMETRES!$D$31,2,1)))),IF($K342&gt;PARAMETRES!$G$32,5,IF($K342&gt;PARAMETRES!$F$32,4,IF($K342&gt;PARAMETRES!$E$32,3,IF($K342&gt;PARAMETRES!$D$32,2,1))))))</f>
        <v/>
      </c>
      <c r="T342" t="str">
        <f>IF($L342="","",IF($L342&gt;PARAMETRES!$G$33,5,IF($L342&gt;PARAMETRES!$F$33,4,IF($L342&gt;PARAMETRES!$E$33,3,IF($L342&gt;PARAMETRES!$D$33,2,1)))))</f>
        <v/>
      </c>
      <c r="U342" t="str">
        <f>IF($M342="","",IF($M342&gt;PARAMETRES!$G$34,5,IF($M342&gt;PARAMETRES!$F$34,4,IF($M342&gt;PARAMETRES!$E$34,3,IF($M342&gt;PARAMETRES!$D$34,2,1)))))</f>
        <v/>
      </c>
      <c r="V342" t="str">
        <f>IF($N342="","",IF($N342&gt;PARAMETRES!$G$35,5,IF($N342&gt;PARAMETRES!$F$35,4,IF($N342&gt;PARAMETRES!$E$35,3,IF($N342&gt;PARAMETRES!$D$35,2,1)))))</f>
        <v/>
      </c>
      <c r="W342" t="str">
        <f>IF($O342="","",IF($O342&gt;PARAMETRES!$G$36,5,IF($O342&gt;PARAMETRES!$F$36,4,IF($O342&gt;PARAMETRES!$E$36,3,IF($O342&gt;PARAMETRES!$D$36,2,1)))))</f>
        <v/>
      </c>
      <c r="X342" t="str">
        <f>IF($P342="","",IF($P342&gt;PARAMETRES!$G$37,5,IF($P342&gt;PARAMETRES!$F$37,4,IF($P342&gt;PARAMETRES!$E$37,3,IF($P342&gt;PARAMETRES!$D$37,2,1)))))</f>
        <v/>
      </c>
      <c r="Y342" t="str">
        <f t="shared" si="120"/>
        <v/>
      </c>
      <c r="Z342" t="str">
        <f>IFERROR(VLOOKUP($B342,TABLE_CYCLE,2,0),"")</f>
        <v/>
      </c>
      <c r="AA342" t="str">
        <f t="shared" si="121"/>
        <v/>
      </c>
      <c r="AB342" t="str">
        <f>IF($D342="","",IF(COUNTIF($D$2:$D342,$D342)=1,$D342,""))</f>
        <v/>
      </c>
      <c r="AC342">
        <f t="shared" si="122"/>
        <v>0</v>
      </c>
      <c r="AD342" t="str">
        <f t="shared" si="123"/>
        <v>|0</v>
      </c>
      <c r="AE342" t="str">
        <f t="shared" si="124"/>
        <v/>
      </c>
      <c r="AF342" t="str">
        <f t="shared" si="125"/>
        <v/>
      </c>
      <c r="AG342" t="str">
        <f t="shared" si="126"/>
        <v/>
      </c>
      <c r="AH342" t="str">
        <f t="shared" si="127"/>
        <v/>
      </c>
      <c r="AI342" t="str">
        <f t="shared" si="128"/>
        <v/>
      </c>
      <c r="AJ342" t="str">
        <f t="shared" si="129"/>
        <v/>
      </c>
      <c r="AK342" t="str">
        <f t="shared" si="130"/>
        <v/>
      </c>
      <c r="AL342" t="str">
        <f t="shared" si="131"/>
        <v/>
      </c>
      <c r="AM342" t="str">
        <f t="shared" si="132"/>
        <v/>
      </c>
      <c r="AN342" t="str">
        <f t="shared" si="133"/>
        <v/>
      </c>
      <c r="AO342" t="str">
        <f t="shared" si="134"/>
        <v/>
      </c>
      <c r="AP342">
        <f t="shared" si="135"/>
        <v>1</v>
      </c>
      <c r="AQ342" t="str">
        <f>IF(SAISIE!$F347="","",SAISIE!$Y347)</f>
        <v/>
      </c>
      <c r="AR342" t="str">
        <f>IF(OR(SAISIE!$U$4="",SAISIE!$W$4=""),"",IF(AND($A342=SAISIE!$U$4,$B342=SAISIE!$W$4,$C342="S1"),COUNTIFS($A$2:$A342,SAISIE!$U$4,$B$2:$B342,SAISIE!$W$4,$C$2:$C342,"S1"),""))</f>
        <v/>
      </c>
      <c r="AS342" t="str">
        <f t="shared" si="136"/>
        <v/>
      </c>
      <c r="AT342" t="str">
        <f t="shared" si="137"/>
        <v/>
      </c>
      <c r="AU342" t="str">
        <f t="shared" si="138"/>
        <v/>
      </c>
      <c r="AV342">
        <f>N(AV341)+IF(AND($AB342&lt;&gt;"",OR('PROFIL ELEVE'!$K$4="(Tous)",$AF342='PROFIL ELEVE'!$K$4)),1,0)</f>
        <v>0</v>
      </c>
      <c r="AW342">
        <f>N(AW341)+IF(AND($AB342&lt;&gt;"",OR('SUIVI LONGITUDINAL'!$Q$4="(Tous)",$AF342='SUIVI LONGITUDINAL'!$Q$4)),1,0)</f>
        <v>0</v>
      </c>
      <c r="AX342">
        <f t="shared" si="139"/>
        <v>0</v>
      </c>
      <c r="AY342">
        <f t="shared" si="140"/>
        <v>0</v>
      </c>
      <c r="AZ342">
        <f t="shared" si="141"/>
        <v>0</v>
      </c>
      <c r="BA342" t="str">
        <f t="shared" si="142"/>
        <v/>
      </c>
      <c r="BB342" t="str">
        <f t="shared" si="143"/>
        <v/>
      </c>
    </row>
    <row r="343" spans="1:54" ht="14.25" customHeight="1" x14ac:dyDescent="0.3">
      <c r="A343" t="str">
        <f>IF(SAISIE!$F348="","",SAISIE!$B348)</f>
        <v/>
      </c>
      <c r="B343" t="str">
        <f>IF(SAISIE!$F348="","",SAISIE!$C348)</f>
        <v/>
      </c>
      <c r="C343" t="str">
        <f>IF(SAISIE!$F348="","",SAISIE!$D348)</f>
        <v/>
      </c>
      <c r="D343" t="str">
        <f>IF(SAISIE!$E348="","",SAISIE!$E348)</f>
        <v/>
      </c>
      <c r="E343" t="str">
        <f>IF(SAISIE!$F348="","",SAISIE!$F348)</f>
        <v/>
      </c>
      <c r="F343" t="str">
        <f>IF(SAISIE!$G348="","",SAISIE!$G348)</f>
        <v/>
      </c>
      <c r="G343" t="str">
        <f>IF(SAISIE!$H348="","",SAISIE!$H348)</f>
        <v/>
      </c>
      <c r="H343" t="str">
        <f>IF(SAISIE!$I348="","",SAISIE!$I348)</f>
        <v/>
      </c>
      <c r="I343" t="str">
        <f>IF(SAISIE!$J348="","",SAISIE!$J348)</f>
        <v/>
      </c>
      <c r="J343" t="str">
        <f>IF(SAISIE!$K348="","",SAISIE!$K348)</f>
        <v/>
      </c>
      <c r="K343" t="str">
        <f>IF(SAISIE!$L348="","",SAISIE!$L348)</f>
        <v/>
      </c>
      <c r="L343" t="str">
        <f>IF(SAISIE!$M348="","",SAISIE!$M348)</f>
        <v/>
      </c>
      <c r="M343" t="str">
        <f>IF(SAISIE!$N348="","",SAISIE!$N348)</f>
        <v/>
      </c>
      <c r="N343" t="str">
        <f>IF(SAISIE!$O348="","",SAISIE!$O348)</f>
        <v/>
      </c>
      <c r="O343" t="str">
        <f>IF(SAISIE!$P348="","",SAISIE!$P348)</f>
        <v/>
      </c>
      <c r="P343" t="str">
        <f>IF(SAISIE!$Q348="","",SAISIE!$Q348)</f>
        <v/>
      </c>
      <c r="Q343" t="str">
        <f>IF($I343="","",IF($I343&gt;PARAMETRES!$G$29,5,IF($I343&gt;PARAMETRES!$F$29,4,IF($I343&gt;PARAMETRES!$E$29,3,IF($I343&gt;PARAMETRES!$D$29,2,1)))))</f>
        <v/>
      </c>
      <c r="R343" t="str">
        <f>IF($J343="","",IF($J343&gt;PARAMETRES!$G$30,5,IF($J343&gt;PARAMETRES!$F$30,4,IF($J343&gt;PARAMETRES!$E$30,3,IF($J343&gt;PARAMETRES!$D$30,2,1)))))</f>
        <v/>
      </c>
      <c r="S343" t="str">
        <f>IF($K343="","",IF($Z343=2,IF($K343&gt;PARAMETRES!$G$31,5,IF($K343&gt;PARAMETRES!$F$31,4,IF($K343&gt;PARAMETRES!$E$31,3,IF($K343&gt;PARAMETRES!$D$31,2,1)))),IF($K343&gt;PARAMETRES!$G$32,5,IF($K343&gt;PARAMETRES!$F$32,4,IF($K343&gt;PARAMETRES!$E$32,3,IF($K343&gt;PARAMETRES!$D$32,2,1))))))</f>
        <v/>
      </c>
      <c r="T343" t="str">
        <f>IF($L343="","",IF($L343&gt;PARAMETRES!$G$33,5,IF($L343&gt;PARAMETRES!$F$33,4,IF($L343&gt;PARAMETRES!$E$33,3,IF($L343&gt;PARAMETRES!$D$33,2,1)))))</f>
        <v/>
      </c>
      <c r="U343" t="str">
        <f>IF($M343="","",IF($M343&gt;PARAMETRES!$G$34,5,IF($M343&gt;PARAMETRES!$F$34,4,IF($M343&gt;PARAMETRES!$E$34,3,IF($M343&gt;PARAMETRES!$D$34,2,1)))))</f>
        <v/>
      </c>
      <c r="V343" t="str">
        <f>IF($N343="","",IF($N343&gt;PARAMETRES!$G$35,5,IF($N343&gt;PARAMETRES!$F$35,4,IF($N343&gt;PARAMETRES!$E$35,3,IF($N343&gt;PARAMETRES!$D$35,2,1)))))</f>
        <v/>
      </c>
      <c r="W343" t="str">
        <f>IF($O343="","",IF($O343&gt;PARAMETRES!$G$36,5,IF($O343&gt;PARAMETRES!$F$36,4,IF($O343&gt;PARAMETRES!$E$36,3,IF($O343&gt;PARAMETRES!$D$36,2,1)))))</f>
        <v/>
      </c>
      <c r="X343" t="str">
        <f>IF($P343="","",IF($P343&gt;PARAMETRES!$G$37,5,IF($P343&gt;PARAMETRES!$F$37,4,IF($P343&gt;PARAMETRES!$E$37,3,IF($P343&gt;PARAMETRES!$D$37,2,1)))))</f>
        <v/>
      </c>
      <c r="Y343" t="str">
        <f t="shared" si="120"/>
        <v/>
      </c>
      <c r="Z343" t="str">
        <f>IFERROR(VLOOKUP($B343,TABLE_CYCLE,2,0),"")</f>
        <v/>
      </c>
      <c r="AA343" t="str">
        <f t="shared" si="121"/>
        <v/>
      </c>
      <c r="AB343" t="str">
        <f>IF($D343="","",IF(COUNTIF($D$2:$D343,$D343)=1,$D343,""))</f>
        <v/>
      </c>
      <c r="AC343">
        <f t="shared" si="122"/>
        <v>0</v>
      </c>
      <c r="AD343" t="str">
        <f t="shared" si="123"/>
        <v>|0</v>
      </c>
      <c r="AE343" t="str">
        <f t="shared" si="124"/>
        <v/>
      </c>
      <c r="AF343" t="str">
        <f t="shared" si="125"/>
        <v/>
      </c>
      <c r="AG343" t="str">
        <f t="shared" si="126"/>
        <v/>
      </c>
      <c r="AH343" t="str">
        <f t="shared" si="127"/>
        <v/>
      </c>
      <c r="AI343" t="str">
        <f t="shared" si="128"/>
        <v/>
      </c>
      <c r="AJ343" t="str">
        <f t="shared" si="129"/>
        <v/>
      </c>
      <c r="AK343" t="str">
        <f t="shared" si="130"/>
        <v/>
      </c>
      <c r="AL343" t="str">
        <f t="shared" si="131"/>
        <v/>
      </c>
      <c r="AM343" t="str">
        <f t="shared" si="132"/>
        <v/>
      </c>
      <c r="AN343" t="str">
        <f t="shared" si="133"/>
        <v/>
      </c>
      <c r="AO343" t="str">
        <f t="shared" si="134"/>
        <v/>
      </c>
      <c r="AP343">
        <f t="shared" si="135"/>
        <v>1</v>
      </c>
      <c r="AQ343" t="str">
        <f>IF(SAISIE!$F348="","",SAISIE!$Y348)</f>
        <v/>
      </c>
      <c r="AR343" t="str">
        <f>IF(OR(SAISIE!$U$4="",SAISIE!$W$4=""),"",IF(AND($A343=SAISIE!$U$4,$B343=SAISIE!$W$4,$C343="S1"),COUNTIFS($A$2:$A343,SAISIE!$U$4,$B$2:$B343,SAISIE!$W$4,$C$2:$C343,"S1"),""))</f>
        <v/>
      </c>
      <c r="AS343" t="str">
        <f t="shared" si="136"/>
        <v/>
      </c>
      <c r="AT343" t="str">
        <f t="shared" si="137"/>
        <v/>
      </c>
      <c r="AU343" t="str">
        <f t="shared" si="138"/>
        <v/>
      </c>
      <c r="AV343">
        <f>N(AV342)+IF(AND($AB343&lt;&gt;"",OR('PROFIL ELEVE'!$K$4="(Tous)",$AF343='PROFIL ELEVE'!$K$4)),1,0)</f>
        <v>0</v>
      </c>
      <c r="AW343">
        <f>N(AW342)+IF(AND($AB343&lt;&gt;"",OR('SUIVI LONGITUDINAL'!$Q$4="(Tous)",$AF343='SUIVI LONGITUDINAL'!$Q$4)),1,0)</f>
        <v>0</v>
      </c>
      <c r="AX343">
        <f t="shared" si="139"/>
        <v>0</v>
      </c>
      <c r="AY343">
        <f t="shared" si="140"/>
        <v>0</v>
      </c>
      <c r="AZ343">
        <f t="shared" si="141"/>
        <v>0</v>
      </c>
      <c r="BA343" t="str">
        <f t="shared" si="142"/>
        <v/>
      </c>
      <c r="BB343" t="str">
        <f t="shared" si="143"/>
        <v/>
      </c>
    </row>
    <row r="344" spans="1:54" ht="14.25" customHeight="1" x14ac:dyDescent="0.3">
      <c r="A344" t="str">
        <f>IF(SAISIE!$F349="","",SAISIE!$B349)</f>
        <v/>
      </c>
      <c r="B344" t="str">
        <f>IF(SAISIE!$F349="","",SAISIE!$C349)</f>
        <v/>
      </c>
      <c r="C344" t="str">
        <f>IF(SAISIE!$F349="","",SAISIE!$D349)</f>
        <v/>
      </c>
      <c r="D344" t="str">
        <f>IF(SAISIE!$E349="","",SAISIE!$E349)</f>
        <v/>
      </c>
      <c r="E344" t="str">
        <f>IF(SAISIE!$F349="","",SAISIE!$F349)</f>
        <v/>
      </c>
      <c r="F344" t="str">
        <f>IF(SAISIE!$G349="","",SAISIE!$G349)</f>
        <v/>
      </c>
      <c r="G344" t="str">
        <f>IF(SAISIE!$H349="","",SAISIE!$H349)</f>
        <v/>
      </c>
      <c r="H344" t="str">
        <f>IF(SAISIE!$I349="","",SAISIE!$I349)</f>
        <v/>
      </c>
      <c r="I344" t="str">
        <f>IF(SAISIE!$J349="","",SAISIE!$J349)</f>
        <v/>
      </c>
      <c r="J344" t="str">
        <f>IF(SAISIE!$K349="","",SAISIE!$K349)</f>
        <v/>
      </c>
      <c r="K344" t="str">
        <f>IF(SAISIE!$L349="","",SAISIE!$L349)</f>
        <v/>
      </c>
      <c r="L344" t="str">
        <f>IF(SAISIE!$M349="","",SAISIE!$M349)</f>
        <v/>
      </c>
      <c r="M344" t="str">
        <f>IF(SAISIE!$N349="","",SAISIE!$N349)</f>
        <v/>
      </c>
      <c r="N344" t="str">
        <f>IF(SAISIE!$O349="","",SAISIE!$O349)</f>
        <v/>
      </c>
      <c r="O344" t="str">
        <f>IF(SAISIE!$P349="","",SAISIE!$P349)</f>
        <v/>
      </c>
      <c r="P344" t="str">
        <f>IF(SAISIE!$Q349="","",SAISIE!$Q349)</f>
        <v/>
      </c>
      <c r="Q344" t="str">
        <f>IF($I344="","",IF($I344&gt;PARAMETRES!$G$29,5,IF($I344&gt;PARAMETRES!$F$29,4,IF($I344&gt;PARAMETRES!$E$29,3,IF($I344&gt;PARAMETRES!$D$29,2,1)))))</f>
        <v/>
      </c>
      <c r="R344" t="str">
        <f>IF($J344="","",IF($J344&gt;PARAMETRES!$G$30,5,IF($J344&gt;PARAMETRES!$F$30,4,IF($J344&gt;PARAMETRES!$E$30,3,IF($J344&gt;PARAMETRES!$D$30,2,1)))))</f>
        <v/>
      </c>
      <c r="S344" t="str">
        <f>IF($K344="","",IF($Z344=2,IF($K344&gt;PARAMETRES!$G$31,5,IF($K344&gt;PARAMETRES!$F$31,4,IF($K344&gt;PARAMETRES!$E$31,3,IF($K344&gt;PARAMETRES!$D$31,2,1)))),IF($K344&gt;PARAMETRES!$G$32,5,IF($K344&gt;PARAMETRES!$F$32,4,IF($K344&gt;PARAMETRES!$E$32,3,IF($K344&gt;PARAMETRES!$D$32,2,1))))))</f>
        <v/>
      </c>
      <c r="T344" t="str">
        <f>IF($L344="","",IF($L344&gt;PARAMETRES!$G$33,5,IF($L344&gt;PARAMETRES!$F$33,4,IF($L344&gt;PARAMETRES!$E$33,3,IF($L344&gt;PARAMETRES!$D$33,2,1)))))</f>
        <v/>
      </c>
      <c r="U344" t="str">
        <f>IF($M344="","",IF($M344&gt;PARAMETRES!$G$34,5,IF($M344&gt;PARAMETRES!$F$34,4,IF($M344&gt;PARAMETRES!$E$34,3,IF($M344&gt;PARAMETRES!$D$34,2,1)))))</f>
        <v/>
      </c>
      <c r="V344" t="str">
        <f>IF($N344="","",IF($N344&gt;PARAMETRES!$G$35,5,IF($N344&gt;PARAMETRES!$F$35,4,IF($N344&gt;PARAMETRES!$E$35,3,IF($N344&gt;PARAMETRES!$D$35,2,1)))))</f>
        <v/>
      </c>
      <c r="W344" t="str">
        <f>IF($O344="","",IF($O344&gt;PARAMETRES!$G$36,5,IF($O344&gt;PARAMETRES!$F$36,4,IF($O344&gt;PARAMETRES!$E$36,3,IF($O344&gt;PARAMETRES!$D$36,2,1)))))</f>
        <v/>
      </c>
      <c r="X344" t="str">
        <f>IF($P344="","",IF($P344&gt;PARAMETRES!$G$37,5,IF($P344&gt;PARAMETRES!$F$37,4,IF($P344&gt;PARAMETRES!$E$37,3,IF($P344&gt;PARAMETRES!$D$37,2,1)))))</f>
        <v/>
      </c>
      <c r="Y344" t="str">
        <f t="shared" si="120"/>
        <v/>
      </c>
      <c r="Z344" t="str">
        <f>IFERROR(VLOOKUP($B344,TABLE_CYCLE,2,0),"")</f>
        <v/>
      </c>
      <c r="AA344" t="str">
        <f t="shared" si="121"/>
        <v/>
      </c>
      <c r="AB344" t="str">
        <f>IF($D344="","",IF(COUNTIF($D$2:$D344,$D344)=1,$D344,""))</f>
        <v/>
      </c>
      <c r="AC344">
        <f t="shared" si="122"/>
        <v>0</v>
      </c>
      <c r="AD344" t="str">
        <f t="shared" si="123"/>
        <v>|0</v>
      </c>
      <c r="AE344" t="str">
        <f t="shared" si="124"/>
        <v/>
      </c>
      <c r="AF344" t="str">
        <f t="shared" si="125"/>
        <v/>
      </c>
      <c r="AG344" t="str">
        <f t="shared" si="126"/>
        <v/>
      </c>
      <c r="AH344" t="str">
        <f t="shared" si="127"/>
        <v/>
      </c>
      <c r="AI344" t="str">
        <f t="shared" si="128"/>
        <v/>
      </c>
      <c r="AJ344" t="str">
        <f t="shared" si="129"/>
        <v/>
      </c>
      <c r="AK344" t="str">
        <f t="shared" si="130"/>
        <v/>
      </c>
      <c r="AL344" t="str">
        <f t="shared" si="131"/>
        <v/>
      </c>
      <c r="AM344" t="str">
        <f t="shared" si="132"/>
        <v/>
      </c>
      <c r="AN344" t="str">
        <f t="shared" si="133"/>
        <v/>
      </c>
      <c r="AO344" t="str">
        <f t="shared" si="134"/>
        <v/>
      </c>
      <c r="AP344">
        <f t="shared" si="135"/>
        <v>1</v>
      </c>
      <c r="AQ344" t="str">
        <f>IF(SAISIE!$F349="","",SAISIE!$Y349)</f>
        <v/>
      </c>
      <c r="AR344" t="str">
        <f>IF(OR(SAISIE!$U$4="",SAISIE!$W$4=""),"",IF(AND($A344=SAISIE!$U$4,$B344=SAISIE!$W$4,$C344="S1"),COUNTIFS($A$2:$A344,SAISIE!$U$4,$B$2:$B344,SAISIE!$W$4,$C$2:$C344,"S1"),""))</f>
        <v/>
      </c>
      <c r="AS344" t="str">
        <f t="shared" si="136"/>
        <v/>
      </c>
      <c r="AT344" t="str">
        <f t="shared" si="137"/>
        <v/>
      </c>
      <c r="AU344" t="str">
        <f t="shared" si="138"/>
        <v/>
      </c>
      <c r="AV344">
        <f>N(AV343)+IF(AND($AB344&lt;&gt;"",OR('PROFIL ELEVE'!$K$4="(Tous)",$AF344='PROFIL ELEVE'!$K$4)),1,0)</f>
        <v>0</v>
      </c>
      <c r="AW344">
        <f>N(AW343)+IF(AND($AB344&lt;&gt;"",OR('SUIVI LONGITUDINAL'!$Q$4="(Tous)",$AF344='SUIVI LONGITUDINAL'!$Q$4)),1,0)</f>
        <v>0</v>
      </c>
      <c r="AX344">
        <f t="shared" si="139"/>
        <v>0</v>
      </c>
      <c r="AY344">
        <f t="shared" si="140"/>
        <v>0</v>
      </c>
      <c r="AZ344">
        <f t="shared" si="141"/>
        <v>0</v>
      </c>
      <c r="BA344" t="str">
        <f t="shared" si="142"/>
        <v/>
      </c>
      <c r="BB344" t="str">
        <f t="shared" si="143"/>
        <v/>
      </c>
    </row>
    <row r="345" spans="1:54" ht="14.25" customHeight="1" x14ac:dyDescent="0.3">
      <c r="A345" t="str">
        <f>IF(SAISIE!$F350="","",SAISIE!$B350)</f>
        <v/>
      </c>
      <c r="B345" t="str">
        <f>IF(SAISIE!$F350="","",SAISIE!$C350)</f>
        <v/>
      </c>
      <c r="C345" t="str">
        <f>IF(SAISIE!$F350="","",SAISIE!$D350)</f>
        <v/>
      </c>
      <c r="D345" t="str">
        <f>IF(SAISIE!$E350="","",SAISIE!$E350)</f>
        <v/>
      </c>
      <c r="E345" t="str">
        <f>IF(SAISIE!$F350="","",SAISIE!$F350)</f>
        <v/>
      </c>
      <c r="F345" t="str">
        <f>IF(SAISIE!$G350="","",SAISIE!$G350)</f>
        <v/>
      </c>
      <c r="G345" t="str">
        <f>IF(SAISIE!$H350="","",SAISIE!$H350)</f>
        <v/>
      </c>
      <c r="H345" t="str">
        <f>IF(SAISIE!$I350="","",SAISIE!$I350)</f>
        <v/>
      </c>
      <c r="I345" t="str">
        <f>IF(SAISIE!$J350="","",SAISIE!$J350)</f>
        <v/>
      </c>
      <c r="J345" t="str">
        <f>IF(SAISIE!$K350="","",SAISIE!$K350)</f>
        <v/>
      </c>
      <c r="K345" t="str">
        <f>IF(SAISIE!$L350="","",SAISIE!$L350)</f>
        <v/>
      </c>
      <c r="L345" t="str">
        <f>IF(SAISIE!$M350="","",SAISIE!$M350)</f>
        <v/>
      </c>
      <c r="M345" t="str">
        <f>IF(SAISIE!$N350="","",SAISIE!$N350)</f>
        <v/>
      </c>
      <c r="N345" t="str">
        <f>IF(SAISIE!$O350="","",SAISIE!$O350)</f>
        <v/>
      </c>
      <c r="O345" t="str">
        <f>IF(SAISIE!$P350="","",SAISIE!$P350)</f>
        <v/>
      </c>
      <c r="P345" t="str">
        <f>IF(SAISIE!$Q350="","",SAISIE!$Q350)</f>
        <v/>
      </c>
      <c r="Q345" t="str">
        <f>IF($I345="","",IF($I345&gt;PARAMETRES!$G$29,5,IF($I345&gt;PARAMETRES!$F$29,4,IF($I345&gt;PARAMETRES!$E$29,3,IF($I345&gt;PARAMETRES!$D$29,2,1)))))</f>
        <v/>
      </c>
      <c r="R345" t="str">
        <f>IF($J345="","",IF($J345&gt;PARAMETRES!$G$30,5,IF($J345&gt;PARAMETRES!$F$30,4,IF($J345&gt;PARAMETRES!$E$30,3,IF($J345&gt;PARAMETRES!$D$30,2,1)))))</f>
        <v/>
      </c>
      <c r="S345" t="str">
        <f>IF($K345="","",IF($Z345=2,IF($K345&gt;PARAMETRES!$G$31,5,IF($K345&gt;PARAMETRES!$F$31,4,IF($K345&gt;PARAMETRES!$E$31,3,IF($K345&gt;PARAMETRES!$D$31,2,1)))),IF($K345&gt;PARAMETRES!$G$32,5,IF($K345&gt;PARAMETRES!$F$32,4,IF($K345&gt;PARAMETRES!$E$32,3,IF($K345&gt;PARAMETRES!$D$32,2,1))))))</f>
        <v/>
      </c>
      <c r="T345" t="str">
        <f>IF($L345="","",IF($L345&gt;PARAMETRES!$G$33,5,IF($L345&gt;PARAMETRES!$F$33,4,IF($L345&gt;PARAMETRES!$E$33,3,IF($L345&gt;PARAMETRES!$D$33,2,1)))))</f>
        <v/>
      </c>
      <c r="U345" t="str">
        <f>IF($M345="","",IF($M345&gt;PARAMETRES!$G$34,5,IF($M345&gt;PARAMETRES!$F$34,4,IF($M345&gt;PARAMETRES!$E$34,3,IF($M345&gt;PARAMETRES!$D$34,2,1)))))</f>
        <v/>
      </c>
      <c r="V345" t="str">
        <f>IF($N345="","",IF($N345&gt;PARAMETRES!$G$35,5,IF($N345&gt;PARAMETRES!$F$35,4,IF($N345&gt;PARAMETRES!$E$35,3,IF($N345&gt;PARAMETRES!$D$35,2,1)))))</f>
        <v/>
      </c>
      <c r="W345" t="str">
        <f>IF($O345="","",IF($O345&gt;PARAMETRES!$G$36,5,IF($O345&gt;PARAMETRES!$F$36,4,IF($O345&gt;PARAMETRES!$E$36,3,IF($O345&gt;PARAMETRES!$D$36,2,1)))))</f>
        <v/>
      </c>
      <c r="X345" t="str">
        <f>IF($P345="","",IF($P345&gt;PARAMETRES!$G$37,5,IF($P345&gt;PARAMETRES!$F$37,4,IF($P345&gt;PARAMETRES!$E$37,3,IF($P345&gt;PARAMETRES!$D$37,2,1)))))</f>
        <v/>
      </c>
      <c r="Y345" t="str">
        <f t="shared" si="120"/>
        <v/>
      </c>
      <c r="Z345" t="str">
        <f>IFERROR(VLOOKUP($B345,TABLE_CYCLE,2,0),"")</f>
        <v/>
      </c>
      <c r="AA345" t="str">
        <f t="shared" si="121"/>
        <v/>
      </c>
      <c r="AB345" t="str">
        <f>IF($D345="","",IF(COUNTIF($D$2:$D345,$D345)=1,$D345,""))</f>
        <v/>
      </c>
      <c r="AC345">
        <f t="shared" si="122"/>
        <v>0</v>
      </c>
      <c r="AD345" t="str">
        <f t="shared" si="123"/>
        <v>|0</v>
      </c>
      <c r="AE345" t="str">
        <f t="shared" si="124"/>
        <v/>
      </c>
      <c r="AF345" t="str">
        <f t="shared" si="125"/>
        <v/>
      </c>
      <c r="AG345" t="str">
        <f t="shared" si="126"/>
        <v/>
      </c>
      <c r="AH345" t="str">
        <f t="shared" si="127"/>
        <v/>
      </c>
      <c r="AI345" t="str">
        <f t="shared" si="128"/>
        <v/>
      </c>
      <c r="AJ345" t="str">
        <f t="shared" si="129"/>
        <v/>
      </c>
      <c r="AK345" t="str">
        <f t="shared" si="130"/>
        <v/>
      </c>
      <c r="AL345" t="str">
        <f t="shared" si="131"/>
        <v/>
      </c>
      <c r="AM345" t="str">
        <f t="shared" si="132"/>
        <v/>
      </c>
      <c r="AN345" t="str">
        <f t="shared" si="133"/>
        <v/>
      </c>
      <c r="AO345" t="str">
        <f t="shared" si="134"/>
        <v/>
      </c>
      <c r="AP345">
        <f t="shared" si="135"/>
        <v>1</v>
      </c>
      <c r="AQ345" t="str">
        <f>IF(SAISIE!$F350="","",SAISIE!$Y350)</f>
        <v/>
      </c>
      <c r="AR345" t="str">
        <f>IF(OR(SAISIE!$U$4="",SAISIE!$W$4=""),"",IF(AND($A345=SAISIE!$U$4,$B345=SAISIE!$W$4,$C345="S1"),COUNTIFS($A$2:$A345,SAISIE!$U$4,$B$2:$B345,SAISIE!$W$4,$C$2:$C345,"S1"),""))</f>
        <v/>
      </c>
      <c r="AS345" t="str">
        <f t="shared" si="136"/>
        <v/>
      </c>
      <c r="AT345" t="str">
        <f t="shared" si="137"/>
        <v/>
      </c>
      <c r="AU345" t="str">
        <f t="shared" si="138"/>
        <v/>
      </c>
      <c r="AV345">
        <f>N(AV344)+IF(AND($AB345&lt;&gt;"",OR('PROFIL ELEVE'!$K$4="(Tous)",$AF345='PROFIL ELEVE'!$K$4)),1,0)</f>
        <v>0</v>
      </c>
      <c r="AW345">
        <f>N(AW344)+IF(AND($AB345&lt;&gt;"",OR('SUIVI LONGITUDINAL'!$Q$4="(Tous)",$AF345='SUIVI LONGITUDINAL'!$Q$4)),1,0)</f>
        <v>0</v>
      </c>
      <c r="AX345">
        <f t="shared" si="139"/>
        <v>0</v>
      </c>
      <c r="AY345">
        <f t="shared" si="140"/>
        <v>0</v>
      </c>
      <c r="AZ345">
        <f t="shared" si="141"/>
        <v>0</v>
      </c>
      <c r="BA345" t="str">
        <f t="shared" si="142"/>
        <v/>
      </c>
      <c r="BB345" t="str">
        <f t="shared" si="143"/>
        <v/>
      </c>
    </row>
    <row r="346" spans="1:54" ht="14.25" customHeight="1" x14ac:dyDescent="0.3">
      <c r="A346" t="str">
        <f>IF(SAISIE!$F351="","",SAISIE!$B351)</f>
        <v/>
      </c>
      <c r="B346" t="str">
        <f>IF(SAISIE!$F351="","",SAISIE!$C351)</f>
        <v/>
      </c>
      <c r="C346" t="str">
        <f>IF(SAISIE!$F351="","",SAISIE!$D351)</f>
        <v/>
      </c>
      <c r="D346" t="str">
        <f>IF(SAISIE!$E351="","",SAISIE!$E351)</f>
        <v/>
      </c>
      <c r="E346" t="str">
        <f>IF(SAISIE!$F351="","",SAISIE!$F351)</f>
        <v/>
      </c>
      <c r="F346" t="str">
        <f>IF(SAISIE!$G351="","",SAISIE!$G351)</f>
        <v/>
      </c>
      <c r="G346" t="str">
        <f>IF(SAISIE!$H351="","",SAISIE!$H351)</f>
        <v/>
      </c>
      <c r="H346" t="str">
        <f>IF(SAISIE!$I351="","",SAISIE!$I351)</f>
        <v/>
      </c>
      <c r="I346" t="str">
        <f>IF(SAISIE!$J351="","",SAISIE!$J351)</f>
        <v/>
      </c>
      <c r="J346" t="str">
        <f>IF(SAISIE!$K351="","",SAISIE!$K351)</f>
        <v/>
      </c>
      <c r="K346" t="str">
        <f>IF(SAISIE!$L351="","",SAISIE!$L351)</f>
        <v/>
      </c>
      <c r="L346" t="str">
        <f>IF(SAISIE!$M351="","",SAISIE!$M351)</f>
        <v/>
      </c>
      <c r="M346" t="str">
        <f>IF(SAISIE!$N351="","",SAISIE!$N351)</f>
        <v/>
      </c>
      <c r="N346" t="str">
        <f>IF(SAISIE!$O351="","",SAISIE!$O351)</f>
        <v/>
      </c>
      <c r="O346" t="str">
        <f>IF(SAISIE!$P351="","",SAISIE!$P351)</f>
        <v/>
      </c>
      <c r="P346" t="str">
        <f>IF(SAISIE!$Q351="","",SAISIE!$Q351)</f>
        <v/>
      </c>
      <c r="Q346" t="str">
        <f>IF($I346="","",IF($I346&gt;PARAMETRES!$G$29,5,IF($I346&gt;PARAMETRES!$F$29,4,IF($I346&gt;PARAMETRES!$E$29,3,IF($I346&gt;PARAMETRES!$D$29,2,1)))))</f>
        <v/>
      </c>
      <c r="R346" t="str">
        <f>IF($J346="","",IF($J346&gt;PARAMETRES!$G$30,5,IF($J346&gt;PARAMETRES!$F$30,4,IF($J346&gt;PARAMETRES!$E$30,3,IF($J346&gt;PARAMETRES!$D$30,2,1)))))</f>
        <v/>
      </c>
      <c r="S346" t="str">
        <f>IF($K346="","",IF($Z346=2,IF($K346&gt;PARAMETRES!$G$31,5,IF($K346&gt;PARAMETRES!$F$31,4,IF($K346&gt;PARAMETRES!$E$31,3,IF($K346&gt;PARAMETRES!$D$31,2,1)))),IF($K346&gt;PARAMETRES!$G$32,5,IF($K346&gt;PARAMETRES!$F$32,4,IF($K346&gt;PARAMETRES!$E$32,3,IF($K346&gt;PARAMETRES!$D$32,2,1))))))</f>
        <v/>
      </c>
      <c r="T346" t="str">
        <f>IF($L346="","",IF($L346&gt;PARAMETRES!$G$33,5,IF($L346&gt;PARAMETRES!$F$33,4,IF($L346&gt;PARAMETRES!$E$33,3,IF($L346&gt;PARAMETRES!$D$33,2,1)))))</f>
        <v/>
      </c>
      <c r="U346" t="str">
        <f>IF($M346="","",IF($M346&gt;PARAMETRES!$G$34,5,IF($M346&gt;PARAMETRES!$F$34,4,IF($M346&gt;PARAMETRES!$E$34,3,IF($M346&gt;PARAMETRES!$D$34,2,1)))))</f>
        <v/>
      </c>
      <c r="V346" t="str">
        <f>IF($N346="","",IF($N346&gt;PARAMETRES!$G$35,5,IF($N346&gt;PARAMETRES!$F$35,4,IF($N346&gt;PARAMETRES!$E$35,3,IF($N346&gt;PARAMETRES!$D$35,2,1)))))</f>
        <v/>
      </c>
      <c r="W346" t="str">
        <f>IF($O346="","",IF($O346&gt;PARAMETRES!$G$36,5,IF($O346&gt;PARAMETRES!$F$36,4,IF($O346&gt;PARAMETRES!$E$36,3,IF($O346&gt;PARAMETRES!$D$36,2,1)))))</f>
        <v/>
      </c>
      <c r="X346" t="str">
        <f>IF($P346="","",IF($P346&gt;PARAMETRES!$G$37,5,IF($P346&gt;PARAMETRES!$F$37,4,IF($P346&gt;PARAMETRES!$E$37,3,IF($P346&gt;PARAMETRES!$D$37,2,1)))))</f>
        <v/>
      </c>
      <c r="Y346" t="str">
        <f t="shared" si="120"/>
        <v/>
      </c>
      <c r="Z346" t="str">
        <f>IFERROR(VLOOKUP($B346,TABLE_CYCLE,2,0),"")</f>
        <v/>
      </c>
      <c r="AA346" t="str">
        <f t="shared" si="121"/>
        <v/>
      </c>
      <c r="AB346" t="str">
        <f>IF($D346="","",IF(COUNTIF($D$2:$D346,$D346)=1,$D346,""))</f>
        <v/>
      </c>
      <c r="AC346">
        <f t="shared" si="122"/>
        <v>0</v>
      </c>
      <c r="AD346" t="str">
        <f t="shared" si="123"/>
        <v>|0</v>
      </c>
      <c r="AE346" t="str">
        <f t="shared" si="124"/>
        <v/>
      </c>
      <c r="AF346" t="str">
        <f t="shared" si="125"/>
        <v/>
      </c>
      <c r="AG346" t="str">
        <f t="shared" si="126"/>
        <v/>
      </c>
      <c r="AH346" t="str">
        <f t="shared" si="127"/>
        <v/>
      </c>
      <c r="AI346" t="str">
        <f t="shared" si="128"/>
        <v/>
      </c>
      <c r="AJ346" t="str">
        <f t="shared" si="129"/>
        <v/>
      </c>
      <c r="AK346" t="str">
        <f t="shared" si="130"/>
        <v/>
      </c>
      <c r="AL346" t="str">
        <f t="shared" si="131"/>
        <v/>
      </c>
      <c r="AM346" t="str">
        <f t="shared" si="132"/>
        <v/>
      </c>
      <c r="AN346" t="str">
        <f t="shared" si="133"/>
        <v/>
      </c>
      <c r="AO346" t="str">
        <f t="shared" si="134"/>
        <v/>
      </c>
      <c r="AP346">
        <f t="shared" si="135"/>
        <v>1</v>
      </c>
      <c r="AQ346" t="str">
        <f>IF(SAISIE!$F351="","",SAISIE!$Y351)</f>
        <v/>
      </c>
      <c r="AR346" t="str">
        <f>IF(OR(SAISIE!$U$4="",SAISIE!$W$4=""),"",IF(AND($A346=SAISIE!$U$4,$B346=SAISIE!$W$4,$C346="S1"),COUNTIFS($A$2:$A346,SAISIE!$U$4,$B$2:$B346,SAISIE!$W$4,$C$2:$C346,"S1"),""))</f>
        <v/>
      </c>
      <c r="AS346" t="str">
        <f t="shared" si="136"/>
        <v/>
      </c>
      <c r="AT346" t="str">
        <f t="shared" si="137"/>
        <v/>
      </c>
      <c r="AU346" t="str">
        <f t="shared" si="138"/>
        <v/>
      </c>
      <c r="AV346">
        <f>N(AV345)+IF(AND($AB346&lt;&gt;"",OR('PROFIL ELEVE'!$K$4="(Tous)",$AF346='PROFIL ELEVE'!$K$4)),1,0)</f>
        <v>0</v>
      </c>
      <c r="AW346">
        <f>N(AW345)+IF(AND($AB346&lt;&gt;"",OR('SUIVI LONGITUDINAL'!$Q$4="(Tous)",$AF346='SUIVI LONGITUDINAL'!$Q$4)),1,0)</f>
        <v>0</v>
      </c>
      <c r="AX346">
        <f t="shared" si="139"/>
        <v>0</v>
      </c>
      <c r="AY346">
        <f t="shared" si="140"/>
        <v>0</v>
      </c>
      <c r="AZ346">
        <f t="shared" si="141"/>
        <v>0</v>
      </c>
      <c r="BA346" t="str">
        <f t="shared" si="142"/>
        <v/>
      </c>
      <c r="BB346" t="str">
        <f t="shared" si="143"/>
        <v/>
      </c>
    </row>
    <row r="347" spans="1:54" ht="14.25" customHeight="1" x14ac:dyDescent="0.3">
      <c r="A347" t="str">
        <f>IF(SAISIE!$F352="","",SAISIE!$B352)</f>
        <v/>
      </c>
      <c r="B347" t="str">
        <f>IF(SAISIE!$F352="","",SAISIE!$C352)</f>
        <v/>
      </c>
      <c r="C347" t="str">
        <f>IF(SAISIE!$F352="","",SAISIE!$D352)</f>
        <v/>
      </c>
      <c r="D347" t="str">
        <f>IF(SAISIE!$E352="","",SAISIE!$E352)</f>
        <v/>
      </c>
      <c r="E347" t="str">
        <f>IF(SAISIE!$F352="","",SAISIE!$F352)</f>
        <v/>
      </c>
      <c r="F347" t="str">
        <f>IF(SAISIE!$G352="","",SAISIE!$G352)</f>
        <v/>
      </c>
      <c r="G347" t="str">
        <f>IF(SAISIE!$H352="","",SAISIE!$H352)</f>
        <v/>
      </c>
      <c r="H347" t="str">
        <f>IF(SAISIE!$I352="","",SAISIE!$I352)</f>
        <v/>
      </c>
      <c r="I347" t="str">
        <f>IF(SAISIE!$J352="","",SAISIE!$J352)</f>
        <v/>
      </c>
      <c r="J347" t="str">
        <f>IF(SAISIE!$K352="","",SAISIE!$K352)</f>
        <v/>
      </c>
      <c r="K347" t="str">
        <f>IF(SAISIE!$L352="","",SAISIE!$L352)</f>
        <v/>
      </c>
      <c r="L347" t="str">
        <f>IF(SAISIE!$M352="","",SAISIE!$M352)</f>
        <v/>
      </c>
      <c r="M347" t="str">
        <f>IF(SAISIE!$N352="","",SAISIE!$N352)</f>
        <v/>
      </c>
      <c r="N347" t="str">
        <f>IF(SAISIE!$O352="","",SAISIE!$O352)</f>
        <v/>
      </c>
      <c r="O347" t="str">
        <f>IF(SAISIE!$P352="","",SAISIE!$P352)</f>
        <v/>
      </c>
      <c r="P347" t="str">
        <f>IF(SAISIE!$Q352="","",SAISIE!$Q352)</f>
        <v/>
      </c>
      <c r="Q347" t="str">
        <f>IF($I347="","",IF($I347&gt;PARAMETRES!$G$29,5,IF($I347&gt;PARAMETRES!$F$29,4,IF($I347&gt;PARAMETRES!$E$29,3,IF($I347&gt;PARAMETRES!$D$29,2,1)))))</f>
        <v/>
      </c>
      <c r="R347" t="str">
        <f>IF($J347="","",IF($J347&gt;PARAMETRES!$G$30,5,IF($J347&gt;PARAMETRES!$F$30,4,IF($J347&gt;PARAMETRES!$E$30,3,IF($J347&gt;PARAMETRES!$D$30,2,1)))))</f>
        <v/>
      </c>
      <c r="S347" t="str">
        <f>IF($K347="","",IF($Z347=2,IF($K347&gt;PARAMETRES!$G$31,5,IF($K347&gt;PARAMETRES!$F$31,4,IF($K347&gt;PARAMETRES!$E$31,3,IF($K347&gt;PARAMETRES!$D$31,2,1)))),IF($K347&gt;PARAMETRES!$G$32,5,IF($K347&gt;PARAMETRES!$F$32,4,IF($K347&gt;PARAMETRES!$E$32,3,IF($K347&gt;PARAMETRES!$D$32,2,1))))))</f>
        <v/>
      </c>
      <c r="T347" t="str">
        <f>IF($L347="","",IF($L347&gt;PARAMETRES!$G$33,5,IF($L347&gt;PARAMETRES!$F$33,4,IF($L347&gt;PARAMETRES!$E$33,3,IF($L347&gt;PARAMETRES!$D$33,2,1)))))</f>
        <v/>
      </c>
      <c r="U347" t="str">
        <f>IF($M347="","",IF($M347&gt;PARAMETRES!$G$34,5,IF($M347&gt;PARAMETRES!$F$34,4,IF($M347&gt;PARAMETRES!$E$34,3,IF($M347&gt;PARAMETRES!$D$34,2,1)))))</f>
        <v/>
      </c>
      <c r="V347" t="str">
        <f>IF($N347="","",IF($N347&gt;PARAMETRES!$G$35,5,IF($N347&gt;PARAMETRES!$F$35,4,IF($N347&gt;PARAMETRES!$E$35,3,IF($N347&gt;PARAMETRES!$D$35,2,1)))))</f>
        <v/>
      </c>
      <c r="W347" t="str">
        <f>IF($O347="","",IF($O347&gt;PARAMETRES!$G$36,5,IF($O347&gt;PARAMETRES!$F$36,4,IF($O347&gt;PARAMETRES!$E$36,3,IF($O347&gt;PARAMETRES!$D$36,2,1)))))</f>
        <v/>
      </c>
      <c r="X347" t="str">
        <f>IF($P347="","",IF($P347&gt;PARAMETRES!$G$37,5,IF($P347&gt;PARAMETRES!$F$37,4,IF($P347&gt;PARAMETRES!$E$37,3,IF($P347&gt;PARAMETRES!$D$37,2,1)))))</f>
        <v/>
      </c>
      <c r="Y347" t="str">
        <f t="shared" si="120"/>
        <v/>
      </c>
      <c r="Z347" t="str">
        <f>IFERROR(VLOOKUP($B347,TABLE_CYCLE,2,0),"")</f>
        <v/>
      </c>
      <c r="AA347" t="str">
        <f t="shared" si="121"/>
        <v/>
      </c>
      <c r="AB347" t="str">
        <f>IF($D347="","",IF(COUNTIF($D$2:$D347,$D347)=1,$D347,""))</f>
        <v/>
      </c>
      <c r="AC347">
        <f t="shared" si="122"/>
        <v>0</v>
      </c>
      <c r="AD347" t="str">
        <f t="shared" si="123"/>
        <v>|0</v>
      </c>
      <c r="AE347" t="str">
        <f t="shared" si="124"/>
        <v/>
      </c>
      <c r="AF347" t="str">
        <f t="shared" si="125"/>
        <v/>
      </c>
      <c r="AG347" t="str">
        <f t="shared" si="126"/>
        <v/>
      </c>
      <c r="AH347" t="str">
        <f t="shared" si="127"/>
        <v/>
      </c>
      <c r="AI347" t="str">
        <f t="shared" si="128"/>
        <v/>
      </c>
      <c r="AJ347" t="str">
        <f t="shared" si="129"/>
        <v/>
      </c>
      <c r="AK347" t="str">
        <f t="shared" si="130"/>
        <v/>
      </c>
      <c r="AL347" t="str">
        <f t="shared" si="131"/>
        <v/>
      </c>
      <c r="AM347" t="str">
        <f t="shared" si="132"/>
        <v/>
      </c>
      <c r="AN347" t="str">
        <f t="shared" si="133"/>
        <v/>
      </c>
      <c r="AO347" t="str">
        <f t="shared" si="134"/>
        <v/>
      </c>
      <c r="AP347">
        <f t="shared" si="135"/>
        <v>1</v>
      </c>
      <c r="AQ347" t="str">
        <f>IF(SAISIE!$F352="","",SAISIE!$Y352)</f>
        <v/>
      </c>
      <c r="AR347" t="str">
        <f>IF(OR(SAISIE!$U$4="",SAISIE!$W$4=""),"",IF(AND($A347=SAISIE!$U$4,$B347=SAISIE!$W$4,$C347="S1"),COUNTIFS($A$2:$A347,SAISIE!$U$4,$B$2:$B347,SAISIE!$W$4,$C$2:$C347,"S1"),""))</f>
        <v/>
      </c>
      <c r="AS347" t="str">
        <f t="shared" si="136"/>
        <v/>
      </c>
      <c r="AT347" t="str">
        <f t="shared" si="137"/>
        <v/>
      </c>
      <c r="AU347" t="str">
        <f t="shared" si="138"/>
        <v/>
      </c>
      <c r="AV347">
        <f>N(AV346)+IF(AND($AB347&lt;&gt;"",OR('PROFIL ELEVE'!$K$4="(Tous)",$AF347='PROFIL ELEVE'!$K$4)),1,0)</f>
        <v>0</v>
      </c>
      <c r="AW347">
        <f>N(AW346)+IF(AND($AB347&lt;&gt;"",OR('SUIVI LONGITUDINAL'!$Q$4="(Tous)",$AF347='SUIVI LONGITUDINAL'!$Q$4)),1,0)</f>
        <v>0</v>
      </c>
      <c r="AX347">
        <f t="shared" si="139"/>
        <v>0</v>
      </c>
      <c r="AY347">
        <f t="shared" si="140"/>
        <v>0</v>
      </c>
      <c r="AZ347">
        <f t="shared" si="141"/>
        <v>0</v>
      </c>
      <c r="BA347" t="str">
        <f t="shared" si="142"/>
        <v/>
      </c>
      <c r="BB347" t="str">
        <f t="shared" si="143"/>
        <v/>
      </c>
    </row>
    <row r="348" spans="1:54" ht="14.25" customHeight="1" x14ac:dyDescent="0.3">
      <c r="A348" t="str">
        <f>IF(SAISIE!$F353="","",SAISIE!$B353)</f>
        <v/>
      </c>
      <c r="B348" t="str">
        <f>IF(SAISIE!$F353="","",SAISIE!$C353)</f>
        <v/>
      </c>
      <c r="C348" t="str">
        <f>IF(SAISIE!$F353="","",SAISIE!$D353)</f>
        <v/>
      </c>
      <c r="D348" t="str">
        <f>IF(SAISIE!$E353="","",SAISIE!$E353)</f>
        <v/>
      </c>
      <c r="E348" t="str">
        <f>IF(SAISIE!$F353="","",SAISIE!$F353)</f>
        <v/>
      </c>
      <c r="F348" t="str">
        <f>IF(SAISIE!$G353="","",SAISIE!$G353)</f>
        <v/>
      </c>
      <c r="G348" t="str">
        <f>IF(SAISIE!$H353="","",SAISIE!$H353)</f>
        <v/>
      </c>
      <c r="H348" t="str">
        <f>IF(SAISIE!$I353="","",SAISIE!$I353)</f>
        <v/>
      </c>
      <c r="I348" t="str">
        <f>IF(SAISIE!$J353="","",SAISIE!$J353)</f>
        <v/>
      </c>
      <c r="J348" t="str">
        <f>IF(SAISIE!$K353="","",SAISIE!$K353)</f>
        <v/>
      </c>
      <c r="K348" t="str">
        <f>IF(SAISIE!$L353="","",SAISIE!$L353)</f>
        <v/>
      </c>
      <c r="L348" t="str">
        <f>IF(SAISIE!$M353="","",SAISIE!$M353)</f>
        <v/>
      </c>
      <c r="M348" t="str">
        <f>IF(SAISIE!$N353="","",SAISIE!$N353)</f>
        <v/>
      </c>
      <c r="N348" t="str">
        <f>IF(SAISIE!$O353="","",SAISIE!$O353)</f>
        <v/>
      </c>
      <c r="O348" t="str">
        <f>IF(SAISIE!$P353="","",SAISIE!$P353)</f>
        <v/>
      </c>
      <c r="P348" t="str">
        <f>IF(SAISIE!$Q353="","",SAISIE!$Q353)</f>
        <v/>
      </c>
      <c r="Q348" t="str">
        <f>IF($I348="","",IF($I348&gt;PARAMETRES!$G$29,5,IF($I348&gt;PARAMETRES!$F$29,4,IF($I348&gt;PARAMETRES!$E$29,3,IF($I348&gt;PARAMETRES!$D$29,2,1)))))</f>
        <v/>
      </c>
      <c r="R348" t="str">
        <f>IF($J348="","",IF($J348&gt;PARAMETRES!$G$30,5,IF($J348&gt;PARAMETRES!$F$30,4,IF($J348&gt;PARAMETRES!$E$30,3,IF($J348&gt;PARAMETRES!$D$30,2,1)))))</f>
        <v/>
      </c>
      <c r="S348" t="str">
        <f>IF($K348="","",IF($Z348=2,IF($K348&gt;PARAMETRES!$G$31,5,IF($K348&gt;PARAMETRES!$F$31,4,IF($K348&gt;PARAMETRES!$E$31,3,IF($K348&gt;PARAMETRES!$D$31,2,1)))),IF($K348&gt;PARAMETRES!$G$32,5,IF($K348&gt;PARAMETRES!$F$32,4,IF($K348&gt;PARAMETRES!$E$32,3,IF($K348&gt;PARAMETRES!$D$32,2,1))))))</f>
        <v/>
      </c>
      <c r="T348" t="str">
        <f>IF($L348="","",IF($L348&gt;PARAMETRES!$G$33,5,IF($L348&gt;PARAMETRES!$F$33,4,IF($L348&gt;PARAMETRES!$E$33,3,IF($L348&gt;PARAMETRES!$D$33,2,1)))))</f>
        <v/>
      </c>
      <c r="U348" t="str">
        <f>IF($M348="","",IF($M348&gt;PARAMETRES!$G$34,5,IF($M348&gt;PARAMETRES!$F$34,4,IF($M348&gt;PARAMETRES!$E$34,3,IF($M348&gt;PARAMETRES!$D$34,2,1)))))</f>
        <v/>
      </c>
      <c r="V348" t="str">
        <f>IF($N348="","",IF($N348&gt;PARAMETRES!$G$35,5,IF($N348&gt;PARAMETRES!$F$35,4,IF($N348&gt;PARAMETRES!$E$35,3,IF($N348&gt;PARAMETRES!$D$35,2,1)))))</f>
        <v/>
      </c>
      <c r="W348" t="str">
        <f>IF($O348="","",IF($O348&gt;PARAMETRES!$G$36,5,IF($O348&gt;PARAMETRES!$F$36,4,IF($O348&gt;PARAMETRES!$E$36,3,IF($O348&gt;PARAMETRES!$D$36,2,1)))))</f>
        <v/>
      </c>
      <c r="X348" t="str">
        <f>IF($P348="","",IF($P348&gt;PARAMETRES!$G$37,5,IF($P348&gt;PARAMETRES!$F$37,4,IF($P348&gt;PARAMETRES!$E$37,3,IF($P348&gt;PARAMETRES!$D$37,2,1)))))</f>
        <v/>
      </c>
      <c r="Y348" t="str">
        <f t="shared" si="120"/>
        <v/>
      </c>
      <c r="Z348" t="str">
        <f>IFERROR(VLOOKUP($B348,TABLE_CYCLE,2,0),"")</f>
        <v/>
      </c>
      <c r="AA348" t="str">
        <f t="shared" si="121"/>
        <v/>
      </c>
      <c r="AB348" t="str">
        <f>IF($D348="","",IF(COUNTIF($D$2:$D348,$D348)=1,$D348,""))</f>
        <v/>
      </c>
      <c r="AC348">
        <f t="shared" si="122"/>
        <v>0</v>
      </c>
      <c r="AD348" t="str">
        <f t="shared" si="123"/>
        <v>|0</v>
      </c>
      <c r="AE348" t="str">
        <f t="shared" si="124"/>
        <v/>
      </c>
      <c r="AF348" t="str">
        <f t="shared" si="125"/>
        <v/>
      </c>
      <c r="AG348" t="str">
        <f t="shared" si="126"/>
        <v/>
      </c>
      <c r="AH348" t="str">
        <f t="shared" si="127"/>
        <v/>
      </c>
      <c r="AI348" t="str">
        <f t="shared" si="128"/>
        <v/>
      </c>
      <c r="AJ348" t="str">
        <f t="shared" si="129"/>
        <v/>
      </c>
      <c r="AK348" t="str">
        <f t="shared" si="130"/>
        <v/>
      </c>
      <c r="AL348" t="str">
        <f t="shared" si="131"/>
        <v/>
      </c>
      <c r="AM348" t="str">
        <f t="shared" si="132"/>
        <v/>
      </c>
      <c r="AN348" t="str">
        <f t="shared" si="133"/>
        <v/>
      </c>
      <c r="AO348" t="str">
        <f t="shared" si="134"/>
        <v/>
      </c>
      <c r="AP348">
        <f t="shared" si="135"/>
        <v>1</v>
      </c>
      <c r="AQ348" t="str">
        <f>IF(SAISIE!$F353="","",SAISIE!$Y353)</f>
        <v/>
      </c>
      <c r="AR348" t="str">
        <f>IF(OR(SAISIE!$U$4="",SAISIE!$W$4=""),"",IF(AND($A348=SAISIE!$U$4,$B348=SAISIE!$W$4,$C348="S1"),COUNTIFS($A$2:$A348,SAISIE!$U$4,$B$2:$B348,SAISIE!$W$4,$C$2:$C348,"S1"),""))</f>
        <v/>
      </c>
      <c r="AS348" t="str">
        <f t="shared" si="136"/>
        <v/>
      </c>
      <c r="AT348" t="str">
        <f t="shared" si="137"/>
        <v/>
      </c>
      <c r="AU348" t="str">
        <f t="shared" si="138"/>
        <v/>
      </c>
      <c r="AV348">
        <f>N(AV347)+IF(AND($AB348&lt;&gt;"",OR('PROFIL ELEVE'!$K$4="(Tous)",$AF348='PROFIL ELEVE'!$K$4)),1,0)</f>
        <v>0</v>
      </c>
      <c r="AW348">
        <f>N(AW347)+IF(AND($AB348&lt;&gt;"",OR('SUIVI LONGITUDINAL'!$Q$4="(Tous)",$AF348='SUIVI LONGITUDINAL'!$Q$4)),1,0)</f>
        <v>0</v>
      </c>
      <c r="AX348">
        <f t="shared" si="139"/>
        <v>0</v>
      </c>
      <c r="AY348">
        <f t="shared" si="140"/>
        <v>0</v>
      </c>
      <c r="AZ348">
        <f t="shared" si="141"/>
        <v>0</v>
      </c>
      <c r="BA348" t="str">
        <f t="shared" si="142"/>
        <v/>
      </c>
      <c r="BB348" t="str">
        <f t="shared" si="143"/>
        <v/>
      </c>
    </row>
    <row r="349" spans="1:54" ht="14.25" customHeight="1" x14ac:dyDescent="0.3">
      <c r="A349" t="str">
        <f>IF(SAISIE!$F354="","",SAISIE!$B354)</f>
        <v/>
      </c>
      <c r="B349" t="str">
        <f>IF(SAISIE!$F354="","",SAISIE!$C354)</f>
        <v/>
      </c>
      <c r="C349" t="str">
        <f>IF(SAISIE!$F354="","",SAISIE!$D354)</f>
        <v/>
      </c>
      <c r="D349" t="str">
        <f>IF(SAISIE!$E354="","",SAISIE!$E354)</f>
        <v/>
      </c>
      <c r="E349" t="str">
        <f>IF(SAISIE!$F354="","",SAISIE!$F354)</f>
        <v/>
      </c>
      <c r="F349" t="str">
        <f>IF(SAISIE!$G354="","",SAISIE!$G354)</f>
        <v/>
      </c>
      <c r="G349" t="str">
        <f>IF(SAISIE!$H354="","",SAISIE!$H354)</f>
        <v/>
      </c>
      <c r="H349" t="str">
        <f>IF(SAISIE!$I354="","",SAISIE!$I354)</f>
        <v/>
      </c>
      <c r="I349" t="str">
        <f>IF(SAISIE!$J354="","",SAISIE!$J354)</f>
        <v/>
      </c>
      <c r="J349" t="str">
        <f>IF(SAISIE!$K354="","",SAISIE!$K354)</f>
        <v/>
      </c>
      <c r="K349" t="str">
        <f>IF(SAISIE!$L354="","",SAISIE!$L354)</f>
        <v/>
      </c>
      <c r="L349" t="str">
        <f>IF(SAISIE!$M354="","",SAISIE!$M354)</f>
        <v/>
      </c>
      <c r="M349" t="str">
        <f>IF(SAISIE!$N354="","",SAISIE!$N354)</f>
        <v/>
      </c>
      <c r="N349" t="str">
        <f>IF(SAISIE!$O354="","",SAISIE!$O354)</f>
        <v/>
      </c>
      <c r="O349" t="str">
        <f>IF(SAISIE!$P354="","",SAISIE!$P354)</f>
        <v/>
      </c>
      <c r="P349" t="str">
        <f>IF(SAISIE!$Q354="","",SAISIE!$Q354)</f>
        <v/>
      </c>
      <c r="Q349" t="str">
        <f>IF($I349="","",IF($I349&gt;PARAMETRES!$G$29,5,IF($I349&gt;PARAMETRES!$F$29,4,IF($I349&gt;PARAMETRES!$E$29,3,IF($I349&gt;PARAMETRES!$D$29,2,1)))))</f>
        <v/>
      </c>
      <c r="R349" t="str">
        <f>IF($J349="","",IF($J349&gt;PARAMETRES!$G$30,5,IF($J349&gt;PARAMETRES!$F$30,4,IF($J349&gt;PARAMETRES!$E$30,3,IF($J349&gt;PARAMETRES!$D$30,2,1)))))</f>
        <v/>
      </c>
      <c r="S349" t="str">
        <f>IF($K349="","",IF($Z349=2,IF($K349&gt;PARAMETRES!$G$31,5,IF($K349&gt;PARAMETRES!$F$31,4,IF($K349&gt;PARAMETRES!$E$31,3,IF($K349&gt;PARAMETRES!$D$31,2,1)))),IF($K349&gt;PARAMETRES!$G$32,5,IF($K349&gt;PARAMETRES!$F$32,4,IF($K349&gt;PARAMETRES!$E$32,3,IF($K349&gt;PARAMETRES!$D$32,2,1))))))</f>
        <v/>
      </c>
      <c r="T349" t="str">
        <f>IF($L349="","",IF($L349&gt;PARAMETRES!$G$33,5,IF($L349&gt;PARAMETRES!$F$33,4,IF($L349&gt;PARAMETRES!$E$33,3,IF($L349&gt;PARAMETRES!$D$33,2,1)))))</f>
        <v/>
      </c>
      <c r="U349" t="str">
        <f>IF($M349="","",IF($M349&gt;PARAMETRES!$G$34,5,IF($M349&gt;PARAMETRES!$F$34,4,IF($M349&gt;PARAMETRES!$E$34,3,IF($M349&gt;PARAMETRES!$D$34,2,1)))))</f>
        <v/>
      </c>
      <c r="V349" t="str">
        <f>IF($N349="","",IF($N349&gt;PARAMETRES!$G$35,5,IF($N349&gt;PARAMETRES!$F$35,4,IF($N349&gt;PARAMETRES!$E$35,3,IF($N349&gt;PARAMETRES!$D$35,2,1)))))</f>
        <v/>
      </c>
      <c r="W349" t="str">
        <f>IF($O349="","",IF($O349&gt;PARAMETRES!$G$36,5,IF($O349&gt;PARAMETRES!$F$36,4,IF($O349&gt;PARAMETRES!$E$36,3,IF($O349&gt;PARAMETRES!$D$36,2,1)))))</f>
        <v/>
      </c>
      <c r="X349" t="str">
        <f>IF($P349="","",IF($P349&gt;PARAMETRES!$G$37,5,IF($P349&gt;PARAMETRES!$F$37,4,IF($P349&gt;PARAMETRES!$E$37,3,IF($P349&gt;PARAMETRES!$D$37,2,1)))))</f>
        <v/>
      </c>
      <c r="Y349" t="str">
        <f t="shared" si="120"/>
        <v/>
      </c>
      <c r="Z349" t="str">
        <f>IFERROR(VLOOKUP($B349,TABLE_CYCLE,2,0),"")</f>
        <v/>
      </c>
      <c r="AA349" t="str">
        <f t="shared" si="121"/>
        <v/>
      </c>
      <c r="AB349" t="str">
        <f>IF($D349="","",IF(COUNTIF($D$2:$D349,$D349)=1,$D349,""))</f>
        <v/>
      </c>
      <c r="AC349">
        <f t="shared" si="122"/>
        <v>0</v>
      </c>
      <c r="AD349" t="str">
        <f t="shared" si="123"/>
        <v>|0</v>
      </c>
      <c r="AE349" t="str">
        <f t="shared" si="124"/>
        <v/>
      </c>
      <c r="AF349" t="str">
        <f t="shared" si="125"/>
        <v/>
      </c>
      <c r="AG349" t="str">
        <f t="shared" si="126"/>
        <v/>
      </c>
      <c r="AH349" t="str">
        <f t="shared" si="127"/>
        <v/>
      </c>
      <c r="AI349" t="str">
        <f t="shared" si="128"/>
        <v/>
      </c>
      <c r="AJ349" t="str">
        <f t="shared" si="129"/>
        <v/>
      </c>
      <c r="AK349" t="str">
        <f t="shared" si="130"/>
        <v/>
      </c>
      <c r="AL349" t="str">
        <f t="shared" si="131"/>
        <v/>
      </c>
      <c r="AM349" t="str">
        <f t="shared" si="132"/>
        <v/>
      </c>
      <c r="AN349" t="str">
        <f t="shared" si="133"/>
        <v/>
      </c>
      <c r="AO349" t="str">
        <f t="shared" si="134"/>
        <v/>
      </c>
      <c r="AP349">
        <f t="shared" si="135"/>
        <v>1</v>
      </c>
      <c r="AQ349" t="str">
        <f>IF(SAISIE!$F354="","",SAISIE!$Y354)</f>
        <v/>
      </c>
      <c r="AR349" t="str">
        <f>IF(OR(SAISIE!$U$4="",SAISIE!$W$4=""),"",IF(AND($A349=SAISIE!$U$4,$B349=SAISIE!$W$4,$C349="S1"),COUNTIFS($A$2:$A349,SAISIE!$U$4,$B$2:$B349,SAISIE!$W$4,$C$2:$C349,"S1"),""))</f>
        <v/>
      </c>
      <c r="AS349" t="str">
        <f t="shared" si="136"/>
        <v/>
      </c>
      <c r="AT349" t="str">
        <f t="shared" si="137"/>
        <v/>
      </c>
      <c r="AU349" t="str">
        <f t="shared" si="138"/>
        <v/>
      </c>
      <c r="AV349">
        <f>N(AV348)+IF(AND($AB349&lt;&gt;"",OR('PROFIL ELEVE'!$K$4="(Tous)",$AF349='PROFIL ELEVE'!$K$4)),1,0)</f>
        <v>0</v>
      </c>
      <c r="AW349">
        <f>N(AW348)+IF(AND($AB349&lt;&gt;"",OR('SUIVI LONGITUDINAL'!$Q$4="(Tous)",$AF349='SUIVI LONGITUDINAL'!$Q$4)),1,0)</f>
        <v>0</v>
      </c>
      <c r="AX349">
        <f t="shared" si="139"/>
        <v>0</v>
      </c>
      <c r="AY349">
        <f t="shared" si="140"/>
        <v>0</v>
      </c>
      <c r="AZ349">
        <f t="shared" si="141"/>
        <v>0</v>
      </c>
      <c r="BA349" t="str">
        <f t="shared" si="142"/>
        <v/>
      </c>
      <c r="BB349" t="str">
        <f t="shared" si="143"/>
        <v/>
      </c>
    </row>
    <row r="350" spans="1:54" ht="14.25" customHeight="1" x14ac:dyDescent="0.3">
      <c r="A350" t="str">
        <f>IF(SAISIE!$F355="","",SAISIE!$B355)</f>
        <v/>
      </c>
      <c r="B350" t="str">
        <f>IF(SAISIE!$F355="","",SAISIE!$C355)</f>
        <v/>
      </c>
      <c r="C350" t="str">
        <f>IF(SAISIE!$F355="","",SAISIE!$D355)</f>
        <v/>
      </c>
      <c r="D350" t="str">
        <f>IF(SAISIE!$E355="","",SAISIE!$E355)</f>
        <v/>
      </c>
      <c r="E350" t="str">
        <f>IF(SAISIE!$F355="","",SAISIE!$F355)</f>
        <v/>
      </c>
      <c r="F350" t="str">
        <f>IF(SAISIE!$G355="","",SAISIE!$G355)</f>
        <v/>
      </c>
      <c r="G350" t="str">
        <f>IF(SAISIE!$H355="","",SAISIE!$H355)</f>
        <v/>
      </c>
      <c r="H350" t="str">
        <f>IF(SAISIE!$I355="","",SAISIE!$I355)</f>
        <v/>
      </c>
      <c r="I350" t="str">
        <f>IF(SAISIE!$J355="","",SAISIE!$J355)</f>
        <v/>
      </c>
      <c r="J350" t="str">
        <f>IF(SAISIE!$K355="","",SAISIE!$K355)</f>
        <v/>
      </c>
      <c r="K350" t="str">
        <f>IF(SAISIE!$L355="","",SAISIE!$L355)</f>
        <v/>
      </c>
      <c r="L350" t="str">
        <f>IF(SAISIE!$M355="","",SAISIE!$M355)</f>
        <v/>
      </c>
      <c r="M350" t="str">
        <f>IF(SAISIE!$N355="","",SAISIE!$N355)</f>
        <v/>
      </c>
      <c r="N350" t="str">
        <f>IF(SAISIE!$O355="","",SAISIE!$O355)</f>
        <v/>
      </c>
      <c r="O350" t="str">
        <f>IF(SAISIE!$P355="","",SAISIE!$P355)</f>
        <v/>
      </c>
      <c r="P350" t="str">
        <f>IF(SAISIE!$Q355="","",SAISIE!$Q355)</f>
        <v/>
      </c>
      <c r="Q350" t="str">
        <f>IF($I350="","",IF($I350&gt;PARAMETRES!$G$29,5,IF($I350&gt;PARAMETRES!$F$29,4,IF($I350&gt;PARAMETRES!$E$29,3,IF($I350&gt;PARAMETRES!$D$29,2,1)))))</f>
        <v/>
      </c>
      <c r="R350" t="str">
        <f>IF($J350="","",IF($J350&gt;PARAMETRES!$G$30,5,IF($J350&gt;PARAMETRES!$F$30,4,IF($J350&gt;PARAMETRES!$E$30,3,IF($J350&gt;PARAMETRES!$D$30,2,1)))))</f>
        <v/>
      </c>
      <c r="S350" t="str">
        <f>IF($K350="","",IF($Z350=2,IF($K350&gt;PARAMETRES!$G$31,5,IF($K350&gt;PARAMETRES!$F$31,4,IF($K350&gt;PARAMETRES!$E$31,3,IF($K350&gt;PARAMETRES!$D$31,2,1)))),IF($K350&gt;PARAMETRES!$G$32,5,IF($K350&gt;PARAMETRES!$F$32,4,IF($K350&gt;PARAMETRES!$E$32,3,IF($K350&gt;PARAMETRES!$D$32,2,1))))))</f>
        <v/>
      </c>
      <c r="T350" t="str">
        <f>IF($L350="","",IF($L350&gt;PARAMETRES!$G$33,5,IF($L350&gt;PARAMETRES!$F$33,4,IF($L350&gt;PARAMETRES!$E$33,3,IF($L350&gt;PARAMETRES!$D$33,2,1)))))</f>
        <v/>
      </c>
      <c r="U350" t="str">
        <f>IF($M350="","",IF($M350&gt;PARAMETRES!$G$34,5,IF($M350&gt;PARAMETRES!$F$34,4,IF($M350&gt;PARAMETRES!$E$34,3,IF($M350&gt;PARAMETRES!$D$34,2,1)))))</f>
        <v/>
      </c>
      <c r="V350" t="str">
        <f>IF($N350="","",IF($N350&gt;PARAMETRES!$G$35,5,IF($N350&gt;PARAMETRES!$F$35,4,IF($N350&gt;PARAMETRES!$E$35,3,IF($N350&gt;PARAMETRES!$D$35,2,1)))))</f>
        <v/>
      </c>
      <c r="W350" t="str">
        <f>IF($O350="","",IF($O350&gt;PARAMETRES!$G$36,5,IF($O350&gt;PARAMETRES!$F$36,4,IF($O350&gt;PARAMETRES!$E$36,3,IF($O350&gt;PARAMETRES!$D$36,2,1)))))</f>
        <v/>
      </c>
      <c r="X350" t="str">
        <f>IF($P350="","",IF($P350&gt;PARAMETRES!$G$37,5,IF($P350&gt;PARAMETRES!$F$37,4,IF($P350&gt;PARAMETRES!$E$37,3,IF($P350&gt;PARAMETRES!$D$37,2,1)))))</f>
        <v/>
      </c>
      <c r="Y350" t="str">
        <f t="shared" si="120"/>
        <v/>
      </c>
      <c r="Z350" t="str">
        <f>IFERROR(VLOOKUP($B350,TABLE_CYCLE,2,0),"")</f>
        <v/>
      </c>
      <c r="AA350" t="str">
        <f t="shared" si="121"/>
        <v/>
      </c>
      <c r="AB350" t="str">
        <f>IF($D350="","",IF(COUNTIF($D$2:$D350,$D350)=1,$D350,""))</f>
        <v/>
      </c>
      <c r="AC350">
        <f t="shared" si="122"/>
        <v>0</v>
      </c>
      <c r="AD350" t="str">
        <f t="shared" si="123"/>
        <v>|0</v>
      </c>
      <c r="AE350" t="str">
        <f t="shared" si="124"/>
        <v/>
      </c>
      <c r="AF350" t="str">
        <f t="shared" si="125"/>
        <v/>
      </c>
      <c r="AG350" t="str">
        <f t="shared" si="126"/>
        <v/>
      </c>
      <c r="AH350" t="str">
        <f t="shared" si="127"/>
        <v/>
      </c>
      <c r="AI350" t="str">
        <f t="shared" si="128"/>
        <v/>
      </c>
      <c r="AJ350" t="str">
        <f t="shared" si="129"/>
        <v/>
      </c>
      <c r="AK350" t="str">
        <f t="shared" si="130"/>
        <v/>
      </c>
      <c r="AL350" t="str">
        <f t="shared" si="131"/>
        <v/>
      </c>
      <c r="AM350" t="str">
        <f t="shared" si="132"/>
        <v/>
      </c>
      <c r="AN350" t="str">
        <f t="shared" si="133"/>
        <v/>
      </c>
      <c r="AO350" t="str">
        <f t="shared" si="134"/>
        <v/>
      </c>
      <c r="AP350">
        <f t="shared" si="135"/>
        <v>1</v>
      </c>
      <c r="AQ350" t="str">
        <f>IF(SAISIE!$F355="","",SAISIE!$Y355)</f>
        <v/>
      </c>
      <c r="AR350" t="str">
        <f>IF(OR(SAISIE!$U$4="",SAISIE!$W$4=""),"",IF(AND($A350=SAISIE!$U$4,$B350=SAISIE!$W$4,$C350="S1"),COUNTIFS($A$2:$A350,SAISIE!$U$4,$B$2:$B350,SAISIE!$W$4,$C$2:$C350,"S1"),""))</f>
        <v/>
      </c>
      <c r="AS350" t="str">
        <f t="shared" si="136"/>
        <v/>
      </c>
      <c r="AT350" t="str">
        <f t="shared" si="137"/>
        <v/>
      </c>
      <c r="AU350" t="str">
        <f t="shared" si="138"/>
        <v/>
      </c>
      <c r="AV350">
        <f>N(AV349)+IF(AND($AB350&lt;&gt;"",OR('PROFIL ELEVE'!$K$4="(Tous)",$AF350='PROFIL ELEVE'!$K$4)),1,0)</f>
        <v>0</v>
      </c>
      <c r="AW350">
        <f>N(AW349)+IF(AND($AB350&lt;&gt;"",OR('SUIVI LONGITUDINAL'!$Q$4="(Tous)",$AF350='SUIVI LONGITUDINAL'!$Q$4)),1,0)</f>
        <v>0</v>
      </c>
      <c r="AX350">
        <f t="shared" si="139"/>
        <v>0</v>
      </c>
      <c r="AY350">
        <f t="shared" si="140"/>
        <v>0</v>
      </c>
      <c r="AZ350">
        <f t="shared" si="141"/>
        <v>0</v>
      </c>
      <c r="BA350" t="str">
        <f t="shared" si="142"/>
        <v/>
      </c>
      <c r="BB350" t="str">
        <f t="shared" si="143"/>
        <v/>
      </c>
    </row>
    <row r="351" spans="1:54" ht="14.25" customHeight="1" x14ac:dyDescent="0.3">
      <c r="A351" t="str">
        <f>IF(SAISIE!$F356="","",SAISIE!$B356)</f>
        <v/>
      </c>
      <c r="B351" t="str">
        <f>IF(SAISIE!$F356="","",SAISIE!$C356)</f>
        <v/>
      </c>
      <c r="C351" t="str">
        <f>IF(SAISIE!$F356="","",SAISIE!$D356)</f>
        <v/>
      </c>
      <c r="D351" t="str">
        <f>IF(SAISIE!$E356="","",SAISIE!$E356)</f>
        <v/>
      </c>
      <c r="E351" t="str">
        <f>IF(SAISIE!$F356="","",SAISIE!$F356)</f>
        <v/>
      </c>
      <c r="F351" t="str">
        <f>IF(SAISIE!$G356="","",SAISIE!$G356)</f>
        <v/>
      </c>
      <c r="G351" t="str">
        <f>IF(SAISIE!$H356="","",SAISIE!$H356)</f>
        <v/>
      </c>
      <c r="H351" t="str">
        <f>IF(SAISIE!$I356="","",SAISIE!$I356)</f>
        <v/>
      </c>
      <c r="I351" t="str">
        <f>IF(SAISIE!$J356="","",SAISIE!$J356)</f>
        <v/>
      </c>
      <c r="J351" t="str">
        <f>IF(SAISIE!$K356="","",SAISIE!$K356)</f>
        <v/>
      </c>
      <c r="K351" t="str">
        <f>IF(SAISIE!$L356="","",SAISIE!$L356)</f>
        <v/>
      </c>
      <c r="L351" t="str">
        <f>IF(SAISIE!$M356="","",SAISIE!$M356)</f>
        <v/>
      </c>
      <c r="M351" t="str">
        <f>IF(SAISIE!$N356="","",SAISIE!$N356)</f>
        <v/>
      </c>
      <c r="N351" t="str">
        <f>IF(SAISIE!$O356="","",SAISIE!$O356)</f>
        <v/>
      </c>
      <c r="O351" t="str">
        <f>IF(SAISIE!$P356="","",SAISIE!$P356)</f>
        <v/>
      </c>
      <c r="P351" t="str">
        <f>IF(SAISIE!$Q356="","",SAISIE!$Q356)</f>
        <v/>
      </c>
      <c r="Q351" t="str">
        <f>IF($I351="","",IF($I351&gt;PARAMETRES!$G$29,5,IF($I351&gt;PARAMETRES!$F$29,4,IF($I351&gt;PARAMETRES!$E$29,3,IF($I351&gt;PARAMETRES!$D$29,2,1)))))</f>
        <v/>
      </c>
      <c r="R351" t="str">
        <f>IF($J351="","",IF($J351&gt;PARAMETRES!$G$30,5,IF($J351&gt;PARAMETRES!$F$30,4,IF($J351&gt;PARAMETRES!$E$30,3,IF($J351&gt;PARAMETRES!$D$30,2,1)))))</f>
        <v/>
      </c>
      <c r="S351" t="str">
        <f>IF($K351="","",IF($Z351=2,IF($K351&gt;PARAMETRES!$G$31,5,IF($K351&gt;PARAMETRES!$F$31,4,IF($K351&gt;PARAMETRES!$E$31,3,IF($K351&gt;PARAMETRES!$D$31,2,1)))),IF($K351&gt;PARAMETRES!$G$32,5,IF($K351&gt;PARAMETRES!$F$32,4,IF($K351&gt;PARAMETRES!$E$32,3,IF($K351&gt;PARAMETRES!$D$32,2,1))))))</f>
        <v/>
      </c>
      <c r="T351" t="str">
        <f>IF($L351="","",IF($L351&gt;PARAMETRES!$G$33,5,IF($L351&gt;PARAMETRES!$F$33,4,IF($L351&gt;PARAMETRES!$E$33,3,IF($L351&gt;PARAMETRES!$D$33,2,1)))))</f>
        <v/>
      </c>
      <c r="U351" t="str">
        <f>IF($M351="","",IF($M351&gt;PARAMETRES!$G$34,5,IF($M351&gt;PARAMETRES!$F$34,4,IF($M351&gt;PARAMETRES!$E$34,3,IF($M351&gt;PARAMETRES!$D$34,2,1)))))</f>
        <v/>
      </c>
      <c r="V351" t="str">
        <f>IF($N351="","",IF($N351&gt;PARAMETRES!$G$35,5,IF($N351&gt;PARAMETRES!$F$35,4,IF($N351&gt;PARAMETRES!$E$35,3,IF($N351&gt;PARAMETRES!$D$35,2,1)))))</f>
        <v/>
      </c>
      <c r="W351" t="str">
        <f>IF($O351="","",IF($O351&gt;PARAMETRES!$G$36,5,IF($O351&gt;PARAMETRES!$F$36,4,IF($O351&gt;PARAMETRES!$E$36,3,IF($O351&gt;PARAMETRES!$D$36,2,1)))))</f>
        <v/>
      </c>
      <c r="X351" t="str">
        <f>IF($P351="","",IF($P351&gt;PARAMETRES!$G$37,5,IF($P351&gt;PARAMETRES!$F$37,4,IF($P351&gt;PARAMETRES!$E$37,3,IF($P351&gt;PARAMETRES!$D$37,2,1)))))</f>
        <v/>
      </c>
      <c r="Y351" t="str">
        <f t="shared" si="120"/>
        <v/>
      </c>
      <c r="Z351" t="str">
        <f>IFERROR(VLOOKUP($B351,TABLE_CYCLE,2,0),"")</f>
        <v/>
      </c>
      <c r="AA351" t="str">
        <f t="shared" si="121"/>
        <v/>
      </c>
      <c r="AB351" t="str">
        <f>IF($D351="","",IF(COUNTIF($D$2:$D351,$D351)=1,$D351,""))</f>
        <v/>
      </c>
      <c r="AC351">
        <f t="shared" si="122"/>
        <v>0</v>
      </c>
      <c r="AD351" t="str">
        <f t="shared" si="123"/>
        <v>|0</v>
      </c>
      <c r="AE351" t="str">
        <f t="shared" si="124"/>
        <v/>
      </c>
      <c r="AF351" t="str">
        <f t="shared" si="125"/>
        <v/>
      </c>
      <c r="AG351" t="str">
        <f t="shared" si="126"/>
        <v/>
      </c>
      <c r="AH351" t="str">
        <f t="shared" si="127"/>
        <v/>
      </c>
      <c r="AI351" t="str">
        <f t="shared" si="128"/>
        <v/>
      </c>
      <c r="AJ351" t="str">
        <f t="shared" si="129"/>
        <v/>
      </c>
      <c r="AK351" t="str">
        <f t="shared" si="130"/>
        <v/>
      </c>
      <c r="AL351" t="str">
        <f t="shared" si="131"/>
        <v/>
      </c>
      <c r="AM351" t="str">
        <f t="shared" si="132"/>
        <v/>
      </c>
      <c r="AN351" t="str">
        <f t="shared" si="133"/>
        <v/>
      </c>
      <c r="AO351" t="str">
        <f t="shared" si="134"/>
        <v/>
      </c>
      <c r="AP351">
        <f t="shared" si="135"/>
        <v>1</v>
      </c>
      <c r="AQ351" t="str">
        <f>IF(SAISIE!$F356="","",SAISIE!$Y356)</f>
        <v/>
      </c>
      <c r="AR351" t="str">
        <f>IF(OR(SAISIE!$U$4="",SAISIE!$W$4=""),"",IF(AND($A351=SAISIE!$U$4,$B351=SAISIE!$W$4,$C351="S1"),COUNTIFS($A$2:$A351,SAISIE!$U$4,$B$2:$B351,SAISIE!$W$4,$C$2:$C351,"S1"),""))</f>
        <v/>
      </c>
      <c r="AS351" t="str">
        <f t="shared" si="136"/>
        <v/>
      </c>
      <c r="AT351" t="str">
        <f t="shared" si="137"/>
        <v/>
      </c>
      <c r="AU351" t="str">
        <f t="shared" si="138"/>
        <v/>
      </c>
      <c r="AV351">
        <f>N(AV350)+IF(AND($AB351&lt;&gt;"",OR('PROFIL ELEVE'!$K$4="(Tous)",$AF351='PROFIL ELEVE'!$K$4)),1,0)</f>
        <v>0</v>
      </c>
      <c r="AW351">
        <f>N(AW350)+IF(AND($AB351&lt;&gt;"",OR('SUIVI LONGITUDINAL'!$Q$4="(Tous)",$AF351='SUIVI LONGITUDINAL'!$Q$4)),1,0)</f>
        <v>0</v>
      </c>
      <c r="AX351">
        <f t="shared" si="139"/>
        <v>0</v>
      </c>
      <c r="AY351">
        <f t="shared" si="140"/>
        <v>0</v>
      </c>
      <c r="AZ351">
        <f t="shared" si="141"/>
        <v>0</v>
      </c>
      <c r="BA351" t="str">
        <f t="shared" si="142"/>
        <v/>
      </c>
      <c r="BB351" t="str">
        <f t="shared" si="143"/>
        <v/>
      </c>
    </row>
    <row r="352" spans="1:54" ht="14.25" customHeight="1" x14ac:dyDescent="0.3">
      <c r="A352" t="str">
        <f>IF(SAISIE!$F357="","",SAISIE!$B357)</f>
        <v/>
      </c>
      <c r="B352" t="str">
        <f>IF(SAISIE!$F357="","",SAISIE!$C357)</f>
        <v/>
      </c>
      <c r="C352" t="str">
        <f>IF(SAISIE!$F357="","",SAISIE!$D357)</f>
        <v/>
      </c>
      <c r="D352" t="str">
        <f>IF(SAISIE!$E357="","",SAISIE!$E357)</f>
        <v/>
      </c>
      <c r="E352" t="str">
        <f>IF(SAISIE!$F357="","",SAISIE!$F357)</f>
        <v/>
      </c>
      <c r="F352" t="str">
        <f>IF(SAISIE!$G357="","",SAISIE!$G357)</f>
        <v/>
      </c>
      <c r="G352" t="str">
        <f>IF(SAISIE!$H357="","",SAISIE!$H357)</f>
        <v/>
      </c>
      <c r="H352" t="str">
        <f>IF(SAISIE!$I357="","",SAISIE!$I357)</f>
        <v/>
      </c>
      <c r="I352" t="str">
        <f>IF(SAISIE!$J357="","",SAISIE!$J357)</f>
        <v/>
      </c>
      <c r="J352" t="str">
        <f>IF(SAISIE!$K357="","",SAISIE!$K357)</f>
        <v/>
      </c>
      <c r="K352" t="str">
        <f>IF(SAISIE!$L357="","",SAISIE!$L357)</f>
        <v/>
      </c>
      <c r="L352" t="str">
        <f>IF(SAISIE!$M357="","",SAISIE!$M357)</f>
        <v/>
      </c>
      <c r="M352" t="str">
        <f>IF(SAISIE!$N357="","",SAISIE!$N357)</f>
        <v/>
      </c>
      <c r="N352" t="str">
        <f>IF(SAISIE!$O357="","",SAISIE!$O357)</f>
        <v/>
      </c>
      <c r="O352" t="str">
        <f>IF(SAISIE!$P357="","",SAISIE!$P357)</f>
        <v/>
      </c>
      <c r="P352" t="str">
        <f>IF(SAISIE!$Q357="","",SAISIE!$Q357)</f>
        <v/>
      </c>
      <c r="Q352" t="str">
        <f>IF($I352="","",IF($I352&gt;PARAMETRES!$G$29,5,IF($I352&gt;PARAMETRES!$F$29,4,IF($I352&gt;PARAMETRES!$E$29,3,IF($I352&gt;PARAMETRES!$D$29,2,1)))))</f>
        <v/>
      </c>
      <c r="R352" t="str">
        <f>IF($J352="","",IF($J352&gt;PARAMETRES!$G$30,5,IF($J352&gt;PARAMETRES!$F$30,4,IF($J352&gt;PARAMETRES!$E$30,3,IF($J352&gt;PARAMETRES!$D$30,2,1)))))</f>
        <v/>
      </c>
      <c r="S352" t="str">
        <f>IF($K352="","",IF($Z352=2,IF($K352&gt;PARAMETRES!$G$31,5,IF($K352&gt;PARAMETRES!$F$31,4,IF($K352&gt;PARAMETRES!$E$31,3,IF($K352&gt;PARAMETRES!$D$31,2,1)))),IF($K352&gt;PARAMETRES!$G$32,5,IF($K352&gt;PARAMETRES!$F$32,4,IF($K352&gt;PARAMETRES!$E$32,3,IF($K352&gt;PARAMETRES!$D$32,2,1))))))</f>
        <v/>
      </c>
      <c r="T352" t="str">
        <f>IF($L352="","",IF($L352&gt;PARAMETRES!$G$33,5,IF($L352&gt;PARAMETRES!$F$33,4,IF($L352&gt;PARAMETRES!$E$33,3,IF($L352&gt;PARAMETRES!$D$33,2,1)))))</f>
        <v/>
      </c>
      <c r="U352" t="str">
        <f>IF($M352="","",IF($M352&gt;PARAMETRES!$G$34,5,IF($M352&gt;PARAMETRES!$F$34,4,IF($M352&gt;PARAMETRES!$E$34,3,IF($M352&gt;PARAMETRES!$D$34,2,1)))))</f>
        <v/>
      </c>
      <c r="V352" t="str">
        <f>IF($N352="","",IF($N352&gt;PARAMETRES!$G$35,5,IF($N352&gt;PARAMETRES!$F$35,4,IF($N352&gt;PARAMETRES!$E$35,3,IF($N352&gt;PARAMETRES!$D$35,2,1)))))</f>
        <v/>
      </c>
      <c r="W352" t="str">
        <f>IF($O352="","",IF($O352&gt;PARAMETRES!$G$36,5,IF($O352&gt;PARAMETRES!$F$36,4,IF($O352&gt;PARAMETRES!$E$36,3,IF($O352&gt;PARAMETRES!$D$36,2,1)))))</f>
        <v/>
      </c>
      <c r="X352" t="str">
        <f>IF($P352="","",IF($P352&gt;PARAMETRES!$G$37,5,IF($P352&gt;PARAMETRES!$F$37,4,IF($P352&gt;PARAMETRES!$E$37,3,IF($P352&gt;PARAMETRES!$D$37,2,1)))))</f>
        <v/>
      </c>
      <c r="Y352" t="str">
        <f t="shared" si="120"/>
        <v/>
      </c>
      <c r="Z352" t="str">
        <f>IFERROR(VLOOKUP($B352,TABLE_CYCLE,2,0),"")</f>
        <v/>
      </c>
      <c r="AA352" t="str">
        <f t="shared" si="121"/>
        <v/>
      </c>
      <c r="AB352" t="str">
        <f>IF($D352="","",IF(COUNTIF($D$2:$D352,$D352)=1,$D352,""))</f>
        <v/>
      </c>
      <c r="AC352">
        <f t="shared" si="122"/>
        <v>0</v>
      </c>
      <c r="AD352" t="str">
        <f t="shared" si="123"/>
        <v>|0</v>
      </c>
      <c r="AE352" t="str">
        <f t="shared" si="124"/>
        <v/>
      </c>
      <c r="AF352" t="str">
        <f t="shared" si="125"/>
        <v/>
      </c>
      <c r="AG352" t="str">
        <f t="shared" si="126"/>
        <v/>
      </c>
      <c r="AH352" t="str">
        <f t="shared" si="127"/>
        <v/>
      </c>
      <c r="AI352" t="str">
        <f t="shared" si="128"/>
        <v/>
      </c>
      <c r="AJ352" t="str">
        <f t="shared" si="129"/>
        <v/>
      </c>
      <c r="AK352" t="str">
        <f t="shared" si="130"/>
        <v/>
      </c>
      <c r="AL352" t="str">
        <f t="shared" si="131"/>
        <v/>
      </c>
      <c r="AM352" t="str">
        <f t="shared" si="132"/>
        <v/>
      </c>
      <c r="AN352" t="str">
        <f t="shared" si="133"/>
        <v/>
      </c>
      <c r="AO352" t="str">
        <f t="shared" si="134"/>
        <v/>
      </c>
      <c r="AP352">
        <f t="shared" si="135"/>
        <v>1</v>
      </c>
      <c r="AQ352" t="str">
        <f>IF(SAISIE!$F357="","",SAISIE!$Y357)</f>
        <v/>
      </c>
      <c r="AR352" t="str">
        <f>IF(OR(SAISIE!$U$4="",SAISIE!$W$4=""),"",IF(AND($A352=SAISIE!$U$4,$B352=SAISIE!$W$4,$C352="S1"),COUNTIFS($A$2:$A352,SAISIE!$U$4,$B$2:$B352,SAISIE!$W$4,$C$2:$C352,"S1"),""))</f>
        <v/>
      </c>
      <c r="AS352" t="str">
        <f t="shared" si="136"/>
        <v/>
      </c>
      <c r="AT352" t="str">
        <f t="shared" si="137"/>
        <v/>
      </c>
      <c r="AU352" t="str">
        <f t="shared" si="138"/>
        <v/>
      </c>
      <c r="AV352">
        <f>N(AV351)+IF(AND($AB352&lt;&gt;"",OR('PROFIL ELEVE'!$K$4="(Tous)",$AF352='PROFIL ELEVE'!$K$4)),1,0)</f>
        <v>0</v>
      </c>
      <c r="AW352">
        <f>N(AW351)+IF(AND($AB352&lt;&gt;"",OR('SUIVI LONGITUDINAL'!$Q$4="(Tous)",$AF352='SUIVI LONGITUDINAL'!$Q$4)),1,0)</f>
        <v>0</v>
      </c>
      <c r="AX352">
        <f t="shared" si="139"/>
        <v>0</v>
      </c>
      <c r="AY352">
        <f t="shared" si="140"/>
        <v>0</v>
      </c>
      <c r="AZ352">
        <f t="shared" si="141"/>
        <v>0</v>
      </c>
      <c r="BA352" t="str">
        <f t="shared" si="142"/>
        <v/>
      </c>
      <c r="BB352" t="str">
        <f t="shared" si="143"/>
        <v/>
      </c>
    </row>
    <row r="353" spans="1:54" ht="14.25" customHeight="1" x14ac:dyDescent="0.3">
      <c r="A353" t="str">
        <f>IF(SAISIE!$F358="","",SAISIE!$B358)</f>
        <v/>
      </c>
      <c r="B353" t="str">
        <f>IF(SAISIE!$F358="","",SAISIE!$C358)</f>
        <v/>
      </c>
      <c r="C353" t="str">
        <f>IF(SAISIE!$F358="","",SAISIE!$D358)</f>
        <v/>
      </c>
      <c r="D353" t="str">
        <f>IF(SAISIE!$E358="","",SAISIE!$E358)</f>
        <v/>
      </c>
      <c r="E353" t="str">
        <f>IF(SAISIE!$F358="","",SAISIE!$F358)</f>
        <v/>
      </c>
      <c r="F353" t="str">
        <f>IF(SAISIE!$G358="","",SAISIE!$G358)</f>
        <v/>
      </c>
      <c r="G353" t="str">
        <f>IF(SAISIE!$H358="","",SAISIE!$H358)</f>
        <v/>
      </c>
      <c r="H353" t="str">
        <f>IF(SAISIE!$I358="","",SAISIE!$I358)</f>
        <v/>
      </c>
      <c r="I353" t="str">
        <f>IF(SAISIE!$J358="","",SAISIE!$J358)</f>
        <v/>
      </c>
      <c r="J353" t="str">
        <f>IF(SAISIE!$K358="","",SAISIE!$K358)</f>
        <v/>
      </c>
      <c r="K353" t="str">
        <f>IF(SAISIE!$L358="","",SAISIE!$L358)</f>
        <v/>
      </c>
      <c r="L353" t="str">
        <f>IF(SAISIE!$M358="","",SAISIE!$M358)</f>
        <v/>
      </c>
      <c r="M353" t="str">
        <f>IF(SAISIE!$N358="","",SAISIE!$N358)</f>
        <v/>
      </c>
      <c r="N353" t="str">
        <f>IF(SAISIE!$O358="","",SAISIE!$O358)</f>
        <v/>
      </c>
      <c r="O353" t="str">
        <f>IF(SAISIE!$P358="","",SAISIE!$P358)</f>
        <v/>
      </c>
      <c r="P353" t="str">
        <f>IF(SAISIE!$Q358="","",SAISIE!$Q358)</f>
        <v/>
      </c>
      <c r="Q353" t="str">
        <f>IF($I353="","",IF($I353&gt;PARAMETRES!$G$29,5,IF($I353&gt;PARAMETRES!$F$29,4,IF($I353&gt;PARAMETRES!$E$29,3,IF($I353&gt;PARAMETRES!$D$29,2,1)))))</f>
        <v/>
      </c>
      <c r="R353" t="str">
        <f>IF($J353="","",IF($J353&gt;PARAMETRES!$G$30,5,IF($J353&gt;PARAMETRES!$F$30,4,IF($J353&gt;PARAMETRES!$E$30,3,IF($J353&gt;PARAMETRES!$D$30,2,1)))))</f>
        <v/>
      </c>
      <c r="S353" t="str">
        <f>IF($K353="","",IF($Z353=2,IF($K353&gt;PARAMETRES!$G$31,5,IF($K353&gt;PARAMETRES!$F$31,4,IF($K353&gt;PARAMETRES!$E$31,3,IF($K353&gt;PARAMETRES!$D$31,2,1)))),IF($K353&gt;PARAMETRES!$G$32,5,IF($K353&gt;PARAMETRES!$F$32,4,IF($K353&gt;PARAMETRES!$E$32,3,IF($K353&gt;PARAMETRES!$D$32,2,1))))))</f>
        <v/>
      </c>
      <c r="T353" t="str">
        <f>IF($L353="","",IF($L353&gt;PARAMETRES!$G$33,5,IF($L353&gt;PARAMETRES!$F$33,4,IF($L353&gt;PARAMETRES!$E$33,3,IF($L353&gt;PARAMETRES!$D$33,2,1)))))</f>
        <v/>
      </c>
      <c r="U353" t="str">
        <f>IF($M353="","",IF($M353&gt;PARAMETRES!$G$34,5,IF($M353&gt;PARAMETRES!$F$34,4,IF($M353&gt;PARAMETRES!$E$34,3,IF($M353&gt;PARAMETRES!$D$34,2,1)))))</f>
        <v/>
      </c>
      <c r="V353" t="str">
        <f>IF($N353="","",IF($N353&gt;PARAMETRES!$G$35,5,IF($N353&gt;PARAMETRES!$F$35,4,IF($N353&gt;PARAMETRES!$E$35,3,IF($N353&gt;PARAMETRES!$D$35,2,1)))))</f>
        <v/>
      </c>
      <c r="W353" t="str">
        <f>IF($O353="","",IF($O353&gt;PARAMETRES!$G$36,5,IF($O353&gt;PARAMETRES!$F$36,4,IF($O353&gt;PARAMETRES!$E$36,3,IF($O353&gt;PARAMETRES!$D$36,2,1)))))</f>
        <v/>
      </c>
      <c r="X353" t="str">
        <f>IF($P353="","",IF($P353&gt;PARAMETRES!$G$37,5,IF($P353&gt;PARAMETRES!$F$37,4,IF($P353&gt;PARAMETRES!$E$37,3,IF($P353&gt;PARAMETRES!$D$37,2,1)))))</f>
        <v/>
      </c>
      <c r="Y353" t="str">
        <f t="shared" si="120"/>
        <v/>
      </c>
      <c r="Z353" t="str">
        <f>IFERROR(VLOOKUP($B353,TABLE_CYCLE,2,0),"")</f>
        <v/>
      </c>
      <c r="AA353" t="str">
        <f t="shared" si="121"/>
        <v/>
      </c>
      <c r="AB353" t="str">
        <f>IF($D353="","",IF(COUNTIF($D$2:$D353,$D353)=1,$D353,""))</f>
        <v/>
      </c>
      <c r="AC353">
        <f t="shared" si="122"/>
        <v>0</v>
      </c>
      <c r="AD353" t="str">
        <f t="shared" si="123"/>
        <v>|0</v>
      </c>
      <c r="AE353" t="str">
        <f t="shared" si="124"/>
        <v/>
      </c>
      <c r="AF353" t="str">
        <f t="shared" si="125"/>
        <v/>
      </c>
      <c r="AG353" t="str">
        <f t="shared" si="126"/>
        <v/>
      </c>
      <c r="AH353" t="str">
        <f t="shared" si="127"/>
        <v/>
      </c>
      <c r="AI353" t="str">
        <f t="shared" si="128"/>
        <v/>
      </c>
      <c r="AJ353" t="str">
        <f t="shared" si="129"/>
        <v/>
      </c>
      <c r="AK353" t="str">
        <f t="shared" si="130"/>
        <v/>
      </c>
      <c r="AL353" t="str">
        <f t="shared" si="131"/>
        <v/>
      </c>
      <c r="AM353" t="str">
        <f t="shared" si="132"/>
        <v/>
      </c>
      <c r="AN353" t="str">
        <f t="shared" si="133"/>
        <v/>
      </c>
      <c r="AO353" t="str">
        <f t="shared" si="134"/>
        <v/>
      </c>
      <c r="AP353">
        <f t="shared" si="135"/>
        <v>1</v>
      </c>
      <c r="AQ353" t="str">
        <f>IF(SAISIE!$F358="","",SAISIE!$Y358)</f>
        <v/>
      </c>
      <c r="AR353" t="str">
        <f>IF(OR(SAISIE!$U$4="",SAISIE!$W$4=""),"",IF(AND($A353=SAISIE!$U$4,$B353=SAISIE!$W$4,$C353="S1"),COUNTIFS($A$2:$A353,SAISIE!$U$4,$B$2:$B353,SAISIE!$W$4,$C$2:$C353,"S1"),""))</f>
        <v/>
      </c>
      <c r="AS353" t="str">
        <f t="shared" si="136"/>
        <v/>
      </c>
      <c r="AT353" t="str">
        <f t="shared" si="137"/>
        <v/>
      </c>
      <c r="AU353" t="str">
        <f t="shared" si="138"/>
        <v/>
      </c>
      <c r="AV353">
        <f>N(AV352)+IF(AND($AB353&lt;&gt;"",OR('PROFIL ELEVE'!$K$4="(Tous)",$AF353='PROFIL ELEVE'!$K$4)),1,0)</f>
        <v>0</v>
      </c>
      <c r="AW353">
        <f>N(AW352)+IF(AND($AB353&lt;&gt;"",OR('SUIVI LONGITUDINAL'!$Q$4="(Tous)",$AF353='SUIVI LONGITUDINAL'!$Q$4)),1,0)</f>
        <v>0</v>
      </c>
      <c r="AX353">
        <f t="shared" si="139"/>
        <v>0</v>
      </c>
      <c r="AY353">
        <f t="shared" si="140"/>
        <v>0</v>
      </c>
      <c r="AZ353">
        <f t="shared" si="141"/>
        <v>0</v>
      </c>
      <c r="BA353" t="str">
        <f t="shared" si="142"/>
        <v/>
      </c>
      <c r="BB353" t="str">
        <f t="shared" si="143"/>
        <v/>
      </c>
    </row>
    <row r="354" spans="1:54" ht="14.25" customHeight="1" x14ac:dyDescent="0.3">
      <c r="A354" t="str">
        <f>IF(SAISIE!$F359="","",SAISIE!$B359)</f>
        <v/>
      </c>
      <c r="B354" t="str">
        <f>IF(SAISIE!$F359="","",SAISIE!$C359)</f>
        <v/>
      </c>
      <c r="C354" t="str">
        <f>IF(SAISIE!$F359="","",SAISIE!$D359)</f>
        <v/>
      </c>
      <c r="D354" t="str">
        <f>IF(SAISIE!$E359="","",SAISIE!$E359)</f>
        <v/>
      </c>
      <c r="E354" t="str">
        <f>IF(SAISIE!$F359="","",SAISIE!$F359)</f>
        <v/>
      </c>
      <c r="F354" t="str">
        <f>IF(SAISIE!$G359="","",SAISIE!$G359)</f>
        <v/>
      </c>
      <c r="G354" t="str">
        <f>IF(SAISIE!$H359="","",SAISIE!$H359)</f>
        <v/>
      </c>
      <c r="H354" t="str">
        <f>IF(SAISIE!$I359="","",SAISIE!$I359)</f>
        <v/>
      </c>
      <c r="I354" t="str">
        <f>IF(SAISIE!$J359="","",SAISIE!$J359)</f>
        <v/>
      </c>
      <c r="J354" t="str">
        <f>IF(SAISIE!$K359="","",SAISIE!$K359)</f>
        <v/>
      </c>
      <c r="K354" t="str">
        <f>IF(SAISIE!$L359="","",SAISIE!$L359)</f>
        <v/>
      </c>
      <c r="L354" t="str">
        <f>IF(SAISIE!$M359="","",SAISIE!$M359)</f>
        <v/>
      </c>
      <c r="M354" t="str">
        <f>IF(SAISIE!$N359="","",SAISIE!$N359)</f>
        <v/>
      </c>
      <c r="N354" t="str">
        <f>IF(SAISIE!$O359="","",SAISIE!$O359)</f>
        <v/>
      </c>
      <c r="O354" t="str">
        <f>IF(SAISIE!$P359="","",SAISIE!$P359)</f>
        <v/>
      </c>
      <c r="P354" t="str">
        <f>IF(SAISIE!$Q359="","",SAISIE!$Q359)</f>
        <v/>
      </c>
      <c r="Q354" t="str">
        <f>IF($I354="","",IF($I354&gt;PARAMETRES!$G$29,5,IF($I354&gt;PARAMETRES!$F$29,4,IF($I354&gt;PARAMETRES!$E$29,3,IF($I354&gt;PARAMETRES!$D$29,2,1)))))</f>
        <v/>
      </c>
      <c r="R354" t="str">
        <f>IF($J354="","",IF($J354&gt;PARAMETRES!$G$30,5,IF($J354&gt;PARAMETRES!$F$30,4,IF($J354&gt;PARAMETRES!$E$30,3,IF($J354&gt;PARAMETRES!$D$30,2,1)))))</f>
        <v/>
      </c>
      <c r="S354" t="str">
        <f>IF($K354="","",IF($Z354=2,IF($K354&gt;PARAMETRES!$G$31,5,IF($K354&gt;PARAMETRES!$F$31,4,IF($K354&gt;PARAMETRES!$E$31,3,IF($K354&gt;PARAMETRES!$D$31,2,1)))),IF($K354&gt;PARAMETRES!$G$32,5,IF($K354&gt;PARAMETRES!$F$32,4,IF($K354&gt;PARAMETRES!$E$32,3,IF($K354&gt;PARAMETRES!$D$32,2,1))))))</f>
        <v/>
      </c>
      <c r="T354" t="str">
        <f>IF($L354="","",IF($L354&gt;PARAMETRES!$G$33,5,IF($L354&gt;PARAMETRES!$F$33,4,IF($L354&gt;PARAMETRES!$E$33,3,IF($L354&gt;PARAMETRES!$D$33,2,1)))))</f>
        <v/>
      </c>
      <c r="U354" t="str">
        <f>IF($M354="","",IF($M354&gt;PARAMETRES!$G$34,5,IF($M354&gt;PARAMETRES!$F$34,4,IF($M354&gt;PARAMETRES!$E$34,3,IF($M354&gt;PARAMETRES!$D$34,2,1)))))</f>
        <v/>
      </c>
      <c r="V354" t="str">
        <f>IF($N354="","",IF($N354&gt;PARAMETRES!$G$35,5,IF($N354&gt;PARAMETRES!$F$35,4,IF($N354&gt;PARAMETRES!$E$35,3,IF($N354&gt;PARAMETRES!$D$35,2,1)))))</f>
        <v/>
      </c>
      <c r="W354" t="str">
        <f>IF($O354="","",IF($O354&gt;PARAMETRES!$G$36,5,IF($O354&gt;PARAMETRES!$F$36,4,IF($O354&gt;PARAMETRES!$E$36,3,IF($O354&gt;PARAMETRES!$D$36,2,1)))))</f>
        <v/>
      </c>
      <c r="X354" t="str">
        <f>IF($P354="","",IF($P354&gt;PARAMETRES!$G$37,5,IF($P354&gt;PARAMETRES!$F$37,4,IF($P354&gt;PARAMETRES!$E$37,3,IF($P354&gt;PARAMETRES!$D$37,2,1)))))</f>
        <v/>
      </c>
      <c r="Y354" t="str">
        <f t="shared" si="120"/>
        <v/>
      </c>
      <c r="Z354" t="str">
        <f>IFERROR(VLOOKUP($B354,TABLE_CYCLE,2,0),"")</f>
        <v/>
      </c>
      <c r="AA354" t="str">
        <f t="shared" si="121"/>
        <v/>
      </c>
      <c r="AB354" t="str">
        <f>IF($D354="","",IF(COUNTIF($D$2:$D354,$D354)=1,$D354,""))</f>
        <v/>
      </c>
      <c r="AC354">
        <f t="shared" si="122"/>
        <v>0</v>
      </c>
      <c r="AD354" t="str">
        <f t="shared" si="123"/>
        <v>|0</v>
      </c>
      <c r="AE354" t="str">
        <f t="shared" si="124"/>
        <v/>
      </c>
      <c r="AF354" t="str">
        <f t="shared" si="125"/>
        <v/>
      </c>
      <c r="AG354" t="str">
        <f t="shared" si="126"/>
        <v/>
      </c>
      <c r="AH354" t="str">
        <f t="shared" si="127"/>
        <v/>
      </c>
      <c r="AI354" t="str">
        <f t="shared" si="128"/>
        <v/>
      </c>
      <c r="AJ354" t="str">
        <f t="shared" si="129"/>
        <v/>
      </c>
      <c r="AK354" t="str">
        <f t="shared" si="130"/>
        <v/>
      </c>
      <c r="AL354" t="str">
        <f t="shared" si="131"/>
        <v/>
      </c>
      <c r="AM354" t="str">
        <f t="shared" si="132"/>
        <v/>
      </c>
      <c r="AN354" t="str">
        <f t="shared" si="133"/>
        <v/>
      </c>
      <c r="AO354" t="str">
        <f t="shared" si="134"/>
        <v/>
      </c>
      <c r="AP354">
        <f t="shared" si="135"/>
        <v>1</v>
      </c>
      <c r="AQ354" t="str">
        <f>IF(SAISIE!$F359="","",SAISIE!$Y359)</f>
        <v/>
      </c>
      <c r="AR354" t="str">
        <f>IF(OR(SAISIE!$U$4="",SAISIE!$W$4=""),"",IF(AND($A354=SAISIE!$U$4,$B354=SAISIE!$W$4,$C354="S1"),COUNTIFS($A$2:$A354,SAISIE!$U$4,$B$2:$B354,SAISIE!$W$4,$C$2:$C354,"S1"),""))</f>
        <v/>
      </c>
      <c r="AS354" t="str">
        <f t="shared" si="136"/>
        <v/>
      </c>
      <c r="AT354" t="str">
        <f t="shared" si="137"/>
        <v/>
      </c>
      <c r="AU354" t="str">
        <f t="shared" si="138"/>
        <v/>
      </c>
      <c r="AV354">
        <f>N(AV353)+IF(AND($AB354&lt;&gt;"",OR('PROFIL ELEVE'!$K$4="(Tous)",$AF354='PROFIL ELEVE'!$K$4)),1,0)</f>
        <v>0</v>
      </c>
      <c r="AW354">
        <f>N(AW353)+IF(AND($AB354&lt;&gt;"",OR('SUIVI LONGITUDINAL'!$Q$4="(Tous)",$AF354='SUIVI LONGITUDINAL'!$Q$4)),1,0)</f>
        <v>0</v>
      </c>
      <c r="AX354">
        <f t="shared" si="139"/>
        <v>0</v>
      </c>
      <c r="AY354">
        <f t="shared" si="140"/>
        <v>0</v>
      </c>
      <c r="AZ354">
        <f t="shared" si="141"/>
        <v>0</v>
      </c>
      <c r="BA354" t="str">
        <f t="shared" si="142"/>
        <v/>
      </c>
      <c r="BB354" t="str">
        <f t="shared" si="143"/>
        <v/>
      </c>
    </row>
    <row r="355" spans="1:54" ht="14.25" customHeight="1" x14ac:dyDescent="0.3">
      <c r="A355" t="str">
        <f>IF(SAISIE!$F360="","",SAISIE!$B360)</f>
        <v/>
      </c>
      <c r="B355" t="str">
        <f>IF(SAISIE!$F360="","",SAISIE!$C360)</f>
        <v/>
      </c>
      <c r="C355" t="str">
        <f>IF(SAISIE!$F360="","",SAISIE!$D360)</f>
        <v/>
      </c>
      <c r="D355" t="str">
        <f>IF(SAISIE!$E360="","",SAISIE!$E360)</f>
        <v/>
      </c>
      <c r="E355" t="str">
        <f>IF(SAISIE!$F360="","",SAISIE!$F360)</f>
        <v/>
      </c>
      <c r="F355" t="str">
        <f>IF(SAISIE!$G360="","",SAISIE!$G360)</f>
        <v/>
      </c>
      <c r="G355" t="str">
        <f>IF(SAISIE!$H360="","",SAISIE!$H360)</f>
        <v/>
      </c>
      <c r="H355" t="str">
        <f>IF(SAISIE!$I360="","",SAISIE!$I360)</f>
        <v/>
      </c>
      <c r="I355" t="str">
        <f>IF(SAISIE!$J360="","",SAISIE!$J360)</f>
        <v/>
      </c>
      <c r="J355" t="str">
        <f>IF(SAISIE!$K360="","",SAISIE!$K360)</f>
        <v/>
      </c>
      <c r="K355" t="str">
        <f>IF(SAISIE!$L360="","",SAISIE!$L360)</f>
        <v/>
      </c>
      <c r="L355" t="str">
        <f>IF(SAISIE!$M360="","",SAISIE!$M360)</f>
        <v/>
      </c>
      <c r="M355" t="str">
        <f>IF(SAISIE!$N360="","",SAISIE!$N360)</f>
        <v/>
      </c>
      <c r="N355" t="str">
        <f>IF(SAISIE!$O360="","",SAISIE!$O360)</f>
        <v/>
      </c>
      <c r="O355" t="str">
        <f>IF(SAISIE!$P360="","",SAISIE!$P360)</f>
        <v/>
      </c>
      <c r="P355" t="str">
        <f>IF(SAISIE!$Q360="","",SAISIE!$Q360)</f>
        <v/>
      </c>
      <c r="Q355" t="str">
        <f>IF($I355="","",IF($I355&gt;PARAMETRES!$G$29,5,IF($I355&gt;PARAMETRES!$F$29,4,IF($I355&gt;PARAMETRES!$E$29,3,IF($I355&gt;PARAMETRES!$D$29,2,1)))))</f>
        <v/>
      </c>
      <c r="R355" t="str">
        <f>IF($J355="","",IF($J355&gt;PARAMETRES!$G$30,5,IF($J355&gt;PARAMETRES!$F$30,4,IF($J355&gt;PARAMETRES!$E$30,3,IF($J355&gt;PARAMETRES!$D$30,2,1)))))</f>
        <v/>
      </c>
      <c r="S355" t="str">
        <f>IF($K355="","",IF($Z355=2,IF($K355&gt;PARAMETRES!$G$31,5,IF($K355&gt;PARAMETRES!$F$31,4,IF($K355&gt;PARAMETRES!$E$31,3,IF($K355&gt;PARAMETRES!$D$31,2,1)))),IF($K355&gt;PARAMETRES!$G$32,5,IF($K355&gt;PARAMETRES!$F$32,4,IF($K355&gt;PARAMETRES!$E$32,3,IF($K355&gt;PARAMETRES!$D$32,2,1))))))</f>
        <v/>
      </c>
      <c r="T355" t="str">
        <f>IF($L355="","",IF($L355&gt;PARAMETRES!$G$33,5,IF($L355&gt;PARAMETRES!$F$33,4,IF($L355&gt;PARAMETRES!$E$33,3,IF($L355&gt;PARAMETRES!$D$33,2,1)))))</f>
        <v/>
      </c>
      <c r="U355" t="str">
        <f>IF($M355="","",IF($M355&gt;PARAMETRES!$G$34,5,IF($M355&gt;PARAMETRES!$F$34,4,IF($M355&gt;PARAMETRES!$E$34,3,IF($M355&gt;PARAMETRES!$D$34,2,1)))))</f>
        <v/>
      </c>
      <c r="V355" t="str">
        <f>IF($N355="","",IF($N355&gt;PARAMETRES!$G$35,5,IF($N355&gt;PARAMETRES!$F$35,4,IF($N355&gt;PARAMETRES!$E$35,3,IF($N355&gt;PARAMETRES!$D$35,2,1)))))</f>
        <v/>
      </c>
      <c r="W355" t="str">
        <f>IF($O355="","",IF($O355&gt;PARAMETRES!$G$36,5,IF($O355&gt;PARAMETRES!$F$36,4,IF($O355&gt;PARAMETRES!$E$36,3,IF($O355&gt;PARAMETRES!$D$36,2,1)))))</f>
        <v/>
      </c>
      <c r="X355" t="str">
        <f>IF($P355="","",IF($P355&gt;PARAMETRES!$G$37,5,IF($P355&gt;PARAMETRES!$F$37,4,IF($P355&gt;PARAMETRES!$E$37,3,IF($P355&gt;PARAMETRES!$D$37,2,1)))))</f>
        <v/>
      </c>
      <c r="Y355" t="str">
        <f t="shared" si="120"/>
        <v/>
      </c>
      <c r="Z355" t="str">
        <f>IFERROR(VLOOKUP($B355,TABLE_CYCLE,2,0),"")</f>
        <v/>
      </c>
      <c r="AA355" t="str">
        <f t="shared" si="121"/>
        <v/>
      </c>
      <c r="AB355" t="str">
        <f>IF($D355="","",IF(COUNTIF($D$2:$D355,$D355)=1,$D355,""))</f>
        <v/>
      </c>
      <c r="AC355">
        <f t="shared" si="122"/>
        <v>0</v>
      </c>
      <c r="AD355" t="str">
        <f t="shared" si="123"/>
        <v>|0</v>
      </c>
      <c r="AE355" t="str">
        <f t="shared" si="124"/>
        <v/>
      </c>
      <c r="AF355" t="str">
        <f t="shared" si="125"/>
        <v/>
      </c>
      <c r="AG355" t="str">
        <f t="shared" si="126"/>
        <v/>
      </c>
      <c r="AH355" t="str">
        <f t="shared" si="127"/>
        <v/>
      </c>
      <c r="AI355" t="str">
        <f t="shared" si="128"/>
        <v/>
      </c>
      <c r="AJ355" t="str">
        <f t="shared" si="129"/>
        <v/>
      </c>
      <c r="AK355" t="str">
        <f t="shared" si="130"/>
        <v/>
      </c>
      <c r="AL355" t="str">
        <f t="shared" si="131"/>
        <v/>
      </c>
      <c r="AM355" t="str">
        <f t="shared" si="132"/>
        <v/>
      </c>
      <c r="AN355" t="str">
        <f t="shared" si="133"/>
        <v/>
      </c>
      <c r="AO355" t="str">
        <f t="shared" si="134"/>
        <v/>
      </c>
      <c r="AP355">
        <f t="shared" si="135"/>
        <v>1</v>
      </c>
      <c r="AQ355" t="str">
        <f>IF(SAISIE!$F360="","",SAISIE!$Y360)</f>
        <v/>
      </c>
      <c r="AR355" t="str">
        <f>IF(OR(SAISIE!$U$4="",SAISIE!$W$4=""),"",IF(AND($A355=SAISIE!$U$4,$B355=SAISIE!$W$4,$C355="S1"),COUNTIFS($A$2:$A355,SAISIE!$U$4,$B$2:$B355,SAISIE!$W$4,$C$2:$C355,"S1"),""))</f>
        <v/>
      </c>
      <c r="AS355" t="str">
        <f t="shared" si="136"/>
        <v/>
      </c>
      <c r="AT355" t="str">
        <f t="shared" si="137"/>
        <v/>
      </c>
      <c r="AU355" t="str">
        <f t="shared" si="138"/>
        <v/>
      </c>
      <c r="AV355">
        <f>N(AV354)+IF(AND($AB355&lt;&gt;"",OR('PROFIL ELEVE'!$K$4="(Tous)",$AF355='PROFIL ELEVE'!$K$4)),1,0)</f>
        <v>0</v>
      </c>
      <c r="AW355">
        <f>N(AW354)+IF(AND($AB355&lt;&gt;"",OR('SUIVI LONGITUDINAL'!$Q$4="(Tous)",$AF355='SUIVI LONGITUDINAL'!$Q$4)),1,0)</f>
        <v>0</v>
      </c>
      <c r="AX355">
        <f t="shared" si="139"/>
        <v>0</v>
      </c>
      <c r="AY355">
        <f t="shared" si="140"/>
        <v>0</v>
      </c>
      <c r="AZ355">
        <f t="shared" si="141"/>
        <v>0</v>
      </c>
      <c r="BA355" t="str">
        <f t="shared" si="142"/>
        <v/>
      </c>
      <c r="BB355" t="str">
        <f t="shared" si="143"/>
        <v/>
      </c>
    </row>
    <row r="356" spans="1:54" ht="14.25" customHeight="1" x14ac:dyDescent="0.3">
      <c r="A356" t="str">
        <f>IF(SAISIE!$F361="","",SAISIE!$B361)</f>
        <v/>
      </c>
      <c r="B356" t="str">
        <f>IF(SAISIE!$F361="","",SAISIE!$C361)</f>
        <v/>
      </c>
      <c r="C356" t="str">
        <f>IF(SAISIE!$F361="","",SAISIE!$D361)</f>
        <v/>
      </c>
      <c r="D356" t="str">
        <f>IF(SAISIE!$E361="","",SAISIE!$E361)</f>
        <v/>
      </c>
      <c r="E356" t="str">
        <f>IF(SAISIE!$F361="","",SAISIE!$F361)</f>
        <v/>
      </c>
      <c r="F356" t="str">
        <f>IF(SAISIE!$G361="","",SAISIE!$G361)</f>
        <v/>
      </c>
      <c r="G356" t="str">
        <f>IF(SAISIE!$H361="","",SAISIE!$H361)</f>
        <v/>
      </c>
      <c r="H356" t="str">
        <f>IF(SAISIE!$I361="","",SAISIE!$I361)</f>
        <v/>
      </c>
      <c r="I356" t="str">
        <f>IF(SAISIE!$J361="","",SAISIE!$J361)</f>
        <v/>
      </c>
      <c r="J356" t="str">
        <f>IF(SAISIE!$K361="","",SAISIE!$K361)</f>
        <v/>
      </c>
      <c r="K356" t="str">
        <f>IF(SAISIE!$L361="","",SAISIE!$L361)</f>
        <v/>
      </c>
      <c r="L356" t="str">
        <f>IF(SAISIE!$M361="","",SAISIE!$M361)</f>
        <v/>
      </c>
      <c r="M356" t="str">
        <f>IF(SAISIE!$N361="","",SAISIE!$N361)</f>
        <v/>
      </c>
      <c r="N356" t="str">
        <f>IF(SAISIE!$O361="","",SAISIE!$O361)</f>
        <v/>
      </c>
      <c r="O356" t="str">
        <f>IF(SAISIE!$P361="","",SAISIE!$P361)</f>
        <v/>
      </c>
      <c r="P356" t="str">
        <f>IF(SAISIE!$Q361="","",SAISIE!$Q361)</f>
        <v/>
      </c>
      <c r="Q356" t="str">
        <f>IF($I356="","",IF($I356&gt;PARAMETRES!$G$29,5,IF($I356&gt;PARAMETRES!$F$29,4,IF($I356&gt;PARAMETRES!$E$29,3,IF($I356&gt;PARAMETRES!$D$29,2,1)))))</f>
        <v/>
      </c>
      <c r="R356" t="str">
        <f>IF($J356="","",IF($J356&gt;PARAMETRES!$G$30,5,IF($J356&gt;PARAMETRES!$F$30,4,IF($J356&gt;PARAMETRES!$E$30,3,IF($J356&gt;PARAMETRES!$D$30,2,1)))))</f>
        <v/>
      </c>
      <c r="S356" t="str">
        <f>IF($K356="","",IF($Z356=2,IF($K356&gt;PARAMETRES!$G$31,5,IF($K356&gt;PARAMETRES!$F$31,4,IF($K356&gt;PARAMETRES!$E$31,3,IF($K356&gt;PARAMETRES!$D$31,2,1)))),IF($K356&gt;PARAMETRES!$G$32,5,IF($K356&gt;PARAMETRES!$F$32,4,IF($K356&gt;PARAMETRES!$E$32,3,IF($K356&gt;PARAMETRES!$D$32,2,1))))))</f>
        <v/>
      </c>
      <c r="T356" t="str">
        <f>IF($L356="","",IF($L356&gt;PARAMETRES!$G$33,5,IF($L356&gt;PARAMETRES!$F$33,4,IF($L356&gt;PARAMETRES!$E$33,3,IF($L356&gt;PARAMETRES!$D$33,2,1)))))</f>
        <v/>
      </c>
      <c r="U356" t="str">
        <f>IF($M356="","",IF($M356&gt;PARAMETRES!$G$34,5,IF($M356&gt;PARAMETRES!$F$34,4,IF($M356&gt;PARAMETRES!$E$34,3,IF($M356&gt;PARAMETRES!$D$34,2,1)))))</f>
        <v/>
      </c>
      <c r="V356" t="str">
        <f>IF($N356="","",IF($N356&gt;PARAMETRES!$G$35,5,IF($N356&gt;PARAMETRES!$F$35,4,IF($N356&gt;PARAMETRES!$E$35,3,IF($N356&gt;PARAMETRES!$D$35,2,1)))))</f>
        <v/>
      </c>
      <c r="W356" t="str">
        <f>IF($O356="","",IF($O356&gt;PARAMETRES!$G$36,5,IF($O356&gt;PARAMETRES!$F$36,4,IF($O356&gt;PARAMETRES!$E$36,3,IF($O356&gt;PARAMETRES!$D$36,2,1)))))</f>
        <v/>
      </c>
      <c r="X356" t="str">
        <f>IF($P356="","",IF($P356&gt;PARAMETRES!$G$37,5,IF($P356&gt;PARAMETRES!$F$37,4,IF($P356&gt;PARAMETRES!$E$37,3,IF($P356&gt;PARAMETRES!$D$37,2,1)))))</f>
        <v/>
      </c>
      <c r="Y356" t="str">
        <f t="shared" si="120"/>
        <v/>
      </c>
      <c r="Z356" t="str">
        <f>IFERROR(VLOOKUP($B356,TABLE_CYCLE,2,0),"")</f>
        <v/>
      </c>
      <c r="AA356" t="str">
        <f t="shared" si="121"/>
        <v/>
      </c>
      <c r="AB356" t="str">
        <f>IF($D356="","",IF(COUNTIF($D$2:$D356,$D356)=1,$D356,""))</f>
        <v/>
      </c>
      <c r="AC356">
        <f t="shared" si="122"/>
        <v>0</v>
      </c>
      <c r="AD356" t="str">
        <f t="shared" si="123"/>
        <v>|0</v>
      </c>
      <c r="AE356" t="str">
        <f t="shared" si="124"/>
        <v/>
      </c>
      <c r="AF356" t="str">
        <f t="shared" si="125"/>
        <v/>
      </c>
      <c r="AG356" t="str">
        <f t="shared" si="126"/>
        <v/>
      </c>
      <c r="AH356" t="str">
        <f t="shared" si="127"/>
        <v/>
      </c>
      <c r="AI356" t="str">
        <f t="shared" si="128"/>
        <v/>
      </c>
      <c r="AJ356" t="str">
        <f t="shared" si="129"/>
        <v/>
      </c>
      <c r="AK356" t="str">
        <f t="shared" si="130"/>
        <v/>
      </c>
      <c r="AL356" t="str">
        <f t="shared" si="131"/>
        <v/>
      </c>
      <c r="AM356" t="str">
        <f t="shared" si="132"/>
        <v/>
      </c>
      <c r="AN356" t="str">
        <f t="shared" si="133"/>
        <v/>
      </c>
      <c r="AO356" t="str">
        <f t="shared" si="134"/>
        <v/>
      </c>
      <c r="AP356">
        <f t="shared" si="135"/>
        <v>1</v>
      </c>
      <c r="AQ356" t="str">
        <f>IF(SAISIE!$F361="","",SAISIE!$Y361)</f>
        <v/>
      </c>
      <c r="AR356" t="str">
        <f>IF(OR(SAISIE!$U$4="",SAISIE!$W$4=""),"",IF(AND($A356=SAISIE!$U$4,$B356=SAISIE!$W$4,$C356="S1"),COUNTIFS($A$2:$A356,SAISIE!$U$4,$B$2:$B356,SAISIE!$W$4,$C$2:$C356,"S1"),""))</f>
        <v/>
      </c>
      <c r="AS356" t="str">
        <f t="shared" si="136"/>
        <v/>
      </c>
      <c r="AT356" t="str">
        <f t="shared" si="137"/>
        <v/>
      </c>
      <c r="AU356" t="str">
        <f t="shared" si="138"/>
        <v/>
      </c>
      <c r="AV356">
        <f>N(AV355)+IF(AND($AB356&lt;&gt;"",OR('PROFIL ELEVE'!$K$4="(Tous)",$AF356='PROFIL ELEVE'!$K$4)),1,0)</f>
        <v>0</v>
      </c>
      <c r="AW356">
        <f>N(AW355)+IF(AND($AB356&lt;&gt;"",OR('SUIVI LONGITUDINAL'!$Q$4="(Tous)",$AF356='SUIVI LONGITUDINAL'!$Q$4)),1,0)</f>
        <v>0</v>
      </c>
      <c r="AX356">
        <f t="shared" si="139"/>
        <v>0</v>
      </c>
      <c r="AY356">
        <f t="shared" si="140"/>
        <v>0</v>
      </c>
      <c r="AZ356">
        <f t="shared" si="141"/>
        <v>0</v>
      </c>
      <c r="BA356" t="str">
        <f t="shared" si="142"/>
        <v/>
      </c>
      <c r="BB356" t="str">
        <f t="shared" si="143"/>
        <v/>
      </c>
    </row>
    <row r="357" spans="1:54" ht="14.25" customHeight="1" x14ac:dyDescent="0.3">
      <c r="A357" t="str">
        <f>IF(SAISIE!$F362="","",SAISIE!$B362)</f>
        <v/>
      </c>
      <c r="B357" t="str">
        <f>IF(SAISIE!$F362="","",SAISIE!$C362)</f>
        <v/>
      </c>
      <c r="C357" t="str">
        <f>IF(SAISIE!$F362="","",SAISIE!$D362)</f>
        <v/>
      </c>
      <c r="D357" t="str">
        <f>IF(SAISIE!$E362="","",SAISIE!$E362)</f>
        <v/>
      </c>
      <c r="E357" t="str">
        <f>IF(SAISIE!$F362="","",SAISIE!$F362)</f>
        <v/>
      </c>
      <c r="F357" t="str">
        <f>IF(SAISIE!$G362="","",SAISIE!$G362)</f>
        <v/>
      </c>
      <c r="G357" t="str">
        <f>IF(SAISIE!$H362="","",SAISIE!$H362)</f>
        <v/>
      </c>
      <c r="H357" t="str">
        <f>IF(SAISIE!$I362="","",SAISIE!$I362)</f>
        <v/>
      </c>
      <c r="I357" t="str">
        <f>IF(SAISIE!$J362="","",SAISIE!$J362)</f>
        <v/>
      </c>
      <c r="J357" t="str">
        <f>IF(SAISIE!$K362="","",SAISIE!$K362)</f>
        <v/>
      </c>
      <c r="K357" t="str">
        <f>IF(SAISIE!$L362="","",SAISIE!$L362)</f>
        <v/>
      </c>
      <c r="L357" t="str">
        <f>IF(SAISIE!$M362="","",SAISIE!$M362)</f>
        <v/>
      </c>
      <c r="M357" t="str">
        <f>IF(SAISIE!$N362="","",SAISIE!$N362)</f>
        <v/>
      </c>
      <c r="N357" t="str">
        <f>IF(SAISIE!$O362="","",SAISIE!$O362)</f>
        <v/>
      </c>
      <c r="O357" t="str">
        <f>IF(SAISIE!$P362="","",SAISIE!$P362)</f>
        <v/>
      </c>
      <c r="P357" t="str">
        <f>IF(SAISIE!$Q362="","",SAISIE!$Q362)</f>
        <v/>
      </c>
      <c r="Q357" t="str">
        <f>IF($I357="","",IF($I357&gt;PARAMETRES!$G$29,5,IF($I357&gt;PARAMETRES!$F$29,4,IF($I357&gt;PARAMETRES!$E$29,3,IF($I357&gt;PARAMETRES!$D$29,2,1)))))</f>
        <v/>
      </c>
      <c r="R357" t="str">
        <f>IF($J357="","",IF($J357&gt;PARAMETRES!$G$30,5,IF($J357&gt;PARAMETRES!$F$30,4,IF($J357&gt;PARAMETRES!$E$30,3,IF($J357&gt;PARAMETRES!$D$30,2,1)))))</f>
        <v/>
      </c>
      <c r="S357" t="str">
        <f>IF($K357="","",IF($Z357=2,IF($K357&gt;PARAMETRES!$G$31,5,IF($K357&gt;PARAMETRES!$F$31,4,IF($K357&gt;PARAMETRES!$E$31,3,IF($K357&gt;PARAMETRES!$D$31,2,1)))),IF($K357&gt;PARAMETRES!$G$32,5,IF($K357&gt;PARAMETRES!$F$32,4,IF($K357&gt;PARAMETRES!$E$32,3,IF($K357&gt;PARAMETRES!$D$32,2,1))))))</f>
        <v/>
      </c>
      <c r="T357" t="str">
        <f>IF($L357="","",IF($L357&gt;PARAMETRES!$G$33,5,IF($L357&gt;PARAMETRES!$F$33,4,IF($L357&gt;PARAMETRES!$E$33,3,IF($L357&gt;PARAMETRES!$D$33,2,1)))))</f>
        <v/>
      </c>
      <c r="U357" t="str">
        <f>IF($M357="","",IF($M357&gt;PARAMETRES!$G$34,5,IF($M357&gt;PARAMETRES!$F$34,4,IF($M357&gt;PARAMETRES!$E$34,3,IF($M357&gt;PARAMETRES!$D$34,2,1)))))</f>
        <v/>
      </c>
      <c r="V357" t="str">
        <f>IF($N357="","",IF($N357&gt;PARAMETRES!$G$35,5,IF($N357&gt;PARAMETRES!$F$35,4,IF($N357&gt;PARAMETRES!$E$35,3,IF($N357&gt;PARAMETRES!$D$35,2,1)))))</f>
        <v/>
      </c>
      <c r="W357" t="str">
        <f>IF($O357="","",IF($O357&gt;PARAMETRES!$G$36,5,IF($O357&gt;PARAMETRES!$F$36,4,IF($O357&gt;PARAMETRES!$E$36,3,IF($O357&gt;PARAMETRES!$D$36,2,1)))))</f>
        <v/>
      </c>
      <c r="X357" t="str">
        <f>IF($P357="","",IF($P357&gt;PARAMETRES!$G$37,5,IF($P357&gt;PARAMETRES!$F$37,4,IF($P357&gt;PARAMETRES!$E$37,3,IF($P357&gt;PARAMETRES!$D$37,2,1)))))</f>
        <v/>
      </c>
      <c r="Y357" t="str">
        <f t="shared" si="120"/>
        <v/>
      </c>
      <c r="Z357" t="str">
        <f>IFERROR(VLOOKUP($B357,TABLE_CYCLE,2,0),"")</f>
        <v/>
      </c>
      <c r="AA357" t="str">
        <f t="shared" si="121"/>
        <v/>
      </c>
      <c r="AB357" t="str">
        <f>IF($D357="","",IF(COUNTIF($D$2:$D357,$D357)=1,$D357,""))</f>
        <v/>
      </c>
      <c r="AC357">
        <f t="shared" si="122"/>
        <v>0</v>
      </c>
      <c r="AD357" t="str">
        <f t="shared" si="123"/>
        <v>|0</v>
      </c>
      <c r="AE357" t="str">
        <f t="shared" si="124"/>
        <v/>
      </c>
      <c r="AF357" t="str">
        <f t="shared" si="125"/>
        <v/>
      </c>
      <c r="AG357" t="str">
        <f t="shared" si="126"/>
        <v/>
      </c>
      <c r="AH357" t="str">
        <f t="shared" si="127"/>
        <v/>
      </c>
      <c r="AI357" t="str">
        <f t="shared" si="128"/>
        <v/>
      </c>
      <c r="AJ357" t="str">
        <f t="shared" si="129"/>
        <v/>
      </c>
      <c r="AK357" t="str">
        <f t="shared" si="130"/>
        <v/>
      </c>
      <c r="AL357" t="str">
        <f t="shared" si="131"/>
        <v/>
      </c>
      <c r="AM357" t="str">
        <f t="shared" si="132"/>
        <v/>
      </c>
      <c r="AN357" t="str">
        <f t="shared" si="133"/>
        <v/>
      </c>
      <c r="AO357" t="str">
        <f t="shared" si="134"/>
        <v/>
      </c>
      <c r="AP357">
        <f t="shared" si="135"/>
        <v>1</v>
      </c>
      <c r="AQ357" t="str">
        <f>IF(SAISIE!$F362="","",SAISIE!$Y362)</f>
        <v/>
      </c>
      <c r="AR357" t="str">
        <f>IF(OR(SAISIE!$U$4="",SAISIE!$W$4=""),"",IF(AND($A357=SAISIE!$U$4,$B357=SAISIE!$W$4,$C357="S1"),COUNTIFS($A$2:$A357,SAISIE!$U$4,$B$2:$B357,SAISIE!$W$4,$C$2:$C357,"S1"),""))</f>
        <v/>
      </c>
      <c r="AS357" t="str">
        <f t="shared" si="136"/>
        <v/>
      </c>
      <c r="AT357" t="str">
        <f t="shared" si="137"/>
        <v/>
      </c>
      <c r="AU357" t="str">
        <f t="shared" si="138"/>
        <v/>
      </c>
      <c r="AV357">
        <f>N(AV356)+IF(AND($AB357&lt;&gt;"",OR('PROFIL ELEVE'!$K$4="(Tous)",$AF357='PROFIL ELEVE'!$K$4)),1,0)</f>
        <v>0</v>
      </c>
      <c r="AW357">
        <f>N(AW356)+IF(AND($AB357&lt;&gt;"",OR('SUIVI LONGITUDINAL'!$Q$4="(Tous)",$AF357='SUIVI LONGITUDINAL'!$Q$4)),1,0)</f>
        <v>0</v>
      </c>
      <c r="AX357">
        <f t="shared" si="139"/>
        <v>0</v>
      </c>
      <c r="AY357">
        <f t="shared" si="140"/>
        <v>0</v>
      </c>
      <c r="AZ357">
        <f t="shared" si="141"/>
        <v>0</v>
      </c>
      <c r="BA357" t="str">
        <f t="shared" si="142"/>
        <v/>
      </c>
      <c r="BB357" t="str">
        <f t="shared" si="143"/>
        <v/>
      </c>
    </row>
    <row r="358" spans="1:54" ht="14.25" customHeight="1" x14ac:dyDescent="0.3">
      <c r="A358" t="str">
        <f>IF(SAISIE!$F363="","",SAISIE!$B363)</f>
        <v/>
      </c>
      <c r="B358" t="str">
        <f>IF(SAISIE!$F363="","",SAISIE!$C363)</f>
        <v/>
      </c>
      <c r="C358" t="str">
        <f>IF(SAISIE!$F363="","",SAISIE!$D363)</f>
        <v/>
      </c>
      <c r="D358" t="str">
        <f>IF(SAISIE!$E363="","",SAISIE!$E363)</f>
        <v/>
      </c>
      <c r="E358" t="str">
        <f>IF(SAISIE!$F363="","",SAISIE!$F363)</f>
        <v/>
      </c>
      <c r="F358" t="str">
        <f>IF(SAISIE!$G363="","",SAISIE!$G363)</f>
        <v/>
      </c>
      <c r="G358" t="str">
        <f>IF(SAISIE!$H363="","",SAISIE!$H363)</f>
        <v/>
      </c>
      <c r="H358" t="str">
        <f>IF(SAISIE!$I363="","",SAISIE!$I363)</f>
        <v/>
      </c>
      <c r="I358" t="str">
        <f>IF(SAISIE!$J363="","",SAISIE!$J363)</f>
        <v/>
      </c>
      <c r="J358" t="str">
        <f>IF(SAISIE!$K363="","",SAISIE!$K363)</f>
        <v/>
      </c>
      <c r="K358" t="str">
        <f>IF(SAISIE!$L363="","",SAISIE!$L363)</f>
        <v/>
      </c>
      <c r="L358" t="str">
        <f>IF(SAISIE!$M363="","",SAISIE!$M363)</f>
        <v/>
      </c>
      <c r="M358" t="str">
        <f>IF(SAISIE!$N363="","",SAISIE!$N363)</f>
        <v/>
      </c>
      <c r="N358" t="str">
        <f>IF(SAISIE!$O363="","",SAISIE!$O363)</f>
        <v/>
      </c>
      <c r="O358" t="str">
        <f>IF(SAISIE!$P363="","",SAISIE!$P363)</f>
        <v/>
      </c>
      <c r="P358" t="str">
        <f>IF(SAISIE!$Q363="","",SAISIE!$Q363)</f>
        <v/>
      </c>
      <c r="Q358" t="str">
        <f>IF($I358="","",IF($I358&gt;PARAMETRES!$G$29,5,IF($I358&gt;PARAMETRES!$F$29,4,IF($I358&gt;PARAMETRES!$E$29,3,IF($I358&gt;PARAMETRES!$D$29,2,1)))))</f>
        <v/>
      </c>
      <c r="R358" t="str">
        <f>IF($J358="","",IF($J358&gt;PARAMETRES!$G$30,5,IF($J358&gt;PARAMETRES!$F$30,4,IF($J358&gt;PARAMETRES!$E$30,3,IF($J358&gt;PARAMETRES!$D$30,2,1)))))</f>
        <v/>
      </c>
      <c r="S358" t="str">
        <f>IF($K358="","",IF($Z358=2,IF($K358&gt;PARAMETRES!$G$31,5,IF($K358&gt;PARAMETRES!$F$31,4,IF($K358&gt;PARAMETRES!$E$31,3,IF($K358&gt;PARAMETRES!$D$31,2,1)))),IF($K358&gt;PARAMETRES!$G$32,5,IF($K358&gt;PARAMETRES!$F$32,4,IF($K358&gt;PARAMETRES!$E$32,3,IF($K358&gt;PARAMETRES!$D$32,2,1))))))</f>
        <v/>
      </c>
      <c r="T358" t="str">
        <f>IF($L358="","",IF($L358&gt;PARAMETRES!$G$33,5,IF($L358&gt;PARAMETRES!$F$33,4,IF($L358&gt;PARAMETRES!$E$33,3,IF($L358&gt;PARAMETRES!$D$33,2,1)))))</f>
        <v/>
      </c>
      <c r="U358" t="str">
        <f>IF($M358="","",IF($M358&gt;PARAMETRES!$G$34,5,IF($M358&gt;PARAMETRES!$F$34,4,IF($M358&gt;PARAMETRES!$E$34,3,IF($M358&gt;PARAMETRES!$D$34,2,1)))))</f>
        <v/>
      </c>
      <c r="V358" t="str">
        <f>IF($N358="","",IF($N358&gt;PARAMETRES!$G$35,5,IF($N358&gt;PARAMETRES!$F$35,4,IF($N358&gt;PARAMETRES!$E$35,3,IF($N358&gt;PARAMETRES!$D$35,2,1)))))</f>
        <v/>
      </c>
      <c r="W358" t="str">
        <f>IF($O358="","",IF($O358&gt;PARAMETRES!$G$36,5,IF($O358&gt;PARAMETRES!$F$36,4,IF($O358&gt;PARAMETRES!$E$36,3,IF($O358&gt;PARAMETRES!$D$36,2,1)))))</f>
        <v/>
      </c>
      <c r="X358" t="str">
        <f>IF($P358="","",IF($P358&gt;PARAMETRES!$G$37,5,IF($P358&gt;PARAMETRES!$F$37,4,IF($P358&gt;PARAMETRES!$E$37,3,IF($P358&gt;PARAMETRES!$D$37,2,1)))))</f>
        <v/>
      </c>
      <c r="Y358" t="str">
        <f t="shared" si="120"/>
        <v/>
      </c>
      <c r="Z358" t="str">
        <f>IFERROR(VLOOKUP($B358,TABLE_CYCLE,2,0),"")</f>
        <v/>
      </c>
      <c r="AA358" t="str">
        <f t="shared" si="121"/>
        <v/>
      </c>
      <c r="AB358" t="str">
        <f>IF($D358="","",IF(COUNTIF($D$2:$D358,$D358)=1,$D358,""))</f>
        <v/>
      </c>
      <c r="AC358">
        <f t="shared" si="122"/>
        <v>0</v>
      </c>
      <c r="AD358" t="str">
        <f t="shared" si="123"/>
        <v>|0</v>
      </c>
      <c r="AE358" t="str">
        <f t="shared" si="124"/>
        <v/>
      </c>
      <c r="AF358" t="str">
        <f t="shared" si="125"/>
        <v/>
      </c>
      <c r="AG358" t="str">
        <f t="shared" si="126"/>
        <v/>
      </c>
      <c r="AH358" t="str">
        <f t="shared" si="127"/>
        <v/>
      </c>
      <c r="AI358" t="str">
        <f t="shared" si="128"/>
        <v/>
      </c>
      <c r="AJ358" t="str">
        <f t="shared" si="129"/>
        <v/>
      </c>
      <c r="AK358" t="str">
        <f t="shared" si="130"/>
        <v/>
      </c>
      <c r="AL358" t="str">
        <f t="shared" si="131"/>
        <v/>
      </c>
      <c r="AM358" t="str">
        <f t="shared" si="132"/>
        <v/>
      </c>
      <c r="AN358" t="str">
        <f t="shared" si="133"/>
        <v/>
      </c>
      <c r="AO358" t="str">
        <f t="shared" si="134"/>
        <v/>
      </c>
      <c r="AP358">
        <f t="shared" si="135"/>
        <v>1</v>
      </c>
      <c r="AQ358" t="str">
        <f>IF(SAISIE!$F363="","",SAISIE!$Y363)</f>
        <v/>
      </c>
      <c r="AR358" t="str">
        <f>IF(OR(SAISIE!$U$4="",SAISIE!$W$4=""),"",IF(AND($A358=SAISIE!$U$4,$B358=SAISIE!$W$4,$C358="S1"),COUNTIFS($A$2:$A358,SAISIE!$U$4,$B$2:$B358,SAISIE!$W$4,$C$2:$C358,"S1"),""))</f>
        <v/>
      </c>
      <c r="AS358" t="str">
        <f t="shared" si="136"/>
        <v/>
      </c>
      <c r="AT358" t="str">
        <f t="shared" si="137"/>
        <v/>
      </c>
      <c r="AU358" t="str">
        <f t="shared" si="138"/>
        <v/>
      </c>
      <c r="AV358">
        <f>N(AV357)+IF(AND($AB358&lt;&gt;"",OR('PROFIL ELEVE'!$K$4="(Tous)",$AF358='PROFIL ELEVE'!$K$4)),1,0)</f>
        <v>0</v>
      </c>
      <c r="AW358">
        <f>N(AW357)+IF(AND($AB358&lt;&gt;"",OR('SUIVI LONGITUDINAL'!$Q$4="(Tous)",$AF358='SUIVI LONGITUDINAL'!$Q$4)),1,0)</f>
        <v>0</v>
      </c>
      <c r="AX358">
        <f t="shared" si="139"/>
        <v>0</v>
      </c>
      <c r="AY358">
        <f t="shared" si="140"/>
        <v>0</v>
      </c>
      <c r="AZ358">
        <f t="shared" si="141"/>
        <v>0</v>
      </c>
      <c r="BA358" t="str">
        <f t="shared" si="142"/>
        <v/>
      </c>
      <c r="BB358" t="str">
        <f t="shared" si="143"/>
        <v/>
      </c>
    </row>
    <row r="359" spans="1:54" ht="14.25" customHeight="1" x14ac:dyDescent="0.3">
      <c r="A359" t="str">
        <f>IF(SAISIE!$F364="","",SAISIE!$B364)</f>
        <v/>
      </c>
      <c r="B359" t="str">
        <f>IF(SAISIE!$F364="","",SAISIE!$C364)</f>
        <v/>
      </c>
      <c r="C359" t="str">
        <f>IF(SAISIE!$F364="","",SAISIE!$D364)</f>
        <v/>
      </c>
      <c r="D359" t="str">
        <f>IF(SAISIE!$E364="","",SAISIE!$E364)</f>
        <v/>
      </c>
      <c r="E359" t="str">
        <f>IF(SAISIE!$F364="","",SAISIE!$F364)</f>
        <v/>
      </c>
      <c r="F359" t="str">
        <f>IF(SAISIE!$G364="","",SAISIE!$G364)</f>
        <v/>
      </c>
      <c r="G359" t="str">
        <f>IF(SAISIE!$H364="","",SAISIE!$H364)</f>
        <v/>
      </c>
      <c r="H359" t="str">
        <f>IF(SAISIE!$I364="","",SAISIE!$I364)</f>
        <v/>
      </c>
      <c r="I359" t="str">
        <f>IF(SAISIE!$J364="","",SAISIE!$J364)</f>
        <v/>
      </c>
      <c r="J359" t="str">
        <f>IF(SAISIE!$K364="","",SAISIE!$K364)</f>
        <v/>
      </c>
      <c r="K359" t="str">
        <f>IF(SAISIE!$L364="","",SAISIE!$L364)</f>
        <v/>
      </c>
      <c r="L359" t="str">
        <f>IF(SAISIE!$M364="","",SAISIE!$M364)</f>
        <v/>
      </c>
      <c r="M359" t="str">
        <f>IF(SAISIE!$N364="","",SAISIE!$N364)</f>
        <v/>
      </c>
      <c r="N359" t="str">
        <f>IF(SAISIE!$O364="","",SAISIE!$O364)</f>
        <v/>
      </c>
      <c r="O359" t="str">
        <f>IF(SAISIE!$P364="","",SAISIE!$P364)</f>
        <v/>
      </c>
      <c r="P359" t="str">
        <f>IF(SAISIE!$Q364="","",SAISIE!$Q364)</f>
        <v/>
      </c>
      <c r="Q359" t="str">
        <f>IF($I359="","",IF($I359&gt;PARAMETRES!$G$29,5,IF($I359&gt;PARAMETRES!$F$29,4,IF($I359&gt;PARAMETRES!$E$29,3,IF($I359&gt;PARAMETRES!$D$29,2,1)))))</f>
        <v/>
      </c>
      <c r="R359" t="str">
        <f>IF($J359="","",IF($J359&gt;PARAMETRES!$G$30,5,IF($J359&gt;PARAMETRES!$F$30,4,IF($J359&gt;PARAMETRES!$E$30,3,IF($J359&gt;PARAMETRES!$D$30,2,1)))))</f>
        <v/>
      </c>
      <c r="S359" t="str">
        <f>IF($K359="","",IF($Z359=2,IF($K359&gt;PARAMETRES!$G$31,5,IF($K359&gt;PARAMETRES!$F$31,4,IF($K359&gt;PARAMETRES!$E$31,3,IF($K359&gt;PARAMETRES!$D$31,2,1)))),IF($K359&gt;PARAMETRES!$G$32,5,IF($K359&gt;PARAMETRES!$F$32,4,IF($K359&gt;PARAMETRES!$E$32,3,IF($K359&gt;PARAMETRES!$D$32,2,1))))))</f>
        <v/>
      </c>
      <c r="T359" t="str">
        <f>IF($L359="","",IF($L359&gt;PARAMETRES!$G$33,5,IF($L359&gt;PARAMETRES!$F$33,4,IF($L359&gt;PARAMETRES!$E$33,3,IF($L359&gt;PARAMETRES!$D$33,2,1)))))</f>
        <v/>
      </c>
      <c r="U359" t="str">
        <f>IF($M359="","",IF($M359&gt;PARAMETRES!$G$34,5,IF($M359&gt;PARAMETRES!$F$34,4,IF($M359&gt;PARAMETRES!$E$34,3,IF($M359&gt;PARAMETRES!$D$34,2,1)))))</f>
        <v/>
      </c>
      <c r="V359" t="str">
        <f>IF($N359="","",IF($N359&gt;PARAMETRES!$G$35,5,IF($N359&gt;PARAMETRES!$F$35,4,IF($N359&gt;PARAMETRES!$E$35,3,IF($N359&gt;PARAMETRES!$D$35,2,1)))))</f>
        <v/>
      </c>
      <c r="W359" t="str">
        <f>IF($O359="","",IF($O359&gt;PARAMETRES!$G$36,5,IF($O359&gt;PARAMETRES!$F$36,4,IF($O359&gt;PARAMETRES!$E$36,3,IF($O359&gt;PARAMETRES!$D$36,2,1)))))</f>
        <v/>
      </c>
      <c r="X359" t="str">
        <f>IF($P359="","",IF($P359&gt;PARAMETRES!$G$37,5,IF($P359&gt;PARAMETRES!$F$37,4,IF($P359&gt;PARAMETRES!$E$37,3,IF($P359&gt;PARAMETRES!$D$37,2,1)))))</f>
        <v/>
      </c>
      <c r="Y359" t="str">
        <f t="shared" si="120"/>
        <v/>
      </c>
      <c r="Z359" t="str">
        <f>IFERROR(VLOOKUP($B359,TABLE_CYCLE,2,0),"")</f>
        <v/>
      </c>
      <c r="AA359" t="str">
        <f t="shared" si="121"/>
        <v/>
      </c>
      <c r="AB359" t="str">
        <f>IF($D359="","",IF(COUNTIF($D$2:$D359,$D359)=1,$D359,""))</f>
        <v/>
      </c>
      <c r="AC359">
        <f t="shared" si="122"/>
        <v>0</v>
      </c>
      <c r="AD359" t="str">
        <f t="shared" si="123"/>
        <v>|0</v>
      </c>
      <c r="AE359" t="str">
        <f t="shared" si="124"/>
        <v/>
      </c>
      <c r="AF359" t="str">
        <f t="shared" si="125"/>
        <v/>
      </c>
      <c r="AG359" t="str">
        <f t="shared" si="126"/>
        <v/>
      </c>
      <c r="AH359" t="str">
        <f t="shared" si="127"/>
        <v/>
      </c>
      <c r="AI359" t="str">
        <f t="shared" si="128"/>
        <v/>
      </c>
      <c r="AJ359" t="str">
        <f t="shared" si="129"/>
        <v/>
      </c>
      <c r="AK359" t="str">
        <f t="shared" si="130"/>
        <v/>
      </c>
      <c r="AL359" t="str">
        <f t="shared" si="131"/>
        <v/>
      </c>
      <c r="AM359" t="str">
        <f t="shared" si="132"/>
        <v/>
      </c>
      <c r="AN359" t="str">
        <f t="shared" si="133"/>
        <v/>
      </c>
      <c r="AO359" t="str">
        <f t="shared" si="134"/>
        <v/>
      </c>
      <c r="AP359">
        <f t="shared" si="135"/>
        <v>1</v>
      </c>
      <c r="AQ359" t="str">
        <f>IF(SAISIE!$F364="","",SAISIE!$Y364)</f>
        <v/>
      </c>
      <c r="AR359" t="str">
        <f>IF(OR(SAISIE!$U$4="",SAISIE!$W$4=""),"",IF(AND($A359=SAISIE!$U$4,$B359=SAISIE!$W$4,$C359="S1"),COUNTIFS($A$2:$A359,SAISIE!$U$4,$B$2:$B359,SAISIE!$W$4,$C$2:$C359,"S1"),""))</f>
        <v/>
      </c>
      <c r="AS359" t="str">
        <f t="shared" si="136"/>
        <v/>
      </c>
      <c r="AT359" t="str">
        <f t="shared" si="137"/>
        <v/>
      </c>
      <c r="AU359" t="str">
        <f t="shared" si="138"/>
        <v/>
      </c>
      <c r="AV359">
        <f>N(AV358)+IF(AND($AB359&lt;&gt;"",OR('PROFIL ELEVE'!$K$4="(Tous)",$AF359='PROFIL ELEVE'!$K$4)),1,0)</f>
        <v>0</v>
      </c>
      <c r="AW359">
        <f>N(AW358)+IF(AND($AB359&lt;&gt;"",OR('SUIVI LONGITUDINAL'!$Q$4="(Tous)",$AF359='SUIVI LONGITUDINAL'!$Q$4)),1,0)</f>
        <v>0</v>
      </c>
      <c r="AX359">
        <f t="shared" si="139"/>
        <v>0</v>
      </c>
      <c r="AY359">
        <f t="shared" si="140"/>
        <v>0</v>
      </c>
      <c r="AZ359">
        <f t="shared" si="141"/>
        <v>0</v>
      </c>
      <c r="BA359" t="str">
        <f t="shared" si="142"/>
        <v/>
      </c>
      <c r="BB359" t="str">
        <f t="shared" si="143"/>
        <v/>
      </c>
    </row>
    <row r="360" spans="1:54" ht="14.25" customHeight="1" x14ac:dyDescent="0.3">
      <c r="A360" t="str">
        <f>IF(SAISIE!$F365="","",SAISIE!$B365)</f>
        <v/>
      </c>
      <c r="B360" t="str">
        <f>IF(SAISIE!$F365="","",SAISIE!$C365)</f>
        <v/>
      </c>
      <c r="C360" t="str">
        <f>IF(SAISIE!$F365="","",SAISIE!$D365)</f>
        <v/>
      </c>
      <c r="D360" t="str">
        <f>IF(SAISIE!$E365="","",SAISIE!$E365)</f>
        <v/>
      </c>
      <c r="E360" t="str">
        <f>IF(SAISIE!$F365="","",SAISIE!$F365)</f>
        <v/>
      </c>
      <c r="F360" t="str">
        <f>IF(SAISIE!$G365="","",SAISIE!$G365)</f>
        <v/>
      </c>
      <c r="G360" t="str">
        <f>IF(SAISIE!$H365="","",SAISIE!$H365)</f>
        <v/>
      </c>
      <c r="H360" t="str">
        <f>IF(SAISIE!$I365="","",SAISIE!$I365)</f>
        <v/>
      </c>
      <c r="I360" t="str">
        <f>IF(SAISIE!$J365="","",SAISIE!$J365)</f>
        <v/>
      </c>
      <c r="J360" t="str">
        <f>IF(SAISIE!$K365="","",SAISIE!$K365)</f>
        <v/>
      </c>
      <c r="K360" t="str">
        <f>IF(SAISIE!$L365="","",SAISIE!$L365)</f>
        <v/>
      </c>
      <c r="L360" t="str">
        <f>IF(SAISIE!$M365="","",SAISIE!$M365)</f>
        <v/>
      </c>
      <c r="M360" t="str">
        <f>IF(SAISIE!$N365="","",SAISIE!$N365)</f>
        <v/>
      </c>
      <c r="N360" t="str">
        <f>IF(SAISIE!$O365="","",SAISIE!$O365)</f>
        <v/>
      </c>
      <c r="O360" t="str">
        <f>IF(SAISIE!$P365="","",SAISIE!$P365)</f>
        <v/>
      </c>
      <c r="P360" t="str">
        <f>IF(SAISIE!$Q365="","",SAISIE!$Q365)</f>
        <v/>
      </c>
      <c r="Q360" t="str">
        <f>IF($I360="","",IF($I360&gt;PARAMETRES!$G$29,5,IF($I360&gt;PARAMETRES!$F$29,4,IF($I360&gt;PARAMETRES!$E$29,3,IF($I360&gt;PARAMETRES!$D$29,2,1)))))</f>
        <v/>
      </c>
      <c r="R360" t="str">
        <f>IF($J360="","",IF($J360&gt;PARAMETRES!$G$30,5,IF($J360&gt;PARAMETRES!$F$30,4,IF($J360&gt;PARAMETRES!$E$30,3,IF($J360&gt;PARAMETRES!$D$30,2,1)))))</f>
        <v/>
      </c>
      <c r="S360" t="str">
        <f>IF($K360="","",IF($Z360=2,IF($K360&gt;PARAMETRES!$G$31,5,IF($K360&gt;PARAMETRES!$F$31,4,IF($K360&gt;PARAMETRES!$E$31,3,IF($K360&gt;PARAMETRES!$D$31,2,1)))),IF($K360&gt;PARAMETRES!$G$32,5,IF($K360&gt;PARAMETRES!$F$32,4,IF($K360&gt;PARAMETRES!$E$32,3,IF($K360&gt;PARAMETRES!$D$32,2,1))))))</f>
        <v/>
      </c>
      <c r="T360" t="str">
        <f>IF($L360="","",IF($L360&gt;PARAMETRES!$G$33,5,IF($L360&gt;PARAMETRES!$F$33,4,IF($L360&gt;PARAMETRES!$E$33,3,IF($L360&gt;PARAMETRES!$D$33,2,1)))))</f>
        <v/>
      </c>
      <c r="U360" t="str">
        <f>IF($M360="","",IF($M360&gt;PARAMETRES!$G$34,5,IF($M360&gt;PARAMETRES!$F$34,4,IF($M360&gt;PARAMETRES!$E$34,3,IF($M360&gt;PARAMETRES!$D$34,2,1)))))</f>
        <v/>
      </c>
      <c r="V360" t="str">
        <f>IF($N360="","",IF($N360&gt;PARAMETRES!$G$35,5,IF($N360&gt;PARAMETRES!$F$35,4,IF($N360&gt;PARAMETRES!$E$35,3,IF($N360&gt;PARAMETRES!$D$35,2,1)))))</f>
        <v/>
      </c>
      <c r="W360" t="str">
        <f>IF($O360="","",IF($O360&gt;PARAMETRES!$G$36,5,IF($O360&gt;PARAMETRES!$F$36,4,IF($O360&gt;PARAMETRES!$E$36,3,IF($O360&gt;PARAMETRES!$D$36,2,1)))))</f>
        <v/>
      </c>
      <c r="X360" t="str">
        <f>IF($P360="","",IF($P360&gt;PARAMETRES!$G$37,5,IF($P360&gt;PARAMETRES!$F$37,4,IF($P360&gt;PARAMETRES!$E$37,3,IF($P360&gt;PARAMETRES!$D$37,2,1)))))</f>
        <v/>
      </c>
      <c r="Y360" t="str">
        <f t="shared" si="120"/>
        <v/>
      </c>
      <c r="Z360" t="str">
        <f>IFERROR(VLOOKUP($B360,TABLE_CYCLE,2,0),"")</f>
        <v/>
      </c>
      <c r="AA360" t="str">
        <f t="shared" si="121"/>
        <v/>
      </c>
      <c r="AB360" t="str">
        <f>IF($D360="","",IF(COUNTIF($D$2:$D360,$D360)=1,$D360,""))</f>
        <v/>
      </c>
      <c r="AC360">
        <f t="shared" si="122"/>
        <v>0</v>
      </c>
      <c r="AD360" t="str">
        <f t="shared" si="123"/>
        <v>|0</v>
      </c>
      <c r="AE360" t="str">
        <f t="shared" si="124"/>
        <v/>
      </c>
      <c r="AF360" t="str">
        <f t="shared" si="125"/>
        <v/>
      </c>
      <c r="AG360" t="str">
        <f t="shared" si="126"/>
        <v/>
      </c>
      <c r="AH360" t="str">
        <f t="shared" si="127"/>
        <v/>
      </c>
      <c r="AI360" t="str">
        <f t="shared" si="128"/>
        <v/>
      </c>
      <c r="AJ360" t="str">
        <f t="shared" si="129"/>
        <v/>
      </c>
      <c r="AK360" t="str">
        <f t="shared" si="130"/>
        <v/>
      </c>
      <c r="AL360" t="str">
        <f t="shared" si="131"/>
        <v/>
      </c>
      <c r="AM360" t="str">
        <f t="shared" si="132"/>
        <v/>
      </c>
      <c r="AN360" t="str">
        <f t="shared" si="133"/>
        <v/>
      </c>
      <c r="AO360" t="str">
        <f t="shared" si="134"/>
        <v/>
      </c>
      <c r="AP360">
        <f t="shared" si="135"/>
        <v>1</v>
      </c>
      <c r="AQ360" t="str">
        <f>IF(SAISIE!$F365="","",SAISIE!$Y365)</f>
        <v/>
      </c>
      <c r="AR360" t="str">
        <f>IF(OR(SAISIE!$U$4="",SAISIE!$W$4=""),"",IF(AND($A360=SAISIE!$U$4,$B360=SAISIE!$W$4,$C360="S1"),COUNTIFS($A$2:$A360,SAISIE!$U$4,$B$2:$B360,SAISIE!$W$4,$C$2:$C360,"S1"),""))</f>
        <v/>
      </c>
      <c r="AS360" t="str">
        <f t="shared" si="136"/>
        <v/>
      </c>
      <c r="AT360" t="str">
        <f t="shared" si="137"/>
        <v/>
      </c>
      <c r="AU360" t="str">
        <f t="shared" si="138"/>
        <v/>
      </c>
      <c r="AV360">
        <f>N(AV359)+IF(AND($AB360&lt;&gt;"",OR('PROFIL ELEVE'!$K$4="(Tous)",$AF360='PROFIL ELEVE'!$K$4)),1,0)</f>
        <v>0</v>
      </c>
      <c r="AW360">
        <f>N(AW359)+IF(AND($AB360&lt;&gt;"",OR('SUIVI LONGITUDINAL'!$Q$4="(Tous)",$AF360='SUIVI LONGITUDINAL'!$Q$4)),1,0)</f>
        <v>0</v>
      </c>
      <c r="AX360">
        <f t="shared" si="139"/>
        <v>0</v>
      </c>
      <c r="AY360">
        <f t="shared" si="140"/>
        <v>0</v>
      </c>
      <c r="AZ360">
        <f t="shared" si="141"/>
        <v>0</v>
      </c>
      <c r="BA360" t="str">
        <f t="shared" si="142"/>
        <v/>
      </c>
      <c r="BB360" t="str">
        <f t="shared" si="143"/>
        <v/>
      </c>
    </row>
    <row r="361" spans="1:54" ht="14.25" customHeight="1" x14ac:dyDescent="0.3">
      <c r="A361" t="str">
        <f>IF(SAISIE!$F366="","",SAISIE!$B366)</f>
        <v/>
      </c>
      <c r="B361" t="str">
        <f>IF(SAISIE!$F366="","",SAISIE!$C366)</f>
        <v/>
      </c>
      <c r="C361" t="str">
        <f>IF(SAISIE!$F366="","",SAISIE!$D366)</f>
        <v/>
      </c>
      <c r="D361" t="str">
        <f>IF(SAISIE!$E366="","",SAISIE!$E366)</f>
        <v/>
      </c>
      <c r="E361" t="str">
        <f>IF(SAISIE!$F366="","",SAISIE!$F366)</f>
        <v/>
      </c>
      <c r="F361" t="str">
        <f>IF(SAISIE!$G366="","",SAISIE!$G366)</f>
        <v/>
      </c>
      <c r="G361" t="str">
        <f>IF(SAISIE!$H366="","",SAISIE!$H366)</f>
        <v/>
      </c>
      <c r="H361" t="str">
        <f>IF(SAISIE!$I366="","",SAISIE!$I366)</f>
        <v/>
      </c>
      <c r="I361" t="str">
        <f>IF(SAISIE!$J366="","",SAISIE!$J366)</f>
        <v/>
      </c>
      <c r="J361" t="str">
        <f>IF(SAISIE!$K366="","",SAISIE!$K366)</f>
        <v/>
      </c>
      <c r="K361" t="str">
        <f>IF(SAISIE!$L366="","",SAISIE!$L366)</f>
        <v/>
      </c>
      <c r="L361" t="str">
        <f>IF(SAISIE!$M366="","",SAISIE!$M366)</f>
        <v/>
      </c>
      <c r="M361" t="str">
        <f>IF(SAISIE!$N366="","",SAISIE!$N366)</f>
        <v/>
      </c>
      <c r="N361" t="str">
        <f>IF(SAISIE!$O366="","",SAISIE!$O366)</f>
        <v/>
      </c>
      <c r="O361" t="str">
        <f>IF(SAISIE!$P366="","",SAISIE!$P366)</f>
        <v/>
      </c>
      <c r="P361" t="str">
        <f>IF(SAISIE!$Q366="","",SAISIE!$Q366)</f>
        <v/>
      </c>
      <c r="Q361" t="str">
        <f>IF($I361="","",IF($I361&gt;PARAMETRES!$G$29,5,IF($I361&gt;PARAMETRES!$F$29,4,IF($I361&gt;PARAMETRES!$E$29,3,IF($I361&gt;PARAMETRES!$D$29,2,1)))))</f>
        <v/>
      </c>
      <c r="R361" t="str">
        <f>IF($J361="","",IF($J361&gt;PARAMETRES!$G$30,5,IF($J361&gt;PARAMETRES!$F$30,4,IF($J361&gt;PARAMETRES!$E$30,3,IF($J361&gt;PARAMETRES!$D$30,2,1)))))</f>
        <v/>
      </c>
      <c r="S361" t="str">
        <f>IF($K361="","",IF($Z361=2,IF($K361&gt;PARAMETRES!$G$31,5,IF($K361&gt;PARAMETRES!$F$31,4,IF($K361&gt;PARAMETRES!$E$31,3,IF($K361&gt;PARAMETRES!$D$31,2,1)))),IF($K361&gt;PARAMETRES!$G$32,5,IF($K361&gt;PARAMETRES!$F$32,4,IF($K361&gt;PARAMETRES!$E$32,3,IF($K361&gt;PARAMETRES!$D$32,2,1))))))</f>
        <v/>
      </c>
      <c r="T361" t="str">
        <f>IF($L361="","",IF($L361&gt;PARAMETRES!$G$33,5,IF($L361&gt;PARAMETRES!$F$33,4,IF($L361&gt;PARAMETRES!$E$33,3,IF($L361&gt;PARAMETRES!$D$33,2,1)))))</f>
        <v/>
      </c>
      <c r="U361" t="str">
        <f>IF($M361="","",IF($M361&gt;PARAMETRES!$G$34,5,IF($M361&gt;PARAMETRES!$F$34,4,IF($M361&gt;PARAMETRES!$E$34,3,IF($M361&gt;PARAMETRES!$D$34,2,1)))))</f>
        <v/>
      </c>
      <c r="V361" t="str">
        <f>IF($N361="","",IF($N361&gt;PARAMETRES!$G$35,5,IF($N361&gt;PARAMETRES!$F$35,4,IF($N361&gt;PARAMETRES!$E$35,3,IF($N361&gt;PARAMETRES!$D$35,2,1)))))</f>
        <v/>
      </c>
      <c r="W361" t="str">
        <f>IF($O361="","",IF($O361&gt;PARAMETRES!$G$36,5,IF($O361&gt;PARAMETRES!$F$36,4,IF($O361&gt;PARAMETRES!$E$36,3,IF($O361&gt;PARAMETRES!$D$36,2,1)))))</f>
        <v/>
      </c>
      <c r="X361" t="str">
        <f>IF($P361="","",IF($P361&gt;PARAMETRES!$G$37,5,IF($P361&gt;PARAMETRES!$F$37,4,IF($P361&gt;PARAMETRES!$E$37,3,IF($P361&gt;PARAMETRES!$D$37,2,1)))))</f>
        <v/>
      </c>
      <c r="Y361" t="str">
        <f t="shared" si="120"/>
        <v/>
      </c>
      <c r="Z361" t="str">
        <f>IFERROR(VLOOKUP($B361,TABLE_CYCLE,2,0),"")</f>
        <v/>
      </c>
      <c r="AA361" t="str">
        <f t="shared" si="121"/>
        <v/>
      </c>
      <c r="AB361" t="str">
        <f>IF($D361="","",IF(COUNTIF($D$2:$D361,$D361)=1,$D361,""))</f>
        <v/>
      </c>
      <c r="AC361">
        <f t="shared" si="122"/>
        <v>0</v>
      </c>
      <c r="AD361" t="str">
        <f t="shared" si="123"/>
        <v>|0</v>
      </c>
      <c r="AE361" t="str">
        <f t="shared" si="124"/>
        <v/>
      </c>
      <c r="AF361" t="str">
        <f t="shared" si="125"/>
        <v/>
      </c>
      <c r="AG361" t="str">
        <f t="shared" si="126"/>
        <v/>
      </c>
      <c r="AH361" t="str">
        <f t="shared" si="127"/>
        <v/>
      </c>
      <c r="AI361" t="str">
        <f t="shared" si="128"/>
        <v/>
      </c>
      <c r="AJ361" t="str">
        <f t="shared" si="129"/>
        <v/>
      </c>
      <c r="AK361" t="str">
        <f t="shared" si="130"/>
        <v/>
      </c>
      <c r="AL361" t="str">
        <f t="shared" si="131"/>
        <v/>
      </c>
      <c r="AM361" t="str">
        <f t="shared" si="132"/>
        <v/>
      </c>
      <c r="AN361" t="str">
        <f t="shared" si="133"/>
        <v/>
      </c>
      <c r="AO361" t="str">
        <f t="shared" si="134"/>
        <v/>
      </c>
      <c r="AP361">
        <f t="shared" si="135"/>
        <v>1</v>
      </c>
      <c r="AQ361" t="str">
        <f>IF(SAISIE!$F366="","",SAISIE!$Y366)</f>
        <v/>
      </c>
      <c r="AR361" t="str">
        <f>IF(OR(SAISIE!$U$4="",SAISIE!$W$4=""),"",IF(AND($A361=SAISIE!$U$4,$B361=SAISIE!$W$4,$C361="S1"),COUNTIFS($A$2:$A361,SAISIE!$U$4,$B$2:$B361,SAISIE!$W$4,$C$2:$C361,"S1"),""))</f>
        <v/>
      </c>
      <c r="AS361" t="str">
        <f t="shared" si="136"/>
        <v/>
      </c>
      <c r="AT361" t="str">
        <f t="shared" si="137"/>
        <v/>
      </c>
      <c r="AU361" t="str">
        <f t="shared" si="138"/>
        <v/>
      </c>
      <c r="AV361">
        <f>N(AV360)+IF(AND($AB361&lt;&gt;"",OR('PROFIL ELEVE'!$K$4="(Tous)",$AF361='PROFIL ELEVE'!$K$4)),1,0)</f>
        <v>0</v>
      </c>
      <c r="AW361">
        <f>N(AW360)+IF(AND($AB361&lt;&gt;"",OR('SUIVI LONGITUDINAL'!$Q$4="(Tous)",$AF361='SUIVI LONGITUDINAL'!$Q$4)),1,0)</f>
        <v>0</v>
      </c>
      <c r="AX361">
        <f t="shared" si="139"/>
        <v>0</v>
      </c>
      <c r="AY361">
        <f t="shared" si="140"/>
        <v>0</v>
      </c>
      <c r="AZ361">
        <f t="shared" si="141"/>
        <v>0</v>
      </c>
      <c r="BA361" t="str">
        <f t="shared" si="142"/>
        <v/>
      </c>
      <c r="BB361" t="str">
        <f t="shared" si="143"/>
        <v/>
      </c>
    </row>
    <row r="362" spans="1:54" ht="14.25" customHeight="1" x14ac:dyDescent="0.3">
      <c r="A362" t="str">
        <f>IF(SAISIE!$F367="","",SAISIE!$B367)</f>
        <v/>
      </c>
      <c r="B362" t="str">
        <f>IF(SAISIE!$F367="","",SAISIE!$C367)</f>
        <v/>
      </c>
      <c r="C362" t="str">
        <f>IF(SAISIE!$F367="","",SAISIE!$D367)</f>
        <v/>
      </c>
      <c r="D362" t="str">
        <f>IF(SAISIE!$E367="","",SAISIE!$E367)</f>
        <v/>
      </c>
      <c r="E362" t="str">
        <f>IF(SAISIE!$F367="","",SAISIE!$F367)</f>
        <v/>
      </c>
      <c r="F362" t="str">
        <f>IF(SAISIE!$G367="","",SAISIE!$G367)</f>
        <v/>
      </c>
      <c r="G362" t="str">
        <f>IF(SAISIE!$H367="","",SAISIE!$H367)</f>
        <v/>
      </c>
      <c r="H362" t="str">
        <f>IF(SAISIE!$I367="","",SAISIE!$I367)</f>
        <v/>
      </c>
      <c r="I362" t="str">
        <f>IF(SAISIE!$J367="","",SAISIE!$J367)</f>
        <v/>
      </c>
      <c r="J362" t="str">
        <f>IF(SAISIE!$K367="","",SAISIE!$K367)</f>
        <v/>
      </c>
      <c r="K362" t="str">
        <f>IF(SAISIE!$L367="","",SAISIE!$L367)</f>
        <v/>
      </c>
      <c r="L362" t="str">
        <f>IF(SAISIE!$M367="","",SAISIE!$M367)</f>
        <v/>
      </c>
      <c r="M362" t="str">
        <f>IF(SAISIE!$N367="","",SAISIE!$N367)</f>
        <v/>
      </c>
      <c r="N362" t="str">
        <f>IF(SAISIE!$O367="","",SAISIE!$O367)</f>
        <v/>
      </c>
      <c r="O362" t="str">
        <f>IF(SAISIE!$P367="","",SAISIE!$P367)</f>
        <v/>
      </c>
      <c r="P362" t="str">
        <f>IF(SAISIE!$Q367="","",SAISIE!$Q367)</f>
        <v/>
      </c>
      <c r="Q362" t="str">
        <f>IF($I362="","",IF($I362&gt;PARAMETRES!$G$29,5,IF($I362&gt;PARAMETRES!$F$29,4,IF($I362&gt;PARAMETRES!$E$29,3,IF($I362&gt;PARAMETRES!$D$29,2,1)))))</f>
        <v/>
      </c>
      <c r="R362" t="str">
        <f>IF($J362="","",IF($J362&gt;PARAMETRES!$G$30,5,IF($J362&gt;PARAMETRES!$F$30,4,IF($J362&gt;PARAMETRES!$E$30,3,IF($J362&gt;PARAMETRES!$D$30,2,1)))))</f>
        <v/>
      </c>
      <c r="S362" t="str">
        <f>IF($K362="","",IF($Z362=2,IF($K362&gt;PARAMETRES!$G$31,5,IF($K362&gt;PARAMETRES!$F$31,4,IF($K362&gt;PARAMETRES!$E$31,3,IF($K362&gt;PARAMETRES!$D$31,2,1)))),IF($K362&gt;PARAMETRES!$G$32,5,IF($K362&gt;PARAMETRES!$F$32,4,IF($K362&gt;PARAMETRES!$E$32,3,IF($K362&gt;PARAMETRES!$D$32,2,1))))))</f>
        <v/>
      </c>
      <c r="T362" t="str">
        <f>IF($L362="","",IF($L362&gt;PARAMETRES!$G$33,5,IF($L362&gt;PARAMETRES!$F$33,4,IF($L362&gt;PARAMETRES!$E$33,3,IF($L362&gt;PARAMETRES!$D$33,2,1)))))</f>
        <v/>
      </c>
      <c r="U362" t="str">
        <f>IF($M362="","",IF($M362&gt;PARAMETRES!$G$34,5,IF($M362&gt;PARAMETRES!$F$34,4,IF($M362&gt;PARAMETRES!$E$34,3,IF($M362&gt;PARAMETRES!$D$34,2,1)))))</f>
        <v/>
      </c>
      <c r="V362" t="str">
        <f>IF($N362="","",IF($N362&gt;PARAMETRES!$G$35,5,IF($N362&gt;PARAMETRES!$F$35,4,IF($N362&gt;PARAMETRES!$E$35,3,IF($N362&gt;PARAMETRES!$D$35,2,1)))))</f>
        <v/>
      </c>
      <c r="W362" t="str">
        <f>IF($O362="","",IF($O362&gt;PARAMETRES!$G$36,5,IF($O362&gt;PARAMETRES!$F$36,4,IF($O362&gt;PARAMETRES!$E$36,3,IF($O362&gt;PARAMETRES!$D$36,2,1)))))</f>
        <v/>
      </c>
      <c r="X362" t="str">
        <f>IF($P362="","",IF($P362&gt;PARAMETRES!$G$37,5,IF($P362&gt;PARAMETRES!$F$37,4,IF($P362&gt;PARAMETRES!$E$37,3,IF($P362&gt;PARAMETRES!$D$37,2,1)))))</f>
        <v/>
      </c>
      <c r="Y362" t="str">
        <f t="shared" si="120"/>
        <v/>
      </c>
      <c r="Z362" t="str">
        <f>IFERROR(VLOOKUP($B362,TABLE_CYCLE,2,0),"")</f>
        <v/>
      </c>
      <c r="AA362" t="str">
        <f t="shared" si="121"/>
        <v/>
      </c>
      <c r="AB362" t="str">
        <f>IF($D362="","",IF(COUNTIF($D$2:$D362,$D362)=1,$D362,""))</f>
        <v/>
      </c>
      <c r="AC362">
        <f t="shared" si="122"/>
        <v>0</v>
      </c>
      <c r="AD362" t="str">
        <f t="shared" si="123"/>
        <v>|0</v>
      </c>
      <c r="AE362" t="str">
        <f t="shared" si="124"/>
        <v/>
      </c>
      <c r="AF362" t="str">
        <f t="shared" si="125"/>
        <v/>
      </c>
      <c r="AG362" t="str">
        <f t="shared" si="126"/>
        <v/>
      </c>
      <c r="AH362" t="str">
        <f t="shared" si="127"/>
        <v/>
      </c>
      <c r="AI362" t="str">
        <f t="shared" si="128"/>
        <v/>
      </c>
      <c r="AJ362" t="str">
        <f t="shared" si="129"/>
        <v/>
      </c>
      <c r="AK362" t="str">
        <f t="shared" si="130"/>
        <v/>
      </c>
      <c r="AL362" t="str">
        <f t="shared" si="131"/>
        <v/>
      </c>
      <c r="AM362" t="str">
        <f t="shared" si="132"/>
        <v/>
      </c>
      <c r="AN362" t="str">
        <f t="shared" si="133"/>
        <v/>
      </c>
      <c r="AO362" t="str">
        <f t="shared" si="134"/>
        <v/>
      </c>
      <c r="AP362">
        <f t="shared" si="135"/>
        <v>1</v>
      </c>
      <c r="AQ362" t="str">
        <f>IF(SAISIE!$F367="","",SAISIE!$Y367)</f>
        <v/>
      </c>
      <c r="AR362" t="str">
        <f>IF(OR(SAISIE!$U$4="",SAISIE!$W$4=""),"",IF(AND($A362=SAISIE!$U$4,$B362=SAISIE!$W$4,$C362="S1"),COUNTIFS($A$2:$A362,SAISIE!$U$4,$B$2:$B362,SAISIE!$W$4,$C$2:$C362,"S1"),""))</f>
        <v/>
      </c>
      <c r="AS362" t="str">
        <f t="shared" si="136"/>
        <v/>
      </c>
      <c r="AT362" t="str">
        <f t="shared" si="137"/>
        <v/>
      </c>
      <c r="AU362" t="str">
        <f t="shared" si="138"/>
        <v/>
      </c>
      <c r="AV362">
        <f>N(AV361)+IF(AND($AB362&lt;&gt;"",OR('PROFIL ELEVE'!$K$4="(Tous)",$AF362='PROFIL ELEVE'!$K$4)),1,0)</f>
        <v>0</v>
      </c>
      <c r="AW362">
        <f>N(AW361)+IF(AND($AB362&lt;&gt;"",OR('SUIVI LONGITUDINAL'!$Q$4="(Tous)",$AF362='SUIVI LONGITUDINAL'!$Q$4)),1,0)</f>
        <v>0</v>
      </c>
      <c r="AX362">
        <f t="shared" si="139"/>
        <v>0</v>
      </c>
      <c r="AY362">
        <f t="shared" si="140"/>
        <v>0</v>
      </c>
      <c r="AZ362">
        <f t="shared" si="141"/>
        <v>0</v>
      </c>
      <c r="BA362" t="str">
        <f t="shared" si="142"/>
        <v/>
      </c>
      <c r="BB362" t="str">
        <f t="shared" si="143"/>
        <v/>
      </c>
    </row>
    <row r="363" spans="1:54" ht="14.25" customHeight="1" x14ac:dyDescent="0.3">
      <c r="A363" t="str">
        <f>IF(SAISIE!$F368="","",SAISIE!$B368)</f>
        <v/>
      </c>
      <c r="B363" t="str">
        <f>IF(SAISIE!$F368="","",SAISIE!$C368)</f>
        <v/>
      </c>
      <c r="C363" t="str">
        <f>IF(SAISIE!$F368="","",SAISIE!$D368)</f>
        <v/>
      </c>
      <c r="D363" t="str">
        <f>IF(SAISIE!$E368="","",SAISIE!$E368)</f>
        <v/>
      </c>
      <c r="E363" t="str">
        <f>IF(SAISIE!$F368="","",SAISIE!$F368)</f>
        <v/>
      </c>
      <c r="F363" t="str">
        <f>IF(SAISIE!$G368="","",SAISIE!$G368)</f>
        <v/>
      </c>
      <c r="G363" t="str">
        <f>IF(SAISIE!$H368="","",SAISIE!$H368)</f>
        <v/>
      </c>
      <c r="H363" t="str">
        <f>IF(SAISIE!$I368="","",SAISIE!$I368)</f>
        <v/>
      </c>
      <c r="I363" t="str">
        <f>IF(SAISIE!$J368="","",SAISIE!$J368)</f>
        <v/>
      </c>
      <c r="J363" t="str">
        <f>IF(SAISIE!$K368="","",SAISIE!$K368)</f>
        <v/>
      </c>
      <c r="K363" t="str">
        <f>IF(SAISIE!$L368="","",SAISIE!$L368)</f>
        <v/>
      </c>
      <c r="L363" t="str">
        <f>IF(SAISIE!$M368="","",SAISIE!$M368)</f>
        <v/>
      </c>
      <c r="M363" t="str">
        <f>IF(SAISIE!$N368="","",SAISIE!$N368)</f>
        <v/>
      </c>
      <c r="N363" t="str">
        <f>IF(SAISIE!$O368="","",SAISIE!$O368)</f>
        <v/>
      </c>
      <c r="O363" t="str">
        <f>IF(SAISIE!$P368="","",SAISIE!$P368)</f>
        <v/>
      </c>
      <c r="P363" t="str">
        <f>IF(SAISIE!$Q368="","",SAISIE!$Q368)</f>
        <v/>
      </c>
      <c r="Q363" t="str">
        <f>IF($I363="","",IF($I363&gt;PARAMETRES!$G$29,5,IF($I363&gt;PARAMETRES!$F$29,4,IF($I363&gt;PARAMETRES!$E$29,3,IF($I363&gt;PARAMETRES!$D$29,2,1)))))</f>
        <v/>
      </c>
      <c r="R363" t="str">
        <f>IF($J363="","",IF($J363&gt;PARAMETRES!$G$30,5,IF($J363&gt;PARAMETRES!$F$30,4,IF($J363&gt;PARAMETRES!$E$30,3,IF($J363&gt;PARAMETRES!$D$30,2,1)))))</f>
        <v/>
      </c>
      <c r="S363" t="str">
        <f>IF($K363="","",IF($Z363=2,IF($K363&gt;PARAMETRES!$G$31,5,IF($K363&gt;PARAMETRES!$F$31,4,IF($K363&gt;PARAMETRES!$E$31,3,IF($K363&gt;PARAMETRES!$D$31,2,1)))),IF($K363&gt;PARAMETRES!$G$32,5,IF($K363&gt;PARAMETRES!$F$32,4,IF($K363&gt;PARAMETRES!$E$32,3,IF($K363&gt;PARAMETRES!$D$32,2,1))))))</f>
        <v/>
      </c>
      <c r="T363" t="str">
        <f>IF($L363="","",IF($L363&gt;PARAMETRES!$G$33,5,IF($L363&gt;PARAMETRES!$F$33,4,IF($L363&gt;PARAMETRES!$E$33,3,IF($L363&gt;PARAMETRES!$D$33,2,1)))))</f>
        <v/>
      </c>
      <c r="U363" t="str">
        <f>IF($M363="","",IF($M363&gt;PARAMETRES!$G$34,5,IF($M363&gt;PARAMETRES!$F$34,4,IF($M363&gt;PARAMETRES!$E$34,3,IF($M363&gt;PARAMETRES!$D$34,2,1)))))</f>
        <v/>
      </c>
      <c r="V363" t="str">
        <f>IF($N363="","",IF($N363&gt;PARAMETRES!$G$35,5,IF($N363&gt;PARAMETRES!$F$35,4,IF($N363&gt;PARAMETRES!$E$35,3,IF($N363&gt;PARAMETRES!$D$35,2,1)))))</f>
        <v/>
      </c>
      <c r="W363" t="str">
        <f>IF($O363="","",IF($O363&gt;PARAMETRES!$G$36,5,IF($O363&gt;PARAMETRES!$F$36,4,IF($O363&gt;PARAMETRES!$E$36,3,IF($O363&gt;PARAMETRES!$D$36,2,1)))))</f>
        <v/>
      </c>
      <c r="X363" t="str">
        <f>IF($P363="","",IF($P363&gt;PARAMETRES!$G$37,5,IF($P363&gt;PARAMETRES!$F$37,4,IF($P363&gt;PARAMETRES!$E$37,3,IF($P363&gt;PARAMETRES!$D$37,2,1)))))</f>
        <v/>
      </c>
      <c r="Y363" t="str">
        <f t="shared" si="120"/>
        <v/>
      </c>
      <c r="Z363" t="str">
        <f>IFERROR(VLOOKUP($B363,TABLE_CYCLE,2,0),"")</f>
        <v/>
      </c>
      <c r="AA363" t="str">
        <f t="shared" si="121"/>
        <v/>
      </c>
      <c r="AB363" t="str">
        <f>IF($D363="","",IF(COUNTIF($D$2:$D363,$D363)=1,$D363,""))</f>
        <v/>
      </c>
      <c r="AC363">
        <f t="shared" si="122"/>
        <v>0</v>
      </c>
      <c r="AD363" t="str">
        <f t="shared" si="123"/>
        <v>|0</v>
      </c>
      <c r="AE363" t="str">
        <f t="shared" si="124"/>
        <v/>
      </c>
      <c r="AF363" t="str">
        <f t="shared" si="125"/>
        <v/>
      </c>
      <c r="AG363" t="str">
        <f t="shared" si="126"/>
        <v/>
      </c>
      <c r="AH363" t="str">
        <f t="shared" si="127"/>
        <v/>
      </c>
      <c r="AI363" t="str">
        <f t="shared" si="128"/>
        <v/>
      </c>
      <c r="AJ363" t="str">
        <f t="shared" si="129"/>
        <v/>
      </c>
      <c r="AK363" t="str">
        <f t="shared" si="130"/>
        <v/>
      </c>
      <c r="AL363" t="str">
        <f t="shared" si="131"/>
        <v/>
      </c>
      <c r="AM363" t="str">
        <f t="shared" si="132"/>
        <v/>
      </c>
      <c r="AN363" t="str">
        <f t="shared" si="133"/>
        <v/>
      </c>
      <c r="AO363" t="str">
        <f t="shared" si="134"/>
        <v/>
      </c>
      <c r="AP363">
        <f t="shared" si="135"/>
        <v>1</v>
      </c>
      <c r="AQ363" t="str">
        <f>IF(SAISIE!$F368="","",SAISIE!$Y368)</f>
        <v/>
      </c>
      <c r="AR363" t="str">
        <f>IF(OR(SAISIE!$U$4="",SAISIE!$W$4=""),"",IF(AND($A363=SAISIE!$U$4,$B363=SAISIE!$W$4,$C363="S1"),COUNTIFS($A$2:$A363,SAISIE!$U$4,$B$2:$B363,SAISIE!$W$4,$C$2:$C363,"S1"),""))</f>
        <v/>
      </c>
      <c r="AS363" t="str">
        <f t="shared" si="136"/>
        <v/>
      </c>
      <c r="AT363" t="str">
        <f t="shared" si="137"/>
        <v/>
      </c>
      <c r="AU363" t="str">
        <f t="shared" si="138"/>
        <v/>
      </c>
      <c r="AV363">
        <f>N(AV362)+IF(AND($AB363&lt;&gt;"",OR('PROFIL ELEVE'!$K$4="(Tous)",$AF363='PROFIL ELEVE'!$K$4)),1,0)</f>
        <v>0</v>
      </c>
      <c r="AW363">
        <f>N(AW362)+IF(AND($AB363&lt;&gt;"",OR('SUIVI LONGITUDINAL'!$Q$4="(Tous)",$AF363='SUIVI LONGITUDINAL'!$Q$4)),1,0)</f>
        <v>0</v>
      </c>
      <c r="AX363">
        <f t="shared" si="139"/>
        <v>0</v>
      </c>
      <c r="AY363">
        <f t="shared" si="140"/>
        <v>0</v>
      </c>
      <c r="AZ363">
        <f t="shared" si="141"/>
        <v>0</v>
      </c>
      <c r="BA363" t="str">
        <f t="shared" si="142"/>
        <v/>
      </c>
      <c r="BB363" t="str">
        <f t="shared" si="143"/>
        <v/>
      </c>
    </row>
    <row r="364" spans="1:54" ht="14.25" customHeight="1" x14ac:dyDescent="0.3">
      <c r="A364" t="str">
        <f>IF(SAISIE!$F369="","",SAISIE!$B369)</f>
        <v/>
      </c>
      <c r="B364" t="str">
        <f>IF(SAISIE!$F369="","",SAISIE!$C369)</f>
        <v/>
      </c>
      <c r="C364" t="str">
        <f>IF(SAISIE!$F369="","",SAISIE!$D369)</f>
        <v/>
      </c>
      <c r="D364" t="str">
        <f>IF(SAISIE!$E369="","",SAISIE!$E369)</f>
        <v/>
      </c>
      <c r="E364" t="str">
        <f>IF(SAISIE!$F369="","",SAISIE!$F369)</f>
        <v/>
      </c>
      <c r="F364" t="str">
        <f>IF(SAISIE!$G369="","",SAISIE!$G369)</f>
        <v/>
      </c>
      <c r="G364" t="str">
        <f>IF(SAISIE!$H369="","",SAISIE!$H369)</f>
        <v/>
      </c>
      <c r="H364" t="str">
        <f>IF(SAISIE!$I369="","",SAISIE!$I369)</f>
        <v/>
      </c>
      <c r="I364" t="str">
        <f>IF(SAISIE!$J369="","",SAISIE!$J369)</f>
        <v/>
      </c>
      <c r="J364" t="str">
        <f>IF(SAISIE!$K369="","",SAISIE!$K369)</f>
        <v/>
      </c>
      <c r="K364" t="str">
        <f>IF(SAISIE!$L369="","",SAISIE!$L369)</f>
        <v/>
      </c>
      <c r="L364" t="str">
        <f>IF(SAISIE!$M369="","",SAISIE!$M369)</f>
        <v/>
      </c>
      <c r="M364" t="str">
        <f>IF(SAISIE!$N369="","",SAISIE!$N369)</f>
        <v/>
      </c>
      <c r="N364" t="str">
        <f>IF(SAISIE!$O369="","",SAISIE!$O369)</f>
        <v/>
      </c>
      <c r="O364" t="str">
        <f>IF(SAISIE!$P369="","",SAISIE!$P369)</f>
        <v/>
      </c>
      <c r="P364" t="str">
        <f>IF(SAISIE!$Q369="","",SAISIE!$Q369)</f>
        <v/>
      </c>
      <c r="Q364" t="str">
        <f>IF($I364="","",IF($I364&gt;PARAMETRES!$G$29,5,IF($I364&gt;PARAMETRES!$F$29,4,IF($I364&gt;PARAMETRES!$E$29,3,IF($I364&gt;PARAMETRES!$D$29,2,1)))))</f>
        <v/>
      </c>
      <c r="R364" t="str">
        <f>IF($J364="","",IF($J364&gt;PARAMETRES!$G$30,5,IF($J364&gt;PARAMETRES!$F$30,4,IF($J364&gt;PARAMETRES!$E$30,3,IF($J364&gt;PARAMETRES!$D$30,2,1)))))</f>
        <v/>
      </c>
      <c r="S364" t="str">
        <f>IF($K364="","",IF($Z364=2,IF($K364&gt;PARAMETRES!$G$31,5,IF($K364&gt;PARAMETRES!$F$31,4,IF($K364&gt;PARAMETRES!$E$31,3,IF($K364&gt;PARAMETRES!$D$31,2,1)))),IF($K364&gt;PARAMETRES!$G$32,5,IF($K364&gt;PARAMETRES!$F$32,4,IF($K364&gt;PARAMETRES!$E$32,3,IF($K364&gt;PARAMETRES!$D$32,2,1))))))</f>
        <v/>
      </c>
      <c r="T364" t="str">
        <f>IF($L364="","",IF($L364&gt;PARAMETRES!$G$33,5,IF($L364&gt;PARAMETRES!$F$33,4,IF($L364&gt;PARAMETRES!$E$33,3,IF($L364&gt;PARAMETRES!$D$33,2,1)))))</f>
        <v/>
      </c>
      <c r="U364" t="str">
        <f>IF($M364="","",IF($M364&gt;PARAMETRES!$G$34,5,IF($M364&gt;PARAMETRES!$F$34,4,IF($M364&gt;PARAMETRES!$E$34,3,IF($M364&gt;PARAMETRES!$D$34,2,1)))))</f>
        <v/>
      </c>
      <c r="V364" t="str">
        <f>IF($N364="","",IF($N364&gt;PARAMETRES!$G$35,5,IF($N364&gt;PARAMETRES!$F$35,4,IF($N364&gt;PARAMETRES!$E$35,3,IF($N364&gt;PARAMETRES!$D$35,2,1)))))</f>
        <v/>
      </c>
      <c r="W364" t="str">
        <f>IF($O364="","",IF($O364&gt;PARAMETRES!$G$36,5,IF($O364&gt;PARAMETRES!$F$36,4,IF($O364&gt;PARAMETRES!$E$36,3,IF($O364&gt;PARAMETRES!$D$36,2,1)))))</f>
        <v/>
      </c>
      <c r="X364" t="str">
        <f>IF($P364="","",IF($P364&gt;PARAMETRES!$G$37,5,IF($P364&gt;PARAMETRES!$F$37,4,IF($P364&gt;PARAMETRES!$E$37,3,IF($P364&gt;PARAMETRES!$D$37,2,1)))))</f>
        <v/>
      </c>
      <c r="Y364" t="str">
        <f t="shared" si="120"/>
        <v/>
      </c>
      <c r="Z364" t="str">
        <f>IFERROR(VLOOKUP($B364,TABLE_CYCLE,2,0),"")</f>
        <v/>
      </c>
      <c r="AA364" t="str">
        <f t="shared" si="121"/>
        <v/>
      </c>
      <c r="AB364" t="str">
        <f>IF($D364="","",IF(COUNTIF($D$2:$D364,$D364)=1,$D364,""))</f>
        <v/>
      </c>
      <c r="AC364">
        <f t="shared" si="122"/>
        <v>0</v>
      </c>
      <c r="AD364" t="str">
        <f t="shared" si="123"/>
        <v>|0</v>
      </c>
      <c r="AE364" t="str">
        <f t="shared" si="124"/>
        <v/>
      </c>
      <c r="AF364" t="str">
        <f t="shared" si="125"/>
        <v/>
      </c>
      <c r="AG364" t="str">
        <f t="shared" si="126"/>
        <v/>
      </c>
      <c r="AH364" t="str">
        <f t="shared" si="127"/>
        <v/>
      </c>
      <c r="AI364" t="str">
        <f t="shared" si="128"/>
        <v/>
      </c>
      <c r="AJ364" t="str">
        <f t="shared" si="129"/>
        <v/>
      </c>
      <c r="AK364" t="str">
        <f t="shared" si="130"/>
        <v/>
      </c>
      <c r="AL364" t="str">
        <f t="shared" si="131"/>
        <v/>
      </c>
      <c r="AM364" t="str">
        <f t="shared" si="132"/>
        <v/>
      </c>
      <c r="AN364" t="str">
        <f t="shared" si="133"/>
        <v/>
      </c>
      <c r="AO364" t="str">
        <f t="shared" si="134"/>
        <v/>
      </c>
      <c r="AP364">
        <f t="shared" si="135"/>
        <v>1</v>
      </c>
      <c r="AQ364" t="str">
        <f>IF(SAISIE!$F369="","",SAISIE!$Y369)</f>
        <v/>
      </c>
      <c r="AR364" t="str">
        <f>IF(OR(SAISIE!$U$4="",SAISIE!$W$4=""),"",IF(AND($A364=SAISIE!$U$4,$B364=SAISIE!$W$4,$C364="S1"),COUNTIFS($A$2:$A364,SAISIE!$U$4,$B$2:$B364,SAISIE!$W$4,$C$2:$C364,"S1"),""))</f>
        <v/>
      </c>
      <c r="AS364" t="str">
        <f t="shared" si="136"/>
        <v/>
      </c>
      <c r="AT364" t="str">
        <f t="shared" si="137"/>
        <v/>
      </c>
      <c r="AU364" t="str">
        <f t="shared" si="138"/>
        <v/>
      </c>
      <c r="AV364">
        <f>N(AV363)+IF(AND($AB364&lt;&gt;"",OR('PROFIL ELEVE'!$K$4="(Tous)",$AF364='PROFIL ELEVE'!$K$4)),1,0)</f>
        <v>0</v>
      </c>
      <c r="AW364">
        <f>N(AW363)+IF(AND($AB364&lt;&gt;"",OR('SUIVI LONGITUDINAL'!$Q$4="(Tous)",$AF364='SUIVI LONGITUDINAL'!$Q$4)),1,0)</f>
        <v>0</v>
      </c>
      <c r="AX364">
        <f t="shared" si="139"/>
        <v>0</v>
      </c>
      <c r="AY364">
        <f t="shared" si="140"/>
        <v>0</v>
      </c>
      <c r="AZ364">
        <f t="shared" si="141"/>
        <v>0</v>
      </c>
      <c r="BA364" t="str">
        <f t="shared" si="142"/>
        <v/>
      </c>
      <c r="BB364" t="str">
        <f t="shared" si="143"/>
        <v/>
      </c>
    </row>
    <row r="365" spans="1:54" ht="14.25" customHeight="1" x14ac:dyDescent="0.3">
      <c r="A365" t="str">
        <f>IF(SAISIE!$F370="","",SAISIE!$B370)</f>
        <v/>
      </c>
      <c r="B365" t="str">
        <f>IF(SAISIE!$F370="","",SAISIE!$C370)</f>
        <v/>
      </c>
      <c r="C365" t="str">
        <f>IF(SAISIE!$F370="","",SAISIE!$D370)</f>
        <v/>
      </c>
      <c r="D365" t="str">
        <f>IF(SAISIE!$E370="","",SAISIE!$E370)</f>
        <v/>
      </c>
      <c r="E365" t="str">
        <f>IF(SAISIE!$F370="","",SAISIE!$F370)</f>
        <v/>
      </c>
      <c r="F365" t="str">
        <f>IF(SAISIE!$G370="","",SAISIE!$G370)</f>
        <v/>
      </c>
      <c r="G365" t="str">
        <f>IF(SAISIE!$H370="","",SAISIE!$H370)</f>
        <v/>
      </c>
      <c r="H365" t="str">
        <f>IF(SAISIE!$I370="","",SAISIE!$I370)</f>
        <v/>
      </c>
      <c r="I365" t="str">
        <f>IF(SAISIE!$J370="","",SAISIE!$J370)</f>
        <v/>
      </c>
      <c r="J365" t="str">
        <f>IF(SAISIE!$K370="","",SAISIE!$K370)</f>
        <v/>
      </c>
      <c r="K365" t="str">
        <f>IF(SAISIE!$L370="","",SAISIE!$L370)</f>
        <v/>
      </c>
      <c r="L365" t="str">
        <f>IF(SAISIE!$M370="","",SAISIE!$M370)</f>
        <v/>
      </c>
      <c r="M365" t="str">
        <f>IF(SAISIE!$N370="","",SAISIE!$N370)</f>
        <v/>
      </c>
      <c r="N365" t="str">
        <f>IF(SAISIE!$O370="","",SAISIE!$O370)</f>
        <v/>
      </c>
      <c r="O365" t="str">
        <f>IF(SAISIE!$P370="","",SAISIE!$P370)</f>
        <v/>
      </c>
      <c r="P365" t="str">
        <f>IF(SAISIE!$Q370="","",SAISIE!$Q370)</f>
        <v/>
      </c>
      <c r="Q365" t="str">
        <f>IF($I365="","",IF($I365&gt;PARAMETRES!$G$29,5,IF($I365&gt;PARAMETRES!$F$29,4,IF($I365&gt;PARAMETRES!$E$29,3,IF($I365&gt;PARAMETRES!$D$29,2,1)))))</f>
        <v/>
      </c>
      <c r="R365" t="str">
        <f>IF($J365="","",IF($J365&gt;PARAMETRES!$G$30,5,IF($J365&gt;PARAMETRES!$F$30,4,IF($J365&gt;PARAMETRES!$E$30,3,IF($J365&gt;PARAMETRES!$D$30,2,1)))))</f>
        <v/>
      </c>
      <c r="S365" t="str">
        <f>IF($K365="","",IF($Z365=2,IF($K365&gt;PARAMETRES!$G$31,5,IF($K365&gt;PARAMETRES!$F$31,4,IF($K365&gt;PARAMETRES!$E$31,3,IF($K365&gt;PARAMETRES!$D$31,2,1)))),IF($K365&gt;PARAMETRES!$G$32,5,IF($K365&gt;PARAMETRES!$F$32,4,IF($K365&gt;PARAMETRES!$E$32,3,IF($K365&gt;PARAMETRES!$D$32,2,1))))))</f>
        <v/>
      </c>
      <c r="T365" t="str">
        <f>IF($L365="","",IF($L365&gt;PARAMETRES!$G$33,5,IF($L365&gt;PARAMETRES!$F$33,4,IF($L365&gt;PARAMETRES!$E$33,3,IF($L365&gt;PARAMETRES!$D$33,2,1)))))</f>
        <v/>
      </c>
      <c r="U365" t="str">
        <f>IF($M365="","",IF($M365&gt;PARAMETRES!$G$34,5,IF($M365&gt;PARAMETRES!$F$34,4,IF($M365&gt;PARAMETRES!$E$34,3,IF($M365&gt;PARAMETRES!$D$34,2,1)))))</f>
        <v/>
      </c>
      <c r="V365" t="str">
        <f>IF($N365="","",IF($N365&gt;PARAMETRES!$G$35,5,IF($N365&gt;PARAMETRES!$F$35,4,IF($N365&gt;PARAMETRES!$E$35,3,IF($N365&gt;PARAMETRES!$D$35,2,1)))))</f>
        <v/>
      </c>
      <c r="W365" t="str">
        <f>IF($O365="","",IF($O365&gt;PARAMETRES!$G$36,5,IF($O365&gt;PARAMETRES!$F$36,4,IF($O365&gt;PARAMETRES!$E$36,3,IF($O365&gt;PARAMETRES!$D$36,2,1)))))</f>
        <v/>
      </c>
      <c r="X365" t="str">
        <f>IF($P365="","",IF($P365&gt;PARAMETRES!$G$37,5,IF($P365&gt;PARAMETRES!$F$37,4,IF($P365&gt;PARAMETRES!$E$37,3,IF($P365&gt;PARAMETRES!$D$37,2,1)))))</f>
        <v/>
      </c>
      <c r="Y365" t="str">
        <f t="shared" si="120"/>
        <v/>
      </c>
      <c r="Z365" t="str">
        <f>IFERROR(VLOOKUP($B365,TABLE_CYCLE,2,0),"")</f>
        <v/>
      </c>
      <c r="AA365" t="str">
        <f t="shared" si="121"/>
        <v/>
      </c>
      <c r="AB365" t="str">
        <f>IF($D365="","",IF(COUNTIF($D$2:$D365,$D365)=1,$D365,""))</f>
        <v/>
      </c>
      <c r="AC365">
        <f t="shared" si="122"/>
        <v>0</v>
      </c>
      <c r="AD365" t="str">
        <f t="shared" si="123"/>
        <v>|0</v>
      </c>
      <c r="AE365" t="str">
        <f t="shared" si="124"/>
        <v/>
      </c>
      <c r="AF365" t="str">
        <f t="shared" si="125"/>
        <v/>
      </c>
      <c r="AG365" t="str">
        <f t="shared" si="126"/>
        <v/>
      </c>
      <c r="AH365" t="str">
        <f t="shared" si="127"/>
        <v/>
      </c>
      <c r="AI365" t="str">
        <f t="shared" si="128"/>
        <v/>
      </c>
      <c r="AJ365" t="str">
        <f t="shared" si="129"/>
        <v/>
      </c>
      <c r="AK365" t="str">
        <f t="shared" si="130"/>
        <v/>
      </c>
      <c r="AL365" t="str">
        <f t="shared" si="131"/>
        <v/>
      </c>
      <c r="AM365" t="str">
        <f t="shared" si="132"/>
        <v/>
      </c>
      <c r="AN365" t="str">
        <f t="shared" si="133"/>
        <v/>
      </c>
      <c r="AO365" t="str">
        <f t="shared" si="134"/>
        <v/>
      </c>
      <c r="AP365">
        <f t="shared" si="135"/>
        <v>1</v>
      </c>
      <c r="AQ365" t="str">
        <f>IF(SAISIE!$F370="","",SAISIE!$Y370)</f>
        <v/>
      </c>
      <c r="AR365" t="str">
        <f>IF(OR(SAISIE!$U$4="",SAISIE!$W$4=""),"",IF(AND($A365=SAISIE!$U$4,$B365=SAISIE!$W$4,$C365="S1"),COUNTIFS($A$2:$A365,SAISIE!$U$4,$B$2:$B365,SAISIE!$W$4,$C$2:$C365,"S1"),""))</f>
        <v/>
      </c>
      <c r="AS365" t="str">
        <f t="shared" si="136"/>
        <v/>
      </c>
      <c r="AT365" t="str">
        <f t="shared" si="137"/>
        <v/>
      </c>
      <c r="AU365" t="str">
        <f t="shared" si="138"/>
        <v/>
      </c>
      <c r="AV365">
        <f>N(AV364)+IF(AND($AB365&lt;&gt;"",OR('PROFIL ELEVE'!$K$4="(Tous)",$AF365='PROFIL ELEVE'!$K$4)),1,0)</f>
        <v>0</v>
      </c>
      <c r="AW365">
        <f>N(AW364)+IF(AND($AB365&lt;&gt;"",OR('SUIVI LONGITUDINAL'!$Q$4="(Tous)",$AF365='SUIVI LONGITUDINAL'!$Q$4)),1,0)</f>
        <v>0</v>
      </c>
      <c r="AX365">
        <f t="shared" si="139"/>
        <v>0</v>
      </c>
      <c r="AY365">
        <f t="shared" si="140"/>
        <v>0</v>
      </c>
      <c r="AZ365">
        <f t="shared" si="141"/>
        <v>0</v>
      </c>
      <c r="BA365" t="str">
        <f t="shared" si="142"/>
        <v/>
      </c>
      <c r="BB365" t="str">
        <f t="shared" si="143"/>
        <v/>
      </c>
    </row>
    <row r="366" spans="1:54" ht="14.25" customHeight="1" x14ac:dyDescent="0.3">
      <c r="A366" t="str">
        <f>IF(SAISIE!$F371="","",SAISIE!$B371)</f>
        <v/>
      </c>
      <c r="B366" t="str">
        <f>IF(SAISIE!$F371="","",SAISIE!$C371)</f>
        <v/>
      </c>
      <c r="C366" t="str">
        <f>IF(SAISIE!$F371="","",SAISIE!$D371)</f>
        <v/>
      </c>
      <c r="D366" t="str">
        <f>IF(SAISIE!$E371="","",SAISIE!$E371)</f>
        <v/>
      </c>
      <c r="E366" t="str">
        <f>IF(SAISIE!$F371="","",SAISIE!$F371)</f>
        <v/>
      </c>
      <c r="F366" t="str">
        <f>IF(SAISIE!$G371="","",SAISIE!$G371)</f>
        <v/>
      </c>
      <c r="G366" t="str">
        <f>IF(SAISIE!$H371="","",SAISIE!$H371)</f>
        <v/>
      </c>
      <c r="H366" t="str">
        <f>IF(SAISIE!$I371="","",SAISIE!$I371)</f>
        <v/>
      </c>
      <c r="I366" t="str">
        <f>IF(SAISIE!$J371="","",SAISIE!$J371)</f>
        <v/>
      </c>
      <c r="J366" t="str">
        <f>IF(SAISIE!$K371="","",SAISIE!$K371)</f>
        <v/>
      </c>
      <c r="K366" t="str">
        <f>IF(SAISIE!$L371="","",SAISIE!$L371)</f>
        <v/>
      </c>
      <c r="L366" t="str">
        <f>IF(SAISIE!$M371="","",SAISIE!$M371)</f>
        <v/>
      </c>
      <c r="M366" t="str">
        <f>IF(SAISIE!$N371="","",SAISIE!$N371)</f>
        <v/>
      </c>
      <c r="N366" t="str">
        <f>IF(SAISIE!$O371="","",SAISIE!$O371)</f>
        <v/>
      </c>
      <c r="O366" t="str">
        <f>IF(SAISIE!$P371="","",SAISIE!$P371)</f>
        <v/>
      </c>
      <c r="P366" t="str">
        <f>IF(SAISIE!$Q371="","",SAISIE!$Q371)</f>
        <v/>
      </c>
      <c r="Q366" t="str">
        <f>IF($I366="","",IF($I366&gt;PARAMETRES!$G$29,5,IF($I366&gt;PARAMETRES!$F$29,4,IF($I366&gt;PARAMETRES!$E$29,3,IF($I366&gt;PARAMETRES!$D$29,2,1)))))</f>
        <v/>
      </c>
      <c r="R366" t="str">
        <f>IF($J366="","",IF($J366&gt;PARAMETRES!$G$30,5,IF($J366&gt;PARAMETRES!$F$30,4,IF($J366&gt;PARAMETRES!$E$30,3,IF($J366&gt;PARAMETRES!$D$30,2,1)))))</f>
        <v/>
      </c>
      <c r="S366" t="str">
        <f>IF($K366="","",IF($Z366=2,IF($K366&gt;PARAMETRES!$G$31,5,IF($K366&gt;PARAMETRES!$F$31,4,IF($K366&gt;PARAMETRES!$E$31,3,IF($K366&gt;PARAMETRES!$D$31,2,1)))),IF($K366&gt;PARAMETRES!$G$32,5,IF($K366&gt;PARAMETRES!$F$32,4,IF($K366&gt;PARAMETRES!$E$32,3,IF($K366&gt;PARAMETRES!$D$32,2,1))))))</f>
        <v/>
      </c>
      <c r="T366" t="str">
        <f>IF($L366="","",IF($L366&gt;PARAMETRES!$G$33,5,IF($L366&gt;PARAMETRES!$F$33,4,IF($L366&gt;PARAMETRES!$E$33,3,IF($L366&gt;PARAMETRES!$D$33,2,1)))))</f>
        <v/>
      </c>
      <c r="U366" t="str">
        <f>IF($M366="","",IF($M366&gt;PARAMETRES!$G$34,5,IF($M366&gt;PARAMETRES!$F$34,4,IF($M366&gt;PARAMETRES!$E$34,3,IF($M366&gt;PARAMETRES!$D$34,2,1)))))</f>
        <v/>
      </c>
      <c r="V366" t="str">
        <f>IF($N366="","",IF($N366&gt;PARAMETRES!$G$35,5,IF($N366&gt;PARAMETRES!$F$35,4,IF($N366&gt;PARAMETRES!$E$35,3,IF($N366&gt;PARAMETRES!$D$35,2,1)))))</f>
        <v/>
      </c>
      <c r="W366" t="str">
        <f>IF($O366="","",IF($O366&gt;PARAMETRES!$G$36,5,IF($O366&gt;PARAMETRES!$F$36,4,IF($O366&gt;PARAMETRES!$E$36,3,IF($O366&gt;PARAMETRES!$D$36,2,1)))))</f>
        <v/>
      </c>
      <c r="X366" t="str">
        <f>IF($P366="","",IF($P366&gt;PARAMETRES!$G$37,5,IF($P366&gt;PARAMETRES!$F$37,4,IF($P366&gt;PARAMETRES!$E$37,3,IF($P366&gt;PARAMETRES!$D$37,2,1)))))</f>
        <v/>
      </c>
      <c r="Y366" t="str">
        <f t="shared" si="120"/>
        <v/>
      </c>
      <c r="Z366" t="str">
        <f>IFERROR(VLOOKUP($B366,TABLE_CYCLE,2,0),"")</f>
        <v/>
      </c>
      <c r="AA366" t="str">
        <f t="shared" si="121"/>
        <v/>
      </c>
      <c r="AB366" t="str">
        <f>IF($D366="","",IF(COUNTIF($D$2:$D366,$D366)=1,$D366,""))</f>
        <v/>
      </c>
      <c r="AC366">
        <f t="shared" si="122"/>
        <v>0</v>
      </c>
      <c r="AD366" t="str">
        <f t="shared" si="123"/>
        <v>|0</v>
      </c>
      <c r="AE366" t="str">
        <f t="shared" si="124"/>
        <v/>
      </c>
      <c r="AF366" t="str">
        <f t="shared" si="125"/>
        <v/>
      </c>
      <c r="AG366" t="str">
        <f t="shared" si="126"/>
        <v/>
      </c>
      <c r="AH366" t="str">
        <f t="shared" si="127"/>
        <v/>
      </c>
      <c r="AI366" t="str">
        <f t="shared" si="128"/>
        <v/>
      </c>
      <c r="AJ366" t="str">
        <f t="shared" si="129"/>
        <v/>
      </c>
      <c r="AK366" t="str">
        <f t="shared" si="130"/>
        <v/>
      </c>
      <c r="AL366" t="str">
        <f t="shared" si="131"/>
        <v/>
      </c>
      <c r="AM366" t="str">
        <f t="shared" si="132"/>
        <v/>
      </c>
      <c r="AN366" t="str">
        <f t="shared" si="133"/>
        <v/>
      </c>
      <c r="AO366" t="str">
        <f t="shared" si="134"/>
        <v/>
      </c>
      <c r="AP366">
        <f t="shared" si="135"/>
        <v>1</v>
      </c>
      <c r="AQ366" t="str">
        <f>IF(SAISIE!$F371="","",SAISIE!$Y371)</f>
        <v/>
      </c>
      <c r="AR366" t="str">
        <f>IF(OR(SAISIE!$U$4="",SAISIE!$W$4=""),"",IF(AND($A366=SAISIE!$U$4,$B366=SAISIE!$W$4,$C366="S1"),COUNTIFS($A$2:$A366,SAISIE!$U$4,$B$2:$B366,SAISIE!$W$4,$C$2:$C366,"S1"),""))</f>
        <v/>
      </c>
      <c r="AS366" t="str">
        <f t="shared" si="136"/>
        <v/>
      </c>
      <c r="AT366" t="str">
        <f t="shared" si="137"/>
        <v/>
      </c>
      <c r="AU366" t="str">
        <f t="shared" si="138"/>
        <v/>
      </c>
      <c r="AV366">
        <f>N(AV365)+IF(AND($AB366&lt;&gt;"",OR('PROFIL ELEVE'!$K$4="(Tous)",$AF366='PROFIL ELEVE'!$K$4)),1,0)</f>
        <v>0</v>
      </c>
      <c r="AW366">
        <f>N(AW365)+IF(AND($AB366&lt;&gt;"",OR('SUIVI LONGITUDINAL'!$Q$4="(Tous)",$AF366='SUIVI LONGITUDINAL'!$Q$4)),1,0)</f>
        <v>0</v>
      </c>
      <c r="AX366">
        <f t="shared" si="139"/>
        <v>0</v>
      </c>
      <c r="AY366">
        <f t="shared" si="140"/>
        <v>0</v>
      </c>
      <c r="AZ366">
        <f t="shared" si="141"/>
        <v>0</v>
      </c>
      <c r="BA366" t="str">
        <f t="shared" si="142"/>
        <v/>
      </c>
      <c r="BB366" t="str">
        <f t="shared" si="143"/>
        <v/>
      </c>
    </row>
    <row r="367" spans="1:54" ht="14.25" customHeight="1" x14ac:dyDescent="0.3">
      <c r="A367" t="str">
        <f>IF(SAISIE!$F372="","",SAISIE!$B372)</f>
        <v/>
      </c>
      <c r="B367" t="str">
        <f>IF(SAISIE!$F372="","",SAISIE!$C372)</f>
        <v/>
      </c>
      <c r="C367" t="str">
        <f>IF(SAISIE!$F372="","",SAISIE!$D372)</f>
        <v/>
      </c>
      <c r="D367" t="str">
        <f>IF(SAISIE!$E372="","",SAISIE!$E372)</f>
        <v/>
      </c>
      <c r="E367" t="str">
        <f>IF(SAISIE!$F372="","",SAISIE!$F372)</f>
        <v/>
      </c>
      <c r="F367" t="str">
        <f>IF(SAISIE!$G372="","",SAISIE!$G372)</f>
        <v/>
      </c>
      <c r="G367" t="str">
        <f>IF(SAISIE!$H372="","",SAISIE!$H372)</f>
        <v/>
      </c>
      <c r="H367" t="str">
        <f>IF(SAISIE!$I372="","",SAISIE!$I372)</f>
        <v/>
      </c>
      <c r="I367" t="str">
        <f>IF(SAISIE!$J372="","",SAISIE!$J372)</f>
        <v/>
      </c>
      <c r="J367" t="str">
        <f>IF(SAISIE!$K372="","",SAISIE!$K372)</f>
        <v/>
      </c>
      <c r="K367" t="str">
        <f>IF(SAISIE!$L372="","",SAISIE!$L372)</f>
        <v/>
      </c>
      <c r="L367" t="str">
        <f>IF(SAISIE!$M372="","",SAISIE!$M372)</f>
        <v/>
      </c>
      <c r="M367" t="str">
        <f>IF(SAISIE!$N372="","",SAISIE!$N372)</f>
        <v/>
      </c>
      <c r="N367" t="str">
        <f>IF(SAISIE!$O372="","",SAISIE!$O372)</f>
        <v/>
      </c>
      <c r="O367" t="str">
        <f>IF(SAISIE!$P372="","",SAISIE!$P372)</f>
        <v/>
      </c>
      <c r="P367" t="str">
        <f>IF(SAISIE!$Q372="","",SAISIE!$Q372)</f>
        <v/>
      </c>
      <c r="Q367" t="str">
        <f>IF($I367="","",IF($I367&gt;PARAMETRES!$G$29,5,IF($I367&gt;PARAMETRES!$F$29,4,IF($I367&gt;PARAMETRES!$E$29,3,IF($I367&gt;PARAMETRES!$D$29,2,1)))))</f>
        <v/>
      </c>
      <c r="R367" t="str">
        <f>IF($J367="","",IF($J367&gt;PARAMETRES!$G$30,5,IF($J367&gt;PARAMETRES!$F$30,4,IF($J367&gt;PARAMETRES!$E$30,3,IF($J367&gt;PARAMETRES!$D$30,2,1)))))</f>
        <v/>
      </c>
      <c r="S367" t="str">
        <f>IF($K367="","",IF($Z367=2,IF($K367&gt;PARAMETRES!$G$31,5,IF($K367&gt;PARAMETRES!$F$31,4,IF($K367&gt;PARAMETRES!$E$31,3,IF($K367&gt;PARAMETRES!$D$31,2,1)))),IF($K367&gt;PARAMETRES!$G$32,5,IF($K367&gt;PARAMETRES!$F$32,4,IF($K367&gt;PARAMETRES!$E$32,3,IF($K367&gt;PARAMETRES!$D$32,2,1))))))</f>
        <v/>
      </c>
      <c r="T367" t="str">
        <f>IF($L367="","",IF($L367&gt;PARAMETRES!$G$33,5,IF($L367&gt;PARAMETRES!$F$33,4,IF($L367&gt;PARAMETRES!$E$33,3,IF($L367&gt;PARAMETRES!$D$33,2,1)))))</f>
        <v/>
      </c>
      <c r="U367" t="str">
        <f>IF($M367="","",IF($M367&gt;PARAMETRES!$G$34,5,IF($M367&gt;PARAMETRES!$F$34,4,IF($M367&gt;PARAMETRES!$E$34,3,IF($M367&gt;PARAMETRES!$D$34,2,1)))))</f>
        <v/>
      </c>
      <c r="V367" t="str">
        <f>IF($N367="","",IF($N367&gt;PARAMETRES!$G$35,5,IF($N367&gt;PARAMETRES!$F$35,4,IF($N367&gt;PARAMETRES!$E$35,3,IF($N367&gt;PARAMETRES!$D$35,2,1)))))</f>
        <v/>
      </c>
      <c r="W367" t="str">
        <f>IF($O367="","",IF($O367&gt;PARAMETRES!$G$36,5,IF($O367&gt;PARAMETRES!$F$36,4,IF($O367&gt;PARAMETRES!$E$36,3,IF($O367&gt;PARAMETRES!$D$36,2,1)))))</f>
        <v/>
      </c>
      <c r="X367" t="str">
        <f>IF($P367="","",IF($P367&gt;PARAMETRES!$G$37,5,IF($P367&gt;PARAMETRES!$F$37,4,IF($P367&gt;PARAMETRES!$E$37,3,IF($P367&gt;PARAMETRES!$D$37,2,1)))))</f>
        <v/>
      </c>
      <c r="Y367" t="str">
        <f t="shared" si="120"/>
        <v/>
      </c>
      <c r="Z367" t="str">
        <f>IFERROR(VLOOKUP($B367,TABLE_CYCLE,2,0),"")</f>
        <v/>
      </c>
      <c r="AA367" t="str">
        <f t="shared" si="121"/>
        <v/>
      </c>
      <c r="AB367" t="str">
        <f>IF($D367="","",IF(COUNTIF($D$2:$D367,$D367)=1,$D367,""))</f>
        <v/>
      </c>
      <c r="AC367">
        <f t="shared" si="122"/>
        <v>0</v>
      </c>
      <c r="AD367" t="str">
        <f t="shared" si="123"/>
        <v>|0</v>
      </c>
      <c r="AE367" t="str">
        <f t="shared" si="124"/>
        <v/>
      </c>
      <c r="AF367" t="str">
        <f t="shared" si="125"/>
        <v/>
      </c>
      <c r="AG367" t="str">
        <f t="shared" si="126"/>
        <v/>
      </c>
      <c r="AH367" t="str">
        <f t="shared" si="127"/>
        <v/>
      </c>
      <c r="AI367" t="str">
        <f t="shared" si="128"/>
        <v/>
      </c>
      <c r="AJ367" t="str">
        <f t="shared" si="129"/>
        <v/>
      </c>
      <c r="AK367" t="str">
        <f t="shared" si="130"/>
        <v/>
      </c>
      <c r="AL367" t="str">
        <f t="shared" si="131"/>
        <v/>
      </c>
      <c r="AM367" t="str">
        <f t="shared" si="132"/>
        <v/>
      </c>
      <c r="AN367" t="str">
        <f t="shared" si="133"/>
        <v/>
      </c>
      <c r="AO367" t="str">
        <f t="shared" si="134"/>
        <v/>
      </c>
      <c r="AP367">
        <f t="shared" si="135"/>
        <v>1</v>
      </c>
      <c r="AQ367" t="str">
        <f>IF(SAISIE!$F372="","",SAISIE!$Y372)</f>
        <v/>
      </c>
      <c r="AR367" t="str">
        <f>IF(OR(SAISIE!$U$4="",SAISIE!$W$4=""),"",IF(AND($A367=SAISIE!$U$4,$B367=SAISIE!$W$4,$C367="S1"),COUNTIFS($A$2:$A367,SAISIE!$U$4,$B$2:$B367,SAISIE!$W$4,$C$2:$C367,"S1"),""))</f>
        <v/>
      </c>
      <c r="AS367" t="str">
        <f t="shared" si="136"/>
        <v/>
      </c>
      <c r="AT367" t="str">
        <f t="shared" si="137"/>
        <v/>
      </c>
      <c r="AU367" t="str">
        <f t="shared" si="138"/>
        <v/>
      </c>
      <c r="AV367">
        <f>N(AV366)+IF(AND($AB367&lt;&gt;"",OR('PROFIL ELEVE'!$K$4="(Tous)",$AF367='PROFIL ELEVE'!$K$4)),1,0)</f>
        <v>0</v>
      </c>
      <c r="AW367">
        <f>N(AW366)+IF(AND($AB367&lt;&gt;"",OR('SUIVI LONGITUDINAL'!$Q$4="(Tous)",$AF367='SUIVI LONGITUDINAL'!$Q$4)),1,0)</f>
        <v>0</v>
      </c>
      <c r="AX367">
        <f t="shared" si="139"/>
        <v>0</v>
      </c>
      <c r="AY367">
        <f t="shared" si="140"/>
        <v>0</v>
      </c>
      <c r="AZ367">
        <f t="shared" si="141"/>
        <v>0</v>
      </c>
      <c r="BA367" t="str">
        <f t="shared" si="142"/>
        <v/>
      </c>
      <c r="BB367" t="str">
        <f t="shared" si="143"/>
        <v/>
      </c>
    </row>
    <row r="368" spans="1:54" ht="14.25" customHeight="1" x14ac:dyDescent="0.3">
      <c r="A368" t="str">
        <f>IF(SAISIE!$F373="","",SAISIE!$B373)</f>
        <v/>
      </c>
      <c r="B368" t="str">
        <f>IF(SAISIE!$F373="","",SAISIE!$C373)</f>
        <v/>
      </c>
      <c r="C368" t="str">
        <f>IF(SAISIE!$F373="","",SAISIE!$D373)</f>
        <v/>
      </c>
      <c r="D368" t="str">
        <f>IF(SAISIE!$E373="","",SAISIE!$E373)</f>
        <v/>
      </c>
      <c r="E368" t="str">
        <f>IF(SAISIE!$F373="","",SAISIE!$F373)</f>
        <v/>
      </c>
      <c r="F368" t="str">
        <f>IF(SAISIE!$G373="","",SAISIE!$G373)</f>
        <v/>
      </c>
      <c r="G368" t="str">
        <f>IF(SAISIE!$H373="","",SAISIE!$H373)</f>
        <v/>
      </c>
      <c r="H368" t="str">
        <f>IF(SAISIE!$I373="","",SAISIE!$I373)</f>
        <v/>
      </c>
      <c r="I368" t="str">
        <f>IF(SAISIE!$J373="","",SAISIE!$J373)</f>
        <v/>
      </c>
      <c r="J368" t="str">
        <f>IF(SAISIE!$K373="","",SAISIE!$K373)</f>
        <v/>
      </c>
      <c r="K368" t="str">
        <f>IF(SAISIE!$L373="","",SAISIE!$L373)</f>
        <v/>
      </c>
      <c r="L368" t="str">
        <f>IF(SAISIE!$M373="","",SAISIE!$M373)</f>
        <v/>
      </c>
      <c r="M368" t="str">
        <f>IF(SAISIE!$N373="","",SAISIE!$N373)</f>
        <v/>
      </c>
      <c r="N368" t="str">
        <f>IF(SAISIE!$O373="","",SAISIE!$O373)</f>
        <v/>
      </c>
      <c r="O368" t="str">
        <f>IF(SAISIE!$P373="","",SAISIE!$P373)</f>
        <v/>
      </c>
      <c r="P368" t="str">
        <f>IF(SAISIE!$Q373="","",SAISIE!$Q373)</f>
        <v/>
      </c>
      <c r="Q368" t="str">
        <f>IF($I368="","",IF($I368&gt;PARAMETRES!$G$29,5,IF($I368&gt;PARAMETRES!$F$29,4,IF($I368&gt;PARAMETRES!$E$29,3,IF($I368&gt;PARAMETRES!$D$29,2,1)))))</f>
        <v/>
      </c>
      <c r="R368" t="str">
        <f>IF($J368="","",IF($J368&gt;PARAMETRES!$G$30,5,IF($J368&gt;PARAMETRES!$F$30,4,IF($J368&gt;PARAMETRES!$E$30,3,IF($J368&gt;PARAMETRES!$D$30,2,1)))))</f>
        <v/>
      </c>
      <c r="S368" t="str">
        <f>IF($K368="","",IF($Z368=2,IF($K368&gt;PARAMETRES!$G$31,5,IF($K368&gt;PARAMETRES!$F$31,4,IF($K368&gt;PARAMETRES!$E$31,3,IF($K368&gt;PARAMETRES!$D$31,2,1)))),IF($K368&gt;PARAMETRES!$G$32,5,IF($K368&gt;PARAMETRES!$F$32,4,IF($K368&gt;PARAMETRES!$E$32,3,IF($K368&gt;PARAMETRES!$D$32,2,1))))))</f>
        <v/>
      </c>
      <c r="T368" t="str">
        <f>IF($L368="","",IF($L368&gt;PARAMETRES!$G$33,5,IF($L368&gt;PARAMETRES!$F$33,4,IF($L368&gt;PARAMETRES!$E$33,3,IF($L368&gt;PARAMETRES!$D$33,2,1)))))</f>
        <v/>
      </c>
      <c r="U368" t="str">
        <f>IF($M368="","",IF($M368&gt;PARAMETRES!$G$34,5,IF($M368&gt;PARAMETRES!$F$34,4,IF($M368&gt;PARAMETRES!$E$34,3,IF($M368&gt;PARAMETRES!$D$34,2,1)))))</f>
        <v/>
      </c>
      <c r="V368" t="str">
        <f>IF($N368="","",IF($N368&gt;PARAMETRES!$G$35,5,IF($N368&gt;PARAMETRES!$F$35,4,IF($N368&gt;PARAMETRES!$E$35,3,IF($N368&gt;PARAMETRES!$D$35,2,1)))))</f>
        <v/>
      </c>
      <c r="W368" t="str">
        <f>IF($O368="","",IF($O368&gt;PARAMETRES!$G$36,5,IF($O368&gt;PARAMETRES!$F$36,4,IF($O368&gt;PARAMETRES!$E$36,3,IF($O368&gt;PARAMETRES!$D$36,2,1)))))</f>
        <v/>
      </c>
      <c r="X368" t="str">
        <f>IF($P368="","",IF($P368&gt;PARAMETRES!$G$37,5,IF($P368&gt;PARAMETRES!$F$37,4,IF($P368&gt;PARAMETRES!$E$37,3,IF($P368&gt;PARAMETRES!$D$37,2,1)))))</f>
        <v/>
      </c>
      <c r="Y368" t="str">
        <f t="shared" si="120"/>
        <v/>
      </c>
      <c r="Z368" t="str">
        <f>IFERROR(VLOOKUP($B368,TABLE_CYCLE,2,0),"")</f>
        <v/>
      </c>
      <c r="AA368" t="str">
        <f t="shared" si="121"/>
        <v/>
      </c>
      <c r="AB368" t="str">
        <f>IF($D368="","",IF(COUNTIF($D$2:$D368,$D368)=1,$D368,""))</f>
        <v/>
      </c>
      <c r="AC368">
        <f t="shared" si="122"/>
        <v>0</v>
      </c>
      <c r="AD368" t="str">
        <f t="shared" si="123"/>
        <v>|0</v>
      </c>
      <c r="AE368" t="str">
        <f t="shared" si="124"/>
        <v/>
      </c>
      <c r="AF368" t="str">
        <f t="shared" si="125"/>
        <v/>
      </c>
      <c r="AG368" t="str">
        <f t="shared" si="126"/>
        <v/>
      </c>
      <c r="AH368" t="str">
        <f t="shared" si="127"/>
        <v/>
      </c>
      <c r="AI368" t="str">
        <f t="shared" si="128"/>
        <v/>
      </c>
      <c r="AJ368" t="str">
        <f t="shared" si="129"/>
        <v/>
      </c>
      <c r="AK368" t="str">
        <f t="shared" si="130"/>
        <v/>
      </c>
      <c r="AL368" t="str">
        <f t="shared" si="131"/>
        <v/>
      </c>
      <c r="AM368" t="str">
        <f t="shared" si="132"/>
        <v/>
      </c>
      <c r="AN368" t="str">
        <f t="shared" si="133"/>
        <v/>
      </c>
      <c r="AO368" t="str">
        <f t="shared" si="134"/>
        <v/>
      </c>
      <c r="AP368">
        <f t="shared" si="135"/>
        <v>1</v>
      </c>
      <c r="AQ368" t="str">
        <f>IF(SAISIE!$F373="","",SAISIE!$Y373)</f>
        <v/>
      </c>
      <c r="AR368" t="str">
        <f>IF(OR(SAISIE!$U$4="",SAISIE!$W$4=""),"",IF(AND($A368=SAISIE!$U$4,$B368=SAISIE!$W$4,$C368="S1"),COUNTIFS($A$2:$A368,SAISIE!$U$4,$B$2:$B368,SAISIE!$W$4,$C$2:$C368,"S1"),""))</f>
        <v/>
      </c>
      <c r="AS368" t="str">
        <f t="shared" si="136"/>
        <v/>
      </c>
      <c r="AT368" t="str">
        <f t="shared" si="137"/>
        <v/>
      </c>
      <c r="AU368" t="str">
        <f t="shared" si="138"/>
        <v/>
      </c>
      <c r="AV368">
        <f>N(AV367)+IF(AND($AB368&lt;&gt;"",OR('PROFIL ELEVE'!$K$4="(Tous)",$AF368='PROFIL ELEVE'!$K$4)),1,0)</f>
        <v>0</v>
      </c>
      <c r="AW368">
        <f>N(AW367)+IF(AND($AB368&lt;&gt;"",OR('SUIVI LONGITUDINAL'!$Q$4="(Tous)",$AF368='SUIVI LONGITUDINAL'!$Q$4)),1,0)</f>
        <v>0</v>
      </c>
      <c r="AX368">
        <f t="shared" si="139"/>
        <v>0</v>
      </c>
      <c r="AY368">
        <f t="shared" si="140"/>
        <v>0</v>
      </c>
      <c r="AZ368">
        <f t="shared" si="141"/>
        <v>0</v>
      </c>
      <c r="BA368" t="str">
        <f t="shared" si="142"/>
        <v/>
      </c>
      <c r="BB368" t="str">
        <f t="shared" si="143"/>
        <v/>
      </c>
    </row>
    <row r="369" spans="1:54" ht="14.25" customHeight="1" x14ac:dyDescent="0.3">
      <c r="A369" t="str">
        <f>IF(SAISIE!$F374="","",SAISIE!$B374)</f>
        <v/>
      </c>
      <c r="B369" t="str">
        <f>IF(SAISIE!$F374="","",SAISIE!$C374)</f>
        <v/>
      </c>
      <c r="C369" t="str">
        <f>IF(SAISIE!$F374="","",SAISIE!$D374)</f>
        <v/>
      </c>
      <c r="D369" t="str">
        <f>IF(SAISIE!$E374="","",SAISIE!$E374)</f>
        <v/>
      </c>
      <c r="E369" t="str">
        <f>IF(SAISIE!$F374="","",SAISIE!$F374)</f>
        <v/>
      </c>
      <c r="F369" t="str">
        <f>IF(SAISIE!$G374="","",SAISIE!$G374)</f>
        <v/>
      </c>
      <c r="G369" t="str">
        <f>IF(SAISIE!$H374="","",SAISIE!$H374)</f>
        <v/>
      </c>
      <c r="H369" t="str">
        <f>IF(SAISIE!$I374="","",SAISIE!$I374)</f>
        <v/>
      </c>
      <c r="I369" t="str">
        <f>IF(SAISIE!$J374="","",SAISIE!$J374)</f>
        <v/>
      </c>
      <c r="J369" t="str">
        <f>IF(SAISIE!$K374="","",SAISIE!$K374)</f>
        <v/>
      </c>
      <c r="K369" t="str">
        <f>IF(SAISIE!$L374="","",SAISIE!$L374)</f>
        <v/>
      </c>
      <c r="L369" t="str">
        <f>IF(SAISIE!$M374="","",SAISIE!$M374)</f>
        <v/>
      </c>
      <c r="M369" t="str">
        <f>IF(SAISIE!$N374="","",SAISIE!$N374)</f>
        <v/>
      </c>
      <c r="N369" t="str">
        <f>IF(SAISIE!$O374="","",SAISIE!$O374)</f>
        <v/>
      </c>
      <c r="O369" t="str">
        <f>IF(SAISIE!$P374="","",SAISIE!$P374)</f>
        <v/>
      </c>
      <c r="P369" t="str">
        <f>IF(SAISIE!$Q374="","",SAISIE!$Q374)</f>
        <v/>
      </c>
      <c r="Q369" t="str">
        <f>IF($I369="","",IF($I369&gt;PARAMETRES!$G$29,5,IF($I369&gt;PARAMETRES!$F$29,4,IF($I369&gt;PARAMETRES!$E$29,3,IF($I369&gt;PARAMETRES!$D$29,2,1)))))</f>
        <v/>
      </c>
      <c r="R369" t="str">
        <f>IF($J369="","",IF($J369&gt;PARAMETRES!$G$30,5,IF($J369&gt;PARAMETRES!$F$30,4,IF($J369&gt;PARAMETRES!$E$30,3,IF($J369&gt;PARAMETRES!$D$30,2,1)))))</f>
        <v/>
      </c>
      <c r="S369" t="str">
        <f>IF($K369="","",IF($Z369=2,IF($K369&gt;PARAMETRES!$G$31,5,IF($K369&gt;PARAMETRES!$F$31,4,IF($K369&gt;PARAMETRES!$E$31,3,IF($K369&gt;PARAMETRES!$D$31,2,1)))),IF($K369&gt;PARAMETRES!$G$32,5,IF($K369&gt;PARAMETRES!$F$32,4,IF($K369&gt;PARAMETRES!$E$32,3,IF($K369&gt;PARAMETRES!$D$32,2,1))))))</f>
        <v/>
      </c>
      <c r="T369" t="str">
        <f>IF($L369="","",IF($L369&gt;PARAMETRES!$G$33,5,IF($L369&gt;PARAMETRES!$F$33,4,IF($L369&gt;PARAMETRES!$E$33,3,IF($L369&gt;PARAMETRES!$D$33,2,1)))))</f>
        <v/>
      </c>
      <c r="U369" t="str">
        <f>IF($M369="","",IF($M369&gt;PARAMETRES!$G$34,5,IF($M369&gt;PARAMETRES!$F$34,4,IF($M369&gt;PARAMETRES!$E$34,3,IF($M369&gt;PARAMETRES!$D$34,2,1)))))</f>
        <v/>
      </c>
      <c r="V369" t="str">
        <f>IF($N369="","",IF($N369&gt;PARAMETRES!$G$35,5,IF($N369&gt;PARAMETRES!$F$35,4,IF($N369&gt;PARAMETRES!$E$35,3,IF($N369&gt;PARAMETRES!$D$35,2,1)))))</f>
        <v/>
      </c>
      <c r="W369" t="str">
        <f>IF($O369="","",IF($O369&gt;PARAMETRES!$G$36,5,IF($O369&gt;PARAMETRES!$F$36,4,IF($O369&gt;PARAMETRES!$E$36,3,IF($O369&gt;PARAMETRES!$D$36,2,1)))))</f>
        <v/>
      </c>
      <c r="X369" t="str">
        <f>IF($P369="","",IF($P369&gt;PARAMETRES!$G$37,5,IF($P369&gt;PARAMETRES!$F$37,4,IF($P369&gt;PARAMETRES!$E$37,3,IF($P369&gt;PARAMETRES!$D$37,2,1)))))</f>
        <v/>
      </c>
      <c r="Y369" t="str">
        <f t="shared" si="120"/>
        <v/>
      </c>
      <c r="Z369" t="str">
        <f>IFERROR(VLOOKUP($B369,TABLE_CYCLE,2,0),"")</f>
        <v/>
      </c>
      <c r="AA369" t="str">
        <f t="shared" si="121"/>
        <v/>
      </c>
      <c r="AB369" t="str">
        <f>IF($D369="","",IF(COUNTIF($D$2:$D369,$D369)=1,$D369,""))</f>
        <v/>
      </c>
      <c r="AC369">
        <f t="shared" si="122"/>
        <v>0</v>
      </c>
      <c r="AD369" t="str">
        <f t="shared" si="123"/>
        <v>|0</v>
      </c>
      <c r="AE369" t="str">
        <f t="shared" si="124"/>
        <v/>
      </c>
      <c r="AF369" t="str">
        <f t="shared" si="125"/>
        <v/>
      </c>
      <c r="AG369" t="str">
        <f t="shared" si="126"/>
        <v/>
      </c>
      <c r="AH369" t="str">
        <f t="shared" si="127"/>
        <v/>
      </c>
      <c r="AI369" t="str">
        <f t="shared" si="128"/>
        <v/>
      </c>
      <c r="AJ369" t="str">
        <f t="shared" si="129"/>
        <v/>
      </c>
      <c r="AK369" t="str">
        <f t="shared" si="130"/>
        <v/>
      </c>
      <c r="AL369" t="str">
        <f t="shared" si="131"/>
        <v/>
      </c>
      <c r="AM369" t="str">
        <f t="shared" si="132"/>
        <v/>
      </c>
      <c r="AN369" t="str">
        <f t="shared" si="133"/>
        <v/>
      </c>
      <c r="AO369" t="str">
        <f t="shared" si="134"/>
        <v/>
      </c>
      <c r="AP369">
        <f t="shared" si="135"/>
        <v>1</v>
      </c>
      <c r="AQ369" t="str">
        <f>IF(SAISIE!$F374="","",SAISIE!$Y374)</f>
        <v/>
      </c>
      <c r="AR369" t="str">
        <f>IF(OR(SAISIE!$U$4="",SAISIE!$W$4=""),"",IF(AND($A369=SAISIE!$U$4,$B369=SAISIE!$W$4,$C369="S1"),COUNTIFS($A$2:$A369,SAISIE!$U$4,$B$2:$B369,SAISIE!$W$4,$C$2:$C369,"S1"),""))</f>
        <v/>
      </c>
      <c r="AS369" t="str">
        <f t="shared" si="136"/>
        <v/>
      </c>
      <c r="AT369" t="str">
        <f t="shared" si="137"/>
        <v/>
      </c>
      <c r="AU369" t="str">
        <f t="shared" si="138"/>
        <v/>
      </c>
      <c r="AV369">
        <f>N(AV368)+IF(AND($AB369&lt;&gt;"",OR('PROFIL ELEVE'!$K$4="(Tous)",$AF369='PROFIL ELEVE'!$K$4)),1,0)</f>
        <v>0</v>
      </c>
      <c r="AW369">
        <f>N(AW368)+IF(AND($AB369&lt;&gt;"",OR('SUIVI LONGITUDINAL'!$Q$4="(Tous)",$AF369='SUIVI LONGITUDINAL'!$Q$4)),1,0)</f>
        <v>0</v>
      </c>
      <c r="AX369">
        <f t="shared" si="139"/>
        <v>0</v>
      </c>
      <c r="AY369">
        <f t="shared" si="140"/>
        <v>0</v>
      </c>
      <c r="AZ369">
        <f t="shared" si="141"/>
        <v>0</v>
      </c>
      <c r="BA369" t="str">
        <f t="shared" si="142"/>
        <v/>
      </c>
      <c r="BB369" t="str">
        <f t="shared" si="143"/>
        <v/>
      </c>
    </row>
    <row r="370" spans="1:54" ht="14.25" customHeight="1" x14ac:dyDescent="0.3">
      <c r="A370" t="str">
        <f>IF(SAISIE!$F375="","",SAISIE!$B375)</f>
        <v/>
      </c>
      <c r="B370" t="str">
        <f>IF(SAISIE!$F375="","",SAISIE!$C375)</f>
        <v/>
      </c>
      <c r="C370" t="str">
        <f>IF(SAISIE!$F375="","",SAISIE!$D375)</f>
        <v/>
      </c>
      <c r="D370" t="str">
        <f>IF(SAISIE!$E375="","",SAISIE!$E375)</f>
        <v/>
      </c>
      <c r="E370" t="str">
        <f>IF(SAISIE!$F375="","",SAISIE!$F375)</f>
        <v/>
      </c>
      <c r="F370" t="str">
        <f>IF(SAISIE!$G375="","",SAISIE!$G375)</f>
        <v/>
      </c>
      <c r="G370" t="str">
        <f>IF(SAISIE!$H375="","",SAISIE!$H375)</f>
        <v/>
      </c>
      <c r="H370" t="str">
        <f>IF(SAISIE!$I375="","",SAISIE!$I375)</f>
        <v/>
      </c>
      <c r="I370" t="str">
        <f>IF(SAISIE!$J375="","",SAISIE!$J375)</f>
        <v/>
      </c>
      <c r="J370" t="str">
        <f>IF(SAISIE!$K375="","",SAISIE!$K375)</f>
        <v/>
      </c>
      <c r="K370" t="str">
        <f>IF(SAISIE!$L375="","",SAISIE!$L375)</f>
        <v/>
      </c>
      <c r="L370" t="str">
        <f>IF(SAISIE!$M375="","",SAISIE!$M375)</f>
        <v/>
      </c>
      <c r="M370" t="str">
        <f>IF(SAISIE!$N375="","",SAISIE!$N375)</f>
        <v/>
      </c>
      <c r="N370" t="str">
        <f>IF(SAISIE!$O375="","",SAISIE!$O375)</f>
        <v/>
      </c>
      <c r="O370" t="str">
        <f>IF(SAISIE!$P375="","",SAISIE!$P375)</f>
        <v/>
      </c>
      <c r="P370" t="str">
        <f>IF(SAISIE!$Q375="","",SAISIE!$Q375)</f>
        <v/>
      </c>
      <c r="Q370" t="str">
        <f>IF($I370="","",IF($I370&gt;PARAMETRES!$G$29,5,IF($I370&gt;PARAMETRES!$F$29,4,IF($I370&gt;PARAMETRES!$E$29,3,IF($I370&gt;PARAMETRES!$D$29,2,1)))))</f>
        <v/>
      </c>
      <c r="R370" t="str">
        <f>IF($J370="","",IF($J370&gt;PARAMETRES!$G$30,5,IF($J370&gt;PARAMETRES!$F$30,4,IF($J370&gt;PARAMETRES!$E$30,3,IF($J370&gt;PARAMETRES!$D$30,2,1)))))</f>
        <v/>
      </c>
      <c r="S370" t="str">
        <f>IF($K370="","",IF($Z370=2,IF($K370&gt;PARAMETRES!$G$31,5,IF($K370&gt;PARAMETRES!$F$31,4,IF($K370&gt;PARAMETRES!$E$31,3,IF($K370&gt;PARAMETRES!$D$31,2,1)))),IF($K370&gt;PARAMETRES!$G$32,5,IF($K370&gt;PARAMETRES!$F$32,4,IF($K370&gt;PARAMETRES!$E$32,3,IF($K370&gt;PARAMETRES!$D$32,2,1))))))</f>
        <v/>
      </c>
      <c r="T370" t="str">
        <f>IF($L370="","",IF($L370&gt;PARAMETRES!$G$33,5,IF($L370&gt;PARAMETRES!$F$33,4,IF($L370&gt;PARAMETRES!$E$33,3,IF($L370&gt;PARAMETRES!$D$33,2,1)))))</f>
        <v/>
      </c>
      <c r="U370" t="str">
        <f>IF($M370="","",IF($M370&gt;PARAMETRES!$G$34,5,IF($M370&gt;PARAMETRES!$F$34,4,IF($M370&gt;PARAMETRES!$E$34,3,IF($M370&gt;PARAMETRES!$D$34,2,1)))))</f>
        <v/>
      </c>
      <c r="V370" t="str">
        <f>IF($N370="","",IF($N370&gt;PARAMETRES!$G$35,5,IF($N370&gt;PARAMETRES!$F$35,4,IF($N370&gt;PARAMETRES!$E$35,3,IF($N370&gt;PARAMETRES!$D$35,2,1)))))</f>
        <v/>
      </c>
      <c r="W370" t="str">
        <f>IF($O370="","",IF($O370&gt;PARAMETRES!$G$36,5,IF($O370&gt;PARAMETRES!$F$36,4,IF($O370&gt;PARAMETRES!$E$36,3,IF($O370&gt;PARAMETRES!$D$36,2,1)))))</f>
        <v/>
      </c>
      <c r="X370" t="str">
        <f>IF($P370="","",IF($P370&gt;PARAMETRES!$G$37,5,IF($P370&gt;PARAMETRES!$F$37,4,IF($P370&gt;PARAMETRES!$E$37,3,IF($P370&gt;PARAMETRES!$D$37,2,1)))))</f>
        <v/>
      </c>
      <c r="Y370" t="str">
        <f t="shared" si="120"/>
        <v/>
      </c>
      <c r="Z370" t="str">
        <f>IFERROR(VLOOKUP($B370,TABLE_CYCLE,2,0),"")</f>
        <v/>
      </c>
      <c r="AA370" t="str">
        <f t="shared" si="121"/>
        <v/>
      </c>
      <c r="AB370" t="str">
        <f>IF($D370="","",IF(COUNTIF($D$2:$D370,$D370)=1,$D370,""))</f>
        <v/>
      </c>
      <c r="AC370">
        <f t="shared" si="122"/>
        <v>0</v>
      </c>
      <c r="AD370" t="str">
        <f t="shared" si="123"/>
        <v>|0</v>
      </c>
      <c r="AE370" t="str">
        <f t="shared" si="124"/>
        <v/>
      </c>
      <c r="AF370" t="str">
        <f t="shared" si="125"/>
        <v/>
      </c>
      <c r="AG370" t="str">
        <f t="shared" si="126"/>
        <v/>
      </c>
      <c r="AH370" t="str">
        <f t="shared" si="127"/>
        <v/>
      </c>
      <c r="AI370" t="str">
        <f t="shared" si="128"/>
        <v/>
      </c>
      <c r="AJ370" t="str">
        <f t="shared" si="129"/>
        <v/>
      </c>
      <c r="AK370" t="str">
        <f t="shared" si="130"/>
        <v/>
      </c>
      <c r="AL370" t="str">
        <f t="shared" si="131"/>
        <v/>
      </c>
      <c r="AM370" t="str">
        <f t="shared" si="132"/>
        <v/>
      </c>
      <c r="AN370" t="str">
        <f t="shared" si="133"/>
        <v/>
      </c>
      <c r="AO370" t="str">
        <f t="shared" si="134"/>
        <v/>
      </c>
      <c r="AP370">
        <f t="shared" si="135"/>
        <v>1</v>
      </c>
      <c r="AQ370" t="str">
        <f>IF(SAISIE!$F375="","",SAISIE!$Y375)</f>
        <v/>
      </c>
      <c r="AR370" t="str">
        <f>IF(OR(SAISIE!$U$4="",SAISIE!$W$4=""),"",IF(AND($A370=SAISIE!$U$4,$B370=SAISIE!$W$4,$C370="S1"),COUNTIFS($A$2:$A370,SAISIE!$U$4,$B$2:$B370,SAISIE!$W$4,$C$2:$C370,"S1"),""))</f>
        <v/>
      </c>
      <c r="AS370" t="str">
        <f t="shared" si="136"/>
        <v/>
      </c>
      <c r="AT370" t="str">
        <f t="shared" si="137"/>
        <v/>
      </c>
      <c r="AU370" t="str">
        <f t="shared" si="138"/>
        <v/>
      </c>
      <c r="AV370">
        <f>N(AV369)+IF(AND($AB370&lt;&gt;"",OR('PROFIL ELEVE'!$K$4="(Tous)",$AF370='PROFIL ELEVE'!$K$4)),1,0)</f>
        <v>0</v>
      </c>
      <c r="AW370">
        <f>N(AW369)+IF(AND($AB370&lt;&gt;"",OR('SUIVI LONGITUDINAL'!$Q$4="(Tous)",$AF370='SUIVI LONGITUDINAL'!$Q$4)),1,0)</f>
        <v>0</v>
      </c>
      <c r="AX370">
        <f t="shared" si="139"/>
        <v>0</v>
      </c>
      <c r="AY370">
        <f t="shared" si="140"/>
        <v>0</v>
      </c>
      <c r="AZ370">
        <f t="shared" si="141"/>
        <v>0</v>
      </c>
      <c r="BA370" t="str">
        <f t="shared" si="142"/>
        <v/>
      </c>
      <c r="BB370" t="str">
        <f t="shared" si="143"/>
        <v/>
      </c>
    </row>
    <row r="371" spans="1:54" ht="14.25" customHeight="1" x14ac:dyDescent="0.3">
      <c r="A371" t="str">
        <f>IF(SAISIE!$F376="","",SAISIE!$B376)</f>
        <v/>
      </c>
      <c r="B371" t="str">
        <f>IF(SAISIE!$F376="","",SAISIE!$C376)</f>
        <v/>
      </c>
      <c r="C371" t="str">
        <f>IF(SAISIE!$F376="","",SAISIE!$D376)</f>
        <v/>
      </c>
      <c r="D371" t="str">
        <f>IF(SAISIE!$E376="","",SAISIE!$E376)</f>
        <v/>
      </c>
      <c r="E371" t="str">
        <f>IF(SAISIE!$F376="","",SAISIE!$F376)</f>
        <v/>
      </c>
      <c r="F371" t="str">
        <f>IF(SAISIE!$G376="","",SAISIE!$G376)</f>
        <v/>
      </c>
      <c r="G371" t="str">
        <f>IF(SAISIE!$H376="","",SAISIE!$H376)</f>
        <v/>
      </c>
      <c r="H371" t="str">
        <f>IF(SAISIE!$I376="","",SAISIE!$I376)</f>
        <v/>
      </c>
      <c r="I371" t="str">
        <f>IF(SAISIE!$J376="","",SAISIE!$J376)</f>
        <v/>
      </c>
      <c r="J371" t="str">
        <f>IF(SAISIE!$K376="","",SAISIE!$K376)</f>
        <v/>
      </c>
      <c r="K371" t="str">
        <f>IF(SAISIE!$L376="","",SAISIE!$L376)</f>
        <v/>
      </c>
      <c r="L371" t="str">
        <f>IF(SAISIE!$M376="","",SAISIE!$M376)</f>
        <v/>
      </c>
      <c r="M371" t="str">
        <f>IF(SAISIE!$N376="","",SAISIE!$N376)</f>
        <v/>
      </c>
      <c r="N371" t="str">
        <f>IF(SAISIE!$O376="","",SAISIE!$O376)</f>
        <v/>
      </c>
      <c r="O371" t="str">
        <f>IF(SAISIE!$P376="","",SAISIE!$P376)</f>
        <v/>
      </c>
      <c r="P371" t="str">
        <f>IF(SAISIE!$Q376="","",SAISIE!$Q376)</f>
        <v/>
      </c>
      <c r="Q371" t="str">
        <f>IF($I371="","",IF($I371&gt;PARAMETRES!$G$29,5,IF($I371&gt;PARAMETRES!$F$29,4,IF($I371&gt;PARAMETRES!$E$29,3,IF($I371&gt;PARAMETRES!$D$29,2,1)))))</f>
        <v/>
      </c>
      <c r="R371" t="str">
        <f>IF($J371="","",IF($J371&gt;PARAMETRES!$G$30,5,IF($J371&gt;PARAMETRES!$F$30,4,IF($J371&gt;PARAMETRES!$E$30,3,IF($J371&gt;PARAMETRES!$D$30,2,1)))))</f>
        <v/>
      </c>
      <c r="S371" t="str">
        <f>IF($K371="","",IF($Z371=2,IF($K371&gt;PARAMETRES!$G$31,5,IF($K371&gt;PARAMETRES!$F$31,4,IF($K371&gt;PARAMETRES!$E$31,3,IF($K371&gt;PARAMETRES!$D$31,2,1)))),IF($K371&gt;PARAMETRES!$G$32,5,IF($K371&gt;PARAMETRES!$F$32,4,IF($K371&gt;PARAMETRES!$E$32,3,IF($K371&gt;PARAMETRES!$D$32,2,1))))))</f>
        <v/>
      </c>
      <c r="T371" t="str">
        <f>IF($L371="","",IF($L371&gt;PARAMETRES!$G$33,5,IF($L371&gt;PARAMETRES!$F$33,4,IF($L371&gt;PARAMETRES!$E$33,3,IF($L371&gt;PARAMETRES!$D$33,2,1)))))</f>
        <v/>
      </c>
      <c r="U371" t="str">
        <f>IF($M371="","",IF($M371&gt;PARAMETRES!$G$34,5,IF($M371&gt;PARAMETRES!$F$34,4,IF($M371&gt;PARAMETRES!$E$34,3,IF($M371&gt;PARAMETRES!$D$34,2,1)))))</f>
        <v/>
      </c>
      <c r="V371" t="str">
        <f>IF($N371="","",IF($N371&gt;PARAMETRES!$G$35,5,IF($N371&gt;PARAMETRES!$F$35,4,IF($N371&gt;PARAMETRES!$E$35,3,IF($N371&gt;PARAMETRES!$D$35,2,1)))))</f>
        <v/>
      </c>
      <c r="W371" t="str">
        <f>IF($O371="","",IF($O371&gt;PARAMETRES!$G$36,5,IF($O371&gt;PARAMETRES!$F$36,4,IF($O371&gt;PARAMETRES!$E$36,3,IF($O371&gt;PARAMETRES!$D$36,2,1)))))</f>
        <v/>
      </c>
      <c r="X371" t="str">
        <f>IF($P371="","",IF($P371&gt;PARAMETRES!$G$37,5,IF($P371&gt;PARAMETRES!$F$37,4,IF($P371&gt;PARAMETRES!$E$37,3,IF($P371&gt;PARAMETRES!$D$37,2,1)))))</f>
        <v/>
      </c>
      <c r="Y371" t="str">
        <f t="shared" si="120"/>
        <v/>
      </c>
      <c r="Z371" t="str">
        <f>IFERROR(VLOOKUP($B371,TABLE_CYCLE,2,0),"")</f>
        <v/>
      </c>
      <c r="AA371" t="str">
        <f t="shared" si="121"/>
        <v/>
      </c>
      <c r="AB371" t="str">
        <f>IF($D371="","",IF(COUNTIF($D$2:$D371,$D371)=1,$D371,""))</f>
        <v/>
      </c>
      <c r="AC371">
        <f t="shared" si="122"/>
        <v>0</v>
      </c>
      <c r="AD371" t="str">
        <f t="shared" si="123"/>
        <v>|0</v>
      </c>
      <c r="AE371" t="str">
        <f t="shared" si="124"/>
        <v/>
      </c>
      <c r="AF371" t="str">
        <f t="shared" si="125"/>
        <v/>
      </c>
      <c r="AG371" t="str">
        <f t="shared" si="126"/>
        <v/>
      </c>
      <c r="AH371" t="str">
        <f t="shared" si="127"/>
        <v/>
      </c>
      <c r="AI371" t="str">
        <f t="shared" si="128"/>
        <v/>
      </c>
      <c r="AJ371" t="str">
        <f t="shared" si="129"/>
        <v/>
      </c>
      <c r="AK371" t="str">
        <f t="shared" si="130"/>
        <v/>
      </c>
      <c r="AL371" t="str">
        <f t="shared" si="131"/>
        <v/>
      </c>
      <c r="AM371" t="str">
        <f t="shared" si="132"/>
        <v/>
      </c>
      <c r="AN371" t="str">
        <f t="shared" si="133"/>
        <v/>
      </c>
      <c r="AO371" t="str">
        <f t="shared" si="134"/>
        <v/>
      </c>
      <c r="AP371">
        <f t="shared" si="135"/>
        <v>1</v>
      </c>
      <c r="AQ371" t="str">
        <f>IF(SAISIE!$F376="","",SAISIE!$Y376)</f>
        <v/>
      </c>
      <c r="AR371" t="str">
        <f>IF(OR(SAISIE!$U$4="",SAISIE!$W$4=""),"",IF(AND($A371=SAISIE!$U$4,$B371=SAISIE!$W$4,$C371="S1"),COUNTIFS($A$2:$A371,SAISIE!$U$4,$B$2:$B371,SAISIE!$W$4,$C$2:$C371,"S1"),""))</f>
        <v/>
      </c>
      <c r="AS371" t="str">
        <f t="shared" si="136"/>
        <v/>
      </c>
      <c r="AT371" t="str">
        <f t="shared" si="137"/>
        <v/>
      </c>
      <c r="AU371" t="str">
        <f t="shared" si="138"/>
        <v/>
      </c>
      <c r="AV371">
        <f>N(AV370)+IF(AND($AB371&lt;&gt;"",OR('PROFIL ELEVE'!$K$4="(Tous)",$AF371='PROFIL ELEVE'!$K$4)),1,0)</f>
        <v>0</v>
      </c>
      <c r="AW371">
        <f>N(AW370)+IF(AND($AB371&lt;&gt;"",OR('SUIVI LONGITUDINAL'!$Q$4="(Tous)",$AF371='SUIVI LONGITUDINAL'!$Q$4)),1,0)</f>
        <v>0</v>
      </c>
      <c r="AX371">
        <f t="shared" si="139"/>
        <v>0</v>
      </c>
      <c r="AY371">
        <f t="shared" si="140"/>
        <v>0</v>
      </c>
      <c r="AZ371">
        <f t="shared" si="141"/>
        <v>0</v>
      </c>
      <c r="BA371" t="str">
        <f t="shared" si="142"/>
        <v/>
      </c>
      <c r="BB371" t="str">
        <f t="shared" si="143"/>
        <v/>
      </c>
    </row>
    <row r="372" spans="1:54" ht="14.25" customHeight="1" x14ac:dyDescent="0.3">
      <c r="A372" t="str">
        <f>IF(SAISIE!$F377="","",SAISIE!$B377)</f>
        <v/>
      </c>
      <c r="B372" t="str">
        <f>IF(SAISIE!$F377="","",SAISIE!$C377)</f>
        <v/>
      </c>
      <c r="C372" t="str">
        <f>IF(SAISIE!$F377="","",SAISIE!$D377)</f>
        <v/>
      </c>
      <c r="D372" t="str">
        <f>IF(SAISIE!$E377="","",SAISIE!$E377)</f>
        <v/>
      </c>
      <c r="E372" t="str">
        <f>IF(SAISIE!$F377="","",SAISIE!$F377)</f>
        <v/>
      </c>
      <c r="F372" t="str">
        <f>IF(SAISIE!$G377="","",SAISIE!$G377)</f>
        <v/>
      </c>
      <c r="G372" t="str">
        <f>IF(SAISIE!$H377="","",SAISIE!$H377)</f>
        <v/>
      </c>
      <c r="H372" t="str">
        <f>IF(SAISIE!$I377="","",SAISIE!$I377)</f>
        <v/>
      </c>
      <c r="I372" t="str">
        <f>IF(SAISIE!$J377="","",SAISIE!$J377)</f>
        <v/>
      </c>
      <c r="J372" t="str">
        <f>IF(SAISIE!$K377="","",SAISIE!$K377)</f>
        <v/>
      </c>
      <c r="K372" t="str">
        <f>IF(SAISIE!$L377="","",SAISIE!$L377)</f>
        <v/>
      </c>
      <c r="L372" t="str">
        <f>IF(SAISIE!$M377="","",SAISIE!$M377)</f>
        <v/>
      </c>
      <c r="M372" t="str">
        <f>IF(SAISIE!$N377="","",SAISIE!$N377)</f>
        <v/>
      </c>
      <c r="N372" t="str">
        <f>IF(SAISIE!$O377="","",SAISIE!$O377)</f>
        <v/>
      </c>
      <c r="O372" t="str">
        <f>IF(SAISIE!$P377="","",SAISIE!$P377)</f>
        <v/>
      </c>
      <c r="P372" t="str">
        <f>IF(SAISIE!$Q377="","",SAISIE!$Q377)</f>
        <v/>
      </c>
      <c r="Q372" t="str">
        <f>IF($I372="","",IF($I372&gt;PARAMETRES!$G$29,5,IF($I372&gt;PARAMETRES!$F$29,4,IF($I372&gt;PARAMETRES!$E$29,3,IF($I372&gt;PARAMETRES!$D$29,2,1)))))</f>
        <v/>
      </c>
      <c r="R372" t="str">
        <f>IF($J372="","",IF($J372&gt;PARAMETRES!$G$30,5,IF($J372&gt;PARAMETRES!$F$30,4,IF($J372&gt;PARAMETRES!$E$30,3,IF($J372&gt;PARAMETRES!$D$30,2,1)))))</f>
        <v/>
      </c>
      <c r="S372" t="str">
        <f>IF($K372="","",IF($Z372=2,IF($K372&gt;PARAMETRES!$G$31,5,IF($K372&gt;PARAMETRES!$F$31,4,IF($K372&gt;PARAMETRES!$E$31,3,IF($K372&gt;PARAMETRES!$D$31,2,1)))),IF($K372&gt;PARAMETRES!$G$32,5,IF($K372&gt;PARAMETRES!$F$32,4,IF($K372&gt;PARAMETRES!$E$32,3,IF($K372&gt;PARAMETRES!$D$32,2,1))))))</f>
        <v/>
      </c>
      <c r="T372" t="str">
        <f>IF($L372="","",IF($L372&gt;PARAMETRES!$G$33,5,IF($L372&gt;PARAMETRES!$F$33,4,IF($L372&gt;PARAMETRES!$E$33,3,IF($L372&gt;PARAMETRES!$D$33,2,1)))))</f>
        <v/>
      </c>
      <c r="U372" t="str">
        <f>IF($M372="","",IF($M372&gt;PARAMETRES!$G$34,5,IF($M372&gt;PARAMETRES!$F$34,4,IF($M372&gt;PARAMETRES!$E$34,3,IF($M372&gt;PARAMETRES!$D$34,2,1)))))</f>
        <v/>
      </c>
      <c r="V372" t="str">
        <f>IF($N372="","",IF($N372&gt;PARAMETRES!$G$35,5,IF($N372&gt;PARAMETRES!$F$35,4,IF($N372&gt;PARAMETRES!$E$35,3,IF($N372&gt;PARAMETRES!$D$35,2,1)))))</f>
        <v/>
      </c>
      <c r="W372" t="str">
        <f>IF($O372="","",IF($O372&gt;PARAMETRES!$G$36,5,IF($O372&gt;PARAMETRES!$F$36,4,IF($O372&gt;PARAMETRES!$E$36,3,IF($O372&gt;PARAMETRES!$D$36,2,1)))))</f>
        <v/>
      </c>
      <c r="X372" t="str">
        <f>IF($P372="","",IF($P372&gt;PARAMETRES!$G$37,5,IF($P372&gt;PARAMETRES!$F$37,4,IF($P372&gt;PARAMETRES!$E$37,3,IF($P372&gt;PARAMETRES!$D$37,2,1)))))</f>
        <v/>
      </c>
      <c r="Y372" t="str">
        <f t="shared" si="120"/>
        <v/>
      </c>
      <c r="Z372" t="str">
        <f>IFERROR(VLOOKUP($B372,TABLE_CYCLE,2,0),"")</f>
        <v/>
      </c>
      <c r="AA372" t="str">
        <f t="shared" si="121"/>
        <v/>
      </c>
      <c r="AB372" t="str">
        <f>IF($D372="","",IF(COUNTIF($D$2:$D372,$D372)=1,$D372,""))</f>
        <v/>
      </c>
      <c r="AC372">
        <f t="shared" si="122"/>
        <v>0</v>
      </c>
      <c r="AD372" t="str">
        <f t="shared" si="123"/>
        <v>|0</v>
      </c>
      <c r="AE372" t="str">
        <f t="shared" si="124"/>
        <v/>
      </c>
      <c r="AF372" t="str">
        <f t="shared" si="125"/>
        <v/>
      </c>
      <c r="AG372" t="str">
        <f t="shared" si="126"/>
        <v/>
      </c>
      <c r="AH372" t="str">
        <f t="shared" si="127"/>
        <v/>
      </c>
      <c r="AI372" t="str">
        <f t="shared" si="128"/>
        <v/>
      </c>
      <c r="AJ372" t="str">
        <f t="shared" si="129"/>
        <v/>
      </c>
      <c r="AK372" t="str">
        <f t="shared" si="130"/>
        <v/>
      </c>
      <c r="AL372" t="str">
        <f t="shared" si="131"/>
        <v/>
      </c>
      <c r="AM372" t="str">
        <f t="shared" si="132"/>
        <v/>
      </c>
      <c r="AN372" t="str">
        <f t="shared" si="133"/>
        <v/>
      </c>
      <c r="AO372" t="str">
        <f t="shared" si="134"/>
        <v/>
      </c>
      <c r="AP372">
        <f t="shared" si="135"/>
        <v>1</v>
      </c>
      <c r="AQ372" t="str">
        <f>IF(SAISIE!$F377="","",SAISIE!$Y377)</f>
        <v/>
      </c>
      <c r="AR372" t="str">
        <f>IF(OR(SAISIE!$U$4="",SAISIE!$W$4=""),"",IF(AND($A372=SAISIE!$U$4,$B372=SAISIE!$W$4,$C372="S1"),COUNTIFS($A$2:$A372,SAISIE!$U$4,$B$2:$B372,SAISIE!$W$4,$C$2:$C372,"S1"),""))</f>
        <v/>
      </c>
      <c r="AS372" t="str">
        <f t="shared" si="136"/>
        <v/>
      </c>
      <c r="AT372" t="str">
        <f t="shared" si="137"/>
        <v/>
      </c>
      <c r="AU372" t="str">
        <f t="shared" si="138"/>
        <v/>
      </c>
      <c r="AV372">
        <f>N(AV371)+IF(AND($AB372&lt;&gt;"",OR('PROFIL ELEVE'!$K$4="(Tous)",$AF372='PROFIL ELEVE'!$K$4)),1,0)</f>
        <v>0</v>
      </c>
      <c r="AW372">
        <f>N(AW371)+IF(AND($AB372&lt;&gt;"",OR('SUIVI LONGITUDINAL'!$Q$4="(Tous)",$AF372='SUIVI LONGITUDINAL'!$Q$4)),1,0)</f>
        <v>0</v>
      </c>
      <c r="AX372">
        <f t="shared" si="139"/>
        <v>0</v>
      </c>
      <c r="AY372">
        <f t="shared" si="140"/>
        <v>0</v>
      </c>
      <c r="AZ372">
        <f t="shared" si="141"/>
        <v>0</v>
      </c>
      <c r="BA372" t="str">
        <f t="shared" si="142"/>
        <v/>
      </c>
      <c r="BB372" t="str">
        <f t="shared" si="143"/>
        <v/>
      </c>
    </row>
    <row r="373" spans="1:54" ht="14.25" customHeight="1" x14ac:dyDescent="0.3">
      <c r="A373" t="str">
        <f>IF(SAISIE!$F378="","",SAISIE!$B378)</f>
        <v/>
      </c>
      <c r="B373" t="str">
        <f>IF(SAISIE!$F378="","",SAISIE!$C378)</f>
        <v/>
      </c>
      <c r="C373" t="str">
        <f>IF(SAISIE!$F378="","",SAISIE!$D378)</f>
        <v/>
      </c>
      <c r="D373" t="str">
        <f>IF(SAISIE!$E378="","",SAISIE!$E378)</f>
        <v/>
      </c>
      <c r="E373" t="str">
        <f>IF(SAISIE!$F378="","",SAISIE!$F378)</f>
        <v/>
      </c>
      <c r="F373" t="str">
        <f>IF(SAISIE!$G378="","",SAISIE!$G378)</f>
        <v/>
      </c>
      <c r="G373" t="str">
        <f>IF(SAISIE!$H378="","",SAISIE!$H378)</f>
        <v/>
      </c>
      <c r="H373" t="str">
        <f>IF(SAISIE!$I378="","",SAISIE!$I378)</f>
        <v/>
      </c>
      <c r="I373" t="str">
        <f>IF(SAISIE!$J378="","",SAISIE!$J378)</f>
        <v/>
      </c>
      <c r="J373" t="str">
        <f>IF(SAISIE!$K378="","",SAISIE!$K378)</f>
        <v/>
      </c>
      <c r="K373" t="str">
        <f>IF(SAISIE!$L378="","",SAISIE!$L378)</f>
        <v/>
      </c>
      <c r="L373" t="str">
        <f>IF(SAISIE!$M378="","",SAISIE!$M378)</f>
        <v/>
      </c>
      <c r="M373" t="str">
        <f>IF(SAISIE!$N378="","",SAISIE!$N378)</f>
        <v/>
      </c>
      <c r="N373" t="str">
        <f>IF(SAISIE!$O378="","",SAISIE!$O378)</f>
        <v/>
      </c>
      <c r="O373" t="str">
        <f>IF(SAISIE!$P378="","",SAISIE!$P378)</f>
        <v/>
      </c>
      <c r="P373" t="str">
        <f>IF(SAISIE!$Q378="","",SAISIE!$Q378)</f>
        <v/>
      </c>
      <c r="Q373" t="str">
        <f>IF($I373="","",IF($I373&gt;PARAMETRES!$G$29,5,IF($I373&gt;PARAMETRES!$F$29,4,IF($I373&gt;PARAMETRES!$E$29,3,IF($I373&gt;PARAMETRES!$D$29,2,1)))))</f>
        <v/>
      </c>
      <c r="R373" t="str">
        <f>IF($J373="","",IF($J373&gt;PARAMETRES!$G$30,5,IF($J373&gt;PARAMETRES!$F$30,4,IF($J373&gt;PARAMETRES!$E$30,3,IF($J373&gt;PARAMETRES!$D$30,2,1)))))</f>
        <v/>
      </c>
      <c r="S373" t="str">
        <f>IF($K373="","",IF($Z373=2,IF($K373&gt;PARAMETRES!$G$31,5,IF($K373&gt;PARAMETRES!$F$31,4,IF($K373&gt;PARAMETRES!$E$31,3,IF($K373&gt;PARAMETRES!$D$31,2,1)))),IF($K373&gt;PARAMETRES!$G$32,5,IF($K373&gt;PARAMETRES!$F$32,4,IF($K373&gt;PARAMETRES!$E$32,3,IF($K373&gt;PARAMETRES!$D$32,2,1))))))</f>
        <v/>
      </c>
      <c r="T373" t="str">
        <f>IF($L373="","",IF($L373&gt;PARAMETRES!$G$33,5,IF($L373&gt;PARAMETRES!$F$33,4,IF($L373&gt;PARAMETRES!$E$33,3,IF($L373&gt;PARAMETRES!$D$33,2,1)))))</f>
        <v/>
      </c>
      <c r="U373" t="str">
        <f>IF($M373="","",IF($M373&gt;PARAMETRES!$G$34,5,IF($M373&gt;PARAMETRES!$F$34,4,IF($M373&gt;PARAMETRES!$E$34,3,IF($M373&gt;PARAMETRES!$D$34,2,1)))))</f>
        <v/>
      </c>
      <c r="V373" t="str">
        <f>IF($N373="","",IF($N373&gt;PARAMETRES!$G$35,5,IF($N373&gt;PARAMETRES!$F$35,4,IF($N373&gt;PARAMETRES!$E$35,3,IF($N373&gt;PARAMETRES!$D$35,2,1)))))</f>
        <v/>
      </c>
      <c r="W373" t="str">
        <f>IF($O373="","",IF($O373&gt;PARAMETRES!$G$36,5,IF($O373&gt;PARAMETRES!$F$36,4,IF($O373&gt;PARAMETRES!$E$36,3,IF($O373&gt;PARAMETRES!$D$36,2,1)))))</f>
        <v/>
      </c>
      <c r="X373" t="str">
        <f>IF($P373="","",IF($P373&gt;PARAMETRES!$G$37,5,IF($P373&gt;PARAMETRES!$F$37,4,IF($P373&gt;PARAMETRES!$E$37,3,IF($P373&gt;PARAMETRES!$D$37,2,1)))))</f>
        <v/>
      </c>
      <c r="Y373" t="str">
        <f t="shared" si="120"/>
        <v/>
      </c>
      <c r="Z373" t="str">
        <f>IFERROR(VLOOKUP($B373,TABLE_CYCLE,2,0),"")</f>
        <v/>
      </c>
      <c r="AA373" t="str">
        <f t="shared" si="121"/>
        <v/>
      </c>
      <c r="AB373" t="str">
        <f>IF($D373="","",IF(COUNTIF($D$2:$D373,$D373)=1,$D373,""))</f>
        <v/>
      </c>
      <c r="AC373">
        <f t="shared" si="122"/>
        <v>0</v>
      </c>
      <c r="AD373" t="str">
        <f t="shared" si="123"/>
        <v>|0</v>
      </c>
      <c r="AE373" t="str">
        <f t="shared" si="124"/>
        <v/>
      </c>
      <c r="AF373" t="str">
        <f t="shared" si="125"/>
        <v/>
      </c>
      <c r="AG373" t="str">
        <f t="shared" si="126"/>
        <v/>
      </c>
      <c r="AH373" t="str">
        <f t="shared" si="127"/>
        <v/>
      </c>
      <c r="AI373" t="str">
        <f t="shared" si="128"/>
        <v/>
      </c>
      <c r="AJ373" t="str">
        <f t="shared" si="129"/>
        <v/>
      </c>
      <c r="AK373" t="str">
        <f t="shared" si="130"/>
        <v/>
      </c>
      <c r="AL373" t="str">
        <f t="shared" si="131"/>
        <v/>
      </c>
      <c r="AM373" t="str">
        <f t="shared" si="132"/>
        <v/>
      </c>
      <c r="AN373" t="str">
        <f t="shared" si="133"/>
        <v/>
      </c>
      <c r="AO373" t="str">
        <f t="shared" si="134"/>
        <v/>
      </c>
      <c r="AP373">
        <f t="shared" si="135"/>
        <v>1</v>
      </c>
      <c r="AQ373" t="str">
        <f>IF(SAISIE!$F378="","",SAISIE!$Y378)</f>
        <v/>
      </c>
      <c r="AR373" t="str">
        <f>IF(OR(SAISIE!$U$4="",SAISIE!$W$4=""),"",IF(AND($A373=SAISIE!$U$4,$B373=SAISIE!$W$4,$C373="S1"),COUNTIFS($A$2:$A373,SAISIE!$U$4,$B$2:$B373,SAISIE!$W$4,$C$2:$C373,"S1"),""))</f>
        <v/>
      </c>
      <c r="AS373" t="str">
        <f t="shared" si="136"/>
        <v/>
      </c>
      <c r="AT373" t="str">
        <f t="shared" si="137"/>
        <v/>
      </c>
      <c r="AU373" t="str">
        <f t="shared" si="138"/>
        <v/>
      </c>
      <c r="AV373">
        <f>N(AV372)+IF(AND($AB373&lt;&gt;"",OR('PROFIL ELEVE'!$K$4="(Tous)",$AF373='PROFIL ELEVE'!$K$4)),1,0)</f>
        <v>0</v>
      </c>
      <c r="AW373">
        <f>N(AW372)+IF(AND($AB373&lt;&gt;"",OR('SUIVI LONGITUDINAL'!$Q$4="(Tous)",$AF373='SUIVI LONGITUDINAL'!$Q$4)),1,0)</f>
        <v>0</v>
      </c>
      <c r="AX373">
        <f t="shared" si="139"/>
        <v>0</v>
      </c>
      <c r="AY373">
        <f t="shared" si="140"/>
        <v>0</v>
      </c>
      <c r="AZ373">
        <f t="shared" si="141"/>
        <v>0</v>
      </c>
      <c r="BA373" t="str">
        <f t="shared" si="142"/>
        <v/>
      </c>
      <c r="BB373" t="str">
        <f t="shared" si="143"/>
        <v/>
      </c>
    </row>
    <row r="374" spans="1:54" ht="14.25" customHeight="1" x14ac:dyDescent="0.3">
      <c r="A374" t="str">
        <f>IF(SAISIE!$F379="","",SAISIE!$B379)</f>
        <v/>
      </c>
      <c r="B374" t="str">
        <f>IF(SAISIE!$F379="","",SAISIE!$C379)</f>
        <v/>
      </c>
      <c r="C374" t="str">
        <f>IF(SAISIE!$F379="","",SAISIE!$D379)</f>
        <v/>
      </c>
      <c r="D374" t="str">
        <f>IF(SAISIE!$E379="","",SAISIE!$E379)</f>
        <v/>
      </c>
      <c r="E374" t="str">
        <f>IF(SAISIE!$F379="","",SAISIE!$F379)</f>
        <v/>
      </c>
      <c r="F374" t="str">
        <f>IF(SAISIE!$G379="","",SAISIE!$G379)</f>
        <v/>
      </c>
      <c r="G374" t="str">
        <f>IF(SAISIE!$H379="","",SAISIE!$H379)</f>
        <v/>
      </c>
      <c r="H374" t="str">
        <f>IF(SAISIE!$I379="","",SAISIE!$I379)</f>
        <v/>
      </c>
      <c r="I374" t="str">
        <f>IF(SAISIE!$J379="","",SAISIE!$J379)</f>
        <v/>
      </c>
      <c r="J374" t="str">
        <f>IF(SAISIE!$K379="","",SAISIE!$K379)</f>
        <v/>
      </c>
      <c r="K374" t="str">
        <f>IF(SAISIE!$L379="","",SAISIE!$L379)</f>
        <v/>
      </c>
      <c r="L374" t="str">
        <f>IF(SAISIE!$M379="","",SAISIE!$M379)</f>
        <v/>
      </c>
      <c r="M374" t="str">
        <f>IF(SAISIE!$N379="","",SAISIE!$N379)</f>
        <v/>
      </c>
      <c r="N374" t="str">
        <f>IF(SAISIE!$O379="","",SAISIE!$O379)</f>
        <v/>
      </c>
      <c r="O374" t="str">
        <f>IF(SAISIE!$P379="","",SAISIE!$P379)</f>
        <v/>
      </c>
      <c r="P374" t="str">
        <f>IF(SAISIE!$Q379="","",SAISIE!$Q379)</f>
        <v/>
      </c>
      <c r="Q374" t="str">
        <f>IF($I374="","",IF($I374&gt;PARAMETRES!$G$29,5,IF($I374&gt;PARAMETRES!$F$29,4,IF($I374&gt;PARAMETRES!$E$29,3,IF($I374&gt;PARAMETRES!$D$29,2,1)))))</f>
        <v/>
      </c>
      <c r="R374" t="str">
        <f>IF($J374="","",IF($J374&gt;PARAMETRES!$G$30,5,IF($J374&gt;PARAMETRES!$F$30,4,IF($J374&gt;PARAMETRES!$E$30,3,IF($J374&gt;PARAMETRES!$D$30,2,1)))))</f>
        <v/>
      </c>
      <c r="S374" t="str">
        <f>IF($K374="","",IF($Z374=2,IF($K374&gt;PARAMETRES!$G$31,5,IF($K374&gt;PARAMETRES!$F$31,4,IF($K374&gt;PARAMETRES!$E$31,3,IF($K374&gt;PARAMETRES!$D$31,2,1)))),IF($K374&gt;PARAMETRES!$G$32,5,IF($K374&gt;PARAMETRES!$F$32,4,IF($K374&gt;PARAMETRES!$E$32,3,IF($K374&gt;PARAMETRES!$D$32,2,1))))))</f>
        <v/>
      </c>
      <c r="T374" t="str">
        <f>IF($L374="","",IF($L374&gt;PARAMETRES!$G$33,5,IF($L374&gt;PARAMETRES!$F$33,4,IF($L374&gt;PARAMETRES!$E$33,3,IF($L374&gt;PARAMETRES!$D$33,2,1)))))</f>
        <v/>
      </c>
      <c r="U374" t="str">
        <f>IF($M374="","",IF($M374&gt;PARAMETRES!$G$34,5,IF($M374&gt;PARAMETRES!$F$34,4,IF($M374&gt;PARAMETRES!$E$34,3,IF($M374&gt;PARAMETRES!$D$34,2,1)))))</f>
        <v/>
      </c>
      <c r="V374" t="str">
        <f>IF($N374="","",IF($N374&gt;PARAMETRES!$G$35,5,IF($N374&gt;PARAMETRES!$F$35,4,IF($N374&gt;PARAMETRES!$E$35,3,IF($N374&gt;PARAMETRES!$D$35,2,1)))))</f>
        <v/>
      </c>
      <c r="W374" t="str">
        <f>IF($O374="","",IF($O374&gt;PARAMETRES!$G$36,5,IF($O374&gt;PARAMETRES!$F$36,4,IF($O374&gt;PARAMETRES!$E$36,3,IF($O374&gt;PARAMETRES!$D$36,2,1)))))</f>
        <v/>
      </c>
      <c r="X374" t="str">
        <f>IF($P374="","",IF($P374&gt;PARAMETRES!$G$37,5,IF($P374&gt;PARAMETRES!$F$37,4,IF($P374&gt;PARAMETRES!$E$37,3,IF($P374&gt;PARAMETRES!$D$37,2,1)))))</f>
        <v/>
      </c>
      <c r="Y374" t="str">
        <f t="shared" si="120"/>
        <v/>
      </c>
      <c r="Z374" t="str">
        <f>IFERROR(VLOOKUP($B374,TABLE_CYCLE,2,0),"")</f>
        <v/>
      </c>
      <c r="AA374" t="str">
        <f t="shared" si="121"/>
        <v/>
      </c>
      <c r="AB374" t="str">
        <f>IF($D374="","",IF(COUNTIF($D$2:$D374,$D374)=1,$D374,""))</f>
        <v/>
      </c>
      <c r="AC374">
        <f t="shared" si="122"/>
        <v>0</v>
      </c>
      <c r="AD374" t="str">
        <f t="shared" si="123"/>
        <v>|0</v>
      </c>
      <c r="AE374" t="str">
        <f t="shared" si="124"/>
        <v/>
      </c>
      <c r="AF374" t="str">
        <f t="shared" si="125"/>
        <v/>
      </c>
      <c r="AG374" t="str">
        <f t="shared" si="126"/>
        <v/>
      </c>
      <c r="AH374" t="str">
        <f t="shared" si="127"/>
        <v/>
      </c>
      <c r="AI374" t="str">
        <f t="shared" si="128"/>
        <v/>
      </c>
      <c r="AJ374" t="str">
        <f t="shared" si="129"/>
        <v/>
      </c>
      <c r="AK374" t="str">
        <f t="shared" si="130"/>
        <v/>
      </c>
      <c r="AL374" t="str">
        <f t="shared" si="131"/>
        <v/>
      </c>
      <c r="AM374" t="str">
        <f t="shared" si="132"/>
        <v/>
      </c>
      <c r="AN374" t="str">
        <f t="shared" si="133"/>
        <v/>
      </c>
      <c r="AO374" t="str">
        <f t="shared" si="134"/>
        <v/>
      </c>
      <c r="AP374">
        <f t="shared" si="135"/>
        <v>1</v>
      </c>
      <c r="AQ374" t="str">
        <f>IF(SAISIE!$F379="","",SAISIE!$Y379)</f>
        <v/>
      </c>
      <c r="AR374" t="str">
        <f>IF(OR(SAISIE!$U$4="",SAISIE!$W$4=""),"",IF(AND($A374=SAISIE!$U$4,$B374=SAISIE!$W$4,$C374="S1"),COUNTIFS($A$2:$A374,SAISIE!$U$4,$B$2:$B374,SAISIE!$W$4,$C$2:$C374,"S1"),""))</f>
        <v/>
      </c>
      <c r="AS374" t="str">
        <f t="shared" si="136"/>
        <v/>
      </c>
      <c r="AT374" t="str">
        <f t="shared" si="137"/>
        <v/>
      </c>
      <c r="AU374" t="str">
        <f t="shared" si="138"/>
        <v/>
      </c>
      <c r="AV374">
        <f>N(AV373)+IF(AND($AB374&lt;&gt;"",OR('PROFIL ELEVE'!$K$4="(Tous)",$AF374='PROFIL ELEVE'!$K$4)),1,0)</f>
        <v>0</v>
      </c>
      <c r="AW374">
        <f>N(AW373)+IF(AND($AB374&lt;&gt;"",OR('SUIVI LONGITUDINAL'!$Q$4="(Tous)",$AF374='SUIVI LONGITUDINAL'!$Q$4)),1,0)</f>
        <v>0</v>
      </c>
      <c r="AX374">
        <f t="shared" si="139"/>
        <v>0</v>
      </c>
      <c r="AY374">
        <f t="shared" si="140"/>
        <v>0</v>
      </c>
      <c r="AZ374">
        <f t="shared" si="141"/>
        <v>0</v>
      </c>
      <c r="BA374" t="str">
        <f t="shared" si="142"/>
        <v/>
      </c>
      <c r="BB374" t="str">
        <f t="shared" si="143"/>
        <v/>
      </c>
    </row>
    <row r="375" spans="1:54" ht="14.25" customHeight="1" x14ac:dyDescent="0.3">
      <c r="A375" t="str">
        <f>IF(SAISIE!$F380="","",SAISIE!$B380)</f>
        <v/>
      </c>
      <c r="B375" t="str">
        <f>IF(SAISIE!$F380="","",SAISIE!$C380)</f>
        <v/>
      </c>
      <c r="C375" t="str">
        <f>IF(SAISIE!$F380="","",SAISIE!$D380)</f>
        <v/>
      </c>
      <c r="D375" t="str">
        <f>IF(SAISIE!$E380="","",SAISIE!$E380)</f>
        <v/>
      </c>
      <c r="E375" t="str">
        <f>IF(SAISIE!$F380="","",SAISIE!$F380)</f>
        <v/>
      </c>
      <c r="F375" t="str">
        <f>IF(SAISIE!$G380="","",SAISIE!$G380)</f>
        <v/>
      </c>
      <c r="G375" t="str">
        <f>IF(SAISIE!$H380="","",SAISIE!$H380)</f>
        <v/>
      </c>
      <c r="H375" t="str">
        <f>IF(SAISIE!$I380="","",SAISIE!$I380)</f>
        <v/>
      </c>
      <c r="I375" t="str">
        <f>IF(SAISIE!$J380="","",SAISIE!$J380)</f>
        <v/>
      </c>
      <c r="J375" t="str">
        <f>IF(SAISIE!$K380="","",SAISIE!$K380)</f>
        <v/>
      </c>
      <c r="K375" t="str">
        <f>IF(SAISIE!$L380="","",SAISIE!$L380)</f>
        <v/>
      </c>
      <c r="L375" t="str">
        <f>IF(SAISIE!$M380="","",SAISIE!$M380)</f>
        <v/>
      </c>
      <c r="M375" t="str">
        <f>IF(SAISIE!$N380="","",SAISIE!$N380)</f>
        <v/>
      </c>
      <c r="N375" t="str">
        <f>IF(SAISIE!$O380="","",SAISIE!$O380)</f>
        <v/>
      </c>
      <c r="O375" t="str">
        <f>IF(SAISIE!$P380="","",SAISIE!$P380)</f>
        <v/>
      </c>
      <c r="P375" t="str">
        <f>IF(SAISIE!$Q380="","",SAISIE!$Q380)</f>
        <v/>
      </c>
      <c r="Q375" t="str">
        <f>IF($I375="","",IF($I375&gt;PARAMETRES!$G$29,5,IF($I375&gt;PARAMETRES!$F$29,4,IF($I375&gt;PARAMETRES!$E$29,3,IF($I375&gt;PARAMETRES!$D$29,2,1)))))</f>
        <v/>
      </c>
      <c r="R375" t="str">
        <f>IF($J375="","",IF($J375&gt;PARAMETRES!$G$30,5,IF($J375&gt;PARAMETRES!$F$30,4,IF($J375&gt;PARAMETRES!$E$30,3,IF($J375&gt;PARAMETRES!$D$30,2,1)))))</f>
        <v/>
      </c>
      <c r="S375" t="str">
        <f>IF($K375="","",IF($Z375=2,IF($K375&gt;PARAMETRES!$G$31,5,IF($K375&gt;PARAMETRES!$F$31,4,IF($K375&gt;PARAMETRES!$E$31,3,IF($K375&gt;PARAMETRES!$D$31,2,1)))),IF($K375&gt;PARAMETRES!$G$32,5,IF($K375&gt;PARAMETRES!$F$32,4,IF($K375&gt;PARAMETRES!$E$32,3,IF($K375&gt;PARAMETRES!$D$32,2,1))))))</f>
        <v/>
      </c>
      <c r="T375" t="str">
        <f>IF($L375="","",IF($L375&gt;PARAMETRES!$G$33,5,IF($L375&gt;PARAMETRES!$F$33,4,IF($L375&gt;PARAMETRES!$E$33,3,IF($L375&gt;PARAMETRES!$D$33,2,1)))))</f>
        <v/>
      </c>
      <c r="U375" t="str">
        <f>IF($M375="","",IF($M375&gt;PARAMETRES!$G$34,5,IF($M375&gt;PARAMETRES!$F$34,4,IF($M375&gt;PARAMETRES!$E$34,3,IF($M375&gt;PARAMETRES!$D$34,2,1)))))</f>
        <v/>
      </c>
      <c r="V375" t="str">
        <f>IF($N375="","",IF($N375&gt;PARAMETRES!$G$35,5,IF($N375&gt;PARAMETRES!$F$35,4,IF($N375&gt;PARAMETRES!$E$35,3,IF($N375&gt;PARAMETRES!$D$35,2,1)))))</f>
        <v/>
      </c>
      <c r="W375" t="str">
        <f>IF($O375="","",IF($O375&gt;PARAMETRES!$G$36,5,IF($O375&gt;PARAMETRES!$F$36,4,IF($O375&gt;PARAMETRES!$E$36,3,IF($O375&gt;PARAMETRES!$D$36,2,1)))))</f>
        <v/>
      </c>
      <c r="X375" t="str">
        <f>IF($P375="","",IF($P375&gt;PARAMETRES!$G$37,5,IF($P375&gt;PARAMETRES!$F$37,4,IF($P375&gt;PARAMETRES!$E$37,3,IF($P375&gt;PARAMETRES!$D$37,2,1)))))</f>
        <v/>
      </c>
      <c r="Y375" t="str">
        <f t="shared" si="120"/>
        <v/>
      </c>
      <c r="Z375" t="str">
        <f>IFERROR(VLOOKUP($B375,TABLE_CYCLE,2,0),"")</f>
        <v/>
      </c>
      <c r="AA375" t="str">
        <f t="shared" si="121"/>
        <v/>
      </c>
      <c r="AB375" t="str">
        <f>IF($D375="","",IF(COUNTIF($D$2:$D375,$D375)=1,$D375,""))</f>
        <v/>
      </c>
      <c r="AC375">
        <f t="shared" si="122"/>
        <v>0</v>
      </c>
      <c r="AD375" t="str">
        <f t="shared" si="123"/>
        <v>|0</v>
      </c>
      <c r="AE375" t="str">
        <f t="shared" si="124"/>
        <v/>
      </c>
      <c r="AF375" t="str">
        <f t="shared" si="125"/>
        <v/>
      </c>
      <c r="AG375" t="str">
        <f t="shared" si="126"/>
        <v/>
      </c>
      <c r="AH375" t="str">
        <f t="shared" si="127"/>
        <v/>
      </c>
      <c r="AI375" t="str">
        <f t="shared" si="128"/>
        <v/>
      </c>
      <c r="AJ375" t="str">
        <f t="shared" si="129"/>
        <v/>
      </c>
      <c r="AK375" t="str">
        <f t="shared" si="130"/>
        <v/>
      </c>
      <c r="AL375" t="str">
        <f t="shared" si="131"/>
        <v/>
      </c>
      <c r="AM375" t="str">
        <f t="shared" si="132"/>
        <v/>
      </c>
      <c r="AN375" t="str">
        <f t="shared" si="133"/>
        <v/>
      </c>
      <c r="AO375" t="str">
        <f t="shared" si="134"/>
        <v/>
      </c>
      <c r="AP375">
        <f t="shared" si="135"/>
        <v>1</v>
      </c>
      <c r="AQ375" t="str">
        <f>IF(SAISIE!$F380="","",SAISIE!$Y380)</f>
        <v/>
      </c>
      <c r="AR375" t="str">
        <f>IF(OR(SAISIE!$U$4="",SAISIE!$W$4=""),"",IF(AND($A375=SAISIE!$U$4,$B375=SAISIE!$W$4,$C375="S1"),COUNTIFS($A$2:$A375,SAISIE!$U$4,$B$2:$B375,SAISIE!$W$4,$C$2:$C375,"S1"),""))</f>
        <v/>
      </c>
      <c r="AS375" t="str">
        <f t="shared" si="136"/>
        <v/>
      </c>
      <c r="AT375" t="str">
        <f t="shared" si="137"/>
        <v/>
      </c>
      <c r="AU375" t="str">
        <f t="shared" si="138"/>
        <v/>
      </c>
      <c r="AV375">
        <f>N(AV374)+IF(AND($AB375&lt;&gt;"",OR('PROFIL ELEVE'!$K$4="(Tous)",$AF375='PROFIL ELEVE'!$K$4)),1,0)</f>
        <v>0</v>
      </c>
      <c r="AW375">
        <f>N(AW374)+IF(AND($AB375&lt;&gt;"",OR('SUIVI LONGITUDINAL'!$Q$4="(Tous)",$AF375='SUIVI LONGITUDINAL'!$Q$4)),1,0)</f>
        <v>0</v>
      </c>
      <c r="AX375">
        <f t="shared" si="139"/>
        <v>0</v>
      </c>
      <c r="AY375">
        <f t="shared" si="140"/>
        <v>0</v>
      </c>
      <c r="AZ375">
        <f t="shared" si="141"/>
        <v>0</v>
      </c>
      <c r="BA375" t="str">
        <f t="shared" si="142"/>
        <v/>
      </c>
      <c r="BB375" t="str">
        <f t="shared" si="143"/>
        <v/>
      </c>
    </row>
    <row r="376" spans="1:54" ht="14.25" customHeight="1" x14ac:dyDescent="0.3">
      <c r="A376" t="str">
        <f>IF(SAISIE!$F381="","",SAISIE!$B381)</f>
        <v/>
      </c>
      <c r="B376" t="str">
        <f>IF(SAISIE!$F381="","",SAISIE!$C381)</f>
        <v/>
      </c>
      <c r="C376" t="str">
        <f>IF(SAISIE!$F381="","",SAISIE!$D381)</f>
        <v/>
      </c>
      <c r="D376" t="str">
        <f>IF(SAISIE!$E381="","",SAISIE!$E381)</f>
        <v/>
      </c>
      <c r="E376" t="str">
        <f>IF(SAISIE!$F381="","",SAISIE!$F381)</f>
        <v/>
      </c>
      <c r="F376" t="str">
        <f>IF(SAISIE!$G381="","",SAISIE!$G381)</f>
        <v/>
      </c>
      <c r="G376" t="str">
        <f>IF(SAISIE!$H381="","",SAISIE!$H381)</f>
        <v/>
      </c>
      <c r="H376" t="str">
        <f>IF(SAISIE!$I381="","",SAISIE!$I381)</f>
        <v/>
      </c>
      <c r="I376" t="str">
        <f>IF(SAISIE!$J381="","",SAISIE!$J381)</f>
        <v/>
      </c>
      <c r="J376" t="str">
        <f>IF(SAISIE!$K381="","",SAISIE!$K381)</f>
        <v/>
      </c>
      <c r="K376" t="str">
        <f>IF(SAISIE!$L381="","",SAISIE!$L381)</f>
        <v/>
      </c>
      <c r="L376" t="str">
        <f>IF(SAISIE!$M381="","",SAISIE!$M381)</f>
        <v/>
      </c>
      <c r="M376" t="str">
        <f>IF(SAISIE!$N381="","",SAISIE!$N381)</f>
        <v/>
      </c>
      <c r="N376" t="str">
        <f>IF(SAISIE!$O381="","",SAISIE!$O381)</f>
        <v/>
      </c>
      <c r="O376" t="str">
        <f>IF(SAISIE!$P381="","",SAISIE!$P381)</f>
        <v/>
      </c>
      <c r="P376" t="str">
        <f>IF(SAISIE!$Q381="","",SAISIE!$Q381)</f>
        <v/>
      </c>
      <c r="Q376" t="str">
        <f>IF($I376="","",IF($I376&gt;PARAMETRES!$G$29,5,IF($I376&gt;PARAMETRES!$F$29,4,IF($I376&gt;PARAMETRES!$E$29,3,IF($I376&gt;PARAMETRES!$D$29,2,1)))))</f>
        <v/>
      </c>
      <c r="R376" t="str">
        <f>IF($J376="","",IF($J376&gt;PARAMETRES!$G$30,5,IF($J376&gt;PARAMETRES!$F$30,4,IF($J376&gt;PARAMETRES!$E$30,3,IF($J376&gt;PARAMETRES!$D$30,2,1)))))</f>
        <v/>
      </c>
      <c r="S376" t="str">
        <f>IF($K376="","",IF($Z376=2,IF($K376&gt;PARAMETRES!$G$31,5,IF($K376&gt;PARAMETRES!$F$31,4,IF($K376&gt;PARAMETRES!$E$31,3,IF($K376&gt;PARAMETRES!$D$31,2,1)))),IF($K376&gt;PARAMETRES!$G$32,5,IF($K376&gt;PARAMETRES!$F$32,4,IF($K376&gt;PARAMETRES!$E$32,3,IF($K376&gt;PARAMETRES!$D$32,2,1))))))</f>
        <v/>
      </c>
      <c r="T376" t="str">
        <f>IF($L376="","",IF($L376&gt;PARAMETRES!$G$33,5,IF($L376&gt;PARAMETRES!$F$33,4,IF($L376&gt;PARAMETRES!$E$33,3,IF($L376&gt;PARAMETRES!$D$33,2,1)))))</f>
        <v/>
      </c>
      <c r="U376" t="str">
        <f>IF($M376="","",IF($M376&gt;PARAMETRES!$G$34,5,IF($M376&gt;PARAMETRES!$F$34,4,IF($M376&gt;PARAMETRES!$E$34,3,IF($M376&gt;PARAMETRES!$D$34,2,1)))))</f>
        <v/>
      </c>
      <c r="V376" t="str">
        <f>IF($N376="","",IF($N376&gt;PARAMETRES!$G$35,5,IF($N376&gt;PARAMETRES!$F$35,4,IF($N376&gt;PARAMETRES!$E$35,3,IF($N376&gt;PARAMETRES!$D$35,2,1)))))</f>
        <v/>
      </c>
      <c r="W376" t="str">
        <f>IF($O376="","",IF($O376&gt;PARAMETRES!$G$36,5,IF($O376&gt;PARAMETRES!$F$36,4,IF($O376&gt;PARAMETRES!$E$36,3,IF($O376&gt;PARAMETRES!$D$36,2,1)))))</f>
        <v/>
      </c>
      <c r="X376" t="str">
        <f>IF($P376="","",IF($P376&gt;PARAMETRES!$G$37,5,IF($P376&gt;PARAMETRES!$F$37,4,IF($P376&gt;PARAMETRES!$E$37,3,IF($P376&gt;PARAMETRES!$D$37,2,1)))))</f>
        <v/>
      </c>
      <c r="Y376" t="str">
        <f t="shared" si="120"/>
        <v/>
      </c>
      <c r="Z376" t="str">
        <f>IFERROR(VLOOKUP($B376,TABLE_CYCLE,2,0),"")</f>
        <v/>
      </c>
      <c r="AA376" t="str">
        <f t="shared" si="121"/>
        <v/>
      </c>
      <c r="AB376" t="str">
        <f>IF($D376="","",IF(COUNTIF($D$2:$D376,$D376)=1,$D376,""))</f>
        <v/>
      </c>
      <c r="AC376">
        <f t="shared" si="122"/>
        <v>0</v>
      </c>
      <c r="AD376" t="str">
        <f t="shared" si="123"/>
        <v>|0</v>
      </c>
      <c r="AE376" t="str">
        <f t="shared" si="124"/>
        <v/>
      </c>
      <c r="AF376" t="str">
        <f t="shared" si="125"/>
        <v/>
      </c>
      <c r="AG376" t="str">
        <f t="shared" si="126"/>
        <v/>
      </c>
      <c r="AH376" t="str">
        <f t="shared" si="127"/>
        <v/>
      </c>
      <c r="AI376" t="str">
        <f t="shared" si="128"/>
        <v/>
      </c>
      <c r="AJ376" t="str">
        <f t="shared" si="129"/>
        <v/>
      </c>
      <c r="AK376" t="str">
        <f t="shared" si="130"/>
        <v/>
      </c>
      <c r="AL376" t="str">
        <f t="shared" si="131"/>
        <v/>
      </c>
      <c r="AM376" t="str">
        <f t="shared" si="132"/>
        <v/>
      </c>
      <c r="AN376" t="str">
        <f t="shared" si="133"/>
        <v/>
      </c>
      <c r="AO376" t="str">
        <f t="shared" si="134"/>
        <v/>
      </c>
      <c r="AP376">
        <f t="shared" si="135"/>
        <v>1</v>
      </c>
      <c r="AQ376" t="str">
        <f>IF(SAISIE!$F381="","",SAISIE!$Y381)</f>
        <v/>
      </c>
      <c r="AR376" t="str">
        <f>IF(OR(SAISIE!$U$4="",SAISIE!$W$4=""),"",IF(AND($A376=SAISIE!$U$4,$B376=SAISIE!$W$4,$C376="S1"),COUNTIFS($A$2:$A376,SAISIE!$U$4,$B$2:$B376,SAISIE!$W$4,$C$2:$C376,"S1"),""))</f>
        <v/>
      </c>
      <c r="AS376" t="str">
        <f t="shared" si="136"/>
        <v/>
      </c>
      <c r="AT376" t="str">
        <f t="shared" si="137"/>
        <v/>
      </c>
      <c r="AU376" t="str">
        <f t="shared" si="138"/>
        <v/>
      </c>
      <c r="AV376">
        <f>N(AV375)+IF(AND($AB376&lt;&gt;"",OR('PROFIL ELEVE'!$K$4="(Tous)",$AF376='PROFIL ELEVE'!$K$4)),1,0)</f>
        <v>0</v>
      </c>
      <c r="AW376">
        <f>N(AW375)+IF(AND($AB376&lt;&gt;"",OR('SUIVI LONGITUDINAL'!$Q$4="(Tous)",$AF376='SUIVI LONGITUDINAL'!$Q$4)),1,0)</f>
        <v>0</v>
      </c>
      <c r="AX376">
        <f t="shared" si="139"/>
        <v>0</v>
      </c>
      <c r="AY376">
        <f t="shared" si="140"/>
        <v>0</v>
      </c>
      <c r="AZ376">
        <f t="shared" si="141"/>
        <v>0</v>
      </c>
      <c r="BA376" t="str">
        <f t="shared" si="142"/>
        <v/>
      </c>
      <c r="BB376" t="str">
        <f t="shared" si="143"/>
        <v/>
      </c>
    </row>
    <row r="377" spans="1:54" ht="14.25" customHeight="1" x14ac:dyDescent="0.3">
      <c r="A377" t="str">
        <f>IF(SAISIE!$F382="","",SAISIE!$B382)</f>
        <v/>
      </c>
      <c r="B377" t="str">
        <f>IF(SAISIE!$F382="","",SAISIE!$C382)</f>
        <v/>
      </c>
      <c r="C377" t="str">
        <f>IF(SAISIE!$F382="","",SAISIE!$D382)</f>
        <v/>
      </c>
      <c r="D377" t="str">
        <f>IF(SAISIE!$E382="","",SAISIE!$E382)</f>
        <v/>
      </c>
      <c r="E377" t="str">
        <f>IF(SAISIE!$F382="","",SAISIE!$F382)</f>
        <v/>
      </c>
      <c r="F377" t="str">
        <f>IF(SAISIE!$G382="","",SAISIE!$G382)</f>
        <v/>
      </c>
      <c r="G377" t="str">
        <f>IF(SAISIE!$H382="","",SAISIE!$H382)</f>
        <v/>
      </c>
      <c r="H377" t="str">
        <f>IF(SAISIE!$I382="","",SAISIE!$I382)</f>
        <v/>
      </c>
      <c r="I377" t="str">
        <f>IF(SAISIE!$J382="","",SAISIE!$J382)</f>
        <v/>
      </c>
      <c r="J377" t="str">
        <f>IF(SAISIE!$K382="","",SAISIE!$K382)</f>
        <v/>
      </c>
      <c r="K377" t="str">
        <f>IF(SAISIE!$L382="","",SAISIE!$L382)</f>
        <v/>
      </c>
      <c r="L377" t="str">
        <f>IF(SAISIE!$M382="","",SAISIE!$M382)</f>
        <v/>
      </c>
      <c r="M377" t="str">
        <f>IF(SAISIE!$N382="","",SAISIE!$N382)</f>
        <v/>
      </c>
      <c r="N377" t="str">
        <f>IF(SAISIE!$O382="","",SAISIE!$O382)</f>
        <v/>
      </c>
      <c r="O377" t="str">
        <f>IF(SAISIE!$P382="","",SAISIE!$P382)</f>
        <v/>
      </c>
      <c r="P377" t="str">
        <f>IF(SAISIE!$Q382="","",SAISIE!$Q382)</f>
        <v/>
      </c>
      <c r="Q377" t="str">
        <f>IF($I377="","",IF($I377&gt;PARAMETRES!$G$29,5,IF($I377&gt;PARAMETRES!$F$29,4,IF($I377&gt;PARAMETRES!$E$29,3,IF($I377&gt;PARAMETRES!$D$29,2,1)))))</f>
        <v/>
      </c>
      <c r="R377" t="str">
        <f>IF($J377="","",IF($J377&gt;PARAMETRES!$G$30,5,IF($J377&gt;PARAMETRES!$F$30,4,IF($J377&gt;PARAMETRES!$E$30,3,IF($J377&gt;PARAMETRES!$D$30,2,1)))))</f>
        <v/>
      </c>
      <c r="S377" t="str">
        <f>IF($K377="","",IF($Z377=2,IF($K377&gt;PARAMETRES!$G$31,5,IF($K377&gt;PARAMETRES!$F$31,4,IF($K377&gt;PARAMETRES!$E$31,3,IF($K377&gt;PARAMETRES!$D$31,2,1)))),IF($K377&gt;PARAMETRES!$G$32,5,IF($K377&gt;PARAMETRES!$F$32,4,IF($K377&gt;PARAMETRES!$E$32,3,IF($K377&gt;PARAMETRES!$D$32,2,1))))))</f>
        <v/>
      </c>
      <c r="T377" t="str">
        <f>IF($L377="","",IF($L377&gt;PARAMETRES!$G$33,5,IF($L377&gt;PARAMETRES!$F$33,4,IF($L377&gt;PARAMETRES!$E$33,3,IF($L377&gt;PARAMETRES!$D$33,2,1)))))</f>
        <v/>
      </c>
      <c r="U377" t="str">
        <f>IF($M377="","",IF($M377&gt;PARAMETRES!$G$34,5,IF($M377&gt;PARAMETRES!$F$34,4,IF($M377&gt;PARAMETRES!$E$34,3,IF($M377&gt;PARAMETRES!$D$34,2,1)))))</f>
        <v/>
      </c>
      <c r="V377" t="str">
        <f>IF($N377="","",IF($N377&gt;PARAMETRES!$G$35,5,IF($N377&gt;PARAMETRES!$F$35,4,IF($N377&gt;PARAMETRES!$E$35,3,IF($N377&gt;PARAMETRES!$D$35,2,1)))))</f>
        <v/>
      </c>
      <c r="W377" t="str">
        <f>IF($O377="","",IF($O377&gt;PARAMETRES!$G$36,5,IF($O377&gt;PARAMETRES!$F$36,4,IF($O377&gt;PARAMETRES!$E$36,3,IF($O377&gt;PARAMETRES!$D$36,2,1)))))</f>
        <v/>
      </c>
      <c r="X377" t="str">
        <f>IF($P377="","",IF($P377&gt;PARAMETRES!$G$37,5,IF($P377&gt;PARAMETRES!$F$37,4,IF($P377&gt;PARAMETRES!$E$37,3,IF($P377&gt;PARAMETRES!$D$37,2,1)))))</f>
        <v/>
      </c>
      <c r="Y377" t="str">
        <f t="shared" si="120"/>
        <v/>
      </c>
      <c r="Z377" t="str">
        <f>IFERROR(VLOOKUP($B377,TABLE_CYCLE,2,0),"")</f>
        <v/>
      </c>
      <c r="AA377" t="str">
        <f t="shared" si="121"/>
        <v/>
      </c>
      <c r="AB377" t="str">
        <f>IF($D377="","",IF(COUNTIF($D$2:$D377,$D377)=1,$D377,""))</f>
        <v/>
      </c>
      <c r="AC377">
        <f t="shared" si="122"/>
        <v>0</v>
      </c>
      <c r="AD377" t="str">
        <f t="shared" si="123"/>
        <v>|0</v>
      </c>
      <c r="AE377" t="str">
        <f t="shared" si="124"/>
        <v/>
      </c>
      <c r="AF377" t="str">
        <f t="shared" si="125"/>
        <v/>
      </c>
      <c r="AG377" t="str">
        <f t="shared" si="126"/>
        <v/>
      </c>
      <c r="AH377" t="str">
        <f t="shared" si="127"/>
        <v/>
      </c>
      <c r="AI377" t="str">
        <f t="shared" si="128"/>
        <v/>
      </c>
      <c r="AJ377" t="str">
        <f t="shared" si="129"/>
        <v/>
      </c>
      <c r="AK377" t="str">
        <f t="shared" si="130"/>
        <v/>
      </c>
      <c r="AL377" t="str">
        <f t="shared" si="131"/>
        <v/>
      </c>
      <c r="AM377" t="str">
        <f t="shared" si="132"/>
        <v/>
      </c>
      <c r="AN377" t="str">
        <f t="shared" si="133"/>
        <v/>
      </c>
      <c r="AO377" t="str">
        <f t="shared" si="134"/>
        <v/>
      </c>
      <c r="AP377">
        <f t="shared" si="135"/>
        <v>1</v>
      </c>
      <c r="AQ377" t="str">
        <f>IF(SAISIE!$F382="","",SAISIE!$Y382)</f>
        <v/>
      </c>
      <c r="AR377" t="str">
        <f>IF(OR(SAISIE!$U$4="",SAISIE!$W$4=""),"",IF(AND($A377=SAISIE!$U$4,$B377=SAISIE!$W$4,$C377="S1"),COUNTIFS($A$2:$A377,SAISIE!$U$4,$B$2:$B377,SAISIE!$W$4,$C$2:$C377,"S1"),""))</f>
        <v/>
      </c>
      <c r="AS377" t="str">
        <f t="shared" si="136"/>
        <v/>
      </c>
      <c r="AT377" t="str">
        <f t="shared" si="137"/>
        <v/>
      </c>
      <c r="AU377" t="str">
        <f t="shared" si="138"/>
        <v/>
      </c>
      <c r="AV377">
        <f>N(AV376)+IF(AND($AB377&lt;&gt;"",OR('PROFIL ELEVE'!$K$4="(Tous)",$AF377='PROFIL ELEVE'!$K$4)),1,0)</f>
        <v>0</v>
      </c>
      <c r="AW377">
        <f>N(AW376)+IF(AND($AB377&lt;&gt;"",OR('SUIVI LONGITUDINAL'!$Q$4="(Tous)",$AF377='SUIVI LONGITUDINAL'!$Q$4)),1,0)</f>
        <v>0</v>
      </c>
      <c r="AX377">
        <f t="shared" si="139"/>
        <v>0</v>
      </c>
      <c r="AY377">
        <f t="shared" si="140"/>
        <v>0</v>
      </c>
      <c r="AZ377">
        <f t="shared" si="141"/>
        <v>0</v>
      </c>
      <c r="BA377" t="str">
        <f t="shared" si="142"/>
        <v/>
      </c>
      <c r="BB377" t="str">
        <f t="shared" si="143"/>
        <v/>
      </c>
    </row>
    <row r="378" spans="1:54" ht="14.25" customHeight="1" x14ac:dyDescent="0.3">
      <c r="A378" t="str">
        <f>IF(SAISIE!$F383="","",SAISIE!$B383)</f>
        <v/>
      </c>
      <c r="B378" t="str">
        <f>IF(SAISIE!$F383="","",SAISIE!$C383)</f>
        <v/>
      </c>
      <c r="C378" t="str">
        <f>IF(SAISIE!$F383="","",SAISIE!$D383)</f>
        <v/>
      </c>
      <c r="D378" t="str">
        <f>IF(SAISIE!$E383="","",SAISIE!$E383)</f>
        <v/>
      </c>
      <c r="E378" t="str">
        <f>IF(SAISIE!$F383="","",SAISIE!$F383)</f>
        <v/>
      </c>
      <c r="F378" t="str">
        <f>IF(SAISIE!$G383="","",SAISIE!$G383)</f>
        <v/>
      </c>
      <c r="G378" t="str">
        <f>IF(SAISIE!$H383="","",SAISIE!$H383)</f>
        <v/>
      </c>
      <c r="H378" t="str">
        <f>IF(SAISIE!$I383="","",SAISIE!$I383)</f>
        <v/>
      </c>
      <c r="I378" t="str">
        <f>IF(SAISIE!$J383="","",SAISIE!$J383)</f>
        <v/>
      </c>
      <c r="J378" t="str">
        <f>IF(SAISIE!$K383="","",SAISIE!$K383)</f>
        <v/>
      </c>
      <c r="K378" t="str">
        <f>IF(SAISIE!$L383="","",SAISIE!$L383)</f>
        <v/>
      </c>
      <c r="L378" t="str">
        <f>IF(SAISIE!$M383="","",SAISIE!$M383)</f>
        <v/>
      </c>
      <c r="M378" t="str">
        <f>IF(SAISIE!$N383="","",SAISIE!$N383)</f>
        <v/>
      </c>
      <c r="N378" t="str">
        <f>IF(SAISIE!$O383="","",SAISIE!$O383)</f>
        <v/>
      </c>
      <c r="O378" t="str">
        <f>IF(SAISIE!$P383="","",SAISIE!$P383)</f>
        <v/>
      </c>
      <c r="P378" t="str">
        <f>IF(SAISIE!$Q383="","",SAISIE!$Q383)</f>
        <v/>
      </c>
      <c r="Q378" t="str">
        <f>IF($I378="","",IF($I378&gt;PARAMETRES!$G$29,5,IF($I378&gt;PARAMETRES!$F$29,4,IF($I378&gt;PARAMETRES!$E$29,3,IF($I378&gt;PARAMETRES!$D$29,2,1)))))</f>
        <v/>
      </c>
      <c r="R378" t="str">
        <f>IF($J378="","",IF($J378&gt;PARAMETRES!$G$30,5,IF($J378&gt;PARAMETRES!$F$30,4,IF($J378&gt;PARAMETRES!$E$30,3,IF($J378&gt;PARAMETRES!$D$30,2,1)))))</f>
        <v/>
      </c>
      <c r="S378" t="str">
        <f>IF($K378="","",IF($Z378=2,IF($K378&gt;PARAMETRES!$G$31,5,IF($K378&gt;PARAMETRES!$F$31,4,IF($K378&gt;PARAMETRES!$E$31,3,IF($K378&gt;PARAMETRES!$D$31,2,1)))),IF($K378&gt;PARAMETRES!$G$32,5,IF($K378&gt;PARAMETRES!$F$32,4,IF($K378&gt;PARAMETRES!$E$32,3,IF($K378&gt;PARAMETRES!$D$32,2,1))))))</f>
        <v/>
      </c>
      <c r="T378" t="str">
        <f>IF($L378="","",IF($L378&gt;PARAMETRES!$G$33,5,IF($L378&gt;PARAMETRES!$F$33,4,IF($L378&gt;PARAMETRES!$E$33,3,IF($L378&gt;PARAMETRES!$D$33,2,1)))))</f>
        <v/>
      </c>
      <c r="U378" t="str">
        <f>IF($M378="","",IF($M378&gt;PARAMETRES!$G$34,5,IF($M378&gt;PARAMETRES!$F$34,4,IF($M378&gt;PARAMETRES!$E$34,3,IF($M378&gt;PARAMETRES!$D$34,2,1)))))</f>
        <v/>
      </c>
      <c r="V378" t="str">
        <f>IF($N378="","",IF($N378&gt;PARAMETRES!$G$35,5,IF($N378&gt;PARAMETRES!$F$35,4,IF($N378&gt;PARAMETRES!$E$35,3,IF($N378&gt;PARAMETRES!$D$35,2,1)))))</f>
        <v/>
      </c>
      <c r="W378" t="str">
        <f>IF($O378="","",IF($O378&gt;PARAMETRES!$G$36,5,IF($O378&gt;PARAMETRES!$F$36,4,IF($O378&gt;PARAMETRES!$E$36,3,IF($O378&gt;PARAMETRES!$D$36,2,1)))))</f>
        <v/>
      </c>
      <c r="X378" t="str">
        <f>IF($P378="","",IF($P378&gt;PARAMETRES!$G$37,5,IF($P378&gt;PARAMETRES!$F$37,4,IF($P378&gt;PARAMETRES!$E$37,3,IF($P378&gt;PARAMETRES!$D$37,2,1)))))</f>
        <v/>
      </c>
      <c r="Y378" t="str">
        <f t="shared" si="120"/>
        <v/>
      </c>
      <c r="Z378" t="str">
        <f>IFERROR(VLOOKUP($B378,TABLE_CYCLE,2,0),"")</f>
        <v/>
      </c>
      <c r="AA378" t="str">
        <f t="shared" si="121"/>
        <v/>
      </c>
      <c r="AB378" t="str">
        <f>IF($D378="","",IF(COUNTIF($D$2:$D378,$D378)=1,$D378,""))</f>
        <v/>
      </c>
      <c r="AC378">
        <f t="shared" si="122"/>
        <v>0</v>
      </c>
      <c r="AD378" t="str">
        <f t="shared" si="123"/>
        <v>|0</v>
      </c>
      <c r="AE378" t="str">
        <f t="shared" si="124"/>
        <v/>
      </c>
      <c r="AF378" t="str">
        <f t="shared" si="125"/>
        <v/>
      </c>
      <c r="AG378" t="str">
        <f t="shared" si="126"/>
        <v/>
      </c>
      <c r="AH378" t="str">
        <f t="shared" si="127"/>
        <v/>
      </c>
      <c r="AI378" t="str">
        <f t="shared" si="128"/>
        <v/>
      </c>
      <c r="AJ378" t="str">
        <f t="shared" si="129"/>
        <v/>
      </c>
      <c r="AK378" t="str">
        <f t="shared" si="130"/>
        <v/>
      </c>
      <c r="AL378" t="str">
        <f t="shared" si="131"/>
        <v/>
      </c>
      <c r="AM378" t="str">
        <f t="shared" si="132"/>
        <v/>
      </c>
      <c r="AN378" t="str">
        <f t="shared" si="133"/>
        <v/>
      </c>
      <c r="AO378" t="str">
        <f t="shared" si="134"/>
        <v/>
      </c>
      <c r="AP378">
        <f t="shared" si="135"/>
        <v>1</v>
      </c>
      <c r="AQ378" t="str">
        <f>IF(SAISIE!$F383="","",SAISIE!$Y383)</f>
        <v/>
      </c>
      <c r="AR378" t="str">
        <f>IF(OR(SAISIE!$U$4="",SAISIE!$W$4=""),"",IF(AND($A378=SAISIE!$U$4,$B378=SAISIE!$W$4,$C378="S1"),COUNTIFS($A$2:$A378,SAISIE!$U$4,$B$2:$B378,SAISIE!$W$4,$C$2:$C378,"S1"),""))</f>
        <v/>
      </c>
      <c r="AS378" t="str">
        <f t="shared" si="136"/>
        <v/>
      </c>
      <c r="AT378" t="str">
        <f t="shared" si="137"/>
        <v/>
      </c>
      <c r="AU378" t="str">
        <f t="shared" si="138"/>
        <v/>
      </c>
      <c r="AV378">
        <f>N(AV377)+IF(AND($AB378&lt;&gt;"",OR('PROFIL ELEVE'!$K$4="(Tous)",$AF378='PROFIL ELEVE'!$K$4)),1,0)</f>
        <v>0</v>
      </c>
      <c r="AW378">
        <f>N(AW377)+IF(AND($AB378&lt;&gt;"",OR('SUIVI LONGITUDINAL'!$Q$4="(Tous)",$AF378='SUIVI LONGITUDINAL'!$Q$4)),1,0)</f>
        <v>0</v>
      </c>
      <c r="AX378">
        <f t="shared" si="139"/>
        <v>0</v>
      </c>
      <c r="AY378">
        <f t="shared" si="140"/>
        <v>0</v>
      </c>
      <c r="AZ378">
        <f t="shared" si="141"/>
        <v>0</v>
      </c>
      <c r="BA378" t="str">
        <f t="shared" si="142"/>
        <v/>
      </c>
      <c r="BB378" t="str">
        <f t="shared" si="143"/>
        <v/>
      </c>
    </row>
    <row r="379" spans="1:54" ht="14.25" customHeight="1" x14ac:dyDescent="0.3">
      <c r="A379" t="str">
        <f>IF(SAISIE!$F384="","",SAISIE!$B384)</f>
        <v/>
      </c>
      <c r="B379" t="str">
        <f>IF(SAISIE!$F384="","",SAISIE!$C384)</f>
        <v/>
      </c>
      <c r="C379" t="str">
        <f>IF(SAISIE!$F384="","",SAISIE!$D384)</f>
        <v/>
      </c>
      <c r="D379" t="str">
        <f>IF(SAISIE!$E384="","",SAISIE!$E384)</f>
        <v/>
      </c>
      <c r="E379" t="str">
        <f>IF(SAISIE!$F384="","",SAISIE!$F384)</f>
        <v/>
      </c>
      <c r="F379" t="str">
        <f>IF(SAISIE!$G384="","",SAISIE!$G384)</f>
        <v/>
      </c>
      <c r="G379" t="str">
        <f>IF(SAISIE!$H384="","",SAISIE!$H384)</f>
        <v/>
      </c>
      <c r="H379" t="str">
        <f>IF(SAISIE!$I384="","",SAISIE!$I384)</f>
        <v/>
      </c>
      <c r="I379" t="str">
        <f>IF(SAISIE!$J384="","",SAISIE!$J384)</f>
        <v/>
      </c>
      <c r="J379" t="str">
        <f>IF(SAISIE!$K384="","",SAISIE!$K384)</f>
        <v/>
      </c>
      <c r="K379" t="str">
        <f>IF(SAISIE!$L384="","",SAISIE!$L384)</f>
        <v/>
      </c>
      <c r="L379" t="str">
        <f>IF(SAISIE!$M384="","",SAISIE!$M384)</f>
        <v/>
      </c>
      <c r="M379" t="str">
        <f>IF(SAISIE!$N384="","",SAISIE!$N384)</f>
        <v/>
      </c>
      <c r="N379" t="str">
        <f>IF(SAISIE!$O384="","",SAISIE!$O384)</f>
        <v/>
      </c>
      <c r="O379" t="str">
        <f>IF(SAISIE!$P384="","",SAISIE!$P384)</f>
        <v/>
      </c>
      <c r="P379" t="str">
        <f>IF(SAISIE!$Q384="","",SAISIE!$Q384)</f>
        <v/>
      </c>
      <c r="Q379" t="str">
        <f>IF($I379="","",IF($I379&gt;PARAMETRES!$G$29,5,IF($I379&gt;PARAMETRES!$F$29,4,IF($I379&gt;PARAMETRES!$E$29,3,IF($I379&gt;PARAMETRES!$D$29,2,1)))))</f>
        <v/>
      </c>
      <c r="R379" t="str">
        <f>IF($J379="","",IF($J379&gt;PARAMETRES!$G$30,5,IF($J379&gt;PARAMETRES!$F$30,4,IF($J379&gt;PARAMETRES!$E$30,3,IF($J379&gt;PARAMETRES!$D$30,2,1)))))</f>
        <v/>
      </c>
      <c r="S379" t="str">
        <f>IF($K379="","",IF($Z379=2,IF($K379&gt;PARAMETRES!$G$31,5,IF($K379&gt;PARAMETRES!$F$31,4,IF($K379&gt;PARAMETRES!$E$31,3,IF($K379&gt;PARAMETRES!$D$31,2,1)))),IF($K379&gt;PARAMETRES!$G$32,5,IF($K379&gt;PARAMETRES!$F$32,4,IF($K379&gt;PARAMETRES!$E$32,3,IF($K379&gt;PARAMETRES!$D$32,2,1))))))</f>
        <v/>
      </c>
      <c r="T379" t="str">
        <f>IF($L379="","",IF($L379&gt;PARAMETRES!$G$33,5,IF($L379&gt;PARAMETRES!$F$33,4,IF($L379&gt;PARAMETRES!$E$33,3,IF($L379&gt;PARAMETRES!$D$33,2,1)))))</f>
        <v/>
      </c>
      <c r="U379" t="str">
        <f>IF($M379="","",IF($M379&gt;PARAMETRES!$G$34,5,IF($M379&gt;PARAMETRES!$F$34,4,IF($M379&gt;PARAMETRES!$E$34,3,IF($M379&gt;PARAMETRES!$D$34,2,1)))))</f>
        <v/>
      </c>
      <c r="V379" t="str">
        <f>IF($N379="","",IF($N379&gt;PARAMETRES!$G$35,5,IF($N379&gt;PARAMETRES!$F$35,4,IF($N379&gt;PARAMETRES!$E$35,3,IF($N379&gt;PARAMETRES!$D$35,2,1)))))</f>
        <v/>
      </c>
      <c r="W379" t="str">
        <f>IF($O379="","",IF($O379&gt;PARAMETRES!$G$36,5,IF($O379&gt;PARAMETRES!$F$36,4,IF($O379&gt;PARAMETRES!$E$36,3,IF($O379&gt;PARAMETRES!$D$36,2,1)))))</f>
        <v/>
      </c>
      <c r="X379" t="str">
        <f>IF($P379="","",IF($P379&gt;PARAMETRES!$G$37,5,IF($P379&gt;PARAMETRES!$F$37,4,IF($P379&gt;PARAMETRES!$E$37,3,IF($P379&gt;PARAMETRES!$D$37,2,1)))))</f>
        <v/>
      </c>
      <c r="Y379" t="str">
        <f t="shared" si="120"/>
        <v/>
      </c>
      <c r="Z379" t="str">
        <f>IFERROR(VLOOKUP($B379,TABLE_CYCLE,2,0),"")</f>
        <v/>
      </c>
      <c r="AA379" t="str">
        <f t="shared" si="121"/>
        <v/>
      </c>
      <c r="AB379" t="str">
        <f>IF($D379="","",IF(COUNTIF($D$2:$D379,$D379)=1,$D379,""))</f>
        <v/>
      </c>
      <c r="AC379">
        <f t="shared" si="122"/>
        <v>0</v>
      </c>
      <c r="AD379" t="str">
        <f t="shared" si="123"/>
        <v>|0</v>
      </c>
      <c r="AE379" t="str">
        <f t="shared" si="124"/>
        <v/>
      </c>
      <c r="AF379" t="str">
        <f t="shared" si="125"/>
        <v/>
      </c>
      <c r="AG379" t="str">
        <f t="shared" si="126"/>
        <v/>
      </c>
      <c r="AH379" t="str">
        <f t="shared" si="127"/>
        <v/>
      </c>
      <c r="AI379" t="str">
        <f t="shared" si="128"/>
        <v/>
      </c>
      <c r="AJ379" t="str">
        <f t="shared" si="129"/>
        <v/>
      </c>
      <c r="AK379" t="str">
        <f t="shared" si="130"/>
        <v/>
      </c>
      <c r="AL379" t="str">
        <f t="shared" si="131"/>
        <v/>
      </c>
      <c r="AM379" t="str">
        <f t="shared" si="132"/>
        <v/>
      </c>
      <c r="AN379" t="str">
        <f t="shared" si="133"/>
        <v/>
      </c>
      <c r="AO379" t="str">
        <f t="shared" si="134"/>
        <v/>
      </c>
      <c r="AP379">
        <f t="shared" si="135"/>
        <v>1</v>
      </c>
      <c r="AQ379" t="str">
        <f>IF(SAISIE!$F384="","",SAISIE!$Y384)</f>
        <v/>
      </c>
      <c r="AR379" t="str">
        <f>IF(OR(SAISIE!$U$4="",SAISIE!$W$4=""),"",IF(AND($A379=SAISIE!$U$4,$B379=SAISIE!$W$4,$C379="S1"),COUNTIFS($A$2:$A379,SAISIE!$U$4,$B$2:$B379,SAISIE!$W$4,$C$2:$C379,"S1"),""))</f>
        <v/>
      </c>
      <c r="AS379" t="str">
        <f t="shared" si="136"/>
        <v/>
      </c>
      <c r="AT379" t="str">
        <f t="shared" si="137"/>
        <v/>
      </c>
      <c r="AU379" t="str">
        <f t="shared" si="138"/>
        <v/>
      </c>
      <c r="AV379">
        <f>N(AV378)+IF(AND($AB379&lt;&gt;"",OR('PROFIL ELEVE'!$K$4="(Tous)",$AF379='PROFIL ELEVE'!$K$4)),1,0)</f>
        <v>0</v>
      </c>
      <c r="AW379">
        <f>N(AW378)+IF(AND($AB379&lt;&gt;"",OR('SUIVI LONGITUDINAL'!$Q$4="(Tous)",$AF379='SUIVI LONGITUDINAL'!$Q$4)),1,0)</f>
        <v>0</v>
      </c>
      <c r="AX379">
        <f t="shared" si="139"/>
        <v>0</v>
      </c>
      <c r="AY379">
        <f t="shared" si="140"/>
        <v>0</v>
      </c>
      <c r="AZ379">
        <f t="shared" si="141"/>
        <v>0</v>
      </c>
      <c r="BA379" t="str">
        <f t="shared" si="142"/>
        <v/>
      </c>
      <c r="BB379" t="str">
        <f t="shared" si="143"/>
        <v/>
      </c>
    </row>
    <row r="380" spans="1:54" ht="14.25" customHeight="1" x14ac:dyDescent="0.3">
      <c r="A380" t="str">
        <f>IF(SAISIE!$F385="","",SAISIE!$B385)</f>
        <v/>
      </c>
      <c r="B380" t="str">
        <f>IF(SAISIE!$F385="","",SAISIE!$C385)</f>
        <v/>
      </c>
      <c r="C380" t="str">
        <f>IF(SAISIE!$F385="","",SAISIE!$D385)</f>
        <v/>
      </c>
      <c r="D380" t="str">
        <f>IF(SAISIE!$E385="","",SAISIE!$E385)</f>
        <v/>
      </c>
      <c r="E380" t="str">
        <f>IF(SAISIE!$F385="","",SAISIE!$F385)</f>
        <v/>
      </c>
      <c r="F380" t="str">
        <f>IF(SAISIE!$G385="","",SAISIE!$G385)</f>
        <v/>
      </c>
      <c r="G380" t="str">
        <f>IF(SAISIE!$H385="","",SAISIE!$H385)</f>
        <v/>
      </c>
      <c r="H380" t="str">
        <f>IF(SAISIE!$I385="","",SAISIE!$I385)</f>
        <v/>
      </c>
      <c r="I380" t="str">
        <f>IF(SAISIE!$J385="","",SAISIE!$J385)</f>
        <v/>
      </c>
      <c r="J380" t="str">
        <f>IF(SAISIE!$K385="","",SAISIE!$K385)</f>
        <v/>
      </c>
      <c r="K380" t="str">
        <f>IF(SAISIE!$L385="","",SAISIE!$L385)</f>
        <v/>
      </c>
      <c r="L380" t="str">
        <f>IF(SAISIE!$M385="","",SAISIE!$M385)</f>
        <v/>
      </c>
      <c r="M380" t="str">
        <f>IF(SAISIE!$N385="","",SAISIE!$N385)</f>
        <v/>
      </c>
      <c r="N380" t="str">
        <f>IF(SAISIE!$O385="","",SAISIE!$O385)</f>
        <v/>
      </c>
      <c r="O380" t="str">
        <f>IF(SAISIE!$P385="","",SAISIE!$P385)</f>
        <v/>
      </c>
      <c r="P380" t="str">
        <f>IF(SAISIE!$Q385="","",SAISIE!$Q385)</f>
        <v/>
      </c>
      <c r="Q380" t="str">
        <f>IF($I380="","",IF($I380&gt;PARAMETRES!$G$29,5,IF($I380&gt;PARAMETRES!$F$29,4,IF($I380&gt;PARAMETRES!$E$29,3,IF($I380&gt;PARAMETRES!$D$29,2,1)))))</f>
        <v/>
      </c>
      <c r="R380" t="str">
        <f>IF($J380="","",IF($J380&gt;PARAMETRES!$G$30,5,IF($J380&gt;PARAMETRES!$F$30,4,IF($J380&gt;PARAMETRES!$E$30,3,IF($J380&gt;PARAMETRES!$D$30,2,1)))))</f>
        <v/>
      </c>
      <c r="S380" t="str">
        <f>IF($K380="","",IF($Z380=2,IF($K380&gt;PARAMETRES!$G$31,5,IF($K380&gt;PARAMETRES!$F$31,4,IF($K380&gt;PARAMETRES!$E$31,3,IF($K380&gt;PARAMETRES!$D$31,2,1)))),IF($K380&gt;PARAMETRES!$G$32,5,IF($K380&gt;PARAMETRES!$F$32,4,IF($K380&gt;PARAMETRES!$E$32,3,IF($K380&gt;PARAMETRES!$D$32,2,1))))))</f>
        <v/>
      </c>
      <c r="T380" t="str">
        <f>IF($L380="","",IF($L380&gt;PARAMETRES!$G$33,5,IF($L380&gt;PARAMETRES!$F$33,4,IF($L380&gt;PARAMETRES!$E$33,3,IF($L380&gt;PARAMETRES!$D$33,2,1)))))</f>
        <v/>
      </c>
      <c r="U380" t="str">
        <f>IF($M380="","",IF($M380&gt;PARAMETRES!$G$34,5,IF($M380&gt;PARAMETRES!$F$34,4,IF($M380&gt;PARAMETRES!$E$34,3,IF($M380&gt;PARAMETRES!$D$34,2,1)))))</f>
        <v/>
      </c>
      <c r="V380" t="str">
        <f>IF($N380="","",IF($N380&gt;PARAMETRES!$G$35,5,IF($N380&gt;PARAMETRES!$F$35,4,IF($N380&gt;PARAMETRES!$E$35,3,IF($N380&gt;PARAMETRES!$D$35,2,1)))))</f>
        <v/>
      </c>
      <c r="W380" t="str">
        <f>IF($O380="","",IF($O380&gt;PARAMETRES!$G$36,5,IF($O380&gt;PARAMETRES!$F$36,4,IF($O380&gt;PARAMETRES!$E$36,3,IF($O380&gt;PARAMETRES!$D$36,2,1)))))</f>
        <v/>
      </c>
      <c r="X380" t="str">
        <f>IF($P380="","",IF($P380&gt;PARAMETRES!$G$37,5,IF($P380&gt;PARAMETRES!$F$37,4,IF($P380&gt;PARAMETRES!$E$37,3,IF($P380&gt;PARAMETRES!$D$37,2,1)))))</f>
        <v/>
      </c>
      <c r="Y380" t="str">
        <f t="shared" si="120"/>
        <v/>
      </c>
      <c r="Z380" t="str">
        <f>IFERROR(VLOOKUP($B380,TABLE_CYCLE,2,0),"")</f>
        <v/>
      </c>
      <c r="AA380" t="str">
        <f t="shared" si="121"/>
        <v/>
      </c>
      <c r="AB380" t="str">
        <f>IF($D380="","",IF(COUNTIF($D$2:$D380,$D380)=1,$D380,""))</f>
        <v/>
      </c>
      <c r="AC380">
        <f t="shared" si="122"/>
        <v>0</v>
      </c>
      <c r="AD380" t="str">
        <f t="shared" si="123"/>
        <v>|0</v>
      </c>
      <c r="AE380" t="str">
        <f t="shared" si="124"/>
        <v/>
      </c>
      <c r="AF380" t="str">
        <f t="shared" si="125"/>
        <v/>
      </c>
      <c r="AG380" t="str">
        <f t="shared" si="126"/>
        <v/>
      </c>
      <c r="AH380" t="str">
        <f t="shared" si="127"/>
        <v/>
      </c>
      <c r="AI380" t="str">
        <f t="shared" si="128"/>
        <v/>
      </c>
      <c r="AJ380" t="str">
        <f t="shared" si="129"/>
        <v/>
      </c>
      <c r="AK380" t="str">
        <f t="shared" si="130"/>
        <v/>
      </c>
      <c r="AL380" t="str">
        <f t="shared" si="131"/>
        <v/>
      </c>
      <c r="AM380" t="str">
        <f t="shared" si="132"/>
        <v/>
      </c>
      <c r="AN380" t="str">
        <f t="shared" si="133"/>
        <v/>
      </c>
      <c r="AO380" t="str">
        <f t="shared" si="134"/>
        <v/>
      </c>
      <c r="AP380">
        <f t="shared" si="135"/>
        <v>1</v>
      </c>
      <c r="AQ380" t="str">
        <f>IF(SAISIE!$F385="","",SAISIE!$Y385)</f>
        <v/>
      </c>
      <c r="AR380" t="str">
        <f>IF(OR(SAISIE!$U$4="",SAISIE!$W$4=""),"",IF(AND($A380=SAISIE!$U$4,$B380=SAISIE!$W$4,$C380="S1"),COUNTIFS($A$2:$A380,SAISIE!$U$4,$B$2:$B380,SAISIE!$W$4,$C$2:$C380,"S1"),""))</f>
        <v/>
      </c>
      <c r="AS380" t="str">
        <f t="shared" si="136"/>
        <v/>
      </c>
      <c r="AT380" t="str">
        <f t="shared" si="137"/>
        <v/>
      </c>
      <c r="AU380" t="str">
        <f t="shared" si="138"/>
        <v/>
      </c>
      <c r="AV380">
        <f>N(AV379)+IF(AND($AB380&lt;&gt;"",OR('PROFIL ELEVE'!$K$4="(Tous)",$AF380='PROFIL ELEVE'!$K$4)),1,0)</f>
        <v>0</v>
      </c>
      <c r="AW380">
        <f>N(AW379)+IF(AND($AB380&lt;&gt;"",OR('SUIVI LONGITUDINAL'!$Q$4="(Tous)",$AF380='SUIVI LONGITUDINAL'!$Q$4)),1,0)</f>
        <v>0</v>
      </c>
      <c r="AX380">
        <f t="shared" si="139"/>
        <v>0</v>
      </c>
      <c r="AY380">
        <f t="shared" si="140"/>
        <v>0</v>
      </c>
      <c r="AZ380">
        <f t="shared" si="141"/>
        <v>0</v>
      </c>
      <c r="BA380" t="str">
        <f t="shared" si="142"/>
        <v/>
      </c>
      <c r="BB380" t="str">
        <f t="shared" si="143"/>
        <v/>
      </c>
    </row>
    <row r="381" spans="1:54" ht="14.25" customHeight="1" x14ac:dyDescent="0.3">
      <c r="A381" t="str">
        <f>IF(SAISIE!$F386="","",SAISIE!$B386)</f>
        <v/>
      </c>
      <c r="B381" t="str">
        <f>IF(SAISIE!$F386="","",SAISIE!$C386)</f>
        <v/>
      </c>
      <c r="C381" t="str">
        <f>IF(SAISIE!$F386="","",SAISIE!$D386)</f>
        <v/>
      </c>
      <c r="D381" t="str">
        <f>IF(SAISIE!$E386="","",SAISIE!$E386)</f>
        <v/>
      </c>
      <c r="E381" t="str">
        <f>IF(SAISIE!$F386="","",SAISIE!$F386)</f>
        <v/>
      </c>
      <c r="F381" t="str">
        <f>IF(SAISIE!$G386="","",SAISIE!$G386)</f>
        <v/>
      </c>
      <c r="G381" t="str">
        <f>IF(SAISIE!$H386="","",SAISIE!$H386)</f>
        <v/>
      </c>
      <c r="H381" t="str">
        <f>IF(SAISIE!$I386="","",SAISIE!$I386)</f>
        <v/>
      </c>
      <c r="I381" t="str">
        <f>IF(SAISIE!$J386="","",SAISIE!$J386)</f>
        <v/>
      </c>
      <c r="J381" t="str">
        <f>IF(SAISIE!$K386="","",SAISIE!$K386)</f>
        <v/>
      </c>
      <c r="K381" t="str">
        <f>IF(SAISIE!$L386="","",SAISIE!$L386)</f>
        <v/>
      </c>
      <c r="L381" t="str">
        <f>IF(SAISIE!$M386="","",SAISIE!$M386)</f>
        <v/>
      </c>
      <c r="M381" t="str">
        <f>IF(SAISIE!$N386="","",SAISIE!$N386)</f>
        <v/>
      </c>
      <c r="N381" t="str">
        <f>IF(SAISIE!$O386="","",SAISIE!$O386)</f>
        <v/>
      </c>
      <c r="O381" t="str">
        <f>IF(SAISIE!$P386="","",SAISIE!$P386)</f>
        <v/>
      </c>
      <c r="P381" t="str">
        <f>IF(SAISIE!$Q386="","",SAISIE!$Q386)</f>
        <v/>
      </c>
      <c r="Q381" t="str">
        <f>IF($I381="","",IF($I381&gt;PARAMETRES!$G$29,5,IF($I381&gt;PARAMETRES!$F$29,4,IF($I381&gt;PARAMETRES!$E$29,3,IF($I381&gt;PARAMETRES!$D$29,2,1)))))</f>
        <v/>
      </c>
      <c r="R381" t="str">
        <f>IF($J381="","",IF($J381&gt;PARAMETRES!$G$30,5,IF($J381&gt;PARAMETRES!$F$30,4,IF($J381&gt;PARAMETRES!$E$30,3,IF($J381&gt;PARAMETRES!$D$30,2,1)))))</f>
        <v/>
      </c>
      <c r="S381" t="str">
        <f>IF($K381="","",IF($Z381=2,IF($K381&gt;PARAMETRES!$G$31,5,IF($K381&gt;PARAMETRES!$F$31,4,IF($K381&gt;PARAMETRES!$E$31,3,IF($K381&gt;PARAMETRES!$D$31,2,1)))),IF($K381&gt;PARAMETRES!$G$32,5,IF($K381&gt;PARAMETRES!$F$32,4,IF($K381&gt;PARAMETRES!$E$32,3,IF($K381&gt;PARAMETRES!$D$32,2,1))))))</f>
        <v/>
      </c>
      <c r="T381" t="str">
        <f>IF($L381="","",IF($L381&gt;PARAMETRES!$G$33,5,IF($L381&gt;PARAMETRES!$F$33,4,IF($L381&gt;PARAMETRES!$E$33,3,IF($L381&gt;PARAMETRES!$D$33,2,1)))))</f>
        <v/>
      </c>
      <c r="U381" t="str">
        <f>IF($M381="","",IF($M381&gt;PARAMETRES!$G$34,5,IF($M381&gt;PARAMETRES!$F$34,4,IF($M381&gt;PARAMETRES!$E$34,3,IF($M381&gt;PARAMETRES!$D$34,2,1)))))</f>
        <v/>
      </c>
      <c r="V381" t="str">
        <f>IF($N381="","",IF($N381&gt;PARAMETRES!$G$35,5,IF($N381&gt;PARAMETRES!$F$35,4,IF($N381&gt;PARAMETRES!$E$35,3,IF($N381&gt;PARAMETRES!$D$35,2,1)))))</f>
        <v/>
      </c>
      <c r="W381" t="str">
        <f>IF($O381="","",IF($O381&gt;PARAMETRES!$G$36,5,IF($O381&gt;PARAMETRES!$F$36,4,IF($O381&gt;PARAMETRES!$E$36,3,IF($O381&gt;PARAMETRES!$D$36,2,1)))))</f>
        <v/>
      </c>
      <c r="X381" t="str">
        <f>IF($P381="","",IF($P381&gt;PARAMETRES!$G$37,5,IF($P381&gt;PARAMETRES!$F$37,4,IF($P381&gt;PARAMETRES!$E$37,3,IF($P381&gt;PARAMETRES!$D$37,2,1)))))</f>
        <v/>
      </c>
      <c r="Y381" t="str">
        <f t="shared" si="120"/>
        <v/>
      </c>
      <c r="Z381" t="str">
        <f>IFERROR(VLOOKUP($B381,TABLE_CYCLE,2,0),"")</f>
        <v/>
      </c>
      <c r="AA381" t="str">
        <f t="shared" si="121"/>
        <v/>
      </c>
      <c r="AB381" t="str">
        <f>IF($D381="","",IF(COUNTIF($D$2:$D381,$D381)=1,$D381,""))</f>
        <v/>
      </c>
      <c r="AC381">
        <f t="shared" si="122"/>
        <v>0</v>
      </c>
      <c r="AD381" t="str">
        <f t="shared" si="123"/>
        <v>|0</v>
      </c>
      <c r="AE381" t="str">
        <f t="shared" si="124"/>
        <v/>
      </c>
      <c r="AF381" t="str">
        <f t="shared" si="125"/>
        <v/>
      </c>
      <c r="AG381" t="str">
        <f t="shared" si="126"/>
        <v/>
      </c>
      <c r="AH381" t="str">
        <f t="shared" si="127"/>
        <v/>
      </c>
      <c r="AI381" t="str">
        <f t="shared" si="128"/>
        <v/>
      </c>
      <c r="AJ381" t="str">
        <f t="shared" si="129"/>
        <v/>
      </c>
      <c r="AK381" t="str">
        <f t="shared" si="130"/>
        <v/>
      </c>
      <c r="AL381" t="str">
        <f t="shared" si="131"/>
        <v/>
      </c>
      <c r="AM381" t="str">
        <f t="shared" si="132"/>
        <v/>
      </c>
      <c r="AN381" t="str">
        <f t="shared" si="133"/>
        <v/>
      </c>
      <c r="AO381" t="str">
        <f t="shared" si="134"/>
        <v/>
      </c>
      <c r="AP381">
        <f t="shared" si="135"/>
        <v>1</v>
      </c>
      <c r="AQ381" t="str">
        <f>IF(SAISIE!$F386="","",SAISIE!$Y386)</f>
        <v/>
      </c>
      <c r="AR381" t="str">
        <f>IF(OR(SAISIE!$U$4="",SAISIE!$W$4=""),"",IF(AND($A381=SAISIE!$U$4,$B381=SAISIE!$W$4,$C381="S1"),COUNTIFS($A$2:$A381,SAISIE!$U$4,$B$2:$B381,SAISIE!$W$4,$C$2:$C381,"S1"),""))</f>
        <v/>
      </c>
      <c r="AS381" t="str">
        <f t="shared" si="136"/>
        <v/>
      </c>
      <c r="AT381" t="str">
        <f t="shared" si="137"/>
        <v/>
      </c>
      <c r="AU381" t="str">
        <f t="shared" si="138"/>
        <v/>
      </c>
      <c r="AV381">
        <f>N(AV380)+IF(AND($AB381&lt;&gt;"",OR('PROFIL ELEVE'!$K$4="(Tous)",$AF381='PROFIL ELEVE'!$K$4)),1,0)</f>
        <v>0</v>
      </c>
      <c r="AW381">
        <f>N(AW380)+IF(AND($AB381&lt;&gt;"",OR('SUIVI LONGITUDINAL'!$Q$4="(Tous)",$AF381='SUIVI LONGITUDINAL'!$Q$4)),1,0)</f>
        <v>0</v>
      </c>
      <c r="AX381">
        <f t="shared" si="139"/>
        <v>0</v>
      </c>
      <c r="AY381">
        <f t="shared" si="140"/>
        <v>0</v>
      </c>
      <c r="AZ381">
        <f t="shared" si="141"/>
        <v>0</v>
      </c>
      <c r="BA381" t="str">
        <f t="shared" si="142"/>
        <v/>
      </c>
      <c r="BB381" t="str">
        <f t="shared" si="143"/>
        <v/>
      </c>
    </row>
    <row r="382" spans="1:54" ht="14.25" customHeight="1" x14ac:dyDescent="0.3">
      <c r="A382" t="str">
        <f>IF(SAISIE!$F387="","",SAISIE!$B387)</f>
        <v/>
      </c>
      <c r="B382" t="str">
        <f>IF(SAISIE!$F387="","",SAISIE!$C387)</f>
        <v/>
      </c>
      <c r="C382" t="str">
        <f>IF(SAISIE!$F387="","",SAISIE!$D387)</f>
        <v/>
      </c>
      <c r="D382" t="str">
        <f>IF(SAISIE!$E387="","",SAISIE!$E387)</f>
        <v/>
      </c>
      <c r="E382" t="str">
        <f>IF(SAISIE!$F387="","",SAISIE!$F387)</f>
        <v/>
      </c>
      <c r="F382" t="str">
        <f>IF(SAISIE!$G387="","",SAISIE!$G387)</f>
        <v/>
      </c>
      <c r="G382" t="str">
        <f>IF(SAISIE!$H387="","",SAISIE!$H387)</f>
        <v/>
      </c>
      <c r="H382" t="str">
        <f>IF(SAISIE!$I387="","",SAISIE!$I387)</f>
        <v/>
      </c>
      <c r="I382" t="str">
        <f>IF(SAISIE!$J387="","",SAISIE!$J387)</f>
        <v/>
      </c>
      <c r="J382" t="str">
        <f>IF(SAISIE!$K387="","",SAISIE!$K387)</f>
        <v/>
      </c>
      <c r="K382" t="str">
        <f>IF(SAISIE!$L387="","",SAISIE!$L387)</f>
        <v/>
      </c>
      <c r="L382" t="str">
        <f>IF(SAISIE!$M387="","",SAISIE!$M387)</f>
        <v/>
      </c>
      <c r="M382" t="str">
        <f>IF(SAISIE!$N387="","",SAISIE!$N387)</f>
        <v/>
      </c>
      <c r="N382" t="str">
        <f>IF(SAISIE!$O387="","",SAISIE!$O387)</f>
        <v/>
      </c>
      <c r="O382" t="str">
        <f>IF(SAISIE!$P387="","",SAISIE!$P387)</f>
        <v/>
      </c>
      <c r="P382" t="str">
        <f>IF(SAISIE!$Q387="","",SAISIE!$Q387)</f>
        <v/>
      </c>
      <c r="Q382" t="str">
        <f>IF($I382="","",IF($I382&gt;PARAMETRES!$G$29,5,IF($I382&gt;PARAMETRES!$F$29,4,IF($I382&gt;PARAMETRES!$E$29,3,IF($I382&gt;PARAMETRES!$D$29,2,1)))))</f>
        <v/>
      </c>
      <c r="R382" t="str">
        <f>IF($J382="","",IF($J382&gt;PARAMETRES!$G$30,5,IF($J382&gt;PARAMETRES!$F$30,4,IF($J382&gt;PARAMETRES!$E$30,3,IF($J382&gt;PARAMETRES!$D$30,2,1)))))</f>
        <v/>
      </c>
      <c r="S382" t="str">
        <f>IF($K382="","",IF($Z382=2,IF($K382&gt;PARAMETRES!$G$31,5,IF($K382&gt;PARAMETRES!$F$31,4,IF($K382&gt;PARAMETRES!$E$31,3,IF($K382&gt;PARAMETRES!$D$31,2,1)))),IF($K382&gt;PARAMETRES!$G$32,5,IF($K382&gt;PARAMETRES!$F$32,4,IF($K382&gt;PARAMETRES!$E$32,3,IF($K382&gt;PARAMETRES!$D$32,2,1))))))</f>
        <v/>
      </c>
      <c r="T382" t="str">
        <f>IF($L382="","",IF($L382&gt;PARAMETRES!$G$33,5,IF($L382&gt;PARAMETRES!$F$33,4,IF($L382&gt;PARAMETRES!$E$33,3,IF($L382&gt;PARAMETRES!$D$33,2,1)))))</f>
        <v/>
      </c>
      <c r="U382" t="str">
        <f>IF($M382="","",IF($M382&gt;PARAMETRES!$G$34,5,IF($M382&gt;PARAMETRES!$F$34,4,IF($M382&gt;PARAMETRES!$E$34,3,IF($M382&gt;PARAMETRES!$D$34,2,1)))))</f>
        <v/>
      </c>
      <c r="V382" t="str">
        <f>IF($N382="","",IF($N382&gt;PARAMETRES!$G$35,5,IF($N382&gt;PARAMETRES!$F$35,4,IF($N382&gt;PARAMETRES!$E$35,3,IF($N382&gt;PARAMETRES!$D$35,2,1)))))</f>
        <v/>
      </c>
      <c r="W382" t="str">
        <f>IF($O382="","",IF($O382&gt;PARAMETRES!$G$36,5,IF($O382&gt;PARAMETRES!$F$36,4,IF($O382&gt;PARAMETRES!$E$36,3,IF($O382&gt;PARAMETRES!$D$36,2,1)))))</f>
        <v/>
      </c>
      <c r="X382" t="str">
        <f>IF($P382="","",IF($P382&gt;PARAMETRES!$G$37,5,IF($P382&gt;PARAMETRES!$F$37,4,IF($P382&gt;PARAMETRES!$E$37,3,IF($P382&gt;PARAMETRES!$D$37,2,1)))))</f>
        <v/>
      </c>
      <c r="Y382" t="str">
        <f t="shared" si="120"/>
        <v/>
      </c>
      <c r="Z382" t="str">
        <f>IFERROR(VLOOKUP($B382,TABLE_CYCLE,2,0),"")</f>
        <v/>
      </c>
      <c r="AA382" t="str">
        <f t="shared" si="121"/>
        <v/>
      </c>
      <c r="AB382" t="str">
        <f>IF($D382="","",IF(COUNTIF($D$2:$D382,$D382)=1,$D382,""))</f>
        <v/>
      </c>
      <c r="AC382">
        <f t="shared" si="122"/>
        <v>0</v>
      </c>
      <c r="AD382" t="str">
        <f t="shared" si="123"/>
        <v>|0</v>
      </c>
      <c r="AE382" t="str">
        <f t="shared" si="124"/>
        <v/>
      </c>
      <c r="AF382" t="str">
        <f t="shared" si="125"/>
        <v/>
      </c>
      <c r="AG382" t="str">
        <f t="shared" si="126"/>
        <v/>
      </c>
      <c r="AH382" t="str">
        <f t="shared" si="127"/>
        <v/>
      </c>
      <c r="AI382" t="str">
        <f t="shared" si="128"/>
        <v/>
      </c>
      <c r="AJ382" t="str">
        <f t="shared" si="129"/>
        <v/>
      </c>
      <c r="AK382" t="str">
        <f t="shared" si="130"/>
        <v/>
      </c>
      <c r="AL382" t="str">
        <f t="shared" si="131"/>
        <v/>
      </c>
      <c r="AM382" t="str">
        <f t="shared" si="132"/>
        <v/>
      </c>
      <c r="AN382" t="str">
        <f t="shared" si="133"/>
        <v/>
      </c>
      <c r="AO382" t="str">
        <f t="shared" si="134"/>
        <v/>
      </c>
      <c r="AP382">
        <f t="shared" si="135"/>
        <v>1</v>
      </c>
      <c r="AQ382" t="str">
        <f>IF(SAISIE!$F387="","",SAISIE!$Y387)</f>
        <v/>
      </c>
      <c r="AR382" t="str">
        <f>IF(OR(SAISIE!$U$4="",SAISIE!$W$4=""),"",IF(AND($A382=SAISIE!$U$4,$B382=SAISIE!$W$4,$C382="S1"),COUNTIFS($A$2:$A382,SAISIE!$U$4,$B$2:$B382,SAISIE!$W$4,$C$2:$C382,"S1"),""))</f>
        <v/>
      </c>
      <c r="AS382" t="str">
        <f t="shared" si="136"/>
        <v/>
      </c>
      <c r="AT382" t="str">
        <f t="shared" si="137"/>
        <v/>
      </c>
      <c r="AU382" t="str">
        <f t="shared" si="138"/>
        <v/>
      </c>
      <c r="AV382">
        <f>N(AV381)+IF(AND($AB382&lt;&gt;"",OR('PROFIL ELEVE'!$K$4="(Tous)",$AF382='PROFIL ELEVE'!$K$4)),1,0)</f>
        <v>0</v>
      </c>
      <c r="AW382">
        <f>N(AW381)+IF(AND($AB382&lt;&gt;"",OR('SUIVI LONGITUDINAL'!$Q$4="(Tous)",$AF382='SUIVI LONGITUDINAL'!$Q$4)),1,0)</f>
        <v>0</v>
      </c>
      <c r="AX382">
        <f t="shared" si="139"/>
        <v>0</v>
      </c>
      <c r="AY382">
        <f t="shared" si="140"/>
        <v>0</v>
      </c>
      <c r="AZ382">
        <f t="shared" si="141"/>
        <v>0</v>
      </c>
      <c r="BA382" t="str">
        <f t="shared" si="142"/>
        <v/>
      </c>
      <c r="BB382" t="str">
        <f t="shared" si="143"/>
        <v/>
      </c>
    </row>
    <row r="383" spans="1:54" ht="14.25" customHeight="1" x14ac:dyDescent="0.3">
      <c r="A383" t="str">
        <f>IF(SAISIE!$F388="","",SAISIE!$B388)</f>
        <v/>
      </c>
      <c r="B383" t="str">
        <f>IF(SAISIE!$F388="","",SAISIE!$C388)</f>
        <v/>
      </c>
      <c r="C383" t="str">
        <f>IF(SAISIE!$F388="","",SAISIE!$D388)</f>
        <v/>
      </c>
      <c r="D383" t="str">
        <f>IF(SAISIE!$E388="","",SAISIE!$E388)</f>
        <v/>
      </c>
      <c r="E383" t="str">
        <f>IF(SAISIE!$F388="","",SAISIE!$F388)</f>
        <v/>
      </c>
      <c r="F383" t="str">
        <f>IF(SAISIE!$G388="","",SAISIE!$G388)</f>
        <v/>
      </c>
      <c r="G383" t="str">
        <f>IF(SAISIE!$H388="","",SAISIE!$H388)</f>
        <v/>
      </c>
      <c r="H383" t="str">
        <f>IF(SAISIE!$I388="","",SAISIE!$I388)</f>
        <v/>
      </c>
      <c r="I383" t="str">
        <f>IF(SAISIE!$J388="","",SAISIE!$J388)</f>
        <v/>
      </c>
      <c r="J383" t="str">
        <f>IF(SAISIE!$K388="","",SAISIE!$K388)</f>
        <v/>
      </c>
      <c r="K383" t="str">
        <f>IF(SAISIE!$L388="","",SAISIE!$L388)</f>
        <v/>
      </c>
      <c r="L383" t="str">
        <f>IF(SAISIE!$M388="","",SAISIE!$M388)</f>
        <v/>
      </c>
      <c r="M383" t="str">
        <f>IF(SAISIE!$N388="","",SAISIE!$N388)</f>
        <v/>
      </c>
      <c r="N383" t="str">
        <f>IF(SAISIE!$O388="","",SAISIE!$O388)</f>
        <v/>
      </c>
      <c r="O383" t="str">
        <f>IF(SAISIE!$P388="","",SAISIE!$P388)</f>
        <v/>
      </c>
      <c r="P383" t="str">
        <f>IF(SAISIE!$Q388="","",SAISIE!$Q388)</f>
        <v/>
      </c>
      <c r="Q383" t="str">
        <f>IF($I383="","",IF($I383&gt;PARAMETRES!$G$29,5,IF($I383&gt;PARAMETRES!$F$29,4,IF($I383&gt;PARAMETRES!$E$29,3,IF($I383&gt;PARAMETRES!$D$29,2,1)))))</f>
        <v/>
      </c>
      <c r="R383" t="str">
        <f>IF($J383="","",IF($J383&gt;PARAMETRES!$G$30,5,IF($J383&gt;PARAMETRES!$F$30,4,IF($J383&gt;PARAMETRES!$E$30,3,IF($J383&gt;PARAMETRES!$D$30,2,1)))))</f>
        <v/>
      </c>
      <c r="S383" t="str">
        <f>IF($K383="","",IF($Z383=2,IF($K383&gt;PARAMETRES!$G$31,5,IF($K383&gt;PARAMETRES!$F$31,4,IF($K383&gt;PARAMETRES!$E$31,3,IF($K383&gt;PARAMETRES!$D$31,2,1)))),IF($K383&gt;PARAMETRES!$G$32,5,IF($K383&gt;PARAMETRES!$F$32,4,IF($K383&gt;PARAMETRES!$E$32,3,IF($K383&gt;PARAMETRES!$D$32,2,1))))))</f>
        <v/>
      </c>
      <c r="T383" t="str">
        <f>IF($L383="","",IF($L383&gt;PARAMETRES!$G$33,5,IF($L383&gt;PARAMETRES!$F$33,4,IF($L383&gt;PARAMETRES!$E$33,3,IF($L383&gt;PARAMETRES!$D$33,2,1)))))</f>
        <v/>
      </c>
      <c r="U383" t="str">
        <f>IF($M383="","",IF($M383&gt;PARAMETRES!$G$34,5,IF($M383&gt;PARAMETRES!$F$34,4,IF($M383&gt;PARAMETRES!$E$34,3,IF($M383&gt;PARAMETRES!$D$34,2,1)))))</f>
        <v/>
      </c>
      <c r="V383" t="str">
        <f>IF($N383="","",IF($N383&gt;PARAMETRES!$G$35,5,IF($N383&gt;PARAMETRES!$F$35,4,IF($N383&gt;PARAMETRES!$E$35,3,IF($N383&gt;PARAMETRES!$D$35,2,1)))))</f>
        <v/>
      </c>
      <c r="W383" t="str">
        <f>IF($O383="","",IF($O383&gt;PARAMETRES!$G$36,5,IF($O383&gt;PARAMETRES!$F$36,4,IF($O383&gt;PARAMETRES!$E$36,3,IF($O383&gt;PARAMETRES!$D$36,2,1)))))</f>
        <v/>
      </c>
      <c r="X383" t="str">
        <f>IF($P383="","",IF($P383&gt;PARAMETRES!$G$37,5,IF($P383&gt;PARAMETRES!$F$37,4,IF($P383&gt;PARAMETRES!$E$37,3,IF($P383&gt;PARAMETRES!$D$37,2,1)))))</f>
        <v/>
      </c>
      <c r="Y383" t="str">
        <f t="shared" si="120"/>
        <v/>
      </c>
      <c r="Z383" t="str">
        <f>IFERROR(VLOOKUP($B383,TABLE_CYCLE,2,0),"")</f>
        <v/>
      </c>
      <c r="AA383" t="str">
        <f t="shared" si="121"/>
        <v/>
      </c>
      <c r="AB383" t="str">
        <f>IF($D383="","",IF(COUNTIF($D$2:$D383,$D383)=1,$D383,""))</f>
        <v/>
      </c>
      <c r="AC383">
        <f t="shared" si="122"/>
        <v>0</v>
      </c>
      <c r="AD383" t="str">
        <f t="shared" si="123"/>
        <v>|0</v>
      </c>
      <c r="AE383" t="str">
        <f t="shared" si="124"/>
        <v/>
      </c>
      <c r="AF383" t="str">
        <f t="shared" si="125"/>
        <v/>
      </c>
      <c r="AG383" t="str">
        <f t="shared" si="126"/>
        <v/>
      </c>
      <c r="AH383" t="str">
        <f t="shared" si="127"/>
        <v/>
      </c>
      <c r="AI383" t="str">
        <f t="shared" si="128"/>
        <v/>
      </c>
      <c r="AJ383" t="str">
        <f t="shared" si="129"/>
        <v/>
      </c>
      <c r="AK383" t="str">
        <f t="shared" si="130"/>
        <v/>
      </c>
      <c r="AL383" t="str">
        <f t="shared" si="131"/>
        <v/>
      </c>
      <c r="AM383" t="str">
        <f t="shared" si="132"/>
        <v/>
      </c>
      <c r="AN383" t="str">
        <f t="shared" si="133"/>
        <v/>
      </c>
      <c r="AO383" t="str">
        <f t="shared" si="134"/>
        <v/>
      </c>
      <c r="AP383">
        <f t="shared" si="135"/>
        <v>1</v>
      </c>
      <c r="AQ383" t="str">
        <f>IF(SAISIE!$F388="","",SAISIE!$Y388)</f>
        <v/>
      </c>
      <c r="AR383" t="str">
        <f>IF(OR(SAISIE!$U$4="",SAISIE!$W$4=""),"",IF(AND($A383=SAISIE!$U$4,$B383=SAISIE!$W$4,$C383="S1"),COUNTIFS($A$2:$A383,SAISIE!$U$4,$B$2:$B383,SAISIE!$W$4,$C$2:$C383,"S1"),""))</f>
        <v/>
      </c>
      <c r="AS383" t="str">
        <f t="shared" si="136"/>
        <v/>
      </c>
      <c r="AT383" t="str">
        <f t="shared" si="137"/>
        <v/>
      </c>
      <c r="AU383" t="str">
        <f t="shared" si="138"/>
        <v/>
      </c>
      <c r="AV383">
        <f>N(AV382)+IF(AND($AB383&lt;&gt;"",OR('PROFIL ELEVE'!$K$4="(Tous)",$AF383='PROFIL ELEVE'!$K$4)),1,0)</f>
        <v>0</v>
      </c>
      <c r="AW383">
        <f>N(AW382)+IF(AND($AB383&lt;&gt;"",OR('SUIVI LONGITUDINAL'!$Q$4="(Tous)",$AF383='SUIVI LONGITUDINAL'!$Q$4)),1,0)</f>
        <v>0</v>
      </c>
      <c r="AX383">
        <f t="shared" si="139"/>
        <v>0</v>
      </c>
      <c r="AY383">
        <f t="shared" si="140"/>
        <v>0</v>
      </c>
      <c r="AZ383">
        <f t="shared" si="141"/>
        <v>0</v>
      </c>
      <c r="BA383" t="str">
        <f t="shared" si="142"/>
        <v/>
      </c>
      <c r="BB383" t="str">
        <f t="shared" si="143"/>
        <v/>
      </c>
    </row>
    <row r="384" spans="1:54" ht="14.25" customHeight="1" x14ac:dyDescent="0.3">
      <c r="A384" t="str">
        <f>IF(SAISIE!$F389="","",SAISIE!$B389)</f>
        <v/>
      </c>
      <c r="B384" t="str">
        <f>IF(SAISIE!$F389="","",SAISIE!$C389)</f>
        <v/>
      </c>
      <c r="C384" t="str">
        <f>IF(SAISIE!$F389="","",SAISIE!$D389)</f>
        <v/>
      </c>
      <c r="D384" t="str">
        <f>IF(SAISIE!$E389="","",SAISIE!$E389)</f>
        <v/>
      </c>
      <c r="E384" t="str">
        <f>IF(SAISIE!$F389="","",SAISIE!$F389)</f>
        <v/>
      </c>
      <c r="F384" t="str">
        <f>IF(SAISIE!$G389="","",SAISIE!$G389)</f>
        <v/>
      </c>
      <c r="G384" t="str">
        <f>IF(SAISIE!$H389="","",SAISIE!$H389)</f>
        <v/>
      </c>
      <c r="H384" t="str">
        <f>IF(SAISIE!$I389="","",SAISIE!$I389)</f>
        <v/>
      </c>
      <c r="I384" t="str">
        <f>IF(SAISIE!$J389="","",SAISIE!$J389)</f>
        <v/>
      </c>
      <c r="J384" t="str">
        <f>IF(SAISIE!$K389="","",SAISIE!$K389)</f>
        <v/>
      </c>
      <c r="K384" t="str">
        <f>IF(SAISIE!$L389="","",SAISIE!$L389)</f>
        <v/>
      </c>
      <c r="L384" t="str">
        <f>IF(SAISIE!$M389="","",SAISIE!$M389)</f>
        <v/>
      </c>
      <c r="M384" t="str">
        <f>IF(SAISIE!$N389="","",SAISIE!$N389)</f>
        <v/>
      </c>
      <c r="N384" t="str">
        <f>IF(SAISIE!$O389="","",SAISIE!$O389)</f>
        <v/>
      </c>
      <c r="O384" t="str">
        <f>IF(SAISIE!$P389="","",SAISIE!$P389)</f>
        <v/>
      </c>
      <c r="P384" t="str">
        <f>IF(SAISIE!$Q389="","",SAISIE!$Q389)</f>
        <v/>
      </c>
      <c r="Q384" t="str">
        <f>IF($I384="","",IF($I384&gt;PARAMETRES!$G$29,5,IF($I384&gt;PARAMETRES!$F$29,4,IF($I384&gt;PARAMETRES!$E$29,3,IF($I384&gt;PARAMETRES!$D$29,2,1)))))</f>
        <v/>
      </c>
      <c r="R384" t="str">
        <f>IF($J384="","",IF($J384&gt;PARAMETRES!$G$30,5,IF($J384&gt;PARAMETRES!$F$30,4,IF($J384&gt;PARAMETRES!$E$30,3,IF($J384&gt;PARAMETRES!$D$30,2,1)))))</f>
        <v/>
      </c>
      <c r="S384" t="str">
        <f>IF($K384="","",IF($Z384=2,IF($K384&gt;PARAMETRES!$G$31,5,IF($K384&gt;PARAMETRES!$F$31,4,IF($K384&gt;PARAMETRES!$E$31,3,IF($K384&gt;PARAMETRES!$D$31,2,1)))),IF($K384&gt;PARAMETRES!$G$32,5,IF($K384&gt;PARAMETRES!$F$32,4,IF($K384&gt;PARAMETRES!$E$32,3,IF($K384&gt;PARAMETRES!$D$32,2,1))))))</f>
        <v/>
      </c>
      <c r="T384" t="str">
        <f>IF($L384="","",IF($L384&gt;PARAMETRES!$G$33,5,IF($L384&gt;PARAMETRES!$F$33,4,IF($L384&gt;PARAMETRES!$E$33,3,IF($L384&gt;PARAMETRES!$D$33,2,1)))))</f>
        <v/>
      </c>
      <c r="U384" t="str">
        <f>IF($M384="","",IF($M384&gt;PARAMETRES!$G$34,5,IF($M384&gt;PARAMETRES!$F$34,4,IF($M384&gt;PARAMETRES!$E$34,3,IF($M384&gt;PARAMETRES!$D$34,2,1)))))</f>
        <v/>
      </c>
      <c r="V384" t="str">
        <f>IF($N384="","",IF($N384&gt;PARAMETRES!$G$35,5,IF($N384&gt;PARAMETRES!$F$35,4,IF($N384&gt;PARAMETRES!$E$35,3,IF($N384&gt;PARAMETRES!$D$35,2,1)))))</f>
        <v/>
      </c>
      <c r="W384" t="str">
        <f>IF($O384="","",IF($O384&gt;PARAMETRES!$G$36,5,IF($O384&gt;PARAMETRES!$F$36,4,IF($O384&gt;PARAMETRES!$E$36,3,IF($O384&gt;PARAMETRES!$D$36,2,1)))))</f>
        <v/>
      </c>
      <c r="X384" t="str">
        <f>IF($P384="","",IF($P384&gt;PARAMETRES!$G$37,5,IF($P384&gt;PARAMETRES!$F$37,4,IF($P384&gt;PARAMETRES!$E$37,3,IF($P384&gt;PARAMETRES!$D$37,2,1)))))</f>
        <v/>
      </c>
      <c r="Y384" t="str">
        <f t="shared" si="120"/>
        <v/>
      </c>
      <c r="Z384" t="str">
        <f>IFERROR(VLOOKUP($B384,TABLE_CYCLE,2,0),"")</f>
        <v/>
      </c>
      <c r="AA384" t="str">
        <f t="shared" si="121"/>
        <v/>
      </c>
      <c r="AB384" t="str">
        <f>IF($D384="","",IF(COUNTIF($D$2:$D384,$D384)=1,$D384,""))</f>
        <v/>
      </c>
      <c r="AC384">
        <f t="shared" si="122"/>
        <v>0</v>
      </c>
      <c r="AD384" t="str">
        <f t="shared" si="123"/>
        <v>|0</v>
      </c>
      <c r="AE384" t="str">
        <f t="shared" si="124"/>
        <v/>
      </c>
      <c r="AF384" t="str">
        <f t="shared" si="125"/>
        <v/>
      </c>
      <c r="AG384" t="str">
        <f t="shared" si="126"/>
        <v/>
      </c>
      <c r="AH384" t="str">
        <f t="shared" si="127"/>
        <v/>
      </c>
      <c r="AI384" t="str">
        <f t="shared" si="128"/>
        <v/>
      </c>
      <c r="AJ384" t="str">
        <f t="shared" si="129"/>
        <v/>
      </c>
      <c r="AK384" t="str">
        <f t="shared" si="130"/>
        <v/>
      </c>
      <c r="AL384" t="str">
        <f t="shared" si="131"/>
        <v/>
      </c>
      <c r="AM384" t="str">
        <f t="shared" si="132"/>
        <v/>
      </c>
      <c r="AN384" t="str">
        <f t="shared" si="133"/>
        <v/>
      </c>
      <c r="AO384" t="str">
        <f t="shared" si="134"/>
        <v/>
      </c>
      <c r="AP384">
        <f t="shared" si="135"/>
        <v>1</v>
      </c>
      <c r="AQ384" t="str">
        <f>IF(SAISIE!$F389="","",SAISIE!$Y389)</f>
        <v/>
      </c>
      <c r="AR384" t="str">
        <f>IF(OR(SAISIE!$U$4="",SAISIE!$W$4=""),"",IF(AND($A384=SAISIE!$U$4,$B384=SAISIE!$W$4,$C384="S1"),COUNTIFS($A$2:$A384,SAISIE!$U$4,$B$2:$B384,SAISIE!$W$4,$C$2:$C384,"S1"),""))</f>
        <v/>
      </c>
      <c r="AS384" t="str">
        <f t="shared" si="136"/>
        <v/>
      </c>
      <c r="AT384" t="str">
        <f t="shared" si="137"/>
        <v/>
      </c>
      <c r="AU384" t="str">
        <f t="shared" si="138"/>
        <v/>
      </c>
      <c r="AV384">
        <f>N(AV383)+IF(AND($AB384&lt;&gt;"",OR('PROFIL ELEVE'!$K$4="(Tous)",$AF384='PROFIL ELEVE'!$K$4)),1,0)</f>
        <v>0</v>
      </c>
      <c r="AW384">
        <f>N(AW383)+IF(AND($AB384&lt;&gt;"",OR('SUIVI LONGITUDINAL'!$Q$4="(Tous)",$AF384='SUIVI LONGITUDINAL'!$Q$4)),1,0)</f>
        <v>0</v>
      </c>
      <c r="AX384">
        <f t="shared" si="139"/>
        <v>0</v>
      </c>
      <c r="AY384">
        <f t="shared" si="140"/>
        <v>0</v>
      </c>
      <c r="AZ384">
        <f t="shared" si="141"/>
        <v>0</v>
      </c>
      <c r="BA384" t="str">
        <f t="shared" si="142"/>
        <v/>
      </c>
      <c r="BB384" t="str">
        <f t="shared" si="143"/>
        <v/>
      </c>
    </row>
    <row r="385" spans="1:54" ht="14.25" customHeight="1" x14ac:dyDescent="0.3">
      <c r="A385" t="str">
        <f>IF(SAISIE!$F390="","",SAISIE!$B390)</f>
        <v/>
      </c>
      <c r="B385" t="str">
        <f>IF(SAISIE!$F390="","",SAISIE!$C390)</f>
        <v/>
      </c>
      <c r="C385" t="str">
        <f>IF(SAISIE!$F390="","",SAISIE!$D390)</f>
        <v/>
      </c>
      <c r="D385" t="str">
        <f>IF(SAISIE!$E390="","",SAISIE!$E390)</f>
        <v/>
      </c>
      <c r="E385" t="str">
        <f>IF(SAISIE!$F390="","",SAISIE!$F390)</f>
        <v/>
      </c>
      <c r="F385" t="str">
        <f>IF(SAISIE!$G390="","",SAISIE!$G390)</f>
        <v/>
      </c>
      <c r="G385" t="str">
        <f>IF(SAISIE!$H390="","",SAISIE!$H390)</f>
        <v/>
      </c>
      <c r="H385" t="str">
        <f>IF(SAISIE!$I390="","",SAISIE!$I390)</f>
        <v/>
      </c>
      <c r="I385" t="str">
        <f>IF(SAISIE!$J390="","",SAISIE!$J390)</f>
        <v/>
      </c>
      <c r="J385" t="str">
        <f>IF(SAISIE!$K390="","",SAISIE!$K390)</f>
        <v/>
      </c>
      <c r="K385" t="str">
        <f>IF(SAISIE!$L390="","",SAISIE!$L390)</f>
        <v/>
      </c>
      <c r="L385" t="str">
        <f>IF(SAISIE!$M390="","",SAISIE!$M390)</f>
        <v/>
      </c>
      <c r="M385" t="str">
        <f>IF(SAISIE!$N390="","",SAISIE!$N390)</f>
        <v/>
      </c>
      <c r="N385" t="str">
        <f>IF(SAISIE!$O390="","",SAISIE!$O390)</f>
        <v/>
      </c>
      <c r="O385" t="str">
        <f>IF(SAISIE!$P390="","",SAISIE!$P390)</f>
        <v/>
      </c>
      <c r="P385" t="str">
        <f>IF(SAISIE!$Q390="","",SAISIE!$Q390)</f>
        <v/>
      </c>
      <c r="Q385" t="str">
        <f>IF($I385="","",IF($I385&gt;PARAMETRES!$G$29,5,IF($I385&gt;PARAMETRES!$F$29,4,IF($I385&gt;PARAMETRES!$E$29,3,IF($I385&gt;PARAMETRES!$D$29,2,1)))))</f>
        <v/>
      </c>
      <c r="R385" t="str">
        <f>IF($J385="","",IF($J385&gt;PARAMETRES!$G$30,5,IF($J385&gt;PARAMETRES!$F$30,4,IF($J385&gt;PARAMETRES!$E$30,3,IF($J385&gt;PARAMETRES!$D$30,2,1)))))</f>
        <v/>
      </c>
      <c r="S385" t="str">
        <f>IF($K385="","",IF($Z385=2,IF($K385&gt;PARAMETRES!$G$31,5,IF($K385&gt;PARAMETRES!$F$31,4,IF($K385&gt;PARAMETRES!$E$31,3,IF($K385&gt;PARAMETRES!$D$31,2,1)))),IF($K385&gt;PARAMETRES!$G$32,5,IF($K385&gt;PARAMETRES!$F$32,4,IF($K385&gt;PARAMETRES!$E$32,3,IF($K385&gt;PARAMETRES!$D$32,2,1))))))</f>
        <v/>
      </c>
      <c r="T385" t="str">
        <f>IF($L385="","",IF($L385&gt;PARAMETRES!$G$33,5,IF($L385&gt;PARAMETRES!$F$33,4,IF($L385&gt;PARAMETRES!$E$33,3,IF($L385&gt;PARAMETRES!$D$33,2,1)))))</f>
        <v/>
      </c>
      <c r="U385" t="str">
        <f>IF($M385="","",IF($M385&gt;PARAMETRES!$G$34,5,IF($M385&gt;PARAMETRES!$F$34,4,IF($M385&gt;PARAMETRES!$E$34,3,IF($M385&gt;PARAMETRES!$D$34,2,1)))))</f>
        <v/>
      </c>
      <c r="V385" t="str">
        <f>IF($N385="","",IF($N385&gt;PARAMETRES!$G$35,5,IF($N385&gt;PARAMETRES!$F$35,4,IF($N385&gt;PARAMETRES!$E$35,3,IF($N385&gt;PARAMETRES!$D$35,2,1)))))</f>
        <v/>
      </c>
      <c r="W385" t="str">
        <f>IF($O385="","",IF($O385&gt;PARAMETRES!$G$36,5,IF($O385&gt;PARAMETRES!$F$36,4,IF($O385&gt;PARAMETRES!$E$36,3,IF($O385&gt;PARAMETRES!$D$36,2,1)))))</f>
        <v/>
      </c>
      <c r="X385" t="str">
        <f>IF($P385="","",IF($P385&gt;PARAMETRES!$G$37,5,IF($P385&gt;PARAMETRES!$F$37,4,IF($P385&gt;PARAMETRES!$E$37,3,IF($P385&gt;PARAMETRES!$D$37,2,1)))))</f>
        <v/>
      </c>
      <c r="Y385" t="str">
        <f t="shared" si="120"/>
        <v/>
      </c>
      <c r="Z385" t="str">
        <f>IFERROR(VLOOKUP($B385,TABLE_CYCLE,2,0),"")</f>
        <v/>
      </c>
      <c r="AA385" t="str">
        <f t="shared" si="121"/>
        <v/>
      </c>
      <c r="AB385" t="str">
        <f>IF($D385="","",IF(COUNTIF($D$2:$D385,$D385)=1,$D385,""))</f>
        <v/>
      </c>
      <c r="AC385">
        <f t="shared" si="122"/>
        <v>0</v>
      </c>
      <c r="AD385" t="str">
        <f t="shared" si="123"/>
        <v>|0</v>
      </c>
      <c r="AE385" t="str">
        <f t="shared" si="124"/>
        <v/>
      </c>
      <c r="AF385" t="str">
        <f t="shared" si="125"/>
        <v/>
      </c>
      <c r="AG385" t="str">
        <f t="shared" si="126"/>
        <v/>
      </c>
      <c r="AH385" t="str">
        <f t="shared" si="127"/>
        <v/>
      </c>
      <c r="AI385" t="str">
        <f t="shared" si="128"/>
        <v/>
      </c>
      <c r="AJ385" t="str">
        <f t="shared" si="129"/>
        <v/>
      </c>
      <c r="AK385" t="str">
        <f t="shared" si="130"/>
        <v/>
      </c>
      <c r="AL385" t="str">
        <f t="shared" si="131"/>
        <v/>
      </c>
      <c r="AM385" t="str">
        <f t="shared" si="132"/>
        <v/>
      </c>
      <c r="AN385" t="str">
        <f t="shared" si="133"/>
        <v/>
      </c>
      <c r="AO385" t="str">
        <f t="shared" si="134"/>
        <v/>
      </c>
      <c r="AP385">
        <f t="shared" si="135"/>
        <v>1</v>
      </c>
      <c r="AQ385" t="str">
        <f>IF(SAISIE!$F390="","",SAISIE!$Y390)</f>
        <v/>
      </c>
      <c r="AR385" t="str">
        <f>IF(OR(SAISIE!$U$4="",SAISIE!$W$4=""),"",IF(AND($A385=SAISIE!$U$4,$B385=SAISIE!$W$4,$C385="S1"),COUNTIFS($A$2:$A385,SAISIE!$U$4,$B$2:$B385,SAISIE!$W$4,$C$2:$C385,"S1"),""))</f>
        <v/>
      </c>
      <c r="AS385" t="str">
        <f t="shared" si="136"/>
        <v/>
      </c>
      <c r="AT385" t="str">
        <f t="shared" si="137"/>
        <v/>
      </c>
      <c r="AU385" t="str">
        <f t="shared" si="138"/>
        <v/>
      </c>
      <c r="AV385">
        <f>N(AV384)+IF(AND($AB385&lt;&gt;"",OR('PROFIL ELEVE'!$K$4="(Tous)",$AF385='PROFIL ELEVE'!$K$4)),1,0)</f>
        <v>0</v>
      </c>
      <c r="AW385">
        <f>N(AW384)+IF(AND($AB385&lt;&gt;"",OR('SUIVI LONGITUDINAL'!$Q$4="(Tous)",$AF385='SUIVI LONGITUDINAL'!$Q$4)),1,0)</f>
        <v>0</v>
      </c>
      <c r="AX385">
        <f t="shared" si="139"/>
        <v>0</v>
      </c>
      <c r="AY385">
        <f t="shared" si="140"/>
        <v>0</v>
      </c>
      <c r="AZ385">
        <f t="shared" si="141"/>
        <v>0</v>
      </c>
      <c r="BA385" t="str">
        <f t="shared" si="142"/>
        <v/>
      </c>
      <c r="BB385" t="str">
        <f t="shared" si="143"/>
        <v/>
      </c>
    </row>
    <row r="386" spans="1:54" ht="14.25" customHeight="1" x14ac:dyDescent="0.3">
      <c r="A386" t="str">
        <f>IF(SAISIE!$F391="","",SAISIE!$B391)</f>
        <v/>
      </c>
      <c r="B386" t="str">
        <f>IF(SAISIE!$F391="","",SAISIE!$C391)</f>
        <v/>
      </c>
      <c r="C386" t="str">
        <f>IF(SAISIE!$F391="","",SAISIE!$D391)</f>
        <v/>
      </c>
      <c r="D386" t="str">
        <f>IF(SAISIE!$E391="","",SAISIE!$E391)</f>
        <v/>
      </c>
      <c r="E386" t="str">
        <f>IF(SAISIE!$F391="","",SAISIE!$F391)</f>
        <v/>
      </c>
      <c r="F386" t="str">
        <f>IF(SAISIE!$G391="","",SAISIE!$G391)</f>
        <v/>
      </c>
      <c r="G386" t="str">
        <f>IF(SAISIE!$H391="","",SAISIE!$H391)</f>
        <v/>
      </c>
      <c r="H386" t="str">
        <f>IF(SAISIE!$I391="","",SAISIE!$I391)</f>
        <v/>
      </c>
      <c r="I386" t="str">
        <f>IF(SAISIE!$J391="","",SAISIE!$J391)</f>
        <v/>
      </c>
      <c r="J386" t="str">
        <f>IF(SAISIE!$K391="","",SAISIE!$K391)</f>
        <v/>
      </c>
      <c r="K386" t="str">
        <f>IF(SAISIE!$L391="","",SAISIE!$L391)</f>
        <v/>
      </c>
      <c r="L386" t="str">
        <f>IF(SAISIE!$M391="","",SAISIE!$M391)</f>
        <v/>
      </c>
      <c r="M386" t="str">
        <f>IF(SAISIE!$N391="","",SAISIE!$N391)</f>
        <v/>
      </c>
      <c r="N386" t="str">
        <f>IF(SAISIE!$O391="","",SAISIE!$O391)</f>
        <v/>
      </c>
      <c r="O386" t="str">
        <f>IF(SAISIE!$P391="","",SAISIE!$P391)</f>
        <v/>
      </c>
      <c r="P386" t="str">
        <f>IF(SAISIE!$Q391="","",SAISIE!$Q391)</f>
        <v/>
      </c>
      <c r="Q386" t="str">
        <f>IF($I386="","",IF($I386&gt;PARAMETRES!$G$29,5,IF($I386&gt;PARAMETRES!$F$29,4,IF($I386&gt;PARAMETRES!$E$29,3,IF($I386&gt;PARAMETRES!$D$29,2,1)))))</f>
        <v/>
      </c>
      <c r="R386" t="str">
        <f>IF($J386="","",IF($J386&gt;PARAMETRES!$G$30,5,IF($J386&gt;PARAMETRES!$F$30,4,IF($J386&gt;PARAMETRES!$E$30,3,IF($J386&gt;PARAMETRES!$D$30,2,1)))))</f>
        <v/>
      </c>
      <c r="S386" t="str">
        <f>IF($K386="","",IF($Z386=2,IF($K386&gt;PARAMETRES!$G$31,5,IF($K386&gt;PARAMETRES!$F$31,4,IF($K386&gt;PARAMETRES!$E$31,3,IF($K386&gt;PARAMETRES!$D$31,2,1)))),IF($K386&gt;PARAMETRES!$G$32,5,IF($K386&gt;PARAMETRES!$F$32,4,IF($K386&gt;PARAMETRES!$E$32,3,IF($K386&gt;PARAMETRES!$D$32,2,1))))))</f>
        <v/>
      </c>
      <c r="T386" t="str">
        <f>IF($L386="","",IF($L386&gt;PARAMETRES!$G$33,5,IF($L386&gt;PARAMETRES!$F$33,4,IF($L386&gt;PARAMETRES!$E$33,3,IF($L386&gt;PARAMETRES!$D$33,2,1)))))</f>
        <v/>
      </c>
      <c r="U386" t="str">
        <f>IF($M386="","",IF($M386&gt;PARAMETRES!$G$34,5,IF($M386&gt;PARAMETRES!$F$34,4,IF($M386&gt;PARAMETRES!$E$34,3,IF($M386&gt;PARAMETRES!$D$34,2,1)))))</f>
        <v/>
      </c>
      <c r="V386" t="str">
        <f>IF($N386="","",IF($N386&gt;PARAMETRES!$G$35,5,IF($N386&gt;PARAMETRES!$F$35,4,IF($N386&gt;PARAMETRES!$E$35,3,IF($N386&gt;PARAMETRES!$D$35,2,1)))))</f>
        <v/>
      </c>
      <c r="W386" t="str">
        <f>IF($O386="","",IF($O386&gt;PARAMETRES!$G$36,5,IF($O386&gt;PARAMETRES!$F$36,4,IF($O386&gt;PARAMETRES!$E$36,3,IF($O386&gt;PARAMETRES!$D$36,2,1)))))</f>
        <v/>
      </c>
      <c r="X386" t="str">
        <f>IF($P386="","",IF($P386&gt;PARAMETRES!$G$37,5,IF($P386&gt;PARAMETRES!$F$37,4,IF($P386&gt;PARAMETRES!$E$37,3,IF($P386&gt;PARAMETRES!$D$37,2,1)))))</f>
        <v/>
      </c>
      <c r="Y386" t="str">
        <f t="shared" ref="Y386:Y449" si="144">IF(COUNT($Q386:$X386)=0,"",AVERAGE($Q386:$X386))</f>
        <v/>
      </c>
      <c r="Z386" t="str">
        <f>IFERROR(VLOOKUP($B386,TABLE_CYCLE,2,0),"")</f>
        <v/>
      </c>
      <c r="AA386" t="str">
        <f t="shared" ref="AA386:AA449" si="145">IF($D386="","",$D386&amp;"|"&amp;$A386&amp;"|"&amp;$C386)</f>
        <v/>
      </c>
      <c r="AB386" t="str">
        <f>IF($D386="","",IF(COUNTIF($D$2:$D386,$D386)=1,$D386,""))</f>
        <v/>
      </c>
      <c r="AC386">
        <f t="shared" ref="AC386:AC449" si="146">IFERROR(MATCH($A386,LISTE_ANNEES,0),0)</f>
        <v>0</v>
      </c>
      <c r="AD386" t="str">
        <f t="shared" ref="AD386:AD449" si="147">$D386&amp;"|"&amp;$AC386</f>
        <v>|0</v>
      </c>
      <c r="AE386" t="str">
        <f t="shared" ref="AE386:AE449" si="148">IF($D386="","",_xlfn.MAXIFS($AC$2:$AC$1201,$D$2:$D$1201,$D386))</f>
        <v/>
      </c>
      <c r="AF386" t="str">
        <f t="shared" ref="AF386:AF449" si="149">IF($AB386="","",IFERROR(INDEX($B$2:$B$1201,MATCH($D386&amp;"|"&amp;$AE386,$AD$2:$AD$1201,0)),""))</f>
        <v/>
      </c>
      <c r="AG386" t="str">
        <f t="shared" ref="AG386:AG449" si="150">IF($C386&lt;&gt;"S1","",IFERROR(MATCH($D386&amp;"|"&amp;$A386&amp;"|S2",$AA$2:$AA$1201,0),""))</f>
        <v/>
      </c>
      <c r="AH386" t="str">
        <f t="shared" ref="AH386:AH449" si="151">IF(OR($AG386="",$Q386=""),"",IF(INDEX($Q$2:$Q$1201,$AG386)="","",IF(INDEX($Q$2:$Q$1201,$AG386)&gt;$Q386,1,IF(INDEX($Q$2:$Q$1201,$AG386)&lt;$Q386,-1,0))))</f>
        <v/>
      </c>
      <c r="AI386" t="str">
        <f t="shared" ref="AI386:AI449" si="152">IF(OR($AG386="",$R386=""),"",IF(INDEX($R$2:$R$1201,$AG386)="","",IF(INDEX($R$2:$R$1201,$AG386)&gt;$R386,1,IF(INDEX($R$2:$R$1201,$AG386)&lt;$R386,-1,0))))</f>
        <v/>
      </c>
      <c r="AJ386" t="str">
        <f t="shared" ref="AJ386:AJ449" si="153">IF(OR($AG386="",$S386=""),"",IF(INDEX($S$2:$S$1201,$AG386)="","",IF(INDEX($S$2:$S$1201,$AG386)&gt;$S386,1,IF(INDEX($S$2:$S$1201,$AG386)&lt;$S386,-1,0))))</f>
        <v/>
      </c>
      <c r="AK386" t="str">
        <f t="shared" ref="AK386:AK449" si="154">IF(OR($AG386="",$T386=""),"",IF(INDEX($T$2:$T$1201,$AG386)="","",IF(INDEX($T$2:$T$1201,$AG386)&gt;$T386,1,IF(INDEX($T$2:$T$1201,$AG386)&lt;$T386,-1,0))))</f>
        <v/>
      </c>
      <c r="AL386" t="str">
        <f t="shared" ref="AL386:AL449" si="155">IF(OR($AG386="",$U386=""),"",IF(INDEX($U$2:$U$1201,$AG386)="","",IF(INDEX($U$2:$U$1201,$AG386)&gt;$U386,1,IF(INDEX($U$2:$U$1201,$AG386)&lt;$U386,-1,0))))</f>
        <v/>
      </c>
      <c r="AM386" t="str">
        <f t="shared" ref="AM386:AM449" si="156">IF(OR($AG386="",$V386=""),"",IF(INDEX($V$2:$V$1201,$AG386)="","",IF(INDEX($V$2:$V$1201,$AG386)&gt;$V386,1,IF(INDEX($V$2:$V$1201,$AG386)&lt;$V386,-1,0))))</f>
        <v/>
      </c>
      <c r="AN386" t="str">
        <f t="shared" ref="AN386:AN449" si="157">IF(OR($AG386="",$W386=""),"",IF(INDEX($W$2:$W$1201,$AG386)="","",IF(INDEX($W$2:$W$1201,$AG386)&gt;$W386,1,IF(INDEX($W$2:$W$1201,$AG386)&lt;$W386,-1,0))))</f>
        <v/>
      </c>
      <c r="AO386" t="str">
        <f t="shared" ref="AO386:AO449" si="158">IF(OR($AG386="",$X386=""),"",IF(INDEX($X$2:$X$1201,$AG386)="","",IF(INDEX($X$2:$X$1201,$AG386)&gt;$X386,1,IF(INDEX($X$2:$X$1201,$AG386)&lt;$X386,-1,0))))</f>
        <v/>
      </c>
      <c r="AP386">
        <f t="shared" ref="AP386:AP449" si="159">IF($D386="",1,COUNTIFS($D$2:$D$1201,$D386,$A$2:$A$1201,$A386))</f>
        <v>1</v>
      </c>
      <c r="AQ386" t="str">
        <f>IF(SAISIE!$F391="","",SAISIE!$Y391)</f>
        <v/>
      </c>
      <c r="AR386" t="str">
        <f>IF(OR(SAISIE!$U$4="",SAISIE!$W$4=""),"",IF(AND($A386=SAISIE!$U$4,$B386=SAISIE!$W$4,$C386="S1"),COUNTIFS($A$2:$A386,SAISIE!$U$4,$B$2:$B386,SAISIE!$W$4,$C$2:$C386,"S1"),""))</f>
        <v/>
      </c>
      <c r="AS386" t="str">
        <f t="shared" ref="AS386:AS449" si="160">IF($D386="","",$A386&amp;"|"&amp;$C386&amp;"|"&amp;$D386)</f>
        <v/>
      </c>
      <c r="AT386" t="str">
        <f t="shared" ref="AT386:AT449" si="161">IF($D386="","",$A386&amp;"|"&amp;$D386&amp;"|"&amp;IF($AQ386="Parti","P","A"))</f>
        <v/>
      </c>
      <c r="AU386" t="str">
        <f t="shared" ref="AU386:AU449" si="162">IF($A386="","",$A386&amp;"|"&amp;$B386&amp;"|"&amp;$C386)</f>
        <v/>
      </c>
      <c r="AV386">
        <f>N(AV385)+IF(AND($AB386&lt;&gt;"",OR('PROFIL ELEVE'!$K$4="(Tous)",$AF386='PROFIL ELEVE'!$K$4)),1,0)</f>
        <v>0</v>
      </c>
      <c r="AW386">
        <f>N(AW385)+IF(AND($AB386&lt;&gt;"",OR('SUIVI LONGITUDINAL'!$Q$4="(Tous)",$AF386='SUIVI LONGITUDINAL'!$Q$4)),1,0)</f>
        <v>0</v>
      </c>
      <c r="AX386">
        <f t="shared" ref="AX386:AX449" si="163">COUNTIF($AH386:$AO386,1)</f>
        <v>0</v>
      </c>
      <c r="AY386">
        <f t="shared" ref="AY386:AY449" si="164">COUNTIF($AH386:$AO386,0)</f>
        <v>0</v>
      </c>
      <c r="AZ386">
        <f t="shared" ref="AZ386:AZ449" si="165">COUNTIF($AH386:$AO386,-1)</f>
        <v>0</v>
      </c>
      <c r="BA386" t="str">
        <f t="shared" ref="BA386:BA449" si="166">IF($E386="","",COUNT($Q386:$X386))</f>
        <v/>
      </c>
      <c r="BB386" t="str">
        <f t="shared" ref="BB386:BB449" si="167">IF($E386="","",IF(COUNT($Q386:$X386)&gt;=IF($Z386=2,5,8),1,0))</f>
        <v/>
      </c>
    </row>
    <row r="387" spans="1:54" ht="14.25" customHeight="1" x14ac:dyDescent="0.3">
      <c r="A387" t="str">
        <f>IF(SAISIE!$F392="","",SAISIE!$B392)</f>
        <v/>
      </c>
      <c r="B387" t="str">
        <f>IF(SAISIE!$F392="","",SAISIE!$C392)</f>
        <v/>
      </c>
      <c r="C387" t="str">
        <f>IF(SAISIE!$F392="","",SAISIE!$D392)</f>
        <v/>
      </c>
      <c r="D387" t="str">
        <f>IF(SAISIE!$E392="","",SAISIE!$E392)</f>
        <v/>
      </c>
      <c r="E387" t="str">
        <f>IF(SAISIE!$F392="","",SAISIE!$F392)</f>
        <v/>
      </c>
      <c r="F387" t="str">
        <f>IF(SAISIE!$G392="","",SAISIE!$G392)</f>
        <v/>
      </c>
      <c r="G387" t="str">
        <f>IF(SAISIE!$H392="","",SAISIE!$H392)</f>
        <v/>
      </c>
      <c r="H387" t="str">
        <f>IF(SAISIE!$I392="","",SAISIE!$I392)</f>
        <v/>
      </c>
      <c r="I387" t="str">
        <f>IF(SAISIE!$J392="","",SAISIE!$J392)</f>
        <v/>
      </c>
      <c r="J387" t="str">
        <f>IF(SAISIE!$K392="","",SAISIE!$K392)</f>
        <v/>
      </c>
      <c r="K387" t="str">
        <f>IF(SAISIE!$L392="","",SAISIE!$L392)</f>
        <v/>
      </c>
      <c r="L387" t="str">
        <f>IF(SAISIE!$M392="","",SAISIE!$M392)</f>
        <v/>
      </c>
      <c r="M387" t="str">
        <f>IF(SAISIE!$N392="","",SAISIE!$N392)</f>
        <v/>
      </c>
      <c r="N387" t="str">
        <f>IF(SAISIE!$O392="","",SAISIE!$O392)</f>
        <v/>
      </c>
      <c r="O387" t="str">
        <f>IF(SAISIE!$P392="","",SAISIE!$P392)</f>
        <v/>
      </c>
      <c r="P387" t="str">
        <f>IF(SAISIE!$Q392="","",SAISIE!$Q392)</f>
        <v/>
      </c>
      <c r="Q387" t="str">
        <f>IF($I387="","",IF($I387&gt;PARAMETRES!$G$29,5,IF($I387&gt;PARAMETRES!$F$29,4,IF($I387&gt;PARAMETRES!$E$29,3,IF($I387&gt;PARAMETRES!$D$29,2,1)))))</f>
        <v/>
      </c>
      <c r="R387" t="str">
        <f>IF($J387="","",IF($J387&gt;PARAMETRES!$G$30,5,IF($J387&gt;PARAMETRES!$F$30,4,IF($J387&gt;PARAMETRES!$E$30,3,IF($J387&gt;PARAMETRES!$D$30,2,1)))))</f>
        <v/>
      </c>
      <c r="S387" t="str">
        <f>IF($K387="","",IF($Z387=2,IF($K387&gt;PARAMETRES!$G$31,5,IF($K387&gt;PARAMETRES!$F$31,4,IF($K387&gt;PARAMETRES!$E$31,3,IF($K387&gt;PARAMETRES!$D$31,2,1)))),IF($K387&gt;PARAMETRES!$G$32,5,IF($K387&gt;PARAMETRES!$F$32,4,IF($K387&gt;PARAMETRES!$E$32,3,IF($K387&gt;PARAMETRES!$D$32,2,1))))))</f>
        <v/>
      </c>
      <c r="T387" t="str">
        <f>IF($L387="","",IF($L387&gt;PARAMETRES!$G$33,5,IF($L387&gt;PARAMETRES!$F$33,4,IF($L387&gt;PARAMETRES!$E$33,3,IF($L387&gt;PARAMETRES!$D$33,2,1)))))</f>
        <v/>
      </c>
      <c r="U387" t="str">
        <f>IF($M387="","",IF($M387&gt;PARAMETRES!$G$34,5,IF($M387&gt;PARAMETRES!$F$34,4,IF($M387&gt;PARAMETRES!$E$34,3,IF($M387&gt;PARAMETRES!$D$34,2,1)))))</f>
        <v/>
      </c>
      <c r="V387" t="str">
        <f>IF($N387="","",IF($N387&gt;PARAMETRES!$G$35,5,IF($N387&gt;PARAMETRES!$F$35,4,IF($N387&gt;PARAMETRES!$E$35,3,IF($N387&gt;PARAMETRES!$D$35,2,1)))))</f>
        <v/>
      </c>
      <c r="W387" t="str">
        <f>IF($O387="","",IF($O387&gt;PARAMETRES!$G$36,5,IF($O387&gt;PARAMETRES!$F$36,4,IF($O387&gt;PARAMETRES!$E$36,3,IF($O387&gt;PARAMETRES!$D$36,2,1)))))</f>
        <v/>
      </c>
      <c r="X387" t="str">
        <f>IF($P387="","",IF($P387&gt;PARAMETRES!$G$37,5,IF($P387&gt;PARAMETRES!$F$37,4,IF($P387&gt;PARAMETRES!$E$37,3,IF($P387&gt;PARAMETRES!$D$37,2,1)))))</f>
        <v/>
      </c>
      <c r="Y387" t="str">
        <f t="shared" si="144"/>
        <v/>
      </c>
      <c r="Z387" t="str">
        <f>IFERROR(VLOOKUP($B387,TABLE_CYCLE,2,0),"")</f>
        <v/>
      </c>
      <c r="AA387" t="str">
        <f t="shared" si="145"/>
        <v/>
      </c>
      <c r="AB387" t="str">
        <f>IF($D387="","",IF(COUNTIF($D$2:$D387,$D387)=1,$D387,""))</f>
        <v/>
      </c>
      <c r="AC387">
        <f t="shared" si="146"/>
        <v>0</v>
      </c>
      <c r="AD387" t="str">
        <f t="shared" si="147"/>
        <v>|0</v>
      </c>
      <c r="AE387" t="str">
        <f t="shared" si="148"/>
        <v/>
      </c>
      <c r="AF387" t="str">
        <f t="shared" si="149"/>
        <v/>
      </c>
      <c r="AG387" t="str">
        <f t="shared" si="150"/>
        <v/>
      </c>
      <c r="AH387" t="str">
        <f t="shared" si="151"/>
        <v/>
      </c>
      <c r="AI387" t="str">
        <f t="shared" si="152"/>
        <v/>
      </c>
      <c r="AJ387" t="str">
        <f t="shared" si="153"/>
        <v/>
      </c>
      <c r="AK387" t="str">
        <f t="shared" si="154"/>
        <v/>
      </c>
      <c r="AL387" t="str">
        <f t="shared" si="155"/>
        <v/>
      </c>
      <c r="AM387" t="str">
        <f t="shared" si="156"/>
        <v/>
      </c>
      <c r="AN387" t="str">
        <f t="shared" si="157"/>
        <v/>
      </c>
      <c r="AO387" t="str">
        <f t="shared" si="158"/>
        <v/>
      </c>
      <c r="AP387">
        <f t="shared" si="159"/>
        <v>1</v>
      </c>
      <c r="AQ387" t="str">
        <f>IF(SAISIE!$F392="","",SAISIE!$Y392)</f>
        <v/>
      </c>
      <c r="AR387" t="str">
        <f>IF(OR(SAISIE!$U$4="",SAISIE!$W$4=""),"",IF(AND($A387=SAISIE!$U$4,$B387=SAISIE!$W$4,$C387="S1"),COUNTIFS($A$2:$A387,SAISIE!$U$4,$B$2:$B387,SAISIE!$W$4,$C$2:$C387,"S1"),""))</f>
        <v/>
      </c>
      <c r="AS387" t="str">
        <f t="shared" si="160"/>
        <v/>
      </c>
      <c r="AT387" t="str">
        <f t="shared" si="161"/>
        <v/>
      </c>
      <c r="AU387" t="str">
        <f t="shared" si="162"/>
        <v/>
      </c>
      <c r="AV387">
        <f>N(AV386)+IF(AND($AB387&lt;&gt;"",OR('PROFIL ELEVE'!$K$4="(Tous)",$AF387='PROFIL ELEVE'!$K$4)),1,0)</f>
        <v>0</v>
      </c>
      <c r="AW387">
        <f>N(AW386)+IF(AND($AB387&lt;&gt;"",OR('SUIVI LONGITUDINAL'!$Q$4="(Tous)",$AF387='SUIVI LONGITUDINAL'!$Q$4)),1,0)</f>
        <v>0</v>
      </c>
      <c r="AX387">
        <f t="shared" si="163"/>
        <v>0</v>
      </c>
      <c r="AY387">
        <f t="shared" si="164"/>
        <v>0</v>
      </c>
      <c r="AZ387">
        <f t="shared" si="165"/>
        <v>0</v>
      </c>
      <c r="BA387" t="str">
        <f t="shared" si="166"/>
        <v/>
      </c>
      <c r="BB387" t="str">
        <f t="shared" si="167"/>
        <v/>
      </c>
    </row>
    <row r="388" spans="1:54" ht="14.25" customHeight="1" x14ac:dyDescent="0.3">
      <c r="A388" t="str">
        <f>IF(SAISIE!$F393="","",SAISIE!$B393)</f>
        <v/>
      </c>
      <c r="B388" t="str">
        <f>IF(SAISIE!$F393="","",SAISIE!$C393)</f>
        <v/>
      </c>
      <c r="C388" t="str">
        <f>IF(SAISIE!$F393="","",SAISIE!$D393)</f>
        <v/>
      </c>
      <c r="D388" t="str">
        <f>IF(SAISIE!$E393="","",SAISIE!$E393)</f>
        <v/>
      </c>
      <c r="E388" t="str">
        <f>IF(SAISIE!$F393="","",SAISIE!$F393)</f>
        <v/>
      </c>
      <c r="F388" t="str">
        <f>IF(SAISIE!$G393="","",SAISIE!$G393)</f>
        <v/>
      </c>
      <c r="G388" t="str">
        <f>IF(SAISIE!$H393="","",SAISIE!$H393)</f>
        <v/>
      </c>
      <c r="H388" t="str">
        <f>IF(SAISIE!$I393="","",SAISIE!$I393)</f>
        <v/>
      </c>
      <c r="I388" t="str">
        <f>IF(SAISIE!$J393="","",SAISIE!$J393)</f>
        <v/>
      </c>
      <c r="J388" t="str">
        <f>IF(SAISIE!$K393="","",SAISIE!$K393)</f>
        <v/>
      </c>
      <c r="K388" t="str">
        <f>IF(SAISIE!$L393="","",SAISIE!$L393)</f>
        <v/>
      </c>
      <c r="L388" t="str">
        <f>IF(SAISIE!$M393="","",SAISIE!$M393)</f>
        <v/>
      </c>
      <c r="M388" t="str">
        <f>IF(SAISIE!$N393="","",SAISIE!$N393)</f>
        <v/>
      </c>
      <c r="N388" t="str">
        <f>IF(SAISIE!$O393="","",SAISIE!$O393)</f>
        <v/>
      </c>
      <c r="O388" t="str">
        <f>IF(SAISIE!$P393="","",SAISIE!$P393)</f>
        <v/>
      </c>
      <c r="P388" t="str">
        <f>IF(SAISIE!$Q393="","",SAISIE!$Q393)</f>
        <v/>
      </c>
      <c r="Q388" t="str">
        <f>IF($I388="","",IF($I388&gt;PARAMETRES!$G$29,5,IF($I388&gt;PARAMETRES!$F$29,4,IF($I388&gt;PARAMETRES!$E$29,3,IF($I388&gt;PARAMETRES!$D$29,2,1)))))</f>
        <v/>
      </c>
      <c r="R388" t="str">
        <f>IF($J388="","",IF($J388&gt;PARAMETRES!$G$30,5,IF($J388&gt;PARAMETRES!$F$30,4,IF($J388&gt;PARAMETRES!$E$30,3,IF($J388&gt;PARAMETRES!$D$30,2,1)))))</f>
        <v/>
      </c>
      <c r="S388" t="str">
        <f>IF($K388="","",IF($Z388=2,IF($K388&gt;PARAMETRES!$G$31,5,IF($K388&gt;PARAMETRES!$F$31,4,IF($K388&gt;PARAMETRES!$E$31,3,IF($K388&gt;PARAMETRES!$D$31,2,1)))),IF($K388&gt;PARAMETRES!$G$32,5,IF($K388&gt;PARAMETRES!$F$32,4,IF($K388&gt;PARAMETRES!$E$32,3,IF($K388&gt;PARAMETRES!$D$32,2,1))))))</f>
        <v/>
      </c>
      <c r="T388" t="str">
        <f>IF($L388="","",IF($L388&gt;PARAMETRES!$G$33,5,IF($L388&gt;PARAMETRES!$F$33,4,IF($L388&gt;PARAMETRES!$E$33,3,IF($L388&gt;PARAMETRES!$D$33,2,1)))))</f>
        <v/>
      </c>
      <c r="U388" t="str">
        <f>IF($M388="","",IF($M388&gt;PARAMETRES!$G$34,5,IF($M388&gt;PARAMETRES!$F$34,4,IF($M388&gt;PARAMETRES!$E$34,3,IF($M388&gt;PARAMETRES!$D$34,2,1)))))</f>
        <v/>
      </c>
      <c r="V388" t="str">
        <f>IF($N388="","",IF($N388&gt;PARAMETRES!$G$35,5,IF($N388&gt;PARAMETRES!$F$35,4,IF($N388&gt;PARAMETRES!$E$35,3,IF($N388&gt;PARAMETRES!$D$35,2,1)))))</f>
        <v/>
      </c>
      <c r="W388" t="str">
        <f>IF($O388="","",IF($O388&gt;PARAMETRES!$G$36,5,IF($O388&gt;PARAMETRES!$F$36,4,IF($O388&gt;PARAMETRES!$E$36,3,IF($O388&gt;PARAMETRES!$D$36,2,1)))))</f>
        <v/>
      </c>
      <c r="X388" t="str">
        <f>IF($P388="","",IF($P388&gt;PARAMETRES!$G$37,5,IF($P388&gt;PARAMETRES!$F$37,4,IF($P388&gt;PARAMETRES!$E$37,3,IF($P388&gt;PARAMETRES!$D$37,2,1)))))</f>
        <v/>
      </c>
      <c r="Y388" t="str">
        <f t="shared" si="144"/>
        <v/>
      </c>
      <c r="Z388" t="str">
        <f>IFERROR(VLOOKUP($B388,TABLE_CYCLE,2,0),"")</f>
        <v/>
      </c>
      <c r="AA388" t="str">
        <f t="shared" si="145"/>
        <v/>
      </c>
      <c r="AB388" t="str">
        <f>IF($D388="","",IF(COUNTIF($D$2:$D388,$D388)=1,$D388,""))</f>
        <v/>
      </c>
      <c r="AC388">
        <f t="shared" si="146"/>
        <v>0</v>
      </c>
      <c r="AD388" t="str">
        <f t="shared" si="147"/>
        <v>|0</v>
      </c>
      <c r="AE388" t="str">
        <f t="shared" si="148"/>
        <v/>
      </c>
      <c r="AF388" t="str">
        <f t="shared" si="149"/>
        <v/>
      </c>
      <c r="AG388" t="str">
        <f t="shared" si="150"/>
        <v/>
      </c>
      <c r="AH388" t="str">
        <f t="shared" si="151"/>
        <v/>
      </c>
      <c r="AI388" t="str">
        <f t="shared" si="152"/>
        <v/>
      </c>
      <c r="AJ388" t="str">
        <f t="shared" si="153"/>
        <v/>
      </c>
      <c r="AK388" t="str">
        <f t="shared" si="154"/>
        <v/>
      </c>
      <c r="AL388" t="str">
        <f t="shared" si="155"/>
        <v/>
      </c>
      <c r="AM388" t="str">
        <f t="shared" si="156"/>
        <v/>
      </c>
      <c r="AN388" t="str">
        <f t="shared" si="157"/>
        <v/>
      </c>
      <c r="AO388" t="str">
        <f t="shared" si="158"/>
        <v/>
      </c>
      <c r="AP388">
        <f t="shared" si="159"/>
        <v>1</v>
      </c>
      <c r="AQ388" t="str">
        <f>IF(SAISIE!$F393="","",SAISIE!$Y393)</f>
        <v/>
      </c>
      <c r="AR388" t="str">
        <f>IF(OR(SAISIE!$U$4="",SAISIE!$W$4=""),"",IF(AND($A388=SAISIE!$U$4,$B388=SAISIE!$W$4,$C388="S1"),COUNTIFS($A$2:$A388,SAISIE!$U$4,$B$2:$B388,SAISIE!$W$4,$C$2:$C388,"S1"),""))</f>
        <v/>
      </c>
      <c r="AS388" t="str">
        <f t="shared" si="160"/>
        <v/>
      </c>
      <c r="AT388" t="str">
        <f t="shared" si="161"/>
        <v/>
      </c>
      <c r="AU388" t="str">
        <f t="shared" si="162"/>
        <v/>
      </c>
      <c r="AV388">
        <f>N(AV387)+IF(AND($AB388&lt;&gt;"",OR('PROFIL ELEVE'!$K$4="(Tous)",$AF388='PROFIL ELEVE'!$K$4)),1,0)</f>
        <v>0</v>
      </c>
      <c r="AW388">
        <f>N(AW387)+IF(AND($AB388&lt;&gt;"",OR('SUIVI LONGITUDINAL'!$Q$4="(Tous)",$AF388='SUIVI LONGITUDINAL'!$Q$4)),1,0)</f>
        <v>0</v>
      </c>
      <c r="AX388">
        <f t="shared" si="163"/>
        <v>0</v>
      </c>
      <c r="AY388">
        <f t="shared" si="164"/>
        <v>0</v>
      </c>
      <c r="AZ388">
        <f t="shared" si="165"/>
        <v>0</v>
      </c>
      <c r="BA388" t="str">
        <f t="shared" si="166"/>
        <v/>
      </c>
      <c r="BB388" t="str">
        <f t="shared" si="167"/>
        <v/>
      </c>
    </row>
    <row r="389" spans="1:54" ht="14.25" customHeight="1" x14ac:dyDescent="0.3">
      <c r="A389" t="str">
        <f>IF(SAISIE!$F394="","",SAISIE!$B394)</f>
        <v/>
      </c>
      <c r="B389" t="str">
        <f>IF(SAISIE!$F394="","",SAISIE!$C394)</f>
        <v/>
      </c>
      <c r="C389" t="str">
        <f>IF(SAISIE!$F394="","",SAISIE!$D394)</f>
        <v/>
      </c>
      <c r="D389" t="str">
        <f>IF(SAISIE!$E394="","",SAISIE!$E394)</f>
        <v/>
      </c>
      <c r="E389" t="str">
        <f>IF(SAISIE!$F394="","",SAISIE!$F394)</f>
        <v/>
      </c>
      <c r="F389" t="str">
        <f>IF(SAISIE!$G394="","",SAISIE!$G394)</f>
        <v/>
      </c>
      <c r="G389" t="str">
        <f>IF(SAISIE!$H394="","",SAISIE!$H394)</f>
        <v/>
      </c>
      <c r="H389" t="str">
        <f>IF(SAISIE!$I394="","",SAISIE!$I394)</f>
        <v/>
      </c>
      <c r="I389" t="str">
        <f>IF(SAISIE!$J394="","",SAISIE!$J394)</f>
        <v/>
      </c>
      <c r="J389" t="str">
        <f>IF(SAISIE!$K394="","",SAISIE!$K394)</f>
        <v/>
      </c>
      <c r="K389" t="str">
        <f>IF(SAISIE!$L394="","",SAISIE!$L394)</f>
        <v/>
      </c>
      <c r="L389" t="str">
        <f>IF(SAISIE!$M394="","",SAISIE!$M394)</f>
        <v/>
      </c>
      <c r="M389" t="str">
        <f>IF(SAISIE!$N394="","",SAISIE!$N394)</f>
        <v/>
      </c>
      <c r="N389" t="str">
        <f>IF(SAISIE!$O394="","",SAISIE!$O394)</f>
        <v/>
      </c>
      <c r="O389" t="str">
        <f>IF(SAISIE!$P394="","",SAISIE!$P394)</f>
        <v/>
      </c>
      <c r="P389" t="str">
        <f>IF(SAISIE!$Q394="","",SAISIE!$Q394)</f>
        <v/>
      </c>
      <c r="Q389" t="str">
        <f>IF($I389="","",IF($I389&gt;PARAMETRES!$G$29,5,IF($I389&gt;PARAMETRES!$F$29,4,IF($I389&gt;PARAMETRES!$E$29,3,IF($I389&gt;PARAMETRES!$D$29,2,1)))))</f>
        <v/>
      </c>
      <c r="R389" t="str">
        <f>IF($J389="","",IF($J389&gt;PARAMETRES!$G$30,5,IF($J389&gt;PARAMETRES!$F$30,4,IF($J389&gt;PARAMETRES!$E$30,3,IF($J389&gt;PARAMETRES!$D$30,2,1)))))</f>
        <v/>
      </c>
      <c r="S389" t="str">
        <f>IF($K389="","",IF($Z389=2,IF($K389&gt;PARAMETRES!$G$31,5,IF($K389&gt;PARAMETRES!$F$31,4,IF($K389&gt;PARAMETRES!$E$31,3,IF($K389&gt;PARAMETRES!$D$31,2,1)))),IF($K389&gt;PARAMETRES!$G$32,5,IF($K389&gt;PARAMETRES!$F$32,4,IF($K389&gt;PARAMETRES!$E$32,3,IF($K389&gt;PARAMETRES!$D$32,2,1))))))</f>
        <v/>
      </c>
      <c r="T389" t="str">
        <f>IF($L389="","",IF($L389&gt;PARAMETRES!$G$33,5,IF($L389&gt;PARAMETRES!$F$33,4,IF($L389&gt;PARAMETRES!$E$33,3,IF($L389&gt;PARAMETRES!$D$33,2,1)))))</f>
        <v/>
      </c>
      <c r="U389" t="str">
        <f>IF($M389="","",IF($M389&gt;PARAMETRES!$G$34,5,IF($M389&gt;PARAMETRES!$F$34,4,IF($M389&gt;PARAMETRES!$E$34,3,IF($M389&gt;PARAMETRES!$D$34,2,1)))))</f>
        <v/>
      </c>
      <c r="V389" t="str">
        <f>IF($N389="","",IF($N389&gt;PARAMETRES!$G$35,5,IF($N389&gt;PARAMETRES!$F$35,4,IF($N389&gt;PARAMETRES!$E$35,3,IF($N389&gt;PARAMETRES!$D$35,2,1)))))</f>
        <v/>
      </c>
      <c r="W389" t="str">
        <f>IF($O389="","",IF($O389&gt;PARAMETRES!$G$36,5,IF($O389&gt;PARAMETRES!$F$36,4,IF($O389&gt;PARAMETRES!$E$36,3,IF($O389&gt;PARAMETRES!$D$36,2,1)))))</f>
        <v/>
      </c>
      <c r="X389" t="str">
        <f>IF($P389="","",IF($P389&gt;PARAMETRES!$G$37,5,IF($P389&gt;PARAMETRES!$F$37,4,IF($P389&gt;PARAMETRES!$E$37,3,IF($P389&gt;PARAMETRES!$D$37,2,1)))))</f>
        <v/>
      </c>
      <c r="Y389" t="str">
        <f t="shared" si="144"/>
        <v/>
      </c>
      <c r="Z389" t="str">
        <f>IFERROR(VLOOKUP($B389,TABLE_CYCLE,2,0),"")</f>
        <v/>
      </c>
      <c r="AA389" t="str">
        <f t="shared" si="145"/>
        <v/>
      </c>
      <c r="AB389" t="str">
        <f>IF($D389="","",IF(COUNTIF($D$2:$D389,$D389)=1,$D389,""))</f>
        <v/>
      </c>
      <c r="AC389">
        <f t="shared" si="146"/>
        <v>0</v>
      </c>
      <c r="AD389" t="str">
        <f t="shared" si="147"/>
        <v>|0</v>
      </c>
      <c r="AE389" t="str">
        <f t="shared" si="148"/>
        <v/>
      </c>
      <c r="AF389" t="str">
        <f t="shared" si="149"/>
        <v/>
      </c>
      <c r="AG389" t="str">
        <f t="shared" si="150"/>
        <v/>
      </c>
      <c r="AH389" t="str">
        <f t="shared" si="151"/>
        <v/>
      </c>
      <c r="AI389" t="str">
        <f t="shared" si="152"/>
        <v/>
      </c>
      <c r="AJ389" t="str">
        <f t="shared" si="153"/>
        <v/>
      </c>
      <c r="AK389" t="str">
        <f t="shared" si="154"/>
        <v/>
      </c>
      <c r="AL389" t="str">
        <f t="shared" si="155"/>
        <v/>
      </c>
      <c r="AM389" t="str">
        <f t="shared" si="156"/>
        <v/>
      </c>
      <c r="AN389" t="str">
        <f t="shared" si="157"/>
        <v/>
      </c>
      <c r="AO389" t="str">
        <f t="shared" si="158"/>
        <v/>
      </c>
      <c r="AP389">
        <f t="shared" si="159"/>
        <v>1</v>
      </c>
      <c r="AQ389" t="str">
        <f>IF(SAISIE!$F394="","",SAISIE!$Y394)</f>
        <v/>
      </c>
      <c r="AR389" t="str">
        <f>IF(OR(SAISIE!$U$4="",SAISIE!$W$4=""),"",IF(AND($A389=SAISIE!$U$4,$B389=SAISIE!$W$4,$C389="S1"),COUNTIFS($A$2:$A389,SAISIE!$U$4,$B$2:$B389,SAISIE!$W$4,$C$2:$C389,"S1"),""))</f>
        <v/>
      </c>
      <c r="AS389" t="str">
        <f t="shared" si="160"/>
        <v/>
      </c>
      <c r="AT389" t="str">
        <f t="shared" si="161"/>
        <v/>
      </c>
      <c r="AU389" t="str">
        <f t="shared" si="162"/>
        <v/>
      </c>
      <c r="AV389">
        <f>N(AV388)+IF(AND($AB389&lt;&gt;"",OR('PROFIL ELEVE'!$K$4="(Tous)",$AF389='PROFIL ELEVE'!$K$4)),1,0)</f>
        <v>0</v>
      </c>
      <c r="AW389">
        <f>N(AW388)+IF(AND($AB389&lt;&gt;"",OR('SUIVI LONGITUDINAL'!$Q$4="(Tous)",$AF389='SUIVI LONGITUDINAL'!$Q$4)),1,0)</f>
        <v>0</v>
      </c>
      <c r="AX389">
        <f t="shared" si="163"/>
        <v>0</v>
      </c>
      <c r="AY389">
        <f t="shared" si="164"/>
        <v>0</v>
      </c>
      <c r="AZ389">
        <f t="shared" si="165"/>
        <v>0</v>
      </c>
      <c r="BA389" t="str">
        <f t="shared" si="166"/>
        <v/>
      </c>
      <c r="BB389" t="str">
        <f t="shared" si="167"/>
        <v/>
      </c>
    </row>
    <row r="390" spans="1:54" ht="14.25" customHeight="1" x14ac:dyDescent="0.3">
      <c r="A390" t="str">
        <f>IF(SAISIE!$F395="","",SAISIE!$B395)</f>
        <v/>
      </c>
      <c r="B390" t="str">
        <f>IF(SAISIE!$F395="","",SAISIE!$C395)</f>
        <v/>
      </c>
      <c r="C390" t="str">
        <f>IF(SAISIE!$F395="","",SAISIE!$D395)</f>
        <v/>
      </c>
      <c r="D390" t="str">
        <f>IF(SAISIE!$E395="","",SAISIE!$E395)</f>
        <v/>
      </c>
      <c r="E390" t="str">
        <f>IF(SAISIE!$F395="","",SAISIE!$F395)</f>
        <v/>
      </c>
      <c r="F390" t="str">
        <f>IF(SAISIE!$G395="","",SAISIE!$G395)</f>
        <v/>
      </c>
      <c r="G390" t="str">
        <f>IF(SAISIE!$H395="","",SAISIE!$H395)</f>
        <v/>
      </c>
      <c r="H390" t="str">
        <f>IF(SAISIE!$I395="","",SAISIE!$I395)</f>
        <v/>
      </c>
      <c r="I390" t="str">
        <f>IF(SAISIE!$J395="","",SAISIE!$J395)</f>
        <v/>
      </c>
      <c r="J390" t="str">
        <f>IF(SAISIE!$K395="","",SAISIE!$K395)</f>
        <v/>
      </c>
      <c r="K390" t="str">
        <f>IF(SAISIE!$L395="","",SAISIE!$L395)</f>
        <v/>
      </c>
      <c r="L390" t="str">
        <f>IF(SAISIE!$M395="","",SAISIE!$M395)</f>
        <v/>
      </c>
      <c r="M390" t="str">
        <f>IF(SAISIE!$N395="","",SAISIE!$N395)</f>
        <v/>
      </c>
      <c r="N390" t="str">
        <f>IF(SAISIE!$O395="","",SAISIE!$O395)</f>
        <v/>
      </c>
      <c r="O390" t="str">
        <f>IF(SAISIE!$P395="","",SAISIE!$P395)</f>
        <v/>
      </c>
      <c r="P390" t="str">
        <f>IF(SAISIE!$Q395="","",SAISIE!$Q395)</f>
        <v/>
      </c>
      <c r="Q390" t="str">
        <f>IF($I390="","",IF($I390&gt;PARAMETRES!$G$29,5,IF($I390&gt;PARAMETRES!$F$29,4,IF($I390&gt;PARAMETRES!$E$29,3,IF($I390&gt;PARAMETRES!$D$29,2,1)))))</f>
        <v/>
      </c>
      <c r="R390" t="str">
        <f>IF($J390="","",IF($J390&gt;PARAMETRES!$G$30,5,IF($J390&gt;PARAMETRES!$F$30,4,IF($J390&gt;PARAMETRES!$E$30,3,IF($J390&gt;PARAMETRES!$D$30,2,1)))))</f>
        <v/>
      </c>
      <c r="S390" t="str">
        <f>IF($K390="","",IF($Z390=2,IF($K390&gt;PARAMETRES!$G$31,5,IF($K390&gt;PARAMETRES!$F$31,4,IF($K390&gt;PARAMETRES!$E$31,3,IF($K390&gt;PARAMETRES!$D$31,2,1)))),IF($K390&gt;PARAMETRES!$G$32,5,IF($K390&gt;PARAMETRES!$F$32,4,IF($K390&gt;PARAMETRES!$E$32,3,IF($K390&gt;PARAMETRES!$D$32,2,1))))))</f>
        <v/>
      </c>
      <c r="T390" t="str">
        <f>IF($L390="","",IF($L390&gt;PARAMETRES!$G$33,5,IF($L390&gt;PARAMETRES!$F$33,4,IF($L390&gt;PARAMETRES!$E$33,3,IF($L390&gt;PARAMETRES!$D$33,2,1)))))</f>
        <v/>
      </c>
      <c r="U390" t="str">
        <f>IF($M390="","",IF($M390&gt;PARAMETRES!$G$34,5,IF($M390&gt;PARAMETRES!$F$34,4,IF($M390&gt;PARAMETRES!$E$34,3,IF($M390&gt;PARAMETRES!$D$34,2,1)))))</f>
        <v/>
      </c>
      <c r="V390" t="str">
        <f>IF($N390="","",IF($N390&gt;PARAMETRES!$G$35,5,IF($N390&gt;PARAMETRES!$F$35,4,IF($N390&gt;PARAMETRES!$E$35,3,IF($N390&gt;PARAMETRES!$D$35,2,1)))))</f>
        <v/>
      </c>
      <c r="W390" t="str">
        <f>IF($O390="","",IF($O390&gt;PARAMETRES!$G$36,5,IF($O390&gt;PARAMETRES!$F$36,4,IF($O390&gt;PARAMETRES!$E$36,3,IF($O390&gt;PARAMETRES!$D$36,2,1)))))</f>
        <v/>
      </c>
      <c r="X390" t="str">
        <f>IF($P390="","",IF($P390&gt;PARAMETRES!$G$37,5,IF($P390&gt;PARAMETRES!$F$37,4,IF($P390&gt;PARAMETRES!$E$37,3,IF($P390&gt;PARAMETRES!$D$37,2,1)))))</f>
        <v/>
      </c>
      <c r="Y390" t="str">
        <f t="shared" si="144"/>
        <v/>
      </c>
      <c r="Z390" t="str">
        <f>IFERROR(VLOOKUP($B390,TABLE_CYCLE,2,0),"")</f>
        <v/>
      </c>
      <c r="AA390" t="str">
        <f t="shared" si="145"/>
        <v/>
      </c>
      <c r="AB390" t="str">
        <f>IF($D390="","",IF(COUNTIF($D$2:$D390,$D390)=1,$D390,""))</f>
        <v/>
      </c>
      <c r="AC390">
        <f t="shared" si="146"/>
        <v>0</v>
      </c>
      <c r="AD390" t="str">
        <f t="shared" si="147"/>
        <v>|0</v>
      </c>
      <c r="AE390" t="str">
        <f t="shared" si="148"/>
        <v/>
      </c>
      <c r="AF390" t="str">
        <f t="shared" si="149"/>
        <v/>
      </c>
      <c r="AG390" t="str">
        <f t="shared" si="150"/>
        <v/>
      </c>
      <c r="AH390" t="str">
        <f t="shared" si="151"/>
        <v/>
      </c>
      <c r="AI390" t="str">
        <f t="shared" si="152"/>
        <v/>
      </c>
      <c r="AJ390" t="str">
        <f t="shared" si="153"/>
        <v/>
      </c>
      <c r="AK390" t="str">
        <f t="shared" si="154"/>
        <v/>
      </c>
      <c r="AL390" t="str">
        <f t="shared" si="155"/>
        <v/>
      </c>
      <c r="AM390" t="str">
        <f t="shared" si="156"/>
        <v/>
      </c>
      <c r="AN390" t="str">
        <f t="shared" si="157"/>
        <v/>
      </c>
      <c r="AO390" t="str">
        <f t="shared" si="158"/>
        <v/>
      </c>
      <c r="AP390">
        <f t="shared" si="159"/>
        <v>1</v>
      </c>
      <c r="AQ390" t="str">
        <f>IF(SAISIE!$F395="","",SAISIE!$Y395)</f>
        <v/>
      </c>
      <c r="AR390" t="str">
        <f>IF(OR(SAISIE!$U$4="",SAISIE!$W$4=""),"",IF(AND($A390=SAISIE!$U$4,$B390=SAISIE!$W$4,$C390="S1"),COUNTIFS($A$2:$A390,SAISIE!$U$4,$B$2:$B390,SAISIE!$W$4,$C$2:$C390,"S1"),""))</f>
        <v/>
      </c>
      <c r="AS390" t="str">
        <f t="shared" si="160"/>
        <v/>
      </c>
      <c r="AT390" t="str">
        <f t="shared" si="161"/>
        <v/>
      </c>
      <c r="AU390" t="str">
        <f t="shared" si="162"/>
        <v/>
      </c>
      <c r="AV390">
        <f>N(AV389)+IF(AND($AB390&lt;&gt;"",OR('PROFIL ELEVE'!$K$4="(Tous)",$AF390='PROFIL ELEVE'!$K$4)),1,0)</f>
        <v>0</v>
      </c>
      <c r="AW390">
        <f>N(AW389)+IF(AND($AB390&lt;&gt;"",OR('SUIVI LONGITUDINAL'!$Q$4="(Tous)",$AF390='SUIVI LONGITUDINAL'!$Q$4)),1,0)</f>
        <v>0</v>
      </c>
      <c r="AX390">
        <f t="shared" si="163"/>
        <v>0</v>
      </c>
      <c r="AY390">
        <f t="shared" si="164"/>
        <v>0</v>
      </c>
      <c r="AZ390">
        <f t="shared" si="165"/>
        <v>0</v>
      </c>
      <c r="BA390" t="str">
        <f t="shared" si="166"/>
        <v/>
      </c>
      <c r="BB390" t="str">
        <f t="shared" si="167"/>
        <v/>
      </c>
    </row>
    <row r="391" spans="1:54" ht="14.25" customHeight="1" x14ac:dyDescent="0.3">
      <c r="A391" t="str">
        <f>IF(SAISIE!$F396="","",SAISIE!$B396)</f>
        <v/>
      </c>
      <c r="B391" t="str">
        <f>IF(SAISIE!$F396="","",SAISIE!$C396)</f>
        <v/>
      </c>
      <c r="C391" t="str">
        <f>IF(SAISIE!$F396="","",SAISIE!$D396)</f>
        <v/>
      </c>
      <c r="D391" t="str">
        <f>IF(SAISIE!$E396="","",SAISIE!$E396)</f>
        <v/>
      </c>
      <c r="E391" t="str">
        <f>IF(SAISIE!$F396="","",SAISIE!$F396)</f>
        <v/>
      </c>
      <c r="F391" t="str">
        <f>IF(SAISIE!$G396="","",SAISIE!$G396)</f>
        <v/>
      </c>
      <c r="G391" t="str">
        <f>IF(SAISIE!$H396="","",SAISIE!$H396)</f>
        <v/>
      </c>
      <c r="H391" t="str">
        <f>IF(SAISIE!$I396="","",SAISIE!$I396)</f>
        <v/>
      </c>
      <c r="I391" t="str">
        <f>IF(SAISIE!$J396="","",SAISIE!$J396)</f>
        <v/>
      </c>
      <c r="J391" t="str">
        <f>IF(SAISIE!$K396="","",SAISIE!$K396)</f>
        <v/>
      </c>
      <c r="K391" t="str">
        <f>IF(SAISIE!$L396="","",SAISIE!$L396)</f>
        <v/>
      </c>
      <c r="L391" t="str">
        <f>IF(SAISIE!$M396="","",SAISIE!$M396)</f>
        <v/>
      </c>
      <c r="M391" t="str">
        <f>IF(SAISIE!$N396="","",SAISIE!$N396)</f>
        <v/>
      </c>
      <c r="N391" t="str">
        <f>IF(SAISIE!$O396="","",SAISIE!$O396)</f>
        <v/>
      </c>
      <c r="O391" t="str">
        <f>IF(SAISIE!$P396="","",SAISIE!$P396)</f>
        <v/>
      </c>
      <c r="P391" t="str">
        <f>IF(SAISIE!$Q396="","",SAISIE!$Q396)</f>
        <v/>
      </c>
      <c r="Q391" t="str">
        <f>IF($I391="","",IF($I391&gt;PARAMETRES!$G$29,5,IF($I391&gt;PARAMETRES!$F$29,4,IF($I391&gt;PARAMETRES!$E$29,3,IF($I391&gt;PARAMETRES!$D$29,2,1)))))</f>
        <v/>
      </c>
      <c r="R391" t="str">
        <f>IF($J391="","",IF($J391&gt;PARAMETRES!$G$30,5,IF($J391&gt;PARAMETRES!$F$30,4,IF($J391&gt;PARAMETRES!$E$30,3,IF($J391&gt;PARAMETRES!$D$30,2,1)))))</f>
        <v/>
      </c>
      <c r="S391" t="str">
        <f>IF($K391="","",IF($Z391=2,IF($K391&gt;PARAMETRES!$G$31,5,IF($K391&gt;PARAMETRES!$F$31,4,IF($K391&gt;PARAMETRES!$E$31,3,IF($K391&gt;PARAMETRES!$D$31,2,1)))),IF($K391&gt;PARAMETRES!$G$32,5,IF($K391&gt;PARAMETRES!$F$32,4,IF($K391&gt;PARAMETRES!$E$32,3,IF($K391&gt;PARAMETRES!$D$32,2,1))))))</f>
        <v/>
      </c>
      <c r="T391" t="str">
        <f>IF($L391="","",IF($L391&gt;PARAMETRES!$G$33,5,IF($L391&gt;PARAMETRES!$F$33,4,IF($L391&gt;PARAMETRES!$E$33,3,IF($L391&gt;PARAMETRES!$D$33,2,1)))))</f>
        <v/>
      </c>
      <c r="U391" t="str">
        <f>IF($M391="","",IF($M391&gt;PARAMETRES!$G$34,5,IF($M391&gt;PARAMETRES!$F$34,4,IF($M391&gt;PARAMETRES!$E$34,3,IF($M391&gt;PARAMETRES!$D$34,2,1)))))</f>
        <v/>
      </c>
      <c r="V391" t="str">
        <f>IF($N391="","",IF($N391&gt;PARAMETRES!$G$35,5,IF($N391&gt;PARAMETRES!$F$35,4,IF($N391&gt;PARAMETRES!$E$35,3,IF($N391&gt;PARAMETRES!$D$35,2,1)))))</f>
        <v/>
      </c>
      <c r="W391" t="str">
        <f>IF($O391="","",IF($O391&gt;PARAMETRES!$G$36,5,IF($O391&gt;PARAMETRES!$F$36,4,IF($O391&gt;PARAMETRES!$E$36,3,IF($O391&gt;PARAMETRES!$D$36,2,1)))))</f>
        <v/>
      </c>
      <c r="X391" t="str">
        <f>IF($P391="","",IF($P391&gt;PARAMETRES!$G$37,5,IF($P391&gt;PARAMETRES!$F$37,4,IF($P391&gt;PARAMETRES!$E$37,3,IF($P391&gt;PARAMETRES!$D$37,2,1)))))</f>
        <v/>
      </c>
      <c r="Y391" t="str">
        <f t="shared" si="144"/>
        <v/>
      </c>
      <c r="Z391" t="str">
        <f>IFERROR(VLOOKUP($B391,TABLE_CYCLE,2,0),"")</f>
        <v/>
      </c>
      <c r="AA391" t="str">
        <f t="shared" si="145"/>
        <v/>
      </c>
      <c r="AB391" t="str">
        <f>IF($D391="","",IF(COUNTIF($D$2:$D391,$D391)=1,$D391,""))</f>
        <v/>
      </c>
      <c r="AC391">
        <f t="shared" si="146"/>
        <v>0</v>
      </c>
      <c r="AD391" t="str">
        <f t="shared" si="147"/>
        <v>|0</v>
      </c>
      <c r="AE391" t="str">
        <f t="shared" si="148"/>
        <v/>
      </c>
      <c r="AF391" t="str">
        <f t="shared" si="149"/>
        <v/>
      </c>
      <c r="AG391" t="str">
        <f t="shared" si="150"/>
        <v/>
      </c>
      <c r="AH391" t="str">
        <f t="shared" si="151"/>
        <v/>
      </c>
      <c r="AI391" t="str">
        <f t="shared" si="152"/>
        <v/>
      </c>
      <c r="AJ391" t="str">
        <f t="shared" si="153"/>
        <v/>
      </c>
      <c r="AK391" t="str">
        <f t="shared" si="154"/>
        <v/>
      </c>
      <c r="AL391" t="str">
        <f t="shared" si="155"/>
        <v/>
      </c>
      <c r="AM391" t="str">
        <f t="shared" si="156"/>
        <v/>
      </c>
      <c r="AN391" t="str">
        <f t="shared" si="157"/>
        <v/>
      </c>
      <c r="AO391" t="str">
        <f t="shared" si="158"/>
        <v/>
      </c>
      <c r="AP391">
        <f t="shared" si="159"/>
        <v>1</v>
      </c>
      <c r="AQ391" t="str">
        <f>IF(SAISIE!$F396="","",SAISIE!$Y396)</f>
        <v/>
      </c>
      <c r="AR391" t="str">
        <f>IF(OR(SAISIE!$U$4="",SAISIE!$W$4=""),"",IF(AND($A391=SAISIE!$U$4,$B391=SAISIE!$W$4,$C391="S1"),COUNTIFS($A$2:$A391,SAISIE!$U$4,$B$2:$B391,SAISIE!$W$4,$C$2:$C391,"S1"),""))</f>
        <v/>
      </c>
      <c r="AS391" t="str">
        <f t="shared" si="160"/>
        <v/>
      </c>
      <c r="AT391" t="str">
        <f t="shared" si="161"/>
        <v/>
      </c>
      <c r="AU391" t="str">
        <f t="shared" si="162"/>
        <v/>
      </c>
      <c r="AV391">
        <f>N(AV390)+IF(AND($AB391&lt;&gt;"",OR('PROFIL ELEVE'!$K$4="(Tous)",$AF391='PROFIL ELEVE'!$K$4)),1,0)</f>
        <v>0</v>
      </c>
      <c r="AW391">
        <f>N(AW390)+IF(AND($AB391&lt;&gt;"",OR('SUIVI LONGITUDINAL'!$Q$4="(Tous)",$AF391='SUIVI LONGITUDINAL'!$Q$4)),1,0)</f>
        <v>0</v>
      </c>
      <c r="AX391">
        <f t="shared" si="163"/>
        <v>0</v>
      </c>
      <c r="AY391">
        <f t="shared" si="164"/>
        <v>0</v>
      </c>
      <c r="AZ391">
        <f t="shared" si="165"/>
        <v>0</v>
      </c>
      <c r="BA391" t="str">
        <f t="shared" si="166"/>
        <v/>
      </c>
      <c r="BB391" t="str">
        <f t="shared" si="167"/>
        <v/>
      </c>
    </row>
    <row r="392" spans="1:54" ht="14.25" customHeight="1" x14ac:dyDescent="0.3">
      <c r="A392" t="str">
        <f>IF(SAISIE!$F397="","",SAISIE!$B397)</f>
        <v/>
      </c>
      <c r="B392" t="str">
        <f>IF(SAISIE!$F397="","",SAISIE!$C397)</f>
        <v/>
      </c>
      <c r="C392" t="str">
        <f>IF(SAISIE!$F397="","",SAISIE!$D397)</f>
        <v/>
      </c>
      <c r="D392" t="str">
        <f>IF(SAISIE!$E397="","",SAISIE!$E397)</f>
        <v/>
      </c>
      <c r="E392" t="str">
        <f>IF(SAISIE!$F397="","",SAISIE!$F397)</f>
        <v/>
      </c>
      <c r="F392" t="str">
        <f>IF(SAISIE!$G397="","",SAISIE!$G397)</f>
        <v/>
      </c>
      <c r="G392" t="str">
        <f>IF(SAISIE!$H397="","",SAISIE!$H397)</f>
        <v/>
      </c>
      <c r="H392" t="str">
        <f>IF(SAISIE!$I397="","",SAISIE!$I397)</f>
        <v/>
      </c>
      <c r="I392" t="str">
        <f>IF(SAISIE!$J397="","",SAISIE!$J397)</f>
        <v/>
      </c>
      <c r="J392" t="str">
        <f>IF(SAISIE!$K397="","",SAISIE!$K397)</f>
        <v/>
      </c>
      <c r="K392" t="str">
        <f>IF(SAISIE!$L397="","",SAISIE!$L397)</f>
        <v/>
      </c>
      <c r="L392" t="str">
        <f>IF(SAISIE!$M397="","",SAISIE!$M397)</f>
        <v/>
      </c>
      <c r="M392" t="str">
        <f>IF(SAISIE!$N397="","",SAISIE!$N397)</f>
        <v/>
      </c>
      <c r="N392" t="str">
        <f>IF(SAISIE!$O397="","",SAISIE!$O397)</f>
        <v/>
      </c>
      <c r="O392" t="str">
        <f>IF(SAISIE!$P397="","",SAISIE!$P397)</f>
        <v/>
      </c>
      <c r="P392" t="str">
        <f>IF(SAISIE!$Q397="","",SAISIE!$Q397)</f>
        <v/>
      </c>
      <c r="Q392" t="str">
        <f>IF($I392="","",IF($I392&gt;PARAMETRES!$G$29,5,IF($I392&gt;PARAMETRES!$F$29,4,IF($I392&gt;PARAMETRES!$E$29,3,IF($I392&gt;PARAMETRES!$D$29,2,1)))))</f>
        <v/>
      </c>
      <c r="R392" t="str">
        <f>IF($J392="","",IF($J392&gt;PARAMETRES!$G$30,5,IF($J392&gt;PARAMETRES!$F$30,4,IF($J392&gt;PARAMETRES!$E$30,3,IF($J392&gt;PARAMETRES!$D$30,2,1)))))</f>
        <v/>
      </c>
      <c r="S392" t="str">
        <f>IF($K392="","",IF($Z392=2,IF($K392&gt;PARAMETRES!$G$31,5,IF($K392&gt;PARAMETRES!$F$31,4,IF($K392&gt;PARAMETRES!$E$31,3,IF($K392&gt;PARAMETRES!$D$31,2,1)))),IF($K392&gt;PARAMETRES!$G$32,5,IF($K392&gt;PARAMETRES!$F$32,4,IF($K392&gt;PARAMETRES!$E$32,3,IF($K392&gt;PARAMETRES!$D$32,2,1))))))</f>
        <v/>
      </c>
      <c r="T392" t="str">
        <f>IF($L392="","",IF($L392&gt;PARAMETRES!$G$33,5,IF($L392&gt;PARAMETRES!$F$33,4,IF($L392&gt;PARAMETRES!$E$33,3,IF($L392&gt;PARAMETRES!$D$33,2,1)))))</f>
        <v/>
      </c>
      <c r="U392" t="str">
        <f>IF($M392="","",IF($M392&gt;PARAMETRES!$G$34,5,IF($M392&gt;PARAMETRES!$F$34,4,IF($M392&gt;PARAMETRES!$E$34,3,IF($M392&gt;PARAMETRES!$D$34,2,1)))))</f>
        <v/>
      </c>
      <c r="V392" t="str">
        <f>IF($N392="","",IF($N392&gt;PARAMETRES!$G$35,5,IF($N392&gt;PARAMETRES!$F$35,4,IF($N392&gt;PARAMETRES!$E$35,3,IF($N392&gt;PARAMETRES!$D$35,2,1)))))</f>
        <v/>
      </c>
      <c r="W392" t="str">
        <f>IF($O392="","",IF($O392&gt;PARAMETRES!$G$36,5,IF($O392&gt;PARAMETRES!$F$36,4,IF($O392&gt;PARAMETRES!$E$36,3,IF($O392&gt;PARAMETRES!$D$36,2,1)))))</f>
        <v/>
      </c>
      <c r="X392" t="str">
        <f>IF($P392="","",IF($P392&gt;PARAMETRES!$G$37,5,IF($P392&gt;PARAMETRES!$F$37,4,IF($P392&gt;PARAMETRES!$E$37,3,IF($P392&gt;PARAMETRES!$D$37,2,1)))))</f>
        <v/>
      </c>
      <c r="Y392" t="str">
        <f t="shared" si="144"/>
        <v/>
      </c>
      <c r="Z392" t="str">
        <f>IFERROR(VLOOKUP($B392,TABLE_CYCLE,2,0),"")</f>
        <v/>
      </c>
      <c r="AA392" t="str">
        <f t="shared" si="145"/>
        <v/>
      </c>
      <c r="AB392" t="str">
        <f>IF($D392="","",IF(COUNTIF($D$2:$D392,$D392)=1,$D392,""))</f>
        <v/>
      </c>
      <c r="AC392">
        <f t="shared" si="146"/>
        <v>0</v>
      </c>
      <c r="AD392" t="str">
        <f t="shared" si="147"/>
        <v>|0</v>
      </c>
      <c r="AE392" t="str">
        <f t="shared" si="148"/>
        <v/>
      </c>
      <c r="AF392" t="str">
        <f t="shared" si="149"/>
        <v/>
      </c>
      <c r="AG392" t="str">
        <f t="shared" si="150"/>
        <v/>
      </c>
      <c r="AH392" t="str">
        <f t="shared" si="151"/>
        <v/>
      </c>
      <c r="AI392" t="str">
        <f t="shared" si="152"/>
        <v/>
      </c>
      <c r="AJ392" t="str">
        <f t="shared" si="153"/>
        <v/>
      </c>
      <c r="AK392" t="str">
        <f t="shared" si="154"/>
        <v/>
      </c>
      <c r="AL392" t="str">
        <f t="shared" si="155"/>
        <v/>
      </c>
      <c r="AM392" t="str">
        <f t="shared" si="156"/>
        <v/>
      </c>
      <c r="AN392" t="str">
        <f t="shared" si="157"/>
        <v/>
      </c>
      <c r="AO392" t="str">
        <f t="shared" si="158"/>
        <v/>
      </c>
      <c r="AP392">
        <f t="shared" si="159"/>
        <v>1</v>
      </c>
      <c r="AQ392" t="str">
        <f>IF(SAISIE!$F397="","",SAISIE!$Y397)</f>
        <v/>
      </c>
      <c r="AR392" t="str">
        <f>IF(OR(SAISIE!$U$4="",SAISIE!$W$4=""),"",IF(AND($A392=SAISIE!$U$4,$B392=SAISIE!$W$4,$C392="S1"),COUNTIFS($A$2:$A392,SAISIE!$U$4,$B$2:$B392,SAISIE!$W$4,$C$2:$C392,"S1"),""))</f>
        <v/>
      </c>
      <c r="AS392" t="str">
        <f t="shared" si="160"/>
        <v/>
      </c>
      <c r="AT392" t="str">
        <f t="shared" si="161"/>
        <v/>
      </c>
      <c r="AU392" t="str">
        <f t="shared" si="162"/>
        <v/>
      </c>
      <c r="AV392">
        <f>N(AV391)+IF(AND($AB392&lt;&gt;"",OR('PROFIL ELEVE'!$K$4="(Tous)",$AF392='PROFIL ELEVE'!$K$4)),1,0)</f>
        <v>0</v>
      </c>
      <c r="AW392">
        <f>N(AW391)+IF(AND($AB392&lt;&gt;"",OR('SUIVI LONGITUDINAL'!$Q$4="(Tous)",$AF392='SUIVI LONGITUDINAL'!$Q$4)),1,0)</f>
        <v>0</v>
      </c>
      <c r="AX392">
        <f t="shared" si="163"/>
        <v>0</v>
      </c>
      <c r="AY392">
        <f t="shared" si="164"/>
        <v>0</v>
      </c>
      <c r="AZ392">
        <f t="shared" si="165"/>
        <v>0</v>
      </c>
      <c r="BA392" t="str">
        <f t="shared" si="166"/>
        <v/>
      </c>
      <c r="BB392" t="str">
        <f t="shared" si="167"/>
        <v/>
      </c>
    </row>
    <row r="393" spans="1:54" ht="14.25" customHeight="1" x14ac:dyDescent="0.3">
      <c r="A393" t="str">
        <f>IF(SAISIE!$F398="","",SAISIE!$B398)</f>
        <v/>
      </c>
      <c r="B393" t="str">
        <f>IF(SAISIE!$F398="","",SAISIE!$C398)</f>
        <v/>
      </c>
      <c r="C393" t="str">
        <f>IF(SAISIE!$F398="","",SAISIE!$D398)</f>
        <v/>
      </c>
      <c r="D393" t="str">
        <f>IF(SAISIE!$E398="","",SAISIE!$E398)</f>
        <v/>
      </c>
      <c r="E393" t="str">
        <f>IF(SAISIE!$F398="","",SAISIE!$F398)</f>
        <v/>
      </c>
      <c r="F393" t="str">
        <f>IF(SAISIE!$G398="","",SAISIE!$G398)</f>
        <v/>
      </c>
      <c r="G393" t="str">
        <f>IF(SAISIE!$H398="","",SAISIE!$H398)</f>
        <v/>
      </c>
      <c r="H393" t="str">
        <f>IF(SAISIE!$I398="","",SAISIE!$I398)</f>
        <v/>
      </c>
      <c r="I393" t="str">
        <f>IF(SAISIE!$J398="","",SAISIE!$J398)</f>
        <v/>
      </c>
      <c r="J393" t="str">
        <f>IF(SAISIE!$K398="","",SAISIE!$K398)</f>
        <v/>
      </c>
      <c r="K393" t="str">
        <f>IF(SAISIE!$L398="","",SAISIE!$L398)</f>
        <v/>
      </c>
      <c r="L393" t="str">
        <f>IF(SAISIE!$M398="","",SAISIE!$M398)</f>
        <v/>
      </c>
      <c r="M393" t="str">
        <f>IF(SAISIE!$N398="","",SAISIE!$N398)</f>
        <v/>
      </c>
      <c r="N393" t="str">
        <f>IF(SAISIE!$O398="","",SAISIE!$O398)</f>
        <v/>
      </c>
      <c r="O393" t="str">
        <f>IF(SAISIE!$P398="","",SAISIE!$P398)</f>
        <v/>
      </c>
      <c r="P393" t="str">
        <f>IF(SAISIE!$Q398="","",SAISIE!$Q398)</f>
        <v/>
      </c>
      <c r="Q393" t="str">
        <f>IF($I393="","",IF($I393&gt;PARAMETRES!$G$29,5,IF($I393&gt;PARAMETRES!$F$29,4,IF($I393&gt;PARAMETRES!$E$29,3,IF($I393&gt;PARAMETRES!$D$29,2,1)))))</f>
        <v/>
      </c>
      <c r="R393" t="str">
        <f>IF($J393="","",IF($J393&gt;PARAMETRES!$G$30,5,IF($J393&gt;PARAMETRES!$F$30,4,IF($J393&gt;PARAMETRES!$E$30,3,IF($J393&gt;PARAMETRES!$D$30,2,1)))))</f>
        <v/>
      </c>
      <c r="S393" t="str">
        <f>IF($K393="","",IF($Z393=2,IF($K393&gt;PARAMETRES!$G$31,5,IF($K393&gt;PARAMETRES!$F$31,4,IF($K393&gt;PARAMETRES!$E$31,3,IF($K393&gt;PARAMETRES!$D$31,2,1)))),IF($K393&gt;PARAMETRES!$G$32,5,IF($K393&gt;PARAMETRES!$F$32,4,IF($K393&gt;PARAMETRES!$E$32,3,IF($K393&gt;PARAMETRES!$D$32,2,1))))))</f>
        <v/>
      </c>
      <c r="T393" t="str">
        <f>IF($L393="","",IF($L393&gt;PARAMETRES!$G$33,5,IF($L393&gt;PARAMETRES!$F$33,4,IF($L393&gt;PARAMETRES!$E$33,3,IF($L393&gt;PARAMETRES!$D$33,2,1)))))</f>
        <v/>
      </c>
      <c r="U393" t="str">
        <f>IF($M393="","",IF($M393&gt;PARAMETRES!$G$34,5,IF($M393&gt;PARAMETRES!$F$34,4,IF($M393&gt;PARAMETRES!$E$34,3,IF($M393&gt;PARAMETRES!$D$34,2,1)))))</f>
        <v/>
      </c>
      <c r="V393" t="str">
        <f>IF($N393="","",IF($N393&gt;PARAMETRES!$G$35,5,IF($N393&gt;PARAMETRES!$F$35,4,IF($N393&gt;PARAMETRES!$E$35,3,IF($N393&gt;PARAMETRES!$D$35,2,1)))))</f>
        <v/>
      </c>
      <c r="W393" t="str">
        <f>IF($O393="","",IF($O393&gt;PARAMETRES!$G$36,5,IF($O393&gt;PARAMETRES!$F$36,4,IF($O393&gt;PARAMETRES!$E$36,3,IF($O393&gt;PARAMETRES!$D$36,2,1)))))</f>
        <v/>
      </c>
      <c r="X393" t="str">
        <f>IF($P393="","",IF($P393&gt;PARAMETRES!$G$37,5,IF($P393&gt;PARAMETRES!$F$37,4,IF($P393&gt;PARAMETRES!$E$37,3,IF($P393&gt;PARAMETRES!$D$37,2,1)))))</f>
        <v/>
      </c>
      <c r="Y393" t="str">
        <f t="shared" si="144"/>
        <v/>
      </c>
      <c r="Z393" t="str">
        <f>IFERROR(VLOOKUP($B393,TABLE_CYCLE,2,0),"")</f>
        <v/>
      </c>
      <c r="AA393" t="str">
        <f t="shared" si="145"/>
        <v/>
      </c>
      <c r="AB393" t="str">
        <f>IF($D393="","",IF(COUNTIF($D$2:$D393,$D393)=1,$D393,""))</f>
        <v/>
      </c>
      <c r="AC393">
        <f t="shared" si="146"/>
        <v>0</v>
      </c>
      <c r="AD393" t="str">
        <f t="shared" si="147"/>
        <v>|0</v>
      </c>
      <c r="AE393" t="str">
        <f t="shared" si="148"/>
        <v/>
      </c>
      <c r="AF393" t="str">
        <f t="shared" si="149"/>
        <v/>
      </c>
      <c r="AG393" t="str">
        <f t="shared" si="150"/>
        <v/>
      </c>
      <c r="AH393" t="str">
        <f t="shared" si="151"/>
        <v/>
      </c>
      <c r="AI393" t="str">
        <f t="shared" si="152"/>
        <v/>
      </c>
      <c r="AJ393" t="str">
        <f t="shared" si="153"/>
        <v/>
      </c>
      <c r="AK393" t="str">
        <f t="shared" si="154"/>
        <v/>
      </c>
      <c r="AL393" t="str">
        <f t="shared" si="155"/>
        <v/>
      </c>
      <c r="AM393" t="str">
        <f t="shared" si="156"/>
        <v/>
      </c>
      <c r="AN393" t="str">
        <f t="shared" si="157"/>
        <v/>
      </c>
      <c r="AO393" t="str">
        <f t="shared" si="158"/>
        <v/>
      </c>
      <c r="AP393">
        <f t="shared" si="159"/>
        <v>1</v>
      </c>
      <c r="AQ393" t="str">
        <f>IF(SAISIE!$F398="","",SAISIE!$Y398)</f>
        <v/>
      </c>
      <c r="AR393" t="str">
        <f>IF(OR(SAISIE!$U$4="",SAISIE!$W$4=""),"",IF(AND($A393=SAISIE!$U$4,$B393=SAISIE!$W$4,$C393="S1"),COUNTIFS($A$2:$A393,SAISIE!$U$4,$B$2:$B393,SAISIE!$W$4,$C$2:$C393,"S1"),""))</f>
        <v/>
      </c>
      <c r="AS393" t="str">
        <f t="shared" si="160"/>
        <v/>
      </c>
      <c r="AT393" t="str">
        <f t="shared" si="161"/>
        <v/>
      </c>
      <c r="AU393" t="str">
        <f t="shared" si="162"/>
        <v/>
      </c>
      <c r="AV393">
        <f>N(AV392)+IF(AND($AB393&lt;&gt;"",OR('PROFIL ELEVE'!$K$4="(Tous)",$AF393='PROFIL ELEVE'!$K$4)),1,0)</f>
        <v>0</v>
      </c>
      <c r="AW393">
        <f>N(AW392)+IF(AND($AB393&lt;&gt;"",OR('SUIVI LONGITUDINAL'!$Q$4="(Tous)",$AF393='SUIVI LONGITUDINAL'!$Q$4)),1,0)</f>
        <v>0</v>
      </c>
      <c r="AX393">
        <f t="shared" si="163"/>
        <v>0</v>
      </c>
      <c r="AY393">
        <f t="shared" si="164"/>
        <v>0</v>
      </c>
      <c r="AZ393">
        <f t="shared" si="165"/>
        <v>0</v>
      </c>
      <c r="BA393" t="str">
        <f t="shared" si="166"/>
        <v/>
      </c>
      <c r="BB393" t="str">
        <f t="shared" si="167"/>
        <v/>
      </c>
    </row>
    <row r="394" spans="1:54" ht="14.25" customHeight="1" x14ac:dyDescent="0.3">
      <c r="A394" t="str">
        <f>IF(SAISIE!$F399="","",SAISIE!$B399)</f>
        <v/>
      </c>
      <c r="B394" t="str">
        <f>IF(SAISIE!$F399="","",SAISIE!$C399)</f>
        <v/>
      </c>
      <c r="C394" t="str">
        <f>IF(SAISIE!$F399="","",SAISIE!$D399)</f>
        <v/>
      </c>
      <c r="D394" t="str">
        <f>IF(SAISIE!$E399="","",SAISIE!$E399)</f>
        <v/>
      </c>
      <c r="E394" t="str">
        <f>IF(SAISIE!$F399="","",SAISIE!$F399)</f>
        <v/>
      </c>
      <c r="F394" t="str">
        <f>IF(SAISIE!$G399="","",SAISIE!$G399)</f>
        <v/>
      </c>
      <c r="G394" t="str">
        <f>IF(SAISIE!$H399="","",SAISIE!$H399)</f>
        <v/>
      </c>
      <c r="H394" t="str">
        <f>IF(SAISIE!$I399="","",SAISIE!$I399)</f>
        <v/>
      </c>
      <c r="I394" t="str">
        <f>IF(SAISIE!$J399="","",SAISIE!$J399)</f>
        <v/>
      </c>
      <c r="J394" t="str">
        <f>IF(SAISIE!$K399="","",SAISIE!$K399)</f>
        <v/>
      </c>
      <c r="K394" t="str">
        <f>IF(SAISIE!$L399="","",SAISIE!$L399)</f>
        <v/>
      </c>
      <c r="L394" t="str">
        <f>IF(SAISIE!$M399="","",SAISIE!$M399)</f>
        <v/>
      </c>
      <c r="M394" t="str">
        <f>IF(SAISIE!$N399="","",SAISIE!$N399)</f>
        <v/>
      </c>
      <c r="N394" t="str">
        <f>IF(SAISIE!$O399="","",SAISIE!$O399)</f>
        <v/>
      </c>
      <c r="O394" t="str">
        <f>IF(SAISIE!$P399="","",SAISIE!$P399)</f>
        <v/>
      </c>
      <c r="P394" t="str">
        <f>IF(SAISIE!$Q399="","",SAISIE!$Q399)</f>
        <v/>
      </c>
      <c r="Q394" t="str">
        <f>IF($I394="","",IF($I394&gt;PARAMETRES!$G$29,5,IF($I394&gt;PARAMETRES!$F$29,4,IF($I394&gt;PARAMETRES!$E$29,3,IF($I394&gt;PARAMETRES!$D$29,2,1)))))</f>
        <v/>
      </c>
      <c r="R394" t="str">
        <f>IF($J394="","",IF($J394&gt;PARAMETRES!$G$30,5,IF($J394&gt;PARAMETRES!$F$30,4,IF($J394&gt;PARAMETRES!$E$30,3,IF($J394&gt;PARAMETRES!$D$30,2,1)))))</f>
        <v/>
      </c>
      <c r="S394" t="str">
        <f>IF($K394="","",IF($Z394=2,IF($K394&gt;PARAMETRES!$G$31,5,IF($K394&gt;PARAMETRES!$F$31,4,IF($K394&gt;PARAMETRES!$E$31,3,IF($K394&gt;PARAMETRES!$D$31,2,1)))),IF($K394&gt;PARAMETRES!$G$32,5,IF($K394&gt;PARAMETRES!$F$32,4,IF($K394&gt;PARAMETRES!$E$32,3,IF($K394&gt;PARAMETRES!$D$32,2,1))))))</f>
        <v/>
      </c>
      <c r="T394" t="str">
        <f>IF($L394="","",IF($L394&gt;PARAMETRES!$G$33,5,IF($L394&gt;PARAMETRES!$F$33,4,IF($L394&gt;PARAMETRES!$E$33,3,IF($L394&gt;PARAMETRES!$D$33,2,1)))))</f>
        <v/>
      </c>
      <c r="U394" t="str">
        <f>IF($M394="","",IF($M394&gt;PARAMETRES!$G$34,5,IF($M394&gt;PARAMETRES!$F$34,4,IF($M394&gt;PARAMETRES!$E$34,3,IF($M394&gt;PARAMETRES!$D$34,2,1)))))</f>
        <v/>
      </c>
      <c r="V394" t="str">
        <f>IF($N394="","",IF($N394&gt;PARAMETRES!$G$35,5,IF($N394&gt;PARAMETRES!$F$35,4,IF($N394&gt;PARAMETRES!$E$35,3,IF($N394&gt;PARAMETRES!$D$35,2,1)))))</f>
        <v/>
      </c>
      <c r="W394" t="str">
        <f>IF($O394="","",IF($O394&gt;PARAMETRES!$G$36,5,IF($O394&gt;PARAMETRES!$F$36,4,IF($O394&gt;PARAMETRES!$E$36,3,IF($O394&gt;PARAMETRES!$D$36,2,1)))))</f>
        <v/>
      </c>
      <c r="X394" t="str">
        <f>IF($P394="","",IF($P394&gt;PARAMETRES!$G$37,5,IF($P394&gt;PARAMETRES!$F$37,4,IF($P394&gt;PARAMETRES!$E$37,3,IF($P394&gt;PARAMETRES!$D$37,2,1)))))</f>
        <v/>
      </c>
      <c r="Y394" t="str">
        <f t="shared" si="144"/>
        <v/>
      </c>
      <c r="Z394" t="str">
        <f>IFERROR(VLOOKUP($B394,TABLE_CYCLE,2,0),"")</f>
        <v/>
      </c>
      <c r="AA394" t="str">
        <f t="shared" si="145"/>
        <v/>
      </c>
      <c r="AB394" t="str">
        <f>IF($D394="","",IF(COUNTIF($D$2:$D394,$D394)=1,$D394,""))</f>
        <v/>
      </c>
      <c r="AC394">
        <f t="shared" si="146"/>
        <v>0</v>
      </c>
      <c r="AD394" t="str">
        <f t="shared" si="147"/>
        <v>|0</v>
      </c>
      <c r="AE394" t="str">
        <f t="shared" si="148"/>
        <v/>
      </c>
      <c r="AF394" t="str">
        <f t="shared" si="149"/>
        <v/>
      </c>
      <c r="AG394" t="str">
        <f t="shared" si="150"/>
        <v/>
      </c>
      <c r="AH394" t="str">
        <f t="shared" si="151"/>
        <v/>
      </c>
      <c r="AI394" t="str">
        <f t="shared" si="152"/>
        <v/>
      </c>
      <c r="AJ394" t="str">
        <f t="shared" si="153"/>
        <v/>
      </c>
      <c r="AK394" t="str">
        <f t="shared" si="154"/>
        <v/>
      </c>
      <c r="AL394" t="str">
        <f t="shared" si="155"/>
        <v/>
      </c>
      <c r="AM394" t="str">
        <f t="shared" si="156"/>
        <v/>
      </c>
      <c r="AN394" t="str">
        <f t="shared" si="157"/>
        <v/>
      </c>
      <c r="AO394" t="str">
        <f t="shared" si="158"/>
        <v/>
      </c>
      <c r="AP394">
        <f t="shared" si="159"/>
        <v>1</v>
      </c>
      <c r="AQ394" t="str">
        <f>IF(SAISIE!$F399="","",SAISIE!$Y399)</f>
        <v/>
      </c>
      <c r="AR394" t="str">
        <f>IF(OR(SAISIE!$U$4="",SAISIE!$W$4=""),"",IF(AND($A394=SAISIE!$U$4,$B394=SAISIE!$W$4,$C394="S1"),COUNTIFS($A$2:$A394,SAISIE!$U$4,$B$2:$B394,SAISIE!$W$4,$C$2:$C394,"S1"),""))</f>
        <v/>
      </c>
      <c r="AS394" t="str">
        <f t="shared" si="160"/>
        <v/>
      </c>
      <c r="AT394" t="str">
        <f t="shared" si="161"/>
        <v/>
      </c>
      <c r="AU394" t="str">
        <f t="shared" si="162"/>
        <v/>
      </c>
      <c r="AV394">
        <f>N(AV393)+IF(AND($AB394&lt;&gt;"",OR('PROFIL ELEVE'!$K$4="(Tous)",$AF394='PROFIL ELEVE'!$K$4)),1,0)</f>
        <v>0</v>
      </c>
      <c r="AW394">
        <f>N(AW393)+IF(AND($AB394&lt;&gt;"",OR('SUIVI LONGITUDINAL'!$Q$4="(Tous)",$AF394='SUIVI LONGITUDINAL'!$Q$4)),1,0)</f>
        <v>0</v>
      </c>
      <c r="AX394">
        <f t="shared" si="163"/>
        <v>0</v>
      </c>
      <c r="AY394">
        <f t="shared" si="164"/>
        <v>0</v>
      </c>
      <c r="AZ394">
        <f t="shared" si="165"/>
        <v>0</v>
      </c>
      <c r="BA394" t="str">
        <f t="shared" si="166"/>
        <v/>
      </c>
      <c r="BB394" t="str">
        <f t="shared" si="167"/>
        <v/>
      </c>
    </row>
    <row r="395" spans="1:54" ht="14.25" customHeight="1" x14ac:dyDescent="0.3">
      <c r="A395" t="str">
        <f>IF(SAISIE!$F400="","",SAISIE!$B400)</f>
        <v/>
      </c>
      <c r="B395" t="str">
        <f>IF(SAISIE!$F400="","",SAISIE!$C400)</f>
        <v/>
      </c>
      <c r="C395" t="str">
        <f>IF(SAISIE!$F400="","",SAISIE!$D400)</f>
        <v/>
      </c>
      <c r="D395" t="str">
        <f>IF(SAISIE!$E400="","",SAISIE!$E400)</f>
        <v/>
      </c>
      <c r="E395" t="str">
        <f>IF(SAISIE!$F400="","",SAISIE!$F400)</f>
        <v/>
      </c>
      <c r="F395" t="str">
        <f>IF(SAISIE!$G400="","",SAISIE!$G400)</f>
        <v/>
      </c>
      <c r="G395" t="str">
        <f>IF(SAISIE!$H400="","",SAISIE!$H400)</f>
        <v/>
      </c>
      <c r="H395" t="str">
        <f>IF(SAISIE!$I400="","",SAISIE!$I400)</f>
        <v/>
      </c>
      <c r="I395" t="str">
        <f>IF(SAISIE!$J400="","",SAISIE!$J400)</f>
        <v/>
      </c>
      <c r="J395" t="str">
        <f>IF(SAISIE!$K400="","",SAISIE!$K400)</f>
        <v/>
      </c>
      <c r="K395" t="str">
        <f>IF(SAISIE!$L400="","",SAISIE!$L400)</f>
        <v/>
      </c>
      <c r="L395" t="str">
        <f>IF(SAISIE!$M400="","",SAISIE!$M400)</f>
        <v/>
      </c>
      <c r="M395" t="str">
        <f>IF(SAISIE!$N400="","",SAISIE!$N400)</f>
        <v/>
      </c>
      <c r="N395" t="str">
        <f>IF(SAISIE!$O400="","",SAISIE!$O400)</f>
        <v/>
      </c>
      <c r="O395" t="str">
        <f>IF(SAISIE!$P400="","",SAISIE!$P400)</f>
        <v/>
      </c>
      <c r="P395" t="str">
        <f>IF(SAISIE!$Q400="","",SAISIE!$Q400)</f>
        <v/>
      </c>
      <c r="Q395" t="str">
        <f>IF($I395="","",IF($I395&gt;PARAMETRES!$G$29,5,IF($I395&gt;PARAMETRES!$F$29,4,IF($I395&gt;PARAMETRES!$E$29,3,IF($I395&gt;PARAMETRES!$D$29,2,1)))))</f>
        <v/>
      </c>
      <c r="R395" t="str">
        <f>IF($J395="","",IF($J395&gt;PARAMETRES!$G$30,5,IF($J395&gt;PARAMETRES!$F$30,4,IF($J395&gt;PARAMETRES!$E$30,3,IF($J395&gt;PARAMETRES!$D$30,2,1)))))</f>
        <v/>
      </c>
      <c r="S395" t="str">
        <f>IF($K395="","",IF($Z395=2,IF($K395&gt;PARAMETRES!$G$31,5,IF($K395&gt;PARAMETRES!$F$31,4,IF($K395&gt;PARAMETRES!$E$31,3,IF($K395&gt;PARAMETRES!$D$31,2,1)))),IF($K395&gt;PARAMETRES!$G$32,5,IF($K395&gt;PARAMETRES!$F$32,4,IF($K395&gt;PARAMETRES!$E$32,3,IF($K395&gt;PARAMETRES!$D$32,2,1))))))</f>
        <v/>
      </c>
      <c r="T395" t="str">
        <f>IF($L395="","",IF($L395&gt;PARAMETRES!$G$33,5,IF($L395&gt;PARAMETRES!$F$33,4,IF($L395&gt;PARAMETRES!$E$33,3,IF($L395&gt;PARAMETRES!$D$33,2,1)))))</f>
        <v/>
      </c>
      <c r="U395" t="str">
        <f>IF($M395="","",IF($M395&gt;PARAMETRES!$G$34,5,IF($M395&gt;PARAMETRES!$F$34,4,IF($M395&gt;PARAMETRES!$E$34,3,IF($M395&gt;PARAMETRES!$D$34,2,1)))))</f>
        <v/>
      </c>
      <c r="V395" t="str">
        <f>IF($N395="","",IF($N395&gt;PARAMETRES!$G$35,5,IF($N395&gt;PARAMETRES!$F$35,4,IF($N395&gt;PARAMETRES!$E$35,3,IF($N395&gt;PARAMETRES!$D$35,2,1)))))</f>
        <v/>
      </c>
      <c r="W395" t="str">
        <f>IF($O395="","",IF($O395&gt;PARAMETRES!$G$36,5,IF($O395&gt;PARAMETRES!$F$36,4,IF($O395&gt;PARAMETRES!$E$36,3,IF($O395&gt;PARAMETRES!$D$36,2,1)))))</f>
        <v/>
      </c>
      <c r="X395" t="str">
        <f>IF($P395="","",IF($P395&gt;PARAMETRES!$G$37,5,IF($P395&gt;PARAMETRES!$F$37,4,IF($P395&gt;PARAMETRES!$E$37,3,IF($P395&gt;PARAMETRES!$D$37,2,1)))))</f>
        <v/>
      </c>
      <c r="Y395" t="str">
        <f t="shared" si="144"/>
        <v/>
      </c>
      <c r="Z395" t="str">
        <f>IFERROR(VLOOKUP($B395,TABLE_CYCLE,2,0),"")</f>
        <v/>
      </c>
      <c r="AA395" t="str">
        <f t="shared" si="145"/>
        <v/>
      </c>
      <c r="AB395" t="str">
        <f>IF($D395="","",IF(COUNTIF($D$2:$D395,$D395)=1,$D395,""))</f>
        <v/>
      </c>
      <c r="AC395">
        <f t="shared" si="146"/>
        <v>0</v>
      </c>
      <c r="AD395" t="str">
        <f t="shared" si="147"/>
        <v>|0</v>
      </c>
      <c r="AE395" t="str">
        <f t="shared" si="148"/>
        <v/>
      </c>
      <c r="AF395" t="str">
        <f t="shared" si="149"/>
        <v/>
      </c>
      <c r="AG395" t="str">
        <f t="shared" si="150"/>
        <v/>
      </c>
      <c r="AH395" t="str">
        <f t="shared" si="151"/>
        <v/>
      </c>
      <c r="AI395" t="str">
        <f t="shared" si="152"/>
        <v/>
      </c>
      <c r="AJ395" t="str">
        <f t="shared" si="153"/>
        <v/>
      </c>
      <c r="AK395" t="str">
        <f t="shared" si="154"/>
        <v/>
      </c>
      <c r="AL395" t="str">
        <f t="shared" si="155"/>
        <v/>
      </c>
      <c r="AM395" t="str">
        <f t="shared" si="156"/>
        <v/>
      </c>
      <c r="AN395" t="str">
        <f t="shared" si="157"/>
        <v/>
      </c>
      <c r="AO395" t="str">
        <f t="shared" si="158"/>
        <v/>
      </c>
      <c r="AP395">
        <f t="shared" si="159"/>
        <v>1</v>
      </c>
      <c r="AQ395" t="str">
        <f>IF(SAISIE!$F400="","",SAISIE!$Y400)</f>
        <v/>
      </c>
      <c r="AR395" t="str">
        <f>IF(OR(SAISIE!$U$4="",SAISIE!$W$4=""),"",IF(AND($A395=SAISIE!$U$4,$B395=SAISIE!$W$4,$C395="S1"),COUNTIFS($A$2:$A395,SAISIE!$U$4,$B$2:$B395,SAISIE!$W$4,$C$2:$C395,"S1"),""))</f>
        <v/>
      </c>
      <c r="AS395" t="str">
        <f t="shared" si="160"/>
        <v/>
      </c>
      <c r="AT395" t="str">
        <f t="shared" si="161"/>
        <v/>
      </c>
      <c r="AU395" t="str">
        <f t="shared" si="162"/>
        <v/>
      </c>
      <c r="AV395">
        <f>N(AV394)+IF(AND($AB395&lt;&gt;"",OR('PROFIL ELEVE'!$K$4="(Tous)",$AF395='PROFIL ELEVE'!$K$4)),1,0)</f>
        <v>0</v>
      </c>
      <c r="AW395">
        <f>N(AW394)+IF(AND($AB395&lt;&gt;"",OR('SUIVI LONGITUDINAL'!$Q$4="(Tous)",$AF395='SUIVI LONGITUDINAL'!$Q$4)),1,0)</f>
        <v>0</v>
      </c>
      <c r="AX395">
        <f t="shared" si="163"/>
        <v>0</v>
      </c>
      <c r="AY395">
        <f t="shared" si="164"/>
        <v>0</v>
      </c>
      <c r="AZ395">
        <f t="shared" si="165"/>
        <v>0</v>
      </c>
      <c r="BA395" t="str">
        <f t="shared" si="166"/>
        <v/>
      </c>
      <c r="BB395" t="str">
        <f t="shared" si="167"/>
        <v/>
      </c>
    </row>
    <row r="396" spans="1:54" ht="14.25" customHeight="1" x14ac:dyDescent="0.3">
      <c r="A396" t="str">
        <f>IF(SAISIE!$F401="","",SAISIE!$B401)</f>
        <v/>
      </c>
      <c r="B396" t="str">
        <f>IF(SAISIE!$F401="","",SAISIE!$C401)</f>
        <v/>
      </c>
      <c r="C396" t="str">
        <f>IF(SAISIE!$F401="","",SAISIE!$D401)</f>
        <v/>
      </c>
      <c r="D396" t="str">
        <f>IF(SAISIE!$E401="","",SAISIE!$E401)</f>
        <v/>
      </c>
      <c r="E396" t="str">
        <f>IF(SAISIE!$F401="","",SAISIE!$F401)</f>
        <v/>
      </c>
      <c r="F396" t="str">
        <f>IF(SAISIE!$G401="","",SAISIE!$G401)</f>
        <v/>
      </c>
      <c r="G396" t="str">
        <f>IF(SAISIE!$H401="","",SAISIE!$H401)</f>
        <v/>
      </c>
      <c r="H396" t="str">
        <f>IF(SAISIE!$I401="","",SAISIE!$I401)</f>
        <v/>
      </c>
      <c r="I396" t="str">
        <f>IF(SAISIE!$J401="","",SAISIE!$J401)</f>
        <v/>
      </c>
      <c r="J396" t="str">
        <f>IF(SAISIE!$K401="","",SAISIE!$K401)</f>
        <v/>
      </c>
      <c r="K396" t="str">
        <f>IF(SAISIE!$L401="","",SAISIE!$L401)</f>
        <v/>
      </c>
      <c r="L396" t="str">
        <f>IF(SAISIE!$M401="","",SAISIE!$M401)</f>
        <v/>
      </c>
      <c r="M396" t="str">
        <f>IF(SAISIE!$N401="","",SAISIE!$N401)</f>
        <v/>
      </c>
      <c r="N396" t="str">
        <f>IF(SAISIE!$O401="","",SAISIE!$O401)</f>
        <v/>
      </c>
      <c r="O396" t="str">
        <f>IF(SAISIE!$P401="","",SAISIE!$P401)</f>
        <v/>
      </c>
      <c r="P396" t="str">
        <f>IF(SAISIE!$Q401="","",SAISIE!$Q401)</f>
        <v/>
      </c>
      <c r="Q396" t="str">
        <f>IF($I396="","",IF($I396&gt;PARAMETRES!$G$29,5,IF($I396&gt;PARAMETRES!$F$29,4,IF($I396&gt;PARAMETRES!$E$29,3,IF($I396&gt;PARAMETRES!$D$29,2,1)))))</f>
        <v/>
      </c>
      <c r="R396" t="str">
        <f>IF($J396="","",IF($J396&gt;PARAMETRES!$G$30,5,IF($J396&gt;PARAMETRES!$F$30,4,IF($J396&gt;PARAMETRES!$E$30,3,IF($J396&gt;PARAMETRES!$D$30,2,1)))))</f>
        <v/>
      </c>
      <c r="S396" t="str">
        <f>IF($K396="","",IF($Z396=2,IF($K396&gt;PARAMETRES!$G$31,5,IF($K396&gt;PARAMETRES!$F$31,4,IF($K396&gt;PARAMETRES!$E$31,3,IF($K396&gt;PARAMETRES!$D$31,2,1)))),IF($K396&gt;PARAMETRES!$G$32,5,IF($K396&gt;PARAMETRES!$F$32,4,IF($K396&gt;PARAMETRES!$E$32,3,IF($K396&gt;PARAMETRES!$D$32,2,1))))))</f>
        <v/>
      </c>
      <c r="T396" t="str">
        <f>IF($L396="","",IF($L396&gt;PARAMETRES!$G$33,5,IF($L396&gt;PARAMETRES!$F$33,4,IF($L396&gt;PARAMETRES!$E$33,3,IF($L396&gt;PARAMETRES!$D$33,2,1)))))</f>
        <v/>
      </c>
      <c r="U396" t="str">
        <f>IF($M396="","",IF($M396&gt;PARAMETRES!$G$34,5,IF($M396&gt;PARAMETRES!$F$34,4,IF($M396&gt;PARAMETRES!$E$34,3,IF($M396&gt;PARAMETRES!$D$34,2,1)))))</f>
        <v/>
      </c>
      <c r="V396" t="str">
        <f>IF($N396="","",IF($N396&gt;PARAMETRES!$G$35,5,IF($N396&gt;PARAMETRES!$F$35,4,IF($N396&gt;PARAMETRES!$E$35,3,IF($N396&gt;PARAMETRES!$D$35,2,1)))))</f>
        <v/>
      </c>
      <c r="W396" t="str">
        <f>IF($O396="","",IF($O396&gt;PARAMETRES!$G$36,5,IF($O396&gt;PARAMETRES!$F$36,4,IF($O396&gt;PARAMETRES!$E$36,3,IF($O396&gt;PARAMETRES!$D$36,2,1)))))</f>
        <v/>
      </c>
      <c r="X396" t="str">
        <f>IF($P396="","",IF($P396&gt;PARAMETRES!$G$37,5,IF($P396&gt;PARAMETRES!$F$37,4,IF($P396&gt;PARAMETRES!$E$37,3,IF($P396&gt;PARAMETRES!$D$37,2,1)))))</f>
        <v/>
      </c>
      <c r="Y396" t="str">
        <f t="shared" si="144"/>
        <v/>
      </c>
      <c r="Z396" t="str">
        <f>IFERROR(VLOOKUP($B396,TABLE_CYCLE,2,0),"")</f>
        <v/>
      </c>
      <c r="AA396" t="str">
        <f t="shared" si="145"/>
        <v/>
      </c>
      <c r="AB396" t="str">
        <f>IF($D396="","",IF(COUNTIF($D$2:$D396,$D396)=1,$D396,""))</f>
        <v/>
      </c>
      <c r="AC396">
        <f t="shared" si="146"/>
        <v>0</v>
      </c>
      <c r="AD396" t="str">
        <f t="shared" si="147"/>
        <v>|0</v>
      </c>
      <c r="AE396" t="str">
        <f t="shared" si="148"/>
        <v/>
      </c>
      <c r="AF396" t="str">
        <f t="shared" si="149"/>
        <v/>
      </c>
      <c r="AG396" t="str">
        <f t="shared" si="150"/>
        <v/>
      </c>
      <c r="AH396" t="str">
        <f t="shared" si="151"/>
        <v/>
      </c>
      <c r="AI396" t="str">
        <f t="shared" si="152"/>
        <v/>
      </c>
      <c r="AJ396" t="str">
        <f t="shared" si="153"/>
        <v/>
      </c>
      <c r="AK396" t="str">
        <f t="shared" si="154"/>
        <v/>
      </c>
      <c r="AL396" t="str">
        <f t="shared" si="155"/>
        <v/>
      </c>
      <c r="AM396" t="str">
        <f t="shared" si="156"/>
        <v/>
      </c>
      <c r="AN396" t="str">
        <f t="shared" si="157"/>
        <v/>
      </c>
      <c r="AO396" t="str">
        <f t="shared" si="158"/>
        <v/>
      </c>
      <c r="AP396">
        <f t="shared" si="159"/>
        <v>1</v>
      </c>
      <c r="AQ396" t="str">
        <f>IF(SAISIE!$F401="","",SAISIE!$Y401)</f>
        <v/>
      </c>
      <c r="AR396" t="str">
        <f>IF(OR(SAISIE!$U$4="",SAISIE!$W$4=""),"",IF(AND($A396=SAISIE!$U$4,$B396=SAISIE!$W$4,$C396="S1"),COUNTIFS($A$2:$A396,SAISIE!$U$4,$B$2:$B396,SAISIE!$W$4,$C$2:$C396,"S1"),""))</f>
        <v/>
      </c>
      <c r="AS396" t="str">
        <f t="shared" si="160"/>
        <v/>
      </c>
      <c r="AT396" t="str">
        <f t="shared" si="161"/>
        <v/>
      </c>
      <c r="AU396" t="str">
        <f t="shared" si="162"/>
        <v/>
      </c>
      <c r="AV396">
        <f>N(AV395)+IF(AND($AB396&lt;&gt;"",OR('PROFIL ELEVE'!$K$4="(Tous)",$AF396='PROFIL ELEVE'!$K$4)),1,0)</f>
        <v>0</v>
      </c>
      <c r="AW396">
        <f>N(AW395)+IF(AND($AB396&lt;&gt;"",OR('SUIVI LONGITUDINAL'!$Q$4="(Tous)",$AF396='SUIVI LONGITUDINAL'!$Q$4)),1,0)</f>
        <v>0</v>
      </c>
      <c r="AX396">
        <f t="shared" si="163"/>
        <v>0</v>
      </c>
      <c r="AY396">
        <f t="shared" si="164"/>
        <v>0</v>
      </c>
      <c r="AZ396">
        <f t="shared" si="165"/>
        <v>0</v>
      </c>
      <c r="BA396" t="str">
        <f t="shared" si="166"/>
        <v/>
      </c>
      <c r="BB396" t="str">
        <f t="shared" si="167"/>
        <v/>
      </c>
    </row>
    <row r="397" spans="1:54" ht="14.25" customHeight="1" x14ac:dyDescent="0.3">
      <c r="A397" t="str">
        <f>IF(SAISIE!$F402="","",SAISIE!$B402)</f>
        <v/>
      </c>
      <c r="B397" t="str">
        <f>IF(SAISIE!$F402="","",SAISIE!$C402)</f>
        <v/>
      </c>
      <c r="C397" t="str">
        <f>IF(SAISIE!$F402="","",SAISIE!$D402)</f>
        <v/>
      </c>
      <c r="D397" t="str">
        <f>IF(SAISIE!$E402="","",SAISIE!$E402)</f>
        <v/>
      </c>
      <c r="E397" t="str">
        <f>IF(SAISIE!$F402="","",SAISIE!$F402)</f>
        <v/>
      </c>
      <c r="F397" t="str">
        <f>IF(SAISIE!$G402="","",SAISIE!$G402)</f>
        <v/>
      </c>
      <c r="G397" t="str">
        <f>IF(SAISIE!$H402="","",SAISIE!$H402)</f>
        <v/>
      </c>
      <c r="H397" t="str">
        <f>IF(SAISIE!$I402="","",SAISIE!$I402)</f>
        <v/>
      </c>
      <c r="I397" t="str">
        <f>IF(SAISIE!$J402="","",SAISIE!$J402)</f>
        <v/>
      </c>
      <c r="J397" t="str">
        <f>IF(SAISIE!$K402="","",SAISIE!$K402)</f>
        <v/>
      </c>
      <c r="K397" t="str">
        <f>IF(SAISIE!$L402="","",SAISIE!$L402)</f>
        <v/>
      </c>
      <c r="L397" t="str">
        <f>IF(SAISIE!$M402="","",SAISIE!$M402)</f>
        <v/>
      </c>
      <c r="M397" t="str">
        <f>IF(SAISIE!$N402="","",SAISIE!$N402)</f>
        <v/>
      </c>
      <c r="N397" t="str">
        <f>IF(SAISIE!$O402="","",SAISIE!$O402)</f>
        <v/>
      </c>
      <c r="O397" t="str">
        <f>IF(SAISIE!$P402="","",SAISIE!$P402)</f>
        <v/>
      </c>
      <c r="P397" t="str">
        <f>IF(SAISIE!$Q402="","",SAISIE!$Q402)</f>
        <v/>
      </c>
      <c r="Q397" t="str">
        <f>IF($I397="","",IF($I397&gt;PARAMETRES!$G$29,5,IF($I397&gt;PARAMETRES!$F$29,4,IF($I397&gt;PARAMETRES!$E$29,3,IF($I397&gt;PARAMETRES!$D$29,2,1)))))</f>
        <v/>
      </c>
      <c r="R397" t="str">
        <f>IF($J397="","",IF($J397&gt;PARAMETRES!$G$30,5,IF($J397&gt;PARAMETRES!$F$30,4,IF($J397&gt;PARAMETRES!$E$30,3,IF($J397&gt;PARAMETRES!$D$30,2,1)))))</f>
        <v/>
      </c>
      <c r="S397" t="str">
        <f>IF($K397="","",IF($Z397=2,IF($K397&gt;PARAMETRES!$G$31,5,IF($K397&gt;PARAMETRES!$F$31,4,IF($K397&gt;PARAMETRES!$E$31,3,IF($K397&gt;PARAMETRES!$D$31,2,1)))),IF($K397&gt;PARAMETRES!$G$32,5,IF($K397&gt;PARAMETRES!$F$32,4,IF($K397&gt;PARAMETRES!$E$32,3,IF($K397&gt;PARAMETRES!$D$32,2,1))))))</f>
        <v/>
      </c>
      <c r="T397" t="str">
        <f>IF($L397="","",IF($L397&gt;PARAMETRES!$G$33,5,IF($L397&gt;PARAMETRES!$F$33,4,IF($L397&gt;PARAMETRES!$E$33,3,IF($L397&gt;PARAMETRES!$D$33,2,1)))))</f>
        <v/>
      </c>
      <c r="U397" t="str">
        <f>IF($M397="","",IF($M397&gt;PARAMETRES!$G$34,5,IF($M397&gt;PARAMETRES!$F$34,4,IF($M397&gt;PARAMETRES!$E$34,3,IF($M397&gt;PARAMETRES!$D$34,2,1)))))</f>
        <v/>
      </c>
      <c r="V397" t="str">
        <f>IF($N397="","",IF($N397&gt;PARAMETRES!$G$35,5,IF($N397&gt;PARAMETRES!$F$35,4,IF($N397&gt;PARAMETRES!$E$35,3,IF($N397&gt;PARAMETRES!$D$35,2,1)))))</f>
        <v/>
      </c>
      <c r="W397" t="str">
        <f>IF($O397="","",IF($O397&gt;PARAMETRES!$G$36,5,IF($O397&gt;PARAMETRES!$F$36,4,IF($O397&gt;PARAMETRES!$E$36,3,IF($O397&gt;PARAMETRES!$D$36,2,1)))))</f>
        <v/>
      </c>
      <c r="X397" t="str">
        <f>IF($P397="","",IF($P397&gt;PARAMETRES!$G$37,5,IF($P397&gt;PARAMETRES!$F$37,4,IF($P397&gt;PARAMETRES!$E$37,3,IF($P397&gt;PARAMETRES!$D$37,2,1)))))</f>
        <v/>
      </c>
      <c r="Y397" t="str">
        <f t="shared" si="144"/>
        <v/>
      </c>
      <c r="Z397" t="str">
        <f>IFERROR(VLOOKUP($B397,TABLE_CYCLE,2,0),"")</f>
        <v/>
      </c>
      <c r="AA397" t="str">
        <f t="shared" si="145"/>
        <v/>
      </c>
      <c r="AB397" t="str">
        <f>IF($D397="","",IF(COUNTIF($D$2:$D397,$D397)=1,$D397,""))</f>
        <v/>
      </c>
      <c r="AC397">
        <f t="shared" si="146"/>
        <v>0</v>
      </c>
      <c r="AD397" t="str">
        <f t="shared" si="147"/>
        <v>|0</v>
      </c>
      <c r="AE397" t="str">
        <f t="shared" si="148"/>
        <v/>
      </c>
      <c r="AF397" t="str">
        <f t="shared" si="149"/>
        <v/>
      </c>
      <c r="AG397" t="str">
        <f t="shared" si="150"/>
        <v/>
      </c>
      <c r="AH397" t="str">
        <f t="shared" si="151"/>
        <v/>
      </c>
      <c r="AI397" t="str">
        <f t="shared" si="152"/>
        <v/>
      </c>
      <c r="AJ397" t="str">
        <f t="shared" si="153"/>
        <v/>
      </c>
      <c r="AK397" t="str">
        <f t="shared" si="154"/>
        <v/>
      </c>
      <c r="AL397" t="str">
        <f t="shared" si="155"/>
        <v/>
      </c>
      <c r="AM397" t="str">
        <f t="shared" si="156"/>
        <v/>
      </c>
      <c r="AN397" t="str">
        <f t="shared" si="157"/>
        <v/>
      </c>
      <c r="AO397" t="str">
        <f t="shared" si="158"/>
        <v/>
      </c>
      <c r="AP397">
        <f t="shared" si="159"/>
        <v>1</v>
      </c>
      <c r="AQ397" t="str">
        <f>IF(SAISIE!$F402="","",SAISIE!$Y402)</f>
        <v/>
      </c>
      <c r="AR397" t="str">
        <f>IF(OR(SAISIE!$U$4="",SAISIE!$W$4=""),"",IF(AND($A397=SAISIE!$U$4,$B397=SAISIE!$W$4,$C397="S1"),COUNTIFS($A$2:$A397,SAISIE!$U$4,$B$2:$B397,SAISIE!$W$4,$C$2:$C397,"S1"),""))</f>
        <v/>
      </c>
      <c r="AS397" t="str">
        <f t="shared" si="160"/>
        <v/>
      </c>
      <c r="AT397" t="str">
        <f t="shared" si="161"/>
        <v/>
      </c>
      <c r="AU397" t="str">
        <f t="shared" si="162"/>
        <v/>
      </c>
      <c r="AV397">
        <f>N(AV396)+IF(AND($AB397&lt;&gt;"",OR('PROFIL ELEVE'!$K$4="(Tous)",$AF397='PROFIL ELEVE'!$K$4)),1,0)</f>
        <v>0</v>
      </c>
      <c r="AW397">
        <f>N(AW396)+IF(AND($AB397&lt;&gt;"",OR('SUIVI LONGITUDINAL'!$Q$4="(Tous)",$AF397='SUIVI LONGITUDINAL'!$Q$4)),1,0)</f>
        <v>0</v>
      </c>
      <c r="AX397">
        <f t="shared" si="163"/>
        <v>0</v>
      </c>
      <c r="AY397">
        <f t="shared" si="164"/>
        <v>0</v>
      </c>
      <c r="AZ397">
        <f t="shared" si="165"/>
        <v>0</v>
      </c>
      <c r="BA397" t="str">
        <f t="shared" si="166"/>
        <v/>
      </c>
      <c r="BB397" t="str">
        <f t="shared" si="167"/>
        <v/>
      </c>
    </row>
    <row r="398" spans="1:54" ht="14.25" customHeight="1" x14ac:dyDescent="0.3">
      <c r="A398" t="str">
        <f>IF(SAISIE!$F403="","",SAISIE!$B403)</f>
        <v/>
      </c>
      <c r="B398" t="str">
        <f>IF(SAISIE!$F403="","",SAISIE!$C403)</f>
        <v/>
      </c>
      <c r="C398" t="str">
        <f>IF(SAISIE!$F403="","",SAISIE!$D403)</f>
        <v/>
      </c>
      <c r="D398" t="str">
        <f>IF(SAISIE!$E403="","",SAISIE!$E403)</f>
        <v/>
      </c>
      <c r="E398" t="str">
        <f>IF(SAISIE!$F403="","",SAISIE!$F403)</f>
        <v/>
      </c>
      <c r="F398" t="str">
        <f>IF(SAISIE!$G403="","",SAISIE!$G403)</f>
        <v/>
      </c>
      <c r="G398" t="str">
        <f>IF(SAISIE!$H403="","",SAISIE!$H403)</f>
        <v/>
      </c>
      <c r="H398" t="str">
        <f>IF(SAISIE!$I403="","",SAISIE!$I403)</f>
        <v/>
      </c>
      <c r="I398" t="str">
        <f>IF(SAISIE!$J403="","",SAISIE!$J403)</f>
        <v/>
      </c>
      <c r="J398" t="str">
        <f>IF(SAISIE!$K403="","",SAISIE!$K403)</f>
        <v/>
      </c>
      <c r="K398" t="str">
        <f>IF(SAISIE!$L403="","",SAISIE!$L403)</f>
        <v/>
      </c>
      <c r="L398" t="str">
        <f>IF(SAISIE!$M403="","",SAISIE!$M403)</f>
        <v/>
      </c>
      <c r="M398" t="str">
        <f>IF(SAISIE!$N403="","",SAISIE!$N403)</f>
        <v/>
      </c>
      <c r="N398" t="str">
        <f>IF(SAISIE!$O403="","",SAISIE!$O403)</f>
        <v/>
      </c>
      <c r="O398" t="str">
        <f>IF(SAISIE!$P403="","",SAISIE!$P403)</f>
        <v/>
      </c>
      <c r="P398" t="str">
        <f>IF(SAISIE!$Q403="","",SAISIE!$Q403)</f>
        <v/>
      </c>
      <c r="Q398" t="str">
        <f>IF($I398="","",IF($I398&gt;PARAMETRES!$G$29,5,IF($I398&gt;PARAMETRES!$F$29,4,IF($I398&gt;PARAMETRES!$E$29,3,IF($I398&gt;PARAMETRES!$D$29,2,1)))))</f>
        <v/>
      </c>
      <c r="R398" t="str">
        <f>IF($J398="","",IF($J398&gt;PARAMETRES!$G$30,5,IF($J398&gt;PARAMETRES!$F$30,4,IF($J398&gt;PARAMETRES!$E$30,3,IF($J398&gt;PARAMETRES!$D$30,2,1)))))</f>
        <v/>
      </c>
      <c r="S398" t="str">
        <f>IF($K398="","",IF($Z398=2,IF($K398&gt;PARAMETRES!$G$31,5,IF($K398&gt;PARAMETRES!$F$31,4,IF($K398&gt;PARAMETRES!$E$31,3,IF($K398&gt;PARAMETRES!$D$31,2,1)))),IF($K398&gt;PARAMETRES!$G$32,5,IF($K398&gt;PARAMETRES!$F$32,4,IF($K398&gt;PARAMETRES!$E$32,3,IF($K398&gt;PARAMETRES!$D$32,2,1))))))</f>
        <v/>
      </c>
      <c r="T398" t="str">
        <f>IF($L398="","",IF($L398&gt;PARAMETRES!$G$33,5,IF($L398&gt;PARAMETRES!$F$33,4,IF($L398&gt;PARAMETRES!$E$33,3,IF($L398&gt;PARAMETRES!$D$33,2,1)))))</f>
        <v/>
      </c>
      <c r="U398" t="str">
        <f>IF($M398="","",IF($M398&gt;PARAMETRES!$G$34,5,IF($M398&gt;PARAMETRES!$F$34,4,IF($M398&gt;PARAMETRES!$E$34,3,IF($M398&gt;PARAMETRES!$D$34,2,1)))))</f>
        <v/>
      </c>
      <c r="V398" t="str">
        <f>IF($N398="","",IF($N398&gt;PARAMETRES!$G$35,5,IF($N398&gt;PARAMETRES!$F$35,4,IF($N398&gt;PARAMETRES!$E$35,3,IF($N398&gt;PARAMETRES!$D$35,2,1)))))</f>
        <v/>
      </c>
      <c r="W398" t="str">
        <f>IF($O398="","",IF($O398&gt;PARAMETRES!$G$36,5,IF($O398&gt;PARAMETRES!$F$36,4,IF($O398&gt;PARAMETRES!$E$36,3,IF($O398&gt;PARAMETRES!$D$36,2,1)))))</f>
        <v/>
      </c>
      <c r="X398" t="str">
        <f>IF($P398="","",IF($P398&gt;PARAMETRES!$G$37,5,IF($P398&gt;PARAMETRES!$F$37,4,IF($P398&gt;PARAMETRES!$E$37,3,IF($P398&gt;PARAMETRES!$D$37,2,1)))))</f>
        <v/>
      </c>
      <c r="Y398" t="str">
        <f t="shared" si="144"/>
        <v/>
      </c>
      <c r="Z398" t="str">
        <f>IFERROR(VLOOKUP($B398,TABLE_CYCLE,2,0),"")</f>
        <v/>
      </c>
      <c r="AA398" t="str">
        <f t="shared" si="145"/>
        <v/>
      </c>
      <c r="AB398" t="str">
        <f>IF($D398="","",IF(COUNTIF($D$2:$D398,$D398)=1,$D398,""))</f>
        <v/>
      </c>
      <c r="AC398">
        <f t="shared" si="146"/>
        <v>0</v>
      </c>
      <c r="AD398" t="str">
        <f t="shared" si="147"/>
        <v>|0</v>
      </c>
      <c r="AE398" t="str">
        <f t="shared" si="148"/>
        <v/>
      </c>
      <c r="AF398" t="str">
        <f t="shared" si="149"/>
        <v/>
      </c>
      <c r="AG398" t="str">
        <f t="shared" si="150"/>
        <v/>
      </c>
      <c r="AH398" t="str">
        <f t="shared" si="151"/>
        <v/>
      </c>
      <c r="AI398" t="str">
        <f t="shared" si="152"/>
        <v/>
      </c>
      <c r="AJ398" t="str">
        <f t="shared" si="153"/>
        <v/>
      </c>
      <c r="AK398" t="str">
        <f t="shared" si="154"/>
        <v/>
      </c>
      <c r="AL398" t="str">
        <f t="shared" si="155"/>
        <v/>
      </c>
      <c r="AM398" t="str">
        <f t="shared" si="156"/>
        <v/>
      </c>
      <c r="AN398" t="str">
        <f t="shared" si="157"/>
        <v/>
      </c>
      <c r="AO398" t="str">
        <f t="shared" si="158"/>
        <v/>
      </c>
      <c r="AP398">
        <f t="shared" si="159"/>
        <v>1</v>
      </c>
      <c r="AQ398" t="str">
        <f>IF(SAISIE!$F403="","",SAISIE!$Y403)</f>
        <v/>
      </c>
      <c r="AR398" t="str">
        <f>IF(OR(SAISIE!$U$4="",SAISIE!$W$4=""),"",IF(AND($A398=SAISIE!$U$4,$B398=SAISIE!$W$4,$C398="S1"),COUNTIFS($A$2:$A398,SAISIE!$U$4,$B$2:$B398,SAISIE!$W$4,$C$2:$C398,"S1"),""))</f>
        <v/>
      </c>
      <c r="AS398" t="str">
        <f t="shared" si="160"/>
        <v/>
      </c>
      <c r="AT398" t="str">
        <f t="shared" si="161"/>
        <v/>
      </c>
      <c r="AU398" t="str">
        <f t="shared" si="162"/>
        <v/>
      </c>
      <c r="AV398">
        <f>N(AV397)+IF(AND($AB398&lt;&gt;"",OR('PROFIL ELEVE'!$K$4="(Tous)",$AF398='PROFIL ELEVE'!$K$4)),1,0)</f>
        <v>0</v>
      </c>
      <c r="AW398">
        <f>N(AW397)+IF(AND($AB398&lt;&gt;"",OR('SUIVI LONGITUDINAL'!$Q$4="(Tous)",$AF398='SUIVI LONGITUDINAL'!$Q$4)),1,0)</f>
        <v>0</v>
      </c>
      <c r="AX398">
        <f t="shared" si="163"/>
        <v>0</v>
      </c>
      <c r="AY398">
        <f t="shared" si="164"/>
        <v>0</v>
      </c>
      <c r="AZ398">
        <f t="shared" si="165"/>
        <v>0</v>
      </c>
      <c r="BA398" t="str">
        <f t="shared" si="166"/>
        <v/>
      </c>
      <c r="BB398" t="str">
        <f t="shared" si="167"/>
        <v/>
      </c>
    </row>
    <row r="399" spans="1:54" ht="14.25" customHeight="1" x14ac:dyDescent="0.3">
      <c r="A399" t="str">
        <f>IF(SAISIE!$F404="","",SAISIE!$B404)</f>
        <v/>
      </c>
      <c r="B399" t="str">
        <f>IF(SAISIE!$F404="","",SAISIE!$C404)</f>
        <v/>
      </c>
      <c r="C399" t="str">
        <f>IF(SAISIE!$F404="","",SAISIE!$D404)</f>
        <v/>
      </c>
      <c r="D399" t="str">
        <f>IF(SAISIE!$E404="","",SAISIE!$E404)</f>
        <v/>
      </c>
      <c r="E399" t="str">
        <f>IF(SAISIE!$F404="","",SAISIE!$F404)</f>
        <v/>
      </c>
      <c r="F399" t="str">
        <f>IF(SAISIE!$G404="","",SAISIE!$G404)</f>
        <v/>
      </c>
      <c r="G399" t="str">
        <f>IF(SAISIE!$H404="","",SAISIE!$H404)</f>
        <v/>
      </c>
      <c r="H399" t="str">
        <f>IF(SAISIE!$I404="","",SAISIE!$I404)</f>
        <v/>
      </c>
      <c r="I399" t="str">
        <f>IF(SAISIE!$J404="","",SAISIE!$J404)</f>
        <v/>
      </c>
      <c r="J399" t="str">
        <f>IF(SAISIE!$K404="","",SAISIE!$K404)</f>
        <v/>
      </c>
      <c r="K399" t="str">
        <f>IF(SAISIE!$L404="","",SAISIE!$L404)</f>
        <v/>
      </c>
      <c r="L399" t="str">
        <f>IF(SAISIE!$M404="","",SAISIE!$M404)</f>
        <v/>
      </c>
      <c r="M399" t="str">
        <f>IF(SAISIE!$N404="","",SAISIE!$N404)</f>
        <v/>
      </c>
      <c r="N399" t="str">
        <f>IF(SAISIE!$O404="","",SAISIE!$O404)</f>
        <v/>
      </c>
      <c r="O399" t="str">
        <f>IF(SAISIE!$P404="","",SAISIE!$P404)</f>
        <v/>
      </c>
      <c r="P399" t="str">
        <f>IF(SAISIE!$Q404="","",SAISIE!$Q404)</f>
        <v/>
      </c>
      <c r="Q399" t="str">
        <f>IF($I399="","",IF($I399&gt;PARAMETRES!$G$29,5,IF($I399&gt;PARAMETRES!$F$29,4,IF($I399&gt;PARAMETRES!$E$29,3,IF($I399&gt;PARAMETRES!$D$29,2,1)))))</f>
        <v/>
      </c>
      <c r="R399" t="str">
        <f>IF($J399="","",IF($J399&gt;PARAMETRES!$G$30,5,IF($J399&gt;PARAMETRES!$F$30,4,IF($J399&gt;PARAMETRES!$E$30,3,IF($J399&gt;PARAMETRES!$D$30,2,1)))))</f>
        <v/>
      </c>
      <c r="S399" t="str">
        <f>IF($K399="","",IF($Z399=2,IF($K399&gt;PARAMETRES!$G$31,5,IF($K399&gt;PARAMETRES!$F$31,4,IF($K399&gt;PARAMETRES!$E$31,3,IF($K399&gt;PARAMETRES!$D$31,2,1)))),IF($K399&gt;PARAMETRES!$G$32,5,IF($K399&gt;PARAMETRES!$F$32,4,IF($K399&gt;PARAMETRES!$E$32,3,IF($K399&gt;PARAMETRES!$D$32,2,1))))))</f>
        <v/>
      </c>
      <c r="T399" t="str">
        <f>IF($L399="","",IF($L399&gt;PARAMETRES!$G$33,5,IF($L399&gt;PARAMETRES!$F$33,4,IF($L399&gt;PARAMETRES!$E$33,3,IF($L399&gt;PARAMETRES!$D$33,2,1)))))</f>
        <v/>
      </c>
      <c r="U399" t="str">
        <f>IF($M399="","",IF($M399&gt;PARAMETRES!$G$34,5,IF($M399&gt;PARAMETRES!$F$34,4,IF($M399&gt;PARAMETRES!$E$34,3,IF($M399&gt;PARAMETRES!$D$34,2,1)))))</f>
        <v/>
      </c>
      <c r="V399" t="str">
        <f>IF($N399="","",IF($N399&gt;PARAMETRES!$G$35,5,IF($N399&gt;PARAMETRES!$F$35,4,IF($N399&gt;PARAMETRES!$E$35,3,IF($N399&gt;PARAMETRES!$D$35,2,1)))))</f>
        <v/>
      </c>
      <c r="W399" t="str">
        <f>IF($O399="","",IF($O399&gt;PARAMETRES!$G$36,5,IF($O399&gt;PARAMETRES!$F$36,4,IF($O399&gt;PARAMETRES!$E$36,3,IF($O399&gt;PARAMETRES!$D$36,2,1)))))</f>
        <v/>
      </c>
      <c r="X399" t="str">
        <f>IF($P399="","",IF($P399&gt;PARAMETRES!$G$37,5,IF($P399&gt;PARAMETRES!$F$37,4,IF($P399&gt;PARAMETRES!$E$37,3,IF($P399&gt;PARAMETRES!$D$37,2,1)))))</f>
        <v/>
      </c>
      <c r="Y399" t="str">
        <f t="shared" si="144"/>
        <v/>
      </c>
      <c r="Z399" t="str">
        <f>IFERROR(VLOOKUP($B399,TABLE_CYCLE,2,0),"")</f>
        <v/>
      </c>
      <c r="AA399" t="str">
        <f t="shared" si="145"/>
        <v/>
      </c>
      <c r="AB399" t="str">
        <f>IF($D399="","",IF(COUNTIF($D$2:$D399,$D399)=1,$D399,""))</f>
        <v/>
      </c>
      <c r="AC399">
        <f t="shared" si="146"/>
        <v>0</v>
      </c>
      <c r="AD399" t="str">
        <f t="shared" si="147"/>
        <v>|0</v>
      </c>
      <c r="AE399" t="str">
        <f t="shared" si="148"/>
        <v/>
      </c>
      <c r="AF399" t="str">
        <f t="shared" si="149"/>
        <v/>
      </c>
      <c r="AG399" t="str">
        <f t="shared" si="150"/>
        <v/>
      </c>
      <c r="AH399" t="str">
        <f t="shared" si="151"/>
        <v/>
      </c>
      <c r="AI399" t="str">
        <f t="shared" si="152"/>
        <v/>
      </c>
      <c r="AJ399" t="str">
        <f t="shared" si="153"/>
        <v/>
      </c>
      <c r="AK399" t="str">
        <f t="shared" si="154"/>
        <v/>
      </c>
      <c r="AL399" t="str">
        <f t="shared" si="155"/>
        <v/>
      </c>
      <c r="AM399" t="str">
        <f t="shared" si="156"/>
        <v/>
      </c>
      <c r="AN399" t="str">
        <f t="shared" si="157"/>
        <v/>
      </c>
      <c r="AO399" t="str">
        <f t="shared" si="158"/>
        <v/>
      </c>
      <c r="AP399">
        <f t="shared" si="159"/>
        <v>1</v>
      </c>
      <c r="AQ399" t="str">
        <f>IF(SAISIE!$F404="","",SAISIE!$Y404)</f>
        <v/>
      </c>
      <c r="AR399" t="str">
        <f>IF(OR(SAISIE!$U$4="",SAISIE!$W$4=""),"",IF(AND($A399=SAISIE!$U$4,$B399=SAISIE!$W$4,$C399="S1"),COUNTIFS($A$2:$A399,SAISIE!$U$4,$B$2:$B399,SAISIE!$W$4,$C$2:$C399,"S1"),""))</f>
        <v/>
      </c>
      <c r="AS399" t="str">
        <f t="shared" si="160"/>
        <v/>
      </c>
      <c r="AT399" t="str">
        <f t="shared" si="161"/>
        <v/>
      </c>
      <c r="AU399" t="str">
        <f t="shared" si="162"/>
        <v/>
      </c>
      <c r="AV399">
        <f>N(AV398)+IF(AND($AB399&lt;&gt;"",OR('PROFIL ELEVE'!$K$4="(Tous)",$AF399='PROFIL ELEVE'!$K$4)),1,0)</f>
        <v>0</v>
      </c>
      <c r="AW399">
        <f>N(AW398)+IF(AND($AB399&lt;&gt;"",OR('SUIVI LONGITUDINAL'!$Q$4="(Tous)",$AF399='SUIVI LONGITUDINAL'!$Q$4)),1,0)</f>
        <v>0</v>
      </c>
      <c r="AX399">
        <f t="shared" si="163"/>
        <v>0</v>
      </c>
      <c r="AY399">
        <f t="shared" si="164"/>
        <v>0</v>
      </c>
      <c r="AZ399">
        <f t="shared" si="165"/>
        <v>0</v>
      </c>
      <c r="BA399" t="str">
        <f t="shared" si="166"/>
        <v/>
      </c>
      <c r="BB399" t="str">
        <f t="shared" si="167"/>
        <v/>
      </c>
    </row>
    <row r="400" spans="1:54" ht="14.25" customHeight="1" x14ac:dyDescent="0.3">
      <c r="A400" t="str">
        <f>IF(SAISIE!$F405="","",SAISIE!$B405)</f>
        <v/>
      </c>
      <c r="B400" t="str">
        <f>IF(SAISIE!$F405="","",SAISIE!$C405)</f>
        <v/>
      </c>
      <c r="C400" t="str">
        <f>IF(SAISIE!$F405="","",SAISIE!$D405)</f>
        <v/>
      </c>
      <c r="D400" t="str">
        <f>IF(SAISIE!$E405="","",SAISIE!$E405)</f>
        <v/>
      </c>
      <c r="E400" t="str">
        <f>IF(SAISIE!$F405="","",SAISIE!$F405)</f>
        <v/>
      </c>
      <c r="F400" t="str">
        <f>IF(SAISIE!$G405="","",SAISIE!$G405)</f>
        <v/>
      </c>
      <c r="G400" t="str">
        <f>IF(SAISIE!$H405="","",SAISIE!$H405)</f>
        <v/>
      </c>
      <c r="H400" t="str">
        <f>IF(SAISIE!$I405="","",SAISIE!$I405)</f>
        <v/>
      </c>
      <c r="I400" t="str">
        <f>IF(SAISIE!$J405="","",SAISIE!$J405)</f>
        <v/>
      </c>
      <c r="J400" t="str">
        <f>IF(SAISIE!$K405="","",SAISIE!$K405)</f>
        <v/>
      </c>
      <c r="K400" t="str">
        <f>IF(SAISIE!$L405="","",SAISIE!$L405)</f>
        <v/>
      </c>
      <c r="L400" t="str">
        <f>IF(SAISIE!$M405="","",SAISIE!$M405)</f>
        <v/>
      </c>
      <c r="M400" t="str">
        <f>IF(SAISIE!$N405="","",SAISIE!$N405)</f>
        <v/>
      </c>
      <c r="N400" t="str">
        <f>IF(SAISIE!$O405="","",SAISIE!$O405)</f>
        <v/>
      </c>
      <c r="O400" t="str">
        <f>IF(SAISIE!$P405="","",SAISIE!$P405)</f>
        <v/>
      </c>
      <c r="P400" t="str">
        <f>IF(SAISIE!$Q405="","",SAISIE!$Q405)</f>
        <v/>
      </c>
      <c r="Q400" t="str">
        <f>IF($I400="","",IF($I400&gt;PARAMETRES!$G$29,5,IF($I400&gt;PARAMETRES!$F$29,4,IF($I400&gt;PARAMETRES!$E$29,3,IF($I400&gt;PARAMETRES!$D$29,2,1)))))</f>
        <v/>
      </c>
      <c r="R400" t="str">
        <f>IF($J400="","",IF($J400&gt;PARAMETRES!$G$30,5,IF($J400&gt;PARAMETRES!$F$30,4,IF($J400&gt;PARAMETRES!$E$30,3,IF($J400&gt;PARAMETRES!$D$30,2,1)))))</f>
        <v/>
      </c>
      <c r="S400" t="str">
        <f>IF($K400="","",IF($Z400=2,IF($K400&gt;PARAMETRES!$G$31,5,IF($K400&gt;PARAMETRES!$F$31,4,IF($K400&gt;PARAMETRES!$E$31,3,IF($K400&gt;PARAMETRES!$D$31,2,1)))),IF($K400&gt;PARAMETRES!$G$32,5,IF($K400&gt;PARAMETRES!$F$32,4,IF($K400&gt;PARAMETRES!$E$32,3,IF($K400&gt;PARAMETRES!$D$32,2,1))))))</f>
        <v/>
      </c>
      <c r="T400" t="str">
        <f>IF($L400="","",IF($L400&gt;PARAMETRES!$G$33,5,IF($L400&gt;PARAMETRES!$F$33,4,IF($L400&gt;PARAMETRES!$E$33,3,IF($L400&gt;PARAMETRES!$D$33,2,1)))))</f>
        <v/>
      </c>
      <c r="U400" t="str">
        <f>IF($M400="","",IF($M400&gt;PARAMETRES!$G$34,5,IF($M400&gt;PARAMETRES!$F$34,4,IF($M400&gt;PARAMETRES!$E$34,3,IF($M400&gt;PARAMETRES!$D$34,2,1)))))</f>
        <v/>
      </c>
      <c r="V400" t="str">
        <f>IF($N400="","",IF($N400&gt;PARAMETRES!$G$35,5,IF($N400&gt;PARAMETRES!$F$35,4,IF($N400&gt;PARAMETRES!$E$35,3,IF($N400&gt;PARAMETRES!$D$35,2,1)))))</f>
        <v/>
      </c>
      <c r="W400" t="str">
        <f>IF($O400="","",IF($O400&gt;PARAMETRES!$G$36,5,IF($O400&gt;PARAMETRES!$F$36,4,IF($O400&gt;PARAMETRES!$E$36,3,IF($O400&gt;PARAMETRES!$D$36,2,1)))))</f>
        <v/>
      </c>
      <c r="X400" t="str">
        <f>IF($P400="","",IF($P400&gt;PARAMETRES!$G$37,5,IF($P400&gt;PARAMETRES!$F$37,4,IF($P400&gt;PARAMETRES!$E$37,3,IF($P400&gt;PARAMETRES!$D$37,2,1)))))</f>
        <v/>
      </c>
      <c r="Y400" t="str">
        <f t="shared" si="144"/>
        <v/>
      </c>
      <c r="Z400" t="str">
        <f>IFERROR(VLOOKUP($B400,TABLE_CYCLE,2,0),"")</f>
        <v/>
      </c>
      <c r="AA400" t="str">
        <f t="shared" si="145"/>
        <v/>
      </c>
      <c r="AB400" t="str">
        <f>IF($D400="","",IF(COUNTIF($D$2:$D400,$D400)=1,$D400,""))</f>
        <v/>
      </c>
      <c r="AC400">
        <f t="shared" si="146"/>
        <v>0</v>
      </c>
      <c r="AD400" t="str">
        <f t="shared" si="147"/>
        <v>|0</v>
      </c>
      <c r="AE400" t="str">
        <f t="shared" si="148"/>
        <v/>
      </c>
      <c r="AF400" t="str">
        <f t="shared" si="149"/>
        <v/>
      </c>
      <c r="AG400" t="str">
        <f t="shared" si="150"/>
        <v/>
      </c>
      <c r="AH400" t="str">
        <f t="shared" si="151"/>
        <v/>
      </c>
      <c r="AI400" t="str">
        <f t="shared" si="152"/>
        <v/>
      </c>
      <c r="AJ400" t="str">
        <f t="shared" si="153"/>
        <v/>
      </c>
      <c r="AK400" t="str">
        <f t="shared" si="154"/>
        <v/>
      </c>
      <c r="AL400" t="str">
        <f t="shared" si="155"/>
        <v/>
      </c>
      <c r="AM400" t="str">
        <f t="shared" si="156"/>
        <v/>
      </c>
      <c r="AN400" t="str">
        <f t="shared" si="157"/>
        <v/>
      </c>
      <c r="AO400" t="str">
        <f t="shared" si="158"/>
        <v/>
      </c>
      <c r="AP400">
        <f t="shared" si="159"/>
        <v>1</v>
      </c>
      <c r="AQ400" t="str">
        <f>IF(SAISIE!$F405="","",SAISIE!$Y405)</f>
        <v/>
      </c>
      <c r="AR400" t="str">
        <f>IF(OR(SAISIE!$U$4="",SAISIE!$W$4=""),"",IF(AND($A400=SAISIE!$U$4,$B400=SAISIE!$W$4,$C400="S1"),COUNTIFS($A$2:$A400,SAISIE!$U$4,$B$2:$B400,SAISIE!$W$4,$C$2:$C400,"S1"),""))</f>
        <v/>
      </c>
      <c r="AS400" t="str">
        <f t="shared" si="160"/>
        <v/>
      </c>
      <c r="AT400" t="str">
        <f t="shared" si="161"/>
        <v/>
      </c>
      <c r="AU400" t="str">
        <f t="shared" si="162"/>
        <v/>
      </c>
      <c r="AV400">
        <f>N(AV399)+IF(AND($AB400&lt;&gt;"",OR('PROFIL ELEVE'!$K$4="(Tous)",$AF400='PROFIL ELEVE'!$K$4)),1,0)</f>
        <v>0</v>
      </c>
      <c r="AW400">
        <f>N(AW399)+IF(AND($AB400&lt;&gt;"",OR('SUIVI LONGITUDINAL'!$Q$4="(Tous)",$AF400='SUIVI LONGITUDINAL'!$Q$4)),1,0)</f>
        <v>0</v>
      </c>
      <c r="AX400">
        <f t="shared" si="163"/>
        <v>0</v>
      </c>
      <c r="AY400">
        <f t="shared" si="164"/>
        <v>0</v>
      </c>
      <c r="AZ400">
        <f t="shared" si="165"/>
        <v>0</v>
      </c>
      <c r="BA400" t="str">
        <f t="shared" si="166"/>
        <v/>
      </c>
      <c r="BB400" t="str">
        <f t="shared" si="167"/>
        <v/>
      </c>
    </row>
    <row r="401" spans="1:54" ht="14.25" customHeight="1" x14ac:dyDescent="0.3">
      <c r="A401" t="str">
        <f>IF(SAISIE!$F406="","",SAISIE!$B406)</f>
        <v/>
      </c>
      <c r="B401" t="str">
        <f>IF(SAISIE!$F406="","",SAISIE!$C406)</f>
        <v/>
      </c>
      <c r="C401" t="str">
        <f>IF(SAISIE!$F406="","",SAISIE!$D406)</f>
        <v/>
      </c>
      <c r="D401" t="str">
        <f>IF(SAISIE!$E406="","",SAISIE!$E406)</f>
        <v/>
      </c>
      <c r="E401" t="str">
        <f>IF(SAISIE!$F406="","",SAISIE!$F406)</f>
        <v/>
      </c>
      <c r="F401" t="str">
        <f>IF(SAISIE!$G406="","",SAISIE!$G406)</f>
        <v/>
      </c>
      <c r="G401" t="str">
        <f>IF(SAISIE!$H406="","",SAISIE!$H406)</f>
        <v/>
      </c>
      <c r="H401" t="str">
        <f>IF(SAISIE!$I406="","",SAISIE!$I406)</f>
        <v/>
      </c>
      <c r="I401" t="str">
        <f>IF(SAISIE!$J406="","",SAISIE!$J406)</f>
        <v/>
      </c>
      <c r="J401" t="str">
        <f>IF(SAISIE!$K406="","",SAISIE!$K406)</f>
        <v/>
      </c>
      <c r="K401" t="str">
        <f>IF(SAISIE!$L406="","",SAISIE!$L406)</f>
        <v/>
      </c>
      <c r="L401" t="str">
        <f>IF(SAISIE!$M406="","",SAISIE!$M406)</f>
        <v/>
      </c>
      <c r="M401" t="str">
        <f>IF(SAISIE!$N406="","",SAISIE!$N406)</f>
        <v/>
      </c>
      <c r="N401" t="str">
        <f>IF(SAISIE!$O406="","",SAISIE!$O406)</f>
        <v/>
      </c>
      <c r="O401" t="str">
        <f>IF(SAISIE!$P406="","",SAISIE!$P406)</f>
        <v/>
      </c>
      <c r="P401" t="str">
        <f>IF(SAISIE!$Q406="","",SAISIE!$Q406)</f>
        <v/>
      </c>
      <c r="Q401" t="str">
        <f>IF($I401="","",IF($I401&gt;PARAMETRES!$G$29,5,IF($I401&gt;PARAMETRES!$F$29,4,IF($I401&gt;PARAMETRES!$E$29,3,IF($I401&gt;PARAMETRES!$D$29,2,1)))))</f>
        <v/>
      </c>
      <c r="R401" t="str">
        <f>IF($J401="","",IF($J401&gt;PARAMETRES!$G$30,5,IF($J401&gt;PARAMETRES!$F$30,4,IF($J401&gt;PARAMETRES!$E$30,3,IF($J401&gt;PARAMETRES!$D$30,2,1)))))</f>
        <v/>
      </c>
      <c r="S401" t="str">
        <f>IF($K401="","",IF($Z401=2,IF($K401&gt;PARAMETRES!$G$31,5,IF($K401&gt;PARAMETRES!$F$31,4,IF($K401&gt;PARAMETRES!$E$31,3,IF($K401&gt;PARAMETRES!$D$31,2,1)))),IF($K401&gt;PARAMETRES!$G$32,5,IF($K401&gt;PARAMETRES!$F$32,4,IF($K401&gt;PARAMETRES!$E$32,3,IF($K401&gt;PARAMETRES!$D$32,2,1))))))</f>
        <v/>
      </c>
      <c r="T401" t="str">
        <f>IF($L401="","",IF($L401&gt;PARAMETRES!$G$33,5,IF($L401&gt;PARAMETRES!$F$33,4,IF($L401&gt;PARAMETRES!$E$33,3,IF($L401&gt;PARAMETRES!$D$33,2,1)))))</f>
        <v/>
      </c>
      <c r="U401" t="str">
        <f>IF($M401="","",IF($M401&gt;PARAMETRES!$G$34,5,IF($M401&gt;PARAMETRES!$F$34,4,IF($M401&gt;PARAMETRES!$E$34,3,IF($M401&gt;PARAMETRES!$D$34,2,1)))))</f>
        <v/>
      </c>
      <c r="V401" t="str">
        <f>IF($N401="","",IF($N401&gt;PARAMETRES!$G$35,5,IF($N401&gt;PARAMETRES!$F$35,4,IF($N401&gt;PARAMETRES!$E$35,3,IF($N401&gt;PARAMETRES!$D$35,2,1)))))</f>
        <v/>
      </c>
      <c r="W401" t="str">
        <f>IF($O401="","",IF($O401&gt;PARAMETRES!$G$36,5,IF($O401&gt;PARAMETRES!$F$36,4,IF($O401&gt;PARAMETRES!$E$36,3,IF($O401&gt;PARAMETRES!$D$36,2,1)))))</f>
        <v/>
      </c>
      <c r="X401" t="str">
        <f>IF($P401="","",IF($P401&gt;PARAMETRES!$G$37,5,IF($P401&gt;PARAMETRES!$F$37,4,IF($P401&gt;PARAMETRES!$E$37,3,IF($P401&gt;PARAMETRES!$D$37,2,1)))))</f>
        <v/>
      </c>
      <c r="Y401" t="str">
        <f t="shared" si="144"/>
        <v/>
      </c>
      <c r="Z401" t="str">
        <f>IFERROR(VLOOKUP($B401,TABLE_CYCLE,2,0),"")</f>
        <v/>
      </c>
      <c r="AA401" t="str">
        <f t="shared" si="145"/>
        <v/>
      </c>
      <c r="AB401" t="str">
        <f>IF($D401="","",IF(COUNTIF($D$2:$D401,$D401)=1,$D401,""))</f>
        <v/>
      </c>
      <c r="AC401">
        <f t="shared" si="146"/>
        <v>0</v>
      </c>
      <c r="AD401" t="str">
        <f t="shared" si="147"/>
        <v>|0</v>
      </c>
      <c r="AE401" t="str">
        <f t="shared" si="148"/>
        <v/>
      </c>
      <c r="AF401" t="str">
        <f t="shared" si="149"/>
        <v/>
      </c>
      <c r="AG401" t="str">
        <f t="shared" si="150"/>
        <v/>
      </c>
      <c r="AH401" t="str">
        <f t="shared" si="151"/>
        <v/>
      </c>
      <c r="AI401" t="str">
        <f t="shared" si="152"/>
        <v/>
      </c>
      <c r="AJ401" t="str">
        <f t="shared" si="153"/>
        <v/>
      </c>
      <c r="AK401" t="str">
        <f t="shared" si="154"/>
        <v/>
      </c>
      <c r="AL401" t="str">
        <f t="shared" si="155"/>
        <v/>
      </c>
      <c r="AM401" t="str">
        <f t="shared" si="156"/>
        <v/>
      </c>
      <c r="AN401" t="str">
        <f t="shared" si="157"/>
        <v/>
      </c>
      <c r="AO401" t="str">
        <f t="shared" si="158"/>
        <v/>
      </c>
      <c r="AP401">
        <f t="shared" si="159"/>
        <v>1</v>
      </c>
      <c r="AQ401" t="str">
        <f>IF(SAISIE!$F406="","",SAISIE!$Y406)</f>
        <v/>
      </c>
      <c r="AR401" t="str">
        <f>IF(OR(SAISIE!$U$4="",SAISIE!$W$4=""),"",IF(AND($A401=SAISIE!$U$4,$B401=SAISIE!$W$4,$C401="S1"),COUNTIFS($A$2:$A401,SAISIE!$U$4,$B$2:$B401,SAISIE!$W$4,$C$2:$C401,"S1"),""))</f>
        <v/>
      </c>
      <c r="AS401" t="str">
        <f t="shared" si="160"/>
        <v/>
      </c>
      <c r="AT401" t="str">
        <f t="shared" si="161"/>
        <v/>
      </c>
      <c r="AU401" t="str">
        <f t="shared" si="162"/>
        <v/>
      </c>
      <c r="AV401">
        <f>N(AV400)+IF(AND($AB401&lt;&gt;"",OR('PROFIL ELEVE'!$K$4="(Tous)",$AF401='PROFIL ELEVE'!$K$4)),1,0)</f>
        <v>0</v>
      </c>
      <c r="AW401">
        <f>N(AW400)+IF(AND($AB401&lt;&gt;"",OR('SUIVI LONGITUDINAL'!$Q$4="(Tous)",$AF401='SUIVI LONGITUDINAL'!$Q$4)),1,0)</f>
        <v>0</v>
      </c>
      <c r="AX401">
        <f t="shared" si="163"/>
        <v>0</v>
      </c>
      <c r="AY401">
        <f t="shared" si="164"/>
        <v>0</v>
      </c>
      <c r="AZ401">
        <f t="shared" si="165"/>
        <v>0</v>
      </c>
      <c r="BA401" t="str">
        <f t="shared" si="166"/>
        <v/>
      </c>
      <c r="BB401" t="str">
        <f t="shared" si="167"/>
        <v/>
      </c>
    </row>
    <row r="402" spans="1:54" ht="14.25" customHeight="1" x14ac:dyDescent="0.3">
      <c r="A402" t="str">
        <f>IF(SAISIE!$F407="","",SAISIE!$B407)</f>
        <v/>
      </c>
      <c r="B402" t="str">
        <f>IF(SAISIE!$F407="","",SAISIE!$C407)</f>
        <v/>
      </c>
      <c r="C402" t="str">
        <f>IF(SAISIE!$F407="","",SAISIE!$D407)</f>
        <v/>
      </c>
      <c r="D402" t="str">
        <f>IF(SAISIE!$E407="","",SAISIE!$E407)</f>
        <v/>
      </c>
      <c r="E402" t="str">
        <f>IF(SAISIE!$F407="","",SAISIE!$F407)</f>
        <v/>
      </c>
      <c r="F402" t="str">
        <f>IF(SAISIE!$G407="","",SAISIE!$G407)</f>
        <v/>
      </c>
      <c r="G402" t="str">
        <f>IF(SAISIE!$H407="","",SAISIE!$H407)</f>
        <v/>
      </c>
      <c r="H402" t="str">
        <f>IF(SAISIE!$I407="","",SAISIE!$I407)</f>
        <v/>
      </c>
      <c r="I402" t="str">
        <f>IF(SAISIE!$J407="","",SAISIE!$J407)</f>
        <v/>
      </c>
      <c r="J402" t="str">
        <f>IF(SAISIE!$K407="","",SAISIE!$K407)</f>
        <v/>
      </c>
      <c r="K402" t="str">
        <f>IF(SAISIE!$L407="","",SAISIE!$L407)</f>
        <v/>
      </c>
      <c r="L402" t="str">
        <f>IF(SAISIE!$M407="","",SAISIE!$M407)</f>
        <v/>
      </c>
      <c r="M402" t="str">
        <f>IF(SAISIE!$N407="","",SAISIE!$N407)</f>
        <v/>
      </c>
      <c r="N402" t="str">
        <f>IF(SAISIE!$O407="","",SAISIE!$O407)</f>
        <v/>
      </c>
      <c r="O402" t="str">
        <f>IF(SAISIE!$P407="","",SAISIE!$P407)</f>
        <v/>
      </c>
      <c r="P402" t="str">
        <f>IF(SAISIE!$Q407="","",SAISIE!$Q407)</f>
        <v/>
      </c>
      <c r="Q402" t="str">
        <f>IF($I402="","",IF($I402&gt;PARAMETRES!$G$29,5,IF($I402&gt;PARAMETRES!$F$29,4,IF($I402&gt;PARAMETRES!$E$29,3,IF($I402&gt;PARAMETRES!$D$29,2,1)))))</f>
        <v/>
      </c>
      <c r="R402" t="str">
        <f>IF($J402="","",IF($J402&gt;PARAMETRES!$G$30,5,IF($J402&gt;PARAMETRES!$F$30,4,IF($J402&gt;PARAMETRES!$E$30,3,IF($J402&gt;PARAMETRES!$D$30,2,1)))))</f>
        <v/>
      </c>
      <c r="S402" t="str">
        <f>IF($K402="","",IF($Z402=2,IF($K402&gt;PARAMETRES!$G$31,5,IF($K402&gt;PARAMETRES!$F$31,4,IF($K402&gt;PARAMETRES!$E$31,3,IF($K402&gt;PARAMETRES!$D$31,2,1)))),IF($K402&gt;PARAMETRES!$G$32,5,IF($K402&gt;PARAMETRES!$F$32,4,IF($K402&gt;PARAMETRES!$E$32,3,IF($K402&gt;PARAMETRES!$D$32,2,1))))))</f>
        <v/>
      </c>
      <c r="T402" t="str">
        <f>IF($L402="","",IF($L402&gt;PARAMETRES!$G$33,5,IF($L402&gt;PARAMETRES!$F$33,4,IF($L402&gt;PARAMETRES!$E$33,3,IF($L402&gt;PARAMETRES!$D$33,2,1)))))</f>
        <v/>
      </c>
      <c r="U402" t="str">
        <f>IF($M402="","",IF($M402&gt;PARAMETRES!$G$34,5,IF($M402&gt;PARAMETRES!$F$34,4,IF($M402&gt;PARAMETRES!$E$34,3,IF($M402&gt;PARAMETRES!$D$34,2,1)))))</f>
        <v/>
      </c>
      <c r="V402" t="str">
        <f>IF($N402="","",IF($N402&gt;PARAMETRES!$G$35,5,IF($N402&gt;PARAMETRES!$F$35,4,IF($N402&gt;PARAMETRES!$E$35,3,IF($N402&gt;PARAMETRES!$D$35,2,1)))))</f>
        <v/>
      </c>
      <c r="W402" t="str">
        <f>IF($O402="","",IF($O402&gt;PARAMETRES!$G$36,5,IF($O402&gt;PARAMETRES!$F$36,4,IF($O402&gt;PARAMETRES!$E$36,3,IF($O402&gt;PARAMETRES!$D$36,2,1)))))</f>
        <v/>
      </c>
      <c r="X402" t="str">
        <f>IF($P402="","",IF($P402&gt;PARAMETRES!$G$37,5,IF($P402&gt;PARAMETRES!$F$37,4,IF($P402&gt;PARAMETRES!$E$37,3,IF($P402&gt;PARAMETRES!$D$37,2,1)))))</f>
        <v/>
      </c>
      <c r="Y402" t="str">
        <f t="shared" si="144"/>
        <v/>
      </c>
      <c r="Z402" t="str">
        <f>IFERROR(VLOOKUP($B402,TABLE_CYCLE,2,0),"")</f>
        <v/>
      </c>
      <c r="AA402" t="str">
        <f t="shared" si="145"/>
        <v/>
      </c>
      <c r="AB402" t="str">
        <f>IF($D402="","",IF(COUNTIF($D$2:$D402,$D402)=1,$D402,""))</f>
        <v/>
      </c>
      <c r="AC402">
        <f t="shared" si="146"/>
        <v>0</v>
      </c>
      <c r="AD402" t="str">
        <f t="shared" si="147"/>
        <v>|0</v>
      </c>
      <c r="AE402" t="str">
        <f t="shared" si="148"/>
        <v/>
      </c>
      <c r="AF402" t="str">
        <f t="shared" si="149"/>
        <v/>
      </c>
      <c r="AG402" t="str">
        <f t="shared" si="150"/>
        <v/>
      </c>
      <c r="AH402" t="str">
        <f t="shared" si="151"/>
        <v/>
      </c>
      <c r="AI402" t="str">
        <f t="shared" si="152"/>
        <v/>
      </c>
      <c r="AJ402" t="str">
        <f t="shared" si="153"/>
        <v/>
      </c>
      <c r="AK402" t="str">
        <f t="shared" si="154"/>
        <v/>
      </c>
      <c r="AL402" t="str">
        <f t="shared" si="155"/>
        <v/>
      </c>
      <c r="AM402" t="str">
        <f t="shared" si="156"/>
        <v/>
      </c>
      <c r="AN402" t="str">
        <f t="shared" si="157"/>
        <v/>
      </c>
      <c r="AO402" t="str">
        <f t="shared" si="158"/>
        <v/>
      </c>
      <c r="AP402">
        <f t="shared" si="159"/>
        <v>1</v>
      </c>
      <c r="AQ402" t="str">
        <f>IF(SAISIE!$F407="","",SAISIE!$Y407)</f>
        <v/>
      </c>
      <c r="AR402" t="str">
        <f>IF(OR(SAISIE!$U$4="",SAISIE!$W$4=""),"",IF(AND($A402=SAISIE!$U$4,$B402=SAISIE!$W$4,$C402="S1"),COUNTIFS($A$2:$A402,SAISIE!$U$4,$B$2:$B402,SAISIE!$W$4,$C$2:$C402,"S1"),""))</f>
        <v/>
      </c>
      <c r="AS402" t="str">
        <f t="shared" si="160"/>
        <v/>
      </c>
      <c r="AT402" t="str">
        <f t="shared" si="161"/>
        <v/>
      </c>
      <c r="AU402" t="str">
        <f t="shared" si="162"/>
        <v/>
      </c>
      <c r="AV402">
        <f>N(AV401)+IF(AND($AB402&lt;&gt;"",OR('PROFIL ELEVE'!$K$4="(Tous)",$AF402='PROFIL ELEVE'!$K$4)),1,0)</f>
        <v>0</v>
      </c>
      <c r="AW402">
        <f>N(AW401)+IF(AND($AB402&lt;&gt;"",OR('SUIVI LONGITUDINAL'!$Q$4="(Tous)",$AF402='SUIVI LONGITUDINAL'!$Q$4)),1,0)</f>
        <v>0</v>
      </c>
      <c r="AX402">
        <f t="shared" si="163"/>
        <v>0</v>
      </c>
      <c r="AY402">
        <f t="shared" si="164"/>
        <v>0</v>
      </c>
      <c r="AZ402">
        <f t="shared" si="165"/>
        <v>0</v>
      </c>
      <c r="BA402" t="str">
        <f t="shared" si="166"/>
        <v/>
      </c>
      <c r="BB402" t="str">
        <f t="shared" si="167"/>
        <v/>
      </c>
    </row>
    <row r="403" spans="1:54" ht="14.25" customHeight="1" x14ac:dyDescent="0.3">
      <c r="A403" t="str">
        <f>IF(SAISIE!$F408="","",SAISIE!$B408)</f>
        <v/>
      </c>
      <c r="B403" t="str">
        <f>IF(SAISIE!$F408="","",SAISIE!$C408)</f>
        <v/>
      </c>
      <c r="C403" t="str">
        <f>IF(SAISIE!$F408="","",SAISIE!$D408)</f>
        <v/>
      </c>
      <c r="D403" t="str">
        <f>IF(SAISIE!$E408="","",SAISIE!$E408)</f>
        <v/>
      </c>
      <c r="E403" t="str">
        <f>IF(SAISIE!$F408="","",SAISIE!$F408)</f>
        <v/>
      </c>
      <c r="F403" t="str">
        <f>IF(SAISIE!$G408="","",SAISIE!$G408)</f>
        <v/>
      </c>
      <c r="G403" t="str">
        <f>IF(SAISIE!$H408="","",SAISIE!$H408)</f>
        <v/>
      </c>
      <c r="H403" t="str">
        <f>IF(SAISIE!$I408="","",SAISIE!$I408)</f>
        <v/>
      </c>
      <c r="I403" t="str">
        <f>IF(SAISIE!$J408="","",SAISIE!$J408)</f>
        <v/>
      </c>
      <c r="J403" t="str">
        <f>IF(SAISIE!$K408="","",SAISIE!$K408)</f>
        <v/>
      </c>
      <c r="K403" t="str">
        <f>IF(SAISIE!$L408="","",SAISIE!$L408)</f>
        <v/>
      </c>
      <c r="L403" t="str">
        <f>IF(SAISIE!$M408="","",SAISIE!$M408)</f>
        <v/>
      </c>
      <c r="M403" t="str">
        <f>IF(SAISIE!$N408="","",SAISIE!$N408)</f>
        <v/>
      </c>
      <c r="N403" t="str">
        <f>IF(SAISIE!$O408="","",SAISIE!$O408)</f>
        <v/>
      </c>
      <c r="O403" t="str">
        <f>IF(SAISIE!$P408="","",SAISIE!$P408)</f>
        <v/>
      </c>
      <c r="P403" t="str">
        <f>IF(SAISIE!$Q408="","",SAISIE!$Q408)</f>
        <v/>
      </c>
      <c r="Q403" t="str">
        <f>IF($I403="","",IF($I403&gt;PARAMETRES!$G$29,5,IF($I403&gt;PARAMETRES!$F$29,4,IF($I403&gt;PARAMETRES!$E$29,3,IF($I403&gt;PARAMETRES!$D$29,2,1)))))</f>
        <v/>
      </c>
      <c r="R403" t="str">
        <f>IF($J403="","",IF($J403&gt;PARAMETRES!$G$30,5,IF($J403&gt;PARAMETRES!$F$30,4,IF($J403&gt;PARAMETRES!$E$30,3,IF($J403&gt;PARAMETRES!$D$30,2,1)))))</f>
        <v/>
      </c>
      <c r="S403" t="str">
        <f>IF($K403="","",IF($Z403=2,IF($K403&gt;PARAMETRES!$G$31,5,IF($K403&gt;PARAMETRES!$F$31,4,IF($K403&gt;PARAMETRES!$E$31,3,IF($K403&gt;PARAMETRES!$D$31,2,1)))),IF($K403&gt;PARAMETRES!$G$32,5,IF($K403&gt;PARAMETRES!$F$32,4,IF($K403&gt;PARAMETRES!$E$32,3,IF($K403&gt;PARAMETRES!$D$32,2,1))))))</f>
        <v/>
      </c>
      <c r="T403" t="str">
        <f>IF($L403="","",IF($L403&gt;PARAMETRES!$G$33,5,IF($L403&gt;PARAMETRES!$F$33,4,IF($L403&gt;PARAMETRES!$E$33,3,IF($L403&gt;PARAMETRES!$D$33,2,1)))))</f>
        <v/>
      </c>
      <c r="U403" t="str">
        <f>IF($M403="","",IF($M403&gt;PARAMETRES!$G$34,5,IF($M403&gt;PARAMETRES!$F$34,4,IF($M403&gt;PARAMETRES!$E$34,3,IF($M403&gt;PARAMETRES!$D$34,2,1)))))</f>
        <v/>
      </c>
      <c r="V403" t="str">
        <f>IF($N403="","",IF($N403&gt;PARAMETRES!$G$35,5,IF($N403&gt;PARAMETRES!$F$35,4,IF($N403&gt;PARAMETRES!$E$35,3,IF($N403&gt;PARAMETRES!$D$35,2,1)))))</f>
        <v/>
      </c>
      <c r="W403" t="str">
        <f>IF($O403="","",IF($O403&gt;PARAMETRES!$G$36,5,IF($O403&gt;PARAMETRES!$F$36,4,IF($O403&gt;PARAMETRES!$E$36,3,IF($O403&gt;PARAMETRES!$D$36,2,1)))))</f>
        <v/>
      </c>
      <c r="X403" t="str">
        <f>IF($P403="","",IF($P403&gt;PARAMETRES!$G$37,5,IF($P403&gt;PARAMETRES!$F$37,4,IF($P403&gt;PARAMETRES!$E$37,3,IF($P403&gt;PARAMETRES!$D$37,2,1)))))</f>
        <v/>
      </c>
      <c r="Y403" t="str">
        <f t="shared" si="144"/>
        <v/>
      </c>
      <c r="Z403" t="str">
        <f>IFERROR(VLOOKUP($B403,TABLE_CYCLE,2,0),"")</f>
        <v/>
      </c>
      <c r="AA403" t="str">
        <f t="shared" si="145"/>
        <v/>
      </c>
      <c r="AB403" t="str">
        <f>IF($D403="","",IF(COUNTIF($D$2:$D403,$D403)=1,$D403,""))</f>
        <v/>
      </c>
      <c r="AC403">
        <f t="shared" si="146"/>
        <v>0</v>
      </c>
      <c r="AD403" t="str">
        <f t="shared" si="147"/>
        <v>|0</v>
      </c>
      <c r="AE403" t="str">
        <f t="shared" si="148"/>
        <v/>
      </c>
      <c r="AF403" t="str">
        <f t="shared" si="149"/>
        <v/>
      </c>
      <c r="AG403" t="str">
        <f t="shared" si="150"/>
        <v/>
      </c>
      <c r="AH403" t="str">
        <f t="shared" si="151"/>
        <v/>
      </c>
      <c r="AI403" t="str">
        <f t="shared" si="152"/>
        <v/>
      </c>
      <c r="AJ403" t="str">
        <f t="shared" si="153"/>
        <v/>
      </c>
      <c r="AK403" t="str">
        <f t="shared" si="154"/>
        <v/>
      </c>
      <c r="AL403" t="str">
        <f t="shared" si="155"/>
        <v/>
      </c>
      <c r="AM403" t="str">
        <f t="shared" si="156"/>
        <v/>
      </c>
      <c r="AN403" t="str">
        <f t="shared" si="157"/>
        <v/>
      </c>
      <c r="AO403" t="str">
        <f t="shared" si="158"/>
        <v/>
      </c>
      <c r="AP403">
        <f t="shared" si="159"/>
        <v>1</v>
      </c>
      <c r="AQ403" t="str">
        <f>IF(SAISIE!$F408="","",SAISIE!$Y408)</f>
        <v/>
      </c>
      <c r="AR403" t="str">
        <f>IF(OR(SAISIE!$U$4="",SAISIE!$W$4=""),"",IF(AND($A403=SAISIE!$U$4,$B403=SAISIE!$W$4,$C403="S1"),COUNTIFS($A$2:$A403,SAISIE!$U$4,$B$2:$B403,SAISIE!$W$4,$C$2:$C403,"S1"),""))</f>
        <v/>
      </c>
      <c r="AS403" t="str">
        <f t="shared" si="160"/>
        <v/>
      </c>
      <c r="AT403" t="str">
        <f t="shared" si="161"/>
        <v/>
      </c>
      <c r="AU403" t="str">
        <f t="shared" si="162"/>
        <v/>
      </c>
      <c r="AV403">
        <f>N(AV402)+IF(AND($AB403&lt;&gt;"",OR('PROFIL ELEVE'!$K$4="(Tous)",$AF403='PROFIL ELEVE'!$K$4)),1,0)</f>
        <v>0</v>
      </c>
      <c r="AW403">
        <f>N(AW402)+IF(AND($AB403&lt;&gt;"",OR('SUIVI LONGITUDINAL'!$Q$4="(Tous)",$AF403='SUIVI LONGITUDINAL'!$Q$4)),1,0)</f>
        <v>0</v>
      </c>
      <c r="AX403">
        <f t="shared" si="163"/>
        <v>0</v>
      </c>
      <c r="AY403">
        <f t="shared" si="164"/>
        <v>0</v>
      </c>
      <c r="AZ403">
        <f t="shared" si="165"/>
        <v>0</v>
      </c>
      <c r="BA403" t="str">
        <f t="shared" si="166"/>
        <v/>
      </c>
      <c r="BB403" t="str">
        <f t="shared" si="167"/>
        <v/>
      </c>
    </row>
    <row r="404" spans="1:54" ht="14.25" customHeight="1" x14ac:dyDescent="0.3">
      <c r="A404" t="str">
        <f>IF(SAISIE!$F409="","",SAISIE!$B409)</f>
        <v/>
      </c>
      <c r="B404" t="str">
        <f>IF(SAISIE!$F409="","",SAISIE!$C409)</f>
        <v/>
      </c>
      <c r="C404" t="str">
        <f>IF(SAISIE!$F409="","",SAISIE!$D409)</f>
        <v/>
      </c>
      <c r="D404" t="str">
        <f>IF(SAISIE!$E409="","",SAISIE!$E409)</f>
        <v/>
      </c>
      <c r="E404" t="str">
        <f>IF(SAISIE!$F409="","",SAISIE!$F409)</f>
        <v/>
      </c>
      <c r="F404" t="str">
        <f>IF(SAISIE!$G409="","",SAISIE!$G409)</f>
        <v/>
      </c>
      <c r="G404" t="str">
        <f>IF(SAISIE!$H409="","",SAISIE!$H409)</f>
        <v/>
      </c>
      <c r="H404" t="str">
        <f>IF(SAISIE!$I409="","",SAISIE!$I409)</f>
        <v/>
      </c>
      <c r="I404" t="str">
        <f>IF(SAISIE!$J409="","",SAISIE!$J409)</f>
        <v/>
      </c>
      <c r="J404" t="str">
        <f>IF(SAISIE!$K409="","",SAISIE!$K409)</f>
        <v/>
      </c>
      <c r="K404" t="str">
        <f>IF(SAISIE!$L409="","",SAISIE!$L409)</f>
        <v/>
      </c>
      <c r="L404" t="str">
        <f>IF(SAISIE!$M409="","",SAISIE!$M409)</f>
        <v/>
      </c>
      <c r="M404" t="str">
        <f>IF(SAISIE!$N409="","",SAISIE!$N409)</f>
        <v/>
      </c>
      <c r="N404" t="str">
        <f>IF(SAISIE!$O409="","",SAISIE!$O409)</f>
        <v/>
      </c>
      <c r="O404" t="str">
        <f>IF(SAISIE!$P409="","",SAISIE!$P409)</f>
        <v/>
      </c>
      <c r="P404" t="str">
        <f>IF(SAISIE!$Q409="","",SAISIE!$Q409)</f>
        <v/>
      </c>
      <c r="Q404" t="str">
        <f>IF($I404="","",IF($I404&gt;PARAMETRES!$G$29,5,IF($I404&gt;PARAMETRES!$F$29,4,IF($I404&gt;PARAMETRES!$E$29,3,IF($I404&gt;PARAMETRES!$D$29,2,1)))))</f>
        <v/>
      </c>
      <c r="R404" t="str">
        <f>IF($J404="","",IF($J404&gt;PARAMETRES!$G$30,5,IF($J404&gt;PARAMETRES!$F$30,4,IF($J404&gt;PARAMETRES!$E$30,3,IF($J404&gt;PARAMETRES!$D$30,2,1)))))</f>
        <v/>
      </c>
      <c r="S404" t="str">
        <f>IF($K404="","",IF($Z404=2,IF($K404&gt;PARAMETRES!$G$31,5,IF($K404&gt;PARAMETRES!$F$31,4,IF($K404&gt;PARAMETRES!$E$31,3,IF($K404&gt;PARAMETRES!$D$31,2,1)))),IF($K404&gt;PARAMETRES!$G$32,5,IF($K404&gt;PARAMETRES!$F$32,4,IF($K404&gt;PARAMETRES!$E$32,3,IF($K404&gt;PARAMETRES!$D$32,2,1))))))</f>
        <v/>
      </c>
      <c r="T404" t="str">
        <f>IF($L404="","",IF($L404&gt;PARAMETRES!$G$33,5,IF($L404&gt;PARAMETRES!$F$33,4,IF($L404&gt;PARAMETRES!$E$33,3,IF($L404&gt;PARAMETRES!$D$33,2,1)))))</f>
        <v/>
      </c>
      <c r="U404" t="str">
        <f>IF($M404="","",IF($M404&gt;PARAMETRES!$G$34,5,IF($M404&gt;PARAMETRES!$F$34,4,IF($M404&gt;PARAMETRES!$E$34,3,IF($M404&gt;PARAMETRES!$D$34,2,1)))))</f>
        <v/>
      </c>
      <c r="V404" t="str">
        <f>IF($N404="","",IF($N404&gt;PARAMETRES!$G$35,5,IF($N404&gt;PARAMETRES!$F$35,4,IF($N404&gt;PARAMETRES!$E$35,3,IF($N404&gt;PARAMETRES!$D$35,2,1)))))</f>
        <v/>
      </c>
      <c r="W404" t="str">
        <f>IF($O404="","",IF($O404&gt;PARAMETRES!$G$36,5,IF($O404&gt;PARAMETRES!$F$36,4,IF($O404&gt;PARAMETRES!$E$36,3,IF($O404&gt;PARAMETRES!$D$36,2,1)))))</f>
        <v/>
      </c>
      <c r="X404" t="str">
        <f>IF($P404="","",IF($P404&gt;PARAMETRES!$G$37,5,IF($P404&gt;PARAMETRES!$F$37,4,IF($P404&gt;PARAMETRES!$E$37,3,IF($P404&gt;PARAMETRES!$D$37,2,1)))))</f>
        <v/>
      </c>
      <c r="Y404" t="str">
        <f t="shared" si="144"/>
        <v/>
      </c>
      <c r="Z404" t="str">
        <f>IFERROR(VLOOKUP($B404,TABLE_CYCLE,2,0),"")</f>
        <v/>
      </c>
      <c r="AA404" t="str">
        <f t="shared" si="145"/>
        <v/>
      </c>
      <c r="AB404" t="str">
        <f>IF($D404="","",IF(COUNTIF($D$2:$D404,$D404)=1,$D404,""))</f>
        <v/>
      </c>
      <c r="AC404">
        <f t="shared" si="146"/>
        <v>0</v>
      </c>
      <c r="AD404" t="str">
        <f t="shared" si="147"/>
        <v>|0</v>
      </c>
      <c r="AE404" t="str">
        <f t="shared" si="148"/>
        <v/>
      </c>
      <c r="AF404" t="str">
        <f t="shared" si="149"/>
        <v/>
      </c>
      <c r="AG404" t="str">
        <f t="shared" si="150"/>
        <v/>
      </c>
      <c r="AH404" t="str">
        <f t="shared" si="151"/>
        <v/>
      </c>
      <c r="AI404" t="str">
        <f t="shared" si="152"/>
        <v/>
      </c>
      <c r="AJ404" t="str">
        <f t="shared" si="153"/>
        <v/>
      </c>
      <c r="AK404" t="str">
        <f t="shared" si="154"/>
        <v/>
      </c>
      <c r="AL404" t="str">
        <f t="shared" si="155"/>
        <v/>
      </c>
      <c r="AM404" t="str">
        <f t="shared" si="156"/>
        <v/>
      </c>
      <c r="AN404" t="str">
        <f t="shared" si="157"/>
        <v/>
      </c>
      <c r="AO404" t="str">
        <f t="shared" si="158"/>
        <v/>
      </c>
      <c r="AP404">
        <f t="shared" si="159"/>
        <v>1</v>
      </c>
      <c r="AQ404" t="str">
        <f>IF(SAISIE!$F409="","",SAISIE!$Y409)</f>
        <v/>
      </c>
      <c r="AR404" t="str">
        <f>IF(OR(SAISIE!$U$4="",SAISIE!$W$4=""),"",IF(AND($A404=SAISIE!$U$4,$B404=SAISIE!$W$4,$C404="S1"),COUNTIFS($A$2:$A404,SAISIE!$U$4,$B$2:$B404,SAISIE!$W$4,$C$2:$C404,"S1"),""))</f>
        <v/>
      </c>
      <c r="AS404" t="str">
        <f t="shared" si="160"/>
        <v/>
      </c>
      <c r="AT404" t="str">
        <f t="shared" si="161"/>
        <v/>
      </c>
      <c r="AU404" t="str">
        <f t="shared" si="162"/>
        <v/>
      </c>
      <c r="AV404">
        <f>N(AV403)+IF(AND($AB404&lt;&gt;"",OR('PROFIL ELEVE'!$K$4="(Tous)",$AF404='PROFIL ELEVE'!$K$4)),1,0)</f>
        <v>0</v>
      </c>
      <c r="AW404">
        <f>N(AW403)+IF(AND($AB404&lt;&gt;"",OR('SUIVI LONGITUDINAL'!$Q$4="(Tous)",$AF404='SUIVI LONGITUDINAL'!$Q$4)),1,0)</f>
        <v>0</v>
      </c>
      <c r="AX404">
        <f t="shared" si="163"/>
        <v>0</v>
      </c>
      <c r="AY404">
        <f t="shared" si="164"/>
        <v>0</v>
      </c>
      <c r="AZ404">
        <f t="shared" si="165"/>
        <v>0</v>
      </c>
      <c r="BA404" t="str">
        <f t="shared" si="166"/>
        <v/>
      </c>
      <c r="BB404" t="str">
        <f t="shared" si="167"/>
        <v/>
      </c>
    </row>
    <row r="405" spans="1:54" ht="14.25" customHeight="1" x14ac:dyDescent="0.3">
      <c r="A405" t="str">
        <f>IF(SAISIE!$F410="","",SAISIE!$B410)</f>
        <v/>
      </c>
      <c r="B405" t="str">
        <f>IF(SAISIE!$F410="","",SAISIE!$C410)</f>
        <v/>
      </c>
      <c r="C405" t="str">
        <f>IF(SAISIE!$F410="","",SAISIE!$D410)</f>
        <v/>
      </c>
      <c r="D405" t="str">
        <f>IF(SAISIE!$E410="","",SAISIE!$E410)</f>
        <v/>
      </c>
      <c r="E405" t="str">
        <f>IF(SAISIE!$F410="","",SAISIE!$F410)</f>
        <v/>
      </c>
      <c r="F405" t="str">
        <f>IF(SAISIE!$G410="","",SAISIE!$G410)</f>
        <v/>
      </c>
      <c r="G405" t="str">
        <f>IF(SAISIE!$H410="","",SAISIE!$H410)</f>
        <v/>
      </c>
      <c r="H405" t="str">
        <f>IF(SAISIE!$I410="","",SAISIE!$I410)</f>
        <v/>
      </c>
      <c r="I405" t="str">
        <f>IF(SAISIE!$J410="","",SAISIE!$J410)</f>
        <v/>
      </c>
      <c r="J405" t="str">
        <f>IF(SAISIE!$K410="","",SAISIE!$K410)</f>
        <v/>
      </c>
      <c r="K405" t="str">
        <f>IF(SAISIE!$L410="","",SAISIE!$L410)</f>
        <v/>
      </c>
      <c r="L405" t="str">
        <f>IF(SAISIE!$M410="","",SAISIE!$M410)</f>
        <v/>
      </c>
      <c r="M405" t="str">
        <f>IF(SAISIE!$N410="","",SAISIE!$N410)</f>
        <v/>
      </c>
      <c r="N405" t="str">
        <f>IF(SAISIE!$O410="","",SAISIE!$O410)</f>
        <v/>
      </c>
      <c r="O405" t="str">
        <f>IF(SAISIE!$P410="","",SAISIE!$P410)</f>
        <v/>
      </c>
      <c r="P405" t="str">
        <f>IF(SAISIE!$Q410="","",SAISIE!$Q410)</f>
        <v/>
      </c>
      <c r="Q405" t="str">
        <f>IF($I405="","",IF($I405&gt;PARAMETRES!$G$29,5,IF($I405&gt;PARAMETRES!$F$29,4,IF($I405&gt;PARAMETRES!$E$29,3,IF($I405&gt;PARAMETRES!$D$29,2,1)))))</f>
        <v/>
      </c>
      <c r="R405" t="str">
        <f>IF($J405="","",IF($J405&gt;PARAMETRES!$G$30,5,IF($J405&gt;PARAMETRES!$F$30,4,IF($J405&gt;PARAMETRES!$E$30,3,IF($J405&gt;PARAMETRES!$D$30,2,1)))))</f>
        <v/>
      </c>
      <c r="S405" t="str">
        <f>IF($K405="","",IF($Z405=2,IF($K405&gt;PARAMETRES!$G$31,5,IF($K405&gt;PARAMETRES!$F$31,4,IF($K405&gt;PARAMETRES!$E$31,3,IF($K405&gt;PARAMETRES!$D$31,2,1)))),IF($K405&gt;PARAMETRES!$G$32,5,IF($K405&gt;PARAMETRES!$F$32,4,IF($K405&gt;PARAMETRES!$E$32,3,IF($K405&gt;PARAMETRES!$D$32,2,1))))))</f>
        <v/>
      </c>
      <c r="T405" t="str">
        <f>IF($L405="","",IF($L405&gt;PARAMETRES!$G$33,5,IF($L405&gt;PARAMETRES!$F$33,4,IF($L405&gt;PARAMETRES!$E$33,3,IF($L405&gt;PARAMETRES!$D$33,2,1)))))</f>
        <v/>
      </c>
      <c r="U405" t="str">
        <f>IF($M405="","",IF($M405&gt;PARAMETRES!$G$34,5,IF($M405&gt;PARAMETRES!$F$34,4,IF($M405&gt;PARAMETRES!$E$34,3,IF($M405&gt;PARAMETRES!$D$34,2,1)))))</f>
        <v/>
      </c>
      <c r="V405" t="str">
        <f>IF($N405="","",IF($N405&gt;PARAMETRES!$G$35,5,IF($N405&gt;PARAMETRES!$F$35,4,IF($N405&gt;PARAMETRES!$E$35,3,IF($N405&gt;PARAMETRES!$D$35,2,1)))))</f>
        <v/>
      </c>
      <c r="W405" t="str">
        <f>IF($O405="","",IF($O405&gt;PARAMETRES!$G$36,5,IF($O405&gt;PARAMETRES!$F$36,4,IF($O405&gt;PARAMETRES!$E$36,3,IF($O405&gt;PARAMETRES!$D$36,2,1)))))</f>
        <v/>
      </c>
      <c r="X405" t="str">
        <f>IF($P405="","",IF($P405&gt;PARAMETRES!$G$37,5,IF($P405&gt;PARAMETRES!$F$37,4,IF($P405&gt;PARAMETRES!$E$37,3,IF($P405&gt;PARAMETRES!$D$37,2,1)))))</f>
        <v/>
      </c>
      <c r="Y405" t="str">
        <f t="shared" si="144"/>
        <v/>
      </c>
      <c r="Z405" t="str">
        <f>IFERROR(VLOOKUP($B405,TABLE_CYCLE,2,0),"")</f>
        <v/>
      </c>
      <c r="AA405" t="str">
        <f t="shared" si="145"/>
        <v/>
      </c>
      <c r="AB405" t="str">
        <f>IF($D405="","",IF(COUNTIF($D$2:$D405,$D405)=1,$D405,""))</f>
        <v/>
      </c>
      <c r="AC405">
        <f t="shared" si="146"/>
        <v>0</v>
      </c>
      <c r="AD405" t="str">
        <f t="shared" si="147"/>
        <v>|0</v>
      </c>
      <c r="AE405" t="str">
        <f t="shared" si="148"/>
        <v/>
      </c>
      <c r="AF405" t="str">
        <f t="shared" si="149"/>
        <v/>
      </c>
      <c r="AG405" t="str">
        <f t="shared" si="150"/>
        <v/>
      </c>
      <c r="AH405" t="str">
        <f t="shared" si="151"/>
        <v/>
      </c>
      <c r="AI405" t="str">
        <f t="shared" si="152"/>
        <v/>
      </c>
      <c r="AJ405" t="str">
        <f t="shared" si="153"/>
        <v/>
      </c>
      <c r="AK405" t="str">
        <f t="shared" si="154"/>
        <v/>
      </c>
      <c r="AL405" t="str">
        <f t="shared" si="155"/>
        <v/>
      </c>
      <c r="AM405" t="str">
        <f t="shared" si="156"/>
        <v/>
      </c>
      <c r="AN405" t="str">
        <f t="shared" si="157"/>
        <v/>
      </c>
      <c r="AO405" t="str">
        <f t="shared" si="158"/>
        <v/>
      </c>
      <c r="AP405">
        <f t="shared" si="159"/>
        <v>1</v>
      </c>
      <c r="AQ405" t="str">
        <f>IF(SAISIE!$F410="","",SAISIE!$Y410)</f>
        <v/>
      </c>
      <c r="AR405" t="str">
        <f>IF(OR(SAISIE!$U$4="",SAISIE!$W$4=""),"",IF(AND($A405=SAISIE!$U$4,$B405=SAISIE!$W$4,$C405="S1"),COUNTIFS($A$2:$A405,SAISIE!$U$4,$B$2:$B405,SAISIE!$W$4,$C$2:$C405,"S1"),""))</f>
        <v/>
      </c>
      <c r="AS405" t="str">
        <f t="shared" si="160"/>
        <v/>
      </c>
      <c r="AT405" t="str">
        <f t="shared" si="161"/>
        <v/>
      </c>
      <c r="AU405" t="str">
        <f t="shared" si="162"/>
        <v/>
      </c>
      <c r="AV405">
        <f>N(AV404)+IF(AND($AB405&lt;&gt;"",OR('PROFIL ELEVE'!$K$4="(Tous)",$AF405='PROFIL ELEVE'!$K$4)),1,0)</f>
        <v>0</v>
      </c>
      <c r="AW405">
        <f>N(AW404)+IF(AND($AB405&lt;&gt;"",OR('SUIVI LONGITUDINAL'!$Q$4="(Tous)",$AF405='SUIVI LONGITUDINAL'!$Q$4)),1,0)</f>
        <v>0</v>
      </c>
      <c r="AX405">
        <f t="shared" si="163"/>
        <v>0</v>
      </c>
      <c r="AY405">
        <f t="shared" si="164"/>
        <v>0</v>
      </c>
      <c r="AZ405">
        <f t="shared" si="165"/>
        <v>0</v>
      </c>
      <c r="BA405" t="str">
        <f t="shared" si="166"/>
        <v/>
      </c>
      <c r="BB405" t="str">
        <f t="shared" si="167"/>
        <v/>
      </c>
    </row>
    <row r="406" spans="1:54" ht="14.25" customHeight="1" x14ac:dyDescent="0.3">
      <c r="A406" t="str">
        <f>IF(SAISIE!$F411="","",SAISIE!$B411)</f>
        <v/>
      </c>
      <c r="B406" t="str">
        <f>IF(SAISIE!$F411="","",SAISIE!$C411)</f>
        <v/>
      </c>
      <c r="C406" t="str">
        <f>IF(SAISIE!$F411="","",SAISIE!$D411)</f>
        <v/>
      </c>
      <c r="D406" t="str">
        <f>IF(SAISIE!$E411="","",SAISIE!$E411)</f>
        <v/>
      </c>
      <c r="E406" t="str">
        <f>IF(SAISIE!$F411="","",SAISIE!$F411)</f>
        <v/>
      </c>
      <c r="F406" t="str">
        <f>IF(SAISIE!$G411="","",SAISIE!$G411)</f>
        <v/>
      </c>
      <c r="G406" t="str">
        <f>IF(SAISIE!$H411="","",SAISIE!$H411)</f>
        <v/>
      </c>
      <c r="H406" t="str">
        <f>IF(SAISIE!$I411="","",SAISIE!$I411)</f>
        <v/>
      </c>
      <c r="I406" t="str">
        <f>IF(SAISIE!$J411="","",SAISIE!$J411)</f>
        <v/>
      </c>
      <c r="J406" t="str">
        <f>IF(SAISIE!$K411="","",SAISIE!$K411)</f>
        <v/>
      </c>
      <c r="K406" t="str">
        <f>IF(SAISIE!$L411="","",SAISIE!$L411)</f>
        <v/>
      </c>
      <c r="L406" t="str">
        <f>IF(SAISIE!$M411="","",SAISIE!$M411)</f>
        <v/>
      </c>
      <c r="M406" t="str">
        <f>IF(SAISIE!$N411="","",SAISIE!$N411)</f>
        <v/>
      </c>
      <c r="N406" t="str">
        <f>IF(SAISIE!$O411="","",SAISIE!$O411)</f>
        <v/>
      </c>
      <c r="O406" t="str">
        <f>IF(SAISIE!$P411="","",SAISIE!$P411)</f>
        <v/>
      </c>
      <c r="P406" t="str">
        <f>IF(SAISIE!$Q411="","",SAISIE!$Q411)</f>
        <v/>
      </c>
      <c r="Q406" t="str">
        <f>IF($I406="","",IF($I406&gt;PARAMETRES!$G$29,5,IF($I406&gt;PARAMETRES!$F$29,4,IF($I406&gt;PARAMETRES!$E$29,3,IF($I406&gt;PARAMETRES!$D$29,2,1)))))</f>
        <v/>
      </c>
      <c r="R406" t="str">
        <f>IF($J406="","",IF($J406&gt;PARAMETRES!$G$30,5,IF($J406&gt;PARAMETRES!$F$30,4,IF($J406&gt;PARAMETRES!$E$30,3,IF($J406&gt;PARAMETRES!$D$30,2,1)))))</f>
        <v/>
      </c>
      <c r="S406" t="str">
        <f>IF($K406="","",IF($Z406=2,IF($K406&gt;PARAMETRES!$G$31,5,IF($K406&gt;PARAMETRES!$F$31,4,IF($K406&gt;PARAMETRES!$E$31,3,IF($K406&gt;PARAMETRES!$D$31,2,1)))),IF($K406&gt;PARAMETRES!$G$32,5,IF($K406&gt;PARAMETRES!$F$32,4,IF($K406&gt;PARAMETRES!$E$32,3,IF($K406&gt;PARAMETRES!$D$32,2,1))))))</f>
        <v/>
      </c>
      <c r="T406" t="str">
        <f>IF($L406="","",IF($L406&gt;PARAMETRES!$G$33,5,IF($L406&gt;PARAMETRES!$F$33,4,IF($L406&gt;PARAMETRES!$E$33,3,IF($L406&gt;PARAMETRES!$D$33,2,1)))))</f>
        <v/>
      </c>
      <c r="U406" t="str">
        <f>IF($M406="","",IF($M406&gt;PARAMETRES!$G$34,5,IF($M406&gt;PARAMETRES!$F$34,4,IF($M406&gt;PARAMETRES!$E$34,3,IF($M406&gt;PARAMETRES!$D$34,2,1)))))</f>
        <v/>
      </c>
      <c r="V406" t="str">
        <f>IF($N406="","",IF($N406&gt;PARAMETRES!$G$35,5,IF($N406&gt;PARAMETRES!$F$35,4,IF($N406&gt;PARAMETRES!$E$35,3,IF($N406&gt;PARAMETRES!$D$35,2,1)))))</f>
        <v/>
      </c>
      <c r="W406" t="str">
        <f>IF($O406="","",IF($O406&gt;PARAMETRES!$G$36,5,IF($O406&gt;PARAMETRES!$F$36,4,IF($O406&gt;PARAMETRES!$E$36,3,IF($O406&gt;PARAMETRES!$D$36,2,1)))))</f>
        <v/>
      </c>
      <c r="X406" t="str">
        <f>IF($P406="","",IF($P406&gt;PARAMETRES!$G$37,5,IF($P406&gt;PARAMETRES!$F$37,4,IF($P406&gt;PARAMETRES!$E$37,3,IF($P406&gt;PARAMETRES!$D$37,2,1)))))</f>
        <v/>
      </c>
      <c r="Y406" t="str">
        <f t="shared" si="144"/>
        <v/>
      </c>
      <c r="Z406" t="str">
        <f>IFERROR(VLOOKUP($B406,TABLE_CYCLE,2,0),"")</f>
        <v/>
      </c>
      <c r="AA406" t="str">
        <f t="shared" si="145"/>
        <v/>
      </c>
      <c r="AB406" t="str">
        <f>IF($D406="","",IF(COUNTIF($D$2:$D406,$D406)=1,$D406,""))</f>
        <v/>
      </c>
      <c r="AC406">
        <f t="shared" si="146"/>
        <v>0</v>
      </c>
      <c r="AD406" t="str">
        <f t="shared" si="147"/>
        <v>|0</v>
      </c>
      <c r="AE406" t="str">
        <f t="shared" si="148"/>
        <v/>
      </c>
      <c r="AF406" t="str">
        <f t="shared" si="149"/>
        <v/>
      </c>
      <c r="AG406" t="str">
        <f t="shared" si="150"/>
        <v/>
      </c>
      <c r="AH406" t="str">
        <f t="shared" si="151"/>
        <v/>
      </c>
      <c r="AI406" t="str">
        <f t="shared" si="152"/>
        <v/>
      </c>
      <c r="AJ406" t="str">
        <f t="shared" si="153"/>
        <v/>
      </c>
      <c r="AK406" t="str">
        <f t="shared" si="154"/>
        <v/>
      </c>
      <c r="AL406" t="str">
        <f t="shared" si="155"/>
        <v/>
      </c>
      <c r="AM406" t="str">
        <f t="shared" si="156"/>
        <v/>
      </c>
      <c r="AN406" t="str">
        <f t="shared" si="157"/>
        <v/>
      </c>
      <c r="AO406" t="str">
        <f t="shared" si="158"/>
        <v/>
      </c>
      <c r="AP406">
        <f t="shared" si="159"/>
        <v>1</v>
      </c>
      <c r="AQ406" t="str">
        <f>IF(SAISIE!$F411="","",SAISIE!$Y411)</f>
        <v/>
      </c>
      <c r="AR406" t="str">
        <f>IF(OR(SAISIE!$U$4="",SAISIE!$W$4=""),"",IF(AND($A406=SAISIE!$U$4,$B406=SAISIE!$W$4,$C406="S1"),COUNTIFS($A$2:$A406,SAISIE!$U$4,$B$2:$B406,SAISIE!$W$4,$C$2:$C406,"S1"),""))</f>
        <v/>
      </c>
      <c r="AS406" t="str">
        <f t="shared" si="160"/>
        <v/>
      </c>
      <c r="AT406" t="str">
        <f t="shared" si="161"/>
        <v/>
      </c>
      <c r="AU406" t="str">
        <f t="shared" si="162"/>
        <v/>
      </c>
      <c r="AV406">
        <f>N(AV405)+IF(AND($AB406&lt;&gt;"",OR('PROFIL ELEVE'!$K$4="(Tous)",$AF406='PROFIL ELEVE'!$K$4)),1,0)</f>
        <v>0</v>
      </c>
      <c r="AW406">
        <f>N(AW405)+IF(AND($AB406&lt;&gt;"",OR('SUIVI LONGITUDINAL'!$Q$4="(Tous)",$AF406='SUIVI LONGITUDINAL'!$Q$4)),1,0)</f>
        <v>0</v>
      </c>
      <c r="AX406">
        <f t="shared" si="163"/>
        <v>0</v>
      </c>
      <c r="AY406">
        <f t="shared" si="164"/>
        <v>0</v>
      </c>
      <c r="AZ406">
        <f t="shared" si="165"/>
        <v>0</v>
      </c>
      <c r="BA406" t="str">
        <f t="shared" si="166"/>
        <v/>
      </c>
      <c r="BB406" t="str">
        <f t="shared" si="167"/>
        <v/>
      </c>
    </row>
    <row r="407" spans="1:54" ht="14.25" customHeight="1" x14ac:dyDescent="0.3">
      <c r="A407" t="str">
        <f>IF(SAISIE!$F412="","",SAISIE!$B412)</f>
        <v/>
      </c>
      <c r="B407" t="str">
        <f>IF(SAISIE!$F412="","",SAISIE!$C412)</f>
        <v/>
      </c>
      <c r="C407" t="str">
        <f>IF(SAISIE!$F412="","",SAISIE!$D412)</f>
        <v/>
      </c>
      <c r="D407" t="str">
        <f>IF(SAISIE!$E412="","",SAISIE!$E412)</f>
        <v/>
      </c>
      <c r="E407" t="str">
        <f>IF(SAISIE!$F412="","",SAISIE!$F412)</f>
        <v/>
      </c>
      <c r="F407" t="str">
        <f>IF(SAISIE!$G412="","",SAISIE!$G412)</f>
        <v/>
      </c>
      <c r="G407" t="str">
        <f>IF(SAISIE!$H412="","",SAISIE!$H412)</f>
        <v/>
      </c>
      <c r="H407" t="str">
        <f>IF(SAISIE!$I412="","",SAISIE!$I412)</f>
        <v/>
      </c>
      <c r="I407" t="str">
        <f>IF(SAISIE!$J412="","",SAISIE!$J412)</f>
        <v/>
      </c>
      <c r="J407" t="str">
        <f>IF(SAISIE!$K412="","",SAISIE!$K412)</f>
        <v/>
      </c>
      <c r="K407" t="str">
        <f>IF(SAISIE!$L412="","",SAISIE!$L412)</f>
        <v/>
      </c>
      <c r="L407" t="str">
        <f>IF(SAISIE!$M412="","",SAISIE!$M412)</f>
        <v/>
      </c>
      <c r="M407" t="str">
        <f>IF(SAISIE!$N412="","",SAISIE!$N412)</f>
        <v/>
      </c>
      <c r="N407" t="str">
        <f>IF(SAISIE!$O412="","",SAISIE!$O412)</f>
        <v/>
      </c>
      <c r="O407" t="str">
        <f>IF(SAISIE!$P412="","",SAISIE!$P412)</f>
        <v/>
      </c>
      <c r="P407" t="str">
        <f>IF(SAISIE!$Q412="","",SAISIE!$Q412)</f>
        <v/>
      </c>
      <c r="Q407" t="str">
        <f>IF($I407="","",IF($I407&gt;PARAMETRES!$G$29,5,IF($I407&gt;PARAMETRES!$F$29,4,IF($I407&gt;PARAMETRES!$E$29,3,IF($I407&gt;PARAMETRES!$D$29,2,1)))))</f>
        <v/>
      </c>
      <c r="R407" t="str">
        <f>IF($J407="","",IF($J407&gt;PARAMETRES!$G$30,5,IF($J407&gt;PARAMETRES!$F$30,4,IF($J407&gt;PARAMETRES!$E$30,3,IF($J407&gt;PARAMETRES!$D$30,2,1)))))</f>
        <v/>
      </c>
      <c r="S407" t="str">
        <f>IF($K407="","",IF($Z407=2,IF($K407&gt;PARAMETRES!$G$31,5,IF($K407&gt;PARAMETRES!$F$31,4,IF($K407&gt;PARAMETRES!$E$31,3,IF($K407&gt;PARAMETRES!$D$31,2,1)))),IF($K407&gt;PARAMETRES!$G$32,5,IF($K407&gt;PARAMETRES!$F$32,4,IF($K407&gt;PARAMETRES!$E$32,3,IF($K407&gt;PARAMETRES!$D$32,2,1))))))</f>
        <v/>
      </c>
      <c r="T407" t="str">
        <f>IF($L407="","",IF($L407&gt;PARAMETRES!$G$33,5,IF($L407&gt;PARAMETRES!$F$33,4,IF($L407&gt;PARAMETRES!$E$33,3,IF($L407&gt;PARAMETRES!$D$33,2,1)))))</f>
        <v/>
      </c>
      <c r="U407" t="str">
        <f>IF($M407="","",IF($M407&gt;PARAMETRES!$G$34,5,IF($M407&gt;PARAMETRES!$F$34,4,IF($M407&gt;PARAMETRES!$E$34,3,IF($M407&gt;PARAMETRES!$D$34,2,1)))))</f>
        <v/>
      </c>
      <c r="V407" t="str">
        <f>IF($N407="","",IF($N407&gt;PARAMETRES!$G$35,5,IF($N407&gt;PARAMETRES!$F$35,4,IF($N407&gt;PARAMETRES!$E$35,3,IF($N407&gt;PARAMETRES!$D$35,2,1)))))</f>
        <v/>
      </c>
      <c r="W407" t="str">
        <f>IF($O407="","",IF($O407&gt;PARAMETRES!$G$36,5,IF($O407&gt;PARAMETRES!$F$36,4,IF($O407&gt;PARAMETRES!$E$36,3,IF($O407&gt;PARAMETRES!$D$36,2,1)))))</f>
        <v/>
      </c>
      <c r="X407" t="str">
        <f>IF($P407="","",IF($P407&gt;PARAMETRES!$G$37,5,IF($P407&gt;PARAMETRES!$F$37,4,IF($P407&gt;PARAMETRES!$E$37,3,IF($P407&gt;PARAMETRES!$D$37,2,1)))))</f>
        <v/>
      </c>
      <c r="Y407" t="str">
        <f t="shared" si="144"/>
        <v/>
      </c>
      <c r="Z407" t="str">
        <f>IFERROR(VLOOKUP($B407,TABLE_CYCLE,2,0),"")</f>
        <v/>
      </c>
      <c r="AA407" t="str">
        <f t="shared" si="145"/>
        <v/>
      </c>
      <c r="AB407" t="str">
        <f>IF($D407="","",IF(COUNTIF($D$2:$D407,$D407)=1,$D407,""))</f>
        <v/>
      </c>
      <c r="AC407">
        <f t="shared" si="146"/>
        <v>0</v>
      </c>
      <c r="AD407" t="str">
        <f t="shared" si="147"/>
        <v>|0</v>
      </c>
      <c r="AE407" t="str">
        <f t="shared" si="148"/>
        <v/>
      </c>
      <c r="AF407" t="str">
        <f t="shared" si="149"/>
        <v/>
      </c>
      <c r="AG407" t="str">
        <f t="shared" si="150"/>
        <v/>
      </c>
      <c r="AH407" t="str">
        <f t="shared" si="151"/>
        <v/>
      </c>
      <c r="AI407" t="str">
        <f t="shared" si="152"/>
        <v/>
      </c>
      <c r="AJ407" t="str">
        <f t="shared" si="153"/>
        <v/>
      </c>
      <c r="AK407" t="str">
        <f t="shared" si="154"/>
        <v/>
      </c>
      <c r="AL407" t="str">
        <f t="shared" si="155"/>
        <v/>
      </c>
      <c r="AM407" t="str">
        <f t="shared" si="156"/>
        <v/>
      </c>
      <c r="AN407" t="str">
        <f t="shared" si="157"/>
        <v/>
      </c>
      <c r="AO407" t="str">
        <f t="shared" si="158"/>
        <v/>
      </c>
      <c r="AP407">
        <f t="shared" si="159"/>
        <v>1</v>
      </c>
      <c r="AQ407" t="str">
        <f>IF(SAISIE!$F412="","",SAISIE!$Y412)</f>
        <v/>
      </c>
      <c r="AR407" t="str">
        <f>IF(OR(SAISIE!$U$4="",SAISIE!$W$4=""),"",IF(AND($A407=SAISIE!$U$4,$B407=SAISIE!$W$4,$C407="S1"),COUNTIFS($A$2:$A407,SAISIE!$U$4,$B$2:$B407,SAISIE!$W$4,$C$2:$C407,"S1"),""))</f>
        <v/>
      </c>
      <c r="AS407" t="str">
        <f t="shared" si="160"/>
        <v/>
      </c>
      <c r="AT407" t="str">
        <f t="shared" si="161"/>
        <v/>
      </c>
      <c r="AU407" t="str">
        <f t="shared" si="162"/>
        <v/>
      </c>
      <c r="AV407">
        <f>N(AV406)+IF(AND($AB407&lt;&gt;"",OR('PROFIL ELEVE'!$K$4="(Tous)",$AF407='PROFIL ELEVE'!$K$4)),1,0)</f>
        <v>0</v>
      </c>
      <c r="AW407">
        <f>N(AW406)+IF(AND($AB407&lt;&gt;"",OR('SUIVI LONGITUDINAL'!$Q$4="(Tous)",$AF407='SUIVI LONGITUDINAL'!$Q$4)),1,0)</f>
        <v>0</v>
      </c>
      <c r="AX407">
        <f t="shared" si="163"/>
        <v>0</v>
      </c>
      <c r="AY407">
        <f t="shared" si="164"/>
        <v>0</v>
      </c>
      <c r="AZ407">
        <f t="shared" si="165"/>
        <v>0</v>
      </c>
      <c r="BA407" t="str">
        <f t="shared" si="166"/>
        <v/>
      </c>
      <c r="BB407" t="str">
        <f t="shared" si="167"/>
        <v/>
      </c>
    </row>
    <row r="408" spans="1:54" ht="14.25" customHeight="1" x14ac:dyDescent="0.3">
      <c r="A408" t="str">
        <f>IF(SAISIE!$F413="","",SAISIE!$B413)</f>
        <v/>
      </c>
      <c r="B408" t="str">
        <f>IF(SAISIE!$F413="","",SAISIE!$C413)</f>
        <v/>
      </c>
      <c r="C408" t="str">
        <f>IF(SAISIE!$F413="","",SAISIE!$D413)</f>
        <v/>
      </c>
      <c r="D408" t="str">
        <f>IF(SAISIE!$E413="","",SAISIE!$E413)</f>
        <v/>
      </c>
      <c r="E408" t="str">
        <f>IF(SAISIE!$F413="","",SAISIE!$F413)</f>
        <v/>
      </c>
      <c r="F408" t="str">
        <f>IF(SAISIE!$G413="","",SAISIE!$G413)</f>
        <v/>
      </c>
      <c r="G408" t="str">
        <f>IF(SAISIE!$H413="","",SAISIE!$H413)</f>
        <v/>
      </c>
      <c r="H408" t="str">
        <f>IF(SAISIE!$I413="","",SAISIE!$I413)</f>
        <v/>
      </c>
      <c r="I408" t="str">
        <f>IF(SAISIE!$J413="","",SAISIE!$J413)</f>
        <v/>
      </c>
      <c r="J408" t="str">
        <f>IF(SAISIE!$K413="","",SAISIE!$K413)</f>
        <v/>
      </c>
      <c r="K408" t="str">
        <f>IF(SAISIE!$L413="","",SAISIE!$L413)</f>
        <v/>
      </c>
      <c r="L408" t="str">
        <f>IF(SAISIE!$M413="","",SAISIE!$M413)</f>
        <v/>
      </c>
      <c r="M408" t="str">
        <f>IF(SAISIE!$N413="","",SAISIE!$N413)</f>
        <v/>
      </c>
      <c r="N408" t="str">
        <f>IF(SAISIE!$O413="","",SAISIE!$O413)</f>
        <v/>
      </c>
      <c r="O408" t="str">
        <f>IF(SAISIE!$P413="","",SAISIE!$P413)</f>
        <v/>
      </c>
      <c r="P408" t="str">
        <f>IF(SAISIE!$Q413="","",SAISIE!$Q413)</f>
        <v/>
      </c>
      <c r="Q408" t="str">
        <f>IF($I408="","",IF($I408&gt;PARAMETRES!$G$29,5,IF($I408&gt;PARAMETRES!$F$29,4,IF($I408&gt;PARAMETRES!$E$29,3,IF($I408&gt;PARAMETRES!$D$29,2,1)))))</f>
        <v/>
      </c>
      <c r="R408" t="str">
        <f>IF($J408="","",IF($J408&gt;PARAMETRES!$G$30,5,IF($J408&gt;PARAMETRES!$F$30,4,IF($J408&gt;PARAMETRES!$E$30,3,IF($J408&gt;PARAMETRES!$D$30,2,1)))))</f>
        <v/>
      </c>
      <c r="S408" t="str">
        <f>IF($K408="","",IF($Z408=2,IF($K408&gt;PARAMETRES!$G$31,5,IF($K408&gt;PARAMETRES!$F$31,4,IF($K408&gt;PARAMETRES!$E$31,3,IF($K408&gt;PARAMETRES!$D$31,2,1)))),IF($K408&gt;PARAMETRES!$G$32,5,IF($K408&gt;PARAMETRES!$F$32,4,IF($K408&gt;PARAMETRES!$E$32,3,IF($K408&gt;PARAMETRES!$D$32,2,1))))))</f>
        <v/>
      </c>
      <c r="T408" t="str">
        <f>IF($L408="","",IF($L408&gt;PARAMETRES!$G$33,5,IF($L408&gt;PARAMETRES!$F$33,4,IF($L408&gt;PARAMETRES!$E$33,3,IF($L408&gt;PARAMETRES!$D$33,2,1)))))</f>
        <v/>
      </c>
      <c r="U408" t="str">
        <f>IF($M408="","",IF($M408&gt;PARAMETRES!$G$34,5,IF($M408&gt;PARAMETRES!$F$34,4,IF($M408&gt;PARAMETRES!$E$34,3,IF($M408&gt;PARAMETRES!$D$34,2,1)))))</f>
        <v/>
      </c>
      <c r="V408" t="str">
        <f>IF($N408="","",IF($N408&gt;PARAMETRES!$G$35,5,IF($N408&gt;PARAMETRES!$F$35,4,IF($N408&gt;PARAMETRES!$E$35,3,IF($N408&gt;PARAMETRES!$D$35,2,1)))))</f>
        <v/>
      </c>
      <c r="W408" t="str">
        <f>IF($O408="","",IF($O408&gt;PARAMETRES!$G$36,5,IF($O408&gt;PARAMETRES!$F$36,4,IF($O408&gt;PARAMETRES!$E$36,3,IF($O408&gt;PARAMETRES!$D$36,2,1)))))</f>
        <v/>
      </c>
      <c r="X408" t="str">
        <f>IF($P408="","",IF($P408&gt;PARAMETRES!$G$37,5,IF($P408&gt;PARAMETRES!$F$37,4,IF($P408&gt;PARAMETRES!$E$37,3,IF($P408&gt;PARAMETRES!$D$37,2,1)))))</f>
        <v/>
      </c>
      <c r="Y408" t="str">
        <f t="shared" si="144"/>
        <v/>
      </c>
      <c r="Z408" t="str">
        <f>IFERROR(VLOOKUP($B408,TABLE_CYCLE,2,0),"")</f>
        <v/>
      </c>
      <c r="AA408" t="str">
        <f t="shared" si="145"/>
        <v/>
      </c>
      <c r="AB408" t="str">
        <f>IF($D408="","",IF(COUNTIF($D$2:$D408,$D408)=1,$D408,""))</f>
        <v/>
      </c>
      <c r="AC408">
        <f t="shared" si="146"/>
        <v>0</v>
      </c>
      <c r="AD408" t="str">
        <f t="shared" si="147"/>
        <v>|0</v>
      </c>
      <c r="AE408" t="str">
        <f t="shared" si="148"/>
        <v/>
      </c>
      <c r="AF408" t="str">
        <f t="shared" si="149"/>
        <v/>
      </c>
      <c r="AG408" t="str">
        <f t="shared" si="150"/>
        <v/>
      </c>
      <c r="AH408" t="str">
        <f t="shared" si="151"/>
        <v/>
      </c>
      <c r="AI408" t="str">
        <f t="shared" si="152"/>
        <v/>
      </c>
      <c r="AJ408" t="str">
        <f t="shared" si="153"/>
        <v/>
      </c>
      <c r="AK408" t="str">
        <f t="shared" si="154"/>
        <v/>
      </c>
      <c r="AL408" t="str">
        <f t="shared" si="155"/>
        <v/>
      </c>
      <c r="AM408" t="str">
        <f t="shared" si="156"/>
        <v/>
      </c>
      <c r="AN408" t="str">
        <f t="shared" si="157"/>
        <v/>
      </c>
      <c r="AO408" t="str">
        <f t="shared" si="158"/>
        <v/>
      </c>
      <c r="AP408">
        <f t="shared" si="159"/>
        <v>1</v>
      </c>
      <c r="AQ408" t="str">
        <f>IF(SAISIE!$F413="","",SAISIE!$Y413)</f>
        <v/>
      </c>
      <c r="AR408" t="str">
        <f>IF(OR(SAISIE!$U$4="",SAISIE!$W$4=""),"",IF(AND($A408=SAISIE!$U$4,$B408=SAISIE!$W$4,$C408="S1"),COUNTIFS($A$2:$A408,SAISIE!$U$4,$B$2:$B408,SAISIE!$W$4,$C$2:$C408,"S1"),""))</f>
        <v/>
      </c>
      <c r="AS408" t="str">
        <f t="shared" si="160"/>
        <v/>
      </c>
      <c r="AT408" t="str">
        <f t="shared" si="161"/>
        <v/>
      </c>
      <c r="AU408" t="str">
        <f t="shared" si="162"/>
        <v/>
      </c>
      <c r="AV408">
        <f>N(AV407)+IF(AND($AB408&lt;&gt;"",OR('PROFIL ELEVE'!$K$4="(Tous)",$AF408='PROFIL ELEVE'!$K$4)),1,0)</f>
        <v>0</v>
      </c>
      <c r="AW408">
        <f>N(AW407)+IF(AND($AB408&lt;&gt;"",OR('SUIVI LONGITUDINAL'!$Q$4="(Tous)",$AF408='SUIVI LONGITUDINAL'!$Q$4)),1,0)</f>
        <v>0</v>
      </c>
      <c r="AX408">
        <f t="shared" si="163"/>
        <v>0</v>
      </c>
      <c r="AY408">
        <f t="shared" si="164"/>
        <v>0</v>
      </c>
      <c r="AZ408">
        <f t="shared" si="165"/>
        <v>0</v>
      </c>
      <c r="BA408" t="str">
        <f t="shared" si="166"/>
        <v/>
      </c>
      <c r="BB408" t="str">
        <f t="shared" si="167"/>
        <v/>
      </c>
    </row>
    <row r="409" spans="1:54" ht="14.25" customHeight="1" x14ac:dyDescent="0.3">
      <c r="A409" t="str">
        <f>IF(SAISIE!$F414="","",SAISIE!$B414)</f>
        <v/>
      </c>
      <c r="B409" t="str">
        <f>IF(SAISIE!$F414="","",SAISIE!$C414)</f>
        <v/>
      </c>
      <c r="C409" t="str">
        <f>IF(SAISIE!$F414="","",SAISIE!$D414)</f>
        <v/>
      </c>
      <c r="D409" t="str">
        <f>IF(SAISIE!$E414="","",SAISIE!$E414)</f>
        <v/>
      </c>
      <c r="E409" t="str">
        <f>IF(SAISIE!$F414="","",SAISIE!$F414)</f>
        <v/>
      </c>
      <c r="F409" t="str">
        <f>IF(SAISIE!$G414="","",SAISIE!$G414)</f>
        <v/>
      </c>
      <c r="G409" t="str">
        <f>IF(SAISIE!$H414="","",SAISIE!$H414)</f>
        <v/>
      </c>
      <c r="H409" t="str">
        <f>IF(SAISIE!$I414="","",SAISIE!$I414)</f>
        <v/>
      </c>
      <c r="I409" t="str">
        <f>IF(SAISIE!$J414="","",SAISIE!$J414)</f>
        <v/>
      </c>
      <c r="J409" t="str">
        <f>IF(SAISIE!$K414="","",SAISIE!$K414)</f>
        <v/>
      </c>
      <c r="K409" t="str">
        <f>IF(SAISIE!$L414="","",SAISIE!$L414)</f>
        <v/>
      </c>
      <c r="L409" t="str">
        <f>IF(SAISIE!$M414="","",SAISIE!$M414)</f>
        <v/>
      </c>
      <c r="M409" t="str">
        <f>IF(SAISIE!$N414="","",SAISIE!$N414)</f>
        <v/>
      </c>
      <c r="N409" t="str">
        <f>IF(SAISIE!$O414="","",SAISIE!$O414)</f>
        <v/>
      </c>
      <c r="O409" t="str">
        <f>IF(SAISIE!$P414="","",SAISIE!$P414)</f>
        <v/>
      </c>
      <c r="P409" t="str">
        <f>IF(SAISIE!$Q414="","",SAISIE!$Q414)</f>
        <v/>
      </c>
      <c r="Q409" t="str">
        <f>IF($I409="","",IF($I409&gt;PARAMETRES!$G$29,5,IF($I409&gt;PARAMETRES!$F$29,4,IF($I409&gt;PARAMETRES!$E$29,3,IF($I409&gt;PARAMETRES!$D$29,2,1)))))</f>
        <v/>
      </c>
      <c r="R409" t="str">
        <f>IF($J409="","",IF($J409&gt;PARAMETRES!$G$30,5,IF($J409&gt;PARAMETRES!$F$30,4,IF($J409&gt;PARAMETRES!$E$30,3,IF($J409&gt;PARAMETRES!$D$30,2,1)))))</f>
        <v/>
      </c>
      <c r="S409" t="str">
        <f>IF($K409="","",IF($Z409=2,IF($K409&gt;PARAMETRES!$G$31,5,IF($K409&gt;PARAMETRES!$F$31,4,IF($K409&gt;PARAMETRES!$E$31,3,IF($K409&gt;PARAMETRES!$D$31,2,1)))),IF($K409&gt;PARAMETRES!$G$32,5,IF($K409&gt;PARAMETRES!$F$32,4,IF($K409&gt;PARAMETRES!$E$32,3,IF($K409&gt;PARAMETRES!$D$32,2,1))))))</f>
        <v/>
      </c>
      <c r="T409" t="str">
        <f>IF($L409="","",IF($L409&gt;PARAMETRES!$G$33,5,IF($L409&gt;PARAMETRES!$F$33,4,IF($L409&gt;PARAMETRES!$E$33,3,IF($L409&gt;PARAMETRES!$D$33,2,1)))))</f>
        <v/>
      </c>
      <c r="U409" t="str">
        <f>IF($M409="","",IF($M409&gt;PARAMETRES!$G$34,5,IF($M409&gt;PARAMETRES!$F$34,4,IF($M409&gt;PARAMETRES!$E$34,3,IF($M409&gt;PARAMETRES!$D$34,2,1)))))</f>
        <v/>
      </c>
      <c r="V409" t="str">
        <f>IF($N409="","",IF($N409&gt;PARAMETRES!$G$35,5,IF($N409&gt;PARAMETRES!$F$35,4,IF($N409&gt;PARAMETRES!$E$35,3,IF($N409&gt;PARAMETRES!$D$35,2,1)))))</f>
        <v/>
      </c>
      <c r="W409" t="str">
        <f>IF($O409="","",IF($O409&gt;PARAMETRES!$G$36,5,IF($O409&gt;PARAMETRES!$F$36,4,IF($O409&gt;PARAMETRES!$E$36,3,IF($O409&gt;PARAMETRES!$D$36,2,1)))))</f>
        <v/>
      </c>
      <c r="X409" t="str">
        <f>IF($P409="","",IF($P409&gt;PARAMETRES!$G$37,5,IF($P409&gt;PARAMETRES!$F$37,4,IF($P409&gt;PARAMETRES!$E$37,3,IF($P409&gt;PARAMETRES!$D$37,2,1)))))</f>
        <v/>
      </c>
      <c r="Y409" t="str">
        <f t="shared" si="144"/>
        <v/>
      </c>
      <c r="Z409" t="str">
        <f>IFERROR(VLOOKUP($B409,TABLE_CYCLE,2,0),"")</f>
        <v/>
      </c>
      <c r="AA409" t="str">
        <f t="shared" si="145"/>
        <v/>
      </c>
      <c r="AB409" t="str">
        <f>IF($D409="","",IF(COUNTIF($D$2:$D409,$D409)=1,$D409,""))</f>
        <v/>
      </c>
      <c r="AC409">
        <f t="shared" si="146"/>
        <v>0</v>
      </c>
      <c r="AD409" t="str">
        <f t="shared" si="147"/>
        <v>|0</v>
      </c>
      <c r="AE409" t="str">
        <f t="shared" si="148"/>
        <v/>
      </c>
      <c r="AF409" t="str">
        <f t="shared" si="149"/>
        <v/>
      </c>
      <c r="AG409" t="str">
        <f t="shared" si="150"/>
        <v/>
      </c>
      <c r="AH409" t="str">
        <f t="shared" si="151"/>
        <v/>
      </c>
      <c r="AI409" t="str">
        <f t="shared" si="152"/>
        <v/>
      </c>
      <c r="AJ409" t="str">
        <f t="shared" si="153"/>
        <v/>
      </c>
      <c r="AK409" t="str">
        <f t="shared" si="154"/>
        <v/>
      </c>
      <c r="AL409" t="str">
        <f t="shared" si="155"/>
        <v/>
      </c>
      <c r="AM409" t="str">
        <f t="shared" si="156"/>
        <v/>
      </c>
      <c r="AN409" t="str">
        <f t="shared" si="157"/>
        <v/>
      </c>
      <c r="AO409" t="str">
        <f t="shared" si="158"/>
        <v/>
      </c>
      <c r="AP409">
        <f t="shared" si="159"/>
        <v>1</v>
      </c>
      <c r="AQ409" t="str">
        <f>IF(SAISIE!$F414="","",SAISIE!$Y414)</f>
        <v/>
      </c>
      <c r="AR409" t="str">
        <f>IF(OR(SAISIE!$U$4="",SAISIE!$W$4=""),"",IF(AND($A409=SAISIE!$U$4,$B409=SAISIE!$W$4,$C409="S1"),COUNTIFS($A$2:$A409,SAISIE!$U$4,$B$2:$B409,SAISIE!$W$4,$C$2:$C409,"S1"),""))</f>
        <v/>
      </c>
      <c r="AS409" t="str">
        <f t="shared" si="160"/>
        <v/>
      </c>
      <c r="AT409" t="str">
        <f t="shared" si="161"/>
        <v/>
      </c>
      <c r="AU409" t="str">
        <f t="shared" si="162"/>
        <v/>
      </c>
      <c r="AV409">
        <f>N(AV408)+IF(AND($AB409&lt;&gt;"",OR('PROFIL ELEVE'!$K$4="(Tous)",$AF409='PROFIL ELEVE'!$K$4)),1,0)</f>
        <v>0</v>
      </c>
      <c r="AW409">
        <f>N(AW408)+IF(AND($AB409&lt;&gt;"",OR('SUIVI LONGITUDINAL'!$Q$4="(Tous)",$AF409='SUIVI LONGITUDINAL'!$Q$4)),1,0)</f>
        <v>0</v>
      </c>
      <c r="AX409">
        <f t="shared" si="163"/>
        <v>0</v>
      </c>
      <c r="AY409">
        <f t="shared" si="164"/>
        <v>0</v>
      </c>
      <c r="AZ409">
        <f t="shared" si="165"/>
        <v>0</v>
      </c>
      <c r="BA409" t="str">
        <f t="shared" si="166"/>
        <v/>
      </c>
      <c r="BB409" t="str">
        <f t="shared" si="167"/>
        <v/>
      </c>
    </row>
    <row r="410" spans="1:54" ht="14.25" customHeight="1" x14ac:dyDescent="0.3">
      <c r="A410" t="str">
        <f>IF(SAISIE!$F415="","",SAISIE!$B415)</f>
        <v/>
      </c>
      <c r="B410" t="str">
        <f>IF(SAISIE!$F415="","",SAISIE!$C415)</f>
        <v/>
      </c>
      <c r="C410" t="str">
        <f>IF(SAISIE!$F415="","",SAISIE!$D415)</f>
        <v/>
      </c>
      <c r="D410" t="str">
        <f>IF(SAISIE!$E415="","",SAISIE!$E415)</f>
        <v/>
      </c>
      <c r="E410" t="str">
        <f>IF(SAISIE!$F415="","",SAISIE!$F415)</f>
        <v/>
      </c>
      <c r="F410" t="str">
        <f>IF(SAISIE!$G415="","",SAISIE!$G415)</f>
        <v/>
      </c>
      <c r="G410" t="str">
        <f>IF(SAISIE!$H415="","",SAISIE!$H415)</f>
        <v/>
      </c>
      <c r="H410" t="str">
        <f>IF(SAISIE!$I415="","",SAISIE!$I415)</f>
        <v/>
      </c>
      <c r="I410" t="str">
        <f>IF(SAISIE!$J415="","",SAISIE!$J415)</f>
        <v/>
      </c>
      <c r="J410" t="str">
        <f>IF(SAISIE!$K415="","",SAISIE!$K415)</f>
        <v/>
      </c>
      <c r="K410" t="str">
        <f>IF(SAISIE!$L415="","",SAISIE!$L415)</f>
        <v/>
      </c>
      <c r="L410" t="str">
        <f>IF(SAISIE!$M415="","",SAISIE!$M415)</f>
        <v/>
      </c>
      <c r="M410" t="str">
        <f>IF(SAISIE!$N415="","",SAISIE!$N415)</f>
        <v/>
      </c>
      <c r="N410" t="str">
        <f>IF(SAISIE!$O415="","",SAISIE!$O415)</f>
        <v/>
      </c>
      <c r="O410" t="str">
        <f>IF(SAISIE!$P415="","",SAISIE!$P415)</f>
        <v/>
      </c>
      <c r="P410" t="str">
        <f>IF(SAISIE!$Q415="","",SAISIE!$Q415)</f>
        <v/>
      </c>
      <c r="Q410" t="str">
        <f>IF($I410="","",IF($I410&gt;PARAMETRES!$G$29,5,IF($I410&gt;PARAMETRES!$F$29,4,IF($I410&gt;PARAMETRES!$E$29,3,IF($I410&gt;PARAMETRES!$D$29,2,1)))))</f>
        <v/>
      </c>
      <c r="R410" t="str">
        <f>IF($J410="","",IF($J410&gt;PARAMETRES!$G$30,5,IF($J410&gt;PARAMETRES!$F$30,4,IF($J410&gt;PARAMETRES!$E$30,3,IF($J410&gt;PARAMETRES!$D$30,2,1)))))</f>
        <v/>
      </c>
      <c r="S410" t="str">
        <f>IF($K410="","",IF($Z410=2,IF($K410&gt;PARAMETRES!$G$31,5,IF($K410&gt;PARAMETRES!$F$31,4,IF($K410&gt;PARAMETRES!$E$31,3,IF($K410&gt;PARAMETRES!$D$31,2,1)))),IF($K410&gt;PARAMETRES!$G$32,5,IF($K410&gt;PARAMETRES!$F$32,4,IF($K410&gt;PARAMETRES!$E$32,3,IF($K410&gt;PARAMETRES!$D$32,2,1))))))</f>
        <v/>
      </c>
      <c r="T410" t="str">
        <f>IF($L410="","",IF($L410&gt;PARAMETRES!$G$33,5,IF($L410&gt;PARAMETRES!$F$33,4,IF($L410&gt;PARAMETRES!$E$33,3,IF($L410&gt;PARAMETRES!$D$33,2,1)))))</f>
        <v/>
      </c>
      <c r="U410" t="str">
        <f>IF($M410="","",IF($M410&gt;PARAMETRES!$G$34,5,IF($M410&gt;PARAMETRES!$F$34,4,IF($M410&gt;PARAMETRES!$E$34,3,IF($M410&gt;PARAMETRES!$D$34,2,1)))))</f>
        <v/>
      </c>
      <c r="V410" t="str">
        <f>IF($N410="","",IF($N410&gt;PARAMETRES!$G$35,5,IF($N410&gt;PARAMETRES!$F$35,4,IF($N410&gt;PARAMETRES!$E$35,3,IF($N410&gt;PARAMETRES!$D$35,2,1)))))</f>
        <v/>
      </c>
      <c r="W410" t="str">
        <f>IF($O410="","",IF($O410&gt;PARAMETRES!$G$36,5,IF($O410&gt;PARAMETRES!$F$36,4,IF($O410&gt;PARAMETRES!$E$36,3,IF($O410&gt;PARAMETRES!$D$36,2,1)))))</f>
        <v/>
      </c>
      <c r="X410" t="str">
        <f>IF($P410="","",IF($P410&gt;PARAMETRES!$G$37,5,IF($P410&gt;PARAMETRES!$F$37,4,IF($P410&gt;PARAMETRES!$E$37,3,IF($P410&gt;PARAMETRES!$D$37,2,1)))))</f>
        <v/>
      </c>
      <c r="Y410" t="str">
        <f t="shared" si="144"/>
        <v/>
      </c>
      <c r="Z410" t="str">
        <f>IFERROR(VLOOKUP($B410,TABLE_CYCLE,2,0),"")</f>
        <v/>
      </c>
      <c r="AA410" t="str">
        <f t="shared" si="145"/>
        <v/>
      </c>
      <c r="AB410" t="str">
        <f>IF($D410="","",IF(COUNTIF($D$2:$D410,$D410)=1,$D410,""))</f>
        <v/>
      </c>
      <c r="AC410">
        <f t="shared" si="146"/>
        <v>0</v>
      </c>
      <c r="AD410" t="str">
        <f t="shared" si="147"/>
        <v>|0</v>
      </c>
      <c r="AE410" t="str">
        <f t="shared" si="148"/>
        <v/>
      </c>
      <c r="AF410" t="str">
        <f t="shared" si="149"/>
        <v/>
      </c>
      <c r="AG410" t="str">
        <f t="shared" si="150"/>
        <v/>
      </c>
      <c r="AH410" t="str">
        <f t="shared" si="151"/>
        <v/>
      </c>
      <c r="AI410" t="str">
        <f t="shared" si="152"/>
        <v/>
      </c>
      <c r="AJ410" t="str">
        <f t="shared" si="153"/>
        <v/>
      </c>
      <c r="AK410" t="str">
        <f t="shared" si="154"/>
        <v/>
      </c>
      <c r="AL410" t="str">
        <f t="shared" si="155"/>
        <v/>
      </c>
      <c r="AM410" t="str">
        <f t="shared" si="156"/>
        <v/>
      </c>
      <c r="AN410" t="str">
        <f t="shared" si="157"/>
        <v/>
      </c>
      <c r="AO410" t="str">
        <f t="shared" si="158"/>
        <v/>
      </c>
      <c r="AP410">
        <f t="shared" si="159"/>
        <v>1</v>
      </c>
      <c r="AQ410" t="str">
        <f>IF(SAISIE!$F415="","",SAISIE!$Y415)</f>
        <v/>
      </c>
      <c r="AR410" t="str">
        <f>IF(OR(SAISIE!$U$4="",SAISIE!$W$4=""),"",IF(AND($A410=SAISIE!$U$4,$B410=SAISIE!$W$4,$C410="S1"),COUNTIFS($A$2:$A410,SAISIE!$U$4,$B$2:$B410,SAISIE!$W$4,$C$2:$C410,"S1"),""))</f>
        <v/>
      </c>
      <c r="AS410" t="str">
        <f t="shared" si="160"/>
        <v/>
      </c>
      <c r="AT410" t="str">
        <f t="shared" si="161"/>
        <v/>
      </c>
      <c r="AU410" t="str">
        <f t="shared" si="162"/>
        <v/>
      </c>
      <c r="AV410">
        <f>N(AV409)+IF(AND($AB410&lt;&gt;"",OR('PROFIL ELEVE'!$K$4="(Tous)",$AF410='PROFIL ELEVE'!$K$4)),1,0)</f>
        <v>0</v>
      </c>
      <c r="AW410">
        <f>N(AW409)+IF(AND($AB410&lt;&gt;"",OR('SUIVI LONGITUDINAL'!$Q$4="(Tous)",$AF410='SUIVI LONGITUDINAL'!$Q$4)),1,0)</f>
        <v>0</v>
      </c>
      <c r="AX410">
        <f t="shared" si="163"/>
        <v>0</v>
      </c>
      <c r="AY410">
        <f t="shared" si="164"/>
        <v>0</v>
      </c>
      <c r="AZ410">
        <f t="shared" si="165"/>
        <v>0</v>
      </c>
      <c r="BA410" t="str">
        <f t="shared" si="166"/>
        <v/>
      </c>
      <c r="BB410" t="str">
        <f t="shared" si="167"/>
        <v/>
      </c>
    </row>
    <row r="411" spans="1:54" ht="14.25" customHeight="1" x14ac:dyDescent="0.3">
      <c r="A411" t="str">
        <f>IF(SAISIE!$F416="","",SAISIE!$B416)</f>
        <v/>
      </c>
      <c r="B411" t="str">
        <f>IF(SAISIE!$F416="","",SAISIE!$C416)</f>
        <v/>
      </c>
      <c r="C411" t="str">
        <f>IF(SAISIE!$F416="","",SAISIE!$D416)</f>
        <v/>
      </c>
      <c r="D411" t="str">
        <f>IF(SAISIE!$E416="","",SAISIE!$E416)</f>
        <v/>
      </c>
      <c r="E411" t="str">
        <f>IF(SAISIE!$F416="","",SAISIE!$F416)</f>
        <v/>
      </c>
      <c r="F411" t="str">
        <f>IF(SAISIE!$G416="","",SAISIE!$G416)</f>
        <v/>
      </c>
      <c r="G411" t="str">
        <f>IF(SAISIE!$H416="","",SAISIE!$H416)</f>
        <v/>
      </c>
      <c r="H411" t="str">
        <f>IF(SAISIE!$I416="","",SAISIE!$I416)</f>
        <v/>
      </c>
      <c r="I411" t="str">
        <f>IF(SAISIE!$J416="","",SAISIE!$J416)</f>
        <v/>
      </c>
      <c r="J411" t="str">
        <f>IF(SAISIE!$K416="","",SAISIE!$K416)</f>
        <v/>
      </c>
      <c r="K411" t="str">
        <f>IF(SAISIE!$L416="","",SAISIE!$L416)</f>
        <v/>
      </c>
      <c r="L411" t="str">
        <f>IF(SAISIE!$M416="","",SAISIE!$M416)</f>
        <v/>
      </c>
      <c r="M411" t="str">
        <f>IF(SAISIE!$N416="","",SAISIE!$N416)</f>
        <v/>
      </c>
      <c r="N411" t="str">
        <f>IF(SAISIE!$O416="","",SAISIE!$O416)</f>
        <v/>
      </c>
      <c r="O411" t="str">
        <f>IF(SAISIE!$P416="","",SAISIE!$P416)</f>
        <v/>
      </c>
      <c r="P411" t="str">
        <f>IF(SAISIE!$Q416="","",SAISIE!$Q416)</f>
        <v/>
      </c>
      <c r="Q411" t="str">
        <f>IF($I411="","",IF($I411&gt;PARAMETRES!$G$29,5,IF($I411&gt;PARAMETRES!$F$29,4,IF($I411&gt;PARAMETRES!$E$29,3,IF($I411&gt;PARAMETRES!$D$29,2,1)))))</f>
        <v/>
      </c>
      <c r="R411" t="str">
        <f>IF($J411="","",IF($J411&gt;PARAMETRES!$G$30,5,IF($J411&gt;PARAMETRES!$F$30,4,IF($J411&gt;PARAMETRES!$E$30,3,IF($J411&gt;PARAMETRES!$D$30,2,1)))))</f>
        <v/>
      </c>
      <c r="S411" t="str">
        <f>IF($K411="","",IF($Z411=2,IF($K411&gt;PARAMETRES!$G$31,5,IF($K411&gt;PARAMETRES!$F$31,4,IF($K411&gt;PARAMETRES!$E$31,3,IF($K411&gt;PARAMETRES!$D$31,2,1)))),IF($K411&gt;PARAMETRES!$G$32,5,IF($K411&gt;PARAMETRES!$F$32,4,IF($K411&gt;PARAMETRES!$E$32,3,IF($K411&gt;PARAMETRES!$D$32,2,1))))))</f>
        <v/>
      </c>
      <c r="T411" t="str">
        <f>IF($L411="","",IF($L411&gt;PARAMETRES!$G$33,5,IF($L411&gt;PARAMETRES!$F$33,4,IF($L411&gt;PARAMETRES!$E$33,3,IF($L411&gt;PARAMETRES!$D$33,2,1)))))</f>
        <v/>
      </c>
      <c r="U411" t="str">
        <f>IF($M411="","",IF($M411&gt;PARAMETRES!$G$34,5,IF($M411&gt;PARAMETRES!$F$34,4,IF($M411&gt;PARAMETRES!$E$34,3,IF($M411&gt;PARAMETRES!$D$34,2,1)))))</f>
        <v/>
      </c>
      <c r="V411" t="str">
        <f>IF($N411="","",IF($N411&gt;PARAMETRES!$G$35,5,IF($N411&gt;PARAMETRES!$F$35,4,IF($N411&gt;PARAMETRES!$E$35,3,IF($N411&gt;PARAMETRES!$D$35,2,1)))))</f>
        <v/>
      </c>
      <c r="W411" t="str">
        <f>IF($O411="","",IF($O411&gt;PARAMETRES!$G$36,5,IF($O411&gt;PARAMETRES!$F$36,4,IF($O411&gt;PARAMETRES!$E$36,3,IF($O411&gt;PARAMETRES!$D$36,2,1)))))</f>
        <v/>
      </c>
      <c r="X411" t="str">
        <f>IF($P411="","",IF($P411&gt;PARAMETRES!$G$37,5,IF($P411&gt;PARAMETRES!$F$37,4,IF($P411&gt;PARAMETRES!$E$37,3,IF($P411&gt;PARAMETRES!$D$37,2,1)))))</f>
        <v/>
      </c>
      <c r="Y411" t="str">
        <f t="shared" si="144"/>
        <v/>
      </c>
      <c r="Z411" t="str">
        <f>IFERROR(VLOOKUP($B411,TABLE_CYCLE,2,0),"")</f>
        <v/>
      </c>
      <c r="AA411" t="str">
        <f t="shared" si="145"/>
        <v/>
      </c>
      <c r="AB411" t="str">
        <f>IF($D411="","",IF(COUNTIF($D$2:$D411,$D411)=1,$D411,""))</f>
        <v/>
      </c>
      <c r="AC411">
        <f t="shared" si="146"/>
        <v>0</v>
      </c>
      <c r="AD411" t="str">
        <f t="shared" si="147"/>
        <v>|0</v>
      </c>
      <c r="AE411" t="str">
        <f t="shared" si="148"/>
        <v/>
      </c>
      <c r="AF411" t="str">
        <f t="shared" si="149"/>
        <v/>
      </c>
      <c r="AG411" t="str">
        <f t="shared" si="150"/>
        <v/>
      </c>
      <c r="AH411" t="str">
        <f t="shared" si="151"/>
        <v/>
      </c>
      <c r="AI411" t="str">
        <f t="shared" si="152"/>
        <v/>
      </c>
      <c r="AJ411" t="str">
        <f t="shared" si="153"/>
        <v/>
      </c>
      <c r="AK411" t="str">
        <f t="shared" si="154"/>
        <v/>
      </c>
      <c r="AL411" t="str">
        <f t="shared" si="155"/>
        <v/>
      </c>
      <c r="AM411" t="str">
        <f t="shared" si="156"/>
        <v/>
      </c>
      <c r="AN411" t="str">
        <f t="shared" si="157"/>
        <v/>
      </c>
      <c r="AO411" t="str">
        <f t="shared" si="158"/>
        <v/>
      </c>
      <c r="AP411">
        <f t="shared" si="159"/>
        <v>1</v>
      </c>
      <c r="AQ411" t="str">
        <f>IF(SAISIE!$F416="","",SAISIE!$Y416)</f>
        <v/>
      </c>
      <c r="AR411" t="str">
        <f>IF(OR(SAISIE!$U$4="",SAISIE!$W$4=""),"",IF(AND($A411=SAISIE!$U$4,$B411=SAISIE!$W$4,$C411="S1"),COUNTIFS($A$2:$A411,SAISIE!$U$4,$B$2:$B411,SAISIE!$W$4,$C$2:$C411,"S1"),""))</f>
        <v/>
      </c>
      <c r="AS411" t="str">
        <f t="shared" si="160"/>
        <v/>
      </c>
      <c r="AT411" t="str">
        <f t="shared" si="161"/>
        <v/>
      </c>
      <c r="AU411" t="str">
        <f t="shared" si="162"/>
        <v/>
      </c>
      <c r="AV411">
        <f>N(AV410)+IF(AND($AB411&lt;&gt;"",OR('PROFIL ELEVE'!$K$4="(Tous)",$AF411='PROFIL ELEVE'!$K$4)),1,0)</f>
        <v>0</v>
      </c>
      <c r="AW411">
        <f>N(AW410)+IF(AND($AB411&lt;&gt;"",OR('SUIVI LONGITUDINAL'!$Q$4="(Tous)",$AF411='SUIVI LONGITUDINAL'!$Q$4)),1,0)</f>
        <v>0</v>
      </c>
      <c r="AX411">
        <f t="shared" si="163"/>
        <v>0</v>
      </c>
      <c r="AY411">
        <f t="shared" si="164"/>
        <v>0</v>
      </c>
      <c r="AZ411">
        <f t="shared" si="165"/>
        <v>0</v>
      </c>
      <c r="BA411" t="str">
        <f t="shared" si="166"/>
        <v/>
      </c>
      <c r="BB411" t="str">
        <f t="shared" si="167"/>
        <v/>
      </c>
    </row>
    <row r="412" spans="1:54" ht="14.25" customHeight="1" x14ac:dyDescent="0.3">
      <c r="A412" t="str">
        <f>IF(SAISIE!$F417="","",SAISIE!$B417)</f>
        <v/>
      </c>
      <c r="B412" t="str">
        <f>IF(SAISIE!$F417="","",SAISIE!$C417)</f>
        <v/>
      </c>
      <c r="C412" t="str">
        <f>IF(SAISIE!$F417="","",SAISIE!$D417)</f>
        <v/>
      </c>
      <c r="D412" t="str">
        <f>IF(SAISIE!$E417="","",SAISIE!$E417)</f>
        <v/>
      </c>
      <c r="E412" t="str">
        <f>IF(SAISIE!$F417="","",SAISIE!$F417)</f>
        <v/>
      </c>
      <c r="F412" t="str">
        <f>IF(SAISIE!$G417="","",SAISIE!$G417)</f>
        <v/>
      </c>
      <c r="G412" t="str">
        <f>IF(SAISIE!$H417="","",SAISIE!$H417)</f>
        <v/>
      </c>
      <c r="H412" t="str">
        <f>IF(SAISIE!$I417="","",SAISIE!$I417)</f>
        <v/>
      </c>
      <c r="I412" t="str">
        <f>IF(SAISIE!$J417="","",SAISIE!$J417)</f>
        <v/>
      </c>
      <c r="J412" t="str">
        <f>IF(SAISIE!$K417="","",SAISIE!$K417)</f>
        <v/>
      </c>
      <c r="K412" t="str">
        <f>IF(SAISIE!$L417="","",SAISIE!$L417)</f>
        <v/>
      </c>
      <c r="L412" t="str">
        <f>IF(SAISIE!$M417="","",SAISIE!$M417)</f>
        <v/>
      </c>
      <c r="M412" t="str">
        <f>IF(SAISIE!$N417="","",SAISIE!$N417)</f>
        <v/>
      </c>
      <c r="N412" t="str">
        <f>IF(SAISIE!$O417="","",SAISIE!$O417)</f>
        <v/>
      </c>
      <c r="O412" t="str">
        <f>IF(SAISIE!$P417="","",SAISIE!$P417)</f>
        <v/>
      </c>
      <c r="P412" t="str">
        <f>IF(SAISIE!$Q417="","",SAISIE!$Q417)</f>
        <v/>
      </c>
      <c r="Q412" t="str">
        <f>IF($I412="","",IF($I412&gt;PARAMETRES!$G$29,5,IF($I412&gt;PARAMETRES!$F$29,4,IF($I412&gt;PARAMETRES!$E$29,3,IF($I412&gt;PARAMETRES!$D$29,2,1)))))</f>
        <v/>
      </c>
      <c r="R412" t="str">
        <f>IF($J412="","",IF($J412&gt;PARAMETRES!$G$30,5,IF($J412&gt;PARAMETRES!$F$30,4,IF($J412&gt;PARAMETRES!$E$30,3,IF($J412&gt;PARAMETRES!$D$30,2,1)))))</f>
        <v/>
      </c>
      <c r="S412" t="str">
        <f>IF($K412="","",IF($Z412=2,IF($K412&gt;PARAMETRES!$G$31,5,IF($K412&gt;PARAMETRES!$F$31,4,IF($K412&gt;PARAMETRES!$E$31,3,IF($K412&gt;PARAMETRES!$D$31,2,1)))),IF($K412&gt;PARAMETRES!$G$32,5,IF($K412&gt;PARAMETRES!$F$32,4,IF($K412&gt;PARAMETRES!$E$32,3,IF($K412&gt;PARAMETRES!$D$32,2,1))))))</f>
        <v/>
      </c>
      <c r="T412" t="str">
        <f>IF($L412="","",IF($L412&gt;PARAMETRES!$G$33,5,IF($L412&gt;PARAMETRES!$F$33,4,IF($L412&gt;PARAMETRES!$E$33,3,IF($L412&gt;PARAMETRES!$D$33,2,1)))))</f>
        <v/>
      </c>
      <c r="U412" t="str">
        <f>IF($M412="","",IF($M412&gt;PARAMETRES!$G$34,5,IF($M412&gt;PARAMETRES!$F$34,4,IF($M412&gt;PARAMETRES!$E$34,3,IF($M412&gt;PARAMETRES!$D$34,2,1)))))</f>
        <v/>
      </c>
      <c r="V412" t="str">
        <f>IF($N412="","",IF($N412&gt;PARAMETRES!$G$35,5,IF($N412&gt;PARAMETRES!$F$35,4,IF($N412&gt;PARAMETRES!$E$35,3,IF($N412&gt;PARAMETRES!$D$35,2,1)))))</f>
        <v/>
      </c>
      <c r="W412" t="str">
        <f>IF($O412="","",IF($O412&gt;PARAMETRES!$G$36,5,IF($O412&gt;PARAMETRES!$F$36,4,IF($O412&gt;PARAMETRES!$E$36,3,IF($O412&gt;PARAMETRES!$D$36,2,1)))))</f>
        <v/>
      </c>
      <c r="X412" t="str">
        <f>IF($P412="","",IF($P412&gt;PARAMETRES!$G$37,5,IF($P412&gt;PARAMETRES!$F$37,4,IF($P412&gt;PARAMETRES!$E$37,3,IF($P412&gt;PARAMETRES!$D$37,2,1)))))</f>
        <v/>
      </c>
      <c r="Y412" t="str">
        <f t="shared" si="144"/>
        <v/>
      </c>
      <c r="Z412" t="str">
        <f>IFERROR(VLOOKUP($B412,TABLE_CYCLE,2,0),"")</f>
        <v/>
      </c>
      <c r="AA412" t="str">
        <f t="shared" si="145"/>
        <v/>
      </c>
      <c r="AB412" t="str">
        <f>IF($D412="","",IF(COUNTIF($D$2:$D412,$D412)=1,$D412,""))</f>
        <v/>
      </c>
      <c r="AC412">
        <f t="shared" si="146"/>
        <v>0</v>
      </c>
      <c r="AD412" t="str">
        <f t="shared" si="147"/>
        <v>|0</v>
      </c>
      <c r="AE412" t="str">
        <f t="shared" si="148"/>
        <v/>
      </c>
      <c r="AF412" t="str">
        <f t="shared" si="149"/>
        <v/>
      </c>
      <c r="AG412" t="str">
        <f t="shared" si="150"/>
        <v/>
      </c>
      <c r="AH412" t="str">
        <f t="shared" si="151"/>
        <v/>
      </c>
      <c r="AI412" t="str">
        <f t="shared" si="152"/>
        <v/>
      </c>
      <c r="AJ412" t="str">
        <f t="shared" si="153"/>
        <v/>
      </c>
      <c r="AK412" t="str">
        <f t="shared" si="154"/>
        <v/>
      </c>
      <c r="AL412" t="str">
        <f t="shared" si="155"/>
        <v/>
      </c>
      <c r="AM412" t="str">
        <f t="shared" si="156"/>
        <v/>
      </c>
      <c r="AN412" t="str">
        <f t="shared" si="157"/>
        <v/>
      </c>
      <c r="AO412" t="str">
        <f t="shared" si="158"/>
        <v/>
      </c>
      <c r="AP412">
        <f t="shared" si="159"/>
        <v>1</v>
      </c>
      <c r="AQ412" t="str">
        <f>IF(SAISIE!$F417="","",SAISIE!$Y417)</f>
        <v/>
      </c>
      <c r="AR412" t="str">
        <f>IF(OR(SAISIE!$U$4="",SAISIE!$W$4=""),"",IF(AND($A412=SAISIE!$U$4,$B412=SAISIE!$W$4,$C412="S1"),COUNTIFS($A$2:$A412,SAISIE!$U$4,$B$2:$B412,SAISIE!$W$4,$C$2:$C412,"S1"),""))</f>
        <v/>
      </c>
      <c r="AS412" t="str">
        <f t="shared" si="160"/>
        <v/>
      </c>
      <c r="AT412" t="str">
        <f t="shared" si="161"/>
        <v/>
      </c>
      <c r="AU412" t="str">
        <f t="shared" si="162"/>
        <v/>
      </c>
      <c r="AV412">
        <f>N(AV411)+IF(AND($AB412&lt;&gt;"",OR('PROFIL ELEVE'!$K$4="(Tous)",$AF412='PROFIL ELEVE'!$K$4)),1,0)</f>
        <v>0</v>
      </c>
      <c r="AW412">
        <f>N(AW411)+IF(AND($AB412&lt;&gt;"",OR('SUIVI LONGITUDINAL'!$Q$4="(Tous)",$AF412='SUIVI LONGITUDINAL'!$Q$4)),1,0)</f>
        <v>0</v>
      </c>
      <c r="AX412">
        <f t="shared" si="163"/>
        <v>0</v>
      </c>
      <c r="AY412">
        <f t="shared" si="164"/>
        <v>0</v>
      </c>
      <c r="AZ412">
        <f t="shared" si="165"/>
        <v>0</v>
      </c>
      <c r="BA412" t="str">
        <f t="shared" si="166"/>
        <v/>
      </c>
      <c r="BB412" t="str">
        <f t="shared" si="167"/>
        <v/>
      </c>
    </row>
    <row r="413" spans="1:54" ht="14.25" customHeight="1" x14ac:dyDescent="0.3">
      <c r="A413" t="str">
        <f>IF(SAISIE!$F418="","",SAISIE!$B418)</f>
        <v/>
      </c>
      <c r="B413" t="str">
        <f>IF(SAISIE!$F418="","",SAISIE!$C418)</f>
        <v/>
      </c>
      <c r="C413" t="str">
        <f>IF(SAISIE!$F418="","",SAISIE!$D418)</f>
        <v/>
      </c>
      <c r="D413" t="str">
        <f>IF(SAISIE!$E418="","",SAISIE!$E418)</f>
        <v/>
      </c>
      <c r="E413" t="str">
        <f>IF(SAISIE!$F418="","",SAISIE!$F418)</f>
        <v/>
      </c>
      <c r="F413" t="str">
        <f>IF(SAISIE!$G418="","",SAISIE!$G418)</f>
        <v/>
      </c>
      <c r="G413" t="str">
        <f>IF(SAISIE!$H418="","",SAISIE!$H418)</f>
        <v/>
      </c>
      <c r="H413" t="str">
        <f>IF(SAISIE!$I418="","",SAISIE!$I418)</f>
        <v/>
      </c>
      <c r="I413" t="str">
        <f>IF(SAISIE!$J418="","",SAISIE!$J418)</f>
        <v/>
      </c>
      <c r="J413" t="str">
        <f>IF(SAISIE!$K418="","",SAISIE!$K418)</f>
        <v/>
      </c>
      <c r="K413" t="str">
        <f>IF(SAISIE!$L418="","",SAISIE!$L418)</f>
        <v/>
      </c>
      <c r="L413" t="str">
        <f>IF(SAISIE!$M418="","",SAISIE!$M418)</f>
        <v/>
      </c>
      <c r="M413" t="str">
        <f>IF(SAISIE!$N418="","",SAISIE!$N418)</f>
        <v/>
      </c>
      <c r="N413" t="str">
        <f>IF(SAISIE!$O418="","",SAISIE!$O418)</f>
        <v/>
      </c>
      <c r="O413" t="str">
        <f>IF(SAISIE!$P418="","",SAISIE!$P418)</f>
        <v/>
      </c>
      <c r="P413" t="str">
        <f>IF(SAISIE!$Q418="","",SAISIE!$Q418)</f>
        <v/>
      </c>
      <c r="Q413" t="str">
        <f>IF($I413="","",IF($I413&gt;PARAMETRES!$G$29,5,IF($I413&gt;PARAMETRES!$F$29,4,IF($I413&gt;PARAMETRES!$E$29,3,IF($I413&gt;PARAMETRES!$D$29,2,1)))))</f>
        <v/>
      </c>
      <c r="R413" t="str">
        <f>IF($J413="","",IF($J413&gt;PARAMETRES!$G$30,5,IF($J413&gt;PARAMETRES!$F$30,4,IF($J413&gt;PARAMETRES!$E$30,3,IF($J413&gt;PARAMETRES!$D$30,2,1)))))</f>
        <v/>
      </c>
      <c r="S413" t="str">
        <f>IF($K413="","",IF($Z413=2,IF($K413&gt;PARAMETRES!$G$31,5,IF($K413&gt;PARAMETRES!$F$31,4,IF($K413&gt;PARAMETRES!$E$31,3,IF($K413&gt;PARAMETRES!$D$31,2,1)))),IF($K413&gt;PARAMETRES!$G$32,5,IF($K413&gt;PARAMETRES!$F$32,4,IF($K413&gt;PARAMETRES!$E$32,3,IF($K413&gt;PARAMETRES!$D$32,2,1))))))</f>
        <v/>
      </c>
      <c r="T413" t="str">
        <f>IF($L413="","",IF($L413&gt;PARAMETRES!$G$33,5,IF($L413&gt;PARAMETRES!$F$33,4,IF($L413&gt;PARAMETRES!$E$33,3,IF($L413&gt;PARAMETRES!$D$33,2,1)))))</f>
        <v/>
      </c>
      <c r="U413" t="str">
        <f>IF($M413="","",IF($M413&gt;PARAMETRES!$G$34,5,IF($M413&gt;PARAMETRES!$F$34,4,IF($M413&gt;PARAMETRES!$E$34,3,IF($M413&gt;PARAMETRES!$D$34,2,1)))))</f>
        <v/>
      </c>
      <c r="V413" t="str">
        <f>IF($N413="","",IF($N413&gt;PARAMETRES!$G$35,5,IF($N413&gt;PARAMETRES!$F$35,4,IF($N413&gt;PARAMETRES!$E$35,3,IF($N413&gt;PARAMETRES!$D$35,2,1)))))</f>
        <v/>
      </c>
      <c r="W413" t="str">
        <f>IF($O413="","",IF($O413&gt;PARAMETRES!$G$36,5,IF($O413&gt;PARAMETRES!$F$36,4,IF($O413&gt;PARAMETRES!$E$36,3,IF($O413&gt;PARAMETRES!$D$36,2,1)))))</f>
        <v/>
      </c>
      <c r="X413" t="str">
        <f>IF($P413="","",IF($P413&gt;PARAMETRES!$G$37,5,IF($P413&gt;PARAMETRES!$F$37,4,IF($P413&gt;PARAMETRES!$E$37,3,IF($P413&gt;PARAMETRES!$D$37,2,1)))))</f>
        <v/>
      </c>
      <c r="Y413" t="str">
        <f t="shared" si="144"/>
        <v/>
      </c>
      <c r="Z413" t="str">
        <f>IFERROR(VLOOKUP($B413,TABLE_CYCLE,2,0),"")</f>
        <v/>
      </c>
      <c r="AA413" t="str">
        <f t="shared" si="145"/>
        <v/>
      </c>
      <c r="AB413" t="str">
        <f>IF($D413="","",IF(COUNTIF($D$2:$D413,$D413)=1,$D413,""))</f>
        <v/>
      </c>
      <c r="AC413">
        <f t="shared" si="146"/>
        <v>0</v>
      </c>
      <c r="AD413" t="str">
        <f t="shared" si="147"/>
        <v>|0</v>
      </c>
      <c r="AE413" t="str">
        <f t="shared" si="148"/>
        <v/>
      </c>
      <c r="AF413" t="str">
        <f t="shared" si="149"/>
        <v/>
      </c>
      <c r="AG413" t="str">
        <f t="shared" si="150"/>
        <v/>
      </c>
      <c r="AH413" t="str">
        <f t="shared" si="151"/>
        <v/>
      </c>
      <c r="AI413" t="str">
        <f t="shared" si="152"/>
        <v/>
      </c>
      <c r="AJ413" t="str">
        <f t="shared" si="153"/>
        <v/>
      </c>
      <c r="AK413" t="str">
        <f t="shared" si="154"/>
        <v/>
      </c>
      <c r="AL413" t="str">
        <f t="shared" si="155"/>
        <v/>
      </c>
      <c r="AM413" t="str">
        <f t="shared" si="156"/>
        <v/>
      </c>
      <c r="AN413" t="str">
        <f t="shared" si="157"/>
        <v/>
      </c>
      <c r="AO413" t="str">
        <f t="shared" si="158"/>
        <v/>
      </c>
      <c r="AP413">
        <f t="shared" si="159"/>
        <v>1</v>
      </c>
      <c r="AQ413" t="str">
        <f>IF(SAISIE!$F418="","",SAISIE!$Y418)</f>
        <v/>
      </c>
      <c r="AR413" t="str">
        <f>IF(OR(SAISIE!$U$4="",SAISIE!$W$4=""),"",IF(AND($A413=SAISIE!$U$4,$B413=SAISIE!$W$4,$C413="S1"),COUNTIFS($A$2:$A413,SAISIE!$U$4,$B$2:$B413,SAISIE!$W$4,$C$2:$C413,"S1"),""))</f>
        <v/>
      </c>
      <c r="AS413" t="str">
        <f t="shared" si="160"/>
        <v/>
      </c>
      <c r="AT413" t="str">
        <f t="shared" si="161"/>
        <v/>
      </c>
      <c r="AU413" t="str">
        <f t="shared" si="162"/>
        <v/>
      </c>
      <c r="AV413">
        <f>N(AV412)+IF(AND($AB413&lt;&gt;"",OR('PROFIL ELEVE'!$K$4="(Tous)",$AF413='PROFIL ELEVE'!$K$4)),1,0)</f>
        <v>0</v>
      </c>
      <c r="AW413">
        <f>N(AW412)+IF(AND($AB413&lt;&gt;"",OR('SUIVI LONGITUDINAL'!$Q$4="(Tous)",$AF413='SUIVI LONGITUDINAL'!$Q$4)),1,0)</f>
        <v>0</v>
      </c>
      <c r="AX413">
        <f t="shared" si="163"/>
        <v>0</v>
      </c>
      <c r="AY413">
        <f t="shared" si="164"/>
        <v>0</v>
      </c>
      <c r="AZ413">
        <f t="shared" si="165"/>
        <v>0</v>
      </c>
      <c r="BA413" t="str">
        <f t="shared" si="166"/>
        <v/>
      </c>
      <c r="BB413" t="str">
        <f t="shared" si="167"/>
        <v/>
      </c>
    </row>
    <row r="414" spans="1:54" ht="14.25" customHeight="1" x14ac:dyDescent="0.3">
      <c r="A414" t="str">
        <f>IF(SAISIE!$F419="","",SAISIE!$B419)</f>
        <v/>
      </c>
      <c r="B414" t="str">
        <f>IF(SAISIE!$F419="","",SAISIE!$C419)</f>
        <v/>
      </c>
      <c r="C414" t="str">
        <f>IF(SAISIE!$F419="","",SAISIE!$D419)</f>
        <v/>
      </c>
      <c r="D414" t="str">
        <f>IF(SAISIE!$E419="","",SAISIE!$E419)</f>
        <v/>
      </c>
      <c r="E414" t="str">
        <f>IF(SAISIE!$F419="","",SAISIE!$F419)</f>
        <v/>
      </c>
      <c r="F414" t="str">
        <f>IF(SAISIE!$G419="","",SAISIE!$G419)</f>
        <v/>
      </c>
      <c r="G414" t="str">
        <f>IF(SAISIE!$H419="","",SAISIE!$H419)</f>
        <v/>
      </c>
      <c r="H414" t="str">
        <f>IF(SAISIE!$I419="","",SAISIE!$I419)</f>
        <v/>
      </c>
      <c r="I414" t="str">
        <f>IF(SAISIE!$J419="","",SAISIE!$J419)</f>
        <v/>
      </c>
      <c r="J414" t="str">
        <f>IF(SAISIE!$K419="","",SAISIE!$K419)</f>
        <v/>
      </c>
      <c r="K414" t="str">
        <f>IF(SAISIE!$L419="","",SAISIE!$L419)</f>
        <v/>
      </c>
      <c r="L414" t="str">
        <f>IF(SAISIE!$M419="","",SAISIE!$M419)</f>
        <v/>
      </c>
      <c r="M414" t="str">
        <f>IF(SAISIE!$N419="","",SAISIE!$N419)</f>
        <v/>
      </c>
      <c r="N414" t="str">
        <f>IF(SAISIE!$O419="","",SAISIE!$O419)</f>
        <v/>
      </c>
      <c r="O414" t="str">
        <f>IF(SAISIE!$P419="","",SAISIE!$P419)</f>
        <v/>
      </c>
      <c r="P414" t="str">
        <f>IF(SAISIE!$Q419="","",SAISIE!$Q419)</f>
        <v/>
      </c>
      <c r="Q414" t="str">
        <f>IF($I414="","",IF($I414&gt;PARAMETRES!$G$29,5,IF($I414&gt;PARAMETRES!$F$29,4,IF($I414&gt;PARAMETRES!$E$29,3,IF($I414&gt;PARAMETRES!$D$29,2,1)))))</f>
        <v/>
      </c>
      <c r="R414" t="str">
        <f>IF($J414="","",IF($J414&gt;PARAMETRES!$G$30,5,IF($J414&gt;PARAMETRES!$F$30,4,IF($J414&gt;PARAMETRES!$E$30,3,IF($J414&gt;PARAMETRES!$D$30,2,1)))))</f>
        <v/>
      </c>
      <c r="S414" t="str">
        <f>IF($K414="","",IF($Z414=2,IF($K414&gt;PARAMETRES!$G$31,5,IF($K414&gt;PARAMETRES!$F$31,4,IF($K414&gt;PARAMETRES!$E$31,3,IF($K414&gt;PARAMETRES!$D$31,2,1)))),IF($K414&gt;PARAMETRES!$G$32,5,IF($K414&gt;PARAMETRES!$F$32,4,IF($K414&gt;PARAMETRES!$E$32,3,IF($K414&gt;PARAMETRES!$D$32,2,1))))))</f>
        <v/>
      </c>
      <c r="T414" t="str">
        <f>IF($L414="","",IF($L414&gt;PARAMETRES!$G$33,5,IF($L414&gt;PARAMETRES!$F$33,4,IF($L414&gt;PARAMETRES!$E$33,3,IF($L414&gt;PARAMETRES!$D$33,2,1)))))</f>
        <v/>
      </c>
      <c r="U414" t="str">
        <f>IF($M414="","",IF($M414&gt;PARAMETRES!$G$34,5,IF($M414&gt;PARAMETRES!$F$34,4,IF($M414&gt;PARAMETRES!$E$34,3,IF($M414&gt;PARAMETRES!$D$34,2,1)))))</f>
        <v/>
      </c>
      <c r="V414" t="str">
        <f>IF($N414="","",IF($N414&gt;PARAMETRES!$G$35,5,IF($N414&gt;PARAMETRES!$F$35,4,IF($N414&gt;PARAMETRES!$E$35,3,IF($N414&gt;PARAMETRES!$D$35,2,1)))))</f>
        <v/>
      </c>
      <c r="W414" t="str">
        <f>IF($O414="","",IF($O414&gt;PARAMETRES!$G$36,5,IF($O414&gt;PARAMETRES!$F$36,4,IF($O414&gt;PARAMETRES!$E$36,3,IF($O414&gt;PARAMETRES!$D$36,2,1)))))</f>
        <v/>
      </c>
      <c r="X414" t="str">
        <f>IF($P414="","",IF($P414&gt;PARAMETRES!$G$37,5,IF($P414&gt;PARAMETRES!$F$37,4,IF($P414&gt;PARAMETRES!$E$37,3,IF($P414&gt;PARAMETRES!$D$37,2,1)))))</f>
        <v/>
      </c>
      <c r="Y414" t="str">
        <f t="shared" si="144"/>
        <v/>
      </c>
      <c r="Z414" t="str">
        <f>IFERROR(VLOOKUP($B414,TABLE_CYCLE,2,0),"")</f>
        <v/>
      </c>
      <c r="AA414" t="str">
        <f t="shared" si="145"/>
        <v/>
      </c>
      <c r="AB414" t="str">
        <f>IF($D414="","",IF(COUNTIF($D$2:$D414,$D414)=1,$D414,""))</f>
        <v/>
      </c>
      <c r="AC414">
        <f t="shared" si="146"/>
        <v>0</v>
      </c>
      <c r="AD414" t="str">
        <f t="shared" si="147"/>
        <v>|0</v>
      </c>
      <c r="AE414" t="str">
        <f t="shared" si="148"/>
        <v/>
      </c>
      <c r="AF414" t="str">
        <f t="shared" si="149"/>
        <v/>
      </c>
      <c r="AG414" t="str">
        <f t="shared" si="150"/>
        <v/>
      </c>
      <c r="AH414" t="str">
        <f t="shared" si="151"/>
        <v/>
      </c>
      <c r="AI414" t="str">
        <f t="shared" si="152"/>
        <v/>
      </c>
      <c r="AJ414" t="str">
        <f t="shared" si="153"/>
        <v/>
      </c>
      <c r="AK414" t="str">
        <f t="shared" si="154"/>
        <v/>
      </c>
      <c r="AL414" t="str">
        <f t="shared" si="155"/>
        <v/>
      </c>
      <c r="AM414" t="str">
        <f t="shared" si="156"/>
        <v/>
      </c>
      <c r="AN414" t="str">
        <f t="shared" si="157"/>
        <v/>
      </c>
      <c r="AO414" t="str">
        <f t="shared" si="158"/>
        <v/>
      </c>
      <c r="AP414">
        <f t="shared" si="159"/>
        <v>1</v>
      </c>
      <c r="AQ414" t="str">
        <f>IF(SAISIE!$F419="","",SAISIE!$Y419)</f>
        <v/>
      </c>
      <c r="AR414" t="str">
        <f>IF(OR(SAISIE!$U$4="",SAISIE!$W$4=""),"",IF(AND($A414=SAISIE!$U$4,$B414=SAISIE!$W$4,$C414="S1"),COUNTIFS($A$2:$A414,SAISIE!$U$4,$B$2:$B414,SAISIE!$W$4,$C$2:$C414,"S1"),""))</f>
        <v/>
      </c>
      <c r="AS414" t="str">
        <f t="shared" si="160"/>
        <v/>
      </c>
      <c r="AT414" t="str">
        <f t="shared" si="161"/>
        <v/>
      </c>
      <c r="AU414" t="str">
        <f t="shared" si="162"/>
        <v/>
      </c>
      <c r="AV414">
        <f>N(AV413)+IF(AND($AB414&lt;&gt;"",OR('PROFIL ELEVE'!$K$4="(Tous)",$AF414='PROFIL ELEVE'!$K$4)),1,0)</f>
        <v>0</v>
      </c>
      <c r="AW414">
        <f>N(AW413)+IF(AND($AB414&lt;&gt;"",OR('SUIVI LONGITUDINAL'!$Q$4="(Tous)",$AF414='SUIVI LONGITUDINAL'!$Q$4)),1,0)</f>
        <v>0</v>
      </c>
      <c r="AX414">
        <f t="shared" si="163"/>
        <v>0</v>
      </c>
      <c r="AY414">
        <f t="shared" si="164"/>
        <v>0</v>
      </c>
      <c r="AZ414">
        <f t="shared" si="165"/>
        <v>0</v>
      </c>
      <c r="BA414" t="str">
        <f t="shared" si="166"/>
        <v/>
      </c>
      <c r="BB414" t="str">
        <f t="shared" si="167"/>
        <v/>
      </c>
    </row>
    <row r="415" spans="1:54" ht="14.25" customHeight="1" x14ac:dyDescent="0.3">
      <c r="A415" t="str">
        <f>IF(SAISIE!$F420="","",SAISIE!$B420)</f>
        <v/>
      </c>
      <c r="B415" t="str">
        <f>IF(SAISIE!$F420="","",SAISIE!$C420)</f>
        <v/>
      </c>
      <c r="C415" t="str">
        <f>IF(SAISIE!$F420="","",SAISIE!$D420)</f>
        <v/>
      </c>
      <c r="D415" t="str">
        <f>IF(SAISIE!$E420="","",SAISIE!$E420)</f>
        <v/>
      </c>
      <c r="E415" t="str">
        <f>IF(SAISIE!$F420="","",SAISIE!$F420)</f>
        <v/>
      </c>
      <c r="F415" t="str">
        <f>IF(SAISIE!$G420="","",SAISIE!$G420)</f>
        <v/>
      </c>
      <c r="G415" t="str">
        <f>IF(SAISIE!$H420="","",SAISIE!$H420)</f>
        <v/>
      </c>
      <c r="H415" t="str">
        <f>IF(SAISIE!$I420="","",SAISIE!$I420)</f>
        <v/>
      </c>
      <c r="I415" t="str">
        <f>IF(SAISIE!$J420="","",SAISIE!$J420)</f>
        <v/>
      </c>
      <c r="J415" t="str">
        <f>IF(SAISIE!$K420="","",SAISIE!$K420)</f>
        <v/>
      </c>
      <c r="K415" t="str">
        <f>IF(SAISIE!$L420="","",SAISIE!$L420)</f>
        <v/>
      </c>
      <c r="L415" t="str">
        <f>IF(SAISIE!$M420="","",SAISIE!$M420)</f>
        <v/>
      </c>
      <c r="M415" t="str">
        <f>IF(SAISIE!$N420="","",SAISIE!$N420)</f>
        <v/>
      </c>
      <c r="N415" t="str">
        <f>IF(SAISIE!$O420="","",SAISIE!$O420)</f>
        <v/>
      </c>
      <c r="O415" t="str">
        <f>IF(SAISIE!$P420="","",SAISIE!$P420)</f>
        <v/>
      </c>
      <c r="P415" t="str">
        <f>IF(SAISIE!$Q420="","",SAISIE!$Q420)</f>
        <v/>
      </c>
      <c r="Q415" t="str">
        <f>IF($I415="","",IF($I415&gt;PARAMETRES!$G$29,5,IF($I415&gt;PARAMETRES!$F$29,4,IF($I415&gt;PARAMETRES!$E$29,3,IF($I415&gt;PARAMETRES!$D$29,2,1)))))</f>
        <v/>
      </c>
      <c r="R415" t="str">
        <f>IF($J415="","",IF($J415&gt;PARAMETRES!$G$30,5,IF($J415&gt;PARAMETRES!$F$30,4,IF($J415&gt;PARAMETRES!$E$30,3,IF($J415&gt;PARAMETRES!$D$30,2,1)))))</f>
        <v/>
      </c>
      <c r="S415" t="str">
        <f>IF($K415="","",IF($Z415=2,IF($K415&gt;PARAMETRES!$G$31,5,IF($K415&gt;PARAMETRES!$F$31,4,IF($K415&gt;PARAMETRES!$E$31,3,IF($K415&gt;PARAMETRES!$D$31,2,1)))),IF($K415&gt;PARAMETRES!$G$32,5,IF($K415&gt;PARAMETRES!$F$32,4,IF($K415&gt;PARAMETRES!$E$32,3,IF($K415&gt;PARAMETRES!$D$32,2,1))))))</f>
        <v/>
      </c>
      <c r="T415" t="str">
        <f>IF($L415="","",IF($L415&gt;PARAMETRES!$G$33,5,IF($L415&gt;PARAMETRES!$F$33,4,IF($L415&gt;PARAMETRES!$E$33,3,IF($L415&gt;PARAMETRES!$D$33,2,1)))))</f>
        <v/>
      </c>
      <c r="U415" t="str">
        <f>IF($M415="","",IF($M415&gt;PARAMETRES!$G$34,5,IF($M415&gt;PARAMETRES!$F$34,4,IF($M415&gt;PARAMETRES!$E$34,3,IF($M415&gt;PARAMETRES!$D$34,2,1)))))</f>
        <v/>
      </c>
      <c r="V415" t="str">
        <f>IF($N415="","",IF($N415&gt;PARAMETRES!$G$35,5,IF($N415&gt;PARAMETRES!$F$35,4,IF($N415&gt;PARAMETRES!$E$35,3,IF($N415&gt;PARAMETRES!$D$35,2,1)))))</f>
        <v/>
      </c>
      <c r="W415" t="str">
        <f>IF($O415="","",IF($O415&gt;PARAMETRES!$G$36,5,IF($O415&gt;PARAMETRES!$F$36,4,IF($O415&gt;PARAMETRES!$E$36,3,IF($O415&gt;PARAMETRES!$D$36,2,1)))))</f>
        <v/>
      </c>
      <c r="X415" t="str">
        <f>IF($P415="","",IF($P415&gt;PARAMETRES!$G$37,5,IF($P415&gt;PARAMETRES!$F$37,4,IF($P415&gt;PARAMETRES!$E$37,3,IF($P415&gt;PARAMETRES!$D$37,2,1)))))</f>
        <v/>
      </c>
      <c r="Y415" t="str">
        <f t="shared" si="144"/>
        <v/>
      </c>
      <c r="Z415" t="str">
        <f>IFERROR(VLOOKUP($B415,TABLE_CYCLE,2,0),"")</f>
        <v/>
      </c>
      <c r="AA415" t="str">
        <f t="shared" si="145"/>
        <v/>
      </c>
      <c r="AB415" t="str">
        <f>IF($D415="","",IF(COUNTIF($D$2:$D415,$D415)=1,$D415,""))</f>
        <v/>
      </c>
      <c r="AC415">
        <f t="shared" si="146"/>
        <v>0</v>
      </c>
      <c r="AD415" t="str">
        <f t="shared" si="147"/>
        <v>|0</v>
      </c>
      <c r="AE415" t="str">
        <f t="shared" si="148"/>
        <v/>
      </c>
      <c r="AF415" t="str">
        <f t="shared" si="149"/>
        <v/>
      </c>
      <c r="AG415" t="str">
        <f t="shared" si="150"/>
        <v/>
      </c>
      <c r="AH415" t="str">
        <f t="shared" si="151"/>
        <v/>
      </c>
      <c r="AI415" t="str">
        <f t="shared" si="152"/>
        <v/>
      </c>
      <c r="AJ415" t="str">
        <f t="shared" si="153"/>
        <v/>
      </c>
      <c r="AK415" t="str">
        <f t="shared" si="154"/>
        <v/>
      </c>
      <c r="AL415" t="str">
        <f t="shared" si="155"/>
        <v/>
      </c>
      <c r="AM415" t="str">
        <f t="shared" si="156"/>
        <v/>
      </c>
      <c r="AN415" t="str">
        <f t="shared" si="157"/>
        <v/>
      </c>
      <c r="AO415" t="str">
        <f t="shared" si="158"/>
        <v/>
      </c>
      <c r="AP415">
        <f t="shared" si="159"/>
        <v>1</v>
      </c>
      <c r="AQ415" t="str">
        <f>IF(SAISIE!$F420="","",SAISIE!$Y420)</f>
        <v/>
      </c>
      <c r="AR415" t="str">
        <f>IF(OR(SAISIE!$U$4="",SAISIE!$W$4=""),"",IF(AND($A415=SAISIE!$U$4,$B415=SAISIE!$W$4,$C415="S1"),COUNTIFS($A$2:$A415,SAISIE!$U$4,$B$2:$B415,SAISIE!$W$4,$C$2:$C415,"S1"),""))</f>
        <v/>
      </c>
      <c r="AS415" t="str">
        <f t="shared" si="160"/>
        <v/>
      </c>
      <c r="AT415" t="str">
        <f t="shared" si="161"/>
        <v/>
      </c>
      <c r="AU415" t="str">
        <f t="shared" si="162"/>
        <v/>
      </c>
      <c r="AV415">
        <f>N(AV414)+IF(AND($AB415&lt;&gt;"",OR('PROFIL ELEVE'!$K$4="(Tous)",$AF415='PROFIL ELEVE'!$K$4)),1,0)</f>
        <v>0</v>
      </c>
      <c r="AW415">
        <f>N(AW414)+IF(AND($AB415&lt;&gt;"",OR('SUIVI LONGITUDINAL'!$Q$4="(Tous)",$AF415='SUIVI LONGITUDINAL'!$Q$4)),1,0)</f>
        <v>0</v>
      </c>
      <c r="AX415">
        <f t="shared" si="163"/>
        <v>0</v>
      </c>
      <c r="AY415">
        <f t="shared" si="164"/>
        <v>0</v>
      </c>
      <c r="AZ415">
        <f t="shared" si="165"/>
        <v>0</v>
      </c>
      <c r="BA415" t="str">
        <f t="shared" si="166"/>
        <v/>
      </c>
      <c r="BB415" t="str">
        <f t="shared" si="167"/>
        <v/>
      </c>
    </row>
    <row r="416" spans="1:54" ht="14.25" customHeight="1" x14ac:dyDescent="0.3">
      <c r="A416" t="str">
        <f>IF(SAISIE!$F421="","",SAISIE!$B421)</f>
        <v/>
      </c>
      <c r="B416" t="str">
        <f>IF(SAISIE!$F421="","",SAISIE!$C421)</f>
        <v/>
      </c>
      <c r="C416" t="str">
        <f>IF(SAISIE!$F421="","",SAISIE!$D421)</f>
        <v/>
      </c>
      <c r="D416" t="str">
        <f>IF(SAISIE!$E421="","",SAISIE!$E421)</f>
        <v/>
      </c>
      <c r="E416" t="str">
        <f>IF(SAISIE!$F421="","",SAISIE!$F421)</f>
        <v/>
      </c>
      <c r="F416" t="str">
        <f>IF(SAISIE!$G421="","",SAISIE!$G421)</f>
        <v/>
      </c>
      <c r="G416" t="str">
        <f>IF(SAISIE!$H421="","",SAISIE!$H421)</f>
        <v/>
      </c>
      <c r="H416" t="str">
        <f>IF(SAISIE!$I421="","",SAISIE!$I421)</f>
        <v/>
      </c>
      <c r="I416" t="str">
        <f>IF(SAISIE!$J421="","",SAISIE!$J421)</f>
        <v/>
      </c>
      <c r="J416" t="str">
        <f>IF(SAISIE!$K421="","",SAISIE!$K421)</f>
        <v/>
      </c>
      <c r="K416" t="str">
        <f>IF(SAISIE!$L421="","",SAISIE!$L421)</f>
        <v/>
      </c>
      <c r="L416" t="str">
        <f>IF(SAISIE!$M421="","",SAISIE!$M421)</f>
        <v/>
      </c>
      <c r="M416" t="str">
        <f>IF(SAISIE!$N421="","",SAISIE!$N421)</f>
        <v/>
      </c>
      <c r="N416" t="str">
        <f>IF(SAISIE!$O421="","",SAISIE!$O421)</f>
        <v/>
      </c>
      <c r="O416" t="str">
        <f>IF(SAISIE!$P421="","",SAISIE!$P421)</f>
        <v/>
      </c>
      <c r="P416" t="str">
        <f>IF(SAISIE!$Q421="","",SAISIE!$Q421)</f>
        <v/>
      </c>
      <c r="Q416" t="str">
        <f>IF($I416="","",IF($I416&gt;PARAMETRES!$G$29,5,IF($I416&gt;PARAMETRES!$F$29,4,IF($I416&gt;PARAMETRES!$E$29,3,IF($I416&gt;PARAMETRES!$D$29,2,1)))))</f>
        <v/>
      </c>
      <c r="R416" t="str">
        <f>IF($J416="","",IF($J416&gt;PARAMETRES!$G$30,5,IF($J416&gt;PARAMETRES!$F$30,4,IF($J416&gt;PARAMETRES!$E$30,3,IF($J416&gt;PARAMETRES!$D$30,2,1)))))</f>
        <v/>
      </c>
      <c r="S416" t="str">
        <f>IF($K416="","",IF($Z416=2,IF($K416&gt;PARAMETRES!$G$31,5,IF($K416&gt;PARAMETRES!$F$31,4,IF($K416&gt;PARAMETRES!$E$31,3,IF($K416&gt;PARAMETRES!$D$31,2,1)))),IF($K416&gt;PARAMETRES!$G$32,5,IF($K416&gt;PARAMETRES!$F$32,4,IF($K416&gt;PARAMETRES!$E$32,3,IF($K416&gt;PARAMETRES!$D$32,2,1))))))</f>
        <v/>
      </c>
      <c r="T416" t="str">
        <f>IF($L416="","",IF($L416&gt;PARAMETRES!$G$33,5,IF($L416&gt;PARAMETRES!$F$33,4,IF($L416&gt;PARAMETRES!$E$33,3,IF($L416&gt;PARAMETRES!$D$33,2,1)))))</f>
        <v/>
      </c>
      <c r="U416" t="str">
        <f>IF($M416="","",IF($M416&gt;PARAMETRES!$G$34,5,IF($M416&gt;PARAMETRES!$F$34,4,IF($M416&gt;PARAMETRES!$E$34,3,IF($M416&gt;PARAMETRES!$D$34,2,1)))))</f>
        <v/>
      </c>
      <c r="V416" t="str">
        <f>IF($N416="","",IF($N416&gt;PARAMETRES!$G$35,5,IF($N416&gt;PARAMETRES!$F$35,4,IF($N416&gt;PARAMETRES!$E$35,3,IF($N416&gt;PARAMETRES!$D$35,2,1)))))</f>
        <v/>
      </c>
      <c r="W416" t="str">
        <f>IF($O416="","",IF($O416&gt;PARAMETRES!$G$36,5,IF($O416&gt;PARAMETRES!$F$36,4,IF($O416&gt;PARAMETRES!$E$36,3,IF($O416&gt;PARAMETRES!$D$36,2,1)))))</f>
        <v/>
      </c>
      <c r="X416" t="str">
        <f>IF($P416="","",IF($P416&gt;PARAMETRES!$G$37,5,IF($P416&gt;PARAMETRES!$F$37,4,IF($P416&gt;PARAMETRES!$E$37,3,IF($P416&gt;PARAMETRES!$D$37,2,1)))))</f>
        <v/>
      </c>
      <c r="Y416" t="str">
        <f t="shared" si="144"/>
        <v/>
      </c>
      <c r="Z416" t="str">
        <f>IFERROR(VLOOKUP($B416,TABLE_CYCLE,2,0),"")</f>
        <v/>
      </c>
      <c r="AA416" t="str">
        <f t="shared" si="145"/>
        <v/>
      </c>
      <c r="AB416" t="str">
        <f>IF($D416="","",IF(COUNTIF($D$2:$D416,$D416)=1,$D416,""))</f>
        <v/>
      </c>
      <c r="AC416">
        <f t="shared" si="146"/>
        <v>0</v>
      </c>
      <c r="AD416" t="str">
        <f t="shared" si="147"/>
        <v>|0</v>
      </c>
      <c r="AE416" t="str">
        <f t="shared" si="148"/>
        <v/>
      </c>
      <c r="AF416" t="str">
        <f t="shared" si="149"/>
        <v/>
      </c>
      <c r="AG416" t="str">
        <f t="shared" si="150"/>
        <v/>
      </c>
      <c r="AH416" t="str">
        <f t="shared" si="151"/>
        <v/>
      </c>
      <c r="AI416" t="str">
        <f t="shared" si="152"/>
        <v/>
      </c>
      <c r="AJ416" t="str">
        <f t="shared" si="153"/>
        <v/>
      </c>
      <c r="AK416" t="str">
        <f t="shared" si="154"/>
        <v/>
      </c>
      <c r="AL416" t="str">
        <f t="shared" si="155"/>
        <v/>
      </c>
      <c r="AM416" t="str">
        <f t="shared" si="156"/>
        <v/>
      </c>
      <c r="AN416" t="str">
        <f t="shared" si="157"/>
        <v/>
      </c>
      <c r="AO416" t="str">
        <f t="shared" si="158"/>
        <v/>
      </c>
      <c r="AP416">
        <f t="shared" si="159"/>
        <v>1</v>
      </c>
      <c r="AQ416" t="str">
        <f>IF(SAISIE!$F421="","",SAISIE!$Y421)</f>
        <v/>
      </c>
      <c r="AR416" t="str">
        <f>IF(OR(SAISIE!$U$4="",SAISIE!$W$4=""),"",IF(AND($A416=SAISIE!$U$4,$B416=SAISIE!$W$4,$C416="S1"),COUNTIFS($A$2:$A416,SAISIE!$U$4,$B$2:$B416,SAISIE!$W$4,$C$2:$C416,"S1"),""))</f>
        <v/>
      </c>
      <c r="AS416" t="str">
        <f t="shared" si="160"/>
        <v/>
      </c>
      <c r="AT416" t="str">
        <f t="shared" si="161"/>
        <v/>
      </c>
      <c r="AU416" t="str">
        <f t="shared" si="162"/>
        <v/>
      </c>
      <c r="AV416">
        <f>N(AV415)+IF(AND($AB416&lt;&gt;"",OR('PROFIL ELEVE'!$K$4="(Tous)",$AF416='PROFIL ELEVE'!$K$4)),1,0)</f>
        <v>0</v>
      </c>
      <c r="AW416">
        <f>N(AW415)+IF(AND($AB416&lt;&gt;"",OR('SUIVI LONGITUDINAL'!$Q$4="(Tous)",$AF416='SUIVI LONGITUDINAL'!$Q$4)),1,0)</f>
        <v>0</v>
      </c>
      <c r="AX416">
        <f t="shared" si="163"/>
        <v>0</v>
      </c>
      <c r="AY416">
        <f t="shared" si="164"/>
        <v>0</v>
      </c>
      <c r="AZ416">
        <f t="shared" si="165"/>
        <v>0</v>
      </c>
      <c r="BA416" t="str">
        <f t="shared" si="166"/>
        <v/>
      </c>
      <c r="BB416" t="str">
        <f t="shared" si="167"/>
        <v/>
      </c>
    </row>
    <row r="417" spans="1:54" ht="14.25" customHeight="1" x14ac:dyDescent="0.3">
      <c r="A417" t="str">
        <f>IF(SAISIE!$F422="","",SAISIE!$B422)</f>
        <v/>
      </c>
      <c r="B417" t="str">
        <f>IF(SAISIE!$F422="","",SAISIE!$C422)</f>
        <v/>
      </c>
      <c r="C417" t="str">
        <f>IF(SAISIE!$F422="","",SAISIE!$D422)</f>
        <v/>
      </c>
      <c r="D417" t="str">
        <f>IF(SAISIE!$E422="","",SAISIE!$E422)</f>
        <v/>
      </c>
      <c r="E417" t="str">
        <f>IF(SAISIE!$F422="","",SAISIE!$F422)</f>
        <v/>
      </c>
      <c r="F417" t="str">
        <f>IF(SAISIE!$G422="","",SAISIE!$G422)</f>
        <v/>
      </c>
      <c r="G417" t="str">
        <f>IF(SAISIE!$H422="","",SAISIE!$H422)</f>
        <v/>
      </c>
      <c r="H417" t="str">
        <f>IF(SAISIE!$I422="","",SAISIE!$I422)</f>
        <v/>
      </c>
      <c r="I417" t="str">
        <f>IF(SAISIE!$J422="","",SAISIE!$J422)</f>
        <v/>
      </c>
      <c r="J417" t="str">
        <f>IF(SAISIE!$K422="","",SAISIE!$K422)</f>
        <v/>
      </c>
      <c r="K417" t="str">
        <f>IF(SAISIE!$L422="","",SAISIE!$L422)</f>
        <v/>
      </c>
      <c r="L417" t="str">
        <f>IF(SAISIE!$M422="","",SAISIE!$M422)</f>
        <v/>
      </c>
      <c r="M417" t="str">
        <f>IF(SAISIE!$N422="","",SAISIE!$N422)</f>
        <v/>
      </c>
      <c r="N417" t="str">
        <f>IF(SAISIE!$O422="","",SAISIE!$O422)</f>
        <v/>
      </c>
      <c r="O417" t="str">
        <f>IF(SAISIE!$P422="","",SAISIE!$P422)</f>
        <v/>
      </c>
      <c r="P417" t="str">
        <f>IF(SAISIE!$Q422="","",SAISIE!$Q422)</f>
        <v/>
      </c>
      <c r="Q417" t="str">
        <f>IF($I417="","",IF($I417&gt;PARAMETRES!$G$29,5,IF($I417&gt;PARAMETRES!$F$29,4,IF($I417&gt;PARAMETRES!$E$29,3,IF($I417&gt;PARAMETRES!$D$29,2,1)))))</f>
        <v/>
      </c>
      <c r="R417" t="str">
        <f>IF($J417="","",IF($J417&gt;PARAMETRES!$G$30,5,IF($J417&gt;PARAMETRES!$F$30,4,IF($J417&gt;PARAMETRES!$E$30,3,IF($J417&gt;PARAMETRES!$D$30,2,1)))))</f>
        <v/>
      </c>
      <c r="S417" t="str">
        <f>IF($K417="","",IF($Z417=2,IF($K417&gt;PARAMETRES!$G$31,5,IF($K417&gt;PARAMETRES!$F$31,4,IF($K417&gt;PARAMETRES!$E$31,3,IF($K417&gt;PARAMETRES!$D$31,2,1)))),IF($K417&gt;PARAMETRES!$G$32,5,IF($K417&gt;PARAMETRES!$F$32,4,IF($K417&gt;PARAMETRES!$E$32,3,IF($K417&gt;PARAMETRES!$D$32,2,1))))))</f>
        <v/>
      </c>
      <c r="T417" t="str">
        <f>IF($L417="","",IF($L417&gt;PARAMETRES!$G$33,5,IF($L417&gt;PARAMETRES!$F$33,4,IF($L417&gt;PARAMETRES!$E$33,3,IF($L417&gt;PARAMETRES!$D$33,2,1)))))</f>
        <v/>
      </c>
      <c r="U417" t="str">
        <f>IF($M417="","",IF($M417&gt;PARAMETRES!$G$34,5,IF($M417&gt;PARAMETRES!$F$34,4,IF($M417&gt;PARAMETRES!$E$34,3,IF($M417&gt;PARAMETRES!$D$34,2,1)))))</f>
        <v/>
      </c>
      <c r="V417" t="str">
        <f>IF($N417="","",IF($N417&gt;PARAMETRES!$G$35,5,IF($N417&gt;PARAMETRES!$F$35,4,IF($N417&gt;PARAMETRES!$E$35,3,IF($N417&gt;PARAMETRES!$D$35,2,1)))))</f>
        <v/>
      </c>
      <c r="W417" t="str">
        <f>IF($O417="","",IF($O417&gt;PARAMETRES!$G$36,5,IF($O417&gt;PARAMETRES!$F$36,4,IF($O417&gt;PARAMETRES!$E$36,3,IF($O417&gt;PARAMETRES!$D$36,2,1)))))</f>
        <v/>
      </c>
      <c r="X417" t="str">
        <f>IF($P417="","",IF($P417&gt;PARAMETRES!$G$37,5,IF($P417&gt;PARAMETRES!$F$37,4,IF($P417&gt;PARAMETRES!$E$37,3,IF($P417&gt;PARAMETRES!$D$37,2,1)))))</f>
        <v/>
      </c>
      <c r="Y417" t="str">
        <f t="shared" si="144"/>
        <v/>
      </c>
      <c r="Z417" t="str">
        <f>IFERROR(VLOOKUP($B417,TABLE_CYCLE,2,0),"")</f>
        <v/>
      </c>
      <c r="AA417" t="str">
        <f t="shared" si="145"/>
        <v/>
      </c>
      <c r="AB417" t="str">
        <f>IF($D417="","",IF(COUNTIF($D$2:$D417,$D417)=1,$D417,""))</f>
        <v/>
      </c>
      <c r="AC417">
        <f t="shared" si="146"/>
        <v>0</v>
      </c>
      <c r="AD417" t="str">
        <f t="shared" si="147"/>
        <v>|0</v>
      </c>
      <c r="AE417" t="str">
        <f t="shared" si="148"/>
        <v/>
      </c>
      <c r="AF417" t="str">
        <f t="shared" si="149"/>
        <v/>
      </c>
      <c r="AG417" t="str">
        <f t="shared" si="150"/>
        <v/>
      </c>
      <c r="AH417" t="str">
        <f t="shared" si="151"/>
        <v/>
      </c>
      <c r="AI417" t="str">
        <f t="shared" si="152"/>
        <v/>
      </c>
      <c r="AJ417" t="str">
        <f t="shared" si="153"/>
        <v/>
      </c>
      <c r="AK417" t="str">
        <f t="shared" si="154"/>
        <v/>
      </c>
      <c r="AL417" t="str">
        <f t="shared" si="155"/>
        <v/>
      </c>
      <c r="AM417" t="str">
        <f t="shared" si="156"/>
        <v/>
      </c>
      <c r="AN417" t="str">
        <f t="shared" si="157"/>
        <v/>
      </c>
      <c r="AO417" t="str">
        <f t="shared" si="158"/>
        <v/>
      </c>
      <c r="AP417">
        <f t="shared" si="159"/>
        <v>1</v>
      </c>
      <c r="AQ417" t="str">
        <f>IF(SAISIE!$F422="","",SAISIE!$Y422)</f>
        <v/>
      </c>
      <c r="AR417" t="str">
        <f>IF(OR(SAISIE!$U$4="",SAISIE!$W$4=""),"",IF(AND($A417=SAISIE!$U$4,$B417=SAISIE!$W$4,$C417="S1"),COUNTIFS($A$2:$A417,SAISIE!$U$4,$B$2:$B417,SAISIE!$W$4,$C$2:$C417,"S1"),""))</f>
        <v/>
      </c>
      <c r="AS417" t="str">
        <f t="shared" si="160"/>
        <v/>
      </c>
      <c r="AT417" t="str">
        <f t="shared" si="161"/>
        <v/>
      </c>
      <c r="AU417" t="str">
        <f t="shared" si="162"/>
        <v/>
      </c>
      <c r="AV417">
        <f>N(AV416)+IF(AND($AB417&lt;&gt;"",OR('PROFIL ELEVE'!$K$4="(Tous)",$AF417='PROFIL ELEVE'!$K$4)),1,0)</f>
        <v>0</v>
      </c>
      <c r="AW417">
        <f>N(AW416)+IF(AND($AB417&lt;&gt;"",OR('SUIVI LONGITUDINAL'!$Q$4="(Tous)",$AF417='SUIVI LONGITUDINAL'!$Q$4)),1,0)</f>
        <v>0</v>
      </c>
      <c r="AX417">
        <f t="shared" si="163"/>
        <v>0</v>
      </c>
      <c r="AY417">
        <f t="shared" si="164"/>
        <v>0</v>
      </c>
      <c r="AZ417">
        <f t="shared" si="165"/>
        <v>0</v>
      </c>
      <c r="BA417" t="str">
        <f t="shared" si="166"/>
        <v/>
      </c>
      <c r="BB417" t="str">
        <f t="shared" si="167"/>
        <v/>
      </c>
    </row>
    <row r="418" spans="1:54" ht="14.25" customHeight="1" x14ac:dyDescent="0.3">
      <c r="A418" t="str">
        <f>IF(SAISIE!$F423="","",SAISIE!$B423)</f>
        <v/>
      </c>
      <c r="B418" t="str">
        <f>IF(SAISIE!$F423="","",SAISIE!$C423)</f>
        <v/>
      </c>
      <c r="C418" t="str">
        <f>IF(SAISIE!$F423="","",SAISIE!$D423)</f>
        <v/>
      </c>
      <c r="D418" t="str">
        <f>IF(SAISIE!$E423="","",SAISIE!$E423)</f>
        <v/>
      </c>
      <c r="E418" t="str">
        <f>IF(SAISIE!$F423="","",SAISIE!$F423)</f>
        <v/>
      </c>
      <c r="F418" t="str">
        <f>IF(SAISIE!$G423="","",SAISIE!$G423)</f>
        <v/>
      </c>
      <c r="G418" t="str">
        <f>IF(SAISIE!$H423="","",SAISIE!$H423)</f>
        <v/>
      </c>
      <c r="H418" t="str">
        <f>IF(SAISIE!$I423="","",SAISIE!$I423)</f>
        <v/>
      </c>
      <c r="I418" t="str">
        <f>IF(SAISIE!$J423="","",SAISIE!$J423)</f>
        <v/>
      </c>
      <c r="J418" t="str">
        <f>IF(SAISIE!$K423="","",SAISIE!$K423)</f>
        <v/>
      </c>
      <c r="K418" t="str">
        <f>IF(SAISIE!$L423="","",SAISIE!$L423)</f>
        <v/>
      </c>
      <c r="L418" t="str">
        <f>IF(SAISIE!$M423="","",SAISIE!$M423)</f>
        <v/>
      </c>
      <c r="M418" t="str">
        <f>IF(SAISIE!$N423="","",SAISIE!$N423)</f>
        <v/>
      </c>
      <c r="N418" t="str">
        <f>IF(SAISIE!$O423="","",SAISIE!$O423)</f>
        <v/>
      </c>
      <c r="O418" t="str">
        <f>IF(SAISIE!$P423="","",SAISIE!$P423)</f>
        <v/>
      </c>
      <c r="P418" t="str">
        <f>IF(SAISIE!$Q423="","",SAISIE!$Q423)</f>
        <v/>
      </c>
      <c r="Q418" t="str">
        <f>IF($I418="","",IF($I418&gt;PARAMETRES!$G$29,5,IF($I418&gt;PARAMETRES!$F$29,4,IF($I418&gt;PARAMETRES!$E$29,3,IF($I418&gt;PARAMETRES!$D$29,2,1)))))</f>
        <v/>
      </c>
      <c r="R418" t="str">
        <f>IF($J418="","",IF($J418&gt;PARAMETRES!$G$30,5,IF($J418&gt;PARAMETRES!$F$30,4,IF($J418&gt;PARAMETRES!$E$30,3,IF($J418&gt;PARAMETRES!$D$30,2,1)))))</f>
        <v/>
      </c>
      <c r="S418" t="str">
        <f>IF($K418="","",IF($Z418=2,IF($K418&gt;PARAMETRES!$G$31,5,IF($K418&gt;PARAMETRES!$F$31,4,IF($K418&gt;PARAMETRES!$E$31,3,IF($K418&gt;PARAMETRES!$D$31,2,1)))),IF($K418&gt;PARAMETRES!$G$32,5,IF($K418&gt;PARAMETRES!$F$32,4,IF($K418&gt;PARAMETRES!$E$32,3,IF($K418&gt;PARAMETRES!$D$32,2,1))))))</f>
        <v/>
      </c>
      <c r="T418" t="str">
        <f>IF($L418="","",IF($L418&gt;PARAMETRES!$G$33,5,IF($L418&gt;PARAMETRES!$F$33,4,IF($L418&gt;PARAMETRES!$E$33,3,IF($L418&gt;PARAMETRES!$D$33,2,1)))))</f>
        <v/>
      </c>
      <c r="U418" t="str">
        <f>IF($M418="","",IF($M418&gt;PARAMETRES!$G$34,5,IF($M418&gt;PARAMETRES!$F$34,4,IF($M418&gt;PARAMETRES!$E$34,3,IF($M418&gt;PARAMETRES!$D$34,2,1)))))</f>
        <v/>
      </c>
      <c r="V418" t="str">
        <f>IF($N418="","",IF($N418&gt;PARAMETRES!$G$35,5,IF($N418&gt;PARAMETRES!$F$35,4,IF($N418&gt;PARAMETRES!$E$35,3,IF($N418&gt;PARAMETRES!$D$35,2,1)))))</f>
        <v/>
      </c>
      <c r="W418" t="str">
        <f>IF($O418="","",IF($O418&gt;PARAMETRES!$G$36,5,IF($O418&gt;PARAMETRES!$F$36,4,IF($O418&gt;PARAMETRES!$E$36,3,IF($O418&gt;PARAMETRES!$D$36,2,1)))))</f>
        <v/>
      </c>
      <c r="X418" t="str">
        <f>IF($P418="","",IF($P418&gt;PARAMETRES!$G$37,5,IF($P418&gt;PARAMETRES!$F$37,4,IF($P418&gt;PARAMETRES!$E$37,3,IF($P418&gt;PARAMETRES!$D$37,2,1)))))</f>
        <v/>
      </c>
      <c r="Y418" t="str">
        <f t="shared" si="144"/>
        <v/>
      </c>
      <c r="Z418" t="str">
        <f>IFERROR(VLOOKUP($B418,TABLE_CYCLE,2,0),"")</f>
        <v/>
      </c>
      <c r="AA418" t="str">
        <f t="shared" si="145"/>
        <v/>
      </c>
      <c r="AB418" t="str">
        <f>IF($D418="","",IF(COUNTIF($D$2:$D418,$D418)=1,$D418,""))</f>
        <v/>
      </c>
      <c r="AC418">
        <f t="shared" si="146"/>
        <v>0</v>
      </c>
      <c r="AD418" t="str">
        <f t="shared" si="147"/>
        <v>|0</v>
      </c>
      <c r="AE418" t="str">
        <f t="shared" si="148"/>
        <v/>
      </c>
      <c r="AF418" t="str">
        <f t="shared" si="149"/>
        <v/>
      </c>
      <c r="AG418" t="str">
        <f t="shared" si="150"/>
        <v/>
      </c>
      <c r="AH418" t="str">
        <f t="shared" si="151"/>
        <v/>
      </c>
      <c r="AI418" t="str">
        <f t="shared" si="152"/>
        <v/>
      </c>
      <c r="AJ418" t="str">
        <f t="shared" si="153"/>
        <v/>
      </c>
      <c r="AK418" t="str">
        <f t="shared" si="154"/>
        <v/>
      </c>
      <c r="AL418" t="str">
        <f t="shared" si="155"/>
        <v/>
      </c>
      <c r="AM418" t="str">
        <f t="shared" si="156"/>
        <v/>
      </c>
      <c r="AN418" t="str">
        <f t="shared" si="157"/>
        <v/>
      </c>
      <c r="AO418" t="str">
        <f t="shared" si="158"/>
        <v/>
      </c>
      <c r="AP418">
        <f t="shared" si="159"/>
        <v>1</v>
      </c>
      <c r="AQ418" t="str">
        <f>IF(SAISIE!$F423="","",SAISIE!$Y423)</f>
        <v/>
      </c>
      <c r="AR418" t="str">
        <f>IF(OR(SAISIE!$U$4="",SAISIE!$W$4=""),"",IF(AND($A418=SAISIE!$U$4,$B418=SAISIE!$W$4,$C418="S1"),COUNTIFS($A$2:$A418,SAISIE!$U$4,$B$2:$B418,SAISIE!$W$4,$C$2:$C418,"S1"),""))</f>
        <v/>
      </c>
      <c r="AS418" t="str">
        <f t="shared" si="160"/>
        <v/>
      </c>
      <c r="AT418" t="str">
        <f t="shared" si="161"/>
        <v/>
      </c>
      <c r="AU418" t="str">
        <f t="shared" si="162"/>
        <v/>
      </c>
      <c r="AV418">
        <f>N(AV417)+IF(AND($AB418&lt;&gt;"",OR('PROFIL ELEVE'!$K$4="(Tous)",$AF418='PROFIL ELEVE'!$K$4)),1,0)</f>
        <v>0</v>
      </c>
      <c r="AW418">
        <f>N(AW417)+IF(AND($AB418&lt;&gt;"",OR('SUIVI LONGITUDINAL'!$Q$4="(Tous)",$AF418='SUIVI LONGITUDINAL'!$Q$4)),1,0)</f>
        <v>0</v>
      </c>
      <c r="AX418">
        <f t="shared" si="163"/>
        <v>0</v>
      </c>
      <c r="AY418">
        <f t="shared" si="164"/>
        <v>0</v>
      </c>
      <c r="AZ418">
        <f t="shared" si="165"/>
        <v>0</v>
      </c>
      <c r="BA418" t="str">
        <f t="shared" si="166"/>
        <v/>
      </c>
      <c r="BB418" t="str">
        <f t="shared" si="167"/>
        <v/>
      </c>
    </row>
    <row r="419" spans="1:54" ht="14.25" customHeight="1" x14ac:dyDescent="0.3">
      <c r="A419" t="str">
        <f>IF(SAISIE!$F424="","",SAISIE!$B424)</f>
        <v/>
      </c>
      <c r="B419" t="str">
        <f>IF(SAISIE!$F424="","",SAISIE!$C424)</f>
        <v/>
      </c>
      <c r="C419" t="str">
        <f>IF(SAISIE!$F424="","",SAISIE!$D424)</f>
        <v/>
      </c>
      <c r="D419" t="str">
        <f>IF(SAISIE!$E424="","",SAISIE!$E424)</f>
        <v/>
      </c>
      <c r="E419" t="str">
        <f>IF(SAISIE!$F424="","",SAISIE!$F424)</f>
        <v/>
      </c>
      <c r="F419" t="str">
        <f>IF(SAISIE!$G424="","",SAISIE!$G424)</f>
        <v/>
      </c>
      <c r="G419" t="str">
        <f>IF(SAISIE!$H424="","",SAISIE!$H424)</f>
        <v/>
      </c>
      <c r="H419" t="str">
        <f>IF(SAISIE!$I424="","",SAISIE!$I424)</f>
        <v/>
      </c>
      <c r="I419" t="str">
        <f>IF(SAISIE!$J424="","",SAISIE!$J424)</f>
        <v/>
      </c>
      <c r="J419" t="str">
        <f>IF(SAISIE!$K424="","",SAISIE!$K424)</f>
        <v/>
      </c>
      <c r="K419" t="str">
        <f>IF(SAISIE!$L424="","",SAISIE!$L424)</f>
        <v/>
      </c>
      <c r="L419" t="str">
        <f>IF(SAISIE!$M424="","",SAISIE!$M424)</f>
        <v/>
      </c>
      <c r="M419" t="str">
        <f>IF(SAISIE!$N424="","",SAISIE!$N424)</f>
        <v/>
      </c>
      <c r="N419" t="str">
        <f>IF(SAISIE!$O424="","",SAISIE!$O424)</f>
        <v/>
      </c>
      <c r="O419" t="str">
        <f>IF(SAISIE!$P424="","",SAISIE!$P424)</f>
        <v/>
      </c>
      <c r="P419" t="str">
        <f>IF(SAISIE!$Q424="","",SAISIE!$Q424)</f>
        <v/>
      </c>
      <c r="Q419" t="str">
        <f>IF($I419="","",IF($I419&gt;PARAMETRES!$G$29,5,IF($I419&gt;PARAMETRES!$F$29,4,IF($I419&gt;PARAMETRES!$E$29,3,IF($I419&gt;PARAMETRES!$D$29,2,1)))))</f>
        <v/>
      </c>
      <c r="R419" t="str">
        <f>IF($J419="","",IF($J419&gt;PARAMETRES!$G$30,5,IF($J419&gt;PARAMETRES!$F$30,4,IF($J419&gt;PARAMETRES!$E$30,3,IF($J419&gt;PARAMETRES!$D$30,2,1)))))</f>
        <v/>
      </c>
      <c r="S419" t="str">
        <f>IF($K419="","",IF($Z419=2,IF($K419&gt;PARAMETRES!$G$31,5,IF($K419&gt;PARAMETRES!$F$31,4,IF($K419&gt;PARAMETRES!$E$31,3,IF($K419&gt;PARAMETRES!$D$31,2,1)))),IF($K419&gt;PARAMETRES!$G$32,5,IF($K419&gt;PARAMETRES!$F$32,4,IF($K419&gt;PARAMETRES!$E$32,3,IF($K419&gt;PARAMETRES!$D$32,2,1))))))</f>
        <v/>
      </c>
      <c r="T419" t="str">
        <f>IF($L419="","",IF($L419&gt;PARAMETRES!$G$33,5,IF($L419&gt;PARAMETRES!$F$33,4,IF($L419&gt;PARAMETRES!$E$33,3,IF($L419&gt;PARAMETRES!$D$33,2,1)))))</f>
        <v/>
      </c>
      <c r="U419" t="str">
        <f>IF($M419="","",IF($M419&gt;PARAMETRES!$G$34,5,IF($M419&gt;PARAMETRES!$F$34,4,IF($M419&gt;PARAMETRES!$E$34,3,IF($M419&gt;PARAMETRES!$D$34,2,1)))))</f>
        <v/>
      </c>
      <c r="V419" t="str">
        <f>IF($N419="","",IF($N419&gt;PARAMETRES!$G$35,5,IF($N419&gt;PARAMETRES!$F$35,4,IF($N419&gt;PARAMETRES!$E$35,3,IF($N419&gt;PARAMETRES!$D$35,2,1)))))</f>
        <v/>
      </c>
      <c r="W419" t="str">
        <f>IF($O419="","",IF($O419&gt;PARAMETRES!$G$36,5,IF($O419&gt;PARAMETRES!$F$36,4,IF($O419&gt;PARAMETRES!$E$36,3,IF($O419&gt;PARAMETRES!$D$36,2,1)))))</f>
        <v/>
      </c>
      <c r="X419" t="str">
        <f>IF($P419="","",IF($P419&gt;PARAMETRES!$G$37,5,IF($P419&gt;PARAMETRES!$F$37,4,IF($P419&gt;PARAMETRES!$E$37,3,IF($P419&gt;PARAMETRES!$D$37,2,1)))))</f>
        <v/>
      </c>
      <c r="Y419" t="str">
        <f t="shared" si="144"/>
        <v/>
      </c>
      <c r="Z419" t="str">
        <f>IFERROR(VLOOKUP($B419,TABLE_CYCLE,2,0),"")</f>
        <v/>
      </c>
      <c r="AA419" t="str">
        <f t="shared" si="145"/>
        <v/>
      </c>
      <c r="AB419" t="str">
        <f>IF($D419="","",IF(COUNTIF($D$2:$D419,$D419)=1,$D419,""))</f>
        <v/>
      </c>
      <c r="AC419">
        <f t="shared" si="146"/>
        <v>0</v>
      </c>
      <c r="AD419" t="str">
        <f t="shared" si="147"/>
        <v>|0</v>
      </c>
      <c r="AE419" t="str">
        <f t="shared" si="148"/>
        <v/>
      </c>
      <c r="AF419" t="str">
        <f t="shared" si="149"/>
        <v/>
      </c>
      <c r="AG419" t="str">
        <f t="shared" si="150"/>
        <v/>
      </c>
      <c r="AH419" t="str">
        <f t="shared" si="151"/>
        <v/>
      </c>
      <c r="AI419" t="str">
        <f t="shared" si="152"/>
        <v/>
      </c>
      <c r="AJ419" t="str">
        <f t="shared" si="153"/>
        <v/>
      </c>
      <c r="AK419" t="str">
        <f t="shared" si="154"/>
        <v/>
      </c>
      <c r="AL419" t="str">
        <f t="shared" si="155"/>
        <v/>
      </c>
      <c r="AM419" t="str">
        <f t="shared" si="156"/>
        <v/>
      </c>
      <c r="AN419" t="str">
        <f t="shared" si="157"/>
        <v/>
      </c>
      <c r="AO419" t="str">
        <f t="shared" si="158"/>
        <v/>
      </c>
      <c r="AP419">
        <f t="shared" si="159"/>
        <v>1</v>
      </c>
      <c r="AQ419" t="str">
        <f>IF(SAISIE!$F424="","",SAISIE!$Y424)</f>
        <v/>
      </c>
      <c r="AR419" t="str">
        <f>IF(OR(SAISIE!$U$4="",SAISIE!$W$4=""),"",IF(AND($A419=SAISIE!$U$4,$B419=SAISIE!$W$4,$C419="S1"),COUNTIFS($A$2:$A419,SAISIE!$U$4,$B$2:$B419,SAISIE!$W$4,$C$2:$C419,"S1"),""))</f>
        <v/>
      </c>
      <c r="AS419" t="str">
        <f t="shared" si="160"/>
        <v/>
      </c>
      <c r="AT419" t="str">
        <f t="shared" si="161"/>
        <v/>
      </c>
      <c r="AU419" t="str">
        <f t="shared" si="162"/>
        <v/>
      </c>
      <c r="AV419">
        <f>N(AV418)+IF(AND($AB419&lt;&gt;"",OR('PROFIL ELEVE'!$K$4="(Tous)",$AF419='PROFIL ELEVE'!$K$4)),1,0)</f>
        <v>0</v>
      </c>
      <c r="AW419">
        <f>N(AW418)+IF(AND($AB419&lt;&gt;"",OR('SUIVI LONGITUDINAL'!$Q$4="(Tous)",$AF419='SUIVI LONGITUDINAL'!$Q$4)),1,0)</f>
        <v>0</v>
      </c>
      <c r="AX419">
        <f t="shared" si="163"/>
        <v>0</v>
      </c>
      <c r="AY419">
        <f t="shared" si="164"/>
        <v>0</v>
      </c>
      <c r="AZ419">
        <f t="shared" si="165"/>
        <v>0</v>
      </c>
      <c r="BA419" t="str">
        <f t="shared" si="166"/>
        <v/>
      </c>
      <c r="BB419" t="str">
        <f t="shared" si="167"/>
        <v/>
      </c>
    </row>
    <row r="420" spans="1:54" ht="14.25" customHeight="1" x14ac:dyDescent="0.3">
      <c r="A420" t="str">
        <f>IF(SAISIE!$F425="","",SAISIE!$B425)</f>
        <v/>
      </c>
      <c r="B420" t="str">
        <f>IF(SAISIE!$F425="","",SAISIE!$C425)</f>
        <v/>
      </c>
      <c r="C420" t="str">
        <f>IF(SAISIE!$F425="","",SAISIE!$D425)</f>
        <v/>
      </c>
      <c r="D420" t="str">
        <f>IF(SAISIE!$E425="","",SAISIE!$E425)</f>
        <v/>
      </c>
      <c r="E420" t="str">
        <f>IF(SAISIE!$F425="","",SAISIE!$F425)</f>
        <v/>
      </c>
      <c r="F420" t="str">
        <f>IF(SAISIE!$G425="","",SAISIE!$G425)</f>
        <v/>
      </c>
      <c r="G420" t="str">
        <f>IF(SAISIE!$H425="","",SAISIE!$H425)</f>
        <v/>
      </c>
      <c r="H420" t="str">
        <f>IF(SAISIE!$I425="","",SAISIE!$I425)</f>
        <v/>
      </c>
      <c r="I420" t="str">
        <f>IF(SAISIE!$J425="","",SAISIE!$J425)</f>
        <v/>
      </c>
      <c r="J420" t="str">
        <f>IF(SAISIE!$K425="","",SAISIE!$K425)</f>
        <v/>
      </c>
      <c r="K420" t="str">
        <f>IF(SAISIE!$L425="","",SAISIE!$L425)</f>
        <v/>
      </c>
      <c r="L420" t="str">
        <f>IF(SAISIE!$M425="","",SAISIE!$M425)</f>
        <v/>
      </c>
      <c r="M420" t="str">
        <f>IF(SAISIE!$N425="","",SAISIE!$N425)</f>
        <v/>
      </c>
      <c r="N420" t="str">
        <f>IF(SAISIE!$O425="","",SAISIE!$O425)</f>
        <v/>
      </c>
      <c r="O420" t="str">
        <f>IF(SAISIE!$P425="","",SAISIE!$P425)</f>
        <v/>
      </c>
      <c r="P420" t="str">
        <f>IF(SAISIE!$Q425="","",SAISIE!$Q425)</f>
        <v/>
      </c>
      <c r="Q420" t="str">
        <f>IF($I420="","",IF($I420&gt;PARAMETRES!$G$29,5,IF($I420&gt;PARAMETRES!$F$29,4,IF($I420&gt;PARAMETRES!$E$29,3,IF($I420&gt;PARAMETRES!$D$29,2,1)))))</f>
        <v/>
      </c>
      <c r="R420" t="str">
        <f>IF($J420="","",IF($J420&gt;PARAMETRES!$G$30,5,IF($J420&gt;PARAMETRES!$F$30,4,IF($J420&gt;PARAMETRES!$E$30,3,IF($J420&gt;PARAMETRES!$D$30,2,1)))))</f>
        <v/>
      </c>
      <c r="S420" t="str">
        <f>IF($K420="","",IF($Z420=2,IF($K420&gt;PARAMETRES!$G$31,5,IF($K420&gt;PARAMETRES!$F$31,4,IF($K420&gt;PARAMETRES!$E$31,3,IF($K420&gt;PARAMETRES!$D$31,2,1)))),IF($K420&gt;PARAMETRES!$G$32,5,IF($K420&gt;PARAMETRES!$F$32,4,IF($K420&gt;PARAMETRES!$E$32,3,IF($K420&gt;PARAMETRES!$D$32,2,1))))))</f>
        <v/>
      </c>
      <c r="T420" t="str">
        <f>IF($L420="","",IF($L420&gt;PARAMETRES!$G$33,5,IF($L420&gt;PARAMETRES!$F$33,4,IF($L420&gt;PARAMETRES!$E$33,3,IF($L420&gt;PARAMETRES!$D$33,2,1)))))</f>
        <v/>
      </c>
      <c r="U420" t="str">
        <f>IF($M420="","",IF($M420&gt;PARAMETRES!$G$34,5,IF($M420&gt;PARAMETRES!$F$34,4,IF($M420&gt;PARAMETRES!$E$34,3,IF($M420&gt;PARAMETRES!$D$34,2,1)))))</f>
        <v/>
      </c>
      <c r="V420" t="str">
        <f>IF($N420="","",IF($N420&gt;PARAMETRES!$G$35,5,IF($N420&gt;PARAMETRES!$F$35,4,IF($N420&gt;PARAMETRES!$E$35,3,IF($N420&gt;PARAMETRES!$D$35,2,1)))))</f>
        <v/>
      </c>
      <c r="W420" t="str">
        <f>IF($O420="","",IF($O420&gt;PARAMETRES!$G$36,5,IF($O420&gt;PARAMETRES!$F$36,4,IF($O420&gt;PARAMETRES!$E$36,3,IF($O420&gt;PARAMETRES!$D$36,2,1)))))</f>
        <v/>
      </c>
      <c r="X420" t="str">
        <f>IF($P420="","",IF($P420&gt;PARAMETRES!$G$37,5,IF($P420&gt;PARAMETRES!$F$37,4,IF($P420&gt;PARAMETRES!$E$37,3,IF($P420&gt;PARAMETRES!$D$37,2,1)))))</f>
        <v/>
      </c>
      <c r="Y420" t="str">
        <f t="shared" si="144"/>
        <v/>
      </c>
      <c r="Z420" t="str">
        <f>IFERROR(VLOOKUP($B420,TABLE_CYCLE,2,0),"")</f>
        <v/>
      </c>
      <c r="AA420" t="str">
        <f t="shared" si="145"/>
        <v/>
      </c>
      <c r="AB420" t="str">
        <f>IF($D420="","",IF(COUNTIF($D$2:$D420,$D420)=1,$D420,""))</f>
        <v/>
      </c>
      <c r="AC420">
        <f t="shared" si="146"/>
        <v>0</v>
      </c>
      <c r="AD420" t="str">
        <f t="shared" si="147"/>
        <v>|0</v>
      </c>
      <c r="AE420" t="str">
        <f t="shared" si="148"/>
        <v/>
      </c>
      <c r="AF420" t="str">
        <f t="shared" si="149"/>
        <v/>
      </c>
      <c r="AG420" t="str">
        <f t="shared" si="150"/>
        <v/>
      </c>
      <c r="AH420" t="str">
        <f t="shared" si="151"/>
        <v/>
      </c>
      <c r="AI420" t="str">
        <f t="shared" si="152"/>
        <v/>
      </c>
      <c r="AJ420" t="str">
        <f t="shared" si="153"/>
        <v/>
      </c>
      <c r="AK420" t="str">
        <f t="shared" si="154"/>
        <v/>
      </c>
      <c r="AL420" t="str">
        <f t="shared" si="155"/>
        <v/>
      </c>
      <c r="AM420" t="str">
        <f t="shared" si="156"/>
        <v/>
      </c>
      <c r="AN420" t="str">
        <f t="shared" si="157"/>
        <v/>
      </c>
      <c r="AO420" t="str">
        <f t="shared" si="158"/>
        <v/>
      </c>
      <c r="AP420">
        <f t="shared" si="159"/>
        <v>1</v>
      </c>
      <c r="AQ420" t="str">
        <f>IF(SAISIE!$F425="","",SAISIE!$Y425)</f>
        <v/>
      </c>
      <c r="AR420" t="str">
        <f>IF(OR(SAISIE!$U$4="",SAISIE!$W$4=""),"",IF(AND($A420=SAISIE!$U$4,$B420=SAISIE!$W$4,$C420="S1"),COUNTIFS($A$2:$A420,SAISIE!$U$4,$B$2:$B420,SAISIE!$W$4,$C$2:$C420,"S1"),""))</f>
        <v/>
      </c>
      <c r="AS420" t="str">
        <f t="shared" si="160"/>
        <v/>
      </c>
      <c r="AT420" t="str">
        <f t="shared" si="161"/>
        <v/>
      </c>
      <c r="AU420" t="str">
        <f t="shared" si="162"/>
        <v/>
      </c>
      <c r="AV420">
        <f>N(AV419)+IF(AND($AB420&lt;&gt;"",OR('PROFIL ELEVE'!$K$4="(Tous)",$AF420='PROFIL ELEVE'!$K$4)),1,0)</f>
        <v>0</v>
      </c>
      <c r="AW420">
        <f>N(AW419)+IF(AND($AB420&lt;&gt;"",OR('SUIVI LONGITUDINAL'!$Q$4="(Tous)",$AF420='SUIVI LONGITUDINAL'!$Q$4)),1,0)</f>
        <v>0</v>
      </c>
      <c r="AX420">
        <f t="shared" si="163"/>
        <v>0</v>
      </c>
      <c r="AY420">
        <f t="shared" si="164"/>
        <v>0</v>
      </c>
      <c r="AZ420">
        <f t="shared" si="165"/>
        <v>0</v>
      </c>
      <c r="BA420" t="str">
        <f t="shared" si="166"/>
        <v/>
      </c>
      <c r="BB420" t="str">
        <f t="shared" si="167"/>
        <v/>
      </c>
    </row>
    <row r="421" spans="1:54" ht="14.25" customHeight="1" x14ac:dyDescent="0.3">
      <c r="A421" t="str">
        <f>IF(SAISIE!$F426="","",SAISIE!$B426)</f>
        <v/>
      </c>
      <c r="B421" t="str">
        <f>IF(SAISIE!$F426="","",SAISIE!$C426)</f>
        <v/>
      </c>
      <c r="C421" t="str">
        <f>IF(SAISIE!$F426="","",SAISIE!$D426)</f>
        <v/>
      </c>
      <c r="D421" t="str">
        <f>IF(SAISIE!$E426="","",SAISIE!$E426)</f>
        <v/>
      </c>
      <c r="E421" t="str">
        <f>IF(SAISIE!$F426="","",SAISIE!$F426)</f>
        <v/>
      </c>
      <c r="F421" t="str">
        <f>IF(SAISIE!$G426="","",SAISIE!$G426)</f>
        <v/>
      </c>
      <c r="G421" t="str">
        <f>IF(SAISIE!$H426="","",SAISIE!$H426)</f>
        <v/>
      </c>
      <c r="H421" t="str">
        <f>IF(SAISIE!$I426="","",SAISIE!$I426)</f>
        <v/>
      </c>
      <c r="I421" t="str">
        <f>IF(SAISIE!$J426="","",SAISIE!$J426)</f>
        <v/>
      </c>
      <c r="J421" t="str">
        <f>IF(SAISIE!$K426="","",SAISIE!$K426)</f>
        <v/>
      </c>
      <c r="K421" t="str">
        <f>IF(SAISIE!$L426="","",SAISIE!$L426)</f>
        <v/>
      </c>
      <c r="L421" t="str">
        <f>IF(SAISIE!$M426="","",SAISIE!$M426)</f>
        <v/>
      </c>
      <c r="M421" t="str">
        <f>IF(SAISIE!$N426="","",SAISIE!$N426)</f>
        <v/>
      </c>
      <c r="N421" t="str">
        <f>IF(SAISIE!$O426="","",SAISIE!$O426)</f>
        <v/>
      </c>
      <c r="O421" t="str">
        <f>IF(SAISIE!$P426="","",SAISIE!$P426)</f>
        <v/>
      </c>
      <c r="P421" t="str">
        <f>IF(SAISIE!$Q426="","",SAISIE!$Q426)</f>
        <v/>
      </c>
      <c r="Q421" t="str">
        <f>IF($I421="","",IF($I421&gt;PARAMETRES!$G$29,5,IF($I421&gt;PARAMETRES!$F$29,4,IF($I421&gt;PARAMETRES!$E$29,3,IF($I421&gt;PARAMETRES!$D$29,2,1)))))</f>
        <v/>
      </c>
      <c r="R421" t="str">
        <f>IF($J421="","",IF($J421&gt;PARAMETRES!$G$30,5,IF($J421&gt;PARAMETRES!$F$30,4,IF($J421&gt;PARAMETRES!$E$30,3,IF($J421&gt;PARAMETRES!$D$30,2,1)))))</f>
        <v/>
      </c>
      <c r="S421" t="str">
        <f>IF($K421="","",IF($Z421=2,IF($K421&gt;PARAMETRES!$G$31,5,IF($K421&gt;PARAMETRES!$F$31,4,IF($K421&gt;PARAMETRES!$E$31,3,IF($K421&gt;PARAMETRES!$D$31,2,1)))),IF($K421&gt;PARAMETRES!$G$32,5,IF($K421&gt;PARAMETRES!$F$32,4,IF($K421&gt;PARAMETRES!$E$32,3,IF($K421&gt;PARAMETRES!$D$32,2,1))))))</f>
        <v/>
      </c>
      <c r="T421" t="str">
        <f>IF($L421="","",IF($L421&gt;PARAMETRES!$G$33,5,IF($L421&gt;PARAMETRES!$F$33,4,IF($L421&gt;PARAMETRES!$E$33,3,IF($L421&gt;PARAMETRES!$D$33,2,1)))))</f>
        <v/>
      </c>
      <c r="U421" t="str">
        <f>IF($M421="","",IF($M421&gt;PARAMETRES!$G$34,5,IF($M421&gt;PARAMETRES!$F$34,4,IF($M421&gt;PARAMETRES!$E$34,3,IF($M421&gt;PARAMETRES!$D$34,2,1)))))</f>
        <v/>
      </c>
      <c r="V421" t="str">
        <f>IF($N421="","",IF($N421&gt;PARAMETRES!$G$35,5,IF($N421&gt;PARAMETRES!$F$35,4,IF($N421&gt;PARAMETRES!$E$35,3,IF($N421&gt;PARAMETRES!$D$35,2,1)))))</f>
        <v/>
      </c>
      <c r="W421" t="str">
        <f>IF($O421="","",IF($O421&gt;PARAMETRES!$G$36,5,IF($O421&gt;PARAMETRES!$F$36,4,IF($O421&gt;PARAMETRES!$E$36,3,IF($O421&gt;PARAMETRES!$D$36,2,1)))))</f>
        <v/>
      </c>
      <c r="X421" t="str">
        <f>IF($P421="","",IF($P421&gt;PARAMETRES!$G$37,5,IF($P421&gt;PARAMETRES!$F$37,4,IF($P421&gt;PARAMETRES!$E$37,3,IF($P421&gt;PARAMETRES!$D$37,2,1)))))</f>
        <v/>
      </c>
      <c r="Y421" t="str">
        <f t="shared" si="144"/>
        <v/>
      </c>
      <c r="Z421" t="str">
        <f>IFERROR(VLOOKUP($B421,TABLE_CYCLE,2,0),"")</f>
        <v/>
      </c>
      <c r="AA421" t="str">
        <f t="shared" si="145"/>
        <v/>
      </c>
      <c r="AB421" t="str">
        <f>IF($D421="","",IF(COUNTIF($D$2:$D421,$D421)=1,$D421,""))</f>
        <v/>
      </c>
      <c r="AC421">
        <f t="shared" si="146"/>
        <v>0</v>
      </c>
      <c r="AD421" t="str">
        <f t="shared" si="147"/>
        <v>|0</v>
      </c>
      <c r="AE421" t="str">
        <f t="shared" si="148"/>
        <v/>
      </c>
      <c r="AF421" t="str">
        <f t="shared" si="149"/>
        <v/>
      </c>
      <c r="AG421" t="str">
        <f t="shared" si="150"/>
        <v/>
      </c>
      <c r="AH421" t="str">
        <f t="shared" si="151"/>
        <v/>
      </c>
      <c r="AI421" t="str">
        <f t="shared" si="152"/>
        <v/>
      </c>
      <c r="AJ421" t="str">
        <f t="shared" si="153"/>
        <v/>
      </c>
      <c r="AK421" t="str">
        <f t="shared" si="154"/>
        <v/>
      </c>
      <c r="AL421" t="str">
        <f t="shared" si="155"/>
        <v/>
      </c>
      <c r="AM421" t="str">
        <f t="shared" si="156"/>
        <v/>
      </c>
      <c r="AN421" t="str">
        <f t="shared" si="157"/>
        <v/>
      </c>
      <c r="AO421" t="str">
        <f t="shared" si="158"/>
        <v/>
      </c>
      <c r="AP421">
        <f t="shared" si="159"/>
        <v>1</v>
      </c>
      <c r="AQ421" t="str">
        <f>IF(SAISIE!$F426="","",SAISIE!$Y426)</f>
        <v/>
      </c>
      <c r="AR421" t="str">
        <f>IF(OR(SAISIE!$U$4="",SAISIE!$W$4=""),"",IF(AND($A421=SAISIE!$U$4,$B421=SAISIE!$W$4,$C421="S1"),COUNTIFS($A$2:$A421,SAISIE!$U$4,$B$2:$B421,SAISIE!$W$4,$C$2:$C421,"S1"),""))</f>
        <v/>
      </c>
      <c r="AS421" t="str">
        <f t="shared" si="160"/>
        <v/>
      </c>
      <c r="AT421" t="str">
        <f t="shared" si="161"/>
        <v/>
      </c>
      <c r="AU421" t="str">
        <f t="shared" si="162"/>
        <v/>
      </c>
      <c r="AV421">
        <f>N(AV420)+IF(AND($AB421&lt;&gt;"",OR('PROFIL ELEVE'!$K$4="(Tous)",$AF421='PROFIL ELEVE'!$K$4)),1,0)</f>
        <v>0</v>
      </c>
      <c r="AW421">
        <f>N(AW420)+IF(AND($AB421&lt;&gt;"",OR('SUIVI LONGITUDINAL'!$Q$4="(Tous)",$AF421='SUIVI LONGITUDINAL'!$Q$4)),1,0)</f>
        <v>0</v>
      </c>
      <c r="AX421">
        <f t="shared" si="163"/>
        <v>0</v>
      </c>
      <c r="AY421">
        <f t="shared" si="164"/>
        <v>0</v>
      </c>
      <c r="AZ421">
        <f t="shared" si="165"/>
        <v>0</v>
      </c>
      <c r="BA421" t="str">
        <f t="shared" si="166"/>
        <v/>
      </c>
      <c r="BB421" t="str">
        <f t="shared" si="167"/>
        <v/>
      </c>
    </row>
    <row r="422" spans="1:54" ht="14.25" customHeight="1" x14ac:dyDescent="0.3">
      <c r="A422" t="str">
        <f>IF(SAISIE!$F427="","",SAISIE!$B427)</f>
        <v/>
      </c>
      <c r="B422" t="str">
        <f>IF(SAISIE!$F427="","",SAISIE!$C427)</f>
        <v/>
      </c>
      <c r="C422" t="str">
        <f>IF(SAISIE!$F427="","",SAISIE!$D427)</f>
        <v/>
      </c>
      <c r="D422" t="str">
        <f>IF(SAISIE!$E427="","",SAISIE!$E427)</f>
        <v/>
      </c>
      <c r="E422" t="str">
        <f>IF(SAISIE!$F427="","",SAISIE!$F427)</f>
        <v/>
      </c>
      <c r="F422" t="str">
        <f>IF(SAISIE!$G427="","",SAISIE!$G427)</f>
        <v/>
      </c>
      <c r="G422" t="str">
        <f>IF(SAISIE!$H427="","",SAISIE!$H427)</f>
        <v/>
      </c>
      <c r="H422" t="str">
        <f>IF(SAISIE!$I427="","",SAISIE!$I427)</f>
        <v/>
      </c>
      <c r="I422" t="str">
        <f>IF(SAISIE!$J427="","",SAISIE!$J427)</f>
        <v/>
      </c>
      <c r="J422" t="str">
        <f>IF(SAISIE!$K427="","",SAISIE!$K427)</f>
        <v/>
      </c>
      <c r="K422" t="str">
        <f>IF(SAISIE!$L427="","",SAISIE!$L427)</f>
        <v/>
      </c>
      <c r="L422" t="str">
        <f>IF(SAISIE!$M427="","",SAISIE!$M427)</f>
        <v/>
      </c>
      <c r="M422" t="str">
        <f>IF(SAISIE!$N427="","",SAISIE!$N427)</f>
        <v/>
      </c>
      <c r="N422" t="str">
        <f>IF(SAISIE!$O427="","",SAISIE!$O427)</f>
        <v/>
      </c>
      <c r="O422" t="str">
        <f>IF(SAISIE!$P427="","",SAISIE!$P427)</f>
        <v/>
      </c>
      <c r="P422" t="str">
        <f>IF(SAISIE!$Q427="","",SAISIE!$Q427)</f>
        <v/>
      </c>
      <c r="Q422" t="str">
        <f>IF($I422="","",IF($I422&gt;PARAMETRES!$G$29,5,IF($I422&gt;PARAMETRES!$F$29,4,IF($I422&gt;PARAMETRES!$E$29,3,IF($I422&gt;PARAMETRES!$D$29,2,1)))))</f>
        <v/>
      </c>
      <c r="R422" t="str">
        <f>IF($J422="","",IF($J422&gt;PARAMETRES!$G$30,5,IF($J422&gt;PARAMETRES!$F$30,4,IF($J422&gt;PARAMETRES!$E$30,3,IF($J422&gt;PARAMETRES!$D$30,2,1)))))</f>
        <v/>
      </c>
      <c r="S422" t="str">
        <f>IF($K422="","",IF($Z422=2,IF($K422&gt;PARAMETRES!$G$31,5,IF($K422&gt;PARAMETRES!$F$31,4,IF($K422&gt;PARAMETRES!$E$31,3,IF($K422&gt;PARAMETRES!$D$31,2,1)))),IF($K422&gt;PARAMETRES!$G$32,5,IF($K422&gt;PARAMETRES!$F$32,4,IF($K422&gt;PARAMETRES!$E$32,3,IF($K422&gt;PARAMETRES!$D$32,2,1))))))</f>
        <v/>
      </c>
      <c r="T422" t="str">
        <f>IF($L422="","",IF($L422&gt;PARAMETRES!$G$33,5,IF($L422&gt;PARAMETRES!$F$33,4,IF($L422&gt;PARAMETRES!$E$33,3,IF($L422&gt;PARAMETRES!$D$33,2,1)))))</f>
        <v/>
      </c>
      <c r="U422" t="str">
        <f>IF($M422="","",IF($M422&gt;PARAMETRES!$G$34,5,IF($M422&gt;PARAMETRES!$F$34,4,IF($M422&gt;PARAMETRES!$E$34,3,IF($M422&gt;PARAMETRES!$D$34,2,1)))))</f>
        <v/>
      </c>
      <c r="V422" t="str">
        <f>IF($N422="","",IF($N422&gt;PARAMETRES!$G$35,5,IF($N422&gt;PARAMETRES!$F$35,4,IF($N422&gt;PARAMETRES!$E$35,3,IF($N422&gt;PARAMETRES!$D$35,2,1)))))</f>
        <v/>
      </c>
      <c r="W422" t="str">
        <f>IF($O422="","",IF($O422&gt;PARAMETRES!$G$36,5,IF($O422&gt;PARAMETRES!$F$36,4,IF($O422&gt;PARAMETRES!$E$36,3,IF($O422&gt;PARAMETRES!$D$36,2,1)))))</f>
        <v/>
      </c>
      <c r="X422" t="str">
        <f>IF($P422="","",IF($P422&gt;PARAMETRES!$G$37,5,IF($P422&gt;PARAMETRES!$F$37,4,IF($P422&gt;PARAMETRES!$E$37,3,IF($P422&gt;PARAMETRES!$D$37,2,1)))))</f>
        <v/>
      </c>
      <c r="Y422" t="str">
        <f t="shared" si="144"/>
        <v/>
      </c>
      <c r="Z422" t="str">
        <f>IFERROR(VLOOKUP($B422,TABLE_CYCLE,2,0),"")</f>
        <v/>
      </c>
      <c r="AA422" t="str">
        <f t="shared" si="145"/>
        <v/>
      </c>
      <c r="AB422" t="str">
        <f>IF($D422="","",IF(COUNTIF($D$2:$D422,$D422)=1,$D422,""))</f>
        <v/>
      </c>
      <c r="AC422">
        <f t="shared" si="146"/>
        <v>0</v>
      </c>
      <c r="AD422" t="str">
        <f t="shared" si="147"/>
        <v>|0</v>
      </c>
      <c r="AE422" t="str">
        <f t="shared" si="148"/>
        <v/>
      </c>
      <c r="AF422" t="str">
        <f t="shared" si="149"/>
        <v/>
      </c>
      <c r="AG422" t="str">
        <f t="shared" si="150"/>
        <v/>
      </c>
      <c r="AH422" t="str">
        <f t="shared" si="151"/>
        <v/>
      </c>
      <c r="AI422" t="str">
        <f t="shared" si="152"/>
        <v/>
      </c>
      <c r="AJ422" t="str">
        <f t="shared" si="153"/>
        <v/>
      </c>
      <c r="AK422" t="str">
        <f t="shared" si="154"/>
        <v/>
      </c>
      <c r="AL422" t="str">
        <f t="shared" si="155"/>
        <v/>
      </c>
      <c r="AM422" t="str">
        <f t="shared" si="156"/>
        <v/>
      </c>
      <c r="AN422" t="str">
        <f t="shared" si="157"/>
        <v/>
      </c>
      <c r="AO422" t="str">
        <f t="shared" si="158"/>
        <v/>
      </c>
      <c r="AP422">
        <f t="shared" si="159"/>
        <v>1</v>
      </c>
      <c r="AQ422" t="str">
        <f>IF(SAISIE!$F427="","",SAISIE!$Y427)</f>
        <v/>
      </c>
      <c r="AR422" t="str">
        <f>IF(OR(SAISIE!$U$4="",SAISIE!$W$4=""),"",IF(AND($A422=SAISIE!$U$4,$B422=SAISIE!$W$4,$C422="S1"),COUNTIFS($A$2:$A422,SAISIE!$U$4,$B$2:$B422,SAISIE!$W$4,$C$2:$C422,"S1"),""))</f>
        <v/>
      </c>
      <c r="AS422" t="str">
        <f t="shared" si="160"/>
        <v/>
      </c>
      <c r="AT422" t="str">
        <f t="shared" si="161"/>
        <v/>
      </c>
      <c r="AU422" t="str">
        <f t="shared" si="162"/>
        <v/>
      </c>
      <c r="AV422">
        <f>N(AV421)+IF(AND($AB422&lt;&gt;"",OR('PROFIL ELEVE'!$K$4="(Tous)",$AF422='PROFIL ELEVE'!$K$4)),1,0)</f>
        <v>0</v>
      </c>
      <c r="AW422">
        <f>N(AW421)+IF(AND($AB422&lt;&gt;"",OR('SUIVI LONGITUDINAL'!$Q$4="(Tous)",$AF422='SUIVI LONGITUDINAL'!$Q$4)),1,0)</f>
        <v>0</v>
      </c>
      <c r="AX422">
        <f t="shared" si="163"/>
        <v>0</v>
      </c>
      <c r="AY422">
        <f t="shared" si="164"/>
        <v>0</v>
      </c>
      <c r="AZ422">
        <f t="shared" si="165"/>
        <v>0</v>
      </c>
      <c r="BA422" t="str">
        <f t="shared" si="166"/>
        <v/>
      </c>
      <c r="BB422" t="str">
        <f t="shared" si="167"/>
        <v/>
      </c>
    </row>
    <row r="423" spans="1:54" ht="14.25" customHeight="1" x14ac:dyDescent="0.3">
      <c r="A423" t="str">
        <f>IF(SAISIE!$F428="","",SAISIE!$B428)</f>
        <v/>
      </c>
      <c r="B423" t="str">
        <f>IF(SAISIE!$F428="","",SAISIE!$C428)</f>
        <v/>
      </c>
      <c r="C423" t="str">
        <f>IF(SAISIE!$F428="","",SAISIE!$D428)</f>
        <v/>
      </c>
      <c r="D423" t="str">
        <f>IF(SAISIE!$E428="","",SAISIE!$E428)</f>
        <v/>
      </c>
      <c r="E423" t="str">
        <f>IF(SAISIE!$F428="","",SAISIE!$F428)</f>
        <v/>
      </c>
      <c r="F423" t="str">
        <f>IF(SAISIE!$G428="","",SAISIE!$G428)</f>
        <v/>
      </c>
      <c r="G423" t="str">
        <f>IF(SAISIE!$H428="","",SAISIE!$H428)</f>
        <v/>
      </c>
      <c r="H423" t="str">
        <f>IF(SAISIE!$I428="","",SAISIE!$I428)</f>
        <v/>
      </c>
      <c r="I423" t="str">
        <f>IF(SAISIE!$J428="","",SAISIE!$J428)</f>
        <v/>
      </c>
      <c r="J423" t="str">
        <f>IF(SAISIE!$K428="","",SAISIE!$K428)</f>
        <v/>
      </c>
      <c r="K423" t="str">
        <f>IF(SAISIE!$L428="","",SAISIE!$L428)</f>
        <v/>
      </c>
      <c r="L423" t="str">
        <f>IF(SAISIE!$M428="","",SAISIE!$M428)</f>
        <v/>
      </c>
      <c r="M423" t="str">
        <f>IF(SAISIE!$N428="","",SAISIE!$N428)</f>
        <v/>
      </c>
      <c r="N423" t="str">
        <f>IF(SAISIE!$O428="","",SAISIE!$O428)</f>
        <v/>
      </c>
      <c r="O423" t="str">
        <f>IF(SAISIE!$P428="","",SAISIE!$P428)</f>
        <v/>
      </c>
      <c r="P423" t="str">
        <f>IF(SAISIE!$Q428="","",SAISIE!$Q428)</f>
        <v/>
      </c>
      <c r="Q423" t="str">
        <f>IF($I423="","",IF($I423&gt;PARAMETRES!$G$29,5,IF($I423&gt;PARAMETRES!$F$29,4,IF($I423&gt;PARAMETRES!$E$29,3,IF($I423&gt;PARAMETRES!$D$29,2,1)))))</f>
        <v/>
      </c>
      <c r="R423" t="str">
        <f>IF($J423="","",IF($J423&gt;PARAMETRES!$G$30,5,IF($J423&gt;PARAMETRES!$F$30,4,IF($J423&gt;PARAMETRES!$E$30,3,IF($J423&gt;PARAMETRES!$D$30,2,1)))))</f>
        <v/>
      </c>
      <c r="S423" t="str">
        <f>IF($K423="","",IF($Z423=2,IF($K423&gt;PARAMETRES!$G$31,5,IF($K423&gt;PARAMETRES!$F$31,4,IF($K423&gt;PARAMETRES!$E$31,3,IF($K423&gt;PARAMETRES!$D$31,2,1)))),IF($K423&gt;PARAMETRES!$G$32,5,IF($K423&gt;PARAMETRES!$F$32,4,IF($K423&gt;PARAMETRES!$E$32,3,IF($K423&gt;PARAMETRES!$D$32,2,1))))))</f>
        <v/>
      </c>
      <c r="T423" t="str">
        <f>IF($L423="","",IF($L423&gt;PARAMETRES!$G$33,5,IF($L423&gt;PARAMETRES!$F$33,4,IF($L423&gt;PARAMETRES!$E$33,3,IF($L423&gt;PARAMETRES!$D$33,2,1)))))</f>
        <v/>
      </c>
      <c r="U423" t="str">
        <f>IF($M423="","",IF($M423&gt;PARAMETRES!$G$34,5,IF($M423&gt;PARAMETRES!$F$34,4,IF($M423&gt;PARAMETRES!$E$34,3,IF($M423&gt;PARAMETRES!$D$34,2,1)))))</f>
        <v/>
      </c>
      <c r="V423" t="str">
        <f>IF($N423="","",IF($N423&gt;PARAMETRES!$G$35,5,IF($N423&gt;PARAMETRES!$F$35,4,IF($N423&gt;PARAMETRES!$E$35,3,IF($N423&gt;PARAMETRES!$D$35,2,1)))))</f>
        <v/>
      </c>
      <c r="W423" t="str">
        <f>IF($O423="","",IF($O423&gt;PARAMETRES!$G$36,5,IF($O423&gt;PARAMETRES!$F$36,4,IF($O423&gt;PARAMETRES!$E$36,3,IF($O423&gt;PARAMETRES!$D$36,2,1)))))</f>
        <v/>
      </c>
      <c r="X423" t="str">
        <f>IF($P423="","",IF($P423&gt;PARAMETRES!$G$37,5,IF($P423&gt;PARAMETRES!$F$37,4,IF($P423&gt;PARAMETRES!$E$37,3,IF($P423&gt;PARAMETRES!$D$37,2,1)))))</f>
        <v/>
      </c>
      <c r="Y423" t="str">
        <f t="shared" si="144"/>
        <v/>
      </c>
      <c r="Z423" t="str">
        <f>IFERROR(VLOOKUP($B423,TABLE_CYCLE,2,0),"")</f>
        <v/>
      </c>
      <c r="AA423" t="str">
        <f t="shared" si="145"/>
        <v/>
      </c>
      <c r="AB423" t="str">
        <f>IF($D423="","",IF(COUNTIF($D$2:$D423,$D423)=1,$D423,""))</f>
        <v/>
      </c>
      <c r="AC423">
        <f t="shared" si="146"/>
        <v>0</v>
      </c>
      <c r="AD423" t="str">
        <f t="shared" si="147"/>
        <v>|0</v>
      </c>
      <c r="AE423" t="str">
        <f t="shared" si="148"/>
        <v/>
      </c>
      <c r="AF423" t="str">
        <f t="shared" si="149"/>
        <v/>
      </c>
      <c r="AG423" t="str">
        <f t="shared" si="150"/>
        <v/>
      </c>
      <c r="AH423" t="str">
        <f t="shared" si="151"/>
        <v/>
      </c>
      <c r="AI423" t="str">
        <f t="shared" si="152"/>
        <v/>
      </c>
      <c r="AJ423" t="str">
        <f t="shared" si="153"/>
        <v/>
      </c>
      <c r="AK423" t="str">
        <f t="shared" si="154"/>
        <v/>
      </c>
      <c r="AL423" t="str">
        <f t="shared" si="155"/>
        <v/>
      </c>
      <c r="AM423" t="str">
        <f t="shared" si="156"/>
        <v/>
      </c>
      <c r="AN423" t="str">
        <f t="shared" si="157"/>
        <v/>
      </c>
      <c r="AO423" t="str">
        <f t="shared" si="158"/>
        <v/>
      </c>
      <c r="AP423">
        <f t="shared" si="159"/>
        <v>1</v>
      </c>
      <c r="AQ423" t="str">
        <f>IF(SAISIE!$F428="","",SAISIE!$Y428)</f>
        <v/>
      </c>
      <c r="AR423" t="str">
        <f>IF(OR(SAISIE!$U$4="",SAISIE!$W$4=""),"",IF(AND($A423=SAISIE!$U$4,$B423=SAISIE!$W$4,$C423="S1"),COUNTIFS($A$2:$A423,SAISIE!$U$4,$B$2:$B423,SAISIE!$W$4,$C$2:$C423,"S1"),""))</f>
        <v/>
      </c>
      <c r="AS423" t="str">
        <f t="shared" si="160"/>
        <v/>
      </c>
      <c r="AT423" t="str">
        <f t="shared" si="161"/>
        <v/>
      </c>
      <c r="AU423" t="str">
        <f t="shared" si="162"/>
        <v/>
      </c>
      <c r="AV423">
        <f>N(AV422)+IF(AND($AB423&lt;&gt;"",OR('PROFIL ELEVE'!$K$4="(Tous)",$AF423='PROFIL ELEVE'!$K$4)),1,0)</f>
        <v>0</v>
      </c>
      <c r="AW423">
        <f>N(AW422)+IF(AND($AB423&lt;&gt;"",OR('SUIVI LONGITUDINAL'!$Q$4="(Tous)",$AF423='SUIVI LONGITUDINAL'!$Q$4)),1,0)</f>
        <v>0</v>
      </c>
      <c r="AX423">
        <f t="shared" si="163"/>
        <v>0</v>
      </c>
      <c r="AY423">
        <f t="shared" si="164"/>
        <v>0</v>
      </c>
      <c r="AZ423">
        <f t="shared" si="165"/>
        <v>0</v>
      </c>
      <c r="BA423" t="str">
        <f t="shared" si="166"/>
        <v/>
      </c>
      <c r="BB423" t="str">
        <f t="shared" si="167"/>
        <v/>
      </c>
    </row>
    <row r="424" spans="1:54" ht="14.25" customHeight="1" x14ac:dyDescent="0.3">
      <c r="A424" t="str">
        <f>IF(SAISIE!$F429="","",SAISIE!$B429)</f>
        <v/>
      </c>
      <c r="B424" t="str">
        <f>IF(SAISIE!$F429="","",SAISIE!$C429)</f>
        <v/>
      </c>
      <c r="C424" t="str">
        <f>IF(SAISIE!$F429="","",SAISIE!$D429)</f>
        <v/>
      </c>
      <c r="D424" t="str">
        <f>IF(SAISIE!$E429="","",SAISIE!$E429)</f>
        <v/>
      </c>
      <c r="E424" t="str">
        <f>IF(SAISIE!$F429="","",SAISIE!$F429)</f>
        <v/>
      </c>
      <c r="F424" t="str">
        <f>IF(SAISIE!$G429="","",SAISIE!$G429)</f>
        <v/>
      </c>
      <c r="G424" t="str">
        <f>IF(SAISIE!$H429="","",SAISIE!$H429)</f>
        <v/>
      </c>
      <c r="H424" t="str">
        <f>IF(SAISIE!$I429="","",SAISIE!$I429)</f>
        <v/>
      </c>
      <c r="I424" t="str">
        <f>IF(SAISIE!$J429="","",SAISIE!$J429)</f>
        <v/>
      </c>
      <c r="J424" t="str">
        <f>IF(SAISIE!$K429="","",SAISIE!$K429)</f>
        <v/>
      </c>
      <c r="K424" t="str">
        <f>IF(SAISIE!$L429="","",SAISIE!$L429)</f>
        <v/>
      </c>
      <c r="L424" t="str">
        <f>IF(SAISIE!$M429="","",SAISIE!$M429)</f>
        <v/>
      </c>
      <c r="M424" t="str">
        <f>IF(SAISIE!$N429="","",SAISIE!$N429)</f>
        <v/>
      </c>
      <c r="N424" t="str">
        <f>IF(SAISIE!$O429="","",SAISIE!$O429)</f>
        <v/>
      </c>
      <c r="O424" t="str">
        <f>IF(SAISIE!$P429="","",SAISIE!$P429)</f>
        <v/>
      </c>
      <c r="P424" t="str">
        <f>IF(SAISIE!$Q429="","",SAISIE!$Q429)</f>
        <v/>
      </c>
      <c r="Q424" t="str">
        <f>IF($I424="","",IF($I424&gt;PARAMETRES!$G$29,5,IF($I424&gt;PARAMETRES!$F$29,4,IF($I424&gt;PARAMETRES!$E$29,3,IF($I424&gt;PARAMETRES!$D$29,2,1)))))</f>
        <v/>
      </c>
      <c r="R424" t="str">
        <f>IF($J424="","",IF($J424&gt;PARAMETRES!$G$30,5,IF($J424&gt;PARAMETRES!$F$30,4,IF($J424&gt;PARAMETRES!$E$30,3,IF($J424&gt;PARAMETRES!$D$30,2,1)))))</f>
        <v/>
      </c>
      <c r="S424" t="str">
        <f>IF($K424="","",IF($Z424=2,IF($K424&gt;PARAMETRES!$G$31,5,IF($K424&gt;PARAMETRES!$F$31,4,IF($K424&gt;PARAMETRES!$E$31,3,IF($K424&gt;PARAMETRES!$D$31,2,1)))),IF($K424&gt;PARAMETRES!$G$32,5,IF($K424&gt;PARAMETRES!$F$32,4,IF($K424&gt;PARAMETRES!$E$32,3,IF($K424&gt;PARAMETRES!$D$32,2,1))))))</f>
        <v/>
      </c>
      <c r="T424" t="str">
        <f>IF($L424="","",IF($L424&gt;PARAMETRES!$G$33,5,IF($L424&gt;PARAMETRES!$F$33,4,IF($L424&gt;PARAMETRES!$E$33,3,IF($L424&gt;PARAMETRES!$D$33,2,1)))))</f>
        <v/>
      </c>
      <c r="U424" t="str">
        <f>IF($M424="","",IF($M424&gt;PARAMETRES!$G$34,5,IF($M424&gt;PARAMETRES!$F$34,4,IF($M424&gt;PARAMETRES!$E$34,3,IF($M424&gt;PARAMETRES!$D$34,2,1)))))</f>
        <v/>
      </c>
      <c r="V424" t="str">
        <f>IF($N424="","",IF($N424&gt;PARAMETRES!$G$35,5,IF($N424&gt;PARAMETRES!$F$35,4,IF($N424&gt;PARAMETRES!$E$35,3,IF($N424&gt;PARAMETRES!$D$35,2,1)))))</f>
        <v/>
      </c>
      <c r="W424" t="str">
        <f>IF($O424="","",IF($O424&gt;PARAMETRES!$G$36,5,IF($O424&gt;PARAMETRES!$F$36,4,IF($O424&gt;PARAMETRES!$E$36,3,IF($O424&gt;PARAMETRES!$D$36,2,1)))))</f>
        <v/>
      </c>
      <c r="X424" t="str">
        <f>IF($P424="","",IF($P424&gt;PARAMETRES!$G$37,5,IF($P424&gt;PARAMETRES!$F$37,4,IF($P424&gt;PARAMETRES!$E$37,3,IF($P424&gt;PARAMETRES!$D$37,2,1)))))</f>
        <v/>
      </c>
      <c r="Y424" t="str">
        <f t="shared" si="144"/>
        <v/>
      </c>
      <c r="Z424" t="str">
        <f>IFERROR(VLOOKUP($B424,TABLE_CYCLE,2,0),"")</f>
        <v/>
      </c>
      <c r="AA424" t="str">
        <f t="shared" si="145"/>
        <v/>
      </c>
      <c r="AB424" t="str">
        <f>IF($D424="","",IF(COUNTIF($D$2:$D424,$D424)=1,$D424,""))</f>
        <v/>
      </c>
      <c r="AC424">
        <f t="shared" si="146"/>
        <v>0</v>
      </c>
      <c r="AD424" t="str">
        <f t="shared" si="147"/>
        <v>|0</v>
      </c>
      <c r="AE424" t="str">
        <f t="shared" si="148"/>
        <v/>
      </c>
      <c r="AF424" t="str">
        <f t="shared" si="149"/>
        <v/>
      </c>
      <c r="AG424" t="str">
        <f t="shared" si="150"/>
        <v/>
      </c>
      <c r="AH424" t="str">
        <f t="shared" si="151"/>
        <v/>
      </c>
      <c r="AI424" t="str">
        <f t="shared" si="152"/>
        <v/>
      </c>
      <c r="AJ424" t="str">
        <f t="shared" si="153"/>
        <v/>
      </c>
      <c r="AK424" t="str">
        <f t="shared" si="154"/>
        <v/>
      </c>
      <c r="AL424" t="str">
        <f t="shared" si="155"/>
        <v/>
      </c>
      <c r="AM424" t="str">
        <f t="shared" si="156"/>
        <v/>
      </c>
      <c r="AN424" t="str">
        <f t="shared" si="157"/>
        <v/>
      </c>
      <c r="AO424" t="str">
        <f t="shared" si="158"/>
        <v/>
      </c>
      <c r="AP424">
        <f t="shared" si="159"/>
        <v>1</v>
      </c>
      <c r="AQ424" t="str">
        <f>IF(SAISIE!$F429="","",SAISIE!$Y429)</f>
        <v/>
      </c>
      <c r="AR424" t="str">
        <f>IF(OR(SAISIE!$U$4="",SAISIE!$W$4=""),"",IF(AND($A424=SAISIE!$U$4,$B424=SAISIE!$W$4,$C424="S1"),COUNTIFS($A$2:$A424,SAISIE!$U$4,$B$2:$B424,SAISIE!$W$4,$C$2:$C424,"S1"),""))</f>
        <v/>
      </c>
      <c r="AS424" t="str">
        <f t="shared" si="160"/>
        <v/>
      </c>
      <c r="AT424" t="str">
        <f t="shared" si="161"/>
        <v/>
      </c>
      <c r="AU424" t="str">
        <f t="shared" si="162"/>
        <v/>
      </c>
      <c r="AV424">
        <f>N(AV423)+IF(AND($AB424&lt;&gt;"",OR('PROFIL ELEVE'!$K$4="(Tous)",$AF424='PROFIL ELEVE'!$K$4)),1,0)</f>
        <v>0</v>
      </c>
      <c r="AW424">
        <f>N(AW423)+IF(AND($AB424&lt;&gt;"",OR('SUIVI LONGITUDINAL'!$Q$4="(Tous)",$AF424='SUIVI LONGITUDINAL'!$Q$4)),1,0)</f>
        <v>0</v>
      </c>
      <c r="AX424">
        <f t="shared" si="163"/>
        <v>0</v>
      </c>
      <c r="AY424">
        <f t="shared" si="164"/>
        <v>0</v>
      </c>
      <c r="AZ424">
        <f t="shared" si="165"/>
        <v>0</v>
      </c>
      <c r="BA424" t="str">
        <f t="shared" si="166"/>
        <v/>
      </c>
      <c r="BB424" t="str">
        <f t="shared" si="167"/>
        <v/>
      </c>
    </row>
    <row r="425" spans="1:54" ht="14.25" customHeight="1" x14ac:dyDescent="0.3">
      <c r="A425" t="str">
        <f>IF(SAISIE!$F430="","",SAISIE!$B430)</f>
        <v/>
      </c>
      <c r="B425" t="str">
        <f>IF(SAISIE!$F430="","",SAISIE!$C430)</f>
        <v/>
      </c>
      <c r="C425" t="str">
        <f>IF(SAISIE!$F430="","",SAISIE!$D430)</f>
        <v/>
      </c>
      <c r="D425" t="str">
        <f>IF(SAISIE!$E430="","",SAISIE!$E430)</f>
        <v/>
      </c>
      <c r="E425" t="str">
        <f>IF(SAISIE!$F430="","",SAISIE!$F430)</f>
        <v/>
      </c>
      <c r="F425" t="str">
        <f>IF(SAISIE!$G430="","",SAISIE!$G430)</f>
        <v/>
      </c>
      <c r="G425" t="str">
        <f>IF(SAISIE!$H430="","",SAISIE!$H430)</f>
        <v/>
      </c>
      <c r="H425" t="str">
        <f>IF(SAISIE!$I430="","",SAISIE!$I430)</f>
        <v/>
      </c>
      <c r="I425" t="str">
        <f>IF(SAISIE!$J430="","",SAISIE!$J430)</f>
        <v/>
      </c>
      <c r="J425" t="str">
        <f>IF(SAISIE!$K430="","",SAISIE!$K430)</f>
        <v/>
      </c>
      <c r="K425" t="str">
        <f>IF(SAISIE!$L430="","",SAISIE!$L430)</f>
        <v/>
      </c>
      <c r="L425" t="str">
        <f>IF(SAISIE!$M430="","",SAISIE!$M430)</f>
        <v/>
      </c>
      <c r="M425" t="str">
        <f>IF(SAISIE!$N430="","",SAISIE!$N430)</f>
        <v/>
      </c>
      <c r="N425" t="str">
        <f>IF(SAISIE!$O430="","",SAISIE!$O430)</f>
        <v/>
      </c>
      <c r="O425" t="str">
        <f>IF(SAISIE!$P430="","",SAISIE!$P430)</f>
        <v/>
      </c>
      <c r="P425" t="str">
        <f>IF(SAISIE!$Q430="","",SAISIE!$Q430)</f>
        <v/>
      </c>
      <c r="Q425" t="str">
        <f>IF($I425="","",IF($I425&gt;PARAMETRES!$G$29,5,IF($I425&gt;PARAMETRES!$F$29,4,IF($I425&gt;PARAMETRES!$E$29,3,IF($I425&gt;PARAMETRES!$D$29,2,1)))))</f>
        <v/>
      </c>
      <c r="R425" t="str">
        <f>IF($J425="","",IF($J425&gt;PARAMETRES!$G$30,5,IF($J425&gt;PARAMETRES!$F$30,4,IF($J425&gt;PARAMETRES!$E$30,3,IF($J425&gt;PARAMETRES!$D$30,2,1)))))</f>
        <v/>
      </c>
      <c r="S425" t="str">
        <f>IF($K425="","",IF($Z425=2,IF($K425&gt;PARAMETRES!$G$31,5,IF($K425&gt;PARAMETRES!$F$31,4,IF($K425&gt;PARAMETRES!$E$31,3,IF($K425&gt;PARAMETRES!$D$31,2,1)))),IF($K425&gt;PARAMETRES!$G$32,5,IF($K425&gt;PARAMETRES!$F$32,4,IF($K425&gt;PARAMETRES!$E$32,3,IF($K425&gt;PARAMETRES!$D$32,2,1))))))</f>
        <v/>
      </c>
      <c r="T425" t="str">
        <f>IF($L425="","",IF($L425&gt;PARAMETRES!$G$33,5,IF($L425&gt;PARAMETRES!$F$33,4,IF($L425&gt;PARAMETRES!$E$33,3,IF($L425&gt;PARAMETRES!$D$33,2,1)))))</f>
        <v/>
      </c>
      <c r="U425" t="str">
        <f>IF($M425="","",IF($M425&gt;PARAMETRES!$G$34,5,IF($M425&gt;PARAMETRES!$F$34,4,IF($M425&gt;PARAMETRES!$E$34,3,IF($M425&gt;PARAMETRES!$D$34,2,1)))))</f>
        <v/>
      </c>
      <c r="V425" t="str">
        <f>IF($N425="","",IF($N425&gt;PARAMETRES!$G$35,5,IF($N425&gt;PARAMETRES!$F$35,4,IF($N425&gt;PARAMETRES!$E$35,3,IF($N425&gt;PARAMETRES!$D$35,2,1)))))</f>
        <v/>
      </c>
      <c r="W425" t="str">
        <f>IF($O425="","",IF($O425&gt;PARAMETRES!$G$36,5,IF($O425&gt;PARAMETRES!$F$36,4,IF($O425&gt;PARAMETRES!$E$36,3,IF($O425&gt;PARAMETRES!$D$36,2,1)))))</f>
        <v/>
      </c>
      <c r="X425" t="str">
        <f>IF($P425="","",IF($P425&gt;PARAMETRES!$G$37,5,IF($P425&gt;PARAMETRES!$F$37,4,IF($P425&gt;PARAMETRES!$E$37,3,IF($P425&gt;PARAMETRES!$D$37,2,1)))))</f>
        <v/>
      </c>
      <c r="Y425" t="str">
        <f t="shared" si="144"/>
        <v/>
      </c>
      <c r="Z425" t="str">
        <f>IFERROR(VLOOKUP($B425,TABLE_CYCLE,2,0),"")</f>
        <v/>
      </c>
      <c r="AA425" t="str">
        <f t="shared" si="145"/>
        <v/>
      </c>
      <c r="AB425" t="str">
        <f>IF($D425="","",IF(COUNTIF($D$2:$D425,$D425)=1,$D425,""))</f>
        <v/>
      </c>
      <c r="AC425">
        <f t="shared" si="146"/>
        <v>0</v>
      </c>
      <c r="AD425" t="str">
        <f t="shared" si="147"/>
        <v>|0</v>
      </c>
      <c r="AE425" t="str">
        <f t="shared" si="148"/>
        <v/>
      </c>
      <c r="AF425" t="str">
        <f t="shared" si="149"/>
        <v/>
      </c>
      <c r="AG425" t="str">
        <f t="shared" si="150"/>
        <v/>
      </c>
      <c r="AH425" t="str">
        <f t="shared" si="151"/>
        <v/>
      </c>
      <c r="AI425" t="str">
        <f t="shared" si="152"/>
        <v/>
      </c>
      <c r="AJ425" t="str">
        <f t="shared" si="153"/>
        <v/>
      </c>
      <c r="AK425" t="str">
        <f t="shared" si="154"/>
        <v/>
      </c>
      <c r="AL425" t="str">
        <f t="shared" si="155"/>
        <v/>
      </c>
      <c r="AM425" t="str">
        <f t="shared" si="156"/>
        <v/>
      </c>
      <c r="AN425" t="str">
        <f t="shared" si="157"/>
        <v/>
      </c>
      <c r="AO425" t="str">
        <f t="shared" si="158"/>
        <v/>
      </c>
      <c r="AP425">
        <f t="shared" si="159"/>
        <v>1</v>
      </c>
      <c r="AQ425" t="str">
        <f>IF(SAISIE!$F430="","",SAISIE!$Y430)</f>
        <v/>
      </c>
      <c r="AR425" t="str">
        <f>IF(OR(SAISIE!$U$4="",SAISIE!$W$4=""),"",IF(AND($A425=SAISIE!$U$4,$B425=SAISIE!$W$4,$C425="S1"),COUNTIFS($A$2:$A425,SAISIE!$U$4,$B$2:$B425,SAISIE!$W$4,$C$2:$C425,"S1"),""))</f>
        <v/>
      </c>
      <c r="AS425" t="str">
        <f t="shared" si="160"/>
        <v/>
      </c>
      <c r="AT425" t="str">
        <f t="shared" si="161"/>
        <v/>
      </c>
      <c r="AU425" t="str">
        <f t="shared" si="162"/>
        <v/>
      </c>
      <c r="AV425">
        <f>N(AV424)+IF(AND($AB425&lt;&gt;"",OR('PROFIL ELEVE'!$K$4="(Tous)",$AF425='PROFIL ELEVE'!$K$4)),1,0)</f>
        <v>0</v>
      </c>
      <c r="AW425">
        <f>N(AW424)+IF(AND($AB425&lt;&gt;"",OR('SUIVI LONGITUDINAL'!$Q$4="(Tous)",$AF425='SUIVI LONGITUDINAL'!$Q$4)),1,0)</f>
        <v>0</v>
      </c>
      <c r="AX425">
        <f t="shared" si="163"/>
        <v>0</v>
      </c>
      <c r="AY425">
        <f t="shared" si="164"/>
        <v>0</v>
      </c>
      <c r="AZ425">
        <f t="shared" si="165"/>
        <v>0</v>
      </c>
      <c r="BA425" t="str">
        <f t="shared" si="166"/>
        <v/>
      </c>
      <c r="BB425" t="str">
        <f t="shared" si="167"/>
        <v/>
      </c>
    </row>
    <row r="426" spans="1:54" ht="14.25" customHeight="1" x14ac:dyDescent="0.3">
      <c r="A426" t="str">
        <f>IF(SAISIE!$F431="","",SAISIE!$B431)</f>
        <v/>
      </c>
      <c r="B426" t="str">
        <f>IF(SAISIE!$F431="","",SAISIE!$C431)</f>
        <v/>
      </c>
      <c r="C426" t="str">
        <f>IF(SAISIE!$F431="","",SAISIE!$D431)</f>
        <v/>
      </c>
      <c r="D426" t="str">
        <f>IF(SAISIE!$E431="","",SAISIE!$E431)</f>
        <v/>
      </c>
      <c r="E426" t="str">
        <f>IF(SAISIE!$F431="","",SAISIE!$F431)</f>
        <v/>
      </c>
      <c r="F426" t="str">
        <f>IF(SAISIE!$G431="","",SAISIE!$G431)</f>
        <v/>
      </c>
      <c r="G426" t="str">
        <f>IF(SAISIE!$H431="","",SAISIE!$H431)</f>
        <v/>
      </c>
      <c r="H426" t="str">
        <f>IF(SAISIE!$I431="","",SAISIE!$I431)</f>
        <v/>
      </c>
      <c r="I426" t="str">
        <f>IF(SAISIE!$J431="","",SAISIE!$J431)</f>
        <v/>
      </c>
      <c r="J426" t="str">
        <f>IF(SAISIE!$K431="","",SAISIE!$K431)</f>
        <v/>
      </c>
      <c r="K426" t="str">
        <f>IF(SAISIE!$L431="","",SAISIE!$L431)</f>
        <v/>
      </c>
      <c r="L426" t="str">
        <f>IF(SAISIE!$M431="","",SAISIE!$M431)</f>
        <v/>
      </c>
      <c r="M426" t="str">
        <f>IF(SAISIE!$N431="","",SAISIE!$N431)</f>
        <v/>
      </c>
      <c r="N426" t="str">
        <f>IF(SAISIE!$O431="","",SAISIE!$O431)</f>
        <v/>
      </c>
      <c r="O426" t="str">
        <f>IF(SAISIE!$P431="","",SAISIE!$P431)</f>
        <v/>
      </c>
      <c r="P426" t="str">
        <f>IF(SAISIE!$Q431="","",SAISIE!$Q431)</f>
        <v/>
      </c>
      <c r="Q426" t="str">
        <f>IF($I426="","",IF($I426&gt;PARAMETRES!$G$29,5,IF($I426&gt;PARAMETRES!$F$29,4,IF($I426&gt;PARAMETRES!$E$29,3,IF($I426&gt;PARAMETRES!$D$29,2,1)))))</f>
        <v/>
      </c>
      <c r="R426" t="str">
        <f>IF($J426="","",IF($J426&gt;PARAMETRES!$G$30,5,IF($J426&gt;PARAMETRES!$F$30,4,IF($J426&gt;PARAMETRES!$E$30,3,IF($J426&gt;PARAMETRES!$D$30,2,1)))))</f>
        <v/>
      </c>
      <c r="S426" t="str">
        <f>IF($K426="","",IF($Z426=2,IF($K426&gt;PARAMETRES!$G$31,5,IF($K426&gt;PARAMETRES!$F$31,4,IF($K426&gt;PARAMETRES!$E$31,3,IF($K426&gt;PARAMETRES!$D$31,2,1)))),IF($K426&gt;PARAMETRES!$G$32,5,IF($K426&gt;PARAMETRES!$F$32,4,IF($K426&gt;PARAMETRES!$E$32,3,IF($K426&gt;PARAMETRES!$D$32,2,1))))))</f>
        <v/>
      </c>
      <c r="T426" t="str">
        <f>IF($L426="","",IF($L426&gt;PARAMETRES!$G$33,5,IF($L426&gt;PARAMETRES!$F$33,4,IF($L426&gt;PARAMETRES!$E$33,3,IF($L426&gt;PARAMETRES!$D$33,2,1)))))</f>
        <v/>
      </c>
      <c r="U426" t="str">
        <f>IF($M426="","",IF($M426&gt;PARAMETRES!$G$34,5,IF($M426&gt;PARAMETRES!$F$34,4,IF($M426&gt;PARAMETRES!$E$34,3,IF($M426&gt;PARAMETRES!$D$34,2,1)))))</f>
        <v/>
      </c>
      <c r="V426" t="str">
        <f>IF($N426="","",IF($N426&gt;PARAMETRES!$G$35,5,IF($N426&gt;PARAMETRES!$F$35,4,IF($N426&gt;PARAMETRES!$E$35,3,IF($N426&gt;PARAMETRES!$D$35,2,1)))))</f>
        <v/>
      </c>
      <c r="W426" t="str">
        <f>IF($O426="","",IF($O426&gt;PARAMETRES!$G$36,5,IF($O426&gt;PARAMETRES!$F$36,4,IF($O426&gt;PARAMETRES!$E$36,3,IF($O426&gt;PARAMETRES!$D$36,2,1)))))</f>
        <v/>
      </c>
      <c r="X426" t="str">
        <f>IF($P426="","",IF($P426&gt;PARAMETRES!$G$37,5,IF($P426&gt;PARAMETRES!$F$37,4,IF($P426&gt;PARAMETRES!$E$37,3,IF($P426&gt;PARAMETRES!$D$37,2,1)))))</f>
        <v/>
      </c>
      <c r="Y426" t="str">
        <f t="shared" si="144"/>
        <v/>
      </c>
      <c r="Z426" t="str">
        <f>IFERROR(VLOOKUP($B426,TABLE_CYCLE,2,0),"")</f>
        <v/>
      </c>
      <c r="AA426" t="str">
        <f t="shared" si="145"/>
        <v/>
      </c>
      <c r="AB426" t="str">
        <f>IF($D426="","",IF(COUNTIF($D$2:$D426,$D426)=1,$D426,""))</f>
        <v/>
      </c>
      <c r="AC426">
        <f t="shared" si="146"/>
        <v>0</v>
      </c>
      <c r="AD426" t="str">
        <f t="shared" si="147"/>
        <v>|0</v>
      </c>
      <c r="AE426" t="str">
        <f t="shared" si="148"/>
        <v/>
      </c>
      <c r="AF426" t="str">
        <f t="shared" si="149"/>
        <v/>
      </c>
      <c r="AG426" t="str">
        <f t="shared" si="150"/>
        <v/>
      </c>
      <c r="AH426" t="str">
        <f t="shared" si="151"/>
        <v/>
      </c>
      <c r="AI426" t="str">
        <f t="shared" si="152"/>
        <v/>
      </c>
      <c r="AJ426" t="str">
        <f t="shared" si="153"/>
        <v/>
      </c>
      <c r="AK426" t="str">
        <f t="shared" si="154"/>
        <v/>
      </c>
      <c r="AL426" t="str">
        <f t="shared" si="155"/>
        <v/>
      </c>
      <c r="AM426" t="str">
        <f t="shared" si="156"/>
        <v/>
      </c>
      <c r="AN426" t="str">
        <f t="shared" si="157"/>
        <v/>
      </c>
      <c r="AO426" t="str">
        <f t="shared" si="158"/>
        <v/>
      </c>
      <c r="AP426">
        <f t="shared" si="159"/>
        <v>1</v>
      </c>
      <c r="AQ426" t="str">
        <f>IF(SAISIE!$F431="","",SAISIE!$Y431)</f>
        <v/>
      </c>
      <c r="AR426" t="str">
        <f>IF(OR(SAISIE!$U$4="",SAISIE!$W$4=""),"",IF(AND($A426=SAISIE!$U$4,$B426=SAISIE!$W$4,$C426="S1"),COUNTIFS($A$2:$A426,SAISIE!$U$4,$B$2:$B426,SAISIE!$W$4,$C$2:$C426,"S1"),""))</f>
        <v/>
      </c>
      <c r="AS426" t="str">
        <f t="shared" si="160"/>
        <v/>
      </c>
      <c r="AT426" t="str">
        <f t="shared" si="161"/>
        <v/>
      </c>
      <c r="AU426" t="str">
        <f t="shared" si="162"/>
        <v/>
      </c>
      <c r="AV426">
        <f>N(AV425)+IF(AND($AB426&lt;&gt;"",OR('PROFIL ELEVE'!$K$4="(Tous)",$AF426='PROFIL ELEVE'!$K$4)),1,0)</f>
        <v>0</v>
      </c>
      <c r="AW426">
        <f>N(AW425)+IF(AND($AB426&lt;&gt;"",OR('SUIVI LONGITUDINAL'!$Q$4="(Tous)",$AF426='SUIVI LONGITUDINAL'!$Q$4)),1,0)</f>
        <v>0</v>
      </c>
      <c r="AX426">
        <f t="shared" si="163"/>
        <v>0</v>
      </c>
      <c r="AY426">
        <f t="shared" si="164"/>
        <v>0</v>
      </c>
      <c r="AZ426">
        <f t="shared" si="165"/>
        <v>0</v>
      </c>
      <c r="BA426" t="str">
        <f t="shared" si="166"/>
        <v/>
      </c>
      <c r="BB426" t="str">
        <f t="shared" si="167"/>
        <v/>
      </c>
    </row>
    <row r="427" spans="1:54" ht="14.25" customHeight="1" x14ac:dyDescent="0.3">
      <c r="A427" t="str">
        <f>IF(SAISIE!$F432="","",SAISIE!$B432)</f>
        <v/>
      </c>
      <c r="B427" t="str">
        <f>IF(SAISIE!$F432="","",SAISIE!$C432)</f>
        <v/>
      </c>
      <c r="C427" t="str">
        <f>IF(SAISIE!$F432="","",SAISIE!$D432)</f>
        <v/>
      </c>
      <c r="D427" t="str">
        <f>IF(SAISIE!$E432="","",SAISIE!$E432)</f>
        <v/>
      </c>
      <c r="E427" t="str">
        <f>IF(SAISIE!$F432="","",SAISIE!$F432)</f>
        <v/>
      </c>
      <c r="F427" t="str">
        <f>IF(SAISIE!$G432="","",SAISIE!$G432)</f>
        <v/>
      </c>
      <c r="G427" t="str">
        <f>IF(SAISIE!$H432="","",SAISIE!$H432)</f>
        <v/>
      </c>
      <c r="H427" t="str">
        <f>IF(SAISIE!$I432="","",SAISIE!$I432)</f>
        <v/>
      </c>
      <c r="I427" t="str">
        <f>IF(SAISIE!$J432="","",SAISIE!$J432)</f>
        <v/>
      </c>
      <c r="J427" t="str">
        <f>IF(SAISIE!$K432="","",SAISIE!$K432)</f>
        <v/>
      </c>
      <c r="K427" t="str">
        <f>IF(SAISIE!$L432="","",SAISIE!$L432)</f>
        <v/>
      </c>
      <c r="L427" t="str">
        <f>IF(SAISIE!$M432="","",SAISIE!$M432)</f>
        <v/>
      </c>
      <c r="M427" t="str">
        <f>IF(SAISIE!$N432="","",SAISIE!$N432)</f>
        <v/>
      </c>
      <c r="N427" t="str">
        <f>IF(SAISIE!$O432="","",SAISIE!$O432)</f>
        <v/>
      </c>
      <c r="O427" t="str">
        <f>IF(SAISIE!$P432="","",SAISIE!$P432)</f>
        <v/>
      </c>
      <c r="P427" t="str">
        <f>IF(SAISIE!$Q432="","",SAISIE!$Q432)</f>
        <v/>
      </c>
      <c r="Q427" t="str">
        <f>IF($I427="","",IF($I427&gt;PARAMETRES!$G$29,5,IF($I427&gt;PARAMETRES!$F$29,4,IF($I427&gt;PARAMETRES!$E$29,3,IF($I427&gt;PARAMETRES!$D$29,2,1)))))</f>
        <v/>
      </c>
      <c r="R427" t="str">
        <f>IF($J427="","",IF($J427&gt;PARAMETRES!$G$30,5,IF($J427&gt;PARAMETRES!$F$30,4,IF($J427&gt;PARAMETRES!$E$30,3,IF($J427&gt;PARAMETRES!$D$30,2,1)))))</f>
        <v/>
      </c>
      <c r="S427" t="str">
        <f>IF($K427="","",IF($Z427=2,IF($K427&gt;PARAMETRES!$G$31,5,IF($K427&gt;PARAMETRES!$F$31,4,IF($K427&gt;PARAMETRES!$E$31,3,IF($K427&gt;PARAMETRES!$D$31,2,1)))),IF($K427&gt;PARAMETRES!$G$32,5,IF($K427&gt;PARAMETRES!$F$32,4,IF($K427&gt;PARAMETRES!$E$32,3,IF($K427&gt;PARAMETRES!$D$32,2,1))))))</f>
        <v/>
      </c>
      <c r="T427" t="str">
        <f>IF($L427="","",IF($L427&gt;PARAMETRES!$G$33,5,IF($L427&gt;PARAMETRES!$F$33,4,IF($L427&gt;PARAMETRES!$E$33,3,IF($L427&gt;PARAMETRES!$D$33,2,1)))))</f>
        <v/>
      </c>
      <c r="U427" t="str">
        <f>IF($M427="","",IF($M427&gt;PARAMETRES!$G$34,5,IF($M427&gt;PARAMETRES!$F$34,4,IF($M427&gt;PARAMETRES!$E$34,3,IF($M427&gt;PARAMETRES!$D$34,2,1)))))</f>
        <v/>
      </c>
      <c r="V427" t="str">
        <f>IF($N427="","",IF($N427&gt;PARAMETRES!$G$35,5,IF($N427&gt;PARAMETRES!$F$35,4,IF($N427&gt;PARAMETRES!$E$35,3,IF($N427&gt;PARAMETRES!$D$35,2,1)))))</f>
        <v/>
      </c>
      <c r="W427" t="str">
        <f>IF($O427="","",IF($O427&gt;PARAMETRES!$G$36,5,IF($O427&gt;PARAMETRES!$F$36,4,IF($O427&gt;PARAMETRES!$E$36,3,IF($O427&gt;PARAMETRES!$D$36,2,1)))))</f>
        <v/>
      </c>
      <c r="X427" t="str">
        <f>IF($P427="","",IF($P427&gt;PARAMETRES!$G$37,5,IF($P427&gt;PARAMETRES!$F$37,4,IF($P427&gt;PARAMETRES!$E$37,3,IF($P427&gt;PARAMETRES!$D$37,2,1)))))</f>
        <v/>
      </c>
      <c r="Y427" t="str">
        <f t="shared" si="144"/>
        <v/>
      </c>
      <c r="Z427" t="str">
        <f>IFERROR(VLOOKUP($B427,TABLE_CYCLE,2,0),"")</f>
        <v/>
      </c>
      <c r="AA427" t="str">
        <f t="shared" si="145"/>
        <v/>
      </c>
      <c r="AB427" t="str">
        <f>IF($D427="","",IF(COUNTIF($D$2:$D427,$D427)=1,$D427,""))</f>
        <v/>
      </c>
      <c r="AC427">
        <f t="shared" si="146"/>
        <v>0</v>
      </c>
      <c r="AD427" t="str">
        <f t="shared" si="147"/>
        <v>|0</v>
      </c>
      <c r="AE427" t="str">
        <f t="shared" si="148"/>
        <v/>
      </c>
      <c r="AF427" t="str">
        <f t="shared" si="149"/>
        <v/>
      </c>
      <c r="AG427" t="str">
        <f t="shared" si="150"/>
        <v/>
      </c>
      <c r="AH427" t="str">
        <f t="shared" si="151"/>
        <v/>
      </c>
      <c r="AI427" t="str">
        <f t="shared" si="152"/>
        <v/>
      </c>
      <c r="AJ427" t="str">
        <f t="shared" si="153"/>
        <v/>
      </c>
      <c r="AK427" t="str">
        <f t="shared" si="154"/>
        <v/>
      </c>
      <c r="AL427" t="str">
        <f t="shared" si="155"/>
        <v/>
      </c>
      <c r="AM427" t="str">
        <f t="shared" si="156"/>
        <v/>
      </c>
      <c r="AN427" t="str">
        <f t="shared" si="157"/>
        <v/>
      </c>
      <c r="AO427" t="str">
        <f t="shared" si="158"/>
        <v/>
      </c>
      <c r="AP427">
        <f t="shared" si="159"/>
        <v>1</v>
      </c>
      <c r="AQ427" t="str">
        <f>IF(SAISIE!$F432="","",SAISIE!$Y432)</f>
        <v/>
      </c>
      <c r="AR427" t="str">
        <f>IF(OR(SAISIE!$U$4="",SAISIE!$W$4=""),"",IF(AND($A427=SAISIE!$U$4,$B427=SAISIE!$W$4,$C427="S1"),COUNTIFS($A$2:$A427,SAISIE!$U$4,$B$2:$B427,SAISIE!$W$4,$C$2:$C427,"S1"),""))</f>
        <v/>
      </c>
      <c r="AS427" t="str">
        <f t="shared" si="160"/>
        <v/>
      </c>
      <c r="AT427" t="str">
        <f t="shared" si="161"/>
        <v/>
      </c>
      <c r="AU427" t="str">
        <f t="shared" si="162"/>
        <v/>
      </c>
      <c r="AV427">
        <f>N(AV426)+IF(AND($AB427&lt;&gt;"",OR('PROFIL ELEVE'!$K$4="(Tous)",$AF427='PROFIL ELEVE'!$K$4)),1,0)</f>
        <v>0</v>
      </c>
      <c r="AW427">
        <f>N(AW426)+IF(AND($AB427&lt;&gt;"",OR('SUIVI LONGITUDINAL'!$Q$4="(Tous)",$AF427='SUIVI LONGITUDINAL'!$Q$4)),1,0)</f>
        <v>0</v>
      </c>
      <c r="AX427">
        <f t="shared" si="163"/>
        <v>0</v>
      </c>
      <c r="AY427">
        <f t="shared" si="164"/>
        <v>0</v>
      </c>
      <c r="AZ427">
        <f t="shared" si="165"/>
        <v>0</v>
      </c>
      <c r="BA427" t="str">
        <f t="shared" si="166"/>
        <v/>
      </c>
      <c r="BB427" t="str">
        <f t="shared" si="167"/>
        <v/>
      </c>
    </row>
    <row r="428" spans="1:54" ht="14.25" customHeight="1" x14ac:dyDescent="0.3">
      <c r="A428" t="str">
        <f>IF(SAISIE!$F433="","",SAISIE!$B433)</f>
        <v/>
      </c>
      <c r="B428" t="str">
        <f>IF(SAISIE!$F433="","",SAISIE!$C433)</f>
        <v/>
      </c>
      <c r="C428" t="str">
        <f>IF(SAISIE!$F433="","",SAISIE!$D433)</f>
        <v/>
      </c>
      <c r="D428" t="str">
        <f>IF(SAISIE!$E433="","",SAISIE!$E433)</f>
        <v/>
      </c>
      <c r="E428" t="str">
        <f>IF(SAISIE!$F433="","",SAISIE!$F433)</f>
        <v/>
      </c>
      <c r="F428" t="str">
        <f>IF(SAISIE!$G433="","",SAISIE!$G433)</f>
        <v/>
      </c>
      <c r="G428" t="str">
        <f>IF(SAISIE!$H433="","",SAISIE!$H433)</f>
        <v/>
      </c>
      <c r="H428" t="str">
        <f>IF(SAISIE!$I433="","",SAISIE!$I433)</f>
        <v/>
      </c>
      <c r="I428" t="str">
        <f>IF(SAISIE!$J433="","",SAISIE!$J433)</f>
        <v/>
      </c>
      <c r="J428" t="str">
        <f>IF(SAISIE!$K433="","",SAISIE!$K433)</f>
        <v/>
      </c>
      <c r="K428" t="str">
        <f>IF(SAISIE!$L433="","",SAISIE!$L433)</f>
        <v/>
      </c>
      <c r="L428" t="str">
        <f>IF(SAISIE!$M433="","",SAISIE!$M433)</f>
        <v/>
      </c>
      <c r="M428" t="str">
        <f>IF(SAISIE!$N433="","",SAISIE!$N433)</f>
        <v/>
      </c>
      <c r="N428" t="str">
        <f>IF(SAISIE!$O433="","",SAISIE!$O433)</f>
        <v/>
      </c>
      <c r="O428" t="str">
        <f>IF(SAISIE!$P433="","",SAISIE!$P433)</f>
        <v/>
      </c>
      <c r="P428" t="str">
        <f>IF(SAISIE!$Q433="","",SAISIE!$Q433)</f>
        <v/>
      </c>
      <c r="Q428" t="str">
        <f>IF($I428="","",IF($I428&gt;PARAMETRES!$G$29,5,IF($I428&gt;PARAMETRES!$F$29,4,IF($I428&gt;PARAMETRES!$E$29,3,IF($I428&gt;PARAMETRES!$D$29,2,1)))))</f>
        <v/>
      </c>
      <c r="R428" t="str">
        <f>IF($J428="","",IF($J428&gt;PARAMETRES!$G$30,5,IF($J428&gt;PARAMETRES!$F$30,4,IF($J428&gt;PARAMETRES!$E$30,3,IF($J428&gt;PARAMETRES!$D$30,2,1)))))</f>
        <v/>
      </c>
      <c r="S428" t="str">
        <f>IF($K428="","",IF($Z428=2,IF($K428&gt;PARAMETRES!$G$31,5,IF($K428&gt;PARAMETRES!$F$31,4,IF($K428&gt;PARAMETRES!$E$31,3,IF($K428&gt;PARAMETRES!$D$31,2,1)))),IF($K428&gt;PARAMETRES!$G$32,5,IF($K428&gt;PARAMETRES!$F$32,4,IF($K428&gt;PARAMETRES!$E$32,3,IF($K428&gt;PARAMETRES!$D$32,2,1))))))</f>
        <v/>
      </c>
      <c r="T428" t="str">
        <f>IF($L428="","",IF($L428&gt;PARAMETRES!$G$33,5,IF($L428&gt;PARAMETRES!$F$33,4,IF($L428&gt;PARAMETRES!$E$33,3,IF($L428&gt;PARAMETRES!$D$33,2,1)))))</f>
        <v/>
      </c>
      <c r="U428" t="str">
        <f>IF($M428="","",IF($M428&gt;PARAMETRES!$G$34,5,IF($M428&gt;PARAMETRES!$F$34,4,IF($M428&gt;PARAMETRES!$E$34,3,IF($M428&gt;PARAMETRES!$D$34,2,1)))))</f>
        <v/>
      </c>
      <c r="V428" t="str">
        <f>IF($N428="","",IF($N428&gt;PARAMETRES!$G$35,5,IF($N428&gt;PARAMETRES!$F$35,4,IF($N428&gt;PARAMETRES!$E$35,3,IF($N428&gt;PARAMETRES!$D$35,2,1)))))</f>
        <v/>
      </c>
      <c r="W428" t="str">
        <f>IF($O428="","",IF($O428&gt;PARAMETRES!$G$36,5,IF($O428&gt;PARAMETRES!$F$36,4,IF($O428&gt;PARAMETRES!$E$36,3,IF($O428&gt;PARAMETRES!$D$36,2,1)))))</f>
        <v/>
      </c>
      <c r="X428" t="str">
        <f>IF($P428="","",IF($P428&gt;PARAMETRES!$G$37,5,IF($P428&gt;PARAMETRES!$F$37,4,IF($P428&gt;PARAMETRES!$E$37,3,IF($P428&gt;PARAMETRES!$D$37,2,1)))))</f>
        <v/>
      </c>
      <c r="Y428" t="str">
        <f t="shared" si="144"/>
        <v/>
      </c>
      <c r="Z428" t="str">
        <f>IFERROR(VLOOKUP($B428,TABLE_CYCLE,2,0),"")</f>
        <v/>
      </c>
      <c r="AA428" t="str">
        <f t="shared" si="145"/>
        <v/>
      </c>
      <c r="AB428" t="str">
        <f>IF($D428="","",IF(COUNTIF($D$2:$D428,$D428)=1,$D428,""))</f>
        <v/>
      </c>
      <c r="AC428">
        <f t="shared" si="146"/>
        <v>0</v>
      </c>
      <c r="AD428" t="str">
        <f t="shared" si="147"/>
        <v>|0</v>
      </c>
      <c r="AE428" t="str">
        <f t="shared" si="148"/>
        <v/>
      </c>
      <c r="AF428" t="str">
        <f t="shared" si="149"/>
        <v/>
      </c>
      <c r="AG428" t="str">
        <f t="shared" si="150"/>
        <v/>
      </c>
      <c r="AH428" t="str">
        <f t="shared" si="151"/>
        <v/>
      </c>
      <c r="AI428" t="str">
        <f t="shared" si="152"/>
        <v/>
      </c>
      <c r="AJ428" t="str">
        <f t="shared" si="153"/>
        <v/>
      </c>
      <c r="AK428" t="str">
        <f t="shared" si="154"/>
        <v/>
      </c>
      <c r="AL428" t="str">
        <f t="shared" si="155"/>
        <v/>
      </c>
      <c r="AM428" t="str">
        <f t="shared" si="156"/>
        <v/>
      </c>
      <c r="AN428" t="str">
        <f t="shared" si="157"/>
        <v/>
      </c>
      <c r="AO428" t="str">
        <f t="shared" si="158"/>
        <v/>
      </c>
      <c r="AP428">
        <f t="shared" si="159"/>
        <v>1</v>
      </c>
      <c r="AQ428" t="str">
        <f>IF(SAISIE!$F433="","",SAISIE!$Y433)</f>
        <v/>
      </c>
      <c r="AR428" t="str">
        <f>IF(OR(SAISIE!$U$4="",SAISIE!$W$4=""),"",IF(AND($A428=SAISIE!$U$4,$B428=SAISIE!$W$4,$C428="S1"),COUNTIFS($A$2:$A428,SAISIE!$U$4,$B$2:$B428,SAISIE!$W$4,$C$2:$C428,"S1"),""))</f>
        <v/>
      </c>
      <c r="AS428" t="str">
        <f t="shared" si="160"/>
        <v/>
      </c>
      <c r="AT428" t="str">
        <f t="shared" si="161"/>
        <v/>
      </c>
      <c r="AU428" t="str">
        <f t="shared" si="162"/>
        <v/>
      </c>
      <c r="AV428">
        <f>N(AV427)+IF(AND($AB428&lt;&gt;"",OR('PROFIL ELEVE'!$K$4="(Tous)",$AF428='PROFIL ELEVE'!$K$4)),1,0)</f>
        <v>0</v>
      </c>
      <c r="AW428">
        <f>N(AW427)+IF(AND($AB428&lt;&gt;"",OR('SUIVI LONGITUDINAL'!$Q$4="(Tous)",$AF428='SUIVI LONGITUDINAL'!$Q$4)),1,0)</f>
        <v>0</v>
      </c>
      <c r="AX428">
        <f t="shared" si="163"/>
        <v>0</v>
      </c>
      <c r="AY428">
        <f t="shared" si="164"/>
        <v>0</v>
      </c>
      <c r="AZ428">
        <f t="shared" si="165"/>
        <v>0</v>
      </c>
      <c r="BA428" t="str">
        <f t="shared" si="166"/>
        <v/>
      </c>
      <c r="BB428" t="str">
        <f t="shared" si="167"/>
        <v/>
      </c>
    </row>
    <row r="429" spans="1:54" ht="14.25" customHeight="1" x14ac:dyDescent="0.3">
      <c r="A429" t="str">
        <f>IF(SAISIE!$F434="","",SAISIE!$B434)</f>
        <v/>
      </c>
      <c r="B429" t="str">
        <f>IF(SAISIE!$F434="","",SAISIE!$C434)</f>
        <v/>
      </c>
      <c r="C429" t="str">
        <f>IF(SAISIE!$F434="","",SAISIE!$D434)</f>
        <v/>
      </c>
      <c r="D429" t="str">
        <f>IF(SAISIE!$E434="","",SAISIE!$E434)</f>
        <v/>
      </c>
      <c r="E429" t="str">
        <f>IF(SAISIE!$F434="","",SAISIE!$F434)</f>
        <v/>
      </c>
      <c r="F429" t="str">
        <f>IF(SAISIE!$G434="","",SAISIE!$G434)</f>
        <v/>
      </c>
      <c r="G429" t="str">
        <f>IF(SAISIE!$H434="","",SAISIE!$H434)</f>
        <v/>
      </c>
      <c r="H429" t="str">
        <f>IF(SAISIE!$I434="","",SAISIE!$I434)</f>
        <v/>
      </c>
      <c r="I429" t="str">
        <f>IF(SAISIE!$J434="","",SAISIE!$J434)</f>
        <v/>
      </c>
      <c r="J429" t="str">
        <f>IF(SAISIE!$K434="","",SAISIE!$K434)</f>
        <v/>
      </c>
      <c r="K429" t="str">
        <f>IF(SAISIE!$L434="","",SAISIE!$L434)</f>
        <v/>
      </c>
      <c r="L429" t="str">
        <f>IF(SAISIE!$M434="","",SAISIE!$M434)</f>
        <v/>
      </c>
      <c r="M429" t="str">
        <f>IF(SAISIE!$N434="","",SAISIE!$N434)</f>
        <v/>
      </c>
      <c r="N429" t="str">
        <f>IF(SAISIE!$O434="","",SAISIE!$O434)</f>
        <v/>
      </c>
      <c r="O429" t="str">
        <f>IF(SAISIE!$P434="","",SAISIE!$P434)</f>
        <v/>
      </c>
      <c r="P429" t="str">
        <f>IF(SAISIE!$Q434="","",SAISIE!$Q434)</f>
        <v/>
      </c>
      <c r="Q429" t="str">
        <f>IF($I429="","",IF($I429&gt;PARAMETRES!$G$29,5,IF($I429&gt;PARAMETRES!$F$29,4,IF($I429&gt;PARAMETRES!$E$29,3,IF($I429&gt;PARAMETRES!$D$29,2,1)))))</f>
        <v/>
      </c>
      <c r="R429" t="str">
        <f>IF($J429="","",IF($J429&gt;PARAMETRES!$G$30,5,IF($J429&gt;PARAMETRES!$F$30,4,IF($J429&gt;PARAMETRES!$E$30,3,IF($J429&gt;PARAMETRES!$D$30,2,1)))))</f>
        <v/>
      </c>
      <c r="S429" t="str">
        <f>IF($K429="","",IF($Z429=2,IF($K429&gt;PARAMETRES!$G$31,5,IF($K429&gt;PARAMETRES!$F$31,4,IF($K429&gt;PARAMETRES!$E$31,3,IF($K429&gt;PARAMETRES!$D$31,2,1)))),IF($K429&gt;PARAMETRES!$G$32,5,IF($K429&gt;PARAMETRES!$F$32,4,IF($K429&gt;PARAMETRES!$E$32,3,IF($K429&gt;PARAMETRES!$D$32,2,1))))))</f>
        <v/>
      </c>
      <c r="T429" t="str">
        <f>IF($L429="","",IF($L429&gt;PARAMETRES!$G$33,5,IF($L429&gt;PARAMETRES!$F$33,4,IF($L429&gt;PARAMETRES!$E$33,3,IF($L429&gt;PARAMETRES!$D$33,2,1)))))</f>
        <v/>
      </c>
      <c r="U429" t="str">
        <f>IF($M429="","",IF($M429&gt;PARAMETRES!$G$34,5,IF($M429&gt;PARAMETRES!$F$34,4,IF($M429&gt;PARAMETRES!$E$34,3,IF($M429&gt;PARAMETRES!$D$34,2,1)))))</f>
        <v/>
      </c>
      <c r="V429" t="str">
        <f>IF($N429="","",IF($N429&gt;PARAMETRES!$G$35,5,IF($N429&gt;PARAMETRES!$F$35,4,IF($N429&gt;PARAMETRES!$E$35,3,IF($N429&gt;PARAMETRES!$D$35,2,1)))))</f>
        <v/>
      </c>
      <c r="W429" t="str">
        <f>IF($O429="","",IF($O429&gt;PARAMETRES!$G$36,5,IF($O429&gt;PARAMETRES!$F$36,4,IF($O429&gt;PARAMETRES!$E$36,3,IF($O429&gt;PARAMETRES!$D$36,2,1)))))</f>
        <v/>
      </c>
      <c r="X429" t="str">
        <f>IF($P429="","",IF($P429&gt;PARAMETRES!$G$37,5,IF($P429&gt;PARAMETRES!$F$37,4,IF($P429&gt;PARAMETRES!$E$37,3,IF($P429&gt;PARAMETRES!$D$37,2,1)))))</f>
        <v/>
      </c>
      <c r="Y429" t="str">
        <f t="shared" si="144"/>
        <v/>
      </c>
      <c r="Z429" t="str">
        <f>IFERROR(VLOOKUP($B429,TABLE_CYCLE,2,0),"")</f>
        <v/>
      </c>
      <c r="AA429" t="str">
        <f t="shared" si="145"/>
        <v/>
      </c>
      <c r="AB429" t="str">
        <f>IF($D429="","",IF(COUNTIF($D$2:$D429,$D429)=1,$D429,""))</f>
        <v/>
      </c>
      <c r="AC429">
        <f t="shared" si="146"/>
        <v>0</v>
      </c>
      <c r="AD429" t="str">
        <f t="shared" si="147"/>
        <v>|0</v>
      </c>
      <c r="AE429" t="str">
        <f t="shared" si="148"/>
        <v/>
      </c>
      <c r="AF429" t="str">
        <f t="shared" si="149"/>
        <v/>
      </c>
      <c r="AG429" t="str">
        <f t="shared" si="150"/>
        <v/>
      </c>
      <c r="AH429" t="str">
        <f t="shared" si="151"/>
        <v/>
      </c>
      <c r="AI429" t="str">
        <f t="shared" si="152"/>
        <v/>
      </c>
      <c r="AJ429" t="str">
        <f t="shared" si="153"/>
        <v/>
      </c>
      <c r="AK429" t="str">
        <f t="shared" si="154"/>
        <v/>
      </c>
      <c r="AL429" t="str">
        <f t="shared" si="155"/>
        <v/>
      </c>
      <c r="AM429" t="str">
        <f t="shared" si="156"/>
        <v/>
      </c>
      <c r="AN429" t="str">
        <f t="shared" si="157"/>
        <v/>
      </c>
      <c r="AO429" t="str">
        <f t="shared" si="158"/>
        <v/>
      </c>
      <c r="AP429">
        <f t="shared" si="159"/>
        <v>1</v>
      </c>
      <c r="AQ429" t="str">
        <f>IF(SAISIE!$F434="","",SAISIE!$Y434)</f>
        <v/>
      </c>
      <c r="AR429" t="str">
        <f>IF(OR(SAISIE!$U$4="",SAISIE!$W$4=""),"",IF(AND($A429=SAISIE!$U$4,$B429=SAISIE!$W$4,$C429="S1"),COUNTIFS($A$2:$A429,SAISIE!$U$4,$B$2:$B429,SAISIE!$W$4,$C$2:$C429,"S1"),""))</f>
        <v/>
      </c>
      <c r="AS429" t="str">
        <f t="shared" si="160"/>
        <v/>
      </c>
      <c r="AT429" t="str">
        <f t="shared" si="161"/>
        <v/>
      </c>
      <c r="AU429" t="str">
        <f t="shared" si="162"/>
        <v/>
      </c>
      <c r="AV429">
        <f>N(AV428)+IF(AND($AB429&lt;&gt;"",OR('PROFIL ELEVE'!$K$4="(Tous)",$AF429='PROFIL ELEVE'!$K$4)),1,0)</f>
        <v>0</v>
      </c>
      <c r="AW429">
        <f>N(AW428)+IF(AND($AB429&lt;&gt;"",OR('SUIVI LONGITUDINAL'!$Q$4="(Tous)",$AF429='SUIVI LONGITUDINAL'!$Q$4)),1,0)</f>
        <v>0</v>
      </c>
      <c r="AX429">
        <f t="shared" si="163"/>
        <v>0</v>
      </c>
      <c r="AY429">
        <f t="shared" si="164"/>
        <v>0</v>
      </c>
      <c r="AZ429">
        <f t="shared" si="165"/>
        <v>0</v>
      </c>
      <c r="BA429" t="str">
        <f t="shared" si="166"/>
        <v/>
      </c>
      <c r="BB429" t="str">
        <f t="shared" si="167"/>
        <v/>
      </c>
    </row>
    <row r="430" spans="1:54" ht="14.25" customHeight="1" x14ac:dyDescent="0.3">
      <c r="A430" t="str">
        <f>IF(SAISIE!$F435="","",SAISIE!$B435)</f>
        <v/>
      </c>
      <c r="B430" t="str">
        <f>IF(SAISIE!$F435="","",SAISIE!$C435)</f>
        <v/>
      </c>
      <c r="C430" t="str">
        <f>IF(SAISIE!$F435="","",SAISIE!$D435)</f>
        <v/>
      </c>
      <c r="D430" t="str">
        <f>IF(SAISIE!$E435="","",SAISIE!$E435)</f>
        <v/>
      </c>
      <c r="E430" t="str">
        <f>IF(SAISIE!$F435="","",SAISIE!$F435)</f>
        <v/>
      </c>
      <c r="F430" t="str">
        <f>IF(SAISIE!$G435="","",SAISIE!$G435)</f>
        <v/>
      </c>
      <c r="G430" t="str">
        <f>IF(SAISIE!$H435="","",SAISIE!$H435)</f>
        <v/>
      </c>
      <c r="H430" t="str">
        <f>IF(SAISIE!$I435="","",SAISIE!$I435)</f>
        <v/>
      </c>
      <c r="I430" t="str">
        <f>IF(SAISIE!$J435="","",SAISIE!$J435)</f>
        <v/>
      </c>
      <c r="J430" t="str">
        <f>IF(SAISIE!$K435="","",SAISIE!$K435)</f>
        <v/>
      </c>
      <c r="K430" t="str">
        <f>IF(SAISIE!$L435="","",SAISIE!$L435)</f>
        <v/>
      </c>
      <c r="L430" t="str">
        <f>IF(SAISIE!$M435="","",SAISIE!$M435)</f>
        <v/>
      </c>
      <c r="M430" t="str">
        <f>IF(SAISIE!$N435="","",SAISIE!$N435)</f>
        <v/>
      </c>
      <c r="N430" t="str">
        <f>IF(SAISIE!$O435="","",SAISIE!$O435)</f>
        <v/>
      </c>
      <c r="O430" t="str">
        <f>IF(SAISIE!$P435="","",SAISIE!$P435)</f>
        <v/>
      </c>
      <c r="P430" t="str">
        <f>IF(SAISIE!$Q435="","",SAISIE!$Q435)</f>
        <v/>
      </c>
      <c r="Q430" t="str">
        <f>IF($I430="","",IF($I430&gt;PARAMETRES!$G$29,5,IF($I430&gt;PARAMETRES!$F$29,4,IF($I430&gt;PARAMETRES!$E$29,3,IF($I430&gt;PARAMETRES!$D$29,2,1)))))</f>
        <v/>
      </c>
      <c r="R430" t="str">
        <f>IF($J430="","",IF($J430&gt;PARAMETRES!$G$30,5,IF($J430&gt;PARAMETRES!$F$30,4,IF($J430&gt;PARAMETRES!$E$30,3,IF($J430&gt;PARAMETRES!$D$30,2,1)))))</f>
        <v/>
      </c>
      <c r="S430" t="str">
        <f>IF($K430="","",IF($Z430=2,IF($K430&gt;PARAMETRES!$G$31,5,IF($K430&gt;PARAMETRES!$F$31,4,IF($K430&gt;PARAMETRES!$E$31,3,IF($K430&gt;PARAMETRES!$D$31,2,1)))),IF($K430&gt;PARAMETRES!$G$32,5,IF($K430&gt;PARAMETRES!$F$32,4,IF($K430&gt;PARAMETRES!$E$32,3,IF($K430&gt;PARAMETRES!$D$32,2,1))))))</f>
        <v/>
      </c>
      <c r="T430" t="str">
        <f>IF($L430="","",IF($L430&gt;PARAMETRES!$G$33,5,IF($L430&gt;PARAMETRES!$F$33,4,IF($L430&gt;PARAMETRES!$E$33,3,IF($L430&gt;PARAMETRES!$D$33,2,1)))))</f>
        <v/>
      </c>
      <c r="U430" t="str">
        <f>IF($M430="","",IF($M430&gt;PARAMETRES!$G$34,5,IF($M430&gt;PARAMETRES!$F$34,4,IF($M430&gt;PARAMETRES!$E$34,3,IF($M430&gt;PARAMETRES!$D$34,2,1)))))</f>
        <v/>
      </c>
      <c r="V430" t="str">
        <f>IF($N430="","",IF($N430&gt;PARAMETRES!$G$35,5,IF($N430&gt;PARAMETRES!$F$35,4,IF($N430&gt;PARAMETRES!$E$35,3,IF($N430&gt;PARAMETRES!$D$35,2,1)))))</f>
        <v/>
      </c>
      <c r="W430" t="str">
        <f>IF($O430="","",IF($O430&gt;PARAMETRES!$G$36,5,IF($O430&gt;PARAMETRES!$F$36,4,IF($O430&gt;PARAMETRES!$E$36,3,IF($O430&gt;PARAMETRES!$D$36,2,1)))))</f>
        <v/>
      </c>
      <c r="X430" t="str">
        <f>IF($P430="","",IF($P430&gt;PARAMETRES!$G$37,5,IF($P430&gt;PARAMETRES!$F$37,4,IF($P430&gt;PARAMETRES!$E$37,3,IF($P430&gt;PARAMETRES!$D$37,2,1)))))</f>
        <v/>
      </c>
      <c r="Y430" t="str">
        <f t="shared" si="144"/>
        <v/>
      </c>
      <c r="Z430" t="str">
        <f>IFERROR(VLOOKUP($B430,TABLE_CYCLE,2,0),"")</f>
        <v/>
      </c>
      <c r="AA430" t="str">
        <f t="shared" si="145"/>
        <v/>
      </c>
      <c r="AB430" t="str">
        <f>IF($D430="","",IF(COUNTIF($D$2:$D430,$D430)=1,$D430,""))</f>
        <v/>
      </c>
      <c r="AC430">
        <f t="shared" si="146"/>
        <v>0</v>
      </c>
      <c r="AD430" t="str">
        <f t="shared" si="147"/>
        <v>|0</v>
      </c>
      <c r="AE430" t="str">
        <f t="shared" si="148"/>
        <v/>
      </c>
      <c r="AF430" t="str">
        <f t="shared" si="149"/>
        <v/>
      </c>
      <c r="AG430" t="str">
        <f t="shared" si="150"/>
        <v/>
      </c>
      <c r="AH430" t="str">
        <f t="shared" si="151"/>
        <v/>
      </c>
      <c r="AI430" t="str">
        <f t="shared" si="152"/>
        <v/>
      </c>
      <c r="AJ430" t="str">
        <f t="shared" si="153"/>
        <v/>
      </c>
      <c r="AK430" t="str">
        <f t="shared" si="154"/>
        <v/>
      </c>
      <c r="AL430" t="str">
        <f t="shared" si="155"/>
        <v/>
      </c>
      <c r="AM430" t="str">
        <f t="shared" si="156"/>
        <v/>
      </c>
      <c r="AN430" t="str">
        <f t="shared" si="157"/>
        <v/>
      </c>
      <c r="AO430" t="str">
        <f t="shared" si="158"/>
        <v/>
      </c>
      <c r="AP430">
        <f t="shared" si="159"/>
        <v>1</v>
      </c>
      <c r="AQ430" t="str">
        <f>IF(SAISIE!$F435="","",SAISIE!$Y435)</f>
        <v/>
      </c>
      <c r="AR430" t="str">
        <f>IF(OR(SAISIE!$U$4="",SAISIE!$W$4=""),"",IF(AND($A430=SAISIE!$U$4,$B430=SAISIE!$W$4,$C430="S1"),COUNTIFS($A$2:$A430,SAISIE!$U$4,$B$2:$B430,SAISIE!$W$4,$C$2:$C430,"S1"),""))</f>
        <v/>
      </c>
      <c r="AS430" t="str">
        <f t="shared" si="160"/>
        <v/>
      </c>
      <c r="AT430" t="str">
        <f t="shared" si="161"/>
        <v/>
      </c>
      <c r="AU430" t="str">
        <f t="shared" si="162"/>
        <v/>
      </c>
      <c r="AV430">
        <f>N(AV429)+IF(AND($AB430&lt;&gt;"",OR('PROFIL ELEVE'!$K$4="(Tous)",$AF430='PROFIL ELEVE'!$K$4)),1,0)</f>
        <v>0</v>
      </c>
      <c r="AW430">
        <f>N(AW429)+IF(AND($AB430&lt;&gt;"",OR('SUIVI LONGITUDINAL'!$Q$4="(Tous)",$AF430='SUIVI LONGITUDINAL'!$Q$4)),1,0)</f>
        <v>0</v>
      </c>
      <c r="AX430">
        <f t="shared" si="163"/>
        <v>0</v>
      </c>
      <c r="AY430">
        <f t="shared" si="164"/>
        <v>0</v>
      </c>
      <c r="AZ430">
        <f t="shared" si="165"/>
        <v>0</v>
      </c>
      <c r="BA430" t="str">
        <f t="shared" si="166"/>
        <v/>
      </c>
      <c r="BB430" t="str">
        <f t="shared" si="167"/>
        <v/>
      </c>
    </row>
    <row r="431" spans="1:54" ht="14.25" customHeight="1" x14ac:dyDescent="0.3">
      <c r="A431" t="str">
        <f>IF(SAISIE!$F436="","",SAISIE!$B436)</f>
        <v/>
      </c>
      <c r="B431" t="str">
        <f>IF(SAISIE!$F436="","",SAISIE!$C436)</f>
        <v/>
      </c>
      <c r="C431" t="str">
        <f>IF(SAISIE!$F436="","",SAISIE!$D436)</f>
        <v/>
      </c>
      <c r="D431" t="str">
        <f>IF(SAISIE!$E436="","",SAISIE!$E436)</f>
        <v/>
      </c>
      <c r="E431" t="str">
        <f>IF(SAISIE!$F436="","",SAISIE!$F436)</f>
        <v/>
      </c>
      <c r="F431" t="str">
        <f>IF(SAISIE!$G436="","",SAISIE!$G436)</f>
        <v/>
      </c>
      <c r="G431" t="str">
        <f>IF(SAISIE!$H436="","",SAISIE!$H436)</f>
        <v/>
      </c>
      <c r="H431" t="str">
        <f>IF(SAISIE!$I436="","",SAISIE!$I436)</f>
        <v/>
      </c>
      <c r="I431" t="str">
        <f>IF(SAISIE!$J436="","",SAISIE!$J436)</f>
        <v/>
      </c>
      <c r="J431" t="str">
        <f>IF(SAISIE!$K436="","",SAISIE!$K436)</f>
        <v/>
      </c>
      <c r="K431" t="str">
        <f>IF(SAISIE!$L436="","",SAISIE!$L436)</f>
        <v/>
      </c>
      <c r="L431" t="str">
        <f>IF(SAISIE!$M436="","",SAISIE!$M436)</f>
        <v/>
      </c>
      <c r="M431" t="str">
        <f>IF(SAISIE!$N436="","",SAISIE!$N436)</f>
        <v/>
      </c>
      <c r="N431" t="str">
        <f>IF(SAISIE!$O436="","",SAISIE!$O436)</f>
        <v/>
      </c>
      <c r="O431" t="str">
        <f>IF(SAISIE!$P436="","",SAISIE!$P436)</f>
        <v/>
      </c>
      <c r="P431" t="str">
        <f>IF(SAISIE!$Q436="","",SAISIE!$Q436)</f>
        <v/>
      </c>
      <c r="Q431" t="str">
        <f>IF($I431="","",IF($I431&gt;PARAMETRES!$G$29,5,IF($I431&gt;PARAMETRES!$F$29,4,IF($I431&gt;PARAMETRES!$E$29,3,IF($I431&gt;PARAMETRES!$D$29,2,1)))))</f>
        <v/>
      </c>
      <c r="R431" t="str">
        <f>IF($J431="","",IF($J431&gt;PARAMETRES!$G$30,5,IF($J431&gt;PARAMETRES!$F$30,4,IF($J431&gt;PARAMETRES!$E$30,3,IF($J431&gt;PARAMETRES!$D$30,2,1)))))</f>
        <v/>
      </c>
      <c r="S431" t="str">
        <f>IF($K431="","",IF($Z431=2,IF($K431&gt;PARAMETRES!$G$31,5,IF($K431&gt;PARAMETRES!$F$31,4,IF($K431&gt;PARAMETRES!$E$31,3,IF($K431&gt;PARAMETRES!$D$31,2,1)))),IF($K431&gt;PARAMETRES!$G$32,5,IF($K431&gt;PARAMETRES!$F$32,4,IF($K431&gt;PARAMETRES!$E$32,3,IF($K431&gt;PARAMETRES!$D$32,2,1))))))</f>
        <v/>
      </c>
      <c r="T431" t="str">
        <f>IF($L431="","",IF($L431&gt;PARAMETRES!$G$33,5,IF($L431&gt;PARAMETRES!$F$33,4,IF($L431&gt;PARAMETRES!$E$33,3,IF($L431&gt;PARAMETRES!$D$33,2,1)))))</f>
        <v/>
      </c>
      <c r="U431" t="str">
        <f>IF($M431="","",IF($M431&gt;PARAMETRES!$G$34,5,IF($M431&gt;PARAMETRES!$F$34,4,IF($M431&gt;PARAMETRES!$E$34,3,IF($M431&gt;PARAMETRES!$D$34,2,1)))))</f>
        <v/>
      </c>
      <c r="V431" t="str">
        <f>IF($N431="","",IF($N431&gt;PARAMETRES!$G$35,5,IF($N431&gt;PARAMETRES!$F$35,4,IF($N431&gt;PARAMETRES!$E$35,3,IF($N431&gt;PARAMETRES!$D$35,2,1)))))</f>
        <v/>
      </c>
      <c r="W431" t="str">
        <f>IF($O431="","",IF($O431&gt;PARAMETRES!$G$36,5,IF($O431&gt;PARAMETRES!$F$36,4,IF($O431&gt;PARAMETRES!$E$36,3,IF($O431&gt;PARAMETRES!$D$36,2,1)))))</f>
        <v/>
      </c>
      <c r="X431" t="str">
        <f>IF($P431="","",IF($P431&gt;PARAMETRES!$G$37,5,IF($P431&gt;PARAMETRES!$F$37,4,IF($P431&gt;PARAMETRES!$E$37,3,IF($P431&gt;PARAMETRES!$D$37,2,1)))))</f>
        <v/>
      </c>
      <c r="Y431" t="str">
        <f t="shared" si="144"/>
        <v/>
      </c>
      <c r="Z431" t="str">
        <f>IFERROR(VLOOKUP($B431,TABLE_CYCLE,2,0),"")</f>
        <v/>
      </c>
      <c r="AA431" t="str">
        <f t="shared" si="145"/>
        <v/>
      </c>
      <c r="AB431" t="str">
        <f>IF($D431="","",IF(COUNTIF($D$2:$D431,$D431)=1,$D431,""))</f>
        <v/>
      </c>
      <c r="AC431">
        <f t="shared" si="146"/>
        <v>0</v>
      </c>
      <c r="AD431" t="str">
        <f t="shared" si="147"/>
        <v>|0</v>
      </c>
      <c r="AE431" t="str">
        <f t="shared" si="148"/>
        <v/>
      </c>
      <c r="AF431" t="str">
        <f t="shared" si="149"/>
        <v/>
      </c>
      <c r="AG431" t="str">
        <f t="shared" si="150"/>
        <v/>
      </c>
      <c r="AH431" t="str">
        <f t="shared" si="151"/>
        <v/>
      </c>
      <c r="AI431" t="str">
        <f t="shared" si="152"/>
        <v/>
      </c>
      <c r="AJ431" t="str">
        <f t="shared" si="153"/>
        <v/>
      </c>
      <c r="AK431" t="str">
        <f t="shared" si="154"/>
        <v/>
      </c>
      <c r="AL431" t="str">
        <f t="shared" si="155"/>
        <v/>
      </c>
      <c r="AM431" t="str">
        <f t="shared" si="156"/>
        <v/>
      </c>
      <c r="AN431" t="str">
        <f t="shared" si="157"/>
        <v/>
      </c>
      <c r="AO431" t="str">
        <f t="shared" si="158"/>
        <v/>
      </c>
      <c r="AP431">
        <f t="shared" si="159"/>
        <v>1</v>
      </c>
      <c r="AQ431" t="str">
        <f>IF(SAISIE!$F436="","",SAISIE!$Y436)</f>
        <v/>
      </c>
      <c r="AR431" t="str">
        <f>IF(OR(SAISIE!$U$4="",SAISIE!$W$4=""),"",IF(AND($A431=SAISIE!$U$4,$B431=SAISIE!$W$4,$C431="S1"),COUNTIFS($A$2:$A431,SAISIE!$U$4,$B$2:$B431,SAISIE!$W$4,$C$2:$C431,"S1"),""))</f>
        <v/>
      </c>
      <c r="AS431" t="str">
        <f t="shared" si="160"/>
        <v/>
      </c>
      <c r="AT431" t="str">
        <f t="shared" si="161"/>
        <v/>
      </c>
      <c r="AU431" t="str">
        <f t="shared" si="162"/>
        <v/>
      </c>
      <c r="AV431">
        <f>N(AV430)+IF(AND($AB431&lt;&gt;"",OR('PROFIL ELEVE'!$K$4="(Tous)",$AF431='PROFIL ELEVE'!$K$4)),1,0)</f>
        <v>0</v>
      </c>
      <c r="AW431">
        <f>N(AW430)+IF(AND($AB431&lt;&gt;"",OR('SUIVI LONGITUDINAL'!$Q$4="(Tous)",$AF431='SUIVI LONGITUDINAL'!$Q$4)),1,0)</f>
        <v>0</v>
      </c>
      <c r="AX431">
        <f t="shared" si="163"/>
        <v>0</v>
      </c>
      <c r="AY431">
        <f t="shared" si="164"/>
        <v>0</v>
      </c>
      <c r="AZ431">
        <f t="shared" si="165"/>
        <v>0</v>
      </c>
      <c r="BA431" t="str">
        <f t="shared" si="166"/>
        <v/>
      </c>
      <c r="BB431" t="str">
        <f t="shared" si="167"/>
        <v/>
      </c>
    </row>
    <row r="432" spans="1:54" ht="14.25" customHeight="1" x14ac:dyDescent="0.3">
      <c r="A432" t="str">
        <f>IF(SAISIE!$F437="","",SAISIE!$B437)</f>
        <v/>
      </c>
      <c r="B432" t="str">
        <f>IF(SAISIE!$F437="","",SAISIE!$C437)</f>
        <v/>
      </c>
      <c r="C432" t="str">
        <f>IF(SAISIE!$F437="","",SAISIE!$D437)</f>
        <v/>
      </c>
      <c r="D432" t="str">
        <f>IF(SAISIE!$E437="","",SAISIE!$E437)</f>
        <v/>
      </c>
      <c r="E432" t="str">
        <f>IF(SAISIE!$F437="","",SAISIE!$F437)</f>
        <v/>
      </c>
      <c r="F432" t="str">
        <f>IF(SAISIE!$G437="","",SAISIE!$G437)</f>
        <v/>
      </c>
      <c r="G432" t="str">
        <f>IF(SAISIE!$H437="","",SAISIE!$H437)</f>
        <v/>
      </c>
      <c r="H432" t="str">
        <f>IF(SAISIE!$I437="","",SAISIE!$I437)</f>
        <v/>
      </c>
      <c r="I432" t="str">
        <f>IF(SAISIE!$J437="","",SAISIE!$J437)</f>
        <v/>
      </c>
      <c r="J432" t="str">
        <f>IF(SAISIE!$K437="","",SAISIE!$K437)</f>
        <v/>
      </c>
      <c r="K432" t="str">
        <f>IF(SAISIE!$L437="","",SAISIE!$L437)</f>
        <v/>
      </c>
      <c r="L432" t="str">
        <f>IF(SAISIE!$M437="","",SAISIE!$M437)</f>
        <v/>
      </c>
      <c r="M432" t="str">
        <f>IF(SAISIE!$N437="","",SAISIE!$N437)</f>
        <v/>
      </c>
      <c r="N432" t="str">
        <f>IF(SAISIE!$O437="","",SAISIE!$O437)</f>
        <v/>
      </c>
      <c r="O432" t="str">
        <f>IF(SAISIE!$P437="","",SAISIE!$P437)</f>
        <v/>
      </c>
      <c r="P432" t="str">
        <f>IF(SAISIE!$Q437="","",SAISIE!$Q437)</f>
        <v/>
      </c>
      <c r="Q432" t="str">
        <f>IF($I432="","",IF($I432&gt;PARAMETRES!$G$29,5,IF($I432&gt;PARAMETRES!$F$29,4,IF($I432&gt;PARAMETRES!$E$29,3,IF($I432&gt;PARAMETRES!$D$29,2,1)))))</f>
        <v/>
      </c>
      <c r="R432" t="str">
        <f>IF($J432="","",IF($J432&gt;PARAMETRES!$G$30,5,IF($J432&gt;PARAMETRES!$F$30,4,IF($J432&gt;PARAMETRES!$E$30,3,IF($J432&gt;PARAMETRES!$D$30,2,1)))))</f>
        <v/>
      </c>
      <c r="S432" t="str">
        <f>IF($K432="","",IF($Z432=2,IF($K432&gt;PARAMETRES!$G$31,5,IF($K432&gt;PARAMETRES!$F$31,4,IF($K432&gt;PARAMETRES!$E$31,3,IF($K432&gt;PARAMETRES!$D$31,2,1)))),IF($K432&gt;PARAMETRES!$G$32,5,IF($K432&gt;PARAMETRES!$F$32,4,IF($K432&gt;PARAMETRES!$E$32,3,IF($K432&gt;PARAMETRES!$D$32,2,1))))))</f>
        <v/>
      </c>
      <c r="T432" t="str">
        <f>IF($L432="","",IF($L432&gt;PARAMETRES!$G$33,5,IF($L432&gt;PARAMETRES!$F$33,4,IF($L432&gt;PARAMETRES!$E$33,3,IF($L432&gt;PARAMETRES!$D$33,2,1)))))</f>
        <v/>
      </c>
      <c r="U432" t="str">
        <f>IF($M432="","",IF($M432&gt;PARAMETRES!$G$34,5,IF($M432&gt;PARAMETRES!$F$34,4,IF($M432&gt;PARAMETRES!$E$34,3,IF($M432&gt;PARAMETRES!$D$34,2,1)))))</f>
        <v/>
      </c>
      <c r="V432" t="str">
        <f>IF($N432="","",IF($N432&gt;PARAMETRES!$G$35,5,IF($N432&gt;PARAMETRES!$F$35,4,IF($N432&gt;PARAMETRES!$E$35,3,IF($N432&gt;PARAMETRES!$D$35,2,1)))))</f>
        <v/>
      </c>
      <c r="W432" t="str">
        <f>IF($O432="","",IF($O432&gt;PARAMETRES!$G$36,5,IF($O432&gt;PARAMETRES!$F$36,4,IF($O432&gt;PARAMETRES!$E$36,3,IF($O432&gt;PARAMETRES!$D$36,2,1)))))</f>
        <v/>
      </c>
      <c r="X432" t="str">
        <f>IF($P432="","",IF($P432&gt;PARAMETRES!$G$37,5,IF($P432&gt;PARAMETRES!$F$37,4,IF($P432&gt;PARAMETRES!$E$37,3,IF($P432&gt;PARAMETRES!$D$37,2,1)))))</f>
        <v/>
      </c>
      <c r="Y432" t="str">
        <f t="shared" si="144"/>
        <v/>
      </c>
      <c r="Z432" t="str">
        <f>IFERROR(VLOOKUP($B432,TABLE_CYCLE,2,0),"")</f>
        <v/>
      </c>
      <c r="AA432" t="str">
        <f t="shared" si="145"/>
        <v/>
      </c>
      <c r="AB432" t="str">
        <f>IF($D432="","",IF(COUNTIF($D$2:$D432,$D432)=1,$D432,""))</f>
        <v/>
      </c>
      <c r="AC432">
        <f t="shared" si="146"/>
        <v>0</v>
      </c>
      <c r="AD432" t="str">
        <f t="shared" si="147"/>
        <v>|0</v>
      </c>
      <c r="AE432" t="str">
        <f t="shared" si="148"/>
        <v/>
      </c>
      <c r="AF432" t="str">
        <f t="shared" si="149"/>
        <v/>
      </c>
      <c r="AG432" t="str">
        <f t="shared" si="150"/>
        <v/>
      </c>
      <c r="AH432" t="str">
        <f t="shared" si="151"/>
        <v/>
      </c>
      <c r="AI432" t="str">
        <f t="shared" si="152"/>
        <v/>
      </c>
      <c r="AJ432" t="str">
        <f t="shared" si="153"/>
        <v/>
      </c>
      <c r="AK432" t="str">
        <f t="shared" si="154"/>
        <v/>
      </c>
      <c r="AL432" t="str">
        <f t="shared" si="155"/>
        <v/>
      </c>
      <c r="AM432" t="str">
        <f t="shared" si="156"/>
        <v/>
      </c>
      <c r="AN432" t="str">
        <f t="shared" si="157"/>
        <v/>
      </c>
      <c r="AO432" t="str">
        <f t="shared" si="158"/>
        <v/>
      </c>
      <c r="AP432">
        <f t="shared" si="159"/>
        <v>1</v>
      </c>
      <c r="AQ432" t="str">
        <f>IF(SAISIE!$F437="","",SAISIE!$Y437)</f>
        <v/>
      </c>
      <c r="AR432" t="str">
        <f>IF(OR(SAISIE!$U$4="",SAISIE!$W$4=""),"",IF(AND($A432=SAISIE!$U$4,$B432=SAISIE!$W$4,$C432="S1"),COUNTIFS($A$2:$A432,SAISIE!$U$4,$B$2:$B432,SAISIE!$W$4,$C$2:$C432,"S1"),""))</f>
        <v/>
      </c>
      <c r="AS432" t="str">
        <f t="shared" si="160"/>
        <v/>
      </c>
      <c r="AT432" t="str">
        <f t="shared" si="161"/>
        <v/>
      </c>
      <c r="AU432" t="str">
        <f t="shared" si="162"/>
        <v/>
      </c>
      <c r="AV432">
        <f>N(AV431)+IF(AND($AB432&lt;&gt;"",OR('PROFIL ELEVE'!$K$4="(Tous)",$AF432='PROFIL ELEVE'!$K$4)),1,0)</f>
        <v>0</v>
      </c>
      <c r="AW432">
        <f>N(AW431)+IF(AND($AB432&lt;&gt;"",OR('SUIVI LONGITUDINAL'!$Q$4="(Tous)",$AF432='SUIVI LONGITUDINAL'!$Q$4)),1,0)</f>
        <v>0</v>
      </c>
      <c r="AX432">
        <f t="shared" si="163"/>
        <v>0</v>
      </c>
      <c r="AY432">
        <f t="shared" si="164"/>
        <v>0</v>
      </c>
      <c r="AZ432">
        <f t="shared" si="165"/>
        <v>0</v>
      </c>
      <c r="BA432" t="str">
        <f t="shared" si="166"/>
        <v/>
      </c>
      <c r="BB432" t="str">
        <f t="shared" si="167"/>
        <v/>
      </c>
    </row>
    <row r="433" spans="1:54" ht="14.25" customHeight="1" x14ac:dyDescent="0.3">
      <c r="A433" t="str">
        <f>IF(SAISIE!$F438="","",SAISIE!$B438)</f>
        <v/>
      </c>
      <c r="B433" t="str">
        <f>IF(SAISIE!$F438="","",SAISIE!$C438)</f>
        <v/>
      </c>
      <c r="C433" t="str">
        <f>IF(SAISIE!$F438="","",SAISIE!$D438)</f>
        <v/>
      </c>
      <c r="D433" t="str">
        <f>IF(SAISIE!$E438="","",SAISIE!$E438)</f>
        <v/>
      </c>
      <c r="E433" t="str">
        <f>IF(SAISIE!$F438="","",SAISIE!$F438)</f>
        <v/>
      </c>
      <c r="F433" t="str">
        <f>IF(SAISIE!$G438="","",SAISIE!$G438)</f>
        <v/>
      </c>
      <c r="G433" t="str">
        <f>IF(SAISIE!$H438="","",SAISIE!$H438)</f>
        <v/>
      </c>
      <c r="H433" t="str">
        <f>IF(SAISIE!$I438="","",SAISIE!$I438)</f>
        <v/>
      </c>
      <c r="I433" t="str">
        <f>IF(SAISIE!$J438="","",SAISIE!$J438)</f>
        <v/>
      </c>
      <c r="J433" t="str">
        <f>IF(SAISIE!$K438="","",SAISIE!$K438)</f>
        <v/>
      </c>
      <c r="K433" t="str">
        <f>IF(SAISIE!$L438="","",SAISIE!$L438)</f>
        <v/>
      </c>
      <c r="L433" t="str">
        <f>IF(SAISIE!$M438="","",SAISIE!$M438)</f>
        <v/>
      </c>
      <c r="M433" t="str">
        <f>IF(SAISIE!$N438="","",SAISIE!$N438)</f>
        <v/>
      </c>
      <c r="N433" t="str">
        <f>IF(SAISIE!$O438="","",SAISIE!$O438)</f>
        <v/>
      </c>
      <c r="O433" t="str">
        <f>IF(SAISIE!$P438="","",SAISIE!$P438)</f>
        <v/>
      </c>
      <c r="P433" t="str">
        <f>IF(SAISIE!$Q438="","",SAISIE!$Q438)</f>
        <v/>
      </c>
      <c r="Q433" t="str">
        <f>IF($I433="","",IF($I433&gt;PARAMETRES!$G$29,5,IF($I433&gt;PARAMETRES!$F$29,4,IF($I433&gt;PARAMETRES!$E$29,3,IF($I433&gt;PARAMETRES!$D$29,2,1)))))</f>
        <v/>
      </c>
      <c r="R433" t="str">
        <f>IF($J433="","",IF($J433&gt;PARAMETRES!$G$30,5,IF($J433&gt;PARAMETRES!$F$30,4,IF($J433&gt;PARAMETRES!$E$30,3,IF($J433&gt;PARAMETRES!$D$30,2,1)))))</f>
        <v/>
      </c>
      <c r="S433" t="str">
        <f>IF($K433="","",IF($Z433=2,IF($K433&gt;PARAMETRES!$G$31,5,IF($K433&gt;PARAMETRES!$F$31,4,IF($K433&gt;PARAMETRES!$E$31,3,IF($K433&gt;PARAMETRES!$D$31,2,1)))),IF($K433&gt;PARAMETRES!$G$32,5,IF($K433&gt;PARAMETRES!$F$32,4,IF($K433&gt;PARAMETRES!$E$32,3,IF($K433&gt;PARAMETRES!$D$32,2,1))))))</f>
        <v/>
      </c>
      <c r="T433" t="str">
        <f>IF($L433="","",IF($L433&gt;PARAMETRES!$G$33,5,IF($L433&gt;PARAMETRES!$F$33,4,IF($L433&gt;PARAMETRES!$E$33,3,IF($L433&gt;PARAMETRES!$D$33,2,1)))))</f>
        <v/>
      </c>
      <c r="U433" t="str">
        <f>IF($M433="","",IF($M433&gt;PARAMETRES!$G$34,5,IF($M433&gt;PARAMETRES!$F$34,4,IF($M433&gt;PARAMETRES!$E$34,3,IF($M433&gt;PARAMETRES!$D$34,2,1)))))</f>
        <v/>
      </c>
      <c r="V433" t="str">
        <f>IF($N433="","",IF($N433&gt;PARAMETRES!$G$35,5,IF($N433&gt;PARAMETRES!$F$35,4,IF($N433&gt;PARAMETRES!$E$35,3,IF($N433&gt;PARAMETRES!$D$35,2,1)))))</f>
        <v/>
      </c>
      <c r="W433" t="str">
        <f>IF($O433="","",IF($O433&gt;PARAMETRES!$G$36,5,IF($O433&gt;PARAMETRES!$F$36,4,IF($O433&gt;PARAMETRES!$E$36,3,IF($O433&gt;PARAMETRES!$D$36,2,1)))))</f>
        <v/>
      </c>
      <c r="X433" t="str">
        <f>IF($P433="","",IF($P433&gt;PARAMETRES!$G$37,5,IF($P433&gt;PARAMETRES!$F$37,4,IF($P433&gt;PARAMETRES!$E$37,3,IF($P433&gt;PARAMETRES!$D$37,2,1)))))</f>
        <v/>
      </c>
      <c r="Y433" t="str">
        <f t="shared" si="144"/>
        <v/>
      </c>
      <c r="Z433" t="str">
        <f>IFERROR(VLOOKUP($B433,TABLE_CYCLE,2,0),"")</f>
        <v/>
      </c>
      <c r="AA433" t="str">
        <f t="shared" si="145"/>
        <v/>
      </c>
      <c r="AB433" t="str">
        <f>IF($D433="","",IF(COUNTIF($D$2:$D433,$D433)=1,$D433,""))</f>
        <v/>
      </c>
      <c r="AC433">
        <f t="shared" si="146"/>
        <v>0</v>
      </c>
      <c r="AD433" t="str">
        <f t="shared" si="147"/>
        <v>|0</v>
      </c>
      <c r="AE433" t="str">
        <f t="shared" si="148"/>
        <v/>
      </c>
      <c r="AF433" t="str">
        <f t="shared" si="149"/>
        <v/>
      </c>
      <c r="AG433" t="str">
        <f t="shared" si="150"/>
        <v/>
      </c>
      <c r="AH433" t="str">
        <f t="shared" si="151"/>
        <v/>
      </c>
      <c r="AI433" t="str">
        <f t="shared" si="152"/>
        <v/>
      </c>
      <c r="AJ433" t="str">
        <f t="shared" si="153"/>
        <v/>
      </c>
      <c r="AK433" t="str">
        <f t="shared" si="154"/>
        <v/>
      </c>
      <c r="AL433" t="str">
        <f t="shared" si="155"/>
        <v/>
      </c>
      <c r="AM433" t="str">
        <f t="shared" si="156"/>
        <v/>
      </c>
      <c r="AN433" t="str">
        <f t="shared" si="157"/>
        <v/>
      </c>
      <c r="AO433" t="str">
        <f t="shared" si="158"/>
        <v/>
      </c>
      <c r="AP433">
        <f t="shared" si="159"/>
        <v>1</v>
      </c>
      <c r="AQ433" t="str">
        <f>IF(SAISIE!$F438="","",SAISIE!$Y438)</f>
        <v/>
      </c>
      <c r="AR433" t="str">
        <f>IF(OR(SAISIE!$U$4="",SAISIE!$W$4=""),"",IF(AND($A433=SAISIE!$U$4,$B433=SAISIE!$W$4,$C433="S1"),COUNTIFS($A$2:$A433,SAISIE!$U$4,$B$2:$B433,SAISIE!$W$4,$C$2:$C433,"S1"),""))</f>
        <v/>
      </c>
      <c r="AS433" t="str">
        <f t="shared" si="160"/>
        <v/>
      </c>
      <c r="AT433" t="str">
        <f t="shared" si="161"/>
        <v/>
      </c>
      <c r="AU433" t="str">
        <f t="shared" si="162"/>
        <v/>
      </c>
      <c r="AV433">
        <f>N(AV432)+IF(AND($AB433&lt;&gt;"",OR('PROFIL ELEVE'!$K$4="(Tous)",$AF433='PROFIL ELEVE'!$K$4)),1,0)</f>
        <v>0</v>
      </c>
      <c r="AW433">
        <f>N(AW432)+IF(AND($AB433&lt;&gt;"",OR('SUIVI LONGITUDINAL'!$Q$4="(Tous)",$AF433='SUIVI LONGITUDINAL'!$Q$4)),1,0)</f>
        <v>0</v>
      </c>
      <c r="AX433">
        <f t="shared" si="163"/>
        <v>0</v>
      </c>
      <c r="AY433">
        <f t="shared" si="164"/>
        <v>0</v>
      </c>
      <c r="AZ433">
        <f t="shared" si="165"/>
        <v>0</v>
      </c>
      <c r="BA433" t="str">
        <f t="shared" si="166"/>
        <v/>
      </c>
      <c r="BB433" t="str">
        <f t="shared" si="167"/>
        <v/>
      </c>
    </row>
    <row r="434" spans="1:54" ht="14.25" customHeight="1" x14ac:dyDescent="0.3">
      <c r="A434" t="str">
        <f>IF(SAISIE!$F439="","",SAISIE!$B439)</f>
        <v/>
      </c>
      <c r="B434" t="str">
        <f>IF(SAISIE!$F439="","",SAISIE!$C439)</f>
        <v/>
      </c>
      <c r="C434" t="str">
        <f>IF(SAISIE!$F439="","",SAISIE!$D439)</f>
        <v/>
      </c>
      <c r="D434" t="str">
        <f>IF(SAISIE!$E439="","",SAISIE!$E439)</f>
        <v/>
      </c>
      <c r="E434" t="str">
        <f>IF(SAISIE!$F439="","",SAISIE!$F439)</f>
        <v/>
      </c>
      <c r="F434" t="str">
        <f>IF(SAISIE!$G439="","",SAISIE!$G439)</f>
        <v/>
      </c>
      <c r="G434" t="str">
        <f>IF(SAISIE!$H439="","",SAISIE!$H439)</f>
        <v/>
      </c>
      <c r="H434" t="str">
        <f>IF(SAISIE!$I439="","",SAISIE!$I439)</f>
        <v/>
      </c>
      <c r="I434" t="str">
        <f>IF(SAISIE!$J439="","",SAISIE!$J439)</f>
        <v/>
      </c>
      <c r="J434" t="str">
        <f>IF(SAISIE!$K439="","",SAISIE!$K439)</f>
        <v/>
      </c>
      <c r="K434" t="str">
        <f>IF(SAISIE!$L439="","",SAISIE!$L439)</f>
        <v/>
      </c>
      <c r="L434" t="str">
        <f>IF(SAISIE!$M439="","",SAISIE!$M439)</f>
        <v/>
      </c>
      <c r="M434" t="str">
        <f>IF(SAISIE!$N439="","",SAISIE!$N439)</f>
        <v/>
      </c>
      <c r="N434" t="str">
        <f>IF(SAISIE!$O439="","",SAISIE!$O439)</f>
        <v/>
      </c>
      <c r="O434" t="str">
        <f>IF(SAISIE!$P439="","",SAISIE!$P439)</f>
        <v/>
      </c>
      <c r="P434" t="str">
        <f>IF(SAISIE!$Q439="","",SAISIE!$Q439)</f>
        <v/>
      </c>
      <c r="Q434" t="str">
        <f>IF($I434="","",IF($I434&gt;PARAMETRES!$G$29,5,IF($I434&gt;PARAMETRES!$F$29,4,IF($I434&gt;PARAMETRES!$E$29,3,IF($I434&gt;PARAMETRES!$D$29,2,1)))))</f>
        <v/>
      </c>
      <c r="R434" t="str">
        <f>IF($J434="","",IF($J434&gt;PARAMETRES!$G$30,5,IF($J434&gt;PARAMETRES!$F$30,4,IF($J434&gt;PARAMETRES!$E$30,3,IF($J434&gt;PARAMETRES!$D$30,2,1)))))</f>
        <v/>
      </c>
      <c r="S434" t="str">
        <f>IF($K434="","",IF($Z434=2,IF($K434&gt;PARAMETRES!$G$31,5,IF($K434&gt;PARAMETRES!$F$31,4,IF($K434&gt;PARAMETRES!$E$31,3,IF($K434&gt;PARAMETRES!$D$31,2,1)))),IF($K434&gt;PARAMETRES!$G$32,5,IF($K434&gt;PARAMETRES!$F$32,4,IF($K434&gt;PARAMETRES!$E$32,3,IF($K434&gt;PARAMETRES!$D$32,2,1))))))</f>
        <v/>
      </c>
      <c r="T434" t="str">
        <f>IF($L434="","",IF($L434&gt;PARAMETRES!$G$33,5,IF($L434&gt;PARAMETRES!$F$33,4,IF($L434&gt;PARAMETRES!$E$33,3,IF($L434&gt;PARAMETRES!$D$33,2,1)))))</f>
        <v/>
      </c>
      <c r="U434" t="str">
        <f>IF($M434="","",IF($M434&gt;PARAMETRES!$G$34,5,IF($M434&gt;PARAMETRES!$F$34,4,IF($M434&gt;PARAMETRES!$E$34,3,IF($M434&gt;PARAMETRES!$D$34,2,1)))))</f>
        <v/>
      </c>
      <c r="V434" t="str">
        <f>IF($N434="","",IF($N434&gt;PARAMETRES!$G$35,5,IF($N434&gt;PARAMETRES!$F$35,4,IF($N434&gt;PARAMETRES!$E$35,3,IF($N434&gt;PARAMETRES!$D$35,2,1)))))</f>
        <v/>
      </c>
      <c r="W434" t="str">
        <f>IF($O434="","",IF($O434&gt;PARAMETRES!$G$36,5,IF($O434&gt;PARAMETRES!$F$36,4,IF($O434&gt;PARAMETRES!$E$36,3,IF($O434&gt;PARAMETRES!$D$36,2,1)))))</f>
        <v/>
      </c>
      <c r="X434" t="str">
        <f>IF($P434="","",IF($P434&gt;PARAMETRES!$G$37,5,IF($P434&gt;PARAMETRES!$F$37,4,IF($P434&gt;PARAMETRES!$E$37,3,IF($P434&gt;PARAMETRES!$D$37,2,1)))))</f>
        <v/>
      </c>
      <c r="Y434" t="str">
        <f t="shared" si="144"/>
        <v/>
      </c>
      <c r="Z434" t="str">
        <f>IFERROR(VLOOKUP($B434,TABLE_CYCLE,2,0),"")</f>
        <v/>
      </c>
      <c r="AA434" t="str">
        <f t="shared" si="145"/>
        <v/>
      </c>
      <c r="AB434" t="str">
        <f>IF($D434="","",IF(COUNTIF($D$2:$D434,$D434)=1,$D434,""))</f>
        <v/>
      </c>
      <c r="AC434">
        <f t="shared" si="146"/>
        <v>0</v>
      </c>
      <c r="AD434" t="str">
        <f t="shared" si="147"/>
        <v>|0</v>
      </c>
      <c r="AE434" t="str">
        <f t="shared" si="148"/>
        <v/>
      </c>
      <c r="AF434" t="str">
        <f t="shared" si="149"/>
        <v/>
      </c>
      <c r="AG434" t="str">
        <f t="shared" si="150"/>
        <v/>
      </c>
      <c r="AH434" t="str">
        <f t="shared" si="151"/>
        <v/>
      </c>
      <c r="AI434" t="str">
        <f t="shared" si="152"/>
        <v/>
      </c>
      <c r="AJ434" t="str">
        <f t="shared" si="153"/>
        <v/>
      </c>
      <c r="AK434" t="str">
        <f t="shared" si="154"/>
        <v/>
      </c>
      <c r="AL434" t="str">
        <f t="shared" si="155"/>
        <v/>
      </c>
      <c r="AM434" t="str">
        <f t="shared" si="156"/>
        <v/>
      </c>
      <c r="AN434" t="str">
        <f t="shared" si="157"/>
        <v/>
      </c>
      <c r="AO434" t="str">
        <f t="shared" si="158"/>
        <v/>
      </c>
      <c r="AP434">
        <f t="shared" si="159"/>
        <v>1</v>
      </c>
      <c r="AQ434" t="str">
        <f>IF(SAISIE!$F439="","",SAISIE!$Y439)</f>
        <v/>
      </c>
      <c r="AR434" t="str">
        <f>IF(OR(SAISIE!$U$4="",SAISIE!$W$4=""),"",IF(AND($A434=SAISIE!$U$4,$B434=SAISIE!$W$4,$C434="S1"),COUNTIFS($A$2:$A434,SAISIE!$U$4,$B$2:$B434,SAISIE!$W$4,$C$2:$C434,"S1"),""))</f>
        <v/>
      </c>
      <c r="AS434" t="str">
        <f t="shared" si="160"/>
        <v/>
      </c>
      <c r="AT434" t="str">
        <f t="shared" si="161"/>
        <v/>
      </c>
      <c r="AU434" t="str">
        <f t="shared" si="162"/>
        <v/>
      </c>
      <c r="AV434">
        <f>N(AV433)+IF(AND($AB434&lt;&gt;"",OR('PROFIL ELEVE'!$K$4="(Tous)",$AF434='PROFIL ELEVE'!$K$4)),1,0)</f>
        <v>0</v>
      </c>
      <c r="AW434">
        <f>N(AW433)+IF(AND($AB434&lt;&gt;"",OR('SUIVI LONGITUDINAL'!$Q$4="(Tous)",$AF434='SUIVI LONGITUDINAL'!$Q$4)),1,0)</f>
        <v>0</v>
      </c>
      <c r="AX434">
        <f t="shared" si="163"/>
        <v>0</v>
      </c>
      <c r="AY434">
        <f t="shared" si="164"/>
        <v>0</v>
      </c>
      <c r="AZ434">
        <f t="shared" si="165"/>
        <v>0</v>
      </c>
      <c r="BA434" t="str">
        <f t="shared" si="166"/>
        <v/>
      </c>
      <c r="BB434" t="str">
        <f t="shared" si="167"/>
        <v/>
      </c>
    </row>
    <row r="435" spans="1:54" ht="14.25" customHeight="1" x14ac:dyDescent="0.3">
      <c r="A435" t="str">
        <f>IF(SAISIE!$F440="","",SAISIE!$B440)</f>
        <v/>
      </c>
      <c r="B435" t="str">
        <f>IF(SAISIE!$F440="","",SAISIE!$C440)</f>
        <v/>
      </c>
      <c r="C435" t="str">
        <f>IF(SAISIE!$F440="","",SAISIE!$D440)</f>
        <v/>
      </c>
      <c r="D435" t="str">
        <f>IF(SAISIE!$E440="","",SAISIE!$E440)</f>
        <v/>
      </c>
      <c r="E435" t="str">
        <f>IF(SAISIE!$F440="","",SAISIE!$F440)</f>
        <v/>
      </c>
      <c r="F435" t="str">
        <f>IF(SAISIE!$G440="","",SAISIE!$G440)</f>
        <v/>
      </c>
      <c r="G435" t="str">
        <f>IF(SAISIE!$H440="","",SAISIE!$H440)</f>
        <v/>
      </c>
      <c r="H435" t="str">
        <f>IF(SAISIE!$I440="","",SAISIE!$I440)</f>
        <v/>
      </c>
      <c r="I435" t="str">
        <f>IF(SAISIE!$J440="","",SAISIE!$J440)</f>
        <v/>
      </c>
      <c r="J435" t="str">
        <f>IF(SAISIE!$K440="","",SAISIE!$K440)</f>
        <v/>
      </c>
      <c r="K435" t="str">
        <f>IF(SAISIE!$L440="","",SAISIE!$L440)</f>
        <v/>
      </c>
      <c r="L435" t="str">
        <f>IF(SAISIE!$M440="","",SAISIE!$M440)</f>
        <v/>
      </c>
      <c r="M435" t="str">
        <f>IF(SAISIE!$N440="","",SAISIE!$N440)</f>
        <v/>
      </c>
      <c r="N435" t="str">
        <f>IF(SAISIE!$O440="","",SAISIE!$O440)</f>
        <v/>
      </c>
      <c r="O435" t="str">
        <f>IF(SAISIE!$P440="","",SAISIE!$P440)</f>
        <v/>
      </c>
      <c r="P435" t="str">
        <f>IF(SAISIE!$Q440="","",SAISIE!$Q440)</f>
        <v/>
      </c>
      <c r="Q435" t="str">
        <f>IF($I435="","",IF($I435&gt;PARAMETRES!$G$29,5,IF($I435&gt;PARAMETRES!$F$29,4,IF($I435&gt;PARAMETRES!$E$29,3,IF($I435&gt;PARAMETRES!$D$29,2,1)))))</f>
        <v/>
      </c>
      <c r="R435" t="str">
        <f>IF($J435="","",IF($J435&gt;PARAMETRES!$G$30,5,IF($J435&gt;PARAMETRES!$F$30,4,IF($J435&gt;PARAMETRES!$E$30,3,IF($J435&gt;PARAMETRES!$D$30,2,1)))))</f>
        <v/>
      </c>
      <c r="S435" t="str">
        <f>IF($K435="","",IF($Z435=2,IF($K435&gt;PARAMETRES!$G$31,5,IF($K435&gt;PARAMETRES!$F$31,4,IF($K435&gt;PARAMETRES!$E$31,3,IF($K435&gt;PARAMETRES!$D$31,2,1)))),IF($K435&gt;PARAMETRES!$G$32,5,IF($K435&gt;PARAMETRES!$F$32,4,IF($K435&gt;PARAMETRES!$E$32,3,IF($K435&gt;PARAMETRES!$D$32,2,1))))))</f>
        <v/>
      </c>
      <c r="T435" t="str">
        <f>IF($L435="","",IF($L435&gt;PARAMETRES!$G$33,5,IF($L435&gt;PARAMETRES!$F$33,4,IF($L435&gt;PARAMETRES!$E$33,3,IF($L435&gt;PARAMETRES!$D$33,2,1)))))</f>
        <v/>
      </c>
      <c r="U435" t="str">
        <f>IF($M435="","",IF($M435&gt;PARAMETRES!$G$34,5,IF($M435&gt;PARAMETRES!$F$34,4,IF($M435&gt;PARAMETRES!$E$34,3,IF($M435&gt;PARAMETRES!$D$34,2,1)))))</f>
        <v/>
      </c>
      <c r="V435" t="str">
        <f>IF($N435="","",IF($N435&gt;PARAMETRES!$G$35,5,IF($N435&gt;PARAMETRES!$F$35,4,IF($N435&gt;PARAMETRES!$E$35,3,IF($N435&gt;PARAMETRES!$D$35,2,1)))))</f>
        <v/>
      </c>
      <c r="W435" t="str">
        <f>IF($O435="","",IF($O435&gt;PARAMETRES!$G$36,5,IF($O435&gt;PARAMETRES!$F$36,4,IF($O435&gt;PARAMETRES!$E$36,3,IF($O435&gt;PARAMETRES!$D$36,2,1)))))</f>
        <v/>
      </c>
      <c r="X435" t="str">
        <f>IF($P435="","",IF($P435&gt;PARAMETRES!$G$37,5,IF($P435&gt;PARAMETRES!$F$37,4,IF($P435&gt;PARAMETRES!$E$37,3,IF($P435&gt;PARAMETRES!$D$37,2,1)))))</f>
        <v/>
      </c>
      <c r="Y435" t="str">
        <f t="shared" si="144"/>
        <v/>
      </c>
      <c r="Z435" t="str">
        <f>IFERROR(VLOOKUP($B435,TABLE_CYCLE,2,0),"")</f>
        <v/>
      </c>
      <c r="AA435" t="str">
        <f t="shared" si="145"/>
        <v/>
      </c>
      <c r="AB435" t="str">
        <f>IF($D435="","",IF(COUNTIF($D$2:$D435,$D435)=1,$D435,""))</f>
        <v/>
      </c>
      <c r="AC435">
        <f t="shared" si="146"/>
        <v>0</v>
      </c>
      <c r="AD435" t="str">
        <f t="shared" si="147"/>
        <v>|0</v>
      </c>
      <c r="AE435" t="str">
        <f t="shared" si="148"/>
        <v/>
      </c>
      <c r="AF435" t="str">
        <f t="shared" si="149"/>
        <v/>
      </c>
      <c r="AG435" t="str">
        <f t="shared" si="150"/>
        <v/>
      </c>
      <c r="AH435" t="str">
        <f t="shared" si="151"/>
        <v/>
      </c>
      <c r="AI435" t="str">
        <f t="shared" si="152"/>
        <v/>
      </c>
      <c r="AJ435" t="str">
        <f t="shared" si="153"/>
        <v/>
      </c>
      <c r="AK435" t="str">
        <f t="shared" si="154"/>
        <v/>
      </c>
      <c r="AL435" t="str">
        <f t="shared" si="155"/>
        <v/>
      </c>
      <c r="AM435" t="str">
        <f t="shared" si="156"/>
        <v/>
      </c>
      <c r="AN435" t="str">
        <f t="shared" si="157"/>
        <v/>
      </c>
      <c r="AO435" t="str">
        <f t="shared" si="158"/>
        <v/>
      </c>
      <c r="AP435">
        <f t="shared" si="159"/>
        <v>1</v>
      </c>
      <c r="AQ435" t="str">
        <f>IF(SAISIE!$F440="","",SAISIE!$Y440)</f>
        <v/>
      </c>
      <c r="AR435" t="str">
        <f>IF(OR(SAISIE!$U$4="",SAISIE!$W$4=""),"",IF(AND($A435=SAISIE!$U$4,$B435=SAISIE!$W$4,$C435="S1"),COUNTIFS($A$2:$A435,SAISIE!$U$4,$B$2:$B435,SAISIE!$W$4,$C$2:$C435,"S1"),""))</f>
        <v/>
      </c>
      <c r="AS435" t="str">
        <f t="shared" si="160"/>
        <v/>
      </c>
      <c r="AT435" t="str">
        <f t="shared" si="161"/>
        <v/>
      </c>
      <c r="AU435" t="str">
        <f t="shared" si="162"/>
        <v/>
      </c>
      <c r="AV435">
        <f>N(AV434)+IF(AND($AB435&lt;&gt;"",OR('PROFIL ELEVE'!$K$4="(Tous)",$AF435='PROFIL ELEVE'!$K$4)),1,0)</f>
        <v>0</v>
      </c>
      <c r="AW435">
        <f>N(AW434)+IF(AND($AB435&lt;&gt;"",OR('SUIVI LONGITUDINAL'!$Q$4="(Tous)",$AF435='SUIVI LONGITUDINAL'!$Q$4)),1,0)</f>
        <v>0</v>
      </c>
      <c r="AX435">
        <f t="shared" si="163"/>
        <v>0</v>
      </c>
      <c r="AY435">
        <f t="shared" si="164"/>
        <v>0</v>
      </c>
      <c r="AZ435">
        <f t="shared" si="165"/>
        <v>0</v>
      </c>
      <c r="BA435" t="str">
        <f t="shared" si="166"/>
        <v/>
      </c>
      <c r="BB435" t="str">
        <f t="shared" si="167"/>
        <v/>
      </c>
    </row>
    <row r="436" spans="1:54" ht="14.25" customHeight="1" x14ac:dyDescent="0.3">
      <c r="A436" t="str">
        <f>IF(SAISIE!$F441="","",SAISIE!$B441)</f>
        <v/>
      </c>
      <c r="B436" t="str">
        <f>IF(SAISIE!$F441="","",SAISIE!$C441)</f>
        <v/>
      </c>
      <c r="C436" t="str">
        <f>IF(SAISIE!$F441="","",SAISIE!$D441)</f>
        <v/>
      </c>
      <c r="D436" t="str">
        <f>IF(SAISIE!$E441="","",SAISIE!$E441)</f>
        <v/>
      </c>
      <c r="E436" t="str">
        <f>IF(SAISIE!$F441="","",SAISIE!$F441)</f>
        <v/>
      </c>
      <c r="F436" t="str">
        <f>IF(SAISIE!$G441="","",SAISIE!$G441)</f>
        <v/>
      </c>
      <c r="G436" t="str">
        <f>IF(SAISIE!$H441="","",SAISIE!$H441)</f>
        <v/>
      </c>
      <c r="H436" t="str">
        <f>IF(SAISIE!$I441="","",SAISIE!$I441)</f>
        <v/>
      </c>
      <c r="I436" t="str">
        <f>IF(SAISIE!$J441="","",SAISIE!$J441)</f>
        <v/>
      </c>
      <c r="J436" t="str">
        <f>IF(SAISIE!$K441="","",SAISIE!$K441)</f>
        <v/>
      </c>
      <c r="K436" t="str">
        <f>IF(SAISIE!$L441="","",SAISIE!$L441)</f>
        <v/>
      </c>
      <c r="L436" t="str">
        <f>IF(SAISIE!$M441="","",SAISIE!$M441)</f>
        <v/>
      </c>
      <c r="M436" t="str">
        <f>IF(SAISIE!$N441="","",SAISIE!$N441)</f>
        <v/>
      </c>
      <c r="N436" t="str">
        <f>IF(SAISIE!$O441="","",SAISIE!$O441)</f>
        <v/>
      </c>
      <c r="O436" t="str">
        <f>IF(SAISIE!$P441="","",SAISIE!$P441)</f>
        <v/>
      </c>
      <c r="P436" t="str">
        <f>IF(SAISIE!$Q441="","",SAISIE!$Q441)</f>
        <v/>
      </c>
      <c r="Q436" t="str">
        <f>IF($I436="","",IF($I436&gt;PARAMETRES!$G$29,5,IF($I436&gt;PARAMETRES!$F$29,4,IF($I436&gt;PARAMETRES!$E$29,3,IF($I436&gt;PARAMETRES!$D$29,2,1)))))</f>
        <v/>
      </c>
      <c r="R436" t="str">
        <f>IF($J436="","",IF($J436&gt;PARAMETRES!$G$30,5,IF($J436&gt;PARAMETRES!$F$30,4,IF($J436&gt;PARAMETRES!$E$30,3,IF($J436&gt;PARAMETRES!$D$30,2,1)))))</f>
        <v/>
      </c>
      <c r="S436" t="str">
        <f>IF($K436="","",IF($Z436=2,IF($K436&gt;PARAMETRES!$G$31,5,IF($K436&gt;PARAMETRES!$F$31,4,IF($K436&gt;PARAMETRES!$E$31,3,IF($K436&gt;PARAMETRES!$D$31,2,1)))),IF($K436&gt;PARAMETRES!$G$32,5,IF($K436&gt;PARAMETRES!$F$32,4,IF($K436&gt;PARAMETRES!$E$32,3,IF($K436&gt;PARAMETRES!$D$32,2,1))))))</f>
        <v/>
      </c>
      <c r="T436" t="str">
        <f>IF($L436="","",IF($L436&gt;PARAMETRES!$G$33,5,IF($L436&gt;PARAMETRES!$F$33,4,IF($L436&gt;PARAMETRES!$E$33,3,IF($L436&gt;PARAMETRES!$D$33,2,1)))))</f>
        <v/>
      </c>
      <c r="U436" t="str">
        <f>IF($M436="","",IF($M436&gt;PARAMETRES!$G$34,5,IF($M436&gt;PARAMETRES!$F$34,4,IF($M436&gt;PARAMETRES!$E$34,3,IF($M436&gt;PARAMETRES!$D$34,2,1)))))</f>
        <v/>
      </c>
      <c r="V436" t="str">
        <f>IF($N436="","",IF($N436&gt;PARAMETRES!$G$35,5,IF($N436&gt;PARAMETRES!$F$35,4,IF($N436&gt;PARAMETRES!$E$35,3,IF($N436&gt;PARAMETRES!$D$35,2,1)))))</f>
        <v/>
      </c>
      <c r="W436" t="str">
        <f>IF($O436="","",IF($O436&gt;PARAMETRES!$G$36,5,IF($O436&gt;PARAMETRES!$F$36,4,IF($O436&gt;PARAMETRES!$E$36,3,IF($O436&gt;PARAMETRES!$D$36,2,1)))))</f>
        <v/>
      </c>
      <c r="X436" t="str">
        <f>IF($P436="","",IF($P436&gt;PARAMETRES!$G$37,5,IF($P436&gt;PARAMETRES!$F$37,4,IF($P436&gt;PARAMETRES!$E$37,3,IF($P436&gt;PARAMETRES!$D$37,2,1)))))</f>
        <v/>
      </c>
      <c r="Y436" t="str">
        <f t="shared" si="144"/>
        <v/>
      </c>
      <c r="Z436" t="str">
        <f>IFERROR(VLOOKUP($B436,TABLE_CYCLE,2,0),"")</f>
        <v/>
      </c>
      <c r="AA436" t="str">
        <f t="shared" si="145"/>
        <v/>
      </c>
      <c r="AB436" t="str">
        <f>IF($D436="","",IF(COUNTIF($D$2:$D436,$D436)=1,$D436,""))</f>
        <v/>
      </c>
      <c r="AC436">
        <f t="shared" si="146"/>
        <v>0</v>
      </c>
      <c r="AD436" t="str">
        <f t="shared" si="147"/>
        <v>|0</v>
      </c>
      <c r="AE436" t="str">
        <f t="shared" si="148"/>
        <v/>
      </c>
      <c r="AF436" t="str">
        <f t="shared" si="149"/>
        <v/>
      </c>
      <c r="AG436" t="str">
        <f t="shared" si="150"/>
        <v/>
      </c>
      <c r="AH436" t="str">
        <f t="shared" si="151"/>
        <v/>
      </c>
      <c r="AI436" t="str">
        <f t="shared" si="152"/>
        <v/>
      </c>
      <c r="AJ436" t="str">
        <f t="shared" si="153"/>
        <v/>
      </c>
      <c r="AK436" t="str">
        <f t="shared" si="154"/>
        <v/>
      </c>
      <c r="AL436" t="str">
        <f t="shared" si="155"/>
        <v/>
      </c>
      <c r="AM436" t="str">
        <f t="shared" si="156"/>
        <v/>
      </c>
      <c r="AN436" t="str">
        <f t="shared" si="157"/>
        <v/>
      </c>
      <c r="AO436" t="str">
        <f t="shared" si="158"/>
        <v/>
      </c>
      <c r="AP436">
        <f t="shared" si="159"/>
        <v>1</v>
      </c>
      <c r="AQ436" t="str">
        <f>IF(SAISIE!$F441="","",SAISIE!$Y441)</f>
        <v/>
      </c>
      <c r="AR436" t="str">
        <f>IF(OR(SAISIE!$U$4="",SAISIE!$W$4=""),"",IF(AND($A436=SAISIE!$U$4,$B436=SAISIE!$W$4,$C436="S1"),COUNTIFS($A$2:$A436,SAISIE!$U$4,$B$2:$B436,SAISIE!$W$4,$C$2:$C436,"S1"),""))</f>
        <v/>
      </c>
      <c r="AS436" t="str">
        <f t="shared" si="160"/>
        <v/>
      </c>
      <c r="AT436" t="str">
        <f t="shared" si="161"/>
        <v/>
      </c>
      <c r="AU436" t="str">
        <f t="shared" si="162"/>
        <v/>
      </c>
      <c r="AV436">
        <f>N(AV435)+IF(AND($AB436&lt;&gt;"",OR('PROFIL ELEVE'!$K$4="(Tous)",$AF436='PROFIL ELEVE'!$K$4)),1,0)</f>
        <v>0</v>
      </c>
      <c r="AW436">
        <f>N(AW435)+IF(AND($AB436&lt;&gt;"",OR('SUIVI LONGITUDINAL'!$Q$4="(Tous)",$AF436='SUIVI LONGITUDINAL'!$Q$4)),1,0)</f>
        <v>0</v>
      </c>
      <c r="AX436">
        <f t="shared" si="163"/>
        <v>0</v>
      </c>
      <c r="AY436">
        <f t="shared" si="164"/>
        <v>0</v>
      </c>
      <c r="AZ436">
        <f t="shared" si="165"/>
        <v>0</v>
      </c>
      <c r="BA436" t="str">
        <f t="shared" si="166"/>
        <v/>
      </c>
      <c r="BB436" t="str">
        <f t="shared" si="167"/>
        <v/>
      </c>
    </row>
    <row r="437" spans="1:54" ht="14.25" customHeight="1" x14ac:dyDescent="0.3">
      <c r="A437" t="str">
        <f>IF(SAISIE!$F442="","",SAISIE!$B442)</f>
        <v/>
      </c>
      <c r="B437" t="str">
        <f>IF(SAISIE!$F442="","",SAISIE!$C442)</f>
        <v/>
      </c>
      <c r="C437" t="str">
        <f>IF(SAISIE!$F442="","",SAISIE!$D442)</f>
        <v/>
      </c>
      <c r="D437" t="str">
        <f>IF(SAISIE!$E442="","",SAISIE!$E442)</f>
        <v/>
      </c>
      <c r="E437" t="str">
        <f>IF(SAISIE!$F442="","",SAISIE!$F442)</f>
        <v/>
      </c>
      <c r="F437" t="str">
        <f>IF(SAISIE!$G442="","",SAISIE!$G442)</f>
        <v/>
      </c>
      <c r="G437" t="str">
        <f>IF(SAISIE!$H442="","",SAISIE!$H442)</f>
        <v/>
      </c>
      <c r="H437" t="str">
        <f>IF(SAISIE!$I442="","",SAISIE!$I442)</f>
        <v/>
      </c>
      <c r="I437" t="str">
        <f>IF(SAISIE!$J442="","",SAISIE!$J442)</f>
        <v/>
      </c>
      <c r="J437" t="str">
        <f>IF(SAISIE!$K442="","",SAISIE!$K442)</f>
        <v/>
      </c>
      <c r="K437" t="str">
        <f>IF(SAISIE!$L442="","",SAISIE!$L442)</f>
        <v/>
      </c>
      <c r="L437" t="str">
        <f>IF(SAISIE!$M442="","",SAISIE!$M442)</f>
        <v/>
      </c>
      <c r="M437" t="str">
        <f>IF(SAISIE!$N442="","",SAISIE!$N442)</f>
        <v/>
      </c>
      <c r="N437" t="str">
        <f>IF(SAISIE!$O442="","",SAISIE!$O442)</f>
        <v/>
      </c>
      <c r="O437" t="str">
        <f>IF(SAISIE!$P442="","",SAISIE!$P442)</f>
        <v/>
      </c>
      <c r="P437" t="str">
        <f>IF(SAISIE!$Q442="","",SAISIE!$Q442)</f>
        <v/>
      </c>
      <c r="Q437" t="str">
        <f>IF($I437="","",IF($I437&gt;PARAMETRES!$G$29,5,IF($I437&gt;PARAMETRES!$F$29,4,IF($I437&gt;PARAMETRES!$E$29,3,IF($I437&gt;PARAMETRES!$D$29,2,1)))))</f>
        <v/>
      </c>
      <c r="R437" t="str">
        <f>IF($J437="","",IF($J437&gt;PARAMETRES!$G$30,5,IF($J437&gt;PARAMETRES!$F$30,4,IF($J437&gt;PARAMETRES!$E$30,3,IF($J437&gt;PARAMETRES!$D$30,2,1)))))</f>
        <v/>
      </c>
      <c r="S437" t="str">
        <f>IF($K437="","",IF($Z437=2,IF($K437&gt;PARAMETRES!$G$31,5,IF($K437&gt;PARAMETRES!$F$31,4,IF($K437&gt;PARAMETRES!$E$31,3,IF($K437&gt;PARAMETRES!$D$31,2,1)))),IF($K437&gt;PARAMETRES!$G$32,5,IF($K437&gt;PARAMETRES!$F$32,4,IF($K437&gt;PARAMETRES!$E$32,3,IF($K437&gt;PARAMETRES!$D$32,2,1))))))</f>
        <v/>
      </c>
      <c r="T437" t="str">
        <f>IF($L437="","",IF($L437&gt;PARAMETRES!$G$33,5,IF($L437&gt;PARAMETRES!$F$33,4,IF($L437&gt;PARAMETRES!$E$33,3,IF($L437&gt;PARAMETRES!$D$33,2,1)))))</f>
        <v/>
      </c>
      <c r="U437" t="str">
        <f>IF($M437="","",IF($M437&gt;PARAMETRES!$G$34,5,IF($M437&gt;PARAMETRES!$F$34,4,IF($M437&gt;PARAMETRES!$E$34,3,IF($M437&gt;PARAMETRES!$D$34,2,1)))))</f>
        <v/>
      </c>
      <c r="V437" t="str">
        <f>IF($N437="","",IF($N437&gt;PARAMETRES!$G$35,5,IF($N437&gt;PARAMETRES!$F$35,4,IF($N437&gt;PARAMETRES!$E$35,3,IF($N437&gt;PARAMETRES!$D$35,2,1)))))</f>
        <v/>
      </c>
      <c r="W437" t="str">
        <f>IF($O437="","",IF($O437&gt;PARAMETRES!$G$36,5,IF($O437&gt;PARAMETRES!$F$36,4,IF($O437&gt;PARAMETRES!$E$36,3,IF($O437&gt;PARAMETRES!$D$36,2,1)))))</f>
        <v/>
      </c>
      <c r="X437" t="str">
        <f>IF($P437="","",IF($P437&gt;PARAMETRES!$G$37,5,IF($P437&gt;PARAMETRES!$F$37,4,IF($P437&gt;PARAMETRES!$E$37,3,IF($P437&gt;PARAMETRES!$D$37,2,1)))))</f>
        <v/>
      </c>
      <c r="Y437" t="str">
        <f t="shared" si="144"/>
        <v/>
      </c>
      <c r="Z437" t="str">
        <f>IFERROR(VLOOKUP($B437,TABLE_CYCLE,2,0),"")</f>
        <v/>
      </c>
      <c r="AA437" t="str">
        <f t="shared" si="145"/>
        <v/>
      </c>
      <c r="AB437" t="str">
        <f>IF($D437="","",IF(COUNTIF($D$2:$D437,$D437)=1,$D437,""))</f>
        <v/>
      </c>
      <c r="AC437">
        <f t="shared" si="146"/>
        <v>0</v>
      </c>
      <c r="AD437" t="str">
        <f t="shared" si="147"/>
        <v>|0</v>
      </c>
      <c r="AE437" t="str">
        <f t="shared" si="148"/>
        <v/>
      </c>
      <c r="AF437" t="str">
        <f t="shared" si="149"/>
        <v/>
      </c>
      <c r="AG437" t="str">
        <f t="shared" si="150"/>
        <v/>
      </c>
      <c r="AH437" t="str">
        <f t="shared" si="151"/>
        <v/>
      </c>
      <c r="AI437" t="str">
        <f t="shared" si="152"/>
        <v/>
      </c>
      <c r="AJ437" t="str">
        <f t="shared" si="153"/>
        <v/>
      </c>
      <c r="AK437" t="str">
        <f t="shared" si="154"/>
        <v/>
      </c>
      <c r="AL437" t="str">
        <f t="shared" si="155"/>
        <v/>
      </c>
      <c r="AM437" t="str">
        <f t="shared" si="156"/>
        <v/>
      </c>
      <c r="AN437" t="str">
        <f t="shared" si="157"/>
        <v/>
      </c>
      <c r="AO437" t="str">
        <f t="shared" si="158"/>
        <v/>
      </c>
      <c r="AP437">
        <f t="shared" si="159"/>
        <v>1</v>
      </c>
      <c r="AQ437" t="str">
        <f>IF(SAISIE!$F442="","",SAISIE!$Y442)</f>
        <v/>
      </c>
      <c r="AR437" t="str">
        <f>IF(OR(SAISIE!$U$4="",SAISIE!$W$4=""),"",IF(AND($A437=SAISIE!$U$4,$B437=SAISIE!$W$4,$C437="S1"),COUNTIFS($A$2:$A437,SAISIE!$U$4,$B$2:$B437,SAISIE!$W$4,$C$2:$C437,"S1"),""))</f>
        <v/>
      </c>
      <c r="AS437" t="str">
        <f t="shared" si="160"/>
        <v/>
      </c>
      <c r="AT437" t="str">
        <f t="shared" si="161"/>
        <v/>
      </c>
      <c r="AU437" t="str">
        <f t="shared" si="162"/>
        <v/>
      </c>
      <c r="AV437">
        <f>N(AV436)+IF(AND($AB437&lt;&gt;"",OR('PROFIL ELEVE'!$K$4="(Tous)",$AF437='PROFIL ELEVE'!$K$4)),1,0)</f>
        <v>0</v>
      </c>
      <c r="AW437">
        <f>N(AW436)+IF(AND($AB437&lt;&gt;"",OR('SUIVI LONGITUDINAL'!$Q$4="(Tous)",$AF437='SUIVI LONGITUDINAL'!$Q$4)),1,0)</f>
        <v>0</v>
      </c>
      <c r="AX437">
        <f t="shared" si="163"/>
        <v>0</v>
      </c>
      <c r="AY437">
        <f t="shared" si="164"/>
        <v>0</v>
      </c>
      <c r="AZ437">
        <f t="shared" si="165"/>
        <v>0</v>
      </c>
      <c r="BA437" t="str">
        <f t="shared" si="166"/>
        <v/>
      </c>
      <c r="BB437" t="str">
        <f t="shared" si="167"/>
        <v/>
      </c>
    </row>
    <row r="438" spans="1:54" ht="14.25" customHeight="1" x14ac:dyDescent="0.3">
      <c r="A438" t="str">
        <f>IF(SAISIE!$F443="","",SAISIE!$B443)</f>
        <v/>
      </c>
      <c r="B438" t="str">
        <f>IF(SAISIE!$F443="","",SAISIE!$C443)</f>
        <v/>
      </c>
      <c r="C438" t="str">
        <f>IF(SAISIE!$F443="","",SAISIE!$D443)</f>
        <v/>
      </c>
      <c r="D438" t="str">
        <f>IF(SAISIE!$E443="","",SAISIE!$E443)</f>
        <v/>
      </c>
      <c r="E438" t="str">
        <f>IF(SAISIE!$F443="","",SAISIE!$F443)</f>
        <v/>
      </c>
      <c r="F438" t="str">
        <f>IF(SAISIE!$G443="","",SAISIE!$G443)</f>
        <v/>
      </c>
      <c r="G438" t="str">
        <f>IF(SAISIE!$H443="","",SAISIE!$H443)</f>
        <v/>
      </c>
      <c r="H438" t="str">
        <f>IF(SAISIE!$I443="","",SAISIE!$I443)</f>
        <v/>
      </c>
      <c r="I438" t="str">
        <f>IF(SAISIE!$J443="","",SAISIE!$J443)</f>
        <v/>
      </c>
      <c r="J438" t="str">
        <f>IF(SAISIE!$K443="","",SAISIE!$K443)</f>
        <v/>
      </c>
      <c r="K438" t="str">
        <f>IF(SAISIE!$L443="","",SAISIE!$L443)</f>
        <v/>
      </c>
      <c r="L438" t="str">
        <f>IF(SAISIE!$M443="","",SAISIE!$M443)</f>
        <v/>
      </c>
      <c r="M438" t="str">
        <f>IF(SAISIE!$N443="","",SAISIE!$N443)</f>
        <v/>
      </c>
      <c r="N438" t="str">
        <f>IF(SAISIE!$O443="","",SAISIE!$O443)</f>
        <v/>
      </c>
      <c r="O438" t="str">
        <f>IF(SAISIE!$P443="","",SAISIE!$P443)</f>
        <v/>
      </c>
      <c r="P438" t="str">
        <f>IF(SAISIE!$Q443="","",SAISIE!$Q443)</f>
        <v/>
      </c>
      <c r="Q438" t="str">
        <f>IF($I438="","",IF($I438&gt;PARAMETRES!$G$29,5,IF($I438&gt;PARAMETRES!$F$29,4,IF($I438&gt;PARAMETRES!$E$29,3,IF($I438&gt;PARAMETRES!$D$29,2,1)))))</f>
        <v/>
      </c>
      <c r="R438" t="str">
        <f>IF($J438="","",IF($J438&gt;PARAMETRES!$G$30,5,IF($J438&gt;PARAMETRES!$F$30,4,IF($J438&gt;PARAMETRES!$E$30,3,IF($J438&gt;PARAMETRES!$D$30,2,1)))))</f>
        <v/>
      </c>
      <c r="S438" t="str">
        <f>IF($K438="","",IF($Z438=2,IF($K438&gt;PARAMETRES!$G$31,5,IF($K438&gt;PARAMETRES!$F$31,4,IF($K438&gt;PARAMETRES!$E$31,3,IF($K438&gt;PARAMETRES!$D$31,2,1)))),IF($K438&gt;PARAMETRES!$G$32,5,IF($K438&gt;PARAMETRES!$F$32,4,IF($K438&gt;PARAMETRES!$E$32,3,IF($K438&gt;PARAMETRES!$D$32,2,1))))))</f>
        <v/>
      </c>
      <c r="T438" t="str">
        <f>IF($L438="","",IF($L438&gt;PARAMETRES!$G$33,5,IF($L438&gt;PARAMETRES!$F$33,4,IF($L438&gt;PARAMETRES!$E$33,3,IF($L438&gt;PARAMETRES!$D$33,2,1)))))</f>
        <v/>
      </c>
      <c r="U438" t="str">
        <f>IF($M438="","",IF($M438&gt;PARAMETRES!$G$34,5,IF($M438&gt;PARAMETRES!$F$34,4,IF($M438&gt;PARAMETRES!$E$34,3,IF($M438&gt;PARAMETRES!$D$34,2,1)))))</f>
        <v/>
      </c>
      <c r="V438" t="str">
        <f>IF($N438="","",IF($N438&gt;PARAMETRES!$G$35,5,IF($N438&gt;PARAMETRES!$F$35,4,IF($N438&gt;PARAMETRES!$E$35,3,IF($N438&gt;PARAMETRES!$D$35,2,1)))))</f>
        <v/>
      </c>
      <c r="W438" t="str">
        <f>IF($O438="","",IF($O438&gt;PARAMETRES!$G$36,5,IF($O438&gt;PARAMETRES!$F$36,4,IF($O438&gt;PARAMETRES!$E$36,3,IF($O438&gt;PARAMETRES!$D$36,2,1)))))</f>
        <v/>
      </c>
      <c r="X438" t="str">
        <f>IF($P438="","",IF($P438&gt;PARAMETRES!$G$37,5,IF($P438&gt;PARAMETRES!$F$37,4,IF($P438&gt;PARAMETRES!$E$37,3,IF($P438&gt;PARAMETRES!$D$37,2,1)))))</f>
        <v/>
      </c>
      <c r="Y438" t="str">
        <f t="shared" si="144"/>
        <v/>
      </c>
      <c r="Z438" t="str">
        <f>IFERROR(VLOOKUP($B438,TABLE_CYCLE,2,0),"")</f>
        <v/>
      </c>
      <c r="AA438" t="str">
        <f t="shared" si="145"/>
        <v/>
      </c>
      <c r="AB438" t="str">
        <f>IF($D438="","",IF(COUNTIF($D$2:$D438,$D438)=1,$D438,""))</f>
        <v/>
      </c>
      <c r="AC438">
        <f t="shared" si="146"/>
        <v>0</v>
      </c>
      <c r="AD438" t="str">
        <f t="shared" si="147"/>
        <v>|0</v>
      </c>
      <c r="AE438" t="str">
        <f t="shared" si="148"/>
        <v/>
      </c>
      <c r="AF438" t="str">
        <f t="shared" si="149"/>
        <v/>
      </c>
      <c r="AG438" t="str">
        <f t="shared" si="150"/>
        <v/>
      </c>
      <c r="AH438" t="str">
        <f t="shared" si="151"/>
        <v/>
      </c>
      <c r="AI438" t="str">
        <f t="shared" si="152"/>
        <v/>
      </c>
      <c r="AJ438" t="str">
        <f t="shared" si="153"/>
        <v/>
      </c>
      <c r="AK438" t="str">
        <f t="shared" si="154"/>
        <v/>
      </c>
      <c r="AL438" t="str">
        <f t="shared" si="155"/>
        <v/>
      </c>
      <c r="AM438" t="str">
        <f t="shared" si="156"/>
        <v/>
      </c>
      <c r="AN438" t="str">
        <f t="shared" si="157"/>
        <v/>
      </c>
      <c r="AO438" t="str">
        <f t="shared" si="158"/>
        <v/>
      </c>
      <c r="AP438">
        <f t="shared" si="159"/>
        <v>1</v>
      </c>
      <c r="AQ438" t="str">
        <f>IF(SAISIE!$F443="","",SAISIE!$Y443)</f>
        <v/>
      </c>
      <c r="AR438" t="str">
        <f>IF(OR(SAISIE!$U$4="",SAISIE!$W$4=""),"",IF(AND($A438=SAISIE!$U$4,$B438=SAISIE!$W$4,$C438="S1"),COUNTIFS($A$2:$A438,SAISIE!$U$4,$B$2:$B438,SAISIE!$W$4,$C$2:$C438,"S1"),""))</f>
        <v/>
      </c>
      <c r="AS438" t="str">
        <f t="shared" si="160"/>
        <v/>
      </c>
      <c r="AT438" t="str">
        <f t="shared" si="161"/>
        <v/>
      </c>
      <c r="AU438" t="str">
        <f t="shared" si="162"/>
        <v/>
      </c>
      <c r="AV438">
        <f>N(AV437)+IF(AND($AB438&lt;&gt;"",OR('PROFIL ELEVE'!$K$4="(Tous)",$AF438='PROFIL ELEVE'!$K$4)),1,0)</f>
        <v>0</v>
      </c>
      <c r="AW438">
        <f>N(AW437)+IF(AND($AB438&lt;&gt;"",OR('SUIVI LONGITUDINAL'!$Q$4="(Tous)",$AF438='SUIVI LONGITUDINAL'!$Q$4)),1,0)</f>
        <v>0</v>
      </c>
      <c r="AX438">
        <f t="shared" si="163"/>
        <v>0</v>
      </c>
      <c r="AY438">
        <f t="shared" si="164"/>
        <v>0</v>
      </c>
      <c r="AZ438">
        <f t="shared" si="165"/>
        <v>0</v>
      </c>
      <c r="BA438" t="str">
        <f t="shared" si="166"/>
        <v/>
      </c>
      <c r="BB438" t="str">
        <f t="shared" si="167"/>
        <v/>
      </c>
    </row>
    <row r="439" spans="1:54" ht="14.25" customHeight="1" x14ac:dyDescent="0.3">
      <c r="A439" t="str">
        <f>IF(SAISIE!$F444="","",SAISIE!$B444)</f>
        <v/>
      </c>
      <c r="B439" t="str">
        <f>IF(SAISIE!$F444="","",SAISIE!$C444)</f>
        <v/>
      </c>
      <c r="C439" t="str">
        <f>IF(SAISIE!$F444="","",SAISIE!$D444)</f>
        <v/>
      </c>
      <c r="D439" t="str">
        <f>IF(SAISIE!$E444="","",SAISIE!$E444)</f>
        <v/>
      </c>
      <c r="E439" t="str">
        <f>IF(SAISIE!$F444="","",SAISIE!$F444)</f>
        <v/>
      </c>
      <c r="F439" t="str">
        <f>IF(SAISIE!$G444="","",SAISIE!$G444)</f>
        <v/>
      </c>
      <c r="G439" t="str">
        <f>IF(SAISIE!$H444="","",SAISIE!$H444)</f>
        <v/>
      </c>
      <c r="H439" t="str">
        <f>IF(SAISIE!$I444="","",SAISIE!$I444)</f>
        <v/>
      </c>
      <c r="I439" t="str">
        <f>IF(SAISIE!$J444="","",SAISIE!$J444)</f>
        <v/>
      </c>
      <c r="J439" t="str">
        <f>IF(SAISIE!$K444="","",SAISIE!$K444)</f>
        <v/>
      </c>
      <c r="K439" t="str">
        <f>IF(SAISIE!$L444="","",SAISIE!$L444)</f>
        <v/>
      </c>
      <c r="L439" t="str">
        <f>IF(SAISIE!$M444="","",SAISIE!$M444)</f>
        <v/>
      </c>
      <c r="M439" t="str">
        <f>IF(SAISIE!$N444="","",SAISIE!$N444)</f>
        <v/>
      </c>
      <c r="N439" t="str">
        <f>IF(SAISIE!$O444="","",SAISIE!$O444)</f>
        <v/>
      </c>
      <c r="O439" t="str">
        <f>IF(SAISIE!$P444="","",SAISIE!$P444)</f>
        <v/>
      </c>
      <c r="P439" t="str">
        <f>IF(SAISIE!$Q444="","",SAISIE!$Q444)</f>
        <v/>
      </c>
      <c r="Q439" t="str">
        <f>IF($I439="","",IF($I439&gt;PARAMETRES!$G$29,5,IF($I439&gt;PARAMETRES!$F$29,4,IF($I439&gt;PARAMETRES!$E$29,3,IF($I439&gt;PARAMETRES!$D$29,2,1)))))</f>
        <v/>
      </c>
      <c r="R439" t="str">
        <f>IF($J439="","",IF($J439&gt;PARAMETRES!$G$30,5,IF($J439&gt;PARAMETRES!$F$30,4,IF($J439&gt;PARAMETRES!$E$30,3,IF($J439&gt;PARAMETRES!$D$30,2,1)))))</f>
        <v/>
      </c>
      <c r="S439" t="str">
        <f>IF($K439="","",IF($Z439=2,IF($K439&gt;PARAMETRES!$G$31,5,IF($K439&gt;PARAMETRES!$F$31,4,IF($K439&gt;PARAMETRES!$E$31,3,IF($K439&gt;PARAMETRES!$D$31,2,1)))),IF($K439&gt;PARAMETRES!$G$32,5,IF($K439&gt;PARAMETRES!$F$32,4,IF($K439&gt;PARAMETRES!$E$32,3,IF($K439&gt;PARAMETRES!$D$32,2,1))))))</f>
        <v/>
      </c>
      <c r="T439" t="str">
        <f>IF($L439="","",IF($L439&gt;PARAMETRES!$G$33,5,IF($L439&gt;PARAMETRES!$F$33,4,IF($L439&gt;PARAMETRES!$E$33,3,IF($L439&gt;PARAMETRES!$D$33,2,1)))))</f>
        <v/>
      </c>
      <c r="U439" t="str">
        <f>IF($M439="","",IF($M439&gt;PARAMETRES!$G$34,5,IF($M439&gt;PARAMETRES!$F$34,4,IF($M439&gt;PARAMETRES!$E$34,3,IF($M439&gt;PARAMETRES!$D$34,2,1)))))</f>
        <v/>
      </c>
      <c r="V439" t="str">
        <f>IF($N439="","",IF($N439&gt;PARAMETRES!$G$35,5,IF($N439&gt;PARAMETRES!$F$35,4,IF($N439&gt;PARAMETRES!$E$35,3,IF($N439&gt;PARAMETRES!$D$35,2,1)))))</f>
        <v/>
      </c>
      <c r="W439" t="str">
        <f>IF($O439="","",IF($O439&gt;PARAMETRES!$G$36,5,IF($O439&gt;PARAMETRES!$F$36,4,IF($O439&gt;PARAMETRES!$E$36,3,IF($O439&gt;PARAMETRES!$D$36,2,1)))))</f>
        <v/>
      </c>
      <c r="X439" t="str">
        <f>IF($P439="","",IF($P439&gt;PARAMETRES!$G$37,5,IF($P439&gt;PARAMETRES!$F$37,4,IF($P439&gt;PARAMETRES!$E$37,3,IF($P439&gt;PARAMETRES!$D$37,2,1)))))</f>
        <v/>
      </c>
      <c r="Y439" t="str">
        <f t="shared" si="144"/>
        <v/>
      </c>
      <c r="Z439" t="str">
        <f>IFERROR(VLOOKUP($B439,TABLE_CYCLE,2,0),"")</f>
        <v/>
      </c>
      <c r="AA439" t="str">
        <f t="shared" si="145"/>
        <v/>
      </c>
      <c r="AB439" t="str">
        <f>IF($D439="","",IF(COUNTIF($D$2:$D439,$D439)=1,$D439,""))</f>
        <v/>
      </c>
      <c r="AC439">
        <f t="shared" si="146"/>
        <v>0</v>
      </c>
      <c r="AD439" t="str">
        <f t="shared" si="147"/>
        <v>|0</v>
      </c>
      <c r="AE439" t="str">
        <f t="shared" si="148"/>
        <v/>
      </c>
      <c r="AF439" t="str">
        <f t="shared" si="149"/>
        <v/>
      </c>
      <c r="AG439" t="str">
        <f t="shared" si="150"/>
        <v/>
      </c>
      <c r="AH439" t="str">
        <f t="shared" si="151"/>
        <v/>
      </c>
      <c r="AI439" t="str">
        <f t="shared" si="152"/>
        <v/>
      </c>
      <c r="AJ439" t="str">
        <f t="shared" si="153"/>
        <v/>
      </c>
      <c r="AK439" t="str">
        <f t="shared" si="154"/>
        <v/>
      </c>
      <c r="AL439" t="str">
        <f t="shared" si="155"/>
        <v/>
      </c>
      <c r="AM439" t="str">
        <f t="shared" si="156"/>
        <v/>
      </c>
      <c r="AN439" t="str">
        <f t="shared" si="157"/>
        <v/>
      </c>
      <c r="AO439" t="str">
        <f t="shared" si="158"/>
        <v/>
      </c>
      <c r="AP439">
        <f t="shared" si="159"/>
        <v>1</v>
      </c>
      <c r="AQ439" t="str">
        <f>IF(SAISIE!$F444="","",SAISIE!$Y444)</f>
        <v/>
      </c>
      <c r="AR439" t="str">
        <f>IF(OR(SAISIE!$U$4="",SAISIE!$W$4=""),"",IF(AND($A439=SAISIE!$U$4,$B439=SAISIE!$W$4,$C439="S1"),COUNTIFS($A$2:$A439,SAISIE!$U$4,$B$2:$B439,SAISIE!$W$4,$C$2:$C439,"S1"),""))</f>
        <v/>
      </c>
      <c r="AS439" t="str">
        <f t="shared" si="160"/>
        <v/>
      </c>
      <c r="AT439" t="str">
        <f t="shared" si="161"/>
        <v/>
      </c>
      <c r="AU439" t="str">
        <f t="shared" si="162"/>
        <v/>
      </c>
      <c r="AV439">
        <f>N(AV438)+IF(AND($AB439&lt;&gt;"",OR('PROFIL ELEVE'!$K$4="(Tous)",$AF439='PROFIL ELEVE'!$K$4)),1,0)</f>
        <v>0</v>
      </c>
      <c r="AW439">
        <f>N(AW438)+IF(AND($AB439&lt;&gt;"",OR('SUIVI LONGITUDINAL'!$Q$4="(Tous)",$AF439='SUIVI LONGITUDINAL'!$Q$4)),1,0)</f>
        <v>0</v>
      </c>
      <c r="AX439">
        <f t="shared" si="163"/>
        <v>0</v>
      </c>
      <c r="AY439">
        <f t="shared" si="164"/>
        <v>0</v>
      </c>
      <c r="AZ439">
        <f t="shared" si="165"/>
        <v>0</v>
      </c>
      <c r="BA439" t="str">
        <f t="shared" si="166"/>
        <v/>
      </c>
      <c r="BB439" t="str">
        <f t="shared" si="167"/>
        <v/>
      </c>
    </row>
    <row r="440" spans="1:54" ht="14.25" customHeight="1" x14ac:dyDescent="0.3">
      <c r="A440" t="str">
        <f>IF(SAISIE!$F445="","",SAISIE!$B445)</f>
        <v/>
      </c>
      <c r="B440" t="str">
        <f>IF(SAISIE!$F445="","",SAISIE!$C445)</f>
        <v/>
      </c>
      <c r="C440" t="str">
        <f>IF(SAISIE!$F445="","",SAISIE!$D445)</f>
        <v/>
      </c>
      <c r="D440" t="str">
        <f>IF(SAISIE!$E445="","",SAISIE!$E445)</f>
        <v/>
      </c>
      <c r="E440" t="str">
        <f>IF(SAISIE!$F445="","",SAISIE!$F445)</f>
        <v/>
      </c>
      <c r="F440" t="str">
        <f>IF(SAISIE!$G445="","",SAISIE!$G445)</f>
        <v/>
      </c>
      <c r="G440" t="str">
        <f>IF(SAISIE!$H445="","",SAISIE!$H445)</f>
        <v/>
      </c>
      <c r="H440" t="str">
        <f>IF(SAISIE!$I445="","",SAISIE!$I445)</f>
        <v/>
      </c>
      <c r="I440" t="str">
        <f>IF(SAISIE!$J445="","",SAISIE!$J445)</f>
        <v/>
      </c>
      <c r="J440" t="str">
        <f>IF(SAISIE!$K445="","",SAISIE!$K445)</f>
        <v/>
      </c>
      <c r="K440" t="str">
        <f>IF(SAISIE!$L445="","",SAISIE!$L445)</f>
        <v/>
      </c>
      <c r="L440" t="str">
        <f>IF(SAISIE!$M445="","",SAISIE!$M445)</f>
        <v/>
      </c>
      <c r="M440" t="str">
        <f>IF(SAISIE!$N445="","",SAISIE!$N445)</f>
        <v/>
      </c>
      <c r="N440" t="str">
        <f>IF(SAISIE!$O445="","",SAISIE!$O445)</f>
        <v/>
      </c>
      <c r="O440" t="str">
        <f>IF(SAISIE!$P445="","",SAISIE!$P445)</f>
        <v/>
      </c>
      <c r="P440" t="str">
        <f>IF(SAISIE!$Q445="","",SAISIE!$Q445)</f>
        <v/>
      </c>
      <c r="Q440" t="str">
        <f>IF($I440="","",IF($I440&gt;PARAMETRES!$G$29,5,IF($I440&gt;PARAMETRES!$F$29,4,IF($I440&gt;PARAMETRES!$E$29,3,IF($I440&gt;PARAMETRES!$D$29,2,1)))))</f>
        <v/>
      </c>
      <c r="R440" t="str">
        <f>IF($J440="","",IF($J440&gt;PARAMETRES!$G$30,5,IF($J440&gt;PARAMETRES!$F$30,4,IF($J440&gt;PARAMETRES!$E$30,3,IF($J440&gt;PARAMETRES!$D$30,2,1)))))</f>
        <v/>
      </c>
      <c r="S440" t="str">
        <f>IF($K440="","",IF($Z440=2,IF($K440&gt;PARAMETRES!$G$31,5,IF($K440&gt;PARAMETRES!$F$31,4,IF($K440&gt;PARAMETRES!$E$31,3,IF($K440&gt;PARAMETRES!$D$31,2,1)))),IF($K440&gt;PARAMETRES!$G$32,5,IF($K440&gt;PARAMETRES!$F$32,4,IF($K440&gt;PARAMETRES!$E$32,3,IF($K440&gt;PARAMETRES!$D$32,2,1))))))</f>
        <v/>
      </c>
      <c r="T440" t="str">
        <f>IF($L440="","",IF($L440&gt;PARAMETRES!$G$33,5,IF($L440&gt;PARAMETRES!$F$33,4,IF($L440&gt;PARAMETRES!$E$33,3,IF($L440&gt;PARAMETRES!$D$33,2,1)))))</f>
        <v/>
      </c>
      <c r="U440" t="str">
        <f>IF($M440="","",IF($M440&gt;PARAMETRES!$G$34,5,IF($M440&gt;PARAMETRES!$F$34,4,IF($M440&gt;PARAMETRES!$E$34,3,IF($M440&gt;PARAMETRES!$D$34,2,1)))))</f>
        <v/>
      </c>
      <c r="V440" t="str">
        <f>IF($N440="","",IF($N440&gt;PARAMETRES!$G$35,5,IF($N440&gt;PARAMETRES!$F$35,4,IF($N440&gt;PARAMETRES!$E$35,3,IF($N440&gt;PARAMETRES!$D$35,2,1)))))</f>
        <v/>
      </c>
      <c r="W440" t="str">
        <f>IF($O440="","",IF($O440&gt;PARAMETRES!$G$36,5,IF($O440&gt;PARAMETRES!$F$36,4,IF($O440&gt;PARAMETRES!$E$36,3,IF($O440&gt;PARAMETRES!$D$36,2,1)))))</f>
        <v/>
      </c>
      <c r="X440" t="str">
        <f>IF($P440="","",IF($P440&gt;PARAMETRES!$G$37,5,IF($P440&gt;PARAMETRES!$F$37,4,IF($P440&gt;PARAMETRES!$E$37,3,IF($P440&gt;PARAMETRES!$D$37,2,1)))))</f>
        <v/>
      </c>
      <c r="Y440" t="str">
        <f t="shared" si="144"/>
        <v/>
      </c>
      <c r="Z440" t="str">
        <f>IFERROR(VLOOKUP($B440,TABLE_CYCLE,2,0),"")</f>
        <v/>
      </c>
      <c r="AA440" t="str">
        <f t="shared" si="145"/>
        <v/>
      </c>
      <c r="AB440" t="str">
        <f>IF($D440="","",IF(COUNTIF($D$2:$D440,$D440)=1,$D440,""))</f>
        <v/>
      </c>
      <c r="AC440">
        <f t="shared" si="146"/>
        <v>0</v>
      </c>
      <c r="AD440" t="str">
        <f t="shared" si="147"/>
        <v>|0</v>
      </c>
      <c r="AE440" t="str">
        <f t="shared" si="148"/>
        <v/>
      </c>
      <c r="AF440" t="str">
        <f t="shared" si="149"/>
        <v/>
      </c>
      <c r="AG440" t="str">
        <f t="shared" si="150"/>
        <v/>
      </c>
      <c r="AH440" t="str">
        <f t="shared" si="151"/>
        <v/>
      </c>
      <c r="AI440" t="str">
        <f t="shared" si="152"/>
        <v/>
      </c>
      <c r="AJ440" t="str">
        <f t="shared" si="153"/>
        <v/>
      </c>
      <c r="AK440" t="str">
        <f t="shared" si="154"/>
        <v/>
      </c>
      <c r="AL440" t="str">
        <f t="shared" si="155"/>
        <v/>
      </c>
      <c r="AM440" t="str">
        <f t="shared" si="156"/>
        <v/>
      </c>
      <c r="AN440" t="str">
        <f t="shared" si="157"/>
        <v/>
      </c>
      <c r="AO440" t="str">
        <f t="shared" si="158"/>
        <v/>
      </c>
      <c r="AP440">
        <f t="shared" si="159"/>
        <v>1</v>
      </c>
      <c r="AQ440" t="str">
        <f>IF(SAISIE!$F445="","",SAISIE!$Y445)</f>
        <v/>
      </c>
      <c r="AR440" t="str">
        <f>IF(OR(SAISIE!$U$4="",SAISIE!$W$4=""),"",IF(AND($A440=SAISIE!$U$4,$B440=SAISIE!$W$4,$C440="S1"),COUNTIFS($A$2:$A440,SAISIE!$U$4,$B$2:$B440,SAISIE!$W$4,$C$2:$C440,"S1"),""))</f>
        <v/>
      </c>
      <c r="AS440" t="str">
        <f t="shared" si="160"/>
        <v/>
      </c>
      <c r="AT440" t="str">
        <f t="shared" si="161"/>
        <v/>
      </c>
      <c r="AU440" t="str">
        <f t="shared" si="162"/>
        <v/>
      </c>
      <c r="AV440">
        <f>N(AV439)+IF(AND($AB440&lt;&gt;"",OR('PROFIL ELEVE'!$K$4="(Tous)",$AF440='PROFIL ELEVE'!$K$4)),1,0)</f>
        <v>0</v>
      </c>
      <c r="AW440">
        <f>N(AW439)+IF(AND($AB440&lt;&gt;"",OR('SUIVI LONGITUDINAL'!$Q$4="(Tous)",$AF440='SUIVI LONGITUDINAL'!$Q$4)),1,0)</f>
        <v>0</v>
      </c>
      <c r="AX440">
        <f t="shared" si="163"/>
        <v>0</v>
      </c>
      <c r="AY440">
        <f t="shared" si="164"/>
        <v>0</v>
      </c>
      <c r="AZ440">
        <f t="shared" si="165"/>
        <v>0</v>
      </c>
      <c r="BA440" t="str">
        <f t="shared" si="166"/>
        <v/>
      </c>
      <c r="BB440" t="str">
        <f t="shared" si="167"/>
        <v/>
      </c>
    </row>
    <row r="441" spans="1:54" ht="14.25" customHeight="1" x14ac:dyDescent="0.3">
      <c r="A441" t="str">
        <f>IF(SAISIE!$F446="","",SAISIE!$B446)</f>
        <v/>
      </c>
      <c r="B441" t="str">
        <f>IF(SAISIE!$F446="","",SAISIE!$C446)</f>
        <v/>
      </c>
      <c r="C441" t="str">
        <f>IF(SAISIE!$F446="","",SAISIE!$D446)</f>
        <v/>
      </c>
      <c r="D441" t="str">
        <f>IF(SAISIE!$E446="","",SAISIE!$E446)</f>
        <v/>
      </c>
      <c r="E441" t="str">
        <f>IF(SAISIE!$F446="","",SAISIE!$F446)</f>
        <v/>
      </c>
      <c r="F441" t="str">
        <f>IF(SAISIE!$G446="","",SAISIE!$G446)</f>
        <v/>
      </c>
      <c r="G441" t="str">
        <f>IF(SAISIE!$H446="","",SAISIE!$H446)</f>
        <v/>
      </c>
      <c r="H441" t="str">
        <f>IF(SAISIE!$I446="","",SAISIE!$I446)</f>
        <v/>
      </c>
      <c r="I441" t="str">
        <f>IF(SAISIE!$J446="","",SAISIE!$J446)</f>
        <v/>
      </c>
      <c r="J441" t="str">
        <f>IF(SAISIE!$K446="","",SAISIE!$K446)</f>
        <v/>
      </c>
      <c r="K441" t="str">
        <f>IF(SAISIE!$L446="","",SAISIE!$L446)</f>
        <v/>
      </c>
      <c r="L441" t="str">
        <f>IF(SAISIE!$M446="","",SAISIE!$M446)</f>
        <v/>
      </c>
      <c r="M441" t="str">
        <f>IF(SAISIE!$N446="","",SAISIE!$N446)</f>
        <v/>
      </c>
      <c r="N441" t="str">
        <f>IF(SAISIE!$O446="","",SAISIE!$O446)</f>
        <v/>
      </c>
      <c r="O441" t="str">
        <f>IF(SAISIE!$P446="","",SAISIE!$P446)</f>
        <v/>
      </c>
      <c r="P441" t="str">
        <f>IF(SAISIE!$Q446="","",SAISIE!$Q446)</f>
        <v/>
      </c>
      <c r="Q441" t="str">
        <f>IF($I441="","",IF($I441&gt;PARAMETRES!$G$29,5,IF($I441&gt;PARAMETRES!$F$29,4,IF($I441&gt;PARAMETRES!$E$29,3,IF($I441&gt;PARAMETRES!$D$29,2,1)))))</f>
        <v/>
      </c>
      <c r="R441" t="str">
        <f>IF($J441="","",IF($J441&gt;PARAMETRES!$G$30,5,IF($J441&gt;PARAMETRES!$F$30,4,IF($J441&gt;PARAMETRES!$E$30,3,IF($J441&gt;PARAMETRES!$D$30,2,1)))))</f>
        <v/>
      </c>
      <c r="S441" t="str">
        <f>IF($K441="","",IF($Z441=2,IF($K441&gt;PARAMETRES!$G$31,5,IF($K441&gt;PARAMETRES!$F$31,4,IF($K441&gt;PARAMETRES!$E$31,3,IF($K441&gt;PARAMETRES!$D$31,2,1)))),IF($K441&gt;PARAMETRES!$G$32,5,IF($K441&gt;PARAMETRES!$F$32,4,IF($K441&gt;PARAMETRES!$E$32,3,IF($K441&gt;PARAMETRES!$D$32,2,1))))))</f>
        <v/>
      </c>
      <c r="T441" t="str">
        <f>IF($L441="","",IF($L441&gt;PARAMETRES!$G$33,5,IF($L441&gt;PARAMETRES!$F$33,4,IF($L441&gt;PARAMETRES!$E$33,3,IF($L441&gt;PARAMETRES!$D$33,2,1)))))</f>
        <v/>
      </c>
      <c r="U441" t="str">
        <f>IF($M441="","",IF($M441&gt;PARAMETRES!$G$34,5,IF($M441&gt;PARAMETRES!$F$34,4,IF($M441&gt;PARAMETRES!$E$34,3,IF($M441&gt;PARAMETRES!$D$34,2,1)))))</f>
        <v/>
      </c>
      <c r="V441" t="str">
        <f>IF($N441="","",IF($N441&gt;PARAMETRES!$G$35,5,IF($N441&gt;PARAMETRES!$F$35,4,IF($N441&gt;PARAMETRES!$E$35,3,IF($N441&gt;PARAMETRES!$D$35,2,1)))))</f>
        <v/>
      </c>
      <c r="W441" t="str">
        <f>IF($O441="","",IF($O441&gt;PARAMETRES!$G$36,5,IF($O441&gt;PARAMETRES!$F$36,4,IF($O441&gt;PARAMETRES!$E$36,3,IF($O441&gt;PARAMETRES!$D$36,2,1)))))</f>
        <v/>
      </c>
      <c r="X441" t="str">
        <f>IF($P441="","",IF($P441&gt;PARAMETRES!$G$37,5,IF($P441&gt;PARAMETRES!$F$37,4,IF($P441&gt;PARAMETRES!$E$37,3,IF($P441&gt;PARAMETRES!$D$37,2,1)))))</f>
        <v/>
      </c>
      <c r="Y441" t="str">
        <f t="shared" si="144"/>
        <v/>
      </c>
      <c r="Z441" t="str">
        <f>IFERROR(VLOOKUP($B441,TABLE_CYCLE,2,0),"")</f>
        <v/>
      </c>
      <c r="AA441" t="str">
        <f t="shared" si="145"/>
        <v/>
      </c>
      <c r="AB441" t="str">
        <f>IF($D441="","",IF(COUNTIF($D$2:$D441,$D441)=1,$D441,""))</f>
        <v/>
      </c>
      <c r="AC441">
        <f t="shared" si="146"/>
        <v>0</v>
      </c>
      <c r="AD441" t="str">
        <f t="shared" si="147"/>
        <v>|0</v>
      </c>
      <c r="AE441" t="str">
        <f t="shared" si="148"/>
        <v/>
      </c>
      <c r="AF441" t="str">
        <f t="shared" si="149"/>
        <v/>
      </c>
      <c r="AG441" t="str">
        <f t="shared" si="150"/>
        <v/>
      </c>
      <c r="AH441" t="str">
        <f t="shared" si="151"/>
        <v/>
      </c>
      <c r="AI441" t="str">
        <f t="shared" si="152"/>
        <v/>
      </c>
      <c r="AJ441" t="str">
        <f t="shared" si="153"/>
        <v/>
      </c>
      <c r="AK441" t="str">
        <f t="shared" si="154"/>
        <v/>
      </c>
      <c r="AL441" t="str">
        <f t="shared" si="155"/>
        <v/>
      </c>
      <c r="AM441" t="str">
        <f t="shared" si="156"/>
        <v/>
      </c>
      <c r="AN441" t="str">
        <f t="shared" si="157"/>
        <v/>
      </c>
      <c r="AO441" t="str">
        <f t="shared" si="158"/>
        <v/>
      </c>
      <c r="AP441">
        <f t="shared" si="159"/>
        <v>1</v>
      </c>
      <c r="AQ441" t="str">
        <f>IF(SAISIE!$F446="","",SAISIE!$Y446)</f>
        <v/>
      </c>
      <c r="AR441" t="str">
        <f>IF(OR(SAISIE!$U$4="",SAISIE!$W$4=""),"",IF(AND($A441=SAISIE!$U$4,$B441=SAISIE!$W$4,$C441="S1"),COUNTIFS($A$2:$A441,SAISIE!$U$4,$B$2:$B441,SAISIE!$W$4,$C$2:$C441,"S1"),""))</f>
        <v/>
      </c>
      <c r="AS441" t="str">
        <f t="shared" si="160"/>
        <v/>
      </c>
      <c r="AT441" t="str">
        <f t="shared" si="161"/>
        <v/>
      </c>
      <c r="AU441" t="str">
        <f t="shared" si="162"/>
        <v/>
      </c>
      <c r="AV441">
        <f>N(AV440)+IF(AND($AB441&lt;&gt;"",OR('PROFIL ELEVE'!$K$4="(Tous)",$AF441='PROFIL ELEVE'!$K$4)),1,0)</f>
        <v>0</v>
      </c>
      <c r="AW441">
        <f>N(AW440)+IF(AND($AB441&lt;&gt;"",OR('SUIVI LONGITUDINAL'!$Q$4="(Tous)",$AF441='SUIVI LONGITUDINAL'!$Q$4)),1,0)</f>
        <v>0</v>
      </c>
      <c r="AX441">
        <f t="shared" si="163"/>
        <v>0</v>
      </c>
      <c r="AY441">
        <f t="shared" si="164"/>
        <v>0</v>
      </c>
      <c r="AZ441">
        <f t="shared" si="165"/>
        <v>0</v>
      </c>
      <c r="BA441" t="str">
        <f t="shared" si="166"/>
        <v/>
      </c>
      <c r="BB441" t="str">
        <f t="shared" si="167"/>
        <v/>
      </c>
    </row>
    <row r="442" spans="1:54" ht="14.25" customHeight="1" x14ac:dyDescent="0.3">
      <c r="A442" t="str">
        <f>IF(SAISIE!$F447="","",SAISIE!$B447)</f>
        <v/>
      </c>
      <c r="B442" t="str">
        <f>IF(SAISIE!$F447="","",SAISIE!$C447)</f>
        <v/>
      </c>
      <c r="C442" t="str">
        <f>IF(SAISIE!$F447="","",SAISIE!$D447)</f>
        <v/>
      </c>
      <c r="D442" t="str">
        <f>IF(SAISIE!$E447="","",SAISIE!$E447)</f>
        <v/>
      </c>
      <c r="E442" t="str">
        <f>IF(SAISIE!$F447="","",SAISIE!$F447)</f>
        <v/>
      </c>
      <c r="F442" t="str">
        <f>IF(SAISIE!$G447="","",SAISIE!$G447)</f>
        <v/>
      </c>
      <c r="G442" t="str">
        <f>IF(SAISIE!$H447="","",SAISIE!$H447)</f>
        <v/>
      </c>
      <c r="H442" t="str">
        <f>IF(SAISIE!$I447="","",SAISIE!$I447)</f>
        <v/>
      </c>
      <c r="I442" t="str">
        <f>IF(SAISIE!$J447="","",SAISIE!$J447)</f>
        <v/>
      </c>
      <c r="J442" t="str">
        <f>IF(SAISIE!$K447="","",SAISIE!$K447)</f>
        <v/>
      </c>
      <c r="K442" t="str">
        <f>IF(SAISIE!$L447="","",SAISIE!$L447)</f>
        <v/>
      </c>
      <c r="L442" t="str">
        <f>IF(SAISIE!$M447="","",SAISIE!$M447)</f>
        <v/>
      </c>
      <c r="M442" t="str">
        <f>IF(SAISIE!$N447="","",SAISIE!$N447)</f>
        <v/>
      </c>
      <c r="N442" t="str">
        <f>IF(SAISIE!$O447="","",SAISIE!$O447)</f>
        <v/>
      </c>
      <c r="O442" t="str">
        <f>IF(SAISIE!$P447="","",SAISIE!$P447)</f>
        <v/>
      </c>
      <c r="P442" t="str">
        <f>IF(SAISIE!$Q447="","",SAISIE!$Q447)</f>
        <v/>
      </c>
      <c r="Q442" t="str">
        <f>IF($I442="","",IF($I442&gt;PARAMETRES!$G$29,5,IF($I442&gt;PARAMETRES!$F$29,4,IF($I442&gt;PARAMETRES!$E$29,3,IF($I442&gt;PARAMETRES!$D$29,2,1)))))</f>
        <v/>
      </c>
      <c r="R442" t="str">
        <f>IF($J442="","",IF($J442&gt;PARAMETRES!$G$30,5,IF($J442&gt;PARAMETRES!$F$30,4,IF($J442&gt;PARAMETRES!$E$30,3,IF($J442&gt;PARAMETRES!$D$30,2,1)))))</f>
        <v/>
      </c>
      <c r="S442" t="str">
        <f>IF($K442="","",IF($Z442=2,IF($K442&gt;PARAMETRES!$G$31,5,IF($K442&gt;PARAMETRES!$F$31,4,IF($K442&gt;PARAMETRES!$E$31,3,IF($K442&gt;PARAMETRES!$D$31,2,1)))),IF($K442&gt;PARAMETRES!$G$32,5,IF($K442&gt;PARAMETRES!$F$32,4,IF($K442&gt;PARAMETRES!$E$32,3,IF($K442&gt;PARAMETRES!$D$32,2,1))))))</f>
        <v/>
      </c>
      <c r="T442" t="str">
        <f>IF($L442="","",IF($L442&gt;PARAMETRES!$G$33,5,IF($L442&gt;PARAMETRES!$F$33,4,IF($L442&gt;PARAMETRES!$E$33,3,IF($L442&gt;PARAMETRES!$D$33,2,1)))))</f>
        <v/>
      </c>
      <c r="U442" t="str">
        <f>IF($M442="","",IF($M442&gt;PARAMETRES!$G$34,5,IF($M442&gt;PARAMETRES!$F$34,4,IF($M442&gt;PARAMETRES!$E$34,3,IF($M442&gt;PARAMETRES!$D$34,2,1)))))</f>
        <v/>
      </c>
      <c r="V442" t="str">
        <f>IF($N442="","",IF($N442&gt;PARAMETRES!$G$35,5,IF($N442&gt;PARAMETRES!$F$35,4,IF($N442&gt;PARAMETRES!$E$35,3,IF($N442&gt;PARAMETRES!$D$35,2,1)))))</f>
        <v/>
      </c>
      <c r="W442" t="str">
        <f>IF($O442="","",IF($O442&gt;PARAMETRES!$G$36,5,IF($O442&gt;PARAMETRES!$F$36,4,IF($O442&gt;PARAMETRES!$E$36,3,IF($O442&gt;PARAMETRES!$D$36,2,1)))))</f>
        <v/>
      </c>
      <c r="X442" t="str">
        <f>IF($P442="","",IF($P442&gt;PARAMETRES!$G$37,5,IF($P442&gt;PARAMETRES!$F$37,4,IF($P442&gt;PARAMETRES!$E$37,3,IF($P442&gt;PARAMETRES!$D$37,2,1)))))</f>
        <v/>
      </c>
      <c r="Y442" t="str">
        <f t="shared" si="144"/>
        <v/>
      </c>
      <c r="Z442" t="str">
        <f>IFERROR(VLOOKUP($B442,TABLE_CYCLE,2,0),"")</f>
        <v/>
      </c>
      <c r="AA442" t="str">
        <f t="shared" si="145"/>
        <v/>
      </c>
      <c r="AB442" t="str">
        <f>IF($D442="","",IF(COUNTIF($D$2:$D442,$D442)=1,$D442,""))</f>
        <v/>
      </c>
      <c r="AC442">
        <f t="shared" si="146"/>
        <v>0</v>
      </c>
      <c r="AD442" t="str">
        <f t="shared" si="147"/>
        <v>|0</v>
      </c>
      <c r="AE442" t="str">
        <f t="shared" si="148"/>
        <v/>
      </c>
      <c r="AF442" t="str">
        <f t="shared" si="149"/>
        <v/>
      </c>
      <c r="AG442" t="str">
        <f t="shared" si="150"/>
        <v/>
      </c>
      <c r="AH442" t="str">
        <f t="shared" si="151"/>
        <v/>
      </c>
      <c r="AI442" t="str">
        <f t="shared" si="152"/>
        <v/>
      </c>
      <c r="AJ442" t="str">
        <f t="shared" si="153"/>
        <v/>
      </c>
      <c r="AK442" t="str">
        <f t="shared" si="154"/>
        <v/>
      </c>
      <c r="AL442" t="str">
        <f t="shared" si="155"/>
        <v/>
      </c>
      <c r="AM442" t="str">
        <f t="shared" si="156"/>
        <v/>
      </c>
      <c r="AN442" t="str">
        <f t="shared" si="157"/>
        <v/>
      </c>
      <c r="AO442" t="str">
        <f t="shared" si="158"/>
        <v/>
      </c>
      <c r="AP442">
        <f t="shared" si="159"/>
        <v>1</v>
      </c>
      <c r="AQ442" t="str">
        <f>IF(SAISIE!$F447="","",SAISIE!$Y447)</f>
        <v/>
      </c>
      <c r="AR442" t="str">
        <f>IF(OR(SAISIE!$U$4="",SAISIE!$W$4=""),"",IF(AND($A442=SAISIE!$U$4,$B442=SAISIE!$W$4,$C442="S1"),COUNTIFS($A$2:$A442,SAISIE!$U$4,$B$2:$B442,SAISIE!$W$4,$C$2:$C442,"S1"),""))</f>
        <v/>
      </c>
      <c r="AS442" t="str">
        <f t="shared" si="160"/>
        <v/>
      </c>
      <c r="AT442" t="str">
        <f t="shared" si="161"/>
        <v/>
      </c>
      <c r="AU442" t="str">
        <f t="shared" si="162"/>
        <v/>
      </c>
      <c r="AV442">
        <f>N(AV441)+IF(AND($AB442&lt;&gt;"",OR('PROFIL ELEVE'!$K$4="(Tous)",$AF442='PROFIL ELEVE'!$K$4)),1,0)</f>
        <v>0</v>
      </c>
      <c r="AW442">
        <f>N(AW441)+IF(AND($AB442&lt;&gt;"",OR('SUIVI LONGITUDINAL'!$Q$4="(Tous)",$AF442='SUIVI LONGITUDINAL'!$Q$4)),1,0)</f>
        <v>0</v>
      </c>
      <c r="AX442">
        <f t="shared" si="163"/>
        <v>0</v>
      </c>
      <c r="AY442">
        <f t="shared" si="164"/>
        <v>0</v>
      </c>
      <c r="AZ442">
        <f t="shared" si="165"/>
        <v>0</v>
      </c>
      <c r="BA442" t="str">
        <f t="shared" si="166"/>
        <v/>
      </c>
      <c r="BB442" t="str">
        <f t="shared" si="167"/>
        <v/>
      </c>
    </row>
    <row r="443" spans="1:54" ht="14.25" customHeight="1" x14ac:dyDescent="0.3">
      <c r="A443" t="str">
        <f>IF(SAISIE!$F448="","",SAISIE!$B448)</f>
        <v/>
      </c>
      <c r="B443" t="str">
        <f>IF(SAISIE!$F448="","",SAISIE!$C448)</f>
        <v/>
      </c>
      <c r="C443" t="str">
        <f>IF(SAISIE!$F448="","",SAISIE!$D448)</f>
        <v/>
      </c>
      <c r="D443" t="str">
        <f>IF(SAISIE!$E448="","",SAISIE!$E448)</f>
        <v/>
      </c>
      <c r="E443" t="str">
        <f>IF(SAISIE!$F448="","",SAISIE!$F448)</f>
        <v/>
      </c>
      <c r="F443" t="str">
        <f>IF(SAISIE!$G448="","",SAISIE!$G448)</f>
        <v/>
      </c>
      <c r="G443" t="str">
        <f>IF(SAISIE!$H448="","",SAISIE!$H448)</f>
        <v/>
      </c>
      <c r="H443" t="str">
        <f>IF(SAISIE!$I448="","",SAISIE!$I448)</f>
        <v/>
      </c>
      <c r="I443" t="str">
        <f>IF(SAISIE!$J448="","",SAISIE!$J448)</f>
        <v/>
      </c>
      <c r="J443" t="str">
        <f>IF(SAISIE!$K448="","",SAISIE!$K448)</f>
        <v/>
      </c>
      <c r="K443" t="str">
        <f>IF(SAISIE!$L448="","",SAISIE!$L448)</f>
        <v/>
      </c>
      <c r="L443" t="str">
        <f>IF(SAISIE!$M448="","",SAISIE!$M448)</f>
        <v/>
      </c>
      <c r="M443" t="str">
        <f>IF(SAISIE!$N448="","",SAISIE!$N448)</f>
        <v/>
      </c>
      <c r="N443" t="str">
        <f>IF(SAISIE!$O448="","",SAISIE!$O448)</f>
        <v/>
      </c>
      <c r="O443" t="str">
        <f>IF(SAISIE!$P448="","",SAISIE!$P448)</f>
        <v/>
      </c>
      <c r="P443" t="str">
        <f>IF(SAISIE!$Q448="","",SAISIE!$Q448)</f>
        <v/>
      </c>
      <c r="Q443" t="str">
        <f>IF($I443="","",IF($I443&gt;PARAMETRES!$G$29,5,IF($I443&gt;PARAMETRES!$F$29,4,IF($I443&gt;PARAMETRES!$E$29,3,IF($I443&gt;PARAMETRES!$D$29,2,1)))))</f>
        <v/>
      </c>
      <c r="R443" t="str">
        <f>IF($J443="","",IF($J443&gt;PARAMETRES!$G$30,5,IF($J443&gt;PARAMETRES!$F$30,4,IF($J443&gt;PARAMETRES!$E$30,3,IF($J443&gt;PARAMETRES!$D$30,2,1)))))</f>
        <v/>
      </c>
      <c r="S443" t="str">
        <f>IF($K443="","",IF($Z443=2,IF($K443&gt;PARAMETRES!$G$31,5,IF($K443&gt;PARAMETRES!$F$31,4,IF($K443&gt;PARAMETRES!$E$31,3,IF($K443&gt;PARAMETRES!$D$31,2,1)))),IF($K443&gt;PARAMETRES!$G$32,5,IF($K443&gt;PARAMETRES!$F$32,4,IF($K443&gt;PARAMETRES!$E$32,3,IF($K443&gt;PARAMETRES!$D$32,2,1))))))</f>
        <v/>
      </c>
      <c r="T443" t="str">
        <f>IF($L443="","",IF($L443&gt;PARAMETRES!$G$33,5,IF($L443&gt;PARAMETRES!$F$33,4,IF($L443&gt;PARAMETRES!$E$33,3,IF($L443&gt;PARAMETRES!$D$33,2,1)))))</f>
        <v/>
      </c>
      <c r="U443" t="str">
        <f>IF($M443="","",IF($M443&gt;PARAMETRES!$G$34,5,IF($M443&gt;PARAMETRES!$F$34,4,IF($M443&gt;PARAMETRES!$E$34,3,IF($M443&gt;PARAMETRES!$D$34,2,1)))))</f>
        <v/>
      </c>
      <c r="V443" t="str">
        <f>IF($N443="","",IF($N443&gt;PARAMETRES!$G$35,5,IF($N443&gt;PARAMETRES!$F$35,4,IF($N443&gt;PARAMETRES!$E$35,3,IF($N443&gt;PARAMETRES!$D$35,2,1)))))</f>
        <v/>
      </c>
      <c r="W443" t="str">
        <f>IF($O443="","",IF($O443&gt;PARAMETRES!$G$36,5,IF($O443&gt;PARAMETRES!$F$36,4,IF($O443&gt;PARAMETRES!$E$36,3,IF($O443&gt;PARAMETRES!$D$36,2,1)))))</f>
        <v/>
      </c>
      <c r="X443" t="str">
        <f>IF($P443="","",IF($P443&gt;PARAMETRES!$G$37,5,IF($P443&gt;PARAMETRES!$F$37,4,IF($P443&gt;PARAMETRES!$E$37,3,IF($P443&gt;PARAMETRES!$D$37,2,1)))))</f>
        <v/>
      </c>
      <c r="Y443" t="str">
        <f t="shared" si="144"/>
        <v/>
      </c>
      <c r="Z443" t="str">
        <f>IFERROR(VLOOKUP($B443,TABLE_CYCLE,2,0),"")</f>
        <v/>
      </c>
      <c r="AA443" t="str">
        <f t="shared" si="145"/>
        <v/>
      </c>
      <c r="AB443" t="str">
        <f>IF($D443="","",IF(COUNTIF($D$2:$D443,$D443)=1,$D443,""))</f>
        <v/>
      </c>
      <c r="AC443">
        <f t="shared" si="146"/>
        <v>0</v>
      </c>
      <c r="AD443" t="str">
        <f t="shared" si="147"/>
        <v>|0</v>
      </c>
      <c r="AE443" t="str">
        <f t="shared" si="148"/>
        <v/>
      </c>
      <c r="AF443" t="str">
        <f t="shared" si="149"/>
        <v/>
      </c>
      <c r="AG443" t="str">
        <f t="shared" si="150"/>
        <v/>
      </c>
      <c r="AH443" t="str">
        <f t="shared" si="151"/>
        <v/>
      </c>
      <c r="AI443" t="str">
        <f t="shared" si="152"/>
        <v/>
      </c>
      <c r="AJ443" t="str">
        <f t="shared" si="153"/>
        <v/>
      </c>
      <c r="AK443" t="str">
        <f t="shared" si="154"/>
        <v/>
      </c>
      <c r="AL443" t="str">
        <f t="shared" si="155"/>
        <v/>
      </c>
      <c r="AM443" t="str">
        <f t="shared" si="156"/>
        <v/>
      </c>
      <c r="AN443" t="str">
        <f t="shared" si="157"/>
        <v/>
      </c>
      <c r="AO443" t="str">
        <f t="shared" si="158"/>
        <v/>
      </c>
      <c r="AP443">
        <f t="shared" si="159"/>
        <v>1</v>
      </c>
      <c r="AQ443" t="str">
        <f>IF(SAISIE!$F448="","",SAISIE!$Y448)</f>
        <v/>
      </c>
      <c r="AR443" t="str">
        <f>IF(OR(SAISIE!$U$4="",SAISIE!$W$4=""),"",IF(AND($A443=SAISIE!$U$4,$B443=SAISIE!$W$4,$C443="S1"),COUNTIFS($A$2:$A443,SAISIE!$U$4,$B$2:$B443,SAISIE!$W$4,$C$2:$C443,"S1"),""))</f>
        <v/>
      </c>
      <c r="AS443" t="str">
        <f t="shared" si="160"/>
        <v/>
      </c>
      <c r="AT443" t="str">
        <f t="shared" si="161"/>
        <v/>
      </c>
      <c r="AU443" t="str">
        <f t="shared" si="162"/>
        <v/>
      </c>
      <c r="AV443">
        <f>N(AV442)+IF(AND($AB443&lt;&gt;"",OR('PROFIL ELEVE'!$K$4="(Tous)",$AF443='PROFIL ELEVE'!$K$4)),1,0)</f>
        <v>0</v>
      </c>
      <c r="AW443">
        <f>N(AW442)+IF(AND($AB443&lt;&gt;"",OR('SUIVI LONGITUDINAL'!$Q$4="(Tous)",$AF443='SUIVI LONGITUDINAL'!$Q$4)),1,0)</f>
        <v>0</v>
      </c>
      <c r="AX443">
        <f t="shared" si="163"/>
        <v>0</v>
      </c>
      <c r="AY443">
        <f t="shared" si="164"/>
        <v>0</v>
      </c>
      <c r="AZ443">
        <f t="shared" si="165"/>
        <v>0</v>
      </c>
      <c r="BA443" t="str">
        <f t="shared" si="166"/>
        <v/>
      </c>
      <c r="BB443" t="str">
        <f t="shared" si="167"/>
        <v/>
      </c>
    </row>
    <row r="444" spans="1:54" ht="14.25" customHeight="1" x14ac:dyDescent="0.3">
      <c r="A444" t="str">
        <f>IF(SAISIE!$F449="","",SAISIE!$B449)</f>
        <v/>
      </c>
      <c r="B444" t="str">
        <f>IF(SAISIE!$F449="","",SAISIE!$C449)</f>
        <v/>
      </c>
      <c r="C444" t="str">
        <f>IF(SAISIE!$F449="","",SAISIE!$D449)</f>
        <v/>
      </c>
      <c r="D444" t="str">
        <f>IF(SAISIE!$E449="","",SAISIE!$E449)</f>
        <v/>
      </c>
      <c r="E444" t="str">
        <f>IF(SAISIE!$F449="","",SAISIE!$F449)</f>
        <v/>
      </c>
      <c r="F444" t="str">
        <f>IF(SAISIE!$G449="","",SAISIE!$G449)</f>
        <v/>
      </c>
      <c r="G444" t="str">
        <f>IF(SAISIE!$H449="","",SAISIE!$H449)</f>
        <v/>
      </c>
      <c r="H444" t="str">
        <f>IF(SAISIE!$I449="","",SAISIE!$I449)</f>
        <v/>
      </c>
      <c r="I444" t="str">
        <f>IF(SAISIE!$J449="","",SAISIE!$J449)</f>
        <v/>
      </c>
      <c r="J444" t="str">
        <f>IF(SAISIE!$K449="","",SAISIE!$K449)</f>
        <v/>
      </c>
      <c r="K444" t="str">
        <f>IF(SAISIE!$L449="","",SAISIE!$L449)</f>
        <v/>
      </c>
      <c r="L444" t="str">
        <f>IF(SAISIE!$M449="","",SAISIE!$M449)</f>
        <v/>
      </c>
      <c r="M444" t="str">
        <f>IF(SAISIE!$N449="","",SAISIE!$N449)</f>
        <v/>
      </c>
      <c r="N444" t="str">
        <f>IF(SAISIE!$O449="","",SAISIE!$O449)</f>
        <v/>
      </c>
      <c r="O444" t="str">
        <f>IF(SAISIE!$P449="","",SAISIE!$P449)</f>
        <v/>
      </c>
      <c r="P444" t="str">
        <f>IF(SAISIE!$Q449="","",SAISIE!$Q449)</f>
        <v/>
      </c>
      <c r="Q444" t="str">
        <f>IF($I444="","",IF($I444&gt;PARAMETRES!$G$29,5,IF($I444&gt;PARAMETRES!$F$29,4,IF($I444&gt;PARAMETRES!$E$29,3,IF($I444&gt;PARAMETRES!$D$29,2,1)))))</f>
        <v/>
      </c>
      <c r="R444" t="str">
        <f>IF($J444="","",IF($J444&gt;PARAMETRES!$G$30,5,IF($J444&gt;PARAMETRES!$F$30,4,IF($J444&gt;PARAMETRES!$E$30,3,IF($J444&gt;PARAMETRES!$D$30,2,1)))))</f>
        <v/>
      </c>
      <c r="S444" t="str">
        <f>IF($K444="","",IF($Z444=2,IF($K444&gt;PARAMETRES!$G$31,5,IF($K444&gt;PARAMETRES!$F$31,4,IF($K444&gt;PARAMETRES!$E$31,3,IF($K444&gt;PARAMETRES!$D$31,2,1)))),IF($K444&gt;PARAMETRES!$G$32,5,IF($K444&gt;PARAMETRES!$F$32,4,IF($K444&gt;PARAMETRES!$E$32,3,IF($K444&gt;PARAMETRES!$D$32,2,1))))))</f>
        <v/>
      </c>
      <c r="T444" t="str">
        <f>IF($L444="","",IF($L444&gt;PARAMETRES!$G$33,5,IF($L444&gt;PARAMETRES!$F$33,4,IF($L444&gt;PARAMETRES!$E$33,3,IF($L444&gt;PARAMETRES!$D$33,2,1)))))</f>
        <v/>
      </c>
      <c r="U444" t="str">
        <f>IF($M444="","",IF($M444&gt;PARAMETRES!$G$34,5,IF($M444&gt;PARAMETRES!$F$34,4,IF($M444&gt;PARAMETRES!$E$34,3,IF($M444&gt;PARAMETRES!$D$34,2,1)))))</f>
        <v/>
      </c>
      <c r="V444" t="str">
        <f>IF($N444="","",IF($N444&gt;PARAMETRES!$G$35,5,IF($N444&gt;PARAMETRES!$F$35,4,IF($N444&gt;PARAMETRES!$E$35,3,IF($N444&gt;PARAMETRES!$D$35,2,1)))))</f>
        <v/>
      </c>
      <c r="W444" t="str">
        <f>IF($O444="","",IF($O444&gt;PARAMETRES!$G$36,5,IF($O444&gt;PARAMETRES!$F$36,4,IF($O444&gt;PARAMETRES!$E$36,3,IF($O444&gt;PARAMETRES!$D$36,2,1)))))</f>
        <v/>
      </c>
      <c r="X444" t="str">
        <f>IF($P444="","",IF($P444&gt;PARAMETRES!$G$37,5,IF($P444&gt;PARAMETRES!$F$37,4,IF($P444&gt;PARAMETRES!$E$37,3,IF($P444&gt;PARAMETRES!$D$37,2,1)))))</f>
        <v/>
      </c>
      <c r="Y444" t="str">
        <f t="shared" si="144"/>
        <v/>
      </c>
      <c r="Z444" t="str">
        <f>IFERROR(VLOOKUP($B444,TABLE_CYCLE,2,0),"")</f>
        <v/>
      </c>
      <c r="AA444" t="str">
        <f t="shared" si="145"/>
        <v/>
      </c>
      <c r="AB444" t="str">
        <f>IF($D444="","",IF(COUNTIF($D$2:$D444,$D444)=1,$D444,""))</f>
        <v/>
      </c>
      <c r="AC444">
        <f t="shared" si="146"/>
        <v>0</v>
      </c>
      <c r="AD444" t="str">
        <f t="shared" si="147"/>
        <v>|0</v>
      </c>
      <c r="AE444" t="str">
        <f t="shared" si="148"/>
        <v/>
      </c>
      <c r="AF444" t="str">
        <f t="shared" si="149"/>
        <v/>
      </c>
      <c r="AG444" t="str">
        <f t="shared" si="150"/>
        <v/>
      </c>
      <c r="AH444" t="str">
        <f t="shared" si="151"/>
        <v/>
      </c>
      <c r="AI444" t="str">
        <f t="shared" si="152"/>
        <v/>
      </c>
      <c r="AJ444" t="str">
        <f t="shared" si="153"/>
        <v/>
      </c>
      <c r="AK444" t="str">
        <f t="shared" si="154"/>
        <v/>
      </c>
      <c r="AL444" t="str">
        <f t="shared" si="155"/>
        <v/>
      </c>
      <c r="AM444" t="str">
        <f t="shared" si="156"/>
        <v/>
      </c>
      <c r="AN444" t="str">
        <f t="shared" si="157"/>
        <v/>
      </c>
      <c r="AO444" t="str">
        <f t="shared" si="158"/>
        <v/>
      </c>
      <c r="AP444">
        <f t="shared" si="159"/>
        <v>1</v>
      </c>
      <c r="AQ444" t="str">
        <f>IF(SAISIE!$F449="","",SAISIE!$Y449)</f>
        <v/>
      </c>
      <c r="AR444" t="str">
        <f>IF(OR(SAISIE!$U$4="",SAISIE!$W$4=""),"",IF(AND($A444=SAISIE!$U$4,$B444=SAISIE!$W$4,$C444="S1"),COUNTIFS($A$2:$A444,SAISIE!$U$4,$B$2:$B444,SAISIE!$W$4,$C$2:$C444,"S1"),""))</f>
        <v/>
      </c>
      <c r="AS444" t="str">
        <f t="shared" si="160"/>
        <v/>
      </c>
      <c r="AT444" t="str">
        <f t="shared" si="161"/>
        <v/>
      </c>
      <c r="AU444" t="str">
        <f t="shared" si="162"/>
        <v/>
      </c>
      <c r="AV444">
        <f>N(AV443)+IF(AND($AB444&lt;&gt;"",OR('PROFIL ELEVE'!$K$4="(Tous)",$AF444='PROFIL ELEVE'!$K$4)),1,0)</f>
        <v>0</v>
      </c>
      <c r="AW444">
        <f>N(AW443)+IF(AND($AB444&lt;&gt;"",OR('SUIVI LONGITUDINAL'!$Q$4="(Tous)",$AF444='SUIVI LONGITUDINAL'!$Q$4)),1,0)</f>
        <v>0</v>
      </c>
      <c r="AX444">
        <f t="shared" si="163"/>
        <v>0</v>
      </c>
      <c r="AY444">
        <f t="shared" si="164"/>
        <v>0</v>
      </c>
      <c r="AZ444">
        <f t="shared" si="165"/>
        <v>0</v>
      </c>
      <c r="BA444" t="str">
        <f t="shared" si="166"/>
        <v/>
      </c>
      <c r="BB444" t="str">
        <f t="shared" si="167"/>
        <v/>
      </c>
    </row>
    <row r="445" spans="1:54" ht="14.25" customHeight="1" x14ac:dyDescent="0.3">
      <c r="A445" t="str">
        <f>IF(SAISIE!$F450="","",SAISIE!$B450)</f>
        <v/>
      </c>
      <c r="B445" t="str">
        <f>IF(SAISIE!$F450="","",SAISIE!$C450)</f>
        <v/>
      </c>
      <c r="C445" t="str">
        <f>IF(SAISIE!$F450="","",SAISIE!$D450)</f>
        <v/>
      </c>
      <c r="D445" t="str">
        <f>IF(SAISIE!$E450="","",SAISIE!$E450)</f>
        <v/>
      </c>
      <c r="E445" t="str">
        <f>IF(SAISIE!$F450="","",SAISIE!$F450)</f>
        <v/>
      </c>
      <c r="F445" t="str">
        <f>IF(SAISIE!$G450="","",SAISIE!$G450)</f>
        <v/>
      </c>
      <c r="G445" t="str">
        <f>IF(SAISIE!$H450="","",SAISIE!$H450)</f>
        <v/>
      </c>
      <c r="H445" t="str">
        <f>IF(SAISIE!$I450="","",SAISIE!$I450)</f>
        <v/>
      </c>
      <c r="I445" t="str">
        <f>IF(SAISIE!$J450="","",SAISIE!$J450)</f>
        <v/>
      </c>
      <c r="J445" t="str">
        <f>IF(SAISIE!$K450="","",SAISIE!$K450)</f>
        <v/>
      </c>
      <c r="K445" t="str">
        <f>IF(SAISIE!$L450="","",SAISIE!$L450)</f>
        <v/>
      </c>
      <c r="L445" t="str">
        <f>IF(SAISIE!$M450="","",SAISIE!$M450)</f>
        <v/>
      </c>
      <c r="M445" t="str">
        <f>IF(SAISIE!$N450="","",SAISIE!$N450)</f>
        <v/>
      </c>
      <c r="N445" t="str">
        <f>IF(SAISIE!$O450="","",SAISIE!$O450)</f>
        <v/>
      </c>
      <c r="O445" t="str">
        <f>IF(SAISIE!$P450="","",SAISIE!$P450)</f>
        <v/>
      </c>
      <c r="P445" t="str">
        <f>IF(SAISIE!$Q450="","",SAISIE!$Q450)</f>
        <v/>
      </c>
      <c r="Q445" t="str">
        <f>IF($I445="","",IF($I445&gt;PARAMETRES!$G$29,5,IF($I445&gt;PARAMETRES!$F$29,4,IF($I445&gt;PARAMETRES!$E$29,3,IF($I445&gt;PARAMETRES!$D$29,2,1)))))</f>
        <v/>
      </c>
      <c r="R445" t="str">
        <f>IF($J445="","",IF($J445&gt;PARAMETRES!$G$30,5,IF($J445&gt;PARAMETRES!$F$30,4,IF($J445&gt;PARAMETRES!$E$30,3,IF($J445&gt;PARAMETRES!$D$30,2,1)))))</f>
        <v/>
      </c>
      <c r="S445" t="str">
        <f>IF($K445="","",IF($Z445=2,IF($K445&gt;PARAMETRES!$G$31,5,IF($K445&gt;PARAMETRES!$F$31,4,IF($K445&gt;PARAMETRES!$E$31,3,IF($K445&gt;PARAMETRES!$D$31,2,1)))),IF($K445&gt;PARAMETRES!$G$32,5,IF($K445&gt;PARAMETRES!$F$32,4,IF($K445&gt;PARAMETRES!$E$32,3,IF($K445&gt;PARAMETRES!$D$32,2,1))))))</f>
        <v/>
      </c>
      <c r="T445" t="str">
        <f>IF($L445="","",IF($L445&gt;PARAMETRES!$G$33,5,IF($L445&gt;PARAMETRES!$F$33,4,IF($L445&gt;PARAMETRES!$E$33,3,IF($L445&gt;PARAMETRES!$D$33,2,1)))))</f>
        <v/>
      </c>
      <c r="U445" t="str">
        <f>IF($M445="","",IF($M445&gt;PARAMETRES!$G$34,5,IF($M445&gt;PARAMETRES!$F$34,4,IF($M445&gt;PARAMETRES!$E$34,3,IF($M445&gt;PARAMETRES!$D$34,2,1)))))</f>
        <v/>
      </c>
      <c r="V445" t="str">
        <f>IF($N445="","",IF($N445&gt;PARAMETRES!$G$35,5,IF($N445&gt;PARAMETRES!$F$35,4,IF($N445&gt;PARAMETRES!$E$35,3,IF($N445&gt;PARAMETRES!$D$35,2,1)))))</f>
        <v/>
      </c>
      <c r="W445" t="str">
        <f>IF($O445="","",IF($O445&gt;PARAMETRES!$G$36,5,IF($O445&gt;PARAMETRES!$F$36,4,IF($O445&gt;PARAMETRES!$E$36,3,IF($O445&gt;PARAMETRES!$D$36,2,1)))))</f>
        <v/>
      </c>
      <c r="X445" t="str">
        <f>IF($P445="","",IF($P445&gt;PARAMETRES!$G$37,5,IF($P445&gt;PARAMETRES!$F$37,4,IF($P445&gt;PARAMETRES!$E$37,3,IF($P445&gt;PARAMETRES!$D$37,2,1)))))</f>
        <v/>
      </c>
      <c r="Y445" t="str">
        <f t="shared" si="144"/>
        <v/>
      </c>
      <c r="Z445" t="str">
        <f>IFERROR(VLOOKUP($B445,TABLE_CYCLE,2,0),"")</f>
        <v/>
      </c>
      <c r="AA445" t="str">
        <f t="shared" si="145"/>
        <v/>
      </c>
      <c r="AB445" t="str">
        <f>IF($D445="","",IF(COUNTIF($D$2:$D445,$D445)=1,$D445,""))</f>
        <v/>
      </c>
      <c r="AC445">
        <f t="shared" si="146"/>
        <v>0</v>
      </c>
      <c r="AD445" t="str">
        <f t="shared" si="147"/>
        <v>|0</v>
      </c>
      <c r="AE445" t="str">
        <f t="shared" si="148"/>
        <v/>
      </c>
      <c r="AF445" t="str">
        <f t="shared" si="149"/>
        <v/>
      </c>
      <c r="AG445" t="str">
        <f t="shared" si="150"/>
        <v/>
      </c>
      <c r="AH445" t="str">
        <f t="shared" si="151"/>
        <v/>
      </c>
      <c r="AI445" t="str">
        <f t="shared" si="152"/>
        <v/>
      </c>
      <c r="AJ445" t="str">
        <f t="shared" si="153"/>
        <v/>
      </c>
      <c r="AK445" t="str">
        <f t="shared" si="154"/>
        <v/>
      </c>
      <c r="AL445" t="str">
        <f t="shared" si="155"/>
        <v/>
      </c>
      <c r="AM445" t="str">
        <f t="shared" si="156"/>
        <v/>
      </c>
      <c r="AN445" t="str">
        <f t="shared" si="157"/>
        <v/>
      </c>
      <c r="AO445" t="str">
        <f t="shared" si="158"/>
        <v/>
      </c>
      <c r="AP445">
        <f t="shared" si="159"/>
        <v>1</v>
      </c>
      <c r="AQ445" t="str">
        <f>IF(SAISIE!$F450="","",SAISIE!$Y450)</f>
        <v/>
      </c>
      <c r="AR445" t="str">
        <f>IF(OR(SAISIE!$U$4="",SAISIE!$W$4=""),"",IF(AND($A445=SAISIE!$U$4,$B445=SAISIE!$W$4,$C445="S1"),COUNTIFS($A$2:$A445,SAISIE!$U$4,$B$2:$B445,SAISIE!$W$4,$C$2:$C445,"S1"),""))</f>
        <v/>
      </c>
      <c r="AS445" t="str">
        <f t="shared" si="160"/>
        <v/>
      </c>
      <c r="AT445" t="str">
        <f t="shared" si="161"/>
        <v/>
      </c>
      <c r="AU445" t="str">
        <f t="shared" si="162"/>
        <v/>
      </c>
      <c r="AV445">
        <f>N(AV444)+IF(AND($AB445&lt;&gt;"",OR('PROFIL ELEVE'!$K$4="(Tous)",$AF445='PROFIL ELEVE'!$K$4)),1,0)</f>
        <v>0</v>
      </c>
      <c r="AW445">
        <f>N(AW444)+IF(AND($AB445&lt;&gt;"",OR('SUIVI LONGITUDINAL'!$Q$4="(Tous)",$AF445='SUIVI LONGITUDINAL'!$Q$4)),1,0)</f>
        <v>0</v>
      </c>
      <c r="AX445">
        <f t="shared" si="163"/>
        <v>0</v>
      </c>
      <c r="AY445">
        <f t="shared" si="164"/>
        <v>0</v>
      </c>
      <c r="AZ445">
        <f t="shared" si="165"/>
        <v>0</v>
      </c>
      <c r="BA445" t="str">
        <f t="shared" si="166"/>
        <v/>
      </c>
      <c r="BB445" t="str">
        <f t="shared" si="167"/>
        <v/>
      </c>
    </row>
    <row r="446" spans="1:54" ht="14.25" customHeight="1" x14ac:dyDescent="0.3">
      <c r="A446" t="str">
        <f>IF(SAISIE!$F451="","",SAISIE!$B451)</f>
        <v/>
      </c>
      <c r="B446" t="str">
        <f>IF(SAISIE!$F451="","",SAISIE!$C451)</f>
        <v/>
      </c>
      <c r="C446" t="str">
        <f>IF(SAISIE!$F451="","",SAISIE!$D451)</f>
        <v/>
      </c>
      <c r="D446" t="str">
        <f>IF(SAISIE!$E451="","",SAISIE!$E451)</f>
        <v/>
      </c>
      <c r="E446" t="str">
        <f>IF(SAISIE!$F451="","",SAISIE!$F451)</f>
        <v/>
      </c>
      <c r="F446" t="str">
        <f>IF(SAISIE!$G451="","",SAISIE!$G451)</f>
        <v/>
      </c>
      <c r="G446" t="str">
        <f>IF(SAISIE!$H451="","",SAISIE!$H451)</f>
        <v/>
      </c>
      <c r="H446" t="str">
        <f>IF(SAISIE!$I451="","",SAISIE!$I451)</f>
        <v/>
      </c>
      <c r="I446" t="str">
        <f>IF(SAISIE!$J451="","",SAISIE!$J451)</f>
        <v/>
      </c>
      <c r="J446" t="str">
        <f>IF(SAISIE!$K451="","",SAISIE!$K451)</f>
        <v/>
      </c>
      <c r="K446" t="str">
        <f>IF(SAISIE!$L451="","",SAISIE!$L451)</f>
        <v/>
      </c>
      <c r="L446" t="str">
        <f>IF(SAISIE!$M451="","",SAISIE!$M451)</f>
        <v/>
      </c>
      <c r="M446" t="str">
        <f>IF(SAISIE!$N451="","",SAISIE!$N451)</f>
        <v/>
      </c>
      <c r="N446" t="str">
        <f>IF(SAISIE!$O451="","",SAISIE!$O451)</f>
        <v/>
      </c>
      <c r="O446" t="str">
        <f>IF(SAISIE!$P451="","",SAISIE!$P451)</f>
        <v/>
      </c>
      <c r="P446" t="str">
        <f>IF(SAISIE!$Q451="","",SAISIE!$Q451)</f>
        <v/>
      </c>
      <c r="Q446" t="str">
        <f>IF($I446="","",IF($I446&gt;PARAMETRES!$G$29,5,IF($I446&gt;PARAMETRES!$F$29,4,IF($I446&gt;PARAMETRES!$E$29,3,IF($I446&gt;PARAMETRES!$D$29,2,1)))))</f>
        <v/>
      </c>
      <c r="R446" t="str">
        <f>IF($J446="","",IF($J446&gt;PARAMETRES!$G$30,5,IF($J446&gt;PARAMETRES!$F$30,4,IF($J446&gt;PARAMETRES!$E$30,3,IF($J446&gt;PARAMETRES!$D$30,2,1)))))</f>
        <v/>
      </c>
      <c r="S446" t="str">
        <f>IF($K446="","",IF($Z446=2,IF($K446&gt;PARAMETRES!$G$31,5,IF($K446&gt;PARAMETRES!$F$31,4,IF($K446&gt;PARAMETRES!$E$31,3,IF($K446&gt;PARAMETRES!$D$31,2,1)))),IF($K446&gt;PARAMETRES!$G$32,5,IF($K446&gt;PARAMETRES!$F$32,4,IF($K446&gt;PARAMETRES!$E$32,3,IF($K446&gt;PARAMETRES!$D$32,2,1))))))</f>
        <v/>
      </c>
      <c r="T446" t="str">
        <f>IF($L446="","",IF($L446&gt;PARAMETRES!$G$33,5,IF($L446&gt;PARAMETRES!$F$33,4,IF($L446&gt;PARAMETRES!$E$33,3,IF($L446&gt;PARAMETRES!$D$33,2,1)))))</f>
        <v/>
      </c>
      <c r="U446" t="str">
        <f>IF($M446="","",IF($M446&gt;PARAMETRES!$G$34,5,IF($M446&gt;PARAMETRES!$F$34,4,IF($M446&gt;PARAMETRES!$E$34,3,IF($M446&gt;PARAMETRES!$D$34,2,1)))))</f>
        <v/>
      </c>
      <c r="V446" t="str">
        <f>IF($N446="","",IF($N446&gt;PARAMETRES!$G$35,5,IF($N446&gt;PARAMETRES!$F$35,4,IF($N446&gt;PARAMETRES!$E$35,3,IF($N446&gt;PARAMETRES!$D$35,2,1)))))</f>
        <v/>
      </c>
      <c r="W446" t="str">
        <f>IF($O446="","",IF($O446&gt;PARAMETRES!$G$36,5,IF($O446&gt;PARAMETRES!$F$36,4,IF($O446&gt;PARAMETRES!$E$36,3,IF($O446&gt;PARAMETRES!$D$36,2,1)))))</f>
        <v/>
      </c>
      <c r="X446" t="str">
        <f>IF($P446="","",IF($P446&gt;PARAMETRES!$G$37,5,IF($P446&gt;PARAMETRES!$F$37,4,IF($P446&gt;PARAMETRES!$E$37,3,IF($P446&gt;PARAMETRES!$D$37,2,1)))))</f>
        <v/>
      </c>
      <c r="Y446" t="str">
        <f t="shared" si="144"/>
        <v/>
      </c>
      <c r="Z446" t="str">
        <f>IFERROR(VLOOKUP($B446,TABLE_CYCLE,2,0),"")</f>
        <v/>
      </c>
      <c r="AA446" t="str">
        <f t="shared" si="145"/>
        <v/>
      </c>
      <c r="AB446" t="str">
        <f>IF($D446="","",IF(COUNTIF($D$2:$D446,$D446)=1,$D446,""))</f>
        <v/>
      </c>
      <c r="AC446">
        <f t="shared" si="146"/>
        <v>0</v>
      </c>
      <c r="AD446" t="str">
        <f t="shared" si="147"/>
        <v>|0</v>
      </c>
      <c r="AE446" t="str">
        <f t="shared" si="148"/>
        <v/>
      </c>
      <c r="AF446" t="str">
        <f t="shared" si="149"/>
        <v/>
      </c>
      <c r="AG446" t="str">
        <f t="shared" si="150"/>
        <v/>
      </c>
      <c r="AH446" t="str">
        <f t="shared" si="151"/>
        <v/>
      </c>
      <c r="AI446" t="str">
        <f t="shared" si="152"/>
        <v/>
      </c>
      <c r="AJ446" t="str">
        <f t="shared" si="153"/>
        <v/>
      </c>
      <c r="AK446" t="str">
        <f t="shared" si="154"/>
        <v/>
      </c>
      <c r="AL446" t="str">
        <f t="shared" si="155"/>
        <v/>
      </c>
      <c r="AM446" t="str">
        <f t="shared" si="156"/>
        <v/>
      </c>
      <c r="AN446" t="str">
        <f t="shared" si="157"/>
        <v/>
      </c>
      <c r="AO446" t="str">
        <f t="shared" si="158"/>
        <v/>
      </c>
      <c r="AP446">
        <f t="shared" si="159"/>
        <v>1</v>
      </c>
      <c r="AQ446" t="str">
        <f>IF(SAISIE!$F451="","",SAISIE!$Y451)</f>
        <v/>
      </c>
      <c r="AR446" t="str">
        <f>IF(OR(SAISIE!$U$4="",SAISIE!$W$4=""),"",IF(AND($A446=SAISIE!$U$4,$B446=SAISIE!$W$4,$C446="S1"),COUNTIFS($A$2:$A446,SAISIE!$U$4,$B$2:$B446,SAISIE!$W$4,$C$2:$C446,"S1"),""))</f>
        <v/>
      </c>
      <c r="AS446" t="str">
        <f t="shared" si="160"/>
        <v/>
      </c>
      <c r="AT446" t="str">
        <f t="shared" si="161"/>
        <v/>
      </c>
      <c r="AU446" t="str">
        <f t="shared" si="162"/>
        <v/>
      </c>
      <c r="AV446">
        <f>N(AV445)+IF(AND($AB446&lt;&gt;"",OR('PROFIL ELEVE'!$K$4="(Tous)",$AF446='PROFIL ELEVE'!$K$4)),1,0)</f>
        <v>0</v>
      </c>
      <c r="AW446">
        <f>N(AW445)+IF(AND($AB446&lt;&gt;"",OR('SUIVI LONGITUDINAL'!$Q$4="(Tous)",$AF446='SUIVI LONGITUDINAL'!$Q$4)),1,0)</f>
        <v>0</v>
      </c>
      <c r="AX446">
        <f t="shared" si="163"/>
        <v>0</v>
      </c>
      <c r="AY446">
        <f t="shared" si="164"/>
        <v>0</v>
      </c>
      <c r="AZ446">
        <f t="shared" si="165"/>
        <v>0</v>
      </c>
      <c r="BA446" t="str">
        <f t="shared" si="166"/>
        <v/>
      </c>
      <c r="BB446" t="str">
        <f t="shared" si="167"/>
        <v/>
      </c>
    </row>
    <row r="447" spans="1:54" ht="14.25" customHeight="1" x14ac:dyDescent="0.3">
      <c r="A447" t="str">
        <f>IF(SAISIE!$F452="","",SAISIE!$B452)</f>
        <v/>
      </c>
      <c r="B447" t="str">
        <f>IF(SAISIE!$F452="","",SAISIE!$C452)</f>
        <v/>
      </c>
      <c r="C447" t="str">
        <f>IF(SAISIE!$F452="","",SAISIE!$D452)</f>
        <v/>
      </c>
      <c r="D447" t="str">
        <f>IF(SAISIE!$E452="","",SAISIE!$E452)</f>
        <v/>
      </c>
      <c r="E447" t="str">
        <f>IF(SAISIE!$F452="","",SAISIE!$F452)</f>
        <v/>
      </c>
      <c r="F447" t="str">
        <f>IF(SAISIE!$G452="","",SAISIE!$G452)</f>
        <v/>
      </c>
      <c r="G447" t="str">
        <f>IF(SAISIE!$H452="","",SAISIE!$H452)</f>
        <v/>
      </c>
      <c r="H447" t="str">
        <f>IF(SAISIE!$I452="","",SAISIE!$I452)</f>
        <v/>
      </c>
      <c r="I447" t="str">
        <f>IF(SAISIE!$J452="","",SAISIE!$J452)</f>
        <v/>
      </c>
      <c r="J447" t="str">
        <f>IF(SAISIE!$K452="","",SAISIE!$K452)</f>
        <v/>
      </c>
      <c r="K447" t="str">
        <f>IF(SAISIE!$L452="","",SAISIE!$L452)</f>
        <v/>
      </c>
      <c r="L447" t="str">
        <f>IF(SAISIE!$M452="","",SAISIE!$M452)</f>
        <v/>
      </c>
      <c r="M447" t="str">
        <f>IF(SAISIE!$N452="","",SAISIE!$N452)</f>
        <v/>
      </c>
      <c r="N447" t="str">
        <f>IF(SAISIE!$O452="","",SAISIE!$O452)</f>
        <v/>
      </c>
      <c r="O447" t="str">
        <f>IF(SAISIE!$P452="","",SAISIE!$P452)</f>
        <v/>
      </c>
      <c r="P447" t="str">
        <f>IF(SAISIE!$Q452="","",SAISIE!$Q452)</f>
        <v/>
      </c>
      <c r="Q447" t="str">
        <f>IF($I447="","",IF($I447&gt;PARAMETRES!$G$29,5,IF($I447&gt;PARAMETRES!$F$29,4,IF($I447&gt;PARAMETRES!$E$29,3,IF($I447&gt;PARAMETRES!$D$29,2,1)))))</f>
        <v/>
      </c>
      <c r="R447" t="str">
        <f>IF($J447="","",IF($J447&gt;PARAMETRES!$G$30,5,IF($J447&gt;PARAMETRES!$F$30,4,IF($J447&gt;PARAMETRES!$E$30,3,IF($J447&gt;PARAMETRES!$D$30,2,1)))))</f>
        <v/>
      </c>
      <c r="S447" t="str">
        <f>IF($K447="","",IF($Z447=2,IF($K447&gt;PARAMETRES!$G$31,5,IF($K447&gt;PARAMETRES!$F$31,4,IF($K447&gt;PARAMETRES!$E$31,3,IF($K447&gt;PARAMETRES!$D$31,2,1)))),IF($K447&gt;PARAMETRES!$G$32,5,IF($K447&gt;PARAMETRES!$F$32,4,IF($K447&gt;PARAMETRES!$E$32,3,IF($K447&gt;PARAMETRES!$D$32,2,1))))))</f>
        <v/>
      </c>
      <c r="T447" t="str">
        <f>IF($L447="","",IF($L447&gt;PARAMETRES!$G$33,5,IF($L447&gt;PARAMETRES!$F$33,4,IF($L447&gt;PARAMETRES!$E$33,3,IF($L447&gt;PARAMETRES!$D$33,2,1)))))</f>
        <v/>
      </c>
      <c r="U447" t="str">
        <f>IF($M447="","",IF($M447&gt;PARAMETRES!$G$34,5,IF($M447&gt;PARAMETRES!$F$34,4,IF($M447&gt;PARAMETRES!$E$34,3,IF($M447&gt;PARAMETRES!$D$34,2,1)))))</f>
        <v/>
      </c>
      <c r="V447" t="str">
        <f>IF($N447="","",IF($N447&gt;PARAMETRES!$G$35,5,IF($N447&gt;PARAMETRES!$F$35,4,IF($N447&gt;PARAMETRES!$E$35,3,IF($N447&gt;PARAMETRES!$D$35,2,1)))))</f>
        <v/>
      </c>
      <c r="W447" t="str">
        <f>IF($O447="","",IF($O447&gt;PARAMETRES!$G$36,5,IF($O447&gt;PARAMETRES!$F$36,4,IF($O447&gt;PARAMETRES!$E$36,3,IF($O447&gt;PARAMETRES!$D$36,2,1)))))</f>
        <v/>
      </c>
      <c r="X447" t="str">
        <f>IF($P447="","",IF($P447&gt;PARAMETRES!$G$37,5,IF($P447&gt;PARAMETRES!$F$37,4,IF($P447&gt;PARAMETRES!$E$37,3,IF($P447&gt;PARAMETRES!$D$37,2,1)))))</f>
        <v/>
      </c>
      <c r="Y447" t="str">
        <f t="shared" si="144"/>
        <v/>
      </c>
      <c r="Z447" t="str">
        <f>IFERROR(VLOOKUP($B447,TABLE_CYCLE,2,0),"")</f>
        <v/>
      </c>
      <c r="AA447" t="str">
        <f t="shared" si="145"/>
        <v/>
      </c>
      <c r="AB447" t="str">
        <f>IF($D447="","",IF(COUNTIF($D$2:$D447,$D447)=1,$D447,""))</f>
        <v/>
      </c>
      <c r="AC447">
        <f t="shared" si="146"/>
        <v>0</v>
      </c>
      <c r="AD447" t="str">
        <f t="shared" si="147"/>
        <v>|0</v>
      </c>
      <c r="AE447" t="str">
        <f t="shared" si="148"/>
        <v/>
      </c>
      <c r="AF447" t="str">
        <f t="shared" si="149"/>
        <v/>
      </c>
      <c r="AG447" t="str">
        <f t="shared" si="150"/>
        <v/>
      </c>
      <c r="AH447" t="str">
        <f t="shared" si="151"/>
        <v/>
      </c>
      <c r="AI447" t="str">
        <f t="shared" si="152"/>
        <v/>
      </c>
      <c r="AJ447" t="str">
        <f t="shared" si="153"/>
        <v/>
      </c>
      <c r="AK447" t="str">
        <f t="shared" si="154"/>
        <v/>
      </c>
      <c r="AL447" t="str">
        <f t="shared" si="155"/>
        <v/>
      </c>
      <c r="AM447" t="str">
        <f t="shared" si="156"/>
        <v/>
      </c>
      <c r="AN447" t="str">
        <f t="shared" si="157"/>
        <v/>
      </c>
      <c r="AO447" t="str">
        <f t="shared" si="158"/>
        <v/>
      </c>
      <c r="AP447">
        <f t="shared" si="159"/>
        <v>1</v>
      </c>
      <c r="AQ447" t="str">
        <f>IF(SAISIE!$F452="","",SAISIE!$Y452)</f>
        <v/>
      </c>
      <c r="AR447" t="str">
        <f>IF(OR(SAISIE!$U$4="",SAISIE!$W$4=""),"",IF(AND($A447=SAISIE!$U$4,$B447=SAISIE!$W$4,$C447="S1"),COUNTIFS($A$2:$A447,SAISIE!$U$4,$B$2:$B447,SAISIE!$W$4,$C$2:$C447,"S1"),""))</f>
        <v/>
      </c>
      <c r="AS447" t="str">
        <f t="shared" si="160"/>
        <v/>
      </c>
      <c r="AT447" t="str">
        <f t="shared" si="161"/>
        <v/>
      </c>
      <c r="AU447" t="str">
        <f t="shared" si="162"/>
        <v/>
      </c>
      <c r="AV447">
        <f>N(AV446)+IF(AND($AB447&lt;&gt;"",OR('PROFIL ELEVE'!$K$4="(Tous)",$AF447='PROFIL ELEVE'!$K$4)),1,0)</f>
        <v>0</v>
      </c>
      <c r="AW447">
        <f>N(AW446)+IF(AND($AB447&lt;&gt;"",OR('SUIVI LONGITUDINAL'!$Q$4="(Tous)",$AF447='SUIVI LONGITUDINAL'!$Q$4)),1,0)</f>
        <v>0</v>
      </c>
      <c r="AX447">
        <f t="shared" si="163"/>
        <v>0</v>
      </c>
      <c r="AY447">
        <f t="shared" si="164"/>
        <v>0</v>
      </c>
      <c r="AZ447">
        <f t="shared" si="165"/>
        <v>0</v>
      </c>
      <c r="BA447" t="str">
        <f t="shared" si="166"/>
        <v/>
      </c>
      <c r="BB447" t="str">
        <f t="shared" si="167"/>
        <v/>
      </c>
    </row>
    <row r="448" spans="1:54" ht="14.25" customHeight="1" x14ac:dyDescent="0.3">
      <c r="A448" t="str">
        <f>IF(SAISIE!$F453="","",SAISIE!$B453)</f>
        <v/>
      </c>
      <c r="B448" t="str">
        <f>IF(SAISIE!$F453="","",SAISIE!$C453)</f>
        <v/>
      </c>
      <c r="C448" t="str">
        <f>IF(SAISIE!$F453="","",SAISIE!$D453)</f>
        <v/>
      </c>
      <c r="D448" t="str">
        <f>IF(SAISIE!$E453="","",SAISIE!$E453)</f>
        <v/>
      </c>
      <c r="E448" t="str">
        <f>IF(SAISIE!$F453="","",SAISIE!$F453)</f>
        <v/>
      </c>
      <c r="F448" t="str">
        <f>IF(SAISIE!$G453="","",SAISIE!$G453)</f>
        <v/>
      </c>
      <c r="G448" t="str">
        <f>IF(SAISIE!$H453="","",SAISIE!$H453)</f>
        <v/>
      </c>
      <c r="H448" t="str">
        <f>IF(SAISIE!$I453="","",SAISIE!$I453)</f>
        <v/>
      </c>
      <c r="I448" t="str">
        <f>IF(SAISIE!$J453="","",SAISIE!$J453)</f>
        <v/>
      </c>
      <c r="J448" t="str">
        <f>IF(SAISIE!$K453="","",SAISIE!$K453)</f>
        <v/>
      </c>
      <c r="K448" t="str">
        <f>IF(SAISIE!$L453="","",SAISIE!$L453)</f>
        <v/>
      </c>
      <c r="L448" t="str">
        <f>IF(SAISIE!$M453="","",SAISIE!$M453)</f>
        <v/>
      </c>
      <c r="M448" t="str">
        <f>IF(SAISIE!$N453="","",SAISIE!$N453)</f>
        <v/>
      </c>
      <c r="N448" t="str">
        <f>IF(SAISIE!$O453="","",SAISIE!$O453)</f>
        <v/>
      </c>
      <c r="O448" t="str">
        <f>IF(SAISIE!$P453="","",SAISIE!$P453)</f>
        <v/>
      </c>
      <c r="P448" t="str">
        <f>IF(SAISIE!$Q453="","",SAISIE!$Q453)</f>
        <v/>
      </c>
      <c r="Q448" t="str">
        <f>IF($I448="","",IF($I448&gt;PARAMETRES!$G$29,5,IF($I448&gt;PARAMETRES!$F$29,4,IF($I448&gt;PARAMETRES!$E$29,3,IF($I448&gt;PARAMETRES!$D$29,2,1)))))</f>
        <v/>
      </c>
      <c r="R448" t="str">
        <f>IF($J448="","",IF($J448&gt;PARAMETRES!$G$30,5,IF($J448&gt;PARAMETRES!$F$30,4,IF($J448&gt;PARAMETRES!$E$30,3,IF($J448&gt;PARAMETRES!$D$30,2,1)))))</f>
        <v/>
      </c>
      <c r="S448" t="str">
        <f>IF($K448="","",IF($Z448=2,IF($K448&gt;PARAMETRES!$G$31,5,IF($K448&gt;PARAMETRES!$F$31,4,IF($K448&gt;PARAMETRES!$E$31,3,IF($K448&gt;PARAMETRES!$D$31,2,1)))),IF($K448&gt;PARAMETRES!$G$32,5,IF($K448&gt;PARAMETRES!$F$32,4,IF($K448&gt;PARAMETRES!$E$32,3,IF($K448&gt;PARAMETRES!$D$32,2,1))))))</f>
        <v/>
      </c>
      <c r="T448" t="str">
        <f>IF($L448="","",IF($L448&gt;PARAMETRES!$G$33,5,IF($L448&gt;PARAMETRES!$F$33,4,IF($L448&gt;PARAMETRES!$E$33,3,IF($L448&gt;PARAMETRES!$D$33,2,1)))))</f>
        <v/>
      </c>
      <c r="U448" t="str">
        <f>IF($M448="","",IF($M448&gt;PARAMETRES!$G$34,5,IF($M448&gt;PARAMETRES!$F$34,4,IF($M448&gt;PARAMETRES!$E$34,3,IF($M448&gt;PARAMETRES!$D$34,2,1)))))</f>
        <v/>
      </c>
      <c r="V448" t="str">
        <f>IF($N448="","",IF($N448&gt;PARAMETRES!$G$35,5,IF($N448&gt;PARAMETRES!$F$35,4,IF($N448&gt;PARAMETRES!$E$35,3,IF($N448&gt;PARAMETRES!$D$35,2,1)))))</f>
        <v/>
      </c>
      <c r="W448" t="str">
        <f>IF($O448="","",IF($O448&gt;PARAMETRES!$G$36,5,IF($O448&gt;PARAMETRES!$F$36,4,IF($O448&gt;PARAMETRES!$E$36,3,IF($O448&gt;PARAMETRES!$D$36,2,1)))))</f>
        <v/>
      </c>
      <c r="X448" t="str">
        <f>IF($P448="","",IF($P448&gt;PARAMETRES!$G$37,5,IF($P448&gt;PARAMETRES!$F$37,4,IF($P448&gt;PARAMETRES!$E$37,3,IF($P448&gt;PARAMETRES!$D$37,2,1)))))</f>
        <v/>
      </c>
      <c r="Y448" t="str">
        <f t="shared" si="144"/>
        <v/>
      </c>
      <c r="Z448" t="str">
        <f>IFERROR(VLOOKUP($B448,TABLE_CYCLE,2,0),"")</f>
        <v/>
      </c>
      <c r="AA448" t="str">
        <f t="shared" si="145"/>
        <v/>
      </c>
      <c r="AB448" t="str">
        <f>IF($D448="","",IF(COUNTIF($D$2:$D448,$D448)=1,$D448,""))</f>
        <v/>
      </c>
      <c r="AC448">
        <f t="shared" si="146"/>
        <v>0</v>
      </c>
      <c r="AD448" t="str">
        <f t="shared" si="147"/>
        <v>|0</v>
      </c>
      <c r="AE448" t="str">
        <f t="shared" si="148"/>
        <v/>
      </c>
      <c r="AF448" t="str">
        <f t="shared" si="149"/>
        <v/>
      </c>
      <c r="AG448" t="str">
        <f t="shared" si="150"/>
        <v/>
      </c>
      <c r="AH448" t="str">
        <f t="shared" si="151"/>
        <v/>
      </c>
      <c r="AI448" t="str">
        <f t="shared" si="152"/>
        <v/>
      </c>
      <c r="AJ448" t="str">
        <f t="shared" si="153"/>
        <v/>
      </c>
      <c r="AK448" t="str">
        <f t="shared" si="154"/>
        <v/>
      </c>
      <c r="AL448" t="str">
        <f t="shared" si="155"/>
        <v/>
      </c>
      <c r="AM448" t="str">
        <f t="shared" si="156"/>
        <v/>
      </c>
      <c r="AN448" t="str">
        <f t="shared" si="157"/>
        <v/>
      </c>
      <c r="AO448" t="str">
        <f t="shared" si="158"/>
        <v/>
      </c>
      <c r="AP448">
        <f t="shared" si="159"/>
        <v>1</v>
      </c>
      <c r="AQ448" t="str">
        <f>IF(SAISIE!$F453="","",SAISIE!$Y453)</f>
        <v/>
      </c>
      <c r="AR448" t="str">
        <f>IF(OR(SAISIE!$U$4="",SAISIE!$W$4=""),"",IF(AND($A448=SAISIE!$U$4,$B448=SAISIE!$W$4,$C448="S1"),COUNTIFS($A$2:$A448,SAISIE!$U$4,$B$2:$B448,SAISIE!$W$4,$C$2:$C448,"S1"),""))</f>
        <v/>
      </c>
      <c r="AS448" t="str">
        <f t="shared" si="160"/>
        <v/>
      </c>
      <c r="AT448" t="str">
        <f t="shared" si="161"/>
        <v/>
      </c>
      <c r="AU448" t="str">
        <f t="shared" si="162"/>
        <v/>
      </c>
      <c r="AV448">
        <f>N(AV447)+IF(AND($AB448&lt;&gt;"",OR('PROFIL ELEVE'!$K$4="(Tous)",$AF448='PROFIL ELEVE'!$K$4)),1,0)</f>
        <v>0</v>
      </c>
      <c r="AW448">
        <f>N(AW447)+IF(AND($AB448&lt;&gt;"",OR('SUIVI LONGITUDINAL'!$Q$4="(Tous)",$AF448='SUIVI LONGITUDINAL'!$Q$4)),1,0)</f>
        <v>0</v>
      </c>
      <c r="AX448">
        <f t="shared" si="163"/>
        <v>0</v>
      </c>
      <c r="AY448">
        <f t="shared" si="164"/>
        <v>0</v>
      </c>
      <c r="AZ448">
        <f t="shared" si="165"/>
        <v>0</v>
      </c>
      <c r="BA448" t="str">
        <f t="shared" si="166"/>
        <v/>
      </c>
      <c r="BB448" t="str">
        <f t="shared" si="167"/>
        <v/>
      </c>
    </row>
    <row r="449" spans="1:54" ht="14.25" customHeight="1" x14ac:dyDescent="0.3">
      <c r="A449" t="str">
        <f>IF(SAISIE!$F454="","",SAISIE!$B454)</f>
        <v/>
      </c>
      <c r="B449" t="str">
        <f>IF(SAISIE!$F454="","",SAISIE!$C454)</f>
        <v/>
      </c>
      <c r="C449" t="str">
        <f>IF(SAISIE!$F454="","",SAISIE!$D454)</f>
        <v/>
      </c>
      <c r="D449" t="str">
        <f>IF(SAISIE!$E454="","",SAISIE!$E454)</f>
        <v/>
      </c>
      <c r="E449" t="str">
        <f>IF(SAISIE!$F454="","",SAISIE!$F454)</f>
        <v/>
      </c>
      <c r="F449" t="str">
        <f>IF(SAISIE!$G454="","",SAISIE!$G454)</f>
        <v/>
      </c>
      <c r="G449" t="str">
        <f>IF(SAISIE!$H454="","",SAISIE!$H454)</f>
        <v/>
      </c>
      <c r="H449" t="str">
        <f>IF(SAISIE!$I454="","",SAISIE!$I454)</f>
        <v/>
      </c>
      <c r="I449" t="str">
        <f>IF(SAISIE!$J454="","",SAISIE!$J454)</f>
        <v/>
      </c>
      <c r="J449" t="str">
        <f>IF(SAISIE!$K454="","",SAISIE!$K454)</f>
        <v/>
      </c>
      <c r="K449" t="str">
        <f>IF(SAISIE!$L454="","",SAISIE!$L454)</f>
        <v/>
      </c>
      <c r="L449" t="str">
        <f>IF(SAISIE!$M454="","",SAISIE!$M454)</f>
        <v/>
      </c>
      <c r="M449" t="str">
        <f>IF(SAISIE!$N454="","",SAISIE!$N454)</f>
        <v/>
      </c>
      <c r="N449" t="str">
        <f>IF(SAISIE!$O454="","",SAISIE!$O454)</f>
        <v/>
      </c>
      <c r="O449" t="str">
        <f>IF(SAISIE!$P454="","",SAISIE!$P454)</f>
        <v/>
      </c>
      <c r="P449" t="str">
        <f>IF(SAISIE!$Q454="","",SAISIE!$Q454)</f>
        <v/>
      </c>
      <c r="Q449" t="str">
        <f>IF($I449="","",IF($I449&gt;PARAMETRES!$G$29,5,IF($I449&gt;PARAMETRES!$F$29,4,IF($I449&gt;PARAMETRES!$E$29,3,IF($I449&gt;PARAMETRES!$D$29,2,1)))))</f>
        <v/>
      </c>
      <c r="R449" t="str">
        <f>IF($J449="","",IF($J449&gt;PARAMETRES!$G$30,5,IF($J449&gt;PARAMETRES!$F$30,4,IF($J449&gt;PARAMETRES!$E$30,3,IF($J449&gt;PARAMETRES!$D$30,2,1)))))</f>
        <v/>
      </c>
      <c r="S449" t="str">
        <f>IF($K449="","",IF($Z449=2,IF($K449&gt;PARAMETRES!$G$31,5,IF($K449&gt;PARAMETRES!$F$31,4,IF($K449&gt;PARAMETRES!$E$31,3,IF($K449&gt;PARAMETRES!$D$31,2,1)))),IF($K449&gt;PARAMETRES!$G$32,5,IF($K449&gt;PARAMETRES!$F$32,4,IF($K449&gt;PARAMETRES!$E$32,3,IF($K449&gt;PARAMETRES!$D$32,2,1))))))</f>
        <v/>
      </c>
      <c r="T449" t="str">
        <f>IF($L449="","",IF($L449&gt;PARAMETRES!$G$33,5,IF($L449&gt;PARAMETRES!$F$33,4,IF($L449&gt;PARAMETRES!$E$33,3,IF($L449&gt;PARAMETRES!$D$33,2,1)))))</f>
        <v/>
      </c>
      <c r="U449" t="str">
        <f>IF($M449="","",IF($M449&gt;PARAMETRES!$G$34,5,IF($M449&gt;PARAMETRES!$F$34,4,IF($M449&gt;PARAMETRES!$E$34,3,IF($M449&gt;PARAMETRES!$D$34,2,1)))))</f>
        <v/>
      </c>
      <c r="V449" t="str">
        <f>IF($N449="","",IF($N449&gt;PARAMETRES!$G$35,5,IF($N449&gt;PARAMETRES!$F$35,4,IF($N449&gt;PARAMETRES!$E$35,3,IF($N449&gt;PARAMETRES!$D$35,2,1)))))</f>
        <v/>
      </c>
      <c r="W449" t="str">
        <f>IF($O449="","",IF($O449&gt;PARAMETRES!$G$36,5,IF($O449&gt;PARAMETRES!$F$36,4,IF($O449&gt;PARAMETRES!$E$36,3,IF($O449&gt;PARAMETRES!$D$36,2,1)))))</f>
        <v/>
      </c>
      <c r="X449" t="str">
        <f>IF($P449="","",IF($P449&gt;PARAMETRES!$G$37,5,IF($P449&gt;PARAMETRES!$F$37,4,IF($P449&gt;PARAMETRES!$E$37,3,IF($P449&gt;PARAMETRES!$D$37,2,1)))))</f>
        <v/>
      </c>
      <c r="Y449" t="str">
        <f t="shared" si="144"/>
        <v/>
      </c>
      <c r="Z449" t="str">
        <f>IFERROR(VLOOKUP($B449,TABLE_CYCLE,2,0),"")</f>
        <v/>
      </c>
      <c r="AA449" t="str">
        <f t="shared" si="145"/>
        <v/>
      </c>
      <c r="AB449" t="str">
        <f>IF($D449="","",IF(COUNTIF($D$2:$D449,$D449)=1,$D449,""))</f>
        <v/>
      </c>
      <c r="AC449">
        <f t="shared" si="146"/>
        <v>0</v>
      </c>
      <c r="AD449" t="str">
        <f t="shared" si="147"/>
        <v>|0</v>
      </c>
      <c r="AE449" t="str">
        <f t="shared" si="148"/>
        <v/>
      </c>
      <c r="AF449" t="str">
        <f t="shared" si="149"/>
        <v/>
      </c>
      <c r="AG449" t="str">
        <f t="shared" si="150"/>
        <v/>
      </c>
      <c r="AH449" t="str">
        <f t="shared" si="151"/>
        <v/>
      </c>
      <c r="AI449" t="str">
        <f t="shared" si="152"/>
        <v/>
      </c>
      <c r="AJ449" t="str">
        <f t="shared" si="153"/>
        <v/>
      </c>
      <c r="AK449" t="str">
        <f t="shared" si="154"/>
        <v/>
      </c>
      <c r="AL449" t="str">
        <f t="shared" si="155"/>
        <v/>
      </c>
      <c r="AM449" t="str">
        <f t="shared" si="156"/>
        <v/>
      </c>
      <c r="AN449" t="str">
        <f t="shared" si="157"/>
        <v/>
      </c>
      <c r="AO449" t="str">
        <f t="shared" si="158"/>
        <v/>
      </c>
      <c r="AP449">
        <f t="shared" si="159"/>
        <v>1</v>
      </c>
      <c r="AQ449" t="str">
        <f>IF(SAISIE!$F454="","",SAISIE!$Y454)</f>
        <v/>
      </c>
      <c r="AR449" t="str">
        <f>IF(OR(SAISIE!$U$4="",SAISIE!$W$4=""),"",IF(AND($A449=SAISIE!$U$4,$B449=SAISIE!$W$4,$C449="S1"),COUNTIFS($A$2:$A449,SAISIE!$U$4,$B$2:$B449,SAISIE!$W$4,$C$2:$C449,"S1"),""))</f>
        <v/>
      </c>
      <c r="AS449" t="str">
        <f t="shared" si="160"/>
        <v/>
      </c>
      <c r="AT449" t="str">
        <f t="shared" si="161"/>
        <v/>
      </c>
      <c r="AU449" t="str">
        <f t="shared" si="162"/>
        <v/>
      </c>
      <c r="AV449">
        <f>N(AV448)+IF(AND($AB449&lt;&gt;"",OR('PROFIL ELEVE'!$K$4="(Tous)",$AF449='PROFIL ELEVE'!$K$4)),1,0)</f>
        <v>0</v>
      </c>
      <c r="AW449">
        <f>N(AW448)+IF(AND($AB449&lt;&gt;"",OR('SUIVI LONGITUDINAL'!$Q$4="(Tous)",$AF449='SUIVI LONGITUDINAL'!$Q$4)),1,0)</f>
        <v>0</v>
      </c>
      <c r="AX449">
        <f t="shared" si="163"/>
        <v>0</v>
      </c>
      <c r="AY449">
        <f t="shared" si="164"/>
        <v>0</v>
      </c>
      <c r="AZ449">
        <f t="shared" si="165"/>
        <v>0</v>
      </c>
      <c r="BA449" t="str">
        <f t="shared" si="166"/>
        <v/>
      </c>
      <c r="BB449" t="str">
        <f t="shared" si="167"/>
        <v/>
      </c>
    </row>
    <row r="450" spans="1:54" ht="14.25" customHeight="1" x14ac:dyDescent="0.3">
      <c r="A450" t="str">
        <f>IF(SAISIE!$F455="","",SAISIE!$B455)</f>
        <v/>
      </c>
      <c r="B450" t="str">
        <f>IF(SAISIE!$F455="","",SAISIE!$C455)</f>
        <v/>
      </c>
      <c r="C450" t="str">
        <f>IF(SAISIE!$F455="","",SAISIE!$D455)</f>
        <v/>
      </c>
      <c r="D450" t="str">
        <f>IF(SAISIE!$E455="","",SAISIE!$E455)</f>
        <v/>
      </c>
      <c r="E450" t="str">
        <f>IF(SAISIE!$F455="","",SAISIE!$F455)</f>
        <v/>
      </c>
      <c r="F450" t="str">
        <f>IF(SAISIE!$G455="","",SAISIE!$G455)</f>
        <v/>
      </c>
      <c r="G450" t="str">
        <f>IF(SAISIE!$H455="","",SAISIE!$H455)</f>
        <v/>
      </c>
      <c r="H450" t="str">
        <f>IF(SAISIE!$I455="","",SAISIE!$I455)</f>
        <v/>
      </c>
      <c r="I450" t="str">
        <f>IF(SAISIE!$J455="","",SAISIE!$J455)</f>
        <v/>
      </c>
      <c r="J450" t="str">
        <f>IF(SAISIE!$K455="","",SAISIE!$K455)</f>
        <v/>
      </c>
      <c r="K450" t="str">
        <f>IF(SAISIE!$L455="","",SAISIE!$L455)</f>
        <v/>
      </c>
      <c r="L450" t="str">
        <f>IF(SAISIE!$M455="","",SAISIE!$M455)</f>
        <v/>
      </c>
      <c r="M450" t="str">
        <f>IF(SAISIE!$N455="","",SAISIE!$N455)</f>
        <v/>
      </c>
      <c r="N450" t="str">
        <f>IF(SAISIE!$O455="","",SAISIE!$O455)</f>
        <v/>
      </c>
      <c r="O450" t="str">
        <f>IF(SAISIE!$P455="","",SAISIE!$P455)</f>
        <v/>
      </c>
      <c r="P450" t="str">
        <f>IF(SAISIE!$Q455="","",SAISIE!$Q455)</f>
        <v/>
      </c>
      <c r="Q450" t="str">
        <f>IF($I450="","",IF($I450&gt;PARAMETRES!$G$29,5,IF($I450&gt;PARAMETRES!$F$29,4,IF($I450&gt;PARAMETRES!$E$29,3,IF($I450&gt;PARAMETRES!$D$29,2,1)))))</f>
        <v/>
      </c>
      <c r="R450" t="str">
        <f>IF($J450="","",IF($J450&gt;PARAMETRES!$G$30,5,IF($J450&gt;PARAMETRES!$F$30,4,IF($J450&gt;PARAMETRES!$E$30,3,IF($J450&gt;PARAMETRES!$D$30,2,1)))))</f>
        <v/>
      </c>
      <c r="S450" t="str">
        <f>IF($K450="","",IF($Z450=2,IF($K450&gt;PARAMETRES!$G$31,5,IF($K450&gt;PARAMETRES!$F$31,4,IF($K450&gt;PARAMETRES!$E$31,3,IF($K450&gt;PARAMETRES!$D$31,2,1)))),IF($K450&gt;PARAMETRES!$G$32,5,IF($K450&gt;PARAMETRES!$F$32,4,IF($K450&gt;PARAMETRES!$E$32,3,IF($K450&gt;PARAMETRES!$D$32,2,1))))))</f>
        <v/>
      </c>
      <c r="T450" t="str">
        <f>IF($L450="","",IF($L450&gt;PARAMETRES!$G$33,5,IF($L450&gt;PARAMETRES!$F$33,4,IF($L450&gt;PARAMETRES!$E$33,3,IF($L450&gt;PARAMETRES!$D$33,2,1)))))</f>
        <v/>
      </c>
      <c r="U450" t="str">
        <f>IF($M450="","",IF($M450&gt;PARAMETRES!$G$34,5,IF($M450&gt;PARAMETRES!$F$34,4,IF($M450&gt;PARAMETRES!$E$34,3,IF($M450&gt;PARAMETRES!$D$34,2,1)))))</f>
        <v/>
      </c>
      <c r="V450" t="str">
        <f>IF($N450="","",IF($N450&gt;PARAMETRES!$G$35,5,IF($N450&gt;PARAMETRES!$F$35,4,IF($N450&gt;PARAMETRES!$E$35,3,IF($N450&gt;PARAMETRES!$D$35,2,1)))))</f>
        <v/>
      </c>
      <c r="W450" t="str">
        <f>IF($O450="","",IF($O450&gt;PARAMETRES!$G$36,5,IF($O450&gt;PARAMETRES!$F$36,4,IF($O450&gt;PARAMETRES!$E$36,3,IF($O450&gt;PARAMETRES!$D$36,2,1)))))</f>
        <v/>
      </c>
      <c r="X450" t="str">
        <f>IF($P450="","",IF($P450&gt;PARAMETRES!$G$37,5,IF($P450&gt;PARAMETRES!$F$37,4,IF($P450&gt;PARAMETRES!$E$37,3,IF($P450&gt;PARAMETRES!$D$37,2,1)))))</f>
        <v/>
      </c>
      <c r="Y450" t="str">
        <f t="shared" ref="Y450:Y513" si="168">IF(COUNT($Q450:$X450)=0,"",AVERAGE($Q450:$X450))</f>
        <v/>
      </c>
      <c r="Z450" t="str">
        <f>IFERROR(VLOOKUP($B450,TABLE_CYCLE,2,0),"")</f>
        <v/>
      </c>
      <c r="AA450" t="str">
        <f t="shared" ref="AA450:AA513" si="169">IF($D450="","",$D450&amp;"|"&amp;$A450&amp;"|"&amp;$C450)</f>
        <v/>
      </c>
      <c r="AB450" t="str">
        <f>IF($D450="","",IF(COUNTIF($D$2:$D450,$D450)=1,$D450,""))</f>
        <v/>
      </c>
      <c r="AC450">
        <f t="shared" ref="AC450:AC513" si="170">IFERROR(MATCH($A450,LISTE_ANNEES,0),0)</f>
        <v>0</v>
      </c>
      <c r="AD450" t="str">
        <f t="shared" ref="AD450:AD513" si="171">$D450&amp;"|"&amp;$AC450</f>
        <v>|0</v>
      </c>
      <c r="AE450" t="str">
        <f t="shared" ref="AE450:AE513" si="172">IF($D450="","",_xlfn.MAXIFS($AC$2:$AC$1201,$D$2:$D$1201,$D450))</f>
        <v/>
      </c>
      <c r="AF450" t="str">
        <f t="shared" ref="AF450:AF513" si="173">IF($AB450="","",IFERROR(INDEX($B$2:$B$1201,MATCH($D450&amp;"|"&amp;$AE450,$AD$2:$AD$1201,0)),""))</f>
        <v/>
      </c>
      <c r="AG450" t="str">
        <f t="shared" ref="AG450:AG513" si="174">IF($C450&lt;&gt;"S1","",IFERROR(MATCH($D450&amp;"|"&amp;$A450&amp;"|S2",$AA$2:$AA$1201,0),""))</f>
        <v/>
      </c>
      <c r="AH450" t="str">
        <f t="shared" ref="AH450:AH513" si="175">IF(OR($AG450="",$Q450=""),"",IF(INDEX($Q$2:$Q$1201,$AG450)="","",IF(INDEX($Q$2:$Q$1201,$AG450)&gt;$Q450,1,IF(INDEX($Q$2:$Q$1201,$AG450)&lt;$Q450,-1,0))))</f>
        <v/>
      </c>
      <c r="AI450" t="str">
        <f t="shared" ref="AI450:AI513" si="176">IF(OR($AG450="",$R450=""),"",IF(INDEX($R$2:$R$1201,$AG450)="","",IF(INDEX($R$2:$R$1201,$AG450)&gt;$R450,1,IF(INDEX($R$2:$R$1201,$AG450)&lt;$R450,-1,0))))</f>
        <v/>
      </c>
      <c r="AJ450" t="str">
        <f t="shared" ref="AJ450:AJ513" si="177">IF(OR($AG450="",$S450=""),"",IF(INDEX($S$2:$S$1201,$AG450)="","",IF(INDEX($S$2:$S$1201,$AG450)&gt;$S450,1,IF(INDEX($S$2:$S$1201,$AG450)&lt;$S450,-1,0))))</f>
        <v/>
      </c>
      <c r="AK450" t="str">
        <f t="shared" ref="AK450:AK513" si="178">IF(OR($AG450="",$T450=""),"",IF(INDEX($T$2:$T$1201,$AG450)="","",IF(INDEX($T$2:$T$1201,$AG450)&gt;$T450,1,IF(INDEX($T$2:$T$1201,$AG450)&lt;$T450,-1,0))))</f>
        <v/>
      </c>
      <c r="AL450" t="str">
        <f t="shared" ref="AL450:AL513" si="179">IF(OR($AG450="",$U450=""),"",IF(INDEX($U$2:$U$1201,$AG450)="","",IF(INDEX($U$2:$U$1201,$AG450)&gt;$U450,1,IF(INDEX($U$2:$U$1201,$AG450)&lt;$U450,-1,0))))</f>
        <v/>
      </c>
      <c r="AM450" t="str">
        <f t="shared" ref="AM450:AM513" si="180">IF(OR($AG450="",$V450=""),"",IF(INDEX($V$2:$V$1201,$AG450)="","",IF(INDEX($V$2:$V$1201,$AG450)&gt;$V450,1,IF(INDEX($V$2:$V$1201,$AG450)&lt;$V450,-1,0))))</f>
        <v/>
      </c>
      <c r="AN450" t="str">
        <f t="shared" ref="AN450:AN513" si="181">IF(OR($AG450="",$W450=""),"",IF(INDEX($W$2:$W$1201,$AG450)="","",IF(INDEX($W$2:$W$1201,$AG450)&gt;$W450,1,IF(INDEX($W$2:$W$1201,$AG450)&lt;$W450,-1,0))))</f>
        <v/>
      </c>
      <c r="AO450" t="str">
        <f t="shared" ref="AO450:AO513" si="182">IF(OR($AG450="",$X450=""),"",IF(INDEX($X$2:$X$1201,$AG450)="","",IF(INDEX($X$2:$X$1201,$AG450)&gt;$X450,1,IF(INDEX($X$2:$X$1201,$AG450)&lt;$X450,-1,0))))</f>
        <v/>
      </c>
      <c r="AP450">
        <f t="shared" ref="AP450:AP513" si="183">IF($D450="",1,COUNTIFS($D$2:$D$1201,$D450,$A$2:$A$1201,$A450))</f>
        <v>1</v>
      </c>
      <c r="AQ450" t="str">
        <f>IF(SAISIE!$F455="","",SAISIE!$Y455)</f>
        <v/>
      </c>
      <c r="AR450" t="str">
        <f>IF(OR(SAISIE!$U$4="",SAISIE!$W$4=""),"",IF(AND($A450=SAISIE!$U$4,$B450=SAISIE!$W$4,$C450="S1"),COUNTIFS($A$2:$A450,SAISIE!$U$4,$B$2:$B450,SAISIE!$W$4,$C$2:$C450,"S1"),""))</f>
        <v/>
      </c>
      <c r="AS450" t="str">
        <f t="shared" ref="AS450:AS513" si="184">IF($D450="","",$A450&amp;"|"&amp;$C450&amp;"|"&amp;$D450)</f>
        <v/>
      </c>
      <c r="AT450" t="str">
        <f t="shared" ref="AT450:AT513" si="185">IF($D450="","",$A450&amp;"|"&amp;$D450&amp;"|"&amp;IF($AQ450="Parti","P","A"))</f>
        <v/>
      </c>
      <c r="AU450" t="str">
        <f t="shared" ref="AU450:AU513" si="186">IF($A450="","",$A450&amp;"|"&amp;$B450&amp;"|"&amp;$C450)</f>
        <v/>
      </c>
      <c r="AV450">
        <f>N(AV449)+IF(AND($AB450&lt;&gt;"",OR('PROFIL ELEVE'!$K$4="(Tous)",$AF450='PROFIL ELEVE'!$K$4)),1,0)</f>
        <v>0</v>
      </c>
      <c r="AW450">
        <f>N(AW449)+IF(AND($AB450&lt;&gt;"",OR('SUIVI LONGITUDINAL'!$Q$4="(Tous)",$AF450='SUIVI LONGITUDINAL'!$Q$4)),1,0)</f>
        <v>0</v>
      </c>
      <c r="AX450">
        <f t="shared" ref="AX450:AX513" si="187">COUNTIF($AH450:$AO450,1)</f>
        <v>0</v>
      </c>
      <c r="AY450">
        <f t="shared" ref="AY450:AY513" si="188">COUNTIF($AH450:$AO450,0)</f>
        <v>0</v>
      </c>
      <c r="AZ450">
        <f t="shared" ref="AZ450:AZ513" si="189">COUNTIF($AH450:$AO450,-1)</f>
        <v>0</v>
      </c>
      <c r="BA450" t="str">
        <f t="shared" ref="BA450:BA513" si="190">IF($E450="","",COUNT($Q450:$X450))</f>
        <v/>
      </c>
      <c r="BB450" t="str">
        <f t="shared" ref="BB450:BB513" si="191">IF($E450="","",IF(COUNT($Q450:$X450)&gt;=IF($Z450=2,5,8),1,0))</f>
        <v/>
      </c>
    </row>
    <row r="451" spans="1:54" ht="14.25" customHeight="1" x14ac:dyDescent="0.3">
      <c r="A451" t="str">
        <f>IF(SAISIE!$F456="","",SAISIE!$B456)</f>
        <v/>
      </c>
      <c r="B451" t="str">
        <f>IF(SAISIE!$F456="","",SAISIE!$C456)</f>
        <v/>
      </c>
      <c r="C451" t="str">
        <f>IF(SAISIE!$F456="","",SAISIE!$D456)</f>
        <v/>
      </c>
      <c r="D451" t="str">
        <f>IF(SAISIE!$E456="","",SAISIE!$E456)</f>
        <v/>
      </c>
      <c r="E451" t="str">
        <f>IF(SAISIE!$F456="","",SAISIE!$F456)</f>
        <v/>
      </c>
      <c r="F451" t="str">
        <f>IF(SAISIE!$G456="","",SAISIE!$G456)</f>
        <v/>
      </c>
      <c r="G451" t="str">
        <f>IF(SAISIE!$H456="","",SAISIE!$H456)</f>
        <v/>
      </c>
      <c r="H451" t="str">
        <f>IF(SAISIE!$I456="","",SAISIE!$I456)</f>
        <v/>
      </c>
      <c r="I451" t="str">
        <f>IF(SAISIE!$J456="","",SAISIE!$J456)</f>
        <v/>
      </c>
      <c r="J451" t="str">
        <f>IF(SAISIE!$K456="","",SAISIE!$K456)</f>
        <v/>
      </c>
      <c r="K451" t="str">
        <f>IF(SAISIE!$L456="","",SAISIE!$L456)</f>
        <v/>
      </c>
      <c r="L451" t="str">
        <f>IF(SAISIE!$M456="","",SAISIE!$M456)</f>
        <v/>
      </c>
      <c r="M451" t="str">
        <f>IF(SAISIE!$N456="","",SAISIE!$N456)</f>
        <v/>
      </c>
      <c r="N451" t="str">
        <f>IF(SAISIE!$O456="","",SAISIE!$O456)</f>
        <v/>
      </c>
      <c r="O451" t="str">
        <f>IF(SAISIE!$P456="","",SAISIE!$P456)</f>
        <v/>
      </c>
      <c r="P451" t="str">
        <f>IF(SAISIE!$Q456="","",SAISIE!$Q456)</f>
        <v/>
      </c>
      <c r="Q451" t="str">
        <f>IF($I451="","",IF($I451&gt;PARAMETRES!$G$29,5,IF($I451&gt;PARAMETRES!$F$29,4,IF($I451&gt;PARAMETRES!$E$29,3,IF($I451&gt;PARAMETRES!$D$29,2,1)))))</f>
        <v/>
      </c>
      <c r="R451" t="str">
        <f>IF($J451="","",IF($J451&gt;PARAMETRES!$G$30,5,IF($J451&gt;PARAMETRES!$F$30,4,IF($J451&gt;PARAMETRES!$E$30,3,IF($J451&gt;PARAMETRES!$D$30,2,1)))))</f>
        <v/>
      </c>
      <c r="S451" t="str">
        <f>IF($K451="","",IF($Z451=2,IF($K451&gt;PARAMETRES!$G$31,5,IF($K451&gt;PARAMETRES!$F$31,4,IF($K451&gt;PARAMETRES!$E$31,3,IF($K451&gt;PARAMETRES!$D$31,2,1)))),IF($K451&gt;PARAMETRES!$G$32,5,IF($K451&gt;PARAMETRES!$F$32,4,IF($K451&gt;PARAMETRES!$E$32,3,IF($K451&gt;PARAMETRES!$D$32,2,1))))))</f>
        <v/>
      </c>
      <c r="T451" t="str">
        <f>IF($L451="","",IF($L451&gt;PARAMETRES!$G$33,5,IF($L451&gt;PARAMETRES!$F$33,4,IF($L451&gt;PARAMETRES!$E$33,3,IF($L451&gt;PARAMETRES!$D$33,2,1)))))</f>
        <v/>
      </c>
      <c r="U451" t="str">
        <f>IF($M451="","",IF($M451&gt;PARAMETRES!$G$34,5,IF($M451&gt;PARAMETRES!$F$34,4,IF($M451&gt;PARAMETRES!$E$34,3,IF($M451&gt;PARAMETRES!$D$34,2,1)))))</f>
        <v/>
      </c>
      <c r="V451" t="str">
        <f>IF($N451="","",IF($N451&gt;PARAMETRES!$G$35,5,IF($N451&gt;PARAMETRES!$F$35,4,IF($N451&gt;PARAMETRES!$E$35,3,IF($N451&gt;PARAMETRES!$D$35,2,1)))))</f>
        <v/>
      </c>
      <c r="W451" t="str">
        <f>IF($O451="","",IF($O451&gt;PARAMETRES!$G$36,5,IF($O451&gt;PARAMETRES!$F$36,4,IF($O451&gt;PARAMETRES!$E$36,3,IF($O451&gt;PARAMETRES!$D$36,2,1)))))</f>
        <v/>
      </c>
      <c r="X451" t="str">
        <f>IF($P451="","",IF($P451&gt;PARAMETRES!$G$37,5,IF($P451&gt;PARAMETRES!$F$37,4,IF($P451&gt;PARAMETRES!$E$37,3,IF($P451&gt;PARAMETRES!$D$37,2,1)))))</f>
        <v/>
      </c>
      <c r="Y451" t="str">
        <f t="shared" si="168"/>
        <v/>
      </c>
      <c r="Z451" t="str">
        <f>IFERROR(VLOOKUP($B451,TABLE_CYCLE,2,0),"")</f>
        <v/>
      </c>
      <c r="AA451" t="str">
        <f t="shared" si="169"/>
        <v/>
      </c>
      <c r="AB451" t="str">
        <f>IF($D451="","",IF(COUNTIF($D$2:$D451,$D451)=1,$D451,""))</f>
        <v/>
      </c>
      <c r="AC451">
        <f t="shared" si="170"/>
        <v>0</v>
      </c>
      <c r="AD451" t="str">
        <f t="shared" si="171"/>
        <v>|0</v>
      </c>
      <c r="AE451" t="str">
        <f t="shared" si="172"/>
        <v/>
      </c>
      <c r="AF451" t="str">
        <f t="shared" si="173"/>
        <v/>
      </c>
      <c r="AG451" t="str">
        <f t="shared" si="174"/>
        <v/>
      </c>
      <c r="AH451" t="str">
        <f t="shared" si="175"/>
        <v/>
      </c>
      <c r="AI451" t="str">
        <f t="shared" si="176"/>
        <v/>
      </c>
      <c r="AJ451" t="str">
        <f t="shared" si="177"/>
        <v/>
      </c>
      <c r="AK451" t="str">
        <f t="shared" si="178"/>
        <v/>
      </c>
      <c r="AL451" t="str">
        <f t="shared" si="179"/>
        <v/>
      </c>
      <c r="AM451" t="str">
        <f t="shared" si="180"/>
        <v/>
      </c>
      <c r="AN451" t="str">
        <f t="shared" si="181"/>
        <v/>
      </c>
      <c r="AO451" t="str">
        <f t="shared" si="182"/>
        <v/>
      </c>
      <c r="AP451">
        <f t="shared" si="183"/>
        <v>1</v>
      </c>
      <c r="AQ451" t="str">
        <f>IF(SAISIE!$F456="","",SAISIE!$Y456)</f>
        <v/>
      </c>
      <c r="AR451" t="str">
        <f>IF(OR(SAISIE!$U$4="",SAISIE!$W$4=""),"",IF(AND($A451=SAISIE!$U$4,$B451=SAISIE!$W$4,$C451="S1"),COUNTIFS($A$2:$A451,SAISIE!$U$4,$B$2:$B451,SAISIE!$W$4,$C$2:$C451,"S1"),""))</f>
        <v/>
      </c>
      <c r="AS451" t="str">
        <f t="shared" si="184"/>
        <v/>
      </c>
      <c r="AT451" t="str">
        <f t="shared" si="185"/>
        <v/>
      </c>
      <c r="AU451" t="str">
        <f t="shared" si="186"/>
        <v/>
      </c>
      <c r="AV451">
        <f>N(AV450)+IF(AND($AB451&lt;&gt;"",OR('PROFIL ELEVE'!$K$4="(Tous)",$AF451='PROFIL ELEVE'!$K$4)),1,0)</f>
        <v>0</v>
      </c>
      <c r="AW451">
        <f>N(AW450)+IF(AND($AB451&lt;&gt;"",OR('SUIVI LONGITUDINAL'!$Q$4="(Tous)",$AF451='SUIVI LONGITUDINAL'!$Q$4)),1,0)</f>
        <v>0</v>
      </c>
      <c r="AX451">
        <f t="shared" si="187"/>
        <v>0</v>
      </c>
      <c r="AY451">
        <f t="shared" si="188"/>
        <v>0</v>
      </c>
      <c r="AZ451">
        <f t="shared" si="189"/>
        <v>0</v>
      </c>
      <c r="BA451" t="str">
        <f t="shared" si="190"/>
        <v/>
      </c>
      <c r="BB451" t="str">
        <f t="shared" si="191"/>
        <v/>
      </c>
    </row>
    <row r="452" spans="1:54" ht="14.25" customHeight="1" x14ac:dyDescent="0.3">
      <c r="A452" t="str">
        <f>IF(SAISIE!$F457="","",SAISIE!$B457)</f>
        <v/>
      </c>
      <c r="B452" t="str">
        <f>IF(SAISIE!$F457="","",SAISIE!$C457)</f>
        <v/>
      </c>
      <c r="C452" t="str">
        <f>IF(SAISIE!$F457="","",SAISIE!$D457)</f>
        <v/>
      </c>
      <c r="D452" t="str">
        <f>IF(SAISIE!$E457="","",SAISIE!$E457)</f>
        <v/>
      </c>
      <c r="E452" t="str">
        <f>IF(SAISIE!$F457="","",SAISIE!$F457)</f>
        <v/>
      </c>
      <c r="F452" t="str">
        <f>IF(SAISIE!$G457="","",SAISIE!$G457)</f>
        <v/>
      </c>
      <c r="G452" t="str">
        <f>IF(SAISIE!$H457="","",SAISIE!$H457)</f>
        <v/>
      </c>
      <c r="H452" t="str">
        <f>IF(SAISIE!$I457="","",SAISIE!$I457)</f>
        <v/>
      </c>
      <c r="I452" t="str">
        <f>IF(SAISIE!$J457="","",SAISIE!$J457)</f>
        <v/>
      </c>
      <c r="J452" t="str">
        <f>IF(SAISIE!$K457="","",SAISIE!$K457)</f>
        <v/>
      </c>
      <c r="K452" t="str">
        <f>IF(SAISIE!$L457="","",SAISIE!$L457)</f>
        <v/>
      </c>
      <c r="L452" t="str">
        <f>IF(SAISIE!$M457="","",SAISIE!$M457)</f>
        <v/>
      </c>
      <c r="M452" t="str">
        <f>IF(SAISIE!$N457="","",SAISIE!$N457)</f>
        <v/>
      </c>
      <c r="N452" t="str">
        <f>IF(SAISIE!$O457="","",SAISIE!$O457)</f>
        <v/>
      </c>
      <c r="O452" t="str">
        <f>IF(SAISIE!$P457="","",SAISIE!$P457)</f>
        <v/>
      </c>
      <c r="P452" t="str">
        <f>IF(SAISIE!$Q457="","",SAISIE!$Q457)</f>
        <v/>
      </c>
      <c r="Q452" t="str">
        <f>IF($I452="","",IF($I452&gt;PARAMETRES!$G$29,5,IF($I452&gt;PARAMETRES!$F$29,4,IF($I452&gt;PARAMETRES!$E$29,3,IF($I452&gt;PARAMETRES!$D$29,2,1)))))</f>
        <v/>
      </c>
      <c r="R452" t="str">
        <f>IF($J452="","",IF($J452&gt;PARAMETRES!$G$30,5,IF($J452&gt;PARAMETRES!$F$30,4,IF($J452&gt;PARAMETRES!$E$30,3,IF($J452&gt;PARAMETRES!$D$30,2,1)))))</f>
        <v/>
      </c>
      <c r="S452" t="str">
        <f>IF($K452="","",IF($Z452=2,IF($K452&gt;PARAMETRES!$G$31,5,IF($K452&gt;PARAMETRES!$F$31,4,IF($K452&gt;PARAMETRES!$E$31,3,IF($K452&gt;PARAMETRES!$D$31,2,1)))),IF($K452&gt;PARAMETRES!$G$32,5,IF($K452&gt;PARAMETRES!$F$32,4,IF($K452&gt;PARAMETRES!$E$32,3,IF($K452&gt;PARAMETRES!$D$32,2,1))))))</f>
        <v/>
      </c>
      <c r="T452" t="str">
        <f>IF($L452="","",IF($L452&gt;PARAMETRES!$G$33,5,IF($L452&gt;PARAMETRES!$F$33,4,IF($L452&gt;PARAMETRES!$E$33,3,IF($L452&gt;PARAMETRES!$D$33,2,1)))))</f>
        <v/>
      </c>
      <c r="U452" t="str">
        <f>IF($M452="","",IF($M452&gt;PARAMETRES!$G$34,5,IF($M452&gt;PARAMETRES!$F$34,4,IF($M452&gt;PARAMETRES!$E$34,3,IF($M452&gt;PARAMETRES!$D$34,2,1)))))</f>
        <v/>
      </c>
      <c r="V452" t="str">
        <f>IF($N452="","",IF($N452&gt;PARAMETRES!$G$35,5,IF($N452&gt;PARAMETRES!$F$35,4,IF($N452&gt;PARAMETRES!$E$35,3,IF($N452&gt;PARAMETRES!$D$35,2,1)))))</f>
        <v/>
      </c>
      <c r="W452" t="str">
        <f>IF($O452="","",IF($O452&gt;PARAMETRES!$G$36,5,IF($O452&gt;PARAMETRES!$F$36,4,IF($O452&gt;PARAMETRES!$E$36,3,IF($O452&gt;PARAMETRES!$D$36,2,1)))))</f>
        <v/>
      </c>
      <c r="X452" t="str">
        <f>IF($P452="","",IF($P452&gt;PARAMETRES!$G$37,5,IF($P452&gt;PARAMETRES!$F$37,4,IF($P452&gt;PARAMETRES!$E$37,3,IF($P452&gt;PARAMETRES!$D$37,2,1)))))</f>
        <v/>
      </c>
      <c r="Y452" t="str">
        <f t="shared" si="168"/>
        <v/>
      </c>
      <c r="Z452" t="str">
        <f>IFERROR(VLOOKUP($B452,TABLE_CYCLE,2,0),"")</f>
        <v/>
      </c>
      <c r="AA452" t="str">
        <f t="shared" si="169"/>
        <v/>
      </c>
      <c r="AB452" t="str">
        <f>IF($D452="","",IF(COUNTIF($D$2:$D452,$D452)=1,$D452,""))</f>
        <v/>
      </c>
      <c r="AC452">
        <f t="shared" si="170"/>
        <v>0</v>
      </c>
      <c r="AD452" t="str">
        <f t="shared" si="171"/>
        <v>|0</v>
      </c>
      <c r="AE452" t="str">
        <f t="shared" si="172"/>
        <v/>
      </c>
      <c r="AF452" t="str">
        <f t="shared" si="173"/>
        <v/>
      </c>
      <c r="AG452" t="str">
        <f t="shared" si="174"/>
        <v/>
      </c>
      <c r="AH452" t="str">
        <f t="shared" si="175"/>
        <v/>
      </c>
      <c r="AI452" t="str">
        <f t="shared" si="176"/>
        <v/>
      </c>
      <c r="AJ452" t="str">
        <f t="shared" si="177"/>
        <v/>
      </c>
      <c r="AK452" t="str">
        <f t="shared" si="178"/>
        <v/>
      </c>
      <c r="AL452" t="str">
        <f t="shared" si="179"/>
        <v/>
      </c>
      <c r="AM452" t="str">
        <f t="shared" si="180"/>
        <v/>
      </c>
      <c r="AN452" t="str">
        <f t="shared" si="181"/>
        <v/>
      </c>
      <c r="AO452" t="str">
        <f t="shared" si="182"/>
        <v/>
      </c>
      <c r="AP452">
        <f t="shared" si="183"/>
        <v>1</v>
      </c>
      <c r="AQ452" t="str">
        <f>IF(SAISIE!$F457="","",SAISIE!$Y457)</f>
        <v/>
      </c>
      <c r="AR452" t="str">
        <f>IF(OR(SAISIE!$U$4="",SAISIE!$W$4=""),"",IF(AND($A452=SAISIE!$U$4,$B452=SAISIE!$W$4,$C452="S1"),COUNTIFS($A$2:$A452,SAISIE!$U$4,$B$2:$B452,SAISIE!$W$4,$C$2:$C452,"S1"),""))</f>
        <v/>
      </c>
      <c r="AS452" t="str">
        <f t="shared" si="184"/>
        <v/>
      </c>
      <c r="AT452" t="str">
        <f t="shared" si="185"/>
        <v/>
      </c>
      <c r="AU452" t="str">
        <f t="shared" si="186"/>
        <v/>
      </c>
      <c r="AV452">
        <f>N(AV451)+IF(AND($AB452&lt;&gt;"",OR('PROFIL ELEVE'!$K$4="(Tous)",$AF452='PROFIL ELEVE'!$K$4)),1,0)</f>
        <v>0</v>
      </c>
      <c r="AW452">
        <f>N(AW451)+IF(AND($AB452&lt;&gt;"",OR('SUIVI LONGITUDINAL'!$Q$4="(Tous)",$AF452='SUIVI LONGITUDINAL'!$Q$4)),1,0)</f>
        <v>0</v>
      </c>
      <c r="AX452">
        <f t="shared" si="187"/>
        <v>0</v>
      </c>
      <c r="AY452">
        <f t="shared" si="188"/>
        <v>0</v>
      </c>
      <c r="AZ452">
        <f t="shared" si="189"/>
        <v>0</v>
      </c>
      <c r="BA452" t="str">
        <f t="shared" si="190"/>
        <v/>
      </c>
      <c r="BB452" t="str">
        <f t="shared" si="191"/>
        <v/>
      </c>
    </row>
    <row r="453" spans="1:54" ht="14.25" customHeight="1" x14ac:dyDescent="0.3">
      <c r="A453" t="str">
        <f>IF(SAISIE!$F458="","",SAISIE!$B458)</f>
        <v/>
      </c>
      <c r="B453" t="str">
        <f>IF(SAISIE!$F458="","",SAISIE!$C458)</f>
        <v/>
      </c>
      <c r="C453" t="str">
        <f>IF(SAISIE!$F458="","",SAISIE!$D458)</f>
        <v/>
      </c>
      <c r="D453" t="str">
        <f>IF(SAISIE!$E458="","",SAISIE!$E458)</f>
        <v/>
      </c>
      <c r="E453" t="str">
        <f>IF(SAISIE!$F458="","",SAISIE!$F458)</f>
        <v/>
      </c>
      <c r="F453" t="str">
        <f>IF(SAISIE!$G458="","",SAISIE!$G458)</f>
        <v/>
      </c>
      <c r="G453" t="str">
        <f>IF(SAISIE!$H458="","",SAISIE!$H458)</f>
        <v/>
      </c>
      <c r="H453" t="str">
        <f>IF(SAISIE!$I458="","",SAISIE!$I458)</f>
        <v/>
      </c>
      <c r="I453" t="str">
        <f>IF(SAISIE!$J458="","",SAISIE!$J458)</f>
        <v/>
      </c>
      <c r="J453" t="str">
        <f>IF(SAISIE!$K458="","",SAISIE!$K458)</f>
        <v/>
      </c>
      <c r="K453" t="str">
        <f>IF(SAISIE!$L458="","",SAISIE!$L458)</f>
        <v/>
      </c>
      <c r="L453" t="str">
        <f>IF(SAISIE!$M458="","",SAISIE!$M458)</f>
        <v/>
      </c>
      <c r="M453" t="str">
        <f>IF(SAISIE!$N458="","",SAISIE!$N458)</f>
        <v/>
      </c>
      <c r="N453" t="str">
        <f>IF(SAISIE!$O458="","",SAISIE!$O458)</f>
        <v/>
      </c>
      <c r="O453" t="str">
        <f>IF(SAISIE!$P458="","",SAISIE!$P458)</f>
        <v/>
      </c>
      <c r="P453" t="str">
        <f>IF(SAISIE!$Q458="","",SAISIE!$Q458)</f>
        <v/>
      </c>
      <c r="Q453" t="str">
        <f>IF($I453="","",IF($I453&gt;PARAMETRES!$G$29,5,IF($I453&gt;PARAMETRES!$F$29,4,IF($I453&gt;PARAMETRES!$E$29,3,IF($I453&gt;PARAMETRES!$D$29,2,1)))))</f>
        <v/>
      </c>
      <c r="R453" t="str">
        <f>IF($J453="","",IF($J453&gt;PARAMETRES!$G$30,5,IF($J453&gt;PARAMETRES!$F$30,4,IF($J453&gt;PARAMETRES!$E$30,3,IF($J453&gt;PARAMETRES!$D$30,2,1)))))</f>
        <v/>
      </c>
      <c r="S453" t="str">
        <f>IF($K453="","",IF($Z453=2,IF($K453&gt;PARAMETRES!$G$31,5,IF($K453&gt;PARAMETRES!$F$31,4,IF($K453&gt;PARAMETRES!$E$31,3,IF($K453&gt;PARAMETRES!$D$31,2,1)))),IF($K453&gt;PARAMETRES!$G$32,5,IF($K453&gt;PARAMETRES!$F$32,4,IF($K453&gt;PARAMETRES!$E$32,3,IF($K453&gt;PARAMETRES!$D$32,2,1))))))</f>
        <v/>
      </c>
      <c r="T453" t="str">
        <f>IF($L453="","",IF($L453&gt;PARAMETRES!$G$33,5,IF($L453&gt;PARAMETRES!$F$33,4,IF($L453&gt;PARAMETRES!$E$33,3,IF($L453&gt;PARAMETRES!$D$33,2,1)))))</f>
        <v/>
      </c>
      <c r="U453" t="str">
        <f>IF($M453="","",IF($M453&gt;PARAMETRES!$G$34,5,IF($M453&gt;PARAMETRES!$F$34,4,IF($M453&gt;PARAMETRES!$E$34,3,IF($M453&gt;PARAMETRES!$D$34,2,1)))))</f>
        <v/>
      </c>
      <c r="V453" t="str">
        <f>IF($N453="","",IF($N453&gt;PARAMETRES!$G$35,5,IF($N453&gt;PARAMETRES!$F$35,4,IF($N453&gt;PARAMETRES!$E$35,3,IF($N453&gt;PARAMETRES!$D$35,2,1)))))</f>
        <v/>
      </c>
      <c r="W453" t="str">
        <f>IF($O453="","",IF($O453&gt;PARAMETRES!$G$36,5,IF($O453&gt;PARAMETRES!$F$36,4,IF($O453&gt;PARAMETRES!$E$36,3,IF($O453&gt;PARAMETRES!$D$36,2,1)))))</f>
        <v/>
      </c>
      <c r="X453" t="str">
        <f>IF($P453="","",IF($P453&gt;PARAMETRES!$G$37,5,IF($P453&gt;PARAMETRES!$F$37,4,IF($P453&gt;PARAMETRES!$E$37,3,IF($P453&gt;PARAMETRES!$D$37,2,1)))))</f>
        <v/>
      </c>
      <c r="Y453" t="str">
        <f t="shared" si="168"/>
        <v/>
      </c>
      <c r="Z453" t="str">
        <f>IFERROR(VLOOKUP($B453,TABLE_CYCLE,2,0),"")</f>
        <v/>
      </c>
      <c r="AA453" t="str">
        <f t="shared" si="169"/>
        <v/>
      </c>
      <c r="AB453" t="str">
        <f>IF($D453="","",IF(COUNTIF($D$2:$D453,$D453)=1,$D453,""))</f>
        <v/>
      </c>
      <c r="AC453">
        <f t="shared" si="170"/>
        <v>0</v>
      </c>
      <c r="AD453" t="str">
        <f t="shared" si="171"/>
        <v>|0</v>
      </c>
      <c r="AE453" t="str">
        <f t="shared" si="172"/>
        <v/>
      </c>
      <c r="AF453" t="str">
        <f t="shared" si="173"/>
        <v/>
      </c>
      <c r="AG453" t="str">
        <f t="shared" si="174"/>
        <v/>
      </c>
      <c r="AH453" t="str">
        <f t="shared" si="175"/>
        <v/>
      </c>
      <c r="AI453" t="str">
        <f t="shared" si="176"/>
        <v/>
      </c>
      <c r="AJ453" t="str">
        <f t="shared" si="177"/>
        <v/>
      </c>
      <c r="AK453" t="str">
        <f t="shared" si="178"/>
        <v/>
      </c>
      <c r="AL453" t="str">
        <f t="shared" si="179"/>
        <v/>
      </c>
      <c r="AM453" t="str">
        <f t="shared" si="180"/>
        <v/>
      </c>
      <c r="AN453" t="str">
        <f t="shared" si="181"/>
        <v/>
      </c>
      <c r="AO453" t="str">
        <f t="shared" si="182"/>
        <v/>
      </c>
      <c r="AP453">
        <f t="shared" si="183"/>
        <v>1</v>
      </c>
      <c r="AQ453" t="str">
        <f>IF(SAISIE!$F458="","",SAISIE!$Y458)</f>
        <v/>
      </c>
      <c r="AR453" t="str">
        <f>IF(OR(SAISIE!$U$4="",SAISIE!$W$4=""),"",IF(AND($A453=SAISIE!$U$4,$B453=SAISIE!$W$4,$C453="S1"),COUNTIFS($A$2:$A453,SAISIE!$U$4,$B$2:$B453,SAISIE!$W$4,$C$2:$C453,"S1"),""))</f>
        <v/>
      </c>
      <c r="AS453" t="str">
        <f t="shared" si="184"/>
        <v/>
      </c>
      <c r="AT453" t="str">
        <f t="shared" si="185"/>
        <v/>
      </c>
      <c r="AU453" t="str">
        <f t="shared" si="186"/>
        <v/>
      </c>
      <c r="AV453">
        <f>N(AV452)+IF(AND($AB453&lt;&gt;"",OR('PROFIL ELEVE'!$K$4="(Tous)",$AF453='PROFIL ELEVE'!$K$4)),1,0)</f>
        <v>0</v>
      </c>
      <c r="AW453">
        <f>N(AW452)+IF(AND($AB453&lt;&gt;"",OR('SUIVI LONGITUDINAL'!$Q$4="(Tous)",$AF453='SUIVI LONGITUDINAL'!$Q$4)),1,0)</f>
        <v>0</v>
      </c>
      <c r="AX453">
        <f t="shared" si="187"/>
        <v>0</v>
      </c>
      <c r="AY453">
        <f t="shared" si="188"/>
        <v>0</v>
      </c>
      <c r="AZ453">
        <f t="shared" si="189"/>
        <v>0</v>
      </c>
      <c r="BA453" t="str">
        <f t="shared" si="190"/>
        <v/>
      </c>
      <c r="BB453" t="str">
        <f t="shared" si="191"/>
        <v/>
      </c>
    </row>
    <row r="454" spans="1:54" ht="14.25" customHeight="1" x14ac:dyDescent="0.3">
      <c r="A454" t="str">
        <f>IF(SAISIE!$F459="","",SAISIE!$B459)</f>
        <v/>
      </c>
      <c r="B454" t="str">
        <f>IF(SAISIE!$F459="","",SAISIE!$C459)</f>
        <v/>
      </c>
      <c r="C454" t="str">
        <f>IF(SAISIE!$F459="","",SAISIE!$D459)</f>
        <v/>
      </c>
      <c r="D454" t="str">
        <f>IF(SAISIE!$E459="","",SAISIE!$E459)</f>
        <v/>
      </c>
      <c r="E454" t="str">
        <f>IF(SAISIE!$F459="","",SAISIE!$F459)</f>
        <v/>
      </c>
      <c r="F454" t="str">
        <f>IF(SAISIE!$G459="","",SAISIE!$G459)</f>
        <v/>
      </c>
      <c r="G454" t="str">
        <f>IF(SAISIE!$H459="","",SAISIE!$H459)</f>
        <v/>
      </c>
      <c r="H454" t="str">
        <f>IF(SAISIE!$I459="","",SAISIE!$I459)</f>
        <v/>
      </c>
      <c r="I454" t="str">
        <f>IF(SAISIE!$J459="","",SAISIE!$J459)</f>
        <v/>
      </c>
      <c r="J454" t="str">
        <f>IF(SAISIE!$K459="","",SAISIE!$K459)</f>
        <v/>
      </c>
      <c r="K454" t="str">
        <f>IF(SAISIE!$L459="","",SAISIE!$L459)</f>
        <v/>
      </c>
      <c r="L454" t="str">
        <f>IF(SAISIE!$M459="","",SAISIE!$M459)</f>
        <v/>
      </c>
      <c r="M454" t="str">
        <f>IF(SAISIE!$N459="","",SAISIE!$N459)</f>
        <v/>
      </c>
      <c r="N454" t="str">
        <f>IF(SAISIE!$O459="","",SAISIE!$O459)</f>
        <v/>
      </c>
      <c r="O454" t="str">
        <f>IF(SAISIE!$P459="","",SAISIE!$P459)</f>
        <v/>
      </c>
      <c r="P454" t="str">
        <f>IF(SAISIE!$Q459="","",SAISIE!$Q459)</f>
        <v/>
      </c>
      <c r="Q454" t="str">
        <f>IF($I454="","",IF($I454&gt;PARAMETRES!$G$29,5,IF($I454&gt;PARAMETRES!$F$29,4,IF($I454&gt;PARAMETRES!$E$29,3,IF($I454&gt;PARAMETRES!$D$29,2,1)))))</f>
        <v/>
      </c>
      <c r="R454" t="str">
        <f>IF($J454="","",IF($J454&gt;PARAMETRES!$G$30,5,IF($J454&gt;PARAMETRES!$F$30,4,IF($J454&gt;PARAMETRES!$E$30,3,IF($J454&gt;PARAMETRES!$D$30,2,1)))))</f>
        <v/>
      </c>
      <c r="S454" t="str">
        <f>IF($K454="","",IF($Z454=2,IF($K454&gt;PARAMETRES!$G$31,5,IF($K454&gt;PARAMETRES!$F$31,4,IF($K454&gt;PARAMETRES!$E$31,3,IF($K454&gt;PARAMETRES!$D$31,2,1)))),IF($K454&gt;PARAMETRES!$G$32,5,IF($K454&gt;PARAMETRES!$F$32,4,IF($K454&gt;PARAMETRES!$E$32,3,IF($K454&gt;PARAMETRES!$D$32,2,1))))))</f>
        <v/>
      </c>
      <c r="T454" t="str">
        <f>IF($L454="","",IF($L454&gt;PARAMETRES!$G$33,5,IF($L454&gt;PARAMETRES!$F$33,4,IF($L454&gt;PARAMETRES!$E$33,3,IF($L454&gt;PARAMETRES!$D$33,2,1)))))</f>
        <v/>
      </c>
      <c r="U454" t="str">
        <f>IF($M454="","",IF($M454&gt;PARAMETRES!$G$34,5,IF($M454&gt;PARAMETRES!$F$34,4,IF($M454&gt;PARAMETRES!$E$34,3,IF($M454&gt;PARAMETRES!$D$34,2,1)))))</f>
        <v/>
      </c>
      <c r="V454" t="str">
        <f>IF($N454="","",IF($N454&gt;PARAMETRES!$G$35,5,IF($N454&gt;PARAMETRES!$F$35,4,IF($N454&gt;PARAMETRES!$E$35,3,IF($N454&gt;PARAMETRES!$D$35,2,1)))))</f>
        <v/>
      </c>
      <c r="W454" t="str">
        <f>IF($O454="","",IF($O454&gt;PARAMETRES!$G$36,5,IF($O454&gt;PARAMETRES!$F$36,4,IF($O454&gt;PARAMETRES!$E$36,3,IF($O454&gt;PARAMETRES!$D$36,2,1)))))</f>
        <v/>
      </c>
      <c r="X454" t="str">
        <f>IF($P454="","",IF($P454&gt;PARAMETRES!$G$37,5,IF($P454&gt;PARAMETRES!$F$37,4,IF($P454&gt;PARAMETRES!$E$37,3,IF($P454&gt;PARAMETRES!$D$37,2,1)))))</f>
        <v/>
      </c>
      <c r="Y454" t="str">
        <f t="shared" si="168"/>
        <v/>
      </c>
      <c r="Z454" t="str">
        <f>IFERROR(VLOOKUP($B454,TABLE_CYCLE,2,0),"")</f>
        <v/>
      </c>
      <c r="AA454" t="str">
        <f t="shared" si="169"/>
        <v/>
      </c>
      <c r="AB454" t="str">
        <f>IF($D454="","",IF(COUNTIF($D$2:$D454,$D454)=1,$D454,""))</f>
        <v/>
      </c>
      <c r="AC454">
        <f t="shared" si="170"/>
        <v>0</v>
      </c>
      <c r="AD454" t="str">
        <f t="shared" si="171"/>
        <v>|0</v>
      </c>
      <c r="AE454" t="str">
        <f t="shared" si="172"/>
        <v/>
      </c>
      <c r="AF454" t="str">
        <f t="shared" si="173"/>
        <v/>
      </c>
      <c r="AG454" t="str">
        <f t="shared" si="174"/>
        <v/>
      </c>
      <c r="AH454" t="str">
        <f t="shared" si="175"/>
        <v/>
      </c>
      <c r="AI454" t="str">
        <f t="shared" si="176"/>
        <v/>
      </c>
      <c r="AJ454" t="str">
        <f t="shared" si="177"/>
        <v/>
      </c>
      <c r="AK454" t="str">
        <f t="shared" si="178"/>
        <v/>
      </c>
      <c r="AL454" t="str">
        <f t="shared" si="179"/>
        <v/>
      </c>
      <c r="AM454" t="str">
        <f t="shared" si="180"/>
        <v/>
      </c>
      <c r="AN454" t="str">
        <f t="shared" si="181"/>
        <v/>
      </c>
      <c r="AO454" t="str">
        <f t="shared" si="182"/>
        <v/>
      </c>
      <c r="AP454">
        <f t="shared" si="183"/>
        <v>1</v>
      </c>
      <c r="AQ454" t="str">
        <f>IF(SAISIE!$F459="","",SAISIE!$Y459)</f>
        <v/>
      </c>
      <c r="AR454" t="str">
        <f>IF(OR(SAISIE!$U$4="",SAISIE!$W$4=""),"",IF(AND($A454=SAISIE!$U$4,$B454=SAISIE!$W$4,$C454="S1"),COUNTIFS($A$2:$A454,SAISIE!$U$4,$B$2:$B454,SAISIE!$W$4,$C$2:$C454,"S1"),""))</f>
        <v/>
      </c>
      <c r="AS454" t="str">
        <f t="shared" si="184"/>
        <v/>
      </c>
      <c r="AT454" t="str">
        <f t="shared" si="185"/>
        <v/>
      </c>
      <c r="AU454" t="str">
        <f t="shared" si="186"/>
        <v/>
      </c>
      <c r="AV454">
        <f>N(AV453)+IF(AND($AB454&lt;&gt;"",OR('PROFIL ELEVE'!$K$4="(Tous)",$AF454='PROFIL ELEVE'!$K$4)),1,0)</f>
        <v>0</v>
      </c>
      <c r="AW454">
        <f>N(AW453)+IF(AND($AB454&lt;&gt;"",OR('SUIVI LONGITUDINAL'!$Q$4="(Tous)",$AF454='SUIVI LONGITUDINAL'!$Q$4)),1,0)</f>
        <v>0</v>
      </c>
      <c r="AX454">
        <f t="shared" si="187"/>
        <v>0</v>
      </c>
      <c r="AY454">
        <f t="shared" si="188"/>
        <v>0</v>
      </c>
      <c r="AZ454">
        <f t="shared" si="189"/>
        <v>0</v>
      </c>
      <c r="BA454" t="str">
        <f t="shared" si="190"/>
        <v/>
      </c>
      <c r="BB454" t="str">
        <f t="shared" si="191"/>
        <v/>
      </c>
    </row>
    <row r="455" spans="1:54" ht="14.25" customHeight="1" x14ac:dyDescent="0.3">
      <c r="A455" t="str">
        <f>IF(SAISIE!$F460="","",SAISIE!$B460)</f>
        <v/>
      </c>
      <c r="B455" t="str">
        <f>IF(SAISIE!$F460="","",SAISIE!$C460)</f>
        <v/>
      </c>
      <c r="C455" t="str">
        <f>IF(SAISIE!$F460="","",SAISIE!$D460)</f>
        <v/>
      </c>
      <c r="D455" t="str">
        <f>IF(SAISIE!$E460="","",SAISIE!$E460)</f>
        <v/>
      </c>
      <c r="E455" t="str">
        <f>IF(SAISIE!$F460="","",SAISIE!$F460)</f>
        <v/>
      </c>
      <c r="F455" t="str">
        <f>IF(SAISIE!$G460="","",SAISIE!$G460)</f>
        <v/>
      </c>
      <c r="G455" t="str">
        <f>IF(SAISIE!$H460="","",SAISIE!$H460)</f>
        <v/>
      </c>
      <c r="H455" t="str">
        <f>IF(SAISIE!$I460="","",SAISIE!$I460)</f>
        <v/>
      </c>
      <c r="I455" t="str">
        <f>IF(SAISIE!$J460="","",SAISIE!$J460)</f>
        <v/>
      </c>
      <c r="J455" t="str">
        <f>IF(SAISIE!$K460="","",SAISIE!$K460)</f>
        <v/>
      </c>
      <c r="K455" t="str">
        <f>IF(SAISIE!$L460="","",SAISIE!$L460)</f>
        <v/>
      </c>
      <c r="L455" t="str">
        <f>IF(SAISIE!$M460="","",SAISIE!$M460)</f>
        <v/>
      </c>
      <c r="M455" t="str">
        <f>IF(SAISIE!$N460="","",SAISIE!$N460)</f>
        <v/>
      </c>
      <c r="N455" t="str">
        <f>IF(SAISIE!$O460="","",SAISIE!$O460)</f>
        <v/>
      </c>
      <c r="O455" t="str">
        <f>IF(SAISIE!$P460="","",SAISIE!$P460)</f>
        <v/>
      </c>
      <c r="P455" t="str">
        <f>IF(SAISIE!$Q460="","",SAISIE!$Q460)</f>
        <v/>
      </c>
      <c r="Q455" t="str">
        <f>IF($I455="","",IF($I455&gt;PARAMETRES!$G$29,5,IF($I455&gt;PARAMETRES!$F$29,4,IF($I455&gt;PARAMETRES!$E$29,3,IF($I455&gt;PARAMETRES!$D$29,2,1)))))</f>
        <v/>
      </c>
      <c r="R455" t="str">
        <f>IF($J455="","",IF($J455&gt;PARAMETRES!$G$30,5,IF($J455&gt;PARAMETRES!$F$30,4,IF($J455&gt;PARAMETRES!$E$30,3,IF($J455&gt;PARAMETRES!$D$30,2,1)))))</f>
        <v/>
      </c>
      <c r="S455" t="str">
        <f>IF($K455="","",IF($Z455=2,IF($K455&gt;PARAMETRES!$G$31,5,IF($K455&gt;PARAMETRES!$F$31,4,IF($K455&gt;PARAMETRES!$E$31,3,IF($K455&gt;PARAMETRES!$D$31,2,1)))),IF($K455&gt;PARAMETRES!$G$32,5,IF($K455&gt;PARAMETRES!$F$32,4,IF($K455&gt;PARAMETRES!$E$32,3,IF($K455&gt;PARAMETRES!$D$32,2,1))))))</f>
        <v/>
      </c>
      <c r="T455" t="str">
        <f>IF($L455="","",IF($L455&gt;PARAMETRES!$G$33,5,IF($L455&gt;PARAMETRES!$F$33,4,IF($L455&gt;PARAMETRES!$E$33,3,IF($L455&gt;PARAMETRES!$D$33,2,1)))))</f>
        <v/>
      </c>
      <c r="U455" t="str">
        <f>IF($M455="","",IF($M455&gt;PARAMETRES!$G$34,5,IF($M455&gt;PARAMETRES!$F$34,4,IF($M455&gt;PARAMETRES!$E$34,3,IF($M455&gt;PARAMETRES!$D$34,2,1)))))</f>
        <v/>
      </c>
      <c r="V455" t="str">
        <f>IF($N455="","",IF($N455&gt;PARAMETRES!$G$35,5,IF($N455&gt;PARAMETRES!$F$35,4,IF($N455&gt;PARAMETRES!$E$35,3,IF($N455&gt;PARAMETRES!$D$35,2,1)))))</f>
        <v/>
      </c>
      <c r="W455" t="str">
        <f>IF($O455="","",IF($O455&gt;PARAMETRES!$G$36,5,IF($O455&gt;PARAMETRES!$F$36,4,IF($O455&gt;PARAMETRES!$E$36,3,IF($O455&gt;PARAMETRES!$D$36,2,1)))))</f>
        <v/>
      </c>
      <c r="X455" t="str">
        <f>IF($P455="","",IF($P455&gt;PARAMETRES!$G$37,5,IF($P455&gt;PARAMETRES!$F$37,4,IF($P455&gt;PARAMETRES!$E$37,3,IF($P455&gt;PARAMETRES!$D$37,2,1)))))</f>
        <v/>
      </c>
      <c r="Y455" t="str">
        <f t="shared" si="168"/>
        <v/>
      </c>
      <c r="Z455" t="str">
        <f>IFERROR(VLOOKUP($B455,TABLE_CYCLE,2,0),"")</f>
        <v/>
      </c>
      <c r="AA455" t="str">
        <f t="shared" si="169"/>
        <v/>
      </c>
      <c r="AB455" t="str">
        <f>IF($D455="","",IF(COUNTIF($D$2:$D455,$D455)=1,$D455,""))</f>
        <v/>
      </c>
      <c r="AC455">
        <f t="shared" si="170"/>
        <v>0</v>
      </c>
      <c r="AD455" t="str">
        <f t="shared" si="171"/>
        <v>|0</v>
      </c>
      <c r="AE455" t="str">
        <f t="shared" si="172"/>
        <v/>
      </c>
      <c r="AF455" t="str">
        <f t="shared" si="173"/>
        <v/>
      </c>
      <c r="AG455" t="str">
        <f t="shared" si="174"/>
        <v/>
      </c>
      <c r="AH455" t="str">
        <f t="shared" si="175"/>
        <v/>
      </c>
      <c r="AI455" t="str">
        <f t="shared" si="176"/>
        <v/>
      </c>
      <c r="AJ455" t="str">
        <f t="shared" si="177"/>
        <v/>
      </c>
      <c r="AK455" t="str">
        <f t="shared" si="178"/>
        <v/>
      </c>
      <c r="AL455" t="str">
        <f t="shared" si="179"/>
        <v/>
      </c>
      <c r="AM455" t="str">
        <f t="shared" si="180"/>
        <v/>
      </c>
      <c r="AN455" t="str">
        <f t="shared" si="181"/>
        <v/>
      </c>
      <c r="AO455" t="str">
        <f t="shared" si="182"/>
        <v/>
      </c>
      <c r="AP455">
        <f t="shared" si="183"/>
        <v>1</v>
      </c>
      <c r="AQ455" t="str">
        <f>IF(SAISIE!$F460="","",SAISIE!$Y460)</f>
        <v/>
      </c>
      <c r="AR455" t="str">
        <f>IF(OR(SAISIE!$U$4="",SAISIE!$W$4=""),"",IF(AND($A455=SAISIE!$U$4,$B455=SAISIE!$W$4,$C455="S1"),COUNTIFS($A$2:$A455,SAISIE!$U$4,$B$2:$B455,SAISIE!$W$4,$C$2:$C455,"S1"),""))</f>
        <v/>
      </c>
      <c r="AS455" t="str">
        <f t="shared" si="184"/>
        <v/>
      </c>
      <c r="AT455" t="str">
        <f t="shared" si="185"/>
        <v/>
      </c>
      <c r="AU455" t="str">
        <f t="shared" si="186"/>
        <v/>
      </c>
      <c r="AV455">
        <f>N(AV454)+IF(AND($AB455&lt;&gt;"",OR('PROFIL ELEVE'!$K$4="(Tous)",$AF455='PROFIL ELEVE'!$K$4)),1,0)</f>
        <v>0</v>
      </c>
      <c r="AW455">
        <f>N(AW454)+IF(AND($AB455&lt;&gt;"",OR('SUIVI LONGITUDINAL'!$Q$4="(Tous)",$AF455='SUIVI LONGITUDINAL'!$Q$4)),1,0)</f>
        <v>0</v>
      </c>
      <c r="AX455">
        <f t="shared" si="187"/>
        <v>0</v>
      </c>
      <c r="AY455">
        <f t="shared" si="188"/>
        <v>0</v>
      </c>
      <c r="AZ455">
        <f t="shared" si="189"/>
        <v>0</v>
      </c>
      <c r="BA455" t="str">
        <f t="shared" si="190"/>
        <v/>
      </c>
      <c r="BB455" t="str">
        <f t="shared" si="191"/>
        <v/>
      </c>
    </row>
    <row r="456" spans="1:54" ht="14.25" customHeight="1" x14ac:dyDescent="0.3">
      <c r="A456" t="str">
        <f>IF(SAISIE!$F461="","",SAISIE!$B461)</f>
        <v/>
      </c>
      <c r="B456" t="str">
        <f>IF(SAISIE!$F461="","",SAISIE!$C461)</f>
        <v/>
      </c>
      <c r="C456" t="str">
        <f>IF(SAISIE!$F461="","",SAISIE!$D461)</f>
        <v/>
      </c>
      <c r="D456" t="str">
        <f>IF(SAISIE!$E461="","",SAISIE!$E461)</f>
        <v/>
      </c>
      <c r="E456" t="str">
        <f>IF(SAISIE!$F461="","",SAISIE!$F461)</f>
        <v/>
      </c>
      <c r="F456" t="str">
        <f>IF(SAISIE!$G461="","",SAISIE!$G461)</f>
        <v/>
      </c>
      <c r="G456" t="str">
        <f>IF(SAISIE!$H461="","",SAISIE!$H461)</f>
        <v/>
      </c>
      <c r="H456" t="str">
        <f>IF(SAISIE!$I461="","",SAISIE!$I461)</f>
        <v/>
      </c>
      <c r="I456" t="str">
        <f>IF(SAISIE!$J461="","",SAISIE!$J461)</f>
        <v/>
      </c>
      <c r="J456" t="str">
        <f>IF(SAISIE!$K461="","",SAISIE!$K461)</f>
        <v/>
      </c>
      <c r="K456" t="str">
        <f>IF(SAISIE!$L461="","",SAISIE!$L461)</f>
        <v/>
      </c>
      <c r="L456" t="str">
        <f>IF(SAISIE!$M461="","",SAISIE!$M461)</f>
        <v/>
      </c>
      <c r="M456" t="str">
        <f>IF(SAISIE!$N461="","",SAISIE!$N461)</f>
        <v/>
      </c>
      <c r="N456" t="str">
        <f>IF(SAISIE!$O461="","",SAISIE!$O461)</f>
        <v/>
      </c>
      <c r="O456" t="str">
        <f>IF(SAISIE!$P461="","",SAISIE!$P461)</f>
        <v/>
      </c>
      <c r="P456" t="str">
        <f>IF(SAISIE!$Q461="","",SAISIE!$Q461)</f>
        <v/>
      </c>
      <c r="Q456" t="str">
        <f>IF($I456="","",IF($I456&gt;PARAMETRES!$G$29,5,IF($I456&gt;PARAMETRES!$F$29,4,IF($I456&gt;PARAMETRES!$E$29,3,IF($I456&gt;PARAMETRES!$D$29,2,1)))))</f>
        <v/>
      </c>
      <c r="R456" t="str">
        <f>IF($J456="","",IF($J456&gt;PARAMETRES!$G$30,5,IF($J456&gt;PARAMETRES!$F$30,4,IF($J456&gt;PARAMETRES!$E$30,3,IF($J456&gt;PARAMETRES!$D$30,2,1)))))</f>
        <v/>
      </c>
      <c r="S456" t="str">
        <f>IF($K456="","",IF($Z456=2,IF($K456&gt;PARAMETRES!$G$31,5,IF($K456&gt;PARAMETRES!$F$31,4,IF($K456&gt;PARAMETRES!$E$31,3,IF($K456&gt;PARAMETRES!$D$31,2,1)))),IF($K456&gt;PARAMETRES!$G$32,5,IF($K456&gt;PARAMETRES!$F$32,4,IF($K456&gt;PARAMETRES!$E$32,3,IF($K456&gt;PARAMETRES!$D$32,2,1))))))</f>
        <v/>
      </c>
      <c r="T456" t="str">
        <f>IF($L456="","",IF($L456&gt;PARAMETRES!$G$33,5,IF($L456&gt;PARAMETRES!$F$33,4,IF($L456&gt;PARAMETRES!$E$33,3,IF($L456&gt;PARAMETRES!$D$33,2,1)))))</f>
        <v/>
      </c>
      <c r="U456" t="str">
        <f>IF($M456="","",IF($M456&gt;PARAMETRES!$G$34,5,IF($M456&gt;PARAMETRES!$F$34,4,IF($M456&gt;PARAMETRES!$E$34,3,IF($M456&gt;PARAMETRES!$D$34,2,1)))))</f>
        <v/>
      </c>
      <c r="V456" t="str">
        <f>IF($N456="","",IF($N456&gt;PARAMETRES!$G$35,5,IF($N456&gt;PARAMETRES!$F$35,4,IF($N456&gt;PARAMETRES!$E$35,3,IF($N456&gt;PARAMETRES!$D$35,2,1)))))</f>
        <v/>
      </c>
      <c r="W456" t="str">
        <f>IF($O456="","",IF($O456&gt;PARAMETRES!$G$36,5,IF($O456&gt;PARAMETRES!$F$36,4,IF($O456&gt;PARAMETRES!$E$36,3,IF($O456&gt;PARAMETRES!$D$36,2,1)))))</f>
        <v/>
      </c>
      <c r="X456" t="str">
        <f>IF($P456="","",IF($P456&gt;PARAMETRES!$G$37,5,IF($P456&gt;PARAMETRES!$F$37,4,IF($P456&gt;PARAMETRES!$E$37,3,IF($P456&gt;PARAMETRES!$D$37,2,1)))))</f>
        <v/>
      </c>
      <c r="Y456" t="str">
        <f t="shared" si="168"/>
        <v/>
      </c>
      <c r="Z456" t="str">
        <f>IFERROR(VLOOKUP($B456,TABLE_CYCLE,2,0),"")</f>
        <v/>
      </c>
      <c r="AA456" t="str">
        <f t="shared" si="169"/>
        <v/>
      </c>
      <c r="AB456" t="str">
        <f>IF($D456="","",IF(COUNTIF($D$2:$D456,$D456)=1,$D456,""))</f>
        <v/>
      </c>
      <c r="AC456">
        <f t="shared" si="170"/>
        <v>0</v>
      </c>
      <c r="AD456" t="str">
        <f t="shared" si="171"/>
        <v>|0</v>
      </c>
      <c r="AE456" t="str">
        <f t="shared" si="172"/>
        <v/>
      </c>
      <c r="AF456" t="str">
        <f t="shared" si="173"/>
        <v/>
      </c>
      <c r="AG456" t="str">
        <f t="shared" si="174"/>
        <v/>
      </c>
      <c r="AH456" t="str">
        <f t="shared" si="175"/>
        <v/>
      </c>
      <c r="AI456" t="str">
        <f t="shared" si="176"/>
        <v/>
      </c>
      <c r="AJ456" t="str">
        <f t="shared" si="177"/>
        <v/>
      </c>
      <c r="AK456" t="str">
        <f t="shared" si="178"/>
        <v/>
      </c>
      <c r="AL456" t="str">
        <f t="shared" si="179"/>
        <v/>
      </c>
      <c r="AM456" t="str">
        <f t="shared" si="180"/>
        <v/>
      </c>
      <c r="AN456" t="str">
        <f t="shared" si="181"/>
        <v/>
      </c>
      <c r="AO456" t="str">
        <f t="shared" si="182"/>
        <v/>
      </c>
      <c r="AP456">
        <f t="shared" si="183"/>
        <v>1</v>
      </c>
      <c r="AQ456" t="str">
        <f>IF(SAISIE!$F461="","",SAISIE!$Y461)</f>
        <v/>
      </c>
      <c r="AR456" t="str">
        <f>IF(OR(SAISIE!$U$4="",SAISIE!$W$4=""),"",IF(AND($A456=SAISIE!$U$4,$B456=SAISIE!$W$4,$C456="S1"),COUNTIFS($A$2:$A456,SAISIE!$U$4,$B$2:$B456,SAISIE!$W$4,$C$2:$C456,"S1"),""))</f>
        <v/>
      </c>
      <c r="AS456" t="str">
        <f t="shared" si="184"/>
        <v/>
      </c>
      <c r="AT456" t="str">
        <f t="shared" si="185"/>
        <v/>
      </c>
      <c r="AU456" t="str">
        <f t="shared" si="186"/>
        <v/>
      </c>
      <c r="AV456">
        <f>N(AV455)+IF(AND($AB456&lt;&gt;"",OR('PROFIL ELEVE'!$K$4="(Tous)",$AF456='PROFIL ELEVE'!$K$4)),1,0)</f>
        <v>0</v>
      </c>
      <c r="AW456">
        <f>N(AW455)+IF(AND($AB456&lt;&gt;"",OR('SUIVI LONGITUDINAL'!$Q$4="(Tous)",$AF456='SUIVI LONGITUDINAL'!$Q$4)),1,0)</f>
        <v>0</v>
      </c>
      <c r="AX456">
        <f t="shared" si="187"/>
        <v>0</v>
      </c>
      <c r="AY456">
        <f t="shared" si="188"/>
        <v>0</v>
      </c>
      <c r="AZ456">
        <f t="shared" si="189"/>
        <v>0</v>
      </c>
      <c r="BA456" t="str">
        <f t="shared" si="190"/>
        <v/>
      </c>
      <c r="BB456" t="str">
        <f t="shared" si="191"/>
        <v/>
      </c>
    </row>
    <row r="457" spans="1:54" ht="14.25" customHeight="1" x14ac:dyDescent="0.3">
      <c r="A457" t="str">
        <f>IF(SAISIE!$F462="","",SAISIE!$B462)</f>
        <v/>
      </c>
      <c r="B457" t="str">
        <f>IF(SAISIE!$F462="","",SAISIE!$C462)</f>
        <v/>
      </c>
      <c r="C457" t="str">
        <f>IF(SAISIE!$F462="","",SAISIE!$D462)</f>
        <v/>
      </c>
      <c r="D457" t="str">
        <f>IF(SAISIE!$E462="","",SAISIE!$E462)</f>
        <v/>
      </c>
      <c r="E457" t="str">
        <f>IF(SAISIE!$F462="","",SAISIE!$F462)</f>
        <v/>
      </c>
      <c r="F457" t="str">
        <f>IF(SAISIE!$G462="","",SAISIE!$G462)</f>
        <v/>
      </c>
      <c r="G457" t="str">
        <f>IF(SAISIE!$H462="","",SAISIE!$H462)</f>
        <v/>
      </c>
      <c r="H457" t="str">
        <f>IF(SAISIE!$I462="","",SAISIE!$I462)</f>
        <v/>
      </c>
      <c r="I457" t="str">
        <f>IF(SAISIE!$J462="","",SAISIE!$J462)</f>
        <v/>
      </c>
      <c r="J457" t="str">
        <f>IF(SAISIE!$K462="","",SAISIE!$K462)</f>
        <v/>
      </c>
      <c r="K457" t="str">
        <f>IF(SAISIE!$L462="","",SAISIE!$L462)</f>
        <v/>
      </c>
      <c r="L457" t="str">
        <f>IF(SAISIE!$M462="","",SAISIE!$M462)</f>
        <v/>
      </c>
      <c r="M457" t="str">
        <f>IF(SAISIE!$N462="","",SAISIE!$N462)</f>
        <v/>
      </c>
      <c r="N457" t="str">
        <f>IF(SAISIE!$O462="","",SAISIE!$O462)</f>
        <v/>
      </c>
      <c r="O457" t="str">
        <f>IF(SAISIE!$P462="","",SAISIE!$P462)</f>
        <v/>
      </c>
      <c r="P457" t="str">
        <f>IF(SAISIE!$Q462="","",SAISIE!$Q462)</f>
        <v/>
      </c>
      <c r="Q457" t="str">
        <f>IF($I457="","",IF($I457&gt;PARAMETRES!$G$29,5,IF($I457&gt;PARAMETRES!$F$29,4,IF($I457&gt;PARAMETRES!$E$29,3,IF($I457&gt;PARAMETRES!$D$29,2,1)))))</f>
        <v/>
      </c>
      <c r="R457" t="str">
        <f>IF($J457="","",IF($J457&gt;PARAMETRES!$G$30,5,IF($J457&gt;PARAMETRES!$F$30,4,IF($J457&gt;PARAMETRES!$E$30,3,IF($J457&gt;PARAMETRES!$D$30,2,1)))))</f>
        <v/>
      </c>
      <c r="S457" t="str">
        <f>IF($K457="","",IF($Z457=2,IF($K457&gt;PARAMETRES!$G$31,5,IF($K457&gt;PARAMETRES!$F$31,4,IF($K457&gt;PARAMETRES!$E$31,3,IF($K457&gt;PARAMETRES!$D$31,2,1)))),IF($K457&gt;PARAMETRES!$G$32,5,IF($K457&gt;PARAMETRES!$F$32,4,IF($K457&gt;PARAMETRES!$E$32,3,IF($K457&gt;PARAMETRES!$D$32,2,1))))))</f>
        <v/>
      </c>
      <c r="T457" t="str">
        <f>IF($L457="","",IF($L457&gt;PARAMETRES!$G$33,5,IF($L457&gt;PARAMETRES!$F$33,4,IF($L457&gt;PARAMETRES!$E$33,3,IF($L457&gt;PARAMETRES!$D$33,2,1)))))</f>
        <v/>
      </c>
      <c r="U457" t="str">
        <f>IF($M457="","",IF($M457&gt;PARAMETRES!$G$34,5,IF($M457&gt;PARAMETRES!$F$34,4,IF($M457&gt;PARAMETRES!$E$34,3,IF($M457&gt;PARAMETRES!$D$34,2,1)))))</f>
        <v/>
      </c>
      <c r="V457" t="str">
        <f>IF($N457="","",IF($N457&gt;PARAMETRES!$G$35,5,IF($N457&gt;PARAMETRES!$F$35,4,IF($N457&gt;PARAMETRES!$E$35,3,IF($N457&gt;PARAMETRES!$D$35,2,1)))))</f>
        <v/>
      </c>
      <c r="W457" t="str">
        <f>IF($O457="","",IF($O457&gt;PARAMETRES!$G$36,5,IF($O457&gt;PARAMETRES!$F$36,4,IF($O457&gt;PARAMETRES!$E$36,3,IF($O457&gt;PARAMETRES!$D$36,2,1)))))</f>
        <v/>
      </c>
      <c r="X457" t="str">
        <f>IF($P457="","",IF($P457&gt;PARAMETRES!$G$37,5,IF($P457&gt;PARAMETRES!$F$37,4,IF($P457&gt;PARAMETRES!$E$37,3,IF($P457&gt;PARAMETRES!$D$37,2,1)))))</f>
        <v/>
      </c>
      <c r="Y457" t="str">
        <f t="shared" si="168"/>
        <v/>
      </c>
      <c r="Z457" t="str">
        <f>IFERROR(VLOOKUP($B457,TABLE_CYCLE,2,0),"")</f>
        <v/>
      </c>
      <c r="AA457" t="str">
        <f t="shared" si="169"/>
        <v/>
      </c>
      <c r="AB457" t="str">
        <f>IF($D457="","",IF(COUNTIF($D$2:$D457,$D457)=1,$D457,""))</f>
        <v/>
      </c>
      <c r="AC457">
        <f t="shared" si="170"/>
        <v>0</v>
      </c>
      <c r="AD457" t="str">
        <f t="shared" si="171"/>
        <v>|0</v>
      </c>
      <c r="AE457" t="str">
        <f t="shared" si="172"/>
        <v/>
      </c>
      <c r="AF457" t="str">
        <f t="shared" si="173"/>
        <v/>
      </c>
      <c r="AG457" t="str">
        <f t="shared" si="174"/>
        <v/>
      </c>
      <c r="AH457" t="str">
        <f t="shared" si="175"/>
        <v/>
      </c>
      <c r="AI457" t="str">
        <f t="shared" si="176"/>
        <v/>
      </c>
      <c r="AJ457" t="str">
        <f t="shared" si="177"/>
        <v/>
      </c>
      <c r="AK457" t="str">
        <f t="shared" si="178"/>
        <v/>
      </c>
      <c r="AL457" t="str">
        <f t="shared" si="179"/>
        <v/>
      </c>
      <c r="AM457" t="str">
        <f t="shared" si="180"/>
        <v/>
      </c>
      <c r="AN457" t="str">
        <f t="shared" si="181"/>
        <v/>
      </c>
      <c r="AO457" t="str">
        <f t="shared" si="182"/>
        <v/>
      </c>
      <c r="AP457">
        <f t="shared" si="183"/>
        <v>1</v>
      </c>
      <c r="AQ457" t="str">
        <f>IF(SAISIE!$F462="","",SAISIE!$Y462)</f>
        <v/>
      </c>
      <c r="AR457" t="str">
        <f>IF(OR(SAISIE!$U$4="",SAISIE!$W$4=""),"",IF(AND($A457=SAISIE!$U$4,$B457=SAISIE!$W$4,$C457="S1"),COUNTIFS($A$2:$A457,SAISIE!$U$4,$B$2:$B457,SAISIE!$W$4,$C$2:$C457,"S1"),""))</f>
        <v/>
      </c>
      <c r="AS457" t="str">
        <f t="shared" si="184"/>
        <v/>
      </c>
      <c r="AT457" t="str">
        <f t="shared" si="185"/>
        <v/>
      </c>
      <c r="AU457" t="str">
        <f t="shared" si="186"/>
        <v/>
      </c>
      <c r="AV457">
        <f>N(AV456)+IF(AND($AB457&lt;&gt;"",OR('PROFIL ELEVE'!$K$4="(Tous)",$AF457='PROFIL ELEVE'!$K$4)),1,0)</f>
        <v>0</v>
      </c>
      <c r="AW457">
        <f>N(AW456)+IF(AND($AB457&lt;&gt;"",OR('SUIVI LONGITUDINAL'!$Q$4="(Tous)",$AF457='SUIVI LONGITUDINAL'!$Q$4)),1,0)</f>
        <v>0</v>
      </c>
      <c r="AX457">
        <f t="shared" si="187"/>
        <v>0</v>
      </c>
      <c r="AY457">
        <f t="shared" si="188"/>
        <v>0</v>
      </c>
      <c r="AZ457">
        <f t="shared" si="189"/>
        <v>0</v>
      </c>
      <c r="BA457" t="str">
        <f t="shared" si="190"/>
        <v/>
      </c>
      <c r="BB457" t="str">
        <f t="shared" si="191"/>
        <v/>
      </c>
    </row>
    <row r="458" spans="1:54" ht="14.25" customHeight="1" x14ac:dyDescent="0.3">
      <c r="A458" t="str">
        <f>IF(SAISIE!$F463="","",SAISIE!$B463)</f>
        <v/>
      </c>
      <c r="B458" t="str">
        <f>IF(SAISIE!$F463="","",SAISIE!$C463)</f>
        <v/>
      </c>
      <c r="C458" t="str">
        <f>IF(SAISIE!$F463="","",SAISIE!$D463)</f>
        <v/>
      </c>
      <c r="D458" t="str">
        <f>IF(SAISIE!$E463="","",SAISIE!$E463)</f>
        <v/>
      </c>
      <c r="E458" t="str">
        <f>IF(SAISIE!$F463="","",SAISIE!$F463)</f>
        <v/>
      </c>
      <c r="F458" t="str">
        <f>IF(SAISIE!$G463="","",SAISIE!$G463)</f>
        <v/>
      </c>
      <c r="G458" t="str">
        <f>IF(SAISIE!$H463="","",SAISIE!$H463)</f>
        <v/>
      </c>
      <c r="H458" t="str">
        <f>IF(SAISIE!$I463="","",SAISIE!$I463)</f>
        <v/>
      </c>
      <c r="I458" t="str">
        <f>IF(SAISIE!$J463="","",SAISIE!$J463)</f>
        <v/>
      </c>
      <c r="J458" t="str">
        <f>IF(SAISIE!$K463="","",SAISIE!$K463)</f>
        <v/>
      </c>
      <c r="K458" t="str">
        <f>IF(SAISIE!$L463="","",SAISIE!$L463)</f>
        <v/>
      </c>
      <c r="L458" t="str">
        <f>IF(SAISIE!$M463="","",SAISIE!$M463)</f>
        <v/>
      </c>
      <c r="M458" t="str">
        <f>IF(SAISIE!$N463="","",SAISIE!$N463)</f>
        <v/>
      </c>
      <c r="N458" t="str">
        <f>IF(SAISIE!$O463="","",SAISIE!$O463)</f>
        <v/>
      </c>
      <c r="O458" t="str">
        <f>IF(SAISIE!$P463="","",SAISIE!$P463)</f>
        <v/>
      </c>
      <c r="P458" t="str">
        <f>IF(SAISIE!$Q463="","",SAISIE!$Q463)</f>
        <v/>
      </c>
      <c r="Q458" t="str">
        <f>IF($I458="","",IF($I458&gt;PARAMETRES!$G$29,5,IF($I458&gt;PARAMETRES!$F$29,4,IF($I458&gt;PARAMETRES!$E$29,3,IF($I458&gt;PARAMETRES!$D$29,2,1)))))</f>
        <v/>
      </c>
      <c r="R458" t="str">
        <f>IF($J458="","",IF($J458&gt;PARAMETRES!$G$30,5,IF($J458&gt;PARAMETRES!$F$30,4,IF($J458&gt;PARAMETRES!$E$30,3,IF($J458&gt;PARAMETRES!$D$30,2,1)))))</f>
        <v/>
      </c>
      <c r="S458" t="str">
        <f>IF($K458="","",IF($Z458=2,IF($K458&gt;PARAMETRES!$G$31,5,IF($K458&gt;PARAMETRES!$F$31,4,IF($K458&gt;PARAMETRES!$E$31,3,IF($K458&gt;PARAMETRES!$D$31,2,1)))),IF($K458&gt;PARAMETRES!$G$32,5,IF($K458&gt;PARAMETRES!$F$32,4,IF($K458&gt;PARAMETRES!$E$32,3,IF($K458&gt;PARAMETRES!$D$32,2,1))))))</f>
        <v/>
      </c>
      <c r="T458" t="str">
        <f>IF($L458="","",IF($L458&gt;PARAMETRES!$G$33,5,IF($L458&gt;PARAMETRES!$F$33,4,IF($L458&gt;PARAMETRES!$E$33,3,IF($L458&gt;PARAMETRES!$D$33,2,1)))))</f>
        <v/>
      </c>
      <c r="U458" t="str">
        <f>IF($M458="","",IF($M458&gt;PARAMETRES!$G$34,5,IF($M458&gt;PARAMETRES!$F$34,4,IF($M458&gt;PARAMETRES!$E$34,3,IF($M458&gt;PARAMETRES!$D$34,2,1)))))</f>
        <v/>
      </c>
      <c r="V458" t="str">
        <f>IF($N458="","",IF($N458&gt;PARAMETRES!$G$35,5,IF($N458&gt;PARAMETRES!$F$35,4,IF($N458&gt;PARAMETRES!$E$35,3,IF($N458&gt;PARAMETRES!$D$35,2,1)))))</f>
        <v/>
      </c>
      <c r="W458" t="str">
        <f>IF($O458="","",IF($O458&gt;PARAMETRES!$G$36,5,IF($O458&gt;PARAMETRES!$F$36,4,IF($O458&gt;PARAMETRES!$E$36,3,IF($O458&gt;PARAMETRES!$D$36,2,1)))))</f>
        <v/>
      </c>
      <c r="X458" t="str">
        <f>IF($P458="","",IF($P458&gt;PARAMETRES!$G$37,5,IF($P458&gt;PARAMETRES!$F$37,4,IF($P458&gt;PARAMETRES!$E$37,3,IF($P458&gt;PARAMETRES!$D$37,2,1)))))</f>
        <v/>
      </c>
      <c r="Y458" t="str">
        <f t="shared" si="168"/>
        <v/>
      </c>
      <c r="Z458" t="str">
        <f>IFERROR(VLOOKUP($B458,TABLE_CYCLE,2,0),"")</f>
        <v/>
      </c>
      <c r="AA458" t="str">
        <f t="shared" si="169"/>
        <v/>
      </c>
      <c r="AB458" t="str">
        <f>IF($D458="","",IF(COUNTIF($D$2:$D458,$D458)=1,$D458,""))</f>
        <v/>
      </c>
      <c r="AC458">
        <f t="shared" si="170"/>
        <v>0</v>
      </c>
      <c r="AD458" t="str">
        <f t="shared" si="171"/>
        <v>|0</v>
      </c>
      <c r="AE458" t="str">
        <f t="shared" si="172"/>
        <v/>
      </c>
      <c r="AF458" t="str">
        <f t="shared" si="173"/>
        <v/>
      </c>
      <c r="AG458" t="str">
        <f t="shared" si="174"/>
        <v/>
      </c>
      <c r="AH458" t="str">
        <f t="shared" si="175"/>
        <v/>
      </c>
      <c r="AI458" t="str">
        <f t="shared" si="176"/>
        <v/>
      </c>
      <c r="AJ458" t="str">
        <f t="shared" si="177"/>
        <v/>
      </c>
      <c r="AK458" t="str">
        <f t="shared" si="178"/>
        <v/>
      </c>
      <c r="AL458" t="str">
        <f t="shared" si="179"/>
        <v/>
      </c>
      <c r="AM458" t="str">
        <f t="shared" si="180"/>
        <v/>
      </c>
      <c r="AN458" t="str">
        <f t="shared" si="181"/>
        <v/>
      </c>
      <c r="AO458" t="str">
        <f t="shared" si="182"/>
        <v/>
      </c>
      <c r="AP458">
        <f t="shared" si="183"/>
        <v>1</v>
      </c>
      <c r="AQ458" t="str">
        <f>IF(SAISIE!$F463="","",SAISIE!$Y463)</f>
        <v/>
      </c>
      <c r="AR458" t="str">
        <f>IF(OR(SAISIE!$U$4="",SAISIE!$W$4=""),"",IF(AND($A458=SAISIE!$U$4,$B458=SAISIE!$W$4,$C458="S1"),COUNTIFS($A$2:$A458,SAISIE!$U$4,$B$2:$B458,SAISIE!$W$4,$C$2:$C458,"S1"),""))</f>
        <v/>
      </c>
      <c r="AS458" t="str">
        <f t="shared" si="184"/>
        <v/>
      </c>
      <c r="AT458" t="str">
        <f t="shared" si="185"/>
        <v/>
      </c>
      <c r="AU458" t="str">
        <f t="shared" si="186"/>
        <v/>
      </c>
      <c r="AV458">
        <f>N(AV457)+IF(AND($AB458&lt;&gt;"",OR('PROFIL ELEVE'!$K$4="(Tous)",$AF458='PROFIL ELEVE'!$K$4)),1,0)</f>
        <v>0</v>
      </c>
      <c r="AW458">
        <f>N(AW457)+IF(AND($AB458&lt;&gt;"",OR('SUIVI LONGITUDINAL'!$Q$4="(Tous)",$AF458='SUIVI LONGITUDINAL'!$Q$4)),1,0)</f>
        <v>0</v>
      </c>
      <c r="AX458">
        <f t="shared" si="187"/>
        <v>0</v>
      </c>
      <c r="AY458">
        <f t="shared" si="188"/>
        <v>0</v>
      </c>
      <c r="AZ458">
        <f t="shared" si="189"/>
        <v>0</v>
      </c>
      <c r="BA458" t="str">
        <f t="shared" si="190"/>
        <v/>
      </c>
      <c r="BB458" t="str">
        <f t="shared" si="191"/>
        <v/>
      </c>
    </row>
    <row r="459" spans="1:54" ht="14.25" customHeight="1" x14ac:dyDescent="0.3">
      <c r="A459" t="str">
        <f>IF(SAISIE!$F464="","",SAISIE!$B464)</f>
        <v/>
      </c>
      <c r="B459" t="str">
        <f>IF(SAISIE!$F464="","",SAISIE!$C464)</f>
        <v/>
      </c>
      <c r="C459" t="str">
        <f>IF(SAISIE!$F464="","",SAISIE!$D464)</f>
        <v/>
      </c>
      <c r="D459" t="str">
        <f>IF(SAISIE!$E464="","",SAISIE!$E464)</f>
        <v/>
      </c>
      <c r="E459" t="str">
        <f>IF(SAISIE!$F464="","",SAISIE!$F464)</f>
        <v/>
      </c>
      <c r="F459" t="str">
        <f>IF(SAISIE!$G464="","",SAISIE!$G464)</f>
        <v/>
      </c>
      <c r="G459" t="str">
        <f>IF(SAISIE!$H464="","",SAISIE!$H464)</f>
        <v/>
      </c>
      <c r="H459" t="str">
        <f>IF(SAISIE!$I464="","",SAISIE!$I464)</f>
        <v/>
      </c>
      <c r="I459" t="str">
        <f>IF(SAISIE!$J464="","",SAISIE!$J464)</f>
        <v/>
      </c>
      <c r="J459" t="str">
        <f>IF(SAISIE!$K464="","",SAISIE!$K464)</f>
        <v/>
      </c>
      <c r="K459" t="str">
        <f>IF(SAISIE!$L464="","",SAISIE!$L464)</f>
        <v/>
      </c>
      <c r="L459" t="str">
        <f>IF(SAISIE!$M464="","",SAISIE!$M464)</f>
        <v/>
      </c>
      <c r="M459" t="str">
        <f>IF(SAISIE!$N464="","",SAISIE!$N464)</f>
        <v/>
      </c>
      <c r="N459" t="str">
        <f>IF(SAISIE!$O464="","",SAISIE!$O464)</f>
        <v/>
      </c>
      <c r="O459" t="str">
        <f>IF(SAISIE!$P464="","",SAISIE!$P464)</f>
        <v/>
      </c>
      <c r="P459" t="str">
        <f>IF(SAISIE!$Q464="","",SAISIE!$Q464)</f>
        <v/>
      </c>
      <c r="Q459" t="str">
        <f>IF($I459="","",IF($I459&gt;PARAMETRES!$G$29,5,IF($I459&gt;PARAMETRES!$F$29,4,IF($I459&gt;PARAMETRES!$E$29,3,IF($I459&gt;PARAMETRES!$D$29,2,1)))))</f>
        <v/>
      </c>
      <c r="R459" t="str">
        <f>IF($J459="","",IF($J459&gt;PARAMETRES!$G$30,5,IF($J459&gt;PARAMETRES!$F$30,4,IF($J459&gt;PARAMETRES!$E$30,3,IF($J459&gt;PARAMETRES!$D$30,2,1)))))</f>
        <v/>
      </c>
      <c r="S459" t="str">
        <f>IF($K459="","",IF($Z459=2,IF($K459&gt;PARAMETRES!$G$31,5,IF($K459&gt;PARAMETRES!$F$31,4,IF($K459&gt;PARAMETRES!$E$31,3,IF($K459&gt;PARAMETRES!$D$31,2,1)))),IF($K459&gt;PARAMETRES!$G$32,5,IF($K459&gt;PARAMETRES!$F$32,4,IF($K459&gt;PARAMETRES!$E$32,3,IF($K459&gt;PARAMETRES!$D$32,2,1))))))</f>
        <v/>
      </c>
      <c r="T459" t="str">
        <f>IF($L459="","",IF($L459&gt;PARAMETRES!$G$33,5,IF($L459&gt;PARAMETRES!$F$33,4,IF($L459&gt;PARAMETRES!$E$33,3,IF($L459&gt;PARAMETRES!$D$33,2,1)))))</f>
        <v/>
      </c>
      <c r="U459" t="str">
        <f>IF($M459="","",IF($M459&gt;PARAMETRES!$G$34,5,IF($M459&gt;PARAMETRES!$F$34,4,IF($M459&gt;PARAMETRES!$E$34,3,IF($M459&gt;PARAMETRES!$D$34,2,1)))))</f>
        <v/>
      </c>
      <c r="V459" t="str">
        <f>IF($N459="","",IF($N459&gt;PARAMETRES!$G$35,5,IF($N459&gt;PARAMETRES!$F$35,4,IF($N459&gt;PARAMETRES!$E$35,3,IF($N459&gt;PARAMETRES!$D$35,2,1)))))</f>
        <v/>
      </c>
      <c r="W459" t="str">
        <f>IF($O459="","",IF($O459&gt;PARAMETRES!$G$36,5,IF($O459&gt;PARAMETRES!$F$36,4,IF($O459&gt;PARAMETRES!$E$36,3,IF($O459&gt;PARAMETRES!$D$36,2,1)))))</f>
        <v/>
      </c>
      <c r="X459" t="str">
        <f>IF($P459="","",IF($P459&gt;PARAMETRES!$G$37,5,IF($P459&gt;PARAMETRES!$F$37,4,IF($P459&gt;PARAMETRES!$E$37,3,IF($P459&gt;PARAMETRES!$D$37,2,1)))))</f>
        <v/>
      </c>
      <c r="Y459" t="str">
        <f t="shared" si="168"/>
        <v/>
      </c>
      <c r="Z459" t="str">
        <f>IFERROR(VLOOKUP($B459,TABLE_CYCLE,2,0),"")</f>
        <v/>
      </c>
      <c r="AA459" t="str">
        <f t="shared" si="169"/>
        <v/>
      </c>
      <c r="AB459" t="str">
        <f>IF($D459="","",IF(COUNTIF($D$2:$D459,$D459)=1,$D459,""))</f>
        <v/>
      </c>
      <c r="AC459">
        <f t="shared" si="170"/>
        <v>0</v>
      </c>
      <c r="AD459" t="str">
        <f t="shared" si="171"/>
        <v>|0</v>
      </c>
      <c r="AE459" t="str">
        <f t="shared" si="172"/>
        <v/>
      </c>
      <c r="AF459" t="str">
        <f t="shared" si="173"/>
        <v/>
      </c>
      <c r="AG459" t="str">
        <f t="shared" si="174"/>
        <v/>
      </c>
      <c r="AH459" t="str">
        <f t="shared" si="175"/>
        <v/>
      </c>
      <c r="AI459" t="str">
        <f t="shared" si="176"/>
        <v/>
      </c>
      <c r="AJ459" t="str">
        <f t="shared" si="177"/>
        <v/>
      </c>
      <c r="AK459" t="str">
        <f t="shared" si="178"/>
        <v/>
      </c>
      <c r="AL459" t="str">
        <f t="shared" si="179"/>
        <v/>
      </c>
      <c r="AM459" t="str">
        <f t="shared" si="180"/>
        <v/>
      </c>
      <c r="AN459" t="str">
        <f t="shared" si="181"/>
        <v/>
      </c>
      <c r="AO459" t="str">
        <f t="shared" si="182"/>
        <v/>
      </c>
      <c r="AP459">
        <f t="shared" si="183"/>
        <v>1</v>
      </c>
      <c r="AQ459" t="str">
        <f>IF(SAISIE!$F464="","",SAISIE!$Y464)</f>
        <v/>
      </c>
      <c r="AR459" t="str">
        <f>IF(OR(SAISIE!$U$4="",SAISIE!$W$4=""),"",IF(AND($A459=SAISIE!$U$4,$B459=SAISIE!$W$4,$C459="S1"),COUNTIFS($A$2:$A459,SAISIE!$U$4,$B$2:$B459,SAISIE!$W$4,$C$2:$C459,"S1"),""))</f>
        <v/>
      </c>
      <c r="AS459" t="str">
        <f t="shared" si="184"/>
        <v/>
      </c>
      <c r="AT459" t="str">
        <f t="shared" si="185"/>
        <v/>
      </c>
      <c r="AU459" t="str">
        <f t="shared" si="186"/>
        <v/>
      </c>
      <c r="AV459">
        <f>N(AV458)+IF(AND($AB459&lt;&gt;"",OR('PROFIL ELEVE'!$K$4="(Tous)",$AF459='PROFIL ELEVE'!$K$4)),1,0)</f>
        <v>0</v>
      </c>
      <c r="AW459">
        <f>N(AW458)+IF(AND($AB459&lt;&gt;"",OR('SUIVI LONGITUDINAL'!$Q$4="(Tous)",$AF459='SUIVI LONGITUDINAL'!$Q$4)),1,0)</f>
        <v>0</v>
      </c>
      <c r="AX459">
        <f t="shared" si="187"/>
        <v>0</v>
      </c>
      <c r="AY459">
        <f t="shared" si="188"/>
        <v>0</v>
      </c>
      <c r="AZ459">
        <f t="shared" si="189"/>
        <v>0</v>
      </c>
      <c r="BA459" t="str">
        <f t="shared" si="190"/>
        <v/>
      </c>
      <c r="BB459" t="str">
        <f t="shared" si="191"/>
        <v/>
      </c>
    </row>
    <row r="460" spans="1:54" ht="14.25" customHeight="1" x14ac:dyDescent="0.3">
      <c r="A460" t="str">
        <f>IF(SAISIE!$F465="","",SAISIE!$B465)</f>
        <v/>
      </c>
      <c r="B460" t="str">
        <f>IF(SAISIE!$F465="","",SAISIE!$C465)</f>
        <v/>
      </c>
      <c r="C460" t="str">
        <f>IF(SAISIE!$F465="","",SAISIE!$D465)</f>
        <v/>
      </c>
      <c r="D460" t="str">
        <f>IF(SAISIE!$E465="","",SAISIE!$E465)</f>
        <v/>
      </c>
      <c r="E460" t="str">
        <f>IF(SAISIE!$F465="","",SAISIE!$F465)</f>
        <v/>
      </c>
      <c r="F460" t="str">
        <f>IF(SAISIE!$G465="","",SAISIE!$G465)</f>
        <v/>
      </c>
      <c r="G460" t="str">
        <f>IF(SAISIE!$H465="","",SAISIE!$H465)</f>
        <v/>
      </c>
      <c r="H460" t="str">
        <f>IF(SAISIE!$I465="","",SAISIE!$I465)</f>
        <v/>
      </c>
      <c r="I460" t="str">
        <f>IF(SAISIE!$J465="","",SAISIE!$J465)</f>
        <v/>
      </c>
      <c r="J460" t="str">
        <f>IF(SAISIE!$K465="","",SAISIE!$K465)</f>
        <v/>
      </c>
      <c r="K460" t="str">
        <f>IF(SAISIE!$L465="","",SAISIE!$L465)</f>
        <v/>
      </c>
      <c r="L460" t="str">
        <f>IF(SAISIE!$M465="","",SAISIE!$M465)</f>
        <v/>
      </c>
      <c r="M460" t="str">
        <f>IF(SAISIE!$N465="","",SAISIE!$N465)</f>
        <v/>
      </c>
      <c r="N460" t="str">
        <f>IF(SAISIE!$O465="","",SAISIE!$O465)</f>
        <v/>
      </c>
      <c r="O460" t="str">
        <f>IF(SAISIE!$P465="","",SAISIE!$P465)</f>
        <v/>
      </c>
      <c r="P460" t="str">
        <f>IF(SAISIE!$Q465="","",SAISIE!$Q465)</f>
        <v/>
      </c>
      <c r="Q460" t="str">
        <f>IF($I460="","",IF($I460&gt;PARAMETRES!$G$29,5,IF($I460&gt;PARAMETRES!$F$29,4,IF($I460&gt;PARAMETRES!$E$29,3,IF($I460&gt;PARAMETRES!$D$29,2,1)))))</f>
        <v/>
      </c>
      <c r="R460" t="str">
        <f>IF($J460="","",IF($J460&gt;PARAMETRES!$G$30,5,IF($J460&gt;PARAMETRES!$F$30,4,IF($J460&gt;PARAMETRES!$E$30,3,IF($J460&gt;PARAMETRES!$D$30,2,1)))))</f>
        <v/>
      </c>
      <c r="S460" t="str">
        <f>IF($K460="","",IF($Z460=2,IF($K460&gt;PARAMETRES!$G$31,5,IF($K460&gt;PARAMETRES!$F$31,4,IF($K460&gt;PARAMETRES!$E$31,3,IF($K460&gt;PARAMETRES!$D$31,2,1)))),IF($K460&gt;PARAMETRES!$G$32,5,IF($K460&gt;PARAMETRES!$F$32,4,IF($K460&gt;PARAMETRES!$E$32,3,IF($K460&gt;PARAMETRES!$D$32,2,1))))))</f>
        <v/>
      </c>
      <c r="T460" t="str">
        <f>IF($L460="","",IF($L460&gt;PARAMETRES!$G$33,5,IF($L460&gt;PARAMETRES!$F$33,4,IF($L460&gt;PARAMETRES!$E$33,3,IF($L460&gt;PARAMETRES!$D$33,2,1)))))</f>
        <v/>
      </c>
      <c r="U460" t="str">
        <f>IF($M460="","",IF($M460&gt;PARAMETRES!$G$34,5,IF($M460&gt;PARAMETRES!$F$34,4,IF($M460&gt;PARAMETRES!$E$34,3,IF($M460&gt;PARAMETRES!$D$34,2,1)))))</f>
        <v/>
      </c>
      <c r="V460" t="str">
        <f>IF($N460="","",IF($N460&gt;PARAMETRES!$G$35,5,IF($N460&gt;PARAMETRES!$F$35,4,IF($N460&gt;PARAMETRES!$E$35,3,IF($N460&gt;PARAMETRES!$D$35,2,1)))))</f>
        <v/>
      </c>
      <c r="W460" t="str">
        <f>IF($O460="","",IF($O460&gt;PARAMETRES!$G$36,5,IF($O460&gt;PARAMETRES!$F$36,4,IF($O460&gt;PARAMETRES!$E$36,3,IF($O460&gt;PARAMETRES!$D$36,2,1)))))</f>
        <v/>
      </c>
      <c r="X460" t="str">
        <f>IF($P460="","",IF($P460&gt;PARAMETRES!$G$37,5,IF($P460&gt;PARAMETRES!$F$37,4,IF($P460&gt;PARAMETRES!$E$37,3,IF($P460&gt;PARAMETRES!$D$37,2,1)))))</f>
        <v/>
      </c>
      <c r="Y460" t="str">
        <f t="shared" si="168"/>
        <v/>
      </c>
      <c r="Z460" t="str">
        <f>IFERROR(VLOOKUP($B460,TABLE_CYCLE,2,0),"")</f>
        <v/>
      </c>
      <c r="AA460" t="str">
        <f t="shared" si="169"/>
        <v/>
      </c>
      <c r="AB460" t="str">
        <f>IF($D460="","",IF(COUNTIF($D$2:$D460,$D460)=1,$D460,""))</f>
        <v/>
      </c>
      <c r="AC460">
        <f t="shared" si="170"/>
        <v>0</v>
      </c>
      <c r="AD460" t="str">
        <f t="shared" si="171"/>
        <v>|0</v>
      </c>
      <c r="AE460" t="str">
        <f t="shared" si="172"/>
        <v/>
      </c>
      <c r="AF460" t="str">
        <f t="shared" si="173"/>
        <v/>
      </c>
      <c r="AG460" t="str">
        <f t="shared" si="174"/>
        <v/>
      </c>
      <c r="AH460" t="str">
        <f t="shared" si="175"/>
        <v/>
      </c>
      <c r="AI460" t="str">
        <f t="shared" si="176"/>
        <v/>
      </c>
      <c r="AJ460" t="str">
        <f t="shared" si="177"/>
        <v/>
      </c>
      <c r="AK460" t="str">
        <f t="shared" si="178"/>
        <v/>
      </c>
      <c r="AL460" t="str">
        <f t="shared" si="179"/>
        <v/>
      </c>
      <c r="AM460" t="str">
        <f t="shared" si="180"/>
        <v/>
      </c>
      <c r="AN460" t="str">
        <f t="shared" si="181"/>
        <v/>
      </c>
      <c r="AO460" t="str">
        <f t="shared" si="182"/>
        <v/>
      </c>
      <c r="AP460">
        <f t="shared" si="183"/>
        <v>1</v>
      </c>
      <c r="AQ460" t="str">
        <f>IF(SAISIE!$F465="","",SAISIE!$Y465)</f>
        <v/>
      </c>
      <c r="AR460" t="str">
        <f>IF(OR(SAISIE!$U$4="",SAISIE!$W$4=""),"",IF(AND($A460=SAISIE!$U$4,$B460=SAISIE!$W$4,$C460="S1"),COUNTIFS($A$2:$A460,SAISIE!$U$4,$B$2:$B460,SAISIE!$W$4,$C$2:$C460,"S1"),""))</f>
        <v/>
      </c>
      <c r="AS460" t="str">
        <f t="shared" si="184"/>
        <v/>
      </c>
      <c r="AT460" t="str">
        <f t="shared" si="185"/>
        <v/>
      </c>
      <c r="AU460" t="str">
        <f t="shared" si="186"/>
        <v/>
      </c>
      <c r="AV460">
        <f>N(AV459)+IF(AND($AB460&lt;&gt;"",OR('PROFIL ELEVE'!$K$4="(Tous)",$AF460='PROFIL ELEVE'!$K$4)),1,0)</f>
        <v>0</v>
      </c>
      <c r="AW460">
        <f>N(AW459)+IF(AND($AB460&lt;&gt;"",OR('SUIVI LONGITUDINAL'!$Q$4="(Tous)",$AF460='SUIVI LONGITUDINAL'!$Q$4)),1,0)</f>
        <v>0</v>
      </c>
      <c r="AX460">
        <f t="shared" si="187"/>
        <v>0</v>
      </c>
      <c r="AY460">
        <f t="shared" si="188"/>
        <v>0</v>
      </c>
      <c r="AZ460">
        <f t="shared" si="189"/>
        <v>0</v>
      </c>
      <c r="BA460" t="str">
        <f t="shared" si="190"/>
        <v/>
      </c>
      <c r="BB460" t="str">
        <f t="shared" si="191"/>
        <v/>
      </c>
    </row>
    <row r="461" spans="1:54" ht="14.25" customHeight="1" x14ac:dyDescent="0.3">
      <c r="A461" t="str">
        <f>IF(SAISIE!$F466="","",SAISIE!$B466)</f>
        <v/>
      </c>
      <c r="B461" t="str">
        <f>IF(SAISIE!$F466="","",SAISIE!$C466)</f>
        <v/>
      </c>
      <c r="C461" t="str">
        <f>IF(SAISIE!$F466="","",SAISIE!$D466)</f>
        <v/>
      </c>
      <c r="D461" t="str">
        <f>IF(SAISIE!$E466="","",SAISIE!$E466)</f>
        <v/>
      </c>
      <c r="E461" t="str">
        <f>IF(SAISIE!$F466="","",SAISIE!$F466)</f>
        <v/>
      </c>
      <c r="F461" t="str">
        <f>IF(SAISIE!$G466="","",SAISIE!$G466)</f>
        <v/>
      </c>
      <c r="G461" t="str">
        <f>IF(SAISIE!$H466="","",SAISIE!$H466)</f>
        <v/>
      </c>
      <c r="H461" t="str">
        <f>IF(SAISIE!$I466="","",SAISIE!$I466)</f>
        <v/>
      </c>
      <c r="I461" t="str">
        <f>IF(SAISIE!$J466="","",SAISIE!$J466)</f>
        <v/>
      </c>
      <c r="J461" t="str">
        <f>IF(SAISIE!$K466="","",SAISIE!$K466)</f>
        <v/>
      </c>
      <c r="K461" t="str">
        <f>IF(SAISIE!$L466="","",SAISIE!$L466)</f>
        <v/>
      </c>
      <c r="L461" t="str">
        <f>IF(SAISIE!$M466="","",SAISIE!$M466)</f>
        <v/>
      </c>
      <c r="M461" t="str">
        <f>IF(SAISIE!$N466="","",SAISIE!$N466)</f>
        <v/>
      </c>
      <c r="N461" t="str">
        <f>IF(SAISIE!$O466="","",SAISIE!$O466)</f>
        <v/>
      </c>
      <c r="O461" t="str">
        <f>IF(SAISIE!$P466="","",SAISIE!$P466)</f>
        <v/>
      </c>
      <c r="P461" t="str">
        <f>IF(SAISIE!$Q466="","",SAISIE!$Q466)</f>
        <v/>
      </c>
      <c r="Q461" t="str">
        <f>IF($I461="","",IF($I461&gt;PARAMETRES!$G$29,5,IF($I461&gt;PARAMETRES!$F$29,4,IF($I461&gt;PARAMETRES!$E$29,3,IF($I461&gt;PARAMETRES!$D$29,2,1)))))</f>
        <v/>
      </c>
      <c r="R461" t="str">
        <f>IF($J461="","",IF($J461&gt;PARAMETRES!$G$30,5,IF($J461&gt;PARAMETRES!$F$30,4,IF($J461&gt;PARAMETRES!$E$30,3,IF($J461&gt;PARAMETRES!$D$30,2,1)))))</f>
        <v/>
      </c>
      <c r="S461" t="str">
        <f>IF($K461="","",IF($Z461=2,IF($K461&gt;PARAMETRES!$G$31,5,IF($K461&gt;PARAMETRES!$F$31,4,IF($K461&gt;PARAMETRES!$E$31,3,IF($K461&gt;PARAMETRES!$D$31,2,1)))),IF($K461&gt;PARAMETRES!$G$32,5,IF($K461&gt;PARAMETRES!$F$32,4,IF($K461&gt;PARAMETRES!$E$32,3,IF($K461&gt;PARAMETRES!$D$32,2,1))))))</f>
        <v/>
      </c>
      <c r="T461" t="str">
        <f>IF($L461="","",IF($L461&gt;PARAMETRES!$G$33,5,IF($L461&gt;PARAMETRES!$F$33,4,IF($L461&gt;PARAMETRES!$E$33,3,IF($L461&gt;PARAMETRES!$D$33,2,1)))))</f>
        <v/>
      </c>
      <c r="U461" t="str">
        <f>IF($M461="","",IF($M461&gt;PARAMETRES!$G$34,5,IF($M461&gt;PARAMETRES!$F$34,4,IF($M461&gt;PARAMETRES!$E$34,3,IF($M461&gt;PARAMETRES!$D$34,2,1)))))</f>
        <v/>
      </c>
      <c r="V461" t="str">
        <f>IF($N461="","",IF($N461&gt;PARAMETRES!$G$35,5,IF($N461&gt;PARAMETRES!$F$35,4,IF($N461&gt;PARAMETRES!$E$35,3,IF($N461&gt;PARAMETRES!$D$35,2,1)))))</f>
        <v/>
      </c>
      <c r="W461" t="str">
        <f>IF($O461="","",IF($O461&gt;PARAMETRES!$G$36,5,IF($O461&gt;PARAMETRES!$F$36,4,IF($O461&gt;PARAMETRES!$E$36,3,IF($O461&gt;PARAMETRES!$D$36,2,1)))))</f>
        <v/>
      </c>
      <c r="X461" t="str">
        <f>IF($P461="","",IF($P461&gt;PARAMETRES!$G$37,5,IF($P461&gt;PARAMETRES!$F$37,4,IF($P461&gt;PARAMETRES!$E$37,3,IF($P461&gt;PARAMETRES!$D$37,2,1)))))</f>
        <v/>
      </c>
      <c r="Y461" t="str">
        <f t="shared" si="168"/>
        <v/>
      </c>
      <c r="Z461" t="str">
        <f>IFERROR(VLOOKUP($B461,TABLE_CYCLE,2,0),"")</f>
        <v/>
      </c>
      <c r="AA461" t="str">
        <f t="shared" si="169"/>
        <v/>
      </c>
      <c r="AB461" t="str">
        <f>IF($D461="","",IF(COUNTIF($D$2:$D461,$D461)=1,$D461,""))</f>
        <v/>
      </c>
      <c r="AC461">
        <f t="shared" si="170"/>
        <v>0</v>
      </c>
      <c r="AD461" t="str">
        <f t="shared" si="171"/>
        <v>|0</v>
      </c>
      <c r="AE461" t="str">
        <f t="shared" si="172"/>
        <v/>
      </c>
      <c r="AF461" t="str">
        <f t="shared" si="173"/>
        <v/>
      </c>
      <c r="AG461" t="str">
        <f t="shared" si="174"/>
        <v/>
      </c>
      <c r="AH461" t="str">
        <f t="shared" si="175"/>
        <v/>
      </c>
      <c r="AI461" t="str">
        <f t="shared" si="176"/>
        <v/>
      </c>
      <c r="AJ461" t="str">
        <f t="shared" si="177"/>
        <v/>
      </c>
      <c r="AK461" t="str">
        <f t="shared" si="178"/>
        <v/>
      </c>
      <c r="AL461" t="str">
        <f t="shared" si="179"/>
        <v/>
      </c>
      <c r="AM461" t="str">
        <f t="shared" si="180"/>
        <v/>
      </c>
      <c r="AN461" t="str">
        <f t="shared" si="181"/>
        <v/>
      </c>
      <c r="AO461" t="str">
        <f t="shared" si="182"/>
        <v/>
      </c>
      <c r="AP461">
        <f t="shared" si="183"/>
        <v>1</v>
      </c>
      <c r="AQ461" t="str">
        <f>IF(SAISIE!$F466="","",SAISIE!$Y466)</f>
        <v/>
      </c>
      <c r="AR461" t="str">
        <f>IF(OR(SAISIE!$U$4="",SAISIE!$W$4=""),"",IF(AND($A461=SAISIE!$U$4,$B461=SAISIE!$W$4,$C461="S1"),COUNTIFS($A$2:$A461,SAISIE!$U$4,$B$2:$B461,SAISIE!$W$4,$C$2:$C461,"S1"),""))</f>
        <v/>
      </c>
      <c r="AS461" t="str">
        <f t="shared" si="184"/>
        <v/>
      </c>
      <c r="AT461" t="str">
        <f t="shared" si="185"/>
        <v/>
      </c>
      <c r="AU461" t="str">
        <f t="shared" si="186"/>
        <v/>
      </c>
      <c r="AV461">
        <f>N(AV460)+IF(AND($AB461&lt;&gt;"",OR('PROFIL ELEVE'!$K$4="(Tous)",$AF461='PROFIL ELEVE'!$K$4)),1,0)</f>
        <v>0</v>
      </c>
      <c r="AW461">
        <f>N(AW460)+IF(AND($AB461&lt;&gt;"",OR('SUIVI LONGITUDINAL'!$Q$4="(Tous)",$AF461='SUIVI LONGITUDINAL'!$Q$4)),1,0)</f>
        <v>0</v>
      </c>
      <c r="AX461">
        <f t="shared" si="187"/>
        <v>0</v>
      </c>
      <c r="AY461">
        <f t="shared" si="188"/>
        <v>0</v>
      </c>
      <c r="AZ461">
        <f t="shared" si="189"/>
        <v>0</v>
      </c>
      <c r="BA461" t="str">
        <f t="shared" si="190"/>
        <v/>
      </c>
      <c r="BB461" t="str">
        <f t="shared" si="191"/>
        <v/>
      </c>
    </row>
    <row r="462" spans="1:54" ht="14.25" customHeight="1" x14ac:dyDescent="0.3">
      <c r="A462" t="str">
        <f>IF(SAISIE!$F467="","",SAISIE!$B467)</f>
        <v/>
      </c>
      <c r="B462" t="str">
        <f>IF(SAISIE!$F467="","",SAISIE!$C467)</f>
        <v/>
      </c>
      <c r="C462" t="str">
        <f>IF(SAISIE!$F467="","",SAISIE!$D467)</f>
        <v/>
      </c>
      <c r="D462" t="str">
        <f>IF(SAISIE!$E467="","",SAISIE!$E467)</f>
        <v/>
      </c>
      <c r="E462" t="str">
        <f>IF(SAISIE!$F467="","",SAISIE!$F467)</f>
        <v/>
      </c>
      <c r="F462" t="str">
        <f>IF(SAISIE!$G467="","",SAISIE!$G467)</f>
        <v/>
      </c>
      <c r="G462" t="str">
        <f>IF(SAISIE!$H467="","",SAISIE!$H467)</f>
        <v/>
      </c>
      <c r="H462" t="str">
        <f>IF(SAISIE!$I467="","",SAISIE!$I467)</f>
        <v/>
      </c>
      <c r="I462" t="str">
        <f>IF(SAISIE!$J467="","",SAISIE!$J467)</f>
        <v/>
      </c>
      <c r="J462" t="str">
        <f>IF(SAISIE!$K467="","",SAISIE!$K467)</f>
        <v/>
      </c>
      <c r="K462" t="str">
        <f>IF(SAISIE!$L467="","",SAISIE!$L467)</f>
        <v/>
      </c>
      <c r="L462" t="str">
        <f>IF(SAISIE!$M467="","",SAISIE!$M467)</f>
        <v/>
      </c>
      <c r="M462" t="str">
        <f>IF(SAISIE!$N467="","",SAISIE!$N467)</f>
        <v/>
      </c>
      <c r="N462" t="str">
        <f>IF(SAISIE!$O467="","",SAISIE!$O467)</f>
        <v/>
      </c>
      <c r="O462" t="str">
        <f>IF(SAISIE!$P467="","",SAISIE!$P467)</f>
        <v/>
      </c>
      <c r="P462" t="str">
        <f>IF(SAISIE!$Q467="","",SAISIE!$Q467)</f>
        <v/>
      </c>
      <c r="Q462" t="str">
        <f>IF($I462="","",IF($I462&gt;PARAMETRES!$G$29,5,IF($I462&gt;PARAMETRES!$F$29,4,IF($I462&gt;PARAMETRES!$E$29,3,IF($I462&gt;PARAMETRES!$D$29,2,1)))))</f>
        <v/>
      </c>
      <c r="R462" t="str">
        <f>IF($J462="","",IF($J462&gt;PARAMETRES!$G$30,5,IF($J462&gt;PARAMETRES!$F$30,4,IF($J462&gt;PARAMETRES!$E$30,3,IF($J462&gt;PARAMETRES!$D$30,2,1)))))</f>
        <v/>
      </c>
      <c r="S462" t="str">
        <f>IF($K462="","",IF($Z462=2,IF($K462&gt;PARAMETRES!$G$31,5,IF($K462&gt;PARAMETRES!$F$31,4,IF($K462&gt;PARAMETRES!$E$31,3,IF($K462&gt;PARAMETRES!$D$31,2,1)))),IF($K462&gt;PARAMETRES!$G$32,5,IF($K462&gt;PARAMETRES!$F$32,4,IF($K462&gt;PARAMETRES!$E$32,3,IF($K462&gt;PARAMETRES!$D$32,2,1))))))</f>
        <v/>
      </c>
      <c r="T462" t="str">
        <f>IF($L462="","",IF($L462&gt;PARAMETRES!$G$33,5,IF($L462&gt;PARAMETRES!$F$33,4,IF($L462&gt;PARAMETRES!$E$33,3,IF($L462&gt;PARAMETRES!$D$33,2,1)))))</f>
        <v/>
      </c>
      <c r="U462" t="str">
        <f>IF($M462="","",IF($M462&gt;PARAMETRES!$G$34,5,IF($M462&gt;PARAMETRES!$F$34,4,IF($M462&gt;PARAMETRES!$E$34,3,IF($M462&gt;PARAMETRES!$D$34,2,1)))))</f>
        <v/>
      </c>
      <c r="V462" t="str">
        <f>IF($N462="","",IF($N462&gt;PARAMETRES!$G$35,5,IF($N462&gt;PARAMETRES!$F$35,4,IF($N462&gt;PARAMETRES!$E$35,3,IF($N462&gt;PARAMETRES!$D$35,2,1)))))</f>
        <v/>
      </c>
      <c r="W462" t="str">
        <f>IF($O462="","",IF($O462&gt;PARAMETRES!$G$36,5,IF($O462&gt;PARAMETRES!$F$36,4,IF($O462&gt;PARAMETRES!$E$36,3,IF($O462&gt;PARAMETRES!$D$36,2,1)))))</f>
        <v/>
      </c>
      <c r="X462" t="str">
        <f>IF($P462="","",IF($P462&gt;PARAMETRES!$G$37,5,IF($P462&gt;PARAMETRES!$F$37,4,IF($P462&gt;PARAMETRES!$E$37,3,IF($P462&gt;PARAMETRES!$D$37,2,1)))))</f>
        <v/>
      </c>
      <c r="Y462" t="str">
        <f t="shared" si="168"/>
        <v/>
      </c>
      <c r="Z462" t="str">
        <f>IFERROR(VLOOKUP($B462,TABLE_CYCLE,2,0),"")</f>
        <v/>
      </c>
      <c r="AA462" t="str">
        <f t="shared" si="169"/>
        <v/>
      </c>
      <c r="AB462" t="str">
        <f>IF($D462="","",IF(COUNTIF($D$2:$D462,$D462)=1,$D462,""))</f>
        <v/>
      </c>
      <c r="AC462">
        <f t="shared" si="170"/>
        <v>0</v>
      </c>
      <c r="AD462" t="str">
        <f t="shared" si="171"/>
        <v>|0</v>
      </c>
      <c r="AE462" t="str">
        <f t="shared" si="172"/>
        <v/>
      </c>
      <c r="AF462" t="str">
        <f t="shared" si="173"/>
        <v/>
      </c>
      <c r="AG462" t="str">
        <f t="shared" si="174"/>
        <v/>
      </c>
      <c r="AH462" t="str">
        <f t="shared" si="175"/>
        <v/>
      </c>
      <c r="AI462" t="str">
        <f t="shared" si="176"/>
        <v/>
      </c>
      <c r="AJ462" t="str">
        <f t="shared" si="177"/>
        <v/>
      </c>
      <c r="AK462" t="str">
        <f t="shared" si="178"/>
        <v/>
      </c>
      <c r="AL462" t="str">
        <f t="shared" si="179"/>
        <v/>
      </c>
      <c r="AM462" t="str">
        <f t="shared" si="180"/>
        <v/>
      </c>
      <c r="AN462" t="str">
        <f t="shared" si="181"/>
        <v/>
      </c>
      <c r="AO462" t="str">
        <f t="shared" si="182"/>
        <v/>
      </c>
      <c r="AP462">
        <f t="shared" si="183"/>
        <v>1</v>
      </c>
      <c r="AQ462" t="str">
        <f>IF(SAISIE!$F467="","",SAISIE!$Y467)</f>
        <v/>
      </c>
      <c r="AR462" t="str">
        <f>IF(OR(SAISIE!$U$4="",SAISIE!$W$4=""),"",IF(AND($A462=SAISIE!$U$4,$B462=SAISIE!$W$4,$C462="S1"),COUNTIFS($A$2:$A462,SAISIE!$U$4,$B$2:$B462,SAISIE!$W$4,$C$2:$C462,"S1"),""))</f>
        <v/>
      </c>
      <c r="AS462" t="str">
        <f t="shared" si="184"/>
        <v/>
      </c>
      <c r="AT462" t="str">
        <f t="shared" si="185"/>
        <v/>
      </c>
      <c r="AU462" t="str">
        <f t="shared" si="186"/>
        <v/>
      </c>
      <c r="AV462">
        <f>N(AV461)+IF(AND($AB462&lt;&gt;"",OR('PROFIL ELEVE'!$K$4="(Tous)",$AF462='PROFIL ELEVE'!$K$4)),1,0)</f>
        <v>0</v>
      </c>
      <c r="AW462">
        <f>N(AW461)+IF(AND($AB462&lt;&gt;"",OR('SUIVI LONGITUDINAL'!$Q$4="(Tous)",$AF462='SUIVI LONGITUDINAL'!$Q$4)),1,0)</f>
        <v>0</v>
      </c>
      <c r="AX462">
        <f t="shared" si="187"/>
        <v>0</v>
      </c>
      <c r="AY462">
        <f t="shared" si="188"/>
        <v>0</v>
      </c>
      <c r="AZ462">
        <f t="shared" si="189"/>
        <v>0</v>
      </c>
      <c r="BA462" t="str">
        <f t="shared" si="190"/>
        <v/>
      </c>
      <c r="BB462" t="str">
        <f t="shared" si="191"/>
        <v/>
      </c>
    </row>
    <row r="463" spans="1:54" ht="14.25" customHeight="1" x14ac:dyDescent="0.3">
      <c r="A463" t="str">
        <f>IF(SAISIE!$F468="","",SAISIE!$B468)</f>
        <v/>
      </c>
      <c r="B463" t="str">
        <f>IF(SAISIE!$F468="","",SAISIE!$C468)</f>
        <v/>
      </c>
      <c r="C463" t="str">
        <f>IF(SAISIE!$F468="","",SAISIE!$D468)</f>
        <v/>
      </c>
      <c r="D463" t="str">
        <f>IF(SAISIE!$E468="","",SAISIE!$E468)</f>
        <v/>
      </c>
      <c r="E463" t="str">
        <f>IF(SAISIE!$F468="","",SAISIE!$F468)</f>
        <v/>
      </c>
      <c r="F463" t="str">
        <f>IF(SAISIE!$G468="","",SAISIE!$G468)</f>
        <v/>
      </c>
      <c r="G463" t="str">
        <f>IF(SAISIE!$H468="","",SAISIE!$H468)</f>
        <v/>
      </c>
      <c r="H463" t="str">
        <f>IF(SAISIE!$I468="","",SAISIE!$I468)</f>
        <v/>
      </c>
      <c r="I463" t="str">
        <f>IF(SAISIE!$J468="","",SAISIE!$J468)</f>
        <v/>
      </c>
      <c r="J463" t="str">
        <f>IF(SAISIE!$K468="","",SAISIE!$K468)</f>
        <v/>
      </c>
      <c r="K463" t="str">
        <f>IF(SAISIE!$L468="","",SAISIE!$L468)</f>
        <v/>
      </c>
      <c r="L463" t="str">
        <f>IF(SAISIE!$M468="","",SAISIE!$M468)</f>
        <v/>
      </c>
      <c r="M463" t="str">
        <f>IF(SAISIE!$N468="","",SAISIE!$N468)</f>
        <v/>
      </c>
      <c r="N463" t="str">
        <f>IF(SAISIE!$O468="","",SAISIE!$O468)</f>
        <v/>
      </c>
      <c r="O463" t="str">
        <f>IF(SAISIE!$P468="","",SAISIE!$P468)</f>
        <v/>
      </c>
      <c r="P463" t="str">
        <f>IF(SAISIE!$Q468="","",SAISIE!$Q468)</f>
        <v/>
      </c>
      <c r="Q463" t="str">
        <f>IF($I463="","",IF($I463&gt;PARAMETRES!$G$29,5,IF($I463&gt;PARAMETRES!$F$29,4,IF($I463&gt;PARAMETRES!$E$29,3,IF($I463&gt;PARAMETRES!$D$29,2,1)))))</f>
        <v/>
      </c>
      <c r="R463" t="str">
        <f>IF($J463="","",IF($J463&gt;PARAMETRES!$G$30,5,IF($J463&gt;PARAMETRES!$F$30,4,IF($J463&gt;PARAMETRES!$E$30,3,IF($J463&gt;PARAMETRES!$D$30,2,1)))))</f>
        <v/>
      </c>
      <c r="S463" t="str">
        <f>IF($K463="","",IF($Z463=2,IF($K463&gt;PARAMETRES!$G$31,5,IF($K463&gt;PARAMETRES!$F$31,4,IF($K463&gt;PARAMETRES!$E$31,3,IF($K463&gt;PARAMETRES!$D$31,2,1)))),IF($K463&gt;PARAMETRES!$G$32,5,IF($K463&gt;PARAMETRES!$F$32,4,IF($K463&gt;PARAMETRES!$E$32,3,IF($K463&gt;PARAMETRES!$D$32,2,1))))))</f>
        <v/>
      </c>
      <c r="T463" t="str">
        <f>IF($L463="","",IF($L463&gt;PARAMETRES!$G$33,5,IF($L463&gt;PARAMETRES!$F$33,4,IF($L463&gt;PARAMETRES!$E$33,3,IF($L463&gt;PARAMETRES!$D$33,2,1)))))</f>
        <v/>
      </c>
      <c r="U463" t="str">
        <f>IF($M463="","",IF($M463&gt;PARAMETRES!$G$34,5,IF($M463&gt;PARAMETRES!$F$34,4,IF($M463&gt;PARAMETRES!$E$34,3,IF($M463&gt;PARAMETRES!$D$34,2,1)))))</f>
        <v/>
      </c>
      <c r="V463" t="str">
        <f>IF($N463="","",IF($N463&gt;PARAMETRES!$G$35,5,IF($N463&gt;PARAMETRES!$F$35,4,IF($N463&gt;PARAMETRES!$E$35,3,IF($N463&gt;PARAMETRES!$D$35,2,1)))))</f>
        <v/>
      </c>
      <c r="W463" t="str">
        <f>IF($O463="","",IF($O463&gt;PARAMETRES!$G$36,5,IF($O463&gt;PARAMETRES!$F$36,4,IF($O463&gt;PARAMETRES!$E$36,3,IF($O463&gt;PARAMETRES!$D$36,2,1)))))</f>
        <v/>
      </c>
      <c r="X463" t="str">
        <f>IF($P463="","",IF($P463&gt;PARAMETRES!$G$37,5,IF($P463&gt;PARAMETRES!$F$37,4,IF($P463&gt;PARAMETRES!$E$37,3,IF($P463&gt;PARAMETRES!$D$37,2,1)))))</f>
        <v/>
      </c>
      <c r="Y463" t="str">
        <f t="shared" si="168"/>
        <v/>
      </c>
      <c r="Z463" t="str">
        <f>IFERROR(VLOOKUP($B463,TABLE_CYCLE,2,0),"")</f>
        <v/>
      </c>
      <c r="AA463" t="str">
        <f t="shared" si="169"/>
        <v/>
      </c>
      <c r="AB463" t="str">
        <f>IF($D463="","",IF(COUNTIF($D$2:$D463,$D463)=1,$D463,""))</f>
        <v/>
      </c>
      <c r="AC463">
        <f t="shared" si="170"/>
        <v>0</v>
      </c>
      <c r="AD463" t="str">
        <f t="shared" si="171"/>
        <v>|0</v>
      </c>
      <c r="AE463" t="str">
        <f t="shared" si="172"/>
        <v/>
      </c>
      <c r="AF463" t="str">
        <f t="shared" si="173"/>
        <v/>
      </c>
      <c r="AG463" t="str">
        <f t="shared" si="174"/>
        <v/>
      </c>
      <c r="AH463" t="str">
        <f t="shared" si="175"/>
        <v/>
      </c>
      <c r="AI463" t="str">
        <f t="shared" si="176"/>
        <v/>
      </c>
      <c r="AJ463" t="str">
        <f t="shared" si="177"/>
        <v/>
      </c>
      <c r="AK463" t="str">
        <f t="shared" si="178"/>
        <v/>
      </c>
      <c r="AL463" t="str">
        <f t="shared" si="179"/>
        <v/>
      </c>
      <c r="AM463" t="str">
        <f t="shared" si="180"/>
        <v/>
      </c>
      <c r="AN463" t="str">
        <f t="shared" si="181"/>
        <v/>
      </c>
      <c r="AO463" t="str">
        <f t="shared" si="182"/>
        <v/>
      </c>
      <c r="AP463">
        <f t="shared" si="183"/>
        <v>1</v>
      </c>
      <c r="AQ463" t="str">
        <f>IF(SAISIE!$F468="","",SAISIE!$Y468)</f>
        <v/>
      </c>
      <c r="AR463" t="str">
        <f>IF(OR(SAISIE!$U$4="",SAISIE!$W$4=""),"",IF(AND($A463=SAISIE!$U$4,$B463=SAISIE!$W$4,$C463="S1"),COUNTIFS($A$2:$A463,SAISIE!$U$4,$B$2:$B463,SAISIE!$W$4,$C$2:$C463,"S1"),""))</f>
        <v/>
      </c>
      <c r="AS463" t="str">
        <f t="shared" si="184"/>
        <v/>
      </c>
      <c r="AT463" t="str">
        <f t="shared" si="185"/>
        <v/>
      </c>
      <c r="AU463" t="str">
        <f t="shared" si="186"/>
        <v/>
      </c>
      <c r="AV463">
        <f>N(AV462)+IF(AND($AB463&lt;&gt;"",OR('PROFIL ELEVE'!$K$4="(Tous)",$AF463='PROFIL ELEVE'!$K$4)),1,0)</f>
        <v>0</v>
      </c>
      <c r="AW463">
        <f>N(AW462)+IF(AND($AB463&lt;&gt;"",OR('SUIVI LONGITUDINAL'!$Q$4="(Tous)",$AF463='SUIVI LONGITUDINAL'!$Q$4)),1,0)</f>
        <v>0</v>
      </c>
      <c r="AX463">
        <f t="shared" si="187"/>
        <v>0</v>
      </c>
      <c r="AY463">
        <f t="shared" si="188"/>
        <v>0</v>
      </c>
      <c r="AZ463">
        <f t="shared" si="189"/>
        <v>0</v>
      </c>
      <c r="BA463" t="str">
        <f t="shared" si="190"/>
        <v/>
      </c>
      <c r="BB463" t="str">
        <f t="shared" si="191"/>
        <v/>
      </c>
    </row>
    <row r="464" spans="1:54" ht="14.25" customHeight="1" x14ac:dyDescent="0.3">
      <c r="A464" t="str">
        <f>IF(SAISIE!$F469="","",SAISIE!$B469)</f>
        <v/>
      </c>
      <c r="B464" t="str">
        <f>IF(SAISIE!$F469="","",SAISIE!$C469)</f>
        <v/>
      </c>
      <c r="C464" t="str">
        <f>IF(SAISIE!$F469="","",SAISIE!$D469)</f>
        <v/>
      </c>
      <c r="D464" t="str">
        <f>IF(SAISIE!$E469="","",SAISIE!$E469)</f>
        <v/>
      </c>
      <c r="E464" t="str">
        <f>IF(SAISIE!$F469="","",SAISIE!$F469)</f>
        <v/>
      </c>
      <c r="F464" t="str">
        <f>IF(SAISIE!$G469="","",SAISIE!$G469)</f>
        <v/>
      </c>
      <c r="G464" t="str">
        <f>IF(SAISIE!$H469="","",SAISIE!$H469)</f>
        <v/>
      </c>
      <c r="H464" t="str">
        <f>IF(SAISIE!$I469="","",SAISIE!$I469)</f>
        <v/>
      </c>
      <c r="I464" t="str">
        <f>IF(SAISIE!$J469="","",SAISIE!$J469)</f>
        <v/>
      </c>
      <c r="J464" t="str">
        <f>IF(SAISIE!$K469="","",SAISIE!$K469)</f>
        <v/>
      </c>
      <c r="K464" t="str">
        <f>IF(SAISIE!$L469="","",SAISIE!$L469)</f>
        <v/>
      </c>
      <c r="L464" t="str">
        <f>IF(SAISIE!$M469="","",SAISIE!$M469)</f>
        <v/>
      </c>
      <c r="M464" t="str">
        <f>IF(SAISIE!$N469="","",SAISIE!$N469)</f>
        <v/>
      </c>
      <c r="N464" t="str">
        <f>IF(SAISIE!$O469="","",SAISIE!$O469)</f>
        <v/>
      </c>
      <c r="O464" t="str">
        <f>IF(SAISIE!$P469="","",SAISIE!$P469)</f>
        <v/>
      </c>
      <c r="P464" t="str">
        <f>IF(SAISIE!$Q469="","",SAISIE!$Q469)</f>
        <v/>
      </c>
      <c r="Q464" t="str">
        <f>IF($I464="","",IF($I464&gt;PARAMETRES!$G$29,5,IF($I464&gt;PARAMETRES!$F$29,4,IF($I464&gt;PARAMETRES!$E$29,3,IF($I464&gt;PARAMETRES!$D$29,2,1)))))</f>
        <v/>
      </c>
      <c r="R464" t="str">
        <f>IF($J464="","",IF($J464&gt;PARAMETRES!$G$30,5,IF($J464&gt;PARAMETRES!$F$30,4,IF($J464&gt;PARAMETRES!$E$30,3,IF($J464&gt;PARAMETRES!$D$30,2,1)))))</f>
        <v/>
      </c>
      <c r="S464" t="str">
        <f>IF($K464="","",IF($Z464=2,IF($K464&gt;PARAMETRES!$G$31,5,IF($K464&gt;PARAMETRES!$F$31,4,IF($K464&gt;PARAMETRES!$E$31,3,IF($K464&gt;PARAMETRES!$D$31,2,1)))),IF($K464&gt;PARAMETRES!$G$32,5,IF($K464&gt;PARAMETRES!$F$32,4,IF($K464&gt;PARAMETRES!$E$32,3,IF($K464&gt;PARAMETRES!$D$32,2,1))))))</f>
        <v/>
      </c>
      <c r="T464" t="str">
        <f>IF($L464="","",IF($L464&gt;PARAMETRES!$G$33,5,IF($L464&gt;PARAMETRES!$F$33,4,IF($L464&gt;PARAMETRES!$E$33,3,IF($L464&gt;PARAMETRES!$D$33,2,1)))))</f>
        <v/>
      </c>
      <c r="U464" t="str">
        <f>IF($M464="","",IF($M464&gt;PARAMETRES!$G$34,5,IF($M464&gt;PARAMETRES!$F$34,4,IF($M464&gt;PARAMETRES!$E$34,3,IF($M464&gt;PARAMETRES!$D$34,2,1)))))</f>
        <v/>
      </c>
      <c r="V464" t="str">
        <f>IF($N464="","",IF($N464&gt;PARAMETRES!$G$35,5,IF($N464&gt;PARAMETRES!$F$35,4,IF($N464&gt;PARAMETRES!$E$35,3,IF($N464&gt;PARAMETRES!$D$35,2,1)))))</f>
        <v/>
      </c>
      <c r="W464" t="str">
        <f>IF($O464="","",IF($O464&gt;PARAMETRES!$G$36,5,IF($O464&gt;PARAMETRES!$F$36,4,IF($O464&gt;PARAMETRES!$E$36,3,IF($O464&gt;PARAMETRES!$D$36,2,1)))))</f>
        <v/>
      </c>
      <c r="X464" t="str">
        <f>IF($P464="","",IF($P464&gt;PARAMETRES!$G$37,5,IF($P464&gt;PARAMETRES!$F$37,4,IF($P464&gt;PARAMETRES!$E$37,3,IF($P464&gt;PARAMETRES!$D$37,2,1)))))</f>
        <v/>
      </c>
      <c r="Y464" t="str">
        <f t="shared" si="168"/>
        <v/>
      </c>
      <c r="Z464" t="str">
        <f>IFERROR(VLOOKUP($B464,TABLE_CYCLE,2,0),"")</f>
        <v/>
      </c>
      <c r="AA464" t="str">
        <f t="shared" si="169"/>
        <v/>
      </c>
      <c r="AB464" t="str">
        <f>IF($D464="","",IF(COUNTIF($D$2:$D464,$D464)=1,$D464,""))</f>
        <v/>
      </c>
      <c r="AC464">
        <f t="shared" si="170"/>
        <v>0</v>
      </c>
      <c r="AD464" t="str">
        <f t="shared" si="171"/>
        <v>|0</v>
      </c>
      <c r="AE464" t="str">
        <f t="shared" si="172"/>
        <v/>
      </c>
      <c r="AF464" t="str">
        <f t="shared" si="173"/>
        <v/>
      </c>
      <c r="AG464" t="str">
        <f t="shared" si="174"/>
        <v/>
      </c>
      <c r="AH464" t="str">
        <f t="shared" si="175"/>
        <v/>
      </c>
      <c r="AI464" t="str">
        <f t="shared" si="176"/>
        <v/>
      </c>
      <c r="AJ464" t="str">
        <f t="shared" si="177"/>
        <v/>
      </c>
      <c r="AK464" t="str">
        <f t="shared" si="178"/>
        <v/>
      </c>
      <c r="AL464" t="str">
        <f t="shared" si="179"/>
        <v/>
      </c>
      <c r="AM464" t="str">
        <f t="shared" si="180"/>
        <v/>
      </c>
      <c r="AN464" t="str">
        <f t="shared" si="181"/>
        <v/>
      </c>
      <c r="AO464" t="str">
        <f t="shared" si="182"/>
        <v/>
      </c>
      <c r="AP464">
        <f t="shared" si="183"/>
        <v>1</v>
      </c>
      <c r="AQ464" t="str">
        <f>IF(SAISIE!$F469="","",SAISIE!$Y469)</f>
        <v/>
      </c>
      <c r="AR464" t="str">
        <f>IF(OR(SAISIE!$U$4="",SAISIE!$W$4=""),"",IF(AND($A464=SAISIE!$U$4,$B464=SAISIE!$W$4,$C464="S1"),COUNTIFS($A$2:$A464,SAISIE!$U$4,$B$2:$B464,SAISIE!$W$4,$C$2:$C464,"S1"),""))</f>
        <v/>
      </c>
      <c r="AS464" t="str">
        <f t="shared" si="184"/>
        <v/>
      </c>
      <c r="AT464" t="str">
        <f t="shared" si="185"/>
        <v/>
      </c>
      <c r="AU464" t="str">
        <f t="shared" si="186"/>
        <v/>
      </c>
      <c r="AV464">
        <f>N(AV463)+IF(AND($AB464&lt;&gt;"",OR('PROFIL ELEVE'!$K$4="(Tous)",$AF464='PROFIL ELEVE'!$K$4)),1,0)</f>
        <v>0</v>
      </c>
      <c r="AW464">
        <f>N(AW463)+IF(AND($AB464&lt;&gt;"",OR('SUIVI LONGITUDINAL'!$Q$4="(Tous)",$AF464='SUIVI LONGITUDINAL'!$Q$4)),1,0)</f>
        <v>0</v>
      </c>
      <c r="AX464">
        <f t="shared" si="187"/>
        <v>0</v>
      </c>
      <c r="AY464">
        <f t="shared" si="188"/>
        <v>0</v>
      </c>
      <c r="AZ464">
        <f t="shared" si="189"/>
        <v>0</v>
      </c>
      <c r="BA464" t="str">
        <f t="shared" si="190"/>
        <v/>
      </c>
      <c r="BB464" t="str">
        <f t="shared" si="191"/>
        <v/>
      </c>
    </row>
    <row r="465" spans="1:54" ht="14.25" customHeight="1" x14ac:dyDescent="0.3">
      <c r="A465" t="str">
        <f>IF(SAISIE!$F470="","",SAISIE!$B470)</f>
        <v/>
      </c>
      <c r="B465" t="str">
        <f>IF(SAISIE!$F470="","",SAISIE!$C470)</f>
        <v/>
      </c>
      <c r="C465" t="str">
        <f>IF(SAISIE!$F470="","",SAISIE!$D470)</f>
        <v/>
      </c>
      <c r="D465" t="str">
        <f>IF(SAISIE!$E470="","",SAISIE!$E470)</f>
        <v/>
      </c>
      <c r="E465" t="str">
        <f>IF(SAISIE!$F470="","",SAISIE!$F470)</f>
        <v/>
      </c>
      <c r="F465" t="str">
        <f>IF(SAISIE!$G470="","",SAISIE!$G470)</f>
        <v/>
      </c>
      <c r="G465" t="str">
        <f>IF(SAISIE!$H470="","",SAISIE!$H470)</f>
        <v/>
      </c>
      <c r="H465" t="str">
        <f>IF(SAISIE!$I470="","",SAISIE!$I470)</f>
        <v/>
      </c>
      <c r="I465" t="str">
        <f>IF(SAISIE!$J470="","",SAISIE!$J470)</f>
        <v/>
      </c>
      <c r="J465" t="str">
        <f>IF(SAISIE!$K470="","",SAISIE!$K470)</f>
        <v/>
      </c>
      <c r="K465" t="str">
        <f>IF(SAISIE!$L470="","",SAISIE!$L470)</f>
        <v/>
      </c>
      <c r="L465" t="str">
        <f>IF(SAISIE!$M470="","",SAISIE!$M470)</f>
        <v/>
      </c>
      <c r="M465" t="str">
        <f>IF(SAISIE!$N470="","",SAISIE!$N470)</f>
        <v/>
      </c>
      <c r="N465" t="str">
        <f>IF(SAISIE!$O470="","",SAISIE!$O470)</f>
        <v/>
      </c>
      <c r="O465" t="str">
        <f>IF(SAISIE!$P470="","",SAISIE!$P470)</f>
        <v/>
      </c>
      <c r="P465" t="str">
        <f>IF(SAISIE!$Q470="","",SAISIE!$Q470)</f>
        <v/>
      </c>
      <c r="Q465" t="str">
        <f>IF($I465="","",IF($I465&gt;PARAMETRES!$G$29,5,IF($I465&gt;PARAMETRES!$F$29,4,IF($I465&gt;PARAMETRES!$E$29,3,IF($I465&gt;PARAMETRES!$D$29,2,1)))))</f>
        <v/>
      </c>
      <c r="R465" t="str">
        <f>IF($J465="","",IF($J465&gt;PARAMETRES!$G$30,5,IF($J465&gt;PARAMETRES!$F$30,4,IF($J465&gt;PARAMETRES!$E$30,3,IF($J465&gt;PARAMETRES!$D$30,2,1)))))</f>
        <v/>
      </c>
      <c r="S465" t="str">
        <f>IF($K465="","",IF($Z465=2,IF($K465&gt;PARAMETRES!$G$31,5,IF($K465&gt;PARAMETRES!$F$31,4,IF($K465&gt;PARAMETRES!$E$31,3,IF($K465&gt;PARAMETRES!$D$31,2,1)))),IF($K465&gt;PARAMETRES!$G$32,5,IF($K465&gt;PARAMETRES!$F$32,4,IF($K465&gt;PARAMETRES!$E$32,3,IF($K465&gt;PARAMETRES!$D$32,2,1))))))</f>
        <v/>
      </c>
      <c r="T465" t="str">
        <f>IF($L465="","",IF($L465&gt;PARAMETRES!$G$33,5,IF($L465&gt;PARAMETRES!$F$33,4,IF($L465&gt;PARAMETRES!$E$33,3,IF($L465&gt;PARAMETRES!$D$33,2,1)))))</f>
        <v/>
      </c>
      <c r="U465" t="str">
        <f>IF($M465="","",IF($M465&gt;PARAMETRES!$G$34,5,IF($M465&gt;PARAMETRES!$F$34,4,IF($M465&gt;PARAMETRES!$E$34,3,IF($M465&gt;PARAMETRES!$D$34,2,1)))))</f>
        <v/>
      </c>
      <c r="V465" t="str">
        <f>IF($N465="","",IF($N465&gt;PARAMETRES!$G$35,5,IF($N465&gt;PARAMETRES!$F$35,4,IF($N465&gt;PARAMETRES!$E$35,3,IF($N465&gt;PARAMETRES!$D$35,2,1)))))</f>
        <v/>
      </c>
      <c r="W465" t="str">
        <f>IF($O465="","",IF($O465&gt;PARAMETRES!$G$36,5,IF($O465&gt;PARAMETRES!$F$36,4,IF($O465&gt;PARAMETRES!$E$36,3,IF($O465&gt;PARAMETRES!$D$36,2,1)))))</f>
        <v/>
      </c>
      <c r="X465" t="str">
        <f>IF($P465="","",IF($P465&gt;PARAMETRES!$G$37,5,IF($P465&gt;PARAMETRES!$F$37,4,IF($P465&gt;PARAMETRES!$E$37,3,IF($P465&gt;PARAMETRES!$D$37,2,1)))))</f>
        <v/>
      </c>
      <c r="Y465" t="str">
        <f t="shared" si="168"/>
        <v/>
      </c>
      <c r="Z465" t="str">
        <f>IFERROR(VLOOKUP($B465,TABLE_CYCLE,2,0),"")</f>
        <v/>
      </c>
      <c r="AA465" t="str">
        <f t="shared" si="169"/>
        <v/>
      </c>
      <c r="AB465" t="str">
        <f>IF($D465="","",IF(COUNTIF($D$2:$D465,$D465)=1,$D465,""))</f>
        <v/>
      </c>
      <c r="AC465">
        <f t="shared" si="170"/>
        <v>0</v>
      </c>
      <c r="AD465" t="str">
        <f t="shared" si="171"/>
        <v>|0</v>
      </c>
      <c r="AE465" t="str">
        <f t="shared" si="172"/>
        <v/>
      </c>
      <c r="AF465" t="str">
        <f t="shared" si="173"/>
        <v/>
      </c>
      <c r="AG465" t="str">
        <f t="shared" si="174"/>
        <v/>
      </c>
      <c r="AH465" t="str">
        <f t="shared" si="175"/>
        <v/>
      </c>
      <c r="AI465" t="str">
        <f t="shared" si="176"/>
        <v/>
      </c>
      <c r="AJ465" t="str">
        <f t="shared" si="177"/>
        <v/>
      </c>
      <c r="AK465" t="str">
        <f t="shared" si="178"/>
        <v/>
      </c>
      <c r="AL465" t="str">
        <f t="shared" si="179"/>
        <v/>
      </c>
      <c r="AM465" t="str">
        <f t="shared" si="180"/>
        <v/>
      </c>
      <c r="AN465" t="str">
        <f t="shared" si="181"/>
        <v/>
      </c>
      <c r="AO465" t="str">
        <f t="shared" si="182"/>
        <v/>
      </c>
      <c r="AP465">
        <f t="shared" si="183"/>
        <v>1</v>
      </c>
      <c r="AQ465" t="str">
        <f>IF(SAISIE!$F470="","",SAISIE!$Y470)</f>
        <v/>
      </c>
      <c r="AR465" t="str">
        <f>IF(OR(SAISIE!$U$4="",SAISIE!$W$4=""),"",IF(AND($A465=SAISIE!$U$4,$B465=SAISIE!$W$4,$C465="S1"),COUNTIFS($A$2:$A465,SAISIE!$U$4,$B$2:$B465,SAISIE!$W$4,$C$2:$C465,"S1"),""))</f>
        <v/>
      </c>
      <c r="AS465" t="str">
        <f t="shared" si="184"/>
        <v/>
      </c>
      <c r="AT465" t="str">
        <f t="shared" si="185"/>
        <v/>
      </c>
      <c r="AU465" t="str">
        <f t="shared" si="186"/>
        <v/>
      </c>
      <c r="AV465">
        <f>N(AV464)+IF(AND($AB465&lt;&gt;"",OR('PROFIL ELEVE'!$K$4="(Tous)",$AF465='PROFIL ELEVE'!$K$4)),1,0)</f>
        <v>0</v>
      </c>
      <c r="AW465">
        <f>N(AW464)+IF(AND($AB465&lt;&gt;"",OR('SUIVI LONGITUDINAL'!$Q$4="(Tous)",$AF465='SUIVI LONGITUDINAL'!$Q$4)),1,0)</f>
        <v>0</v>
      </c>
      <c r="AX465">
        <f t="shared" si="187"/>
        <v>0</v>
      </c>
      <c r="AY465">
        <f t="shared" si="188"/>
        <v>0</v>
      </c>
      <c r="AZ465">
        <f t="shared" si="189"/>
        <v>0</v>
      </c>
      <c r="BA465" t="str">
        <f t="shared" si="190"/>
        <v/>
      </c>
      <c r="BB465" t="str">
        <f t="shared" si="191"/>
        <v/>
      </c>
    </row>
    <row r="466" spans="1:54" ht="14.25" customHeight="1" x14ac:dyDescent="0.3">
      <c r="A466" t="str">
        <f>IF(SAISIE!$F471="","",SAISIE!$B471)</f>
        <v/>
      </c>
      <c r="B466" t="str">
        <f>IF(SAISIE!$F471="","",SAISIE!$C471)</f>
        <v/>
      </c>
      <c r="C466" t="str">
        <f>IF(SAISIE!$F471="","",SAISIE!$D471)</f>
        <v/>
      </c>
      <c r="D466" t="str">
        <f>IF(SAISIE!$E471="","",SAISIE!$E471)</f>
        <v/>
      </c>
      <c r="E466" t="str">
        <f>IF(SAISIE!$F471="","",SAISIE!$F471)</f>
        <v/>
      </c>
      <c r="F466" t="str">
        <f>IF(SAISIE!$G471="","",SAISIE!$G471)</f>
        <v/>
      </c>
      <c r="G466" t="str">
        <f>IF(SAISIE!$H471="","",SAISIE!$H471)</f>
        <v/>
      </c>
      <c r="H466" t="str">
        <f>IF(SAISIE!$I471="","",SAISIE!$I471)</f>
        <v/>
      </c>
      <c r="I466" t="str">
        <f>IF(SAISIE!$J471="","",SAISIE!$J471)</f>
        <v/>
      </c>
      <c r="J466" t="str">
        <f>IF(SAISIE!$K471="","",SAISIE!$K471)</f>
        <v/>
      </c>
      <c r="K466" t="str">
        <f>IF(SAISIE!$L471="","",SAISIE!$L471)</f>
        <v/>
      </c>
      <c r="L466" t="str">
        <f>IF(SAISIE!$M471="","",SAISIE!$M471)</f>
        <v/>
      </c>
      <c r="M466" t="str">
        <f>IF(SAISIE!$N471="","",SAISIE!$N471)</f>
        <v/>
      </c>
      <c r="N466" t="str">
        <f>IF(SAISIE!$O471="","",SAISIE!$O471)</f>
        <v/>
      </c>
      <c r="O466" t="str">
        <f>IF(SAISIE!$P471="","",SAISIE!$P471)</f>
        <v/>
      </c>
      <c r="P466" t="str">
        <f>IF(SAISIE!$Q471="","",SAISIE!$Q471)</f>
        <v/>
      </c>
      <c r="Q466" t="str">
        <f>IF($I466="","",IF($I466&gt;PARAMETRES!$G$29,5,IF($I466&gt;PARAMETRES!$F$29,4,IF($I466&gt;PARAMETRES!$E$29,3,IF($I466&gt;PARAMETRES!$D$29,2,1)))))</f>
        <v/>
      </c>
      <c r="R466" t="str">
        <f>IF($J466="","",IF($J466&gt;PARAMETRES!$G$30,5,IF($J466&gt;PARAMETRES!$F$30,4,IF($J466&gt;PARAMETRES!$E$30,3,IF($J466&gt;PARAMETRES!$D$30,2,1)))))</f>
        <v/>
      </c>
      <c r="S466" t="str">
        <f>IF($K466="","",IF($Z466=2,IF($K466&gt;PARAMETRES!$G$31,5,IF($K466&gt;PARAMETRES!$F$31,4,IF($K466&gt;PARAMETRES!$E$31,3,IF($K466&gt;PARAMETRES!$D$31,2,1)))),IF($K466&gt;PARAMETRES!$G$32,5,IF($K466&gt;PARAMETRES!$F$32,4,IF($K466&gt;PARAMETRES!$E$32,3,IF($K466&gt;PARAMETRES!$D$32,2,1))))))</f>
        <v/>
      </c>
      <c r="T466" t="str">
        <f>IF($L466="","",IF($L466&gt;PARAMETRES!$G$33,5,IF($L466&gt;PARAMETRES!$F$33,4,IF($L466&gt;PARAMETRES!$E$33,3,IF($L466&gt;PARAMETRES!$D$33,2,1)))))</f>
        <v/>
      </c>
      <c r="U466" t="str">
        <f>IF($M466="","",IF($M466&gt;PARAMETRES!$G$34,5,IF($M466&gt;PARAMETRES!$F$34,4,IF($M466&gt;PARAMETRES!$E$34,3,IF($M466&gt;PARAMETRES!$D$34,2,1)))))</f>
        <v/>
      </c>
      <c r="V466" t="str">
        <f>IF($N466="","",IF($N466&gt;PARAMETRES!$G$35,5,IF($N466&gt;PARAMETRES!$F$35,4,IF($N466&gt;PARAMETRES!$E$35,3,IF($N466&gt;PARAMETRES!$D$35,2,1)))))</f>
        <v/>
      </c>
      <c r="W466" t="str">
        <f>IF($O466="","",IF($O466&gt;PARAMETRES!$G$36,5,IF($O466&gt;PARAMETRES!$F$36,4,IF($O466&gt;PARAMETRES!$E$36,3,IF($O466&gt;PARAMETRES!$D$36,2,1)))))</f>
        <v/>
      </c>
      <c r="X466" t="str">
        <f>IF($P466="","",IF($P466&gt;PARAMETRES!$G$37,5,IF($P466&gt;PARAMETRES!$F$37,4,IF($P466&gt;PARAMETRES!$E$37,3,IF($P466&gt;PARAMETRES!$D$37,2,1)))))</f>
        <v/>
      </c>
      <c r="Y466" t="str">
        <f t="shared" si="168"/>
        <v/>
      </c>
      <c r="Z466" t="str">
        <f>IFERROR(VLOOKUP($B466,TABLE_CYCLE,2,0),"")</f>
        <v/>
      </c>
      <c r="AA466" t="str">
        <f t="shared" si="169"/>
        <v/>
      </c>
      <c r="AB466" t="str">
        <f>IF($D466="","",IF(COUNTIF($D$2:$D466,$D466)=1,$D466,""))</f>
        <v/>
      </c>
      <c r="AC466">
        <f t="shared" si="170"/>
        <v>0</v>
      </c>
      <c r="AD466" t="str">
        <f t="shared" si="171"/>
        <v>|0</v>
      </c>
      <c r="AE466" t="str">
        <f t="shared" si="172"/>
        <v/>
      </c>
      <c r="AF466" t="str">
        <f t="shared" si="173"/>
        <v/>
      </c>
      <c r="AG466" t="str">
        <f t="shared" si="174"/>
        <v/>
      </c>
      <c r="AH466" t="str">
        <f t="shared" si="175"/>
        <v/>
      </c>
      <c r="AI466" t="str">
        <f t="shared" si="176"/>
        <v/>
      </c>
      <c r="AJ466" t="str">
        <f t="shared" si="177"/>
        <v/>
      </c>
      <c r="AK466" t="str">
        <f t="shared" si="178"/>
        <v/>
      </c>
      <c r="AL466" t="str">
        <f t="shared" si="179"/>
        <v/>
      </c>
      <c r="AM466" t="str">
        <f t="shared" si="180"/>
        <v/>
      </c>
      <c r="AN466" t="str">
        <f t="shared" si="181"/>
        <v/>
      </c>
      <c r="AO466" t="str">
        <f t="shared" si="182"/>
        <v/>
      </c>
      <c r="AP466">
        <f t="shared" si="183"/>
        <v>1</v>
      </c>
      <c r="AQ466" t="str">
        <f>IF(SAISIE!$F471="","",SAISIE!$Y471)</f>
        <v/>
      </c>
      <c r="AR466" t="str">
        <f>IF(OR(SAISIE!$U$4="",SAISIE!$W$4=""),"",IF(AND($A466=SAISIE!$U$4,$B466=SAISIE!$W$4,$C466="S1"),COUNTIFS($A$2:$A466,SAISIE!$U$4,$B$2:$B466,SAISIE!$W$4,$C$2:$C466,"S1"),""))</f>
        <v/>
      </c>
      <c r="AS466" t="str">
        <f t="shared" si="184"/>
        <v/>
      </c>
      <c r="AT466" t="str">
        <f t="shared" si="185"/>
        <v/>
      </c>
      <c r="AU466" t="str">
        <f t="shared" si="186"/>
        <v/>
      </c>
      <c r="AV466">
        <f>N(AV465)+IF(AND($AB466&lt;&gt;"",OR('PROFIL ELEVE'!$K$4="(Tous)",$AF466='PROFIL ELEVE'!$K$4)),1,0)</f>
        <v>0</v>
      </c>
      <c r="AW466">
        <f>N(AW465)+IF(AND($AB466&lt;&gt;"",OR('SUIVI LONGITUDINAL'!$Q$4="(Tous)",$AF466='SUIVI LONGITUDINAL'!$Q$4)),1,0)</f>
        <v>0</v>
      </c>
      <c r="AX466">
        <f t="shared" si="187"/>
        <v>0</v>
      </c>
      <c r="AY466">
        <f t="shared" si="188"/>
        <v>0</v>
      </c>
      <c r="AZ466">
        <f t="shared" si="189"/>
        <v>0</v>
      </c>
      <c r="BA466" t="str">
        <f t="shared" si="190"/>
        <v/>
      </c>
      <c r="BB466" t="str">
        <f t="shared" si="191"/>
        <v/>
      </c>
    </row>
    <row r="467" spans="1:54" ht="14.25" customHeight="1" x14ac:dyDescent="0.3">
      <c r="A467" t="str">
        <f>IF(SAISIE!$F472="","",SAISIE!$B472)</f>
        <v/>
      </c>
      <c r="B467" t="str">
        <f>IF(SAISIE!$F472="","",SAISIE!$C472)</f>
        <v/>
      </c>
      <c r="C467" t="str">
        <f>IF(SAISIE!$F472="","",SAISIE!$D472)</f>
        <v/>
      </c>
      <c r="D467" t="str">
        <f>IF(SAISIE!$E472="","",SAISIE!$E472)</f>
        <v/>
      </c>
      <c r="E467" t="str">
        <f>IF(SAISIE!$F472="","",SAISIE!$F472)</f>
        <v/>
      </c>
      <c r="F467" t="str">
        <f>IF(SAISIE!$G472="","",SAISIE!$G472)</f>
        <v/>
      </c>
      <c r="G467" t="str">
        <f>IF(SAISIE!$H472="","",SAISIE!$H472)</f>
        <v/>
      </c>
      <c r="H467" t="str">
        <f>IF(SAISIE!$I472="","",SAISIE!$I472)</f>
        <v/>
      </c>
      <c r="I467" t="str">
        <f>IF(SAISIE!$J472="","",SAISIE!$J472)</f>
        <v/>
      </c>
      <c r="J467" t="str">
        <f>IF(SAISIE!$K472="","",SAISIE!$K472)</f>
        <v/>
      </c>
      <c r="K467" t="str">
        <f>IF(SAISIE!$L472="","",SAISIE!$L472)</f>
        <v/>
      </c>
      <c r="L467" t="str">
        <f>IF(SAISIE!$M472="","",SAISIE!$M472)</f>
        <v/>
      </c>
      <c r="M467" t="str">
        <f>IF(SAISIE!$N472="","",SAISIE!$N472)</f>
        <v/>
      </c>
      <c r="N467" t="str">
        <f>IF(SAISIE!$O472="","",SAISIE!$O472)</f>
        <v/>
      </c>
      <c r="O467" t="str">
        <f>IF(SAISIE!$P472="","",SAISIE!$P472)</f>
        <v/>
      </c>
      <c r="P467" t="str">
        <f>IF(SAISIE!$Q472="","",SAISIE!$Q472)</f>
        <v/>
      </c>
      <c r="Q467" t="str">
        <f>IF($I467="","",IF($I467&gt;PARAMETRES!$G$29,5,IF($I467&gt;PARAMETRES!$F$29,4,IF($I467&gt;PARAMETRES!$E$29,3,IF($I467&gt;PARAMETRES!$D$29,2,1)))))</f>
        <v/>
      </c>
      <c r="R467" t="str">
        <f>IF($J467="","",IF($J467&gt;PARAMETRES!$G$30,5,IF($J467&gt;PARAMETRES!$F$30,4,IF($J467&gt;PARAMETRES!$E$30,3,IF($J467&gt;PARAMETRES!$D$30,2,1)))))</f>
        <v/>
      </c>
      <c r="S467" t="str">
        <f>IF($K467="","",IF($Z467=2,IF($K467&gt;PARAMETRES!$G$31,5,IF($K467&gt;PARAMETRES!$F$31,4,IF($K467&gt;PARAMETRES!$E$31,3,IF($K467&gt;PARAMETRES!$D$31,2,1)))),IF($K467&gt;PARAMETRES!$G$32,5,IF($K467&gt;PARAMETRES!$F$32,4,IF($K467&gt;PARAMETRES!$E$32,3,IF($K467&gt;PARAMETRES!$D$32,2,1))))))</f>
        <v/>
      </c>
      <c r="T467" t="str">
        <f>IF($L467="","",IF($L467&gt;PARAMETRES!$G$33,5,IF($L467&gt;PARAMETRES!$F$33,4,IF($L467&gt;PARAMETRES!$E$33,3,IF($L467&gt;PARAMETRES!$D$33,2,1)))))</f>
        <v/>
      </c>
      <c r="U467" t="str">
        <f>IF($M467="","",IF($M467&gt;PARAMETRES!$G$34,5,IF($M467&gt;PARAMETRES!$F$34,4,IF($M467&gt;PARAMETRES!$E$34,3,IF($M467&gt;PARAMETRES!$D$34,2,1)))))</f>
        <v/>
      </c>
      <c r="V467" t="str">
        <f>IF($N467="","",IF($N467&gt;PARAMETRES!$G$35,5,IF($N467&gt;PARAMETRES!$F$35,4,IF($N467&gt;PARAMETRES!$E$35,3,IF($N467&gt;PARAMETRES!$D$35,2,1)))))</f>
        <v/>
      </c>
      <c r="W467" t="str">
        <f>IF($O467="","",IF($O467&gt;PARAMETRES!$G$36,5,IF($O467&gt;PARAMETRES!$F$36,4,IF($O467&gt;PARAMETRES!$E$36,3,IF($O467&gt;PARAMETRES!$D$36,2,1)))))</f>
        <v/>
      </c>
      <c r="X467" t="str">
        <f>IF($P467="","",IF($P467&gt;PARAMETRES!$G$37,5,IF($P467&gt;PARAMETRES!$F$37,4,IF($P467&gt;PARAMETRES!$E$37,3,IF($P467&gt;PARAMETRES!$D$37,2,1)))))</f>
        <v/>
      </c>
      <c r="Y467" t="str">
        <f t="shared" si="168"/>
        <v/>
      </c>
      <c r="Z467" t="str">
        <f>IFERROR(VLOOKUP($B467,TABLE_CYCLE,2,0),"")</f>
        <v/>
      </c>
      <c r="AA467" t="str">
        <f t="shared" si="169"/>
        <v/>
      </c>
      <c r="AB467" t="str">
        <f>IF($D467="","",IF(COUNTIF($D$2:$D467,$D467)=1,$D467,""))</f>
        <v/>
      </c>
      <c r="AC467">
        <f t="shared" si="170"/>
        <v>0</v>
      </c>
      <c r="AD467" t="str">
        <f t="shared" si="171"/>
        <v>|0</v>
      </c>
      <c r="AE467" t="str">
        <f t="shared" si="172"/>
        <v/>
      </c>
      <c r="AF467" t="str">
        <f t="shared" si="173"/>
        <v/>
      </c>
      <c r="AG467" t="str">
        <f t="shared" si="174"/>
        <v/>
      </c>
      <c r="AH467" t="str">
        <f t="shared" si="175"/>
        <v/>
      </c>
      <c r="AI467" t="str">
        <f t="shared" si="176"/>
        <v/>
      </c>
      <c r="AJ467" t="str">
        <f t="shared" si="177"/>
        <v/>
      </c>
      <c r="AK467" t="str">
        <f t="shared" si="178"/>
        <v/>
      </c>
      <c r="AL467" t="str">
        <f t="shared" si="179"/>
        <v/>
      </c>
      <c r="AM467" t="str">
        <f t="shared" si="180"/>
        <v/>
      </c>
      <c r="AN467" t="str">
        <f t="shared" si="181"/>
        <v/>
      </c>
      <c r="AO467" t="str">
        <f t="shared" si="182"/>
        <v/>
      </c>
      <c r="AP467">
        <f t="shared" si="183"/>
        <v>1</v>
      </c>
      <c r="AQ467" t="str">
        <f>IF(SAISIE!$F472="","",SAISIE!$Y472)</f>
        <v/>
      </c>
      <c r="AR467" t="str">
        <f>IF(OR(SAISIE!$U$4="",SAISIE!$W$4=""),"",IF(AND($A467=SAISIE!$U$4,$B467=SAISIE!$W$4,$C467="S1"),COUNTIFS($A$2:$A467,SAISIE!$U$4,$B$2:$B467,SAISIE!$W$4,$C$2:$C467,"S1"),""))</f>
        <v/>
      </c>
      <c r="AS467" t="str">
        <f t="shared" si="184"/>
        <v/>
      </c>
      <c r="AT467" t="str">
        <f t="shared" si="185"/>
        <v/>
      </c>
      <c r="AU467" t="str">
        <f t="shared" si="186"/>
        <v/>
      </c>
      <c r="AV467">
        <f>N(AV466)+IF(AND($AB467&lt;&gt;"",OR('PROFIL ELEVE'!$K$4="(Tous)",$AF467='PROFIL ELEVE'!$K$4)),1,0)</f>
        <v>0</v>
      </c>
      <c r="AW467">
        <f>N(AW466)+IF(AND($AB467&lt;&gt;"",OR('SUIVI LONGITUDINAL'!$Q$4="(Tous)",$AF467='SUIVI LONGITUDINAL'!$Q$4)),1,0)</f>
        <v>0</v>
      </c>
      <c r="AX467">
        <f t="shared" si="187"/>
        <v>0</v>
      </c>
      <c r="AY467">
        <f t="shared" si="188"/>
        <v>0</v>
      </c>
      <c r="AZ467">
        <f t="shared" si="189"/>
        <v>0</v>
      </c>
      <c r="BA467" t="str">
        <f t="shared" si="190"/>
        <v/>
      </c>
      <c r="BB467" t="str">
        <f t="shared" si="191"/>
        <v/>
      </c>
    </row>
    <row r="468" spans="1:54" ht="14.25" customHeight="1" x14ac:dyDescent="0.3">
      <c r="A468" t="str">
        <f>IF(SAISIE!$F473="","",SAISIE!$B473)</f>
        <v/>
      </c>
      <c r="B468" t="str">
        <f>IF(SAISIE!$F473="","",SAISIE!$C473)</f>
        <v/>
      </c>
      <c r="C468" t="str">
        <f>IF(SAISIE!$F473="","",SAISIE!$D473)</f>
        <v/>
      </c>
      <c r="D468" t="str">
        <f>IF(SAISIE!$E473="","",SAISIE!$E473)</f>
        <v/>
      </c>
      <c r="E468" t="str">
        <f>IF(SAISIE!$F473="","",SAISIE!$F473)</f>
        <v/>
      </c>
      <c r="F468" t="str">
        <f>IF(SAISIE!$G473="","",SAISIE!$G473)</f>
        <v/>
      </c>
      <c r="G468" t="str">
        <f>IF(SAISIE!$H473="","",SAISIE!$H473)</f>
        <v/>
      </c>
      <c r="H468" t="str">
        <f>IF(SAISIE!$I473="","",SAISIE!$I473)</f>
        <v/>
      </c>
      <c r="I468" t="str">
        <f>IF(SAISIE!$J473="","",SAISIE!$J473)</f>
        <v/>
      </c>
      <c r="J468" t="str">
        <f>IF(SAISIE!$K473="","",SAISIE!$K473)</f>
        <v/>
      </c>
      <c r="K468" t="str">
        <f>IF(SAISIE!$L473="","",SAISIE!$L473)</f>
        <v/>
      </c>
      <c r="L468" t="str">
        <f>IF(SAISIE!$M473="","",SAISIE!$M473)</f>
        <v/>
      </c>
      <c r="M468" t="str">
        <f>IF(SAISIE!$N473="","",SAISIE!$N473)</f>
        <v/>
      </c>
      <c r="N468" t="str">
        <f>IF(SAISIE!$O473="","",SAISIE!$O473)</f>
        <v/>
      </c>
      <c r="O468" t="str">
        <f>IF(SAISIE!$P473="","",SAISIE!$P473)</f>
        <v/>
      </c>
      <c r="P468" t="str">
        <f>IF(SAISIE!$Q473="","",SAISIE!$Q473)</f>
        <v/>
      </c>
      <c r="Q468" t="str">
        <f>IF($I468="","",IF($I468&gt;PARAMETRES!$G$29,5,IF($I468&gt;PARAMETRES!$F$29,4,IF($I468&gt;PARAMETRES!$E$29,3,IF($I468&gt;PARAMETRES!$D$29,2,1)))))</f>
        <v/>
      </c>
      <c r="R468" t="str">
        <f>IF($J468="","",IF($J468&gt;PARAMETRES!$G$30,5,IF($J468&gt;PARAMETRES!$F$30,4,IF($J468&gt;PARAMETRES!$E$30,3,IF($J468&gt;PARAMETRES!$D$30,2,1)))))</f>
        <v/>
      </c>
      <c r="S468" t="str">
        <f>IF($K468="","",IF($Z468=2,IF($K468&gt;PARAMETRES!$G$31,5,IF($K468&gt;PARAMETRES!$F$31,4,IF($K468&gt;PARAMETRES!$E$31,3,IF($K468&gt;PARAMETRES!$D$31,2,1)))),IF($K468&gt;PARAMETRES!$G$32,5,IF($K468&gt;PARAMETRES!$F$32,4,IF($K468&gt;PARAMETRES!$E$32,3,IF($K468&gt;PARAMETRES!$D$32,2,1))))))</f>
        <v/>
      </c>
      <c r="T468" t="str">
        <f>IF($L468="","",IF($L468&gt;PARAMETRES!$G$33,5,IF($L468&gt;PARAMETRES!$F$33,4,IF($L468&gt;PARAMETRES!$E$33,3,IF($L468&gt;PARAMETRES!$D$33,2,1)))))</f>
        <v/>
      </c>
      <c r="U468" t="str">
        <f>IF($M468="","",IF($M468&gt;PARAMETRES!$G$34,5,IF($M468&gt;PARAMETRES!$F$34,4,IF($M468&gt;PARAMETRES!$E$34,3,IF($M468&gt;PARAMETRES!$D$34,2,1)))))</f>
        <v/>
      </c>
      <c r="V468" t="str">
        <f>IF($N468="","",IF($N468&gt;PARAMETRES!$G$35,5,IF($N468&gt;PARAMETRES!$F$35,4,IF($N468&gt;PARAMETRES!$E$35,3,IF($N468&gt;PARAMETRES!$D$35,2,1)))))</f>
        <v/>
      </c>
      <c r="W468" t="str">
        <f>IF($O468="","",IF($O468&gt;PARAMETRES!$G$36,5,IF($O468&gt;PARAMETRES!$F$36,4,IF($O468&gt;PARAMETRES!$E$36,3,IF($O468&gt;PARAMETRES!$D$36,2,1)))))</f>
        <v/>
      </c>
      <c r="X468" t="str">
        <f>IF($P468="","",IF($P468&gt;PARAMETRES!$G$37,5,IF($P468&gt;PARAMETRES!$F$37,4,IF($P468&gt;PARAMETRES!$E$37,3,IF($P468&gt;PARAMETRES!$D$37,2,1)))))</f>
        <v/>
      </c>
      <c r="Y468" t="str">
        <f t="shared" si="168"/>
        <v/>
      </c>
      <c r="Z468" t="str">
        <f>IFERROR(VLOOKUP($B468,TABLE_CYCLE,2,0),"")</f>
        <v/>
      </c>
      <c r="AA468" t="str">
        <f t="shared" si="169"/>
        <v/>
      </c>
      <c r="AB468" t="str">
        <f>IF($D468="","",IF(COUNTIF($D$2:$D468,$D468)=1,$D468,""))</f>
        <v/>
      </c>
      <c r="AC468">
        <f t="shared" si="170"/>
        <v>0</v>
      </c>
      <c r="AD468" t="str">
        <f t="shared" si="171"/>
        <v>|0</v>
      </c>
      <c r="AE468" t="str">
        <f t="shared" si="172"/>
        <v/>
      </c>
      <c r="AF468" t="str">
        <f t="shared" si="173"/>
        <v/>
      </c>
      <c r="AG468" t="str">
        <f t="shared" si="174"/>
        <v/>
      </c>
      <c r="AH468" t="str">
        <f t="shared" si="175"/>
        <v/>
      </c>
      <c r="AI468" t="str">
        <f t="shared" si="176"/>
        <v/>
      </c>
      <c r="AJ468" t="str">
        <f t="shared" si="177"/>
        <v/>
      </c>
      <c r="AK468" t="str">
        <f t="shared" si="178"/>
        <v/>
      </c>
      <c r="AL468" t="str">
        <f t="shared" si="179"/>
        <v/>
      </c>
      <c r="AM468" t="str">
        <f t="shared" si="180"/>
        <v/>
      </c>
      <c r="AN468" t="str">
        <f t="shared" si="181"/>
        <v/>
      </c>
      <c r="AO468" t="str">
        <f t="shared" si="182"/>
        <v/>
      </c>
      <c r="AP468">
        <f t="shared" si="183"/>
        <v>1</v>
      </c>
      <c r="AQ468" t="str">
        <f>IF(SAISIE!$F473="","",SAISIE!$Y473)</f>
        <v/>
      </c>
      <c r="AR468" t="str">
        <f>IF(OR(SAISIE!$U$4="",SAISIE!$W$4=""),"",IF(AND($A468=SAISIE!$U$4,$B468=SAISIE!$W$4,$C468="S1"),COUNTIFS($A$2:$A468,SAISIE!$U$4,$B$2:$B468,SAISIE!$W$4,$C$2:$C468,"S1"),""))</f>
        <v/>
      </c>
      <c r="AS468" t="str">
        <f t="shared" si="184"/>
        <v/>
      </c>
      <c r="AT468" t="str">
        <f t="shared" si="185"/>
        <v/>
      </c>
      <c r="AU468" t="str">
        <f t="shared" si="186"/>
        <v/>
      </c>
      <c r="AV468">
        <f>N(AV467)+IF(AND($AB468&lt;&gt;"",OR('PROFIL ELEVE'!$K$4="(Tous)",$AF468='PROFIL ELEVE'!$K$4)),1,0)</f>
        <v>0</v>
      </c>
      <c r="AW468">
        <f>N(AW467)+IF(AND($AB468&lt;&gt;"",OR('SUIVI LONGITUDINAL'!$Q$4="(Tous)",$AF468='SUIVI LONGITUDINAL'!$Q$4)),1,0)</f>
        <v>0</v>
      </c>
      <c r="AX468">
        <f t="shared" si="187"/>
        <v>0</v>
      </c>
      <c r="AY468">
        <f t="shared" si="188"/>
        <v>0</v>
      </c>
      <c r="AZ468">
        <f t="shared" si="189"/>
        <v>0</v>
      </c>
      <c r="BA468" t="str">
        <f t="shared" si="190"/>
        <v/>
      </c>
      <c r="BB468" t="str">
        <f t="shared" si="191"/>
        <v/>
      </c>
    </row>
    <row r="469" spans="1:54" ht="14.25" customHeight="1" x14ac:dyDescent="0.3">
      <c r="A469" t="str">
        <f>IF(SAISIE!$F474="","",SAISIE!$B474)</f>
        <v/>
      </c>
      <c r="B469" t="str">
        <f>IF(SAISIE!$F474="","",SAISIE!$C474)</f>
        <v/>
      </c>
      <c r="C469" t="str">
        <f>IF(SAISIE!$F474="","",SAISIE!$D474)</f>
        <v/>
      </c>
      <c r="D469" t="str">
        <f>IF(SAISIE!$E474="","",SAISIE!$E474)</f>
        <v/>
      </c>
      <c r="E469" t="str">
        <f>IF(SAISIE!$F474="","",SAISIE!$F474)</f>
        <v/>
      </c>
      <c r="F469" t="str">
        <f>IF(SAISIE!$G474="","",SAISIE!$G474)</f>
        <v/>
      </c>
      <c r="G469" t="str">
        <f>IF(SAISIE!$H474="","",SAISIE!$H474)</f>
        <v/>
      </c>
      <c r="H469" t="str">
        <f>IF(SAISIE!$I474="","",SAISIE!$I474)</f>
        <v/>
      </c>
      <c r="I469" t="str">
        <f>IF(SAISIE!$J474="","",SAISIE!$J474)</f>
        <v/>
      </c>
      <c r="J469" t="str">
        <f>IF(SAISIE!$K474="","",SAISIE!$K474)</f>
        <v/>
      </c>
      <c r="K469" t="str">
        <f>IF(SAISIE!$L474="","",SAISIE!$L474)</f>
        <v/>
      </c>
      <c r="L469" t="str">
        <f>IF(SAISIE!$M474="","",SAISIE!$M474)</f>
        <v/>
      </c>
      <c r="M469" t="str">
        <f>IF(SAISIE!$N474="","",SAISIE!$N474)</f>
        <v/>
      </c>
      <c r="N469" t="str">
        <f>IF(SAISIE!$O474="","",SAISIE!$O474)</f>
        <v/>
      </c>
      <c r="O469" t="str">
        <f>IF(SAISIE!$P474="","",SAISIE!$P474)</f>
        <v/>
      </c>
      <c r="P469" t="str">
        <f>IF(SAISIE!$Q474="","",SAISIE!$Q474)</f>
        <v/>
      </c>
      <c r="Q469" t="str">
        <f>IF($I469="","",IF($I469&gt;PARAMETRES!$G$29,5,IF($I469&gt;PARAMETRES!$F$29,4,IF($I469&gt;PARAMETRES!$E$29,3,IF($I469&gt;PARAMETRES!$D$29,2,1)))))</f>
        <v/>
      </c>
      <c r="R469" t="str">
        <f>IF($J469="","",IF($J469&gt;PARAMETRES!$G$30,5,IF($J469&gt;PARAMETRES!$F$30,4,IF($J469&gt;PARAMETRES!$E$30,3,IF($J469&gt;PARAMETRES!$D$30,2,1)))))</f>
        <v/>
      </c>
      <c r="S469" t="str">
        <f>IF($K469="","",IF($Z469=2,IF($K469&gt;PARAMETRES!$G$31,5,IF($K469&gt;PARAMETRES!$F$31,4,IF($K469&gt;PARAMETRES!$E$31,3,IF($K469&gt;PARAMETRES!$D$31,2,1)))),IF($K469&gt;PARAMETRES!$G$32,5,IF($K469&gt;PARAMETRES!$F$32,4,IF($K469&gt;PARAMETRES!$E$32,3,IF($K469&gt;PARAMETRES!$D$32,2,1))))))</f>
        <v/>
      </c>
      <c r="T469" t="str">
        <f>IF($L469="","",IF($L469&gt;PARAMETRES!$G$33,5,IF($L469&gt;PARAMETRES!$F$33,4,IF($L469&gt;PARAMETRES!$E$33,3,IF($L469&gt;PARAMETRES!$D$33,2,1)))))</f>
        <v/>
      </c>
      <c r="U469" t="str">
        <f>IF($M469="","",IF($M469&gt;PARAMETRES!$G$34,5,IF($M469&gt;PARAMETRES!$F$34,4,IF($M469&gt;PARAMETRES!$E$34,3,IF($M469&gt;PARAMETRES!$D$34,2,1)))))</f>
        <v/>
      </c>
      <c r="V469" t="str">
        <f>IF($N469="","",IF($N469&gt;PARAMETRES!$G$35,5,IF($N469&gt;PARAMETRES!$F$35,4,IF($N469&gt;PARAMETRES!$E$35,3,IF($N469&gt;PARAMETRES!$D$35,2,1)))))</f>
        <v/>
      </c>
      <c r="W469" t="str">
        <f>IF($O469="","",IF($O469&gt;PARAMETRES!$G$36,5,IF($O469&gt;PARAMETRES!$F$36,4,IF($O469&gt;PARAMETRES!$E$36,3,IF($O469&gt;PARAMETRES!$D$36,2,1)))))</f>
        <v/>
      </c>
      <c r="X469" t="str">
        <f>IF($P469="","",IF($P469&gt;PARAMETRES!$G$37,5,IF($P469&gt;PARAMETRES!$F$37,4,IF($P469&gt;PARAMETRES!$E$37,3,IF($P469&gt;PARAMETRES!$D$37,2,1)))))</f>
        <v/>
      </c>
      <c r="Y469" t="str">
        <f t="shared" si="168"/>
        <v/>
      </c>
      <c r="Z469" t="str">
        <f>IFERROR(VLOOKUP($B469,TABLE_CYCLE,2,0),"")</f>
        <v/>
      </c>
      <c r="AA469" t="str">
        <f t="shared" si="169"/>
        <v/>
      </c>
      <c r="AB469" t="str">
        <f>IF($D469="","",IF(COUNTIF($D$2:$D469,$D469)=1,$D469,""))</f>
        <v/>
      </c>
      <c r="AC469">
        <f t="shared" si="170"/>
        <v>0</v>
      </c>
      <c r="AD469" t="str">
        <f t="shared" si="171"/>
        <v>|0</v>
      </c>
      <c r="AE469" t="str">
        <f t="shared" si="172"/>
        <v/>
      </c>
      <c r="AF469" t="str">
        <f t="shared" si="173"/>
        <v/>
      </c>
      <c r="AG469" t="str">
        <f t="shared" si="174"/>
        <v/>
      </c>
      <c r="AH469" t="str">
        <f t="shared" si="175"/>
        <v/>
      </c>
      <c r="AI469" t="str">
        <f t="shared" si="176"/>
        <v/>
      </c>
      <c r="AJ469" t="str">
        <f t="shared" si="177"/>
        <v/>
      </c>
      <c r="AK469" t="str">
        <f t="shared" si="178"/>
        <v/>
      </c>
      <c r="AL469" t="str">
        <f t="shared" si="179"/>
        <v/>
      </c>
      <c r="AM469" t="str">
        <f t="shared" si="180"/>
        <v/>
      </c>
      <c r="AN469" t="str">
        <f t="shared" si="181"/>
        <v/>
      </c>
      <c r="AO469" t="str">
        <f t="shared" si="182"/>
        <v/>
      </c>
      <c r="AP469">
        <f t="shared" si="183"/>
        <v>1</v>
      </c>
      <c r="AQ469" t="str">
        <f>IF(SAISIE!$F474="","",SAISIE!$Y474)</f>
        <v/>
      </c>
      <c r="AR469" t="str">
        <f>IF(OR(SAISIE!$U$4="",SAISIE!$W$4=""),"",IF(AND($A469=SAISIE!$U$4,$B469=SAISIE!$W$4,$C469="S1"),COUNTIFS($A$2:$A469,SAISIE!$U$4,$B$2:$B469,SAISIE!$W$4,$C$2:$C469,"S1"),""))</f>
        <v/>
      </c>
      <c r="AS469" t="str">
        <f t="shared" si="184"/>
        <v/>
      </c>
      <c r="AT469" t="str">
        <f t="shared" si="185"/>
        <v/>
      </c>
      <c r="AU469" t="str">
        <f t="shared" si="186"/>
        <v/>
      </c>
      <c r="AV469">
        <f>N(AV468)+IF(AND($AB469&lt;&gt;"",OR('PROFIL ELEVE'!$K$4="(Tous)",$AF469='PROFIL ELEVE'!$K$4)),1,0)</f>
        <v>0</v>
      </c>
      <c r="AW469">
        <f>N(AW468)+IF(AND($AB469&lt;&gt;"",OR('SUIVI LONGITUDINAL'!$Q$4="(Tous)",$AF469='SUIVI LONGITUDINAL'!$Q$4)),1,0)</f>
        <v>0</v>
      </c>
      <c r="AX469">
        <f t="shared" si="187"/>
        <v>0</v>
      </c>
      <c r="AY469">
        <f t="shared" si="188"/>
        <v>0</v>
      </c>
      <c r="AZ469">
        <f t="shared" si="189"/>
        <v>0</v>
      </c>
      <c r="BA469" t="str">
        <f t="shared" si="190"/>
        <v/>
      </c>
      <c r="BB469" t="str">
        <f t="shared" si="191"/>
        <v/>
      </c>
    </row>
    <row r="470" spans="1:54" ht="14.25" customHeight="1" x14ac:dyDescent="0.3">
      <c r="A470" t="str">
        <f>IF(SAISIE!$F475="","",SAISIE!$B475)</f>
        <v/>
      </c>
      <c r="B470" t="str">
        <f>IF(SAISIE!$F475="","",SAISIE!$C475)</f>
        <v/>
      </c>
      <c r="C470" t="str">
        <f>IF(SAISIE!$F475="","",SAISIE!$D475)</f>
        <v/>
      </c>
      <c r="D470" t="str">
        <f>IF(SAISIE!$E475="","",SAISIE!$E475)</f>
        <v/>
      </c>
      <c r="E470" t="str">
        <f>IF(SAISIE!$F475="","",SAISIE!$F475)</f>
        <v/>
      </c>
      <c r="F470" t="str">
        <f>IF(SAISIE!$G475="","",SAISIE!$G475)</f>
        <v/>
      </c>
      <c r="G470" t="str">
        <f>IF(SAISIE!$H475="","",SAISIE!$H475)</f>
        <v/>
      </c>
      <c r="H470" t="str">
        <f>IF(SAISIE!$I475="","",SAISIE!$I475)</f>
        <v/>
      </c>
      <c r="I470" t="str">
        <f>IF(SAISIE!$J475="","",SAISIE!$J475)</f>
        <v/>
      </c>
      <c r="J470" t="str">
        <f>IF(SAISIE!$K475="","",SAISIE!$K475)</f>
        <v/>
      </c>
      <c r="K470" t="str">
        <f>IF(SAISIE!$L475="","",SAISIE!$L475)</f>
        <v/>
      </c>
      <c r="L470" t="str">
        <f>IF(SAISIE!$M475="","",SAISIE!$M475)</f>
        <v/>
      </c>
      <c r="M470" t="str">
        <f>IF(SAISIE!$N475="","",SAISIE!$N475)</f>
        <v/>
      </c>
      <c r="N470" t="str">
        <f>IF(SAISIE!$O475="","",SAISIE!$O475)</f>
        <v/>
      </c>
      <c r="O470" t="str">
        <f>IF(SAISIE!$P475="","",SAISIE!$P475)</f>
        <v/>
      </c>
      <c r="P470" t="str">
        <f>IF(SAISIE!$Q475="","",SAISIE!$Q475)</f>
        <v/>
      </c>
      <c r="Q470" t="str">
        <f>IF($I470="","",IF($I470&gt;PARAMETRES!$G$29,5,IF($I470&gt;PARAMETRES!$F$29,4,IF($I470&gt;PARAMETRES!$E$29,3,IF($I470&gt;PARAMETRES!$D$29,2,1)))))</f>
        <v/>
      </c>
      <c r="R470" t="str">
        <f>IF($J470="","",IF($J470&gt;PARAMETRES!$G$30,5,IF($J470&gt;PARAMETRES!$F$30,4,IF($J470&gt;PARAMETRES!$E$30,3,IF($J470&gt;PARAMETRES!$D$30,2,1)))))</f>
        <v/>
      </c>
      <c r="S470" t="str">
        <f>IF($K470="","",IF($Z470=2,IF($K470&gt;PARAMETRES!$G$31,5,IF($K470&gt;PARAMETRES!$F$31,4,IF($K470&gt;PARAMETRES!$E$31,3,IF($K470&gt;PARAMETRES!$D$31,2,1)))),IF($K470&gt;PARAMETRES!$G$32,5,IF($K470&gt;PARAMETRES!$F$32,4,IF($K470&gt;PARAMETRES!$E$32,3,IF($K470&gt;PARAMETRES!$D$32,2,1))))))</f>
        <v/>
      </c>
      <c r="T470" t="str">
        <f>IF($L470="","",IF($L470&gt;PARAMETRES!$G$33,5,IF($L470&gt;PARAMETRES!$F$33,4,IF($L470&gt;PARAMETRES!$E$33,3,IF($L470&gt;PARAMETRES!$D$33,2,1)))))</f>
        <v/>
      </c>
      <c r="U470" t="str">
        <f>IF($M470="","",IF($M470&gt;PARAMETRES!$G$34,5,IF($M470&gt;PARAMETRES!$F$34,4,IF($M470&gt;PARAMETRES!$E$34,3,IF($M470&gt;PARAMETRES!$D$34,2,1)))))</f>
        <v/>
      </c>
      <c r="V470" t="str">
        <f>IF($N470="","",IF($N470&gt;PARAMETRES!$G$35,5,IF($N470&gt;PARAMETRES!$F$35,4,IF($N470&gt;PARAMETRES!$E$35,3,IF($N470&gt;PARAMETRES!$D$35,2,1)))))</f>
        <v/>
      </c>
      <c r="W470" t="str">
        <f>IF($O470="","",IF($O470&gt;PARAMETRES!$G$36,5,IF($O470&gt;PARAMETRES!$F$36,4,IF($O470&gt;PARAMETRES!$E$36,3,IF($O470&gt;PARAMETRES!$D$36,2,1)))))</f>
        <v/>
      </c>
      <c r="X470" t="str">
        <f>IF($P470="","",IF($P470&gt;PARAMETRES!$G$37,5,IF($P470&gt;PARAMETRES!$F$37,4,IF($P470&gt;PARAMETRES!$E$37,3,IF($P470&gt;PARAMETRES!$D$37,2,1)))))</f>
        <v/>
      </c>
      <c r="Y470" t="str">
        <f t="shared" si="168"/>
        <v/>
      </c>
      <c r="Z470" t="str">
        <f>IFERROR(VLOOKUP($B470,TABLE_CYCLE,2,0),"")</f>
        <v/>
      </c>
      <c r="AA470" t="str">
        <f t="shared" si="169"/>
        <v/>
      </c>
      <c r="AB470" t="str">
        <f>IF($D470="","",IF(COUNTIF($D$2:$D470,$D470)=1,$D470,""))</f>
        <v/>
      </c>
      <c r="AC470">
        <f t="shared" si="170"/>
        <v>0</v>
      </c>
      <c r="AD470" t="str">
        <f t="shared" si="171"/>
        <v>|0</v>
      </c>
      <c r="AE470" t="str">
        <f t="shared" si="172"/>
        <v/>
      </c>
      <c r="AF470" t="str">
        <f t="shared" si="173"/>
        <v/>
      </c>
      <c r="AG470" t="str">
        <f t="shared" si="174"/>
        <v/>
      </c>
      <c r="AH470" t="str">
        <f t="shared" si="175"/>
        <v/>
      </c>
      <c r="AI470" t="str">
        <f t="shared" si="176"/>
        <v/>
      </c>
      <c r="AJ470" t="str">
        <f t="shared" si="177"/>
        <v/>
      </c>
      <c r="AK470" t="str">
        <f t="shared" si="178"/>
        <v/>
      </c>
      <c r="AL470" t="str">
        <f t="shared" si="179"/>
        <v/>
      </c>
      <c r="AM470" t="str">
        <f t="shared" si="180"/>
        <v/>
      </c>
      <c r="AN470" t="str">
        <f t="shared" si="181"/>
        <v/>
      </c>
      <c r="AO470" t="str">
        <f t="shared" si="182"/>
        <v/>
      </c>
      <c r="AP470">
        <f t="shared" si="183"/>
        <v>1</v>
      </c>
      <c r="AQ470" t="str">
        <f>IF(SAISIE!$F475="","",SAISIE!$Y475)</f>
        <v/>
      </c>
      <c r="AR470" t="str">
        <f>IF(OR(SAISIE!$U$4="",SAISIE!$W$4=""),"",IF(AND($A470=SAISIE!$U$4,$B470=SAISIE!$W$4,$C470="S1"),COUNTIFS($A$2:$A470,SAISIE!$U$4,$B$2:$B470,SAISIE!$W$4,$C$2:$C470,"S1"),""))</f>
        <v/>
      </c>
      <c r="AS470" t="str">
        <f t="shared" si="184"/>
        <v/>
      </c>
      <c r="AT470" t="str">
        <f t="shared" si="185"/>
        <v/>
      </c>
      <c r="AU470" t="str">
        <f t="shared" si="186"/>
        <v/>
      </c>
      <c r="AV470">
        <f>N(AV469)+IF(AND($AB470&lt;&gt;"",OR('PROFIL ELEVE'!$K$4="(Tous)",$AF470='PROFIL ELEVE'!$K$4)),1,0)</f>
        <v>0</v>
      </c>
      <c r="AW470">
        <f>N(AW469)+IF(AND($AB470&lt;&gt;"",OR('SUIVI LONGITUDINAL'!$Q$4="(Tous)",$AF470='SUIVI LONGITUDINAL'!$Q$4)),1,0)</f>
        <v>0</v>
      </c>
      <c r="AX470">
        <f t="shared" si="187"/>
        <v>0</v>
      </c>
      <c r="AY470">
        <f t="shared" si="188"/>
        <v>0</v>
      </c>
      <c r="AZ470">
        <f t="shared" si="189"/>
        <v>0</v>
      </c>
      <c r="BA470" t="str">
        <f t="shared" si="190"/>
        <v/>
      </c>
      <c r="BB470" t="str">
        <f t="shared" si="191"/>
        <v/>
      </c>
    </row>
    <row r="471" spans="1:54" ht="14.25" customHeight="1" x14ac:dyDescent="0.3">
      <c r="A471" t="str">
        <f>IF(SAISIE!$F476="","",SAISIE!$B476)</f>
        <v/>
      </c>
      <c r="B471" t="str">
        <f>IF(SAISIE!$F476="","",SAISIE!$C476)</f>
        <v/>
      </c>
      <c r="C471" t="str">
        <f>IF(SAISIE!$F476="","",SAISIE!$D476)</f>
        <v/>
      </c>
      <c r="D471" t="str">
        <f>IF(SAISIE!$E476="","",SAISIE!$E476)</f>
        <v/>
      </c>
      <c r="E471" t="str">
        <f>IF(SAISIE!$F476="","",SAISIE!$F476)</f>
        <v/>
      </c>
      <c r="F471" t="str">
        <f>IF(SAISIE!$G476="","",SAISIE!$G476)</f>
        <v/>
      </c>
      <c r="G471" t="str">
        <f>IF(SAISIE!$H476="","",SAISIE!$H476)</f>
        <v/>
      </c>
      <c r="H471" t="str">
        <f>IF(SAISIE!$I476="","",SAISIE!$I476)</f>
        <v/>
      </c>
      <c r="I471" t="str">
        <f>IF(SAISIE!$J476="","",SAISIE!$J476)</f>
        <v/>
      </c>
      <c r="J471" t="str">
        <f>IF(SAISIE!$K476="","",SAISIE!$K476)</f>
        <v/>
      </c>
      <c r="K471" t="str">
        <f>IF(SAISIE!$L476="","",SAISIE!$L476)</f>
        <v/>
      </c>
      <c r="L471" t="str">
        <f>IF(SAISIE!$M476="","",SAISIE!$M476)</f>
        <v/>
      </c>
      <c r="M471" t="str">
        <f>IF(SAISIE!$N476="","",SAISIE!$N476)</f>
        <v/>
      </c>
      <c r="N471" t="str">
        <f>IF(SAISIE!$O476="","",SAISIE!$O476)</f>
        <v/>
      </c>
      <c r="O471" t="str">
        <f>IF(SAISIE!$P476="","",SAISIE!$P476)</f>
        <v/>
      </c>
      <c r="P471" t="str">
        <f>IF(SAISIE!$Q476="","",SAISIE!$Q476)</f>
        <v/>
      </c>
      <c r="Q471" t="str">
        <f>IF($I471="","",IF($I471&gt;PARAMETRES!$G$29,5,IF($I471&gt;PARAMETRES!$F$29,4,IF($I471&gt;PARAMETRES!$E$29,3,IF($I471&gt;PARAMETRES!$D$29,2,1)))))</f>
        <v/>
      </c>
      <c r="R471" t="str">
        <f>IF($J471="","",IF($J471&gt;PARAMETRES!$G$30,5,IF($J471&gt;PARAMETRES!$F$30,4,IF($J471&gt;PARAMETRES!$E$30,3,IF($J471&gt;PARAMETRES!$D$30,2,1)))))</f>
        <v/>
      </c>
      <c r="S471" t="str">
        <f>IF($K471="","",IF($Z471=2,IF($K471&gt;PARAMETRES!$G$31,5,IF($K471&gt;PARAMETRES!$F$31,4,IF($K471&gt;PARAMETRES!$E$31,3,IF($K471&gt;PARAMETRES!$D$31,2,1)))),IF($K471&gt;PARAMETRES!$G$32,5,IF($K471&gt;PARAMETRES!$F$32,4,IF($K471&gt;PARAMETRES!$E$32,3,IF($K471&gt;PARAMETRES!$D$32,2,1))))))</f>
        <v/>
      </c>
      <c r="T471" t="str">
        <f>IF($L471="","",IF($L471&gt;PARAMETRES!$G$33,5,IF($L471&gt;PARAMETRES!$F$33,4,IF($L471&gt;PARAMETRES!$E$33,3,IF($L471&gt;PARAMETRES!$D$33,2,1)))))</f>
        <v/>
      </c>
      <c r="U471" t="str">
        <f>IF($M471="","",IF($M471&gt;PARAMETRES!$G$34,5,IF($M471&gt;PARAMETRES!$F$34,4,IF($M471&gt;PARAMETRES!$E$34,3,IF($M471&gt;PARAMETRES!$D$34,2,1)))))</f>
        <v/>
      </c>
      <c r="V471" t="str">
        <f>IF($N471="","",IF($N471&gt;PARAMETRES!$G$35,5,IF($N471&gt;PARAMETRES!$F$35,4,IF($N471&gt;PARAMETRES!$E$35,3,IF($N471&gt;PARAMETRES!$D$35,2,1)))))</f>
        <v/>
      </c>
      <c r="W471" t="str">
        <f>IF($O471="","",IF($O471&gt;PARAMETRES!$G$36,5,IF($O471&gt;PARAMETRES!$F$36,4,IF($O471&gt;PARAMETRES!$E$36,3,IF($O471&gt;PARAMETRES!$D$36,2,1)))))</f>
        <v/>
      </c>
      <c r="X471" t="str">
        <f>IF($P471="","",IF($P471&gt;PARAMETRES!$G$37,5,IF($P471&gt;PARAMETRES!$F$37,4,IF($P471&gt;PARAMETRES!$E$37,3,IF($P471&gt;PARAMETRES!$D$37,2,1)))))</f>
        <v/>
      </c>
      <c r="Y471" t="str">
        <f t="shared" si="168"/>
        <v/>
      </c>
      <c r="Z471" t="str">
        <f>IFERROR(VLOOKUP($B471,TABLE_CYCLE,2,0),"")</f>
        <v/>
      </c>
      <c r="AA471" t="str">
        <f t="shared" si="169"/>
        <v/>
      </c>
      <c r="AB471" t="str">
        <f>IF($D471="","",IF(COUNTIF($D$2:$D471,$D471)=1,$D471,""))</f>
        <v/>
      </c>
      <c r="AC471">
        <f t="shared" si="170"/>
        <v>0</v>
      </c>
      <c r="AD471" t="str">
        <f t="shared" si="171"/>
        <v>|0</v>
      </c>
      <c r="AE471" t="str">
        <f t="shared" si="172"/>
        <v/>
      </c>
      <c r="AF471" t="str">
        <f t="shared" si="173"/>
        <v/>
      </c>
      <c r="AG471" t="str">
        <f t="shared" si="174"/>
        <v/>
      </c>
      <c r="AH471" t="str">
        <f t="shared" si="175"/>
        <v/>
      </c>
      <c r="AI471" t="str">
        <f t="shared" si="176"/>
        <v/>
      </c>
      <c r="AJ471" t="str">
        <f t="shared" si="177"/>
        <v/>
      </c>
      <c r="AK471" t="str">
        <f t="shared" si="178"/>
        <v/>
      </c>
      <c r="AL471" t="str">
        <f t="shared" si="179"/>
        <v/>
      </c>
      <c r="AM471" t="str">
        <f t="shared" si="180"/>
        <v/>
      </c>
      <c r="AN471" t="str">
        <f t="shared" si="181"/>
        <v/>
      </c>
      <c r="AO471" t="str">
        <f t="shared" si="182"/>
        <v/>
      </c>
      <c r="AP471">
        <f t="shared" si="183"/>
        <v>1</v>
      </c>
      <c r="AQ471" t="str">
        <f>IF(SAISIE!$F476="","",SAISIE!$Y476)</f>
        <v/>
      </c>
      <c r="AR471" t="str">
        <f>IF(OR(SAISIE!$U$4="",SAISIE!$W$4=""),"",IF(AND($A471=SAISIE!$U$4,$B471=SAISIE!$W$4,$C471="S1"),COUNTIFS($A$2:$A471,SAISIE!$U$4,$B$2:$B471,SAISIE!$W$4,$C$2:$C471,"S1"),""))</f>
        <v/>
      </c>
      <c r="AS471" t="str">
        <f t="shared" si="184"/>
        <v/>
      </c>
      <c r="AT471" t="str">
        <f t="shared" si="185"/>
        <v/>
      </c>
      <c r="AU471" t="str">
        <f t="shared" si="186"/>
        <v/>
      </c>
      <c r="AV471">
        <f>N(AV470)+IF(AND($AB471&lt;&gt;"",OR('PROFIL ELEVE'!$K$4="(Tous)",$AF471='PROFIL ELEVE'!$K$4)),1,0)</f>
        <v>0</v>
      </c>
      <c r="AW471">
        <f>N(AW470)+IF(AND($AB471&lt;&gt;"",OR('SUIVI LONGITUDINAL'!$Q$4="(Tous)",$AF471='SUIVI LONGITUDINAL'!$Q$4)),1,0)</f>
        <v>0</v>
      </c>
      <c r="AX471">
        <f t="shared" si="187"/>
        <v>0</v>
      </c>
      <c r="AY471">
        <f t="shared" si="188"/>
        <v>0</v>
      </c>
      <c r="AZ471">
        <f t="shared" si="189"/>
        <v>0</v>
      </c>
      <c r="BA471" t="str">
        <f t="shared" si="190"/>
        <v/>
      </c>
      <c r="BB471" t="str">
        <f t="shared" si="191"/>
        <v/>
      </c>
    </row>
    <row r="472" spans="1:54" ht="14.25" customHeight="1" x14ac:dyDescent="0.3">
      <c r="A472" t="str">
        <f>IF(SAISIE!$F477="","",SAISIE!$B477)</f>
        <v/>
      </c>
      <c r="B472" t="str">
        <f>IF(SAISIE!$F477="","",SAISIE!$C477)</f>
        <v/>
      </c>
      <c r="C472" t="str">
        <f>IF(SAISIE!$F477="","",SAISIE!$D477)</f>
        <v/>
      </c>
      <c r="D472" t="str">
        <f>IF(SAISIE!$E477="","",SAISIE!$E477)</f>
        <v/>
      </c>
      <c r="E472" t="str">
        <f>IF(SAISIE!$F477="","",SAISIE!$F477)</f>
        <v/>
      </c>
      <c r="F472" t="str">
        <f>IF(SAISIE!$G477="","",SAISIE!$G477)</f>
        <v/>
      </c>
      <c r="G472" t="str">
        <f>IF(SAISIE!$H477="","",SAISIE!$H477)</f>
        <v/>
      </c>
      <c r="H472" t="str">
        <f>IF(SAISIE!$I477="","",SAISIE!$I477)</f>
        <v/>
      </c>
      <c r="I472" t="str">
        <f>IF(SAISIE!$J477="","",SAISIE!$J477)</f>
        <v/>
      </c>
      <c r="J472" t="str">
        <f>IF(SAISIE!$K477="","",SAISIE!$K477)</f>
        <v/>
      </c>
      <c r="K472" t="str">
        <f>IF(SAISIE!$L477="","",SAISIE!$L477)</f>
        <v/>
      </c>
      <c r="L472" t="str">
        <f>IF(SAISIE!$M477="","",SAISIE!$M477)</f>
        <v/>
      </c>
      <c r="M472" t="str">
        <f>IF(SAISIE!$N477="","",SAISIE!$N477)</f>
        <v/>
      </c>
      <c r="N472" t="str">
        <f>IF(SAISIE!$O477="","",SAISIE!$O477)</f>
        <v/>
      </c>
      <c r="O472" t="str">
        <f>IF(SAISIE!$P477="","",SAISIE!$P477)</f>
        <v/>
      </c>
      <c r="P472" t="str">
        <f>IF(SAISIE!$Q477="","",SAISIE!$Q477)</f>
        <v/>
      </c>
      <c r="Q472" t="str">
        <f>IF($I472="","",IF($I472&gt;PARAMETRES!$G$29,5,IF($I472&gt;PARAMETRES!$F$29,4,IF($I472&gt;PARAMETRES!$E$29,3,IF($I472&gt;PARAMETRES!$D$29,2,1)))))</f>
        <v/>
      </c>
      <c r="R472" t="str">
        <f>IF($J472="","",IF($J472&gt;PARAMETRES!$G$30,5,IF($J472&gt;PARAMETRES!$F$30,4,IF($J472&gt;PARAMETRES!$E$30,3,IF($J472&gt;PARAMETRES!$D$30,2,1)))))</f>
        <v/>
      </c>
      <c r="S472" t="str">
        <f>IF($K472="","",IF($Z472=2,IF($K472&gt;PARAMETRES!$G$31,5,IF($K472&gt;PARAMETRES!$F$31,4,IF($K472&gt;PARAMETRES!$E$31,3,IF($K472&gt;PARAMETRES!$D$31,2,1)))),IF($K472&gt;PARAMETRES!$G$32,5,IF($K472&gt;PARAMETRES!$F$32,4,IF($K472&gt;PARAMETRES!$E$32,3,IF($K472&gt;PARAMETRES!$D$32,2,1))))))</f>
        <v/>
      </c>
      <c r="T472" t="str">
        <f>IF($L472="","",IF($L472&gt;PARAMETRES!$G$33,5,IF($L472&gt;PARAMETRES!$F$33,4,IF($L472&gt;PARAMETRES!$E$33,3,IF($L472&gt;PARAMETRES!$D$33,2,1)))))</f>
        <v/>
      </c>
      <c r="U472" t="str">
        <f>IF($M472="","",IF($M472&gt;PARAMETRES!$G$34,5,IF($M472&gt;PARAMETRES!$F$34,4,IF($M472&gt;PARAMETRES!$E$34,3,IF($M472&gt;PARAMETRES!$D$34,2,1)))))</f>
        <v/>
      </c>
      <c r="V472" t="str">
        <f>IF($N472="","",IF($N472&gt;PARAMETRES!$G$35,5,IF($N472&gt;PARAMETRES!$F$35,4,IF($N472&gt;PARAMETRES!$E$35,3,IF($N472&gt;PARAMETRES!$D$35,2,1)))))</f>
        <v/>
      </c>
      <c r="W472" t="str">
        <f>IF($O472="","",IF($O472&gt;PARAMETRES!$G$36,5,IF($O472&gt;PARAMETRES!$F$36,4,IF($O472&gt;PARAMETRES!$E$36,3,IF($O472&gt;PARAMETRES!$D$36,2,1)))))</f>
        <v/>
      </c>
      <c r="X472" t="str">
        <f>IF($P472="","",IF($P472&gt;PARAMETRES!$G$37,5,IF($P472&gt;PARAMETRES!$F$37,4,IF($P472&gt;PARAMETRES!$E$37,3,IF($P472&gt;PARAMETRES!$D$37,2,1)))))</f>
        <v/>
      </c>
      <c r="Y472" t="str">
        <f t="shared" si="168"/>
        <v/>
      </c>
      <c r="Z472" t="str">
        <f>IFERROR(VLOOKUP($B472,TABLE_CYCLE,2,0),"")</f>
        <v/>
      </c>
      <c r="AA472" t="str">
        <f t="shared" si="169"/>
        <v/>
      </c>
      <c r="AB472" t="str">
        <f>IF($D472="","",IF(COUNTIF($D$2:$D472,$D472)=1,$D472,""))</f>
        <v/>
      </c>
      <c r="AC472">
        <f t="shared" si="170"/>
        <v>0</v>
      </c>
      <c r="AD472" t="str">
        <f t="shared" si="171"/>
        <v>|0</v>
      </c>
      <c r="AE472" t="str">
        <f t="shared" si="172"/>
        <v/>
      </c>
      <c r="AF472" t="str">
        <f t="shared" si="173"/>
        <v/>
      </c>
      <c r="AG472" t="str">
        <f t="shared" si="174"/>
        <v/>
      </c>
      <c r="AH472" t="str">
        <f t="shared" si="175"/>
        <v/>
      </c>
      <c r="AI472" t="str">
        <f t="shared" si="176"/>
        <v/>
      </c>
      <c r="AJ472" t="str">
        <f t="shared" si="177"/>
        <v/>
      </c>
      <c r="AK472" t="str">
        <f t="shared" si="178"/>
        <v/>
      </c>
      <c r="AL472" t="str">
        <f t="shared" si="179"/>
        <v/>
      </c>
      <c r="AM472" t="str">
        <f t="shared" si="180"/>
        <v/>
      </c>
      <c r="AN472" t="str">
        <f t="shared" si="181"/>
        <v/>
      </c>
      <c r="AO472" t="str">
        <f t="shared" si="182"/>
        <v/>
      </c>
      <c r="AP472">
        <f t="shared" si="183"/>
        <v>1</v>
      </c>
      <c r="AQ472" t="str">
        <f>IF(SAISIE!$F477="","",SAISIE!$Y477)</f>
        <v/>
      </c>
      <c r="AR472" t="str">
        <f>IF(OR(SAISIE!$U$4="",SAISIE!$W$4=""),"",IF(AND($A472=SAISIE!$U$4,$B472=SAISIE!$W$4,$C472="S1"),COUNTIFS($A$2:$A472,SAISIE!$U$4,$B$2:$B472,SAISIE!$W$4,$C$2:$C472,"S1"),""))</f>
        <v/>
      </c>
      <c r="AS472" t="str">
        <f t="shared" si="184"/>
        <v/>
      </c>
      <c r="AT472" t="str">
        <f t="shared" si="185"/>
        <v/>
      </c>
      <c r="AU472" t="str">
        <f t="shared" si="186"/>
        <v/>
      </c>
      <c r="AV472">
        <f>N(AV471)+IF(AND($AB472&lt;&gt;"",OR('PROFIL ELEVE'!$K$4="(Tous)",$AF472='PROFIL ELEVE'!$K$4)),1,0)</f>
        <v>0</v>
      </c>
      <c r="AW472">
        <f>N(AW471)+IF(AND($AB472&lt;&gt;"",OR('SUIVI LONGITUDINAL'!$Q$4="(Tous)",$AF472='SUIVI LONGITUDINAL'!$Q$4)),1,0)</f>
        <v>0</v>
      </c>
      <c r="AX472">
        <f t="shared" si="187"/>
        <v>0</v>
      </c>
      <c r="AY472">
        <f t="shared" si="188"/>
        <v>0</v>
      </c>
      <c r="AZ472">
        <f t="shared" si="189"/>
        <v>0</v>
      </c>
      <c r="BA472" t="str">
        <f t="shared" si="190"/>
        <v/>
      </c>
      <c r="BB472" t="str">
        <f t="shared" si="191"/>
        <v/>
      </c>
    </row>
    <row r="473" spans="1:54" ht="14.25" customHeight="1" x14ac:dyDescent="0.3">
      <c r="A473" t="str">
        <f>IF(SAISIE!$F478="","",SAISIE!$B478)</f>
        <v/>
      </c>
      <c r="B473" t="str">
        <f>IF(SAISIE!$F478="","",SAISIE!$C478)</f>
        <v/>
      </c>
      <c r="C473" t="str">
        <f>IF(SAISIE!$F478="","",SAISIE!$D478)</f>
        <v/>
      </c>
      <c r="D473" t="str">
        <f>IF(SAISIE!$E478="","",SAISIE!$E478)</f>
        <v/>
      </c>
      <c r="E473" t="str">
        <f>IF(SAISIE!$F478="","",SAISIE!$F478)</f>
        <v/>
      </c>
      <c r="F473" t="str">
        <f>IF(SAISIE!$G478="","",SAISIE!$G478)</f>
        <v/>
      </c>
      <c r="G473" t="str">
        <f>IF(SAISIE!$H478="","",SAISIE!$H478)</f>
        <v/>
      </c>
      <c r="H473" t="str">
        <f>IF(SAISIE!$I478="","",SAISIE!$I478)</f>
        <v/>
      </c>
      <c r="I473" t="str">
        <f>IF(SAISIE!$J478="","",SAISIE!$J478)</f>
        <v/>
      </c>
      <c r="J473" t="str">
        <f>IF(SAISIE!$K478="","",SAISIE!$K478)</f>
        <v/>
      </c>
      <c r="K473" t="str">
        <f>IF(SAISIE!$L478="","",SAISIE!$L478)</f>
        <v/>
      </c>
      <c r="L473" t="str">
        <f>IF(SAISIE!$M478="","",SAISIE!$M478)</f>
        <v/>
      </c>
      <c r="M473" t="str">
        <f>IF(SAISIE!$N478="","",SAISIE!$N478)</f>
        <v/>
      </c>
      <c r="N473" t="str">
        <f>IF(SAISIE!$O478="","",SAISIE!$O478)</f>
        <v/>
      </c>
      <c r="O473" t="str">
        <f>IF(SAISIE!$P478="","",SAISIE!$P478)</f>
        <v/>
      </c>
      <c r="P473" t="str">
        <f>IF(SAISIE!$Q478="","",SAISIE!$Q478)</f>
        <v/>
      </c>
      <c r="Q473" t="str">
        <f>IF($I473="","",IF($I473&gt;PARAMETRES!$G$29,5,IF($I473&gt;PARAMETRES!$F$29,4,IF($I473&gt;PARAMETRES!$E$29,3,IF($I473&gt;PARAMETRES!$D$29,2,1)))))</f>
        <v/>
      </c>
      <c r="R473" t="str">
        <f>IF($J473="","",IF($J473&gt;PARAMETRES!$G$30,5,IF($J473&gt;PARAMETRES!$F$30,4,IF($J473&gt;PARAMETRES!$E$30,3,IF($J473&gt;PARAMETRES!$D$30,2,1)))))</f>
        <v/>
      </c>
      <c r="S473" t="str">
        <f>IF($K473="","",IF($Z473=2,IF($K473&gt;PARAMETRES!$G$31,5,IF($K473&gt;PARAMETRES!$F$31,4,IF($K473&gt;PARAMETRES!$E$31,3,IF($K473&gt;PARAMETRES!$D$31,2,1)))),IF($K473&gt;PARAMETRES!$G$32,5,IF($K473&gt;PARAMETRES!$F$32,4,IF($K473&gt;PARAMETRES!$E$32,3,IF($K473&gt;PARAMETRES!$D$32,2,1))))))</f>
        <v/>
      </c>
      <c r="T473" t="str">
        <f>IF($L473="","",IF($L473&gt;PARAMETRES!$G$33,5,IF($L473&gt;PARAMETRES!$F$33,4,IF($L473&gt;PARAMETRES!$E$33,3,IF($L473&gt;PARAMETRES!$D$33,2,1)))))</f>
        <v/>
      </c>
      <c r="U473" t="str">
        <f>IF($M473="","",IF($M473&gt;PARAMETRES!$G$34,5,IF($M473&gt;PARAMETRES!$F$34,4,IF($M473&gt;PARAMETRES!$E$34,3,IF($M473&gt;PARAMETRES!$D$34,2,1)))))</f>
        <v/>
      </c>
      <c r="V473" t="str">
        <f>IF($N473="","",IF($N473&gt;PARAMETRES!$G$35,5,IF($N473&gt;PARAMETRES!$F$35,4,IF($N473&gt;PARAMETRES!$E$35,3,IF($N473&gt;PARAMETRES!$D$35,2,1)))))</f>
        <v/>
      </c>
      <c r="W473" t="str">
        <f>IF($O473="","",IF($O473&gt;PARAMETRES!$G$36,5,IF($O473&gt;PARAMETRES!$F$36,4,IF($O473&gt;PARAMETRES!$E$36,3,IF($O473&gt;PARAMETRES!$D$36,2,1)))))</f>
        <v/>
      </c>
      <c r="X473" t="str">
        <f>IF($P473="","",IF($P473&gt;PARAMETRES!$G$37,5,IF($P473&gt;PARAMETRES!$F$37,4,IF($P473&gt;PARAMETRES!$E$37,3,IF($P473&gt;PARAMETRES!$D$37,2,1)))))</f>
        <v/>
      </c>
      <c r="Y473" t="str">
        <f t="shared" si="168"/>
        <v/>
      </c>
      <c r="Z473" t="str">
        <f>IFERROR(VLOOKUP($B473,TABLE_CYCLE,2,0),"")</f>
        <v/>
      </c>
      <c r="AA473" t="str">
        <f t="shared" si="169"/>
        <v/>
      </c>
      <c r="AB473" t="str">
        <f>IF($D473="","",IF(COUNTIF($D$2:$D473,$D473)=1,$D473,""))</f>
        <v/>
      </c>
      <c r="AC473">
        <f t="shared" si="170"/>
        <v>0</v>
      </c>
      <c r="AD473" t="str">
        <f t="shared" si="171"/>
        <v>|0</v>
      </c>
      <c r="AE473" t="str">
        <f t="shared" si="172"/>
        <v/>
      </c>
      <c r="AF473" t="str">
        <f t="shared" si="173"/>
        <v/>
      </c>
      <c r="AG473" t="str">
        <f t="shared" si="174"/>
        <v/>
      </c>
      <c r="AH473" t="str">
        <f t="shared" si="175"/>
        <v/>
      </c>
      <c r="AI473" t="str">
        <f t="shared" si="176"/>
        <v/>
      </c>
      <c r="AJ473" t="str">
        <f t="shared" si="177"/>
        <v/>
      </c>
      <c r="AK473" t="str">
        <f t="shared" si="178"/>
        <v/>
      </c>
      <c r="AL473" t="str">
        <f t="shared" si="179"/>
        <v/>
      </c>
      <c r="AM473" t="str">
        <f t="shared" si="180"/>
        <v/>
      </c>
      <c r="AN473" t="str">
        <f t="shared" si="181"/>
        <v/>
      </c>
      <c r="AO473" t="str">
        <f t="shared" si="182"/>
        <v/>
      </c>
      <c r="AP473">
        <f t="shared" si="183"/>
        <v>1</v>
      </c>
      <c r="AQ473" t="str">
        <f>IF(SAISIE!$F478="","",SAISIE!$Y478)</f>
        <v/>
      </c>
      <c r="AR473" t="str">
        <f>IF(OR(SAISIE!$U$4="",SAISIE!$W$4=""),"",IF(AND($A473=SAISIE!$U$4,$B473=SAISIE!$W$4,$C473="S1"),COUNTIFS($A$2:$A473,SAISIE!$U$4,$B$2:$B473,SAISIE!$W$4,$C$2:$C473,"S1"),""))</f>
        <v/>
      </c>
      <c r="AS473" t="str">
        <f t="shared" si="184"/>
        <v/>
      </c>
      <c r="AT473" t="str">
        <f t="shared" si="185"/>
        <v/>
      </c>
      <c r="AU473" t="str">
        <f t="shared" si="186"/>
        <v/>
      </c>
      <c r="AV473">
        <f>N(AV472)+IF(AND($AB473&lt;&gt;"",OR('PROFIL ELEVE'!$K$4="(Tous)",$AF473='PROFIL ELEVE'!$K$4)),1,0)</f>
        <v>0</v>
      </c>
      <c r="AW473">
        <f>N(AW472)+IF(AND($AB473&lt;&gt;"",OR('SUIVI LONGITUDINAL'!$Q$4="(Tous)",$AF473='SUIVI LONGITUDINAL'!$Q$4)),1,0)</f>
        <v>0</v>
      </c>
      <c r="AX473">
        <f t="shared" si="187"/>
        <v>0</v>
      </c>
      <c r="AY473">
        <f t="shared" si="188"/>
        <v>0</v>
      </c>
      <c r="AZ473">
        <f t="shared" si="189"/>
        <v>0</v>
      </c>
      <c r="BA473" t="str">
        <f t="shared" si="190"/>
        <v/>
      </c>
      <c r="BB473" t="str">
        <f t="shared" si="191"/>
        <v/>
      </c>
    </row>
    <row r="474" spans="1:54" ht="14.25" customHeight="1" x14ac:dyDescent="0.3">
      <c r="A474" t="str">
        <f>IF(SAISIE!$F479="","",SAISIE!$B479)</f>
        <v/>
      </c>
      <c r="B474" t="str">
        <f>IF(SAISIE!$F479="","",SAISIE!$C479)</f>
        <v/>
      </c>
      <c r="C474" t="str">
        <f>IF(SAISIE!$F479="","",SAISIE!$D479)</f>
        <v/>
      </c>
      <c r="D474" t="str">
        <f>IF(SAISIE!$E479="","",SAISIE!$E479)</f>
        <v/>
      </c>
      <c r="E474" t="str">
        <f>IF(SAISIE!$F479="","",SAISIE!$F479)</f>
        <v/>
      </c>
      <c r="F474" t="str">
        <f>IF(SAISIE!$G479="","",SAISIE!$G479)</f>
        <v/>
      </c>
      <c r="G474" t="str">
        <f>IF(SAISIE!$H479="","",SAISIE!$H479)</f>
        <v/>
      </c>
      <c r="H474" t="str">
        <f>IF(SAISIE!$I479="","",SAISIE!$I479)</f>
        <v/>
      </c>
      <c r="I474" t="str">
        <f>IF(SAISIE!$J479="","",SAISIE!$J479)</f>
        <v/>
      </c>
      <c r="J474" t="str">
        <f>IF(SAISIE!$K479="","",SAISIE!$K479)</f>
        <v/>
      </c>
      <c r="K474" t="str">
        <f>IF(SAISIE!$L479="","",SAISIE!$L479)</f>
        <v/>
      </c>
      <c r="L474" t="str">
        <f>IF(SAISIE!$M479="","",SAISIE!$M479)</f>
        <v/>
      </c>
      <c r="M474" t="str">
        <f>IF(SAISIE!$N479="","",SAISIE!$N479)</f>
        <v/>
      </c>
      <c r="N474" t="str">
        <f>IF(SAISIE!$O479="","",SAISIE!$O479)</f>
        <v/>
      </c>
      <c r="O474" t="str">
        <f>IF(SAISIE!$P479="","",SAISIE!$P479)</f>
        <v/>
      </c>
      <c r="P474" t="str">
        <f>IF(SAISIE!$Q479="","",SAISIE!$Q479)</f>
        <v/>
      </c>
      <c r="Q474" t="str">
        <f>IF($I474="","",IF($I474&gt;PARAMETRES!$G$29,5,IF($I474&gt;PARAMETRES!$F$29,4,IF($I474&gt;PARAMETRES!$E$29,3,IF($I474&gt;PARAMETRES!$D$29,2,1)))))</f>
        <v/>
      </c>
      <c r="R474" t="str">
        <f>IF($J474="","",IF($J474&gt;PARAMETRES!$G$30,5,IF($J474&gt;PARAMETRES!$F$30,4,IF($J474&gt;PARAMETRES!$E$30,3,IF($J474&gt;PARAMETRES!$D$30,2,1)))))</f>
        <v/>
      </c>
      <c r="S474" t="str">
        <f>IF($K474="","",IF($Z474=2,IF($K474&gt;PARAMETRES!$G$31,5,IF($K474&gt;PARAMETRES!$F$31,4,IF($K474&gt;PARAMETRES!$E$31,3,IF($K474&gt;PARAMETRES!$D$31,2,1)))),IF($K474&gt;PARAMETRES!$G$32,5,IF($K474&gt;PARAMETRES!$F$32,4,IF($K474&gt;PARAMETRES!$E$32,3,IF($K474&gt;PARAMETRES!$D$32,2,1))))))</f>
        <v/>
      </c>
      <c r="T474" t="str">
        <f>IF($L474="","",IF($L474&gt;PARAMETRES!$G$33,5,IF($L474&gt;PARAMETRES!$F$33,4,IF($L474&gt;PARAMETRES!$E$33,3,IF($L474&gt;PARAMETRES!$D$33,2,1)))))</f>
        <v/>
      </c>
      <c r="U474" t="str">
        <f>IF($M474="","",IF($M474&gt;PARAMETRES!$G$34,5,IF($M474&gt;PARAMETRES!$F$34,4,IF($M474&gt;PARAMETRES!$E$34,3,IF($M474&gt;PARAMETRES!$D$34,2,1)))))</f>
        <v/>
      </c>
      <c r="V474" t="str">
        <f>IF($N474="","",IF($N474&gt;PARAMETRES!$G$35,5,IF($N474&gt;PARAMETRES!$F$35,4,IF($N474&gt;PARAMETRES!$E$35,3,IF($N474&gt;PARAMETRES!$D$35,2,1)))))</f>
        <v/>
      </c>
      <c r="W474" t="str">
        <f>IF($O474="","",IF($O474&gt;PARAMETRES!$G$36,5,IF($O474&gt;PARAMETRES!$F$36,4,IF($O474&gt;PARAMETRES!$E$36,3,IF($O474&gt;PARAMETRES!$D$36,2,1)))))</f>
        <v/>
      </c>
      <c r="X474" t="str">
        <f>IF($P474="","",IF($P474&gt;PARAMETRES!$G$37,5,IF($P474&gt;PARAMETRES!$F$37,4,IF($P474&gt;PARAMETRES!$E$37,3,IF($P474&gt;PARAMETRES!$D$37,2,1)))))</f>
        <v/>
      </c>
      <c r="Y474" t="str">
        <f t="shared" si="168"/>
        <v/>
      </c>
      <c r="Z474" t="str">
        <f>IFERROR(VLOOKUP($B474,TABLE_CYCLE,2,0),"")</f>
        <v/>
      </c>
      <c r="AA474" t="str">
        <f t="shared" si="169"/>
        <v/>
      </c>
      <c r="AB474" t="str">
        <f>IF($D474="","",IF(COUNTIF($D$2:$D474,$D474)=1,$D474,""))</f>
        <v/>
      </c>
      <c r="AC474">
        <f t="shared" si="170"/>
        <v>0</v>
      </c>
      <c r="AD474" t="str">
        <f t="shared" si="171"/>
        <v>|0</v>
      </c>
      <c r="AE474" t="str">
        <f t="shared" si="172"/>
        <v/>
      </c>
      <c r="AF474" t="str">
        <f t="shared" si="173"/>
        <v/>
      </c>
      <c r="AG474" t="str">
        <f t="shared" si="174"/>
        <v/>
      </c>
      <c r="AH474" t="str">
        <f t="shared" si="175"/>
        <v/>
      </c>
      <c r="AI474" t="str">
        <f t="shared" si="176"/>
        <v/>
      </c>
      <c r="AJ474" t="str">
        <f t="shared" si="177"/>
        <v/>
      </c>
      <c r="AK474" t="str">
        <f t="shared" si="178"/>
        <v/>
      </c>
      <c r="AL474" t="str">
        <f t="shared" si="179"/>
        <v/>
      </c>
      <c r="AM474" t="str">
        <f t="shared" si="180"/>
        <v/>
      </c>
      <c r="AN474" t="str">
        <f t="shared" si="181"/>
        <v/>
      </c>
      <c r="AO474" t="str">
        <f t="shared" si="182"/>
        <v/>
      </c>
      <c r="AP474">
        <f t="shared" si="183"/>
        <v>1</v>
      </c>
      <c r="AQ474" t="str">
        <f>IF(SAISIE!$F479="","",SAISIE!$Y479)</f>
        <v/>
      </c>
      <c r="AR474" t="str">
        <f>IF(OR(SAISIE!$U$4="",SAISIE!$W$4=""),"",IF(AND($A474=SAISIE!$U$4,$B474=SAISIE!$W$4,$C474="S1"),COUNTIFS($A$2:$A474,SAISIE!$U$4,$B$2:$B474,SAISIE!$W$4,$C$2:$C474,"S1"),""))</f>
        <v/>
      </c>
      <c r="AS474" t="str">
        <f t="shared" si="184"/>
        <v/>
      </c>
      <c r="AT474" t="str">
        <f t="shared" si="185"/>
        <v/>
      </c>
      <c r="AU474" t="str">
        <f t="shared" si="186"/>
        <v/>
      </c>
      <c r="AV474">
        <f>N(AV473)+IF(AND($AB474&lt;&gt;"",OR('PROFIL ELEVE'!$K$4="(Tous)",$AF474='PROFIL ELEVE'!$K$4)),1,0)</f>
        <v>0</v>
      </c>
      <c r="AW474">
        <f>N(AW473)+IF(AND($AB474&lt;&gt;"",OR('SUIVI LONGITUDINAL'!$Q$4="(Tous)",$AF474='SUIVI LONGITUDINAL'!$Q$4)),1,0)</f>
        <v>0</v>
      </c>
      <c r="AX474">
        <f t="shared" si="187"/>
        <v>0</v>
      </c>
      <c r="AY474">
        <f t="shared" si="188"/>
        <v>0</v>
      </c>
      <c r="AZ474">
        <f t="shared" si="189"/>
        <v>0</v>
      </c>
      <c r="BA474" t="str">
        <f t="shared" si="190"/>
        <v/>
      </c>
      <c r="BB474" t="str">
        <f t="shared" si="191"/>
        <v/>
      </c>
    </row>
    <row r="475" spans="1:54" ht="14.25" customHeight="1" x14ac:dyDescent="0.3">
      <c r="A475" t="str">
        <f>IF(SAISIE!$F480="","",SAISIE!$B480)</f>
        <v/>
      </c>
      <c r="B475" t="str">
        <f>IF(SAISIE!$F480="","",SAISIE!$C480)</f>
        <v/>
      </c>
      <c r="C475" t="str">
        <f>IF(SAISIE!$F480="","",SAISIE!$D480)</f>
        <v/>
      </c>
      <c r="D475" t="str">
        <f>IF(SAISIE!$E480="","",SAISIE!$E480)</f>
        <v/>
      </c>
      <c r="E475" t="str">
        <f>IF(SAISIE!$F480="","",SAISIE!$F480)</f>
        <v/>
      </c>
      <c r="F475" t="str">
        <f>IF(SAISIE!$G480="","",SAISIE!$G480)</f>
        <v/>
      </c>
      <c r="G475" t="str">
        <f>IF(SAISIE!$H480="","",SAISIE!$H480)</f>
        <v/>
      </c>
      <c r="H475" t="str">
        <f>IF(SAISIE!$I480="","",SAISIE!$I480)</f>
        <v/>
      </c>
      <c r="I475" t="str">
        <f>IF(SAISIE!$J480="","",SAISIE!$J480)</f>
        <v/>
      </c>
      <c r="J475" t="str">
        <f>IF(SAISIE!$K480="","",SAISIE!$K480)</f>
        <v/>
      </c>
      <c r="K475" t="str">
        <f>IF(SAISIE!$L480="","",SAISIE!$L480)</f>
        <v/>
      </c>
      <c r="L475" t="str">
        <f>IF(SAISIE!$M480="","",SAISIE!$M480)</f>
        <v/>
      </c>
      <c r="M475" t="str">
        <f>IF(SAISIE!$N480="","",SAISIE!$N480)</f>
        <v/>
      </c>
      <c r="N475" t="str">
        <f>IF(SAISIE!$O480="","",SAISIE!$O480)</f>
        <v/>
      </c>
      <c r="O475" t="str">
        <f>IF(SAISIE!$P480="","",SAISIE!$P480)</f>
        <v/>
      </c>
      <c r="P475" t="str">
        <f>IF(SAISIE!$Q480="","",SAISIE!$Q480)</f>
        <v/>
      </c>
      <c r="Q475" t="str">
        <f>IF($I475="","",IF($I475&gt;PARAMETRES!$G$29,5,IF($I475&gt;PARAMETRES!$F$29,4,IF($I475&gt;PARAMETRES!$E$29,3,IF($I475&gt;PARAMETRES!$D$29,2,1)))))</f>
        <v/>
      </c>
      <c r="R475" t="str">
        <f>IF($J475="","",IF($J475&gt;PARAMETRES!$G$30,5,IF($J475&gt;PARAMETRES!$F$30,4,IF($J475&gt;PARAMETRES!$E$30,3,IF($J475&gt;PARAMETRES!$D$30,2,1)))))</f>
        <v/>
      </c>
      <c r="S475" t="str">
        <f>IF($K475="","",IF($Z475=2,IF($K475&gt;PARAMETRES!$G$31,5,IF($K475&gt;PARAMETRES!$F$31,4,IF($K475&gt;PARAMETRES!$E$31,3,IF($K475&gt;PARAMETRES!$D$31,2,1)))),IF($K475&gt;PARAMETRES!$G$32,5,IF($K475&gt;PARAMETRES!$F$32,4,IF($K475&gt;PARAMETRES!$E$32,3,IF($K475&gt;PARAMETRES!$D$32,2,1))))))</f>
        <v/>
      </c>
      <c r="T475" t="str">
        <f>IF($L475="","",IF($L475&gt;PARAMETRES!$G$33,5,IF($L475&gt;PARAMETRES!$F$33,4,IF($L475&gt;PARAMETRES!$E$33,3,IF($L475&gt;PARAMETRES!$D$33,2,1)))))</f>
        <v/>
      </c>
      <c r="U475" t="str">
        <f>IF($M475="","",IF($M475&gt;PARAMETRES!$G$34,5,IF($M475&gt;PARAMETRES!$F$34,4,IF($M475&gt;PARAMETRES!$E$34,3,IF($M475&gt;PARAMETRES!$D$34,2,1)))))</f>
        <v/>
      </c>
      <c r="V475" t="str">
        <f>IF($N475="","",IF($N475&gt;PARAMETRES!$G$35,5,IF($N475&gt;PARAMETRES!$F$35,4,IF($N475&gt;PARAMETRES!$E$35,3,IF($N475&gt;PARAMETRES!$D$35,2,1)))))</f>
        <v/>
      </c>
      <c r="W475" t="str">
        <f>IF($O475="","",IF($O475&gt;PARAMETRES!$G$36,5,IF($O475&gt;PARAMETRES!$F$36,4,IF($O475&gt;PARAMETRES!$E$36,3,IF($O475&gt;PARAMETRES!$D$36,2,1)))))</f>
        <v/>
      </c>
      <c r="X475" t="str">
        <f>IF($P475="","",IF($P475&gt;PARAMETRES!$G$37,5,IF($P475&gt;PARAMETRES!$F$37,4,IF($P475&gt;PARAMETRES!$E$37,3,IF($P475&gt;PARAMETRES!$D$37,2,1)))))</f>
        <v/>
      </c>
      <c r="Y475" t="str">
        <f t="shared" si="168"/>
        <v/>
      </c>
      <c r="Z475" t="str">
        <f>IFERROR(VLOOKUP($B475,TABLE_CYCLE,2,0),"")</f>
        <v/>
      </c>
      <c r="AA475" t="str">
        <f t="shared" si="169"/>
        <v/>
      </c>
      <c r="AB475" t="str">
        <f>IF($D475="","",IF(COUNTIF($D$2:$D475,$D475)=1,$D475,""))</f>
        <v/>
      </c>
      <c r="AC475">
        <f t="shared" si="170"/>
        <v>0</v>
      </c>
      <c r="AD475" t="str">
        <f t="shared" si="171"/>
        <v>|0</v>
      </c>
      <c r="AE475" t="str">
        <f t="shared" si="172"/>
        <v/>
      </c>
      <c r="AF475" t="str">
        <f t="shared" si="173"/>
        <v/>
      </c>
      <c r="AG475" t="str">
        <f t="shared" si="174"/>
        <v/>
      </c>
      <c r="AH475" t="str">
        <f t="shared" si="175"/>
        <v/>
      </c>
      <c r="AI475" t="str">
        <f t="shared" si="176"/>
        <v/>
      </c>
      <c r="AJ475" t="str">
        <f t="shared" si="177"/>
        <v/>
      </c>
      <c r="AK475" t="str">
        <f t="shared" si="178"/>
        <v/>
      </c>
      <c r="AL475" t="str">
        <f t="shared" si="179"/>
        <v/>
      </c>
      <c r="AM475" t="str">
        <f t="shared" si="180"/>
        <v/>
      </c>
      <c r="AN475" t="str">
        <f t="shared" si="181"/>
        <v/>
      </c>
      <c r="AO475" t="str">
        <f t="shared" si="182"/>
        <v/>
      </c>
      <c r="AP475">
        <f t="shared" si="183"/>
        <v>1</v>
      </c>
      <c r="AQ475" t="str">
        <f>IF(SAISIE!$F480="","",SAISIE!$Y480)</f>
        <v/>
      </c>
      <c r="AR475" t="str">
        <f>IF(OR(SAISIE!$U$4="",SAISIE!$W$4=""),"",IF(AND($A475=SAISIE!$U$4,$B475=SAISIE!$W$4,$C475="S1"),COUNTIFS($A$2:$A475,SAISIE!$U$4,$B$2:$B475,SAISIE!$W$4,$C$2:$C475,"S1"),""))</f>
        <v/>
      </c>
      <c r="AS475" t="str">
        <f t="shared" si="184"/>
        <v/>
      </c>
      <c r="AT475" t="str">
        <f t="shared" si="185"/>
        <v/>
      </c>
      <c r="AU475" t="str">
        <f t="shared" si="186"/>
        <v/>
      </c>
      <c r="AV475">
        <f>N(AV474)+IF(AND($AB475&lt;&gt;"",OR('PROFIL ELEVE'!$K$4="(Tous)",$AF475='PROFIL ELEVE'!$K$4)),1,0)</f>
        <v>0</v>
      </c>
      <c r="AW475">
        <f>N(AW474)+IF(AND($AB475&lt;&gt;"",OR('SUIVI LONGITUDINAL'!$Q$4="(Tous)",$AF475='SUIVI LONGITUDINAL'!$Q$4)),1,0)</f>
        <v>0</v>
      </c>
      <c r="AX475">
        <f t="shared" si="187"/>
        <v>0</v>
      </c>
      <c r="AY475">
        <f t="shared" si="188"/>
        <v>0</v>
      </c>
      <c r="AZ475">
        <f t="shared" si="189"/>
        <v>0</v>
      </c>
      <c r="BA475" t="str">
        <f t="shared" si="190"/>
        <v/>
      </c>
      <c r="BB475" t="str">
        <f t="shared" si="191"/>
        <v/>
      </c>
    </row>
    <row r="476" spans="1:54" ht="14.25" customHeight="1" x14ac:dyDescent="0.3">
      <c r="A476" t="str">
        <f>IF(SAISIE!$F481="","",SAISIE!$B481)</f>
        <v/>
      </c>
      <c r="B476" t="str">
        <f>IF(SAISIE!$F481="","",SAISIE!$C481)</f>
        <v/>
      </c>
      <c r="C476" t="str">
        <f>IF(SAISIE!$F481="","",SAISIE!$D481)</f>
        <v/>
      </c>
      <c r="D476" t="str">
        <f>IF(SAISIE!$E481="","",SAISIE!$E481)</f>
        <v/>
      </c>
      <c r="E476" t="str">
        <f>IF(SAISIE!$F481="","",SAISIE!$F481)</f>
        <v/>
      </c>
      <c r="F476" t="str">
        <f>IF(SAISIE!$G481="","",SAISIE!$G481)</f>
        <v/>
      </c>
      <c r="G476" t="str">
        <f>IF(SAISIE!$H481="","",SAISIE!$H481)</f>
        <v/>
      </c>
      <c r="H476" t="str">
        <f>IF(SAISIE!$I481="","",SAISIE!$I481)</f>
        <v/>
      </c>
      <c r="I476" t="str">
        <f>IF(SAISIE!$J481="","",SAISIE!$J481)</f>
        <v/>
      </c>
      <c r="J476" t="str">
        <f>IF(SAISIE!$K481="","",SAISIE!$K481)</f>
        <v/>
      </c>
      <c r="K476" t="str">
        <f>IF(SAISIE!$L481="","",SAISIE!$L481)</f>
        <v/>
      </c>
      <c r="L476" t="str">
        <f>IF(SAISIE!$M481="","",SAISIE!$M481)</f>
        <v/>
      </c>
      <c r="M476" t="str">
        <f>IF(SAISIE!$N481="","",SAISIE!$N481)</f>
        <v/>
      </c>
      <c r="N476" t="str">
        <f>IF(SAISIE!$O481="","",SAISIE!$O481)</f>
        <v/>
      </c>
      <c r="O476" t="str">
        <f>IF(SAISIE!$P481="","",SAISIE!$P481)</f>
        <v/>
      </c>
      <c r="P476" t="str">
        <f>IF(SAISIE!$Q481="","",SAISIE!$Q481)</f>
        <v/>
      </c>
      <c r="Q476" t="str">
        <f>IF($I476="","",IF($I476&gt;PARAMETRES!$G$29,5,IF($I476&gt;PARAMETRES!$F$29,4,IF($I476&gt;PARAMETRES!$E$29,3,IF($I476&gt;PARAMETRES!$D$29,2,1)))))</f>
        <v/>
      </c>
      <c r="R476" t="str">
        <f>IF($J476="","",IF($J476&gt;PARAMETRES!$G$30,5,IF($J476&gt;PARAMETRES!$F$30,4,IF($J476&gt;PARAMETRES!$E$30,3,IF($J476&gt;PARAMETRES!$D$30,2,1)))))</f>
        <v/>
      </c>
      <c r="S476" t="str">
        <f>IF($K476="","",IF($Z476=2,IF($K476&gt;PARAMETRES!$G$31,5,IF($K476&gt;PARAMETRES!$F$31,4,IF($K476&gt;PARAMETRES!$E$31,3,IF($K476&gt;PARAMETRES!$D$31,2,1)))),IF($K476&gt;PARAMETRES!$G$32,5,IF($K476&gt;PARAMETRES!$F$32,4,IF($K476&gt;PARAMETRES!$E$32,3,IF($K476&gt;PARAMETRES!$D$32,2,1))))))</f>
        <v/>
      </c>
      <c r="T476" t="str">
        <f>IF($L476="","",IF($L476&gt;PARAMETRES!$G$33,5,IF($L476&gt;PARAMETRES!$F$33,4,IF($L476&gt;PARAMETRES!$E$33,3,IF($L476&gt;PARAMETRES!$D$33,2,1)))))</f>
        <v/>
      </c>
      <c r="U476" t="str">
        <f>IF($M476="","",IF($M476&gt;PARAMETRES!$G$34,5,IF($M476&gt;PARAMETRES!$F$34,4,IF($M476&gt;PARAMETRES!$E$34,3,IF($M476&gt;PARAMETRES!$D$34,2,1)))))</f>
        <v/>
      </c>
      <c r="V476" t="str">
        <f>IF($N476="","",IF($N476&gt;PARAMETRES!$G$35,5,IF($N476&gt;PARAMETRES!$F$35,4,IF($N476&gt;PARAMETRES!$E$35,3,IF($N476&gt;PARAMETRES!$D$35,2,1)))))</f>
        <v/>
      </c>
      <c r="W476" t="str">
        <f>IF($O476="","",IF($O476&gt;PARAMETRES!$G$36,5,IF($O476&gt;PARAMETRES!$F$36,4,IF($O476&gt;PARAMETRES!$E$36,3,IF($O476&gt;PARAMETRES!$D$36,2,1)))))</f>
        <v/>
      </c>
      <c r="X476" t="str">
        <f>IF($P476="","",IF($P476&gt;PARAMETRES!$G$37,5,IF($P476&gt;PARAMETRES!$F$37,4,IF($P476&gt;PARAMETRES!$E$37,3,IF($P476&gt;PARAMETRES!$D$37,2,1)))))</f>
        <v/>
      </c>
      <c r="Y476" t="str">
        <f t="shared" si="168"/>
        <v/>
      </c>
      <c r="Z476" t="str">
        <f>IFERROR(VLOOKUP($B476,TABLE_CYCLE,2,0),"")</f>
        <v/>
      </c>
      <c r="AA476" t="str">
        <f t="shared" si="169"/>
        <v/>
      </c>
      <c r="AB476" t="str">
        <f>IF($D476="","",IF(COUNTIF($D$2:$D476,$D476)=1,$D476,""))</f>
        <v/>
      </c>
      <c r="AC476">
        <f t="shared" si="170"/>
        <v>0</v>
      </c>
      <c r="AD476" t="str">
        <f t="shared" si="171"/>
        <v>|0</v>
      </c>
      <c r="AE476" t="str">
        <f t="shared" si="172"/>
        <v/>
      </c>
      <c r="AF476" t="str">
        <f t="shared" si="173"/>
        <v/>
      </c>
      <c r="AG476" t="str">
        <f t="shared" si="174"/>
        <v/>
      </c>
      <c r="AH476" t="str">
        <f t="shared" si="175"/>
        <v/>
      </c>
      <c r="AI476" t="str">
        <f t="shared" si="176"/>
        <v/>
      </c>
      <c r="AJ476" t="str">
        <f t="shared" si="177"/>
        <v/>
      </c>
      <c r="AK476" t="str">
        <f t="shared" si="178"/>
        <v/>
      </c>
      <c r="AL476" t="str">
        <f t="shared" si="179"/>
        <v/>
      </c>
      <c r="AM476" t="str">
        <f t="shared" si="180"/>
        <v/>
      </c>
      <c r="AN476" t="str">
        <f t="shared" si="181"/>
        <v/>
      </c>
      <c r="AO476" t="str">
        <f t="shared" si="182"/>
        <v/>
      </c>
      <c r="AP476">
        <f t="shared" si="183"/>
        <v>1</v>
      </c>
      <c r="AQ476" t="str">
        <f>IF(SAISIE!$F481="","",SAISIE!$Y481)</f>
        <v/>
      </c>
      <c r="AR476" t="str">
        <f>IF(OR(SAISIE!$U$4="",SAISIE!$W$4=""),"",IF(AND($A476=SAISIE!$U$4,$B476=SAISIE!$W$4,$C476="S1"),COUNTIFS($A$2:$A476,SAISIE!$U$4,$B$2:$B476,SAISIE!$W$4,$C$2:$C476,"S1"),""))</f>
        <v/>
      </c>
      <c r="AS476" t="str">
        <f t="shared" si="184"/>
        <v/>
      </c>
      <c r="AT476" t="str">
        <f t="shared" si="185"/>
        <v/>
      </c>
      <c r="AU476" t="str">
        <f t="shared" si="186"/>
        <v/>
      </c>
      <c r="AV476">
        <f>N(AV475)+IF(AND($AB476&lt;&gt;"",OR('PROFIL ELEVE'!$K$4="(Tous)",$AF476='PROFIL ELEVE'!$K$4)),1,0)</f>
        <v>0</v>
      </c>
      <c r="AW476">
        <f>N(AW475)+IF(AND($AB476&lt;&gt;"",OR('SUIVI LONGITUDINAL'!$Q$4="(Tous)",$AF476='SUIVI LONGITUDINAL'!$Q$4)),1,0)</f>
        <v>0</v>
      </c>
      <c r="AX476">
        <f t="shared" si="187"/>
        <v>0</v>
      </c>
      <c r="AY476">
        <f t="shared" si="188"/>
        <v>0</v>
      </c>
      <c r="AZ476">
        <f t="shared" si="189"/>
        <v>0</v>
      </c>
      <c r="BA476" t="str">
        <f t="shared" si="190"/>
        <v/>
      </c>
      <c r="BB476" t="str">
        <f t="shared" si="191"/>
        <v/>
      </c>
    </row>
    <row r="477" spans="1:54" ht="14.25" customHeight="1" x14ac:dyDescent="0.3">
      <c r="A477" t="str">
        <f>IF(SAISIE!$F482="","",SAISIE!$B482)</f>
        <v/>
      </c>
      <c r="B477" t="str">
        <f>IF(SAISIE!$F482="","",SAISIE!$C482)</f>
        <v/>
      </c>
      <c r="C477" t="str">
        <f>IF(SAISIE!$F482="","",SAISIE!$D482)</f>
        <v/>
      </c>
      <c r="D477" t="str">
        <f>IF(SAISIE!$E482="","",SAISIE!$E482)</f>
        <v/>
      </c>
      <c r="E477" t="str">
        <f>IF(SAISIE!$F482="","",SAISIE!$F482)</f>
        <v/>
      </c>
      <c r="F477" t="str">
        <f>IF(SAISIE!$G482="","",SAISIE!$G482)</f>
        <v/>
      </c>
      <c r="G477" t="str">
        <f>IF(SAISIE!$H482="","",SAISIE!$H482)</f>
        <v/>
      </c>
      <c r="H477" t="str">
        <f>IF(SAISIE!$I482="","",SAISIE!$I482)</f>
        <v/>
      </c>
      <c r="I477" t="str">
        <f>IF(SAISIE!$J482="","",SAISIE!$J482)</f>
        <v/>
      </c>
      <c r="J477" t="str">
        <f>IF(SAISIE!$K482="","",SAISIE!$K482)</f>
        <v/>
      </c>
      <c r="K477" t="str">
        <f>IF(SAISIE!$L482="","",SAISIE!$L482)</f>
        <v/>
      </c>
      <c r="L477" t="str">
        <f>IF(SAISIE!$M482="","",SAISIE!$M482)</f>
        <v/>
      </c>
      <c r="M477" t="str">
        <f>IF(SAISIE!$N482="","",SAISIE!$N482)</f>
        <v/>
      </c>
      <c r="N477" t="str">
        <f>IF(SAISIE!$O482="","",SAISIE!$O482)</f>
        <v/>
      </c>
      <c r="O477" t="str">
        <f>IF(SAISIE!$P482="","",SAISIE!$P482)</f>
        <v/>
      </c>
      <c r="P477" t="str">
        <f>IF(SAISIE!$Q482="","",SAISIE!$Q482)</f>
        <v/>
      </c>
      <c r="Q477" t="str">
        <f>IF($I477="","",IF($I477&gt;PARAMETRES!$G$29,5,IF($I477&gt;PARAMETRES!$F$29,4,IF($I477&gt;PARAMETRES!$E$29,3,IF($I477&gt;PARAMETRES!$D$29,2,1)))))</f>
        <v/>
      </c>
      <c r="R477" t="str">
        <f>IF($J477="","",IF($J477&gt;PARAMETRES!$G$30,5,IF($J477&gt;PARAMETRES!$F$30,4,IF($J477&gt;PARAMETRES!$E$30,3,IF($J477&gt;PARAMETRES!$D$30,2,1)))))</f>
        <v/>
      </c>
      <c r="S477" t="str">
        <f>IF($K477="","",IF($Z477=2,IF($K477&gt;PARAMETRES!$G$31,5,IF($K477&gt;PARAMETRES!$F$31,4,IF($K477&gt;PARAMETRES!$E$31,3,IF($K477&gt;PARAMETRES!$D$31,2,1)))),IF($K477&gt;PARAMETRES!$G$32,5,IF($K477&gt;PARAMETRES!$F$32,4,IF($K477&gt;PARAMETRES!$E$32,3,IF($K477&gt;PARAMETRES!$D$32,2,1))))))</f>
        <v/>
      </c>
      <c r="T477" t="str">
        <f>IF($L477="","",IF($L477&gt;PARAMETRES!$G$33,5,IF($L477&gt;PARAMETRES!$F$33,4,IF($L477&gt;PARAMETRES!$E$33,3,IF($L477&gt;PARAMETRES!$D$33,2,1)))))</f>
        <v/>
      </c>
      <c r="U477" t="str">
        <f>IF($M477="","",IF($M477&gt;PARAMETRES!$G$34,5,IF($M477&gt;PARAMETRES!$F$34,4,IF($M477&gt;PARAMETRES!$E$34,3,IF($M477&gt;PARAMETRES!$D$34,2,1)))))</f>
        <v/>
      </c>
      <c r="V477" t="str">
        <f>IF($N477="","",IF($N477&gt;PARAMETRES!$G$35,5,IF($N477&gt;PARAMETRES!$F$35,4,IF($N477&gt;PARAMETRES!$E$35,3,IF($N477&gt;PARAMETRES!$D$35,2,1)))))</f>
        <v/>
      </c>
      <c r="W477" t="str">
        <f>IF($O477="","",IF($O477&gt;PARAMETRES!$G$36,5,IF($O477&gt;PARAMETRES!$F$36,4,IF($O477&gt;PARAMETRES!$E$36,3,IF($O477&gt;PARAMETRES!$D$36,2,1)))))</f>
        <v/>
      </c>
      <c r="X477" t="str">
        <f>IF($P477="","",IF($P477&gt;PARAMETRES!$G$37,5,IF($P477&gt;PARAMETRES!$F$37,4,IF($P477&gt;PARAMETRES!$E$37,3,IF($P477&gt;PARAMETRES!$D$37,2,1)))))</f>
        <v/>
      </c>
      <c r="Y477" t="str">
        <f t="shared" si="168"/>
        <v/>
      </c>
      <c r="Z477" t="str">
        <f>IFERROR(VLOOKUP($B477,TABLE_CYCLE,2,0),"")</f>
        <v/>
      </c>
      <c r="AA477" t="str">
        <f t="shared" si="169"/>
        <v/>
      </c>
      <c r="AB477" t="str">
        <f>IF($D477="","",IF(COUNTIF($D$2:$D477,$D477)=1,$D477,""))</f>
        <v/>
      </c>
      <c r="AC477">
        <f t="shared" si="170"/>
        <v>0</v>
      </c>
      <c r="AD477" t="str">
        <f t="shared" si="171"/>
        <v>|0</v>
      </c>
      <c r="AE477" t="str">
        <f t="shared" si="172"/>
        <v/>
      </c>
      <c r="AF477" t="str">
        <f t="shared" si="173"/>
        <v/>
      </c>
      <c r="AG477" t="str">
        <f t="shared" si="174"/>
        <v/>
      </c>
      <c r="AH477" t="str">
        <f t="shared" si="175"/>
        <v/>
      </c>
      <c r="AI477" t="str">
        <f t="shared" si="176"/>
        <v/>
      </c>
      <c r="AJ477" t="str">
        <f t="shared" si="177"/>
        <v/>
      </c>
      <c r="AK477" t="str">
        <f t="shared" si="178"/>
        <v/>
      </c>
      <c r="AL477" t="str">
        <f t="shared" si="179"/>
        <v/>
      </c>
      <c r="AM477" t="str">
        <f t="shared" si="180"/>
        <v/>
      </c>
      <c r="AN477" t="str">
        <f t="shared" si="181"/>
        <v/>
      </c>
      <c r="AO477" t="str">
        <f t="shared" si="182"/>
        <v/>
      </c>
      <c r="AP477">
        <f t="shared" si="183"/>
        <v>1</v>
      </c>
      <c r="AQ477" t="str">
        <f>IF(SAISIE!$F482="","",SAISIE!$Y482)</f>
        <v/>
      </c>
      <c r="AR477" t="str">
        <f>IF(OR(SAISIE!$U$4="",SAISIE!$W$4=""),"",IF(AND($A477=SAISIE!$U$4,$B477=SAISIE!$W$4,$C477="S1"),COUNTIFS($A$2:$A477,SAISIE!$U$4,$B$2:$B477,SAISIE!$W$4,$C$2:$C477,"S1"),""))</f>
        <v/>
      </c>
      <c r="AS477" t="str">
        <f t="shared" si="184"/>
        <v/>
      </c>
      <c r="AT477" t="str">
        <f t="shared" si="185"/>
        <v/>
      </c>
      <c r="AU477" t="str">
        <f t="shared" si="186"/>
        <v/>
      </c>
      <c r="AV477">
        <f>N(AV476)+IF(AND($AB477&lt;&gt;"",OR('PROFIL ELEVE'!$K$4="(Tous)",$AF477='PROFIL ELEVE'!$K$4)),1,0)</f>
        <v>0</v>
      </c>
      <c r="AW477">
        <f>N(AW476)+IF(AND($AB477&lt;&gt;"",OR('SUIVI LONGITUDINAL'!$Q$4="(Tous)",$AF477='SUIVI LONGITUDINAL'!$Q$4)),1,0)</f>
        <v>0</v>
      </c>
      <c r="AX477">
        <f t="shared" si="187"/>
        <v>0</v>
      </c>
      <c r="AY477">
        <f t="shared" si="188"/>
        <v>0</v>
      </c>
      <c r="AZ477">
        <f t="shared" si="189"/>
        <v>0</v>
      </c>
      <c r="BA477" t="str">
        <f t="shared" si="190"/>
        <v/>
      </c>
      <c r="BB477" t="str">
        <f t="shared" si="191"/>
        <v/>
      </c>
    </row>
    <row r="478" spans="1:54" ht="14.25" customHeight="1" x14ac:dyDescent="0.3">
      <c r="A478" t="str">
        <f>IF(SAISIE!$F483="","",SAISIE!$B483)</f>
        <v/>
      </c>
      <c r="B478" t="str">
        <f>IF(SAISIE!$F483="","",SAISIE!$C483)</f>
        <v/>
      </c>
      <c r="C478" t="str">
        <f>IF(SAISIE!$F483="","",SAISIE!$D483)</f>
        <v/>
      </c>
      <c r="D478" t="str">
        <f>IF(SAISIE!$E483="","",SAISIE!$E483)</f>
        <v/>
      </c>
      <c r="E478" t="str">
        <f>IF(SAISIE!$F483="","",SAISIE!$F483)</f>
        <v/>
      </c>
      <c r="F478" t="str">
        <f>IF(SAISIE!$G483="","",SAISIE!$G483)</f>
        <v/>
      </c>
      <c r="G478" t="str">
        <f>IF(SAISIE!$H483="","",SAISIE!$H483)</f>
        <v/>
      </c>
      <c r="H478" t="str">
        <f>IF(SAISIE!$I483="","",SAISIE!$I483)</f>
        <v/>
      </c>
      <c r="I478" t="str">
        <f>IF(SAISIE!$J483="","",SAISIE!$J483)</f>
        <v/>
      </c>
      <c r="J478" t="str">
        <f>IF(SAISIE!$K483="","",SAISIE!$K483)</f>
        <v/>
      </c>
      <c r="K478" t="str">
        <f>IF(SAISIE!$L483="","",SAISIE!$L483)</f>
        <v/>
      </c>
      <c r="L478" t="str">
        <f>IF(SAISIE!$M483="","",SAISIE!$M483)</f>
        <v/>
      </c>
      <c r="M478" t="str">
        <f>IF(SAISIE!$N483="","",SAISIE!$N483)</f>
        <v/>
      </c>
      <c r="N478" t="str">
        <f>IF(SAISIE!$O483="","",SAISIE!$O483)</f>
        <v/>
      </c>
      <c r="O478" t="str">
        <f>IF(SAISIE!$P483="","",SAISIE!$P483)</f>
        <v/>
      </c>
      <c r="P478" t="str">
        <f>IF(SAISIE!$Q483="","",SAISIE!$Q483)</f>
        <v/>
      </c>
      <c r="Q478" t="str">
        <f>IF($I478="","",IF($I478&gt;PARAMETRES!$G$29,5,IF($I478&gt;PARAMETRES!$F$29,4,IF($I478&gt;PARAMETRES!$E$29,3,IF($I478&gt;PARAMETRES!$D$29,2,1)))))</f>
        <v/>
      </c>
      <c r="R478" t="str">
        <f>IF($J478="","",IF($J478&gt;PARAMETRES!$G$30,5,IF($J478&gt;PARAMETRES!$F$30,4,IF($J478&gt;PARAMETRES!$E$30,3,IF($J478&gt;PARAMETRES!$D$30,2,1)))))</f>
        <v/>
      </c>
      <c r="S478" t="str">
        <f>IF($K478="","",IF($Z478=2,IF($K478&gt;PARAMETRES!$G$31,5,IF($K478&gt;PARAMETRES!$F$31,4,IF($K478&gt;PARAMETRES!$E$31,3,IF($K478&gt;PARAMETRES!$D$31,2,1)))),IF($K478&gt;PARAMETRES!$G$32,5,IF($K478&gt;PARAMETRES!$F$32,4,IF($K478&gt;PARAMETRES!$E$32,3,IF($K478&gt;PARAMETRES!$D$32,2,1))))))</f>
        <v/>
      </c>
      <c r="T478" t="str">
        <f>IF($L478="","",IF($L478&gt;PARAMETRES!$G$33,5,IF($L478&gt;PARAMETRES!$F$33,4,IF($L478&gt;PARAMETRES!$E$33,3,IF($L478&gt;PARAMETRES!$D$33,2,1)))))</f>
        <v/>
      </c>
      <c r="U478" t="str">
        <f>IF($M478="","",IF($M478&gt;PARAMETRES!$G$34,5,IF($M478&gt;PARAMETRES!$F$34,4,IF($M478&gt;PARAMETRES!$E$34,3,IF($M478&gt;PARAMETRES!$D$34,2,1)))))</f>
        <v/>
      </c>
      <c r="V478" t="str">
        <f>IF($N478="","",IF($N478&gt;PARAMETRES!$G$35,5,IF($N478&gt;PARAMETRES!$F$35,4,IF($N478&gt;PARAMETRES!$E$35,3,IF($N478&gt;PARAMETRES!$D$35,2,1)))))</f>
        <v/>
      </c>
      <c r="W478" t="str">
        <f>IF($O478="","",IF($O478&gt;PARAMETRES!$G$36,5,IF($O478&gt;PARAMETRES!$F$36,4,IF($O478&gt;PARAMETRES!$E$36,3,IF($O478&gt;PARAMETRES!$D$36,2,1)))))</f>
        <v/>
      </c>
      <c r="X478" t="str">
        <f>IF($P478="","",IF($P478&gt;PARAMETRES!$G$37,5,IF($P478&gt;PARAMETRES!$F$37,4,IF($P478&gt;PARAMETRES!$E$37,3,IF($P478&gt;PARAMETRES!$D$37,2,1)))))</f>
        <v/>
      </c>
      <c r="Y478" t="str">
        <f t="shared" si="168"/>
        <v/>
      </c>
      <c r="Z478" t="str">
        <f>IFERROR(VLOOKUP($B478,TABLE_CYCLE,2,0),"")</f>
        <v/>
      </c>
      <c r="AA478" t="str">
        <f t="shared" si="169"/>
        <v/>
      </c>
      <c r="AB478" t="str">
        <f>IF($D478="","",IF(COUNTIF($D$2:$D478,$D478)=1,$D478,""))</f>
        <v/>
      </c>
      <c r="AC478">
        <f t="shared" si="170"/>
        <v>0</v>
      </c>
      <c r="AD478" t="str">
        <f t="shared" si="171"/>
        <v>|0</v>
      </c>
      <c r="AE478" t="str">
        <f t="shared" si="172"/>
        <v/>
      </c>
      <c r="AF478" t="str">
        <f t="shared" si="173"/>
        <v/>
      </c>
      <c r="AG478" t="str">
        <f t="shared" si="174"/>
        <v/>
      </c>
      <c r="AH478" t="str">
        <f t="shared" si="175"/>
        <v/>
      </c>
      <c r="AI478" t="str">
        <f t="shared" si="176"/>
        <v/>
      </c>
      <c r="AJ478" t="str">
        <f t="shared" si="177"/>
        <v/>
      </c>
      <c r="AK478" t="str">
        <f t="shared" si="178"/>
        <v/>
      </c>
      <c r="AL478" t="str">
        <f t="shared" si="179"/>
        <v/>
      </c>
      <c r="AM478" t="str">
        <f t="shared" si="180"/>
        <v/>
      </c>
      <c r="AN478" t="str">
        <f t="shared" si="181"/>
        <v/>
      </c>
      <c r="AO478" t="str">
        <f t="shared" si="182"/>
        <v/>
      </c>
      <c r="AP478">
        <f t="shared" si="183"/>
        <v>1</v>
      </c>
      <c r="AQ478" t="str">
        <f>IF(SAISIE!$F483="","",SAISIE!$Y483)</f>
        <v/>
      </c>
      <c r="AR478" t="str">
        <f>IF(OR(SAISIE!$U$4="",SAISIE!$W$4=""),"",IF(AND($A478=SAISIE!$U$4,$B478=SAISIE!$W$4,$C478="S1"),COUNTIFS($A$2:$A478,SAISIE!$U$4,$B$2:$B478,SAISIE!$W$4,$C$2:$C478,"S1"),""))</f>
        <v/>
      </c>
      <c r="AS478" t="str">
        <f t="shared" si="184"/>
        <v/>
      </c>
      <c r="AT478" t="str">
        <f t="shared" si="185"/>
        <v/>
      </c>
      <c r="AU478" t="str">
        <f t="shared" si="186"/>
        <v/>
      </c>
      <c r="AV478">
        <f>N(AV477)+IF(AND($AB478&lt;&gt;"",OR('PROFIL ELEVE'!$K$4="(Tous)",$AF478='PROFIL ELEVE'!$K$4)),1,0)</f>
        <v>0</v>
      </c>
      <c r="AW478">
        <f>N(AW477)+IF(AND($AB478&lt;&gt;"",OR('SUIVI LONGITUDINAL'!$Q$4="(Tous)",$AF478='SUIVI LONGITUDINAL'!$Q$4)),1,0)</f>
        <v>0</v>
      </c>
      <c r="AX478">
        <f t="shared" si="187"/>
        <v>0</v>
      </c>
      <c r="AY478">
        <f t="shared" si="188"/>
        <v>0</v>
      </c>
      <c r="AZ478">
        <f t="shared" si="189"/>
        <v>0</v>
      </c>
      <c r="BA478" t="str">
        <f t="shared" si="190"/>
        <v/>
      </c>
      <c r="BB478" t="str">
        <f t="shared" si="191"/>
        <v/>
      </c>
    </row>
    <row r="479" spans="1:54" ht="14.25" customHeight="1" x14ac:dyDescent="0.3">
      <c r="A479" t="str">
        <f>IF(SAISIE!$F484="","",SAISIE!$B484)</f>
        <v/>
      </c>
      <c r="B479" t="str">
        <f>IF(SAISIE!$F484="","",SAISIE!$C484)</f>
        <v/>
      </c>
      <c r="C479" t="str">
        <f>IF(SAISIE!$F484="","",SAISIE!$D484)</f>
        <v/>
      </c>
      <c r="D479" t="str">
        <f>IF(SAISIE!$E484="","",SAISIE!$E484)</f>
        <v/>
      </c>
      <c r="E479" t="str">
        <f>IF(SAISIE!$F484="","",SAISIE!$F484)</f>
        <v/>
      </c>
      <c r="F479" t="str">
        <f>IF(SAISIE!$G484="","",SAISIE!$G484)</f>
        <v/>
      </c>
      <c r="G479" t="str">
        <f>IF(SAISIE!$H484="","",SAISIE!$H484)</f>
        <v/>
      </c>
      <c r="H479" t="str">
        <f>IF(SAISIE!$I484="","",SAISIE!$I484)</f>
        <v/>
      </c>
      <c r="I479" t="str">
        <f>IF(SAISIE!$J484="","",SAISIE!$J484)</f>
        <v/>
      </c>
      <c r="J479" t="str">
        <f>IF(SAISIE!$K484="","",SAISIE!$K484)</f>
        <v/>
      </c>
      <c r="K479" t="str">
        <f>IF(SAISIE!$L484="","",SAISIE!$L484)</f>
        <v/>
      </c>
      <c r="L479" t="str">
        <f>IF(SAISIE!$M484="","",SAISIE!$M484)</f>
        <v/>
      </c>
      <c r="M479" t="str">
        <f>IF(SAISIE!$N484="","",SAISIE!$N484)</f>
        <v/>
      </c>
      <c r="N479" t="str">
        <f>IF(SAISIE!$O484="","",SAISIE!$O484)</f>
        <v/>
      </c>
      <c r="O479" t="str">
        <f>IF(SAISIE!$P484="","",SAISIE!$P484)</f>
        <v/>
      </c>
      <c r="P479" t="str">
        <f>IF(SAISIE!$Q484="","",SAISIE!$Q484)</f>
        <v/>
      </c>
      <c r="Q479" t="str">
        <f>IF($I479="","",IF($I479&gt;PARAMETRES!$G$29,5,IF($I479&gt;PARAMETRES!$F$29,4,IF($I479&gt;PARAMETRES!$E$29,3,IF($I479&gt;PARAMETRES!$D$29,2,1)))))</f>
        <v/>
      </c>
      <c r="R479" t="str">
        <f>IF($J479="","",IF($J479&gt;PARAMETRES!$G$30,5,IF($J479&gt;PARAMETRES!$F$30,4,IF($J479&gt;PARAMETRES!$E$30,3,IF($J479&gt;PARAMETRES!$D$30,2,1)))))</f>
        <v/>
      </c>
      <c r="S479" t="str">
        <f>IF($K479="","",IF($Z479=2,IF($K479&gt;PARAMETRES!$G$31,5,IF($K479&gt;PARAMETRES!$F$31,4,IF($K479&gt;PARAMETRES!$E$31,3,IF($K479&gt;PARAMETRES!$D$31,2,1)))),IF($K479&gt;PARAMETRES!$G$32,5,IF($K479&gt;PARAMETRES!$F$32,4,IF($K479&gt;PARAMETRES!$E$32,3,IF($K479&gt;PARAMETRES!$D$32,2,1))))))</f>
        <v/>
      </c>
      <c r="T479" t="str">
        <f>IF($L479="","",IF($L479&gt;PARAMETRES!$G$33,5,IF($L479&gt;PARAMETRES!$F$33,4,IF($L479&gt;PARAMETRES!$E$33,3,IF($L479&gt;PARAMETRES!$D$33,2,1)))))</f>
        <v/>
      </c>
      <c r="U479" t="str">
        <f>IF($M479="","",IF($M479&gt;PARAMETRES!$G$34,5,IF($M479&gt;PARAMETRES!$F$34,4,IF($M479&gt;PARAMETRES!$E$34,3,IF($M479&gt;PARAMETRES!$D$34,2,1)))))</f>
        <v/>
      </c>
      <c r="V479" t="str">
        <f>IF($N479="","",IF($N479&gt;PARAMETRES!$G$35,5,IF($N479&gt;PARAMETRES!$F$35,4,IF($N479&gt;PARAMETRES!$E$35,3,IF($N479&gt;PARAMETRES!$D$35,2,1)))))</f>
        <v/>
      </c>
      <c r="W479" t="str">
        <f>IF($O479="","",IF($O479&gt;PARAMETRES!$G$36,5,IF($O479&gt;PARAMETRES!$F$36,4,IF($O479&gt;PARAMETRES!$E$36,3,IF($O479&gt;PARAMETRES!$D$36,2,1)))))</f>
        <v/>
      </c>
      <c r="X479" t="str">
        <f>IF($P479="","",IF($P479&gt;PARAMETRES!$G$37,5,IF($P479&gt;PARAMETRES!$F$37,4,IF($P479&gt;PARAMETRES!$E$37,3,IF($P479&gt;PARAMETRES!$D$37,2,1)))))</f>
        <v/>
      </c>
      <c r="Y479" t="str">
        <f t="shared" si="168"/>
        <v/>
      </c>
      <c r="Z479" t="str">
        <f>IFERROR(VLOOKUP($B479,TABLE_CYCLE,2,0),"")</f>
        <v/>
      </c>
      <c r="AA479" t="str">
        <f t="shared" si="169"/>
        <v/>
      </c>
      <c r="AB479" t="str">
        <f>IF($D479="","",IF(COUNTIF($D$2:$D479,$D479)=1,$D479,""))</f>
        <v/>
      </c>
      <c r="AC479">
        <f t="shared" si="170"/>
        <v>0</v>
      </c>
      <c r="AD479" t="str">
        <f t="shared" si="171"/>
        <v>|0</v>
      </c>
      <c r="AE479" t="str">
        <f t="shared" si="172"/>
        <v/>
      </c>
      <c r="AF479" t="str">
        <f t="shared" si="173"/>
        <v/>
      </c>
      <c r="AG479" t="str">
        <f t="shared" si="174"/>
        <v/>
      </c>
      <c r="AH479" t="str">
        <f t="shared" si="175"/>
        <v/>
      </c>
      <c r="AI479" t="str">
        <f t="shared" si="176"/>
        <v/>
      </c>
      <c r="AJ479" t="str">
        <f t="shared" si="177"/>
        <v/>
      </c>
      <c r="AK479" t="str">
        <f t="shared" si="178"/>
        <v/>
      </c>
      <c r="AL479" t="str">
        <f t="shared" si="179"/>
        <v/>
      </c>
      <c r="AM479" t="str">
        <f t="shared" si="180"/>
        <v/>
      </c>
      <c r="AN479" t="str">
        <f t="shared" si="181"/>
        <v/>
      </c>
      <c r="AO479" t="str">
        <f t="shared" si="182"/>
        <v/>
      </c>
      <c r="AP479">
        <f t="shared" si="183"/>
        <v>1</v>
      </c>
      <c r="AQ479" t="str">
        <f>IF(SAISIE!$F484="","",SAISIE!$Y484)</f>
        <v/>
      </c>
      <c r="AR479" t="str">
        <f>IF(OR(SAISIE!$U$4="",SAISIE!$W$4=""),"",IF(AND($A479=SAISIE!$U$4,$B479=SAISIE!$W$4,$C479="S1"),COUNTIFS($A$2:$A479,SAISIE!$U$4,$B$2:$B479,SAISIE!$W$4,$C$2:$C479,"S1"),""))</f>
        <v/>
      </c>
      <c r="AS479" t="str">
        <f t="shared" si="184"/>
        <v/>
      </c>
      <c r="AT479" t="str">
        <f t="shared" si="185"/>
        <v/>
      </c>
      <c r="AU479" t="str">
        <f t="shared" si="186"/>
        <v/>
      </c>
      <c r="AV479">
        <f>N(AV478)+IF(AND($AB479&lt;&gt;"",OR('PROFIL ELEVE'!$K$4="(Tous)",$AF479='PROFIL ELEVE'!$K$4)),1,0)</f>
        <v>0</v>
      </c>
      <c r="AW479">
        <f>N(AW478)+IF(AND($AB479&lt;&gt;"",OR('SUIVI LONGITUDINAL'!$Q$4="(Tous)",$AF479='SUIVI LONGITUDINAL'!$Q$4)),1,0)</f>
        <v>0</v>
      </c>
      <c r="AX479">
        <f t="shared" si="187"/>
        <v>0</v>
      </c>
      <c r="AY479">
        <f t="shared" si="188"/>
        <v>0</v>
      </c>
      <c r="AZ479">
        <f t="shared" si="189"/>
        <v>0</v>
      </c>
      <c r="BA479" t="str">
        <f t="shared" si="190"/>
        <v/>
      </c>
      <c r="BB479" t="str">
        <f t="shared" si="191"/>
        <v/>
      </c>
    </row>
    <row r="480" spans="1:54" ht="14.25" customHeight="1" x14ac:dyDescent="0.3">
      <c r="A480" t="str">
        <f>IF(SAISIE!$F485="","",SAISIE!$B485)</f>
        <v/>
      </c>
      <c r="B480" t="str">
        <f>IF(SAISIE!$F485="","",SAISIE!$C485)</f>
        <v/>
      </c>
      <c r="C480" t="str">
        <f>IF(SAISIE!$F485="","",SAISIE!$D485)</f>
        <v/>
      </c>
      <c r="D480" t="str">
        <f>IF(SAISIE!$E485="","",SAISIE!$E485)</f>
        <v/>
      </c>
      <c r="E480" t="str">
        <f>IF(SAISIE!$F485="","",SAISIE!$F485)</f>
        <v/>
      </c>
      <c r="F480" t="str">
        <f>IF(SAISIE!$G485="","",SAISIE!$G485)</f>
        <v/>
      </c>
      <c r="G480" t="str">
        <f>IF(SAISIE!$H485="","",SAISIE!$H485)</f>
        <v/>
      </c>
      <c r="H480" t="str">
        <f>IF(SAISIE!$I485="","",SAISIE!$I485)</f>
        <v/>
      </c>
      <c r="I480" t="str">
        <f>IF(SAISIE!$J485="","",SAISIE!$J485)</f>
        <v/>
      </c>
      <c r="J480" t="str">
        <f>IF(SAISIE!$K485="","",SAISIE!$K485)</f>
        <v/>
      </c>
      <c r="K480" t="str">
        <f>IF(SAISIE!$L485="","",SAISIE!$L485)</f>
        <v/>
      </c>
      <c r="L480" t="str">
        <f>IF(SAISIE!$M485="","",SAISIE!$M485)</f>
        <v/>
      </c>
      <c r="M480" t="str">
        <f>IF(SAISIE!$N485="","",SAISIE!$N485)</f>
        <v/>
      </c>
      <c r="N480" t="str">
        <f>IF(SAISIE!$O485="","",SAISIE!$O485)</f>
        <v/>
      </c>
      <c r="O480" t="str">
        <f>IF(SAISIE!$P485="","",SAISIE!$P485)</f>
        <v/>
      </c>
      <c r="P480" t="str">
        <f>IF(SAISIE!$Q485="","",SAISIE!$Q485)</f>
        <v/>
      </c>
      <c r="Q480" t="str">
        <f>IF($I480="","",IF($I480&gt;PARAMETRES!$G$29,5,IF($I480&gt;PARAMETRES!$F$29,4,IF($I480&gt;PARAMETRES!$E$29,3,IF($I480&gt;PARAMETRES!$D$29,2,1)))))</f>
        <v/>
      </c>
      <c r="R480" t="str">
        <f>IF($J480="","",IF($J480&gt;PARAMETRES!$G$30,5,IF($J480&gt;PARAMETRES!$F$30,4,IF($J480&gt;PARAMETRES!$E$30,3,IF($J480&gt;PARAMETRES!$D$30,2,1)))))</f>
        <v/>
      </c>
      <c r="S480" t="str">
        <f>IF($K480="","",IF($Z480=2,IF($K480&gt;PARAMETRES!$G$31,5,IF($K480&gt;PARAMETRES!$F$31,4,IF($K480&gt;PARAMETRES!$E$31,3,IF($K480&gt;PARAMETRES!$D$31,2,1)))),IF($K480&gt;PARAMETRES!$G$32,5,IF($K480&gt;PARAMETRES!$F$32,4,IF($K480&gt;PARAMETRES!$E$32,3,IF($K480&gt;PARAMETRES!$D$32,2,1))))))</f>
        <v/>
      </c>
      <c r="T480" t="str">
        <f>IF($L480="","",IF($L480&gt;PARAMETRES!$G$33,5,IF($L480&gt;PARAMETRES!$F$33,4,IF($L480&gt;PARAMETRES!$E$33,3,IF($L480&gt;PARAMETRES!$D$33,2,1)))))</f>
        <v/>
      </c>
      <c r="U480" t="str">
        <f>IF($M480="","",IF($M480&gt;PARAMETRES!$G$34,5,IF($M480&gt;PARAMETRES!$F$34,4,IF($M480&gt;PARAMETRES!$E$34,3,IF($M480&gt;PARAMETRES!$D$34,2,1)))))</f>
        <v/>
      </c>
      <c r="V480" t="str">
        <f>IF($N480="","",IF($N480&gt;PARAMETRES!$G$35,5,IF($N480&gt;PARAMETRES!$F$35,4,IF($N480&gt;PARAMETRES!$E$35,3,IF($N480&gt;PARAMETRES!$D$35,2,1)))))</f>
        <v/>
      </c>
      <c r="W480" t="str">
        <f>IF($O480="","",IF($O480&gt;PARAMETRES!$G$36,5,IF($O480&gt;PARAMETRES!$F$36,4,IF($O480&gt;PARAMETRES!$E$36,3,IF($O480&gt;PARAMETRES!$D$36,2,1)))))</f>
        <v/>
      </c>
      <c r="X480" t="str">
        <f>IF($P480="","",IF($P480&gt;PARAMETRES!$G$37,5,IF($P480&gt;PARAMETRES!$F$37,4,IF($P480&gt;PARAMETRES!$E$37,3,IF($P480&gt;PARAMETRES!$D$37,2,1)))))</f>
        <v/>
      </c>
      <c r="Y480" t="str">
        <f t="shared" si="168"/>
        <v/>
      </c>
      <c r="Z480" t="str">
        <f>IFERROR(VLOOKUP($B480,TABLE_CYCLE,2,0),"")</f>
        <v/>
      </c>
      <c r="AA480" t="str">
        <f t="shared" si="169"/>
        <v/>
      </c>
      <c r="AB480" t="str">
        <f>IF($D480="","",IF(COUNTIF($D$2:$D480,$D480)=1,$D480,""))</f>
        <v/>
      </c>
      <c r="AC480">
        <f t="shared" si="170"/>
        <v>0</v>
      </c>
      <c r="AD480" t="str">
        <f t="shared" si="171"/>
        <v>|0</v>
      </c>
      <c r="AE480" t="str">
        <f t="shared" si="172"/>
        <v/>
      </c>
      <c r="AF480" t="str">
        <f t="shared" si="173"/>
        <v/>
      </c>
      <c r="AG480" t="str">
        <f t="shared" si="174"/>
        <v/>
      </c>
      <c r="AH480" t="str">
        <f t="shared" si="175"/>
        <v/>
      </c>
      <c r="AI480" t="str">
        <f t="shared" si="176"/>
        <v/>
      </c>
      <c r="AJ480" t="str">
        <f t="shared" si="177"/>
        <v/>
      </c>
      <c r="AK480" t="str">
        <f t="shared" si="178"/>
        <v/>
      </c>
      <c r="AL480" t="str">
        <f t="shared" si="179"/>
        <v/>
      </c>
      <c r="AM480" t="str">
        <f t="shared" si="180"/>
        <v/>
      </c>
      <c r="AN480" t="str">
        <f t="shared" si="181"/>
        <v/>
      </c>
      <c r="AO480" t="str">
        <f t="shared" si="182"/>
        <v/>
      </c>
      <c r="AP480">
        <f t="shared" si="183"/>
        <v>1</v>
      </c>
      <c r="AQ480" t="str">
        <f>IF(SAISIE!$F485="","",SAISIE!$Y485)</f>
        <v/>
      </c>
      <c r="AR480" t="str">
        <f>IF(OR(SAISIE!$U$4="",SAISIE!$W$4=""),"",IF(AND($A480=SAISIE!$U$4,$B480=SAISIE!$W$4,$C480="S1"),COUNTIFS($A$2:$A480,SAISIE!$U$4,$B$2:$B480,SAISIE!$W$4,$C$2:$C480,"S1"),""))</f>
        <v/>
      </c>
      <c r="AS480" t="str">
        <f t="shared" si="184"/>
        <v/>
      </c>
      <c r="AT480" t="str">
        <f t="shared" si="185"/>
        <v/>
      </c>
      <c r="AU480" t="str">
        <f t="shared" si="186"/>
        <v/>
      </c>
      <c r="AV480">
        <f>N(AV479)+IF(AND($AB480&lt;&gt;"",OR('PROFIL ELEVE'!$K$4="(Tous)",$AF480='PROFIL ELEVE'!$K$4)),1,0)</f>
        <v>0</v>
      </c>
      <c r="AW480">
        <f>N(AW479)+IF(AND($AB480&lt;&gt;"",OR('SUIVI LONGITUDINAL'!$Q$4="(Tous)",$AF480='SUIVI LONGITUDINAL'!$Q$4)),1,0)</f>
        <v>0</v>
      </c>
      <c r="AX480">
        <f t="shared" si="187"/>
        <v>0</v>
      </c>
      <c r="AY480">
        <f t="shared" si="188"/>
        <v>0</v>
      </c>
      <c r="AZ480">
        <f t="shared" si="189"/>
        <v>0</v>
      </c>
      <c r="BA480" t="str">
        <f t="shared" si="190"/>
        <v/>
      </c>
      <c r="BB480" t="str">
        <f t="shared" si="191"/>
        <v/>
      </c>
    </row>
    <row r="481" spans="1:54" ht="14.25" customHeight="1" x14ac:dyDescent="0.3">
      <c r="A481" t="str">
        <f>IF(SAISIE!$F486="","",SAISIE!$B486)</f>
        <v/>
      </c>
      <c r="B481" t="str">
        <f>IF(SAISIE!$F486="","",SAISIE!$C486)</f>
        <v/>
      </c>
      <c r="C481" t="str">
        <f>IF(SAISIE!$F486="","",SAISIE!$D486)</f>
        <v/>
      </c>
      <c r="D481" t="str">
        <f>IF(SAISIE!$E486="","",SAISIE!$E486)</f>
        <v/>
      </c>
      <c r="E481" t="str">
        <f>IF(SAISIE!$F486="","",SAISIE!$F486)</f>
        <v/>
      </c>
      <c r="F481" t="str">
        <f>IF(SAISIE!$G486="","",SAISIE!$G486)</f>
        <v/>
      </c>
      <c r="G481" t="str">
        <f>IF(SAISIE!$H486="","",SAISIE!$H486)</f>
        <v/>
      </c>
      <c r="H481" t="str">
        <f>IF(SAISIE!$I486="","",SAISIE!$I486)</f>
        <v/>
      </c>
      <c r="I481" t="str">
        <f>IF(SAISIE!$J486="","",SAISIE!$J486)</f>
        <v/>
      </c>
      <c r="J481" t="str">
        <f>IF(SAISIE!$K486="","",SAISIE!$K486)</f>
        <v/>
      </c>
      <c r="K481" t="str">
        <f>IF(SAISIE!$L486="","",SAISIE!$L486)</f>
        <v/>
      </c>
      <c r="L481" t="str">
        <f>IF(SAISIE!$M486="","",SAISIE!$M486)</f>
        <v/>
      </c>
      <c r="M481" t="str">
        <f>IF(SAISIE!$N486="","",SAISIE!$N486)</f>
        <v/>
      </c>
      <c r="N481" t="str">
        <f>IF(SAISIE!$O486="","",SAISIE!$O486)</f>
        <v/>
      </c>
      <c r="O481" t="str">
        <f>IF(SAISIE!$P486="","",SAISIE!$P486)</f>
        <v/>
      </c>
      <c r="P481" t="str">
        <f>IF(SAISIE!$Q486="","",SAISIE!$Q486)</f>
        <v/>
      </c>
      <c r="Q481" t="str">
        <f>IF($I481="","",IF($I481&gt;PARAMETRES!$G$29,5,IF($I481&gt;PARAMETRES!$F$29,4,IF($I481&gt;PARAMETRES!$E$29,3,IF($I481&gt;PARAMETRES!$D$29,2,1)))))</f>
        <v/>
      </c>
      <c r="R481" t="str">
        <f>IF($J481="","",IF($J481&gt;PARAMETRES!$G$30,5,IF($J481&gt;PARAMETRES!$F$30,4,IF($J481&gt;PARAMETRES!$E$30,3,IF($J481&gt;PARAMETRES!$D$30,2,1)))))</f>
        <v/>
      </c>
      <c r="S481" t="str">
        <f>IF($K481="","",IF($Z481=2,IF($K481&gt;PARAMETRES!$G$31,5,IF($K481&gt;PARAMETRES!$F$31,4,IF($K481&gt;PARAMETRES!$E$31,3,IF($K481&gt;PARAMETRES!$D$31,2,1)))),IF($K481&gt;PARAMETRES!$G$32,5,IF($K481&gt;PARAMETRES!$F$32,4,IF($K481&gt;PARAMETRES!$E$32,3,IF($K481&gt;PARAMETRES!$D$32,2,1))))))</f>
        <v/>
      </c>
      <c r="T481" t="str">
        <f>IF($L481="","",IF($L481&gt;PARAMETRES!$G$33,5,IF($L481&gt;PARAMETRES!$F$33,4,IF($L481&gt;PARAMETRES!$E$33,3,IF($L481&gt;PARAMETRES!$D$33,2,1)))))</f>
        <v/>
      </c>
      <c r="U481" t="str">
        <f>IF($M481="","",IF($M481&gt;PARAMETRES!$G$34,5,IF($M481&gt;PARAMETRES!$F$34,4,IF($M481&gt;PARAMETRES!$E$34,3,IF($M481&gt;PARAMETRES!$D$34,2,1)))))</f>
        <v/>
      </c>
      <c r="V481" t="str">
        <f>IF($N481="","",IF($N481&gt;PARAMETRES!$G$35,5,IF($N481&gt;PARAMETRES!$F$35,4,IF($N481&gt;PARAMETRES!$E$35,3,IF($N481&gt;PARAMETRES!$D$35,2,1)))))</f>
        <v/>
      </c>
      <c r="W481" t="str">
        <f>IF($O481="","",IF($O481&gt;PARAMETRES!$G$36,5,IF($O481&gt;PARAMETRES!$F$36,4,IF($O481&gt;PARAMETRES!$E$36,3,IF($O481&gt;PARAMETRES!$D$36,2,1)))))</f>
        <v/>
      </c>
      <c r="X481" t="str">
        <f>IF($P481="","",IF($P481&gt;PARAMETRES!$G$37,5,IF($P481&gt;PARAMETRES!$F$37,4,IF($P481&gt;PARAMETRES!$E$37,3,IF($P481&gt;PARAMETRES!$D$37,2,1)))))</f>
        <v/>
      </c>
      <c r="Y481" t="str">
        <f t="shared" si="168"/>
        <v/>
      </c>
      <c r="Z481" t="str">
        <f>IFERROR(VLOOKUP($B481,TABLE_CYCLE,2,0),"")</f>
        <v/>
      </c>
      <c r="AA481" t="str">
        <f t="shared" si="169"/>
        <v/>
      </c>
      <c r="AB481" t="str">
        <f>IF($D481="","",IF(COUNTIF($D$2:$D481,$D481)=1,$D481,""))</f>
        <v/>
      </c>
      <c r="AC481">
        <f t="shared" si="170"/>
        <v>0</v>
      </c>
      <c r="AD481" t="str">
        <f t="shared" si="171"/>
        <v>|0</v>
      </c>
      <c r="AE481" t="str">
        <f t="shared" si="172"/>
        <v/>
      </c>
      <c r="AF481" t="str">
        <f t="shared" si="173"/>
        <v/>
      </c>
      <c r="AG481" t="str">
        <f t="shared" si="174"/>
        <v/>
      </c>
      <c r="AH481" t="str">
        <f t="shared" si="175"/>
        <v/>
      </c>
      <c r="AI481" t="str">
        <f t="shared" si="176"/>
        <v/>
      </c>
      <c r="AJ481" t="str">
        <f t="shared" si="177"/>
        <v/>
      </c>
      <c r="AK481" t="str">
        <f t="shared" si="178"/>
        <v/>
      </c>
      <c r="AL481" t="str">
        <f t="shared" si="179"/>
        <v/>
      </c>
      <c r="AM481" t="str">
        <f t="shared" si="180"/>
        <v/>
      </c>
      <c r="AN481" t="str">
        <f t="shared" si="181"/>
        <v/>
      </c>
      <c r="AO481" t="str">
        <f t="shared" si="182"/>
        <v/>
      </c>
      <c r="AP481">
        <f t="shared" si="183"/>
        <v>1</v>
      </c>
      <c r="AQ481" t="str">
        <f>IF(SAISIE!$F486="","",SAISIE!$Y486)</f>
        <v/>
      </c>
      <c r="AR481" t="str">
        <f>IF(OR(SAISIE!$U$4="",SAISIE!$W$4=""),"",IF(AND($A481=SAISIE!$U$4,$B481=SAISIE!$W$4,$C481="S1"),COUNTIFS($A$2:$A481,SAISIE!$U$4,$B$2:$B481,SAISIE!$W$4,$C$2:$C481,"S1"),""))</f>
        <v/>
      </c>
      <c r="AS481" t="str">
        <f t="shared" si="184"/>
        <v/>
      </c>
      <c r="AT481" t="str">
        <f t="shared" si="185"/>
        <v/>
      </c>
      <c r="AU481" t="str">
        <f t="shared" si="186"/>
        <v/>
      </c>
      <c r="AV481">
        <f>N(AV480)+IF(AND($AB481&lt;&gt;"",OR('PROFIL ELEVE'!$K$4="(Tous)",$AF481='PROFIL ELEVE'!$K$4)),1,0)</f>
        <v>0</v>
      </c>
      <c r="AW481">
        <f>N(AW480)+IF(AND($AB481&lt;&gt;"",OR('SUIVI LONGITUDINAL'!$Q$4="(Tous)",$AF481='SUIVI LONGITUDINAL'!$Q$4)),1,0)</f>
        <v>0</v>
      </c>
      <c r="AX481">
        <f t="shared" si="187"/>
        <v>0</v>
      </c>
      <c r="AY481">
        <f t="shared" si="188"/>
        <v>0</v>
      </c>
      <c r="AZ481">
        <f t="shared" si="189"/>
        <v>0</v>
      </c>
      <c r="BA481" t="str">
        <f t="shared" si="190"/>
        <v/>
      </c>
      <c r="BB481" t="str">
        <f t="shared" si="191"/>
        <v/>
      </c>
    </row>
    <row r="482" spans="1:54" ht="14.25" customHeight="1" x14ac:dyDescent="0.3">
      <c r="A482" t="str">
        <f>IF(SAISIE!$F487="","",SAISIE!$B487)</f>
        <v/>
      </c>
      <c r="B482" t="str">
        <f>IF(SAISIE!$F487="","",SAISIE!$C487)</f>
        <v/>
      </c>
      <c r="C482" t="str">
        <f>IF(SAISIE!$F487="","",SAISIE!$D487)</f>
        <v/>
      </c>
      <c r="D482" t="str">
        <f>IF(SAISIE!$E487="","",SAISIE!$E487)</f>
        <v/>
      </c>
      <c r="E482" t="str">
        <f>IF(SAISIE!$F487="","",SAISIE!$F487)</f>
        <v/>
      </c>
      <c r="F482" t="str">
        <f>IF(SAISIE!$G487="","",SAISIE!$G487)</f>
        <v/>
      </c>
      <c r="G482" t="str">
        <f>IF(SAISIE!$H487="","",SAISIE!$H487)</f>
        <v/>
      </c>
      <c r="H482" t="str">
        <f>IF(SAISIE!$I487="","",SAISIE!$I487)</f>
        <v/>
      </c>
      <c r="I482" t="str">
        <f>IF(SAISIE!$J487="","",SAISIE!$J487)</f>
        <v/>
      </c>
      <c r="J482" t="str">
        <f>IF(SAISIE!$K487="","",SAISIE!$K487)</f>
        <v/>
      </c>
      <c r="K482" t="str">
        <f>IF(SAISIE!$L487="","",SAISIE!$L487)</f>
        <v/>
      </c>
      <c r="L482" t="str">
        <f>IF(SAISIE!$M487="","",SAISIE!$M487)</f>
        <v/>
      </c>
      <c r="M482" t="str">
        <f>IF(SAISIE!$N487="","",SAISIE!$N487)</f>
        <v/>
      </c>
      <c r="N482" t="str">
        <f>IF(SAISIE!$O487="","",SAISIE!$O487)</f>
        <v/>
      </c>
      <c r="O482" t="str">
        <f>IF(SAISIE!$P487="","",SAISIE!$P487)</f>
        <v/>
      </c>
      <c r="P482" t="str">
        <f>IF(SAISIE!$Q487="","",SAISIE!$Q487)</f>
        <v/>
      </c>
      <c r="Q482" t="str">
        <f>IF($I482="","",IF($I482&gt;PARAMETRES!$G$29,5,IF($I482&gt;PARAMETRES!$F$29,4,IF($I482&gt;PARAMETRES!$E$29,3,IF($I482&gt;PARAMETRES!$D$29,2,1)))))</f>
        <v/>
      </c>
      <c r="R482" t="str">
        <f>IF($J482="","",IF($J482&gt;PARAMETRES!$G$30,5,IF($J482&gt;PARAMETRES!$F$30,4,IF($J482&gt;PARAMETRES!$E$30,3,IF($J482&gt;PARAMETRES!$D$30,2,1)))))</f>
        <v/>
      </c>
      <c r="S482" t="str">
        <f>IF($K482="","",IF($Z482=2,IF($K482&gt;PARAMETRES!$G$31,5,IF($K482&gt;PARAMETRES!$F$31,4,IF($K482&gt;PARAMETRES!$E$31,3,IF($K482&gt;PARAMETRES!$D$31,2,1)))),IF($K482&gt;PARAMETRES!$G$32,5,IF($K482&gt;PARAMETRES!$F$32,4,IF($K482&gt;PARAMETRES!$E$32,3,IF($K482&gt;PARAMETRES!$D$32,2,1))))))</f>
        <v/>
      </c>
      <c r="T482" t="str">
        <f>IF($L482="","",IF($L482&gt;PARAMETRES!$G$33,5,IF($L482&gt;PARAMETRES!$F$33,4,IF($L482&gt;PARAMETRES!$E$33,3,IF($L482&gt;PARAMETRES!$D$33,2,1)))))</f>
        <v/>
      </c>
      <c r="U482" t="str">
        <f>IF($M482="","",IF($M482&gt;PARAMETRES!$G$34,5,IF($M482&gt;PARAMETRES!$F$34,4,IF($M482&gt;PARAMETRES!$E$34,3,IF($M482&gt;PARAMETRES!$D$34,2,1)))))</f>
        <v/>
      </c>
      <c r="V482" t="str">
        <f>IF($N482="","",IF($N482&gt;PARAMETRES!$G$35,5,IF($N482&gt;PARAMETRES!$F$35,4,IF($N482&gt;PARAMETRES!$E$35,3,IF($N482&gt;PARAMETRES!$D$35,2,1)))))</f>
        <v/>
      </c>
      <c r="W482" t="str">
        <f>IF($O482="","",IF($O482&gt;PARAMETRES!$G$36,5,IF($O482&gt;PARAMETRES!$F$36,4,IF($O482&gt;PARAMETRES!$E$36,3,IF($O482&gt;PARAMETRES!$D$36,2,1)))))</f>
        <v/>
      </c>
      <c r="X482" t="str">
        <f>IF($P482="","",IF($P482&gt;PARAMETRES!$G$37,5,IF($P482&gt;PARAMETRES!$F$37,4,IF($P482&gt;PARAMETRES!$E$37,3,IF($P482&gt;PARAMETRES!$D$37,2,1)))))</f>
        <v/>
      </c>
      <c r="Y482" t="str">
        <f t="shared" si="168"/>
        <v/>
      </c>
      <c r="Z482" t="str">
        <f>IFERROR(VLOOKUP($B482,TABLE_CYCLE,2,0),"")</f>
        <v/>
      </c>
      <c r="AA482" t="str">
        <f t="shared" si="169"/>
        <v/>
      </c>
      <c r="AB482" t="str">
        <f>IF($D482="","",IF(COUNTIF($D$2:$D482,$D482)=1,$D482,""))</f>
        <v/>
      </c>
      <c r="AC482">
        <f t="shared" si="170"/>
        <v>0</v>
      </c>
      <c r="AD482" t="str">
        <f t="shared" si="171"/>
        <v>|0</v>
      </c>
      <c r="AE482" t="str">
        <f t="shared" si="172"/>
        <v/>
      </c>
      <c r="AF482" t="str">
        <f t="shared" si="173"/>
        <v/>
      </c>
      <c r="AG482" t="str">
        <f t="shared" si="174"/>
        <v/>
      </c>
      <c r="AH482" t="str">
        <f t="shared" si="175"/>
        <v/>
      </c>
      <c r="AI482" t="str">
        <f t="shared" si="176"/>
        <v/>
      </c>
      <c r="AJ482" t="str">
        <f t="shared" si="177"/>
        <v/>
      </c>
      <c r="AK482" t="str">
        <f t="shared" si="178"/>
        <v/>
      </c>
      <c r="AL482" t="str">
        <f t="shared" si="179"/>
        <v/>
      </c>
      <c r="AM482" t="str">
        <f t="shared" si="180"/>
        <v/>
      </c>
      <c r="AN482" t="str">
        <f t="shared" si="181"/>
        <v/>
      </c>
      <c r="AO482" t="str">
        <f t="shared" si="182"/>
        <v/>
      </c>
      <c r="AP482">
        <f t="shared" si="183"/>
        <v>1</v>
      </c>
      <c r="AQ482" t="str">
        <f>IF(SAISIE!$F487="","",SAISIE!$Y487)</f>
        <v/>
      </c>
      <c r="AR482" t="str">
        <f>IF(OR(SAISIE!$U$4="",SAISIE!$W$4=""),"",IF(AND($A482=SAISIE!$U$4,$B482=SAISIE!$W$4,$C482="S1"),COUNTIFS($A$2:$A482,SAISIE!$U$4,$B$2:$B482,SAISIE!$W$4,$C$2:$C482,"S1"),""))</f>
        <v/>
      </c>
      <c r="AS482" t="str">
        <f t="shared" si="184"/>
        <v/>
      </c>
      <c r="AT482" t="str">
        <f t="shared" si="185"/>
        <v/>
      </c>
      <c r="AU482" t="str">
        <f t="shared" si="186"/>
        <v/>
      </c>
      <c r="AV482">
        <f>N(AV481)+IF(AND($AB482&lt;&gt;"",OR('PROFIL ELEVE'!$K$4="(Tous)",$AF482='PROFIL ELEVE'!$K$4)),1,0)</f>
        <v>0</v>
      </c>
      <c r="AW482">
        <f>N(AW481)+IF(AND($AB482&lt;&gt;"",OR('SUIVI LONGITUDINAL'!$Q$4="(Tous)",$AF482='SUIVI LONGITUDINAL'!$Q$4)),1,0)</f>
        <v>0</v>
      </c>
      <c r="AX482">
        <f t="shared" si="187"/>
        <v>0</v>
      </c>
      <c r="AY482">
        <f t="shared" si="188"/>
        <v>0</v>
      </c>
      <c r="AZ482">
        <f t="shared" si="189"/>
        <v>0</v>
      </c>
      <c r="BA482" t="str">
        <f t="shared" si="190"/>
        <v/>
      </c>
      <c r="BB482" t="str">
        <f t="shared" si="191"/>
        <v/>
      </c>
    </row>
    <row r="483" spans="1:54" ht="14.25" customHeight="1" x14ac:dyDescent="0.3">
      <c r="A483" t="str">
        <f>IF(SAISIE!$F488="","",SAISIE!$B488)</f>
        <v/>
      </c>
      <c r="B483" t="str">
        <f>IF(SAISIE!$F488="","",SAISIE!$C488)</f>
        <v/>
      </c>
      <c r="C483" t="str">
        <f>IF(SAISIE!$F488="","",SAISIE!$D488)</f>
        <v/>
      </c>
      <c r="D483" t="str">
        <f>IF(SAISIE!$E488="","",SAISIE!$E488)</f>
        <v/>
      </c>
      <c r="E483" t="str">
        <f>IF(SAISIE!$F488="","",SAISIE!$F488)</f>
        <v/>
      </c>
      <c r="F483" t="str">
        <f>IF(SAISIE!$G488="","",SAISIE!$G488)</f>
        <v/>
      </c>
      <c r="G483" t="str">
        <f>IF(SAISIE!$H488="","",SAISIE!$H488)</f>
        <v/>
      </c>
      <c r="H483" t="str">
        <f>IF(SAISIE!$I488="","",SAISIE!$I488)</f>
        <v/>
      </c>
      <c r="I483" t="str">
        <f>IF(SAISIE!$J488="","",SAISIE!$J488)</f>
        <v/>
      </c>
      <c r="J483" t="str">
        <f>IF(SAISIE!$K488="","",SAISIE!$K488)</f>
        <v/>
      </c>
      <c r="K483" t="str">
        <f>IF(SAISIE!$L488="","",SAISIE!$L488)</f>
        <v/>
      </c>
      <c r="L483" t="str">
        <f>IF(SAISIE!$M488="","",SAISIE!$M488)</f>
        <v/>
      </c>
      <c r="M483" t="str">
        <f>IF(SAISIE!$N488="","",SAISIE!$N488)</f>
        <v/>
      </c>
      <c r="N483" t="str">
        <f>IF(SAISIE!$O488="","",SAISIE!$O488)</f>
        <v/>
      </c>
      <c r="O483" t="str">
        <f>IF(SAISIE!$P488="","",SAISIE!$P488)</f>
        <v/>
      </c>
      <c r="P483" t="str">
        <f>IF(SAISIE!$Q488="","",SAISIE!$Q488)</f>
        <v/>
      </c>
      <c r="Q483" t="str">
        <f>IF($I483="","",IF($I483&gt;PARAMETRES!$G$29,5,IF($I483&gt;PARAMETRES!$F$29,4,IF($I483&gt;PARAMETRES!$E$29,3,IF($I483&gt;PARAMETRES!$D$29,2,1)))))</f>
        <v/>
      </c>
      <c r="R483" t="str">
        <f>IF($J483="","",IF($J483&gt;PARAMETRES!$G$30,5,IF($J483&gt;PARAMETRES!$F$30,4,IF($J483&gt;PARAMETRES!$E$30,3,IF($J483&gt;PARAMETRES!$D$30,2,1)))))</f>
        <v/>
      </c>
      <c r="S483" t="str">
        <f>IF($K483="","",IF($Z483=2,IF($K483&gt;PARAMETRES!$G$31,5,IF($K483&gt;PARAMETRES!$F$31,4,IF($K483&gt;PARAMETRES!$E$31,3,IF($K483&gt;PARAMETRES!$D$31,2,1)))),IF($K483&gt;PARAMETRES!$G$32,5,IF($K483&gt;PARAMETRES!$F$32,4,IF($K483&gt;PARAMETRES!$E$32,3,IF($K483&gt;PARAMETRES!$D$32,2,1))))))</f>
        <v/>
      </c>
      <c r="T483" t="str">
        <f>IF($L483="","",IF($L483&gt;PARAMETRES!$G$33,5,IF($L483&gt;PARAMETRES!$F$33,4,IF($L483&gt;PARAMETRES!$E$33,3,IF($L483&gt;PARAMETRES!$D$33,2,1)))))</f>
        <v/>
      </c>
      <c r="U483" t="str">
        <f>IF($M483="","",IF($M483&gt;PARAMETRES!$G$34,5,IF($M483&gt;PARAMETRES!$F$34,4,IF($M483&gt;PARAMETRES!$E$34,3,IF($M483&gt;PARAMETRES!$D$34,2,1)))))</f>
        <v/>
      </c>
      <c r="V483" t="str">
        <f>IF($N483="","",IF($N483&gt;PARAMETRES!$G$35,5,IF($N483&gt;PARAMETRES!$F$35,4,IF($N483&gt;PARAMETRES!$E$35,3,IF($N483&gt;PARAMETRES!$D$35,2,1)))))</f>
        <v/>
      </c>
      <c r="W483" t="str">
        <f>IF($O483="","",IF($O483&gt;PARAMETRES!$G$36,5,IF($O483&gt;PARAMETRES!$F$36,4,IF($O483&gt;PARAMETRES!$E$36,3,IF($O483&gt;PARAMETRES!$D$36,2,1)))))</f>
        <v/>
      </c>
      <c r="X483" t="str">
        <f>IF($P483="","",IF($P483&gt;PARAMETRES!$G$37,5,IF($P483&gt;PARAMETRES!$F$37,4,IF($P483&gt;PARAMETRES!$E$37,3,IF($P483&gt;PARAMETRES!$D$37,2,1)))))</f>
        <v/>
      </c>
      <c r="Y483" t="str">
        <f t="shared" si="168"/>
        <v/>
      </c>
      <c r="Z483" t="str">
        <f>IFERROR(VLOOKUP($B483,TABLE_CYCLE,2,0),"")</f>
        <v/>
      </c>
      <c r="AA483" t="str">
        <f t="shared" si="169"/>
        <v/>
      </c>
      <c r="AB483" t="str">
        <f>IF($D483="","",IF(COUNTIF($D$2:$D483,$D483)=1,$D483,""))</f>
        <v/>
      </c>
      <c r="AC483">
        <f t="shared" si="170"/>
        <v>0</v>
      </c>
      <c r="AD483" t="str">
        <f t="shared" si="171"/>
        <v>|0</v>
      </c>
      <c r="AE483" t="str">
        <f t="shared" si="172"/>
        <v/>
      </c>
      <c r="AF483" t="str">
        <f t="shared" si="173"/>
        <v/>
      </c>
      <c r="AG483" t="str">
        <f t="shared" si="174"/>
        <v/>
      </c>
      <c r="AH483" t="str">
        <f t="shared" si="175"/>
        <v/>
      </c>
      <c r="AI483" t="str">
        <f t="shared" si="176"/>
        <v/>
      </c>
      <c r="AJ483" t="str">
        <f t="shared" si="177"/>
        <v/>
      </c>
      <c r="AK483" t="str">
        <f t="shared" si="178"/>
        <v/>
      </c>
      <c r="AL483" t="str">
        <f t="shared" si="179"/>
        <v/>
      </c>
      <c r="AM483" t="str">
        <f t="shared" si="180"/>
        <v/>
      </c>
      <c r="AN483" t="str">
        <f t="shared" si="181"/>
        <v/>
      </c>
      <c r="AO483" t="str">
        <f t="shared" si="182"/>
        <v/>
      </c>
      <c r="AP483">
        <f t="shared" si="183"/>
        <v>1</v>
      </c>
      <c r="AQ483" t="str">
        <f>IF(SAISIE!$F488="","",SAISIE!$Y488)</f>
        <v/>
      </c>
      <c r="AR483" t="str">
        <f>IF(OR(SAISIE!$U$4="",SAISIE!$W$4=""),"",IF(AND($A483=SAISIE!$U$4,$B483=SAISIE!$W$4,$C483="S1"),COUNTIFS($A$2:$A483,SAISIE!$U$4,$B$2:$B483,SAISIE!$W$4,$C$2:$C483,"S1"),""))</f>
        <v/>
      </c>
      <c r="AS483" t="str">
        <f t="shared" si="184"/>
        <v/>
      </c>
      <c r="AT483" t="str">
        <f t="shared" si="185"/>
        <v/>
      </c>
      <c r="AU483" t="str">
        <f t="shared" si="186"/>
        <v/>
      </c>
      <c r="AV483">
        <f>N(AV482)+IF(AND($AB483&lt;&gt;"",OR('PROFIL ELEVE'!$K$4="(Tous)",$AF483='PROFIL ELEVE'!$K$4)),1,0)</f>
        <v>0</v>
      </c>
      <c r="AW483">
        <f>N(AW482)+IF(AND($AB483&lt;&gt;"",OR('SUIVI LONGITUDINAL'!$Q$4="(Tous)",$AF483='SUIVI LONGITUDINAL'!$Q$4)),1,0)</f>
        <v>0</v>
      </c>
      <c r="AX483">
        <f t="shared" si="187"/>
        <v>0</v>
      </c>
      <c r="AY483">
        <f t="shared" si="188"/>
        <v>0</v>
      </c>
      <c r="AZ483">
        <f t="shared" si="189"/>
        <v>0</v>
      </c>
      <c r="BA483" t="str">
        <f t="shared" si="190"/>
        <v/>
      </c>
      <c r="BB483" t="str">
        <f t="shared" si="191"/>
        <v/>
      </c>
    </row>
    <row r="484" spans="1:54" ht="14.25" customHeight="1" x14ac:dyDescent="0.3">
      <c r="A484" t="str">
        <f>IF(SAISIE!$F489="","",SAISIE!$B489)</f>
        <v/>
      </c>
      <c r="B484" t="str">
        <f>IF(SAISIE!$F489="","",SAISIE!$C489)</f>
        <v/>
      </c>
      <c r="C484" t="str">
        <f>IF(SAISIE!$F489="","",SAISIE!$D489)</f>
        <v/>
      </c>
      <c r="D484" t="str">
        <f>IF(SAISIE!$E489="","",SAISIE!$E489)</f>
        <v/>
      </c>
      <c r="E484" t="str">
        <f>IF(SAISIE!$F489="","",SAISIE!$F489)</f>
        <v/>
      </c>
      <c r="F484" t="str">
        <f>IF(SAISIE!$G489="","",SAISIE!$G489)</f>
        <v/>
      </c>
      <c r="G484" t="str">
        <f>IF(SAISIE!$H489="","",SAISIE!$H489)</f>
        <v/>
      </c>
      <c r="H484" t="str">
        <f>IF(SAISIE!$I489="","",SAISIE!$I489)</f>
        <v/>
      </c>
      <c r="I484" t="str">
        <f>IF(SAISIE!$J489="","",SAISIE!$J489)</f>
        <v/>
      </c>
      <c r="J484" t="str">
        <f>IF(SAISIE!$K489="","",SAISIE!$K489)</f>
        <v/>
      </c>
      <c r="K484" t="str">
        <f>IF(SAISIE!$L489="","",SAISIE!$L489)</f>
        <v/>
      </c>
      <c r="L484" t="str">
        <f>IF(SAISIE!$M489="","",SAISIE!$M489)</f>
        <v/>
      </c>
      <c r="M484" t="str">
        <f>IF(SAISIE!$N489="","",SAISIE!$N489)</f>
        <v/>
      </c>
      <c r="N484" t="str">
        <f>IF(SAISIE!$O489="","",SAISIE!$O489)</f>
        <v/>
      </c>
      <c r="O484" t="str">
        <f>IF(SAISIE!$P489="","",SAISIE!$P489)</f>
        <v/>
      </c>
      <c r="P484" t="str">
        <f>IF(SAISIE!$Q489="","",SAISIE!$Q489)</f>
        <v/>
      </c>
      <c r="Q484" t="str">
        <f>IF($I484="","",IF($I484&gt;PARAMETRES!$G$29,5,IF($I484&gt;PARAMETRES!$F$29,4,IF($I484&gt;PARAMETRES!$E$29,3,IF($I484&gt;PARAMETRES!$D$29,2,1)))))</f>
        <v/>
      </c>
      <c r="R484" t="str">
        <f>IF($J484="","",IF($J484&gt;PARAMETRES!$G$30,5,IF($J484&gt;PARAMETRES!$F$30,4,IF($J484&gt;PARAMETRES!$E$30,3,IF($J484&gt;PARAMETRES!$D$30,2,1)))))</f>
        <v/>
      </c>
      <c r="S484" t="str">
        <f>IF($K484="","",IF($Z484=2,IF($K484&gt;PARAMETRES!$G$31,5,IF($K484&gt;PARAMETRES!$F$31,4,IF($K484&gt;PARAMETRES!$E$31,3,IF($K484&gt;PARAMETRES!$D$31,2,1)))),IF($K484&gt;PARAMETRES!$G$32,5,IF($K484&gt;PARAMETRES!$F$32,4,IF($K484&gt;PARAMETRES!$E$32,3,IF($K484&gt;PARAMETRES!$D$32,2,1))))))</f>
        <v/>
      </c>
      <c r="T484" t="str">
        <f>IF($L484="","",IF($L484&gt;PARAMETRES!$G$33,5,IF($L484&gt;PARAMETRES!$F$33,4,IF($L484&gt;PARAMETRES!$E$33,3,IF($L484&gt;PARAMETRES!$D$33,2,1)))))</f>
        <v/>
      </c>
      <c r="U484" t="str">
        <f>IF($M484="","",IF($M484&gt;PARAMETRES!$G$34,5,IF($M484&gt;PARAMETRES!$F$34,4,IF($M484&gt;PARAMETRES!$E$34,3,IF($M484&gt;PARAMETRES!$D$34,2,1)))))</f>
        <v/>
      </c>
      <c r="V484" t="str">
        <f>IF($N484="","",IF($N484&gt;PARAMETRES!$G$35,5,IF($N484&gt;PARAMETRES!$F$35,4,IF($N484&gt;PARAMETRES!$E$35,3,IF($N484&gt;PARAMETRES!$D$35,2,1)))))</f>
        <v/>
      </c>
      <c r="W484" t="str">
        <f>IF($O484="","",IF($O484&gt;PARAMETRES!$G$36,5,IF($O484&gt;PARAMETRES!$F$36,4,IF($O484&gt;PARAMETRES!$E$36,3,IF($O484&gt;PARAMETRES!$D$36,2,1)))))</f>
        <v/>
      </c>
      <c r="X484" t="str">
        <f>IF($P484="","",IF($P484&gt;PARAMETRES!$G$37,5,IF($P484&gt;PARAMETRES!$F$37,4,IF($P484&gt;PARAMETRES!$E$37,3,IF($P484&gt;PARAMETRES!$D$37,2,1)))))</f>
        <v/>
      </c>
      <c r="Y484" t="str">
        <f t="shared" si="168"/>
        <v/>
      </c>
      <c r="Z484" t="str">
        <f>IFERROR(VLOOKUP($B484,TABLE_CYCLE,2,0),"")</f>
        <v/>
      </c>
      <c r="AA484" t="str">
        <f t="shared" si="169"/>
        <v/>
      </c>
      <c r="AB484" t="str">
        <f>IF($D484="","",IF(COUNTIF($D$2:$D484,$D484)=1,$D484,""))</f>
        <v/>
      </c>
      <c r="AC484">
        <f t="shared" si="170"/>
        <v>0</v>
      </c>
      <c r="AD484" t="str">
        <f t="shared" si="171"/>
        <v>|0</v>
      </c>
      <c r="AE484" t="str">
        <f t="shared" si="172"/>
        <v/>
      </c>
      <c r="AF484" t="str">
        <f t="shared" si="173"/>
        <v/>
      </c>
      <c r="AG484" t="str">
        <f t="shared" si="174"/>
        <v/>
      </c>
      <c r="AH484" t="str">
        <f t="shared" si="175"/>
        <v/>
      </c>
      <c r="AI484" t="str">
        <f t="shared" si="176"/>
        <v/>
      </c>
      <c r="AJ484" t="str">
        <f t="shared" si="177"/>
        <v/>
      </c>
      <c r="AK484" t="str">
        <f t="shared" si="178"/>
        <v/>
      </c>
      <c r="AL484" t="str">
        <f t="shared" si="179"/>
        <v/>
      </c>
      <c r="AM484" t="str">
        <f t="shared" si="180"/>
        <v/>
      </c>
      <c r="AN484" t="str">
        <f t="shared" si="181"/>
        <v/>
      </c>
      <c r="AO484" t="str">
        <f t="shared" si="182"/>
        <v/>
      </c>
      <c r="AP484">
        <f t="shared" si="183"/>
        <v>1</v>
      </c>
      <c r="AQ484" t="str">
        <f>IF(SAISIE!$F489="","",SAISIE!$Y489)</f>
        <v/>
      </c>
      <c r="AR484" t="str">
        <f>IF(OR(SAISIE!$U$4="",SAISIE!$W$4=""),"",IF(AND($A484=SAISIE!$U$4,$B484=SAISIE!$W$4,$C484="S1"),COUNTIFS($A$2:$A484,SAISIE!$U$4,$B$2:$B484,SAISIE!$W$4,$C$2:$C484,"S1"),""))</f>
        <v/>
      </c>
      <c r="AS484" t="str">
        <f t="shared" si="184"/>
        <v/>
      </c>
      <c r="AT484" t="str">
        <f t="shared" si="185"/>
        <v/>
      </c>
      <c r="AU484" t="str">
        <f t="shared" si="186"/>
        <v/>
      </c>
      <c r="AV484">
        <f>N(AV483)+IF(AND($AB484&lt;&gt;"",OR('PROFIL ELEVE'!$K$4="(Tous)",$AF484='PROFIL ELEVE'!$K$4)),1,0)</f>
        <v>0</v>
      </c>
      <c r="AW484">
        <f>N(AW483)+IF(AND($AB484&lt;&gt;"",OR('SUIVI LONGITUDINAL'!$Q$4="(Tous)",$AF484='SUIVI LONGITUDINAL'!$Q$4)),1,0)</f>
        <v>0</v>
      </c>
      <c r="AX484">
        <f t="shared" si="187"/>
        <v>0</v>
      </c>
      <c r="AY484">
        <f t="shared" si="188"/>
        <v>0</v>
      </c>
      <c r="AZ484">
        <f t="shared" si="189"/>
        <v>0</v>
      </c>
      <c r="BA484" t="str">
        <f t="shared" si="190"/>
        <v/>
      </c>
      <c r="BB484" t="str">
        <f t="shared" si="191"/>
        <v/>
      </c>
    </row>
    <row r="485" spans="1:54" ht="14.25" customHeight="1" x14ac:dyDescent="0.3">
      <c r="A485" t="str">
        <f>IF(SAISIE!$F490="","",SAISIE!$B490)</f>
        <v/>
      </c>
      <c r="B485" t="str">
        <f>IF(SAISIE!$F490="","",SAISIE!$C490)</f>
        <v/>
      </c>
      <c r="C485" t="str">
        <f>IF(SAISIE!$F490="","",SAISIE!$D490)</f>
        <v/>
      </c>
      <c r="D485" t="str">
        <f>IF(SAISIE!$E490="","",SAISIE!$E490)</f>
        <v/>
      </c>
      <c r="E485" t="str">
        <f>IF(SAISIE!$F490="","",SAISIE!$F490)</f>
        <v/>
      </c>
      <c r="F485" t="str">
        <f>IF(SAISIE!$G490="","",SAISIE!$G490)</f>
        <v/>
      </c>
      <c r="G485" t="str">
        <f>IF(SAISIE!$H490="","",SAISIE!$H490)</f>
        <v/>
      </c>
      <c r="H485" t="str">
        <f>IF(SAISIE!$I490="","",SAISIE!$I490)</f>
        <v/>
      </c>
      <c r="I485" t="str">
        <f>IF(SAISIE!$J490="","",SAISIE!$J490)</f>
        <v/>
      </c>
      <c r="J485" t="str">
        <f>IF(SAISIE!$K490="","",SAISIE!$K490)</f>
        <v/>
      </c>
      <c r="K485" t="str">
        <f>IF(SAISIE!$L490="","",SAISIE!$L490)</f>
        <v/>
      </c>
      <c r="L485" t="str">
        <f>IF(SAISIE!$M490="","",SAISIE!$M490)</f>
        <v/>
      </c>
      <c r="M485" t="str">
        <f>IF(SAISIE!$N490="","",SAISIE!$N490)</f>
        <v/>
      </c>
      <c r="N485" t="str">
        <f>IF(SAISIE!$O490="","",SAISIE!$O490)</f>
        <v/>
      </c>
      <c r="O485" t="str">
        <f>IF(SAISIE!$P490="","",SAISIE!$P490)</f>
        <v/>
      </c>
      <c r="P485" t="str">
        <f>IF(SAISIE!$Q490="","",SAISIE!$Q490)</f>
        <v/>
      </c>
      <c r="Q485" t="str">
        <f>IF($I485="","",IF($I485&gt;PARAMETRES!$G$29,5,IF($I485&gt;PARAMETRES!$F$29,4,IF($I485&gt;PARAMETRES!$E$29,3,IF($I485&gt;PARAMETRES!$D$29,2,1)))))</f>
        <v/>
      </c>
      <c r="R485" t="str">
        <f>IF($J485="","",IF($J485&gt;PARAMETRES!$G$30,5,IF($J485&gt;PARAMETRES!$F$30,4,IF($J485&gt;PARAMETRES!$E$30,3,IF($J485&gt;PARAMETRES!$D$30,2,1)))))</f>
        <v/>
      </c>
      <c r="S485" t="str">
        <f>IF($K485="","",IF($Z485=2,IF($K485&gt;PARAMETRES!$G$31,5,IF($K485&gt;PARAMETRES!$F$31,4,IF($K485&gt;PARAMETRES!$E$31,3,IF($K485&gt;PARAMETRES!$D$31,2,1)))),IF($K485&gt;PARAMETRES!$G$32,5,IF($K485&gt;PARAMETRES!$F$32,4,IF($K485&gt;PARAMETRES!$E$32,3,IF($K485&gt;PARAMETRES!$D$32,2,1))))))</f>
        <v/>
      </c>
      <c r="T485" t="str">
        <f>IF($L485="","",IF($L485&gt;PARAMETRES!$G$33,5,IF($L485&gt;PARAMETRES!$F$33,4,IF($L485&gt;PARAMETRES!$E$33,3,IF($L485&gt;PARAMETRES!$D$33,2,1)))))</f>
        <v/>
      </c>
      <c r="U485" t="str">
        <f>IF($M485="","",IF($M485&gt;PARAMETRES!$G$34,5,IF($M485&gt;PARAMETRES!$F$34,4,IF($M485&gt;PARAMETRES!$E$34,3,IF($M485&gt;PARAMETRES!$D$34,2,1)))))</f>
        <v/>
      </c>
      <c r="V485" t="str">
        <f>IF($N485="","",IF($N485&gt;PARAMETRES!$G$35,5,IF($N485&gt;PARAMETRES!$F$35,4,IF($N485&gt;PARAMETRES!$E$35,3,IF($N485&gt;PARAMETRES!$D$35,2,1)))))</f>
        <v/>
      </c>
      <c r="W485" t="str">
        <f>IF($O485="","",IF($O485&gt;PARAMETRES!$G$36,5,IF($O485&gt;PARAMETRES!$F$36,4,IF($O485&gt;PARAMETRES!$E$36,3,IF($O485&gt;PARAMETRES!$D$36,2,1)))))</f>
        <v/>
      </c>
      <c r="X485" t="str">
        <f>IF($P485="","",IF($P485&gt;PARAMETRES!$G$37,5,IF($P485&gt;PARAMETRES!$F$37,4,IF($P485&gt;PARAMETRES!$E$37,3,IF($P485&gt;PARAMETRES!$D$37,2,1)))))</f>
        <v/>
      </c>
      <c r="Y485" t="str">
        <f t="shared" si="168"/>
        <v/>
      </c>
      <c r="Z485" t="str">
        <f>IFERROR(VLOOKUP($B485,TABLE_CYCLE,2,0),"")</f>
        <v/>
      </c>
      <c r="AA485" t="str">
        <f t="shared" si="169"/>
        <v/>
      </c>
      <c r="AB485" t="str">
        <f>IF($D485="","",IF(COUNTIF($D$2:$D485,$D485)=1,$D485,""))</f>
        <v/>
      </c>
      <c r="AC485">
        <f t="shared" si="170"/>
        <v>0</v>
      </c>
      <c r="AD485" t="str">
        <f t="shared" si="171"/>
        <v>|0</v>
      </c>
      <c r="AE485" t="str">
        <f t="shared" si="172"/>
        <v/>
      </c>
      <c r="AF485" t="str">
        <f t="shared" si="173"/>
        <v/>
      </c>
      <c r="AG485" t="str">
        <f t="shared" si="174"/>
        <v/>
      </c>
      <c r="AH485" t="str">
        <f t="shared" si="175"/>
        <v/>
      </c>
      <c r="AI485" t="str">
        <f t="shared" si="176"/>
        <v/>
      </c>
      <c r="AJ485" t="str">
        <f t="shared" si="177"/>
        <v/>
      </c>
      <c r="AK485" t="str">
        <f t="shared" si="178"/>
        <v/>
      </c>
      <c r="AL485" t="str">
        <f t="shared" si="179"/>
        <v/>
      </c>
      <c r="AM485" t="str">
        <f t="shared" si="180"/>
        <v/>
      </c>
      <c r="AN485" t="str">
        <f t="shared" si="181"/>
        <v/>
      </c>
      <c r="AO485" t="str">
        <f t="shared" si="182"/>
        <v/>
      </c>
      <c r="AP485">
        <f t="shared" si="183"/>
        <v>1</v>
      </c>
      <c r="AQ485" t="str">
        <f>IF(SAISIE!$F490="","",SAISIE!$Y490)</f>
        <v/>
      </c>
      <c r="AR485" t="str">
        <f>IF(OR(SAISIE!$U$4="",SAISIE!$W$4=""),"",IF(AND($A485=SAISIE!$U$4,$B485=SAISIE!$W$4,$C485="S1"),COUNTIFS($A$2:$A485,SAISIE!$U$4,$B$2:$B485,SAISIE!$W$4,$C$2:$C485,"S1"),""))</f>
        <v/>
      </c>
      <c r="AS485" t="str">
        <f t="shared" si="184"/>
        <v/>
      </c>
      <c r="AT485" t="str">
        <f t="shared" si="185"/>
        <v/>
      </c>
      <c r="AU485" t="str">
        <f t="shared" si="186"/>
        <v/>
      </c>
      <c r="AV485">
        <f>N(AV484)+IF(AND($AB485&lt;&gt;"",OR('PROFIL ELEVE'!$K$4="(Tous)",$AF485='PROFIL ELEVE'!$K$4)),1,0)</f>
        <v>0</v>
      </c>
      <c r="AW485">
        <f>N(AW484)+IF(AND($AB485&lt;&gt;"",OR('SUIVI LONGITUDINAL'!$Q$4="(Tous)",$AF485='SUIVI LONGITUDINAL'!$Q$4)),1,0)</f>
        <v>0</v>
      </c>
      <c r="AX485">
        <f t="shared" si="187"/>
        <v>0</v>
      </c>
      <c r="AY485">
        <f t="shared" si="188"/>
        <v>0</v>
      </c>
      <c r="AZ485">
        <f t="shared" si="189"/>
        <v>0</v>
      </c>
      <c r="BA485" t="str">
        <f t="shared" si="190"/>
        <v/>
      </c>
      <c r="BB485" t="str">
        <f t="shared" si="191"/>
        <v/>
      </c>
    </row>
    <row r="486" spans="1:54" ht="14.25" customHeight="1" x14ac:dyDescent="0.3">
      <c r="A486" t="str">
        <f>IF(SAISIE!$F491="","",SAISIE!$B491)</f>
        <v/>
      </c>
      <c r="B486" t="str">
        <f>IF(SAISIE!$F491="","",SAISIE!$C491)</f>
        <v/>
      </c>
      <c r="C486" t="str">
        <f>IF(SAISIE!$F491="","",SAISIE!$D491)</f>
        <v/>
      </c>
      <c r="D486" t="str">
        <f>IF(SAISIE!$E491="","",SAISIE!$E491)</f>
        <v/>
      </c>
      <c r="E486" t="str">
        <f>IF(SAISIE!$F491="","",SAISIE!$F491)</f>
        <v/>
      </c>
      <c r="F486" t="str">
        <f>IF(SAISIE!$G491="","",SAISIE!$G491)</f>
        <v/>
      </c>
      <c r="G486" t="str">
        <f>IF(SAISIE!$H491="","",SAISIE!$H491)</f>
        <v/>
      </c>
      <c r="H486" t="str">
        <f>IF(SAISIE!$I491="","",SAISIE!$I491)</f>
        <v/>
      </c>
      <c r="I486" t="str">
        <f>IF(SAISIE!$J491="","",SAISIE!$J491)</f>
        <v/>
      </c>
      <c r="J486" t="str">
        <f>IF(SAISIE!$K491="","",SAISIE!$K491)</f>
        <v/>
      </c>
      <c r="K486" t="str">
        <f>IF(SAISIE!$L491="","",SAISIE!$L491)</f>
        <v/>
      </c>
      <c r="L486" t="str">
        <f>IF(SAISIE!$M491="","",SAISIE!$M491)</f>
        <v/>
      </c>
      <c r="M486" t="str">
        <f>IF(SAISIE!$N491="","",SAISIE!$N491)</f>
        <v/>
      </c>
      <c r="N486" t="str">
        <f>IF(SAISIE!$O491="","",SAISIE!$O491)</f>
        <v/>
      </c>
      <c r="O486" t="str">
        <f>IF(SAISIE!$P491="","",SAISIE!$P491)</f>
        <v/>
      </c>
      <c r="P486" t="str">
        <f>IF(SAISIE!$Q491="","",SAISIE!$Q491)</f>
        <v/>
      </c>
      <c r="Q486" t="str">
        <f>IF($I486="","",IF($I486&gt;PARAMETRES!$G$29,5,IF($I486&gt;PARAMETRES!$F$29,4,IF($I486&gt;PARAMETRES!$E$29,3,IF($I486&gt;PARAMETRES!$D$29,2,1)))))</f>
        <v/>
      </c>
      <c r="R486" t="str">
        <f>IF($J486="","",IF($J486&gt;PARAMETRES!$G$30,5,IF($J486&gt;PARAMETRES!$F$30,4,IF($J486&gt;PARAMETRES!$E$30,3,IF($J486&gt;PARAMETRES!$D$30,2,1)))))</f>
        <v/>
      </c>
      <c r="S486" t="str">
        <f>IF($K486="","",IF($Z486=2,IF($K486&gt;PARAMETRES!$G$31,5,IF($K486&gt;PARAMETRES!$F$31,4,IF($K486&gt;PARAMETRES!$E$31,3,IF($K486&gt;PARAMETRES!$D$31,2,1)))),IF($K486&gt;PARAMETRES!$G$32,5,IF($K486&gt;PARAMETRES!$F$32,4,IF($K486&gt;PARAMETRES!$E$32,3,IF($K486&gt;PARAMETRES!$D$32,2,1))))))</f>
        <v/>
      </c>
      <c r="T486" t="str">
        <f>IF($L486="","",IF($L486&gt;PARAMETRES!$G$33,5,IF($L486&gt;PARAMETRES!$F$33,4,IF($L486&gt;PARAMETRES!$E$33,3,IF($L486&gt;PARAMETRES!$D$33,2,1)))))</f>
        <v/>
      </c>
      <c r="U486" t="str">
        <f>IF($M486="","",IF($M486&gt;PARAMETRES!$G$34,5,IF($M486&gt;PARAMETRES!$F$34,4,IF($M486&gt;PARAMETRES!$E$34,3,IF($M486&gt;PARAMETRES!$D$34,2,1)))))</f>
        <v/>
      </c>
      <c r="V486" t="str">
        <f>IF($N486="","",IF($N486&gt;PARAMETRES!$G$35,5,IF($N486&gt;PARAMETRES!$F$35,4,IF($N486&gt;PARAMETRES!$E$35,3,IF($N486&gt;PARAMETRES!$D$35,2,1)))))</f>
        <v/>
      </c>
      <c r="W486" t="str">
        <f>IF($O486="","",IF($O486&gt;PARAMETRES!$G$36,5,IF($O486&gt;PARAMETRES!$F$36,4,IF($O486&gt;PARAMETRES!$E$36,3,IF($O486&gt;PARAMETRES!$D$36,2,1)))))</f>
        <v/>
      </c>
      <c r="X486" t="str">
        <f>IF($P486="","",IF($P486&gt;PARAMETRES!$G$37,5,IF($P486&gt;PARAMETRES!$F$37,4,IF($P486&gt;PARAMETRES!$E$37,3,IF($P486&gt;PARAMETRES!$D$37,2,1)))))</f>
        <v/>
      </c>
      <c r="Y486" t="str">
        <f t="shared" si="168"/>
        <v/>
      </c>
      <c r="Z486" t="str">
        <f>IFERROR(VLOOKUP($B486,TABLE_CYCLE,2,0),"")</f>
        <v/>
      </c>
      <c r="AA486" t="str">
        <f t="shared" si="169"/>
        <v/>
      </c>
      <c r="AB486" t="str">
        <f>IF($D486="","",IF(COUNTIF($D$2:$D486,$D486)=1,$D486,""))</f>
        <v/>
      </c>
      <c r="AC486">
        <f t="shared" si="170"/>
        <v>0</v>
      </c>
      <c r="AD486" t="str">
        <f t="shared" si="171"/>
        <v>|0</v>
      </c>
      <c r="AE486" t="str">
        <f t="shared" si="172"/>
        <v/>
      </c>
      <c r="AF486" t="str">
        <f t="shared" si="173"/>
        <v/>
      </c>
      <c r="AG486" t="str">
        <f t="shared" si="174"/>
        <v/>
      </c>
      <c r="AH486" t="str">
        <f t="shared" si="175"/>
        <v/>
      </c>
      <c r="AI486" t="str">
        <f t="shared" si="176"/>
        <v/>
      </c>
      <c r="AJ486" t="str">
        <f t="shared" si="177"/>
        <v/>
      </c>
      <c r="AK486" t="str">
        <f t="shared" si="178"/>
        <v/>
      </c>
      <c r="AL486" t="str">
        <f t="shared" si="179"/>
        <v/>
      </c>
      <c r="AM486" t="str">
        <f t="shared" si="180"/>
        <v/>
      </c>
      <c r="AN486" t="str">
        <f t="shared" si="181"/>
        <v/>
      </c>
      <c r="AO486" t="str">
        <f t="shared" si="182"/>
        <v/>
      </c>
      <c r="AP486">
        <f t="shared" si="183"/>
        <v>1</v>
      </c>
      <c r="AQ486" t="str">
        <f>IF(SAISIE!$F491="","",SAISIE!$Y491)</f>
        <v/>
      </c>
      <c r="AR486" t="str">
        <f>IF(OR(SAISIE!$U$4="",SAISIE!$W$4=""),"",IF(AND($A486=SAISIE!$U$4,$B486=SAISIE!$W$4,$C486="S1"),COUNTIFS($A$2:$A486,SAISIE!$U$4,$B$2:$B486,SAISIE!$W$4,$C$2:$C486,"S1"),""))</f>
        <v/>
      </c>
      <c r="AS486" t="str">
        <f t="shared" si="184"/>
        <v/>
      </c>
      <c r="AT486" t="str">
        <f t="shared" si="185"/>
        <v/>
      </c>
      <c r="AU486" t="str">
        <f t="shared" si="186"/>
        <v/>
      </c>
      <c r="AV486">
        <f>N(AV485)+IF(AND($AB486&lt;&gt;"",OR('PROFIL ELEVE'!$K$4="(Tous)",$AF486='PROFIL ELEVE'!$K$4)),1,0)</f>
        <v>0</v>
      </c>
      <c r="AW486">
        <f>N(AW485)+IF(AND($AB486&lt;&gt;"",OR('SUIVI LONGITUDINAL'!$Q$4="(Tous)",$AF486='SUIVI LONGITUDINAL'!$Q$4)),1,0)</f>
        <v>0</v>
      </c>
      <c r="AX486">
        <f t="shared" si="187"/>
        <v>0</v>
      </c>
      <c r="AY486">
        <f t="shared" si="188"/>
        <v>0</v>
      </c>
      <c r="AZ486">
        <f t="shared" si="189"/>
        <v>0</v>
      </c>
      <c r="BA486" t="str">
        <f t="shared" si="190"/>
        <v/>
      </c>
      <c r="BB486" t="str">
        <f t="shared" si="191"/>
        <v/>
      </c>
    </row>
    <row r="487" spans="1:54" ht="14.25" customHeight="1" x14ac:dyDescent="0.3">
      <c r="A487" t="str">
        <f>IF(SAISIE!$F492="","",SAISIE!$B492)</f>
        <v/>
      </c>
      <c r="B487" t="str">
        <f>IF(SAISIE!$F492="","",SAISIE!$C492)</f>
        <v/>
      </c>
      <c r="C487" t="str">
        <f>IF(SAISIE!$F492="","",SAISIE!$D492)</f>
        <v/>
      </c>
      <c r="D487" t="str">
        <f>IF(SAISIE!$E492="","",SAISIE!$E492)</f>
        <v/>
      </c>
      <c r="E487" t="str">
        <f>IF(SAISIE!$F492="","",SAISIE!$F492)</f>
        <v/>
      </c>
      <c r="F487" t="str">
        <f>IF(SAISIE!$G492="","",SAISIE!$G492)</f>
        <v/>
      </c>
      <c r="G487" t="str">
        <f>IF(SAISIE!$H492="","",SAISIE!$H492)</f>
        <v/>
      </c>
      <c r="H487" t="str">
        <f>IF(SAISIE!$I492="","",SAISIE!$I492)</f>
        <v/>
      </c>
      <c r="I487" t="str">
        <f>IF(SAISIE!$J492="","",SAISIE!$J492)</f>
        <v/>
      </c>
      <c r="J487" t="str">
        <f>IF(SAISIE!$K492="","",SAISIE!$K492)</f>
        <v/>
      </c>
      <c r="K487" t="str">
        <f>IF(SAISIE!$L492="","",SAISIE!$L492)</f>
        <v/>
      </c>
      <c r="L487" t="str">
        <f>IF(SAISIE!$M492="","",SAISIE!$M492)</f>
        <v/>
      </c>
      <c r="M487" t="str">
        <f>IF(SAISIE!$N492="","",SAISIE!$N492)</f>
        <v/>
      </c>
      <c r="N487" t="str">
        <f>IF(SAISIE!$O492="","",SAISIE!$O492)</f>
        <v/>
      </c>
      <c r="O487" t="str">
        <f>IF(SAISIE!$P492="","",SAISIE!$P492)</f>
        <v/>
      </c>
      <c r="P487" t="str">
        <f>IF(SAISIE!$Q492="","",SAISIE!$Q492)</f>
        <v/>
      </c>
      <c r="Q487" t="str">
        <f>IF($I487="","",IF($I487&gt;PARAMETRES!$G$29,5,IF($I487&gt;PARAMETRES!$F$29,4,IF($I487&gt;PARAMETRES!$E$29,3,IF($I487&gt;PARAMETRES!$D$29,2,1)))))</f>
        <v/>
      </c>
      <c r="R487" t="str">
        <f>IF($J487="","",IF($J487&gt;PARAMETRES!$G$30,5,IF($J487&gt;PARAMETRES!$F$30,4,IF($J487&gt;PARAMETRES!$E$30,3,IF($J487&gt;PARAMETRES!$D$30,2,1)))))</f>
        <v/>
      </c>
      <c r="S487" t="str">
        <f>IF($K487="","",IF($Z487=2,IF($K487&gt;PARAMETRES!$G$31,5,IF($K487&gt;PARAMETRES!$F$31,4,IF($K487&gt;PARAMETRES!$E$31,3,IF($K487&gt;PARAMETRES!$D$31,2,1)))),IF($K487&gt;PARAMETRES!$G$32,5,IF($K487&gt;PARAMETRES!$F$32,4,IF($K487&gt;PARAMETRES!$E$32,3,IF($K487&gt;PARAMETRES!$D$32,2,1))))))</f>
        <v/>
      </c>
      <c r="T487" t="str">
        <f>IF($L487="","",IF($L487&gt;PARAMETRES!$G$33,5,IF($L487&gt;PARAMETRES!$F$33,4,IF($L487&gt;PARAMETRES!$E$33,3,IF($L487&gt;PARAMETRES!$D$33,2,1)))))</f>
        <v/>
      </c>
      <c r="U487" t="str">
        <f>IF($M487="","",IF($M487&gt;PARAMETRES!$G$34,5,IF($M487&gt;PARAMETRES!$F$34,4,IF($M487&gt;PARAMETRES!$E$34,3,IF($M487&gt;PARAMETRES!$D$34,2,1)))))</f>
        <v/>
      </c>
      <c r="V487" t="str">
        <f>IF($N487="","",IF($N487&gt;PARAMETRES!$G$35,5,IF($N487&gt;PARAMETRES!$F$35,4,IF($N487&gt;PARAMETRES!$E$35,3,IF($N487&gt;PARAMETRES!$D$35,2,1)))))</f>
        <v/>
      </c>
      <c r="W487" t="str">
        <f>IF($O487="","",IF($O487&gt;PARAMETRES!$G$36,5,IF($O487&gt;PARAMETRES!$F$36,4,IF($O487&gt;PARAMETRES!$E$36,3,IF($O487&gt;PARAMETRES!$D$36,2,1)))))</f>
        <v/>
      </c>
      <c r="X487" t="str">
        <f>IF($P487="","",IF($P487&gt;PARAMETRES!$G$37,5,IF($P487&gt;PARAMETRES!$F$37,4,IF($P487&gt;PARAMETRES!$E$37,3,IF($P487&gt;PARAMETRES!$D$37,2,1)))))</f>
        <v/>
      </c>
      <c r="Y487" t="str">
        <f t="shared" si="168"/>
        <v/>
      </c>
      <c r="Z487" t="str">
        <f>IFERROR(VLOOKUP($B487,TABLE_CYCLE,2,0),"")</f>
        <v/>
      </c>
      <c r="AA487" t="str">
        <f t="shared" si="169"/>
        <v/>
      </c>
      <c r="AB487" t="str">
        <f>IF($D487="","",IF(COUNTIF($D$2:$D487,$D487)=1,$D487,""))</f>
        <v/>
      </c>
      <c r="AC487">
        <f t="shared" si="170"/>
        <v>0</v>
      </c>
      <c r="AD487" t="str">
        <f t="shared" si="171"/>
        <v>|0</v>
      </c>
      <c r="AE487" t="str">
        <f t="shared" si="172"/>
        <v/>
      </c>
      <c r="AF487" t="str">
        <f t="shared" si="173"/>
        <v/>
      </c>
      <c r="AG487" t="str">
        <f t="shared" si="174"/>
        <v/>
      </c>
      <c r="AH487" t="str">
        <f t="shared" si="175"/>
        <v/>
      </c>
      <c r="AI487" t="str">
        <f t="shared" si="176"/>
        <v/>
      </c>
      <c r="AJ487" t="str">
        <f t="shared" si="177"/>
        <v/>
      </c>
      <c r="AK487" t="str">
        <f t="shared" si="178"/>
        <v/>
      </c>
      <c r="AL487" t="str">
        <f t="shared" si="179"/>
        <v/>
      </c>
      <c r="AM487" t="str">
        <f t="shared" si="180"/>
        <v/>
      </c>
      <c r="AN487" t="str">
        <f t="shared" si="181"/>
        <v/>
      </c>
      <c r="AO487" t="str">
        <f t="shared" si="182"/>
        <v/>
      </c>
      <c r="AP487">
        <f t="shared" si="183"/>
        <v>1</v>
      </c>
      <c r="AQ487" t="str">
        <f>IF(SAISIE!$F492="","",SAISIE!$Y492)</f>
        <v/>
      </c>
      <c r="AR487" t="str">
        <f>IF(OR(SAISIE!$U$4="",SAISIE!$W$4=""),"",IF(AND($A487=SAISIE!$U$4,$B487=SAISIE!$W$4,$C487="S1"),COUNTIFS($A$2:$A487,SAISIE!$U$4,$B$2:$B487,SAISIE!$W$4,$C$2:$C487,"S1"),""))</f>
        <v/>
      </c>
      <c r="AS487" t="str">
        <f t="shared" si="184"/>
        <v/>
      </c>
      <c r="AT487" t="str">
        <f t="shared" si="185"/>
        <v/>
      </c>
      <c r="AU487" t="str">
        <f t="shared" si="186"/>
        <v/>
      </c>
      <c r="AV487">
        <f>N(AV486)+IF(AND($AB487&lt;&gt;"",OR('PROFIL ELEVE'!$K$4="(Tous)",$AF487='PROFIL ELEVE'!$K$4)),1,0)</f>
        <v>0</v>
      </c>
      <c r="AW487">
        <f>N(AW486)+IF(AND($AB487&lt;&gt;"",OR('SUIVI LONGITUDINAL'!$Q$4="(Tous)",$AF487='SUIVI LONGITUDINAL'!$Q$4)),1,0)</f>
        <v>0</v>
      </c>
      <c r="AX487">
        <f t="shared" si="187"/>
        <v>0</v>
      </c>
      <c r="AY487">
        <f t="shared" si="188"/>
        <v>0</v>
      </c>
      <c r="AZ487">
        <f t="shared" si="189"/>
        <v>0</v>
      </c>
      <c r="BA487" t="str">
        <f t="shared" si="190"/>
        <v/>
      </c>
      <c r="BB487" t="str">
        <f t="shared" si="191"/>
        <v/>
      </c>
    </row>
    <row r="488" spans="1:54" ht="14.25" customHeight="1" x14ac:dyDescent="0.3">
      <c r="A488" t="str">
        <f>IF(SAISIE!$F493="","",SAISIE!$B493)</f>
        <v/>
      </c>
      <c r="B488" t="str">
        <f>IF(SAISIE!$F493="","",SAISIE!$C493)</f>
        <v/>
      </c>
      <c r="C488" t="str">
        <f>IF(SAISIE!$F493="","",SAISIE!$D493)</f>
        <v/>
      </c>
      <c r="D488" t="str">
        <f>IF(SAISIE!$E493="","",SAISIE!$E493)</f>
        <v/>
      </c>
      <c r="E488" t="str">
        <f>IF(SAISIE!$F493="","",SAISIE!$F493)</f>
        <v/>
      </c>
      <c r="F488" t="str">
        <f>IF(SAISIE!$G493="","",SAISIE!$G493)</f>
        <v/>
      </c>
      <c r="G488" t="str">
        <f>IF(SAISIE!$H493="","",SAISIE!$H493)</f>
        <v/>
      </c>
      <c r="H488" t="str">
        <f>IF(SAISIE!$I493="","",SAISIE!$I493)</f>
        <v/>
      </c>
      <c r="I488" t="str">
        <f>IF(SAISIE!$J493="","",SAISIE!$J493)</f>
        <v/>
      </c>
      <c r="J488" t="str">
        <f>IF(SAISIE!$K493="","",SAISIE!$K493)</f>
        <v/>
      </c>
      <c r="K488" t="str">
        <f>IF(SAISIE!$L493="","",SAISIE!$L493)</f>
        <v/>
      </c>
      <c r="L488" t="str">
        <f>IF(SAISIE!$M493="","",SAISIE!$M493)</f>
        <v/>
      </c>
      <c r="M488" t="str">
        <f>IF(SAISIE!$N493="","",SAISIE!$N493)</f>
        <v/>
      </c>
      <c r="N488" t="str">
        <f>IF(SAISIE!$O493="","",SAISIE!$O493)</f>
        <v/>
      </c>
      <c r="O488" t="str">
        <f>IF(SAISIE!$P493="","",SAISIE!$P493)</f>
        <v/>
      </c>
      <c r="P488" t="str">
        <f>IF(SAISIE!$Q493="","",SAISIE!$Q493)</f>
        <v/>
      </c>
      <c r="Q488" t="str">
        <f>IF($I488="","",IF($I488&gt;PARAMETRES!$G$29,5,IF($I488&gt;PARAMETRES!$F$29,4,IF($I488&gt;PARAMETRES!$E$29,3,IF($I488&gt;PARAMETRES!$D$29,2,1)))))</f>
        <v/>
      </c>
      <c r="R488" t="str">
        <f>IF($J488="","",IF($J488&gt;PARAMETRES!$G$30,5,IF($J488&gt;PARAMETRES!$F$30,4,IF($J488&gt;PARAMETRES!$E$30,3,IF($J488&gt;PARAMETRES!$D$30,2,1)))))</f>
        <v/>
      </c>
      <c r="S488" t="str">
        <f>IF($K488="","",IF($Z488=2,IF($K488&gt;PARAMETRES!$G$31,5,IF($K488&gt;PARAMETRES!$F$31,4,IF($K488&gt;PARAMETRES!$E$31,3,IF($K488&gt;PARAMETRES!$D$31,2,1)))),IF($K488&gt;PARAMETRES!$G$32,5,IF($K488&gt;PARAMETRES!$F$32,4,IF($K488&gt;PARAMETRES!$E$32,3,IF($K488&gt;PARAMETRES!$D$32,2,1))))))</f>
        <v/>
      </c>
      <c r="T488" t="str">
        <f>IF($L488="","",IF($L488&gt;PARAMETRES!$G$33,5,IF($L488&gt;PARAMETRES!$F$33,4,IF($L488&gt;PARAMETRES!$E$33,3,IF($L488&gt;PARAMETRES!$D$33,2,1)))))</f>
        <v/>
      </c>
      <c r="U488" t="str">
        <f>IF($M488="","",IF($M488&gt;PARAMETRES!$G$34,5,IF($M488&gt;PARAMETRES!$F$34,4,IF($M488&gt;PARAMETRES!$E$34,3,IF($M488&gt;PARAMETRES!$D$34,2,1)))))</f>
        <v/>
      </c>
      <c r="V488" t="str">
        <f>IF($N488="","",IF($N488&gt;PARAMETRES!$G$35,5,IF($N488&gt;PARAMETRES!$F$35,4,IF($N488&gt;PARAMETRES!$E$35,3,IF($N488&gt;PARAMETRES!$D$35,2,1)))))</f>
        <v/>
      </c>
      <c r="W488" t="str">
        <f>IF($O488="","",IF($O488&gt;PARAMETRES!$G$36,5,IF($O488&gt;PARAMETRES!$F$36,4,IF($O488&gt;PARAMETRES!$E$36,3,IF($O488&gt;PARAMETRES!$D$36,2,1)))))</f>
        <v/>
      </c>
      <c r="X488" t="str">
        <f>IF($P488="","",IF($P488&gt;PARAMETRES!$G$37,5,IF($P488&gt;PARAMETRES!$F$37,4,IF($P488&gt;PARAMETRES!$E$37,3,IF($P488&gt;PARAMETRES!$D$37,2,1)))))</f>
        <v/>
      </c>
      <c r="Y488" t="str">
        <f t="shared" si="168"/>
        <v/>
      </c>
      <c r="Z488" t="str">
        <f>IFERROR(VLOOKUP($B488,TABLE_CYCLE,2,0),"")</f>
        <v/>
      </c>
      <c r="AA488" t="str">
        <f t="shared" si="169"/>
        <v/>
      </c>
      <c r="AB488" t="str">
        <f>IF($D488="","",IF(COUNTIF($D$2:$D488,$D488)=1,$D488,""))</f>
        <v/>
      </c>
      <c r="AC488">
        <f t="shared" si="170"/>
        <v>0</v>
      </c>
      <c r="AD488" t="str">
        <f t="shared" si="171"/>
        <v>|0</v>
      </c>
      <c r="AE488" t="str">
        <f t="shared" si="172"/>
        <v/>
      </c>
      <c r="AF488" t="str">
        <f t="shared" si="173"/>
        <v/>
      </c>
      <c r="AG488" t="str">
        <f t="shared" si="174"/>
        <v/>
      </c>
      <c r="AH488" t="str">
        <f t="shared" si="175"/>
        <v/>
      </c>
      <c r="AI488" t="str">
        <f t="shared" si="176"/>
        <v/>
      </c>
      <c r="AJ488" t="str">
        <f t="shared" si="177"/>
        <v/>
      </c>
      <c r="AK488" t="str">
        <f t="shared" si="178"/>
        <v/>
      </c>
      <c r="AL488" t="str">
        <f t="shared" si="179"/>
        <v/>
      </c>
      <c r="AM488" t="str">
        <f t="shared" si="180"/>
        <v/>
      </c>
      <c r="AN488" t="str">
        <f t="shared" si="181"/>
        <v/>
      </c>
      <c r="AO488" t="str">
        <f t="shared" si="182"/>
        <v/>
      </c>
      <c r="AP488">
        <f t="shared" si="183"/>
        <v>1</v>
      </c>
      <c r="AQ488" t="str">
        <f>IF(SAISIE!$F493="","",SAISIE!$Y493)</f>
        <v/>
      </c>
      <c r="AR488" t="str">
        <f>IF(OR(SAISIE!$U$4="",SAISIE!$W$4=""),"",IF(AND($A488=SAISIE!$U$4,$B488=SAISIE!$W$4,$C488="S1"),COUNTIFS($A$2:$A488,SAISIE!$U$4,$B$2:$B488,SAISIE!$W$4,$C$2:$C488,"S1"),""))</f>
        <v/>
      </c>
      <c r="AS488" t="str">
        <f t="shared" si="184"/>
        <v/>
      </c>
      <c r="AT488" t="str">
        <f t="shared" si="185"/>
        <v/>
      </c>
      <c r="AU488" t="str">
        <f t="shared" si="186"/>
        <v/>
      </c>
      <c r="AV488">
        <f>N(AV487)+IF(AND($AB488&lt;&gt;"",OR('PROFIL ELEVE'!$K$4="(Tous)",$AF488='PROFIL ELEVE'!$K$4)),1,0)</f>
        <v>0</v>
      </c>
      <c r="AW488">
        <f>N(AW487)+IF(AND($AB488&lt;&gt;"",OR('SUIVI LONGITUDINAL'!$Q$4="(Tous)",$AF488='SUIVI LONGITUDINAL'!$Q$4)),1,0)</f>
        <v>0</v>
      </c>
      <c r="AX488">
        <f t="shared" si="187"/>
        <v>0</v>
      </c>
      <c r="AY488">
        <f t="shared" si="188"/>
        <v>0</v>
      </c>
      <c r="AZ488">
        <f t="shared" si="189"/>
        <v>0</v>
      </c>
      <c r="BA488" t="str">
        <f t="shared" si="190"/>
        <v/>
      </c>
      <c r="BB488" t="str">
        <f t="shared" si="191"/>
        <v/>
      </c>
    </row>
    <row r="489" spans="1:54" ht="14.25" customHeight="1" x14ac:dyDescent="0.3">
      <c r="A489" t="str">
        <f>IF(SAISIE!$F494="","",SAISIE!$B494)</f>
        <v/>
      </c>
      <c r="B489" t="str">
        <f>IF(SAISIE!$F494="","",SAISIE!$C494)</f>
        <v/>
      </c>
      <c r="C489" t="str">
        <f>IF(SAISIE!$F494="","",SAISIE!$D494)</f>
        <v/>
      </c>
      <c r="D489" t="str">
        <f>IF(SAISIE!$E494="","",SAISIE!$E494)</f>
        <v/>
      </c>
      <c r="E489" t="str">
        <f>IF(SAISIE!$F494="","",SAISIE!$F494)</f>
        <v/>
      </c>
      <c r="F489" t="str">
        <f>IF(SAISIE!$G494="","",SAISIE!$G494)</f>
        <v/>
      </c>
      <c r="G489" t="str">
        <f>IF(SAISIE!$H494="","",SAISIE!$H494)</f>
        <v/>
      </c>
      <c r="H489" t="str">
        <f>IF(SAISIE!$I494="","",SAISIE!$I494)</f>
        <v/>
      </c>
      <c r="I489" t="str">
        <f>IF(SAISIE!$J494="","",SAISIE!$J494)</f>
        <v/>
      </c>
      <c r="J489" t="str">
        <f>IF(SAISIE!$K494="","",SAISIE!$K494)</f>
        <v/>
      </c>
      <c r="K489" t="str">
        <f>IF(SAISIE!$L494="","",SAISIE!$L494)</f>
        <v/>
      </c>
      <c r="L489" t="str">
        <f>IF(SAISIE!$M494="","",SAISIE!$M494)</f>
        <v/>
      </c>
      <c r="M489" t="str">
        <f>IF(SAISIE!$N494="","",SAISIE!$N494)</f>
        <v/>
      </c>
      <c r="N489" t="str">
        <f>IF(SAISIE!$O494="","",SAISIE!$O494)</f>
        <v/>
      </c>
      <c r="O489" t="str">
        <f>IF(SAISIE!$P494="","",SAISIE!$P494)</f>
        <v/>
      </c>
      <c r="P489" t="str">
        <f>IF(SAISIE!$Q494="","",SAISIE!$Q494)</f>
        <v/>
      </c>
      <c r="Q489" t="str">
        <f>IF($I489="","",IF($I489&gt;PARAMETRES!$G$29,5,IF($I489&gt;PARAMETRES!$F$29,4,IF($I489&gt;PARAMETRES!$E$29,3,IF($I489&gt;PARAMETRES!$D$29,2,1)))))</f>
        <v/>
      </c>
      <c r="R489" t="str">
        <f>IF($J489="","",IF($J489&gt;PARAMETRES!$G$30,5,IF($J489&gt;PARAMETRES!$F$30,4,IF($J489&gt;PARAMETRES!$E$30,3,IF($J489&gt;PARAMETRES!$D$30,2,1)))))</f>
        <v/>
      </c>
      <c r="S489" t="str">
        <f>IF($K489="","",IF($Z489=2,IF($K489&gt;PARAMETRES!$G$31,5,IF($K489&gt;PARAMETRES!$F$31,4,IF($K489&gt;PARAMETRES!$E$31,3,IF($K489&gt;PARAMETRES!$D$31,2,1)))),IF($K489&gt;PARAMETRES!$G$32,5,IF($K489&gt;PARAMETRES!$F$32,4,IF($K489&gt;PARAMETRES!$E$32,3,IF($K489&gt;PARAMETRES!$D$32,2,1))))))</f>
        <v/>
      </c>
      <c r="T489" t="str">
        <f>IF($L489="","",IF($L489&gt;PARAMETRES!$G$33,5,IF($L489&gt;PARAMETRES!$F$33,4,IF($L489&gt;PARAMETRES!$E$33,3,IF($L489&gt;PARAMETRES!$D$33,2,1)))))</f>
        <v/>
      </c>
      <c r="U489" t="str">
        <f>IF($M489="","",IF($M489&gt;PARAMETRES!$G$34,5,IF($M489&gt;PARAMETRES!$F$34,4,IF($M489&gt;PARAMETRES!$E$34,3,IF($M489&gt;PARAMETRES!$D$34,2,1)))))</f>
        <v/>
      </c>
      <c r="V489" t="str">
        <f>IF($N489="","",IF($N489&gt;PARAMETRES!$G$35,5,IF($N489&gt;PARAMETRES!$F$35,4,IF($N489&gt;PARAMETRES!$E$35,3,IF($N489&gt;PARAMETRES!$D$35,2,1)))))</f>
        <v/>
      </c>
      <c r="W489" t="str">
        <f>IF($O489="","",IF($O489&gt;PARAMETRES!$G$36,5,IF($O489&gt;PARAMETRES!$F$36,4,IF($O489&gt;PARAMETRES!$E$36,3,IF($O489&gt;PARAMETRES!$D$36,2,1)))))</f>
        <v/>
      </c>
      <c r="X489" t="str">
        <f>IF($P489="","",IF($P489&gt;PARAMETRES!$G$37,5,IF($P489&gt;PARAMETRES!$F$37,4,IF($P489&gt;PARAMETRES!$E$37,3,IF($P489&gt;PARAMETRES!$D$37,2,1)))))</f>
        <v/>
      </c>
      <c r="Y489" t="str">
        <f t="shared" si="168"/>
        <v/>
      </c>
      <c r="Z489" t="str">
        <f>IFERROR(VLOOKUP($B489,TABLE_CYCLE,2,0),"")</f>
        <v/>
      </c>
      <c r="AA489" t="str">
        <f t="shared" si="169"/>
        <v/>
      </c>
      <c r="AB489" t="str">
        <f>IF($D489="","",IF(COUNTIF($D$2:$D489,$D489)=1,$D489,""))</f>
        <v/>
      </c>
      <c r="AC489">
        <f t="shared" si="170"/>
        <v>0</v>
      </c>
      <c r="AD489" t="str">
        <f t="shared" si="171"/>
        <v>|0</v>
      </c>
      <c r="AE489" t="str">
        <f t="shared" si="172"/>
        <v/>
      </c>
      <c r="AF489" t="str">
        <f t="shared" si="173"/>
        <v/>
      </c>
      <c r="AG489" t="str">
        <f t="shared" si="174"/>
        <v/>
      </c>
      <c r="AH489" t="str">
        <f t="shared" si="175"/>
        <v/>
      </c>
      <c r="AI489" t="str">
        <f t="shared" si="176"/>
        <v/>
      </c>
      <c r="AJ489" t="str">
        <f t="shared" si="177"/>
        <v/>
      </c>
      <c r="AK489" t="str">
        <f t="shared" si="178"/>
        <v/>
      </c>
      <c r="AL489" t="str">
        <f t="shared" si="179"/>
        <v/>
      </c>
      <c r="AM489" t="str">
        <f t="shared" si="180"/>
        <v/>
      </c>
      <c r="AN489" t="str">
        <f t="shared" si="181"/>
        <v/>
      </c>
      <c r="AO489" t="str">
        <f t="shared" si="182"/>
        <v/>
      </c>
      <c r="AP489">
        <f t="shared" si="183"/>
        <v>1</v>
      </c>
      <c r="AQ489" t="str">
        <f>IF(SAISIE!$F494="","",SAISIE!$Y494)</f>
        <v/>
      </c>
      <c r="AR489" t="str">
        <f>IF(OR(SAISIE!$U$4="",SAISIE!$W$4=""),"",IF(AND($A489=SAISIE!$U$4,$B489=SAISIE!$W$4,$C489="S1"),COUNTIFS($A$2:$A489,SAISIE!$U$4,$B$2:$B489,SAISIE!$W$4,$C$2:$C489,"S1"),""))</f>
        <v/>
      </c>
      <c r="AS489" t="str">
        <f t="shared" si="184"/>
        <v/>
      </c>
      <c r="AT489" t="str">
        <f t="shared" si="185"/>
        <v/>
      </c>
      <c r="AU489" t="str">
        <f t="shared" si="186"/>
        <v/>
      </c>
      <c r="AV489">
        <f>N(AV488)+IF(AND($AB489&lt;&gt;"",OR('PROFIL ELEVE'!$K$4="(Tous)",$AF489='PROFIL ELEVE'!$K$4)),1,0)</f>
        <v>0</v>
      </c>
      <c r="AW489">
        <f>N(AW488)+IF(AND($AB489&lt;&gt;"",OR('SUIVI LONGITUDINAL'!$Q$4="(Tous)",$AF489='SUIVI LONGITUDINAL'!$Q$4)),1,0)</f>
        <v>0</v>
      </c>
      <c r="AX489">
        <f t="shared" si="187"/>
        <v>0</v>
      </c>
      <c r="AY489">
        <f t="shared" si="188"/>
        <v>0</v>
      </c>
      <c r="AZ489">
        <f t="shared" si="189"/>
        <v>0</v>
      </c>
      <c r="BA489" t="str">
        <f t="shared" si="190"/>
        <v/>
      </c>
      <c r="BB489" t="str">
        <f t="shared" si="191"/>
        <v/>
      </c>
    </row>
    <row r="490" spans="1:54" ht="14.25" customHeight="1" x14ac:dyDescent="0.3">
      <c r="A490" t="str">
        <f>IF(SAISIE!$F495="","",SAISIE!$B495)</f>
        <v/>
      </c>
      <c r="B490" t="str">
        <f>IF(SAISIE!$F495="","",SAISIE!$C495)</f>
        <v/>
      </c>
      <c r="C490" t="str">
        <f>IF(SAISIE!$F495="","",SAISIE!$D495)</f>
        <v/>
      </c>
      <c r="D490" t="str">
        <f>IF(SAISIE!$E495="","",SAISIE!$E495)</f>
        <v/>
      </c>
      <c r="E490" t="str">
        <f>IF(SAISIE!$F495="","",SAISIE!$F495)</f>
        <v/>
      </c>
      <c r="F490" t="str">
        <f>IF(SAISIE!$G495="","",SAISIE!$G495)</f>
        <v/>
      </c>
      <c r="G490" t="str">
        <f>IF(SAISIE!$H495="","",SAISIE!$H495)</f>
        <v/>
      </c>
      <c r="H490" t="str">
        <f>IF(SAISIE!$I495="","",SAISIE!$I495)</f>
        <v/>
      </c>
      <c r="I490" t="str">
        <f>IF(SAISIE!$J495="","",SAISIE!$J495)</f>
        <v/>
      </c>
      <c r="J490" t="str">
        <f>IF(SAISIE!$K495="","",SAISIE!$K495)</f>
        <v/>
      </c>
      <c r="K490" t="str">
        <f>IF(SAISIE!$L495="","",SAISIE!$L495)</f>
        <v/>
      </c>
      <c r="L490" t="str">
        <f>IF(SAISIE!$M495="","",SAISIE!$M495)</f>
        <v/>
      </c>
      <c r="M490" t="str">
        <f>IF(SAISIE!$N495="","",SAISIE!$N495)</f>
        <v/>
      </c>
      <c r="N490" t="str">
        <f>IF(SAISIE!$O495="","",SAISIE!$O495)</f>
        <v/>
      </c>
      <c r="O490" t="str">
        <f>IF(SAISIE!$P495="","",SAISIE!$P495)</f>
        <v/>
      </c>
      <c r="P490" t="str">
        <f>IF(SAISIE!$Q495="","",SAISIE!$Q495)</f>
        <v/>
      </c>
      <c r="Q490" t="str">
        <f>IF($I490="","",IF($I490&gt;PARAMETRES!$G$29,5,IF($I490&gt;PARAMETRES!$F$29,4,IF($I490&gt;PARAMETRES!$E$29,3,IF($I490&gt;PARAMETRES!$D$29,2,1)))))</f>
        <v/>
      </c>
      <c r="R490" t="str">
        <f>IF($J490="","",IF($J490&gt;PARAMETRES!$G$30,5,IF($J490&gt;PARAMETRES!$F$30,4,IF($J490&gt;PARAMETRES!$E$30,3,IF($J490&gt;PARAMETRES!$D$30,2,1)))))</f>
        <v/>
      </c>
      <c r="S490" t="str">
        <f>IF($K490="","",IF($Z490=2,IF($K490&gt;PARAMETRES!$G$31,5,IF($K490&gt;PARAMETRES!$F$31,4,IF($K490&gt;PARAMETRES!$E$31,3,IF($K490&gt;PARAMETRES!$D$31,2,1)))),IF($K490&gt;PARAMETRES!$G$32,5,IF($K490&gt;PARAMETRES!$F$32,4,IF($K490&gt;PARAMETRES!$E$32,3,IF($K490&gt;PARAMETRES!$D$32,2,1))))))</f>
        <v/>
      </c>
      <c r="T490" t="str">
        <f>IF($L490="","",IF($L490&gt;PARAMETRES!$G$33,5,IF($L490&gt;PARAMETRES!$F$33,4,IF($L490&gt;PARAMETRES!$E$33,3,IF($L490&gt;PARAMETRES!$D$33,2,1)))))</f>
        <v/>
      </c>
      <c r="U490" t="str">
        <f>IF($M490="","",IF($M490&gt;PARAMETRES!$G$34,5,IF($M490&gt;PARAMETRES!$F$34,4,IF($M490&gt;PARAMETRES!$E$34,3,IF($M490&gt;PARAMETRES!$D$34,2,1)))))</f>
        <v/>
      </c>
      <c r="V490" t="str">
        <f>IF($N490="","",IF($N490&gt;PARAMETRES!$G$35,5,IF($N490&gt;PARAMETRES!$F$35,4,IF($N490&gt;PARAMETRES!$E$35,3,IF($N490&gt;PARAMETRES!$D$35,2,1)))))</f>
        <v/>
      </c>
      <c r="W490" t="str">
        <f>IF($O490="","",IF($O490&gt;PARAMETRES!$G$36,5,IF($O490&gt;PARAMETRES!$F$36,4,IF($O490&gt;PARAMETRES!$E$36,3,IF($O490&gt;PARAMETRES!$D$36,2,1)))))</f>
        <v/>
      </c>
      <c r="X490" t="str">
        <f>IF($P490="","",IF($P490&gt;PARAMETRES!$G$37,5,IF($P490&gt;PARAMETRES!$F$37,4,IF($P490&gt;PARAMETRES!$E$37,3,IF($P490&gt;PARAMETRES!$D$37,2,1)))))</f>
        <v/>
      </c>
      <c r="Y490" t="str">
        <f t="shared" si="168"/>
        <v/>
      </c>
      <c r="Z490" t="str">
        <f>IFERROR(VLOOKUP($B490,TABLE_CYCLE,2,0),"")</f>
        <v/>
      </c>
      <c r="AA490" t="str">
        <f t="shared" si="169"/>
        <v/>
      </c>
      <c r="AB490" t="str">
        <f>IF($D490="","",IF(COUNTIF($D$2:$D490,$D490)=1,$D490,""))</f>
        <v/>
      </c>
      <c r="AC490">
        <f t="shared" si="170"/>
        <v>0</v>
      </c>
      <c r="AD490" t="str">
        <f t="shared" si="171"/>
        <v>|0</v>
      </c>
      <c r="AE490" t="str">
        <f t="shared" si="172"/>
        <v/>
      </c>
      <c r="AF490" t="str">
        <f t="shared" si="173"/>
        <v/>
      </c>
      <c r="AG490" t="str">
        <f t="shared" si="174"/>
        <v/>
      </c>
      <c r="AH490" t="str">
        <f t="shared" si="175"/>
        <v/>
      </c>
      <c r="AI490" t="str">
        <f t="shared" si="176"/>
        <v/>
      </c>
      <c r="AJ490" t="str">
        <f t="shared" si="177"/>
        <v/>
      </c>
      <c r="AK490" t="str">
        <f t="shared" si="178"/>
        <v/>
      </c>
      <c r="AL490" t="str">
        <f t="shared" si="179"/>
        <v/>
      </c>
      <c r="AM490" t="str">
        <f t="shared" si="180"/>
        <v/>
      </c>
      <c r="AN490" t="str">
        <f t="shared" si="181"/>
        <v/>
      </c>
      <c r="AO490" t="str">
        <f t="shared" si="182"/>
        <v/>
      </c>
      <c r="AP490">
        <f t="shared" si="183"/>
        <v>1</v>
      </c>
      <c r="AQ490" t="str">
        <f>IF(SAISIE!$F495="","",SAISIE!$Y495)</f>
        <v/>
      </c>
      <c r="AR490" t="str">
        <f>IF(OR(SAISIE!$U$4="",SAISIE!$W$4=""),"",IF(AND($A490=SAISIE!$U$4,$B490=SAISIE!$W$4,$C490="S1"),COUNTIFS($A$2:$A490,SAISIE!$U$4,$B$2:$B490,SAISIE!$W$4,$C$2:$C490,"S1"),""))</f>
        <v/>
      </c>
      <c r="AS490" t="str">
        <f t="shared" si="184"/>
        <v/>
      </c>
      <c r="AT490" t="str">
        <f t="shared" si="185"/>
        <v/>
      </c>
      <c r="AU490" t="str">
        <f t="shared" si="186"/>
        <v/>
      </c>
      <c r="AV490">
        <f>N(AV489)+IF(AND($AB490&lt;&gt;"",OR('PROFIL ELEVE'!$K$4="(Tous)",$AF490='PROFIL ELEVE'!$K$4)),1,0)</f>
        <v>0</v>
      </c>
      <c r="AW490">
        <f>N(AW489)+IF(AND($AB490&lt;&gt;"",OR('SUIVI LONGITUDINAL'!$Q$4="(Tous)",$AF490='SUIVI LONGITUDINAL'!$Q$4)),1,0)</f>
        <v>0</v>
      </c>
      <c r="AX490">
        <f t="shared" si="187"/>
        <v>0</v>
      </c>
      <c r="AY490">
        <f t="shared" si="188"/>
        <v>0</v>
      </c>
      <c r="AZ490">
        <f t="shared" si="189"/>
        <v>0</v>
      </c>
      <c r="BA490" t="str">
        <f t="shared" si="190"/>
        <v/>
      </c>
      <c r="BB490" t="str">
        <f t="shared" si="191"/>
        <v/>
      </c>
    </row>
    <row r="491" spans="1:54" ht="14.25" customHeight="1" x14ac:dyDescent="0.3">
      <c r="A491" t="str">
        <f>IF(SAISIE!$F496="","",SAISIE!$B496)</f>
        <v/>
      </c>
      <c r="B491" t="str">
        <f>IF(SAISIE!$F496="","",SAISIE!$C496)</f>
        <v/>
      </c>
      <c r="C491" t="str">
        <f>IF(SAISIE!$F496="","",SAISIE!$D496)</f>
        <v/>
      </c>
      <c r="D491" t="str">
        <f>IF(SAISIE!$E496="","",SAISIE!$E496)</f>
        <v/>
      </c>
      <c r="E491" t="str">
        <f>IF(SAISIE!$F496="","",SAISIE!$F496)</f>
        <v/>
      </c>
      <c r="F491" t="str">
        <f>IF(SAISIE!$G496="","",SAISIE!$G496)</f>
        <v/>
      </c>
      <c r="G491" t="str">
        <f>IF(SAISIE!$H496="","",SAISIE!$H496)</f>
        <v/>
      </c>
      <c r="H491" t="str">
        <f>IF(SAISIE!$I496="","",SAISIE!$I496)</f>
        <v/>
      </c>
      <c r="I491" t="str">
        <f>IF(SAISIE!$J496="","",SAISIE!$J496)</f>
        <v/>
      </c>
      <c r="J491" t="str">
        <f>IF(SAISIE!$K496="","",SAISIE!$K496)</f>
        <v/>
      </c>
      <c r="K491" t="str">
        <f>IF(SAISIE!$L496="","",SAISIE!$L496)</f>
        <v/>
      </c>
      <c r="L491" t="str">
        <f>IF(SAISIE!$M496="","",SAISIE!$M496)</f>
        <v/>
      </c>
      <c r="M491" t="str">
        <f>IF(SAISIE!$N496="","",SAISIE!$N496)</f>
        <v/>
      </c>
      <c r="N491" t="str">
        <f>IF(SAISIE!$O496="","",SAISIE!$O496)</f>
        <v/>
      </c>
      <c r="O491" t="str">
        <f>IF(SAISIE!$P496="","",SAISIE!$P496)</f>
        <v/>
      </c>
      <c r="P491" t="str">
        <f>IF(SAISIE!$Q496="","",SAISIE!$Q496)</f>
        <v/>
      </c>
      <c r="Q491" t="str">
        <f>IF($I491="","",IF($I491&gt;PARAMETRES!$G$29,5,IF($I491&gt;PARAMETRES!$F$29,4,IF($I491&gt;PARAMETRES!$E$29,3,IF($I491&gt;PARAMETRES!$D$29,2,1)))))</f>
        <v/>
      </c>
      <c r="R491" t="str">
        <f>IF($J491="","",IF($J491&gt;PARAMETRES!$G$30,5,IF($J491&gt;PARAMETRES!$F$30,4,IF($J491&gt;PARAMETRES!$E$30,3,IF($J491&gt;PARAMETRES!$D$30,2,1)))))</f>
        <v/>
      </c>
      <c r="S491" t="str">
        <f>IF($K491="","",IF($Z491=2,IF($K491&gt;PARAMETRES!$G$31,5,IF($K491&gt;PARAMETRES!$F$31,4,IF($K491&gt;PARAMETRES!$E$31,3,IF($K491&gt;PARAMETRES!$D$31,2,1)))),IF($K491&gt;PARAMETRES!$G$32,5,IF($K491&gt;PARAMETRES!$F$32,4,IF($K491&gt;PARAMETRES!$E$32,3,IF($K491&gt;PARAMETRES!$D$32,2,1))))))</f>
        <v/>
      </c>
      <c r="T491" t="str">
        <f>IF($L491="","",IF($L491&gt;PARAMETRES!$G$33,5,IF($L491&gt;PARAMETRES!$F$33,4,IF($L491&gt;PARAMETRES!$E$33,3,IF($L491&gt;PARAMETRES!$D$33,2,1)))))</f>
        <v/>
      </c>
      <c r="U491" t="str">
        <f>IF($M491="","",IF($M491&gt;PARAMETRES!$G$34,5,IF($M491&gt;PARAMETRES!$F$34,4,IF($M491&gt;PARAMETRES!$E$34,3,IF($M491&gt;PARAMETRES!$D$34,2,1)))))</f>
        <v/>
      </c>
      <c r="V491" t="str">
        <f>IF($N491="","",IF($N491&gt;PARAMETRES!$G$35,5,IF($N491&gt;PARAMETRES!$F$35,4,IF($N491&gt;PARAMETRES!$E$35,3,IF($N491&gt;PARAMETRES!$D$35,2,1)))))</f>
        <v/>
      </c>
      <c r="W491" t="str">
        <f>IF($O491="","",IF($O491&gt;PARAMETRES!$G$36,5,IF($O491&gt;PARAMETRES!$F$36,4,IF($O491&gt;PARAMETRES!$E$36,3,IF($O491&gt;PARAMETRES!$D$36,2,1)))))</f>
        <v/>
      </c>
      <c r="X491" t="str">
        <f>IF($P491="","",IF($P491&gt;PARAMETRES!$G$37,5,IF($P491&gt;PARAMETRES!$F$37,4,IF($P491&gt;PARAMETRES!$E$37,3,IF($P491&gt;PARAMETRES!$D$37,2,1)))))</f>
        <v/>
      </c>
      <c r="Y491" t="str">
        <f t="shared" si="168"/>
        <v/>
      </c>
      <c r="Z491" t="str">
        <f>IFERROR(VLOOKUP($B491,TABLE_CYCLE,2,0),"")</f>
        <v/>
      </c>
      <c r="AA491" t="str">
        <f t="shared" si="169"/>
        <v/>
      </c>
      <c r="AB491" t="str">
        <f>IF($D491="","",IF(COUNTIF($D$2:$D491,$D491)=1,$D491,""))</f>
        <v/>
      </c>
      <c r="AC491">
        <f t="shared" si="170"/>
        <v>0</v>
      </c>
      <c r="AD491" t="str">
        <f t="shared" si="171"/>
        <v>|0</v>
      </c>
      <c r="AE491" t="str">
        <f t="shared" si="172"/>
        <v/>
      </c>
      <c r="AF491" t="str">
        <f t="shared" si="173"/>
        <v/>
      </c>
      <c r="AG491" t="str">
        <f t="shared" si="174"/>
        <v/>
      </c>
      <c r="AH491" t="str">
        <f t="shared" si="175"/>
        <v/>
      </c>
      <c r="AI491" t="str">
        <f t="shared" si="176"/>
        <v/>
      </c>
      <c r="AJ491" t="str">
        <f t="shared" si="177"/>
        <v/>
      </c>
      <c r="AK491" t="str">
        <f t="shared" si="178"/>
        <v/>
      </c>
      <c r="AL491" t="str">
        <f t="shared" si="179"/>
        <v/>
      </c>
      <c r="AM491" t="str">
        <f t="shared" si="180"/>
        <v/>
      </c>
      <c r="AN491" t="str">
        <f t="shared" si="181"/>
        <v/>
      </c>
      <c r="AO491" t="str">
        <f t="shared" si="182"/>
        <v/>
      </c>
      <c r="AP491">
        <f t="shared" si="183"/>
        <v>1</v>
      </c>
      <c r="AQ491" t="str">
        <f>IF(SAISIE!$F496="","",SAISIE!$Y496)</f>
        <v/>
      </c>
      <c r="AR491" t="str">
        <f>IF(OR(SAISIE!$U$4="",SAISIE!$W$4=""),"",IF(AND($A491=SAISIE!$U$4,$B491=SAISIE!$W$4,$C491="S1"),COUNTIFS($A$2:$A491,SAISIE!$U$4,$B$2:$B491,SAISIE!$W$4,$C$2:$C491,"S1"),""))</f>
        <v/>
      </c>
      <c r="AS491" t="str">
        <f t="shared" si="184"/>
        <v/>
      </c>
      <c r="AT491" t="str">
        <f t="shared" si="185"/>
        <v/>
      </c>
      <c r="AU491" t="str">
        <f t="shared" si="186"/>
        <v/>
      </c>
      <c r="AV491">
        <f>N(AV490)+IF(AND($AB491&lt;&gt;"",OR('PROFIL ELEVE'!$K$4="(Tous)",$AF491='PROFIL ELEVE'!$K$4)),1,0)</f>
        <v>0</v>
      </c>
      <c r="AW491">
        <f>N(AW490)+IF(AND($AB491&lt;&gt;"",OR('SUIVI LONGITUDINAL'!$Q$4="(Tous)",$AF491='SUIVI LONGITUDINAL'!$Q$4)),1,0)</f>
        <v>0</v>
      </c>
      <c r="AX491">
        <f t="shared" si="187"/>
        <v>0</v>
      </c>
      <c r="AY491">
        <f t="shared" si="188"/>
        <v>0</v>
      </c>
      <c r="AZ491">
        <f t="shared" si="189"/>
        <v>0</v>
      </c>
      <c r="BA491" t="str">
        <f t="shared" si="190"/>
        <v/>
      </c>
      <c r="BB491" t="str">
        <f t="shared" si="191"/>
        <v/>
      </c>
    </row>
    <row r="492" spans="1:54" ht="14.25" customHeight="1" x14ac:dyDescent="0.3">
      <c r="A492" t="str">
        <f>IF(SAISIE!$F497="","",SAISIE!$B497)</f>
        <v/>
      </c>
      <c r="B492" t="str">
        <f>IF(SAISIE!$F497="","",SAISIE!$C497)</f>
        <v/>
      </c>
      <c r="C492" t="str">
        <f>IF(SAISIE!$F497="","",SAISIE!$D497)</f>
        <v/>
      </c>
      <c r="D492" t="str">
        <f>IF(SAISIE!$E497="","",SAISIE!$E497)</f>
        <v/>
      </c>
      <c r="E492" t="str">
        <f>IF(SAISIE!$F497="","",SAISIE!$F497)</f>
        <v/>
      </c>
      <c r="F492" t="str">
        <f>IF(SAISIE!$G497="","",SAISIE!$G497)</f>
        <v/>
      </c>
      <c r="G492" t="str">
        <f>IF(SAISIE!$H497="","",SAISIE!$H497)</f>
        <v/>
      </c>
      <c r="H492" t="str">
        <f>IF(SAISIE!$I497="","",SAISIE!$I497)</f>
        <v/>
      </c>
      <c r="I492" t="str">
        <f>IF(SAISIE!$J497="","",SAISIE!$J497)</f>
        <v/>
      </c>
      <c r="J492" t="str">
        <f>IF(SAISIE!$K497="","",SAISIE!$K497)</f>
        <v/>
      </c>
      <c r="K492" t="str">
        <f>IF(SAISIE!$L497="","",SAISIE!$L497)</f>
        <v/>
      </c>
      <c r="L492" t="str">
        <f>IF(SAISIE!$M497="","",SAISIE!$M497)</f>
        <v/>
      </c>
      <c r="M492" t="str">
        <f>IF(SAISIE!$N497="","",SAISIE!$N497)</f>
        <v/>
      </c>
      <c r="N492" t="str">
        <f>IF(SAISIE!$O497="","",SAISIE!$O497)</f>
        <v/>
      </c>
      <c r="O492" t="str">
        <f>IF(SAISIE!$P497="","",SAISIE!$P497)</f>
        <v/>
      </c>
      <c r="P492" t="str">
        <f>IF(SAISIE!$Q497="","",SAISIE!$Q497)</f>
        <v/>
      </c>
      <c r="Q492" t="str">
        <f>IF($I492="","",IF($I492&gt;PARAMETRES!$G$29,5,IF($I492&gt;PARAMETRES!$F$29,4,IF($I492&gt;PARAMETRES!$E$29,3,IF($I492&gt;PARAMETRES!$D$29,2,1)))))</f>
        <v/>
      </c>
      <c r="R492" t="str">
        <f>IF($J492="","",IF($J492&gt;PARAMETRES!$G$30,5,IF($J492&gt;PARAMETRES!$F$30,4,IF($J492&gt;PARAMETRES!$E$30,3,IF($J492&gt;PARAMETRES!$D$30,2,1)))))</f>
        <v/>
      </c>
      <c r="S492" t="str">
        <f>IF($K492="","",IF($Z492=2,IF($K492&gt;PARAMETRES!$G$31,5,IF($K492&gt;PARAMETRES!$F$31,4,IF($K492&gt;PARAMETRES!$E$31,3,IF($K492&gt;PARAMETRES!$D$31,2,1)))),IF($K492&gt;PARAMETRES!$G$32,5,IF($K492&gt;PARAMETRES!$F$32,4,IF($K492&gt;PARAMETRES!$E$32,3,IF($K492&gt;PARAMETRES!$D$32,2,1))))))</f>
        <v/>
      </c>
      <c r="T492" t="str">
        <f>IF($L492="","",IF($L492&gt;PARAMETRES!$G$33,5,IF($L492&gt;PARAMETRES!$F$33,4,IF($L492&gt;PARAMETRES!$E$33,3,IF($L492&gt;PARAMETRES!$D$33,2,1)))))</f>
        <v/>
      </c>
      <c r="U492" t="str">
        <f>IF($M492="","",IF($M492&gt;PARAMETRES!$G$34,5,IF($M492&gt;PARAMETRES!$F$34,4,IF($M492&gt;PARAMETRES!$E$34,3,IF($M492&gt;PARAMETRES!$D$34,2,1)))))</f>
        <v/>
      </c>
      <c r="V492" t="str">
        <f>IF($N492="","",IF($N492&gt;PARAMETRES!$G$35,5,IF($N492&gt;PARAMETRES!$F$35,4,IF($N492&gt;PARAMETRES!$E$35,3,IF($N492&gt;PARAMETRES!$D$35,2,1)))))</f>
        <v/>
      </c>
      <c r="W492" t="str">
        <f>IF($O492="","",IF($O492&gt;PARAMETRES!$G$36,5,IF($O492&gt;PARAMETRES!$F$36,4,IF($O492&gt;PARAMETRES!$E$36,3,IF($O492&gt;PARAMETRES!$D$36,2,1)))))</f>
        <v/>
      </c>
      <c r="X492" t="str">
        <f>IF($P492="","",IF($P492&gt;PARAMETRES!$G$37,5,IF($P492&gt;PARAMETRES!$F$37,4,IF($P492&gt;PARAMETRES!$E$37,3,IF($P492&gt;PARAMETRES!$D$37,2,1)))))</f>
        <v/>
      </c>
      <c r="Y492" t="str">
        <f t="shared" si="168"/>
        <v/>
      </c>
      <c r="Z492" t="str">
        <f>IFERROR(VLOOKUP($B492,TABLE_CYCLE,2,0),"")</f>
        <v/>
      </c>
      <c r="AA492" t="str">
        <f t="shared" si="169"/>
        <v/>
      </c>
      <c r="AB492" t="str">
        <f>IF($D492="","",IF(COUNTIF($D$2:$D492,$D492)=1,$D492,""))</f>
        <v/>
      </c>
      <c r="AC492">
        <f t="shared" si="170"/>
        <v>0</v>
      </c>
      <c r="AD492" t="str">
        <f t="shared" si="171"/>
        <v>|0</v>
      </c>
      <c r="AE492" t="str">
        <f t="shared" si="172"/>
        <v/>
      </c>
      <c r="AF492" t="str">
        <f t="shared" si="173"/>
        <v/>
      </c>
      <c r="AG492" t="str">
        <f t="shared" si="174"/>
        <v/>
      </c>
      <c r="AH492" t="str">
        <f t="shared" si="175"/>
        <v/>
      </c>
      <c r="AI492" t="str">
        <f t="shared" si="176"/>
        <v/>
      </c>
      <c r="AJ492" t="str">
        <f t="shared" si="177"/>
        <v/>
      </c>
      <c r="AK492" t="str">
        <f t="shared" si="178"/>
        <v/>
      </c>
      <c r="AL492" t="str">
        <f t="shared" si="179"/>
        <v/>
      </c>
      <c r="AM492" t="str">
        <f t="shared" si="180"/>
        <v/>
      </c>
      <c r="AN492" t="str">
        <f t="shared" si="181"/>
        <v/>
      </c>
      <c r="AO492" t="str">
        <f t="shared" si="182"/>
        <v/>
      </c>
      <c r="AP492">
        <f t="shared" si="183"/>
        <v>1</v>
      </c>
      <c r="AQ492" t="str">
        <f>IF(SAISIE!$F497="","",SAISIE!$Y497)</f>
        <v/>
      </c>
      <c r="AR492" t="str">
        <f>IF(OR(SAISIE!$U$4="",SAISIE!$W$4=""),"",IF(AND($A492=SAISIE!$U$4,$B492=SAISIE!$W$4,$C492="S1"),COUNTIFS($A$2:$A492,SAISIE!$U$4,$B$2:$B492,SAISIE!$W$4,$C$2:$C492,"S1"),""))</f>
        <v/>
      </c>
      <c r="AS492" t="str">
        <f t="shared" si="184"/>
        <v/>
      </c>
      <c r="AT492" t="str">
        <f t="shared" si="185"/>
        <v/>
      </c>
      <c r="AU492" t="str">
        <f t="shared" si="186"/>
        <v/>
      </c>
      <c r="AV492">
        <f>N(AV491)+IF(AND($AB492&lt;&gt;"",OR('PROFIL ELEVE'!$K$4="(Tous)",$AF492='PROFIL ELEVE'!$K$4)),1,0)</f>
        <v>0</v>
      </c>
      <c r="AW492">
        <f>N(AW491)+IF(AND($AB492&lt;&gt;"",OR('SUIVI LONGITUDINAL'!$Q$4="(Tous)",$AF492='SUIVI LONGITUDINAL'!$Q$4)),1,0)</f>
        <v>0</v>
      </c>
      <c r="AX492">
        <f t="shared" si="187"/>
        <v>0</v>
      </c>
      <c r="AY492">
        <f t="shared" si="188"/>
        <v>0</v>
      </c>
      <c r="AZ492">
        <f t="shared" si="189"/>
        <v>0</v>
      </c>
      <c r="BA492" t="str">
        <f t="shared" si="190"/>
        <v/>
      </c>
      <c r="BB492" t="str">
        <f t="shared" si="191"/>
        <v/>
      </c>
    </row>
    <row r="493" spans="1:54" ht="14.25" customHeight="1" x14ac:dyDescent="0.3">
      <c r="A493" t="str">
        <f>IF(SAISIE!$F498="","",SAISIE!$B498)</f>
        <v/>
      </c>
      <c r="B493" t="str">
        <f>IF(SAISIE!$F498="","",SAISIE!$C498)</f>
        <v/>
      </c>
      <c r="C493" t="str">
        <f>IF(SAISIE!$F498="","",SAISIE!$D498)</f>
        <v/>
      </c>
      <c r="D493" t="str">
        <f>IF(SAISIE!$E498="","",SAISIE!$E498)</f>
        <v/>
      </c>
      <c r="E493" t="str">
        <f>IF(SAISIE!$F498="","",SAISIE!$F498)</f>
        <v/>
      </c>
      <c r="F493" t="str">
        <f>IF(SAISIE!$G498="","",SAISIE!$G498)</f>
        <v/>
      </c>
      <c r="G493" t="str">
        <f>IF(SAISIE!$H498="","",SAISIE!$H498)</f>
        <v/>
      </c>
      <c r="H493" t="str">
        <f>IF(SAISIE!$I498="","",SAISIE!$I498)</f>
        <v/>
      </c>
      <c r="I493" t="str">
        <f>IF(SAISIE!$J498="","",SAISIE!$J498)</f>
        <v/>
      </c>
      <c r="J493" t="str">
        <f>IF(SAISIE!$K498="","",SAISIE!$K498)</f>
        <v/>
      </c>
      <c r="K493" t="str">
        <f>IF(SAISIE!$L498="","",SAISIE!$L498)</f>
        <v/>
      </c>
      <c r="L493" t="str">
        <f>IF(SAISIE!$M498="","",SAISIE!$M498)</f>
        <v/>
      </c>
      <c r="M493" t="str">
        <f>IF(SAISIE!$N498="","",SAISIE!$N498)</f>
        <v/>
      </c>
      <c r="N493" t="str">
        <f>IF(SAISIE!$O498="","",SAISIE!$O498)</f>
        <v/>
      </c>
      <c r="O493" t="str">
        <f>IF(SAISIE!$P498="","",SAISIE!$P498)</f>
        <v/>
      </c>
      <c r="P493" t="str">
        <f>IF(SAISIE!$Q498="","",SAISIE!$Q498)</f>
        <v/>
      </c>
      <c r="Q493" t="str">
        <f>IF($I493="","",IF($I493&gt;PARAMETRES!$G$29,5,IF($I493&gt;PARAMETRES!$F$29,4,IF($I493&gt;PARAMETRES!$E$29,3,IF($I493&gt;PARAMETRES!$D$29,2,1)))))</f>
        <v/>
      </c>
      <c r="R493" t="str">
        <f>IF($J493="","",IF($J493&gt;PARAMETRES!$G$30,5,IF($J493&gt;PARAMETRES!$F$30,4,IF($J493&gt;PARAMETRES!$E$30,3,IF($J493&gt;PARAMETRES!$D$30,2,1)))))</f>
        <v/>
      </c>
      <c r="S493" t="str">
        <f>IF($K493="","",IF($Z493=2,IF($K493&gt;PARAMETRES!$G$31,5,IF($K493&gt;PARAMETRES!$F$31,4,IF($K493&gt;PARAMETRES!$E$31,3,IF($K493&gt;PARAMETRES!$D$31,2,1)))),IF($K493&gt;PARAMETRES!$G$32,5,IF($K493&gt;PARAMETRES!$F$32,4,IF($K493&gt;PARAMETRES!$E$32,3,IF($K493&gt;PARAMETRES!$D$32,2,1))))))</f>
        <v/>
      </c>
      <c r="T493" t="str">
        <f>IF($L493="","",IF($L493&gt;PARAMETRES!$G$33,5,IF($L493&gt;PARAMETRES!$F$33,4,IF($L493&gt;PARAMETRES!$E$33,3,IF($L493&gt;PARAMETRES!$D$33,2,1)))))</f>
        <v/>
      </c>
      <c r="U493" t="str">
        <f>IF($M493="","",IF($M493&gt;PARAMETRES!$G$34,5,IF($M493&gt;PARAMETRES!$F$34,4,IF($M493&gt;PARAMETRES!$E$34,3,IF($M493&gt;PARAMETRES!$D$34,2,1)))))</f>
        <v/>
      </c>
      <c r="V493" t="str">
        <f>IF($N493="","",IF($N493&gt;PARAMETRES!$G$35,5,IF($N493&gt;PARAMETRES!$F$35,4,IF($N493&gt;PARAMETRES!$E$35,3,IF($N493&gt;PARAMETRES!$D$35,2,1)))))</f>
        <v/>
      </c>
      <c r="W493" t="str">
        <f>IF($O493="","",IF($O493&gt;PARAMETRES!$G$36,5,IF($O493&gt;PARAMETRES!$F$36,4,IF($O493&gt;PARAMETRES!$E$36,3,IF($O493&gt;PARAMETRES!$D$36,2,1)))))</f>
        <v/>
      </c>
      <c r="X493" t="str">
        <f>IF($P493="","",IF($P493&gt;PARAMETRES!$G$37,5,IF($P493&gt;PARAMETRES!$F$37,4,IF($P493&gt;PARAMETRES!$E$37,3,IF($P493&gt;PARAMETRES!$D$37,2,1)))))</f>
        <v/>
      </c>
      <c r="Y493" t="str">
        <f t="shared" si="168"/>
        <v/>
      </c>
      <c r="Z493" t="str">
        <f>IFERROR(VLOOKUP($B493,TABLE_CYCLE,2,0),"")</f>
        <v/>
      </c>
      <c r="AA493" t="str">
        <f t="shared" si="169"/>
        <v/>
      </c>
      <c r="AB493" t="str">
        <f>IF($D493="","",IF(COUNTIF($D$2:$D493,$D493)=1,$D493,""))</f>
        <v/>
      </c>
      <c r="AC493">
        <f t="shared" si="170"/>
        <v>0</v>
      </c>
      <c r="AD493" t="str">
        <f t="shared" si="171"/>
        <v>|0</v>
      </c>
      <c r="AE493" t="str">
        <f t="shared" si="172"/>
        <v/>
      </c>
      <c r="AF493" t="str">
        <f t="shared" si="173"/>
        <v/>
      </c>
      <c r="AG493" t="str">
        <f t="shared" si="174"/>
        <v/>
      </c>
      <c r="AH493" t="str">
        <f t="shared" si="175"/>
        <v/>
      </c>
      <c r="AI493" t="str">
        <f t="shared" si="176"/>
        <v/>
      </c>
      <c r="AJ493" t="str">
        <f t="shared" si="177"/>
        <v/>
      </c>
      <c r="AK493" t="str">
        <f t="shared" si="178"/>
        <v/>
      </c>
      <c r="AL493" t="str">
        <f t="shared" si="179"/>
        <v/>
      </c>
      <c r="AM493" t="str">
        <f t="shared" si="180"/>
        <v/>
      </c>
      <c r="AN493" t="str">
        <f t="shared" si="181"/>
        <v/>
      </c>
      <c r="AO493" t="str">
        <f t="shared" si="182"/>
        <v/>
      </c>
      <c r="AP493">
        <f t="shared" si="183"/>
        <v>1</v>
      </c>
      <c r="AQ493" t="str">
        <f>IF(SAISIE!$F498="","",SAISIE!$Y498)</f>
        <v/>
      </c>
      <c r="AR493" t="str">
        <f>IF(OR(SAISIE!$U$4="",SAISIE!$W$4=""),"",IF(AND($A493=SAISIE!$U$4,$B493=SAISIE!$W$4,$C493="S1"),COUNTIFS($A$2:$A493,SAISIE!$U$4,$B$2:$B493,SAISIE!$W$4,$C$2:$C493,"S1"),""))</f>
        <v/>
      </c>
      <c r="AS493" t="str">
        <f t="shared" si="184"/>
        <v/>
      </c>
      <c r="AT493" t="str">
        <f t="shared" si="185"/>
        <v/>
      </c>
      <c r="AU493" t="str">
        <f t="shared" si="186"/>
        <v/>
      </c>
      <c r="AV493">
        <f>N(AV492)+IF(AND($AB493&lt;&gt;"",OR('PROFIL ELEVE'!$K$4="(Tous)",$AF493='PROFIL ELEVE'!$K$4)),1,0)</f>
        <v>0</v>
      </c>
      <c r="AW493">
        <f>N(AW492)+IF(AND($AB493&lt;&gt;"",OR('SUIVI LONGITUDINAL'!$Q$4="(Tous)",$AF493='SUIVI LONGITUDINAL'!$Q$4)),1,0)</f>
        <v>0</v>
      </c>
      <c r="AX493">
        <f t="shared" si="187"/>
        <v>0</v>
      </c>
      <c r="AY493">
        <f t="shared" si="188"/>
        <v>0</v>
      </c>
      <c r="AZ493">
        <f t="shared" si="189"/>
        <v>0</v>
      </c>
      <c r="BA493" t="str">
        <f t="shared" si="190"/>
        <v/>
      </c>
      <c r="BB493" t="str">
        <f t="shared" si="191"/>
        <v/>
      </c>
    </row>
    <row r="494" spans="1:54" ht="14.25" customHeight="1" x14ac:dyDescent="0.3">
      <c r="A494" t="str">
        <f>IF(SAISIE!$F499="","",SAISIE!$B499)</f>
        <v/>
      </c>
      <c r="B494" t="str">
        <f>IF(SAISIE!$F499="","",SAISIE!$C499)</f>
        <v/>
      </c>
      <c r="C494" t="str">
        <f>IF(SAISIE!$F499="","",SAISIE!$D499)</f>
        <v/>
      </c>
      <c r="D494" t="str">
        <f>IF(SAISIE!$E499="","",SAISIE!$E499)</f>
        <v/>
      </c>
      <c r="E494" t="str">
        <f>IF(SAISIE!$F499="","",SAISIE!$F499)</f>
        <v/>
      </c>
      <c r="F494" t="str">
        <f>IF(SAISIE!$G499="","",SAISIE!$G499)</f>
        <v/>
      </c>
      <c r="G494" t="str">
        <f>IF(SAISIE!$H499="","",SAISIE!$H499)</f>
        <v/>
      </c>
      <c r="H494" t="str">
        <f>IF(SAISIE!$I499="","",SAISIE!$I499)</f>
        <v/>
      </c>
      <c r="I494" t="str">
        <f>IF(SAISIE!$J499="","",SAISIE!$J499)</f>
        <v/>
      </c>
      <c r="J494" t="str">
        <f>IF(SAISIE!$K499="","",SAISIE!$K499)</f>
        <v/>
      </c>
      <c r="K494" t="str">
        <f>IF(SAISIE!$L499="","",SAISIE!$L499)</f>
        <v/>
      </c>
      <c r="L494" t="str">
        <f>IF(SAISIE!$M499="","",SAISIE!$M499)</f>
        <v/>
      </c>
      <c r="M494" t="str">
        <f>IF(SAISIE!$N499="","",SAISIE!$N499)</f>
        <v/>
      </c>
      <c r="N494" t="str">
        <f>IF(SAISIE!$O499="","",SAISIE!$O499)</f>
        <v/>
      </c>
      <c r="O494" t="str">
        <f>IF(SAISIE!$P499="","",SAISIE!$P499)</f>
        <v/>
      </c>
      <c r="P494" t="str">
        <f>IF(SAISIE!$Q499="","",SAISIE!$Q499)</f>
        <v/>
      </c>
      <c r="Q494" t="str">
        <f>IF($I494="","",IF($I494&gt;PARAMETRES!$G$29,5,IF($I494&gt;PARAMETRES!$F$29,4,IF($I494&gt;PARAMETRES!$E$29,3,IF($I494&gt;PARAMETRES!$D$29,2,1)))))</f>
        <v/>
      </c>
      <c r="R494" t="str">
        <f>IF($J494="","",IF($J494&gt;PARAMETRES!$G$30,5,IF($J494&gt;PARAMETRES!$F$30,4,IF($J494&gt;PARAMETRES!$E$30,3,IF($J494&gt;PARAMETRES!$D$30,2,1)))))</f>
        <v/>
      </c>
      <c r="S494" t="str">
        <f>IF($K494="","",IF($Z494=2,IF($K494&gt;PARAMETRES!$G$31,5,IF($K494&gt;PARAMETRES!$F$31,4,IF($K494&gt;PARAMETRES!$E$31,3,IF($K494&gt;PARAMETRES!$D$31,2,1)))),IF($K494&gt;PARAMETRES!$G$32,5,IF($K494&gt;PARAMETRES!$F$32,4,IF($K494&gt;PARAMETRES!$E$32,3,IF($K494&gt;PARAMETRES!$D$32,2,1))))))</f>
        <v/>
      </c>
      <c r="T494" t="str">
        <f>IF($L494="","",IF($L494&gt;PARAMETRES!$G$33,5,IF($L494&gt;PARAMETRES!$F$33,4,IF($L494&gt;PARAMETRES!$E$33,3,IF($L494&gt;PARAMETRES!$D$33,2,1)))))</f>
        <v/>
      </c>
      <c r="U494" t="str">
        <f>IF($M494="","",IF($M494&gt;PARAMETRES!$G$34,5,IF($M494&gt;PARAMETRES!$F$34,4,IF($M494&gt;PARAMETRES!$E$34,3,IF($M494&gt;PARAMETRES!$D$34,2,1)))))</f>
        <v/>
      </c>
      <c r="V494" t="str">
        <f>IF($N494="","",IF($N494&gt;PARAMETRES!$G$35,5,IF($N494&gt;PARAMETRES!$F$35,4,IF($N494&gt;PARAMETRES!$E$35,3,IF($N494&gt;PARAMETRES!$D$35,2,1)))))</f>
        <v/>
      </c>
      <c r="W494" t="str">
        <f>IF($O494="","",IF($O494&gt;PARAMETRES!$G$36,5,IF($O494&gt;PARAMETRES!$F$36,4,IF($O494&gt;PARAMETRES!$E$36,3,IF($O494&gt;PARAMETRES!$D$36,2,1)))))</f>
        <v/>
      </c>
      <c r="X494" t="str">
        <f>IF($P494="","",IF($P494&gt;PARAMETRES!$G$37,5,IF($P494&gt;PARAMETRES!$F$37,4,IF($P494&gt;PARAMETRES!$E$37,3,IF($P494&gt;PARAMETRES!$D$37,2,1)))))</f>
        <v/>
      </c>
      <c r="Y494" t="str">
        <f t="shared" si="168"/>
        <v/>
      </c>
      <c r="Z494" t="str">
        <f>IFERROR(VLOOKUP($B494,TABLE_CYCLE,2,0),"")</f>
        <v/>
      </c>
      <c r="AA494" t="str">
        <f t="shared" si="169"/>
        <v/>
      </c>
      <c r="AB494" t="str">
        <f>IF($D494="","",IF(COUNTIF($D$2:$D494,$D494)=1,$D494,""))</f>
        <v/>
      </c>
      <c r="AC494">
        <f t="shared" si="170"/>
        <v>0</v>
      </c>
      <c r="AD494" t="str">
        <f t="shared" si="171"/>
        <v>|0</v>
      </c>
      <c r="AE494" t="str">
        <f t="shared" si="172"/>
        <v/>
      </c>
      <c r="AF494" t="str">
        <f t="shared" si="173"/>
        <v/>
      </c>
      <c r="AG494" t="str">
        <f t="shared" si="174"/>
        <v/>
      </c>
      <c r="AH494" t="str">
        <f t="shared" si="175"/>
        <v/>
      </c>
      <c r="AI494" t="str">
        <f t="shared" si="176"/>
        <v/>
      </c>
      <c r="AJ494" t="str">
        <f t="shared" si="177"/>
        <v/>
      </c>
      <c r="AK494" t="str">
        <f t="shared" si="178"/>
        <v/>
      </c>
      <c r="AL494" t="str">
        <f t="shared" si="179"/>
        <v/>
      </c>
      <c r="AM494" t="str">
        <f t="shared" si="180"/>
        <v/>
      </c>
      <c r="AN494" t="str">
        <f t="shared" si="181"/>
        <v/>
      </c>
      <c r="AO494" t="str">
        <f t="shared" si="182"/>
        <v/>
      </c>
      <c r="AP494">
        <f t="shared" si="183"/>
        <v>1</v>
      </c>
      <c r="AQ494" t="str">
        <f>IF(SAISIE!$F499="","",SAISIE!$Y499)</f>
        <v/>
      </c>
      <c r="AR494" t="str">
        <f>IF(OR(SAISIE!$U$4="",SAISIE!$W$4=""),"",IF(AND($A494=SAISIE!$U$4,$B494=SAISIE!$W$4,$C494="S1"),COUNTIFS($A$2:$A494,SAISIE!$U$4,$B$2:$B494,SAISIE!$W$4,$C$2:$C494,"S1"),""))</f>
        <v/>
      </c>
      <c r="AS494" t="str">
        <f t="shared" si="184"/>
        <v/>
      </c>
      <c r="AT494" t="str">
        <f t="shared" si="185"/>
        <v/>
      </c>
      <c r="AU494" t="str">
        <f t="shared" si="186"/>
        <v/>
      </c>
      <c r="AV494">
        <f>N(AV493)+IF(AND($AB494&lt;&gt;"",OR('PROFIL ELEVE'!$K$4="(Tous)",$AF494='PROFIL ELEVE'!$K$4)),1,0)</f>
        <v>0</v>
      </c>
      <c r="AW494">
        <f>N(AW493)+IF(AND($AB494&lt;&gt;"",OR('SUIVI LONGITUDINAL'!$Q$4="(Tous)",$AF494='SUIVI LONGITUDINAL'!$Q$4)),1,0)</f>
        <v>0</v>
      </c>
      <c r="AX494">
        <f t="shared" si="187"/>
        <v>0</v>
      </c>
      <c r="AY494">
        <f t="shared" si="188"/>
        <v>0</v>
      </c>
      <c r="AZ494">
        <f t="shared" si="189"/>
        <v>0</v>
      </c>
      <c r="BA494" t="str">
        <f t="shared" si="190"/>
        <v/>
      </c>
      <c r="BB494" t="str">
        <f t="shared" si="191"/>
        <v/>
      </c>
    </row>
    <row r="495" spans="1:54" ht="14.25" customHeight="1" x14ac:dyDescent="0.3">
      <c r="A495" t="str">
        <f>IF(SAISIE!$F500="","",SAISIE!$B500)</f>
        <v/>
      </c>
      <c r="B495" t="str">
        <f>IF(SAISIE!$F500="","",SAISIE!$C500)</f>
        <v/>
      </c>
      <c r="C495" t="str">
        <f>IF(SAISIE!$F500="","",SAISIE!$D500)</f>
        <v/>
      </c>
      <c r="D495" t="str">
        <f>IF(SAISIE!$E500="","",SAISIE!$E500)</f>
        <v/>
      </c>
      <c r="E495" t="str">
        <f>IF(SAISIE!$F500="","",SAISIE!$F500)</f>
        <v/>
      </c>
      <c r="F495" t="str">
        <f>IF(SAISIE!$G500="","",SAISIE!$G500)</f>
        <v/>
      </c>
      <c r="G495" t="str">
        <f>IF(SAISIE!$H500="","",SAISIE!$H500)</f>
        <v/>
      </c>
      <c r="H495" t="str">
        <f>IF(SAISIE!$I500="","",SAISIE!$I500)</f>
        <v/>
      </c>
      <c r="I495" t="str">
        <f>IF(SAISIE!$J500="","",SAISIE!$J500)</f>
        <v/>
      </c>
      <c r="J495" t="str">
        <f>IF(SAISIE!$K500="","",SAISIE!$K500)</f>
        <v/>
      </c>
      <c r="K495" t="str">
        <f>IF(SAISIE!$L500="","",SAISIE!$L500)</f>
        <v/>
      </c>
      <c r="L495" t="str">
        <f>IF(SAISIE!$M500="","",SAISIE!$M500)</f>
        <v/>
      </c>
      <c r="M495" t="str">
        <f>IF(SAISIE!$N500="","",SAISIE!$N500)</f>
        <v/>
      </c>
      <c r="N495" t="str">
        <f>IF(SAISIE!$O500="","",SAISIE!$O500)</f>
        <v/>
      </c>
      <c r="O495" t="str">
        <f>IF(SAISIE!$P500="","",SAISIE!$P500)</f>
        <v/>
      </c>
      <c r="P495" t="str">
        <f>IF(SAISIE!$Q500="","",SAISIE!$Q500)</f>
        <v/>
      </c>
      <c r="Q495" t="str">
        <f>IF($I495="","",IF($I495&gt;PARAMETRES!$G$29,5,IF($I495&gt;PARAMETRES!$F$29,4,IF($I495&gt;PARAMETRES!$E$29,3,IF($I495&gt;PARAMETRES!$D$29,2,1)))))</f>
        <v/>
      </c>
      <c r="R495" t="str">
        <f>IF($J495="","",IF($J495&gt;PARAMETRES!$G$30,5,IF($J495&gt;PARAMETRES!$F$30,4,IF($J495&gt;PARAMETRES!$E$30,3,IF($J495&gt;PARAMETRES!$D$30,2,1)))))</f>
        <v/>
      </c>
      <c r="S495" t="str">
        <f>IF($K495="","",IF($Z495=2,IF($K495&gt;PARAMETRES!$G$31,5,IF($K495&gt;PARAMETRES!$F$31,4,IF($K495&gt;PARAMETRES!$E$31,3,IF($K495&gt;PARAMETRES!$D$31,2,1)))),IF($K495&gt;PARAMETRES!$G$32,5,IF($K495&gt;PARAMETRES!$F$32,4,IF($K495&gt;PARAMETRES!$E$32,3,IF($K495&gt;PARAMETRES!$D$32,2,1))))))</f>
        <v/>
      </c>
      <c r="T495" t="str">
        <f>IF($L495="","",IF($L495&gt;PARAMETRES!$G$33,5,IF($L495&gt;PARAMETRES!$F$33,4,IF($L495&gt;PARAMETRES!$E$33,3,IF($L495&gt;PARAMETRES!$D$33,2,1)))))</f>
        <v/>
      </c>
      <c r="U495" t="str">
        <f>IF($M495="","",IF($M495&gt;PARAMETRES!$G$34,5,IF($M495&gt;PARAMETRES!$F$34,4,IF($M495&gt;PARAMETRES!$E$34,3,IF($M495&gt;PARAMETRES!$D$34,2,1)))))</f>
        <v/>
      </c>
      <c r="V495" t="str">
        <f>IF($N495="","",IF($N495&gt;PARAMETRES!$G$35,5,IF($N495&gt;PARAMETRES!$F$35,4,IF($N495&gt;PARAMETRES!$E$35,3,IF($N495&gt;PARAMETRES!$D$35,2,1)))))</f>
        <v/>
      </c>
      <c r="W495" t="str">
        <f>IF($O495="","",IF($O495&gt;PARAMETRES!$G$36,5,IF($O495&gt;PARAMETRES!$F$36,4,IF($O495&gt;PARAMETRES!$E$36,3,IF($O495&gt;PARAMETRES!$D$36,2,1)))))</f>
        <v/>
      </c>
      <c r="X495" t="str">
        <f>IF($P495="","",IF($P495&gt;PARAMETRES!$G$37,5,IF($P495&gt;PARAMETRES!$F$37,4,IF($P495&gt;PARAMETRES!$E$37,3,IF($P495&gt;PARAMETRES!$D$37,2,1)))))</f>
        <v/>
      </c>
      <c r="Y495" t="str">
        <f t="shared" si="168"/>
        <v/>
      </c>
      <c r="Z495" t="str">
        <f>IFERROR(VLOOKUP($B495,TABLE_CYCLE,2,0),"")</f>
        <v/>
      </c>
      <c r="AA495" t="str">
        <f t="shared" si="169"/>
        <v/>
      </c>
      <c r="AB495" t="str">
        <f>IF($D495="","",IF(COUNTIF($D$2:$D495,$D495)=1,$D495,""))</f>
        <v/>
      </c>
      <c r="AC495">
        <f t="shared" si="170"/>
        <v>0</v>
      </c>
      <c r="AD495" t="str">
        <f t="shared" si="171"/>
        <v>|0</v>
      </c>
      <c r="AE495" t="str">
        <f t="shared" si="172"/>
        <v/>
      </c>
      <c r="AF495" t="str">
        <f t="shared" si="173"/>
        <v/>
      </c>
      <c r="AG495" t="str">
        <f t="shared" si="174"/>
        <v/>
      </c>
      <c r="AH495" t="str">
        <f t="shared" si="175"/>
        <v/>
      </c>
      <c r="AI495" t="str">
        <f t="shared" si="176"/>
        <v/>
      </c>
      <c r="AJ495" t="str">
        <f t="shared" si="177"/>
        <v/>
      </c>
      <c r="AK495" t="str">
        <f t="shared" si="178"/>
        <v/>
      </c>
      <c r="AL495" t="str">
        <f t="shared" si="179"/>
        <v/>
      </c>
      <c r="AM495" t="str">
        <f t="shared" si="180"/>
        <v/>
      </c>
      <c r="AN495" t="str">
        <f t="shared" si="181"/>
        <v/>
      </c>
      <c r="AO495" t="str">
        <f t="shared" si="182"/>
        <v/>
      </c>
      <c r="AP495">
        <f t="shared" si="183"/>
        <v>1</v>
      </c>
      <c r="AQ495" t="str">
        <f>IF(SAISIE!$F500="","",SAISIE!$Y500)</f>
        <v/>
      </c>
      <c r="AR495" t="str">
        <f>IF(OR(SAISIE!$U$4="",SAISIE!$W$4=""),"",IF(AND($A495=SAISIE!$U$4,$B495=SAISIE!$W$4,$C495="S1"),COUNTIFS($A$2:$A495,SAISIE!$U$4,$B$2:$B495,SAISIE!$W$4,$C$2:$C495,"S1"),""))</f>
        <v/>
      </c>
      <c r="AS495" t="str">
        <f t="shared" si="184"/>
        <v/>
      </c>
      <c r="AT495" t="str">
        <f t="shared" si="185"/>
        <v/>
      </c>
      <c r="AU495" t="str">
        <f t="shared" si="186"/>
        <v/>
      </c>
      <c r="AV495">
        <f>N(AV494)+IF(AND($AB495&lt;&gt;"",OR('PROFIL ELEVE'!$K$4="(Tous)",$AF495='PROFIL ELEVE'!$K$4)),1,0)</f>
        <v>0</v>
      </c>
      <c r="AW495">
        <f>N(AW494)+IF(AND($AB495&lt;&gt;"",OR('SUIVI LONGITUDINAL'!$Q$4="(Tous)",$AF495='SUIVI LONGITUDINAL'!$Q$4)),1,0)</f>
        <v>0</v>
      </c>
      <c r="AX495">
        <f t="shared" si="187"/>
        <v>0</v>
      </c>
      <c r="AY495">
        <f t="shared" si="188"/>
        <v>0</v>
      </c>
      <c r="AZ495">
        <f t="shared" si="189"/>
        <v>0</v>
      </c>
      <c r="BA495" t="str">
        <f t="shared" si="190"/>
        <v/>
      </c>
      <c r="BB495" t="str">
        <f t="shared" si="191"/>
        <v/>
      </c>
    </row>
    <row r="496" spans="1:54" ht="14.25" customHeight="1" x14ac:dyDescent="0.3">
      <c r="A496" t="str">
        <f>IF(SAISIE!$F501="","",SAISIE!$B501)</f>
        <v/>
      </c>
      <c r="B496" t="str">
        <f>IF(SAISIE!$F501="","",SAISIE!$C501)</f>
        <v/>
      </c>
      <c r="C496" t="str">
        <f>IF(SAISIE!$F501="","",SAISIE!$D501)</f>
        <v/>
      </c>
      <c r="D496" t="str">
        <f>IF(SAISIE!$E501="","",SAISIE!$E501)</f>
        <v/>
      </c>
      <c r="E496" t="str">
        <f>IF(SAISIE!$F501="","",SAISIE!$F501)</f>
        <v/>
      </c>
      <c r="F496" t="str">
        <f>IF(SAISIE!$G501="","",SAISIE!$G501)</f>
        <v/>
      </c>
      <c r="G496" t="str">
        <f>IF(SAISIE!$H501="","",SAISIE!$H501)</f>
        <v/>
      </c>
      <c r="H496" t="str">
        <f>IF(SAISIE!$I501="","",SAISIE!$I501)</f>
        <v/>
      </c>
      <c r="I496" t="str">
        <f>IF(SAISIE!$J501="","",SAISIE!$J501)</f>
        <v/>
      </c>
      <c r="J496" t="str">
        <f>IF(SAISIE!$K501="","",SAISIE!$K501)</f>
        <v/>
      </c>
      <c r="K496" t="str">
        <f>IF(SAISIE!$L501="","",SAISIE!$L501)</f>
        <v/>
      </c>
      <c r="L496" t="str">
        <f>IF(SAISIE!$M501="","",SAISIE!$M501)</f>
        <v/>
      </c>
      <c r="M496" t="str">
        <f>IF(SAISIE!$N501="","",SAISIE!$N501)</f>
        <v/>
      </c>
      <c r="N496" t="str">
        <f>IF(SAISIE!$O501="","",SAISIE!$O501)</f>
        <v/>
      </c>
      <c r="O496" t="str">
        <f>IF(SAISIE!$P501="","",SAISIE!$P501)</f>
        <v/>
      </c>
      <c r="P496" t="str">
        <f>IF(SAISIE!$Q501="","",SAISIE!$Q501)</f>
        <v/>
      </c>
      <c r="Q496" t="str">
        <f>IF($I496="","",IF($I496&gt;PARAMETRES!$G$29,5,IF($I496&gt;PARAMETRES!$F$29,4,IF($I496&gt;PARAMETRES!$E$29,3,IF($I496&gt;PARAMETRES!$D$29,2,1)))))</f>
        <v/>
      </c>
      <c r="R496" t="str">
        <f>IF($J496="","",IF($J496&gt;PARAMETRES!$G$30,5,IF($J496&gt;PARAMETRES!$F$30,4,IF($J496&gt;PARAMETRES!$E$30,3,IF($J496&gt;PARAMETRES!$D$30,2,1)))))</f>
        <v/>
      </c>
      <c r="S496" t="str">
        <f>IF($K496="","",IF($Z496=2,IF($K496&gt;PARAMETRES!$G$31,5,IF($K496&gt;PARAMETRES!$F$31,4,IF($K496&gt;PARAMETRES!$E$31,3,IF($K496&gt;PARAMETRES!$D$31,2,1)))),IF($K496&gt;PARAMETRES!$G$32,5,IF($K496&gt;PARAMETRES!$F$32,4,IF($K496&gt;PARAMETRES!$E$32,3,IF($K496&gt;PARAMETRES!$D$32,2,1))))))</f>
        <v/>
      </c>
      <c r="T496" t="str">
        <f>IF($L496="","",IF($L496&gt;PARAMETRES!$G$33,5,IF($L496&gt;PARAMETRES!$F$33,4,IF($L496&gt;PARAMETRES!$E$33,3,IF($L496&gt;PARAMETRES!$D$33,2,1)))))</f>
        <v/>
      </c>
      <c r="U496" t="str">
        <f>IF($M496="","",IF($M496&gt;PARAMETRES!$G$34,5,IF($M496&gt;PARAMETRES!$F$34,4,IF($M496&gt;PARAMETRES!$E$34,3,IF($M496&gt;PARAMETRES!$D$34,2,1)))))</f>
        <v/>
      </c>
      <c r="V496" t="str">
        <f>IF($N496="","",IF($N496&gt;PARAMETRES!$G$35,5,IF($N496&gt;PARAMETRES!$F$35,4,IF($N496&gt;PARAMETRES!$E$35,3,IF($N496&gt;PARAMETRES!$D$35,2,1)))))</f>
        <v/>
      </c>
      <c r="W496" t="str">
        <f>IF($O496="","",IF($O496&gt;PARAMETRES!$G$36,5,IF($O496&gt;PARAMETRES!$F$36,4,IF($O496&gt;PARAMETRES!$E$36,3,IF($O496&gt;PARAMETRES!$D$36,2,1)))))</f>
        <v/>
      </c>
      <c r="X496" t="str">
        <f>IF($P496="","",IF($P496&gt;PARAMETRES!$G$37,5,IF($P496&gt;PARAMETRES!$F$37,4,IF($P496&gt;PARAMETRES!$E$37,3,IF($P496&gt;PARAMETRES!$D$37,2,1)))))</f>
        <v/>
      </c>
      <c r="Y496" t="str">
        <f t="shared" si="168"/>
        <v/>
      </c>
      <c r="Z496" t="str">
        <f>IFERROR(VLOOKUP($B496,TABLE_CYCLE,2,0),"")</f>
        <v/>
      </c>
      <c r="AA496" t="str">
        <f t="shared" si="169"/>
        <v/>
      </c>
      <c r="AB496" t="str">
        <f>IF($D496="","",IF(COUNTIF($D$2:$D496,$D496)=1,$D496,""))</f>
        <v/>
      </c>
      <c r="AC496">
        <f t="shared" si="170"/>
        <v>0</v>
      </c>
      <c r="AD496" t="str">
        <f t="shared" si="171"/>
        <v>|0</v>
      </c>
      <c r="AE496" t="str">
        <f t="shared" si="172"/>
        <v/>
      </c>
      <c r="AF496" t="str">
        <f t="shared" si="173"/>
        <v/>
      </c>
      <c r="AG496" t="str">
        <f t="shared" si="174"/>
        <v/>
      </c>
      <c r="AH496" t="str">
        <f t="shared" si="175"/>
        <v/>
      </c>
      <c r="AI496" t="str">
        <f t="shared" si="176"/>
        <v/>
      </c>
      <c r="AJ496" t="str">
        <f t="shared" si="177"/>
        <v/>
      </c>
      <c r="AK496" t="str">
        <f t="shared" si="178"/>
        <v/>
      </c>
      <c r="AL496" t="str">
        <f t="shared" si="179"/>
        <v/>
      </c>
      <c r="AM496" t="str">
        <f t="shared" si="180"/>
        <v/>
      </c>
      <c r="AN496" t="str">
        <f t="shared" si="181"/>
        <v/>
      </c>
      <c r="AO496" t="str">
        <f t="shared" si="182"/>
        <v/>
      </c>
      <c r="AP496">
        <f t="shared" si="183"/>
        <v>1</v>
      </c>
      <c r="AQ496" t="str">
        <f>IF(SAISIE!$F501="","",SAISIE!$Y501)</f>
        <v/>
      </c>
      <c r="AR496" t="str">
        <f>IF(OR(SAISIE!$U$4="",SAISIE!$W$4=""),"",IF(AND($A496=SAISIE!$U$4,$B496=SAISIE!$W$4,$C496="S1"),COUNTIFS($A$2:$A496,SAISIE!$U$4,$B$2:$B496,SAISIE!$W$4,$C$2:$C496,"S1"),""))</f>
        <v/>
      </c>
      <c r="AS496" t="str">
        <f t="shared" si="184"/>
        <v/>
      </c>
      <c r="AT496" t="str">
        <f t="shared" si="185"/>
        <v/>
      </c>
      <c r="AU496" t="str">
        <f t="shared" si="186"/>
        <v/>
      </c>
      <c r="AV496">
        <f>N(AV495)+IF(AND($AB496&lt;&gt;"",OR('PROFIL ELEVE'!$K$4="(Tous)",$AF496='PROFIL ELEVE'!$K$4)),1,0)</f>
        <v>0</v>
      </c>
      <c r="AW496">
        <f>N(AW495)+IF(AND($AB496&lt;&gt;"",OR('SUIVI LONGITUDINAL'!$Q$4="(Tous)",$AF496='SUIVI LONGITUDINAL'!$Q$4)),1,0)</f>
        <v>0</v>
      </c>
      <c r="AX496">
        <f t="shared" si="187"/>
        <v>0</v>
      </c>
      <c r="AY496">
        <f t="shared" si="188"/>
        <v>0</v>
      </c>
      <c r="AZ496">
        <f t="shared" si="189"/>
        <v>0</v>
      </c>
      <c r="BA496" t="str">
        <f t="shared" si="190"/>
        <v/>
      </c>
      <c r="BB496" t="str">
        <f t="shared" si="191"/>
        <v/>
      </c>
    </row>
    <row r="497" spans="1:54" ht="14.25" customHeight="1" x14ac:dyDescent="0.3">
      <c r="A497" t="str">
        <f>IF(SAISIE!$F502="","",SAISIE!$B502)</f>
        <v/>
      </c>
      <c r="B497" t="str">
        <f>IF(SAISIE!$F502="","",SAISIE!$C502)</f>
        <v/>
      </c>
      <c r="C497" t="str">
        <f>IF(SAISIE!$F502="","",SAISIE!$D502)</f>
        <v/>
      </c>
      <c r="D497" t="str">
        <f>IF(SAISIE!$E502="","",SAISIE!$E502)</f>
        <v/>
      </c>
      <c r="E497" t="str">
        <f>IF(SAISIE!$F502="","",SAISIE!$F502)</f>
        <v/>
      </c>
      <c r="F497" t="str">
        <f>IF(SAISIE!$G502="","",SAISIE!$G502)</f>
        <v/>
      </c>
      <c r="G497" t="str">
        <f>IF(SAISIE!$H502="","",SAISIE!$H502)</f>
        <v/>
      </c>
      <c r="H497" t="str">
        <f>IF(SAISIE!$I502="","",SAISIE!$I502)</f>
        <v/>
      </c>
      <c r="I497" t="str">
        <f>IF(SAISIE!$J502="","",SAISIE!$J502)</f>
        <v/>
      </c>
      <c r="J497" t="str">
        <f>IF(SAISIE!$K502="","",SAISIE!$K502)</f>
        <v/>
      </c>
      <c r="K497" t="str">
        <f>IF(SAISIE!$L502="","",SAISIE!$L502)</f>
        <v/>
      </c>
      <c r="L497" t="str">
        <f>IF(SAISIE!$M502="","",SAISIE!$M502)</f>
        <v/>
      </c>
      <c r="M497" t="str">
        <f>IF(SAISIE!$N502="","",SAISIE!$N502)</f>
        <v/>
      </c>
      <c r="N497" t="str">
        <f>IF(SAISIE!$O502="","",SAISIE!$O502)</f>
        <v/>
      </c>
      <c r="O497" t="str">
        <f>IF(SAISIE!$P502="","",SAISIE!$P502)</f>
        <v/>
      </c>
      <c r="P497" t="str">
        <f>IF(SAISIE!$Q502="","",SAISIE!$Q502)</f>
        <v/>
      </c>
      <c r="Q497" t="str">
        <f>IF($I497="","",IF($I497&gt;PARAMETRES!$G$29,5,IF($I497&gt;PARAMETRES!$F$29,4,IF($I497&gt;PARAMETRES!$E$29,3,IF($I497&gt;PARAMETRES!$D$29,2,1)))))</f>
        <v/>
      </c>
      <c r="R497" t="str">
        <f>IF($J497="","",IF($J497&gt;PARAMETRES!$G$30,5,IF($J497&gt;PARAMETRES!$F$30,4,IF($J497&gt;PARAMETRES!$E$30,3,IF($J497&gt;PARAMETRES!$D$30,2,1)))))</f>
        <v/>
      </c>
      <c r="S497" t="str">
        <f>IF($K497="","",IF($Z497=2,IF($K497&gt;PARAMETRES!$G$31,5,IF($K497&gt;PARAMETRES!$F$31,4,IF($K497&gt;PARAMETRES!$E$31,3,IF($K497&gt;PARAMETRES!$D$31,2,1)))),IF($K497&gt;PARAMETRES!$G$32,5,IF($K497&gt;PARAMETRES!$F$32,4,IF($K497&gt;PARAMETRES!$E$32,3,IF($K497&gt;PARAMETRES!$D$32,2,1))))))</f>
        <v/>
      </c>
      <c r="T497" t="str">
        <f>IF($L497="","",IF($L497&gt;PARAMETRES!$G$33,5,IF($L497&gt;PARAMETRES!$F$33,4,IF($L497&gt;PARAMETRES!$E$33,3,IF($L497&gt;PARAMETRES!$D$33,2,1)))))</f>
        <v/>
      </c>
      <c r="U497" t="str">
        <f>IF($M497="","",IF($M497&gt;PARAMETRES!$G$34,5,IF($M497&gt;PARAMETRES!$F$34,4,IF($M497&gt;PARAMETRES!$E$34,3,IF($M497&gt;PARAMETRES!$D$34,2,1)))))</f>
        <v/>
      </c>
      <c r="V497" t="str">
        <f>IF($N497="","",IF($N497&gt;PARAMETRES!$G$35,5,IF($N497&gt;PARAMETRES!$F$35,4,IF($N497&gt;PARAMETRES!$E$35,3,IF($N497&gt;PARAMETRES!$D$35,2,1)))))</f>
        <v/>
      </c>
      <c r="W497" t="str">
        <f>IF($O497="","",IF($O497&gt;PARAMETRES!$G$36,5,IF($O497&gt;PARAMETRES!$F$36,4,IF($O497&gt;PARAMETRES!$E$36,3,IF($O497&gt;PARAMETRES!$D$36,2,1)))))</f>
        <v/>
      </c>
      <c r="X497" t="str">
        <f>IF($P497="","",IF($P497&gt;PARAMETRES!$G$37,5,IF($P497&gt;PARAMETRES!$F$37,4,IF($P497&gt;PARAMETRES!$E$37,3,IF($P497&gt;PARAMETRES!$D$37,2,1)))))</f>
        <v/>
      </c>
      <c r="Y497" t="str">
        <f t="shared" si="168"/>
        <v/>
      </c>
      <c r="Z497" t="str">
        <f>IFERROR(VLOOKUP($B497,TABLE_CYCLE,2,0),"")</f>
        <v/>
      </c>
      <c r="AA497" t="str">
        <f t="shared" si="169"/>
        <v/>
      </c>
      <c r="AB497" t="str">
        <f>IF($D497="","",IF(COUNTIF($D$2:$D497,$D497)=1,$D497,""))</f>
        <v/>
      </c>
      <c r="AC497">
        <f t="shared" si="170"/>
        <v>0</v>
      </c>
      <c r="AD497" t="str">
        <f t="shared" si="171"/>
        <v>|0</v>
      </c>
      <c r="AE497" t="str">
        <f t="shared" si="172"/>
        <v/>
      </c>
      <c r="AF497" t="str">
        <f t="shared" si="173"/>
        <v/>
      </c>
      <c r="AG497" t="str">
        <f t="shared" si="174"/>
        <v/>
      </c>
      <c r="AH497" t="str">
        <f t="shared" si="175"/>
        <v/>
      </c>
      <c r="AI497" t="str">
        <f t="shared" si="176"/>
        <v/>
      </c>
      <c r="AJ497" t="str">
        <f t="shared" si="177"/>
        <v/>
      </c>
      <c r="AK497" t="str">
        <f t="shared" si="178"/>
        <v/>
      </c>
      <c r="AL497" t="str">
        <f t="shared" si="179"/>
        <v/>
      </c>
      <c r="AM497" t="str">
        <f t="shared" si="180"/>
        <v/>
      </c>
      <c r="AN497" t="str">
        <f t="shared" si="181"/>
        <v/>
      </c>
      <c r="AO497" t="str">
        <f t="shared" si="182"/>
        <v/>
      </c>
      <c r="AP497">
        <f t="shared" si="183"/>
        <v>1</v>
      </c>
      <c r="AQ497" t="str">
        <f>IF(SAISIE!$F502="","",SAISIE!$Y502)</f>
        <v/>
      </c>
      <c r="AR497" t="str">
        <f>IF(OR(SAISIE!$U$4="",SAISIE!$W$4=""),"",IF(AND($A497=SAISIE!$U$4,$B497=SAISIE!$W$4,$C497="S1"),COUNTIFS($A$2:$A497,SAISIE!$U$4,$B$2:$B497,SAISIE!$W$4,$C$2:$C497,"S1"),""))</f>
        <v/>
      </c>
      <c r="AS497" t="str">
        <f t="shared" si="184"/>
        <v/>
      </c>
      <c r="AT497" t="str">
        <f t="shared" si="185"/>
        <v/>
      </c>
      <c r="AU497" t="str">
        <f t="shared" si="186"/>
        <v/>
      </c>
      <c r="AV497">
        <f>N(AV496)+IF(AND($AB497&lt;&gt;"",OR('PROFIL ELEVE'!$K$4="(Tous)",$AF497='PROFIL ELEVE'!$K$4)),1,0)</f>
        <v>0</v>
      </c>
      <c r="AW497">
        <f>N(AW496)+IF(AND($AB497&lt;&gt;"",OR('SUIVI LONGITUDINAL'!$Q$4="(Tous)",$AF497='SUIVI LONGITUDINAL'!$Q$4)),1,0)</f>
        <v>0</v>
      </c>
      <c r="AX497">
        <f t="shared" si="187"/>
        <v>0</v>
      </c>
      <c r="AY497">
        <f t="shared" si="188"/>
        <v>0</v>
      </c>
      <c r="AZ497">
        <f t="shared" si="189"/>
        <v>0</v>
      </c>
      <c r="BA497" t="str">
        <f t="shared" si="190"/>
        <v/>
      </c>
      <c r="BB497" t="str">
        <f t="shared" si="191"/>
        <v/>
      </c>
    </row>
    <row r="498" spans="1:54" ht="14.25" customHeight="1" x14ac:dyDescent="0.3">
      <c r="A498" t="str">
        <f>IF(SAISIE!$F503="","",SAISIE!$B503)</f>
        <v/>
      </c>
      <c r="B498" t="str">
        <f>IF(SAISIE!$F503="","",SAISIE!$C503)</f>
        <v/>
      </c>
      <c r="C498" t="str">
        <f>IF(SAISIE!$F503="","",SAISIE!$D503)</f>
        <v/>
      </c>
      <c r="D498" t="str">
        <f>IF(SAISIE!$E503="","",SAISIE!$E503)</f>
        <v/>
      </c>
      <c r="E498" t="str">
        <f>IF(SAISIE!$F503="","",SAISIE!$F503)</f>
        <v/>
      </c>
      <c r="F498" t="str">
        <f>IF(SAISIE!$G503="","",SAISIE!$G503)</f>
        <v/>
      </c>
      <c r="G498" t="str">
        <f>IF(SAISIE!$H503="","",SAISIE!$H503)</f>
        <v/>
      </c>
      <c r="H498" t="str">
        <f>IF(SAISIE!$I503="","",SAISIE!$I503)</f>
        <v/>
      </c>
      <c r="I498" t="str">
        <f>IF(SAISIE!$J503="","",SAISIE!$J503)</f>
        <v/>
      </c>
      <c r="J498" t="str">
        <f>IF(SAISIE!$K503="","",SAISIE!$K503)</f>
        <v/>
      </c>
      <c r="K498" t="str">
        <f>IF(SAISIE!$L503="","",SAISIE!$L503)</f>
        <v/>
      </c>
      <c r="L498" t="str">
        <f>IF(SAISIE!$M503="","",SAISIE!$M503)</f>
        <v/>
      </c>
      <c r="M498" t="str">
        <f>IF(SAISIE!$N503="","",SAISIE!$N503)</f>
        <v/>
      </c>
      <c r="N498" t="str">
        <f>IF(SAISIE!$O503="","",SAISIE!$O503)</f>
        <v/>
      </c>
      <c r="O498" t="str">
        <f>IF(SAISIE!$P503="","",SAISIE!$P503)</f>
        <v/>
      </c>
      <c r="P498" t="str">
        <f>IF(SAISIE!$Q503="","",SAISIE!$Q503)</f>
        <v/>
      </c>
      <c r="Q498" t="str">
        <f>IF($I498="","",IF($I498&gt;PARAMETRES!$G$29,5,IF($I498&gt;PARAMETRES!$F$29,4,IF($I498&gt;PARAMETRES!$E$29,3,IF($I498&gt;PARAMETRES!$D$29,2,1)))))</f>
        <v/>
      </c>
      <c r="R498" t="str">
        <f>IF($J498="","",IF($J498&gt;PARAMETRES!$G$30,5,IF($J498&gt;PARAMETRES!$F$30,4,IF($J498&gt;PARAMETRES!$E$30,3,IF($J498&gt;PARAMETRES!$D$30,2,1)))))</f>
        <v/>
      </c>
      <c r="S498" t="str">
        <f>IF($K498="","",IF($Z498=2,IF($K498&gt;PARAMETRES!$G$31,5,IF($K498&gt;PARAMETRES!$F$31,4,IF($K498&gt;PARAMETRES!$E$31,3,IF($K498&gt;PARAMETRES!$D$31,2,1)))),IF($K498&gt;PARAMETRES!$G$32,5,IF($K498&gt;PARAMETRES!$F$32,4,IF($K498&gt;PARAMETRES!$E$32,3,IF($K498&gt;PARAMETRES!$D$32,2,1))))))</f>
        <v/>
      </c>
      <c r="T498" t="str">
        <f>IF($L498="","",IF($L498&gt;PARAMETRES!$G$33,5,IF($L498&gt;PARAMETRES!$F$33,4,IF($L498&gt;PARAMETRES!$E$33,3,IF($L498&gt;PARAMETRES!$D$33,2,1)))))</f>
        <v/>
      </c>
      <c r="U498" t="str">
        <f>IF($M498="","",IF($M498&gt;PARAMETRES!$G$34,5,IF($M498&gt;PARAMETRES!$F$34,4,IF($M498&gt;PARAMETRES!$E$34,3,IF($M498&gt;PARAMETRES!$D$34,2,1)))))</f>
        <v/>
      </c>
      <c r="V498" t="str">
        <f>IF($N498="","",IF($N498&gt;PARAMETRES!$G$35,5,IF($N498&gt;PARAMETRES!$F$35,4,IF($N498&gt;PARAMETRES!$E$35,3,IF($N498&gt;PARAMETRES!$D$35,2,1)))))</f>
        <v/>
      </c>
      <c r="W498" t="str">
        <f>IF($O498="","",IF($O498&gt;PARAMETRES!$G$36,5,IF($O498&gt;PARAMETRES!$F$36,4,IF($O498&gt;PARAMETRES!$E$36,3,IF($O498&gt;PARAMETRES!$D$36,2,1)))))</f>
        <v/>
      </c>
      <c r="X498" t="str">
        <f>IF($P498="","",IF($P498&gt;PARAMETRES!$G$37,5,IF($P498&gt;PARAMETRES!$F$37,4,IF($P498&gt;PARAMETRES!$E$37,3,IF($P498&gt;PARAMETRES!$D$37,2,1)))))</f>
        <v/>
      </c>
      <c r="Y498" t="str">
        <f t="shared" si="168"/>
        <v/>
      </c>
      <c r="Z498" t="str">
        <f>IFERROR(VLOOKUP($B498,TABLE_CYCLE,2,0),"")</f>
        <v/>
      </c>
      <c r="AA498" t="str">
        <f t="shared" si="169"/>
        <v/>
      </c>
      <c r="AB498" t="str">
        <f>IF($D498="","",IF(COUNTIF($D$2:$D498,$D498)=1,$D498,""))</f>
        <v/>
      </c>
      <c r="AC498">
        <f t="shared" si="170"/>
        <v>0</v>
      </c>
      <c r="AD498" t="str">
        <f t="shared" si="171"/>
        <v>|0</v>
      </c>
      <c r="AE498" t="str">
        <f t="shared" si="172"/>
        <v/>
      </c>
      <c r="AF498" t="str">
        <f t="shared" si="173"/>
        <v/>
      </c>
      <c r="AG498" t="str">
        <f t="shared" si="174"/>
        <v/>
      </c>
      <c r="AH498" t="str">
        <f t="shared" si="175"/>
        <v/>
      </c>
      <c r="AI498" t="str">
        <f t="shared" si="176"/>
        <v/>
      </c>
      <c r="AJ498" t="str">
        <f t="shared" si="177"/>
        <v/>
      </c>
      <c r="AK498" t="str">
        <f t="shared" si="178"/>
        <v/>
      </c>
      <c r="AL498" t="str">
        <f t="shared" si="179"/>
        <v/>
      </c>
      <c r="AM498" t="str">
        <f t="shared" si="180"/>
        <v/>
      </c>
      <c r="AN498" t="str">
        <f t="shared" si="181"/>
        <v/>
      </c>
      <c r="AO498" t="str">
        <f t="shared" si="182"/>
        <v/>
      </c>
      <c r="AP498">
        <f t="shared" si="183"/>
        <v>1</v>
      </c>
      <c r="AQ498" t="str">
        <f>IF(SAISIE!$F503="","",SAISIE!$Y503)</f>
        <v/>
      </c>
      <c r="AR498" t="str">
        <f>IF(OR(SAISIE!$U$4="",SAISIE!$W$4=""),"",IF(AND($A498=SAISIE!$U$4,$B498=SAISIE!$W$4,$C498="S1"),COUNTIFS($A$2:$A498,SAISIE!$U$4,$B$2:$B498,SAISIE!$W$4,$C$2:$C498,"S1"),""))</f>
        <v/>
      </c>
      <c r="AS498" t="str">
        <f t="shared" si="184"/>
        <v/>
      </c>
      <c r="AT498" t="str">
        <f t="shared" si="185"/>
        <v/>
      </c>
      <c r="AU498" t="str">
        <f t="shared" si="186"/>
        <v/>
      </c>
      <c r="AV498">
        <f>N(AV497)+IF(AND($AB498&lt;&gt;"",OR('PROFIL ELEVE'!$K$4="(Tous)",$AF498='PROFIL ELEVE'!$K$4)),1,0)</f>
        <v>0</v>
      </c>
      <c r="AW498">
        <f>N(AW497)+IF(AND($AB498&lt;&gt;"",OR('SUIVI LONGITUDINAL'!$Q$4="(Tous)",$AF498='SUIVI LONGITUDINAL'!$Q$4)),1,0)</f>
        <v>0</v>
      </c>
      <c r="AX498">
        <f t="shared" si="187"/>
        <v>0</v>
      </c>
      <c r="AY498">
        <f t="shared" si="188"/>
        <v>0</v>
      </c>
      <c r="AZ498">
        <f t="shared" si="189"/>
        <v>0</v>
      </c>
      <c r="BA498" t="str">
        <f t="shared" si="190"/>
        <v/>
      </c>
      <c r="BB498" t="str">
        <f t="shared" si="191"/>
        <v/>
      </c>
    </row>
    <row r="499" spans="1:54" ht="14.25" customHeight="1" x14ac:dyDescent="0.3">
      <c r="A499" t="str">
        <f>IF(SAISIE!$F504="","",SAISIE!$B504)</f>
        <v/>
      </c>
      <c r="B499" t="str">
        <f>IF(SAISIE!$F504="","",SAISIE!$C504)</f>
        <v/>
      </c>
      <c r="C499" t="str">
        <f>IF(SAISIE!$F504="","",SAISIE!$D504)</f>
        <v/>
      </c>
      <c r="D499" t="str">
        <f>IF(SAISIE!$E504="","",SAISIE!$E504)</f>
        <v/>
      </c>
      <c r="E499" t="str">
        <f>IF(SAISIE!$F504="","",SAISIE!$F504)</f>
        <v/>
      </c>
      <c r="F499" t="str">
        <f>IF(SAISIE!$G504="","",SAISIE!$G504)</f>
        <v/>
      </c>
      <c r="G499" t="str">
        <f>IF(SAISIE!$H504="","",SAISIE!$H504)</f>
        <v/>
      </c>
      <c r="H499" t="str">
        <f>IF(SAISIE!$I504="","",SAISIE!$I504)</f>
        <v/>
      </c>
      <c r="I499" t="str">
        <f>IF(SAISIE!$J504="","",SAISIE!$J504)</f>
        <v/>
      </c>
      <c r="J499" t="str">
        <f>IF(SAISIE!$K504="","",SAISIE!$K504)</f>
        <v/>
      </c>
      <c r="K499" t="str">
        <f>IF(SAISIE!$L504="","",SAISIE!$L504)</f>
        <v/>
      </c>
      <c r="L499" t="str">
        <f>IF(SAISIE!$M504="","",SAISIE!$M504)</f>
        <v/>
      </c>
      <c r="M499" t="str">
        <f>IF(SAISIE!$N504="","",SAISIE!$N504)</f>
        <v/>
      </c>
      <c r="N499" t="str">
        <f>IF(SAISIE!$O504="","",SAISIE!$O504)</f>
        <v/>
      </c>
      <c r="O499" t="str">
        <f>IF(SAISIE!$P504="","",SAISIE!$P504)</f>
        <v/>
      </c>
      <c r="P499" t="str">
        <f>IF(SAISIE!$Q504="","",SAISIE!$Q504)</f>
        <v/>
      </c>
      <c r="Q499" t="str">
        <f>IF($I499="","",IF($I499&gt;PARAMETRES!$G$29,5,IF($I499&gt;PARAMETRES!$F$29,4,IF($I499&gt;PARAMETRES!$E$29,3,IF($I499&gt;PARAMETRES!$D$29,2,1)))))</f>
        <v/>
      </c>
      <c r="R499" t="str">
        <f>IF($J499="","",IF($J499&gt;PARAMETRES!$G$30,5,IF($J499&gt;PARAMETRES!$F$30,4,IF($J499&gt;PARAMETRES!$E$30,3,IF($J499&gt;PARAMETRES!$D$30,2,1)))))</f>
        <v/>
      </c>
      <c r="S499" t="str">
        <f>IF($K499="","",IF($Z499=2,IF($K499&gt;PARAMETRES!$G$31,5,IF($K499&gt;PARAMETRES!$F$31,4,IF($K499&gt;PARAMETRES!$E$31,3,IF($K499&gt;PARAMETRES!$D$31,2,1)))),IF($K499&gt;PARAMETRES!$G$32,5,IF($K499&gt;PARAMETRES!$F$32,4,IF($K499&gt;PARAMETRES!$E$32,3,IF($K499&gt;PARAMETRES!$D$32,2,1))))))</f>
        <v/>
      </c>
      <c r="T499" t="str">
        <f>IF($L499="","",IF($L499&gt;PARAMETRES!$G$33,5,IF($L499&gt;PARAMETRES!$F$33,4,IF($L499&gt;PARAMETRES!$E$33,3,IF($L499&gt;PARAMETRES!$D$33,2,1)))))</f>
        <v/>
      </c>
      <c r="U499" t="str">
        <f>IF($M499="","",IF($M499&gt;PARAMETRES!$G$34,5,IF($M499&gt;PARAMETRES!$F$34,4,IF($M499&gt;PARAMETRES!$E$34,3,IF($M499&gt;PARAMETRES!$D$34,2,1)))))</f>
        <v/>
      </c>
      <c r="V499" t="str">
        <f>IF($N499="","",IF($N499&gt;PARAMETRES!$G$35,5,IF($N499&gt;PARAMETRES!$F$35,4,IF($N499&gt;PARAMETRES!$E$35,3,IF($N499&gt;PARAMETRES!$D$35,2,1)))))</f>
        <v/>
      </c>
      <c r="W499" t="str">
        <f>IF($O499="","",IF($O499&gt;PARAMETRES!$G$36,5,IF($O499&gt;PARAMETRES!$F$36,4,IF($O499&gt;PARAMETRES!$E$36,3,IF($O499&gt;PARAMETRES!$D$36,2,1)))))</f>
        <v/>
      </c>
      <c r="X499" t="str">
        <f>IF($P499="","",IF($P499&gt;PARAMETRES!$G$37,5,IF($P499&gt;PARAMETRES!$F$37,4,IF($P499&gt;PARAMETRES!$E$37,3,IF($P499&gt;PARAMETRES!$D$37,2,1)))))</f>
        <v/>
      </c>
      <c r="Y499" t="str">
        <f t="shared" si="168"/>
        <v/>
      </c>
      <c r="Z499" t="str">
        <f>IFERROR(VLOOKUP($B499,TABLE_CYCLE,2,0),"")</f>
        <v/>
      </c>
      <c r="AA499" t="str">
        <f t="shared" si="169"/>
        <v/>
      </c>
      <c r="AB499" t="str">
        <f>IF($D499="","",IF(COUNTIF($D$2:$D499,$D499)=1,$D499,""))</f>
        <v/>
      </c>
      <c r="AC499">
        <f t="shared" si="170"/>
        <v>0</v>
      </c>
      <c r="AD499" t="str">
        <f t="shared" si="171"/>
        <v>|0</v>
      </c>
      <c r="AE499" t="str">
        <f t="shared" si="172"/>
        <v/>
      </c>
      <c r="AF499" t="str">
        <f t="shared" si="173"/>
        <v/>
      </c>
      <c r="AG499" t="str">
        <f t="shared" si="174"/>
        <v/>
      </c>
      <c r="AH499" t="str">
        <f t="shared" si="175"/>
        <v/>
      </c>
      <c r="AI499" t="str">
        <f t="shared" si="176"/>
        <v/>
      </c>
      <c r="AJ499" t="str">
        <f t="shared" si="177"/>
        <v/>
      </c>
      <c r="AK499" t="str">
        <f t="shared" si="178"/>
        <v/>
      </c>
      <c r="AL499" t="str">
        <f t="shared" si="179"/>
        <v/>
      </c>
      <c r="AM499" t="str">
        <f t="shared" si="180"/>
        <v/>
      </c>
      <c r="AN499" t="str">
        <f t="shared" si="181"/>
        <v/>
      </c>
      <c r="AO499" t="str">
        <f t="shared" si="182"/>
        <v/>
      </c>
      <c r="AP499">
        <f t="shared" si="183"/>
        <v>1</v>
      </c>
      <c r="AQ499" t="str">
        <f>IF(SAISIE!$F504="","",SAISIE!$Y504)</f>
        <v/>
      </c>
      <c r="AR499" t="str">
        <f>IF(OR(SAISIE!$U$4="",SAISIE!$W$4=""),"",IF(AND($A499=SAISIE!$U$4,$B499=SAISIE!$W$4,$C499="S1"),COUNTIFS($A$2:$A499,SAISIE!$U$4,$B$2:$B499,SAISIE!$W$4,$C$2:$C499,"S1"),""))</f>
        <v/>
      </c>
      <c r="AS499" t="str">
        <f t="shared" si="184"/>
        <v/>
      </c>
      <c r="AT499" t="str">
        <f t="shared" si="185"/>
        <v/>
      </c>
      <c r="AU499" t="str">
        <f t="shared" si="186"/>
        <v/>
      </c>
      <c r="AV499">
        <f>N(AV498)+IF(AND($AB499&lt;&gt;"",OR('PROFIL ELEVE'!$K$4="(Tous)",$AF499='PROFIL ELEVE'!$K$4)),1,0)</f>
        <v>0</v>
      </c>
      <c r="AW499">
        <f>N(AW498)+IF(AND($AB499&lt;&gt;"",OR('SUIVI LONGITUDINAL'!$Q$4="(Tous)",$AF499='SUIVI LONGITUDINAL'!$Q$4)),1,0)</f>
        <v>0</v>
      </c>
      <c r="AX499">
        <f t="shared" si="187"/>
        <v>0</v>
      </c>
      <c r="AY499">
        <f t="shared" si="188"/>
        <v>0</v>
      </c>
      <c r="AZ499">
        <f t="shared" si="189"/>
        <v>0</v>
      </c>
      <c r="BA499" t="str">
        <f t="shared" si="190"/>
        <v/>
      </c>
      <c r="BB499" t="str">
        <f t="shared" si="191"/>
        <v/>
      </c>
    </row>
    <row r="500" spans="1:54" ht="14.25" customHeight="1" x14ac:dyDescent="0.3">
      <c r="A500" t="str">
        <f>IF(SAISIE!$F505="","",SAISIE!$B505)</f>
        <v/>
      </c>
      <c r="B500" t="str">
        <f>IF(SAISIE!$F505="","",SAISIE!$C505)</f>
        <v/>
      </c>
      <c r="C500" t="str">
        <f>IF(SAISIE!$F505="","",SAISIE!$D505)</f>
        <v/>
      </c>
      <c r="D500" t="str">
        <f>IF(SAISIE!$E505="","",SAISIE!$E505)</f>
        <v/>
      </c>
      <c r="E500" t="str">
        <f>IF(SAISIE!$F505="","",SAISIE!$F505)</f>
        <v/>
      </c>
      <c r="F500" t="str">
        <f>IF(SAISIE!$G505="","",SAISIE!$G505)</f>
        <v/>
      </c>
      <c r="G500" t="str">
        <f>IF(SAISIE!$H505="","",SAISIE!$H505)</f>
        <v/>
      </c>
      <c r="H500" t="str">
        <f>IF(SAISIE!$I505="","",SAISIE!$I505)</f>
        <v/>
      </c>
      <c r="I500" t="str">
        <f>IF(SAISIE!$J505="","",SAISIE!$J505)</f>
        <v/>
      </c>
      <c r="J500" t="str">
        <f>IF(SAISIE!$K505="","",SAISIE!$K505)</f>
        <v/>
      </c>
      <c r="K500" t="str">
        <f>IF(SAISIE!$L505="","",SAISIE!$L505)</f>
        <v/>
      </c>
      <c r="L500" t="str">
        <f>IF(SAISIE!$M505="","",SAISIE!$M505)</f>
        <v/>
      </c>
      <c r="M500" t="str">
        <f>IF(SAISIE!$N505="","",SAISIE!$N505)</f>
        <v/>
      </c>
      <c r="N500" t="str">
        <f>IF(SAISIE!$O505="","",SAISIE!$O505)</f>
        <v/>
      </c>
      <c r="O500" t="str">
        <f>IF(SAISIE!$P505="","",SAISIE!$P505)</f>
        <v/>
      </c>
      <c r="P500" t="str">
        <f>IF(SAISIE!$Q505="","",SAISIE!$Q505)</f>
        <v/>
      </c>
      <c r="Q500" t="str">
        <f>IF($I500="","",IF($I500&gt;PARAMETRES!$G$29,5,IF($I500&gt;PARAMETRES!$F$29,4,IF($I500&gt;PARAMETRES!$E$29,3,IF($I500&gt;PARAMETRES!$D$29,2,1)))))</f>
        <v/>
      </c>
      <c r="R500" t="str">
        <f>IF($J500="","",IF($J500&gt;PARAMETRES!$G$30,5,IF($J500&gt;PARAMETRES!$F$30,4,IF($J500&gt;PARAMETRES!$E$30,3,IF($J500&gt;PARAMETRES!$D$30,2,1)))))</f>
        <v/>
      </c>
      <c r="S500" t="str">
        <f>IF($K500="","",IF($Z500=2,IF($K500&gt;PARAMETRES!$G$31,5,IF($K500&gt;PARAMETRES!$F$31,4,IF($K500&gt;PARAMETRES!$E$31,3,IF($K500&gt;PARAMETRES!$D$31,2,1)))),IF($K500&gt;PARAMETRES!$G$32,5,IF($K500&gt;PARAMETRES!$F$32,4,IF($K500&gt;PARAMETRES!$E$32,3,IF($K500&gt;PARAMETRES!$D$32,2,1))))))</f>
        <v/>
      </c>
      <c r="T500" t="str">
        <f>IF($L500="","",IF($L500&gt;PARAMETRES!$G$33,5,IF($L500&gt;PARAMETRES!$F$33,4,IF($L500&gt;PARAMETRES!$E$33,3,IF($L500&gt;PARAMETRES!$D$33,2,1)))))</f>
        <v/>
      </c>
      <c r="U500" t="str">
        <f>IF($M500="","",IF($M500&gt;PARAMETRES!$G$34,5,IF($M500&gt;PARAMETRES!$F$34,4,IF($M500&gt;PARAMETRES!$E$34,3,IF($M500&gt;PARAMETRES!$D$34,2,1)))))</f>
        <v/>
      </c>
      <c r="V500" t="str">
        <f>IF($N500="","",IF($N500&gt;PARAMETRES!$G$35,5,IF($N500&gt;PARAMETRES!$F$35,4,IF($N500&gt;PARAMETRES!$E$35,3,IF($N500&gt;PARAMETRES!$D$35,2,1)))))</f>
        <v/>
      </c>
      <c r="W500" t="str">
        <f>IF($O500="","",IF($O500&gt;PARAMETRES!$G$36,5,IF($O500&gt;PARAMETRES!$F$36,4,IF($O500&gt;PARAMETRES!$E$36,3,IF($O500&gt;PARAMETRES!$D$36,2,1)))))</f>
        <v/>
      </c>
      <c r="X500" t="str">
        <f>IF($P500="","",IF($P500&gt;PARAMETRES!$G$37,5,IF($P500&gt;PARAMETRES!$F$37,4,IF($P500&gt;PARAMETRES!$E$37,3,IF($P500&gt;PARAMETRES!$D$37,2,1)))))</f>
        <v/>
      </c>
      <c r="Y500" t="str">
        <f t="shared" si="168"/>
        <v/>
      </c>
      <c r="Z500" t="str">
        <f>IFERROR(VLOOKUP($B500,TABLE_CYCLE,2,0),"")</f>
        <v/>
      </c>
      <c r="AA500" t="str">
        <f t="shared" si="169"/>
        <v/>
      </c>
      <c r="AB500" t="str">
        <f>IF($D500="","",IF(COUNTIF($D$2:$D500,$D500)=1,$D500,""))</f>
        <v/>
      </c>
      <c r="AC500">
        <f t="shared" si="170"/>
        <v>0</v>
      </c>
      <c r="AD500" t="str">
        <f t="shared" si="171"/>
        <v>|0</v>
      </c>
      <c r="AE500" t="str">
        <f t="shared" si="172"/>
        <v/>
      </c>
      <c r="AF500" t="str">
        <f t="shared" si="173"/>
        <v/>
      </c>
      <c r="AG500" t="str">
        <f t="shared" si="174"/>
        <v/>
      </c>
      <c r="AH500" t="str">
        <f t="shared" si="175"/>
        <v/>
      </c>
      <c r="AI500" t="str">
        <f t="shared" si="176"/>
        <v/>
      </c>
      <c r="AJ500" t="str">
        <f t="shared" si="177"/>
        <v/>
      </c>
      <c r="AK500" t="str">
        <f t="shared" si="178"/>
        <v/>
      </c>
      <c r="AL500" t="str">
        <f t="shared" si="179"/>
        <v/>
      </c>
      <c r="AM500" t="str">
        <f t="shared" si="180"/>
        <v/>
      </c>
      <c r="AN500" t="str">
        <f t="shared" si="181"/>
        <v/>
      </c>
      <c r="AO500" t="str">
        <f t="shared" si="182"/>
        <v/>
      </c>
      <c r="AP500">
        <f t="shared" si="183"/>
        <v>1</v>
      </c>
      <c r="AQ500" t="str">
        <f>IF(SAISIE!$F505="","",SAISIE!$Y505)</f>
        <v/>
      </c>
      <c r="AR500" t="str">
        <f>IF(OR(SAISIE!$U$4="",SAISIE!$W$4=""),"",IF(AND($A500=SAISIE!$U$4,$B500=SAISIE!$W$4,$C500="S1"),COUNTIFS($A$2:$A500,SAISIE!$U$4,$B$2:$B500,SAISIE!$W$4,$C$2:$C500,"S1"),""))</f>
        <v/>
      </c>
      <c r="AS500" t="str">
        <f t="shared" si="184"/>
        <v/>
      </c>
      <c r="AT500" t="str">
        <f t="shared" si="185"/>
        <v/>
      </c>
      <c r="AU500" t="str">
        <f t="shared" si="186"/>
        <v/>
      </c>
      <c r="AV500">
        <f>N(AV499)+IF(AND($AB500&lt;&gt;"",OR('PROFIL ELEVE'!$K$4="(Tous)",$AF500='PROFIL ELEVE'!$K$4)),1,0)</f>
        <v>0</v>
      </c>
      <c r="AW500">
        <f>N(AW499)+IF(AND($AB500&lt;&gt;"",OR('SUIVI LONGITUDINAL'!$Q$4="(Tous)",$AF500='SUIVI LONGITUDINAL'!$Q$4)),1,0)</f>
        <v>0</v>
      </c>
      <c r="AX500">
        <f t="shared" si="187"/>
        <v>0</v>
      </c>
      <c r="AY500">
        <f t="shared" si="188"/>
        <v>0</v>
      </c>
      <c r="AZ500">
        <f t="shared" si="189"/>
        <v>0</v>
      </c>
      <c r="BA500" t="str">
        <f t="shared" si="190"/>
        <v/>
      </c>
      <c r="BB500" t="str">
        <f t="shared" si="191"/>
        <v/>
      </c>
    </row>
    <row r="501" spans="1:54" ht="14.25" customHeight="1" x14ac:dyDescent="0.3">
      <c r="A501" t="str">
        <f>IF(SAISIE!$F506="","",SAISIE!$B506)</f>
        <v/>
      </c>
      <c r="B501" t="str">
        <f>IF(SAISIE!$F506="","",SAISIE!$C506)</f>
        <v/>
      </c>
      <c r="C501" t="str">
        <f>IF(SAISIE!$F506="","",SAISIE!$D506)</f>
        <v/>
      </c>
      <c r="D501" t="str">
        <f>IF(SAISIE!$E506="","",SAISIE!$E506)</f>
        <v/>
      </c>
      <c r="E501" t="str">
        <f>IF(SAISIE!$F506="","",SAISIE!$F506)</f>
        <v/>
      </c>
      <c r="F501" t="str">
        <f>IF(SAISIE!$G506="","",SAISIE!$G506)</f>
        <v/>
      </c>
      <c r="G501" t="str">
        <f>IF(SAISIE!$H506="","",SAISIE!$H506)</f>
        <v/>
      </c>
      <c r="H501" t="str">
        <f>IF(SAISIE!$I506="","",SAISIE!$I506)</f>
        <v/>
      </c>
      <c r="I501" t="str">
        <f>IF(SAISIE!$J506="","",SAISIE!$J506)</f>
        <v/>
      </c>
      <c r="J501" t="str">
        <f>IF(SAISIE!$K506="","",SAISIE!$K506)</f>
        <v/>
      </c>
      <c r="K501" t="str">
        <f>IF(SAISIE!$L506="","",SAISIE!$L506)</f>
        <v/>
      </c>
      <c r="L501" t="str">
        <f>IF(SAISIE!$M506="","",SAISIE!$M506)</f>
        <v/>
      </c>
      <c r="M501" t="str">
        <f>IF(SAISIE!$N506="","",SAISIE!$N506)</f>
        <v/>
      </c>
      <c r="N501" t="str">
        <f>IF(SAISIE!$O506="","",SAISIE!$O506)</f>
        <v/>
      </c>
      <c r="O501" t="str">
        <f>IF(SAISIE!$P506="","",SAISIE!$P506)</f>
        <v/>
      </c>
      <c r="P501" t="str">
        <f>IF(SAISIE!$Q506="","",SAISIE!$Q506)</f>
        <v/>
      </c>
      <c r="Q501" t="str">
        <f>IF($I501="","",IF($I501&gt;PARAMETRES!$G$29,5,IF($I501&gt;PARAMETRES!$F$29,4,IF($I501&gt;PARAMETRES!$E$29,3,IF($I501&gt;PARAMETRES!$D$29,2,1)))))</f>
        <v/>
      </c>
      <c r="R501" t="str">
        <f>IF($J501="","",IF($J501&gt;PARAMETRES!$G$30,5,IF($J501&gt;PARAMETRES!$F$30,4,IF($J501&gt;PARAMETRES!$E$30,3,IF($J501&gt;PARAMETRES!$D$30,2,1)))))</f>
        <v/>
      </c>
      <c r="S501" t="str">
        <f>IF($K501="","",IF($Z501=2,IF($K501&gt;PARAMETRES!$G$31,5,IF($K501&gt;PARAMETRES!$F$31,4,IF($K501&gt;PARAMETRES!$E$31,3,IF($K501&gt;PARAMETRES!$D$31,2,1)))),IF($K501&gt;PARAMETRES!$G$32,5,IF($K501&gt;PARAMETRES!$F$32,4,IF($K501&gt;PARAMETRES!$E$32,3,IF($K501&gt;PARAMETRES!$D$32,2,1))))))</f>
        <v/>
      </c>
      <c r="T501" t="str">
        <f>IF($L501="","",IF($L501&gt;PARAMETRES!$G$33,5,IF($L501&gt;PARAMETRES!$F$33,4,IF($L501&gt;PARAMETRES!$E$33,3,IF($L501&gt;PARAMETRES!$D$33,2,1)))))</f>
        <v/>
      </c>
      <c r="U501" t="str">
        <f>IF($M501="","",IF($M501&gt;PARAMETRES!$G$34,5,IF($M501&gt;PARAMETRES!$F$34,4,IF($M501&gt;PARAMETRES!$E$34,3,IF($M501&gt;PARAMETRES!$D$34,2,1)))))</f>
        <v/>
      </c>
      <c r="V501" t="str">
        <f>IF($N501="","",IF($N501&gt;PARAMETRES!$G$35,5,IF($N501&gt;PARAMETRES!$F$35,4,IF($N501&gt;PARAMETRES!$E$35,3,IF($N501&gt;PARAMETRES!$D$35,2,1)))))</f>
        <v/>
      </c>
      <c r="W501" t="str">
        <f>IF($O501="","",IF($O501&gt;PARAMETRES!$G$36,5,IF($O501&gt;PARAMETRES!$F$36,4,IF($O501&gt;PARAMETRES!$E$36,3,IF($O501&gt;PARAMETRES!$D$36,2,1)))))</f>
        <v/>
      </c>
      <c r="X501" t="str">
        <f>IF($P501="","",IF($P501&gt;PARAMETRES!$G$37,5,IF($P501&gt;PARAMETRES!$F$37,4,IF($P501&gt;PARAMETRES!$E$37,3,IF($P501&gt;PARAMETRES!$D$37,2,1)))))</f>
        <v/>
      </c>
      <c r="Y501" t="str">
        <f t="shared" si="168"/>
        <v/>
      </c>
      <c r="Z501" t="str">
        <f>IFERROR(VLOOKUP($B501,TABLE_CYCLE,2,0),"")</f>
        <v/>
      </c>
      <c r="AA501" t="str">
        <f t="shared" si="169"/>
        <v/>
      </c>
      <c r="AB501" t="str">
        <f>IF($D501="","",IF(COUNTIF($D$2:$D501,$D501)=1,$D501,""))</f>
        <v/>
      </c>
      <c r="AC501">
        <f t="shared" si="170"/>
        <v>0</v>
      </c>
      <c r="AD501" t="str">
        <f t="shared" si="171"/>
        <v>|0</v>
      </c>
      <c r="AE501" t="str">
        <f t="shared" si="172"/>
        <v/>
      </c>
      <c r="AF501" t="str">
        <f t="shared" si="173"/>
        <v/>
      </c>
      <c r="AG501" t="str">
        <f t="shared" si="174"/>
        <v/>
      </c>
      <c r="AH501" t="str">
        <f t="shared" si="175"/>
        <v/>
      </c>
      <c r="AI501" t="str">
        <f t="shared" si="176"/>
        <v/>
      </c>
      <c r="AJ501" t="str">
        <f t="shared" si="177"/>
        <v/>
      </c>
      <c r="AK501" t="str">
        <f t="shared" si="178"/>
        <v/>
      </c>
      <c r="AL501" t="str">
        <f t="shared" si="179"/>
        <v/>
      </c>
      <c r="AM501" t="str">
        <f t="shared" si="180"/>
        <v/>
      </c>
      <c r="AN501" t="str">
        <f t="shared" si="181"/>
        <v/>
      </c>
      <c r="AO501" t="str">
        <f t="shared" si="182"/>
        <v/>
      </c>
      <c r="AP501">
        <f t="shared" si="183"/>
        <v>1</v>
      </c>
      <c r="AQ501" t="str">
        <f>IF(SAISIE!$F506="","",SAISIE!$Y506)</f>
        <v/>
      </c>
      <c r="AR501" t="str">
        <f>IF(OR(SAISIE!$U$4="",SAISIE!$W$4=""),"",IF(AND($A501=SAISIE!$U$4,$B501=SAISIE!$W$4,$C501="S1"),COUNTIFS($A$2:$A501,SAISIE!$U$4,$B$2:$B501,SAISIE!$W$4,$C$2:$C501,"S1"),""))</f>
        <v/>
      </c>
      <c r="AS501" t="str">
        <f t="shared" si="184"/>
        <v/>
      </c>
      <c r="AT501" t="str">
        <f t="shared" si="185"/>
        <v/>
      </c>
      <c r="AU501" t="str">
        <f t="shared" si="186"/>
        <v/>
      </c>
      <c r="AV501">
        <f>N(AV500)+IF(AND($AB501&lt;&gt;"",OR('PROFIL ELEVE'!$K$4="(Tous)",$AF501='PROFIL ELEVE'!$K$4)),1,0)</f>
        <v>0</v>
      </c>
      <c r="AW501">
        <f>N(AW500)+IF(AND($AB501&lt;&gt;"",OR('SUIVI LONGITUDINAL'!$Q$4="(Tous)",$AF501='SUIVI LONGITUDINAL'!$Q$4)),1,0)</f>
        <v>0</v>
      </c>
      <c r="AX501">
        <f t="shared" si="187"/>
        <v>0</v>
      </c>
      <c r="AY501">
        <f t="shared" si="188"/>
        <v>0</v>
      </c>
      <c r="AZ501">
        <f t="shared" si="189"/>
        <v>0</v>
      </c>
      <c r="BA501" t="str">
        <f t="shared" si="190"/>
        <v/>
      </c>
      <c r="BB501" t="str">
        <f t="shared" si="191"/>
        <v/>
      </c>
    </row>
    <row r="502" spans="1:54" ht="14.25" customHeight="1" x14ac:dyDescent="0.3">
      <c r="A502" t="str">
        <f>IF(SAISIE!$F507="","",SAISIE!$B507)</f>
        <v/>
      </c>
      <c r="B502" t="str">
        <f>IF(SAISIE!$F507="","",SAISIE!$C507)</f>
        <v/>
      </c>
      <c r="C502" t="str">
        <f>IF(SAISIE!$F507="","",SAISIE!$D507)</f>
        <v/>
      </c>
      <c r="D502" t="str">
        <f>IF(SAISIE!$E507="","",SAISIE!$E507)</f>
        <v/>
      </c>
      <c r="E502" t="str">
        <f>IF(SAISIE!$F507="","",SAISIE!$F507)</f>
        <v/>
      </c>
      <c r="F502" t="str">
        <f>IF(SAISIE!$G507="","",SAISIE!$G507)</f>
        <v/>
      </c>
      <c r="G502" t="str">
        <f>IF(SAISIE!$H507="","",SAISIE!$H507)</f>
        <v/>
      </c>
      <c r="H502" t="str">
        <f>IF(SAISIE!$I507="","",SAISIE!$I507)</f>
        <v/>
      </c>
      <c r="I502" t="str">
        <f>IF(SAISIE!$J507="","",SAISIE!$J507)</f>
        <v/>
      </c>
      <c r="J502" t="str">
        <f>IF(SAISIE!$K507="","",SAISIE!$K507)</f>
        <v/>
      </c>
      <c r="K502" t="str">
        <f>IF(SAISIE!$L507="","",SAISIE!$L507)</f>
        <v/>
      </c>
      <c r="L502" t="str">
        <f>IF(SAISIE!$M507="","",SAISIE!$M507)</f>
        <v/>
      </c>
      <c r="M502" t="str">
        <f>IF(SAISIE!$N507="","",SAISIE!$N507)</f>
        <v/>
      </c>
      <c r="N502" t="str">
        <f>IF(SAISIE!$O507="","",SAISIE!$O507)</f>
        <v/>
      </c>
      <c r="O502" t="str">
        <f>IF(SAISIE!$P507="","",SAISIE!$P507)</f>
        <v/>
      </c>
      <c r="P502" t="str">
        <f>IF(SAISIE!$Q507="","",SAISIE!$Q507)</f>
        <v/>
      </c>
      <c r="Q502" t="str">
        <f>IF($I502="","",IF($I502&gt;PARAMETRES!$G$29,5,IF($I502&gt;PARAMETRES!$F$29,4,IF($I502&gt;PARAMETRES!$E$29,3,IF($I502&gt;PARAMETRES!$D$29,2,1)))))</f>
        <v/>
      </c>
      <c r="R502" t="str">
        <f>IF($J502="","",IF($J502&gt;PARAMETRES!$G$30,5,IF($J502&gt;PARAMETRES!$F$30,4,IF($J502&gt;PARAMETRES!$E$30,3,IF($J502&gt;PARAMETRES!$D$30,2,1)))))</f>
        <v/>
      </c>
      <c r="S502" t="str">
        <f>IF($K502="","",IF($Z502=2,IF($K502&gt;PARAMETRES!$G$31,5,IF($K502&gt;PARAMETRES!$F$31,4,IF($K502&gt;PARAMETRES!$E$31,3,IF($K502&gt;PARAMETRES!$D$31,2,1)))),IF($K502&gt;PARAMETRES!$G$32,5,IF($K502&gt;PARAMETRES!$F$32,4,IF($K502&gt;PARAMETRES!$E$32,3,IF($K502&gt;PARAMETRES!$D$32,2,1))))))</f>
        <v/>
      </c>
      <c r="T502" t="str">
        <f>IF($L502="","",IF($L502&gt;PARAMETRES!$G$33,5,IF($L502&gt;PARAMETRES!$F$33,4,IF($L502&gt;PARAMETRES!$E$33,3,IF($L502&gt;PARAMETRES!$D$33,2,1)))))</f>
        <v/>
      </c>
      <c r="U502" t="str">
        <f>IF($M502="","",IF($M502&gt;PARAMETRES!$G$34,5,IF($M502&gt;PARAMETRES!$F$34,4,IF($M502&gt;PARAMETRES!$E$34,3,IF($M502&gt;PARAMETRES!$D$34,2,1)))))</f>
        <v/>
      </c>
      <c r="V502" t="str">
        <f>IF($N502="","",IF($N502&gt;PARAMETRES!$G$35,5,IF($N502&gt;PARAMETRES!$F$35,4,IF($N502&gt;PARAMETRES!$E$35,3,IF($N502&gt;PARAMETRES!$D$35,2,1)))))</f>
        <v/>
      </c>
      <c r="W502" t="str">
        <f>IF($O502="","",IF($O502&gt;PARAMETRES!$G$36,5,IF($O502&gt;PARAMETRES!$F$36,4,IF($O502&gt;PARAMETRES!$E$36,3,IF($O502&gt;PARAMETRES!$D$36,2,1)))))</f>
        <v/>
      </c>
      <c r="X502" t="str">
        <f>IF($P502="","",IF($P502&gt;PARAMETRES!$G$37,5,IF($P502&gt;PARAMETRES!$F$37,4,IF($P502&gt;PARAMETRES!$E$37,3,IF($P502&gt;PARAMETRES!$D$37,2,1)))))</f>
        <v/>
      </c>
      <c r="Y502" t="str">
        <f t="shared" si="168"/>
        <v/>
      </c>
      <c r="Z502" t="str">
        <f>IFERROR(VLOOKUP($B502,TABLE_CYCLE,2,0),"")</f>
        <v/>
      </c>
      <c r="AA502" t="str">
        <f t="shared" si="169"/>
        <v/>
      </c>
      <c r="AB502" t="str">
        <f>IF($D502="","",IF(COUNTIF($D$2:$D502,$D502)=1,$D502,""))</f>
        <v/>
      </c>
      <c r="AC502">
        <f t="shared" si="170"/>
        <v>0</v>
      </c>
      <c r="AD502" t="str">
        <f t="shared" si="171"/>
        <v>|0</v>
      </c>
      <c r="AE502" t="str">
        <f t="shared" si="172"/>
        <v/>
      </c>
      <c r="AF502" t="str">
        <f t="shared" si="173"/>
        <v/>
      </c>
      <c r="AG502" t="str">
        <f t="shared" si="174"/>
        <v/>
      </c>
      <c r="AH502" t="str">
        <f t="shared" si="175"/>
        <v/>
      </c>
      <c r="AI502" t="str">
        <f t="shared" si="176"/>
        <v/>
      </c>
      <c r="AJ502" t="str">
        <f t="shared" si="177"/>
        <v/>
      </c>
      <c r="AK502" t="str">
        <f t="shared" si="178"/>
        <v/>
      </c>
      <c r="AL502" t="str">
        <f t="shared" si="179"/>
        <v/>
      </c>
      <c r="AM502" t="str">
        <f t="shared" si="180"/>
        <v/>
      </c>
      <c r="AN502" t="str">
        <f t="shared" si="181"/>
        <v/>
      </c>
      <c r="AO502" t="str">
        <f t="shared" si="182"/>
        <v/>
      </c>
      <c r="AP502">
        <f t="shared" si="183"/>
        <v>1</v>
      </c>
      <c r="AQ502" t="str">
        <f>IF(SAISIE!$F507="","",SAISIE!$Y507)</f>
        <v/>
      </c>
      <c r="AR502" t="str">
        <f>IF(OR(SAISIE!$U$4="",SAISIE!$W$4=""),"",IF(AND($A502=SAISIE!$U$4,$B502=SAISIE!$W$4,$C502="S1"),COUNTIFS($A$2:$A502,SAISIE!$U$4,$B$2:$B502,SAISIE!$W$4,$C$2:$C502,"S1"),""))</f>
        <v/>
      </c>
      <c r="AS502" t="str">
        <f t="shared" si="184"/>
        <v/>
      </c>
      <c r="AT502" t="str">
        <f t="shared" si="185"/>
        <v/>
      </c>
      <c r="AU502" t="str">
        <f t="shared" si="186"/>
        <v/>
      </c>
      <c r="AV502">
        <f>N(AV501)+IF(AND($AB502&lt;&gt;"",OR('PROFIL ELEVE'!$K$4="(Tous)",$AF502='PROFIL ELEVE'!$K$4)),1,0)</f>
        <v>0</v>
      </c>
      <c r="AW502">
        <f>N(AW501)+IF(AND($AB502&lt;&gt;"",OR('SUIVI LONGITUDINAL'!$Q$4="(Tous)",$AF502='SUIVI LONGITUDINAL'!$Q$4)),1,0)</f>
        <v>0</v>
      </c>
      <c r="AX502">
        <f t="shared" si="187"/>
        <v>0</v>
      </c>
      <c r="AY502">
        <f t="shared" si="188"/>
        <v>0</v>
      </c>
      <c r="AZ502">
        <f t="shared" si="189"/>
        <v>0</v>
      </c>
      <c r="BA502" t="str">
        <f t="shared" si="190"/>
        <v/>
      </c>
      <c r="BB502" t="str">
        <f t="shared" si="191"/>
        <v/>
      </c>
    </row>
    <row r="503" spans="1:54" ht="14.25" customHeight="1" x14ac:dyDescent="0.3">
      <c r="A503" t="str">
        <f>IF(SAISIE!$F508="","",SAISIE!$B508)</f>
        <v/>
      </c>
      <c r="B503" t="str">
        <f>IF(SAISIE!$F508="","",SAISIE!$C508)</f>
        <v/>
      </c>
      <c r="C503" t="str">
        <f>IF(SAISIE!$F508="","",SAISIE!$D508)</f>
        <v/>
      </c>
      <c r="D503" t="str">
        <f>IF(SAISIE!$E508="","",SAISIE!$E508)</f>
        <v/>
      </c>
      <c r="E503" t="str">
        <f>IF(SAISIE!$F508="","",SAISIE!$F508)</f>
        <v/>
      </c>
      <c r="F503" t="str">
        <f>IF(SAISIE!$G508="","",SAISIE!$G508)</f>
        <v/>
      </c>
      <c r="G503" t="str">
        <f>IF(SAISIE!$H508="","",SAISIE!$H508)</f>
        <v/>
      </c>
      <c r="H503" t="str">
        <f>IF(SAISIE!$I508="","",SAISIE!$I508)</f>
        <v/>
      </c>
      <c r="I503" t="str">
        <f>IF(SAISIE!$J508="","",SAISIE!$J508)</f>
        <v/>
      </c>
      <c r="J503" t="str">
        <f>IF(SAISIE!$K508="","",SAISIE!$K508)</f>
        <v/>
      </c>
      <c r="K503" t="str">
        <f>IF(SAISIE!$L508="","",SAISIE!$L508)</f>
        <v/>
      </c>
      <c r="L503" t="str">
        <f>IF(SAISIE!$M508="","",SAISIE!$M508)</f>
        <v/>
      </c>
      <c r="M503" t="str">
        <f>IF(SAISIE!$N508="","",SAISIE!$N508)</f>
        <v/>
      </c>
      <c r="N503" t="str">
        <f>IF(SAISIE!$O508="","",SAISIE!$O508)</f>
        <v/>
      </c>
      <c r="O503" t="str">
        <f>IF(SAISIE!$P508="","",SAISIE!$P508)</f>
        <v/>
      </c>
      <c r="P503" t="str">
        <f>IF(SAISIE!$Q508="","",SAISIE!$Q508)</f>
        <v/>
      </c>
      <c r="Q503" t="str">
        <f>IF($I503="","",IF($I503&gt;PARAMETRES!$G$29,5,IF($I503&gt;PARAMETRES!$F$29,4,IF($I503&gt;PARAMETRES!$E$29,3,IF($I503&gt;PARAMETRES!$D$29,2,1)))))</f>
        <v/>
      </c>
      <c r="R503" t="str">
        <f>IF($J503="","",IF($J503&gt;PARAMETRES!$G$30,5,IF($J503&gt;PARAMETRES!$F$30,4,IF($J503&gt;PARAMETRES!$E$30,3,IF($J503&gt;PARAMETRES!$D$30,2,1)))))</f>
        <v/>
      </c>
      <c r="S503" t="str">
        <f>IF($K503="","",IF($Z503=2,IF($K503&gt;PARAMETRES!$G$31,5,IF($K503&gt;PARAMETRES!$F$31,4,IF($K503&gt;PARAMETRES!$E$31,3,IF($K503&gt;PARAMETRES!$D$31,2,1)))),IF($K503&gt;PARAMETRES!$G$32,5,IF($K503&gt;PARAMETRES!$F$32,4,IF($K503&gt;PARAMETRES!$E$32,3,IF($K503&gt;PARAMETRES!$D$32,2,1))))))</f>
        <v/>
      </c>
      <c r="T503" t="str">
        <f>IF($L503="","",IF($L503&gt;PARAMETRES!$G$33,5,IF($L503&gt;PARAMETRES!$F$33,4,IF($L503&gt;PARAMETRES!$E$33,3,IF($L503&gt;PARAMETRES!$D$33,2,1)))))</f>
        <v/>
      </c>
      <c r="U503" t="str">
        <f>IF($M503="","",IF($M503&gt;PARAMETRES!$G$34,5,IF($M503&gt;PARAMETRES!$F$34,4,IF($M503&gt;PARAMETRES!$E$34,3,IF($M503&gt;PARAMETRES!$D$34,2,1)))))</f>
        <v/>
      </c>
      <c r="V503" t="str">
        <f>IF($N503="","",IF($N503&gt;PARAMETRES!$G$35,5,IF($N503&gt;PARAMETRES!$F$35,4,IF($N503&gt;PARAMETRES!$E$35,3,IF($N503&gt;PARAMETRES!$D$35,2,1)))))</f>
        <v/>
      </c>
      <c r="W503" t="str">
        <f>IF($O503="","",IF($O503&gt;PARAMETRES!$G$36,5,IF($O503&gt;PARAMETRES!$F$36,4,IF($O503&gt;PARAMETRES!$E$36,3,IF($O503&gt;PARAMETRES!$D$36,2,1)))))</f>
        <v/>
      </c>
      <c r="X503" t="str">
        <f>IF($P503="","",IF($P503&gt;PARAMETRES!$G$37,5,IF($P503&gt;PARAMETRES!$F$37,4,IF($P503&gt;PARAMETRES!$E$37,3,IF($P503&gt;PARAMETRES!$D$37,2,1)))))</f>
        <v/>
      </c>
      <c r="Y503" t="str">
        <f t="shared" si="168"/>
        <v/>
      </c>
      <c r="Z503" t="str">
        <f>IFERROR(VLOOKUP($B503,TABLE_CYCLE,2,0),"")</f>
        <v/>
      </c>
      <c r="AA503" t="str">
        <f t="shared" si="169"/>
        <v/>
      </c>
      <c r="AB503" t="str">
        <f>IF($D503="","",IF(COUNTIF($D$2:$D503,$D503)=1,$D503,""))</f>
        <v/>
      </c>
      <c r="AC503">
        <f t="shared" si="170"/>
        <v>0</v>
      </c>
      <c r="AD503" t="str">
        <f t="shared" si="171"/>
        <v>|0</v>
      </c>
      <c r="AE503" t="str">
        <f t="shared" si="172"/>
        <v/>
      </c>
      <c r="AF503" t="str">
        <f t="shared" si="173"/>
        <v/>
      </c>
      <c r="AG503" t="str">
        <f t="shared" si="174"/>
        <v/>
      </c>
      <c r="AH503" t="str">
        <f t="shared" si="175"/>
        <v/>
      </c>
      <c r="AI503" t="str">
        <f t="shared" si="176"/>
        <v/>
      </c>
      <c r="AJ503" t="str">
        <f t="shared" si="177"/>
        <v/>
      </c>
      <c r="AK503" t="str">
        <f t="shared" si="178"/>
        <v/>
      </c>
      <c r="AL503" t="str">
        <f t="shared" si="179"/>
        <v/>
      </c>
      <c r="AM503" t="str">
        <f t="shared" si="180"/>
        <v/>
      </c>
      <c r="AN503" t="str">
        <f t="shared" si="181"/>
        <v/>
      </c>
      <c r="AO503" t="str">
        <f t="shared" si="182"/>
        <v/>
      </c>
      <c r="AP503">
        <f t="shared" si="183"/>
        <v>1</v>
      </c>
      <c r="AQ503" t="str">
        <f>IF(SAISIE!$F508="","",SAISIE!$Y508)</f>
        <v/>
      </c>
      <c r="AR503" t="str">
        <f>IF(OR(SAISIE!$U$4="",SAISIE!$W$4=""),"",IF(AND($A503=SAISIE!$U$4,$B503=SAISIE!$W$4,$C503="S1"),COUNTIFS($A$2:$A503,SAISIE!$U$4,$B$2:$B503,SAISIE!$W$4,$C$2:$C503,"S1"),""))</f>
        <v/>
      </c>
      <c r="AS503" t="str">
        <f t="shared" si="184"/>
        <v/>
      </c>
      <c r="AT503" t="str">
        <f t="shared" si="185"/>
        <v/>
      </c>
      <c r="AU503" t="str">
        <f t="shared" si="186"/>
        <v/>
      </c>
      <c r="AV503">
        <f>N(AV502)+IF(AND($AB503&lt;&gt;"",OR('PROFIL ELEVE'!$K$4="(Tous)",$AF503='PROFIL ELEVE'!$K$4)),1,0)</f>
        <v>0</v>
      </c>
      <c r="AW503">
        <f>N(AW502)+IF(AND($AB503&lt;&gt;"",OR('SUIVI LONGITUDINAL'!$Q$4="(Tous)",$AF503='SUIVI LONGITUDINAL'!$Q$4)),1,0)</f>
        <v>0</v>
      </c>
      <c r="AX503">
        <f t="shared" si="187"/>
        <v>0</v>
      </c>
      <c r="AY503">
        <f t="shared" si="188"/>
        <v>0</v>
      </c>
      <c r="AZ503">
        <f t="shared" si="189"/>
        <v>0</v>
      </c>
      <c r="BA503" t="str">
        <f t="shared" si="190"/>
        <v/>
      </c>
      <c r="BB503" t="str">
        <f t="shared" si="191"/>
        <v/>
      </c>
    </row>
    <row r="504" spans="1:54" ht="14.25" customHeight="1" x14ac:dyDescent="0.3">
      <c r="A504" t="str">
        <f>IF(SAISIE!$F509="","",SAISIE!$B509)</f>
        <v/>
      </c>
      <c r="B504" t="str">
        <f>IF(SAISIE!$F509="","",SAISIE!$C509)</f>
        <v/>
      </c>
      <c r="C504" t="str">
        <f>IF(SAISIE!$F509="","",SAISIE!$D509)</f>
        <v/>
      </c>
      <c r="D504" t="str">
        <f>IF(SAISIE!$E509="","",SAISIE!$E509)</f>
        <v/>
      </c>
      <c r="E504" t="str">
        <f>IF(SAISIE!$F509="","",SAISIE!$F509)</f>
        <v/>
      </c>
      <c r="F504" t="str">
        <f>IF(SAISIE!$G509="","",SAISIE!$G509)</f>
        <v/>
      </c>
      <c r="G504" t="str">
        <f>IF(SAISIE!$H509="","",SAISIE!$H509)</f>
        <v/>
      </c>
      <c r="H504" t="str">
        <f>IF(SAISIE!$I509="","",SAISIE!$I509)</f>
        <v/>
      </c>
      <c r="I504" t="str">
        <f>IF(SAISIE!$J509="","",SAISIE!$J509)</f>
        <v/>
      </c>
      <c r="J504" t="str">
        <f>IF(SAISIE!$K509="","",SAISIE!$K509)</f>
        <v/>
      </c>
      <c r="K504" t="str">
        <f>IF(SAISIE!$L509="","",SAISIE!$L509)</f>
        <v/>
      </c>
      <c r="L504" t="str">
        <f>IF(SAISIE!$M509="","",SAISIE!$M509)</f>
        <v/>
      </c>
      <c r="M504" t="str">
        <f>IF(SAISIE!$N509="","",SAISIE!$N509)</f>
        <v/>
      </c>
      <c r="N504" t="str">
        <f>IF(SAISIE!$O509="","",SAISIE!$O509)</f>
        <v/>
      </c>
      <c r="O504" t="str">
        <f>IF(SAISIE!$P509="","",SAISIE!$P509)</f>
        <v/>
      </c>
      <c r="P504" t="str">
        <f>IF(SAISIE!$Q509="","",SAISIE!$Q509)</f>
        <v/>
      </c>
      <c r="Q504" t="str">
        <f>IF($I504="","",IF($I504&gt;PARAMETRES!$G$29,5,IF($I504&gt;PARAMETRES!$F$29,4,IF($I504&gt;PARAMETRES!$E$29,3,IF($I504&gt;PARAMETRES!$D$29,2,1)))))</f>
        <v/>
      </c>
      <c r="R504" t="str">
        <f>IF($J504="","",IF($J504&gt;PARAMETRES!$G$30,5,IF($J504&gt;PARAMETRES!$F$30,4,IF($J504&gt;PARAMETRES!$E$30,3,IF($J504&gt;PARAMETRES!$D$30,2,1)))))</f>
        <v/>
      </c>
      <c r="S504" t="str">
        <f>IF($K504="","",IF($Z504=2,IF($K504&gt;PARAMETRES!$G$31,5,IF($K504&gt;PARAMETRES!$F$31,4,IF($K504&gt;PARAMETRES!$E$31,3,IF($K504&gt;PARAMETRES!$D$31,2,1)))),IF($K504&gt;PARAMETRES!$G$32,5,IF($K504&gt;PARAMETRES!$F$32,4,IF($K504&gt;PARAMETRES!$E$32,3,IF($K504&gt;PARAMETRES!$D$32,2,1))))))</f>
        <v/>
      </c>
      <c r="T504" t="str">
        <f>IF($L504="","",IF($L504&gt;PARAMETRES!$G$33,5,IF($L504&gt;PARAMETRES!$F$33,4,IF($L504&gt;PARAMETRES!$E$33,3,IF($L504&gt;PARAMETRES!$D$33,2,1)))))</f>
        <v/>
      </c>
      <c r="U504" t="str">
        <f>IF($M504="","",IF($M504&gt;PARAMETRES!$G$34,5,IF($M504&gt;PARAMETRES!$F$34,4,IF($M504&gt;PARAMETRES!$E$34,3,IF($M504&gt;PARAMETRES!$D$34,2,1)))))</f>
        <v/>
      </c>
      <c r="V504" t="str">
        <f>IF($N504="","",IF($N504&gt;PARAMETRES!$G$35,5,IF($N504&gt;PARAMETRES!$F$35,4,IF($N504&gt;PARAMETRES!$E$35,3,IF($N504&gt;PARAMETRES!$D$35,2,1)))))</f>
        <v/>
      </c>
      <c r="W504" t="str">
        <f>IF($O504="","",IF($O504&gt;PARAMETRES!$G$36,5,IF($O504&gt;PARAMETRES!$F$36,4,IF($O504&gt;PARAMETRES!$E$36,3,IF($O504&gt;PARAMETRES!$D$36,2,1)))))</f>
        <v/>
      </c>
      <c r="X504" t="str">
        <f>IF($P504="","",IF($P504&gt;PARAMETRES!$G$37,5,IF($P504&gt;PARAMETRES!$F$37,4,IF($P504&gt;PARAMETRES!$E$37,3,IF($P504&gt;PARAMETRES!$D$37,2,1)))))</f>
        <v/>
      </c>
      <c r="Y504" t="str">
        <f t="shared" si="168"/>
        <v/>
      </c>
      <c r="Z504" t="str">
        <f>IFERROR(VLOOKUP($B504,TABLE_CYCLE,2,0),"")</f>
        <v/>
      </c>
      <c r="AA504" t="str">
        <f t="shared" si="169"/>
        <v/>
      </c>
      <c r="AB504" t="str">
        <f>IF($D504="","",IF(COUNTIF($D$2:$D504,$D504)=1,$D504,""))</f>
        <v/>
      </c>
      <c r="AC504">
        <f t="shared" si="170"/>
        <v>0</v>
      </c>
      <c r="AD504" t="str">
        <f t="shared" si="171"/>
        <v>|0</v>
      </c>
      <c r="AE504" t="str">
        <f t="shared" si="172"/>
        <v/>
      </c>
      <c r="AF504" t="str">
        <f t="shared" si="173"/>
        <v/>
      </c>
      <c r="AG504" t="str">
        <f t="shared" si="174"/>
        <v/>
      </c>
      <c r="AH504" t="str">
        <f t="shared" si="175"/>
        <v/>
      </c>
      <c r="AI504" t="str">
        <f t="shared" si="176"/>
        <v/>
      </c>
      <c r="AJ504" t="str">
        <f t="shared" si="177"/>
        <v/>
      </c>
      <c r="AK504" t="str">
        <f t="shared" si="178"/>
        <v/>
      </c>
      <c r="AL504" t="str">
        <f t="shared" si="179"/>
        <v/>
      </c>
      <c r="AM504" t="str">
        <f t="shared" si="180"/>
        <v/>
      </c>
      <c r="AN504" t="str">
        <f t="shared" si="181"/>
        <v/>
      </c>
      <c r="AO504" t="str">
        <f t="shared" si="182"/>
        <v/>
      </c>
      <c r="AP504">
        <f t="shared" si="183"/>
        <v>1</v>
      </c>
      <c r="AQ504" t="str">
        <f>IF(SAISIE!$F509="","",SAISIE!$Y509)</f>
        <v/>
      </c>
      <c r="AR504" t="str">
        <f>IF(OR(SAISIE!$U$4="",SAISIE!$W$4=""),"",IF(AND($A504=SAISIE!$U$4,$B504=SAISIE!$W$4,$C504="S1"),COUNTIFS($A$2:$A504,SAISIE!$U$4,$B$2:$B504,SAISIE!$W$4,$C$2:$C504,"S1"),""))</f>
        <v/>
      </c>
      <c r="AS504" t="str">
        <f t="shared" si="184"/>
        <v/>
      </c>
      <c r="AT504" t="str">
        <f t="shared" si="185"/>
        <v/>
      </c>
      <c r="AU504" t="str">
        <f t="shared" si="186"/>
        <v/>
      </c>
      <c r="AV504">
        <f>N(AV503)+IF(AND($AB504&lt;&gt;"",OR('PROFIL ELEVE'!$K$4="(Tous)",$AF504='PROFIL ELEVE'!$K$4)),1,0)</f>
        <v>0</v>
      </c>
      <c r="AW504">
        <f>N(AW503)+IF(AND($AB504&lt;&gt;"",OR('SUIVI LONGITUDINAL'!$Q$4="(Tous)",$AF504='SUIVI LONGITUDINAL'!$Q$4)),1,0)</f>
        <v>0</v>
      </c>
      <c r="AX504">
        <f t="shared" si="187"/>
        <v>0</v>
      </c>
      <c r="AY504">
        <f t="shared" si="188"/>
        <v>0</v>
      </c>
      <c r="AZ504">
        <f t="shared" si="189"/>
        <v>0</v>
      </c>
      <c r="BA504" t="str">
        <f t="shared" si="190"/>
        <v/>
      </c>
      <c r="BB504" t="str">
        <f t="shared" si="191"/>
        <v/>
      </c>
    </row>
    <row r="505" spans="1:54" ht="14.25" customHeight="1" x14ac:dyDescent="0.3">
      <c r="A505" t="str">
        <f>IF(SAISIE!$F510="","",SAISIE!$B510)</f>
        <v/>
      </c>
      <c r="B505" t="str">
        <f>IF(SAISIE!$F510="","",SAISIE!$C510)</f>
        <v/>
      </c>
      <c r="C505" t="str">
        <f>IF(SAISIE!$F510="","",SAISIE!$D510)</f>
        <v/>
      </c>
      <c r="D505" t="str">
        <f>IF(SAISIE!$E510="","",SAISIE!$E510)</f>
        <v/>
      </c>
      <c r="E505" t="str">
        <f>IF(SAISIE!$F510="","",SAISIE!$F510)</f>
        <v/>
      </c>
      <c r="F505" t="str">
        <f>IF(SAISIE!$G510="","",SAISIE!$G510)</f>
        <v/>
      </c>
      <c r="G505" t="str">
        <f>IF(SAISIE!$H510="","",SAISIE!$H510)</f>
        <v/>
      </c>
      <c r="H505" t="str">
        <f>IF(SAISIE!$I510="","",SAISIE!$I510)</f>
        <v/>
      </c>
      <c r="I505" t="str">
        <f>IF(SAISIE!$J510="","",SAISIE!$J510)</f>
        <v/>
      </c>
      <c r="J505" t="str">
        <f>IF(SAISIE!$K510="","",SAISIE!$K510)</f>
        <v/>
      </c>
      <c r="K505" t="str">
        <f>IF(SAISIE!$L510="","",SAISIE!$L510)</f>
        <v/>
      </c>
      <c r="L505" t="str">
        <f>IF(SAISIE!$M510="","",SAISIE!$M510)</f>
        <v/>
      </c>
      <c r="M505" t="str">
        <f>IF(SAISIE!$N510="","",SAISIE!$N510)</f>
        <v/>
      </c>
      <c r="N505" t="str">
        <f>IF(SAISIE!$O510="","",SAISIE!$O510)</f>
        <v/>
      </c>
      <c r="O505" t="str">
        <f>IF(SAISIE!$P510="","",SAISIE!$P510)</f>
        <v/>
      </c>
      <c r="P505" t="str">
        <f>IF(SAISIE!$Q510="","",SAISIE!$Q510)</f>
        <v/>
      </c>
      <c r="Q505" t="str">
        <f>IF($I505="","",IF($I505&gt;PARAMETRES!$G$29,5,IF($I505&gt;PARAMETRES!$F$29,4,IF($I505&gt;PARAMETRES!$E$29,3,IF($I505&gt;PARAMETRES!$D$29,2,1)))))</f>
        <v/>
      </c>
      <c r="R505" t="str">
        <f>IF($J505="","",IF($J505&gt;PARAMETRES!$G$30,5,IF($J505&gt;PARAMETRES!$F$30,4,IF($J505&gt;PARAMETRES!$E$30,3,IF($J505&gt;PARAMETRES!$D$30,2,1)))))</f>
        <v/>
      </c>
      <c r="S505" t="str">
        <f>IF($K505="","",IF($Z505=2,IF($K505&gt;PARAMETRES!$G$31,5,IF($K505&gt;PARAMETRES!$F$31,4,IF($K505&gt;PARAMETRES!$E$31,3,IF($K505&gt;PARAMETRES!$D$31,2,1)))),IF($K505&gt;PARAMETRES!$G$32,5,IF($K505&gt;PARAMETRES!$F$32,4,IF($K505&gt;PARAMETRES!$E$32,3,IF($K505&gt;PARAMETRES!$D$32,2,1))))))</f>
        <v/>
      </c>
      <c r="T505" t="str">
        <f>IF($L505="","",IF($L505&gt;PARAMETRES!$G$33,5,IF($L505&gt;PARAMETRES!$F$33,4,IF($L505&gt;PARAMETRES!$E$33,3,IF($L505&gt;PARAMETRES!$D$33,2,1)))))</f>
        <v/>
      </c>
      <c r="U505" t="str">
        <f>IF($M505="","",IF($M505&gt;PARAMETRES!$G$34,5,IF($M505&gt;PARAMETRES!$F$34,4,IF($M505&gt;PARAMETRES!$E$34,3,IF($M505&gt;PARAMETRES!$D$34,2,1)))))</f>
        <v/>
      </c>
      <c r="V505" t="str">
        <f>IF($N505="","",IF($N505&gt;PARAMETRES!$G$35,5,IF($N505&gt;PARAMETRES!$F$35,4,IF($N505&gt;PARAMETRES!$E$35,3,IF($N505&gt;PARAMETRES!$D$35,2,1)))))</f>
        <v/>
      </c>
      <c r="W505" t="str">
        <f>IF($O505="","",IF($O505&gt;PARAMETRES!$G$36,5,IF($O505&gt;PARAMETRES!$F$36,4,IF($O505&gt;PARAMETRES!$E$36,3,IF($O505&gt;PARAMETRES!$D$36,2,1)))))</f>
        <v/>
      </c>
      <c r="X505" t="str">
        <f>IF($P505="","",IF($P505&gt;PARAMETRES!$G$37,5,IF($P505&gt;PARAMETRES!$F$37,4,IF($P505&gt;PARAMETRES!$E$37,3,IF($P505&gt;PARAMETRES!$D$37,2,1)))))</f>
        <v/>
      </c>
      <c r="Y505" t="str">
        <f t="shared" si="168"/>
        <v/>
      </c>
      <c r="Z505" t="str">
        <f>IFERROR(VLOOKUP($B505,TABLE_CYCLE,2,0),"")</f>
        <v/>
      </c>
      <c r="AA505" t="str">
        <f t="shared" si="169"/>
        <v/>
      </c>
      <c r="AB505" t="str">
        <f>IF($D505="","",IF(COUNTIF($D$2:$D505,$D505)=1,$D505,""))</f>
        <v/>
      </c>
      <c r="AC505">
        <f t="shared" si="170"/>
        <v>0</v>
      </c>
      <c r="AD505" t="str">
        <f t="shared" si="171"/>
        <v>|0</v>
      </c>
      <c r="AE505" t="str">
        <f t="shared" si="172"/>
        <v/>
      </c>
      <c r="AF505" t="str">
        <f t="shared" si="173"/>
        <v/>
      </c>
      <c r="AG505" t="str">
        <f t="shared" si="174"/>
        <v/>
      </c>
      <c r="AH505" t="str">
        <f t="shared" si="175"/>
        <v/>
      </c>
      <c r="AI505" t="str">
        <f t="shared" si="176"/>
        <v/>
      </c>
      <c r="AJ505" t="str">
        <f t="shared" si="177"/>
        <v/>
      </c>
      <c r="AK505" t="str">
        <f t="shared" si="178"/>
        <v/>
      </c>
      <c r="AL505" t="str">
        <f t="shared" si="179"/>
        <v/>
      </c>
      <c r="AM505" t="str">
        <f t="shared" si="180"/>
        <v/>
      </c>
      <c r="AN505" t="str">
        <f t="shared" si="181"/>
        <v/>
      </c>
      <c r="AO505" t="str">
        <f t="shared" si="182"/>
        <v/>
      </c>
      <c r="AP505">
        <f t="shared" si="183"/>
        <v>1</v>
      </c>
      <c r="AQ505" t="str">
        <f>IF(SAISIE!$F510="","",SAISIE!$Y510)</f>
        <v/>
      </c>
      <c r="AR505" t="str">
        <f>IF(OR(SAISIE!$U$4="",SAISIE!$W$4=""),"",IF(AND($A505=SAISIE!$U$4,$B505=SAISIE!$W$4,$C505="S1"),COUNTIFS($A$2:$A505,SAISIE!$U$4,$B$2:$B505,SAISIE!$W$4,$C$2:$C505,"S1"),""))</f>
        <v/>
      </c>
      <c r="AS505" t="str">
        <f t="shared" si="184"/>
        <v/>
      </c>
      <c r="AT505" t="str">
        <f t="shared" si="185"/>
        <v/>
      </c>
      <c r="AU505" t="str">
        <f t="shared" si="186"/>
        <v/>
      </c>
      <c r="AV505">
        <f>N(AV504)+IF(AND($AB505&lt;&gt;"",OR('PROFIL ELEVE'!$K$4="(Tous)",$AF505='PROFIL ELEVE'!$K$4)),1,0)</f>
        <v>0</v>
      </c>
      <c r="AW505">
        <f>N(AW504)+IF(AND($AB505&lt;&gt;"",OR('SUIVI LONGITUDINAL'!$Q$4="(Tous)",$AF505='SUIVI LONGITUDINAL'!$Q$4)),1,0)</f>
        <v>0</v>
      </c>
      <c r="AX505">
        <f t="shared" si="187"/>
        <v>0</v>
      </c>
      <c r="AY505">
        <f t="shared" si="188"/>
        <v>0</v>
      </c>
      <c r="AZ505">
        <f t="shared" si="189"/>
        <v>0</v>
      </c>
      <c r="BA505" t="str">
        <f t="shared" si="190"/>
        <v/>
      </c>
      <c r="BB505" t="str">
        <f t="shared" si="191"/>
        <v/>
      </c>
    </row>
    <row r="506" spans="1:54" ht="14.25" customHeight="1" x14ac:dyDescent="0.3">
      <c r="A506" t="str">
        <f>IF(SAISIE!$F511="","",SAISIE!$B511)</f>
        <v/>
      </c>
      <c r="B506" t="str">
        <f>IF(SAISIE!$F511="","",SAISIE!$C511)</f>
        <v/>
      </c>
      <c r="C506" t="str">
        <f>IF(SAISIE!$F511="","",SAISIE!$D511)</f>
        <v/>
      </c>
      <c r="D506" t="str">
        <f>IF(SAISIE!$E511="","",SAISIE!$E511)</f>
        <v/>
      </c>
      <c r="E506" t="str">
        <f>IF(SAISIE!$F511="","",SAISIE!$F511)</f>
        <v/>
      </c>
      <c r="F506" t="str">
        <f>IF(SAISIE!$G511="","",SAISIE!$G511)</f>
        <v/>
      </c>
      <c r="G506" t="str">
        <f>IF(SAISIE!$H511="","",SAISIE!$H511)</f>
        <v/>
      </c>
      <c r="H506" t="str">
        <f>IF(SAISIE!$I511="","",SAISIE!$I511)</f>
        <v/>
      </c>
      <c r="I506" t="str">
        <f>IF(SAISIE!$J511="","",SAISIE!$J511)</f>
        <v/>
      </c>
      <c r="J506" t="str">
        <f>IF(SAISIE!$K511="","",SAISIE!$K511)</f>
        <v/>
      </c>
      <c r="K506" t="str">
        <f>IF(SAISIE!$L511="","",SAISIE!$L511)</f>
        <v/>
      </c>
      <c r="L506" t="str">
        <f>IF(SAISIE!$M511="","",SAISIE!$M511)</f>
        <v/>
      </c>
      <c r="M506" t="str">
        <f>IF(SAISIE!$N511="","",SAISIE!$N511)</f>
        <v/>
      </c>
      <c r="N506" t="str">
        <f>IF(SAISIE!$O511="","",SAISIE!$O511)</f>
        <v/>
      </c>
      <c r="O506" t="str">
        <f>IF(SAISIE!$P511="","",SAISIE!$P511)</f>
        <v/>
      </c>
      <c r="P506" t="str">
        <f>IF(SAISIE!$Q511="","",SAISIE!$Q511)</f>
        <v/>
      </c>
      <c r="Q506" t="str">
        <f>IF($I506="","",IF($I506&gt;PARAMETRES!$G$29,5,IF($I506&gt;PARAMETRES!$F$29,4,IF($I506&gt;PARAMETRES!$E$29,3,IF($I506&gt;PARAMETRES!$D$29,2,1)))))</f>
        <v/>
      </c>
      <c r="R506" t="str">
        <f>IF($J506="","",IF($J506&gt;PARAMETRES!$G$30,5,IF($J506&gt;PARAMETRES!$F$30,4,IF($J506&gt;PARAMETRES!$E$30,3,IF($J506&gt;PARAMETRES!$D$30,2,1)))))</f>
        <v/>
      </c>
      <c r="S506" t="str">
        <f>IF($K506="","",IF($Z506=2,IF($K506&gt;PARAMETRES!$G$31,5,IF($K506&gt;PARAMETRES!$F$31,4,IF($K506&gt;PARAMETRES!$E$31,3,IF($K506&gt;PARAMETRES!$D$31,2,1)))),IF($K506&gt;PARAMETRES!$G$32,5,IF($K506&gt;PARAMETRES!$F$32,4,IF($K506&gt;PARAMETRES!$E$32,3,IF($K506&gt;PARAMETRES!$D$32,2,1))))))</f>
        <v/>
      </c>
      <c r="T506" t="str">
        <f>IF($L506="","",IF($L506&gt;PARAMETRES!$G$33,5,IF($L506&gt;PARAMETRES!$F$33,4,IF($L506&gt;PARAMETRES!$E$33,3,IF($L506&gt;PARAMETRES!$D$33,2,1)))))</f>
        <v/>
      </c>
      <c r="U506" t="str">
        <f>IF($M506="","",IF($M506&gt;PARAMETRES!$G$34,5,IF($M506&gt;PARAMETRES!$F$34,4,IF($M506&gt;PARAMETRES!$E$34,3,IF($M506&gt;PARAMETRES!$D$34,2,1)))))</f>
        <v/>
      </c>
      <c r="V506" t="str">
        <f>IF($N506="","",IF($N506&gt;PARAMETRES!$G$35,5,IF($N506&gt;PARAMETRES!$F$35,4,IF($N506&gt;PARAMETRES!$E$35,3,IF($N506&gt;PARAMETRES!$D$35,2,1)))))</f>
        <v/>
      </c>
      <c r="W506" t="str">
        <f>IF($O506="","",IF($O506&gt;PARAMETRES!$G$36,5,IF($O506&gt;PARAMETRES!$F$36,4,IF($O506&gt;PARAMETRES!$E$36,3,IF($O506&gt;PARAMETRES!$D$36,2,1)))))</f>
        <v/>
      </c>
      <c r="X506" t="str">
        <f>IF($P506="","",IF($P506&gt;PARAMETRES!$G$37,5,IF($P506&gt;PARAMETRES!$F$37,4,IF($P506&gt;PARAMETRES!$E$37,3,IF($P506&gt;PARAMETRES!$D$37,2,1)))))</f>
        <v/>
      </c>
      <c r="Y506" t="str">
        <f t="shared" si="168"/>
        <v/>
      </c>
      <c r="Z506" t="str">
        <f>IFERROR(VLOOKUP($B506,TABLE_CYCLE,2,0),"")</f>
        <v/>
      </c>
      <c r="AA506" t="str">
        <f t="shared" si="169"/>
        <v/>
      </c>
      <c r="AB506" t="str">
        <f>IF($D506="","",IF(COUNTIF($D$2:$D506,$D506)=1,$D506,""))</f>
        <v/>
      </c>
      <c r="AC506">
        <f t="shared" si="170"/>
        <v>0</v>
      </c>
      <c r="AD506" t="str">
        <f t="shared" si="171"/>
        <v>|0</v>
      </c>
      <c r="AE506" t="str">
        <f t="shared" si="172"/>
        <v/>
      </c>
      <c r="AF506" t="str">
        <f t="shared" si="173"/>
        <v/>
      </c>
      <c r="AG506" t="str">
        <f t="shared" si="174"/>
        <v/>
      </c>
      <c r="AH506" t="str">
        <f t="shared" si="175"/>
        <v/>
      </c>
      <c r="AI506" t="str">
        <f t="shared" si="176"/>
        <v/>
      </c>
      <c r="AJ506" t="str">
        <f t="shared" si="177"/>
        <v/>
      </c>
      <c r="AK506" t="str">
        <f t="shared" si="178"/>
        <v/>
      </c>
      <c r="AL506" t="str">
        <f t="shared" si="179"/>
        <v/>
      </c>
      <c r="AM506" t="str">
        <f t="shared" si="180"/>
        <v/>
      </c>
      <c r="AN506" t="str">
        <f t="shared" si="181"/>
        <v/>
      </c>
      <c r="AO506" t="str">
        <f t="shared" si="182"/>
        <v/>
      </c>
      <c r="AP506">
        <f t="shared" si="183"/>
        <v>1</v>
      </c>
      <c r="AQ506" t="str">
        <f>IF(SAISIE!$F511="","",SAISIE!$Y511)</f>
        <v/>
      </c>
      <c r="AR506" t="str">
        <f>IF(OR(SAISIE!$U$4="",SAISIE!$W$4=""),"",IF(AND($A506=SAISIE!$U$4,$B506=SAISIE!$W$4,$C506="S1"),COUNTIFS($A$2:$A506,SAISIE!$U$4,$B$2:$B506,SAISIE!$W$4,$C$2:$C506,"S1"),""))</f>
        <v/>
      </c>
      <c r="AS506" t="str">
        <f t="shared" si="184"/>
        <v/>
      </c>
      <c r="AT506" t="str">
        <f t="shared" si="185"/>
        <v/>
      </c>
      <c r="AU506" t="str">
        <f t="shared" si="186"/>
        <v/>
      </c>
      <c r="AV506">
        <f>N(AV505)+IF(AND($AB506&lt;&gt;"",OR('PROFIL ELEVE'!$K$4="(Tous)",$AF506='PROFIL ELEVE'!$K$4)),1,0)</f>
        <v>0</v>
      </c>
      <c r="AW506">
        <f>N(AW505)+IF(AND($AB506&lt;&gt;"",OR('SUIVI LONGITUDINAL'!$Q$4="(Tous)",$AF506='SUIVI LONGITUDINAL'!$Q$4)),1,0)</f>
        <v>0</v>
      </c>
      <c r="AX506">
        <f t="shared" si="187"/>
        <v>0</v>
      </c>
      <c r="AY506">
        <f t="shared" si="188"/>
        <v>0</v>
      </c>
      <c r="AZ506">
        <f t="shared" si="189"/>
        <v>0</v>
      </c>
      <c r="BA506" t="str">
        <f t="shared" si="190"/>
        <v/>
      </c>
      <c r="BB506" t="str">
        <f t="shared" si="191"/>
        <v/>
      </c>
    </row>
    <row r="507" spans="1:54" ht="14.25" customHeight="1" x14ac:dyDescent="0.3">
      <c r="A507" t="str">
        <f>IF(SAISIE!$F512="","",SAISIE!$B512)</f>
        <v/>
      </c>
      <c r="B507" t="str">
        <f>IF(SAISIE!$F512="","",SAISIE!$C512)</f>
        <v/>
      </c>
      <c r="C507" t="str">
        <f>IF(SAISIE!$F512="","",SAISIE!$D512)</f>
        <v/>
      </c>
      <c r="D507" t="str">
        <f>IF(SAISIE!$E512="","",SAISIE!$E512)</f>
        <v/>
      </c>
      <c r="E507" t="str">
        <f>IF(SAISIE!$F512="","",SAISIE!$F512)</f>
        <v/>
      </c>
      <c r="F507" t="str">
        <f>IF(SAISIE!$G512="","",SAISIE!$G512)</f>
        <v/>
      </c>
      <c r="G507" t="str">
        <f>IF(SAISIE!$H512="","",SAISIE!$H512)</f>
        <v/>
      </c>
      <c r="H507" t="str">
        <f>IF(SAISIE!$I512="","",SAISIE!$I512)</f>
        <v/>
      </c>
      <c r="I507" t="str">
        <f>IF(SAISIE!$J512="","",SAISIE!$J512)</f>
        <v/>
      </c>
      <c r="J507" t="str">
        <f>IF(SAISIE!$K512="","",SAISIE!$K512)</f>
        <v/>
      </c>
      <c r="K507" t="str">
        <f>IF(SAISIE!$L512="","",SAISIE!$L512)</f>
        <v/>
      </c>
      <c r="L507" t="str">
        <f>IF(SAISIE!$M512="","",SAISIE!$M512)</f>
        <v/>
      </c>
      <c r="M507" t="str">
        <f>IF(SAISIE!$N512="","",SAISIE!$N512)</f>
        <v/>
      </c>
      <c r="N507" t="str">
        <f>IF(SAISIE!$O512="","",SAISIE!$O512)</f>
        <v/>
      </c>
      <c r="O507" t="str">
        <f>IF(SAISIE!$P512="","",SAISIE!$P512)</f>
        <v/>
      </c>
      <c r="P507" t="str">
        <f>IF(SAISIE!$Q512="","",SAISIE!$Q512)</f>
        <v/>
      </c>
      <c r="Q507" t="str">
        <f>IF($I507="","",IF($I507&gt;PARAMETRES!$G$29,5,IF($I507&gt;PARAMETRES!$F$29,4,IF($I507&gt;PARAMETRES!$E$29,3,IF($I507&gt;PARAMETRES!$D$29,2,1)))))</f>
        <v/>
      </c>
      <c r="R507" t="str">
        <f>IF($J507="","",IF($J507&gt;PARAMETRES!$G$30,5,IF($J507&gt;PARAMETRES!$F$30,4,IF($J507&gt;PARAMETRES!$E$30,3,IF($J507&gt;PARAMETRES!$D$30,2,1)))))</f>
        <v/>
      </c>
      <c r="S507" t="str">
        <f>IF($K507="","",IF($Z507=2,IF($K507&gt;PARAMETRES!$G$31,5,IF($K507&gt;PARAMETRES!$F$31,4,IF($K507&gt;PARAMETRES!$E$31,3,IF($K507&gt;PARAMETRES!$D$31,2,1)))),IF($K507&gt;PARAMETRES!$G$32,5,IF($K507&gt;PARAMETRES!$F$32,4,IF($K507&gt;PARAMETRES!$E$32,3,IF($K507&gt;PARAMETRES!$D$32,2,1))))))</f>
        <v/>
      </c>
      <c r="T507" t="str">
        <f>IF($L507="","",IF($L507&gt;PARAMETRES!$G$33,5,IF($L507&gt;PARAMETRES!$F$33,4,IF($L507&gt;PARAMETRES!$E$33,3,IF($L507&gt;PARAMETRES!$D$33,2,1)))))</f>
        <v/>
      </c>
      <c r="U507" t="str">
        <f>IF($M507="","",IF($M507&gt;PARAMETRES!$G$34,5,IF($M507&gt;PARAMETRES!$F$34,4,IF($M507&gt;PARAMETRES!$E$34,3,IF($M507&gt;PARAMETRES!$D$34,2,1)))))</f>
        <v/>
      </c>
      <c r="V507" t="str">
        <f>IF($N507="","",IF($N507&gt;PARAMETRES!$G$35,5,IF($N507&gt;PARAMETRES!$F$35,4,IF($N507&gt;PARAMETRES!$E$35,3,IF($N507&gt;PARAMETRES!$D$35,2,1)))))</f>
        <v/>
      </c>
      <c r="W507" t="str">
        <f>IF($O507="","",IF($O507&gt;PARAMETRES!$G$36,5,IF($O507&gt;PARAMETRES!$F$36,4,IF($O507&gt;PARAMETRES!$E$36,3,IF($O507&gt;PARAMETRES!$D$36,2,1)))))</f>
        <v/>
      </c>
      <c r="X507" t="str">
        <f>IF($P507="","",IF($P507&gt;PARAMETRES!$G$37,5,IF($P507&gt;PARAMETRES!$F$37,4,IF($P507&gt;PARAMETRES!$E$37,3,IF($P507&gt;PARAMETRES!$D$37,2,1)))))</f>
        <v/>
      </c>
      <c r="Y507" t="str">
        <f t="shared" si="168"/>
        <v/>
      </c>
      <c r="Z507" t="str">
        <f>IFERROR(VLOOKUP($B507,TABLE_CYCLE,2,0),"")</f>
        <v/>
      </c>
      <c r="AA507" t="str">
        <f t="shared" si="169"/>
        <v/>
      </c>
      <c r="AB507" t="str">
        <f>IF($D507="","",IF(COUNTIF($D$2:$D507,$D507)=1,$D507,""))</f>
        <v/>
      </c>
      <c r="AC507">
        <f t="shared" si="170"/>
        <v>0</v>
      </c>
      <c r="AD507" t="str">
        <f t="shared" si="171"/>
        <v>|0</v>
      </c>
      <c r="AE507" t="str">
        <f t="shared" si="172"/>
        <v/>
      </c>
      <c r="AF507" t="str">
        <f t="shared" si="173"/>
        <v/>
      </c>
      <c r="AG507" t="str">
        <f t="shared" si="174"/>
        <v/>
      </c>
      <c r="AH507" t="str">
        <f t="shared" si="175"/>
        <v/>
      </c>
      <c r="AI507" t="str">
        <f t="shared" si="176"/>
        <v/>
      </c>
      <c r="AJ507" t="str">
        <f t="shared" si="177"/>
        <v/>
      </c>
      <c r="AK507" t="str">
        <f t="shared" si="178"/>
        <v/>
      </c>
      <c r="AL507" t="str">
        <f t="shared" si="179"/>
        <v/>
      </c>
      <c r="AM507" t="str">
        <f t="shared" si="180"/>
        <v/>
      </c>
      <c r="AN507" t="str">
        <f t="shared" si="181"/>
        <v/>
      </c>
      <c r="AO507" t="str">
        <f t="shared" si="182"/>
        <v/>
      </c>
      <c r="AP507">
        <f t="shared" si="183"/>
        <v>1</v>
      </c>
      <c r="AQ507" t="str">
        <f>IF(SAISIE!$F512="","",SAISIE!$Y512)</f>
        <v/>
      </c>
      <c r="AR507" t="str">
        <f>IF(OR(SAISIE!$U$4="",SAISIE!$W$4=""),"",IF(AND($A507=SAISIE!$U$4,$B507=SAISIE!$W$4,$C507="S1"),COUNTIFS($A$2:$A507,SAISIE!$U$4,$B$2:$B507,SAISIE!$W$4,$C$2:$C507,"S1"),""))</f>
        <v/>
      </c>
      <c r="AS507" t="str">
        <f t="shared" si="184"/>
        <v/>
      </c>
      <c r="AT507" t="str">
        <f t="shared" si="185"/>
        <v/>
      </c>
      <c r="AU507" t="str">
        <f t="shared" si="186"/>
        <v/>
      </c>
      <c r="AV507">
        <f>N(AV506)+IF(AND($AB507&lt;&gt;"",OR('PROFIL ELEVE'!$K$4="(Tous)",$AF507='PROFIL ELEVE'!$K$4)),1,0)</f>
        <v>0</v>
      </c>
      <c r="AW507">
        <f>N(AW506)+IF(AND($AB507&lt;&gt;"",OR('SUIVI LONGITUDINAL'!$Q$4="(Tous)",$AF507='SUIVI LONGITUDINAL'!$Q$4)),1,0)</f>
        <v>0</v>
      </c>
      <c r="AX507">
        <f t="shared" si="187"/>
        <v>0</v>
      </c>
      <c r="AY507">
        <f t="shared" si="188"/>
        <v>0</v>
      </c>
      <c r="AZ507">
        <f t="shared" si="189"/>
        <v>0</v>
      </c>
      <c r="BA507" t="str">
        <f t="shared" si="190"/>
        <v/>
      </c>
      <c r="BB507" t="str">
        <f t="shared" si="191"/>
        <v/>
      </c>
    </row>
    <row r="508" spans="1:54" ht="14.25" customHeight="1" x14ac:dyDescent="0.3">
      <c r="A508" t="str">
        <f>IF(SAISIE!$F513="","",SAISIE!$B513)</f>
        <v/>
      </c>
      <c r="B508" t="str">
        <f>IF(SAISIE!$F513="","",SAISIE!$C513)</f>
        <v/>
      </c>
      <c r="C508" t="str">
        <f>IF(SAISIE!$F513="","",SAISIE!$D513)</f>
        <v/>
      </c>
      <c r="D508" t="str">
        <f>IF(SAISIE!$E513="","",SAISIE!$E513)</f>
        <v/>
      </c>
      <c r="E508" t="str">
        <f>IF(SAISIE!$F513="","",SAISIE!$F513)</f>
        <v/>
      </c>
      <c r="F508" t="str">
        <f>IF(SAISIE!$G513="","",SAISIE!$G513)</f>
        <v/>
      </c>
      <c r="G508" t="str">
        <f>IF(SAISIE!$H513="","",SAISIE!$H513)</f>
        <v/>
      </c>
      <c r="H508" t="str">
        <f>IF(SAISIE!$I513="","",SAISIE!$I513)</f>
        <v/>
      </c>
      <c r="I508" t="str">
        <f>IF(SAISIE!$J513="","",SAISIE!$J513)</f>
        <v/>
      </c>
      <c r="J508" t="str">
        <f>IF(SAISIE!$K513="","",SAISIE!$K513)</f>
        <v/>
      </c>
      <c r="K508" t="str">
        <f>IF(SAISIE!$L513="","",SAISIE!$L513)</f>
        <v/>
      </c>
      <c r="L508" t="str">
        <f>IF(SAISIE!$M513="","",SAISIE!$M513)</f>
        <v/>
      </c>
      <c r="M508" t="str">
        <f>IF(SAISIE!$N513="","",SAISIE!$N513)</f>
        <v/>
      </c>
      <c r="N508" t="str">
        <f>IF(SAISIE!$O513="","",SAISIE!$O513)</f>
        <v/>
      </c>
      <c r="O508" t="str">
        <f>IF(SAISIE!$P513="","",SAISIE!$P513)</f>
        <v/>
      </c>
      <c r="P508" t="str">
        <f>IF(SAISIE!$Q513="","",SAISIE!$Q513)</f>
        <v/>
      </c>
      <c r="Q508" t="str">
        <f>IF($I508="","",IF($I508&gt;PARAMETRES!$G$29,5,IF($I508&gt;PARAMETRES!$F$29,4,IF($I508&gt;PARAMETRES!$E$29,3,IF($I508&gt;PARAMETRES!$D$29,2,1)))))</f>
        <v/>
      </c>
      <c r="R508" t="str">
        <f>IF($J508="","",IF($J508&gt;PARAMETRES!$G$30,5,IF($J508&gt;PARAMETRES!$F$30,4,IF($J508&gt;PARAMETRES!$E$30,3,IF($J508&gt;PARAMETRES!$D$30,2,1)))))</f>
        <v/>
      </c>
      <c r="S508" t="str">
        <f>IF($K508="","",IF($Z508=2,IF($K508&gt;PARAMETRES!$G$31,5,IF($K508&gt;PARAMETRES!$F$31,4,IF($K508&gt;PARAMETRES!$E$31,3,IF($K508&gt;PARAMETRES!$D$31,2,1)))),IF($K508&gt;PARAMETRES!$G$32,5,IF($K508&gt;PARAMETRES!$F$32,4,IF($K508&gt;PARAMETRES!$E$32,3,IF($K508&gt;PARAMETRES!$D$32,2,1))))))</f>
        <v/>
      </c>
      <c r="T508" t="str">
        <f>IF($L508="","",IF($L508&gt;PARAMETRES!$G$33,5,IF($L508&gt;PARAMETRES!$F$33,4,IF($L508&gt;PARAMETRES!$E$33,3,IF($L508&gt;PARAMETRES!$D$33,2,1)))))</f>
        <v/>
      </c>
      <c r="U508" t="str">
        <f>IF($M508="","",IF($M508&gt;PARAMETRES!$G$34,5,IF($M508&gt;PARAMETRES!$F$34,4,IF($M508&gt;PARAMETRES!$E$34,3,IF($M508&gt;PARAMETRES!$D$34,2,1)))))</f>
        <v/>
      </c>
      <c r="V508" t="str">
        <f>IF($N508="","",IF($N508&gt;PARAMETRES!$G$35,5,IF($N508&gt;PARAMETRES!$F$35,4,IF($N508&gt;PARAMETRES!$E$35,3,IF($N508&gt;PARAMETRES!$D$35,2,1)))))</f>
        <v/>
      </c>
      <c r="W508" t="str">
        <f>IF($O508="","",IF($O508&gt;PARAMETRES!$G$36,5,IF($O508&gt;PARAMETRES!$F$36,4,IF($O508&gt;PARAMETRES!$E$36,3,IF($O508&gt;PARAMETRES!$D$36,2,1)))))</f>
        <v/>
      </c>
      <c r="X508" t="str">
        <f>IF($P508="","",IF($P508&gt;PARAMETRES!$G$37,5,IF($P508&gt;PARAMETRES!$F$37,4,IF($P508&gt;PARAMETRES!$E$37,3,IF($P508&gt;PARAMETRES!$D$37,2,1)))))</f>
        <v/>
      </c>
      <c r="Y508" t="str">
        <f t="shared" si="168"/>
        <v/>
      </c>
      <c r="Z508" t="str">
        <f>IFERROR(VLOOKUP($B508,TABLE_CYCLE,2,0),"")</f>
        <v/>
      </c>
      <c r="AA508" t="str">
        <f t="shared" si="169"/>
        <v/>
      </c>
      <c r="AB508" t="str">
        <f>IF($D508="","",IF(COUNTIF($D$2:$D508,$D508)=1,$D508,""))</f>
        <v/>
      </c>
      <c r="AC508">
        <f t="shared" si="170"/>
        <v>0</v>
      </c>
      <c r="AD508" t="str">
        <f t="shared" si="171"/>
        <v>|0</v>
      </c>
      <c r="AE508" t="str">
        <f t="shared" si="172"/>
        <v/>
      </c>
      <c r="AF508" t="str">
        <f t="shared" si="173"/>
        <v/>
      </c>
      <c r="AG508" t="str">
        <f t="shared" si="174"/>
        <v/>
      </c>
      <c r="AH508" t="str">
        <f t="shared" si="175"/>
        <v/>
      </c>
      <c r="AI508" t="str">
        <f t="shared" si="176"/>
        <v/>
      </c>
      <c r="AJ508" t="str">
        <f t="shared" si="177"/>
        <v/>
      </c>
      <c r="AK508" t="str">
        <f t="shared" si="178"/>
        <v/>
      </c>
      <c r="AL508" t="str">
        <f t="shared" si="179"/>
        <v/>
      </c>
      <c r="AM508" t="str">
        <f t="shared" si="180"/>
        <v/>
      </c>
      <c r="AN508" t="str">
        <f t="shared" si="181"/>
        <v/>
      </c>
      <c r="AO508" t="str">
        <f t="shared" si="182"/>
        <v/>
      </c>
      <c r="AP508">
        <f t="shared" si="183"/>
        <v>1</v>
      </c>
      <c r="AQ508" t="str">
        <f>IF(SAISIE!$F513="","",SAISIE!$Y513)</f>
        <v/>
      </c>
      <c r="AR508" t="str">
        <f>IF(OR(SAISIE!$U$4="",SAISIE!$W$4=""),"",IF(AND($A508=SAISIE!$U$4,$B508=SAISIE!$W$4,$C508="S1"),COUNTIFS($A$2:$A508,SAISIE!$U$4,$B$2:$B508,SAISIE!$W$4,$C$2:$C508,"S1"),""))</f>
        <v/>
      </c>
      <c r="AS508" t="str">
        <f t="shared" si="184"/>
        <v/>
      </c>
      <c r="AT508" t="str">
        <f t="shared" si="185"/>
        <v/>
      </c>
      <c r="AU508" t="str">
        <f t="shared" si="186"/>
        <v/>
      </c>
      <c r="AV508">
        <f>N(AV507)+IF(AND($AB508&lt;&gt;"",OR('PROFIL ELEVE'!$K$4="(Tous)",$AF508='PROFIL ELEVE'!$K$4)),1,0)</f>
        <v>0</v>
      </c>
      <c r="AW508">
        <f>N(AW507)+IF(AND($AB508&lt;&gt;"",OR('SUIVI LONGITUDINAL'!$Q$4="(Tous)",$AF508='SUIVI LONGITUDINAL'!$Q$4)),1,0)</f>
        <v>0</v>
      </c>
      <c r="AX508">
        <f t="shared" si="187"/>
        <v>0</v>
      </c>
      <c r="AY508">
        <f t="shared" si="188"/>
        <v>0</v>
      </c>
      <c r="AZ508">
        <f t="shared" si="189"/>
        <v>0</v>
      </c>
      <c r="BA508" t="str">
        <f t="shared" si="190"/>
        <v/>
      </c>
      <c r="BB508" t="str">
        <f t="shared" si="191"/>
        <v/>
      </c>
    </row>
    <row r="509" spans="1:54" ht="14.25" customHeight="1" x14ac:dyDescent="0.3">
      <c r="A509" t="str">
        <f>IF(SAISIE!$F514="","",SAISIE!$B514)</f>
        <v/>
      </c>
      <c r="B509" t="str">
        <f>IF(SAISIE!$F514="","",SAISIE!$C514)</f>
        <v/>
      </c>
      <c r="C509" t="str">
        <f>IF(SAISIE!$F514="","",SAISIE!$D514)</f>
        <v/>
      </c>
      <c r="D509" t="str">
        <f>IF(SAISIE!$E514="","",SAISIE!$E514)</f>
        <v/>
      </c>
      <c r="E509" t="str">
        <f>IF(SAISIE!$F514="","",SAISIE!$F514)</f>
        <v/>
      </c>
      <c r="F509" t="str">
        <f>IF(SAISIE!$G514="","",SAISIE!$G514)</f>
        <v/>
      </c>
      <c r="G509" t="str">
        <f>IF(SAISIE!$H514="","",SAISIE!$H514)</f>
        <v/>
      </c>
      <c r="H509" t="str">
        <f>IF(SAISIE!$I514="","",SAISIE!$I514)</f>
        <v/>
      </c>
      <c r="I509" t="str">
        <f>IF(SAISIE!$J514="","",SAISIE!$J514)</f>
        <v/>
      </c>
      <c r="J509" t="str">
        <f>IF(SAISIE!$K514="","",SAISIE!$K514)</f>
        <v/>
      </c>
      <c r="K509" t="str">
        <f>IF(SAISIE!$L514="","",SAISIE!$L514)</f>
        <v/>
      </c>
      <c r="L509" t="str">
        <f>IF(SAISIE!$M514="","",SAISIE!$M514)</f>
        <v/>
      </c>
      <c r="M509" t="str">
        <f>IF(SAISIE!$N514="","",SAISIE!$N514)</f>
        <v/>
      </c>
      <c r="N509" t="str">
        <f>IF(SAISIE!$O514="","",SAISIE!$O514)</f>
        <v/>
      </c>
      <c r="O509" t="str">
        <f>IF(SAISIE!$P514="","",SAISIE!$P514)</f>
        <v/>
      </c>
      <c r="P509" t="str">
        <f>IF(SAISIE!$Q514="","",SAISIE!$Q514)</f>
        <v/>
      </c>
      <c r="Q509" t="str">
        <f>IF($I509="","",IF($I509&gt;PARAMETRES!$G$29,5,IF($I509&gt;PARAMETRES!$F$29,4,IF($I509&gt;PARAMETRES!$E$29,3,IF($I509&gt;PARAMETRES!$D$29,2,1)))))</f>
        <v/>
      </c>
      <c r="R509" t="str">
        <f>IF($J509="","",IF($J509&gt;PARAMETRES!$G$30,5,IF($J509&gt;PARAMETRES!$F$30,4,IF($J509&gt;PARAMETRES!$E$30,3,IF($J509&gt;PARAMETRES!$D$30,2,1)))))</f>
        <v/>
      </c>
      <c r="S509" t="str">
        <f>IF($K509="","",IF($Z509=2,IF($K509&gt;PARAMETRES!$G$31,5,IF($K509&gt;PARAMETRES!$F$31,4,IF($K509&gt;PARAMETRES!$E$31,3,IF($K509&gt;PARAMETRES!$D$31,2,1)))),IF($K509&gt;PARAMETRES!$G$32,5,IF($K509&gt;PARAMETRES!$F$32,4,IF($K509&gt;PARAMETRES!$E$32,3,IF($K509&gt;PARAMETRES!$D$32,2,1))))))</f>
        <v/>
      </c>
      <c r="T509" t="str">
        <f>IF($L509="","",IF($L509&gt;PARAMETRES!$G$33,5,IF($L509&gt;PARAMETRES!$F$33,4,IF($L509&gt;PARAMETRES!$E$33,3,IF($L509&gt;PARAMETRES!$D$33,2,1)))))</f>
        <v/>
      </c>
      <c r="U509" t="str">
        <f>IF($M509="","",IF($M509&gt;PARAMETRES!$G$34,5,IF($M509&gt;PARAMETRES!$F$34,4,IF($M509&gt;PARAMETRES!$E$34,3,IF($M509&gt;PARAMETRES!$D$34,2,1)))))</f>
        <v/>
      </c>
      <c r="V509" t="str">
        <f>IF($N509="","",IF($N509&gt;PARAMETRES!$G$35,5,IF($N509&gt;PARAMETRES!$F$35,4,IF($N509&gt;PARAMETRES!$E$35,3,IF($N509&gt;PARAMETRES!$D$35,2,1)))))</f>
        <v/>
      </c>
      <c r="W509" t="str">
        <f>IF($O509="","",IF($O509&gt;PARAMETRES!$G$36,5,IF($O509&gt;PARAMETRES!$F$36,4,IF($O509&gt;PARAMETRES!$E$36,3,IF($O509&gt;PARAMETRES!$D$36,2,1)))))</f>
        <v/>
      </c>
      <c r="X509" t="str">
        <f>IF($P509="","",IF($P509&gt;PARAMETRES!$G$37,5,IF($P509&gt;PARAMETRES!$F$37,4,IF($P509&gt;PARAMETRES!$E$37,3,IF($P509&gt;PARAMETRES!$D$37,2,1)))))</f>
        <v/>
      </c>
      <c r="Y509" t="str">
        <f t="shared" si="168"/>
        <v/>
      </c>
      <c r="Z509" t="str">
        <f>IFERROR(VLOOKUP($B509,TABLE_CYCLE,2,0),"")</f>
        <v/>
      </c>
      <c r="AA509" t="str">
        <f t="shared" si="169"/>
        <v/>
      </c>
      <c r="AB509" t="str">
        <f>IF($D509="","",IF(COUNTIF($D$2:$D509,$D509)=1,$D509,""))</f>
        <v/>
      </c>
      <c r="AC509">
        <f t="shared" si="170"/>
        <v>0</v>
      </c>
      <c r="AD509" t="str">
        <f t="shared" si="171"/>
        <v>|0</v>
      </c>
      <c r="AE509" t="str">
        <f t="shared" si="172"/>
        <v/>
      </c>
      <c r="AF509" t="str">
        <f t="shared" si="173"/>
        <v/>
      </c>
      <c r="AG509" t="str">
        <f t="shared" si="174"/>
        <v/>
      </c>
      <c r="AH509" t="str">
        <f t="shared" si="175"/>
        <v/>
      </c>
      <c r="AI509" t="str">
        <f t="shared" si="176"/>
        <v/>
      </c>
      <c r="AJ509" t="str">
        <f t="shared" si="177"/>
        <v/>
      </c>
      <c r="AK509" t="str">
        <f t="shared" si="178"/>
        <v/>
      </c>
      <c r="AL509" t="str">
        <f t="shared" si="179"/>
        <v/>
      </c>
      <c r="AM509" t="str">
        <f t="shared" si="180"/>
        <v/>
      </c>
      <c r="AN509" t="str">
        <f t="shared" si="181"/>
        <v/>
      </c>
      <c r="AO509" t="str">
        <f t="shared" si="182"/>
        <v/>
      </c>
      <c r="AP509">
        <f t="shared" si="183"/>
        <v>1</v>
      </c>
      <c r="AQ509" t="str">
        <f>IF(SAISIE!$F514="","",SAISIE!$Y514)</f>
        <v/>
      </c>
      <c r="AR509" t="str">
        <f>IF(OR(SAISIE!$U$4="",SAISIE!$W$4=""),"",IF(AND($A509=SAISIE!$U$4,$B509=SAISIE!$W$4,$C509="S1"),COUNTIFS($A$2:$A509,SAISIE!$U$4,$B$2:$B509,SAISIE!$W$4,$C$2:$C509,"S1"),""))</f>
        <v/>
      </c>
      <c r="AS509" t="str">
        <f t="shared" si="184"/>
        <v/>
      </c>
      <c r="AT509" t="str">
        <f t="shared" si="185"/>
        <v/>
      </c>
      <c r="AU509" t="str">
        <f t="shared" si="186"/>
        <v/>
      </c>
      <c r="AV509">
        <f>N(AV508)+IF(AND($AB509&lt;&gt;"",OR('PROFIL ELEVE'!$K$4="(Tous)",$AF509='PROFIL ELEVE'!$K$4)),1,0)</f>
        <v>0</v>
      </c>
      <c r="AW509">
        <f>N(AW508)+IF(AND($AB509&lt;&gt;"",OR('SUIVI LONGITUDINAL'!$Q$4="(Tous)",$AF509='SUIVI LONGITUDINAL'!$Q$4)),1,0)</f>
        <v>0</v>
      </c>
      <c r="AX509">
        <f t="shared" si="187"/>
        <v>0</v>
      </c>
      <c r="AY509">
        <f t="shared" si="188"/>
        <v>0</v>
      </c>
      <c r="AZ509">
        <f t="shared" si="189"/>
        <v>0</v>
      </c>
      <c r="BA509" t="str">
        <f t="shared" si="190"/>
        <v/>
      </c>
      <c r="BB509" t="str">
        <f t="shared" si="191"/>
        <v/>
      </c>
    </row>
    <row r="510" spans="1:54" ht="14.25" customHeight="1" x14ac:dyDescent="0.3">
      <c r="A510" t="str">
        <f>IF(SAISIE!$F515="","",SAISIE!$B515)</f>
        <v/>
      </c>
      <c r="B510" t="str">
        <f>IF(SAISIE!$F515="","",SAISIE!$C515)</f>
        <v/>
      </c>
      <c r="C510" t="str">
        <f>IF(SAISIE!$F515="","",SAISIE!$D515)</f>
        <v/>
      </c>
      <c r="D510" t="str">
        <f>IF(SAISIE!$E515="","",SAISIE!$E515)</f>
        <v/>
      </c>
      <c r="E510" t="str">
        <f>IF(SAISIE!$F515="","",SAISIE!$F515)</f>
        <v/>
      </c>
      <c r="F510" t="str">
        <f>IF(SAISIE!$G515="","",SAISIE!$G515)</f>
        <v/>
      </c>
      <c r="G510" t="str">
        <f>IF(SAISIE!$H515="","",SAISIE!$H515)</f>
        <v/>
      </c>
      <c r="H510" t="str">
        <f>IF(SAISIE!$I515="","",SAISIE!$I515)</f>
        <v/>
      </c>
      <c r="I510" t="str">
        <f>IF(SAISIE!$J515="","",SAISIE!$J515)</f>
        <v/>
      </c>
      <c r="J510" t="str">
        <f>IF(SAISIE!$K515="","",SAISIE!$K515)</f>
        <v/>
      </c>
      <c r="K510" t="str">
        <f>IF(SAISIE!$L515="","",SAISIE!$L515)</f>
        <v/>
      </c>
      <c r="L510" t="str">
        <f>IF(SAISIE!$M515="","",SAISIE!$M515)</f>
        <v/>
      </c>
      <c r="M510" t="str">
        <f>IF(SAISIE!$N515="","",SAISIE!$N515)</f>
        <v/>
      </c>
      <c r="N510" t="str">
        <f>IF(SAISIE!$O515="","",SAISIE!$O515)</f>
        <v/>
      </c>
      <c r="O510" t="str">
        <f>IF(SAISIE!$P515="","",SAISIE!$P515)</f>
        <v/>
      </c>
      <c r="P510" t="str">
        <f>IF(SAISIE!$Q515="","",SAISIE!$Q515)</f>
        <v/>
      </c>
      <c r="Q510" t="str">
        <f>IF($I510="","",IF($I510&gt;PARAMETRES!$G$29,5,IF($I510&gt;PARAMETRES!$F$29,4,IF($I510&gt;PARAMETRES!$E$29,3,IF($I510&gt;PARAMETRES!$D$29,2,1)))))</f>
        <v/>
      </c>
      <c r="R510" t="str">
        <f>IF($J510="","",IF($J510&gt;PARAMETRES!$G$30,5,IF($J510&gt;PARAMETRES!$F$30,4,IF($J510&gt;PARAMETRES!$E$30,3,IF($J510&gt;PARAMETRES!$D$30,2,1)))))</f>
        <v/>
      </c>
      <c r="S510" t="str">
        <f>IF($K510="","",IF($Z510=2,IF($K510&gt;PARAMETRES!$G$31,5,IF($K510&gt;PARAMETRES!$F$31,4,IF($K510&gt;PARAMETRES!$E$31,3,IF($K510&gt;PARAMETRES!$D$31,2,1)))),IF($K510&gt;PARAMETRES!$G$32,5,IF($K510&gt;PARAMETRES!$F$32,4,IF($K510&gt;PARAMETRES!$E$32,3,IF($K510&gt;PARAMETRES!$D$32,2,1))))))</f>
        <v/>
      </c>
      <c r="T510" t="str">
        <f>IF($L510="","",IF($L510&gt;PARAMETRES!$G$33,5,IF($L510&gt;PARAMETRES!$F$33,4,IF($L510&gt;PARAMETRES!$E$33,3,IF($L510&gt;PARAMETRES!$D$33,2,1)))))</f>
        <v/>
      </c>
      <c r="U510" t="str">
        <f>IF($M510="","",IF($M510&gt;PARAMETRES!$G$34,5,IF($M510&gt;PARAMETRES!$F$34,4,IF($M510&gt;PARAMETRES!$E$34,3,IF($M510&gt;PARAMETRES!$D$34,2,1)))))</f>
        <v/>
      </c>
      <c r="V510" t="str">
        <f>IF($N510="","",IF($N510&gt;PARAMETRES!$G$35,5,IF($N510&gt;PARAMETRES!$F$35,4,IF($N510&gt;PARAMETRES!$E$35,3,IF($N510&gt;PARAMETRES!$D$35,2,1)))))</f>
        <v/>
      </c>
      <c r="W510" t="str">
        <f>IF($O510="","",IF($O510&gt;PARAMETRES!$G$36,5,IF($O510&gt;PARAMETRES!$F$36,4,IF($O510&gt;PARAMETRES!$E$36,3,IF($O510&gt;PARAMETRES!$D$36,2,1)))))</f>
        <v/>
      </c>
      <c r="X510" t="str">
        <f>IF($P510="","",IF($P510&gt;PARAMETRES!$G$37,5,IF($P510&gt;PARAMETRES!$F$37,4,IF($P510&gt;PARAMETRES!$E$37,3,IF($P510&gt;PARAMETRES!$D$37,2,1)))))</f>
        <v/>
      </c>
      <c r="Y510" t="str">
        <f t="shared" si="168"/>
        <v/>
      </c>
      <c r="Z510" t="str">
        <f>IFERROR(VLOOKUP($B510,TABLE_CYCLE,2,0),"")</f>
        <v/>
      </c>
      <c r="AA510" t="str">
        <f t="shared" si="169"/>
        <v/>
      </c>
      <c r="AB510" t="str">
        <f>IF($D510="","",IF(COUNTIF($D$2:$D510,$D510)=1,$D510,""))</f>
        <v/>
      </c>
      <c r="AC510">
        <f t="shared" si="170"/>
        <v>0</v>
      </c>
      <c r="AD510" t="str">
        <f t="shared" si="171"/>
        <v>|0</v>
      </c>
      <c r="AE510" t="str">
        <f t="shared" si="172"/>
        <v/>
      </c>
      <c r="AF510" t="str">
        <f t="shared" si="173"/>
        <v/>
      </c>
      <c r="AG510" t="str">
        <f t="shared" si="174"/>
        <v/>
      </c>
      <c r="AH510" t="str">
        <f t="shared" si="175"/>
        <v/>
      </c>
      <c r="AI510" t="str">
        <f t="shared" si="176"/>
        <v/>
      </c>
      <c r="AJ510" t="str">
        <f t="shared" si="177"/>
        <v/>
      </c>
      <c r="AK510" t="str">
        <f t="shared" si="178"/>
        <v/>
      </c>
      <c r="AL510" t="str">
        <f t="shared" si="179"/>
        <v/>
      </c>
      <c r="AM510" t="str">
        <f t="shared" si="180"/>
        <v/>
      </c>
      <c r="AN510" t="str">
        <f t="shared" si="181"/>
        <v/>
      </c>
      <c r="AO510" t="str">
        <f t="shared" si="182"/>
        <v/>
      </c>
      <c r="AP510">
        <f t="shared" si="183"/>
        <v>1</v>
      </c>
      <c r="AQ510" t="str">
        <f>IF(SAISIE!$F515="","",SAISIE!$Y515)</f>
        <v/>
      </c>
      <c r="AR510" t="str">
        <f>IF(OR(SAISIE!$U$4="",SAISIE!$W$4=""),"",IF(AND($A510=SAISIE!$U$4,$B510=SAISIE!$W$4,$C510="S1"),COUNTIFS($A$2:$A510,SAISIE!$U$4,$B$2:$B510,SAISIE!$W$4,$C$2:$C510,"S1"),""))</f>
        <v/>
      </c>
      <c r="AS510" t="str">
        <f t="shared" si="184"/>
        <v/>
      </c>
      <c r="AT510" t="str">
        <f t="shared" si="185"/>
        <v/>
      </c>
      <c r="AU510" t="str">
        <f t="shared" si="186"/>
        <v/>
      </c>
      <c r="AV510">
        <f>N(AV509)+IF(AND($AB510&lt;&gt;"",OR('PROFIL ELEVE'!$K$4="(Tous)",$AF510='PROFIL ELEVE'!$K$4)),1,0)</f>
        <v>0</v>
      </c>
      <c r="AW510">
        <f>N(AW509)+IF(AND($AB510&lt;&gt;"",OR('SUIVI LONGITUDINAL'!$Q$4="(Tous)",$AF510='SUIVI LONGITUDINAL'!$Q$4)),1,0)</f>
        <v>0</v>
      </c>
      <c r="AX510">
        <f t="shared" si="187"/>
        <v>0</v>
      </c>
      <c r="AY510">
        <f t="shared" si="188"/>
        <v>0</v>
      </c>
      <c r="AZ510">
        <f t="shared" si="189"/>
        <v>0</v>
      </c>
      <c r="BA510" t="str">
        <f t="shared" si="190"/>
        <v/>
      </c>
      <c r="BB510" t="str">
        <f t="shared" si="191"/>
        <v/>
      </c>
    </row>
    <row r="511" spans="1:54" ht="14.25" customHeight="1" x14ac:dyDescent="0.3">
      <c r="A511" t="str">
        <f>IF(SAISIE!$F516="","",SAISIE!$B516)</f>
        <v/>
      </c>
      <c r="B511" t="str">
        <f>IF(SAISIE!$F516="","",SAISIE!$C516)</f>
        <v/>
      </c>
      <c r="C511" t="str">
        <f>IF(SAISIE!$F516="","",SAISIE!$D516)</f>
        <v/>
      </c>
      <c r="D511" t="str">
        <f>IF(SAISIE!$E516="","",SAISIE!$E516)</f>
        <v/>
      </c>
      <c r="E511" t="str">
        <f>IF(SAISIE!$F516="","",SAISIE!$F516)</f>
        <v/>
      </c>
      <c r="F511" t="str">
        <f>IF(SAISIE!$G516="","",SAISIE!$G516)</f>
        <v/>
      </c>
      <c r="G511" t="str">
        <f>IF(SAISIE!$H516="","",SAISIE!$H516)</f>
        <v/>
      </c>
      <c r="H511" t="str">
        <f>IF(SAISIE!$I516="","",SAISIE!$I516)</f>
        <v/>
      </c>
      <c r="I511" t="str">
        <f>IF(SAISIE!$J516="","",SAISIE!$J516)</f>
        <v/>
      </c>
      <c r="J511" t="str">
        <f>IF(SAISIE!$K516="","",SAISIE!$K516)</f>
        <v/>
      </c>
      <c r="K511" t="str">
        <f>IF(SAISIE!$L516="","",SAISIE!$L516)</f>
        <v/>
      </c>
      <c r="L511" t="str">
        <f>IF(SAISIE!$M516="","",SAISIE!$M516)</f>
        <v/>
      </c>
      <c r="M511" t="str">
        <f>IF(SAISIE!$N516="","",SAISIE!$N516)</f>
        <v/>
      </c>
      <c r="N511" t="str">
        <f>IF(SAISIE!$O516="","",SAISIE!$O516)</f>
        <v/>
      </c>
      <c r="O511" t="str">
        <f>IF(SAISIE!$P516="","",SAISIE!$P516)</f>
        <v/>
      </c>
      <c r="P511" t="str">
        <f>IF(SAISIE!$Q516="","",SAISIE!$Q516)</f>
        <v/>
      </c>
      <c r="Q511" t="str">
        <f>IF($I511="","",IF($I511&gt;PARAMETRES!$G$29,5,IF($I511&gt;PARAMETRES!$F$29,4,IF($I511&gt;PARAMETRES!$E$29,3,IF($I511&gt;PARAMETRES!$D$29,2,1)))))</f>
        <v/>
      </c>
      <c r="R511" t="str">
        <f>IF($J511="","",IF($J511&gt;PARAMETRES!$G$30,5,IF($J511&gt;PARAMETRES!$F$30,4,IF($J511&gt;PARAMETRES!$E$30,3,IF($J511&gt;PARAMETRES!$D$30,2,1)))))</f>
        <v/>
      </c>
      <c r="S511" t="str">
        <f>IF($K511="","",IF($Z511=2,IF($K511&gt;PARAMETRES!$G$31,5,IF($K511&gt;PARAMETRES!$F$31,4,IF($K511&gt;PARAMETRES!$E$31,3,IF($K511&gt;PARAMETRES!$D$31,2,1)))),IF($K511&gt;PARAMETRES!$G$32,5,IF($K511&gt;PARAMETRES!$F$32,4,IF($K511&gt;PARAMETRES!$E$32,3,IF($K511&gt;PARAMETRES!$D$32,2,1))))))</f>
        <v/>
      </c>
      <c r="T511" t="str">
        <f>IF($L511="","",IF($L511&gt;PARAMETRES!$G$33,5,IF($L511&gt;PARAMETRES!$F$33,4,IF($L511&gt;PARAMETRES!$E$33,3,IF($L511&gt;PARAMETRES!$D$33,2,1)))))</f>
        <v/>
      </c>
      <c r="U511" t="str">
        <f>IF($M511="","",IF($M511&gt;PARAMETRES!$G$34,5,IF($M511&gt;PARAMETRES!$F$34,4,IF($M511&gt;PARAMETRES!$E$34,3,IF($M511&gt;PARAMETRES!$D$34,2,1)))))</f>
        <v/>
      </c>
      <c r="V511" t="str">
        <f>IF($N511="","",IF($N511&gt;PARAMETRES!$G$35,5,IF($N511&gt;PARAMETRES!$F$35,4,IF($N511&gt;PARAMETRES!$E$35,3,IF($N511&gt;PARAMETRES!$D$35,2,1)))))</f>
        <v/>
      </c>
      <c r="W511" t="str">
        <f>IF($O511="","",IF($O511&gt;PARAMETRES!$G$36,5,IF($O511&gt;PARAMETRES!$F$36,4,IF($O511&gt;PARAMETRES!$E$36,3,IF($O511&gt;PARAMETRES!$D$36,2,1)))))</f>
        <v/>
      </c>
      <c r="X511" t="str">
        <f>IF($P511="","",IF($P511&gt;PARAMETRES!$G$37,5,IF($P511&gt;PARAMETRES!$F$37,4,IF($P511&gt;PARAMETRES!$E$37,3,IF($P511&gt;PARAMETRES!$D$37,2,1)))))</f>
        <v/>
      </c>
      <c r="Y511" t="str">
        <f t="shared" si="168"/>
        <v/>
      </c>
      <c r="Z511" t="str">
        <f>IFERROR(VLOOKUP($B511,TABLE_CYCLE,2,0),"")</f>
        <v/>
      </c>
      <c r="AA511" t="str">
        <f t="shared" si="169"/>
        <v/>
      </c>
      <c r="AB511" t="str">
        <f>IF($D511="","",IF(COUNTIF($D$2:$D511,$D511)=1,$D511,""))</f>
        <v/>
      </c>
      <c r="AC511">
        <f t="shared" si="170"/>
        <v>0</v>
      </c>
      <c r="AD511" t="str">
        <f t="shared" si="171"/>
        <v>|0</v>
      </c>
      <c r="AE511" t="str">
        <f t="shared" si="172"/>
        <v/>
      </c>
      <c r="AF511" t="str">
        <f t="shared" si="173"/>
        <v/>
      </c>
      <c r="AG511" t="str">
        <f t="shared" si="174"/>
        <v/>
      </c>
      <c r="AH511" t="str">
        <f t="shared" si="175"/>
        <v/>
      </c>
      <c r="AI511" t="str">
        <f t="shared" si="176"/>
        <v/>
      </c>
      <c r="AJ511" t="str">
        <f t="shared" si="177"/>
        <v/>
      </c>
      <c r="AK511" t="str">
        <f t="shared" si="178"/>
        <v/>
      </c>
      <c r="AL511" t="str">
        <f t="shared" si="179"/>
        <v/>
      </c>
      <c r="AM511" t="str">
        <f t="shared" si="180"/>
        <v/>
      </c>
      <c r="AN511" t="str">
        <f t="shared" si="181"/>
        <v/>
      </c>
      <c r="AO511" t="str">
        <f t="shared" si="182"/>
        <v/>
      </c>
      <c r="AP511">
        <f t="shared" si="183"/>
        <v>1</v>
      </c>
      <c r="AQ511" t="str">
        <f>IF(SAISIE!$F516="","",SAISIE!$Y516)</f>
        <v/>
      </c>
      <c r="AR511" t="str">
        <f>IF(OR(SAISIE!$U$4="",SAISIE!$W$4=""),"",IF(AND($A511=SAISIE!$U$4,$B511=SAISIE!$W$4,$C511="S1"),COUNTIFS($A$2:$A511,SAISIE!$U$4,$B$2:$B511,SAISIE!$W$4,$C$2:$C511,"S1"),""))</f>
        <v/>
      </c>
      <c r="AS511" t="str">
        <f t="shared" si="184"/>
        <v/>
      </c>
      <c r="AT511" t="str">
        <f t="shared" si="185"/>
        <v/>
      </c>
      <c r="AU511" t="str">
        <f t="shared" si="186"/>
        <v/>
      </c>
      <c r="AV511">
        <f>N(AV510)+IF(AND($AB511&lt;&gt;"",OR('PROFIL ELEVE'!$K$4="(Tous)",$AF511='PROFIL ELEVE'!$K$4)),1,0)</f>
        <v>0</v>
      </c>
      <c r="AW511">
        <f>N(AW510)+IF(AND($AB511&lt;&gt;"",OR('SUIVI LONGITUDINAL'!$Q$4="(Tous)",$AF511='SUIVI LONGITUDINAL'!$Q$4)),1,0)</f>
        <v>0</v>
      </c>
      <c r="AX511">
        <f t="shared" si="187"/>
        <v>0</v>
      </c>
      <c r="AY511">
        <f t="shared" si="188"/>
        <v>0</v>
      </c>
      <c r="AZ511">
        <f t="shared" si="189"/>
        <v>0</v>
      </c>
      <c r="BA511" t="str">
        <f t="shared" si="190"/>
        <v/>
      </c>
      <c r="BB511" t="str">
        <f t="shared" si="191"/>
        <v/>
      </c>
    </row>
    <row r="512" spans="1:54" ht="14.25" customHeight="1" x14ac:dyDescent="0.3">
      <c r="A512" t="str">
        <f>IF(SAISIE!$F517="","",SAISIE!$B517)</f>
        <v/>
      </c>
      <c r="B512" t="str">
        <f>IF(SAISIE!$F517="","",SAISIE!$C517)</f>
        <v/>
      </c>
      <c r="C512" t="str">
        <f>IF(SAISIE!$F517="","",SAISIE!$D517)</f>
        <v/>
      </c>
      <c r="D512" t="str">
        <f>IF(SAISIE!$E517="","",SAISIE!$E517)</f>
        <v/>
      </c>
      <c r="E512" t="str">
        <f>IF(SAISIE!$F517="","",SAISIE!$F517)</f>
        <v/>
      </c>
      <c r="F512" t="str">
        <f>IF(SAISIE!$G517="","",SAISIE!$G517)</f>
        <v/>
      </c>
      <c r="G512" t="str">
        <f>IF(SAISIE!$H517="","",SAISIE!$H517)</f>
        <v/>
      </c>
      <c r="H512" t="str">
        <f>IF(SAISIE!$I517="","",SAISIE!$I517)</f>
        <v/>
      </c>
      <c r="I512" t="str">
        <f>IF(SAISIE!$J517="","",SAISIE!$J517)</f>
        <v/>
      </c>
      <c r="J512" t="str">
        <f>IF(SAISIE!$K517="","",SAISIE!$K517)</f>
        <v/>
      </c>
      <c r="K512" t="str">
        <f>IF(SAISIE!$L517="","",SAISIE!$L517)</f>
        <v/>
      </c>
      <c r="L512" t="str">
        <f>IF(SAISIE!$M517="","",SAISIE!$M517)</f>
        <v/>
      </c>
      <c r="M512" t="str">
        <f>IF(SAISIE!$N517="","",SAISIE!$N517)</f>
        <v/>
      </c>
      <c r="N512" t="str">
        <f>IF(SAISIE!$O517="","",SAISIE!$O517)</f>
        <v/>
      </c>
      <c r="O512" t="str">
        <f>IF(SAISIE!$P517="","",SAISIE!$P517)</f>
        <v/>
      </c>
      <c r="P512" t="str">
        <f>IF(SAISIE!$Q517="","",SAISIE!$Q517)</f>
        <v/>
      </c>
      <c r="Q512" t="str">
        <f>IF($I512="","",IF($I512&gt;PARAMETRES!$G$29,5,IF($I512&gt;PARAMETRES!$F$29,4,IF($I512&gt;PARAMETRES!$E$29,3,IF($I512&gt;PARAMETRES!$D$29,2,1)))))</f>
        <v/>
      </c>
      <c r="R512" t="str">
        <f>IF($J512="","",IF($J512&gt;PARAMETRES!$G$30,5,IF($J512&gt;PARAMETRES!$F$30,4,IF($J512&gt;PARAMETRES!$E$30,3,IF($J512&gt;PARAMETRES!$D$30,2,1)))))</f>
        <v/>
      </c>
      <c r="S512" t="str">
        <f>IF($K512="","",IF($Z512=2,IF($K512&gt;PARAMETRES!$G$31,5,IF($K512&gt;PARAMETRES!$F$31,4,IF($K512&gt;PARAMETRES!$E$31,3,IF($K512&gt;PARAMETRES!$D$31,2,1)))),IF($K512&gt;PARAMETRES!$G$32,5,IF($K512&gt;PARAMETRES!$F$32,4,IF($K512&gt;PARAMETRES!$E$32,3,IF($K512&gt;PARAMETRES!$D$32,2,1))))))</f>
        <v/>
      </c>
      <c r="T512" t="str">
        <f>IF($L512="","",IF($L512&gt;PARAMETRES!$G$33,5,IF($L512&gt;PARAMETRES!$F$33,4,IF($L512&gt;PARAMETRES!$E$33,3,IF($L512&gt;PARAMETRES!$D$33,2,1)))))</f>
        <v/>
      </c>
      <c r="U512" t="str">
        <f>IF($M512="","",IF($M512&gt;PARAMETRES!$G$34,5,IF($M512&gt;PARAMETRES!$F$34,4,IF($M512&gt;PARAMETRES!$E$34,3,IF($M512&gt;PARAMETRES!$D$34,2,1)))))</f>
        <v/>
      </c>
      <c r="V512" t="str">
        <f>IF($N512="","",IF($N512&gt;PARAMETRES!$G$35,5,IF($N512&gt;PARAMETRES!$F$35,4,IF($N512&gt;PARAMETRES!$E$35,3,IF($N512&gt;PARAMETRES!$D$35,2,1)))))</f>
        <v/>
      </c>
      <c r="W512" t="str">
        <f>IF($O512="","",IF($O512&gt;PARAMETRES!$G$36,5,IF($O512&gt;PARAMETRES!$F$36,4,IF($O512&gt;PARAMETRES!$E$36,3,IF($O512&gt;PARAMETRES!$D$36,2,1)))))</f>
        <v/>
      </c>
      <c r="X512" t="str">
        <f>IF($P512="","",IF($P512&gt;PARAMETRES!$G$37,5,IF($P512&gt;PARAMETRES!$F$37,4,IF($P512&gt;PARAMETRES!$E$37,3,IF($P512&gt;PARAMETRES!$D$37,2,1)))))</f>
        <v/>
      </c>
      <c r="Y512" t="str">
        <f t="shared" si="168"/>
        <v/>
      </c>
      <c r="Z512" t="str">
        <f>IFERROR(VLOOKUP($B512,TABLE_CYCLE,2,0),"")</f>
        <v/>
      </c>
      <c r="AA512" t="str">
        <f t="shared" si="169"/>
        <v/>
      </c>
      <c r="AB512" t="str">
        <f>IF($D512="","",IF(COUNTIF($D$2:$D512,$D512)=1,$D512,""))</f>
        <v/>
      </c>
      <c r="AC512">
        <f t="shared" si="170"/>
        <v>0</v>
      </c>
      <c r="AD512" t="str">
        <f t="shared" si="171"/>
        <v>|0</v>
      </c>
      <c r="AE512" t="str">
        <f t="shared" si="172"/>
        <v/>
      </c>
      <c r="AF512" t="str">
        <f t="shared" si="173"/>
        <v/>
      </c>
      <c r="AG512" t="str">
        <f t="shared" si="174"/>
        <v/>
      </c>
      <c r="AH512" t="str">
        <f t="shared" si="175"/>
        <v/>
      </c>
      <c r="AI512" t="str">
        <f t="shared" si="176"/>
        <v/>
      </c>
      <c r="AJ512" t="str">
        <f t="shared" si="177"/>
        <v/>
      </c>
      <c r="AK512" t="str">
        <f t="shared" si="178"/>
        <v/>
      </c>
      <c r="AL512" t="str">
        <f t="shared" si="179"/>
        <v/>
      </c>
      <c r="AM512" t="str">
        <f t="shared" si="180"/>
        <v/>
      </c>
      <c r="AN512" t="str">
        <f t="shared" si="181"/>
        <v/>
      </c>
      <c r="AO512" t="str">
        <f t="shared" si="182"/>
        <v/>
      </c>
      <c r="AP512">
        <f t="shared" si="183"/>
        <v>1</v>
      </c>
      <c r="AQ512" t="str">
        <f>IF(SAISIE!$F517="","",SAISIE!$Y517)</f>
        <v/>
      </c>
      <c r="AR512" t="str">
        <f>IF(OR(SAISIE!$U$4="",SAISIE!$W$4=""),"",IF(AND($A512=SAISIE!$U$4,$B512=SAISIE!$W$4,$C512="S1"),COUNTIFS($A$2:$A512,SAISIE!$U$4,$B$2:$B512,SAISIE!$W$4,$C$2:$C512,"S1"),""))</f>
        <v/>
      </c>
      <c r="AS512" t="str">
        <f t="shared" si="184"/>
        <v/>
      </c>
      <c r="AT512" t="str">
        <f t="shared" si="185"/>
        <v/>
      </c>
      <c r="AU512" t="str">
        <f t="shared" si="186"/>
        <v/>
      </c>
      <c r="AV512">
        <f>N(AV511)+IF(AND($AB512&lt;&gt;"",OR('PROFIL ELEVE'!$K$4="(Tous)",$AF512='PROFIL ELEVE'!$K$4)),1,0)</f>
        <v>0</v>
      </c>
      <c r="AW512">
        <f>N(AW511)+IF(AND($AB512&lt;&gt;"",OR('SUIVI LONGITUDINAL'!$Q$4="(Tous)",$AF512='SUIVI LONGITUDINAL'!$Q$4)),1,0)</f>
        <v>0</v>
      </c>
      <c r="AX512">
        <f t="shared" si="187"/>
        <v>0</v>
      </c>
      <c r="AY512">
        <f t="shared" si="188"/>
        <v>0</v>
      </c>
      <c r="AZ512">
        <f t="shared" si="189"/>
        <v>0</v>
      </c>
      <c r="BA512" t="str">
        <f t="shared" si="190"/>
        <v/>
      </c>
      <c r="BB512" t="str">
        <f t="shared" si="191"/>
        <v/>
      </c>
    </row>
    <row r="513" spans="1:54" ht="14.25" customHeight="1" x14ac:dyDescent="0.3">
      <c r="A513" t="str">
        <f>IF(SAISIE!$F518="","",SAISIE!$B518)</f>
        <v/>
      </c>
      <c r="B513" t="str">
        <f>IF(SAISIE!$F518="","",SAISIE!$C518)</f>
        <v/>
      </c>
      <c r="C513" t="str">
        <f>IF(SAISIE!$F518="","",SAISIE!$D518)</f>
        <v/>
      </c>
      <c r="D513" t="str">
        <f>IF(SAISIE!$E518="","",SAISIE!$E518)</f>
        <v/>
      </c>
      <c r="E513" t="str">
        <f>IF(SAISIE!$F518="","",SAISIE!$F518)</f>
        <v/>
      </c>
      <c r="F513" t="str">
        <f>IF(SAISIE!$G518="","",SAISIE!$G518)</f>
        <v/>
      </c>
      <c r="G513" t="str">
        <f>IF(SAISIE!$H518="","",SAISIE!$H518)</f>
        <v/>
      </c>
      <c r="H513" t="str">
        <f>IF(SAISIE!$I518="","",SAISIE!$I518)</f>
        <v/>
      </c>
      <c r="I513" t="str">
        <f>IF(SAISIE!$J518="","",SAISIE!$J518)</f>
        <v/>
      </c>
      <c r="J513" t="str">
        <f>IF(SAISIE!$K518="","",SAISIE!$K518)</f>
        <v/>
      </c>
      <c r="K513" t="str">
        <f>IF(SAISIE!$L518="","",SAISIE!$L518)</f>
        <v/>
      </c>
      <c r="L513" t="str">
        <f>IF(SAISIE!$M518="","",SAISIE!$M518)</f>
        <v/>
      </c>
      <c r="M513" t="str">
        <f>IF(SAISIE!$N518="","",SAISIE!$N518)</f>
        <v/>
      </c>
      <c r="N513" t="str">
        <f>IF(SAISIE!$O518="","",SAISIE!$O518)</f>
        <v/>
      </c>
      <c r="O513" t="str">
        <f>IF(SAISIE!$P518="","",SAISIE!$P518)</f>
        <v/>
      </c>
      <c r="P513" t="str">
        <f>IF(SAISIE!$Q518="","",SAISIE!$Q518)</f>
        <v/>
      </c>
      <c r="Q513" t="str">
        <f>IF($I513="","",IF($I513&gt;PARAMETRES!$G$29,5,IF($I513&gt;PARAMETRES!$F$29,4,IF($I513&gt;PARAMETRES!$E$29,3,IF($I513&gt;PARAMETRES!$D$29,2,1)))))</f>
        <v/>
      </c>
      <c r="R513" t="str">
        <f>IF($J513="","",IF($J513&gt;PARAMETRES!$G$30,5,IF($J513&gt;PARAMETRES!$F$30,4,IF($J513&gt;PARAMETRES!$E$30,3,IF($J513&gt;PARAMETRES!$D$30,2,1)))))</f>
        <v/>
      </c>
      <c r="S513" t="str">
        <f>IF($K513="","",IF($Z513=2,IF($K513&gt;PARAMETRES!$G$31,5,IF($K513&gt;PARAMETRES!$F$31,4,IF($K513&gt;PARAMETRES!$E$31,3,IF($K513&gt;PARAMETRES!$D$31,2,1)))),IF($K513&gt;PARAMETRES!$G$32,5,IF($K513&gt;PARAMETRES!$F$32,4,IF($K513&gt;PARAMETRES!$E$32,3,IF($K513&gt;PARAMETRES!$D$32,2,1))))))</f>
        <v/>
      </c>
      <c r="T513" t="str">
        <f>IF($L513="","",IF($L513&gt;PARAMETRES!$G$33,5,IF($L513&gt;PARAMETRES!$F$33,4,IF($L513&gt;PARAMETRES!$E$33,3,IF($L513&gt;PARAMETRES!$D$33,2,1)))))</f>
        <v/>
      </c>
      <c r="U513" t="str">
        <f>IF($M513="","",IF($M513&gt;PARAMETRES!$G$34,5,IF($M513&gt;PARAMETRES!$F$34,4,IF($M513&gt;PARAMETRES!$E$34,3,IF($M513&gt;PARAMETRES!$D$34,2,1)))))</f>
        <v/>
      </c>
      <c r="V513" t="str">
        <f>IF($N513="","",IF($N513&gt;PARAMETRES!$G$35,5,IF($N513&gt;PARAMETRES!$F$35,4,IF($N513&gt;PARAMETRES!$E$35,3,IF($N513&gt;PARAMETRES!$D$35,2,1)))))</f>
        <v/>
      </c>
      <c r="W513" t="str">
        <f>IF($O513="","",IF($O513&gt;PARAMETRES!$G$36,5,IF($O513&gt;PARAMETRES!$F$36,4,IF($O513&gt;PARAMETRES!$E$36,3,IF($O513&gt;PARAMETRES!$D$36,2,1)))))</f>
        <v/>
      </c>
      <c r="X513" t="str">
        <f>IF($P513="","",IF($P513&gt;PARAMETRES!$G$37,5,IF($P513&gt;PARAMETRES!$F$37,4,IF($P513&gt;PARAMETRES!$E$37,3,IF($P513&gt;PARAMETRES!$D$37,2,1)))))</f>
        <v/>
      </c>
      <c r="Y513" t="str">
        <f t="shared" si="168"/>
        <v/>
      </c>
      <c r="Z513" t="str">
        <f>IFERROR(VLOOKUP($B513,TABLE_CYCLE,2,0),"")</f>
        <v/>
      </c>
      <c r="AA513" t="str">
        <f t="shared" si="169"/>
        <v/>
      </c>
      <c r="AB513" t="str">
        <f>IF($D513="","",IF(COUNTIF($D$2:$D513,$D513)=1,$D513,""))</f>
        <v/>
      </c>
      <c r="AC513">
        <f t="shared" si="170"/>
        <v>0</v>
      </c>
      <c r="AD513" t="str">
        <f t="shared" si="171"/>
        <v>|0</v>
      </c>
      <c r="AE513" t="str">
        <f t="shared" si="172"/>
        <v/>
      </c>
      <c r="AF513" t="str">
        <f t="shared" si="173"/>
        <v/>
      </c>
      <c r="AG513" t="str">
        <f t="shared" si="174"/>
        <v/>
      </c>
      <c r="AH513" t="str">
        <f t="shared" si="175"/>
        <v/>
      </c>
      <c r="AI513" t="str">
        <f t="shared" si="176"/>
        <v/>
      </c>
      <c r="AJ513" t="str">
        <f t="shared" si="177"/>
        <v/>
      </c>
      <c r="AK513" t="str">
        <f t="shared" si="178"/>
        <v/>
      </c>
      <c r="AL513" t="str">
        <f t="shared" si="179"/>
        <v/>
      </c>
      <c r="AM513" t="str">
        <f t="shared" si="180"/>
        <v/>
      </c>
      <c r="AN513" t="str">
        <f t="shared" si="181"/>
        <v/>
      </c>
      <c r="AO513" t="str">
        <f t="shared" si="182"/>
        <v/>
      </c>
      <c r="AP513">
        <f t="shared" si="183"/>
        <v>1</v>
      </c>
      <c r="AQ513" t="str">
        <f>IF(SAISIE!$F518="","",SAISIE!$Y518)</f>
        <v/>
      </c>
      <c r="AR513" t="str">
        <f>IF(OR(SAISIE!$U$4="",SAISIE!$W$4=""),"",IF(AND($A513=SAISIE!$U$4,$B513=SAISIE!$W$4,$C513="S1"),COUNTIFS($A$2:$A513,SAISIE!$U$4,$B$2:$B513,SAISIE!$W$4,$C$2:$C513,"S1"),""))</f>
        <v/>
      </c>
      <c r="AS513" t="str">
        <f t="shared" si="184"/>
        <v/>
      </c>
      <c r="AT513" t="str">
        <f t="shared" si="185"/>
        <v/>
      </c>
      <c r="AU513" t="str">
        <f t="shared" si="186"/>
        <v/>
      </c>
      <c r="AV513">
        <f>N(AV512)+IF(AND($AB513&lt;&gt;"",OR('PROFIL ELEVE'!$K$4="(Tous)",$AF513='PROFIL ELEVE'!$K$4)),1,0)</f>
        <v>0</v>
      </c>
      <c r="AW513">
        <f>N(AW512)+IF(AND($AB513&lt;&gt;"",OR('SUIVI LONGITUDINAL'!$Q$4="(Tous)",$AF513='SUIVI LONGITUDINAL'!$Q$4)),1,0)</f>
        <v>0</v>
      </c>
      <c r="AX513">
        <f t="shared" si="187"/>
        <v>0</v>
      </c>
      <c r="AY513">
        <f t="shared" si="188"/>
        <v>0</v>
      </c>
      <c r="AZ513">
        <f t="shared" si="189"/>
        <v>0</v>
      </c>
      <c r="BA513" t="str">
        <f t="shared" si="190"/>
        <v/>
      </c>
      <c r="BB513" t="str">
        <f t="shared" si="191"/>
        <v/>
      </c>
    </row>
    <row r="514" spans="1:54" ht="14.25" customHeight="1" x14ac:dyDescent="0.3">
      <c r="A514" t="str">
        <f>IF(SAISIE!$F519="","",SAISIE!$B519)</f>
        <v/>
      </c>
      <c r="B514" t="str">
        <f>IF(SAISIE!$F519="","",SAISIE!$C519)</f>
        <v/>
      </c>
      <c r="C514" t="str">
        <f>IF(SAISIE!$F519="","",SAISIE!$D519)</f>
        <v/>
      </c>
      <c r="D514" t="str">
        <f>IF(SAISIE!$E519="","",SAISIE!$E519)</f>
        <v/>
      </c>
      <c r="E514" t="str">
        <f>IF(SAISIE!$F519="","",SAISIE!$F519)</f>
        <v/>
      </c>
      <c r="F514" t="str">
        <f>IF(SAISIE!$G519="","",SAISIE!$G519)</f>
        <v/>
      </c>
      <c r="G514" t="str">
        <f>IF(SAISIE!$H519="","",SAISIE!$H519)</f>
        <v/>
      </c>
      <c r="H514" t="str">
        <f>IF(SAISIE!$I519="","",SAISIE!$I519)</f>
        <v/>
      </c>
      <c r="I514" t="str">
        <f>IF(SAISIE!$J519="","",SAISIE!$J519)</f>
        <v/>
      </c>
      <c r="J514" t="str">
        <f>IF(SAISIE!$K519="","",SAISIE!$K519)</f>
        <v/>
      </c>
      <c r="K514" t="str">
        <f>IF(SAISIE!$L519="","",SAISIE!$L519)</f>
        <v/>
      </c>
      <c r="L514" t="str">
        <f>IF(SAISIE!$M519="","",SAISIE!$M519)</f>
        <v/>
      </c>
      <c r="M514" t="str">
        <f>IF(SAISIE!$N519="","",SAISIE!$N519)</f>
        <v/>
      </c>
      <c r="N514" t="str">
        <f>IF(SAISIE!$O519="","",SAISIE!$O519)</f>
        <v/>
      </c>
      <c r="O514" t="str">
        <f>IF(SAISIE!$P519="","",SAISIE!$P519)</f>
        <v/>
      </c>
      <c r="P514" t="str">
        <f>IF(SAISIE!$Q519="","",SAISIE!$Q519)</f>
        <v/>
      </c>
      <c r="Q514" t="str">
        <f>IF($I514="","",IF($I514&gt;PARAMETRES!$G$29,5,IF($I514&gt;PARAMETRES!$F$29,4,IF($I514&gt;PARAMETRES!$E$29,3,IF($I514&gt;PARAMETRES!$D$29,2,1)))))</f>
        <v/>
      </c>
      <c r="R514" t="str">
        <f>IF($J514="","",IF($J514&gt;PARAMETRES!$G$30,5,IF($J514&gt;PARAMETRES!$F$30,4,IF($J514&gt;PARAMETRES!$E$30,3,IF($J514&gt;PARAMETRES!$D$30,2,1)))))</f>
        <v/>
      </c>
      <c r="S514" t="str">
        <f>IF($K514="","",IF($Z514=2,IF($K514&gt;PARAMETRES!$G$31,5,IF($K514&gt;PARAMETRES!$F$31,4,IF($K514&gt;PARAMETRES!$E$31,3,IF($K514&gt;PARAMETRES!$D$31,2,1)))),IF($K514&gt;PARAMETRES!$G$32,5,IF($K514&gt;PARAMETRES!$F$32,4,IF($K514&gt;PARAMETRES!$E$32,3,IF($K514&gt;PARAMETRES!$D$32,2,1))))))</f>
        <v/>
      </c>
      <c r="T514" t="str">
        <f>IF($L514="","",IF($L514&gt;PARAMETRES!$G$33,5,IF($L514&gt;PARAMETRES!$F$33,4,IF($L514&gt;PARAMETRES!$E$33,3,IF($L514&gt;PARAMETRES!$D$33,2,1)))))</f>
        <v/>
      </c>
      <c r="U514" t="str">
        <f>IF($M514="","",IF($M514&gt;PARAMETRES!$G$34,5,IF($M514&gt;PARAMETRES!$F$34,4,IF($M514&gt;PARAMETRES!$E$34,3,IF($M514&gt;PARAMETRES!$D$34,2,1)))))</f>
        <v/>
      </c>
      <c r="V514" t="str">
        <f>IF($N514="","",IF($N514&gt;PARAMETRES!$G$35,5,IF($N514&gt;PARAMETRES!$F$35,4,IF($N514&gt;PARAMETRES!$E$35,3,IF($N514&gt;PARAMETRES!$D$35,2,1)))))</f>
        <v/>
      </c>
      <c r="W514" t="str">
        <f>IF($O514="","",IF($O514&gt;PARAMETRES!$G$36,5,IF($O514&gt;PARAMETRES!$F$36,4,IF($O514&gt;PARAMETRES!$E$36,3,IF($O514&gt;PARAMETRES!$D$36,2,1)))))</f>
        <v/>
      </c>
      <c r="X514" t="str">
        <f>IF($P514="","",IF($P514&gt;PARAMETRES!$G$37,5,IF($P514&gt;PARAMETRES!$F$37,4,IF($P514&gt;PARAMETRES!$E$37,3,IF($P514&gt;PARAMETRES!$D$37,2,1)))))</f>
        <v/>
      </c>
      <c r="Y514" t="str">
        <f t="shared" ref="Y514:Y577" si="192">IF(COUNT($Q514:$X514)=0,"",AVERAGE($Q514:$X514))</f>
        <v/>
      </c>
      <c r="Z514" t="str">
        <f>IFERROR(VLOOKUP($B514,TABLE_CYCLE,2,0),"")</f>
        <v/>
      </c>
      <c r="AA514" t="str">
        <f t="shared" ref="AA514:AA577" si="193">IF($D514="","",$D514&amp;"|"&amp;$A514&amp;"|"&amp;$C514)</f>
        <v/>
      </c>
      <c r="AB514" t="str">
        <f>IF($D514="","",IF(COUNTIF($D$2:$D514,$D514)=1,$D514,""))</f>
        <v/>
      </c>
      <c r="AC514">
        <f t="shared" ref="AC514:AC577" si="194">IFERROR(MATCH($A514,LISTE_ANNEES,0),0)</f>
        <v>0</v>
      </c>
      <c r="AD514" t="str">
        <f t="shared" ref="AD514:AD577" si="195">$D514&amp;"|"&amp;$AC514</f>
        <v>|0</v>
      </c>
      <c r="AE514" t="str">
        <f t="shared" ref="AE514:AE577" si="196">IF($D514="","",_xlfn.MAXIFS($AC$2:$AC$1201,$D$2:$D$1201,$D514))</f>
        <v/>
      </c>
      <c r="AF514" t="str">
        <f t="shared" ref="AF514:AF577" si="197">IF($AB514="","",IFERROR(INDEX($B$2:$B$1201,MATCH($D514&amp;"|"&amp;$AE514,$AD$2:$AD$1201,0)),""))</f>
        <v/>
      </c>
      <c r="AG514" t="str">
        <f t="shared" ref="AG514:AG577" si="198">IF($C514&lt;&gt;"S1","",IFERROR(MATCH($D514&amp;"|"&amp;$A514&amp;"|S2",$AA$2:$AA$1201,0),""))</f>
        <v/>
      </c>
      <c r="AH514" t="str">
        <f t="shared" ref="AH514:AH577" si="199">IF(OR($AG514="",$Q514=""),"",IF(INDEX($Q$2:$Q$1201,$AG514)="","",IF(INDEX($Q$2:$Q$1201,$AG514)&gt;$Q514,1,IF(INDEX($Q$2:$Q$1201,$AG514)&lt;$Q514,-1,0))))</f>
        <v/>
      </c>
      <c r="AI514" t="str">
        <f t="shared" ref="AI514:AI577" si="200">IF(OR($AG514="",$R514=""),"",IF(INDEX($R$2:$R$1201,$AG514)="","",IF(INDEX($R$2:$R$1201,$AG514)&gt;$R514,1,IF(INDEX($R$2:$R$1201,$AG514)&lt;$R514,-1,0))))</f>
        <v/>
      </c>
      <c r="AJ514" t="str">
        <f t="shared" ref="AJ514:AJ577" si="201">IF(OR($AG514="",$S514=""),"",IF(INDEX($S$2:$S$1201,$AG514)="","",IF(INDEX($S$2:$S$1201,$AG514)&gt;$S514,1,IF(INDEX($S$2:$S$1201,$AG514)&lt;$S514,-1,0))))</f>
        <v/>
      </c>
      <c r="AK514" t="str">
        <f t="shared" ref="AK514:AK577" si="202">IF(OR($AG514="",$T514=""),"",IF(INDEX($T$2:$T$1201,$AG514)="","",IF(INDEX($T$2:$T$1201,$AG514)&gt;$T514,1,IF(INDEX($T$2:$T$1201,$AG514)&lt;$T514,-1,0))))</f>
        <v/>
      </c>
      <c r="AL514" t="str">
        <f t="shared" ref="AL514:AL577" si="203">IF(OR($AG514="",$U514=""),"",IF(INDEX($U$2:$U$1201,$AG514)="","",IF(INDEX($U$2:$U$1201,$AG514)&gt;$U514,1,IF(INDEX($U$2:$U$1201,$AG514)&lt;$U514,-1,0))))</f>
        <v/>
      </c>
      <c r="AM514" t="str">
        <f t="shared" ref="AM514:AM577" si="204">IF(OR($AG514="",$V514=""),"",IF(INDEX($V$2:$V$1201,$AG514)="","",IF(INDEX($V$2:$V$1201,$AG514)&gt;$V514,1,IF(INDEX($V$2:$V$1201,$AG514)&lt;$V514,-1,0))))</f>
        <v/>
      </c>
      <c r="AN514" t="str">
        <f t="shared" ref="AN514:AN577" si="205">IF(OR($AG514="",$W514=""),"",IF(INDEX($W$2:$W$1201,$AG514)="","",IF(INDEX($W$2:$W$1201,$AG514)&gt;$W514,1,IF(INDEX($W$2:$W$1201,$AG514)&lt;$W514,-1,0))))</f>
        <v/>
      </c>
      <c r="AO514" t="str">
        <f t="shared" ref="AO514:AO577" si="206">IF(OR($AG514="",$X514=""),"",IF(INDEX($X$2:$X$1201,$AG514)="","",IF(INDEX($X$2:$X$1201,$AG514)&gt;$X514,1,IF(INDEX($X$2:$X$1201,$AG514)&lt;$X514,-1,0))))</f>
        <v/>
      </c>
      <c r="AP514">
        <f t="shared" ref="AP514:AP577" si="207">IF($D514="",1,COUNTIFS($D$2:$D$1201,$D514,$A$2:$A$1201,$A514))</f>
        <v>1</v>
      </c>
      <c r="AQ514" t="str">
        <f>IF(SAISIE!$F519="","",SAISIE!$Y519)</f>
        <v/>
      </c>
      <c r="AR514" t="str">
        <f>IF(OR(SAISIE!$U$4="",SAISIE!$W$4=""),"",IF(AND($A514=SAISIE!$U$4,$B514=SAISIE!$W$4,$C514="S1"),COUNTIFS($A$2:$A514,SAISIE!$U$4,$B$2:$B514,SAISIE!$W$4,$C$2:$C514,"S1"),""))</f>
        <v/>
      </c>
      <c r="AS514" t="str">
        <f t="shared" ref="AS514:AS577" si="208">IF($D514="","",$A514&amp;"|"&amp;$C514&amp;"|"&amp;$D514)</f>
        <v/>
      </c>
      <c r="AT514" t="str">
        <f t="shared" ref="AT514:AT577" si="209">IF($D514="","",$A514&amp;"|"&amp;$D514&amp;"|"&amp;IF($AQ514="Parti","P","A"))</f>
        <v/>
      </c>
      <c r="AU514" t="str">
        <f t="shared" ref="AU514:AU577" si="210">IF($A514="","",$A514&amp;"|"&amp;$B514&amp;"|"&amp;$C514)</f>
        <v/>
      </c>
      <c r="AV514">
        <f>N(AV513)+IF(AND($AB514&lt;&gt;"",OR('PROFIL ELEVE'!$K$4="(Tous)",$AF514='PROFIL ELEVE'!$K$4)),1,0)</f>
        <v>0</v>
      </c>
      <c r="AW514">
        <f>N(AW513)+IF(AND($AB514&lt;&gt;"",OR('SUIVI LONGITUDINAL'!$Q$4="(Tous)",$AF514='SUIVI LONGITUDINAL'!$Q$4)),1,0)</f>
        <v>0</v>
      </c>
      <c r="AX514">
        <f t="shared" ref="AX514:AX577" si="211">COUNTIF($AH514:$AO514,1)</f>
        <v>0</v>
      </c>
      <c r="AY514">
        <f t="shared" ref="AY514:AY577" si="212">COUNTIF($AH514:$AO514,0)</f>
        <v>0</v>
      </c>
      <c r="AZ514">
        <f t="shared" ref="AZ514:AZ577" si="213">COUNTIF($AH514:$AO514,-1)</f>
        <v>0</v>
      </c>
      <c r="BA514" t="str">
        <f t="shared" ref="BA514:BA577" si="214">IF($E514="","",COUNT($Q514:$X514))</f>
        <v/>
      </c>
      <c r="BB514" t="str">
        <f t="shared" ref="BB514:BB577" si="215">IF($E514="","",IF(COUNT($Q514:$X514)&gt;=IF($Z514=2,5,8),1,0))</f>
        <v/>
      </c>
    </row>
    <row r="515" spans="1:54" ht="14.25" customHeight="1" x14ac:dyDescent="0.3">
      <c r="A515" t="str">
        <f>IF(SAISIE!$F520="","",SAISIE!$B520)</f>
        <v/>
      </c>
      <c r="B515" t="str">
        <f>IF(SAISIE!$F520="","",SAISIE!$C520)</f>
        <v/>
      </c>
      <c r="C515" t="str">
        <f>IF(SAISIE!$F520="","",SAISIE!$D520)</f>
        <v/>
      </c>
      <c r="D515" t="str">
        <f>IF(SAISIE!$E520="","",SAISIE!$E520)</f>
        <v/>
      </c>
      <c r="E515" t="str">
        <f>IF(SAISIE!$F520="","",SAISIE!$F520)</f>
        <v/>
      </c>
      <c r="F515" t="str">
        <f>IF(SAISIE!$G520="","",SAISIE!$G520)</f>
        <v/>
      </c>
      <c r="G515" t="str">
        <f>IF(SAISIE!$H520="","",SAISIE!$H520)</f>
        <v/>
      </c>
      <c r="H515" t="str">
        <f>IF(SAISIE!$I520="","",SAISIE!$I520)</f>
        <v/>
      </c>
      <c r="I515" t="str">
        <f>IF(SAISIE!$J520="","",SAISIE!$J520)</f>
        <v/>
      </c>
      <c r="J515" t="str">
        <f>IF(SAISIE!$K520="","",SAISIE!$K520)</f>
        <v/>
      </c>
      <c r="K515" t="str">
        <f>IF(SAISIE!$L520="","",SAISIE!$L520)</f>
        <v/>
      </c>
      <c r="L515" t="str">
        <f>IF(SAISIE!$M520="","",SAISIE!$M520)</f>
        <v/>
      </c>
      <c r="M515" t="str">
        <f>IF(SAISIE!$N520="","",SAISIE!$N520)</f>
        <v/>
      </c>
      <c r="N515" t="str">
        <f>IF(SAISIE!$O520="","",SAISIE!$O520)</f>
        <v/>
      </c>
      <c r="O515" t="str">
        <f>IF(SAISIE!$P520="","",SAISIE!$P520)</f>
        <v/>
      </c>
      <c r="P515" t="str">
        <f>IF(SAISIE!$Q520="","",SAISIE!$Q520)</f>
        <v/>
      </c>
      <c r="Q515" t="str">
        <f>IF($I515="","",IF($I515&gt;PARAMETRES!$G$29,5,IF($I515&gt;PARAMETRES!$F$29,4,IF($I515&gt;PARAMETRES!$E$29,3,IF($I515&gt;PARAMETRES!$D$29,2,1)))))</f>
        <v/>
      </c>
      <c r="R515" t="str">
        <f>IF($J515="","",IF($J515&gt;PARAMETRES!$G$30,5,IF($J515&gt;PARAMETRES!$F$30,4,IF($J515&gt;PARAMETRES!$E$30,3,IF($J515&gt;PARAMETRES!$D$30,2,1)))))</f>
        <v/>
      </c>
      <c r="S515" t="str">
        <f>IF($K515="","",IF($Z515=2,IF($K515&gt;PARAMETRES!$G$31,5,IF($K515&gt;PARAMETRES!$F$31,4,IF($K515&gt;PARAMETRES!$E$31,3,IF($K515&gt;PARAMETRES!$D$31,2,1)))),IF($K515&gt;PARAMETRES!$G$32,5,IF($K515&gt;PARAMETRES!$F$32,4,IF($K515&gt;PARAMETRES!$E$32,3,IF($K515&gt;PARAMETRES!$D$32,2,1))))))</f>
        <v/>
      </c>
      <c r="T515" t="str">
        <f>IF($L515="","",IF($L515&gt;PARAMETRES!$G$33,5,IF($L515&gt;PARAMETRES!$F$33,4,IF($L515&gt;PARAMETRES!$E$33,3,IF($L515&gt;PARAMETRES!$D$33,2,1)))))</f>
        <v/>
      </c>
      <c r="U515" t="str">
        <f>IF($M515="","",IF($M515&gt;PARAMETRES!$G$34,5,IF($M515&gt;PARAMETRES!$F$34,4,IF($M515&gt;PARAMETRES!$E$34,3,IF($M515&gt;PARAMETRES!$D$34,2,1)))))</f>
        <v/>
      </c>
      <c r="V515" t="str">
        <f>IF($N515="","",IF($N515&gt;PARAMETRES!$G$35,5,IF($N515&gt;PARAMETRES!$F$35,4,IF($N515&gt;PARAMETRES!$E$35,3,IF($N515&gt;PARAMETRES!$D$35,2,1)))))</f>
        <v/>
      </c>
      <c r="W515" t="str">
        <f>IF($O515="","",IF($O515&gt;PARAMETRES!$G$36,5,IF($O515&gt;PARAMETRES!$F$36,4,IF($O515&gt;PARAMETRES!$E$36,3,IF($O515&gt;PARAMETRES!$D$36,2,1)))))</f>
        <v/>
      </c>
      <c r="X515" t="str">
        <f>IF($P515="","",IF($P515&gt;PARAMETRES!$G$37,5,IF($P515&gt;PARAMETRES!$F$37,4,IF($P515&gt;PARAMETRES!$E$37,3,IF($P515&gt;PARAMETRES!$D$37,2,1)))))</f>
        <v/>
      </c>
      <c r="Y515" t="str">
        <f t="shared" si="192"/>
        <v/>
      </c>
      <c r="Z515" t="str">
        <f>IFERROR(VLOOKUP($B515,TABLE_CYCLE,2,0),"")</f>
        <v/>
      </c>
      <c r="AA515" t="str">
        <f t="shared" si="193"/>
        <v/>
      </c>
      <c r="AB515" t="str">
        <f>IF($D515="","",IF(COUNTIF($D$2:$D515,$D515)=1,$D515,""))</f>
        <v/>
      </c>
      <c r="AC515">
        <f t="shared" si="194"/>
        <v>0</v>
      </c>
      <c r="AD515" t="str">
        <f t="shared" si="195"/>
        <v>|0</v>
      </c>
      <c r="AE515" t="str">
        <f t="shared" si="196"/>
        <v/>
      </c>
      <c r="AF515" t="str">
        <f t="shared" si="197"/>
        <v/>
      </c>
      <c r="AG515" t="str">
        <f t="shared" si="198"/>
        <v/>
      </c>
      <c r="AH515" t="str">
        <f t="shared" si="199"/>
        <v/>
      </c>
      <c r="AI515" t="str">
        <f t="shared" si="200"/>
        <v/>
      </c>
      <c r="AJ515" t="str">
        <f t="shared" si="201"/>
        <v/>
      </c>
      <c r="AK515" t="str">
        <f t="shared" si="202"/>
        <v/>
      </c>
      <c r="AL515" t="str">
        <f t="shared" si="203"/>
        <v/>
      </c>
      <c r="AM515" t="str">
        <f t="shared" si="204"/>
        <v/>
      </c>
      <c r="AN515" t="str">
        <f t="shared" si="205"/>
        <v/>
      </c>
      <c r="AO515" t="str">
        <f t="shared" si="206"/>
        <v/>
      </c>
      <c r="AP515">
        <f t="shared" si="207"/>
        <v>1</v>
      </c>
      <c r="AQ515" t="str">
        <f>IF(SAISIE!$F520="","",SAISIE!$Y520)</f>
        <v/>
      </c>
      <c r="AR515" t="str">
        <f>IF(OR(SAISIE!$U$4="",SAISIE!$W$4=""),"",IF(AND($A515=SAISIE!$U$4,$B515=SAISIE!$W$4,$C515="S1"),COUNTIFS($A$2:$A515,SAISIE!$U$4,$B$2:$B515,SAISIE!$W$4,$C$2:$C515,"S1"),""))</f>
        <v/>
      </c>
      <c r="AS515" t="str">
        <f t="shared" si="208"/>
        <v/>
      </c>
      <c r="AT515" t="str">
        <f t="shared" si="209"/>
        <v/>
      </c>
      <c r="AU515" t="str">
        <f t="shared" si="210"/>
        <v/>
      </c>
      <c r="AV515">
        <f>N(AV514)+IF(AND($AB515&lt;&gt;"",OR('PROFIL ELEVE'!$K$4="(Tous)",$AF515='PROFIL ELEVE'!$K$4)),1,0)</f>
        <v>0</v>
      </c>
      <c r="AW515">
        <f>N(AW514)+IF(AND($AB515&lt;&gt;"",OR('SUIVI LONGITUDINAL'!$Q$4="(Tous)",$AF515='SUIVI LONGITUDINAL'!$Q$4)),1,0)</f>
        <v>0</v>
      </c>
      <c r="AX515">
        <f t="shared" si="211"/>
        <v>0</v>
      </c>
      <c r="AY515">
        <f t="shared" si="212"/>
        <v>0</v>
      </c>
      <c r="AZ515">
        <f t="shared" si="213"/>
        <v>0</v>
      </c>
      <c r="BA515" t="str">
        <f t="shared" si="214"/>
        <v/>
      </c>
      <c r="BB515" t="str">
        <f t="shared" si="215"/>
        <v/>
      </c>
    </row>
    <row r="516" spans="1:54" ht="14.25" customHeight="1" x14ac:dyDescent="0.3">
      <c r="A516" t="str">
        <f>IF(SAISIE!$F521="","",SAISIE!$B521)</f>
        <v/>
      </c>
      <c r="B516" t="str">
        <f>IF(SAISIE!$F521="","",SAISIE!$C521)</f>
        <v/>
      </c>
      <c r="C516" t="str">
        <f>IF(SAISIE!$F521="","",SAISIE!$D521)</f>
        <v/>
      </c>
      <c r="D516" t="str">
        <f>IF(SAISIE!$E521="","",SAISIE!$E521)</f>
        <v/>
      </c>
      <c r="E516" t="str">
        <f>IF(SAISIE!$F521="","",SAISIE!$F521)</f>
        <v/>
      </c>
      <c r="F516" t="str">
        <f>IF(SAISIE!$G521="","",SAISIE!$G521)</f>
        <v/>
      </c>
      <c r="G516" t="str">
        <f>IF(SAISIE!$H521="","",SAISIE!$H521)</f>
        <v/>
      </c>
      <c r="H516" t="str">
        <f>IF(SAISIE!$I521="","",SAISIE!$I521)</f>
        <v/>
      </c>
      <c r="I516" t="str">
        <f>IF(SAISIE!$J521="","",SAISIE!$J521)</f>
        <v/>
      </c>
      <c r="J516" t="str">
        <f>IF(SAISIE!$K521="","",SAISIE!$K521)</f>
        <v/>
      </c>
      <c r="K516" t="str">
        <f>IF(SAISIE!$L521="","",SAISIE!$L521)</f>
        <v/>
      </c>
      <c r="L516" t="str">
        <f>IF(SAISIE!$M521="","",SAISIE!$M521)</f>
        <v/>
      </c>
      <c r="M516" t="str">
        <f>IF(SAISIE!$N521="","",SAISIE!$N521)</f>
        <v/>
      </c>
      <c r="N516" t="str">
        <f>IF(SAISIE!$O521="","",SAISIE!$O521)</f>
        <v/>
      </c>
      <c r="O516" t="str">
        <f>IF(SAISIE!$P521="","",SAISIE!$P521)</f>
        <v/>
      </c>
      <c r="P516" t="str">
        <f>IF(SAISIE!$Q521="","",SAISIE!$Q521)</f>
        <v/>
      </c>
      <c r="Q516" t="str">
        <f>IF($I516="","",IF($I516&gt;PARAMETRES!$G$29,5,IF($I516&gt;PARAMETRES!$F$29,4,IF($I516&gt;PARAMETRES!$E$29,3,IF($I516&gt;PARAMETRES!$D$29,2,1)))))</f>
        <v/>
      </c>
      <c r="R516" t="str">
        <f>IF($J516="","",IF($J516&gt;PARAMETRES!$G$30,5,IF($J516&gt;PARAMETRES!$F$30,4,IF($J516&gt;PARAMETRES!$E$30,3,IF($J516&gt;PARAMETRES!$D$30,2,1)))))</f>
        <v/>
      </c>
      <c r="S516" t="str">
        <f>IF($K516="","",IF($Z516=2,IF($K516&gt;PARAMETRES!$G$31,5,IF($K516&gt;PARAMETRES!$F$31,4,IF($K516&gt;PARAMETRES!$E$31,3,IF($K516&gt;PARAMETRES!$D$31,2,1)))),IF($K516&gt;PARAMETRES!$G$32,5,IF($K516&gt;PARAMETRES!$F$32,4,IF($K516&gt;PARAMETRES!$E$32,3,IF($K516&gt;PARAMETRES!$D$32,2,1))))))</f>
        <v/>
      </c>
      <c r="T516" t="str">
        <f>IF($L516="","",IF($L516&gt;PARAMETRES!$G$33,5,IF($L516&gt;PARAMETRES!$F$33,4,IF($L516&gt;PARAMETRES!$E$33,3,IF($L516&gt;PARAMETRES!$D$33,2,1)))))</f>
        <v/>
      </c>
      <c r="U516" t="str">
        <f>IF($M516="","",IF($M516&gt;PARAMETRES!$G$34,5,IF($M516&gt;PARAMETRES!$F$34,4,IF($M516&gt;PARAMETRES!$E$34,3,IF($M516&gt;PARAMETRES!$D$34,2,1)))))</f>
        <v/>
      </c>
      <c r="V516" t="str">
        <f>IF($N516="","",IF($N516&gt;PARAMETRES!$G$35,5,IF($N516&gt;PARAMETRES!$F$35,4,IF($N516&gt;PARAMETRES!$E$35,3,IF($N516&gt;PARAMETRES!$D$35,2,1)))))</f>
        <v/>
      </c>
      <c r="W516" t="str">
        <f>IF($O516="","",IF($O516&gt;PARAMETRES!$G$36,5,IF($O516&gt;PARAMETRES!$F$36,4,IF($O516&gt;PARAMETRES!$E$36,3,IF($O516&gt;PARAMETRES!$D$36,2,1)))))</f>
        <v/>
      </c>
      <c r="X516" t="str">
        <f>IF($P516="","",IF($P516&gt;PARAMETRES!$G$37,5,IF($P516&gt;PARAMETRES!$F$37,4,IF($P516&gt;PARAMETRES!$E$37,3,IF($P516&gt;PARAMETRES!$D$37,2,1)))))</f>
        <v/>
      </c>
      <c r="Y516" t="str">
        <f t="shared" si="192"/>
        <v/>
      </c>
      <c r="Z516" t="str">
        <f>IFERROR(VLOOKUP($B516,TABLE_CYCLE,2,0),"")</f>
        <v/>
      </c>
      <c r="AA516" t="str">
        <f t="shared" si="193"/>
        <v/>
      </c>
      <c r="AB516" t="str">
        <f>IF($D516="","",IF(COUNTIF($D$2:$D516,$D516)=1,$D516,""))</f>
        <v/>
      </c>
      <c r="AC516">
        <f t="shared" si="194"/>
        <v>0</v>
      </c>
      <c r="AD516" t="str">
        <f t="shared" si="195"/>
        <v>|0</v>
      </c>
      <c r="AE516" t="str">
        <f t="shared" si="196"/>
        <v/>
      </c>
      <c r="AF516" t="str">
        <f t="shared" si="197"/>
        <v/>
      </c>
      <c r="AG516" t="str">
        <f t="shared" si="198"/>
        <v/>
      </c>
      <c r="AH516" t="str">
        <f t="shared" si="199"/>
        <v/>
      </c>
      <c r="AI516" t="str">
        <f t="shared" si="200"/>
        <v/>
      </c>
      <c r="AJ516" t="str">
        <f t="shared" si="201"/>
        <v/>
      </c>
      <c r="AK516" t="str">
        <f t="shared" si="202"/>
        <v/>
      </c>
      <c r="AL516" t="str">
        <f t="shared" si="203"/>
        <v/>
      </c>
      <c r="AM516" t="str">
        <f t="shared" si="204"/>
        <v/>
      </c>
      <c r="AN516" t="str">
        <f t="shared" si="205"/>
        <v/>
      </c>
      <c r="AO516" t="str">
        <f t="shared" si="206"/>
        <v/>
      </c>
      <c r="AP516">
        <f t="shared" si="207"/>
        <v>1</v>
      </c>
      <c r="AQ516" t="str">
        <f>IF(SAISIE!$F521="","",SAISIE!$Y521)</f>
        <v/>
      </c>
      <c r="AR516" t="str">
        <f>IF(OR(SAISIE!$U$4="",SAISIE!$W$4=""),"",IF(AND($A516=SAISIE!$U$4,$B516=SAISIE!$W$4,$C516="S1"),COUNTIFS($A$2:$A516,SAISIE!$U$4,$B$2:$B516,SAISIE!$W$4,$C$2:$C516,"S1"),""))</f>
        <v/>
      </c>
      <c r="AS516" t="str">
        <f t="shared" si="208"/>
        <v/>
      </c>
      <c r="AT516" t="str">
        <f t="shared" si="209"/>
        <v/>
      </c>
      <c r="AU516" t="str">
        <f t="shared" si="210"/>
        <v/>
      </c>
      <c r="AV516">
        <f>N(AV515)+IF(AND($AB516&lt;&gt;"",OR('PROFIL ELEVE'!$K$4="(Tous)",$AF516='PROFIL ELEVE'!$K$4)),1,0)</f>
        <v>0</v>
      </c>
      <c r="AW516">
        <f>N(AW515)+IF(AND($AB516&lt;&gt;"",OR('SUIVI LONGITUDINAL'!$Q$4="(Tous)",$AF516='SUIVI LONGITUDINAL'!$Q$4)),1,0)</f>
        <v>0</v>
      </c>
      <c r="AX516">
        <f t="shared" si="211"/>
        <v>0</v>
      </c>
      <c r="AY516">
        <f t="shared" si="212"/>
        <v>0</v>
      </c>
      <c r="AZ516">
        <f t="shared" si="213"/>
        <v>0</v>
      </c>
      <c r="BA516" t="str">
        <f t="shared" si="214"/>
        <v/>
      </c>
      <c r="BB516" t="str">
        <f t="shared" si="215"/>
        <v/>
      </c>
    </row>
    <row r="517" spans="1:54" ht="14.25" customHeight="1" x14ac:dyDescent="0.3">
      <c r="A517" t="str">
        <f>IF(SAISIE!$F522="","",SAISIE!$B522)</f>
        <v/>
      </c>
      <c r="B517" t="str">
        <f>IF(SAISIE!$F522="","",SAISIE!$C522)</f>
        <v/>
      </c>
      <c r="C517" t="str">
        <f>IF(SAISIE!$F522="","",SAISIE!$D522)</f>
        <v/>
      </c>
      <c r="D517" t="str">
        <f>IF(SAISIE!$E522="","",SAISIE!$E522)</f>
        <v/>
      </c>
      <c r="E517" t="str">
        <f>IF(SAISIE!$F522="","",SAISIE!$F522)</f>
        <v/>
      </c>
      <c r="F517" t="str">
        <f>IF(SAISIE!$G522="","",SAISIE!$G522)</f>
        <v/>
      </c>
      <c r="G517" t="str">
        <f>IF(SAISIE!$H522="","",SAISIE!$H522)</f>
        <v/>
      </c>
      <c r="H517" t="str">
        <f>IF(SAISIE!$I522="","",SAISIE!$I522)</f>
        <v/>
      </c>
      <c r="I517" t="str">
        <f>IF(SAISIE!$J522="","",SAISIE!$J522)</f>
        <v/>
      </c>
      <c r="J517" t="str">
        <f>IF(SAISIE!$K522="","",SAISIE!$K522)</f>
        <v/>
      </c>
      <c r="K517" t="str">
        <f>IF(SAISIE!$L522="","",SAISIE!$L522)</f>
        <v/>
      </c>
      <c r="L517" t="str">
        <f>IF(SAISIE!$M522="","",SAISIE!$M522)</f>
        <v/>
      </c>
      <c r="M517" t="str">
        <f>IF(SAISIE!$N522="","",SAISIE!$N522)</f>
        <v/>
      </c>
      <c r="N517" t="str">
        <f>IF(SAISIE!$O522="","",SAISIE!$O522)</f>
        <v/>
      </c>
      <c r="O517" t="str">
        <f>IF(SAISIE!$P522="","",SAISIE!$P522)</f>
        <v/>
      </c>
      <c r="P517" t="str">
        <f>IF(SAISIE!$Q522="","",SAISIE!$Q522)</f>
        <v/>
      </c>
      <c r="Q517" t="str">
        <f>IF($I517="","",IF($I517&gt;PARAMETRES!$G$29,5,IF($I517&gt;PARAMETRES!$F$29,4,IF($I517&gt;PARAMETRES!$E$29,3,IF($I517&gt;PARAMETRES!$D$29,2,1)))))</f>
        <v/>
      </c>
      <c r="R517" t="str">
        <f>IF($J517="","",IF($J517&gt;PARAMETRES!$G$30,5,IF($J517&gt;PARAMETRES!$F$30,4,IF($J517&gt;PARAMETRES!$E$30,3,IF($J517&gt;PARAMETRES!$D$30,2,1)))))</f>
        <v/>
      </c>
      <c r="S517" t="str">
        <f>IF($K517="","",IF($Z517=2,IF($K517&gt;PARAMETRES!$G$31,5,IF($K517&gt;PARAMETRES!$F$31,4,IF($K517&gt;PARAMETRES!$E$31,3,IF($K517&gt;PARAMETRES!$D$31,2,1)))),IF($K517&gt;PARAMETRES!$G$32,5,IF($K517&gt;PARAMETRES!$F$32,4,IF($K517&gt;PARAMETRES!$E$32,3,IF($K517&gt;PARAMETRES!$D$32,2,1))))))</f>
        <v/>
      </c>
      <c r="T517" t="str">
        <f>IF($L517="","",IF($L517&gt;PARAMETRES!$G$33,5,IF($L517&gt;PARAMETRES!$F$33,4,IF($L517&gt;PARAMETRES!$E$33,3,IF($L517&gt;PARAMETRES!$D$33,2,1)))))</f>
        <v/>
      </c>
      <c r="U517" t="str">
        <f>IF($M517="","",IF($M517&gt;PARAMETRES!$G$34,5,IF($M517&gt;PARAMETRES!$F$34,4,IF($M517&gt;PARAMETRES!$E$34,3,IF($M517&gt;PARAMETRES!$D$34,2,1)))))</f>
        <v/>
      </c>
      <c r="V517" t="str">
        <f>IF($N517="","",IF($N517&gt;PARAMETRES!$G$35,5,IF($N517&gt;PARAMETRES!$F$35,4,IF($N517&gt;PARAMETRES!$E$35,3,IF($N517&gt;PARAMETRES!$D$35,2,1)))))</f>
        <v/>
      </c>
      <c r="W517" t="str">
        <f>IF($O517="","",IF($O517&gt;PARAMETRES!$G$36,5,IF($O517&gt;PARAMETRES!$F$36,4,IF($O517&gt;PARAMETRES!$E$36,3,IF($O517&gt;PARAMETRES!$D$36,2,1)))))</f>
        <v/>
      </c>
      <c r="X517" t="str">
        <f>IF($P517="","",IF($P517&gt;PARAMETRES!$G$37,5,IF($P517&gt;PARAMETRES!$F$37,4,IF($P517&gt;PARAMETRES!$E$37,3,IF($P517&gt;PARAMETRES!$D$37,2,1)))))</f>
        <v/>
      </c>
      <c r="Y517" t="str">
        <f t="shared" si="192"/>
        <v/>
      </c>
      <c r="Z517" t="str">
        <f>IFERROR(VLOOKUP($B517,TABLE_CYCLE,2,0),"")</f>
        <v/>
      </c>
      <c r="AA517" t="str">
        <f t="shared" si="193"/>
        <v/>
      </c>
      <c r="AB517" t="str">
        <f>IF($D517="","",IF(COUNTIF($D$2:$D517,$D517)=1,$D517,""))</f>
        <v/>
      </c>
      <c r="AC517">
        <f t="shared" si="194"/>
        <v>0</v>
      </c>
      <c r="AD517" t="str">
        <f t="shared" si="195"/>
        <v>|0</v>
      </c>
      <c r="AE517" t="str">
        <f t="shared" si="196"/>
        <v/>
      </c>
      <c r="AF517" t="str">
        <f t="shared" si="197"/>
        <v/>
      </c>
      <c r="AG517" t="str">
        <f t="shared" si="198"/>
        <v/>
      </c>
      <c r="AH517" t="str">
        <f t="shared" si="199"/>
        <v/>
      </c>
      <c r="AI517" t="str">
        <f t="shared" si="200"/>
        <v/>
      </c>
      <c r="AJ517" t="str">
        <f t="shared" si="201"/>
        <v/>
      </c>
      <c r="AK517" t="str">
        <f t="shared" si="202"/>
        <v/>
      </c>
      <c r="AL517" t="str">
        <f t="shared" si="203"/>
        <v/>
      </c>
      <c r="AM517" t="str">
        <f t="shared" si="204"/>
        <v/>
      </c>
      <c r="AN517" t="str">
        <f t="shared" si="205"/>
        <v/>
      </c>
      <c r="AO517" t="str">
        <f t="shared" si="206"/>
        <v/>
      </c>
      <c r="AP517">
        <f t="shared" si="207"/>
        <v>1</v>
      </c>
      <c r="AQ517" t="str">
        <f>IF(SAISIE!$F522="","",SAISIE!$Y522)</f>
        <v/>
      </c>
      <c r="AR517" t="str">
        <f>IF(OR(SAISIE!$U$4="",SAISIE!$W$4=""),"",IF(AND($A517=SAISIE!$U$4,$B517=SAISIE!$W$4,$C517="S1"),COUNTIFS($A$2:$A517,SAISIE!$U$4,$B$2:$B517,SAISIE!$W$4,$C$2:$C517,"S1"),""))</f>
        <v/>
      </c>
      <c r="AS517" t="str">
        <f t="shared" si="208"/>
        <v/>
      </c>
      <c r="AT517" t="str">
        <f t="shared" si="209"/>
        <v/>
      </c>
      <c r="AU517" t="str">
        <f t="shared" si="210"/>
        <v/>
      </c>
      <c r="AV517">
        <f>N(AV516)+IF(AND($AB517&lt;&gt;"",OR('PROFIL ELEVE'!$K$4="(Tous)",$AF517='PROFIL ELEVE'!$K$4)),1,0)</f>
        <v>0</v>
      </c>
      <c r="AW517">
        <f>N(AW516)+IF(AND($AB517&lt;&gt;"",OR('SUIVI LONGITUDINAL'!$Q$4="(Tous)",$AF517='SUIVI LONGITUDINAL'!$Q$4)),1,0)</f>
        <v>0</v>
      </c>
      <c r="AX517">
        <f t="shared" si="211"/>
        <v>0</v>
      </c>
      <c r="AY517">
        <f t="shared" si="212"/>
        <v>0</v>
      </c>
      <c r="AZ517">
        <f t="shared" si="213"/>
        <v>0</v>
      </c>
      <c r="BA517" t="str">
        <f t="shared" si="214"/>
        <v/>
      </c>
      <c r="BB517" t="str">
        <f t="shared" si="215"/>
        <v/>
      </c>
    </row>
    <row r="518" spans="1:54" ht="14.25" customHeight="1" x14ac:dyDescent="0.3">
      <c r="A518" t="str">
        <f>IF(SAISIE!$F523="","",SAISIE!$B523)</f>
        <v/>
      </c>
      <c r="B518" t="str">
        <f>IF(SAISIE!$F523="","",SAISIE!$C523)</f>
        <v/>
      </c>
      <c r="C518" t="str">
        <f>IF(SAISIE!$F523="","",SAISIE!$D523)</f>
        <v/>
      </c>
      <c r="D518" t="str">
        <f>IF(SAISIE!$E523="","",SAISIE!$E523)</f>
        <v/>
      </c>
      <c r="E518" t="str">
        <f>IF(SAISIE!$F523="","",SAISIE!$F523)</f>
        <v/>
      </c>
      <c r="F518" t="str">
        <f>IF(SAISIE!$G523="","",SAISIE!$G523)</f>
        <v/>
      </c>
      <c r="G518" t="str">
        <f>IF(SAISIE!$H523="","",SAISIE!$H523)</f>
        <v/>
      </c>
      <c r="H518" t="str">
        <f>IF(SAISIE!$I523="","",SAISIE!$I523)</f>
        <v/>
      </c>
      <c r="I518" t="str">
        <f>IF(SAISIE!$J523="","",SAISIE!$J523)</f>
        <v/>
      </c>
      <c r="J518" t="str">
        <f>IF(SAISIE!$K523="","",SAISIE!$K523)</f>
        <v/>
      </c>
      <c r="K518" t="str">
        <f>IF(SAISIE!$L523="","",SAISIE!$L523)</f>
        <v/>
      </c>
      <c r="L518" t="str">
        <f>IF(SAISIE!$M523="","",SAISIE!$M523)</f>
        <v/>
      </c>
      <c r="M518" t="str">
        <f>IF(SAISIE!$N523="","",SAISIE!$N523)</f>
        <v/>
      </c>
      <c r="N518" t="str">
        <f>IF(SAISIE!$O523="","",SAISIE!$O523)</f>
        <v/>
      </c>
      <c r="O518" t="str">
        <f>IF(SAISIE!$P523="","",SAISIE!$P523)</f>
        <v/>
      </c>
      <c r="P518" t="str">
        <f>IF(SAISIE!$Q523="","",SAISIE!$Q523)</f>
        <v/>
      </c>
      <c r="Q518" t="str">
        <f>IF($I518="","",IF($I518&gt;PARAMETRES!$G$29,5,IF($I518&gt;PARAMETRES!$F$29,4,IF($I518&gt;PARAMETRES!$E$29,3,IF($I518&gt;PARAMETRES!$D$29,2,1)))))</f>
        <v/>
      </c>
      <c r="R518" t="str">
        <f>IF($J518="","",IF($J518&gt;PARAMETRES!$G$30,5,IF($J518&gt;PARAMETRES!$F$30,4,IF($J518&gt;PARAMETRES!$E$30,3,IF($J518&gt;PARAMETRES!$D$30,2,1)))))</f>
        <v/>
      </c>
      <c r="S518" t="str">
        <f>IF($K518="","",IF($Z518=2,IF($K518&gt;PARAMETRES!$G$31,5,IF($K518&gt;PARAMETRES!$F$31,4,IF($K518&gt;PARAMETRES!$E$31,3,IF($K518&gt;PARAMETRES!$D$31,2,1)))),IF($K518&gt;PARAMETRES!$G$32,5,IF($K518&gt;PARAMETRES!$F$32,4,IF($K518&gt;PARAMETRES!$E$32,3,IF($K518&gt;PARAMETRES!$D$32,2,1))))))</f>
        <v/>
      </c>
      <c r="T518" t="str">
        <f>IF($L518="","",IF($L518&gt;PARAMETRES!$G$33,5,IF($L518&gt;PARAMETRES!$F$33,4,IF($L518&gt;PARAMETRES!$E$33,3,IF($L518&gt;PARAMETRES!$D$33,2,1)))))</f>
        <v/>
      </c>
      <c r="U518" t="str">
        <f>IF($M518="","",IF($M518&gt;PARAMETRES!$G$34,5,IF($M518&gt;PARAMETRES!$F$34,4,IF($M518&gt;PARAMETRES!$E$34,3,IF($M518&gt;PARAMETRES!$D$34,2,1)))))</f>
        <v/>
      </c>
      <c r="V518" t="str">
        <f>IF($N518="","",IF($N518&gt;PARAMETRES!$G$35,5,IF($N518&gt;PARAMETRES!$F$35,4,IF($N518&gt;PARAMETRES!$E$35,3,IF($N518&gt;PARAMETRES!$D$35,2,1)))))</f>
        <v/>
      </c>
      <c r="W518" t="str">
        <f>IF($O518="","",IF($O518&gt;PARAMETRES!$G$36,5,IF($O518&gt;PARAMETRES!$F$36,4,IF($O518&gt;PARAMETRES!$E$36,3,IF($O518&gt;PARAMETRES!$D$36,2,1)))))</f>
        <v/>
      </c>
      <c r="X518" t="str">
        <f>IF($P518="","",IF($P518&gt;PARAMETRES!$G$37,5,IF($P518&gt;PARAMETRES!$F$37,4,IF($P518&gt;PARAMETRES!$E$37,3,IF($P518&gt;PARAMETRES!$D$37,2,1)))))</f>
        <v/>
      </c>
      <c r="Y518" t="str">
        <f t="shared" si="192"/>
        <v/>
      </c>
      <c r="Z518" t="str">
        <f>IFERROR(VLOOKUP($B518,TABLE_CYCLE,2,0),"")</f>
        <v/>
      </c>
      <c r="AA518" t="str">
        <f t="shared" si="193"/>
        <v/>
      </c>
      <c r="AB518" t="str">
        <f>IF($D518="","",IF(COUNTIF($D$2:$D518,$D518)=1,$D518,""))</f>
        <v/>
      </c>
      <c r="AC518">
        <f t="shared" si="194"/>
        <v>0</v>
      </c>
      <c r="AD518" t="str">
        <f t="shared" si="195"/>
        <v>|0</v>
      </c>
      <c r="AE518" t="str">
        <f t="shared" si="196"/>
        <v/>
      </c>
      <c r="AF518" t="str">
        <f t="shared" si="197"/>
        <v/>
      </c>
      <c r="AG518" t="str">
        <f t="shared" si="198"/>
        <v/>
      </c>
      <c r="AH518" t="str">
        <f t="shared" si="199"/>
        <v/>
      </c>
      <c r="AI518" t="str">
        <f t="shared" si="200"/>
        <v/>
      </c>
      <c r="AJ518" t="str">
        <f t="shared" si="201"/>
        <v/>
      </c>
      <c r="AK518" t="str">
        <f t="shared" si="202"/>
        <v/>
      </c>
      <c r="AL518" t="str">
        <f t="shared" si="203"/>
        <v/>
      </c>
      <c r="AM518" t="str">
        <f t="shared" si="204"/>
        <v/>
      </c>
      <c r="AN518" t="str">
        <f t="shared" si="205"/>
        <v/>
      </c>
      <c r="AO518" t="str">
        <f t="shared" si="206"/>
        <v/>
      </c>
      <c r="AP518">
        <f t="shared" si="207"/>
        <v>1</v>
      </c>
      <c r="AQ518" t="str">
        <f>IF(SAISIE!$F523="","",SAISIE!$Y523)</f>
        <v/>
      </c>
      <c r="AR518" t="str">
        <f>IF(OR(SAISIE!$U$4="",SAISIE!$W$4=""),"",IF(AND($A518=SAISIE!$U$4,$B518=SAISIE!$W$4,$C518="S1"),COUNTIFS($A$2:$A518,SAISIE!$U$4,$B$2:$B518,SAISIE!$W$4,$C$2:$C518,"S1"),""))</f>
        <v/>
      </c>
      <c r="AS518" t="str">
        <f t="shared" si="208"/>
        <v/>
      </c>
      <c r="AT518" t="str">
        <f t="shared" si="209"/>
        <v/>
      </c>
      <c r="AU518" t="str">
        <f t="shared" si="210"/>
        <v/>
      </c>
      <c r="AV518">
        <f>N(AV517)+IF(AND($AB518&lt;&gt;"",OR('PROFIL ELEVE'!$K$4="(Tous)",$AF518='PROFIL ELEVE'!$K$4)),1,0)</f>
        <v>0</v>
      </c>
      <c r="AW518">
        <f>N(AW517)+IF(AND($AB518&lt;&gt;"",OR('SUIVI LONGITUDINAL'!$Q$4="(Tous)",$AF518='SUIVI LONGITUDINAL'!$Q$4)),1,0)</f>
        <v>0</v>
      </c>
      <c r="AX518">
        <f t="shared" si="211"/>
        <v>0</v>
      </c>
      <c r="AY518">
        <f t="shared" si="212"/>
        <v>0</v>
      </c>
      <c r="AZ518">
        <f t="shared" si="213"/>
        <v>0</v>
      </c>
      <c r="BA518" t="str">
        <f t="shared" si="214"/>
        <v/>
      </c>
      <c r="BB518" t="str">
        <f t="shared" si="215"/>
        <v/>
      </c>
    </row>
    <row r="519" spans="1:54" ht="14.25" customHeight="1" x14ac:dyDescent="0.3">
      <c r="A519" t="str">
        <f>IF(SAISIE!$F524="","",SAISIE!$B524)</f>
        <v/>
      </c>
      <c r="B519" t="str">
        <f>IF(SAISIE!$F524="","",SAISIE!$C524)</f>
        <v/>
      </c>
      <c r="C519" t="str">
        <f>IF(SAISIE!$F524="","",SAISIE!$D524)</f>
        <v/>
      </c>
      <c r="D519" t="str">
        <f>IF(SAISIE!$E524="","",SAISIE!$E524)</f>
        <v/>
      </c>
      <c r="E519" t="str">
        <f>IF(SAISIE!$F524="","",SAISIE!$F524)</f>
        <v/>
      </c>
      <c r="F519" t="str">
        <f>IF(SAISIE!$G524="","",SAISIE!$G524)</f>
        <v/>
      </c>
      <c r="G519" t="str">
        <f>IF(SAISIE!$H524="","",SAISIE!$H524)</f>
        <v/>
      </c>
      <c r="H519" t="str">
        <f>IF(SAISIE!$I524="","",SAISIE!$I524)</f>
        <v/>
      </c>
      <c r="I519" t="str">
        <f>IF(SAISIE!$J524="","",SAISIE!$J524)</f>
        <v/>
      </c>
      <c r="J519" t="str">
        <f>IF(SAISIE!$K524="","",SAISIE!$K524)</f>
        <v/>
      </c>
      <c r="K519" t="str">
        <f>IF(SAISIE!$L524="","",SAISIE!$L524)</f>
        <v/>
      </c>
      <c r="L519" t="str">
        <f>IF(SAISIE!$M524="","",SAISIE!$M524)</f>
        <v/>
      </c>
      <c r="M519" t="str">
        <f>IF(SAISIE!$N524="","",SAISIE!$N524)</f>
        <v/>
      </c>
      <c r="N519" t="str">
        <f>IF(SAISIE!$O524="","",SAISIE!$O524)</f>
        <v/>
      </c>
      <c r="O519" t="str">
        <f>IF(SAISIE!$P524="","",SAISIE!$P524)</f>
        <v/>
      </c>
      <c r="P519" t="str">
        <f>IF(SAISIE!$Q524="","",SAISIE!$Q524)</f>
        <v/>
      </c>
      <c r="Q519" t="str">
        <f>IF($I519="","",IF($I519&gt;PARAMETRES!$G$29,5,IF($I519&gt;PARAMETRES!$F$29,4,IF($I519&gt;PARAMETRES!$E$29,3,IF($I519&gt;PARAMETRES!$D$29,2,1)))))</f>
        <v/>
      </c>
      <c r="R519" t="str">
        <f>IF($J519="","",IF($J519&gt;PARAMETRES!$G$30,5,IF($J519&gt;PARAMETRES!$F$30,4,IF($J519&gt;PARAMETRES!$E$30,3,IF($J519&gt;PARAMETRES!$D$30,2,1)))))</f>
        <v/>
      </c>
      <c r="S519" t="str">
        <f>IF($K519="","",IF($Z519=2,IF($K519&gt;PARAMETRES!$G$31,5,IF($K519&gt;PARAMETRES!$F$31,4,IF($K519&gt;PARAMETRES!$E$31,3,IF($K519&gt;PARAMETRES!$D$31,2,1)))),IF($K519&gt;PARAMETRES!$G$32,5,IF($K519&gt;PARAMETRES!$F$32,4,IF($K519&gt;PARAMETRES!$E$32,3,IF($K519&gt;PARAMETRES!$D$32,2,1))))))</f>
        <v/>
      </c>
      <c r="T519" t="str">
        <f>IF($L519="","",IF($L519&gt;PARAMETRES!$G$33,5,IF($L519&gt;PARAMETRES!$F$33,4,IF($L519&gt;PARAMETRES!$E$33,3,IF($L519&gt;PARAMETRES!$D$33,2,1)))))</f>
        <v/>
      </c>
      <c r="U519" t="str">
        <f>IF($M519="","",IF($M519&gt;PARAMETRES!$G$34,5,IF($M519&gt;PARAMETRES!$F$34,4,IF($M519&gt;PARAMETRES!$E$34,3,IF($M519&gt;PARAMETRES!$D$34,2,1)))))</f>
        <v/>
      </c>
      <c r="V519" t="str">
        <f>IF($N519="","",IF($N519&gt;PARAMETRES!$G$35,5,IF($N519&gt;PARAMETRES!$F$35,4,IF($N519&gt;PARAMETRES!$E$35,3,IF($N519&gt;PARAMETRES!$D$35,2,1)))))</f>
        <v/>
      </c>
      <c r="W519" t="str">
        <f>IF($O519="","",IF($O519&gt;PARAMETRES!$G$36,5,IF($O519&gt;PARAMETRES!$F$36,4,IF($O519&gt;PARAMETRES!$E$36,3,IF($O519&gt;PARAMETRES!$D$36,2,1)))))</f>
        <v/>
      </c>
      <c r="X519" t="str">
        <f>IF($P519="","",IF($P519&gt;PARAMETRES!$G$37,5,IF($P519&gt;PARAMETRES!$F$37,4,IF($P519&gt;PARAMETRES!$E$37,3,IF($P519&gt;PARAMETRES!$D$37,2,1)))))</f>
        <v/>
      </c>
      <c r="Y519" t="str">
        <f t="shared" si="192"/>
        <v/>
      </c>
      <c r="Z519" t="str">
        <f>IFERROR(VLOOKUP($B519,TABLE_CYCLE,2,0),"")</f>
        <v/>
      </c>
      <c r="AA519" t="str">
        <f t="shared" si="193"/>
        <v/>
      </c>
      <c r="AB519" t="str">
        <f>IF($D519="","",IF(COUNTIF($D$2:$D519,$D519)=1,$D519,""))</f>
        <v/>
      </c>
      <c r="AC519">
        <f t="shared" si="194"/>
        <v>0</v>
      </c>
      <c r="AD519" t="str">
        <f t="shared" si="195"/>
        <v>|0</v>
      </c>
      <c r="AE519" t="str">
        <f t="shared" si="196"/>
        <v/>
      </c>
      <c r="AF519" t="str">
        <f t="shared" si="197"/>
        <v/>
      </c>
      <c r="AG519" t="str">
        <f t="shared" si="198"/>
        <v/>
      </c>
      <c r="AH519" t="str">
        <f t="shared" si="199"/>
        <v/>
      </c>
      <c r="AI519" t="str">
        <f t="shared" si="200"/>
        <v/>
      </c>
      <c r="AJ519" t="str">
        <f t="shared" si="201"/>
        <v/>
      </c>
      <c r="AK519" t="str">
        <f t="shared" si="202"/>
        <v/>
      </c>
      <c r="AL519" t="str">
        <f t="shared" si="203"/>
        <v/>
      </c>
      <c r="AM519" t="str">
        <f t="shared" si="204"/>
        <v/>
      </c>
      <c r="AN519" t="str">
        <f t="shared" si="205"/>
        <v/>
      </c>
      <c r="AO519" t="str">
        <f t="shared" si="206"/>
        <v/>
      </c>
      <c r="AP519">
        <f t="shared" si="207"/>
        <v>1</v>
      </c>
      <c r="AQ519" t="str">
        <f>IF(SAISIE!$F524="","",SAISIE!$Y524)</f>
        <v/>
      </c>
      <c r="AR519" t="str">
        <f>IF(OR(SAISIE!$U$4="",SAISIE!$W$4=""),"",IF(AND($A519=SAISIE!$U$4,$B519=SAISIE!$W$4,$C519="S1"),COUNTIFS($A$2:$A519,SAISIE!$U$4,$B$2:$B519,SAISIE!$W$4,$C$2:$C519,"S1"),""))</f>
        <v/>
      </c>
      <c r="AS519" t="str">
        <f t="shared" si="208"/>
        <v/>
      </c>
      <c r="AT519" t="str">
        <f t="shared" si="209"/>
        <v/>
      </c>
      <c r="AU519" t="str">
        <f t="shared" si="210"/>
        <v/>
      </c>
      <c r="AV519">
        <f>N(AV518)+IF(AND($AB519&lt;&gt;"",OR('PROFIL ELEVE'!$K$4="(Tous)",$AF519='PROFIL ELEVE'!$K$4)),1,0)</f>
        <v>0</v>
      </c>
      <c r="AW519">
        <f>N(AW518)+IF(AND($AB519&lt;&gt;"",OR('SUIVI LONGITUDINAL'!$Q$4="(Tous)",$AF519='SUIVI LONGITUDINAL'!$Q$4)),1,0)</f>
        <v>0</v>
      </c>
      <c r="AX519">
        <f t="shared" si="211"/>
        <v>0</v>
      </c>
      <c r="AY519">
        <f t="shared" si="212"/>
        <v>0</v>
      </c>
      <c r="AZ519">
        <f t="shared" si="213"/>
        <v>0</v>
      </c>
      <c r="BA519" t="str">
        <f t="shared" si="214"/>
        <v/>
      </c>
      <c r="BB519" t="str">
        <f t="shared" si="215"/>
        <v/>
      </c>
    </row>
    <row r="520" spans="1:54" ht="14.25" customHeight="1" x14ac:dyDescent="0.3">
      <c r="A520" t="str">
        <f>IF(SAISIE!$F525="","",SAISIE!$B525)</f>
        <v/>
      </c>
      <c r="B520" t="str">
        <f>IF(SAISIE!$F525="","",SAISIE!$C525)</f>
        <v/>
      </c>
      <c r="C520" t="str">
        <f>IF(SAISIE!$F525="","",SAISIE!$D525)</f>
        <v/>
      </c>
      <c r="D520" t="str">
        <f>IF(SAISIE!$E525="","",SAISIE!$E525)</f>
        <v/>
      </c>
      <c r="E520" t="str">
        <f>IF(SAISIE!$F525="","",SAISIE!$F525)</f>
        <v/>
      </c>
      <c r="F520" t="str">
        <f>IF(SAISIE!$G525="","",SAISIE!$G525)</f>
        <v/>
      </c>
      <c r="G520" t="str">
        <f>IF(SAISIE!$H525="","",SAISIE!$H525)</f>
        <v/>
      </c>
      <c r="H520" t="str">
        <f>IF(SAISIE!$I525="","",SAISIE!$I525)</f>
        <v/>
      </c>
      <c r="I520" t="str">
        <f>IF(SAISIE!$J525="","",SAISIE!$J525)</f>
        <v/>
      </c>
      <c r="J520" t="str">
        <f>IF(SAISIE!$K525="","",SAISIE!$K525)</f>
        <v/>
      </c>
      <c r="K520" t="str">
        <f>IF(SAISIE!$L525="","",SAISIE!$L525)</f>
        <v/>
      </c>
      <c r="L520" t="str">
        <f>IF(SAISIE!$M525="","",SAISIE!$M525)</f>
        <v/>
      </c>
      <c r="M520" t="str">
        <f>IF(SAISIE!$N525="","",SAISIE!$N525)</f>
        <v/>
      </c>
      <c r="N520" t="str">
        <f>IF(SAISIE!$O525="","",SAISIE!$O525)</f>
        <v/>
      </c>
      <c r="O520" t="str">
        <f>IF(SAISIE!$P525="","",SAISIE!$P525)</f>
        <v/>
      </c>
      <c r="P520" t="str">
        <f>IF(SAISIE!$Q525="","",SAISIE!$Q525)</f>
        <v/>
      </c>
      <c r="Q520" t="str">
        <f>IF($I520="","",IF($I520&gt;PARAMETRES!$G$29,5,IF($I520&gt;PARAMETRES!$F$29,4,IF($I520&gt;PARAMETRES!$E$29,3,IF($I520&gt;PARAMETRES!$D$29,2,1)))))</f>
        <v/>
      </c>
      <c r="R520" t="str">
        <f>IF($J520="","",IF($J520&gt;PARAMETRES!$G$30,5,IF($J520&gt;PARAMETRES!$F$30,4,IF($J520&gt;PARAMETRES!$E$30,3,IF($J520&gt;PARAMETRES!$D$30,2,1)))))</f>
        <v/>
      </c>
      <c r="S520" t="str">
        <f>IF($K520="","",IF($Z520=2,IF($K520&gt;PARAMETRES!$G$31,5,IF($K520&gt;PARAMETRES!$F$31,4,IF($K520&gt;PARAMETRES!$E$31,3,IF($K520&gt;PARAMETRES!$D$31,2,1)))),IF($K520&gt;PARAMETRES!$G$32,5,IF($K520&gt;PARAMETRES!$F$32,4,IF($K520&gt;PARAMETRES!$E$32,3,IF($K520&gt;PARAMETRES!$D$32,2,1))))))</f>
        <v/>
      </c>
      <c r="T520" t="str">
        <f>IF($L520="","",IF($L520&gt;PARAMETRES!$G$33,5,IF($L520&gt;PARAMETRES!$F$33,4,IF($L520&gt;PARAMETRES!$E$33,3,IF($L520&gt;PARAMETRES!$D$33,2,1)))))</f>
        <v/>
      </c>
      <c r="U520" t="str">
        <f>IF($M520="","",IF($M520&gt;PARAMETRES!$G$34,5,IF($M520&gt;PARAMETRES!$F$34,4,IF($M520&gt;PARAMETRES!$E$34,3,IF($M520&gt;PARAMETRES!$D$34,2,1)))))</f>
        <v/>
      </c>
      <c r="V520" t="str">
        <f>IF($N520="","",IF($N520&gt;PARAMETRES!$G$35,5,IF($N520&gt;PARAMETRES!$F$35,4,IF($N520&gt;PARAMETRES!$E$35,3,IF($N520&gt;PARAMETRES!$D$35,2,1)))))</f>
        <v/>
      </c>
      <c r="W520" t="str">
        <f>IF($O520="","",IF($O520&gt;PARAMETRES!$G$36,5,IF($O520&gt;PARAMETRES!$F$36,4,IF($O520&gt;PARAMETRES!$E$36,3,IF($O520&gt;PARAMETRES!$D$36,2,1)))))</f>
        <v/>
      </c>
      <c r="X520" t="str">
        <f>IF($P520="","",IF($P520&gt;PARAMETRES!$G$37,5,IF($P520&gt;PARAMETRES!$F$37,4,IF($P520&gt;PARAMETRES!$E$37,3,IF($P520&gt;PARAMETRES!$D$37,2,1)))))</f>
        <v/>
      </c>
      <c r="Y520" t="str">
        <f t="shared" si="192"/>
        <v/>
      </c>
      <c r="Z520" t="str">
        <f>IFERROR(VLOOKUP($B520,TABLE_CYCLE,2,0),"")</f>
        <v/>
      </c>
      <c r="AA520" t="str">
        <f t="shared" si="193"/>
        <v/>
      </c>
      <c r="AB520" t="str">
        <f>IF($D520="","",IF(COUNTIF($D$2:$D520,$D520)=1,$D520,""))</f>
        <v/>
      </c>
      <c r="AC520">
        <f t="shared" si="194"/>
        <v>0</v>
      </c>
      <c r="AD520" t="str">
        <f t="shared" si="195"/>
        <v>|0</v>
      </c>
      <c r="AE520" t="str">
        <f t="shared" si="196"/>
        <v/>
      </c>
      <c r="AF520" t="str">
        <f t="shared" si="197"/>
        <v/>
      </c>
      <c r="AG520" t="str">
        <f t="shared" si="198"/>
        <v/>
      </c>
      <c r="AH520" t="str">
        <f t="shared" si="199"/>
        <v/>
      </c>
      <c r="AI520" t="str">
        <f t="shared" si="200"/>
        <v/>
      </c>
      <c r="AJ520" t="str">
        <f t="shared" si="201"/>
        <v/>
      </c>
      <c r="AK520" t="str">
        <f t="shared" si="202"/>
        <v/>
      </c>
      <c r="AL520" t="str">
        <f t="shared" si="203"/>
        <v/>
      </c>
      <c r="AM520" t="str">
        <f t="shared" si="204"/>
        <v/>
      </c>
      <c r="AN520" t="str">
        <f t="shared" si="205"/>
        <v/>
      </c>
      <c r="AO520" t="str">
        <f t="shared" si="206"/>
        <v/>
      </c>
      <c r="AP520">
        <f t="shared" si="207"/>
        <v>1</v>
      </c>
      <c r="AQ520" t="str">
        <f>IF(SAISIE!$F525="","",SAISIE!$Y525)</f>
        <v/>
      </c>
      <c r="AR520" t="str">
        <f>IF(OR(SAISIE!$U$4="",SAISIE!$W$4=""),"",IF(AND($A520=SAISIE!$U$4,$B520=SAISIE!$W$4,$C520="S1"),COUNTIFS($A$2:$A520,SAISIE!$U$4,$B$2:$B520,SAISIE!$W$4,$C$2:$C520,"S1"),""))</f>
        <v/>
      </c>
      <c r="AS520" t="str">
        <f t="shared" si="208"/>
        <v/>
      </c>
      <c r="AT520" t="str">
        <f t="shared" si="209"/>
        <v/>
      </c>
      <c r="AU520" t="str">
        <f t="shared" si="210"/>
        <v/>
      </c>
      <c r="AV520">
        <f>N(AV519)+IF(AND($AB520&lt;&gt;"",OR('PROFIL ELEVE'!$K$4="(Tous)",$AF520='PROFIL ELEVE'!$K$4)),1,0)</f>
        <v>0</v>
      </c>
      <c r="AW520">
        <f>N(AW519)+IF(AND($AB520&lt;&gt;"",OR('SUIVI LONGITUDINAL'!$Q$4="(Tous)",$AF520='SUIVI LONGITUDINAL'!$Q$4)),1,0)</f>
        <v>0</v>
      </c>
      <c r="AX520">
        <f t="shared" si="211"/>
        <v>0</v>
      </c>
      <c r="AY520">
        <f t="shared" si="212"/>
        <v>0</v>
      </c>
      <c r="AZ520">
        <f t="shared" si="213"/>
        <v>0</v>
      </c>
      <c r="BA520" t="str">
        <f t="shared" si="214"/>
        <v/>
      </c>
      <c r="BB520" t="str">
        <f t="shared" si="215"/>
        <v/>
      </c>
    </row>
    <row r="521" spans="1:54" ht="14.25" customHeight="1" x14ac:dyDescent="0.3">
      <c r="A521" t="str">
        <f>IF(SAISIE!$F526="","",SAISIE!$B526)</f>
        <v/>
      </c>
      <c r="B521" t="str">
        <f>IF(SAISIE!$F526="","",SAISIE!$C526)</f>
        <v/>
      </c>
      <c r="C521" t="str">
        <f>IF(SAISIE!$F526="","",SAISIE!$D526)</f>
        <v/>
      </c>
      <c r="D521" t="str">
        <f>IF(SAISIE!$E526="","",SAISIE!$E526)</f>
        <v/>
      </c>
      <c r="E521" t="str">
        <f>IF(SAISIE!$F526="","",SAISIE!$F526)</f>
        <v/>
      </c>
      <c r="F521" t="str">
        <f>IF(SAISIE!$G526="","",SAISIE!$G526)</f>
        <v/>
      </c>
      <c r="G521" t="str">
        <f>IF(SAISIE!$H526="","",SAISIE!$H526)</f>
        <v/>
      </c>
      <c r="H521" t="str">
        <f>IF(SAISIE!$I526="","",SAISIE!$I526)</f>
        <v/>
      </c>
      <c r="I521" t="str">
        <f>IF(SAISIE!$J526="","",SAISIE!$J526)</f>
        <v/>
      </c>
      <c r="J521" t="str">
        <f>IF(SAISIE!$K526="","",SAISIE!$K526)</f>
        <v/>
      </c>
      <c r="K521" t="str">
        <f>IF(SAISIE!$L526="","",SAISIE!$L526)</f>
        <v/>
      </c>
      <c r="L521" t="str">
        <f>IF(SAISIE!$M526="","",SAISIE!$M526)</f>
        <v/>
      </c>
      <c r="M521" t="str">
        <f>IF(SAISIE!$N526="","",SAISIE!$N526)</f>
        <v/>
      </c>
      <c r="N521" t="str">
        <f>IF(SAISIE!$O526="","",SAISIE!$O526)</f>
        <v/>
      </c>
      <c r="O521" t="str">
        <f>IF(SAISIE!$P526="","",SAISIE!$P526)</f>
        <v/>
      </c>
      <c r="P521" t="str">
        <f>IF(SAISIE!$Q526="","",SAISIE!$Q526)</f>
        <v/>
      </c>
      <c r="Q521" t="str">
        <f>IF($I521="","",IF($I521&gt;PARAMETRES!$G$29,5,IF($I521&gt;PARAMETRES!$F$29,4,IF($I521&gt;PARAMETRES!$E$29,3,IF($I521&gt;PARAMETRES!$D$29,2,1)))))</f>
        <v/>
      </c>
      <c r="R521" t="str">
        <f>IF($J521="","",IF($J521&gt;PARAMETRES!$G$30,5,IF($J521&gt;PARAMETRES!$F$30,4,IF($J521&gt;PARAMETRES!$E$30,3,IF($J521&gt;PARAMETRES!$D$30,2,1)))))</f>
        <v/>
      </c>
      <c r="S521" t="str">
        <f>IF($K521="","",IF($Z521=2,IF($K521&gt;PARAMETRES!$G$31,5,IF($K521&gt;PARAMETRES!$F$31,4,IF($K521&gt;PARAMETRES!$E$31,3,IF($K521&gt;PARAMETRES!$D$31,2,1)))),IF($K521&gt;PARAMETRES!$G$32,5,IF($K521&gt;PARAMETRES!$F$32,4,IF($K521&gt;PARAMETRES!$E$32,3,IF($K521&gt;PARAMETRES!$D$32,2,1))))))</f>
        <v/>
      </c>
      <c r="T521" t="str">
        <f>IF($L521="","",IF($L521&gt;PARAMETRES!$G$33,5,IF($L521&gt;PARAMETRES!$F$33,4,IF($L521&gt;PARAMETRES!$E$33,3,IF($L521&gt;PARAMETRES!$D$33,2,1)))))</f>
        <v/>
      </c>
      <c r="U521" t="str">
        <f>IF($M521="","",IF($M521&gt;PARAMETRES!$G$34,5,IF($M521&gt;PARAMETRES!$F$34,4,IF($M521&gt;PARAMETRES!$E$34,3,IF($M521&gt;PARAMETRES!$D$34,2,1)))))</f>
        <v/>
      </c>
      <c r="V521" t="str">
        <f>IF($N521="","",IF($N521&gt;PARAMETRES!$G$35,5,IF($N521&gt;PARAMETRES!$F$35,4,IF($N521&gt;PARAMETRES!$E$35,3,IF($N521&gt;PARAMETRES!$D$35,2,1)))))</f>
        <v/>
      </c>
      <c r="W521" t="str">
        <f>IF($O521="","",IF($O521&gt;PARAMETRES!$G$36,5,IF($O521&gt;PARAMETRES!$F$36,4,IF($O521&gt;PARAMETRES!$E$36,3,IF($O521&gt;PARAMETRES!$D$36,2,1)))))</f>
        <v/>
      </c>
      <c r="X521" t="str">
        <f>IF($P521="","",IF($P521&gt;PARAMETRES!$G$37,5,IF($P521&gt;PARAMETRES!$F$37,4,IF($P521&gt;PARAMETRES!$E$37,3,IF($P521&gt;PARAMETRES!$D$37,2,1)))))</f>
        <v/>
      </c>
      <c r="Y521" t="str">
        <f t="shared" si="192"/>
        <v/>
      </c>
      <c r="Z521" t="str">
        <f>IFERROR(VLOOKUP($B521,TABLE_CYCLE,2,0),"")</f>
        <v/>
      </c>
      <c r="AA521" t="str">
        <f t="shared" si="193"/>
        <v/>
      </c>
      <c r="AB521" t="str">
        <f>IF($D521="","",IF(COUNTIF($D$2:$D521,$D521)=1,$D521,""))</f>
        <v/>
      </c>
      <c r="AC521">
        <f t="shared" si="194"/>
        <v>0</v>
      </c>
      <c r="AD521" t="str">
        <f t="shared" si="195"/>
        <v>|0</v>
      </c>
      <c r="AE521" t="str">
        <f t="shared" si="196"/>
        <v/>
      </c>
      <c r="AF521" t="str">
        <f t="shared" si="197"/>
        <v/>
      </c>
      <c r="AG521" t="str">
        <f t="shared" si="198"/>
        <v/>
      </c>
      <c r="AH521" t="str">
        <f t="shared" si="199"/>
        <v/>
      </c>
      <c r="AI521" t="str">
        <f t="shared" si="200"/>
        <v/>
      </c>
      <c r="AJ521" t="str">
        <f t="shared" si="201"/>
        <v/>
      </c>
      <c r="AK521" t="str">
        <f t="shared" si="202"/>
        <v/>
      </c>
      <c r="AL521" t="str">
        <f t="shared" si="203"/>
        <v/>
      </c>
      <c r="AM521" t="str">
        <f t="shared" si="204"/>
        <v/>
      </c>
      <c r="AN521" t="str">
        <f t="shared" si="205"/>
        <v/>
      </c>
      <c r="AO521" t="str">
        <f t="shared" si="206"/>
        <v/>
      </c>
      <c r="AP521">
        <f t="shared" si="207"/>
        <v>1</v>
      </c>
      <c r="AQ521" t="str">
        <f>IF(SAISIE!$F526="","",SAISIE!$Y526)</f>
        <v/>
      </c>
      <c r="AR521" t="str">
        <f>IF(OR(SAISIE!$U$4="",SAISIE!$W$4=""),"",IF(AND($A521=SAISIE!$U$4,$B521=SAISIE!$W$4,$C521="S1"),COUNTIFS($A$2:$A521,SAISIE!$U$4,$B$2:$B521,SAISIE!$W$4,$C$2:$C521,"S1"),""))</f>
        <v/>
      </c>
      <c r="AS521" t="str">
        <f t="shared" si="208"/>
        <v/>
      </c>
      <c r="AT521" t="str">
        <f t="shared" si="209"/>
        <v/>
      </c>
      <c r="AU521" t="str">
        <f t="shared" si="210"/>
        <v/>
      </c>
      <c r="AV521">
        <f>N(AV520)+IF(AND($AB521&lt;&gt;"",OR('PROFIL ELEVE'!$K$4="(Tous)",$AF521='PROFIL ELEVE'!$K$4)),1,0)</f>
        <v>0</v>
      </c>
      <c r="AW521">
        <f>N(AW520)+IF(AND($AB521&lt;&gt;"",OR('SUIVI LONGITUDINAL'!$Q$4="(Tous)",$AF521='SUIVI LONGITUDINAL'!$Q$4)),1,0)</f>
        <v>0</v>
      </c>
      <c r="AX521">
        <f t="shared" si="211"/>
        <v>0</v>
      </c>
      <c r="AY521">
        <f t="shared" si="212"/>
        <v>0</v>
      </c>
      <c r="AZ521">
        <f t="shared" si="213"/>
        <v>0</v>
      </c>
      <c r="BA521" t="str">
        <f t="shared" si="214"/>
        <v/>
      </c>
      <c r="BB521" t="str">
        <f t="shared" si="215"/>
        <v/>
      </c>
    </row>
    <row r="522" spans="1:54" ht="14.25" customHeight="1" x14ac:dyDescent="0.3">
      <c r="A522" t="str">
        <f>IF(SAISIE!$F527="","",SAISIE!$B527)</f>
        <v/>
      </c>
      <c r="B522" t="str">
        <f>IF(SAISIE!$F527="","",SAISIE!$C527)</f>
        <v/>
      </c>
      <c r="C522" t="str">
        <f>IF(SAISIE!$F527="","",SAISIE!$D527)</f>
        <v/>
      </c>
      <c r="D522" t="str">
        <f>IF(SAISIE!$E527="","",SAISIE!$E527)</f>
        <v/>
      </c>
      <c r="E522" t="str">
        <f>IF(SAISIE!$F527="","",SAISIE!$F527)</f>
        <v/>
      </c>
      <c r="F522" t="str">
        <f>IF(SAISIE!$G527="","",SAISIE!$G527)</f>
        <v/>
      </c>
      <c r="G522" t="str">
        <f>IF(SAISIE!$H527="","",SAISIE!$H527)</f>
        <v/>
      </c>
      <c r="H522" t="str">
        <f>IF(SAISIE!$I527="","",SAISIE!$I527)</f>
        <v/>
      </c>
      <c r="I522" t="str">
        <f>IF(SAISIE!$J527="","",SAISIE!$J527)</f>
        <v/>
      </c>
      <c r="J522" t="str">
        <f>IF(SAISIE!$K527="","",SAISIE!$K527)</f>
        <v/>
      </c>
      <c r="K522" t="str">
        <f>IF(SAISIE!$L527="","",SAISIE!$L527)</f>
        <v/>
      </c>
      <c r="L522" t="str">
        <f>IF(SAISIE!$M527="","",SAISIE!$M527)</f>
        <v/>
      </c>
      <c r="M522" t="str">
        <f>IF(SAISIE!$N527="","",SAISIE!$N527)</f>
        <v/>
      </c>
      <c r="N522" t="str">
        <f>IF(SAISIE!$O527="","",SAISIE!$O527)</f>
        <v/>
      </c>
      <c r="O522" t="str">
        <f>IF(SAISIE!$P527="","",SAISIE!$P527)</f>
        <v/>
      </c>
      <c r="P522" t="str">
        <f>IF(SAISIE!$Q527="","",SAISIE!$Q527)</f>
        <v/>
      </c>
      <c r="Q522" t="str">
        <f>IF($I522="","",IF($I522&gt;PARAMETRES!$G$29,5,IF($I522&gt;PARAMETRES!$F$29,4,IF($I522&gt;PARAMETRES!$E$29,3,IF($I522&gt;PARAMETRES!$D$29,2,1)))))</f>
        <v/>
      </c>
      <c r="R522" t="str">
        <f>IF($J522="","",IF($J522&gt;PARAMETRES!$G$30,5,IF($J522&gt;PARAMETRES!$F$30,4,IF($J522&gt;PARAMETRES!$E$30,3,IF($J522&gt;PARAMETRES!$D$30,2,1)))))</f>
        <v/>
      </c>
      <c r="S522" t="str">
        <f>IF($K522="","",IF($Z522=2,IF($K522&gt;PARAMETRES!$G$31,5,IF($K522&gt;PARAMETRES!$F$31,4,IF($K522&gt;PARAMETRES!$E$31,3,IF($K522&gt;PARAMETRES!$D$31,2,1)))),IF($K522&gt;PARAMETRES!$G$32,5,IF($K522&gt;PARAMETRES!$F$32,4,IF($K522&gt;PARAMETRES!$E$32,3,IF($K522&gt;PARAMETRES!$D$32,2,1))))))</f>
        <v/>
      </c>
      <c r="T522" t="str">
        <f>IF($L522="","",IF($L522&gt;PARAMETRES!$G$33,5,IF($L522&gt;PARAMETRES!$F$33,4,IF($L522&gt;PARAMETRES!$E$33,3,IF($L522&gt;PARAMETRES!$D$33,2,1)))))</f>
        <v/>
      </c>
      <c r="U522" t="str">
        <f>IF($M522="","",IF($M522&gt;PARAMETRES!$G$34,5,IF($M522&gt;PARAMETRES!$F$34,4,IF($M522&gt;PARAMETRES!$E$34,3,IF($M522&gt;PARAMETRES!$D$34,2,1)))))</f>
        <v/>
      </c>
      <c r="V522" t="str">
        <f>IF($N522="","",IF($N522&gt;PARAMETRES!$G$35,5,IF($N522&gt;PARAMETRES!$F$35,4,IF($N522&gt;PARAMETRES!$E$35,3,IF($N522&gt;PARAMETRES!$D$35,2,1)))))</f>
        <v/>
      </c>
      <c r="W522" t="str">
        <f>IF($O522="","",IF($O522&gt;PARAMETRES!$G$36,5,IF($O522&gt;PARAMETRES!$F$36,4,IF($O522&gt;PARAMETRES!$E$36,3,IF($O522&gt;PARAMETRES!$D$36,2,1)))))</f>
        <v/>
      </c>
      <c r="X522" t="str">
        <f>IF($P522="","",IF($P522&gt;PARAMETRES!$G$37,5,IF($P522&gt;PARAMETRES!$F$37,4,IF($P522&gt;PARAMETRES!$E$37,3,IF($P522&gt;PARAMETRES!$D$37,2,1)))))</f>
        <v/>
      </c>
      <c r="Y522" t="str">
        <f t="shared" si="192"/>
        <v/>
      </c>
      <c r="Z522" t="str">
        <f>IFERROR(VLOOKUP($B522,TABLE_CYCLE,2,0),"")</f>
        <v/>
      </c>
      <c r="AA522" t="str">
        <f t="shared" si="193"/>
        <v/>
      </c>
      <c r="AB522" t="str">
        <f>IF($D522="","",IF(COUNTIF($D$2:$D522,$D522)=1,$D522,""))</f>
        <v/>
      </c>
      <c r="AC522">
        <f t="shared" si="194"/>
        <v>0</v>
      </c>
      <c r="AD522" t="str">
        <f t="shared" si="195"/>
        <v>|0</v>
      </c>
      <c r="AE522" t="str">
        <f t="shared" si="196"/>
        <v/>
      </c>
      <c r="AF522" t="str">
        <f t="shared" si="197"/>
        <v/>
      </c>
      <c r="AG522" t="str">
        <f t="shared" si="198"/>
        <v/>
      </c>
      <c r="AH522" t="str">
        <f t="shared" si="199"/>
        <v/>
      </c>
      <c r="AI522" t="str">
        <f t="shared" si="200"/>
        <v/>
      </c>
      <c r="AJ522" t="str">
        <f t="shared" si="201"/>
        <v/>
      </c>
      <c r="AK522" t="str">
        <f t="shared" si="202"/>
        <v/>
      </c>
      <c r="AL522" t="str">
        <f t="shared" si="203"/>
        <v/>
      </c>
      <c r="AM522" t="str">
        <f t="shared" si="204"/>
        <v/>
      </c>
      <c r="AN522" t="str">
        <f t="shared" si="205"/>
        <v/>
      </c>
      <c r="AO522" t="str">
        <f t="shared" si="206"/>
        <v/>
      </c>
      <c r="AP522">
        <f t="shared" si="207"/>
        <v>1</v>
      </c>
      <c r="AQ522" t="str">
        <f>IF(SAISIE!$F527="","",SAISIE!$Y527)</f>
        <v/>
      </c>
      <c r="AR522" t="str">
        <f>IF(OR(SAISIE!$U$4="",SAISIE!$W$4=""),"",IF(AND($A522=SAISIE!$U$4,$B522=SAISIE!$W$4,$C522="S1"),COUNTIFS($A$2:$A522,SAISIE!$U$4,$B$2:$B522,SAISIE!$W$4,$C$2:$C522,"S1"),""))</f>
        <v/>
      </c>
      <c r="AS522" t="str">
        <f t="shared" si="208"/>
        <v/>
      </c>
      <c r="AT522" t="str">
        <f t="shared" si="209"/>
        <v/>
      </c>
      <c r="AU522" t="str">
        <f t="shared" si="210"/>
        <v/>
      </c>
      <c r="AV522">
        <f>N(AV521)+IF(AND($AB522&lt;&gt;"",OR('PROFIL ELEVE'!$K$4="(Tous)",$AF522='PROFIL ELEVE'!$K$4)),1,0)</f>
        <v>0</v>
      </c>
      <c r="AW522">
        <f>N(AW521)+IF(AND($AB522&lt;&gt;"",OR('SUIVI LONGITUDINAL'!$Q$4="(Tous)",$AF522='SUIVI LONGITUDINAL'!$Q$4)),1,0)</f>
        <v>0</v>
      </c>
      <c r="AX522">
        <f t="shared" si="211"/>
        <v>0</v>
      </c>
      <c r="AY522">
        <f t="shared" si="212"/>
        <v>0</v>
      </c>
      <c r="AZ522">
        <f t="shared" si="213"/>
        <v>0</v>
      </c>
      <c r="BA522" t="str">
        <f t="shared" si="214"/>
        <v/>
      </c>
      <c r="BB522" t="str">
        <f t="shared" si="215"/>
        <v/>
      </c>
    </row>
    <row r="523" spans="1:54" ht="14.25" customHeight="1" x14ac:dyDescent="0.3">
      <c r="A523" t="str">
        <f>IF(SAISIE!$F528="","",SAISIE!$B528)</f>
        <v/>
      </c>
      <c r="B523" t="str">
        <f>IF(SAISIE!$F528="","",SAISIE!$C528)</f>
        <v/>
      </c>
      <c r="C523" t="str">
        <f>IF(SAISIE!$F528="","",SAISIE!$D528)</f>
        <v/>
      </c>
      <c r="D523" t="str">
        <f>IF(SAISIE!$E528="","",SAISIE!$E528)</f>
        <v/>
      </c>
      <c r="E523" t="str">
        <f>IF(SAISIE!$F528="","",SAISIE!$F528)</f>
        <v/>
      </c>
      <c r="F523" t="str">
        <f>IF(SAISIE!$G528="","",SAISIE!$G528)</f>
        <v/>
      </c>
      <c r="G523" t="str">
        <f>IF(SAISIE!$H528="","",SAISIE!$H528)</f>
        <v/>
      </c>
      <c r="H523" t="str">
        <f>IF(SAISIE!$I528="","",SAISIE!$I528)</f>
        <v/>
      </c>
      <c r="I523" t="str">
        <f>IF(SAISIE!$J528="","",SAISIE!$J528)</f>
        <v/>
      </c>
      <c r="J523" t="str">
        <f>IF(SAISIE!$K528="","",SAISIE!$K528)</f>
        <v/>
      </c>
      <c r="K523" t="str">
        <f>IF(SAISIE!$L528="","",SAISIE!$L528)</f>
        <v/>
      </c>
      <c r="L523" t="str">
        <f>IF(SAISIE!$M528="","",SAISIE!$M528)</f>
        <v/>
      </c>
      <c r="M523" t="str">
        <f>IF(SAISIE!$N528="","",SAISIE!$N528)</f>
        <v/>
      </c>
      <c r="N523" t="str">
        <f>IF(SAISIE!$O528="","",SAISIE!$O528)</f>
        <v/>
      </c>
      <c r="O523" t="str">
        <f>IF(SAISIE!$P528="","",SAISIE!$P528)</f>
        <v/>
      </c>
      <c r="P523" t="str">
        <f>IF(SAISIE!$Q528="","",SAISIE!$Q528)</f>
        <v/>
      </c>
      <c r="Q523" t="str">
        <f>IF($I523="","",IF($I523&gt;PARAMETRES!$G$29,5,IF($I523&gt;PARAMETRES!$F$29,4,IF($I523&gt;PARAMETRES!$E$29,3,IF($I523&gt;PARAMETRES!$D$29,2,1)))))</f>
        <v/>
      </c>
      <c r="R523" t="str">
        <f>IF($J523="","",IF($J523&gt;PARAMETRES!$G$30,5,IF($J523&gt;PARAMETRES!$F$30,4,IF($J523&gt;PARAMETRES!$E$30,3,IF($J523&gt;PARAMETRES!$D$30,2,1)))))</f>
        <v/>
      </c>
      <c r="S523" t="str">
        <f>IF($K523="","",IF($Z523=2,IF($K523&gt;PARAMETRES!$G$31,5,IF($K523&gt;PARAMETRES!$F$31,4,IF($K523&gt;PARAMETRES!$E$31,3,IF($K523&gt;PARAMETRES!$D$31,2,1)))),IF($K523&gt;PARAMETRES!$G$32,5,IF($K523&gt;PARAMETRES!$F$32,4,IF($K523&gt;PARAMETRES!$E$32,3,IF($K523&gt;PARAMETRES!$D$32,2,1))))))</f>
        <v/>
      </c>
      <c r="T523" t="str">
        <f>IF($L523="","",IF($L523&gt;PARAMETRES!$G$33,5,IF($L523&gt;PARAMETRES!$F$33,4,IF($L523&gt;PARAMETRES!$E$33,3,IF($L523&gt;PARAMETRES!$D$33,2,1)))))</f>
        <v/>
      </c>
      <c r="U523" t="str">
        <f>IF($M523="","",IF($M523&gt;PARAMETRES!$G$34,5,IF($M523&gt;PARAMETRES!$F$34,4,IF($M523&gt;PARAMETRES!$E$34,3,IF($M523&gt;PARAMETRES!$D$34,2,1)))))</f>
        <v/>
      </c>
      <c r="V523" t="str">
        <f>IF($N523="","",IF($N523&gt;PARAMETRES!$G$35,5,IF($N523&gt;PARAMETRES!$F$35,4,IF($N523&gt;PARAMETRES!$E$35,3,IF($N523&gt;PARAMETRES!$D$35,2,1)))))</f>
        <v/>
      </c>
      <c r="W523" t="str">
        <f>IF($O523="","",IF($O523&gt;PARAMETRES!$G$36,5,IF($O523&gt;PARAMETRES!$F$36,4,IF($O523&gt;PARAMETRES!$E$36,3,IF($O523&gt;PARAMETRES!$D$36,2,1)))))</f>
        <v/>
      </c>
      <c r="X523" t="str">
        <f>IF($P523="","",IF($P523&gt;PARAMETRES!$G$37,5,IF($P523&gt;PARAMETRES!$F$37,4,IF($P523&gt;PARAMETRES!$E$37,3,IF($P523&gt;PARAMETRES!$D$37,2,1)))))</f>
        <v/>
      </c>
      <c r="Y523" t="str">
        <f t="shared" si="192"/>
        <v/>
      </c>
      <c r="Z523" t="str">
        <f>IFERROR(VLOOKUP($B523,TABLE_CYCLE,2,0),"")</f>
        <v/>
      </c>
      <c r="AA523" t="str">
        <f t="shared" si="193"/>
        <v/>
      </c>
      <c r="AB523" t="str">
        <f>IF($D523="","",IF(COUNTIF($D$2:$D523,$D523)=1,$D523,""))</f>
        <v/>
      </c>
      <c r="AC523">
        <f t="shared" si="194"/>
        <v>0</v>
      </c>
      <c r="AD523" t="str">
        <f t="shared" si="195"/>
        <v>|0</v>
      </c>
      <c r="AE523" t="str">
        <f t="shared" si="196"/>
        <v/>
      </c>
      <c r="AF523" t="str">
        <f t="shared" si="197"/>
        <v/>
      </c>
      <c r="AG523" t="str">
        <f t="shared" si="198"/>
        <v/>
      </c>
      <c r="AH523" t="str">
        <f t="shared" si="199"/>
        <v/>
      </c>
      <c r="AI523" t="str">
        <f t="shared" si="200"/>
        <v/>
      </c>
      <c r="AJ523" t="str">
        <f t="shared" si="201"/>
        <v/>
      </c>
      <c r="AK523" t="str">
        <f t="shared" si="202"/>
        <v/>
      </c>
      <c r="AL523" t="str">
        <f t="shared" si="203"/>
        <v/>
      </c>
      <c r="AM523" t="str">
        <f t="shared" si="204"/>
        <v/>
      </c>
      <c r="AN523" t="str">
        <f t="shared" si="205"/>
        <v/>
      </c>
      <c r="AO523" t="str">
        <f t="shared" si="206"/>
        <v/>
      </c>
      <c r="AP523">
        <f t="shared" si="207"/>
        <v>1</v>
      </c>
      <c r="AQ523" t="str">
        <f>IF(SAISIE!$F528="","",SAISIE!$Y528)</f>
        <v/>
      </c>
      <c r="AR523" t="str">
        <f>IF(OR(SAISIE!$U$4="",SAISIE!$W$4=""),"",IF(AND($A523=SAISIE!$U$4,$B523=SAISIE!$W$4,$C523="S1"),COUNTIFS($A$2:$A523,SAISIE!$U$4,$B$2:$B523,SAISIE!$W$4,$C$2:$C523,"S1"),""))</f>
        <v/>
      </c>
      <c r="AS523" t="str">
        <f t="shared" si="208"/>
        <v/>
      </c>
      <c r="AT523" t="str">
        <f t="shared" si="209"/>
        <v/>
      </c>
      <c r="AU523" t="str">
        <f t="shared" si="210"/>
        <v/>
      </c>
      <c r="AV523">
        <f>N(AV522)+IF(AND($AB523&lt;&gt;"",OR('PROFIL ELEVE'!$K$4="(Tous)",$AF523='PROFIL ELEVE'!$K$4)),1,0)</f>
        <v>0</v>
      </c>
      <c r="AW523">
        <f>N(AW522)+IF(AND($AB523&lt;&gt;"",OR('SUIVI LONGITUDINAL'!$Q$4="(Tous)",$AF523='SUIVI LONGITUDINAL'!$Q$4)),1,0)</f>
        <v>0</v>
      </c>
      <c r="AX523">
        <f t="shared" si="211"/>
        <v>0</v>
      </c>
      <c r="AY523">
        <f t="shared" si="212"/>
        <v>0</v>
      </c>
      <c r="AZ523">
        <f t="shared" si="213"/>
        <v>0</v>
      </c>
      <c r="BA523" t="str">
        <f t="shared" si="214"/>
        <v/>
      </c>
      <c r="BB523" t="str">
        <f t="shared" si="215"/>
        <v/>
      </c>
    </row>
    <row r="524" spans="1:54" ht="14.25" customHeight="1" x14ac:dyDescent="0.3">
      <c r="A524" t="str">
        <f>IF(SAISIE!$F529="","",SAISIE!$B529)</f>
        <v/>
      </c>
      <c r="B524" t="str">
        <f>IF(SAISIE!$F529="","",SAISIE!$C529)</f>
        <v/>
      </c>
      <c r="C524" t="str">
        <f>IF(SAISIE!$F529="","",SAISIE!$D529)</f>
        <v/>
      </c>
      <c r="D524" t="str">
        <f>IF(SAISIE!$E529="","",SAISIE!$E529)</f>
        <v/>
      </c>
      <c r="E524" t="str">
        <f>IF(SAISIE!$F529="","",SAISIE!$F529)</f>
        <v/>
      </c>
      <c r="F524" t="str">
        <f>IF(SAISIE!$G529="","",SAISIE!$G529)</f>
        <v/>
      </c>
      <c r="G524" t="str">
        <f>IF(SAISIE!$H529="","",SAISIE!$H529)</f>
        <v/>
      </c>
      <c r="H524" t="str">
        <f>IF(SAISIE!$I529="","",SAISIE!$I529)</f>
        <v/>
      </c>
      <c r="I524" t="str">
        <f>IF(SAISIE!$J529="","",SAISIE!$J529)</f>
        <v/>
      </c>
      <c r="J524" t="str">
        <f>IF(SAISIE!$K529="","",SAISIE!$K529)</f>
        <v/>
      </c>
      <c r="K524" t="str">
        <f>IF(SAISIE!$L529="","",SAISIE!$L529)</f>
        <v/>
      </c>
      <c r="L524" t="str">
        <f>IF(SAISIE!$M529="","",SAISIE!$M529)</f>
        <v/>
      </c>
      <c r="M524" t="str">
        <f>IF(SAISIE!$N529="","",SAISIE!$N529)</f>
        <v/>
      </c>
      <c r="N524" t="str">
        <f>IF(SAISIE!$O529="","",SAISIE!$O529)</f>
        <v/>
      </c>
      <c r="O524" t="str">
        <f>IF(SAISIE!$P529="","",SAISIE!$P529)</f>
        <v/>
      </c>
      <c r="P524" t="str">
        <f>IF(SAISIE!$Q529="","",SAISIE!$Q529)</f>
        <v/>
      </c>
      <c r="Q524" t="str">
        <f>IF($I524="","",IF($I524&gt;PARAMETRES!$G$29,5,IF($I524&gt;PARAMETRES!$F$29,4,IF($I524&gt;PARAMETRES!$E$29,3,IF($I524&gt;PARAMETRES!$D$29,2,1)))))</f>
        <v/>
      </c>
      <c r="R524" t="str">
        <f>IF($J524="","",IF($J524&gt;PARAMETRES!$G$30,5,IF($J524&gt;PARAMETRES!$F$30,4,IF($J524&gt;PARAMETRES!$E$30,3,IF($J524&gt;PARAMETRES!$D$30,2,1)))))</f>
        <v/>
      </c>
      <c r="S524" t="str">
        <f>IF($K524="","",IF($Z524=2,IF($K524&gt;PARAMETRES!$G$31,5,IF($K524&gt;PARAMETRES!$F$31,4,IF($K524&gt;PARAMETRES!$E$31,3,IF($K524&gt;PARAMETRES!$D$31,2,1)))),IF($K524&gt;PARAMETRES!$G$32,5,IF($K524&gt;PARAMETRES!$F$32,4,IF($K524&gt;PARAMETRES!$E$32,3,IF($K524&gt;PARAMETRES!$D$32,2,1))))))</f>
        <v/>
      </c>
      <c r="T524" t="str">
        <f>IF($L524="","",IF($L524&gt;PARAMETRES!$G$33,5,IF($L524&gt;PARAMETRES!$F$33,4,IF($L524&gt;PARAMETRES!$E$33,3,IF($L524&gt;PARAMETRES!$D$33,2,1)))))</f>
        <v/>
      </c>
      <c r="U524" t="str">
        <f>IF($M524="","",IF($M524&gt;PARAMETRES!$G$34,5,IF($M524&gt;PARAMETRES!$F$34,4,IF($M524&gt;PARAMETRES!$E$34,3,IF($M524&gt;PARAMETRES!$D$34,2,1)))))</f>
        <v/>
      </c>
      <c r="V524" t="str">
        <f>IF($N524="","",IF($N524&gt;PARAMETRES!$G$35,5,IF($N524&gt;PARAMETRES!$F$35,4,IF($N524&gt;PARAMETRES!$E$35,3,IF($N524&gt;PARAMETRES!$D$35,2,1)))))</f>
        <v/>
      </c>
      <c r="W524" t="str">
        <f>IF($O524="","",IF($O524&gt;PARAMETRES!$G$36,5,IF($O524&gt;PARAMETRES!$F$36,4,IF($O524&gt;PARAMETRES!$E$36,3,IF($O524&gt;PARAMETRES!$D$36,2,1)))))</f>
        <v/>
      </c>
      <c r="X524" t="str">
        <f>IF($P524="","",IF($P524&gt;PARAMETRES!$G$37,5,IF($P524&gt;PARAMETRES!$F$37,4,IF($P524&gt;PARAMETRES!$E$37,3,IF($P524&gt;PARAMETRES!$D$37,2,1)))))</f>
        <v/>
      </c>
      <c r="Y524" t="str">
        <f t="shared" si="192"/>
        <v/>
      </c>
      <c r="Z524" t="str">
        <f>IFERROR(VLOOKUP($B524,TABLE_CYCLE,2,0),"")</f>
        <v/>
      </c>
      <c r="AA524" t="str">
        <f t="shared" si="193"/>
        <v/>
      </c>
      <c r="AB524" t="str">
        <f>IF($D524="","",IF(COUNTIF($D$2:$D524,$D524)=1,$D524,""))</f>
        <v/>
      </c>
      <c r="AC524">
        <f t="shared" si="194"/>
        <v>0</v>
      </c>
      <c r="AD524" t="str">
        <f t="shared" si="195"/>
        <v>|0</v>
      </c>
      <c r="AE524" t="str">
        <f t="shared" si="196"/>
        <v/>
      </c>
      <c r="AF524" t="str">
        <f t="shared" si="197"/>
        <v/>
      </c>
      <c r="AG524" t="str">
        <f t="shared" si="198"/>
        <v/>
      </c>
      <c r="AH524" t="str">
        <f t="shared" si="199"/>
        <v/>
      </c>
      <c r="AI524" t="str">
        <f t="shared" si="200"/>
        <v/>
      </c>
      <c r="AJ524" t="str">
        <f t="shared" si="201"/>
        <v/>
      </c>
      <c r="AK524" t="str">
        <f t="shared" si="202"/>
        <v/>
      </c>
      <c r="AL524" t="str">
        <f t="shared" si="203"/>
        <v/>
      </c>
      <c r="AM524" t="str">
        <f t="shared" si="204"/>
        <v/>
      </c>
      <c r="AN524" t="str">
        <f t="shared" si="205"/>
        <v/>
      </c>
      <c r="AO524" t="str">
        <f t="shared" si="206"/>
        <v/>
      </c>
      <c r="AP524">
        <f t="shared" si="207"/>
        <v>1</v>
      </c>
      <c r="AQ524" t="str">
        <f>IF(SAISIE!$F529="","",SAISIE!$Y529)</f>
        <v/>
      </c>
      <c r="AR524" t="str">
        <f>IF(OR(SAISIE!$U$4="",SAISIE!$W$4=""),"",IF(AND($A524=SAISIE!$U$4,$B524=SAISIE!$W$4,$C524="S1"),COUNTIFS($A$2:$A524,SAISIE!$U$4,$B$2:$B524,SAISIE!$W$4,$C$2:$C524,"S1"),""))</f>
        <v/>
      </c>
      <c r="AS524" t="str">
        <f t="shared" si="208"/>
        <v/>
      </c>
      <c r="AT524" t="str">
        <f t="shared" si="209"/>
        <v/>
      </c>
      <c r="AU524" t="str">
        <f t="shared" si="210"/>
        <v/>
      </c>
      <c r="AV524">
        <f>N(AV523)+IF(AND($AB524&lt;&gt;"",OR('PROFIL ELEVE'!$K$4="(Tous)",$AF524='PROFIL ELEVE'!$K$4)),1,0)</f>
        <v>0</v>
      </c>
      <c r="AW524">
        <f>N(AW523)+IF(AND($AB524&lt;&gt;"",OR('SUIVI LONGITUDINAL'!$Q$4="(Tous)",$AF524='SUIVI LONGITUDINAL'!$Q$4)),1,0)</f>
        <v>0</v>
      </c>
      <c r="AX524">
        <f t="shared" si="211"/>
        <v>0</v>
      </c>
      <c r="AY524">
        <f t="shared" si="212"/>
        <v>0</v>
      </c>
      <c r="AZ524">
        <f t="shared" si="213"/>
        <v>0</v>
      </c>
      <c r="BA524" t="str">
        <f t="shared" si="214"/>
        <v/>
      </c>
      <c r="BB524" t="str">
        <f t="shared" si="215"/>
        <v/>
      </c>
    </row>
    <row r="525" spans="1:54" ht="14.25" customHeight="1" x14ac:dyDescent="0.3">
      <c r="A525" t="str">
        <f>IF(SAISIE!$F530="","",SAISIE!$B530)</f>
        <v/>
      </c>
      <c r="B525" t="str">
        <f>IF(SAISIE!$F530="","",SAISIE!$C530)</f>
        <v/>
      </c>
      <c r="C525" t="str">
        <f>IF(SAISIE!$F530="","",SAISIE!$D530)</f>
        <v/>
      </c>
      <c r="D525" t="str">
        <f>IF(SAISIE!$E530="","",SAISIE!$E530)</f>
        <v/>
      </c>
      <c r="E525" t="str">
        <f>IF(SAISIE!$F530="","",SAISIE!$F530)</f>
        <v/>
      </c>
      <c r="F525" t="str">
        <f>IF(SAISIE!$G530="","",SAISIE!$G530)</f>
        <v/>
      </c>
      <c r="G525" t="str">
        <f>IF(SAISIE!$H530="","",SAISIE!$H530)</f>
        <v/>
      </c>
      <c r="H525" t="str">
        <f>IF(SAISIE!$I530="","",SAISIE!$I530)</f>
        <v/>
      </c>
      <c r="I525" t="str">
        <f>IF(SAISIE!$J530="","",SAISIE!$J530)</f>
        <v/>
      </c>
      <c r="J525" t="str">
        <f>IF(SAISIE!$K530="","",SAISIE!$K530)</f>
        <v/>
      </c>
      <c r="K525" t="str">
        <f>IF(SAISIE!$L530="","",SAISIE!$L530)</f>
        <v/>
      </c>
      <c r="L525" t="str">
        <f>IF(SAISIE!$M530="","",SAISIE!$M530)</f>
        <v/>
      </c>
      <c r="M525" t="str">
        <f>IF(SAISIE!$N530="","",SAISIE!$N530)</f>
        <v/>
      </c>
      <c r="N525" t="str">
        <f>IF(SAISIE!$O530="","",SAISIE!$O530)</f>
        <v/>
      </c>
      <c r="O525" t="str">
        <f>IF(SAISIE!$P530="","",SAISIE!$P530)</f>
        <v/>
      </c>
      <c r="P525" t="str">
        <f>IF(SAISIE!$Q530="","",SAISIE!$Q530)</f>
        <v/>
      </c>
      <c r="Q525" t="str">
        <f>IF($I525="","",IF($I525&gt;PARAMETRES!$G$29,5,IF($I525&gt;PARAMETRES!$F$29,4,IF($I525&gt;PARAMETRES!$E$29,3,IF($I525&gt;PARAMETRES!$D$29,2,1)))))</f>
        <v/>
      </c>
      <c r="R525" t="str">
        <f>IF($J525="","",IF($J525&gt;PARAMETRES!$G$30,5,IF($J525&gt;PARAMETRES!$F$30,4,IF($J525&gt;PARAMETRES!$E$30,3,IF($J525&gt;PARAMETRES!$D$30,2,1)))))</f>
        <v/>
      </c>
      <c r="S525" t="str">
        <f>IF($K525="","",IF($Z525=2,IF($K525&gt;PARAMETRES!$G$31,5,IF($K525&gt;PARAMETRES!$F$31,4,IF($K525&gt;PARAMETRES!$E$31,3,IF($K525&gt;PARAMETRES!$D$31,2,1)))),IF($K525&gt;PARAMETRES!$G$32,5,IF($K525&gt;PARAMETRES!$F$32,4,IF($K525&gt;PARAMETRES!$E$32,3,IF($K525&gt;PARAMETRES!$D$32,2,1))))))</f>
        <v/>
      </c>
      <c r="T525" t="str">
        <f>IF($L525="","",IF($L525&gt;PARAMETRES!$G$33,5,IF($L525&gt;PARAMETRES!$F$33,4,IF($L525&gt;PARAMETRES!$E$33,3,IF($L525&gt;PARAMETRES!$D$33,2,1)))))</f>
        <v/>
      </c>
      <c r="U525" t="str">
        <f>IF($M525="","",IF($M525&gt;PARAMETRES!$G$34,5,IF($M525&gt;PARAMETRES!$F$34,4,IF($M525&gt;PARAMETRES!$E$34,3,IF($M525&gt;PARAMETRES!$D$34,2,1)))))</f>
        <v/>
      </c>
      <c r="V525" t="str">
        <f>IF($N525="","",IF($N525&gt;PARAMETRES!$G$35,5,IF($N525&gt;PARAMETRES!$F$35,4,IF($N525&gt;PARAMETRES!$E$35,3,IF($N525&gt;PARAMETRES!$D$35,2,1)))))</f>
        <v/>
      </c>
      <c r="W525" t="str">
        <f>IF($O525="","",IF($O525&gt;PARAMETRES!$G$36,5,IF($O525&gt;PARAMETRES!$F$36,4,IF($O525&gt;PARAMETRES!$E$36,3,IF($O525&gt;PARAMETRES!$D$36,2,1)))))</f>
        <v/>
      </c>
      <c r="X525" t="str">
        <f>IF($P525="","",IF($P525&gt;PARAMETRES!$G$37,5,IF($P525&gt;PARAMETRES!$F$37,4,IF($P525&gt;PARAMETRES!$E$37,3,IF($P525&gt;PARAMETRES!$D$37,2,1)))))</f>
        <v/>
      </c>
      <c r="Y525" t="str">
        <f t="shared" si="192"/>
        <v/>
      </c>
      <c r="Z525" t="str">
        <f>IFERROR(VLOOKUP($B525,TABLE_CYCLE,2,0),"")</f>
        <v/>
      </c>
      <c r="AA525" t="str">
        <f t="shared" si="193"/>
        <v/>
      </c>
      <c r="AB525" t="str">
        <f>IF($D525="","",IF(COUNTIF($D$2:$D525,$D525)=1,$D525,""))</f>
        <v/>
      </c>
      <c r="AC525">
        <f t="shared" si="194"/>
        <v>0</v>
      </c>
      <c r="AD525" t="str">
        <f t="shared" si="195"/>
        <v>|0</v>
      </c>
      <c r="AE525" t="str">
        <f t="shared" si="196"/>
        <v/>
      </c>
      <c r="AF525" t="str">
        <f t="shared" si="197"/>
        <v/>
      </c>
      <c r="AG525" t="str">
        <f t="shared" si="198"/>
        <v/>
      </c>
      <c r="AH525" t="str">
        <f t="shared" si="199"/>
        <v/>
      </c>
      <c r="AI525" t="str">
        <f t="shared" si="200"/>
        <v/>
      </c>
      <c r="AJ525" t="str">
        <f t="shared" si="201"/>
        <v/>
      </c>
      <c r="AK525" t="str">
        <f t="shared" si="202"/>
        <v/>
      </c>
      <c r="AL525" t="str">
        <f t="shared" si="203"/>
        <v/>
      </c>
      <c r="AM525" t="str">
        <f t="shared" si="204"/>
        <v/>
      </c>
      <c r="AN525" t="str">
        <f t="shared" si="205"/>
        <v/>
      </c>
      <c r="AO525" t="str">
        <f t="shared" si="206"/>
        <v/>
      </c>
      <c r="AP525">
        <f t="shared" si="207"/>
        <v>1</v>
      </c>
      <c r="AQ525" t="str">
        <f>IF(SAISIE!$F530="","",SAISIE!$Y530)</f>
        <v/>
      </c>
      <c r="AR525" t="str">
        <f>IF(OR(SAISIE!$U$4="",SAISIE!$W$4=""),"",IF(AND($A525=SAISIE!$U$4,$B525=SAISIE!$W$4,$C525="S1"),COUNTIFS($A$2:$A525,SAISIE!$U$4,$B$2:$B525,SAISIE!$W$4,$C$2:$C525,"S1"),""))</f>
        <v/>
      </c>
      <c r="AS525" t="str">
        <f t="shared" si="208"/>
        <v/>
      </c>
      <c r="AT525" t="str">
        <f t="shared" si="209"/>
        <v/>
      </c>
      <c r="AU525" t="str">
        <f t="shared" si="210"/>
        <v/>
      </c>
      <c r="AV525">
        <f>N(AV524)+IF(AND($AB525&lt;&gt;"",OR('PROFIL ELEVE'!$K$4="(Tous)",$AF525='PROFIL ELEVE'!$K$4)),1,0)</f>
        <v>0</v>
      </c>
      <c r="AW525">
        <f>N(AW524)+IF(AND($AB525&lt;&gt;"",OR('SUIVI LONGITUDINAL'!$Q$4="(Tous)",$AF525='SUIVI LONGITUDINAL'!$Q$4)),1,0)</f>
        <v>0</v>
      </c>
      <c r="AX525">
        <f t="shared" si="211"/>
        <v>0</v>
      </c>
      <c r="AY525">
        <f t="shared" si="212"/>
        <v>0</v>
      </c>
      <c r="AZ525">
        <f t="shared" si="213"/>
        <v>0</v>
      </c>
      <c r="BA525" t="str">
        <f t="shared" si="214"/>
        <v/>
      </c>
      <c r="BB525" t="str">
        <f t="shared" si="215"/>
        <v/>
      </c>
    </row>
    <row r="526" spans="1:54" ht="14.25" customHeight="1" x14ac:dyDescent="0.3">
      <c r="A526" t="str">
        <f>IF(SAISIE!$F531="","",SAISIE!$B531)</f>
        <v/>
      </c>
      <c r="B526" t="str">
        <f>IF(SAISIE!$F531="","",SAISIE!$C531)</f>
        <v/>
      </c>
      <c r="C526" t="str">
        <f>IF(SAISIE!$F531="","",SAISIE!$D531)</f>
        <v/>
      </c>
      <c r="D526" t="str">
        <f>IF(SAISIE!$E531="","",SAISIE!$E531)</f>
        <v/>
      </c>
      <c r="E526" t="str">
        <f>IF(SAISIE!$F531="","",SAISIE!$F531)</f>
        <v/>
      </c>
      <c r="F526" t="str">
        <f>IF(SAISIE!$G531="","",SAISIE!$G531)</f>
        <v/>
      </c>
      <c r="G526" t="str">
        <f>IF(SAISIE!$H531="","",SAISIE!$H531)</f>
        <v/>
      </c>
      <c r="H526" t="str">
        <f>IF(SAISIE!$I531="","",SAISIE!$I531)</f>
        <v/>
      </c>
      <c r="I526" t="str">
        <f>IF(SAISIE!$J531="","",SAISIE!$J531)</f>
        <v/>
      </c>
      <c r="J526" t="str">
        <f>IF(SAISIE!$K531="","",SAISIE!$K531)</f>
        <v/>
      </c>
      <c r="K526" t="str">
        <f>IF(SAISIE!$L531="","",SAISIE!$L531)</f>
        <v/>
      </c>
      <c r="L526" t="str">
        <f>IF(SAISIE!$M531="","",SAISIE!$M531)</f>
        <v/>
      </c>
      <c r="M526" t="str">
        <f>IF(SAISIE!$N531="","",SAISIE!$N531)</f>
        <v/>
      </c>
      <c r="N526" t="str">
        <f>IF(SAISIE!$O531="","",SAISIE!$O531)</f>
        <v/>
      </c>
      <c r="O526" t="str">
        <f>IF(SAISIE!$P531="","",SAISIE!$P531)</f>
        <v/>
      </c>
      <c r="P526" t="str">
        <f>IF(SAISIE!$Q531="","",SAISIE!$Q531)</f>
        <v/>
      </c>
      <c r="Q526" t="str">
        <f>IF($I526="","",IF($I526&gt;PARAMETRES!$G$29,5,IF($I526&gt;PARAMETRES!$F$29,4,IF($I526&gt;PARAMETRES!$E$29,3,IF($I526&gt;PARAMETRES!$D$29,2,1)))))</f>
        <v/>
      </c>
      <c r="R526" t="str">
        <f>IF($J526="","",IF($J526&gt;PARAMETRES!$G$30,5,IF($J526&gt;PARAMETRES!$F$30,4,IF($J526&gt;PARAMETRES!$E$30,3,IF($J526&gt;PARAMETRES!$D$30,2,1)))))</f>
        <v/>
      </c>
      <c r="S526" t="str">
        <f>IF($K526="","",IF($Z526=2,IF($K526&gt;PARAMETRES!$G$31,5,IF($K526&gt;PARAMETRES!$F$31,4,IF($K526&gt;PARAMETRES!$E$31,3,IF($K526&gt;PARAMETRES!$D$31,2,1)))),IF($K526&gt;PARAMETRES!$G$32,5,IF($K526&gt;PARAMETRES!$F$32,4,IF($K526&gt;PARAMETRES!$E$32,3,IF($K526&gt;PARAMETRES!$D$32,2,1))))))</f>
        <v/>
      </c>
      <c r="T526" t="str">
        <f>IF($L526="","",IF($L526&gt;PARAMETRES!$G$33,5,IF($L526&gt;PARAMETRES!$F$33,4,IF($L526&gt;PARAMETRES!$E$33,3,IF($L526&gt;PARAMETRES!$D$33,2,1)))))</f>
        <v/>
      </c>
      <c r="U526" t="str">
        <f>IF($M526="","",IF($M526&gt;PARAMETRES!$G$34,5,IF($M526&gt;PARAMETRES!$F$34,4,IF($M526&gt;PARAMETRES!$E$34,3,IF($M526&gt;PARAMETRES!$D$34,2,1)))))</f>
        <v/>
      </c>
      <c r="V526" t="str">
        <f>IF($N526="","",IF($N526&gt;PARAMETRES!$G$35,5,IF($N526&gt;PARAMETRES!$F$35,4,IF($N526&gt;PARAMETRES!$E$35,3,IF($N526&gt;PARAMETRES!$D$35,2,1)))))</f>
        <v/>
      </c>
      <c r="W526" t="str">
        <f>IF($O526="","",IF($O526&gt;PARAMETRES!$G$36,5,IF($O526&gt;PARAMETRES!$F$36,4,IF($O526&gt;PARAMETRES!$E$36,3,IF($O526&gt;PARAMETRES!$D$36,2,1)))))</f>
        <v/>
      </c>
      <c r="X526" t="str">
        <f>IF($P526="","",IF($P526&gt;PARAMETRES!$G$37,5,IF($P526&gt;PARAMETRES!$F$37,4,IF($P526&gt;PARAMETRES!$E$37,3,IF($P526&gt;PARAMETRES!$D$37,2,1)))))</f>
        <v/>
      </c>
      <c r="Y526" t="str">
        <f t="shared" si="192"/>
        <v/>
      </c>
      <c r="Z526" t="str">
        <f>IFERROR(VLOOKUP($B526,TABLE_CYCLE,2,0),"")</f>
        <v/>
      </c>
      <c r="AA526" t="str">
        <f t="shared" si="193"/>
        <v/>
      </c>
      <c r="AB526" t="str">
        <f>IF($D526="","",IF(COUNTIF($D$2:$D526,$D526)=1,$D526,""))</f>
        <v/>
      </c>
      <c r="AC526">
        <f t="shared" si="194"/>
        <v>0</v>
      </c>
      <c r="AD526" t="str">
        <f t="shared" si="195"/>
        <v>|0</v>
      </c>
      <c r="AE526" t="str">
        <f t="shared" si="196"/>
        <v/>
      </c>
      <c r="AF526" t="str">
        <f t="shared" si="197"/>
        <v/>
      </c>
      <c r="AG526" t="str">
        <f t="shared" si="198"/>
        <v/>
      </c>
      <c r="AH526" t="str">
        <f t="shared" si="199"/>
        <v/>
      </c>
      <c r="AI526" t="str">
        <f t="shared" si="200"/>
        <v/>
      </c>
      <c r="AJ526" t="str">
        <f t="shared" si="201"/>
        <v/>
      </c>
      <c r="AK526" t="str">
        <f t="shared" si="202"/>
        <v/>
      </c>
      <c r="AL526" t="str">
        <f t="shared" si="203"/>
        <v/>
      </c>
      <c r="AM526" t="str">
        <f t="shared" si="204"/>
        <v/>
      </c>
      <c r="AN526" t="str">
        <f t="shared" si="205"/>
        <v/>
      </c>
      <c r="AO526" t="str">
        <f t="shared" si="206"/>
        <v/>
      </c>
      <c r="AP526">
        <f t="shared" si="207"/>
        <v>1</v>
      </c>
      <c r="AQ526" t="str">
        <f>IF(SAISIE!$F531="","",SAISIE!$Y531)</f>
        <v/>
      </c>
      <c r="AR526" t="str">
        <f>IF(OR(SAISIE!$U$4="",SAISIE!$W$4=""),"",IF(AND($A526=SAISIE!$U$4,$B526=SAISIE!$W$4,$C526="S1"),COUNTIFS($A$2:$A526,SAISIE!$U$4,$B$2:$B526,SAISIE!$W$4,$C$2:$C526,"S1"),""))</f>
        <v/>
      </c>
      <c r="AS526" t="str">
        <f t="shared" si="208"/>
        <v/>
      </c>
      <c r="AT526" t="str">
        <f t="shared" si="209"/>
        <v/>
      </c>
      <c r="AU526" t="str">
        <f t="shared" si="210"/>
        <v/>
      </c>
      <c r="AV526">
        <f>N(AV525)+IF(AND($AB526&lt;&gt;"",OR('PROFIL ELEVE'!$K$4="(Tous)",$AF526='PROFIL ELEVE'!$K$4)),1,0)</f>
        <v>0</v>
      </c>
      <c r="AW526">
        <f>N(AW525)+IF(AND($AB526&lt;&gt;"",OR('SUIVI LONGITUDINAL'!$Q$4="(Tous)",$AF526='SUIVI LONGITUDINAL'!$Q$4)),1,0)</f>
        <v>0</v>
      </c>
      <c r="AX526">
        <f t="shared" si="211"/>
        <v>0</v>
      </c>
      <c r="AY526">
        <f t="shared" si="212"/>
        <v>0</v>
      </c>
      <c r="AZ526">
        <f t="shared" si="213"/>
        <v>0</v>
      </c>
      <c r="BA526" t="str">
        <f t="shared" si="214"/>
        <v/>
      </c>
      <c r="BB526" t="str">
        <f t="shared" si="215"/>
        <v/>
      </c>
    </row>
    <row r="527" spans="1:54" ht="14.25" customHeight="1" x14ac:dyDescent="0.3">
      <c r="A527" t="str">
        <f>IF(SAISIE!$F532="","",SAISIE!$B532)</f>
        <v/>
      </c>
      <c r="B527" t="str">
        <f>IF(SAISIE!$F532="","",SAISIE!$C532)</f>
        <v/>
      </c>
      <c r="C527" t="str">
        <f>IF(SAISIE!$F532="","",SAISIE!$D532)</f>
        <v/>
      </c>
      <c r="D527" t="str">
        <f>IF(SAISIE!$E532="","",SAISIE!$E532)</f>
        <v/>
      </c>
      <c r="E527" t="str">
        <f>IF(SAISIE!$F532="","",SAISIE!$F532)</f>
        <v/>
      </c>
      <c r="F527" t="str">
        <f>IF(SAISIE!$G532="","",SAISIE!$G532)</f>
        <v/>
      </c>
      <c r="G527" t="str">
        <f>IF(SAISIE!$H532="","",SAISIE!$H532)</f>
        <v/>
      </c>
      <c r="H527" t="str">
        <f>IF(SAISIE!$I532="","",SAISIE!$I532)</f>
        <v/>
      </c>
      <c r="I527" t="str">
        <f>IF(SAISIE!$J532="","",SAISIE!$J532)</f>
        <v/>
      </c>
      <c r="J527" t="str">
        <f>IF(SAISIE!$K532="","",SAISIE!$K532)</f>
        <v/>
      </c>
      <c r="K527" t="str">
        <f>IF(SAISIE!$L532="","",SAISIE!$L532)</f>
        <v/>
      </c>
      <c r="L527" t="str">
        <f>IF(SAISIE!$M532="","",SAISIE!$M532)</f>
        <v/>
      </c>
      <c r="M527" t="str">
        <f>IF(SAISIE!$N532="","",SAISIE!$N532)</f>
        <v/>
      </c>
      <c r="N527" t="str">
        <f>IF(SAISIE!$O532="","",SAISIE!$O532)</f>
        <v/>
      </c>
      <c r="O527" t="str">
        <f>IF(SAISIE!$P532="","",SAISIE!$P532)</f>
        <v/>
      </c>
      <c r="P527" t="str">
        <f>IF(SAISIE!$Q532="","",SAISIE!$Q532)</f>
        <v/>
      </c>
      <c r="Q527" t="str">
        <f>IF($I527="","",IF($I527&gt;PARAMETRES!$G$29,5,IF($I527&gt;PARAMETRES!$F$29,4,IF($I527&gt;PARAMETRES!$E$29,3,IF($I527&gt;PARAMETRES!$D$29,2,1)))))</f>
        <v/>
      </c>
      <c r="R527" t="str">
        <f>IF($J527="","",IF($J527&gt;PARAMETRES!$G$30,5,IF($J527&gt;PARAMETRES!$F$30,4,IF($J527&gt;PARAMETRES!$E$30,3,IF($J527&gt;PARAMETRES!$D$30,2,1)))))</f>
        <v/>
      </c>
      <c r="S527" t="str">
        <f>IF($K527="","",IF($Z527=2,IF($K527&gt;PARAMETRES!$G$31,5,IF($K527&gt;PARAMETRES!$F$31,4,IF($K527&gt;PARAMETRES!$E$31,3,IF($K527&gt;PARAMETRES!$D$31,2,1)))),IF($K527&gt;PARAMETRES!$G$32,5,IF($K527&gt;PARAMETRES!$F$32,4,IF($K527&gt;PARAMETRES!$E$32,3,IF($K527&gt;PARAMETRES!$D$32,2,1))))))</f>
        <v/>
      </c>
      <c r="T527" t="str">
        <f>IF($L527="","",IF($L527&gt;PARAMETRES!$G$33,5,IF($L527&gt;PARAMETRES!$F$33,4,IF($L527&gt;PARAMETRES!$E$33,3,IF($L527&gt;PARAMETRES!$D$33,2,1)))))</f>
        <v/>
      </c>
      <c r="U527" t="str">
        <f>IF($M527="","",IF($M527&gt;PARAMETRES!$G$34,5,IF($M527&gt;PARAMETRES!$F$34,4,IF($M527&gt;PARAMETRES!$E$34,3,IF($M527&gt;PARAMETRES!$D$34,2,1)))))</f>
        <v/>
      </c>
      <c r="V527" t="str">
        <f>IF($N527="","",IF($N527&gt;PARAMETRES!$G$35,5,IF($N527&gt;PARAMETRES!$F$35,4,IF($N527&gt;PARAMETRES!$E$35,3,IF($N527&gt;PARAMETRES!$D$35,2,1)))))</f>
        <v/>
      </c>
      <c r="W527" t="str">
        <f>IF($O527="","",IF($O527&gt;PARAMETRES!$G$36,5,IF($O527&gt;PARAMETRES!$F$36,4,IF($O527&gt;PARAMETRES!$E$36,3,IF($O527&gt;PARAMETRES!$D$36,2,1)))))</f>
        <v/>
      </c>
      <c r="X527" t="str">
        <f>IF($P527="","",IF($P527&gt;PARAMETRES!$G$37,5,IF($P527&gt;PARAMETRES!$F$37,4,IF($P527&gt;PARAMETRES!$E$37,3,IF($P527&gt;PARAMETRES!$D$37,2,1)))))</f>
        <v/>
      </c>
      <c r="Y527" t="str">
        <f t="shared" si="192"/>
        <v/>
      </c>
      <c r="Z527" t="str">
        <f>IFERROR(VLOOKUP($B527,TABLE_CYCLE,2,0),"")</f>
        <v/>
      </c>
      <c r="AA527" t="str">
        <f t="shared" si="193"/>
        <v/>
      </c>
      <c r="AB527" t="str">
        <f>IF($D527="","",IF(COUNTIF($D$2:$D527,$D527)=1,$D527,""))</f>
        <v/>
      </c>
      <c r="AC527">
        <f t="shared" si="194"/>
        <v>0</v>
      </c>
      <c r="AD527" t="str">
        <f t="shared" si="195"/>
        <v>|0</v>
      </c>
      <c r="AE527" t="str">
        <f t="shared" si="196"/>
        <v/>
      </c>
      <c r="AF527" t="str">
        <f t="shared" si="197"/>
        <v/>
      </c>
      <c r="AG527" t="str">
        <f t="shared" si="198"/>
        <v/>
      </c>
      <c r="AH527" t="str">
        <f t="shared" si="199"/>
        <v/>
      </c>
      <c r="AI527" t="str">
        <f t="shared" si="200"/>
        <v/>
      </c>
      <c r="AJ527" t="str">
        <f t="shared" si="201"/>
        <v/>
      </c>
      <c r="AK527" t="str">
        <f t="shared" si="202"/>
        <v/>
      </c>
      <c r="AL527" t="str">
        <f t="shared" si="203"/>
        <v/>
      </c>
      <c r="AM527" t="str">
        <f t="shared" si="204"/>
        <v/>
      </c>
      <c r="AN527" t="str">
        <f t="shared" si="205"/>
        <v/>
      </c>
      <c r="AO527" t="str">
        <f t="shared" si="206"/>
        <v/>
      </c>
      <c r="AP527">
        <f t="shared" si="207"/>
        <v>1</v>
      </c>
      <c r="AQ527" t="str">
        <f>IF(SAISIE!$F532="","",SAISIE!$Y532)</f>
        <v/>
      </c>
      <c r="AR527" t="str">
        <f>IF(OR(SAISIE!$U$4="",SAISIE!$W$4=""),"",IF(AND($A527=SAISIE!$U$4,$B527=SAISIE!$W$4,$C527="S1"),COUNTIFS($A$2:$A527,SAISIE!$U$4,$B$2:$B527,SAISIE!$W$4,$C$2:$C527,"S1"),""))</f>
        <v/>
      </c>
      <c r="AS527" t="str">
        <f t="shared" si="208"/>
        <v/>
      </c>
      <c r="AT527" t="str">
        <f t="shared" si="209"/>
        <v/>
      </c>
      <c r="AU527" t="str">
        <f t="shared" si="210"/>
        <v/>
      </c>
      <c r="AV527">
        <f>N(AV526)+IF(AND($AB527&lt;&gt;"",OR('PROFIL ELEVE'!$K$4="(Tous)",$AF527='PROFIL ELEVE'!$K$4)),1,0)</f>
        <v>0</v>
      </c>
      <c r="AW527">
        <f>N(AW526)+IF(AND($AB527&lt;&gt;"",OR('SUIVI LONGITUDINAL'!$Q$4="(Tous)",$AF527='SUIVI LONGITUDINAL'!$Q$4)),1,0)</f>
        <v>0</v>
      </c>
      <c r="AX527">
        <f t="shared" si="211"/>
        <v>0</v>
      </c>
      <c r="AY527">
        <f t="shared" si="212"/>
        <v>0</v>
      </c>
      <c r="AZ527">
        <f t="shared" si="213"/>
        <v>0</v>
      </c>
      <c r="BA527" t="str">
        <f t="shared" si="214"/>
        <v/>
      </c>
      <c r="BB527" t="str">
        <f t="shared" si="215"/>
        <v/>
      </c>
    </row>
    <row r="528" spans="1:54" ht="14.25" customHeight="1" x14ac:dyDescent="0.3">
      <c r="A528" t="str">
        <f>IF(SAISIE!$F533="","",SAISIE!$B533)</f>
        <v/>
      </c>
      <c r="B528" t="str">
        <f>IF(SAISIE!$F533="","",SAISIE!$C533)</f>
        <v/>
      </c>
      <c r="C528" t="str">
        <f>IF(SAISIE!$F533="","",SAISIE!$D533)</f>
        <v/>
      </c>
      <c r="D528" t="str">
        <f>IF(SAISIE!$E533="","",SAISIE!$E533)</f>
        <v/>
      </c>
      <c r="E528" t="str">
        <f>IF(SAISIE!$F533="","",SAISIE!$F533)</f>
        <v/>
      </c>
      <c r="F528" t="str">
        <f>IF(SAISIE!$G533="","",SAISIE!$G533)</f>
        <v/>
      </c>
      <c r="G528" t="str">
        <f>IF(SAISIE!$H533="","",SAISIE!$H533)</f>
        <v/>
      </c>
      <c r="H528" t="str">
        <f>IF(SAISIE!$I533="","",SAISIE!$I533)</f>
        <v/>
      </c>
      <c r="I528" t="str">
        <f>IF(SAISIE!$J533="","",SAISIE!$J533)</f>
        <v/>
      </c>
      <c r="J528" t="str">
        <f>IF(SAISIE!$K533="","",SAISIE!$K533)</f>
        <v/>
      </c>
      <c r="K528" t="str">
        <f>IF(SAISIE!$L533="","",SAISIE!$L533)</f>
        <v/>
      </c>
      <c r="L528" t="str">
        <f>IF(SAISIE!$M533="","",SAISIE!$M533)</f>
        <v/>
      </c>
      <c r="M528" t="str">
        <f>IF(SAISIE!$N533="","",SAISIE!$N533)</f>
        <v/>
      </c>
      <c r="N528" t="str">
        <f>IF(SAISIE!$O533="","",SAISIE!$O533)</f>
        <v/>
      </c>
      <c r="O528" t="str">
        <f>IF(SAISIE!$P533="","",SAISIE!$P533)</f>
        <v/>
      </c>
      <c r="P528" t="str">
        <f>IF(SAISIE!$Q533="","",SAISIE!$Q533)</f>
        <v/>
      </c>
      <c r="Q528" t="str">
        <f>IF($I528="","",IF($I528&gt;PARAMETRES!$G$29,5,IF($I528&gt;PARAMETRES!$F$29,4,IF($I528&gt;PARAMETRES!$E$29,3,IF($I528&gt;PARAMETRES!$D$29,2,1)))))</f>
        <v/>
      </c>
      <c r="R528" t="str">
        <f>IF($J528="","",IF($J528&gt;PARAMETRES!$G$30,5,IF($J528&gt;PARAMETRES!$F$30,4,IF($J528&gt;PARAMETRES!$E$30,3,IF($J528&gt;PARAMETRES!$D$30,2,1)))))</f>
        <v/>
      </c>
      <c r="S528" t="str">
        <f>IF($K528="","",IF($Z528=2,IF($K528&gt;PARAMETRES!$G$31,5,IF($K528&gt;PARAMETRES!$F$31,4,IF($K528&gt;PARAMETRES!$E$31,3,IF($K528&gt;PARAMETRES!$D$31,2,1)))),IF($K528&gt;PARAMETRES!$G$32,5,IF($K528&gt;PARAMETRES!$F$32,4,IF($K528&gt;PARAMETRES!$E$32,3,IF($K528&gt;PARAMETRES!$D$32,2,1))))))</f>
        <v/>
      </c>
      <c r="T528" t="str">
        <f>IF($L528="","",IF($L528&gt;PARAMETRES!$G$33,5,IF($L528&gt;PARAMETRES!$F$33,4,IF($L528&gt;PARAMETRES!$E$33,3,IF($L528&gt;PARAMETRES!$D$33,2,1)))))</f>
        <v/>
      </c>
      <c r="U528" t="str">
        <f>IF($M528="","",IF($M528&gt;PARAMETRES!$G$34,5,IF($M528&gt;PARAMETRES!$F$34,4,IF($M528&gt;PARAMETRES!$E$34,3,IF($M528&gt;PARAMETRES!$D$34,2,1)))))</f>
        <v/>
      </c>
      <c r="V528" t="str">
        <f>IF($N528="","",IF($N528&gt;PARAMETRES!$G$35,5,IF($N528&gt;PARAMETRES!$F$35,4,IF($N528&gt;PARAMETRES!$E$35,3,IF($N528&gt;PARAMETRES!$D$35,2,1)))))</f>
        <v/>
      </c>
      <c r="W528" t="str">
        <f>IF($O528="","",IF($O528&gt;PARAMETRES!$G$36,5,IF($O528&gt;PARAMETRES!$F$36,4,IF($O528&gt;PARAMETRES!$E$36,3,IF($O528&gt;PARAMETRES!$D$36,2,1)))))</f>
        <v/>
      </c>
      <c r="X528" t="str">
        <f>IF($P528="","",IF($P528&gt;PARAMETRES!$G$37,5,IF($P528&gt;PARAMETRES!$F$37,4,IF($P528&gt;PARAMETRES!$E$37,3,IF($P528&gt;PARAMETRES!$D$37,2,1)))))</f>
        <v/>
      </c>
      <c r="Y528" t="str">
        <f t="shared" si="192"/>
        <v/>
      </c>
      <c r="Z528" t="str">
        <f>IFERROR(VLOOKUP($B528,TABLE_CYCLE,2,0),"")</f>
        <v/>
      </c>
      <c r="AA528" t="str">
        <f t="shared" si="193"/>
        <v/>
      </c>
      <c r="AB528" t="str">
        <f>IF($D528="","",IF(COUNTIF($D$2:$D528,$D528)=1,$D528,""))</f>
        <v/>
      </c>
      <c r="AC528">
        <f t="shared" si="194"/>
        <v>0</v>
      </c>
      <c r="AD528" t="str">
        <f t="shared" si="195"/>
        <v>|0</v>
      </c>
      <c r="AE528" t="str">
        <f t="shared" si="196"/>
        <v/>
      </c>
      <c r="AF528" t="str">
        <f t="shared" si="197"/>
        <v/>
      </c>
      <c r="AG528" t="str">
        <f t="shared" si="198"/>
        <v/>
      </c>
      <c r="AH528" t="str">
        <f t="shared" si="199"/>
        <v/>
      </c>
      <c r="AI528" t="str">
        <f t="shared" si="200"/>
        <v/>
      </c>
      <c r="AJ528" t="str">
        <f t="shared" si="201"/>
        <v/>
      </c>
      <c r="AK528" t="str">
        <f t="shared" si="202"/>
        <v/>
      </c>
      <c r="AL528" t="str">
        <f t="shared" si="203"/>
        <v/>
      </c>
      <c r="AM528" t="str">
        <f t="shared" si="204"/>
        <v/>
      </c>
      <c r="AN528" t="str">
        <f t="shared" si="205"/>
        <v/>
      </c>
      <c r="AO528" t="str">
        <f t="shared" si="206"/>
        <v/>
      </c>
      <c r="AP528">
        <f t="shared" si="207"/>
        <v>1</v>
      </c>
      <c r="AQ528" t="str">
        <f>IF(SAISIE!$F533="","",SAISIE!$Y533)</f>
        <v/>
      </c>
      <c r="AR528" t="str">
        <f>IF(OR(SAISIE!$U$4="",SAISIE!$W$4=""),"",IF(AND($A528=SAISIE!$U$4,$B528=SAISIE!$W$4,$C528="S1"),COUNTIFS($A$2:$A528,SAISIE!$U$4,$B$2:$B528,SAISIE!$W$4,$C$2:$C528,"S1"),""))</f>
        <v/>
      </c>
      <c r="AS528" t="str">
        <f t="shared" si="208"/>
        <v/>
      </c>
      <c r="AT528" t="str">
        <f t="shared" si="209"/>
        <v/>
      </c>
      <c r="AU528" t="str">
        <f t="shared" si="210"/>
        <v/>
      </c>
      <c r="AV528">
        <f>N(AV527)+IF(AND($AB528&lt;&gt;"",OR('PROFIL ELEVE'!$K$4="(Tous)",$AF528='PROFIL ELEVE'!$K$4)),1,0)</f>
        <v>0</v>
      </c>
      <c r="AW528">
        <f>N(AW527)+IF(AND($AB528&lt;&gt;"",OR('SUIVI LONGITUDINAL'!$Q$4="(Tous)",$AF528='SUIVI LONGITUDINAL'!$Q$4)),1,0)</f>
        <v>0</v>
      </c>
      <c r="AX528">
        <f t="shared" si="211"/>
        <v>0</v>
      </c>
      <c r="AY528">
        <f t="shared" si="212"/>
        <v>0</v>
      </c>
      <c r="AZ528">
        <f t="shared" si="213"/>
        <v>0</v>
      </c>
      <c r="BA528" t="str">
        <f t="shared" si="214"/>
        <v/>
      </c>
      <c r="BB528" t="str">
        <f t="shared" si="215"/>
        <v/>
      </c>
    </row>
    <row r="529" spans="1:54" ht="14.25" customHeight="1" x14ac:dyDescent="0.3">
      <c r="A529" t="str">
        <f>IF(SAISIE!$F534="","",SAISIE!$B534)</f>
        <v/>
      </c>
      <c r="B529" t="str">
        <f>IF(SAISIE!$F534="","",SAISIE!$C534)</f>
        <v/>
      </c>
      <c r="C529" t="str">
        <f>IF(SAISIE!$F534="","",SAISIE!$D534)</f>
        <v/>
      </c>
      <c r="D529" t="str">
        <f>IF(SAISIE!$E534="","",SAISIE!$E534)</f>
        <v/>
      </c>
      <c r="E529" t="str">
        <f>IF(SAISIE!$F534="","",SAISIE!$F534)</f>
        <v/>
      </c>
      <c r="F529" t="str">
        <f>IF(SAISIE!$G534="","",SAISIE!$G534)</f>
        <v/>
      </c>
      <c r="G529" t="str">
        <f>IF(SAISIE!$H534="","",SAISIE!$H534)</f>
        <v/>
      </c>
      <c r="H529" t="str">
        <f>IF(SAISIE!$I534="","",SAISIE!$I534)</f>
        <v/>
      </c>
      <c r="I529" t="str">
        <f>IF(SAISIE!$J534="","",SAISIE!$J534)</f>
        <v/>
      </c>
      <c r="J529" t="str">
        <f>IF(SAISIE!$K534="","",SAISIE!$K534)</f>
        <v/>
      </c>
      <c r="K529" t="str">
        <f>IF(SAISIE!$L534="","",SAISIE!$L534)</f>
        <v/>
      </c>
      <c r="L529" t="str">
        <f>IF(SAISIE!$M534="","",SAISIE!$M534)</f>
        <v/>
      </c>
      <c r="M529" t="str">
        <f>IF(SAISIE!$N534="","",SAISIE!$N534)</f>
        <v/>
      </c>
      <c r="N529" t="str">
        <f>IF(SAISIE!$O534="","",SAISIE!$O534)</f>
        <v/>
      </c>
      <c r="O529" t="str">
        <f>IF(SAISIE!$P534="","",SAISIE!$P534)</f>
        <v/>
      </c>
      <c r="P529" t="str">
        <f>IF(SAISIE!$Q534="","",SAISIE!$Q534)</f>
        <v/>
      </c>
      <c r="Q529" t="str">
        <f>IF($I529="","",IF($I529&gt;PARAMETRES!$G$29,5,IF($I529&gt;PARAMETRES!$F$29,4,IF($I529&gt;PARAMETRES!$E$29,3,IF($I529&gt;PARAMETRES!$D$29,2,1)))))</f>
        <v/>
      </c>
      <c r="R529" t="str">
        <f>IF($J529="","",IF($J529&gt;PARAMETRES!$G$30,5,IF($J529&gt;PARAMETRES!$F$30,4,IF($J529&gt;PARAMETRES!$E$30,3,IF($J529&gt;PARAMETRES!$D$30,2,1)))))</f>
        <v/>
      </c>
      <c r="S529" t="str">
        <f>IF($K529="","",IF($Z529=2,IF($K529&gt;PARAMETRES!$G$31,5,IF($K529&gt;PARAMETRES!$F$31,4,IF($K529&gt;PARAMETRES!$E$31,3,IF($K529&gt;PARAMETRES!$D$31,2,1)))),IF($K529&gt;PARAMETRES!$G$32,5,IF($K529&gt;PARAMETRES!$F$32,4,IF($K529&gt;PARAMETRES!$E$32,3,IF($K529&gt;PARAMETRES!$D$32,2,1))))))</f>
        <v/>
      </c>
      <c r="T529" t="str">
        <f>IF($L529="","",IF($L529&gt;PARAMETRES!$G$33,5,IF($L529&gt;PARAMETRES!$F$33,4,IF($L529&gt;PARAMETRES!$E$33,3,IF($L529&gt;PARAMETRES!$D$33,2,1)))))</f>
        <v/>
      </c>
      <c r="U529" t="str">
        <f>IF($M529="","",IF($M529&gt;PARAMETRES!$G$34,5,IF($M529&gt;PARAMETRES!$F$34,4,IF($M529&gt;PARAMETRES!$E$34,3,IF($M529&gt;PARAMETRES!$D$34,2,1)))))</f>
        <v/>
      </c>
      <c r="V529" t="str">
        <f>IF($N529="","",IF($N529&gt;PARAMETRES!$G$35,5,IF($N529&gt;PARAMETRES!$F$35,4,IF($N529&gt;PARAMETRES!$E$35,3,IF($N529&gt;PARAMETRES!$D$35,2,1)))))</f>
        <v/>
      </c>
      <c r="W529" t="str">
        <f>IF($O529="","",IF($O529&gt;PARAMETRES!$G$36,5,IF($O529&gt;PARAMETRES!$F$36,4,IF($O529&gt;PARAMETRES!$E$36,3,IF($O529&gt;PARAMETRES!$D$36,2,1)))))</f>
        <v/>
      </c>
      <c r="X529" t="str">
        <f>IF($P529="","",IF($P529&gt;PARAMETRES!$G$37,5,IF($P529&gt;PARAMETRES!$F$37,4,IF($P529&gt;PARAMETRES!$E$37,3,IF($P529&gt;PARAMETRES!$D$37,2,1)))))</f>
        <v/>
      </c>
      <c r="Y529" t="str">
        <f t="shared" si="192"/>
        <v/>
      </c>
      <c r="Z529" t="str">
        <f>IFERROR(VLOOKUP($B529,TABLE_CYCLE,2,0),"")</f>
        <v/>
      </c>
      <c r="AA529" t="str">
        <f t="shared" si="193"/>
        <v/>
      </c>
      <c r="AB529" t="str">
        <f>IF($D529="","",IF(COUNTIF($D$2:$D529,$D529)=1,$D529,""))</f>
        <v/>
      </c>
      <c r="AC529">
        <f t="shared" si="194"/>
        <v>0</v>
      </c>
      <c r="AD529" t="str">
        <f t="shared" si="195"/>
        <v>|0</v>
      </c>
      <c r="AE529" t="str">
        <f t="shared" si="196"/>
        <v/>
      </c>
      <c r="AF529" t="str">
        <f t="shared" si="197"/>
        <v/>
      </c>
      <c r="AG529" t="str">
        <f t="shared" si="198"/>
        <v/>
      </c>
      <c r="AH529" t="str">
        <f t="shared" si="199"/>
        <v/>
      </c>
      <c r="AI529" t="str">
        <f t="shared" si="200"/>
        <v/>
      </c>
      <c r="AJ529" t="str">
        <f t="shared" si="201"/>
        <v/>
      </c>
      <c r="AK529" t="str">
        <f t="shared" si="202"/>
        <v/>
      </c>
      <c r="AL529" t="str">
        <f t="shared" si="203"/>
        <v/>
      </c>
      <c r="AM529" t="str">
        <f t="shared" si="204"/>
        <v/>
      </c>
      <c r="AN529" t="str">
        <f t="shared" si="205"/>
        <v/>
      </c>
      <c r="AO529" t="str">
        <f t="shared" si="206"/>
        <v/>
      </c>
      <c r="AP529">
        <f t="shared" si="207"/>
        <v>1</v>
      </c>
      <c r="AQ529" t="str">
        <f>IF(SAISIE!$F534="","",SAISIE!$Y534)</f>
        <v/>
      </c>
      <c r="AR529" t="str">
        <f>IF(OR(SAISIE!$U$4="",SAISIE!$W$4=""),"",IF(AND($A529=SAISIE!$U$4,$B529=SAISIE!$W$4,$C529="S1"),COUNTIFS($A$2:$A529,SAISIE!$U$4,$B$2:$B529,SAISIE!$W$4,$C$2:$C529,"S1"),""))</f>
        <v/>
      </c>
      <c r="AS529" t="str">
        <f t="shared" si="208"/>
        <v/>
      </c>
      <c r="AT529" t="str">
        <f t="shared" si="209"/>
        <v/>
      </c>
      <c r="AU529" t="str">
        <f t="shared" si="210"/>
        <v/>
      </c>
      <c r="AV529">
        <f>N(AV528)+IF(AND($AB529&lt;&gt;"",OR('PROFIL ELEVE'!$K$4="(Tous)",$AF529='PROFIL ELEVE'!$K$4)),1,0)</f>
        <v>0</v>
      </c>
      <c r="AW529">
        <f>N(AW528)+IF(AND($AB529&lt;&gt;"",OR('SUIVI LONGITUDINAL'!$Q$4="(Tous)",$AF529='SUIVI LONGITUDINAL'!$Q$4)),1,0)</f>
        <v>0</v>
      </c>
      <c r="AX529">
        <f t="shared" si="211"/>
        <v>0</v>
      </c>
      <c r="AY529">
        <f t="shared" si="212"/>
        <v>0</v>
      </c>
      <c r="AZ529">
        <f t="shared" si="213"/>
        <v>0</v>
      </c>
      <c r="BA529" t="str">
        <f t="shared" si="214"/>
        <v/>
      </c>
      <c r="BB529" t="str">
        <f t="shared" si="215"/>
        <v/>
      </c>
    </row>
    <row r="530" spans="1:54" ht="14.25" customHeight="1" x14ac:dyDescent="0.3">
      <c r="A530" t="str">
        <f>IF(SAISIE!$F535="","",SAISIE!$B535)</f>
        <v/>
      </c>
      <c r="B530" t="str">
        <f>IF(SAISIE!$F535="","",SAISIE!$C535)</f>
        <v/>
      </c>
      <c r="C530" t="str">
        <f>IF(SAISIE!$F535="","",SAISIE!$D535)</f>
        <v/>
      </c>
      <c r="D530" t="str">
        <f>IF(SAISIE!$E535="","",SAISIE!$E535)</f>
        <v/>
      </c>
      <c r="E530" t="str">
        <f>IF(SAISIE!$F535="","",SAISIE!$F535)</f>
        <v/>
      </c>
      <c r="F530" t="str">
        <f>IF(SAISIE!$G535="","",SAISIE!$G535)</f>
        <v/>
      </c>
      <c r="G530" t="str">
        <f>IF(SAISIE!$H535="","",SAISIE!$H535)</f>
        <v/>
      </c>
      <c r="H530" t="str">
        <f>IF(SAISIE!$I535="","",SAISIE!$I535)</f>
        <v/>
      </c>
      <c r="I530" t="str">
        <f>IF(SAISIE!$J535="","",SAISIE!$J535)</f>
        <v/>
      </c>
      <c r="J530" t="str">
        <f>IF(SAISIE!$K535="","",SAISIE!$K535)</f>
        <v/>
      </c>
      <c r="K530" t="str">
        <f>IF(SAISIE!$L535="","",SAISIE!$L535)</f>
        <v/>
      </c>
      <c r="L530" t="str">
        <f>IF(SAISIE!$M535="","",SAISIE!$M535)</f>
        <v/>
      </c>
      <c r="M530" t="str">
        <f>IF(SAISIE!$N535="","",SAISIE!$N535)</f>
        <v/>
      </c>
      <c r="N530" t="str">
        <f>IF(SAISIE!$O535="","",SAISIE!$O535)</f>
        <v/>
      </c>
      <c r="O530" t="str">
        <f>IF(SAISIE!$P535="","",SAISIE!$P535)</f>
        <v/>
      </c>
      <c r="P530" t="str">
        <f>IF(SAISIE!$Q535="","",SAISIE!$Q535)</f>
        <v/>
      </c>
      <c r="Q530" t="str">
        <f>IF($I530="","",IF($I530&gt;PARAMETRES!$G$29,5,IF($I530&gt;PARAMETRES!$F$29,4,IF($I530&gt;PARAMETRES!$E$29,3,IF($I530&gt;PARAMETRES!$D$29,2,1)))))</f>
        <v/>
      </c>
      <c r="R530" t="str">
        <f>IF($J530="","",IF($J530&gt;PARAMETRES!$G$30,5,IF($J530&gt;PARAMETRES!$F$30,4,IF($J530&gt;PARAMETRES!$E$30,3,IF($J530&gt;PARAMETRES!$D$30,2,1)))))</f>
        <v/>
      </c>
      <c r="S530" t="str">
        <f>IF($K530="","",IF($Z530=2,IF($K530&gt;PARAMETRES!$G$31,5,IF($K530&gt;PARAMETRES!$F$31,4,IF($K530&gt;PARAMETRES!$E$31,3,IF($K530&gt;PARAMETRES!$D$31,2,1)))),IF($K530&gt;PARAMETRES!$G$32,5,IF($K530&gt;PARAMETRES!$F$32,4,IF($K530&gt;PARAMETRES!$E$32,3,IF($K530&gt;PARAMETRES!$D$32,2,1))))))</f>
        <v/>
      </c>
      <c r="T530" t="str">
        <f>IF($L530="","",IF($L530&gt;PARAMETRES!$G$33,5,IF($L530&gt;PARAMETRES!$F$33,4,IF($L530&gt;PARAMETRES!$E$33,3,IF($L530&gt;PARAMETRES!$D$33,2,1)))))</f>
        <v/>
      </c>
      <c r="U530" t="str">
        <f>IF($M530="","",IF($M530&gt;PARAMETRES!$G$34,5,IF($M530&gt;PARAMETRES!$F$34,4,IF($M530&gt;PARAMETRES!$E$34,3,IF($M530&gt;PARAMETRES!$D$34,2,1)))))</f>
        <v/>
      </c>
      <c r="V530" t="str">
        <f>IF($N530="","",IF($N530&gt;PARAMETRES!$G$35,5,IF($N530&gt;PARAMETRES!$F$35,4,IF($N530&gt;PARAMETRES!$E$35,3,IF($N530&gt;PARAMETRES!$D$35,2,1)))))</f>
        <v/>
      </c>
      <c r="W530" t="str">
        <f>IF($O530="","",IF($O530&gt;PARAMETRES!$G$36,5,IF($O530&gt;PARAMETRES!$F$36,4,IF($O530&gt;PARAMETRES!$E$36,3,IF($O530&gt;PARAMETRES!$D$36,2,1)))))</f>
        <v/>
      </c>
      <c r="X530" t="str">
        <f>IF($P530="","",IF($P530&gt;PARAMETRES!$G$37,5,IF($P530&gt;PARAMETRES!$F$37,4,IF($P530&gt;PARAMETRES!$E$37,3,IF($P530&gt;PARAMETRES!$D$37,2,1)))))</f>
        <v/>
      </c>
      <c r="Y530" t="str">
        <f t="shared" si="192"/>
        <v/>
      </c>
      <c r="Z530" t="str">
        <f>IFERROR(VLOOKUP($B530,TABLE_CYCLE,2,0),"")</f>
        <v/>
      </c>
      <c r="AA530" t="str">
        <f t="shared" si="193"/>
        <v/>
      </c>
      <c r="AB530" t="str">
        <f>IF($D530="","",IF(COUNTIF($D$2:$D530,$D530)=1,$D530,""))</f>
        <v/>
      </c>
      <c r="AC530">
        <f t="shared" si="194"/>
        <v>0</v>
      </c>
      <c r="AD530" t="str">
        <f t="shared" si="195"/>
        <v>|0</v>
      </c>
      <c r="AE530" t="str">
        <f t="shared" si="196"/>
        <v/>
      </c>
      <c r="AF530" t="str">
        <f t="shared" si="197"/>
        <v/>
      </c>
      <c r="AG530" t="str">
        <f t="shared" si="198"/>
        <v/>
      </c>
      <c r="AH530" t="str">
        <f t="shared" si="199"/>
        <v/>
      </c>
      <c r="AI530" t="str">
        <f t="shared" si="200"/>
        <v/>
      </c>
      <c r="AJ530" t="str">
        <f t="shared" si="201"/>
        <v/>
      </c>
      <c r="AK530" t="str">
        <f t="shared" si="202"/>
        <v/>
      </c>
      <c r="AL530" t="str">
        <f t="shared" si="203"/>
        <v/>
      </c>
      <c r="AM530" t="str">
        <f t="shared" si="204"/>
        <v/>
      </c>
      <c r="AN530" t="str">
        <f t="shared" si="205"/>
        <v/>
      </c>
      <c r="AO530" t="str">
        <f t="shared" si="206"/>
        <v/>
      </c>
      <c r="AP530">
        <f t="shared" si="207"/>
        <v>1</v>
      </c>
      <c r="AQ530" t="str">
        <f>IF(SAISIE!$F535="","",SAISIE!$Y535)</f>
        <v/>
      </c>
      <c r="AR530" t="str">
        <f>IF(OR(SAISIE!$U$4="",SAISIE!$W$4=""),"",IF(AND($A530=SAISIE!$U$4,$B530=SAISIE!$W$4,$C530="S1"),COUNTIFS($A$2:$A530,SAISIE!$U$4,$B$2:$B530,SAISIE!$W$4,$C$2:$C530,"S1"),""))</f>
        <v/>
      </c>
      <c r="AS530" t="str">
        <f t="shared" si="208"/>
        <v/>
      </c>
      <c r="AT530" t="str">
        <f t="shared" si="209"/>
        <v/>
      </c>
      <c r="AU530" t="str">
        <f t="shared" si="210"/>
        <v/>
      </c>
      <c r="AV530">
        <f>N(AV529)+IF(AND($AB530&lt;&gt;"",OR('PROFIL ELEVE'!$K$4="(Tous)",$AF530='PROFIL ELEVE'!$K$4)),1,0)</f>
        <v>0</v>
      </c>
      <c r="AW530">
        <f>N(AW529)+IF(AND($AB530&lt;&gt;"",OR('SUIVI LONGITUDINAL'!$Q$4="(Tous)",$AF530='SUIVI LONGITUDINAL'!$Q$4)),1,0)</f>
        <v>0</v>
      </c>
      <c r="AX530">
        <f t="shared" si="211"/>
        <v>0</v>
      </c>
      <c r="AY530">
        <f t="shared" si="212"/>
        <v>0</v>
      </c>
      <c r="AZ530">
        <f t="shared" si="213"/>
        <v>0</v>
      </c>
      <c r="BA530" t="str">
        <f t="shared" si="214"/>
        <v/>
      </c>
      <c r="BB530" t="str">
        <f t="shared" si="215"/>
        <v/>
      </c>
    </row>
    <row r="531" spans="1:54" ht="14.25" customHeight="1" x14ac:dyDescent="0.3">
      <c r="A531" t="str">
        <f>IF(SAISIE!$F536="","",SAISIE!$B536)</f>
        <v/>
      </c>
      <c r="B531" t="str">
        <f>IF(SAISIE!$F536="","",SAISIE!$C536)</f>
        <v/>
      </c>
      <c r="C531" t="str">
        <f>IF(SAISIE!$F536="","",SAISIE!$D536)</f>
        <v/>
      </c>
      <c r="D531" t="str">
        <f>IF(SAISIE!$E536="","",SAISIE!$E536)</f>
        <v/>
      </c>
      <c r="E531" t="str">
        <f>IF(SAISIE!$F536="","",SAISIE!$F536)</f>
        <v/>
      </c>
      <c r="F531" t="str">
        <f>IF(SAISIE!$G536="","",SAISIE!$G536)</f>
        <v/>
      </c>
      <c r="G531" t="str">
        <f>IF(SAISIE!$H536="","",SAISIE!$H536)</f>
        <v/>
      </c>
      <c r="H531" t="str">
        <f>IF(SAISIE!$I536="","",SAISIE!$I536)</f>
        <v/>
      </c>
      <c r="I531" t="str">
        <f>IF(SAISIE!$J536="","",SAISIE!$J536)</f>
        <v/>
      </c>
      <c r="J531" t="str">
        <f>IF(SAISIE!$K536="","",SAISIE!$K536)</f>
        <v/>
      </c>
      <c r="K531" t="str">
        <f>IF(SAISIE!$L536="","",SAISIE!$L536)</f>
        <v/>
      </c>
      <c r="L531" t="str">
        <f>IF(SAISIE!$M536="","",SAISIE!$M536)</f>
        <v/>
      </c>
      <c r="M531" t="str">
        <f>IF(SAISIE!$N536="","",SAISIE!$N536)</f>
        <v/>
      </c>
      <c r="N531" t="str">
        <f>IF(SAISIE!$O536="","",SAISIE!$O536)</f>
        <v/>
      </c>
      <c r="O531" t="str">
        <f>IF(SAISIE!$P536="","",SAISIE!$P536)</f>
        <v/>
      </c>
      <c r="P531" t="str">
        <f>IF(SAISIE!$Q536="","",SAISIE!$Q536)</f>
        <v/>
      </c>
      <c r="Q531" t="str">
        <f>IF($I531="","",IF($I531&gt;PARAMETRES!$G$29,5,IF($I531&gt;PARAMETRES!$F$29,4,IF($I531&gt;PARAMETRES!$E$29,3,IF($I531&gt;PARAMETRES!$D$29,2,1)))))</f>
        <v/>
      </c>
      <c r="R531" t="str">
        <f>IF($J531="","",IF($J531&gt;PARAMETRES!$G$30,5,IF($J531&gt;PARAMETRES!$F$30,4,IF($J531&gt;PARAMETRES!$E$30,3,IF($J531&gt;PARAMETRES!$D$30,2,1)))))</f>
        <v/>
      </c>
      <c r="S531" t="str">
        <f>IF($K531="","",IF($Z531=2,IF($K531&gt;PARAMETRES!$G$31,5,IF($K531&gt;PARAMETRES!$F$31,4,IF($K531&gt;PARAMETRES!$E$31,3,IF($K531&gt;PARAMETRES!$D$31,2,1)))),IF($K531&gt;PARAMETRES!$G$32,5,IF($K531&gt;PARAMETRES!$F$32,4,IF($K531&gt;PARAMETRES!$E$32,3,IF($K531&gt;PARAMETRES!$D$32,2,1))))))</f>
        <v/>
      </c>
      <c r="T531" t="str">
        <f>IF($L531="","",IF($L531&gt;PARAMETRES!$G$33,5,IF($L531&gt;PARAMETRES!$F$33,4,IF($L531&gt;PARAMETRES!$E$33,3,IF($L531&gt;PARAMETRES!$D$33,2,1)))))</f>
        <v/>
      </c>
      <c r="U531" t="str">
        <f>IF($M531="","",IF($M531&gt;PARAMETRES!$G$34,5,IF($M531&gt;PARAMETRES!$F$34,4,IF($M531&gt;PARAMETRES!$E$34,3,IF($M531&gt;PARAMETRES!$D$34,2,1)))))</f>
        <v/>
      </c>
      <c r="V531" t="str">
        <f>IF($N531="","",IF($N531&gt;PARAMETRES!$G$35,5,IF($N531&gt;PARAMETRES!$F$35,4,IF($N531&gt;PARAMETRES!$E$35,3,IF($N531&gt;PARAMETRES!$D$35,2,1)))))</f>
        <v/>
      </c>
      <c r="W531" t="str">
        <f>IF($O531="","",IF($O531&gt;PARAMETRES!$G$36,5,IF($O531&gt;PARAMETRES!$F$36,4,IF($O531&gt;PARAMETRES!$E$36,3,IF($O531&gt;PARAMETRES!$D$36,2,1)))))</f>
        <v/>
      </c>
      <c r="X531" t="str">
        <f>IF($P531="","",IF($P531&gt;PARAMETRES!$G$37,5,IF($P531&gt;PARAMETRES!$F$37,4,IF($P531&gt;PARAMETRES!$E$37,3,IF($P531&gt;PARAMETRES!$D$37,2,1)))))</f>
        <v/>
      </c>
      <c r="Y531" t="str">
        <f t="shared" si="192"/>
        <v/>
      </c>
      <c r="Z531" t="str">
        <f>IFERROR(VLOOKUP($B531,TABLE_CYCLE,2,0),"")</f>
        <v/>
      </c>
      <c r="AA531" t="str">
        <f t="shared" si="193"/>
        <v/>
      </c>
      <c r="AB531" t="str">
        <f>IF($D531="","",IF(COUNTIF($D$2:$D531,$D531)=1,$D531,""))</f>
        <v/>
      </c>
      <c r="AC531">
        <f t="shared" si="194"/>
        <v>0</v>
      </c>
      <c r="AD531" t="str">
        <f t="shared" si="195"/>
        <v>|0</v>
      </c>
      <c r="AE531" t="str">
        <f t="shared" si="196"/>
        <v/>
      </c>
      <c r="AF531" t="str">
        <f t="shared" si="197"/>
        <v/>
      </c>
      <c r="AG531" t="str">
        <f t="shared" si="198"/>
        <v/>
      </c>
      <c r="AH531" t="str">
        <f t="shared" si="199"/>
        <v/>
      </c>
      <c r="AI531" t="str">
        <f t="shared" si="200"/>
        <v/>
      </c>
      <c r="AJ531" t="str">
        <f t="shared" si="201"/>
        <v/>
      </c>
      <c r="AK531" t="str">
        <f t="shared" si="202"/>
        <v/>
      </c>
      <c r="AL531" t="str">
        <f t="shared" si="203"/>
        <v/>
      </c>
      <c r="AM531" t="str">
        <f t="shared" si="204"/>
        <v/>
      </c>
      <c r="AN531" t="str">
        <f t="shared" si="205"/>
        <v/>
      </c>
      <c r="AO531" t="str">
        <f t="shared" si="206"/>
        <v/>
      </c>
      <c r="AP531">
        <f t="shared" si="207"/>
        <v>1</v>
      </c>
      <c r="AQ531" t="str">
        <f>IF(SAISIE!$F536="","",SAISIE!$Y536)</f>
        <v/>
      </c>
      <c r="AR531" t="str">
        <f>IF(OR(SAISIE!$U$4="",SAISIE!$W$4=""),"",IF(AND($A531=SAISIE!$U$4,$B531=SAISIE!$W$4,$C531="S1"),COUNTIFS($A$2:$A531,SAISIE!$U$4,$B$2:$B531,SAISIE!$W$4,$C$2:$C531,"S1"),""))</f>
        <v/>
      </c>
      <c r="AS531" t="str">
        <f t="shared" si="208"/>
        <v/>
      </c>
      <c r="AT531" t="str">
        <f t="shared" si="209"/>
        <v/>
      </c>
      <c r="AU531" t="str">
        <f t="shared" si="210"/>
        <v/>
      </c>
      <c r="AV531">
        <f>N(AV530)+IF(AND($AB531&lt;&gt;"",OR('PROFIL ELEVE'!$K$4="(Tous)",$AF531='PROFIL ELEVE'!$K$4)),1,0)</f>
        <v>0</v>
      </c>
      <c r="AW531">
        <f>N(AW530)+IF(AND($AB531&lt;&gt;"",OR('SUIVI LONGITUDINAL'!$Q$4="(Tous)",$AF531='SUIVI LONGITUDINAL'!$Q$4)),1,0)</f>
        <v>0</v>
      </c>
      <c r="AX531">
        <f t="shared" si="211"/>
        <v>0</v>
      </c>
      <c r="AY531">
        <f t="shared" si="212"/>
        <v>0</v>
      </c>
      <c r="AZ531">
        <f t="shared" si="213"/>
        <v>0</v>
      </c>
      <c r="BA531" t="str">
        <f t="shared" si="214"/>
        <v/>
      </c>
      <c r="BB531" t="str">
        <f t="shared" si="215"/>
        <v/>
      </c>
    </row>
    <row r="532" spans="1:54" ht="14.25" customHeight="1" x14ac:dyDescent="0.3">
      <c r="A532" t="str">
        <f>IF(SAISIE!$F537="","",SAISIE!$B537)</f>
        <v/>
      </c>
      <c r="B532" t="str">
        <f>IF(SAISIE!$F537="","",SAISIE!$C537)</f>
        <v/>
      </c>
      <c r="C532" t="str">
        <f>IF(SAISIE!$F537="","",SAISIE!$D537)</f>
        <v/>
      </c>
      <c r="D532" t="str">
        <f>IF(SAISIE!$E537="","",SAISIE!$E537)</f>
        <v/>
      </c>
      <c r="E532" t="str">
        <f>IF(SAISIE!$F537="","",SAISIE!$F537)</f>
        <v/>
      </c>
      <c r="F532" t="str">
        <f>IF(SAISIE!$G537="","",SAISIE!$G537)</f>
        <v/>
      </c>
      <c r="G532" t="str">
        <f>IF(SAISIE!$H537="","",SAISIE!$H537)</f>
        <v/>
      </c>
      <c r="H532" t="str">
        <f>IF(SAISIE!$I537="","",SAISIE!$I537)</f>
        <v/>
      </c>
      <c r="I532" t="str">
        <f>IF(SAISIE!$J537="","",SAISIE!$J537)</f>
        <v/>
      </c>
      <c r="J532" t="str">
        <f>IF(SAISIE!$K537="","",SAISIE!$K537)</f>
        <v/>
      </c>
      <c r="K532" t="str">
        <f>IF(SAISIE!$L537="","",SAISIE!$L537)</f>
        <v/>
      </c>
      <c r="L532" t="str">
        <f>IF(SAISIE!$M537="","",SAISIE!$M537)</f>
        <v/>
      </c>
      <c r="M532" t="str">
        <f>IF(SAISIE!$N537="","",SAISIE!$N537)</f>
        <v/>
      </c>
      <c r="N532" t="str">
        <f>IF(SAISIE!$O537="","",SAISIE!$O537)</f>
        <v/>
      </c>
      <c r="O532" t="str">
        <f>IF(SAISIE!$P537="","",SAISIE!$P537)</f>
        <v/>
      </c>
      <c r="P532" t="str">
        <f>IF(SAISIE!$Q537="","",SAISIE!$Q537)</f>
        <v/>
      </c>
      <c r="Q532" t="str">
        <f>IF($I532="","",IF($I532&gt;PARAMETRES!$G$29,5,IF($I532&gt;PARAMETRES!$F$29,4,IF($I532&gt;PARAMETRES!$E$29,3,IF($I532&gt;PARAMETRES!$D$29,2,1)))))</f>
        <v/>
      </c>
      <c r="R532" t="str">
        <f>IF($J532="","",IF($J532&gt;PARAMETRES!$G$30,5,IF($J532&gt;PARAMETRES!$F$30,4,IF($J532&gt;PARAMETRES!$E$30,3,IF($J532&gt;PARAMETRES!$D$30,2,1)))))</f>
        <v/>
      </c>
      <c r="S532" t="str">
        <f>IF($K532="","",IF($Z532=2,IF($K532&gt;PARAMETRES!$G$31,5,IF($K532&gt;PARAMETRES!$F$31,4,IF($K532&gt;PARAMETRES!$E$31,3,IF($K532&gt;PARAMETRES!$D$31,2,1)))),IF($K532&gt;PARAMETRES!$G$32,5,IF($K532&gt;PARAMETRES!$F$32,4,IF($K532&gt;PARAMETRES!$E$32,3,IF($K532&gt;PARAMETRES!$D$32,2,1))))))</f>
        <v/>
      </c>
      <c r="T532" t="str">
        <f>IF($L532="","",IF($L532&gt;PARAMETRES!$G$33,5,IF($L532&gt;PARAMETRES!$F$33,4,IF($L532&gt;PARAMETRES!$E$33,3,IF($L532&gt;PARAMETRES!$D$33,2,1)))))</f>
        <v/>
      </c>
      <c r="U532" t="str">
        <f>IF($M532="","",IF($M532&gt;PARAMETRES!$G$34,5,IF($M532&gt;PARAMETRES!$F$34,4,IF($M532&gt;PARAMETRES!$E$34,3,IF($M532&gt;PARAMETRES!$D$34,2,1)))))</f>
        <v/>
      </c>
      <c r="V532" t="str">
        <f>IF($N532="","",IF($N532&gt;PARAMETRES!$G$35,5,IF($N532&gt;PARAMETRES!$F$35,4,IF($N532&gt;PARAMETRES!$E$35,3,IF($N532&gt;PARAMETRES!$D$35,2,1)))))</f>
        <v/>
      </c>
      <c r="W532" t="str">
        <f>IF($O532="","",IF($O532&gt;PARAMETRES!$G$36,5,IF($O532&gt;PARAMETRES!$F$36,4,IF($O532&gt;PARAMETRES!$E$36,3,IF($O532&gt;PARAMETRES!$D$36,2,1)))))</f>
        <v/>
      </c>
      <c r="X532" t="str">
        <f>IF($P532="","",IF($P532&gt;PARAMETRES!$G$37,5,IF($P532&gt;PARAMETRES!$F$37,4,IF($P532&gt;PARAMETRES!$E$37,3,IF($P532&gt;PARAMETRES!$D$37,2,1)))))</f>
        <v/>
      </c>
      <c r="Y532" t="str">
        <f t="shared" si="192"/>
        <v/>
      </c>
      <c r="Z532" t="str">
        <f>IFERROR(VLOOKUP($B532,TABLE_CYCLE,2,0),"")</f>
        <v/>
      </c>
      <c r="AA532" t="str">
        <f t="shared" si="193"/>
        <v/>
      </c>
      <c r="AB532" t="str">
        <f>IF($D532="","",IF(COUNTIF($D$2:$D532,$D532)=1,$D532,""))</f>
        <v/>
      </c>
      <c r="AC532">
        <f t="shared" si="194"/>
        <v>0</v>
      </c>
      <c r="AD532" t="str">
        <f t="shared" si="195"/>
        <v>|0</v>
      </c>
      <c r="AE532" t="str">
        <f t="shared" si="196"/>
        <v/>
      </c>
      <c r="AF532" t="str">
        <f t="shared" si="197"/>
        <v/>
      </c>
      <c r="AG532" t="str">
        <f t="shared" si="198"/>
        <v/>
      </c>
      <c r="AH532" t="str">
        <f t="shared" si="199"/>
        <v/>
      </c>
      <c r="AI532" t="str">
        <f t="shared" si="200"/>
        <v/>
      </c>
      <c r="AJ532" t="str">
        <f t="shared" si="201"/>
        <v/>
      </c>
      <c r="AK532" t="str">
        <f t="shared" si="202"/>
        <v/>
      </c>
      <c r="AL532" t="str">
        <f t="shared" si="203"/>
        <v/>
      </c>
      <c r="AM532" t="str">
        <f t="shared" si="204"/>
        <v/>
      </c>
      <c r="AN532" t="str">
        <f t="shared" si="205"/>
        <v/>
      </c>
      <c r="AO532" t="str">
        <f t="shared" si="206"/>
        <v/>
      </c>
      <c r="AP532">
        <f t="shared" si="207"/>
        <v>1</v>
      </c>
      <c r="AQ532" t="str">
        <f>IF(SAISIE!$F537="","",SAISIE!$Y537)</f>
        <v/>
      </c>
      <c r="AR532" t="str">
        <f>IF(OR(SAISIE!$U$4="",SAISIE!$W$4=""),"",IF(AND($A532=SAISIE!$U$4,$B532=SAISIE!$W$4,$C532="S1"),COUNTIFS($A$2:$A532,SAISIE!$U$4,$B$2:$B532,SAISIE!$W$4,$C$2:$C532,"S1"),""))</f>
        <v/>
      </c>
      <c r="AS532" t="str">
        <f t="shared" si="208"/>
        <v/>
      </c>
      <c r="AT532" t="str">
        <f t="shared" si="209"/>
        <v/>
      </c>
      <c r="AU532" t="str">
        <f t="shared" si="210"/>
        <v/>
      </c>
      <c r="AV532">
        <f>N(AV531)+IF(AND($AB532&lt;&gt;"",OR('PROFIL ELEVE'!$K$4="(Tous)",$AF532='PROFIL ELEVE'!$K$4)),1,0)</f>
        <v>0</v>
      </c>
      <c r="AW532">
        <f>N(AW531)+IF(AND($AB532&lt;&gt;"",OR('SUIVI LONGITUDINAL'!$Q$4="(Tous)",$AF532='SUIVI LONGITUDINAL'!$Q$4)),1,0)</f>
        <v>0</v>
      </c>
      <c r="AX532">
        <f t="shared" si="211"/>
        <v>0</v>
      </c>
      <c r="AY532">
        <f t="shared" si="212"/>
        <v>0</v>
      </c>
      <c r="AZ532">
        <f t="shared" si="213"/>
        <v>0</v>
      </c>
      <c r="BA532" t="str">
        <f t="shared" si="214"/>
        <v/>
      </c>
      <c r="BB532" t="str">
        <f t="shared" si="215"/>
        <v/>
      </c>
    </row>
    <row r="533" spans="1:54" ht="14.25" customHeight="1" x14ac:dyDescent="0.3">
      <c r="A533" t="str">
        <f>IF(SAISIE!$F538="","",SAISIE!$B538)</f>
        <v/>
      </c>
      <c r="B533" t="str">
        <f>IF(SAISIE!$F538="","",SAISIE!$C538)</f>
        <v/>
      </c>
      <c r="C533" t="str">
        <f>IF(SAISIE!$F538="","",SAISIE!$D538)</f>
        <v/>
      </c>
      <c r="D533" t="str">
        <f>IF(SAISIE!$E538="","",SAISIE!$E538)</f>
        <v/>
      </c>
      <c r="E533" t="str">
        <f>IF(SAISIE!$F538="","",SAISIE!$F538)</f>
        <v/>
      </c>
      <c r="F533" t="str">
        <f>IF(SAISIE!$G538="","",SAISIE!$G538)</f>
        <v/>
      </c>
      <c r="G533" t="str">
        <f>IF(SAISIE!$H538="","",SAISIE!$H538)</f>
        <v/>
      </c>
      <c r="H533" t="str">
        <f>IF(SAISIE!$I538="","",SAISIE!$I538)</f>
        <v/>
      </c>
      <c r="I533" t="str">
        <f>IF(SAISIE!$J538="","",SAISIE!$J538)</f>
        <v/>
      </c>
      <c r="J533" t="str">
        <f>IF(SAISIE!$K538="","",SAISIE!$K538)</f>
        <v/>
      </c>
      <c r="K533" t="str">
        <f>IF(SAISIE!$L538="","",SAISIE!$L538)</f>
        <v/>
      </c>
      <c r="L533" t="str">
        <f>IF(SAISIE!$M538="","",SAISIE!$M538)</f>
        <v/>
      </c>
      <c r="M533" t="str">
        <f>IF(SAISIE!$N538="","",SAISIE!$N538)</f>
        <v/>
      </c>
      <c r="N533" t="str">
        <f>IF(SAISIE!$O538="","",SAISIE!$O538)</f>
        <v/>
      </c>
      <c r="O533" t="str">
        <f>IF(SAISIE!$P538="","",SAISIE!$P538)</f>
        <v/>
      </c>
      <c r="P533" t="str">
        <f>IF(SAISIE!$Q538="","",SAISIE!$Q538)</f>
        <v/>
      </c>
      <c r="Q533" t="str">
        <f>IF($I533="","",IF($I533&gt;PARAMETRES!$G$29,5,IF($I533&gt;PARAMETRES!$F$29,4,IF($I533&gt;PARAMETRES!$E$29,3,IF($I533&gt;PARAMETRES!$D$29,2,1)))))</f>
        <v/>
      </c>
      <c r="R533" t="str">
        <f>IF($J533="","",IF($J533&gt;PARAMETRES!$G$30,5,IF($J533&gt;PARAMETRES!$F$30,4,IF($J533&gt;PARAMETRES!$E$30,3,IF($J533&gt;PARAMETRES!$D$30,2,1)))))</f>
        <v/>
      </c>
      <c r="S533" t="str">
        <f>IF($K533="","",IF($Z533=2,IF($K533&gt;PARAMETRES!$G$31,5,IF($K533&gt;PARAMETRES!$F$31,4,IF($K533&gt;PARAMETRES!$E$31,3,IF($K533&gt;PARAMETRES!$D$31,2,1)))),IF($K533&gt;PARAMETRES!$G$32,5,IF($K533&gt;PARAMETRES!$F$32,4,IF($K533&gt;PARAMETRES!$E$32,3,IF($K533&gt;PARAMETRES!$D$32,2,1))))))</f>
        <v/>
      </c>
      <c r="T533" t="str">
        <f>IF($L533="","",IF($L533&gt;PARAMETRES!$G$33,5,IF($L533&gt;PARAMETRES!$F$33,4,IF($L533&gt;PARAMETRES!$E$33,3,IF($L533&gt;PARAMETRES!$D$33,2,1)))))</f>
        <v/>
      </c>
      <c r="U533" t="str">
        <f>IF($M533="","",IF($M533&gt;PARAMETRES!$G$34,5,IF($M533&gt;PARAMETRES!$F$34,4,IF($M533&gt;PARAMETRES!$E$34,3,IF($M533&gt;PARAMETRES!$D$34,2,1)))))</f>
        <v/>
      </c>
      <c r="V533" t="str">
        <f>IF($N533="","",IF($N533&gt;PARAMETRES!$G$35,5,IF($N533&gt;PARAMETRES!$F$35,4,IF($N533&gt;PARAMETRES!$E$35,3,IF($N533&gt;PARAMETRES!$D$35,2,1)))))</f>
        <v/>
      </c>
      <c r="W533" t="str">
        <f>IF($O533="","",IF($O533&gt;PARAMETRES!$G$36,5,IF($O533&gt;PARAMETRES!$F$36,4,IF($O533&gt;PARAMETRES!$E$36,3,IF($O533&gt;PARAMETRES!$D$36,2,1)))))</f>
        <v/>
      </c>
      <c r="X533" t="str">
        <f>IF($P533="","",IF($P533&gt;PARAMETRES!$G$37,5,IF($P533&gt;PARAMETRES!$F$37,4,IF($P533&gt;PARAMETRES!$E$37,3,IF($P533&gt;PARAMETRES!$D$37,2,1)))))</f>
        <v/>
      </c>
      <c r="Y533" t="str">
        <f t="shared" si="192"/>
        <v/>
      </c>
      <c r="Z533" t="str">
        <f>IFERROR(VLOOKUP($B533,TABLE_CYCLE,2,0),"")</f>
        <v/>
      </c>
      <c r="AA533" t="str">
        <f t="shared" si="193"/>
        <v/>
      </c>
      <c r="AB533" t="str">
        <f>IF($D533="","",IF(COUNTIF($D$2:$D533,$D533)=1,$D533,""))</f>
        <v/>
      </c>
      <c r="AC533">
        <f t="shared" si="194"/>
        <v>0</v>
      </c>
      <c r="AD533" t="str">
        <f t="shared" si="195"/>
        <v>|0</v>
      </c>
      <c r="AE533" t="str">
        <f t="shared" si="196"/>
        <v/>
      </c>
      <c r="AF533" t="str">
        <f t="shared" si="197"/>
        <v/>
      </c>
      <c r="AG533" t="str">
        <f t="shared" si="198"/>
        <v/>
      </c>
      <c r="AH533" t="str">
        <f t="shared" si="199"/>
        <v/>
      </c>
      <c r="AI533" t="str">
        <f t="shared" si="200"/>
        <v/>
      </c>
      <c r="AJ533" t="str">
        <f t="shared" si="201"/>
        <v/>
      </c>
      <c r="AK533" t="str">
        <f t="shared" si="202"/>
        <v/>
      </c>
      <c r="AL533" t="str">
        <f t="shared" si="203"/>
        <v/>
      </c>
      <c r="AM533" t="str">
        <f t="shared" si="204"/>
        <v/>
      </c>
      <c r="AN533" t="str">
        <f t="shared" si="205"/>
        <v/>
      </c>
      <c r="AO533" t="str">
        <f t="shared" si="206"/>
        <v/>
      </c>
      <c r="AP533">
        <f t="shared" si="207"/>
        <v>1</v>
      </c>
      <c r="AQ533" t="str">
        <f>IF(SAISIE!$F538="","",SAISIE!$Y538)</f>
        <v/>
      </c>
      <c r="AR533" t="str">
        <f>IF(OR(SAISIE!$U$4="",SAISIE!$W$4=""),"",IF(AND($A533=SAISIE!$U$4,$B533=SAISIE!$W$4,$C533="S1"),COUNTIFS($A$2:$A533,SAISIE!$U$4,$B$2:$B533,SAISIE!$W$4,$C$2:$C533,"S1"),""))</f>
        <v/>
      </c>
      <c r="AS533" t="str">
        <f t="shared" si="208"/>
        <v/>
      </c>
      <c r="AT533" t="str">
        <f t="shared" si="209"/>
        <v/>
      </c>
      <c r="AU533" t="str">
        <f t="shared" si="210"/>
        <v/>
      </c>
      <c r="AV533">
        <f>N(AV532)+IF(AND($AB533&lt;&gt;"",OR('PROFIL ELEVE'!$K$4="(Tous)",$AF533='PROFIL ELEVE'!$K$4)),1,0)</f>
        <v>0</v>
      </c>
      <c r="AW533">
        <f>N(AW532)+IF(AND($AB533&lt;&gt;"",OR('SUIVI LONGITUDINAL'!$Q$4="(Tous)",$AF533='SUIVI LONGITUDINAL'!$Q$4)),1,0)</f>
        <v>0</v>
      </c>
      <c r="AX533">
        <f t="shared" si="211"/>
        <v>0</v>
      </c>
      <c r="AY533">
        <f t="shared" si="212"/>
        <v>0</v>
      </c>
      <c r="AZ533">
        <f t="shared" si="213"/>
        <v>0</v>
      </c>
      <c r="BA533" t="str">
        <f t="shared" si="214"/>
        <v/>
      </c>
      <c r="BB533" t="str">
        <f t="shared" si="215"/>
        <v/>
      </c>
    </row>
    <row r="534" spans="1:54" ht="14.25" customHeight="1" x14ac:dyDescent="0.3">
      <c r="A534" t="str">
        <f>IF(SAISIE!$F539="","",SAISIE!$B539)</f>
        <v/>
      </c>
      <c r="B534" t="str">
        <f>IF(SAISIE!$F539="","",SAISIE!$C539)</f>
        <v/>
      </c>
      <c r="C534" t="str">
        <f>IF(SAISIE!$F539="","",SAISIE!$D539)</f>
        <v/>
      </c>
      <c r="D534" t="str">
        <f>IF(SAISIE!$E539="","",SAISIE!$E539)</f>
        <v/>
      </c>
      <c r="E534" t="str">
        <f>IF(SAISIE!$F539="","",SAISIE!$F539)</f>
        <v/>
      </c>
      <c r="F534" t="str">
        <f>IF(SAISIE!$G539="","",SAISIE!$G539)</f>
        <v/>
      </c>
      <c r="G534" t="str">
        <f>IF(SAISIE!$H539="","",SAISIE!$H539)</f>
        <v/>
      </c>
      <c r="H534" t="str">
        <f>IF(SAISIE!$I539="","",SAISIE!$I539)</f>
        <v/>
      </c>
      <c r="I534" t="str">
        <f>IF(SAISIE!$J539="","",SAISIE!$J539)</f>
        <v/>
      </c>
      <c r="J534" t="str">
        <f>IF(SAISIE!$K539="","",SAISIE!$K539)</f>
        <v/>
      </c>
      <c r="K534" t="str">
        <f>IF(SAISIE!$L539="","",SAISIE!$L539)</f>
        <v/>
      </c>
      <c r="L534" t="str">
        <f>IF(SAISIE!$M539="","",SAISIE!$M539)</f>
        <v/>
      </c>
      <c r="M534" t="str">
        <f>IF(SAISIE!$N539="","",SAISIE!$N539)</f>
        <v/>
      </c>
      <c r="N534" t="str">
        <f>IF(SAISIE!$O539="","",SAISIE!$O539)</f>
        <v/>
      </c>
      <c r="O534" t="str">
        <f>IF(SAISIE!$P539="","",SAISIE!$P539)</f>
        <v/>
      </c>
      <c r="P534" t="str">
        <f>IF(SAISIE!$Q539="","",SAISIE!$Q539)</f>
        <v/>
      </c>
      <c r="Q534" t="str">
        <f>IF($I534="","",IF($I534&gt;PARAMETRES!$G$29,5,IF($I534&gt;PARAMETRES!$F$29,4,IF($I534&gt;PARAMETRES!$E$29,3,IF($I534&gt;PARAMETRES!$D$29,2,1)))))</f>
        <v/>
      </c>
      <c r="R534" t="str">
        <f>IF($J534="","",IF($J534&gt;PARAMETRES!$G$30,5,IF($J534&gt;PARAMETRES!$F$30,4,IF($J534&gt;PARAMETRES!$E$30,3,IF($J534&gt;PARAMETRES!$D$30,2,1)))))</f>
        <v/>
      </c>
      <c r="S534" t="str">
        <f>IF($K534="","",IF($Z534=2,IF($K534&gt;PARAMETRES!$G$31,5,IF($K534&gt;PARAMETRES!$F$31,4,IF($K534&gt;PARAMETRES!$E$31,3,IF($K534&gt;PARAMETRES!$D$31,2,1)))),IF($K534&gt;PARAMETRES!$G$32,5,IF($K534&gt;PARAMETRES!$F$32,4,IF($K534&gt;PARAMETRES!$E$32,3,IF($K534&gt;PARAMETRES!$D$32,2,1))))))</f>
        <v/>
      </c>
      <c r="T534" t="str">
        <f>IF($L534="","",IF($L534&gt;PARAMETRES!$G$33,5,IF($L534&gt;PARAMETRES!$F$33,4,IF($L534&gt;PARAMETRES!$E$33,3,IF($L534&gt;PARAMETRES!$D$33,2,1)))))</f>
        <v/>
      </c>
      <c r="U534" t="str">
        <f>IF($M534="","",IF($M534&gt;PARAMETRES!$G$34,5,IF($M534&gt;PARAMETRES!$F$34,4,IF($M534&gt;PARAMETRES!$E$34,3,IF($M534&gt;PARAMETRES!$D$34,2,1)))))</f>
        <v/>
      </c>
      <c r="V534" t="str">
        <f>IF($N534="","",IF($N534&gt;PARAMETRES!$G$35,5,IF($N534&gt;PARAMETRES!$F$35,4,IF($N534&gt;PARAMETRES!$E$35,3,IF($N534&gt;PARAMETRES!$D$35,2,1)))))</f>
        <v/>
      </c>
      <c r="W534" t="str">
        <f>IF($O534="","",IF($O534&gt;PARAMETRES!$G$36,5,IF($O534&gt;PARAMETRES!$F$36,4,IF($O534&gt;PARAMETRES!$E$36,3,IF($O534&gt;PARAMETRES!$D$36,2,1)))))</f>
        <v/>
      </c>
      <c r="X534" t="str">
        <f>IF($P534="","",IF($P534&gt;PARAMETRES!$G$37,5,IF($P534&gt;PARAMETRES!$F$37,4,IF($P534&gt;PARAMETRES!$E$37,3,IF($P534&gt;PARAMETRES!$D$37,2,1)))))</f>
        <v/>
      </c>
      <c r="Y534" t="str">
        <f t="shared" si="192"/>
        <v/>
      </c>
      <c r="Z534" t="str">
        <f>IFERROR(VLOOKUP($B534,TABLE_CYCLE,2,0),"")</f>
        <v/>
      </c>
      <c r="AA534" t="str">
        <f t="shared" si="193"/>
        <v/>
      </c>
      <c r="AB534" t="str">
        <f>IF($D534="","",IF(COUNTIF($D$2:$D534,$D534)=1,$D534,""))</f>
        <v/>
      </c>
      <c r="AC534">
        <f t="shared" si="194"/>
        <v>0</v>
      </c>
      <c r="AD534" t="str">
        <f t="shared" si="195"/>
        <v>|0</v>
      </c>
      <c r="AE534" t="str">
        <f t="shared" si="196"/>
        <v/>
      </c>
      <c r="AF534" t="str">
        <f t="shared" si="197"/>
        <v/>
      </c>
      <c r="AG534" t="str">
        <f t="shared" si="198"/>
        <v/>
      </c>
      <c r="AH534" t="str">
        <f t="shared" si="199"/>
        <v/>
      </c>
      <c r="AI534" t="str">
        <f t="shared" si="200"/>
        <v/>
      </c>
      <c r="AJ534" t="str">
        <f t="shared" si="201"/>
        <v/>
      </c>
      <c r="AK534" t="str">
        <f t="shared" si="202"/>
        <v/>
      </c>
      <c r="AL534" t="str">
        <f t="shared" si="203"/>
        <v/>
      </c>
      <c r="AM534" t="str">
        <f t="shared" si="204"/>
        <v/>
      </c>
      <c r="AN534" t="str">
        <f t="shared" si="205"/>
        <v/>
      </c>
      <c r="AO534" t="str">
        <f t="shared" si="206"/>
        <v/>
      </c>
      <c r="AP534">
        <f t="shared" si="207"/>
        <v>1</v>
      </c>
      <c r="AQ534" t="str">
        <f>IF(SAISIE!$F539="","",SAISIE!$Y539)</f>
        <v/>
      </c>
      <c r="AR534" t="str">
        <f>IF(OR(SAISIE!$U$4="",SAISIE!$W$4=""),"",IF(AND($A534=SAISIE!$U$4,$B534=SAISIE!$W$4,$C534="S1"),COUNTIFS($A$2:$A534,SAISIE!$U$4,$B$2:$B534,SAISIE!$W$4,$C$2:$C534,"S1"),""))</f>
        <v/>
      </c>
      <c r="AS534" t="str">
        <f t="shared" si="208"/>
        <v/>
      </c>
      <c r="AT534" t="str">
        <f t="shared" si="209"/>
        <v/>
      </c>
      <c r="AU534" t="str">
        <f t="shared" si="210"/>
        <v/>
      </c>
      <c r="AV534">
        <f>N(AV533)+IF(AND($AB534&lt;&gt;"",OR('PROFIL ELEVE'!$K$4="(Tous)",$AF534='PROFIL ELEVE'!$K$4)),1,0)</f>
        <v>0</v>
      </c>
      <c r="AW534">
        <f>N(AW533)+IF(AND($AB534&lt;&gt;"",OR('SUIVI LONGITUDINAL'!$Q$4="(Tous)",$AF534='SUIVI LONGITUDINAL'!$Q$4)),1,0)</f>
        <v>0</v>
      </c>
      <c r="AX534">
        <f t="shared" si="211"/>
        <v>0</v>
      </c>
      <c r="AY534">
        <f t="shared" si="212"/>
        <v>0</v>
      </c>
      <c r="AZ534">
        <f t="shared" si="213"/>
        <v>0</v>
      </c>
      <c r="BA534" t="str">
        <f t="shared" si="214"/>
        <v/>
      </c>
      <c r="BB534" t="str">
        <f t="shared" si="215"/>
        <v/>
      </c>
    </row>
    <row r="535" spans="1:54" ht="14.25" customHeight="1" x14ac:dyDescent="0.3">
      <c r="A535" t="str">
        <f>IF(SAISIE!$F540="","",SAISIE!$B540)</f>
        <v/>
      </c>
      <c r="B535" t="str">
        <f>IF(SAISIE!$F540="","",SAISIE!$C540)</f>
        <v/>
      </c>
      <c r="C535" t="str">
        <f>IF(SAISIE!$F540="","",SAISIE!$D540)</f>
        <v/>
      </c>
      <c r="D535" t="str">
        <f>IF(SAISIE!$E540="","",SAISIE!$E540)</f>
        <v/>
      </c>
      <c r="E535" t="str">
        <f>IF(SAISIE!$F540="","",SAISIE!$F540)</f>
        <v/>
      </c>
      <c r="F535" t="str">
        <f>IF(SAISIE!$G540="","",SAISIE!$G540)</f>
        <v/>
      </c>
      <c r="G535" t="str">
        <f>IF(SAISIE!$H540="","",SAISIE!$H540)</f>
        <v/>
      </c>
      <c r="H535" t="str">
        <f>IF(SAISIE!$I540="","",SAISIE!$I540)</f>
        <v/>
      </c>
      <c r="I535" t="str">
        <f>IF(SAISIE!$J540="","",SAISIE!$J540)</f>
        <v/>
      </c>
      <c r="J535" t="str">
        <f>IF(SAISIE!$K540="","",SAISIE!$K540)</f>
        <v/>
      </c>
      <c r="K535" t="str">
        <f>IF(SAISIE!$L540="","",SAISIE!$L540)</f>
        <v/>
      </c>
      <c r="L535" t="str">
        <f>IF(SAISIE!$M540="","",SAISIE!$M540)</f>
        <v/>
      </c>
      <c r="M535" t="str">
        <f>IF(SAISIE!$N540="","",SAISIE!$N540)</f>
        <v/>
      </c>
      <c r="N535" t="str">
        <f>IF(SAISIE!$O540="","",SAISIE!$O540)</f>
        <v/>
      </c>
      <c r="O535" t="str">
        <f>IF(SAISIE!$P540="","",SAISIE!$P540)</f>
        <v/>
      </c>
      <c r="P535" t="str">
        <f>IF(SAISIE!$Q540="","",SAISIE!$Q540)</f>
        <v/>
      </c>
      <c r="Q535" t="str">
        <f>IF($I535="","",IF($I535&gt;PARAMETRES!$G$29,5,IF($I535&gt;PARAMETRES!$F$29,4,IF($I535&gt;PARAMETRES!$E$29,3,IF($I535&gt;PARAMETRES!$D$29,2,1)))))</f>
        <v/>
      </c>
      <c r="R535" t="str">
        <f>IF($J535="","",IF($J535&gt;PARAMETRES!$G$30,5,IF($J535&gt;PARAMETRES!$F$30,4,IF($J535&gt;PARAMETRES!$E$30,3,IF($J535&gt;PARAMETRES!$D$30,2,1)))))</f>
        <v/>
      </c>
      <c r="S535" t="str">
        <f>IF($K535="","",IF($Z535=2,IF($K535&gt;PARAMETRES!$G$31,5,IF($K535&gt;PARAMETRES!$F$31,4,IF($K535&gt;PARAMETRES!$E$31,3,IF($K535&gt;PARAMETRES!$D$31,2,1)))),IF($K535&gt;PARAMETRES!$G$32,5,IF($K535&gt;PARAMETRES!$F$32,4,IF($K535&gt;PARAMETRES!$E$32,3,IF($K535&gt;PARAMETRES!$D$32,2,1))))))</f>
        <v/>
      </c>
      <c r="T535" t="str">
        <f>IF($L535="","",IF($L535&gt;PARAMETRES!$G$33,5,IF($L535&gt;PARAMETRES!$F$33,4,IF($L535&gt;PARAMETRES!$E$33,3,IF($L535&gt;PARAMETRES!$D$33,2,1)))))</f>
        <v/>
      </c>
      <c r="U535" t="str">
        <f>IF($M535="","",IF($M535&gt;PARAMETRES!$G$34,5,IF($M535&gt;PARAMETRES!$F$34,4,IF($M535&gt;PARAMETRES!$E$34,3,IF($M535&gt;PARAMETRES!$D$34,2,1)))))</f>
        <v/>
      </c>
      <c r="V535" t="str">
        <f>IF($N535="","",IF($N535&gt;PARAMETRES!$G$35,5,IF($N535&gt;PARAMETRES!$F$35,4,IF($N535&gt;PARAMETRES!$E$35,3,IF($N535&gt;PARAMETRES!$D$35,2,1)))))</f>
        <v/>
      </c>
      <c r="W535" t="str">
        <f>IF($O535="","",IF($O535&gt;PARAMETRES!$G$36,5,IF($O535&gt;PARAMETRES!$F$36,4,IF($O535&gt;PARAMETRES!$E$36,3,IF($O535&gt;PARAMETRES!$D$36,2,1)))))</f>
        <v/>
      </c>
      <c r="X535" t="str">
        <f>IF($P535="","",IF($P535&gt;PARAMETRES!$G$37,5,IF($P535&gt;PARAMETRES!$F$37,4,IF($P535&gt;PARAMETRES!$E$37,3,IF($P535&gt;PARAMETRES!$D$37,2,1)))))</f>
        <v/>
      </c>
      <c r="Y535" t="str">
        <f t="shared" si="192"/>
        <v/>
      </c>
      <c r="Z535" t="str">
        <f>IFERROR(VLOOKUP($B535,TABLE_CYCLE,2,0),"")</f>
        <v/>
      </c>
      <c r="AA535" t="str">
        <f t="shared" si="193"/>
        <v/>
      </c>
      <c r="AB535" t="str">
        <f>IF($D535="","",IF(COUNTIF($D$2:$D535,$D535)=1,$D535,""))</f>
        <v/>
      </c>
      <c r="AC535">
        <f t="shared" si="194"/>
        <v>0</v>
      </c>
      <c r="AD535" t="str">
        <f t="shared" si="195"/>
        <v>|0</v>
      </c>
      <c r="AE535" t="str">
        <f t="shared" si="196"/>
        <v/>
      </c>
      <c r="AF535" t="str">
        <f t="shared" si="197"/>
        <v/>
      </c>
      <c r="AG535" t="str">
        <f t="shared" si="198"/>
        <v/>
      </c>
      <c r="AH535" t="str">
        <f t="shared" si="199"/>
        <v/>
      </c>
      <c r="AI535" t="str">
        <f t="shared" si="200"/>
        <v/>
      </c>
      <c r="AJ535" t="str">
        <f t="shared" si="201"/>
        <v/>
      </c>
      <c r="AK535" t="str">
        <f t="shared" si="202"/>
        <v/>
      </c>
      <c r="AL535" t="str">
        <f t="shared" si="203"/>
        <v/>
      </c>
      <c r="AM535" t="str">
        <f t="shared" si="204"/>
        <v/>
      </c>
      <c r="AN535" t="str">
        <f t="shared" si="205"/>
        <v/>
      </c>
      <c r="AO535" t="str">
        <f t="shared" si="206"/>
        <v/>
      </c>
      <c r="AP535">
        <f t="shared" si="207"/>
        <v>1</v>
      </c>
      <c r="AQ535" t="str">
        <f>IF(SAISIE!$F540="","",SAISIE!$Y540)</f>
        <v/>
      </c>
      <c r="AR535" t="str">
        <f>IF(OR(SAISIE!$U$4="",SAISIE!$W$4=""),"",IF(AND($A535=SAISIE!$U$4,$B535=SAISIE!$W$4,$C535="S1"),COUNTIFS($A$2:$A535,SAISIE!$U$4,$B$2:$B535,SAISIE!$W$4,$C$2:$C535,"S1"),""))</f>
        <v/>
      </c>
      <c r="AS535" t="str">
        <f t="shared" si="208"/>
        <v/>
      </c>
      <c r="AT535" t="str">
        <f t="shared" si="209"/>
        <v/>
      </c>
      <c r="AU535" t="str">
        <f t="shared" si="210"/>
        <v/>
      </c>
      <c r="AV535">
        <f>N(AV534)+IF(AND($AB535&lt;&gt;"",OR('PROFIL ELEVE'!$K$4="(Tous)",$AF535='PROFIL ELEVE'!$K$4)),1,0)</f>
        <v>0</v>
      </c>
      <c r="AW535">
        <f>N(AW534)+IF(AND($AB535&lt;&gt;"",OR('SUIVI LONGITUDINAL'!$Q$4="(Tous)",$AF535='SUIVI LONGITUDINAL'!$Q$4)),1,0)</f>
        <v>0</v>
      </c>
      <c r="AX535">
        <f t="shared" si="211"/>
        <v>0</v>
      </c>
      <c r="AY535">
        <f t="shared" si="212"/>
        <v>0</v>
      </c>
      <c r="AZ535">
        <f t="shared" si="213"/>
        <v>0</v>
      </c>
      <c r="BA535" t="str">
        <f t="shared" si="214"/>
        <v/>
      </c>
      <c r="BB535" t="str">
        <f t="shared" si="215"/>
        <v/>
      </c>
    </row>
    <row r="536" spans="1:54" ht="14.25" customHeight="1" x14ac:dyDescent="0.3">
      <c r="A536" t="str">
        <f>IF(SAISIE!$F541="","",SAISIE!$B541)</f>
        <v/>
      </c>
      <c r="B536" t="str">
        <f>IF(SAISIE!$F541="","",SAISIE!$C541)</f>
        <v/>
      </c>
      <c r="C536" t="str">
        <f>IF(SAISIE!$F541="","",SAISIE!$D541)</f>
        <v/>
      </c>
      <c r="D536" t="str">
        <f>IF(SAISIE!$E541="","",SAISIE!$E541)</f>
        <v/>
      </c>
      <c r="E536" t="str">
        <f>IF(SAISIE!$F541="","",SAISIE!$F541)</f>
        <v/>
      </c>
      <c r="F536" t="str">
        <f>IF(SAISIE!$G541="","",SAISIE!$G541)</f>
        <v/>
      </c>
      <c r="G536" t="str">
        <f>IF(SAISIE!$H541="","",SAISIE!$H541)</f>
        <v/>
      </c>
      <c r="H536" t="str">
        <f>IF(SAISIE!$I541="","",SAISIE!$I541)</f>
        <v/>
      </c>
      <c r="I536" t="str">
        <f>IF(SAISIE!$J541="","",SAISIE!$J541)</f>
        <v/>
      </c>
      <c r="J536" t="str">
        <f>IF(SAISIE!$K541="","",SAISIE!$K541)</f>
        <v/>
      </c>
      <c r="K536" t="str">
        <f>IF(SAISIE!$L541="","",SAISIE!$L541)</f>
        <v/>
      </c>
      <c r="L536" t="str">
        <f>IF(SAISIE!$M541="","",SAISIE!$M541)</f>
        <v/>
      </c>
      <c r="M536" t="str">
        <f>IF(SAISIE!$N541="","",SAISIE!$N541)</f>
        <v/>
      </c>
      <c r="N536" t="str">
        <f>IF(SAISIE!$O541="","",SAISIE!$O541)</f>
        <v/>
      </c>
      <c r="O536" t="str">
        <f>IF(SAISIE!$P541="","",SAISIE!$P541)</f>
        <v/>
      </c>
      <c r="P536" t="str">
        <f>IF(SAISIE!$Q541="","",SAISIE!$Q541)</f>
        <v/>
      </c>
      <c r="Q536" t="str">
        <f>IF($I536="","",IF($I536&gt;PARAMETRES!$G$29,5,IF($I536&gt;PARAMETRES!$F$29,4,IF($I536&gt;PARAMETRES!$E$29,3,IF($I536&gt;PARAMETRES!$D$29,2,1)))))</f>
        <v/>
      </c>
      <c r="R536" t="str">
        <f>IF($J536="","",IF($J536&gt;PARAMETRES!$G$30,5,IF($J536&gt;PARAMETRES!$F$30,4,IF($J536&gt;PARAMETRES!$E$30,3,IF($J536&gt;PARAMETRES!$D$30,2,1)))))</f>
        <v/>
      </c>
      <c r="S536" t="str">
        <f>IF($K536="","",IF($Z536=2,IF($K536&gt;PARAMETRES!$G$31,5,IF($K536&gt;PARAMETRES!$F$31,4,IF($K536&gt;PARAMETRES!$E$31,3,IF($K536&gt;PARAMETRES!$D$31,2,1)))),IF($K536&gt;PARAMETRES!$G$32,5,IF($K536&gt;PARAMETRES!$F$32,4,IF($K536&gt;PARAMETRES!$E$32,3,IF($K536&gt;PARAMETRES!$D$32,2,1))))))</f>
        <v/>
      </c>
      <c r="T536" t="str">
        <f>IF($L536="","",IF($L536&gt;PARAMETRES!$G$33,5,IF($L536&gt;PARAMETRES!$F$33,4,IF($L536&gt;PARAMETRES!$E$33,3,IF($L536&gt;PARAMETRES!$D$33,2,1)))))</f>
        <v/>
      </c>
      <c r="U536" t="str">
        <f>IF($M536="","",IF($M536&gt;PARAMETRES!$G$34,5,IF($M536&gt;PARAMETRES!$F$34,4,IF($M536&gt;PARAMETRES!$E$34,3,IF($M536&gt;PARAMETRES!$D$34,2,1)))))</f>
        <v/>
      </c>
      <c r="V536" t="str">
        <f>IF($N536="","",IF($N536&gt;PARAMETRES!$G$35,5,IF($N536&gt;PARAMETRES!$F$35,4,IF($N536&gt;PARAMETRES!$E$35,3,IF($N536&gt;PARAMETRES!$D$35,2,1)))))</f>
        <v/>
      </c>
      <c r="W536" t="str">
        <f>IF($O536="","",IF($O536&gt;PARAMETRES!$G$36,5,IF($O536&gt;PARAMETRES!$F$36,4,IF($O536&gt;PARAMETRES!$E$36,3,IF($O536&gt;PARAMETRES!$D$36,2,1)))))</f>
        <v/>
      </c>
      <c r="X536" t="str">
        <f>IF($P536="","",IF($P536&gt;PARAMETRES!$G$37,5,IF($P536&gt;PARAMETRES!$F$37,4,IF($P536&gt;PARAMETRES!$E$37,3,IF($P536&gt;PARAMETRES!$D$37,2,1)))))</f>
        <v/>
      </c>
      <c r="Y536" t="str">
        <f t="shared" si="192"/>
        <v/>
      </c>
      <c r="Z536" t="str">
        <f>IFERROR(VLOOKUP($B536,TABLE_CYCLE,2,0),"")</f>
        <v/>
      </c>
      <c r="AA536" t="str">
        <f t="shared" si="193"/>
        <v/>
      </c>
      <c r="AB536" t="str">
        <f>IF($D536="","",IF(COUNTIF($D$2:$D536,$D536)=1,$D536,""))</f>
        <v/>
      </c>
      <c r="AC536">
        <f t="shared" si="194"/>
        <v>0</v>
      </c>
      <c r="AD536" t="str">
        <f t="shared" si="195"/>
        <v>|0</v>
      </c>
      <c r="AE536" t="str">
        <f t="shared" si="196"/>
        <v/>
      </c>
      <c r="AF536" t="str">
        <f t="shared" si="197"/>
        <v/>
      </c>
      <c r="AG536" t="str">
        <f t="shared" si="198"/>
        <v/>
      </c>
      <c r="AH536" t="str">
        <f t="shared" si="199"/>
        <v/>
      </c>
      <c r="AI536" t="str">
        <f t="shared" si="200"/>
        <v/>
      </c>
      <c r="AJ536" t="str">
        <f t="shared" si="201"/>
        <v/>
      </c>
      <c r="AK536" t="str">
        <f t="shared" si="202"/>
        <v/>
      </c>
      <c r="AL536" t="str">
        <f t="shared" si="203"/>
        <v/>
      </c>
      <c r="AM536" t="str">
        <f t="shared" si="204"/>
        <v/>
      </c>
      <c r="AN536" t="str">
        <f t="shared" si="205"/>
        <v/>
      </c>
      <c r="AO536" t="str">
        <f t="shared" si="206"/>
        <v/>
      </c>
      <c r="AP536">
        <f t="shared" si="207"/>
        <v>1</v>
      </c>
      <c r="AQ536" t="str">
        <f>IF(SAISIE!$F541="","",SAISIE!$Y541)</f>
        <v/>
      </c>
      <c r="AR536" t="str">
        <f>IF(OR(SAISIE!$U$4="",SAISIE!$W$4=""),"",IF(AND($A536=SAISIE!$U$4,$B536=SAISIE!$W$4,$C536="S1"),COUNTIFS($A$2:$A536,SAISIE!$U$4,$B$2:$B536,SAISIE!$W$4,$C$2:$C536,"S1"),""))</f>
        <v/>
      </c>
      <c r="AS536" t="str">
        <f t="shared" si="208"/>
        <v/>
      </c>
      <c r="AT536" t="str">
        <f t="shared" si="209"/>
        <v/>
      </c>
      <c r="AU536" t="str">
        <f t="shared" si="210"/>
        <v/>
      </c>
      <c r="AV536">
        <f>N(AV535)+IF(AND($AB536&lt;&gt;"",OR('PROFIL ELEVE'!$K$4="(Tous)",$AF536='PROFIL ELEVE'!$K$4)),1,0)</f>
        <v>0</v>
      </c>
      <c r="AW536">
        <f>N(AW535)+IF(AND($AB536&lt;&gt;"",OR('SUIVI LONGITUDINAL'!$Q$4="(Tous)",$AF536='SUIVI LONGITUDINAL'!$Q$4)),1,0)</f>
        <v>0</v>
      </c>
      <c r="AX536">
        <f t="shared" si="211"/>
        <v>0</v>
      </c>
      <c r="AY536">
        <f t="shared" si="212"/>
        <v>0</v>
      </c>
      <c r="AZ536">
        <f t="shared" si="213"/>
        <v>0</v>
      </c>
      <c r="BA536" t="str">
        <f t="shared" si="214"/>
        <v/>
      </c>
      <c r="BB536" t="str">
        <f t="shared" si="215"/>
        <v/>
      </c>
    </row>
    <row r="537" spans="1:54" ht="14.25" customHeight="1" x14ac:dyDescent="0.3">
      <c r="A537" t="str">
        <f>IF(SAISIE!$F542="","",SAISIE!$B542)</f>
        <v/>
      </c>
      <c r="B537" t="str">
        <f>IF(SAISIE!$F542="","",SAISIE!$C542)</f>
        <v/>
      </c>
      <c r="C537" t="str">
        <f>IF(SAISIE!$F542="","",SAISIE!$D542)</f>
        <v/>
      </c>
      <c r="D537" t="str">
        <f>IF(SAISIE!$E542="","",SAISIE!$E542)</f>
        <v/>
      </c>
      <c r="E537" t="str">
        <f>IF(SAISIE!$F542="","",SAISIE!$F542)</f>
        <v/>
      </c>
      <c r="F537" t="str">
        <f>IF(SAISIE!$G542="","",SAISIE!$G542)</f>
        <v/>
      </c>
      <c r="G537" t="str">
        <f>IF(SAISIE!$H542="","",SAISIE!$H542)</f>
        <v/>
      </c>
      <c r="H537" t="str">
        <f>IF(SAISIE!$I542="","",SAISIE!$I542)</f>
        <v/>
      </c>
      <c r="I537" t="str">
        <f>IF(SAISIE!$J542="","",SAISIE!$J542)</f>
        <v/>
      </c>
      <c r="J537" t="str">
        <f>IF(SAISIE!$K542="","",SAISIE!$K542)</f>
        <v/>
      </c>
      <c r="K537" t="str">
        <f>IF(SAISIE!$L542="","",SAISIE!$L542)</f>
        <v/>
      </c>
      <c r="L537" t="str">
        <f>IF(SAISIE!$M542="","",SAISIE!$M542)</f>
        <v/>
      </c>
      <c r="M537" t="str">
        <f>IF(SAISIE!$N542="","",SAISIE!$N542)</f>
        <v/>
      </c>
      <c r="N537" t="str">
        <f>IF(SAISIE!$O542="","",SAISIE!$O542)</f>
        <v/>
      </c>
      <c r="O537" t="str">
        <f>IF(SAISIE!$P542="","",SAISIE!$P542)</f>
        <v/>
      </c>
      <c r="P537" t="str">
        <f>IF(SAISIE!$Q542="","",SAISIE!$Q542)</f>
        <v/>
      </c>
      <c r="Q537" t="str">
        <f>IF($I537="","",IF($I537&gt;PARAMETRES!$G$29,5,IF($I537&gt;PARAMETRES!$F$29,4,IF($I537&gt;PARAMETRES!$E$29,3,IF($I537&gt;PARAMETRES!$D$29,2,1)))))</f>
        <v/>
      </c>
      <c r="R537" t="str">
        <f>IF($J537="","",IF($J537&gt;PARAMETRES!$G$30,5,IF($J537&gt;PARAMETRES!$F$30,4,IF($J537&gt;PARAMETRES!$E$30,3,IF($J537&gt;PARAMETRES!$D$30,2,1)))))</f>
        <v/>
      </c>
      <c r="S537" t="str">
        <f>IF($K537="","",IF($Z537=2,IF($K537&gt;PARAMETRES!$G$31,5,IF($K537&gt;PARAMETRES!$F$31,4,IF($K537&gt;PARAMETRES!$E$31,3,IF($K537&gt;PARAMETRES!$D$31,2,1)))),IF($K537&gt;PARAMETRES!$G$32,5,IF($K537&gt;PARAMETRES!$F$32,4,IF($K537&gt;PARAMETRES!$E$32,3,IF($K537&gt;PARAMETRES!$D$32,2,1))))))</f>
        <v/>
      </c>
      <c r="T537" t="str">
        <f>IF($L537="","",IF($L537&gt;PARAMETRES!$G$33,5,IF($L537&gt;PARAMETRES!$F$33,4,IF($L537&gt;PARAMETRES!$E$33,3,IF($L537&gt;PARAMETRES!$D$33,2,1)))))</f>
        <v/>
      </c>
      <c r="U537" t="str">
        <f>IF($M537="","",IF($M537&gt;PARAMETRES!$G$34,5,IF($M537&gt;PARAMETRES!$F$34,4,IF($M537&gt;PARAMETRES!$E$34,3,IF($M537&gt;PARAMETRES!$D$34,2,1)))))</f>
        <v/>
      </c>
      <c r="V537" t="str">
        <f>IF($N537="","",IF($N537&gt;PARAMETRES!$G$35,5,IF($N537&gt;PARAMETRES!$F$35,4,IF($N537&gt;PARAMETRES!$E$35,3,IF($N537&gt;PARAMETRES!$D$35,2,1)))))</f>
        <v/>
      </c>
      <c r="W537" t="str">
        <f>IF($O537="","",IF($O537&gt;PARAMETRES!$G$36,5,IF($O537&gt;PARAMETRES!$F$36,4,IF($O537&gt;PARAMETRES!$E$36,3,IF($O537&gt;PARAMETRES!$D$36,2,1)))))</f>
        <v/>
      </c>
      <c r="X537" t="str">
        <f>IF($P537="","",IF($P537&gt;PARAMETRES!$G$37,5,IF($P537&gt;PARAMETRES!$F$37,4,IF($P537&gt;PARAMETRES!$E$37,3,IF($P537&gt;PARAMETRES!$D$37,2,1)))))</f>
        <v/>
      </c>
      <c r="Y537" t="str">
        <f t="shared" si="192"/>
        <v/>
      </c>
      <c r="Z537" t="str">
        <f>IFERROR(VLOOKUP($B537,TABLE_CYCLE,2,0),"")</f>
        <v/>
      </c>
      <c r="AA537" t="str">
        <f t="shared" si="193"/>
        <v/>
      </c>
      <c r="AB537" t="str">
        <f>IF($D537="","",IF(COUNTIF($D$2:$D537,$D537)=1,$D537,""))</f>
        <v/>
      </c>
      <c r="AC537">
        <f t="shared" si="194"/>
        <v>0</v>
      </c>
      <c r="AD537" t="str">
        <f t="shared" si="195"/>
        <v>|0</v>
      </c>
      <c r="AE537" t="str">
        <f t="shared" si="196"/>
        <v/>
      </c>
      <c r="AF537" t="str">
        <f t="shared" si="197"/>
        <v/>
      </c>
      <c r="AG537" t="str">
        <f t="shared" si="198"/>
        <v/>
      </c>
      <c r="AH537" t="str">
        <f t="shared" si="199"/>
        <v/>
      </c>
      <c r="AI537" t="str">
        <f t="shared" si="200"/>
        <v/>
      </c>
      <c r="AJ537" t="str">
        <f t="shared" si="201"/>
        <v/>
      </c>
      <c r="AK537" t="str">
        <f t="shared" si="202"/>
        <v/>
      </c>
      <c r="AL537" t="str">
        <f t="shared" si="203"/>
        <v/>
      </c>
      <c r="AM537" t="str">
        <f t="shared" si="204"/>
        <v/>
      </c>
      <c r="AN537" t="str">
        <f t="shared" si="205"/>
        <v/>
      </c>
      <c r="AO537" t="str">
        <f t="shared" si="206"/>
        <v/>
      </c>
      <c r="AP537">
        <f t="shared" si="207"/>
        <v>1</v>
      </c>
      <c r="AQ537" t="str">
        <f>IF(SAISIE!$F542="","",SAISIE!$Y542)</f>
        <v/>
      </c>
      <c r="AR537" t="str">
        <f>IF(OR(SAISIE!$U$4="",SAISIE!$W$4=""),"",IF(AND($A537=SAISIE!$U$4,$B537=SAISIE!$W$4,$C537="S1"),COUNTIFS($A$2:$A537,SAISIE!$U$4,$B$2:$B537,SAISIE!$W$4,$C$2:$C537,"S1"),""))</f>
        <v/>
      </c>
      <c r="AS537" t="str">
        <f t="shared" si="208"/>
        <v/>
      </c>
      <c r="AT537" t="str">
        <f t="shared" si="209"/>
        <v/>
      </c>
      <c r="AU537" t="str">
        <f t="shared" si="210"/>
        <v/>
      </c>
      <c r="AV537">
        <f>N(AV536)+IF(AND($AB537&lt;&gt;"",OR('PROFIL ELEVE'!$K$4="(Tous)",$AF537='PROFIL ELEVE'!$K$4)),1,0)</f>
        <v>0</v>
      </c>
      <c r="AW537">
        <f>N(AW536)+IF(AND($AB537&lt;&gt;"",OR('SUIVI LONGITUDINAL'!$Q$4="(Tous)",$AF537='SUIVI LONGITUDINAL'!$Q$4)),1,0)</f>
        <v>0</v>
      </c>
      <c r="AX537">
        <f t="shared" si="211"/>
        <v>0</v>
      </c>
      <c r="AY537">
        <f t="shared" si="212"/>
        <v>0</v>
      </c>
      <c r="AZ537">
        <f t="shared" si="213"/>
        <v>0</v>
      </c>
      <c r="BA537" t="str">
        <f t="shared" si="214"/>
        <v/>
      </c>
      <c r="BB537" t="str">
        <f t="shared" si="215"/>
        <v/>
      </c>
    </row>
    <row r="538" spans="1:54" ht="14.25" customHeight="1" x14ac:dyDescent="0.3">
      <c r="A538" t="str">
        <f>IF(SAISIE!$F543="","",SAISIE!$B543)</f>
        <v/>
      </c>
      <c r="B538" t="str">
        <f>IF(SAISIE!$F543="","",SAISIE!$C543)</f>
        <v/>
      </c>
      <c r="C538" t="str">
        <f>IF(SAISIE!$F543="","",SAISIE!$D543)</f>
        <v/>
      </c>
      <c r="D538" t="str">
        <f>IF(SAISIE!$E543="","",SAISIE!$E543)</f>
        <v/>
      </c>
      <c r="E538" t="str">
        <f>IF(SAISIE!$F543="","",SAISIE!$F543)</f>
        <v/>
      </c>
      <c r="F538" t="str">
        <f>IF(SAISIE!$G543="","",SAISIE!$G543)</f>
        <v/>
      </c>
      <c r="G538" t="str">
        <f>IF(SAISIE!$H543="","",SAISIE!$H543)</f>
        <v/>
      </c>
      <c r="H538" t="str">
        <f>IF(SAISIE!$I543="","",SAISIE!$I543)</f>
        <v/>
      </c>
      <c r="I538" t="str">
        <f>IF(SAISIE!$J543="","",SAISIE!$J543)</f>
        <v/>
      </c>
      <c r="J538" t="str">
        <f>IF(SAISIE!$K543="","",SAISIE!$K543)</f>
        <v/>
      </c>
      <c r="K538" t="str">
        <f>IF(SAISIE!$L543="","",SAISIE!$L543)</f>
        <v/>
      </c>
      <c r="L538" t="str">
        <f>IF(SAISIE!$M543="","",SAISIE!$M543)</f>
        <v/>
      </c>
      <c r="M538" t="str">
        <f>IF(SAISIE!$N543="","",SAISIE!$N543)</f>
        <v/>
      </c>
      <c r="N538" t="str">
        <f>IF(SAISIE!$O543="","",SAISIE!$O543)</f>
        <v/>
      </c>
      <c r="O538" t="str">
        <f>IF(SAISIE!$P543="","",SAISIE!$P543)</f>
        <v/>
      </c>
      <c r="P538" t="str">
        <f>IF(SAISIE!$Q543="","",SAISIE!$Q543)</f>
        <v/>
      </c>
      <c r="Q538" t="str">
        <f>IF($I538="","",IF($I538&gt;PARAMETRES!$G$29,5,IF($I538&gt;PARAMETRES!$F$29,4,IF($I538&gt;PARAMETRES!$E$29,3,IF($I538&gt;PARAMETRES!$D$29,2,1)))))</f>
        <v/>
      </c>
      <c r="R538" t="str">
        <f>IF($J538="","",IF($J538&gt;PARAMETRES!$G$30,5,IF($J538&gt;PARAMETRES!$F$30,4,IF($J538&gt;PARAMETRES!$E$30,3,IF($J538&gt;PARAMETRES!$D$30,2,1)))))</f>
        <v/>
      </c>
      <c r="S538" t="str">
        <f>IF($K538="","",IF($Z538=2,IF($K538&gt;PARAMETRES!$G$31,5,IF($K538&gt;PARAMETRES!$F$31,4,IF($K538&gt;PARAMETRES!$E$31,3,IF($K538&gt;PARAMETRES!$D$31,2,1)))),IF($K538&gt;PARAMETRES!$G$32,5,IF($K538&gt;PARAMETRES!$F$32,4,IF($K538&gt;PARAMETRES!$E$32,3,IF($K538&gt;PARAMETRES!$D$32,2,1))))))</f>
        <v/>
      </c>
      <c r="T538" t="str">
        <f>IF($L538="","",IF($L538&gt;PARAMETRES!$G$33,5,IF($L538&gt;PARAMETRES!$F$33,4,IF($L538&gt;PARAMETRES!$E$33,3,IF($L538&gt;PARAMETRES!$D$33,2,1)))))</f>
        <v/>
      </c>
      <c r="U538" t="str">
        <f>IF($M538="","",IF($M538&gt;PARAMETRES!$G$34,5,IF($M538&gt;PARAMETRES!$F$34,4,IF($M538&gt;PARAMETRES!$E$34,3,IF($M538&gt;PARAMETRES!$D$34,2,1)))))</f>
        <v/>
      </c>
      <c r="V538" t="str">
        <f>IF($N538="","",IF($N538&gt;PARAMETRES!$G$35,5,IF($N538&gt;PARAMETRES!$F$35,4,IF($N538&gt;PARAMETRES!$E$35,3,IF($N538&gt;PARAMETRES!$D$35,2,1)))))</f>
        <v/>
      </c>
      <c r="W538" t="str">
        <f>IF($O538="","",IF($O538&gt;PARAMETRES!$G$36,5,IF($O538&gt;PARAMETRES!$F$36,4,IF($O538&gt;PARAMETRES!$E$36,3,IF($O538&gt;PARAMETRES!$D$36,2,1)))))</f>
        <v/>
      </c>
      <c r="X538" t="str">
        <f>IF($P538="","",IF($P538&gt;PARAMETRES!$G$37,5,IF($P538&gt;PARAMETRES!$F$37,4,IF($P538&gt;PARAMETRES!$E$37,3,IF($P538&gt;PARAMETRES!$D$37,2,1)))))</f>
        <v/>
      </c>
      <c r="Y538" t="str">
        <f t="shared" si="192"/>
        <v/>
      </c>
      <c r="Z538" t="str">
        <f>IFERROR(VLOOKUP($B538,TABLE_CYCLE,2,0),"")</f>
        <v/>
      </c>
      <c r="AA538" t="str">
        <f t="shared" si="193"/>
        <v/>
      </c>
      <c r="AB538" t="str">
        <f>IF($D538="","",IF(COUNTIF($D$2:$D538,$D538)=1,$D538,""))</f>
        <v/>
      </c>
      <c r="AC538">
        <f t="shared" si="194"/>
        <v>0</v>
      </c>
      <c r="AD538" t="str">
        <f t="shared" si="195"/>
        <v>|0</v>
      </c>
      <c r="AE538" t="str">
        <f t="shared" si="196"/>
        <v/>
      </c>
      <c r="AF538" t="str">
        <f t="shared" si="197"/>
        <v/>
      </c>
      <c r="AG538" t="str">
        <f t="shared" si="198"/>
        <v/>
      </c>
      <c r="AH538" t="str">
        <f t="shared" si="199"/>
        <v/>
      </c>
      <c r="AI538" t="str">
        <f t="shared" si="200"/>
        <v/>
      </c>
      <c r="AJ538" t="str">
        <f t="shared" si="201"/>
        <v/>
      </c>
      <c r="AK538" t="str">
        <f t="shared" si="202"/>
        <v/>
      </c>
      <c r="AL538" t="str">
        <f t="shared" si="203"/>
        <v/>
      </c>
      <c r="AM538" t="str">
        <f t="shared" si="204"/>
        <v/>
      </c>
      <c r="AN538" t="str">
        <f t="shared" si="205"/>
        <v/>
      </c>
      <c r="AO538" t="str">
        <f t="shared" si="206"/>
        <v/>
      </c>
      <c r="AP538">
        <f t="shared" si="207"/>
        <v>1</v>
      </c>
      <c r="AQ538" t="str">
        <f>IF(SAISIE!$F543="","",SAISIE!$Y543)</f>
        <v/>
      </c>
      <c r="AR538" t="str">
        <f>IF(OR(SAISIE!$U$4="",SAISIE!$W$4=""),"",IF(AND($A538=SAISIE!$U$4,$B538=SAISIE!$W$4,$C538="S1"),COUNTIFS($A$2:$A538,SAISIE!$U$4,$B$2:$B538,SAISIE!$W$4,$C$2:$C538,"S1"),""))</f>
        <v/>
      </c>
      <c r="AS538" t="str">
        <f t="shared" si="208"/>
        <v/>
      </c>
      <c r="AT538" t="str">
        <f t="shared" si="209"/>
        <v/>
      </c>
      <c r="AU538" t="str">
        <f t="shared" si="210"/>
        <v/>
      </c>
      <c r="AV538">
        <f>N(AV537)+IF(AND($AB538&lt;&gt;"",OR('PROFIL ELEVE'!$K$4="(Tous)",$AF538='PROFIL ELEVE'!$K$4)),1,0)</f>
        <v>0</v>
      </c>
      <c r="AW538">
        <f>N(AW537)+IF(AND($AB538&lt;&gt;"",OR('SUIVI LONGITUDINAL'!$Q$4="(Tous)",$AF538='SUIVI LONGITUDINAL'!$Q$4)),1,0)</f>
        <v>0</v>
      </c>
      <c r="AX538">
        <f t="shared" si="211"/>
        <v>0</v>
      </c>
      <c r="AY538">
        <f t="shared" si="212"/>
        <v>0</v>
      </c>
      <c r="AZ538">
        <f t="shared" si="213"/>
        <v>0</v>
      </c>
      <c r="BA538" t="str">
        <f t="shared" si="214"/>
        <v/>
      </c>
      <c r="BB538" t="str">
        <f t="shared" si="215"/>
        <v/>
      </c>
    </row>
    <row r="539" spans="1:54" ht="14.25" customHeight="1" x14ac:dyDescent="0.3">
      <c r="A539" t="str">
        <f>IF(SAISIE!$F544="","",SAISIE!$B544)</f>
        <v/>
      </c>
      <c r="B539" t="str">
        <f>IF(SAISIE!$F544="","",SAISIE!$C544)</f>
        <v/>
      </c>
      <c r="C539" t="str">
        <f>IF(SAISIE!$F544="","",SAISIE!$D544)</f>
        <v/>
      </c>
      <c r="D539" t="str">
        <f>IF(SAISIE!$E544="","",SAISIE!$E544)</f>
        <v/>
      </c>
      <c r="E539" t="str">
        <f>IF(SAISIE!$F544="","",SAISIE!$F544)</f>
        <v/>
      </c>
      <c r="F539" t="str">
        <f>IF(SAISIE!$G544="","",SAISIE!$G544)</f>
        <v/>
      </c>
      <c r="G539" t="str">
        <f>IF(SAISIE!$H544="","",SAISIE!$H544)</f>
        <v/>
      </c>
      <c r="H539" t="str">
        <f>IF(SAISIE!$I544="","",SAISIE!$I544)</f>
        <v/>
      </c>
      <c r="I539" t="str">
        <f>IF(SAISIE!$J544="","",SAISIE!$J544)</f>
        <v/>
      </c>
      <c r="J539" t="str">
        <f>IF(SAISIE!$K544="","",SAISIE!$K544)</f>
        <v/>
      </c>
      <c r="K539" t="str">
        <f>IF(SAISIE!$L544="","",SAISIE!$L544)</f>
        <v/>
      </c>
      <c r="L539" t="str">
        <f>IF(SAISIE!$M544="","",SAISIE!$M544)</f>
        <v/>
      </c>
      <c r="M539" t="str">
        <f>IF(SAISIE!$N544="","",SAISIE!$N544)</f>
        <v/>
      </c>
      <c r="N539" t="str">
        <f>IF(SAISIE!$O544="","",SAISIE!$O544)</f>
        <v/>
      </c>
      <c r="O539" t="str">
        <f>IF(SAISIE!$P544="","",SAISIE!$P544)</f>
        <v/>
      </c>
      <c r="P539" t="str">
        <f>IF(SAISIE!$Q544="","",SAISIE!$Q544)</f>
        <v/>
      </c>
      <c r="Q539" t="str">
        <f>IF($I539="","",IF($I539&gt;PARAMETRES!$G$29,5,IF($I539&gt;PARAMETRES!$F$29,4,IF($I539&gt;PARAMETRES!$E$29,3,IF($I539&gt;PARAMETRES!$D$29,2,1)))))</f>
        <v/>
      </c>
      <c r="R539" t="str">
        <f>IF($J539="","",IF($J539&gt;PARAMETRES!$G$30,5,IF($J539&gt;PARAMETRES!$F$30,4,IF($J539&gt;PARAMETRES!$E$30,3,IF($J539&gt;PARAMETRES!$D$30,2,1)))))</f>
        <v/>
      </c>
      <c r="S539" t="str">
        <f>IF($K539="","",IF($Z539=2,IF($K539&gt;PARAMETRES!$G$31,5,IF($K539&gt;PARAMETRES!$F$31,4,IF($K539&gt;PARAMETRES!$E$31,3,IF($K539&gt;PARAMETRES!$D$31,2,1)))),IF($K539&gt;PARAMETRES!$G$32,5,IF($K539&gt;PARAMETRES!$F$32,4,IF($K539&gt;PARAMETRES!$E$32,3,IF($K539&gt;PARAMETRES!$D$32,2,1))))))</f>
        <v/>
      </c>
      <c r="T539" t="str">
        <f>IF($L539="","",IF($L539&gt;PARAMETRES!$G$33,5,IF($L539&gt;PARAMETRES!$F$33,4,IF($L539&gt;PARAMETRES!$E$33,3,IF($L539&gt;PARAMETRES!$D$33,2,1)))))</f>
        <v/>
      </c>
      <c r="U539" t="str">
        <f>IF($M539="","",IF($M539&gt;PARAMETRES!$G$34,5,IF($M539&gt;PARAMETRES!$F$34,4,IF($M539&gt;PARAMETRES!$E$34,3,IF($M539&gt;PARAMETRES!$D$34,2,1)))))</f>
        <v/>
      </c>
      <c r="V539" t="str">
        <f>IF($N539="","",IF($N539&gt;PARAMETRES!$G$35,5,IF($N539&gt;PARAMETRES!$F$35,4,IF($N539&gt;PARAMETRES!$E$35,3,IF($N539&gt;PARAMETRES!$D$35,2,1)))))</f>
        <v/>
      </c>
      <c r="W539" t="str">
        <f>IF($O539="","",IF($O539&gt;PARAMETRES!$G$36,5,IF($O539&gt;PARAMETRES!$F$36,4,IF($O539&gt;PARAMETRES!$E$36,3,IF($O539&gt;PARAMETRES!$D$36,2,1)))))</f>
        <v/>
      </c>
      <c r="X539" t="str">
        <f>IF($P539="","",IF($P539&gt;PARAMETRES!$G$37,5,IF($P539&gt;PARAMETRES!$F$37,4,IF($P539&gt;PARAMETRES!$E$37,3,IF($P539&gt;PARAMETRES!$D$37,2,1)))))</f>
        <v/>
      </c>
      <c r="Y539" t="str">
        <f t="shared" si="192"/>
        <v/>
      </c>
      <c r="Z539" t="str">
        <f>IFERROR(VLOOKUP($B539,TABLE_CYCLE,2,0),"")</f>
        <v/>
      </c>
      <c r="AA539" t="str">
        <f t="shared" si="193"/>
        <v/>
      </c>
      <c r="AB539" t="str">
        <f>IF($D539="","",IF(COUNTIF($D$2:$D539,$D539)=1,$D539,""))</f>
        <v/>
      </c>
      <c r="AC539">
        <f t="shared" si="194"/>
        <v>0</v>
      </c>
      <c r="AD539" t="str">
        <f t="shared" si="195"/>
        <v>|0</v>
      </c>
      <c r="AE539" t="str">
        <f t="shared" si="196"/>
        <v/>
      </c>
      <c r="AF539" t="str">
        <f t="shared" si="197"/>
        <v/>
      </c>
      <c r="AG539" t="str">
        <f t="shared" si="198"/>
        <v/>
      </c>
      <c r="AH539" t="str">
        <f t="shared" si="199"/>
        <v/>
      </c>
      <c r="AI539" t="str">
        <f t="shared" si="200"/>
        <v/>
      </c>
      <c r="AJ539" t="str">
        <f t="shared" si="201"/>
        <v/>
      </c>
      <c r="AK539" t="str">
        <f t="shared" si="202"/>
        <v/>
      </c>
      <c r="AL539" t="str">
        <f t="shared" si="203"/>
        <v/>
      </c>
      <c r="AM539" t="str">
        <f t="shared" si="204"/>
        <v/>
      </c>
      <c r="AN539" t="str">
        <f t="shared" si="205"/>
        <v/>
      </c>
      <c r="AO539" t="str">
        <f t="shared" si="206"/>
        <v/>
      </c>
      <c r="AP539">
        <f t="shared" si="207"/>
        <v>1</v>
      </c>
      <c r="AQ539" t="str">
        <f>IF(SAISIE!$F544="","",SAISIE!$Y544)</f>
        <v/>
      </c>
      <c r="AR539" t="str">
        <f>IF(OR(SAISIE!$U$4="",SAISIE!$W$4=""),"",IF(AND($A539=SAISIE!$U$4,$B539=SAISIE!$W$4,$C539="S1"),COUNTIFS($A$2:$A539,SAISIE!$U$4,$B$2:$B539,SAISIE!$W$4,$C$2:$C539,"S1"),""))</f>
        <v/>
      </c>
      <c r="AS539" t="str">
        <f t="shared" si="208"/>
        <v/>
      </c>
      <c r="AT539" t="str">
        <f t="shared" si="209"/>
        <v/>
      </c>
      <c r="AU539" t="str">
        <f t="shared" si="210"/>
        <v/>
      </c>
      <c r="AV539">
        <f>N(AV538)+IF(AND($AB539&lt;&gt;"",OR('PROFIL ELEVE'!$K$4="(Tous)",$AF539='PROFIL ELEVE'!$K$4)),1,0)</f>
        <v>0</v>
      </c>
      <c r="AW539">
        <f>N(AW538)+IF(AND($AB539&lt;&gt;"",OR('SUIVI LONGITUDINAL'!$Q$4="(Tous)",$AF539='SUIVI LONGITUDINAL'!$Q$4)),1,0)</f>
        <v>0</v>
      </c>
      <c r="AX539">
        <f t="shared" si="211"/>
        <v>0</v>
      </c>
      <c r="AY539">
        <f t="shared" si="212"/>
        <v>0</v>
      </c>
      <c r="AZ539">
        <f t="shared" si="213"/>
        <v>0</v>
      </c>
      <c r="BA539" t="str">
        <f t="shared" si="214"/>
        <v/>
      </c>
      <c r="BB539" t="str">
        <f t="shared" si="215"/>
        <v/>
      </c>
    </row>
    <row r="540" spans="1:54" ht="14.25" customHeight="1" x14ac:dyDescent="0.3">
      <c r="A540" t="str">
        <f>IF(SAISIE!$F545="","",SAISIE!$B545)</f>
        <v/>
      </c>
      <c r="B540" t="str">
        <f>IF(SAISIE!$F545="","",SAISIE!$C545)</f>
        <v/>
      </c>
      <c r="C540" t="str">
        <f>IF(SAISIE!$F545="","",SAISIE!$D545)</f>
        <v/>
      </c>
      <c r="D540" t="str">
        <f>IF(SAISIE!$E545="","",SAISIE!$E545)</f>
        <v/>
      </c>
      <c r="E540" t="str">
        <f>IF(SAISIE!$F545="","",SAISIE!$F545)</f>
        <v/>
      </c>
      <c r="F540" t="str">
        <f>IF(SAISIE!$G545="","",SAISIE!$G545)</f>
        <v/>
      </c>
      <c r="G540" t="str">
        <f>IF(SAISIE!$H545="","",SAISIE!$H545)</f>
        <v/>
      </c>
      <c r="H540" t="str">
        <f>IF(SAISIE!$I545="","",SAISIE!$I545)</f>
        <v/>
      </c>
      <c r="I540" t="str">
        <f>IF(SAISIE!$J545="","",SAISIE!$J545)</f>
        <v/>
      </c>
      <c r="J540" t="str">
        <f>IF(SAISIE!$K545="","",SAISIE!$K545)</f>
        <v/>
      </c>
      <c r="K540" t="str">
        <f>IF(SAISIE!$L545="","",SAISIE!$L545)</f>
        <v/>
      </c>
      <c r="L540" t="str">
        <f>IF(SAISIE!$M545="","",SAISIE!$M545)</f>
        <v/>
      </c>
      <c r="M540" t="str">
        <f>IF(SAISIE!$N545="","",SAISIE!$N545)</f>
        <v/>
      </c>
      <c r="N540" t="str">
        <f>IF(SAISIE!$O545="","",SAISIE!$O545)</f>
        <v/>
      </c>
      <c r="O540" t="str">
        <f>IF(SAISIE!$P545="","",SAISIE!$P545)</f>
        <v/>
      </c>
      <c r="P540" t="str">
        <f>IF(SAISIE!$Q545="","",SAISIE!$Q545)</f>
        <v/>
      </c>
      <c r="Q540" t="str">
        <f>IF($I540="","",IF($I540&gt;PARAMETRES!$G$29,5,IF($I540&gt;PARAMETRES!$F$29,4,IF($I540&gt;PARAMETRES!$E$29,3,IF($I540&gt;PARAMETRES!$D$29,2,1)))))</f>
        <v/>
      </c>
      <c r="R540" t="str">
        <f>IF($J540="","",IF($J540&gt;PARAMETRES!$G$30,5,IF($J540&gt;PARAMETRES!$F$30,4,IF($J540&gt;PARAMETRES!$E$30,3,IF($J540&gt;PARAMETRES!$D$30,2,1)))))</f>
        <v/>
      </c>
      <c r="S540" t="str">
        <f>IF($K540="","",IF($Z540=2,IF($K540&gt;PARAMETRES!$G$31,5,IF($K540&gt;PARAMETRES!$F$31,4,IF($K540&gt;PARAMETRES!$E$31,3,IF($K540&gt;PARAMETRES!$D$31,2,1)))),IF($K540&gt;PARAMETRES!$G$32,5,IF($K540&gt;PARAMETRES!$F$32,4,IF($K540&gt;PARAMETRES!$E$32,3,IF($K540&gt;PARAMETRES!$D$32,2,1))))))</f>
        <v/>
      </c>
      <c r="T540" t="str">
        <f>IF($L540="","",IF($L540&gt;PARAMETRES!$G$33,5,IF($L540&gt;PARAMETRES!$F$33,4,IF($L540&gt;PARAMETRES!$E$33,3,IF($L540&gt;PARAMETRES!$D$33,2,1)))))</f>
        <v/>
      </c>
      <c r="U540" t="str">
        <f>IF($M540="","",IF($M540&gt;PARAMETRES!$G$34,5,IF($M540&gt;PARAMETRES!$F$34,4,IF($M540&gt;PARAMETRES!$E$34,3,IF($M540&gt;PARAMETRES!$D$34,2,1)))))</f>
        <v/>
      </c>
      <c r="V540" t="str">
        <f>IF($N540="","",IF($N540&gt;PARAMETRES!$G$35,5,IF($N540&gt;PARAMETRES!$F$35,4,IF($N540&gt;PARAMETRES!$E$35,3,IF($N540&gt;PARAMETRES!$D$35,2,1)))))</f>
        <v/>
      </c>
      <c r="W540" t="str">
        <f>IF($O540="","",IF($O540&gt;PARAMETRES!$G$36,5,IF($O540&gt;PARAMETRES!$F$36,4,IF($O540&gt;PARAMETRES!$E$36,3,IF($O540&gt;PARAMETRES!$D$36,2,1)))))</f>
        <v/>
      </c>
      <c r="X540" t="str">
        <f>IF($P540="","",IF($P540&gt;PARAMETRES!$G$37,5,IF($P540&gt;PARAMETRES!$F$37,4,IF($P540&gt;PARAMETRES!$E$37,3,IF($P540&gt;PARAMETRES!$D$37,2,1)))))</f>
        <v/>
      </c>
      <c r="Y540" t="str">
        <f t="shared" si="192"/>
        <v/>
      </c>
      <c r="Z540" t="str">
        <f>IFERROR(VLOOKUP($B540,TABLE_CYCLE,2,0),"")</f>
        <v/>
      </c>
      <c r="AA540" t="str">
        <f t="shared" si="193"/>
        <v/>
      </c>
      <c r="AB540" t="str">
        <f>IF($D540="","",IF(COUNTIF($D$2:$D540,$D540)=1,$D540,""))</f>
        <v/>
      </c>
      <c r="AC540">
        <f t="shared" si="194"/>
        <v>0</v>
      </c>
      <c r="AD540" t="str">
        <f t="shared" si="195"/>
        <v>|0</v>
      </c>
      <c r="AE540" t="str">
        <f t="shared" si="196"/>
        <v/>
      </c>
      <c r="AF540" t="str">
        <f t="shared" si="197"/>
        <v/>
      </c>
      <c r="AG540" t="str">
        <f t="shared" si="198"/>
        <v/>
      </c>
      <c r="AH540" t="str">
        <f t="shared" si="199"/>
        <v/>
      </c>
      <c r="AI540" t="str">
        <f t="shared" si="200"/>
        <v/>
      </c>
      <c r="AJ540" t="str">
        <f t="shared" si="201"/>
        <v/>
      </c>
      <c r="AK540" t="str">
        <f t="shared" si="202"/>
        <v/>
      </c>
      <c r="AL540" t="str">
        <f t="shared" si="203"/>
        <v/>
      </c>
      <c r="AM540" t="str">
        <f t="shared" si="204"/>
        <v/>
      </c>
      <c r="AN540" t="str">
        <f t="shared" si="205"/>
        <v/>
      </c>
      <c r="AO540" t="str">
        <f t="shared" si="206"/>
        <v/>
      </c>
      <c r="AP540">
        <f t="shared" si="207"/>
        <v>1</v>
      </c>
      <c r="AQ540" t="str">
        <f>IF(SAISIE!$F545="","",SAISIE!$Y545)</f>
        <v/>
      </c>
      <c r="AR540" t="str">
        <f>IF(OR(SAISIE!$U$4="",SAISIE!$W$4=""),"",IF(AND($A540=SAISIE!$U$4,$B540=SAISIE!$W$4,$C540="S1"),COUNTIFS($A$2:$A540,SAISIE!$U$4,$B$2:$B540,SAISIE!$W$4,$C$2:$C540,"S1"),""))</f>
        <v/>
      </c>
      <c r="AS540" t="str">
        <f t="shared" si="208"/>
        <v/>
      </c>
      <c r="AT540" t="str">
        <f t="shared" si="209"/>
        <v/>
      </c>
      <c r="AU540" t="str">
        <f t="shared" si="210"/>
        <v/>
      </c>
      <c r="AV540">
        <f>N(AV539)+IF(AND($AB540&lt;&gt;"",OR('PROFIL ELEVE'!$K$4="(Tous)",$AF540='PROFIL ELEVE'!$K$4)),1,0)</f>
        <v>0</v>
      </c>
      <c r="AW540">
        <f>N(AW539)+IF(AND($AB540&lt;&gt;"",OR('SUIVI LONGITUDINAL'!$Q$4="(Tous)",$AF540='SUIVI LONGITUDINAL'!$Q$4)),1,0)</f>
        <v>0</v>
      </c>
      <c r="AX540">
        <f t="shared" si="211"/>
        <v>0</v>
      </c>
      <c r="AY540">
        <f t="shared" si="212"/>
        <v>0</v>
      </c>
      <c r="AZ540">
        <f t="shared" si="213"/>
        <v>0</v>
      </c>
      <c r="BA540" t="str">
        <f t="shared" si="214"/>
        <v/>
      </c>
      <c r="BB540" t="str">
        <f t="shared" si="215"/>
        <v/>
      </c>
    </row>
    <row r="541" spans="1:54" ht="14.25" customHeight="1" x14ac:dyDescent="0.3">
      <c r="A541" t="str">
        <f>IF(SAISIE!$F546="","",SAISIE!$B546)</f>
        <v/>
      </c>
      <c r="B541" t="str">
        <f>IF(SAISIE!$F546="","",SAISIE!$C546)</f>
        <v/>
      </c>
      <c r="C541" t="str">
        <f>IF(SAISIE!$F546="","",SAISIE!$D546)</f>
        <v/>
      </c>
      <c r="D541" t="str">
        <f>IF(SAISIE!$E546="","",SAISIE!$E546)</f>
        <v/>
      </c>
      <c r="E541" t="str">
        <f>IF(SAISIE!$F546="","",SAISIE!$F546)</f>
        <v/>
      </c>
      <c r="F541" t="str">
        <f>IF(SAISIE!$G546="","",SAISIE!$G546)</f>
        <v/>
      </c>
      <c r="G541" t="str">
        <f>IF(SAISIE!$H546="","",SAISIE!$H546)</f>
        <v/>
      </c>
      <c r="H541" t="str">
        <f>IF(SAISIE!$I546="","",SAISIE!$I546)</f>
        <v/>
      </c>
      <c r="I541" t="str">
        <f>IF(SAISIE!$J546="","",SAISIE!$J546)</f>
        <v/>
      </c>
      <c r="J541" t="str">
        <f>IF(SAISIE!$K546="","",SAISIE!$K546)</f>
        <v/>
      </c>
      <c r="K541" t="str">
        <f>IF(SAISIE!$L546="","",SAISIE!$L546)</f>
        <v/>
      </c>
      <c r="L541" t="str">
        <f>IF(SAISIE!$M546="","",SAISIE!$M546)</f>
        <v/>
      </c>
      <c r="M541" t="str">
        <f>IF(SAISIE!$N546="","",SAISIE!$N546)</f>
        <v/>
      </c>
      <c r="N541" t="str">
        <f>IF(SAISIE!$O546="","",SAISIE!$O546)</f>
        <v/>
      </c>
      <c r="O541" t="str">
        <f>IF(SAISIE!$P546="","",SAISIE!$P546)</f>
        <v/>
      </c>
      <c r="P541" t="str">
        <f>IF(SAISIE!$Q546="","",SAISIE!$Q546)</f>
        <v/>
      </c>
      <c r="Q541" t="str">
        <f>IF($I541="","",IF($I541&gt;PARAMETRES!$G$29,5,IF($I541&gt;PARAMETRES!$F$29,4,IF($I541&gt;PARAMETRES!$E$29,3,IF($I541&gt;PARAMETRES!$D$29,2,1)))))</f>
        <v/>
      </c>
      <c r="R541" t="str">
        <f>IF($J541="","",IF($J541&gt;PARAMETRES!$G$30,5,IF($J541&gt;PARAMETRES!$F$30,4,IF($J541&gt;PARAMETRES!$E$30,3,IF($J541&gt;PARAMETRES!$D$30,2,1)))))</f>
        <v/>
      </c>
      <c r="S541" t="str">
        <f>IF($K541="","",IF($Z541=2,IF($K541&gt;PARAMETRES!$G$31,5,IF($K541&gt;PARAMETRES!$F$31,4,IF($K541&gt;PARAMETRES!$E$31,3,IF($K541&gt;PARAMETRES!$D$31,2,1)))),IF($K541&gt;PARAMETRES!$G$32,5,IF($K541&gt;PARAMETRES!$F$32,4,IF($K541&gt;PARAMETRES!$E$32,3,IF($K541&gt;PARAMETRES!$D$32,2,1))))))</f>
        <v/>
      </c>
      <c r="T541" t="str">
        <f>IF($L541="","",IF($L541&gt;PARAMETRES!$G$33,5,IF($L541&gt;PARAMETRES!$F$33,4,IF($L541&gt;PARAMETRES!$E$33,3,IF($L541&gt;PARAMETRES!$D$33,2,1)))))</f>
        <v/>
      </c>
      <c r="U541" t="str">
        <f>IF($M541="","",IF($M541&gt;PARAMETRES!$G$34,5,IF($M541&gt;PARAMETRES!$F$34,4,IF($M541&gt;PARAMETRES!$E$34,3,IF($M541&gt;PARAMETRES!$D$34,2,1)))))</f>
        <v/>
      </c>
      <c r="V541" t="str">
        <f>IF($N541="","",IF($N541&gt;PARAMETRES!$G$35,5,IF($N541&gt;PARAMETRES!$F$35,4,IF($N541&gt;PARAMETRES!$E$35,3,IF($N541&gt;PARAMETRES!$D$35,2,1)))))</f>
        <v/>
      </c>
      <c r="W541" t="str">
        <f>IF($O541="","",IF($O541&gt;PARAMETRES!$G$36,5,IF($O541&gt;PARAMETRES!$F$36,4,IF($O541&gt;PARAMETRES!$E$36,3,IF($O541&gt;PARAMETRES!$D$36,2,1)))))</f>
        <v/>
      </c>
      <c r="X541" t="str">
        <f>IF($P541="","",IF($P541&gt;PARAMETRES!$G$37,5,IF($P541&gt;PARAMETRES!$F$37,4,IF($P541&gt;PARAMETRES!$E$37,3,IF($P541&gt;PARAMETRES!$D$37,2,1)))))</f>
        <v/>
      </c>
      <c r="Y541" t="str">
        <f t="shared" si="192"/>
        <v/>
      </c>
      <c r="Z541" t="str">
        <f>IFERROR(VLOOKUP($B541,TABLE_CYCLE,2,0),"")</f>
        <v/>
      </c>
      <c r="AA541" t="str">
        <f t="shared" si="193"/>
        <v/>
      </c>
      <c r="AB541" t="str">
        <f>IF($D541="","",IF(COUNTIF($D$2:$D541,$D541)=1,$D541,""))</f>
        <v/>
      </c>
      <c r="AC541">
        <f t="shared" si="194"/>
        <v>0</v>
      </c>
      <c r="AD541" t="str">
        <f t="shared" si="195"/>
        <v>|0</v>
      </c>
      <c r="AE541" t="str">
        <f t="shared" si="196"/>
        <v/>
      </c>
      <c r="AF541" t="str">
        <f t="shared" si="197"/>
        <v/>
      </c>
      <c r="AG541" t="str">
        <f t="shared" si="198"/>
        <v/>
      </c>
      <c r="AH541" t="str">
        <f t="shared" si="199"/>
        <v/>
      </c>
      <c r="AI541" t="str">
        <f t="shared" si="200"/>
        <v/>
      </c>
      <c r="AJ541" t="str">
        <f t="shared" si="201"/>
        <v/>
      </c>
      <c r="AK541" t="str">
        <f t="shared" si="202"/>
        <v/>
      </c>
      <c r="AL541" t="str">
        <f t="shared" si="203"/>
        <v/>
      </c>
      <c r="AM541" t="str">
        <f t="shared" si="204"/>
        <v/>
      </c>
      <c r="AN541" t="str">
        <f t="shared" si="205"/>
        <v/>
      </c>
      <c r="AO541" t="str">
        <f t="shared" si="206"/>
        <v/>
      </c>
      <c r="AP541">
        <f t="shared" si="207"/>
        <v>1</v>
      </c>
      <c r="AQ541" t="str">
        <f>IF(SAISIE!$F546="","",SAISIE!$Y546)</f>
        <v/>
      </c>
      <c r="AR541" t="str">
        <f>IF(OR(SAISIE!$U$4="",SAISIE!$W$4=""),"",IF(AND($A541=SAISIE!$U$4,$B541=SAISIE!$W$4,$C541="S1"),COUNTIFS($A$2:$A541,SAISIE!$U$4,$B$2:$B541,SAISIE!$W$4,$C$2:$C541,"S1"),""))</f>
        <v/>
      </c>
      <c r="AS541" t="str">
        <f t="shared" si="208"/>
        <v/>
      </c>
      <c r="AT541" t="str">
        <f t="shared" si="209"/>
        <v/>
      </c>
      <c r="AU541" t="str">
        <f t="shared" si="210"/>
        <v/>
      </c>
      <c r="AV541">
        <f>N(AV540)+IF(AND($AB541&lt;&gt;"",OR('PROFIL ELEVE'!$K$4="(Tous)",$AF541='PROFIL ELEVE'!$K$4)),1,0)</f>
        <v>0</v>
      </c>
      <c r="AW541">
        <f>N(AW540)+IF(AND($AB541&lt;&gt;"",OR('SUIVI LONGITUDINAL'!$Q$4="(Tous)",$AF541='SUIVI LONGITUDINAL'!$Q$4)),1,0)</f>
        <v>0</v>
      </c>
      <c r="AX541">
        <f t="shared" si="211"/>
        <v>0</v>
      </c>
      <c r="AY541">
        <f t="shared" si="212"/>
        <v>0</v>
      </c>
      <c r="AZ541">
        <f t="shared" si="213"/>
        <v>0</v>
      </c>
      <c r="BA541" t="str">
        <f t="shared" si="214"/>
        <v/>
      </c>
      <c r="BB541" t="str">
        <f t="shared" si="215"/>
        <v/>
      </c>
    </row>
    <row r="542" spans="1:54" ht="14.25" customHeight="1" x14ac:dyDescent="0.3">
      <c r="A542" t="str">
        <f>IF(SAISIE!$F547="","",SAISIE!$B547)</f>
        <v/>
      </c>
      <c r="B542" t="str">
        <f>IF(SAISIE!$F547="","",SAISIE!$C547)</f>
        <v/>
      </c>
      <c r="C542" t="str">
        <f>IF(SAISIE!$F547="","",SAISIE!$D547)</f>
        <v/>
      </c>
      <c r="D542" t="str">
        <f>IF(SAISIE!$E547="","",SAISIE!$E547)</f>
        <v/>
      </c>
      <c r="E542" t="str">
        <f>IF(SAISIE!$F547="","",SAISIE!$F547)</f>
        <v/>
      </c>
      <c r="F542" t="str">
        <f>IF(SAISIE!$G547="","",SAISIE!$G547)</f>
        <v/>
      </c>
      <c r="G542" t="str">
        <f>IF(SAISIE!$H547="","",SAISIE!$H547)</f>
        <v/>
      </c>
      <c r="H542" t="str">
        <f>IF(SAISIE!$I547="","",SAISIE!$I547)</f>
        <v/>
      </c>
      <c r="I542" t="str">
        <f>IF(SAISIE!$J547="","",SAISIE!$J547)</f>
        <v/>
      </c>
      <c r="J542" t="str">
        <f>IF(SAISIE!$K547="","",SAISIE!$K547)</f>
        <v/>
      </c>
      <c r="K542" t="str">
        <f>IF(SAISIE!$L547="","",SAISIE!$L547)</f>
        <v/>
      </c>
      <c r="L542" t="str">
        <f>IF(SAISIE!$M547="","",SAISIE!$M547)</f>
        <v/>
      </c>
      <c r="M542" t="str">
        <f>IF(SAISIE!$N547="","",SAISIE!$N547)</f>
        <v/>
      </c>
      <c r="N542" t="str">
        <f>IF(SAISIE!$O547="","",SAISIE!$O547)</f>
        <v/>
      </c>
      <c r="O542" t="str">
        <f>IF(SAISIE!$P547="","",SAISIE!$P547)</f>
        <v/>
      </c>
      <c r="P542" t="str">
        <f>IF(SAISIE!$Q547="","",SAISIE!$Q547)</f>
        <v/>
      </c>
      <c r="Q542" t="str">
        <f>IF($I542="","",IF($I542&gt;PARAMETRES!$G$29,5,IF($I542&gt;PARAMETRES!$F$29,4,IF($I542&gt;PARAMETRES!$E$29,3,IF($I542&gt;PARAMETRES!$D$29,2,1)))))</f>
        <v/>
      </c>
      <c r="R542" t="str">
        <f>IF($J542="","",IF($J542&gt;PARAMETRES!$G$30,5,IF($J542&gt;PARAMETRES!$F$30,4,IF($J542&gt;PARAMETRES!$E$30,3,IF($J542&gt;PARAMETRES!$D$30,2,1)))))</f>
        <v/>
      </c>
      <c r="S542" t="str">
        <f>IF($K542="","",IF($Z542=2,IF($K542&gt;PARAMETRES!$G$31,5,IF($K542&gt;PARAMETRES!$F$31,4,IF($K542&gt;PARAMETRES!$E$31,3,IF($K542&gt;PARAMETRES!$D$31,2,1)))),IF($K542&gt;PARAMETRES!$G$32,5,IF($K542&gt;PARAMETRES!$F$32,4,IF($K542&gt;PARAMETRES!$E$32,3,IF($K542&gt;PARAMETRES!$D$32,2,1))))))</f>
        <v/>
      </c>
      <c r="T542" t="str">
        <f>IF($L542="","",IF($L542&gt;PARAMETRES!$G$33,5,IF($L542&gt;PARAMETRES!$F$33,4,IF($L542&gt;PARAMETRES!$E$33,3,IF($L542&gt;PARAMETRES!$D$33,2,1)))))</f>
        <v/>
      </c>
      <c r="U542" t="str">
        <f>IF($M542="","",IF($M542&gt;PARAMETRES!$G$34,5,IF($M542&gt;PARAMETRES!$F$34,4,IF($M542&gt;PARAMETRES!$E$34,3,IF($M542&gt;PARAMETRES!$D$34,2,1)))))</f>
        <v/>
      </c>
      <c r="V542" t="str">
        <f>IF($N542="","",IF($N542&gt;PARAMETRES!$G$35,5,IF($N542&gt;PARAMETRES!$F$35,4,IF($N542&gt;PARAMETRES!$E$35,3,IF($N542&gt;PARAMETRES!$D$35,2,1)))))</f>
        <v/>
      </c>
      <c r="W542" t="str">
        <f>IF($O542="","",IF($O542&gt;PARAMETRES!$G$36,5,IF($O542&gt;PARAMETRES!$F$36,4,IF($O542&gt;PARAMETRES!$E$36,3,IF($O542&gt;PARAMETRES!$D$36,2,1)))))</f>
        <v/>
      </c>
      <c r="X542" t="str">
        <f>IF($P542="","",IF($P542&gt;PARAMETRES!$G$37,5,IF($P542&gt;PARAMETRES!$F$37,4,IF($P542&gt;PARAMETRES!$E$37,3,IF($P542&gt;PARAMETRES!$D$37,2,1)))))</f>
        <v/>
      </c>
      <c r="Y542" t="str">
        <f t="shared" si="192"/>
        <v/>
      </c>
      <c r="Z542" t="str">
        <f>IFERROR(VLOOKUP($B542,TABLE_CYCLE,2,0),"")</f>
        <v/>
      </c>
      <c r="AA542" t="str">
        <f t="shared" si="193"/>
        <v/>
      </c>
      <c r="AB542" t="str">
        <f>IF($D542="","",IF(COUNTIF($D$2:$D542,$D542)=1,$D542,""))</f>
        <v/>
      </c>
      <c r="AC542">
        <f t="shared" si="194"/>
        <v>0</v>
      </c>
      <c r="AD542" t="str">
        <f t="shared" si="195"/>
        <v>|0</v>
      </c>
      <c r="AE542" t="str">
        <f t="shared" si="196"/>
        <v/>
      </c>
      <c r="AF542" t="str">
        <f t="shared" si="197"/>
        <v/>
      </c>
      <c r="AG542" t="str">
        <f t="shared" si="198"/>
        <v/>
      </c>
      <c r="AH542" t="str">
        <f t="shared" si="199"/>
        <v/>
      </c>
      <c r="AI542" t="str">
        <f t="shared" si="200"/>
        <v/>
      </c>
      <c r="AJ542" t="str">
        <f t="shared" si="201"/>
        <v/>
      </c>
      <c r="AK542" t="str">
        <f t="shared" si="202"/>
        <v/>
      </c>
      <c r="AL542" t="str">
        <f t="shared" si="203"/>
        <v/>
      </c>
      <c r="AM542" t="str">
        <f t="shared" si="204"/>
        <v/>
      </c>
      <c r="AN542" t="str">
        <f t="shared" si="205"/>
        <v/>
      </c>
      <c r="AO542" t="str">
        <f t="shared" si="206"/>
        <v/>
      </c>
      <c r="AP542">
        <f t="shared" si="207"/>
        <v>1</v>
      </c>
      <c r="AQ542" t="str">
        <f>IF(SAISIE!$F547="","",SAISIE!$Y547)</f>
        <v/>
      </c>
      <c r="AR542" t="str">
        <f>IF(OR(SAISIE!$U$4="",SAISIE!$W$4=""),"",IF(AND($A542=SAISIE!$U$4,$B542=SAISIE!$W$4,$C542="S1"),COUNTIFS($A$2:$A542,SAISIE!$U$4,$B$2:$B542,SAISIE!$W$4,$C$2:$C542,"S1"),""))</f>
        <v/>
      </c>
      <c r="AS542" t="str">
        <f t="shared" si="208"/>
        <v/>
      </c>
      <c r="AT542" t="str">
        <f t="shared" si="209"/>
        <v/>
      </c>
      <c r="AU542" t="str">
        <f t="shared" si="210"/>
        <v/>
      </c>
      <c r="AV542">
        <f>N(AV541)+IF(AND($AB542&lt;&gt;"",OR('PROFIL ELEVE'!$K$4="(Tous)",$AF542='PROFIL ELEVE'!$K$4)),1,0)</f>
        <v>0</v>
      </c>
      <c r="AW542">
        <f>N(AW541)+IF(AND($AB542&lt;&gt;"",OR('SUIVI LONGITUDINAL'!$Q$4="(Tous)",$AF542='SUIVI LONGITUDINAL'!$Q$4)),1,0)</f>
        <v>0</v>
      </c>
      <c r="AX542">
        <f t="shared" si="211"/>
        <v>0</v>
      </c>
      <c r="AY542">
        <f t="shared" si="212"/>
        <v>0</v>
      </c>
      <c r="AZ542">
        <f t="shared" si="213"/>
        <v>0</v>
      </c>
      <c r="BA542" t="str">
        <f t="shared" si="214"/>
        <v/>
      </c>
      <c r="BB542" t="str">
        <f t="shared" si="215"/>
        <v/>
      </c>
    </row>
    <row r="543" spans="1:54" ht="14.25" customHeight="1" x14ac:dyDescent="0.3">
      <c r="A543" t="str">
        <f>IF(SAISIE!$F548="","",SAISIE!$B548)</f>
        <v/>
      </c>
      <c r="B543" t="str">
        <f>IF(SAISIE!$F548="","",SAISIE!$C548)</f>
        <v/>
      </c>
      <c r="C543" t="str">
        <f>IF(SAISIE!$F548="","",SAISIE!$D548)</f>
        <v/>
      </c>
      <c r="D543" t="str">
        <f>IF(SAISIE!$E548="","",SAISIE!$E548)</f>
        <v/>
      </c>
      <c r="E543" t="str">
        <f>IF(SAISIE!$F548="","",SAISIE!$F548)</f>
        <v/>
      </c>
      <c r="F543" t="str">
        <f>IF(SAISIE!$G548="","",SAISIE!$G548)</f>
        <v/>
      </c>
      <c r="G543" t="str">
        <f>IF(SAISIE!$H548="","",SAISIE!$H548)</f>
        <v/>
      </c>
      <c r="H543" t="str">
        <f>IF(SAISIE!$I548="","",SAISIE!$I548)</f>
        <v/>
      </c>
      <c r="I543" t="str">
        <f>IF(SAISIE!$J548="","",SAISIE!$J548)</f>
        <v/>
      </c>
      <c r="J543" t="str">
        <f>IF(SAISIE!$K548="","",SAISIE!$K548)</f>
        <v/>
      </c>
      <c r="K543" t="str">
        <f>IF(SAISIE!$L548="","",SAISIE!$L548)</f>
        <v/>
      </c>
      <c r="L543" t="str">
        <f>IF(SAISIE!$M548="","",SAISIE!$M548)</f>
        <v/>
      </c>
      <c r="M543" t="str">
        <f>IF(SAISIE!$N548="","",SAISIE!$N548)</f>
        <v/>
      </c>
      <c r="N543" t="str">
        <f>IF(SAISIE!$O548="","",SAISIE!$O548)</f>
        <v/>
      </c>
      <c r="O543" t="str">
        <f>IF(SAISIE!$P548="","",SAISIE!$P548)</f>
        <v/>
      </c>
      <c r="P543" t="str">
        <f>IF(SAISIE!$Q548="","",SAISIE!$Q548)</f>
        <v/>
      </c>
      <c r="Q543" t="str">
        <f>IF($I543="","",IF($I543&gt;PARAMETRES!$G$29,5,IF($I543&gt;PARAMETRES!$F$29,4,IF($I543&gt;PARAMETRES!$E$29,3,IF($I543&gt;PARAMETRES!$D$29,2,1)))))</f>
        <v/>
      </c>
      <c r="R543" t="str">
        <f>IF($J543="","",IF($J543&gt;PARAMETRES!$G$30,5,IF($J543&gt;PARAMETRES!$F$30,4,IF($J543&gt;PARAMETRES!$E$30,3,IF($J543&gt;PARAMETRES!$D$30,2,1)))))</f>
        <v/>
      </c>
      <c r="S543" t="str">
        <f>IF($K543="","",IF($Z543=2,IF($K543&gt;PARAMETRES!$G$31,5,IF($K543&gt;PARAMETRES!$F$31,4,IF($K543&gt;PARAMETRES!$E$31,3,IF($K543&gt;PARAMETRES!$D$31,2,1)))),IF($K543&gt;PARAMETRES!$G$32,5,IF($K543&gt;PARAMETRES!$F$32,4,IF($K543&gt;PARAMETRES!$E$32,3,IF($K543&gt;PARAMETRES!$D$32,2,1))))))</f>
        <v/>
      </c>
      <c r="T543" t="str">
        <f>IF($L543="","",IF($L543&gt;PARAMETRES!$G$33,5,IF($L543&gt;PARAMETRES!$F$33,4,IF($L543&gt;PARAMETRES!$E$33,3,IF($L543&gt;PARAMETRES!$D$33,2,1)))))</f>
        <v/>
      </c>
      <c r="U543" t="str">
        <f>IF($M543="","",IF($M543&gt;PARAMETRES!$G$34,5,IF($M543&gt;PARAMETRES!$F$34,4,IF($M543&gt;PARAMETRES!$E$34,3,IF($M543&gt;PARAMETRES!$D$34,2,1)))))</f>
        <v/>
      </c>
      <c r="V543" t="str">
        <f>IF($N543="","",IF($N543&gt;PARAMETRES!$G$35,5,IF($N543&gt;PARAMETRES!$F$35,4,IF($N543&gt;PARAMETRES!$E$35,3,IF($N543&gt;PARAMETRES!$D$35,2,1)))))</f>
        <v/>
      </c>
      <c r="W543" t="str">
        <f>IF($O543="","",IF($O543&gt;PARAMETRES!$G$36,5,IF($O543&gt;PARAMETRES!$F$36,4,IF($O543&gt;PARAMETRES!$E$36,3,IF($O543&gt;PARAMETRES!$D$36,2,1)))))</f>
        <v/>
      </c>
      <c r="X543" t="str">
        <f>IF($P543="","",IF($P543&gt;PARAMETRES!$G$37,5,IF($P543&gt;PARAMETRES!$F$37,4,IF($P543&gt;PARAMETRES!$E$37,3,IF($P543&gt;PARAMETRES!$D$37,2,1)))))</f>
        <v/>
      </c>
      <c r="Y543" t="str">
        <f t="shared" si="192"/>
        <v/>
      </c>
      <c r="Z543" t="str">
        <f>IFERROR(VLOOKUP($B543,TABLE_CYCLE,2,0),"")</f>
        <v/>
      </c>
      <c r="AA543" t="str">
        <f t="shared" si="193"/>
        <v/>
      </c>
      <c r="AB543" t="str">
        <f>IF($D543="","",IF(COUNTIF($D$2:$D543,$D543)=1,$D543,""))</f>
        <v/>
      </c>
      <c r="AC543">
        <f t="shared" si="194"/>
        <v>0</v>
      </c>
      <c r="AD543" t="str">
        <f t="shared" si="195"/>
        <v>|0</v>
      </c>
      <c r="AE543" t="str">
        <f t="shared" si="196"/>
        <v/>
      </c>
      <c r="AF543" t="str">
        <f t="shared" si="197"/>
        <v/>
      </c>
      <c r="AG543" t="str">
        <f t="shared" si="198"/>
        <v/>
      </c>
      <c r="AH543" t="str">
        <f t="shared" si="199"/>
        <v/>
      </c>
      <c r="AI543" t="str">
        <f t="shared" si="200"/>
        <v/>
      </c>
      <c r="AJ543" t="str">
        <f t="shared" si="201"/>
        <v/>
      </c>
      <c r="AK543" t="str">
        <f t="shared" si="202"/>
        <v/>
      </c>
      <c r="AL543" t="str">
        <f t="shared" si="203"/>
        <v/>
      </c>
      <c r="AM543" t="str">
        <f t="shared" si="204"/>
        <v/>
      </c>
      <c r="AN543" t="str">
        <f t="shared" si="205"/>
        <v/>
      </c>
      <c r="AO543" t="str">
        <f t="shared" si="206"/>
        <v/>
      </c>
      <c r="AP543">
        <f t="shared" si="207"/>
        <v>1</v>
      </c>
      <c r="AQ543" t="str">
        <f>IF(SAISIE!$F548="","",SAISIE!$Y548)</f>
        <v/>
      </c>
      <c r="AR543" t="str">
        <f>IF(OR(SAISIE!$U$4="",SAISIE!$W$4=""),"",IF(AND($A543=SAISIE!$U$4,$B543=SAISIE!$W$4,$C543="S1"),COUNTIFS($A$2:$A543,SAISIE!$U$4,$B$2:$B543,SAISIE!$W$4,$C$2:$C543,"S1"),""))</f>
        <v/>
      </c>
      <c r="AS543" t="str">
        <f t="shared" si="208"/>
        <v/>
      </c>
      <c r="AT543" t="str">
        <f t="shared" si="209"/>
        <v/>
      </c>
      <c r="AU543" t="str">
        <f t="shared" si="210"/>
        <v/>
      </c>
      <c r="AV543">
        <f>N(AV542)+IF(AND($AB543&lt;&gt;"",OR('PROFIL ELEVE'!$K$4="(Tous)",$AF543='PROFIL ELEVE'!$K$4)),1,0)</f>
        <v>0</v>
      </c>
      <c r="AW543">
        <f>N(AW542)+IF(AND($AB543&lt;&gt;"",OR('SUIVI LONGITUDINAL'!$Q$4="(Tous)",$AF543='SUIVI LONGITUDINAL'!$Q$4)),1,0)</f>
        <v>0</v>
      </c>
      <c r="AX543">
        <f t="shared" si="211"/>
        <v>0</v>
      </c>
      <c r="AY543">
        <f t="shared" si="212"/>
        <v>0</v>
      </c>
      <c r="AZ543">
        <f t="shared" si="213"/>
        <v>0</v>
      </c>
      <c r="BA543" t="str">
        <f t="shared" si="214"/>
        <v/>
      </c>
      <c r="BB543" t="str">
        <f t="shared" si="215"/>
        <v/>
      </c>
    </row>
    <row r="544" spans="1:54" ht="14.25" customHeight="1" x14ac:dyDescent="0.3">
      <c r="A544" t="str">
        <f>IF(SAISIE!$F549="","",SAISIE!$B549)</f>
        <v/>
      </c>
      <c r="B544" t="str">
        <f>IF(SAISIE!$F549="","",SAISIE!$C549)</f>
        <v/>
      </c>
      <c r="C544" t="str">
        <f>IF(SAISIE!$F549="","",SAISIE!$D549)</f>
        <v/>
      </c>
      <c r="D544" t="str">
        <f>IF(SAISIE!$E549="","",SAISIE!$E549)</f>
        <v/>
      </c>
      <c r="E544" t="str">
        <f>IF(SAISIE!$F549="","",SAISIE!$F549)</f>
        <v/>
      </c>
      <c r="F544" t="str">
        <f>IF(SAISIE!$G549="","",SAISIE!$G549)</f>
        <v/>
      </c>
      <c r="G544" t="str">
        <f>IF(SAISIE!$H549="","",SAISIE!$H549)</f>
        <v/>
      </c>
      <c r="H544" t="str">
        <f>IF(SAISIE!$I549="","",SAISIE!$I549)</f>
        <v/>
      </c>
      <c r="I544" t="str">
        <f>IF(SAISIE!$J549="","",SAISIE!$J549)</f>
        <v/>
      </c>
      <c r="J544" t="str">
        <f>IF(SAISIE!$K549="","",SAISIE!$K549)</f>
        <v/>
      </c>
      <c r="K544" t="str">
        <f>IF(SAISIE!$L549="","",SAISIE!$L549)</f>
        <v/>
      </c>
      <c r="L544" t="str">
        <f>IF(SAISIE!$M549="","",SAISIE!$M549)</f>
        <v/>
      </c>
      <c r="M544" t="str">
        <f>IF(SAISIE!$N549="","",SAISIE!$N549)</f>
        <v/>
      </c>
      <c r="N544" t="str">
        <f>IF(SAISIE!$O549="","",SAISIE!$O549)</f>
        <v/>
      </c>
      <c r="O544" t="str">
        <f>IF(SAISIE!$P549="","",SAISIE!$P549)</f>
        <v/>
      </c>
      <c r="P544" t="str">
        <f>IF(SAISIE!$Q549="","",SAISIE!$Q549)</f>
        <v/>
      </c>
      <c r="Q544" t="str">
        <f>IF($I544="","",IF($I544&gt;PARAMETRES!$G$29,5,IF($I544&gt;PARAMETRES!$F$29,4,IF($I544&gt;PARAMETRES!$E$29,3,IF($I544&gt;PARAMETRES!$D$29,2,1)))))</f>
        <v/>
      </c>
      <c r="R544" t="str">
        <f>IF($J544="","",IF($J544&gt;PARAMETRES!$G$30,5,IF($J544&gt;PARAMETRES!$F$30,4,IF($J544&gt;PARAMETRES!$E$30,3,IF($J544&gt;PARAMETRES!$D$30,2,1)))))</f>
        <v/>
      </c>
      <c r="S544" t="str">
        <f>IF($K544="","",IF($Z544=2,IF($K544&gt;PARAMETRES!$G$31,5,IF($K544&gt;PARAMETRES!$F$31,4,IF($K544&gt;PARAMETRES!$E$31,3,IF($K544&gt;PARAMETRES!$D$31,2,1)))),IF($K544&gt;PARAMETRES!$G$32,5,IF($K544&gt;PARAMETRES!$F$32,4,IF($K544&gt;PARAMETRES!$E$32,3,IF($K544&gt;PARAMETRES!$D$32,2,1))))))</f>
        <v/>
      </c>
      <c r="T544" t="str">
        <f>IF($L544="","",IF($L544&gt;PARAMETRES!$G$33,5,IF($L544&gt;PARAMETRES!$F$33,4,IF($L544&gt;PARAMETRES!$E$33,3,IF($L544&gt;PARAMETRES!$D$33,2,1)))))</f>
        <v/>
      </c>
      <c r="U544" t="str">
        <f>IF($M544="","",IF($M544&gt;PARAMETRES!$G$34,5,IF($M544&gt;PARAMETRES!$F$34,4,IF($M544&gt;PARAMETRES!$E$34,3,IF($M544&gt;PARAMETRES!$D$34,2,1)))))</f>
        <v/>
      </c>
      <c r="V544" t="str">
        <f>IF($N544="","",IF($N544&gt;PARAMETRES!$G$35,5,IF($N544&gt;PARAMETRES!$F$35,4,IF($N544&gt;PARAMETRES!$E$35,3,IF($N544&gt;PARAMETRES!$D$35,2,1)))))</f>
        <v/>
      </c>
      <c r="W544" t="str">
        <f>IF($O544="","",IF($O544&gt;PARAMETRES!$G$36,5,IF($O544&gt;PARAMETRES!$F$36,4,IF($O544&gt;PARAMETRES!$E$36,3,IF($O544&gt;PARAMETRES!$D$36,2,1)))))</f>
        <v/>
      </c>
      <c r="X544" t="str">
        <f>IF($P544="","",IF($P544&gt;PARAMETRES!$G$37,5,IF($P544&gt;PARAMETRES!$F$37,4,IF($P544&gt;PARAMETRES!$E$37,3,IF($P544&gt;PARAMETRES!$D$37,2,1)))))</f>
        <v/>
      </c>
      <c r="Y544" t="str">
        <f t="shared" si="192"/>
        <v/>
      </c>
      <c r="Z544" t="str">
        <f>IFERROR(VLOOKUP($B544,TABLE_CYCLE,2,0),"")</f>
        <v/>
      </c>
      <c r="AA544" t="str">
        <f t="shared" si="193"/>
        <v/>
      </c>
      <c r="AB544" t="str">
        <f>IF($D544="","",IF(COUNTIF($D$2:$D544,$D544)=1,$D544,""))</f>
        <v/>
      </c>
      <c r="AC544">
        <f t="shared" si="194"/>
        <v>0</v>
      </c>
      <c r="AD544" t="str">
        <f t="shared" si="195"/>
        <v>|0</v>
      </c>
      <c r="AE544" t="str">
        <f t="shared" si="196"/>
        <v/>
      </c>
      <c r="AF544" t="str">
        <f t="shared" si="197"/>
        <v/>
      </c>
      <c r="AG544" t="str">
        <f t="shared" si="198"/>
        <v/>
      </c>
      <c r="AH544" t="str">
        <f t="shared" si="199"/>
        <v/>
      </c>
      <c r="AI544" t="str">
        <f t="shared" si="200"/>
        <v/>
      </c>
      <c r="AJ544" t="str">
        <f t="shared" si="201"/>
        <v/>
      </c>
      <c r="AK544" t="str">
        <f t="shared" si="202"/>
        <v/>
      </c>
      <c r="AL544" t="str">
        <f t="shared" si="203"/>
        <v/>
      </c>
      <c r="AM544" t="str">
        <f t="shared" si="204"/>
        <v/>
      </c>
      <c r="AN544" t="str">
        <f t="shared" si="205"/>
        <v/>
      </c>
      <c r="AO544" t="str">
        <f t="shared" si="206"/>
        <v/>
      </c>
      <c r="AP544">
        <f t="shared" si="207"/>
        <v>1</v>
      </c>
      <c r="AQ544" t="str">
        <f>IF(SAISIE!$F549="","",SAISIE!$Y549)</f>
        <v/>
      </c>
      <c r="AR544" t="str">
        <f>IF(OR(SAISIE!$U$4="",SAISIE!$W$4=""),"",IF(AND($A544=SAISIE!$U$4,$B544=SAISIE!$W$4,$C544="S1"),COUNTIFS($A$2:$A544,SAISIE!$U$4,$B$2:$B544,SAISIE!$W$4,$C$2:$C544,"S1"),""))</f>
        <v/>
      </c>
      <c r="AS544" t="str">
        <f t="shared" si="208"/>
        <v/>
      </c>
      <c r="AT544" t="str">
        <f t="shared" si="209"/>
        <v/>
      </c>
      <c r="AU544" t="str">
        <f t="shared" si="210"/>
        <v/>
      </c>
      <c r="AV544">
        <f>N(AV543)+IF(AND($AB544&lt;&gt;"",OR('PROFIL ELEVE'!$K$4="(Tous)",$AF544='PROFIL ELEVE'!$K$4)),1,0)</f>
        <v>0</v>
      </c>
      <c r="AW544">
        <f>N(AW543)+IF(AND($AB544&lt;&gt;"",OR('SUIVI LONGITUDINAL'!$Q$4="(Tous)",$AF544='SUIVI LONGITUDINAL'!$Q$4)),1,0)</f>
        <v>0</v>
      </c>
      <c r="AX544">
        <f t="shared" si="211"/>
        <v>0</v>
      </c>
      <c r="AY544">
        <f t="shared" si="212"/>
        <v>0</v>
      </c>
      <c r="AZ544">
        <f t="shared" si="213"/>
        <v>0</v>
      </c>
      <c r="BA544" t="str">
        <f t="shared" si="214"/>
        <v/>
      </c>
      <c r="BB544" t="str">
        <f t="shared" si="215"/>
        <v/>
      </c>
    </row>
    <row r="545" spans="1:54" ht="14.25" customHeight="1" x14ac:dyDescent="0.3">
      <c r="A545" t="str">
        <f>IF(SAISIE!$F550="","",SAISIE!$B550)</f>
        <v/>
      </c>
      <c r="B545" t="str">
        <f>IF(SAISIE!$F550="","",SAISIE!$C550)</f>
        <v/>
      </c>
      <c r="C545" t="str">
        <f>IF(SAISIE!$F550="","",SAISIE!$D550)</f>
        <v/>
      </c>
      <c r="D545" t="str">
        <f>IF(SAISIE!$E550="","",SAISIE!$E550)</f>
        <v/>
      </c>
      <c r="E545" t="str">
        <f>IF(SAISIE!$F550="","",SAISIE!$F550)</f>
        <v/>
      </c>
      <c r="F545" t="str">
        <f>IF(SAISIE!$G550="","",SAISIE!$G550)</f>
        <v/>
      </c>
      <c r="G545" t="str">
        <f>IF(SAISIE!$H550="","",SAISIE!$H550)</f>
        <v/>
      </c>
      <c r="H545" t="str">
        <f>IF(SAISIE!$I550="","",SAISIE!$I550)</f>
        <v/>
      </c>
      <c r="I545" t="str">
        <f>IF(SAISIE!$J550="","",SAISIE!$J550)</f>
        <v/>
      </c>
      <c r="J545" t="str">
        <f>IF(SAISIE!$K550="","",SAISIE!$K550)</f>
        <v/>
      </c>
      <c r="K545" t="str">
        <f>IF(SAISIE!$L550="","",SAISIE!$L550)</f>
        <v/>
      </c>
      <c r="L545" t="str">
        <f>IF(SAISIE!$M550="","",SAISIE!$M550)</f>
        <v/>
      </c>
      <c r="M545" t="str">
        <f>IF(SAISIE!$N550="","",SAISIE!$N550)</f>
        <v/>
      </c>
      <c r="N545" t="str">
        <f>IF(SAISIE!$O550="","",SAISIE!$O550)</f>
        <v/>
      </c>
      <c r="O545" t="str">
        <f>IF(SAISIE!$P550="","",SAISIE!$P550)</f>
        <v/>
      </c>
      <c r="P545" t="str">
        <f>IF(SAISIE!$Q550="","",SAISIE!$Q550)</f>
        <v/>
      </c>
      <c r="Q545" t="str">
        <f>IF($I545="","",IF($I545&gt;PARAMETRES!$G$29,5,IF($I545&gt;PARAMETRES!$F$29,4,IF($I545&gt;PARAMETRES!$E$29,3,IF($I545&gt;PARAMETRES!$D$29,2,1)))))</f>
        <v/>
      </c>
      <c r="R545" t="str">
        <f>IF($J545="","",IF($J545&gt;PARAMETRES!$G$30,5,IF($J545&gt;PARAMETRES!$F$30,4,IF($J545&gt;PARAMETRES!$E$30,3,IF($J545&gt;PARAMETRES!$D$30,2,1)))))</f>
        <v/>
      </c>
      <c r="S545" t="str">
        <f>IF($K545="","",IF($Z545=2,IF($K545&gt;PARAMETRES!$G$31,5,IF($K545&gt;PARAMETRES!$F$31,4,IF($K545&gt;PARAMETRES!$E$31,3,IF($K545&gt;PARAMETRES!$D$31,2,1)))),IF($K545&gt;PARAMETRES!$G$32,5,IF($K545&gt;PARAMETRES!$F$32,4,IF($K545&gt;PARAMETRES!$E$32,3,IF($K545&gt;PARAMETRES!$D$32,2,1))))))</f>
        <v/>
      </c>
      <c r="T545" t="str">
        <f>IF($L545="","",IF($L545&gt;PARAMETRES!$G$33,5,IF($L545&gt;PARAMETRES!$F$33,4,IF($L545&gt;PARAMETRES!$E$33,3,IF($L545&gt;PARAMETRES!$D$33,2,1)))))</f>
        <v/>
      </c>
      <c r="U545" t="str">
        <f>IF($M545="","",IF($M545&gt;PARAMETRES!$G$34,5,IF($M545&gt;PARAMETRES!$F$34,4,IF($M545&gt;PARAMETRES!$E$34,3,IF($M545&gt;PARAMETRES!$D$34,2,1)))))</f>
        <v/>
      </c>
      <c r="V545" t="str">
        <f>IF($N545="","",IF($N545&gt;PARAMETRES!$G$35,5,IF($N545&gt;PARAMETRES!$F$35,4,IF($N545&gt;PARAMETRES!$E$35,3,IF($N545&gt;PARAMETRES!$D$35,2,1)))))</f>
        <v/>
      </c>
      <c r="W545" t="str">
        <f>IF($O545="","",IF($O545&gt;PARAMETRES!$G$36,5,IF($O545&gt;PARAMETRES!$F$36,4,IF($O545&gt;PARAMETRES!$E$36,3,IF($O545&gt;PARAMETRES!$D$36,2,1)))))</f>
        <v/>
      </c>
      <c r="X545" t="str">
        <f>IF($P545="","",IF($P545&gt;PARAMETRES!$G$37,5,IF($P545&gt;PARAMETRES!$F$37,4,IF($P545&gt;PARAMETRES!$E$37,3,IF($P545&gt;PARAMETRES!$D$37,2,1)))))</f>
        <v/>
      </c>
      <c r="Y545" t="str">
        <f t="shared" si="192"/>
        <v/>
      </c>
      <c r="Z545" t="str">
        <f>IFERROR(VLOOKUP($B545,TABLE_CYCLE,2,0),"")</f>
        <v/>
      </c>
      <c r="AA545" t="str">
        <f t="shared" si="193"/>
        <v/>
      </c>
      <c r="AB545" t="str">
        <f>IF($D545="","",IF(COUNTIF($D$2:$D545,$D545)=1,$D545,""))</f>
        <v/>
      </c>
      <c r="AC545">
        <f t="shared" si="194"/>
        <v>0</v>
      </c>
      <c r="AD545" t="str">
        <f t="shared" si="195"/>
        <v>|0</v>
      </c>
      <c r="AE545" t="str">
        <f t="shared" si="196"/>
        <v/>
      </c>
      <c r="AF545" t="str">
        <f t="shared" si="197"/>
        <v/>
      </c>
      <c r="AG545" t="str">
        <f t="shared" si="198"/>
        <v/>
      </c>
      <c r="AH545" t="str">
        <f t="shared" si="199"/>
        <v/>
      </c>
      <c r="AI545" t="str">
        <f t="shared" si="200"/>
        <v/>
      </c>
      <c r="AJ545" t="str">
        <f t="shared" si="201"/>
        <v/>
      </c>
      <c r="AK545" t="str">
        <f t="shared" si="202"/>
        <v/>
      </c>
      <c r="AL545" t="str">
        <f t="shared" si="203"/>
        <v/>
      </c>
      <c r="AM545" t="str">
        <f t="shared" si="204"/>
        <v/>
      </c>
      <c r="AN545" t="str">
        <f t="shared" si="205"/>
        <v/>
      </c>
      <c r="AO545" t="str">
        <f t="shared" si="206"/>
        <v/>
      </c>
      <c r="AP545">
        <f t="shared" si="207"/>
        <v>1</v>
      </c>
      <c r="AQ545" t="str">
        <f>IF(SAISIE!$F550="","",SAISIE!$Y550)</f>
        <v/>
      </c>
      <c r="AR545" t="str">
        <f>IF(OR(SAISIE!$U$4="",SAISIE!$W$4=""),"",IF(AND($A545=SAISIE!$U$4,$B545=SAISIE!$W$4,$C545="S1"),COUNTIFS($A$2:$A545,SAISIE!$U$4,$B$2:$B545,SAISIE!$W$4,$C$2:$C545,"S1"),""))</f>
        <v/>
      </c>
      <c r="AS545" t="str">
        <f t="shared" si="208"/>
        <v/>
      </c>
      <c r="AT545" t="str">
        <f t="shared" si="209"/>
        <v/>
      </c>
      <c r="AU545" t="str">
        <f t="shared" si="210"/>
        <v/>
      </c>
      <c r="AV545">
        <f>N(AV544)+IF(AND($AB545&lt;&gt;"",OR('PROFIL ELEVE'!$K$4="(Tous)",$AF545='PROFIL ELEVE'!$K$4)),1,0)</f>
        <v>0</v>
      </c>
      <c r="AW545">
        <f>N(AW544)+IF(AND($AB545&lt;&gt;"",OR('SUIVI LONGITUDINAL'!$Q$4="(Tous)",$AF545='SUIVI LONGITUDINAL'!$Q$4)),1,0)</f>
        <v>0</v>
      </c>
      <c r="AX545">
        <f t="shared" si="211"/>
        <v>0</v>
      </c>
      <c r="AY545">
        <f t="shared" si="212"/>
        <v>0</v>
      </c>
      <c r="AZ545">
        <f t="shared" si="213"/>
        <v>0</v>
      </c>
      <c r="BA545" t="str">
        <f t="shared" si="214"/>
        <v/>
      </c>
      <c r="BB545" t="str">
        <f t="shared" si="215"/>
        <v/>
      </c>
    </row>
    <row r="546" spans="1:54" ht="14.25" customHeight="1" x14ac:dyDescent="0.3">
      <c r="A546" t="str">
        <f>IF(SAISIE!$F551="","",SAISIE!$B551)</f>
        <v/>
      </c>
      <c r="B546" t="str">
        <f>IF(SAISIE!$F551="","",SAISIE!$C551)</f>
        <v/>
      </c>
      <c r="C546" t="str">
        <f>IF(SAISIE!$F551="","",SAISIE!$D551)</f>
        <v/>
      </c>
      <c r="D546" t="str">
        <f>IF(SAISIE!$E551="","",SAISIE!$E551)</f>
        <v/>
      </c>
      <c r="E546" t="str">
        <f>IF(SAISIE!$F551="","",SAISIE!$F551)</f>
        <v/>
      </c>
      <c r="F546" t="str">
        <f>IF(SAISIE!$G551="","",SAISIE!$G551)</f>
        <v/>
      </c>
      <c r="G546" t="str">
        <f>IF(SAISIE!$H551="","",SAISIE!$H551)</f>
        <v/>
      </c>
      <c r="H546" t="str">
        <f>IF(SAISIE!$I551="","",SAISIE!$I551)</f>
        <v/>
      </c>
      <c r="I546" t="str">
        <f>IF(SAISIE!$J551="","",SAISIE!$J551)</f>
        <v/>
      </c>
      <c r="J546" t="str">
        <f>IF(SAISIE!$K551="","",SAISIE!$K551)</f>
        <v/>
      </c>
      <c r="K546" t="str">
        <f>IF(SAISIE!$L551="","",SAISIE!$L551)</f>
        <v/>
      </c>
      <c r="L546" t="str">
        <f>IF(SAISIE!$M551="","",SAISIE!$M551)</f>
        <v/>
      </c>
      <c r="M546" t="str">
        <f>IF(SAISIE!$N551="","",SAISIE!$N551)</f>
        <v/>
      </c>
      <c r="N546" t="str">
        <f>IF(SAISIE!$O551="","",SAISIE!$O551)</f>
        <v/>
      </c>
      <c r="O546" t="str">
        <f>IF(SAISIE!$P551="","",SAISIE!$P551)</f>
        <v/>
      </c>
      <c r="P546" t="str">
        <f>IF(SAISIE!$Q551="","",SAISIE!$Q551)</f>
        <v/>
      </c>
      <c r="Q546" t="str">
        <f>IF($I546="","",IF($I546&gt;PARAMETRES!$G$29,5,IF($I546&gt;PARAMETRES!$F$29,4,IF($I546&gt;PARAMETRES!$E$29,3,IF($I546&gt;PARAMETRES!$D$29,2,1)))))</f>
        <v/>
      </c>
      <c r="R546" t="str">
        <f>IF($J546="","",IF($J546&gt;PARAMETRES!$G$30,5,IF($J546&gt;PARAMETRES!$F$30,4,IF($J546&gt;PARAMETRES!$E$30,3,IF($J546&gt;PARAMETRES!$D$30,2,1)))))</f>
        <v/>
      </c>
      <c r="S546" t="str">
        <f>IF($K546="","",IF($Z546=2,IF($K546&gt;PARAMETRES!$G$31,5,IF($K546&gt;PARAMETRES!$F$31,4,IF($K546&gt;PARAMETRES!$E$31,3,IF($K546&gt;PARAMETRES!$D$31,2,1)))),IF($K546&gt;PARAMETRES!$G$32,5,IF($K546&gt;PARAMETRES!$F$32,4,IF($K546&gt;PARAMETRES!$E$32,3,IF($K546&gt;PARAMETRES!$D$32,2,1))))))</f>
        <v/>
      </c>
      <c r="T546" t="str">
        <f>IF($L546="","",IF($L546&gt;PARAMETRES!$G$33,5,IF($L546&gt;PARAMETRES!$F$33,4,IF($L546&gt;PARAMETRES!$E$33,3,IF($L546&gt;PARAMETRES!$D$33,2,1)))))</f>
        <v/>
      </c>
      <c r="U546" t="str">
        <f>IF($M546="","",IF($M546&gt;PARAMETRES!$G$34,5,IF($M546&gt;PARAMETRES!$F$34,4,IF($M546&gt;PARAMETRES!$E$34,3,IF($M546&gt;PARAMETRES!$D$34,2,1)))))</f>
        <v/>
      </c>
      <c r="V546" t="str">
        <f>IF($N546="","",IF($N546&gt;PARAMETRES!$G$35,5,IF($N546&gt;PARAMETRES!$F$35,4,IF($N546&gt;PARAMETRES!$E$35,3,IF($N546&gt;PARAMETRES!$D$35,2,1)))))</f>
        <v/>
      </c>
      <c r="W546" t="str">
        <f>IF($O546="","",IF($O546&gt;PARAMETRES!$G$36,5,IF($O546&gt;PARAMETRES!$F$36,4,IF($O546&gt;PARAMETRES!$E$36,3,IF($O546&gt;PARAMETRES!$D$36,2,1)))))</f>
        <v/>
      </c>
      <c r="X546" t="str">
        <f>IF($P546="","",IF($P546&gt;PARAMETRES!$G$37,5,IF($P546&gt;PARAMETRES!$F$37,4,IF($P546&gt;PARAMETRES!$E$37,3,IF($P546&gt;PARAMETRES!$D$37,2,1)))))</f>
        <v/>
      </c>
      <c r="Y546" t="str">
        <f t="shared" si="192"/>
        <v/>
      </c>
      <c r="Z546" t="str">
        <f>IFERROR(VLOOKUP($B546,TABLE_CYCLE,2,0),"")</f>
        <v/>
      </c>
      <c r="AA546" t="str">
        <f t="shared" si="193"/>
        <v/>
      </c>
      <c r="AB546" t="str">
        <f>IF($D546="","",IF(COUNTIF($D$2:$D546,$D546)=1,$D546,""))</f>
        <v/>
      </c>
      <c r="AC546">
        <f t="shared" si="194"/>
        <v>0</v>
      </c>
      <c r="AD546" t="str">
        <f t="shared" si="195"/>
        <v>|0</v>
      </c>
      <c r="AE546" t="str">
        <f t="shared" si="196"/>
        <v/>
      </c>
      <c r="AF546" t="str">
        <f t="shared" si="197"/>
        <v/>
      </c>
      <c r="AG546" t="str">
        <f t="shared" si="198"/>
        <v/>
      </c>
      <c r="AH546" t="str">
        <f t="shared" si="199"/>
        <v/>
      </c>
      <c r="AI546" t="str">
        <f t="shared" si="200"/>
        <v/>
      </c>
      <c r="AJ546" t="str">
        <f t="shared" si="201"/>
        <v/>
      </c>
      <c r="AK546" t="str">
        <f t="shared" si="202"/>
        <v/>
      </c>
      <c r="AL546" t="str">
        <f t="shared" si="203"/>
        <v/>
      </c>
      <c r="AM546" t="str">
        <f t="shared" si="204"/>
        <v/>
      </c>
      <c r="AN546" t="str">
        <f t="shared" si="205"/>
        <v/>
      </c>
      <c r="AO546" t="str">
        <f t="shared" si="206"/>
        <v/>
      </c>
      <c r="AP546">
        <f t="shared" si="207"/>
        <v>1</v>
      </c>
      <c r="AQ546" t="str">
        <f>IF(SAISIE!$F551="","",SAISIE!$Y551)</f>
        <v/>
      </c>
      <c r="AR546" t="str">
        <f>IF(OR(SAISIE!$U$4="",SAISIE!$W$4=""),"",IF(AND($A546=SAISIE!$U$4,$B546=SAISIE!$W$4,$C546="S1"),COUNTIFS($A$2:$A546,SAISIE!$U$4,$B$2:$B546,SAISIE!$W$4,$C$2:$C546,"S1"),""))</f>
        <v/>
      </c>
      <c r="AS546" t="str">
        <f t="shared" si="208"/>
        <v/>
      </c>
      <c r="AT546" t="str">
        <f t="shared" si="209"/>
        <v/>
      </c>
      <c r="AU546" t="str">
        <f t="shared" si="210"/>
        <v/>
      </c>
      <c r="AV546">
        <f>N(AV545)+IF(AND($AB546&lt;&gt;"",OR('PROFIL ELEVE'!$K$4="(Tous)",$AF546='PROFIL ELEVE'!$K$4)),1,0)</f>
        <v>0</v>
      </c>
      <c r="AW546">
        <f>N(AW545)+IF(AND($AB546&lt;&gt;"",OR('SUIVI LONGITUDINAL'!$Q$4="(Tous)",$AF546='SUIVI LONGITUDINAL'!$Q$4)),1,0)</f>
        <v>0</v>
      </c>
      <c r="AX546">
        <f t="shared" si="211"/>
        <v>0</v>
      </c>
      <c r="AY546">
        <f t="shared" si="212"/>
        <v>0</v>
      </c>
      <c r="AZ546">
        <f t="shared" si="213"/>
        <v>0</v>
      </c>
      <c r="BA546" t="str">
        <f t="shared" si="214"/>
        <v/>
      </c>
      <c r="BB546" t="str">
        <f t="shared" si="215"/>
        <v/>
      </c>
    </row>
    <row r="547" spans="1:54" ht="14.25" customHeight="1" x14ac:dyDescent="0.3">
      <c r="A547" t="str">
        <f>IF(SAISIE!$F552="","",SAISIE!$B552)</f>
        <v/>
      </c>
      <c r="B547" t="str">
        <f>IF(SAISIE!$F552="","",SAISIE!$C552)</f>
        <v/>
      </c>
      <c r="C547" t="str">
        <f>IF(SAISIE!$F552="","",SAISIE!$D552)</f>
        <v/>
      </c>
      <c r="D547" t="str">
        <f>IF(SAISIE!$E552="","",SAISIE!$E552)</f>
        <v/>
      </c>
      <c r="E547" t="str">
        <f>IF(SAISIE!$F552="","",SAISIE!$F552)</f>
        <v/>
      </c>
      <c r="F547" t="str">
        <f>IF(SAISIE!$G552="","",SAISIE!$G552)</f>
        <v/>
      </c>
      <c r="G547" t="str">
        <f>IF(SAISIE!$H552="","",SAISIE!$H552)</f>
        <v/>
      </c>
      <c r="H547" t="str">
        <f>IF(SAISIE!$I552="","",SAISIE!$I552)</f>
        <v/>
      </c>
      <c r="I547" t="str">
        <f>IF(SAISIE!$J552="","",SAISIE!$J552)</f>
        <v/>
      </c>
      <c r="J547" t="str">
        <f>IF(SAISIE!$K552="","",SAISIE!$K552)</f>
        <v/>
      </c>
      <c r="K547" t="str">
        <f>IF(SAISIE!$L552="","",SAISIE!$L552)</f>
        <v/>
      </c>
      <c r="L547" t="str">
        <f>IF(SAISIE!$M552="","",SAISIE!$M552)</f>
        <v/>
      </c>
      <c r="M547" t="str">
        <f>IF(SAISIE!$N552="","",SAISIE!$N552)</f>
        <v/>
      </c>
      <c r="N547" t="str">
        <f>IF(SAISIE!$O552="","",SAISIE!$O552)</f>
        <v/>
      </c>
      <c r="O547" t="str">
        <f>IF(SAISIE!$P552="","",SAISIE!$P552)</f>
        <v/>
      </c>
      <c r="P547" t="str">
        <f>IF(SAISIE!$Q552="","",SAISIE!$Q552)</f>
        <v/>
      </c>
      <c r="Q547" t="str">
        <f>IF($I547="","",IF($I547&gt;PARAMETRES!$G$29,5,IF($I547&gt;PARAMETRES!$F$29,4,IF($I547&gt;PARAMETRES!$E$29,3,IF($I547&gt;PARAMETRES!$D$29,2,1)))))</f>
        <v/>
      </c>
      <c r="R547" t="str">
        <f>IF($J547="","",IF($J547&gt;PARAMETRES!$G$30,5,IF($J547&gt;PARAMETRES!$F$30,4,IF($J547&gt;PARAMETRES!$E$30,3,IF($J547&gt;PARAMETRES!$D$30,2,1)))))</f>
        <v/>
      </c>
      <c r="S547" t="str">
        <f>IF($K547="","",IF($Z547=2,IF($K547&gt;PARAMETRES!$G$31,5,IF($K547&gt;PARAMETRES!$F$31,4,IF($K547&gt;PARAMETRES!$E$31,3,IF($K547&gt;PARAMETRES!$D$31,2,1)))),IF($K547&gt;PARAMETRES!$G$32,5,IF($K547&gt;PARAMETRES!$F$32,4,IF($K547&gt;PARAMETRES!$E$32,3,IF($K547&gt;PARAMETRES!$D$32,2,1))))))</f>
        <v/>
      </c>
      <c r="T547" t="str">
        <f>IF($L547="","",IF($L547&gt;PARAMETRES!$G$33,5,IF($L547&gt;PARAMETRES!$F$33,4,IF($L547&gt;PARAMETRES!$E$33,3,IF($L547&gt;PARAMETRES!$D$33,2,1)))))</f>
        <v/>
      </c>
      <c r="U547" t="str">
        <f>IF($M547="","",IF($M547&gt;PARAMETRES!$G$34,5,IF($M547&gt;PARAMETRES!$F$34,4,IF($M547&gt;PARAMETRES!$E$34,3,IF($M547&gt;PARAMETRES!$D$34,2,1)))))</f>
        <v/>
      </c>
      <c r="V547" t="str">
        <f>IF($N547="","",IF($N547&gt;PARAMETRES!$G$35,5,IF($N547&gt;PARAMETRES!$F$35,4,IF($N547&gt;PARAMETRES!$E$35,3,IF($N547&gt;PARAMETRES!$D$35,2,1)))))</f>
        <v/>
      </c>
      <c r="W547" t="str">
        <f>IF($O547="","",IF($O547&gt;PARAMETRES!$G$36,5,IF($O547&gt;PARAMETRES!$F$36,4,IF($O547&gt;PARAMETRES!$E$36,3,IF($O547&gt;PARAMETRES!$D$36,2,1)))))</f>
        <v/>
      </c>
      <c r="X547" t="str">
        <f>IF($P547="","",IF($P547&gt;PARAMETRES!$G$37,5,IF($P547&gt;PARAMETRES!$F$37,4,IF($P547&gt;PARAMETRES!$E$37,3,IF($P547&gt;PARAMETRES!$D$37,2,1)))))</f>
        <v/>
      </c>
      <c r="Y547" t="str">
        <f t="shared" si="192"/>
        <v/>
      </c>
      <c r="Z547" t="str">
        <f>IFERROR(VLOOKUP($B547,TABLE_CYCLE,2,0),"")</f>
        <v/>
      </c>
      <c r="AA547" t="str">
        <f t="shared" si="193"/>
        <v/>
      </c>
      <c r="AB547" t="str">
        <f>IF($D547="","",IF(COUNTIF($D$2:$D547,$D547)=1,$D547,""))</f>
        <v/>
      </c>
      <c r="AC547">
        <f t="shared" si="194"/>
        <v>0</v>
      </c>
      <c r="AD547" t="str">
        <f t="shared" si="195"/>
        <v>|0</v>
      </c>
      <c r="AE547" t="str">
        <f t="shared" si="196"/>
        <v/>
      </c>
      <c r="AF547" t="str">
        <f t="shared" si="197"/>
        <v/>
      </c>
      <c r="AG547" t="str">
        <f t="shared" si="198"/>
        <v/>
      </c>
      <c r="AH547" t="str">
        <f t="shared" si="199"/>
        <v/>
      </c>
      <c r="AI547" t="str">
        <f t="shared" si="200"/>
        <v/>
      </c>
      <c r="AJ547" t="str">
        <f t="shared" si="201"/>
        <v/>
      </c>
      <c r="AK547" t="str">
        <f t="shared" si="202"/>
        <v/>
      </c>
      <c r="AL547" t="str">
        <f t="shared" si="203"/>
        <v/>
      </c>
      <c r="AM547" t="str">
        <f t="shared" si="204"/>
        <v/>
      </c>
      <c r="AN547" t="str">
        <f t="shared" si="205"/>
        <v/>
      </c>
      <c r="AO547" t="str">
        <f t="shared" si="206"/>
        <v/>
      </c>
      <c r="AP547">
        <f t="shared" si="207"/>
        <v>1</v>
      </c>
      <c r="AQ547" t="str">
        <f>IF(SAISIE!$F552="","",SAISIE!$Y552)</f>
        <v/>
      </c>
      <c r="AR547" t="str">
        <f>IF(OR(SAISIE!$U$4="",SAISIE!$W$4=""),"",IF(AND($A547=SAISIE!$U$4,$B547=SAISIE!$W$4,$C547="S1"),COUNTIFS($A$2:$A547,SAISIE!$U$4,$B$2:$B547,SAISIE!$W$4,$C$2:$C547,"S1"),""))</f>
        <v/>
      </c>
      <c r="AS547" t="str">
        <f t="shared" si="208"/>
        <v/>
      </c>
      <c r="AT547" t="str">
        <f t="shared" si="209"/>
        <v/>
      </c>
      <c r="AU547" t="str">
        <f t="shared" si="210"/>
        <v/>
      </c>
      <c r="AV547">
        <f>N(AV546)+IF(AND($AB547&lt;&gt;"",OR('PROFIL ELEVE'!$K$4="(Tous)",$AF547='PROFIL ELEVE'!$K$4)),1,0)</f>
        <v>0</v>
      </c>
      <c r="AW547">
        <f>N(AW546)+IF(AND($AB547&lt;&gt;"",OR('SUIVI LONGITUDINAL'!$Q$4="(Tous)",$AF547='SUIVI LONGITUDINAL'!$Q$4)),1,0)</f>
        <v>0</v>
      </c>
      <c r="AX547">
        <f t="shared" si="211"/>
        <v>0</v>
      </c>
      <c r="AY547">
        <f t="shared" si="212"/>
        <v>0</v>
      </c>
      <c r="AZ547">
        <f t="shared" si="213"/>
        <v>0</v>
      </c>
      <c r="BA547" t="str">
        <f t="shared" si="214"/>
        <v/>
      </c>
      <c r="BB547" t="str">
        <f t="shared" si="215"/>
        <v/>
      </c>
    </row>
    <row r="548" spans="1:54" ht="14.25" customHeight="1" x14ac:dyDescent="0.3">
      <c r="A548" t="str">
        <f>IF(SAISIE!$F553="","",SAISIE!$B553)</f>
        <v/>
      </c>
      <c r="B548" t="str">
        <f>IF(SAISIE!$F553="","",SAISIE!$C553)</f>
        <v/>
      </c>
      <c r="C548" t="str">
        <f>IF(SAISIE!$F553="","",SAISIE!$D553)</f>
        <v/>
      </c>
      <c r="D548" t="str">
        <f>IF(SAISIE!$E553="","",SAISIE!$E553)</f>
        <v/>
      </c>
      <c r="E548" t="str">
        <f>IF(SAISIE!$F553="","",SAISIE!$F553)</f>
        <v/>
      </c>
      <c r="F548" t="str">
        <f>IF(SAISIE!$G553="","",SAISIE!$G553)</f>
        <v/>
      </c>
      <c r="G548" t="str">
        <f>IF(SAISIE!$H553="","",SAISIE!$H553)</f>
        <v/>
      </c>
      <c r="H548" t="str">
        <f>IF(SAISIE!$I553="","",SAISIE!$I553)</f>
        <v/>
      </c>
      <c r="I548" t="str">
        <f>IF(SAISIE!$J553="","",SAISIE!$J553)</f>
        <v/>
      </c>
      <c r="J548" t="str">
        <f>IF(SAISIE!$K553="","",SAISIE!$K553)</f>
        <v/>
      </c>
      <c r="K548" t="str">
        <f>IF(SAISIE!$L553="","",SAISIE!$L553)</f>
        <v/>
      </c>
      <c r="L548" t="str">
        <f>IF(SAISIE!$M553="","",SAISIE!$M553)</f>
        <v/>
      </c>
      <c r="M548" t="str">
        <f>IF(SAISIE!$N553="","",SAISIE!$N553)</f>
        <v/>
      </c>
      <c r="N548" t="str">
        <f>IF(SAISIE!$O553="","",SAISIE!$O553)</f>
        <v/>
      </c>
      <c r="O548" t="str">
        <f>IF(SAISIE!$P553="","",SAISIE!$P553)</f>
        <v/>
      </c>
      <c r="P548" t="str">
        <f>IF(SAISIE!$Q553="","",SAISIE!$Q553)</f>
        <v/>
      </c>
      <c r="Q548" t="str">
        <f>IF($I548="","",IF($I548&gt;PARAMETRES!$G$29,5,IF($I548&gt;PARAMETRES!$F$29,4,IF($I548&gt;PARAMETRES!$E$29,3,IF($I548&gt;PARAMETRES!$D$29,2,1)))))</f>
        <v/>
      </c>
      <c r="R548" t="str">
        <f>IF($J548="","",IF($J548&gt;PARAMETRES!$G$30,5,IF($J548&gt;PARAMETRES!$F$30,4,IF($J548&gt;PARAMETRES!$E$30,3,IF($J548&gt;PARAMETRES!$D$30,2,1)))))</f>
        <v/>
      </c>
      <c r="S548" t="str">
        <f>IF($K548="","",IF($Z548=2,IF($K548&gt;PARAMETRES!$G$31,5,IF($K548&gt;PARAMETRES!$F$31,4,IF($K548&gt;PARAMETRES!$E$31,3,IF($K548&gt;PARAMETRES!$D$31,2,1)))),IF($K548&gt;PARAMETRES!$G$32,5,IF($K548&gt;PARAMETRES!$F$32,4,IF($K548&gt;PARAMETRES!$E$32,3,IF($K548&gt;PARAMETRES!$D$32,2,1))))))</f>
        <v/>
      </c>
      <c r="T548" t="str">
        <f>IF($L548="","",IF($L548&gt;PARAMETRES!$G$33,5,IF($L548&gt;PARAMETRES!$F$33,4,IF($L548&gt;PARAMETRES!$E$33,3,IF($L548&gt;PARAMETRES!$D$33,2,1)))))</f>
        <v/>
      </c>
      <c r="U548" t="str">
        <f>IF($M548="","",IF($M548&gt;PARAMETRES!$G$34,5,IF($M548&gt;PARAMETRES!$F$34,4,IF($M548&gt;PARAMETRES!$E$34,3,IF($M548&gt;PARAMETRES!$D$34,2,1)))))</f>
        <v/>
      </c>
      <c r="V548" t="str">
        <f>IF($N548="","",IF($N548&gt;PARAMETRES!$G$35,5,IF($N548&gt;PARAMETRES!$F$35,4,IF($N548&gt;PARAMETRES!$E$35,3,IF($N548&gt;PARAMETRES!$D$35,2,1)))))</f>
        <v/>
      </c>
      <c r="W548" t="str">
        <f>IF($O548="","",IF($O548&gt;PARAMETRES!$G$36,5,IF($O548&gt;PARAMETRES!$F$36,4,IF($O548&gt;PARAMETRES!$E$36,3,IF($O548&gt;PARAMETRES!$D$36,2,1)))))</f>
        <v/>
      </c>
      <c r="X548" t="str">
        <f>IF($P548="","",IF($P548&gt;PARAMETRES!$G$37,5,IF($P548&gt;PARAMETRES!$F$37,4,IF($P548&gt;PARAMETRES!$E$37,3,IF($P548&gt;PARAMETRES!$D$37,2,1)))))</f>
        <v/>
      </c>
      <c r="Y548" t="str">
        <f t="shared" si="192"/>
        <v/>
      </c>
      <c r="Z548" t="str">
        <f>IFERROR(VLOOKUP($B548,TABLE_CYCLE,2,0),"")</f>
        <v/>
      </c>
      <c r="AA548" t="str">
        <f t="shared" si="193"/>
        <v/>
      </c>
      <c r="AB548" t="str">
        <f>IF($D548="","",IF(COUNTIF($D$2:$D548,$D548)=1,$D548,""))</f>
        <v/>
      </c>
      <c r="AC548">
        <f t="shared" si="194"/>
        <v>0</v>
      </c>
      <c r="AD548" t="str">
        <f t="shared" si="195"/>
        <v>|0</v>
      </c>
      <c r="AE548" t="str">
        <f t="shared" si="196"/>
        <v/>
      </c>
      <c r="AF548" t="str">
        <f t="shared" si="197"/>
        <v/>
      </c>
      <c r="AG548" t="str">
        <f t="shared" si="198"/>
        <v/>
      </c>
      <c r="AH548" t="str">
        <f t="shared" si="199"/>
        <v/>
      </c>
      <c r="AI548" t="str">
        <f t="shared" si="200"/>
        <v/>
      </c>
      <c r="AJ548" t="str">
        <f t="shared" si="201"/>
        <v/>
      </c>
      <c r="AK548" t="str">
        <f t="shared" si="202"/>
        <v/>
      </c>
      <c r="AL548" t="str">
        <f t="shared" si="203"/>
        <v/>
      </c>
      <c r="AM548" t="str">
        <f t="shared" si="204"/>
        <v/>
      </c>
      <c r="AN548" t="str">
        <f t="shared" si="205"/>
        <v/>
      </c>
      <c r="AO548" t="str">
        <f t="shared" si="206"/>
        <v/>
      </c>
      <c r="AP548">
        <f t="shared" si="207"/>
        <v>1</v>
      </c>
      <c r="AQ548" t="str">
        <f>IF(SAISIE!$F553="","",SAISIE!$Y553)</f>
        <v/>
      </c>
      <c r="AR548" t="str">
        <f>IF(OR(SAISIE!$U$4="",SAISIE!$W$4=""),"",IF(AND($A548=SAISIE!$U$4,$B548=SAISIE!$W$4,$C548="S1"),COUNTIFS($A$2:$A548,SAISIE!$U$4,$B$2:$B548,SAISIE!$W$4,$C$2:$C548,"S1"),""))</f>
        <v/>
      </c>
      <c r="AS548" t="str">
        <f t="shared" si="208"/>
        <v/>
      </c>
      <c r="AT548" t="str">
        <f t="shared" si="209"/>
        <v/>
      </c>
      <c r="AU548" t="str">
        <f t="shared" si="210"/>
        <v/>
      </c>
      <c r="AV548">
        <f>N(AV547)+IF(AND($AB548&lt;&gt;"",OR('PROFIL ELEVE'!$K$4="(Tous)",$AF548='PROFIL ELEVE'!$K$4)),1,0)</f>
        <v>0</v>
      </c>
      <c r="AW548">
        <f>N(AW547)+IF(AND($AB548&lt;&gt;"",OR('SUIVI LONGITUDINAL'!$Q$4="(Tous)",$AF548='SUIVI LONGITUDINAL'!$Q$4)),1,0)</f>
        <v>0</v>
      </c>
      <c r="AX548">
        <f t="shared" si="211"/>
        <v>0</v>
      </c>
      <c r="AY548">
        <f t="shared" si="212"/>
        <v>0</v>
      </c>
      <c r="AZ548">
        <f t="shared" si="213"/>
        <v>0</v>
      </c>
      <c r="BA548" t="str">
        <f t="shared" si="214"/>
        <v/>
      </c>
      <c r="BB548" t="str">
        <f t="shared" si="215"/>
        <v/>
      </c>
    </row>
    <row r="549" spans="1:54" ht="14.25" customHeight="1" x14ac:dyDescent="0.3">
      <c r="A549" t="str">
        <f>IF(SAISIE!$F554="","",SAISIE!$B554)</f>
        <v/>
      </c>
      <c r="B549" t="str">
        <f>IF(SAISIE!$F554="","",SAISIE!$C554)</f>
        <v/>
      </c>
      <c r="C549" t="str">
        <f>IF(SAISIE!$F554="","",SAISIE!$D554)</f>
        <v/>
      </c>
      <c r="D549" t="str">
        <f>IF(SAISIE!$E554="","",SAISIE!$E554)</f>
        <v/>
      </c>
      <c r="E549" t="str">
        <f>IF(SAISIE!$F554="","",SAISIE!$F554)</f>
        <v/>
      </c>
      <c r="F549" t="str">
        <f>IF(SAISIE!$G554="","",SAISIE!$G554)</f>
        <v/>
      </c>
      <c r="G549" t="str">
        <f>IF(SAISIE!$H554="","",SAISIE!$H554)</f>
        <v/>
      </c>
      <c r="H549" t="str">
        <f>IF(SAISIE!$I554="","",SAISIE!$I554)</f>
        <v/>
      </c>
      <c r="I549" t="str">
        <f>IF(SAISIE!$J554="","",SAISIE!$J554)</f>
        <v/>
      </c>
      <c r="J549" t="str">
        <f>IF(SAISIE!$K554="","",SAISIE!$K554)</f>
        <v/>
      </c>
      <c r="K549" t="str">
        <f>IF(SAISIE!$L554="","",SAISIE!$L554)</f>
        <v/>
      </c>
      <c r="L549" t="str">
        <f>IF(SAISIE!$M554="","",SAISIE!$M554)</f>
        <v/>
      </c>
      <c r="M549" t="str">
        <f>IF(SAISIE!$N554="","",SAISIE!$N554)</f>
        <v/>
      </c>
      <c r="N549" t="str">
        <f>IF(SAISIE!$O554="","",SAISIE!$O554)</f>
        <v/>
      </c>
      <c r="O549" t="str">
        <f>IF(SAISIE!$P554="","",SAISIE!$P554)</f>
        <v/>
      </c>
      <c r="P549" t="str">
        <f>IF(SAISIE!$Q554="","",SAISIE!$Q554)</f>
        <v/>
      </c>
      <c r="Q549" t="str">
        <f>IF($I549="","",IF($I549&gt;PARAMETRES!$G$29,5,IF($I549&gt;PARAMETRES!$F$29,4,IF($I549&gt;PARAMETRES!$E$29,3,IF($I549&gt;PARAMETRES!$D$29,2,1)))))</f>
        <v/>
      </c>
      <c r="R549" t="str">
        <f>IF($J549="","",IF($J549&gt;PARAMETRES!$G$30,5,IF($J549&gt;PARAMETRES!$F$30,4,IF($J549&gt;PARAMETRES!$E$30,3,IF($J549&gt;PARAMETRES!$D$30,2,1)))))</f>
        <v/>
      </c>
      <c r="S549" t="str">
        <f>IF($K549="","",IF($Z549=2,IF($K549&gt;PARAMETRES!$G$31,5,IF($K549&gt;PARAMETRES!$F$31,4,IF($K549&gt;PARAMETRES!$E$31,3,IF($K549&gt;PARAMETRES!$D$31,2,1)))),IF($K549&gt;PARAMETRES!$G$32,5,IF($K549&gt;PARAMETRES!$F$32,4,IF($K549&gt;PARAMETRES!$E$32,3,IF($K549&gt;PARAMETRES!$D$32,2,1))))))</f>
        <v/>
      </c>
      <c r="T549" t="str">
        <f>IF($L549="","",IF($L549&gt;PARAMETRES!$G$33,5,IF($L549&gt;PARAMETRES!$F$33,4,IF($L549&gt;PARAMETRES!$E$33,3,IF($L549&gt;PARAMETRES!$D$33,2,1)))))</f>
        <v/>
      </c>
      <c r="U549" t="str">
        <f>IF($M549="","",IF($M549&gt;PARAMETRES!$G$34,5,IF($M549&gt;PARAMETRES!$F$34,4,IF($M549&gt;PARAMETRES!$E$34,3,IF($M549&gt;PARAMETRES!$D$34,2,1)))))</f>
        <v/>
      </c>
      <c r="V549" t="str">
        <f>IF($N549="","",IF($N549&gt;PARAMETRES!$G$35,5,IF($N549&gt;PARAMETRES!$F$35,4,IF($N549&gt;PARAMETRES!$E$35,3,IF($N549&gt;PARAMETRES!$D$35,2,1)))))</f>
        <v/>
      </c>
      <c r="W549" t="str">
        <f>IF($O549="","",IF($O549&gt;PARAMETRES!$G$36,5,IF($O549&gt;PARAMETRES!$F$36,4,IF($O549&gt;PARAMETRES!$E$36,3,IF($O549&gt;PARAMETRES!$D$36,2,1)))))</f>
        <v/>
      </c>
      <c r="X549" t="str">
        <f>IF($P549="","",IF($P549&gt;PARAMETRES!$G$37,5,IF($P549&gt;PARAMETRES!$F$37,4,IF($P549&gt;PARAMETRES!$E$37,3,IF($P549&gt;PARAMETRES!$D$37,2,1)))))</f>
        <v/>
      </c>
      <c r="Y549" t="str">
        <f t="shared" si="192"/>
        <v/>
      </c>
      <c r="Z549" t="str">
        <f>IFERROR(VLOOKUP($B549,TABLE_CYCLE,2,0),"")</f>
        <v/>
      </c>
      <c r="AA549" t="str">
        <f t="shared" si="193"/>
        <v/>
      </c>
      <c r="AB549" t="str">
        <f>IF($D549="","",IF(COUNTIF($D$2:$D549,$D549)=1,$D549,""))</f>
        <v/>
      </c>
      <c r="AC549">
        <f t="shared" si="194"/>
        <v>0</v>
      </c>
      <c r="AD549" t="str">
        <f t="shared" si="195"/>
        <v>|0</v>
      </c>
      <c r="AE549" t="str">
        <f t="shared" si="196"/>
        <v/>
      </c>
      <c r="AF549" t="str">
        <f t="shared" si="197"/>
        <v/>
      </c>
      <c r="AG549" t="str">
        <f t="shared" si="198"/>
        <v/>
      </c>
      <c r="AH549" t="str">
        <f t="shared" si="199"/>
        <v/>
      </c>
      <c r="AI549" t="str">
        <f t="shared" si="200"/>
        <v/>
      </c>
      <c r="AJ549" t="str">
        <f t="shared" si="201"/>
        <v/>
      </c>
      <c r="AK549" t="str">
        <f t="shared" si="202"/>
        <v/>
      </c>
      <c r="AL549" t="str">
        <f t="shared" si="203"/>
        <v/>
      </c>
      <c r="AM549" t="str">
        <f t="shared" si="204"/>
        <v/>
      </c>
      <c r="AN549" t="str">
        <f t="shared" si="205"/>
        <v/>
      </c>
      <c r="AO549" t="str">
        <f t="shared" si="206"/>
        <v/>
      </c>
      <c r="AP549">
        <f t="shared" si="207"/>
        <v>1</v>
      </c>
      <c r="AQ549" t="str">
        <f>IF(SAISIE!$F554="","",SAISIE!$Y554)</f>
        <v/>
      </c>
      <c r="AR549" t="str">
        <f>IF(OR(SAISIE!$U$4="",SAISIE!$W$4=""),"",IF(AND($A549=SAISIE!$U$4,$B549=SAISIE!$W$4,$C549="S1"),COUNTIFS($A$2:$A549,SAISIE!$U$4,$B$2:$B549,SAISIE!$W$4,$C$2:$C549,"S1"),""))</f>
        <v/>
      </c>
      <c r="AS549" t="str">
        <f t="shared" si="208"/>
        <v/>
      </c>
      <c r="AT549" t="str">
        <f t="shared" si="209"/>
        <v/>
      </c>
      <c r="AU549" t="str">
        <f t="shared" si="210"/>
        <v/>
      </c>
      <c r="AV549">
        <f>N(AV548)+IF(AND($AB549&lt;&gt;"",OR('PROFIL ELEVE'!$K$4="(Tous)",$AF549='PROFIL ELEVE'!$K$4)),1,0)</f>
        <v>0</v>
      </c>
      <c r="AW549">
        <f>N(AW548)+IF(AND($AB549&lt;&gt;"",OR('SUIVI LONGITUDINAL'!$Q$4="(Tous)",$AF549='SUIVI LONGITUDINAL'!$Q$4)),1,0)</f>
        <v>0</v>
      </c>
      <c r="AX549">
        <f t="shared" si="211"/>
        <v>0</v>
      </c>
      <c r="AY549">
        <f t="shared" si="212"/>
        <v>0</v>
      </c>
      <c r="AZ549">
        <f t="shared" si="213"/>
        <v>0</v>
      </c>
      <c r="BA549" t="str">
        <f t="shared" si="214"/>
        <v/>
      </c>
      <c r="BB549" t="str">
        <f t="shared" si="215"/>
        <v/>
      </c>
    </row>
    <row r="550" spans="1:54" ht="14.25" customHeight="1" x14ac:dyDescent="0.3">
      <c r="A550" t="str">
        <f>IF(SAISIE!$F555="","",SAISIE!$B555)</f>
        <v/>
      </c>
      <c r="B550" t="str">
        <f>IF(SAISIE!$F555="","",SAISIE!$C555)</f>
        <v/>
      </c>
      <c r="C550" t="str">
        <f>IF(SAISIE!$F555="","",SAISIE!$D555)</f>
        <v/>
      </c>
      <c r="D550" t="str">
        <f>IF(SAISIE!$E555="","",SAISIE!$E555)</f>
        <v/>
      </c>
      <c r="E550" t="str">
        <f>IF(SAISIE!$F555="","",SAISIE!$F555)</f>
        <v/>
      </c>
      <c r="F550" t="str">
        <f>IF(SAISIE!$G555="","",SAISIE!$G555)</f>
        <v/>
      </c>
      <c r="G550" t="str">
        <f>IF(SAISIE!$H555="","",SAISIE!$H555)</f>
        <v/>
      </c>
      <c r="H550" t="str">
        <f>IF(SAISIE!$I555="","",SAISIE!$I555)</f>
        <v/>
      </c>
      <c r="I550" t="str">
        <f>IF(SAISIE!$J555="","",SAISIE!$J555)</f>
        <v/>
      </c>
      <c r="J550" t="str">
        <f>IF(SAISIE!$K555="","",SAISIE!$K555)</f>
        <v/>
      </c>
      <c r="K550" t="str">
        <f>IF(SAISIE!$L555="","",SAISIE!$L555)</f>
        <v/>
      </c>
      <c r="L550" t="str">
        <f>IF(SAISIE!$M555="","",SAISIE!$M555)</f>
        <v/>
      </c>
      <c r="M550" t="str">
        <f>IF(SAISIE!$N555="","",SAISIE!$N555)</f>
        <v/>
      </c>
      <c r="N550" t="str">
        <f>IF(SAISIE!$O555="","",SAISIE!$O555)</f>
        <v/>
      </c>
      <c r="O550" t="str">
        <f>IF(SAISIE!$P555="","",SAISIE!$P555)</f>
        <v/>
      </c>
      <c r="P550" t="str">
        <f>IF(SAISIE!$Q555="","",SAISIE!$Q555)</f>
        <v/>
      </c>
      <c r="Q550" t="str">
        <f>IF($I550="","",IF($I550&gt;PARAMETRES!$G$29,5,IF($I550&gt;PARAMETRES!$F$29,4,IF($I550&gt;PARAMETRES!$E$29,3,IF($I550&gt;PARAMETRES!$D$29,2,1)))))</f>
        <v/>
      </c>
      <c r="R550" t="str">
        <f>IF($J550="","",IF($J550&gt;PARAMETRES!$G$30,5,IF($J550&gt;PARAMETRES!$F$30,4,IF($J550&gt;PARAMETRES!$E$30,3,IF($J550&gt;PARAMETRES!$D$30,2,1)))))</f>
        <v/>
      </c>
      <c r="S550" t="str">
        <f>IF($K550="","",IF($Z550=2,IF($K550&gt;PARAMETRES!$G$31,5,IF($K550&gt;PARAMETRES!$F$31,4,IF($K550&gt;PARAMETRES!$E$31,3,IF($K550&gt;PARAMETRES!$D$31,2,1)))),IF($K550&gt;PARAMETRES!$G$32,5,IF($K550&gt;PARAMETRES!$F$32,4,IF($K550&gt;PARAMETRES!$E$32,3,IF($K550&gt;PARAMETRES!$D$32,2,1))))))</f>
        <v/>
      </c>
      <c r="T550" t="str">
        <f>IF($L550="","",IF($L550&gt;PARAMETRES!$G$33,5,IF($L550&gt;PARAMETRES!$F$33,4,IF($L550&gt;PARAMETRES!$E$33,3,IF($L550&gt;PARAMETRES!$D$33,2,1)))))</f>
        <v/>
      </c>
      <c r="U550" t="str">
        <f>IF($M550="","",IF($M550&gt;PARAMETRES!$G$34,5,IF($M550&gt;PARAMETRES!$F$34,4,IF($M550&gt;PARAMETRES!$E$34,3,IF($M550&gt;PARAMETRES!$D$34,2,1)))))</f>
        <v/>
      </c>
      <c r="V550" t="str">
        <f>IF($N550="","",IF($N550&gt;PARAMETRES!$G$35,5,IF($N550&gt;PARAMETRES!$F$35,4,IF($N550&gt;PARAMETRES!$E$35,3,IF($N550&gt;PARAMETRES!$D$35,2,1)))))</f>
        <v/>
      </c>
      <c r="W550" t="str">
        <f>IF($O550="","",IF($O550&gt;PARAMETRES!$G$36,5,IF($O550&gt;PARAMETRES!$F$36,4,IF($O550&gt;PARAMETRES!$E$36,3,IF($O550&gt;PARAMETRES!$D$36,2,1)))))</f>
        <v/>
      </c>
      <c r="X550" t="str">
        <f>IF($P550="","",IF($P550&gt;PARAMETRES!$G$37,5,IF($P550&gt;PARAMETRES!$F$37,4,IF($P550&gt;PARAMETRES!$E$37,3,IF($P550&gt;PARAMETRES!$D$37,2,1)))))</f>
        <v/>
      </c>
      <c r="Y550" t="str">
        <f t="shared" si="192"/>
        <v/>
      </c>
      <c r="Z550" t="str">
        <f>IFERROR(VLOOKUP($B550,TABLE_CYCLE,2,0),"")</f>
        <v/>
      </c>
      <c r="AA550" t="str">
        <f t="shared" si="193"/>
        <v/>
      </c>
      <c r="AB550" t="str">
        <f>IF($D550="","",IF(COUNTIF($D$2:$D550,$D550)=1,$D550,""))</f>
        <v/>
      </c>
      <c r="AC550">
        <f t="shared" si="194"/>
        <v>0</v>
      </c>
      <c r="AD550" t="str">
        <f t="shared" si="195"/>
        <v>|0</v>
      </c>
      <c r="AE550" t="str">
        <f t="shared" si="196"/>
        <v/>
      </c>
      <c r="AF550" t="str">
        <f t="shared" si="197"/>
        <v/>
      </c>
      <c r="AG550" t="str">
        <f t="shared" si="198"/>
        <v/>
      </c>
      <c r="AH550" t="str">
        <f t="shared" si="199"/>
        <v/>
      </c>
      <c r="AI550" t="str">
        <f t="shared" si="200"/>
        <v/>
      </c>
      <c r="AJ550" t="str">
        <f t="shared" si="201"/>
        <v/>
      </c>
      <c r="AK550" t="str">
        <f t="shared" si="202"/>
        <v/>
      </c>
      <c r="AL550" t="str">
        <f t="shared" si="203"/>
        <v/>
      </c>
      <c r="AM550" t="str">
        <f t="shared" si="204"/>
        <v/>
      </c>
      <c r="AN550" t="str">
        <f t="shared" si="205"/>
        <v/>
      </c>
      <c r="AO550" t="str">
        <f t="shared" si="206"/>
        <v/>
      </c>
      <c r="AP550">
        <f t="shared" si="207"/>
        <v>1</v>
      </c>
      <c r="AQ550" t="str">
        <f>IF(SAISIE!$F555="","",SAISIE!$Y555)</f>
        <v/>
      </c>
      <c r="AR550" t="str">
        <f>IF(OR(SAISIE!$U$4="",SAISIE!$W$4=""),"",IF(AND($A550=SAISIE!$U$4,$B550=SAISIE!$W$4,$C550="S1"),COUNTIFS($A$2:$A550,SAISIE!$U$4,$B$2:$B550,SAISIE!$W$4,$C$2:$C550,"S1"),""))</f>
        <v/>
      </c>
      <c r="AS550" t="str">
        <f t="shared" si="208"/>
        <v/>
      </c>
      <c r="AT550" t="str">
        <f t="shared" si="209"/>
        <v/>
      </c>
      <c r="AU550" t="str">
        <f t="shared" si="210"/>
        <v/>
      </c>
      <c r="AV550">
        <f>N(AV549)+IF(AND($AB550&lt;&gt;"",OR('PROFIL ELEVE'!$K$4="(Tous)",$AF550='PROFIL ELEVE'!$K$4)),1,0)</f>
        <v>0</v>
      </c>
      <c r="AW550">
        <f>N(AW549)+IF(AND($AB550&lt;&gt;"",OR('SUIVI LONGITUDINAL'!$Q$4="(Tous)",$AF550='SUIVI LONGITUDINAL'!$Q$4)),1,0)</f>
        <v>0</v>
      </c>
      <c r="AX550">
        <f t="shared" si="211"/>
        <v>0</v>
      </c>
      <c r="AY550">
        <f t="shared" si="212"/>
        <v>0</v>
      </c>
      <c r="AZ550">
        <f t="shared" si="213"/>
        <v>0</v>
      </c>
      <c r="BA550" t="str">
        <f t="shared" si="214"/>
        <v/>
      </c>
      <c r="BB550" t="str">
        <f t="shared" si="215"/>
        <v/>
      </c>
    </row>
    <row r="551" spans="1:54" ht="14.25" customHeight="1" x14ac:dyDescent="0.3">
      <c r="A551" t="str">
        <f>IF(SAISIE!$F556="","",SAISIE!$B556)</f>
        <v/>
      </c>
      <c r="B551" t="str">
        <f>IF(SAISIE!$F556="","",SAISIE!$C556)</f>
        <v/>
      </c>
      <c r="C551" t="str">
        <f>IF(SAISIE!$F556="","",SAISIE!$D556)</f>
        <v/>
      </c>
      <c r="D551" t="str">
        <f>IF(SAISIE!$E556="","",SAISIE!$E556)</f>
        <v/>
      </c>
      <c r="E551" t="str">
        <f>IF(SAISIE!$F556="","",SAISIE!$F556)</f>
        <v/>
      </c>
      <c r="F551" t="str">
        <f>IF(SAISIE!$G556="","",SAISIE!$G556)</f>
        <v/>
      </c>
      <c r="G551" t="str">
        <f>IF(SAISIE!$H556="","",SAISIE!$H556)</f>
        <v/>
      </c>
      <c r="H551" t="str">
        <f>IF(SAISIE!$I556="","",SAISIE!$I556)</f>
        <v/>
      </c>
      <c r="I551" t="str">
        <f>IF(SAISIE!$J556="","",SAISIE!$J556)</f>
        <v/>
      </c>
      <c r="J551" t="str">
        <f>IF(SAISIE!$K556="","",SAISIE!$K556)</f>
        <v/>
      </c>
      <c r="K551" t="str">
        <f>IF(SAISIE!$L556="","",SAISIE!$L556)</f>
        <v/>
      </c>
      <c r="L551" t="str">
        <f>IF(SAISIE!$M556="","",SAISIE!$M556)</f>
        <v/>
      </c>
      <c r="M551" t="str">
        <f>IF(SAISIE!$N556="","",SAISIE!$N556)</f>
        <v/>
      </c>
      <c r="N551" t="str">
        <f>IF(SAISIE!$O556="","",SAISIE!$O556)</f>
        <v/>
      </c>
      <c r="O551" t="str">
        <f>IF(SAISIE!$P556="","",SAISIE!$P556)</f>
        <v/>
      </c>
      <c r="P551" t="str">
        <f>IF(SAISIE!$Q556="","",SAISIE!$Q556)</f>
        <v/>
      </c>
      <c r="Q551" t="str">
        <f>IF($I551="","",IF($I551&gt;PARAMETRES!$G$29,5,IF($I551&gt;PARAMETRES!$F$29,4,IF($I551&gt;PARAMETRES!$E$29,3,IF($I551&gt;PARAMETRES!$D$29,2,1)))))</f>
        <v/>
      </c>
      <c r="R551" t="str">
        <f>IF($J551="","",IF($J551&gt;PARAMETRES!$G$30,5,IF($J551&gt;PARAMETRES!$F$30,4,IF($J551&gt;PARAMETRES!$E$30,3,IF($J551&gt;PARAMETRES!$D$30,2,1)))))</f>
        <v/>
      </c>
      <c r="S551" t="str">
        <f>IF($K551="","",IF($Z551=2,IF($K551&gt;PARAMETRES!$G$31,5,IF($K551&gt;PARAMETRES!$F$31,4,IF($K551&gt;PARAMETRES!$E$31,3,IF($K551&gt;PARAMETRES!$D$31,2,1)))),IF($K551&gt;PARAMETRES!$G$32,5,IF($K551&gt;PARAMETRES!$F$32,4,IF($K551&gt;PARAMETRES!$E$32,3,IF($K551&gt;PARAMETRES!$D$32,2,1))))))</f>
        <v/>
      </c>
      <c r="T551" t="str">
        <f>IF($L551="","",IF($L551&gt;PARAMETRES!$G$33,5,IF($L551&gt;PARAMETRES!$F$33,4,IF($L551&gt;PARAMETRES!$E$33,3,IF($L551&gt;PARAMETRES!$D$33,2,1)))))</f>
        <v/>
      </c>
      <c r="U551" t="str">
        <f>IF($M551="","",IF($M551&gt;PARAMETRES!$G$34,5,IF($M551&gt;PARAMETRES!$F$34,4,IF($M551&gt;PARAMETRES!$E$34,3,IF($M551&gt;PARAMETRES!$D$34,2,1)))))</f>
        <v/>
      </c>
      <c r="V551" t="str">
        <f>IF($N551="","",IF($N551&gt;PARAMETRES!$G$35,5,IF($N551&gt;PARAMETRES!$F$35,4,IF($N551&gt;PARAMETRES!$E$35,3,IF($N551&gt;PARAMETRES!$D$35,2,1)))))</f>
        <v/>
      </c>
      <c r="W551" t="str">
        <f>IF($O551="","",IF($O551&gt;PARAMETRES!$G$36,5,IF($O551&gt;PARAMETRES!$F$36,4,IF($O551&gt;PARAMETRES!$E$36,3,IF($O551&gt;PARAMETRES!$D$36,2,1)))))</f>
        <v/>
      </c>
      <c r="X551" t="str">
        <f>IF($P551="","",IF($P551&gt;PARAMETRES!$G$37,5,IF($P551&gt;PARAMETRES!$F$37,4,IF($P551&gt;PARAMETRES!$E$37,3,IF($P551&gt;PARAMETRES!$D$37,2,1)))))</f>
        <v/>
      </c>
      <c r="Y551" t="str">
        <f t="shared" si="192"/>
        <v/>
      </c>
      <c r="Z551" t="str">
        <f>IFERROR(VLOOKUP($B551,TABLE_CYCLE,2,0),"")</f>
        <v/>
      </c>
      <c r="AA551" t="str">
        <f t="shared" si="193"/>
        <v/>
      </c>
      <c r="AB551" t="str">
        <f>IF($D551="","",IF(COUNTIF($D$2:$D551,$D551)=1,$D551,""))</f>
        <v/>
      </c>
      <c r="AC551">
        <f t="shared" si="194"/>
        <v>0</v>
      </c>
      <c r="AD551" t="str">
        <f t="shared" si="195"/>
        <v>|0</v>
      </c>
      <c r="AE551" t="str">
        <f t="shared" si="196"/>
        <v/>
      </c>
      <c r="AF551" t="str">
        <f t="shared" si="197"/>
        <v/>
      </c>
      <c r="AG551" t="str">
        <f t="shared" si="198"/>
        <v/>
      </c>
      <c r="AH551" t="str">
        <f t="shared" si="199"/>
        <v/>
      </c>
      <c r="AI551" t="str">
        <f t="shared" si="200"/>
        <v/>
      </c>
      <c r="AJ551" t="str">
        <f t="shared" si="201"/>
        <v/>
      </c>
      <c r="AK551" t="str">
        <f t="shared" si="202"/>
        <v/>
      </c>
      <c r="AL551" t="str">
        <f t="shared" si="203"/>
        <v/>
      </c>
      <c r="AM551" t="str">
        <f t="shared" si="204"/>
        <v/>
      </c>
      <c r="AN551" t="str">
        <f t="shared" si="205"/>
        <v/>
      </c>
      <c r="AO551" t="str">
        <f t="shared" si="206"/>
        <v/>
      </c>
      <c r="AP551">
        <f t="shared" si="207"/>
        <v>1</v>
      </c>
      <c r="AQ551" t="str">
        <f>IF(SAISIE!$F556="","",SAISIE!$Y556)</f>
        <v/>
      </c>
      <c r="AR551" t="str">
        <f>IF(OR(SAISIE!$U$4="",SAISIE!$W$4=""),"",IF(AND($A551=SAISIE!$U$4,$B551=SAISIE!$W$4,$C551="S1"),COUNTIFS($A$2:$A551,SAISIE!$U$4,$B$2:$B551,SAISIE!$W$4,$C$2:$C551,"S1"),""))</f>
        <v/>
      </c>
      <c r="AS551" t="str">
        <f t="shared" si="208"/>
        <v/>
      </c>
      <c r="AT551" t="str">
        <f t="shared" si="209"/>
        <v/>
      </c>
      <c r="AU551" t="str">
        <f t="shared" si="210"/>
        <v/>
      </c>
      <c r="AV551">
        <f>N(AV550)+IF(AND($AB551&lt;&gt;"",OR('PROFIL ELEVE'!$K$4="(Tous)",$AF551='PROFIL ELEVE'!$K$4)),1,0)</f>
        <v>0</v>
      </c>
      <c r="AW551">
        <f>N(AW550)+IF(AND($AB551&lt;&gt;"",OR('SUIVI LONGITUDINAL'!$Q$4="(Tous)",$AF551='SUIVI LONGITUDINAL'!$Q$4)),1,0)</f>
        <v>0</v>
      </c>
      <c r="AX551">
        <f t="shared" si="211"/>
        <v>0</v>
      </c>
      <c r="AY551">
        <f t="shared" si="212"/>
        <v>0</v>
      </c>
      <c r="AZ551">
        <f t="shared" si="213"/>
        <v>0</v>
      </c>
      <c r="BA551" t="str">
        <f t="shared" si="214"/>
        <v/>
      </c>
      <c r="BB551" t="str">
        <f t="shared" si="215"/>
        <v/>
      </c>
    </row>
    <row r="552" spans="1:54" ht="14.25" customHeight="1" x14ac:dyDescent="0.3">
      <c r="A552" t="str">
        <f>IF(SAISIE!$F557="","",SAISIE!$B557)</f>
        <v/>
      </c>
      <c r="B552" t="str">
        <f>IF(SAISIE!$F557="","",SAISIE!$C557)</f>
        <v/>
      </c>
      <c r="C552" t="str">
        <f>IF(SAISIE!$F557="","",SAISIE!$D557)</f>
        <v/>
      </c>
      <c r="D552" t="str">
        <f>IF(SAISIE!$E557="","",SAISIE!$E557)</f>
        <v/>
      </c>
      <c r="E552" t="str">
        <f>IF(SAISIE!$F557="","",SAISIE!$F557)</f>
        <v/>
      </c>
      <c r="F552" t="str">
        <f>IF(SAISIE!$G557="","",SAISIE!$G557)</f>
        <v/>
      </c>
      <c r="G552" t="str">
        <f>IF(SAISIE!$H557="","",SAISIE!$H557)</f>
        <v/>
      </c>
      <c r="H552" t="str">
        <f>IF(SAISIE!$I557="","",SAISIE!$I557)</f>
        <v/>
      </c>
      <c r="I552" t="str">
        <f>IF(SAISIE!$J557="","",SAISIE!$J557)</f>
        <v/>
      </c>
      <c r="J552" t="str">
        <f>IF(SAISIE!$K557="","",SAISIE!$K557)</f>
        <v/>
      </c>
      <c r="K552" t="str">
        <f>IF(SAISIE!$L557="","",SAISIE!$L557)</f>
        <v/>
      </c>
      <c r="L552" t="str">
        <f>IF(SAISIE!$M557="","",SAISIE!$M557)</f>
        <v/>
      </c>
      <c r="M552" t="str">
        <f>IF(SAISIE!$N557="","",SAISIE!$N557)</f>
        <v/>
      </c>
      <c r="N552" t="str">
        <f>IF(SAISIE!$O557="","",SAISIE!$O557)</f>
        <v/>
      </c>
      <c r="O552" t="str">
        <f>IF(SAISIE!$P557="","",SAISIE!$P557)</f>
        <v/>
      </c>
      <c r="P552" t="str">
        <f>IF(SAISIE!$Q557="","",SAISIE!$Q557)</f>
        <v/>
      </c>
      <c r="Q552" t="str">
        <f>IF($I552="","",IF($I552&gt;PARAMETRES!$G$29,5,IF($I552&gt;PARAMETRES!$F$29,4,IF($I552&gt;PARAMETRES!$E$29,3,IF($I552&gt;PARAMETRES!$D$29,2,1)))))</f>
        <v/>
      </c>
      <c r="R552" t="str">
        <f>IF($J552="","",IF($J552&gt;PARAMETRES!$G$30,5,IF($J552&gt;PARAMETRES!$F$30,4,IF($J552&gt;PARAMETRES!$E$30,3,IF($J552&gt;PARAMETRES!$D$30,2,1)))))</f>
        <v/>
      </c>
      <c r="S552" t="str">
        <f>IF($K552="","",IF($Z552=2,IF($K552&gt;PARAMETRES!$G$31,5,IF($K552&gt;PARAMETRES!$F$31,4,IF($K552&gt;PARAMETRES!$E$31,3,IF($K552&gt;PARAMETRES!$D$31,2,1)))),IF($K552&gt;PARAMETRES!$G$32,5,IF($K552&gt;PARAMETRES!$F$32,4,IF($K552&gt;PARAMETRES!$E$32,3,IF($K552&gt;PARAMETRES!$D$32,2,1))))))</f>
        <v/>
      </c>
      <c r="T552" t="str">
        <f>IF($L552="","",IF($L552&gt;PARAMETRES!$G$33,5,IF($L552&gt;PARAMETRES!$F$33,4,IF($L552&gt;PARAMETRES!$E$33,3,IF($L552&gt;PARAMETRES!$D$33,2,1)))))</f>
        <v/>
      </c>
      <c r="U552" t="str">
        <f>IF($M552="","",IF($M552&gt;PARAMETRES!$G$34,5,IF($M552&gt;PARAMETRES!$F$34,4,IF($M552&gt;PARAMETRES!$E$34,3,IF($M552&gt;PARAMETRES!$D$34,2,1)))))</f>
        <v/>
      </c>
      <c r="V552" t="str">
        <f>IF($N552="","",IF($N552&gt;PARAMETRES!$G$35,5,IF($N552&gt;PARAMETRES!$F$35,4,IF($N552&gt;PARAMETRES!$E$35,3,IF($N552&gt;PARAMETRES!$D$35,2,1)))))</f>
        <v/>
      </c>
      <c r="W552" t="str">
        <f>IF($O552="","",IF($O552&gt;PARAMETRES!$G$36,5,IF($O552&gt;PARAMETRES!$F$36,4,IF($O552&gt;PARAMETRES!$E$36,3,IF($O552&gt;PARAMETRES!$D$36,2,1)))))</f>
        <v/>
      </c>
      <c r="X552" t="str">
        <f>IF($P552="","",IF($P552&gt;PARAMETRES!$G$37,5,IF($P552&gt;PARAMETRES!$F$37,4,IF($P552&gt;PARAMETRES!$E$37,3,IF($P552&gt;PARAMETRES!$D$37,2,1)))))</f>
        <v/>
      </c>
      <c r="Y552" t="str">
        <f t="shared" si="192"/>
        <v/>
      </c>
      <c r="Z552" t="str">
        <f>IFERROR(VLOOKUP($B552,TABLE_CYCLE,2,0),"")</f>
        <v/>
      </c>
      <c r="AA552" t="str">
        <f t="shared" si="193"/>
        <v/>
      </c>
      <c r="AB552" t="str">
        <f>IF($D552="","",IF(COUNTIF($D$2:$D552,$D552)=1,$D552,""))</f>
        <v/>
      </c>
      <c r="AC552">
        <f t="shared" si="194"/>
        <v>0</v>
      </c>
      <c r="AD552" t="str">
        <f t="shared" si="195"/>
        <v>|0</v>
      </c>
      <c r="AE552" t="str">
        <f t="shared" si="196"/>
        <v/>
      </c>
      <c r="AF552" t="str">
        <f t="shared" si="197"/>
        <v/>
      </c>
      <c r="AG552" t="str">
        <f t="shared" si="198"/>
        <v/>
      </c>
      <c r="AH552" t="str">
        <f t="shared" si="199"/>
        <v/>
      </c>
      <c r="AI552" t="str">
        <f t="shared" si="200"/>
        <v/>
      </c>
      <c r="AJ552" t="str">
        <f t="shared" si="201"/>
        <v/>
      </c>
      <c r="AK552" t="str">
        <f t="shared" si="202"/>
        <v/>
      </c>
      <c r="AL552" t="str">
        <f t="shared" si="203"/>
        <v/>
      </c>
      <c r="AM552" t="str">
        <f t="shared" si="204"/>
        <v/>
      </c>
      <c r="AN552" t="str">
        <f t="shared" si="205"/>
        <v/>
      </c>
      <c r="AO552" t="str">
        <f t="shared" si="206"/>
        <v/>
      </c>
      <c r="AP552">
        <f t="shared" si="207"/>
        <v>1</v>
      </c>
      <c r="AQ552" t="str">
        <f>IF(SAISIE!$F557="","",SAISIE!$Y557)</f>
        <v/>
      </c>
      <c r="AR552" t="str">
        <f>IF(OR(SAISIE!$U$4="",SAISIE!$W$4=""),"",IF(AND($A552=SAISIE!$U$4,$B552=SAISIE!$W$4,$C552="S1"),COUNTIFS($A$2:$A552,SAISIE!$U$4,$B$2:$B552,SAISIE!$W$4,$C$2:$C552,"S1"),""))</f>
        <v/>
      </c>
      <c r="AS552" t="str">
        <f t="shared" si="208"/>
        <v/>
      </c>
      <c r="AT552" t="str">
        <f t="shared" si="209"/>
        <v/>
      </c>
      <c r="AU552" t="str">
        <f t="shared" si="210"/>
        <v/>
      </c>
      <c r="AV552">
        <f>N(AV551)+IF(AND($AB552&lt;&gt;"",OR('PROFIL ELEVE'!$K$4="(Tous)",$AF552='PROFIL ELEVE'!$K$4)),1,0)</f>
        <v>0</v>
      </c>
      <c r="AW552">
        <f>N(AW551)+IF(AND($AB552&lt;&gt;"",OR('SUIVI LONGITUDINAL'!$Q$4="(Tous)",$AF552='SUIVI LONGITUDINAL'!$Q$4)),1,0)</f>
        <v>0</v>
      </c>
      <c r="AX552">
        <f t="shared" si="211"/>
        <v>0</v>
      </c>
      <c r="AY552">
        <f t="shared" si="212"/>
        <v>0</v>
      </c>
      <c r="AZ552">
        <f t="shared" si="213"/>
        <v>0</v>
      </c>
      <c r="BA552" t="str">
        <f t="shared" si="214"/>
        <v/>
      </c>
      <c r="BB552" t="str">
        <f t="shared" si="215"/>
        <v/>
      </c>
    </row>
    <row r="553" spans="1:54" ht="14.25" customHeight="1" x14ac:dyDescent="0.3">
      <c r="A553" t="str">
        <f>IF(SAISIE!$F558="","",SAISIE!$B558)</f>
        <v/>
      </c>
      <c r="B553" t="str">
        <f>IF(SAISIE!$F558="","",SAISIE!$C558)</f>
        <v/>
      </c>
      <c r="C553" t="str">
        <f>IF(SAISIE!$F558="","",SAISIE!$D558)</f>
        <v/>
      </c>
      <c r="D553" t="str">
        <f>IF(SAISIE!$E558="","",SAISIE!$E558)</f>
        <v/>
      </c>
      <c r="E553" t="str">
        <f>IF(SAISIE!$F558="","",SAISIE!$F558)</f>
        <v/>
      </c>
      <c r="F553" t="str">
        <f>IF(SAISIE!$G558="","",SAISIE!$G558)</f>
        <v/>
      </c>
      <c r="G553" t="str">
        <f>IF(SAISIE!$H558="","",SAISIE!$H558)</f>
        <v/>
      </c>
      <c r="H553" t="str">
        <f>IF(SAISIE!$I558="","",SAISIE!$I558)</f>
        <v/>
      </c>
      <c r="I553" t="str">
        <f>IF(SAISIE!$J558="","",SAISIE!$J558)</f>
        <v/>
      </c>
      <c r="J553" t="str">
        <f>IF(SAISIE!$K558="","",SAISIE!$K558)</f>
        <v/>
      </c>
      <c r="K553" t="str">
        <f>IF(SAISIE!$L558="","",SAISIE!$L558)</f>
        <v/>
      </c>
      <c r="L553" t="str">
        <f>IF(SAISIE!$M558="","",SAISIE!$M558)</f>
        <v/>
      </c>
      <c r="M553" t="str">
        <f>IF(SAISIE!$N558="","",SAISIE!$N558)</f>
        <v/>
      </c>
      <c r="N553" t="str">
        <f>IF(SAISIE!$O558="","",SAISIE!$O558)</f>
        <v/>
      </c>
      <c r="O553" t="str">
        <f>IF(SAISIE!$P558="","",SAISIE!$P558)</f>
        <v/>
      </c>
      <c r="P553" t="str">
        <f>IF(SAISIE!$Q558="","",SAISIE!$Q558)</f>
        <v/>
      </c>
      <c r="Q553" t="str">
        <f>IF($I553="","",IF($I553&gt;PARAMETRES!$G$29,5,IF($I553&gt;PARAMETRES!$F$29,4,IF($I553&gt;PARAMETRES!$E$29,3,IF($I553&gt;PARAMETRES!$D$29,2,1)))))</f>
        <v/>
      </c>
      <c r="R553" t="str">
        <f>IF($J553="","",IF($J553&gt;PARAMETRES!$G$30,5,IF($J553&gt;PARAMETRES!$F$30,4,IF($J553&gt;PARAMETRES!$E$30,3,IF($J553&gt;PARAMETRES!$D$30,2,1)))))</f>
        <v/>
      </c>
      <c r="S553" t="str">
        <f>IF($K553="","",IF($Z553=2,IF($K553&gt;PARAMETRES!$G$31,5,IF($K553&gt;PARAMETRES!$F$31,4,IF($K553&gt;PARAMETRES!$E$31,3,IF($K553&gt;PARAMETRES!$D$31,2,1)))),IF($K553&gt;PARAMETRES!$G$32,5,IF($K553&gt;PARAMETRES!$F$32,4,IF($K553&gt;PARAMETRES!$E$32,3,IF($K553&gt;PARAMETRES!$D$32,2,1))))))</f>
        <v/>
      </c>
      <c r="T553" t="str">
        <f>IF($L553="","",IF($L553&gt;PARAMETRES!$G$33,5,IF($L553&gt;PARAMETRES!$F$33,4,IF($L553&gt;PARAMETRES!$E$33,3,IF($L553&gt;PARAMETRES!$D$33,2,1)))))</f>
        <v/>
      </c>
      <c r="U553" t="str">
        <f>IF($M553="","",IF($M553&gt;PARAMETRES!$G$34,5,IF($M553&gt;PARAMETRES!$F$34,4,IF($M553&gt;PARAMETRES!$E$34,3,IF($M553&gt;PARAMETRES!$D$34,2,1)))))</f>
        <v/>
      </c>
      <c r="V553" t="str">
        <f>IF($N553="","",IF($N553&gt;PARAMETRES!$G$35,5,IF($N553&gt;PARAMETRES!$F$35,4,IF($N553&gt;PARAMETRES!$E$35,3,IF($N553&gt;PARAMETRES!$D$35,2,1)))))</f>
        <v/>
      </c>
      <c r="W553" t="str">
        <f>IF($O553="","",IF($O553&gt;PARAMETRES!$G$36,5,IF($O553&gt;PARAMETRES!$F$36,4,IF($O553&gt;PARAMETRES!$E$36,3,IF($O553&gt;PARAMETRES!$D$36,2,1)))))</f>
        <v/>
      </c>
      <c r="X553" t="str">
        <f>IF($P553="","",IF($P553&gt;PARAMETRES!$G$37,5,IF($P553&gt;PARAMETRES!$F$37,4,IF($P553&gt;PARAMETRES!$E$37,3,IF($P553&gt;PARAMETRES!$D$37,2,1)))))</f>
        <v/>
      </c>
      <c r="Y553" t="str">
        <f t="shared" si="192"/>
        <v/>
      </c>
      <c r="Z553" t="str">
        <f>IFERROR(VLOOKUP($B553,TABLE_CYCLE,2,0),"")</f>
        <v/>
      </c>
      <c r="AA553" t="str">
        <f t="shared" si="193"/>
        <v/>
      </c>
      <c r="AB553" t="str">
        <f>IF($D553="","",IF(COUNTIF($D$2:$D553,$D553)=1,$D553,""))</f>
        <v/>
      </c>
      <c r="AC553">
        <f t="shared" si="194"/>
        <v>0</v>
      </c>
      <c r="AD553" t="str">
        <f t="shared" si="195"/>
        <v>|0</v>
      </c>
      <c r="AE553" t="str">
        <f t="shared" si="196"/>
        <v/>
      </c>
      <c r="AF553" t="str">
        <f t="shared" si="197"/>
        <v/>
      </c>
      <c r="AG553" t="str">
        <f t="shared" si="198"/>
        <v/>
      </c>
      <c r="AH553" t="str">
        <f t="shared" si="199"/>
        <v/>
      </c>
      <c r="AI553" t="str">
        <f t="shared" si="200"/>
        <v/>
      </c>
      <c r="AJ553" t="str">
        <f t="shared" si="201"/>
        <v/>
      </c>
      <c r="AK553" t="str">
        <f t="shared" si="202"/>
        <v/>
      </c>
      <c r="AL553" t="str">
        <f t="shared" si="203"/>
        <v/>
      </c>
      <c r="AM553" t="str">
        <f t="shared" si="204"/>
        <v/>
      </c>
      <c r="AN553" t="str">
        <f t="shared" si="205"/>
        <v/>
      </c>
      <c r="AO553" t="str">
        <f t="shared" si="206"/>
        <v/>
      </c>
      <c r="AP553">
        <f t="shared" si="207"/>
        <v>1</v>
      </c>
      <c r="AQ553" t="str">
        <f>IF(SAISIE!$F558="","",SAISIE!$Y558)</f>
        <v/>
      </c>
      <c r="AR553" t="str">
        <f>IF(OR(SAISIE!$U$4="",SAISIE!$W$4=""),"",IF(AND($A553=SAISIE!$U$4,$B553=SAISIE!$W$4,$C553="S1"),COUNTIFS($A$2:$A553,SAISIE!$U$4,$B$2:$B553,SAISIE!$W$4,$C$2:$C553,"S1"),""))</f>
        <v/>
      </c>
      <c r="AS553" t="str">
        <f t="shared" si="208"/>
        <v/>
      </c>
      <c r="AT553" t="str">
        <f t="shared" si="209"/>
        <v/>
      </c>
      <c r="AU553" t="str">
        <f t="shared" si="210"/>
        <v/>
      </c>
      <c r="AV553">
        <f>N(AV552)+IF(AND($AB553&lt;&gt;"",OR('PROFIL ELEVE'!$K$4="(Tous)",$AF553='PROFIL ELEVE'!$K$4)),1,0)</f>
        <v>0</v>
      </c>
      <c r="AW553">
        <f>N(AW552)+IF(AND($AB553&lt;&gt;"",OR('SUIVI LONGITUDINAL'!$Q$4="(Tous)",$AF553='SUIVI LONGITUDINAL'!$Q$4)),1,0)</f>
        <v>0</v>
      </c>
      <c r="AX553">
        <f t="shared" si="211"/>
        <v>0</v>
      </c>
      <c r="AY553">
        <f t="shared" si="212"/>
        <v>0</v>
      </c>
      <c r="AZ553">
        <f t="shared" si="213"/>
        <v>0</v>
      </c>
      <c r="BA553" t="str">
        <f t="shared" si="214"/>
        <v/>
      </c>
      <c r="BB553" t="str">
        <f t="shared" si="215"/>
        <v/>
      </c>
    </row>
    <row r="554" spans="1:54" ht="14.25" customHeight="1" x14ac:dyDescent="0.3">
      <c r="A554" t="str">
        <f>IF(SAISIE!$F559="","",SAISIE!$B559)</f>
        <v/>
      </c>
      <c r="B554" t="str">
        <f>IF(SAISIE!$F559="","",SAISIE!$C559)</f>
        <v/>
      </c>
      <c r="C554" t="str">
        <f>IF(SAISIE!$F559="","",SAISIE!$D559)</f>
        <v/>
      </c>
      <c r="D554" t="str">
        <f>IF(SAISIE!$E559="","",SAISIE!$E559)</f>
        <v/>
      </c>
      <c r="E554" t="str">
        <f>IF(SAISIE!$F559="","",SAISIE!$F559)</f>
        <v/>
      </c>
      <c r="F554" t="str">
        <f>IF(SAISIE!$G559="","",SAISIE!$G559)</f>
        <v/>
      </c>
      <c r="G554" t="str">
        <f>IF(SAISIE!$H559="","",SAISIE!$H559)</f>
        <v/>
      </c>
      <c r="H554" t="str">
        <f>IF(SAISIE!$I559="","",SAISIE!$I559)</f>
        <v/>
      </c>
      <c r="I554" t="str">
        <f>IF(SAISIE!$J559="","",SAISIE!$J559)</f>
        <v/>
      </c>
      <c r="J554" t="str">
        <f>IF(SAISIE!$K559="","",SAISIE!$K559)</f>
        <v/>
      </c>
      <c r="K554" t="str">
        <f>IF(SAISIE!$L559="","",SAISIE!$L559)</f>
        <v/>
      </c>
      <c r="L554" t="str">
        <f>IF(SAISIE!$M559="","",SAISIE!$M559)</f>
        <v/>
      </c>
      <c r="M554" t="str">
        <f>IF(SAISIE!$N559="","",SAISIE!$N559)</f>
        <v/>
      </c>
      <c r="N554" t="str">
        <f>IF(SAISIE!$O559="","",SAISIE!$O559)</f>
        <v/>
      </c>
      <c r="O554" t="str">
        <f>IF(SAISIE!$P559="","",SAISIE!$P559)</f>
        <v/>
      </c>
      <c r="P554" t="str">
        <f>IF(SAISIE!$Q559="","",SAISIE!$Q559)</f>
        <v/>
      </c>
      <c r="Q554" t="str">
        <f>IF($I554="","",IF($I554&gt;PARAMETRES!$G$29,5,IF($I554&gt;PARAMETRES!$F$29,4,IF($I554&gt;PARAMETRES!$E$29,3,IF($I554&gt;PARAMETRES!$D$29,2,1)))))</f>
        <v/>
      </c>
      <c r="R554" t="str">
        <f>IF($J554="","",IF($J554&gt;PARAMETRES!$G$30,5,IF($J554&gt;PARAMETRES!$F$30,4,IF($J554&gt;PARAMETRES!$E$30,3,IF($J554&gt;PARAMETRES!$D$30,2,1)))))</f>
        <v/>
      </c>
      <c r="S554" t="str">
        <f>IF($K554="","",IF($Z554=2,IF($K554&gt;PARAMETRES!$G$31,5,IF($K554&gt;PARAMETRES!$F$31,4,IF($K554&gt;PARAMETRES!$E$31,3,IF($K554&gt;PARAMETRES!$D$31,2,1)))),IF($K554&gt;PARAMETRES!$G$32,5,IF($K554&gt;PARAMETRES!$F$32,4,IF($K554&gt;PARAMETRES!$E$32,3,IF($K554&gt;PARAMETRES!$D$32,2,1))))))</f>
        <v/>
      </c>
      <c r="T554" t="str">
        <f>IF($L554="","",IF($L554&gt;PARAMETRES!$G$33,5,IF($L554&gt;PARAMETRES!$F$33,4,IF($L554&gt;PARAMETRES!$E$33,3,IF($L554&gt;PARAMETRES!$D$33,2,1)))))</f>
        <v/>
      </c>
      <c r="U554" t="str">
        <f>IF($M554="","",IF($M554&gt;PARAMETRES!$G$34,5,IF($M554&gt;PARAMETRES!$F$34,4,IF($M554&gt;PARAMETRES!$E$34,3,IF($M554&gt;PARAMETRES!$D$34,2,1)))))</f>
        <v/>
      </c>
      <c r="V554" t="str">
        <f>IF($N554="","",IF($N554&gt;PARAMETRES!$G$35,5,IF($N554&gt;PARAMETRES!$F$35,4,IF($N554&gt;PARAMETRES!$E$35,3,IF($N554&gt;PARAMETRES!$D$35,2,1)))))</f>
        <v/>
      </c>
      <c r="W554" t="str">
        <f>IF($O554="","",IF($O554&gt;PARAMETRES!$G$36,5,IF($O554&gt;PARAMETRES!$F$36,4,IF($O554&gt;PARAMETRES!$E$36,3,IF($O554&gt;PARAMETRES!$D$36,2,1)))))</f>
        <v/>
      </c>
      <c r="X554" t="str">
        <f>IF($P554="","",IF($P554&gt;PARAMETRES!$G$37,5,IF($P554&gt;PARAMETRES!$F$37,4,IF($P554&gt;PARAMETRES!$E$37,3,IF($P554&gt;PARAMETRES!$D$37,2,1)))))</f>
        <v/>
      </c>
      <c r="Y554" t="str">
        <f t="shared" si="192"/>
        <v/>
      </c>
      <c r="Z554" t="str">
        <f>IFERROR(VLOOKUP($B554,TABLE_CYCLE,2,0),"")</f>
        <v/>
      </c>
      <c r="AA554" t="str">
        <f t="shared" si="193"/>
        <v/>
      </c>
      <c r="AB554" t="str">
        <f>IF($D554="","",IF(COUNTIF($D$2:$D554,$D554)=1,$D554,""))</f>
        <v/>
      </c>
      <c r="AC554">
        <f t="shared" si="194"/>
        <v>0</v>
      </c>
      <c r="AD554" t="str">
        <f t="shared" si="195"/>
        <v>|0</v>
      </c>
      <c r="AE554" t="str">
        <f t="shared" si="196"/>
        <v/>
      </c>
      <c r="AF554" t="str">
        <f t="shared" si="197"/>
        <v/>
      </c>
      <c r="AG554" t="str">
        <f t="shared" si="198"/>
        <v/>
      </c>
      <c r="AH554" t="str">
        <f t="shared" si="199"/>
        <v/>
      </c>
      <c r="AI554" t="str">
        <f t="shared" si="200"/>
        <v/>
      </c>
      <c r="AJ554" t="str">
        <f t="shared" si="201"/>
        <v/>
      </c>
      <c r="AK554" t="str">
        <f t="shared" si="202"/>
        <v/>
      </c>
      <c r="AL554" t="str">
        <f t="shared" si="203"/>
        <v/>
      </c>
      <c r="AM554" t="str">
        <f t="shared" si="204"/>
        <v/>
      </c>
      <c r="AN554" t="str">
        <f t="shared" si="205"/>
        <v/>
      </c>
      <c r="AO554" t="str">
        <f t="shared" si="206"/>
        <v/>
      </c>
      <c r="AP554">
        <f t="shared" si="207"/>
        <v>1</v>
      </c>
      <c r="AQ554" t="str">
        <f>IF(SAISIE!$F559="","",SAISIE!$Y559)</f>
        <v/>
      </c>
      <c r="AR554" t="str">
        <f>IF(OR(SAISIE!$U$4="",SAISIE!$W$4=""),"",IF(AND($A554=SAISIE!$U$4,$B554=SAISIE!$W$4,$C554="S1"),COUNTIFS($A$2:$A554,SAISIE!$U$4,$B$2:$B554,SAISIE!$W$4,$C$2:$C554,"S1"),""))</f>
        <v/>
      </c>
      <c r="AS554" t="str">
        <f t="shared" si="208"/>
        <v/>
      </c>
      <c r="AT554" t="str">
        <f t="shared" si="209"/>
        <v/>
      </c>
      <c r="AU554" t="str">
        <f t="shared" si="210"/>
        <v/>
      </c>
      <c r="AV554">
        <f>N(AV553)+IF(AND($AB554&lt;&gt;"",OR('PROFIL ELEVE'!$K$4="(Tous)",$AF554='PROFIL ELEVE'!$K$4)),1,0)</f>
        <v>0</v>
      </c>
      <c r="AW554">
        <f>N(AW553)+IF(AND($AB554&lt;&gt;"",OR('SUIVI LONGITUDINAL'!$Q$4="(Tous)",$AF554='SUIVI LONGITUDINAL'!$Q$4)),1,0)</f>
        <v>0</v>
      </c>
      <c r="AX554">
        <f t="shared" si="211"/>
        <v>0</v>
      </c>
      <c r="AY554">
        <f t="shared" si="212"/>
        <v>0</v>
      </c>
      <c r="AZ554">
        <f t="shared" si="213"/>
        <v>0</v>
      </c>
      <c r="BA554" t="str">
        <f t="shared" si="214"/>
        <v/>
      </c>
      <c r="BB554" t="str">
        <f t="shared" si="215"/>
        <v/>
      </c>
    </row>
    <row r="555" spans="1:54" ht="14.25" customHeight="1" x14ac:dyDescent="0.3">
      <c r="A555" t="str">
        <f>IF(SAISIE!$F560="","",SAISIE!$B560)</f>
        <v/>
      </c>
      <c r="B555" t="str">
        <f>IF(SAISIE!$F560="","",SAISIE!$C560)</f>
        <v/>
      </c>
      <c r="C555" t="str">
        <f>IF(SAISIE!$F560="","",SAISIE!$D560)</f>
        <v/>
      </c>
      <c r="D555" t="str">
        <f>IF(SAISIE!$E560="","",SAISIE!$E560)</f>
        <v/>
      </c>
      <c r="E555" t="str">
        <f>IF(SAISIE!$F560="","",SAISIE!$F560)</f>
        <v/>
      </c>
      <c r="F555" t="str">
        <f>IF(SAISIE!$G560="","",SAISIE!$G560)</f>
        <v/>
      </c>
      <c r="G555" t="str">
        <f>IF(SAISIE!$H560="","",SAISIE!$H560)</f>
        <v/>
      </c>
      <c r="H555" t="str">
        <f>IF(SAISIE!$I560="","",SAISIE!$I560)</f>
        <v/>
      </c>
      <c r="I555" t="str">
        <f>IF(SAISIE!$J560="","",SAISIE!$J560)</f>
        <v/>
      </c>
      <c r="J555" t="str">
        <f>IF(SAISIE!$K560="","",SAISIE!$K560)</f>
        <v/>
      </c>
      <c r="K555" t="str">
        <f>IF(SAISIE!$L560="","",SAISIE!$L560)</f>
        <v/>
      </c>
      <c r="L555" t="str">
        <f>IF(SAISIE!$M560="","",SAISIE!$M560)</f>
        <v/>
      </c>
      <c r="M555" t="str">
        <f>IF(SAISIE!$N560="","",SAISIE!$N560)</f>
        <v/>
      </c>
      <c r="N555" t="str">
        <f>IF(SAISIE!$O560="","",SAISIE!$O560)</f>
        <v/>
      </c>
      <c r="O555" t="str">
        <f>IF(SAISIE!$P560="","",SAISIE!$P560)</f>
        <v/>
      </c>
      <c r="P555" t="str">
        <f>IF(SAISIE!$Q560="","",SAISIE!$Q560)</f>
        <v/>
      </c>
      <c r="Q555" t="str">
        <f>IF($I555="","",IF($I555&gt;PARAMETRES!$G$29,5,IF($I555&gt;PARAMETRES!$F$29,4,IF($I555&gt;PARAMETRES!$E$29,3,IF($I555&gt;PARAMETRES!$D$29,2,1)))))</f>
        <v/>
      </c>
      <c r="R555" t="str">
        <f>IF($J555="","",IF($J555&gt;PARAMETRES!$G$30,5,IF($J555&gt;PARAMETRES!$F$30,4,IF($J555&gt;PARAMETRES!$E$30,3,IF($J555&gt;PARAMETRES!$D$30,2,1)))))</f>
        <v/>
      </c>
      <c r="S555" t="str">
        <f>IF($K555="","",IF($Z555=2,IF($K555&gt;PARAMETRES!$G$31,5,IF($K555&gt;PARAMETRES!$F$31,4,IF($K555&gt;PARAMETRES!$E$31,3,IF($K555&gt;PARAMETRES!$D$31,2,1)))),IF($K555&gt;PARAMETRES!$G$32,5,IF($K555&gt;PARAMETRES!$F$32,4,IF($K555&gt;PARAMETRES!$E$32,3,IF($K555&gt;PARAMETRES!$D$32,2,1))))))</f>
        <v/>
      </c>
      <c r="T555" t="str">
        <f>IF($L555="","",IF($L555&gt;PARAMETRES!$G$33,5,IF($L555&gt;PARAMETRES!$F$33,4,IF($L555&gt;PARAMETRES!$E$33,3,IF($L555&gt;PARAMETRES!$D$33,2,1)))))</f>
        <v/>
      </c>
      <c r="U555" t="str">
        <f>IF($M555="","",IF($M555&gt;PARAMETRES!$G$34,5,IF($M555&gt;PARAMETRES!$F$34,4,IF($M555&gt;PARAMETRES!$E$34,3,IF($M555&gt;PARAMETRES!$D$34,2,1)))))</f>
        <v/>
      </c>
      <c r="V555" t="str">
        <f>IF($N555="","",IF($N555&gt;PARAMETRES!$G$35,5,IF($N555&gt;PARAMETRES!$F$35,4,IF($N555&gt;PARAMETRES!$E$35,3,IF($N555&gt;PARAMETRES!$D$35,2,1)))))</f>
        <v/>
      </c>
      <c r="W555" t="str">
        <f>IF($O555="","",IF($O555&gt;PARAMETRES!$G$36,5,IF($O555&gt;PARAMETRES!$F$36,4,IF($O555&gt;PARAMETRES!$E$36,3,IF($O555&gt;PARAMETRES!$D$36,2,1)))))</f>
        <v/>
      </c>
      <c r="X555" t="str">
        <f>IF($P555="","",IF($P555&gt;PARAMETRES!$G$37,5,IF($P555&gt;PARAMETRES!$F$37,4,IF($P555&gt;PARAMETRES!$E$37,3,IF($P555&gt;PARAMETRES!$D$37,2,1)))))</f>
        <v/>
      </c>
      <c r="Y555" t="str">
        <f t="shared" si="192"/>
        <v/>
      </c>
      <c r="Z555" t="str">
        <f>IFERROR(VLOOKUP($B555,TABLE_CYCLE,2,0),"")</f>
        <v/>
      </c>
      <c r="AA555" t="str">
        <f t="shared" si="193"/>
        <v/>
      </c>
      <c r="AB555" t="str">
        <f>IF($D555="","",IF(COUNTIF($D$2:$D555,$D555)=1,$D555,""))</f>
        <v/>
      </c>
      <c r="AC555">
        <f t="shared" si="194"/>
        <v>0</v>
      </c>
      <c r="AD555" t="str">
        <f t="shared" si="195"/>
        <v>|0</v>
      </c>
      <c r="AE555" t="str">
        <f t="shared" si="196"/>
        <v/>
      </c>
      <c r="AF555" t="str">
        <f t="shared" si="197"/>
        <v/>
      </c>
      <c r="AG555" t="str">
        <f t="shared" si="198"/>
        <v/>
      </c>
      <c r="AH555" t="str">
        <f t="shared" si="199"/>
        <v/>
      </c>
      <c r="AI555" t="str">
        <f t="shared" si="200"/>
        <v/>
      </c>
      <c r="AJ555" t="str">
        <f t="shared" si="201"/>
        <v/>
      </c>
      <c r="AK555" t="str">
        <f t="shared" si="202"/>
        <v/>
      </c>
      <c r="AL555" t="str">
        <f t="shared" si="203"/>
        <v/>
      </c>
      <c r="AM555" t="str">
        <f t="shared" si="204"/>
        <v/>
      </c>
      <c r="AN555" t="str">
        <f t="shared" si="205"/>
        <v/>
      </c>
      <c r="AO555" t="str">
        <f t="shared" si="206"/>
        <v/>
      </c>
      <c r="AP555">
        <f t="shared" si="207"/>
        <v>1</v>
      </c>
      <c r="AQ555" t="str">
        <f>IF(SAISIE!$F560="","",SAISIE!$Y560)</f>
        <v/>
      </c>
      <c r="AR555" t="str">
        <f>IF(OR(SAISIE!$U$4="",SAISIE!$W$4=""),"",IF(AND($A555=SAISIE!$U$4,$B555=SAISIE!$W$4,$C555="S1"),COUNTIFS($A$2:$A555,SAISIE!$U$4,$B$2:$B555,SAISIE!$W$4,$C$2:$C555,"S1"),""))</f>
        <v/>
      </c>
      <c r="AS555" t="str">
        <f t="shared" si="208"/>
        <v/>
      </c>
      <c r="AT555" t="str">
        <f t="shared" si="209"/>
        <v/>
      </c>
      <c r="AU555" t="str">
        <f t="shared" si="210"/>
        <v/>
      </c>
      <c r="AV555">
        <f>N(AV554)+IF(AND($AB555&lt;&gt;"",OR('PROFIL ELEVE'!$K$4="(Tous)",$AF555='PROFIL ELEVE'!$K$4)),1,0)</f>
        <v>0</v>
      </c>
      <c r="AW555">
        <f>N(AW554)+IF(AND($AB555&lt;&gt;"",OR('SUIVI LONGITUDINAL'!$Q$4="(Tous)",$AF555='SUIVI LONGITUDINAL'!$Q$4)),1,0)</f>
        <v>0</v>
      </c>
      <c r="AX555">
        <f t="shared" si="211"/>
        <v>0</v>
      </c>
      <c r="AY555">
        <f t="shared" si="212"/>
        <v>0</v>
      </c>
      <c r="AZ555">
        <f t="shared" si="213"/>
        <v>0</v>
      </c>
      <c r="BA555" t="str">
        <f t="shared" si="214"/>
        <v/>
      </c>
      <c r="BB555" t="str">
        <f t="shared" si="215"/>
        <v/>
      </c>
    </row>
    <row r="556" spans="1:54" ht="14.25" customHeight="1" x14ac:dyDescent="0.3">
      <c r="A556" t="str">
        <f>IF(SAISIE!$F561="","",SAISIE!$B561)</f>
        <v/>
      </c>
      <c r="B556" t="str">
        <f>IF(SAISIE!$F561="","",SAISIE!$C561)</f>
        <v/>
      </c>
      <c r="C556" t="str">
        <f>IF(SAISIE!$F561="","",SAISIE!$D561)</f>
        <v/>
      </c>
      <c r="D556" t="str">
        <f>IF(SAISIE!$E561="","",SAISIE!$E561)</f>
        <v/>
      </c>
      <c r="E556" t="str">
        <f>IF(SAISIE!$F561="","",SAISIE!$F561)</f>
        <v/>
      </c>
      <c r="F556" t="str">
        <f>IF(SAISIE!$G561="","",SAISIE!$G561)</f>
        <v/>
      </c>
      <c r="G556" t="str">
        <f>IF(SAISIE!$H561="","",SAISIE!$H561)</f>
        <v/>
      </c>
      <c r="H556" t="str">
        <f>IF(SAISIE!$I561="","",SAISIE!$I561)</f>
        <v/>
      </c>
      <c r="I556" t="str">
        <f>IF(SAISIE!$J561="","",SAISIE!$J561)</f>
        <v/>
      </c>
      <c r="J556" t="str">
        <f>IF(SAISIE!$K561="","",SAISIE!$K561)</f>
        <v/>
      </c>
      <c r="K556" t="str">
        <f>IF(SAISIE!$L561="","",SAISIE!$L561)</f>
        <v/>
      </c>
      <c r="L556" t="str">
        <f>IF(SAISIE!$M561="","",SAISIE!$M561)</f>
        <v/>
      </c>
      <c r="M556" t="str">
        <f>IF(SAISIE!$N561="","",SAISIE!$N561)</f>
        <v/>
      </c>
      <c r="N556" t="str">
        <f>IF(SAISIE!$O561="","",SAISIE!$O561)</f>
        <v/>
      </c>
      <c r="O556" t="str">
        <f>IF(SAISIE!$P561="","",SAISIE!$P561)</f>
        <v/>
      </c>
      <c r="P556" t="str">
        <f>IF(SAISIE!$Q561="","",SAISIE!$Q561)</f>
        <v/>
      </c>
      <c r="Q556" t="str">
        <f>IF($I556="","",IF($I556&gt;PARAMETRES!$G$29,5,IF($I556&gt;PARAMETRES!$F$29,4,IF($I556&gt;PARAMETRES!$E$29,3,IF($I556&gt;PARAMETRES!$D$29,2,1)))))</f>
        <v/>
      </c>
      <c r="R556" t="str">
        <f>IF($J556="","",IF($J556&gt;PARAMETRES!$G$30,5,IF($J556&gt;PARAMETRES!$F$30,4,IF($J556&gt;PARAMETRES!$E$30,3,IF($J556&gt;PARAMETRES!$D$30,2,1)))))</f>
        <v/>
      </c>
      <c r="S556" t="str">
        <f>IF($K556="","",IF($Z556=2,IF($K556&gt;PARAMETRES!$G$31,5,IF($K556&gt;PARAMETRES!$F$31,4,IF($K556&gt;PARAMETRES!$E$31,3,IF($K556&gt;PARAMETRES!$D$31,2,1)))),IF($K556&gt;PARAMETRES!$G$32,5,IF($K556&gt;PARAMETRES!$F$32,4,IF($K556&gt;PARAMETRES!$E$32,3,IF($K556&gt;PARAMETRES!$D$32,2,1))))))</f>
        <v/>
      </c>
      <c r="T556" t="str">
        <f>IF($L556="","",IF($L556&gt;PARAMETRES!$G$33,5,IF($L556&gt;PARAMETRES!$F$33,4,IF($L556&gt;PARAMETRES!$E$33,3,IF($L556&gt;PARAMETRES!$D$33,2,1)))))</f>
        <v/>
      </c>
      <c r="U556" t="str">
        <f>IF($M556="","",IF($M556&gt;PARAMETRES!$G$34,5,IF($M556&gt;PARAMETRES!$F$34,4,IF($M556&gt;PARAMETRES!$E$34,3,IF($M556&gt;PARAMETRES!$D$34,2,1)))))</f>
        <v/>
      </c>
      <c r="V556" t="str">
        <f>IF($N556="","",IF($N556&gt;PARAMETRES!$G$35,5,IF($N556&gt;PARAMETRES!$F$35,4,IF($N556&gt;PARAMETRES!$E$35,3,IF($N556&gt;PARAMETRES!$D$35,2,1)))))</f>
        <v/>
      </c>
      <c r="W556" t="str">
        <f>IF($O556="","",IF($O556&gt;PARAMETRES!$G$36,5,IF($O556&gt;PARAMETRES!$F$36,4,IF($O556&gt;PARAMETRES!$E$36,3,IF($O556&gt;PARAMETRES!$D$36,2,1)))))</f>
        <v/>
      </c>
      <c r="X556" t="str">
        <f>IF($P556="","",IF($P556&gt;PARAMETRES!$G$37,5,IF($P556&gt;PARAMETRES!$F$37,4,IF($P556&gt;PARAMETRES!$E$37,3,IF($P556&gt;PARAMETRES!$D$37,2,1)))))</f>
        <v/>
      </c>
      <c r="Y556" t="str">
        <f t="shared" si="192"/>
        <v/>
      </c>
      <c r="Z556" t="str">
        <f>IFERROR(VLOOKUP($B556,TABLE_CYCLE,2,0),"")</f>
        <v/>
      </c>
      <c r="AA556" t="str">
        <f t="shared" si="193"/>
        <v/>
      </c>
      <c r="AB556" t="str">
        <f>IF($D556="","",IF(COUNTIF($D$2:$D556,$D556)=1,$D556,""))</f>
        <v/>
      </c>
      <c r="AC556">
        <f t="shared" si="194"/>
        <v>0</v>
      </c>
      <c r="AD556" t="str">
        <f t="shared" si="195"/>
        <v>|0</v>
      </c>
      <c r="AE556" t="str">
        <f t="shared" si="196"/>
        <v/>
      </c>
      <c r="AF556" t="str">
        <f t="shared" si="197"/>
        <v/>
      </c>
      <c r="AG556" t="str">
        <f t="shared" si="198"/>
        <v/>
      </c>
      <c r="AH556" t="str">
        <f t="shared" si="199"/>
        <v/>
      </c>
      <c r="AI556" t="str">
        <f t="shared" si="200"/>
        <v/>
      </c>
      <c r="AJ556" t="str">
        <f t="shared" si="201"/>
        <v/>
      </c>
      <c r="AK556" t="str">
        <f t="shared" si="202"/>
        <v/>
      </c>
      <c r="AL556" t="str">
        <f t="shared" si="203"/>
        <v/>
      </c>
      <c r="AM556" t="str">
        <f t="shared" si="204"/>
        <v/>
      </c>
      <c r="AN556" t="str">
        <f t="shared" si="205"/>
        <v/>
      </c>
      <c r="AO556" t="str">
        <f t="shared" si="206"/>
        <v/>
      </c>
      <c r="AP556">
        <f t="shared" si="207"/>
        <v>1</v>
      </c>
      <c r="AQ556" t="str">
        <f>IF(SAISIE!$F561="","",SAISIE!$Y561)</f>
        <v/>
      </c>
      <c r="AR556" t="str">
        <f>IF(OR(SAISIE!$U$4="",SAISIE!$W$4=""),"",IF(AND($A556=SAISIE!$U$4,$B556=SAISIE!$W$4,$C556="S1"),COUNTIFS($A$2:$A556,SAISIE!$U$4,$B$2:$B556,SAISIE!$W$4,$C$2:$C556,"S1"),""))</f>
        <v/>
      </c>
      <c r="AS556" t="str">
        <f t="shared" si="208"/>
        <v/>
      </c>
      <c r="AT556" t="str">
        <f t="shared" si="209"/>
        <v/>
      </c>
      <c r="AU556" t="str">
        <f t="shared" si="210"/>
        <v/>
      </c>
      <c r="AV556">
        <f>N(AV555)+IF(AND($AB556&lt;&gt;"",OR('PROFIL ELEVE'!$K$4="(Tous)",$AF556='PROFIL ELEVE'!$K$4)),1,0)</f>
        <v>0</v>
      </c>
      <c r="AW556">
        <f>N(AW555)+IF(AND($AB556&lt;&gt;"",OR('SUIVI LONGITUDINAL'!$Q$4="(Tous)",$AF556='SUIVI LONGITUDINAL'!$Q$4)),1,0)</f>
        <v>0</v>
      </c>
      <c r="AX556">
        <f t="shared" si="211"/>
        <v>0</v>
      </c>
      <c r="AY556">
        <f t="shared" si="212"/>
        <v>0</v>
      </c>
      <c r="AZ556">
        <f t="shared" si="213"/>
        <v>0</v>
      </c>
      <c r="BA556" t="str">
        <f t="shared" si="214"/>
        <v/>
      </c>
      <c r="BB556" t="str">
        <f t="shared" si="215"/>
        <v/>
      </c>
    </row>
    <row r="557" spans="1:54" ht="14.25" customHeight="1" x14ac:dyDescent="0.3">
      <c r="A557" t="str">
        <f>IF(SAISIE!$F562="","",SAISIE!$B562)</f>
        <v/>
      </c>
      <c r="B557" t="str">
        <f>IF(SAISIE!$F562="","",SAISIE!$C562)</f>
        <v/>
      </c>
      <c r="C557" t="str">
        <f>IF(SAISIE!$F562="","",SAISIE!$D562)</f>
        <v/>
      </c>
      <c r="D557" t="str">
        <f>IF(SAISIE!$E562="","",SAISIE!$E562)</f>
        <v/>
      </c>
      <c r="E557" t="str">
        <f>IF(SAISIE!$F562="","",SAISIE!$F562)</f>
        <v/>
      </c>
      <c r="F557" t="str">
        <f>IF(SAISIE!$G562="","",SAISIE!$G562)</f>
        <v/>
      </c>
      <c r="G557" t="str">
        <f>IF(SAISIE!$H562="","",SAISIE!$H562)</f>
        <v/>
      </c>
      <c r="H557" t="str">
        <f>IF(SAISIE!$I562="","",SAISIE!$I562)</f>
        <v/>
      </c>
      <c r="I557" t="str">
        <f>IF(SAISIE!$J562="","",SAISIE!$J562)</f>
        <v/>
      </c>
      <c r="J557" t="str">
        <f>IF(SAISIE!$K562="","",SAISIE!$K562)</f>
        <v/>
      </c>
      <c r="K557" t="str">
        <f>IF(SAISIE!$L562="","",SAISIE!$L562)</f>
        <v/>
      </c>
      <c r="L557" t="str">
        <f>IF(SAISIE!$M562="","",SAISIE!$M562)</f>
        <v/>
      </c>
      <c r="M557" t="str">
        <f>IF(SAISIE!$N562="","",SAISIE!$N562)</f>
        <v/>
      </c>
      <c r="N557" t="str">
        <f>IF(SAISIE!$O562="","",SAISIE!$O562)</f>
        <v/>
      </c>
      <c r="O557" t="str">
        <f>IF(SAISIE!$P562="","",SAISIE!$P562)</f>
        <v/>
      </c>
      <c r="P557" t="str">
        <f>IF(SAISIE!$Q562="","",SAISIE!$Q562)</f>
        <v/>
      </c>
      <c r="Q557" t="str">
        <f>IF($I557="","",IF($I557&gt;PARAMETRES!$G$29,5,IF($I557&gt;PARAMETRES!$F$29,4,IF($I557&gt;PARAMETRES!$E$29,3,IF($I557&gt;PARAMETRES!$D$29,2,1)))))</f>
        <v/>
      </c>
      <c r="R557" t="str">
        <f>IF($J557="","",IF($J557&gt;PARAMETRES!$G$30,5,IF($J557&gt;PARAMETRES!$F$30,4,IF($J557&gt;PARAMETRES!$E$30,3,IF($J557&gt;PARAMETRES!$D$30,2,1)))))</f>
        <v/>
      </c>
      <c r="S557" t="str">
        <f>IF($K557="","",IF($Z557=2,IF($K557&gt;PARAMETRES!$G$31,5,IF($K557&gt;PARAMETRES!$F$31,4,IF($K557&gt;PARAMETRES!$E$31,3,IF($K557&gt;PARAMETRES!$D$31,2,1)))),IF($K557&gt;PARAMETRES!$G$32,5,IF($K557&gt;PARAMETRES!$F$32,4,IF($K557&gt;PARAMETRES!$E$32,3,IF($K557&gt;PARAMETRES!$D$32,2,1))))))</f>
        <v/>
      </c>
      <c r="T557" t="str">
        <f>IF($L557="","",IF($L557&gt;PARAMETRES!$G$33,5,IF($L557&gt;PARAMETRES!$F$33,4,IF($L557&gt;PARAMETRES!$E$33,3,IF($L557&gt;PARAMETRES!$D$33,2,1)))))</f>
        <v/>
      </c>
      <c r="U557" t="str">
        <f>IF($M557="","",IF($M557&gt;PARAMETRES!$G$34,5,IF($M557&gt;PARAMETRES!$F$34,4,IF($M557&gt;PARAMETRES!$E$34,3,IF($M557&gt;PARAMETRES!$D$34,2,1)))))</f>
        <v/>
      </c>
      <c r="V557" t="str">
        <f>IF($N557="","",IF($N557&gt;PARAMETRES!$G$35,5,IF($N557&gt;PARAMETRES!$F$35,4,IF($N557&gt;PARAMETRES!$E$35,3,IF($N557&gt;PARAMETRES!$D$35,2,1)))))</f>
        <v/>
      </c>
      <c r="W557" t="str">
        <f>IF($O557="","",IF($O557&gt;PARAMETRES!$G$36,5,IF($O557&gt;PARAMETRES!$F$36,4,IF($O557&gt;PARAMETRES!$E$36,3,IF($O557&gt;PARAMETRES!$D$36,2,1)))))</f>
        <v/>
      </c>
      <c r="X557" t="str">
        <f>IF($P557="","",IF($P557&gt;PARAMETRES!$G$37,5,IF($P557&gt;PARAMETRES!$F$37,4,IF($P557&gt;PARAMETRES!$E$37,3,IF($P557&gt;PARAMETRES!$D$37,2,1)))))</f>
        <v/>
      </c>
      <c r="Y557" t="str">
        <f t="shared" si="192"/>
        <v/>
      </c>
      <c r="Z557" t="str">
        <f>IFERROR(VLOOKUP($B557,TABLE_CYCLE,2,0),"")</f>
        <v/>
      </c>
      <c r="AA557" t="str">
        <f t="shared" si="193"/>
        <v/>
      </c>
      <c r="AB557" t="str">
        <f>IF($D557="","",IF(COUNTIF($D$2:$D557,$D557)=1,$D557,""))</f>
        <v/>
      </c>
      <c r="AC557">
        <f t="shared" si="194"/>
        <v>0</v>
      </c>
      <c r="AD557" t="str">
        <f t="shared" si="195"/>
        <v>|0</v>
      </c>
      <c r="AE557" t="str">
        <f t="shared" si="196"/>
        <v/>
      </c>
      <c r="AF557" t="str">
        <f t="shared" si="197"/>
        <v/>
      </c>
      <c r="AG557" t="str">
        <f t="shared" si="198"/>
        <v/>
      </c>
      <c r="AH557" t="str">
        <f t="shared" si="199"/>
        <v/>
      </c>
      <c r="AI557" t="str">
        <f t="shared" si="200"/>
        <v/>
      </c>
      <c r="AJ557" t="str">
        <f t="shared" si="201"/>
        <v/>
      </c>
      <c r="AK557" t="str">
        <f t="shared" si="202"/>
        <v/>
      </c>
      <c r="AL557" t="str">
        <f t="shared" si="203"/>
        <v/>
      </c>
      <c r="AM557" t="str">
        <f t="shared" si="204"/>
        <v/>
      </c>
      <c r="AN557" t="str">
        <f t="shared" si="205"/>
        <v/>
      </c>
      <c r="AO557" t="str">
        <f t="shared" si="206"/>
        <v/>
      </c>
      <c r="AP557">
        <f t="shared" si="207"/>
        <v>1</v>
      </c>
      <c r="AQ557" t="str">
        <f>IF(SAISIE!$F562="","",SAISIE!$Y562)</f>
        <v/>
      </c>
      <c r="AR557" t="str">
        <f>IF(OR(SAISIE!$U$4="",SAISIE!$W$4=""),"",IF(AND($A557=SAISIE!$U$4,$B557=SAISIE!$W$4,$C557="S1"),COUNTIFS($A$2:$A557,SAISIE!$U$4,$B$2:$B557,SAISIE!$W$4,$C$2:$C557,"S1"),""))</f>
        <v/>
      </c>
      <c r="AS557" t="str">
        <f t="shared" si="208"/>
        <v/>
      </c>
      <c r="AT557" t="str">
        <f t="shared" si="209"/>
        <v/>
      </c>
      <c r="AU557" t="str">
        <f t="shared" si="210"/>
        <v/>
      </c>
      <c r="AV557">
        <f>N(AV556)+IF(AND($AB557&lt;&gt;"",OR('PROFIL ELEVE'!$K$4="(Tous)",$AF557='PROFIL ELEVE'!$K$4)),1,0)</f>
        <v>0</v>
      </c>
      <c r="AW557">
        <f>N(AW556)+IF(AND($AB557&lt;&gt;"",OR('SUIVI LONGITUDINAL'!$Q$4="(Tous)",$AF557='SUIVI LONGITUDINAL'!$Q$4)),1,0)</f>
        <v>0</v>
      </c>
      <c r="AX557">
        <f t="shared" si="211"/>
        <v>0</v>
      </c>
      <c r="AY557">
        <f t="shared" si="212"/>
        <v>0</v>
      </c>
      <c r="AZ557">
        <f t="shared" si="213"/>
        <v>0</v>
      </c>
      <c r="BA557" t="str">
        <f t="shared" si="214"/>
        <v/>
      </c>
      <c r="BB557" t="str">
        <f t="shared" si="215"/>
        <v/>
      </c>
    </row>
    <row r="558" spans="1:54" ht="14.25" customHeight="1" x14ac:dyDescent="0.3">
      <c r="A558" t="str">
        <f>IF(SAISIE!$F563="","",SAISIE!$B563)</f>
        <v/>
      </c>
      <c r="B558" t="str">
        <f>IF(SAISIE!$F563="","",SAISIE!$C563)</f>
        <v/>
      </c>
      <c r="C558" t="str">
        <f>IF(SAISIE!$F563="","",SAISIE!$D563)</f>
        <v/>
      </c>
      <c r="D558" t="str">
        <f>IF(SAISIE!$E563="","",SAISIE!$E563)</f>
        <v/>
      </c>
      <c r="E558" t="str">
        <f>IF(SAISIE!$F563="","",SAISIE!$F563)</f>
        <v/>
      </c>
      <c r="F558" t="str">
        <f>IF(SAISIE!$G563="","",SAISIE!$G563)</f>
        <v/>
      </c>
      <c r="G558" t="str">
        <f>IF(SAISIE!$H563="","",SAISIE!$H563)</f>
        <v/>
      </c>
      <c r="H558" t="str">
        <f>IF(SAISIE!$I563="","",SAISIE!$I563)</f>
        <v/>
      </c>
      <c r="I558" t="str">
        <f>IF(SAISIE!$J563="","",SAISIE!$J563)</f>
        <v/>
      </c>
      <c r="J558" t="str">
        <f>IF(SAISIE!$K563="","",SAISIE!$K563)</f>
        <v/>
      </c>
      <c r="K558" t="str">
        <f>IF(SAISIE!$L563="","",SAISIE!$L563)</f>
        <v/>
      </c>
      <c r="L558" t="str">
        <f>IF(SAISIE!$M563="","",SAISIE!$M563)</f>
        <v/>
      </c>
      <c r="M558" t="str">
        <f>IF(SAISIE!$N563="","",SAISIE!$N563)</f>
        <v/>
      </c>
      <c r="N558" t="str">
        <f>IF(SAISIE!$O563="","",SAISIE!$O563)</f>
        <v/>
      </c>
      <c r="O558" t="str">
        <f>IF(SAISIE!$P563="","",SAISIE!$P563)</f>
        <v/>
      </c>
      <c r="P558" t="str">
        <f>IF(SAISIE!$Q563="","",SAISIE!$Q563)</f>
        <v/>
      </c>
      <c r="Q558" t="str">
        <f>IF($I558="","",IF($I558&gt;PARAMETRES!$G$29,5,IF($I558&gt;PARAMETRES!$F$29,4,IF($I558&gt;PARAMETRES!$E$29,3,IF($I558&gt;PARAMETRES!$D$29,2,1)))))</f>
        <v/>
      </c>
      <c r="R558" t="str">
        <f>IF($J558="","",IF($J558&gt;PARAMETRES!$G$30,5,IF($J558&gt;PARAMETRES!$F$30,4,IF($J558&gt;PARAMETRES!$E$30,3,IF($J558&gt;PARAMETRES!$D$30,2,1)))))</f>
        <v/>
      </c>
      <c r="S558" t="str">
        <f>IF($K558="","",IF($Z558=2,IF($K558&gt;PARAMETRES!$G$31,5,IF($K558&gt;PARAMETRES!$F$31,4,IF($K558&gt;PARAMETRES!$E$31,3,IF($K558&gt;PARAMETRES!$D$31,2,1)))),IF($K558&gt;PARAMETRES!$G$32,5,IF($K558&gt;PARAMETRES!$F$32,4,IF($K558&gt;PARAMETRES!$E$32,3,IF($K558&gt;PARAMETRES!$D$32,2,1))))))</f>
        <v/>
      </c>
      <c r="T558" t="str">
        <f>IF($L558="","",IF($L558&gt;PARAMETRES!$G$33,5,IF($L558&gt;PARAMETRES!$F$33,4,IF($L558&gt;PARAMETRES!$E$33,3,IF($L558&gt;PARAMETRES!$D$33,2,1)))))</f>
        <v/>
      </c>
      <c r="U558" t="str">
        <f>IF($M558="","",IF($M558&gt;PARAMETRES!$G$34,5,IF($M558&gt;PARAMETRES!$F$34,4,IF($M558&gt;PARAMETRES!$E$34,3,IF($M558&gt;PARAMETRES!$D$34,2,1)))))</f>
        <v/>
      </c>
      <c r="V558" t="str">
        <f>IF($N558="","",IF($N558&gt;PARAMETRES!$G$35,5,IF($N558&gt;PARAMETRES!$F$35,4,IF($N558&gt;PARAMETRES!$E$35,3,IF($N558&gt;PARAMETRES!$D$35,2,1)))))</f>
        <v/>
      </c>
      <c r="W558" t="str">
        <f>IF($O558="","",IF($O558&gt;PARAMETRES!$G$36,5,IF($O558&gt;PARAMETRES!$F$36,4,IF($O558&gt;PARAMETRES!$E$36,3,IF($O558&gt;PARAMETRES!$D$36,2,1)))))</f>
        <v/>
      </c>
      <c r="X558" t="str">
        <f>IF($P558="","",IF($P558&gt;PARAMETRES!$G$37,5,IF($P558&gt;PARAMETRES!$F$37,4,IF($P558&gt;PARAMETRES!$E$37,3,IF($P558&gt;PARAMETRES!$D$37,2,1)))))</f>
        <v/>
      </c>
      <c r="Y558" t="str">
        <f t="shared" si="192"/>
        <v/>
      </c>
      <c r="Z558" t="str">
        <f>IFERROR(VLOOKUP($B558,TABLE_CYCLE,2,0),"")</f>
        <v/>
      </c>
      <c r="AA558" t="str">
        <f t="shared" si="193"/>
        <v/>
      </c>
      <c r="AB558" t="str">
        <f>IF($D558="","",IF(COUNTIF($D$2:$D558,$D558)=1,$D558,""))</f>
        <v/>
      </c>
      <c r="AC558">
        <f t="shared" si="194"/>
        <v>0</v>
      </c>
      <c r="AD558" t="str">
        <f t="shared" si="195"/>
        <v>|0</v>
      </c>
      <c r="AE558" t="str">
        <f t="shared" si="196"/>
        <v/>
      </c>
      <c r="AF558" t="str">
        <f t="shared" si="197"/>
        <v/>
      </c>
      <c r="AG558" t="str">
        <f t="shared" si="198"/>
        <v/>
      </c>
      <c r="AH558" t="str">
        <f t="shared" si="199"/>
        <v/>
      </c>
      <c r="AI558" t="str">
        <f t="shared" si="200"/>
        <v/>
      </c>
      <c r="AJ558" t="str">
        <f t="shared" si="201"/>
        <v/>
      </c>
      <c r="AK558" t="str">
        <f t="shared" si="202"/>
        <v/>
      </c>
      <c r="AL558" t="str">
        <f t="shared" si="203"/>
        <v/>
      </c>
      <c r="AM558" t="str">
        <f t="shared" si="204"/>
        <v/>
      </c>
      <c r="AN558" t="str">
        <f t="shared" si="205"/>
        <v/>
      </c>
      <c r="AO558" t="str">
        <f t="shared" si="206"/>
        <v/>
      </c>
      <c r="AP558">
        <f t="shared" si="207"/>
        <v>1</v>
      </c>
      <c r="AQ558" t="str">
        <f>IF(SAISIE!$F563="","",SAISIE!$Y563)</f>
        <v/>
      </c>
      <c r="AR558" t="str">
        <f>IF(OR(SAISIE!$U$4="",SAISIE!$W$4=""),"",IF(AND($A558=SAISIE!$U$4,$B558=SAISIE!$W$4,$C558="S1"),COUNTIFS($A$2:$A558,SAISIE!$U$4,$B$2:$B558,SAISIE!$W$4,$C$2:$C558,"S1"),""))</f>
        <v/>
      </c>
      <c r="AS558" t="str">
        <f t="shared" si="208"/>
        <v/>
      </c>
      <c r="AT558" t="str">
        <f t="shared" si="209"/>
        <v/>
      </c>
      <c r="AU558" t="str">
        <f t="shared" si="210"/>
        <v/>
      </c>
      <c r="AV558">
        <f>N(AV557)+IF(AND($AB558&lt;&gt;"",OR('PROFIL ELEVE'!$K$4="(Tous)",$AF558='PROFIL ELEVE'!$K$4)),1,0)</f>
        <v>0</v>
      </c>
      <c r="AW558">
        <f>N(AW557)+IF(AND($AB558&lt;&gt;"",OR('SUIVI LONGITUDINAL'!$Q$4="(Tous)",$AF558='SUIVI LONGITUDINAL'!$Q$4)),1,0)</f>
        <v>0</v>
      </c>
      <c r="AX558">
        <f t="shared" si="211"/>
        <v>0</v>
      </c>
      <c r="AY558">
        <f t="shared" si="212"/>
        <v>0</v>
      </c>
      <c r="AZ558">
        <f t="shared" si="213"/>
        <v>0</v>
      </c>
      <c r="BA558" t="str">
        <f t="shared" si="214"/>
        <v/>
      </c>
      <c r="BB558" t="str">
        <f t="shared" si="215"/>
        <v/>
      </c>
    </row>
    <row r="559" spans="1:54" ht="14.25" customHeight="1" x14ac:dyDescent="0.3">
      <c r="A559" t="str">
        <f>IF(SAISIE!$F564="","",SAISIE!$B564)</f>
        <v/>
      </c>
      <c r="B559" t="str">
        <f>IF(SAISIE!$F564="","",SAISIE!$C564)</f>
        <v/>
      </c>
      <c r="C559" t="str">
        <f>IF(SAISIE!$F564="","",SAISIE!$D564)</f>
        <v/>
      </c>
      <c r="D559" t="str">
        <f>IF(SAISIE!$E564="","",SAISIE!$E564)</f>
        <v/>
      </c>
      <c r="E559" t="str">
        <f>IF(SAISIE!$F564="","",SAISIE!$F564)</f>
        <v/>
      </c>
      <c r="F559" t="str">
        <f>IF(SAISIE!$G564="","",SAISIE!$G564)</f>
        <v/>
      </c>
      <c r="G559" t="str">
        <f>IF(SAISIE!$H564="","",SAISIE!$H564)</f>
        <v/>
      </c>
      <c r="H559" t="str">
        <f>IF(SAISIE!$I564="","",SAISIE!$I564)</f>
        <v/>
      </c>
      <c r="I559" t="str">
        <f>IF(SAISIE!$J564="","",SAISIE!$J564)</f>
        <v/>
      </c>
      <c r="J559" t="str">
        <f>IF(SAISIE!$K564="","",SAISIE!$K564)</f>
        <v/>
      </c>
      <c r="K559" t="str">
        <f>IF(SAISIE!$L564="","",SAISIE!$L564)</f>
        <v/>
      </c>
      <c r="L559" t="str">
        <f>IF(SAISIE!$M564="","",SAISIE!$M564)</f>
        <v/>
      </c>
      <c r="M559" t="str">
        <f>IF(SAISIE!$N564="","",SAISIE!$N564)</f>
        <v/>
      </c>
      <c r="N559" t="str">
        <f>IF(SAISIE!$O564="","",SAISIE!$O564)</f>
        <v/>
      </c>
      <c r="O559" t="str">
        <f>IF(SAISIE!$P564="","",SAISIE!$P564)</f>
        <v/>
      </c>
      <c r="P559" t="str">
        <f>IF(SAISIE!$Q564="","",SAISIE!$Q564)</f>
        <v/>
      </c>
      <c r="Q559" t="str">
        <f>IF($I559="","",IF($I559&gt;PARAMETRES!$G$29,5,IF($I559&gt;PARAMETRES!$F$29,4,IF($I559&gt;PARAMETRES!$E$29,3,IF($I559&gt;PARAMETRES!$D$29,2,1)))))</f>
        <v/>
      </c>
      <c r="R559" t="str">
        <f>IF($J559="","",IF($J559&gt;PARAMETRES!$G$30,5,IF($J559&gt;PARAMETRES!$F$30,4,IF($J559&gt;PARAMETRES!$E$30,3,IF($J559&gt;PARAMETRES!$D$30,2,1)))))</f>
        <v/>
      </c>
      <c r="S559" t="str">
        <f>IF($K559="","",IF($Z559=2,IF($K559&gt;PARAMETRES!$G$31,5,IF($K559&gt;PARAMETRES!$F$31,4,IF($K559&gt;PARAMETRES!$E$31,3,IF($K559&gt;PARAMETRES!$D$31,2,1)))),IF($K559&gt;PARAMETRES!$G$32,5,IF($K559&gt;PARAMETRES!$F$32,4,IF($K559&gt;PARAMETRES!$E$32,3,IF($K559&gt;PARAMETRES!$D$32,2,1))))))</f>
        <v/>
      </c>
      <c r="T559" t="str">
        <f>IF($L559="","",IF($L559&gt;PARAMETRES!$G$33,5,IF($L559&gt;PARAMETRES!$F$33,4,IF($L559&gt;PARAMETRES!$E$33,3,IF($L559&gt;PARAMETRES!$D$33,2,1)))))</f>
        <v/>
      </c>
      <c r="U559" t="str">
        <f>IF($M559="","",IF($M559&gt;PARAMETRES!$G$34,5,IF($M559&gt;PARAMETRES!$F$34,4,IF($M559&gt;PARAMETRES!$E$34,3,IF($M559&gt;PARAMETRES!$D$34,2,1)))))</f>
        <v/>
      </c>
      <c r="V559" t="str">
        <f>IF($N559="","",IF($N559&gt;PARAMETRES!$G$35,5,IF($N559&gt;PARAMETRES!$F$35,4,IF($N559&gt;PARAMETRES!$E$35,3,IF($N559&gt;PARAMETRES!$D$35,2,1)))))</f>
        <v/>
      </c>
      <c r="W559" t="str">
        <f>IF($O559="","",IF($O559&gt;PARAMETRES!$G$36,5,IF($O559&gt;PARAMETRES!$F$36,4,IF($O559&gt;PARAMETRES!$E$36,3,IF($O559&gt;PARAMETRES!$D$36,2,1)))))</f>
        <v/>
      </c>
      <c r="X559" t="str">
        <f>IF($P559="","",IF($P559&gt;PARAMETRES!$G$37,5,IF($P559&gt;PARAMETRES!$F$37,4,IF($P559&gt;PARAMETRES!$E$37,3,IF($P559&gt;PARAMETRES!$D$37,2,1)))))</f>
        <v/>
      </c>
      <c r="Y559" t="str">
        <f t="shared" si="192"/>
        <v/>
      </c>
      <c r="Z559" t="str">
        <f>IFERROR(VLOOKUP($B559,TABLE_CYCLE,2,0),"")</f>
        <v/>
      </c>
      <c r="AA559" t="str">
        <f t="shared" si="193"/>
        <v/>
      </c>
      <c r="AB559" t="str">
        <f>IF($D559="","",IF(COUNTIF($D$2:$D559,$D559)=1,$D559,""))</f>
        <v/>
      </c>
      <c r="AC559">
        <f t="shared" si="194"/>
        <v>0</v>
      </c>
      <c r="AD559" t="str">
        <f t="shared" si="195"/>
        <v>|0</v>
      </c>
      <c r="AE559" t="str">
        <f t="shared" si="196"/>
        <v/>
      </c>
      <c r="AF559" t="str">
        <f t="shared" si="197"/>
        <v/>
      </c>
      <c r="AG559" t="str">
        <f t="shared" si="198"/>
        <v/>
      </c>
      <c r="AH559" t="str">
        <f t="shared" si="199"/>
        <v/>
      </c>
      <c r="AI559" t="str">
        <f t="shared" si="200"/>
        <v/>
      </c>
      <c r="AJ559" t="str">
        <f t="shared" si="201"/>
        <v/>
      </c>
      <c r="AK559" t="str">
        <f t="shared" si="202"/>
        <v/>
      </c>
      <c r="AL559" t="str">
        <f t="shared" si="203"/>
        <v/>
      </c>
      <c r="AM559" t="str">
        <f t="shared" si="204"/>
        <v/>
      </c>
      <c r="AN559" t="str">
        <f t="shared" si="205"/>
        <v/>
      </c>
      <c r="AO559" t="str">
        <f t="shared" si="206"/>
        <v/>
      </c>
      <c r="AP559">
        <f t="shared" si="207"/>
        <v>1</v>
      </c>
      <c r="AQ559" t="str">
        <f>IF(SAISIE!$F564="","",SAISIE!$Y564)</f>
        <v/>
      </c>
      <c r="AR559" t="str">
        <f>IF(OR(SAISIE!$U$4="",SAISIE!$W$4=""),"",IF(AND($A559=SAISIE!$U$4,$B559=SAISIE!$W$4,$C559="S1"),COUNTIFS($A$2:$A559,SAISIE!$U$4,$B$2:$B559,SAISIE!$W$4,$C$2:$C559,"S1"),""))</f>
        <v/>
      </c>
      <c r="AS559" t="str">
        <f t="shared" si="208"/>
        <v/>
      </c>
      <c r="AT559" t="str">
        <f t="shared" si="209"/>
        <v/>
      </c>
      <c r="AU559" t="str">
        <f t="shared" si="210"/>
        <v/>
      </c>
      <c r="AV559">
        <f>N(AV558)+IF(AND($AB559&lt;&gt;"",OR('PROFIL ELEVE'!$K$4="(Tous)",$AF559='PROFIL ELEVE'!$K$4)),1,0)</f>
        <v>0</v>
      </c>
      <c r="AW559">
        <f>N(AW558)+IF(AND($AB559&lt;&gt;"",OR('SUIVI LONGITUDINAL'!$Q$4="(Tous)",$AF559='SUIVI LONGITUDINAL'!$Q$4)),1,0)</f>
        <v>0</v>
      </c>
      <c r="AX559">
        <f t="shared" si="211"/>
        <v>0</v>
      </c>
      <c r="AY559">
        <f t="shared" si="212"/>
        <v>0</v>
      </c>
      <c r="AZ559">
        <f t="shared" si="213"/>
        <v>0</v>
      </c>
      <c r="BA559" t="str">
        <f t="shared" si="214"/>
        <v/>
      </c>
      <c r="BB559" t="str">
        <f t="shared" si="215"/>
        <v/>
      </c>
    </row>
    <row r="560" spans="1:54" ht="14.25" customHeight="1" x14ac:dyDescent="0.3">
      <c r="A560" t="str">
        <f>IF(SAISIE!$F565="","",SAISIE!$B565)</f>
        <v/>
      </c>
      <c r="B560" t="str">
        <f>IF(SAISIE!$F565="","",SAISIE!$C565)</f>
        <v/>
      </c>
      <c r="C560" t="str">
        <f>IF(SAISIE!$F565="","",SAISIE!$D565)</f>
        <v/>
      </c>
      <c r="D560" t="str">
        <f>IF(SAISIE!$E565="","",SAISIE!$E565)</f>
        <v/>
      </c>
      <c r="E560" t="str">
        <f>IF(SAISIE!$F565="","",SAISIE!$F565)</f>
        <v/>
      </c>
      <c r="F560" t="str">
        <f>IF(SAISIE!$G565="","",SAISIE!$G565)</f>
        <v/>
      </c>
      <c r="G560" t="str">
        <f>IF(SAISIE!$H565="","",SAISIE!$H565)</f>
        <v/>
      </c>
      <c r="H560" t="str">
        <f>IF(SAISIE!$I565="","",SAISIE!$I565)</f>
        <v/>
      </c>
      <c r="I560" t="str">
        <f>IF(SAISIE!$J565="","",SAISIE!$J565)</f>
        <v/>
      </c>
      <c r="J560" t="str">
        <f>IF(SAISIE!$K565="","",SAISIE!$K565)</f>
        <v/>
      </c>
      <c r="K560" t="str">
        <f>IF(SAISIE!$L565="","",SAISIE!$L565)</f>
        <v/>
      </c>
      <c r="L560" t="str">
        <f>IF(SAISIE!$M565="","",SAISIE!$M565)</f>
        <v/>
      </c>
      <c r="M560" t="str">
        <f>IF(SAISIE!$N565="","",SAISIE!$N565)</f>
        <v/>
      </c>
      <c r="N560" t="str">
        <f>IF(SAISIE!$O565="","",SAISIE!$O565)</f>
        <v/>
      </c>
      <c r="O560" t="str">
        <f>IF(SAISIE!$P565="","",SAISIE!$P565)</f>
        <v/>
      </c>
      <c r="P560" t="str">
        <f>IF(SAISIE!$Q565="","",SAISIE!$Q565)</f>
        <v/>
      </c>
      <c r="Q560" t="str">
        <f>IF($I560="","",IF($I560&gt;PARAMETRES!$G$29,5,IF($I560&gt;PARAMETRES!$F$29,4,IF($I560&gt;PARAMETRES!$E$29,3,IF($I560&gt;PARAMETRES!$D$29,2,1)))))</f>
        <v/>
      </c>
      <c r="R560" t="str">
        <f>IF($J560="","",IF($J560&gt;PARAMETRES!$G$30,5,IF($J560&gt;PARAMETRES!$F$30,4,IF($J560&gt;PARAMETRES!$E$30,3,IF($J560&gt;PARAMETRES!$D$30,2,1)))))</f>
        <v/>
      </c>
      <c r="S560" t="str">
        <f>IF($K560="","",IF($Z560=2,IF($K560&gt;PARAMETRES!$G$31,5,IF($K560&gt;PARAMETRES!$F$31,4,IF($K560&gt;PARAMETRES!$E$31,3,IF($K560&gt;PARAMETRES!$D$31,2,1)))),IF($K560&gt;PARAMETRES!$G$32,5,IF($K560&gt;PARAMETRES!$F$32,4,IF($K560&gt;PARAMETRES!$E$32,3,IF($K560&gt;PARAMETRES!$D$32,2,1))))))</f>
        <v/>
      </c>
      <c r="T560" t="str">
        <f>IF($L560="","",IF($L560&gt;PARAMETRES!$G$33,5,IF($L560&gt;PARAMETRES!$F$33,4,IF($L560&gt;PARAMETRES!$E$33,3,IF($L560&gt;PARAMETRES!$D$33,2,1)))))</f>
        <v/>
      </c>
      <c r="U560" t="str">
        <f>IF($M560="","",IF($M560&gt;PARAMETRES!$G$34,5,IF($M560&gt;PARAMETRES!$F$34,4,IF($M560&gt;PARAMETRES!$E$34,3,IF($M560&gt;PARAMETRES!$D$34,2,1)))))</f>
        <v/>
      </c>
      <c r="V560" t="str">
        <f>IF($N560="","",IF($N560&gt;PARAMETRES!$G$35,5,IF($N560&gt;PARAMETRES!$F$35,4,IF($N560&gt;PARAMETRES!$E$35,3,IF($N560&gt;PARAMETRES!$D$35,2,1)))))</f>
        <v/>
      </c>
      <c r="W560" t="str">
        <f>IF($O560="","",IF($O560&gt;PARAMETRES!$G$36,5,IF($O560&gt;PARAMETRES!$F$36,4,IF($O560&gt;PARAMETRES!$E$36,3,IF($O560&gt;PARAMETRES!$D$36,2,1)))))</f>
        <v/>
      </c>
      <c r="X560" t="str">
        <f>IF($P560="","",IF($P560&gt;PARAMETRES!$G$37,5,IF($P560&gt;PARAMETRES!$F$37,4,IF($P560&gt;PARAMETRES!$E$37,3,IF($P560&gt;PARAMETRES!$D$37,2,1)))))</f>
        <v/>
      </c>
      <c r="Y560" t="str">
        <f t="shared" si="192"/>
        <v/>
      </c>
      <c r="Z560" t="str">
        <f>IFERROR(VLOOKUP($B560,TABLE_CYCLE,2,0),"")</f>
        <v/>
      </c>
      <c r="AA560" t="str">
        <f t="shared" si="193"/>
        <v/>
      </c>
      <c r="AB560" t="str">
        <f>IF($D560="","",IF(COUNTIF($D$2:$D560,$D560)=1,$D560,""))</f>
        <v/>
      </c>
      <c r="AC560">
        <f t="shared" si="194"/>
        <v>0</v>
      </c>
      <c r="AD560" t="str">
        <f t="shared" si="195"/>
        <v>|0</v>
      </c>
      <c r="AE560" t="str">
        <f t="shared" si="196"/>
        <v/>
      </c>
      <c r="AF560" t="str">
        <f t="shared" si="197"/>
        <v/>
      </c>
      <c r="AG560" t="str">
        <f t="shared" si="198"/>
        <v/>
      </c>
      <c r="AH560" t="str">
        <f t="shared" si="199"/>
        <v/>
      </c>
      <c r="AI560" t="str">
        <f t="shared" si="200"/>
        <v/>
      </c>
      <c r="AJ560" t="str">
        <f t="shared" si="201"/>
        <v/>
      </c>
      <c r="AK560" t="str">
        <f t="shared" si="202"/>
        <v/>
      </c>
      <c r="AL560" t="str">
        <f t="shared" si="203"/>
        <v/>
      </c>
      <c r="AM560" t="str">
        <f t="shared" si="204"/>
        <v/>
      </c>
      <c r="AN560" t="str">
        <f t="shared" si="205"/>
        <v/>
      </c>
      <c r="AO560" t="str">
        <f t="shared" si="206"/>
        <v/>
      </c>
      <c r="AP560">
        <f t="shared" si="207"/>
        <v>1</v>
      </c>
      <c r="AQ560" t="str">
        <f>IF(SAISIE!$F565="","",SAISIE!$Y565)</f>
        <v/>
      </c>
      <c r="AR560" t="str">
        <f>IF(OR(SAISIE!$U$4="",SAISIE!$W$4=""),"",IF(AND($A560=SAISIE!$U$4,$B560=SAISIE!$W$4,$C560="S1"),COUNTIFS($A$2:$A560,SAISIE!$U$4,$B$2:$B560,SAISIE!$W$4,$C$2:$C560,"S1"),""))</f>
        <v/>
      </c>
      <c r="AS560" t="str">
        <f t="shared" si="208"/>
        <v/>
      </c>
      <c r="AT560" t="str">
        <f t="shared" si="209"/>
        <v/>
      </c>
      <c r="AU560" t="str">
        <f t="shared" si="210"/>
        <v/>
      </c>
      <c r="AV560">
        <f>N(AV559)+IF(AND($AB560&lt;&gt;"",OR('PROFIL ELEVE'!$K$4="(Tous)",$AF560='PROFIL ELEVE'!$K$4)),1,0)</f>
        <v>0</v>
      </c>
      <c r="AW560">
        <f>N(AW559)+IF(AND($AB560&lt;&gt;"",OR('SUIVI LONGITUDINAL'!$Q$4="(Tous)",$AF560='SUIVI LONGITUDINAL'!$Q$4)),1,0)</f>
        <v>0</v>
      </c>
      <c r="AX560">
        <f t="shared" si="211"/>
        <v>0</v>
      </c>
      <c r="AY560">
        <f t="shared" si="212"/>
        <v>0</v>
      </c>
      <c r="AZ560">
        <f t="shared" si="213"/>
        <v>0</v>
      </c>
      <c r="BA560" t="str">
        <f t="shared" si="214"/>
        <v/>
      </c>
      <c r="BB560" t="str">
        <f t="shared" si="215"/>
        <v/>
      </c>
    </row>
    <row r="561" spans="1:54" ht="14.25" customHeight="1" x14ac:dyDescent="0.3">
      <c r="A561" t="str">
        <f>IF(SAISIE!$F566="","",SAISIE!$B566)</f>
        <v/>
      </c>
      <c r="B561" t="str">
        <f>IF(SAISIE!$F566="","",SAISIE!$C566)</f>
        <v/>
      </c>
      <c r="C561" t="str">
        <f>IF(SAISIE!$F566="","",SAISIE!$D566)</f>
        <v/>
      </c>
      <c r="D561" t="str">
        <f>IF(SAISIE!$E566="","",SAISIE!$E566)</f>
        <v/>
      </c>
      <c r="E561" t="str">
        <f>IF(SAISIE!$F566="","",SAISIE!$F566)</f>
        <v/>
      </c>
      <c r="F561" t="str">
        <f>IF(SAISIE!$G566="","",SAISIE!$G566)</f>
        <v/>
      </c>
      <c r="G561" t="str">
        <f>IF(SAISIE!$H566="","",SAISIE!$H566)</f>
        <v/>
      </c>
      <c r="H561" t="str">
        <f>IF(SAISIE!$I566="","",SAISIE!$I566)</f>
        <v/>
      </c>
      <c r="I561" t="str">
        <f>IF(SAISIE!$J566="","",SAISIE!$J566)</f>
        <v/>
      </c>
      <c r="J561" t="str">
        <f>IF(SAISIE!$K566="","",SAISIE!$K566)</f>
        <v/>
      </c>
      <c r="K561" t="str">
        <f>IF(SAISIE!$L566="","",SAISIE!$L566)</f>
        <v/>
      </c>
      <c r="L561" t="str">
        <f>IF(SAISIE!$M566="","",SAISIE!$M566)</f>
        <v/>
      </c>
      <c r="M561" t="str">
        <f>IF(SAISIE!$N566="","",SAISIE!$N566)</f>
        <v/>
      </c>
      <c r="N561" t="str">
        <f>IF(SAISIE!$O566="","",SAISIE!$O566)</f>
        <v/>
      </c>
      <c r="O561" t="str">
        <f>IF(SAISIE!$P566="","",SAISIE!$P566)</f>
        <v/>
      </c>
      <c r="P561" t="str">
        <f>IF(SAISIE!$Q566="","",SAISIE!$Q566)</f>
        <v/>
      </c>
      <c r="Q561" t="str">
        <f>IF($I561="","",IF($I561&gt;PARAMETRES!$G$29,5,IF($I561&gt;PARAMETRES!$F$29,4,IF($I561&gt;PARAMETRES!$E$29,3,IF($I561&gt;PARAMETRES!$D$29,2,1)))))</f>
        <v/>
      </c>
      <c r="R561" t="str">
        <f>IF($J561="","",IF($J561&gt;PARAMETRES!$G$30,5,IF($J561&gt;PARAMETRES!$F$30,4,IF($J561&gt;PARAMETRES!$E$30,3,IF($J561&gt;PARAMETRES!$D$30,2,1)))))</f>
        <v/>
      </c>
      <c r="S561" t="str">
        <f>IF($K561="","",IF($Z561=2,IF($K561&gt;PARAMETRES!$G$31,5,IF($K561&gt;PARAMETRES!$F$31,4,IF($K561&gt;PARAMETRES!$E$31,3,IF($K561&gt;PARAMETRES!$D$31,2,1)))),IF($K561&gt;PARAMETRES!$G$32,5,IF($K561&gt;PARAMETRES!$F$32,4,IF($K561&gt;PARAMETRES!$E$32,3,IF($K561&gt;PARAMETRES!$D$32,2,1))))))</f>
        <v/>
      </c>
      <c r="T561" t="str">
        <f>IF($L561="","",IF($L561&gt;PARAMETRES!$G$33,5,IF($L561&gt;PARAMETRES!$F$33,4,IF($L561&gt;PARAMETRES!$E$33,3,IF($L561&gt;PARAMETRES!$D$33,2,1)))))</f>
        <v/>
      </c>
      <c r="U561" t="str">
        <f>IF($M561="","",IF($M561&gt;PARAMETRES!$G$34,5,IF($M561&gt;PARAMETRES!$F$34,4,IF($M561&gt;PARAMETRES!$E$34,3,IF($M561&gt;PARAMETRES!$D$34,2,1)))))</f>
        <v/>
      </c>
      <c r="V561" t="str">
        <f>IF($N561="","",IF($N561&gt;PARAMETRES!$G$35,5,IF($N561&gt;PARAMETRES!$F$35,4,IF($N561&gt;PARAMETRES!$E$35,3,IF($N561&gt;PARAMETRES!$D$35,2,1)))))</f>
        <v/>
      </c>
      <c r="W561" t="str">
        <f>IF($O561="","",IF($O561&gt;PARAMETRES!$G$36,5,IF($O561&gt;PARAMETRES!$F$36,4,IF($O561&gt;PARAMETRES!$E$36,3,IF($O561&gt;PARAMETRES!$D$36,2,1)))))</f>
        <v/>
      </c>
      <c r="X561" t="str">
        <f>IF($P561="","",IF($P561&gt;PARAMETRES!$G$37,5,IF($P561&gt;PARAMETRES!$F$37,4,IF($P561&gt;PARAMETRES!$E$37,3,IF($P561&gt;PARAMETRES!$D$37,2,1)))))</f>
        <v/>
      </c>
      <c r="Y561" t="str">
        <f t="shared" si="192"/>
        <v/>
      </c>
      <c r="Z561" t="str">
        <f>IFERROR(VLOOKUP($B561,TABLE_CYCLE,2,0),"")</f>
        <v/>
      </c>
      <c r="AA561" t="str">
        <f t="shared" si="193"/>
        <v/>
      </c>
      <c r="AB561" t="str">
        <f>IF($D561="","",IF(COUNTIF($D$2:$D561,$D561)=1,$D561,""))</f>
        <v/>
      </c>
      <c r="AC561">
        <f t="shared" si="194"/>
        <v>0</v>
      </c>
      <c r="AD561" t="str">
        <f t="shared" si="195"/>
        <v>|0</v>
      </c>
      <c r="AE561" t="str">
        <f t="shared" si="196"/>
        <v/>
      </c>
      <c r="AF561" t="str">
        <f t="shared" si="197"/>
        <v/>
      </c>
      <c r="AG561" t="str">
        <f t="shared" si="198"/>
        <v/>
      </c>
      <c r="AH561" t="str">
        <f t="shared" si="199"/>
        <v/>
      </c>
      <c r="AI561" t="str">
        <f t="shared" si="200"/>
        <v/>
      </c>
      <c r="AJ561" t="str">
        <f t="shared" si="201"/>
        <v/>
      </c>
      <c r="AK561" t="str">
        <f t="shared" si="202"/>
        <v/>
      </c>
      <c r="AL561" t="str">
        <f t="shared" si="203"/>
        <v/>
      </c>
      <c r="AM561" t="str">
        <f t="shared" si="204"/>
        <v/>
      </c>
      <c r="AN561" t="str">
        <f t="shared" si="205"/>
        <v/>
      </c>
      <c r="AO561" t="str">
        <f t="shared" si="206"/>
        <v/>
      </c>
      <c r="AP561">
        <f t="shared" si="207"/>
        <v>1</v>
      </c>
      <c r="AQ561" t="str">
        <f>IF(SAISIE!$F566="","",SAISIE!$Y566)</f>
        <v/>
      </c>
      <c r="AR561" t="str">
        <f>IF(OR(SAISIE!$U$4="",SAISIE!$W$4=""),"",IF(AND($A561=SAISIE!$U$4,$B561=SAISIE!$W$4,$C561="S1"),COUNTIFS($A$2:$A561,SAISIE!$U$4,$B$2:$B561,SAISIE!$W$4,$C$2:$C561,"S1"),""))</f>
        <v/>
      </c>
      <c r="AS561" t="str">
        <f t="shared" si="208"/>
        <v/>
      </c>
      <c r="AT561" t="str">
        <f t="shared" si="209"/>
        <v/>
      </c>
      <c r="AU561" t="str">
        <f t="shared" si="210"/>
        <v/>
      </c>
      <c r="AV561">
        <f>N(AV560)+IF(AND($AB561&lt;&gt;"",OR('PROFIL ELEVE'!$K$4="(Tous)",$AF561='PROFIL ELEVE'!$K$4)),1,0)</f>
        <v>0</v>
      </c>
      <c r="AW561">
        <f>N(AW560)+IF(AND($AB561&lt;&gt;"",OR('SUIVI LONGITUDINAL'!$Q$4="(Tous)",$AF561='SUIVI LONGITUDINAL'!$Q$4)),1,0)</f>
        <v>0</v>
      </c>
      <c r="AX561">
        <f t="shared" si="211"/>
        <v>0</v>
      </c>
      <c r="AY561">
        <f t="shared" si="212"/>
        <v>0</v>
      </c>
      <c r="AZ561">
        <f t="shared" si="213"/>
        <v>0</v>
      </c>
      <c r="BA561" t="str">
        <f t="shared" si="214"/>
        <v/>
      </c>
      <c r="BB561" t="str">
        <f t="shared" si="215"/>
        <v/>
      </c>
    </row>
    <row r="562" spans="1:54" ht="14.25" customHeight="1" x14ac:dyDescent="0.3">
      <c r="A562" t="str">
        <f>IF(SAISIE!$F567="","",SAISIE!$B567)</f>
        <v/>
      </c>
      <c r="B562" t="str">
        <f>IF(SAISIE!$F567="","",SAISIE!$C567)</f>
        <v/>
      </c>
      <c r="C562" t="str">
        <f>IF(SAISIE!$F567="","",SAISIE!$D567)</f>
        <v/>
      </c>
      <c r="D562" t="str">
        <f>IF(SAISIE!$E567="","",SAISIE!$E567)</f>
        <v/>
      </c>
      <c r="E562" t="str">
        <f>IF(SAISIE!$F567="","",SAISIE!$F567)</f>
        <v/>
      </c>
      <c r="F562" t="str">
        <f>IF(SAISIE!$G567="","",SAISIE!$G567)</f>
        <v/>
      </c>
      <c r="G562" t="str">
        <f>IF(SAISIE!$H567="","",SAISIE!$H567)</f>
        <v/>
      </c>
      <c r="H562" t="str">
        <f>IF(SAISIE!$I567="","",SAISIE!$I567)</f>
        <v/>
      </c>
      <c r="I562" t="str">
        <f>IF(SAISIE!$J567="","",SAISIE!$J567)</f>
        <v/>
      </c>
      <c r="J562" t="str">
        <f>IF(SAISIE!$K567="","",SAISIE!$K567)</f>
        <v/>
      </c>
      <c r="K562" t="str">
        <f>IF(SAISIE!$L567="","",SAISIE!$L567)</f>
        <v/>
      </c>
      <c r="L562" t="str">
        <f>IF(SAISIE!$M567="","",SAISIE!$M567)</f>
        <v/>
      </c>
      <c r="M562" t="str">
        <f>IF(SAISIE!$N567="","",SAISIE!$N567)</f>
        <v/>
      </c>
      <c r="N562" t="str">
        <f>IF(SAISIE!$O567="","",SAISIE!$O567)</f>
        <v/>
      </c>
      <c r="O562" t="str">
        <f>IF(SAISIE!$P567="","",SAISIE!$P567)</f>
        <v/>
      </c>
      <c r="P562" t="str">
        <f>IF(SAISIE!$Q567="","",SAISIE!$Q567)</f>
        <v/>
      </c>
      <c r="Q562" t="str">
        <f>IF($I562="","",IF($I562&gt;PARAMETRES!$G$29,5,IF($I562&gt;PARAMETRES!$F$29,4,IF($I562&gt;PARAMETRES!$E$29,3,IF($I562&gt;PARAMETRES!$D$29,2,1)))))</f>
        <v/>
      </c>
      <c r="R562" t="str">
        <f>IF($J562="","",IF($J562&gt;PARAMETRES!$G$30,5,IF($J562&gt;PARAMETRES!$F$30,4,IF($J562&gt;PARAMETRES!$E$30,3,IF($J562&gt;PARAMETRES!$D$30,2,1)))))</f>
        <v/>
      </c>
      <c r="S562" t="str">
        <f>IF($K562="","",IF($Z562=2,IF($K562&gt;PARAMETRES!$G$31,5,IF($K562&gt;PARAMETRES!$F$31,4,IF($K562&gt;PARAMETRES!$E$31,3,IF($K562&gt;PARAMETRES!$D$31,2,1)))),IF($K562&gt;PARAMETRES!$G$32,5,IF($K562&gt;PARAMETRES!$F$32,4,IF($K562&gt;PARAMETRES!$E$32,3,IF($K562&gt;PARAMETRES!$D$32,2,1))))))</f>
        <v/>
      </c>
      <c r="T562" t="str">
        <f>IF($L562="","",IF($L562&gt;PARAMETRES!$G$33,5,IF($L562&gt;PARAMETRES!$F$33,4,IF($L562&gt;PARAMETRES!$E$33,3,IF($L562&gt;PARAMETRES!$D$33,2,1)))))</f>
        <v/>
      </c>
      <c r="U562" t="str">
        <f>IF($M562="","",IF($M562&gt;PARAMETRES!$G$34,5,IF($M562&gt;PARAMETRES!$F$34,4,IF($M562&gt;PARAMETRES!$E$34,3,IF($M562&gt;PARAMETRES!$D$34,2,1)))))</f>
        <v/>
      </c>
      <c r="V562" t="str">
        <f>IF($N562="","",IF($N562&gt;PARAMETRES!$G$35,5,IF($N562&gt;PARAMETRES!$F$35,4,IF($N562&gt;PARAMETRES!$E$35,3,IF($N562&gt;PARAMETRES!$D$35,2,1)))))</f>
        <v/>
      </c>
      <c r="W562" t="str">
        <f>IF($O562="","",IF($O562&gt;PARAMETRES!$G$36,5,IF($O562&gt;PARAMETRES!$F$36,4,IF($O562&gt;PARAMETRES!$E$36,3,IF($O562&gt;PARAMETRES!$D$36,2,1)))))</f>
        <v/>
      </c>
      <c r="X562" t="str">
        <f>IF($P562="","",IF($P562&gt;PARAMETRES!$G$37,5,IF($P562&gt;PARAMETRES!$F$37,4,IF($P562&gt;PARAMETRES!$E$37,3,IF($P562&gt;PARAMETRES!$D$37,2,1)))))</f>
        <v/>
      </c>
      <c r="Y562" t="str">
        <f t="shared" si="192"/>
        <v/>
      </c>
      <c r="Z562" t="str">
        <f>IFERROR(VLOOKUP($B562,TABLE_CYCLE,2,0),"")</f>
        <v/>
      </c>
      <c r="AA562" t="str">
        <f t="shared" si="193"/>
        <v/>
      </c>
      <c r="AB562" t="str">
        <f>IF($D562="","",IF(COUNTIF($D$2:$D562,$D562)=1,$D562,""))</f>
        <v/>
      </c>
      <c r="AC562">
        <f t="shared" si="194"/>
        <v>0</v>
      </c>
      <c r="AD562" t="str">
        <f t="shared" si="195"/>
        <v>|0</v>
      </c>
      <c r="AE562" t="str">
        <f t="shared" si="196"/>
        <v/>
      </c>
      <c r="AF562" t="str">
        <f t="shared" si="197"/>
        <v/>
      </c>
      <c r="AG562" t="str">
        <f t="shared" si="198"/>
        <v/>
      </c>
      <c r="AH562" t="str">
        <f t="shared" si="199"/>
        <v/>
      </c>
      <c r="AI562" t="str">
        <f t="shared" si="200"/>
        <v/>
      </c>
      <c r="AJ562" t="str">
        <f t="shared" si="201"/>
        <v/>
      </c>
      <c r="AK562" t="str">
        <f t="shared" si="202"/>
        <v/>
      </c>
      <c r="AL562" t="str">
        <f t="shared" si="203"/>
        <v/>
      </c>
      <c r="AM562" t="str">
        <f t="shared" si="204"/>
        <v/>
      </c>
      <c r="AN562" t="str">
        <f t="shared" si="205"/>
        <v/>
      </c>
      <c r="AO562" t="str">
        <f t="shared" si="206"/>
        <v/>
      </c>
      <c r="AP562">
        <f t="shared" si="207"/>
        <v>1</v>
      </c>
      <c r="AQ562" t="str">
        <f>IF(SAISIE!$F567="","",SAISIE!$Y567)</f>
        <v/>
      </c>
      <c r="AR562" t="str">
        <f>IF(OR(SAISIE!$U$4="",SAISIE!$W$4=""),"",IF(AND($A562=SAISIE!$U$4,$B562=SAISIE!$W$4,$C562="S1"),COUNTIFS($A$2:$A562,SAISIE!$U$4,$B$2:$B562,SAISIE!$W$4,$C$2:$C562,"S1"),""))</f>
        <v/>
      </c>
      <c r="AS562" t="str">
        <f t="shared" si="208"/>
        <v/>
      </c>
      <c r="AT562" t="str">
        <f t="shared" si="209"/>
        <v/>
      </c>
      <c r="AU562" t="str">
        <f t="shared" si="210"/>
        <v/>
      </c>
      <c r="AV562">
        <f>N(AV561)+IF(AND($AB562&lt;&gt;"",OR('PROFIL ELEVE'!$K$4="(Tous)",$AF562='PROFIL ELEVE'!$K$4)),1,0)</f>
        <v>0</v>
      </c>
      <c r="AW562">
        <f>N(AW561)+IF(AND($AB562&lt;&gt;"",OR('SUIVI LONGITUDINAL'!$Q$4="(Tous)",$AF562='SUIVI LONGITUDINAL'!$Q$4)),1,0)</f>
        <v>0</v>
      </c>
      <c r="AX562">
        <f t="shared" si="211"/>
        <v>0</v>
      </c>
      <c r="AY562">
        <f t="shared" si="212"/>
        <v>0</v>
      </c>
      <c r="AZ562">
        <f t="shared" si="213"/>
        <v>0</v>
      </c>
      <c r="BA562" t="str">
        <f t="shared" si="214"/>
        <v/>
      </c>
      <c r="BB562" t="str">
        <f t="shared" si="215"/>
        <v/>
      </c>
    </row>
    <row r="563" spans="1:54" ht="14.25" customHeight="1" x14ac:dyDescent="0.3">
      <c r="A563" t="str">
        <f>IF(SAISIE!$F568="","",SAISIE!$B568)</f>
        <v/>
      </c>
      <c r="B563" t="str">
        <f>IF(SAISIE!$F568="","",SAISIE!$C568)</f>
        <v/>
      </c>
      <c r="C563" t="str">
        <f>IF(SAISIE!$F568="","",SAISIE!$D568)</f>
        <v/>
      </c>
      <c r="D563" t="str">
        <f>IF(SAISIE!$E568="","",SAISIE!$E568)</f>
        <v/>
      </c>
      <c r="E563" t="str">
        <f>IF(SAISIE!$F568="","",SAISIE!$F568)</f>
        <v/>
      </c>
      <c r="F563" t="str">
        <f>IF(SAISIE!$G568="","",SAISIE!$G568)</f>
        <v/>
      </c>
      <c r="G563" t="str">
        <f>IF(SAISIE!$H568="","",SAISIE!$H568)</f>
        <v/>
      </c>
      <c r="H563" t="str">
        <f>IF(SAISIE!$I568="","",SAISIE!$I568)</f>
        <v/>
      </c>
      <c r="I563" t="str">
        <f>IF(SAISIE!$J568="","",SAISIE!$J568)</f>
        <v/>
      </c>
      <c r="J563" t="str">
        <f>IF(SAISIE!$K568="","",SAISIE!$K568)</f>
        <v/>
      </c>
      <c r="K563" t="str">
        <f>IF(SAISIE!$L568="","",SAISIE!$L568)</f>
        <v/>
      </c>
      <c r="L563" t="str">
        <f>IF(SAISIE!$M568="","",SAISIE!$M568)</f>
        <v/>
      </c>
      <c r="M563" t="str">
        <f>IF(SAISIE!$N568="","",SAISIE!$N568)</f>
        <v/>
      </c>
      <c r="N563" t="str">
        <f>IF(SAISIE!$O568="","",SAISIE!$O568)</f>
        <v/>
      </c>
      <c r="O563" t="str">
        <f>IF(SAISIE!$P568="","",SAISIE!$P568)</f>
        <v/>
      </c>
      <c r="P563" t="str">
        <f>IF(SAISIE!$Q568="","",SAISIE!$Q568)</f>
        <v/>
      </c>
      <c r="Q563" t="str">
        <f>IF($I563="","",IF($I563&gt;PARAMETRES!$G$29,5,IF($I563&gt;PARAMETRES!$F$29,4,IF($I563&gt;PARAMETRES!$E$29,3,IF($I563&gt;PARAMETRES!$D$29,2,1)))))</f>
        <v/>
      </c>
      <c r="R563" t="str">
        <f>IF($J563="","",IF($J563&gt;PARAMETRES!$G$30,5,IF($J563&gt;PARAMETRES!$F$30,4,IF($J563&gt;PARAMETRES!$E$30,3,IF($J563&gt;PARAMETRES!$D$30,2,1)))))</f>
        <v/>
      </c>
      <c r="S563" t="str">
        <f>IF($K563="","",IF($Z563=2,IF($K563&gt;PARAMETRES!$G$31,5,IF($K563&gt;PARAMETRES!$F$31,4,IF($K563&gt;PARAMETRES!$E$31,3,IF($K563&gt;PARAMETRES!$D$31,2,1)))),IF($K563&gt;PARAMETRES!$G$32,5,IF($K563&gt;PARAMETRES!$F$32,4,IF($K563&gt;PARAMETRES!$E$32,3,IF($K563&gt;PARAMETRES!$D$32,2,1))))))</f>
        <v/>
      </c>
      <c r="T563" t="str">
        <f>IF($L563="","",IF($L563&gt;PARAMETRES!$G$33,5,IF($L563&gt;PARAMETRES!$F$33,4,IF($L563&gt;PARAMETRES!$E$33,3,IF($L563&gt;PARAMETRES!$D$33,2,1)))))</f>
        <v/>
      </c>
      <c r="U563" t="str">
        <f>IF($M563="","",IF($M563&gt;PARAMETRES!$G$34,5,IF($M563&gt;PARAMETRES!$F$34,4,IF($M563&gt;PARAMETRES!$E$34,3,IF($M563&gt;PARAMETRES!$D$34,2,1)))))</f>
        <v/>
      </c>
      <c r="V563" t="str">
        <f>IF($N563="","",IF($N563&gt;PARAMETRES!$G$35,5,IF($N563&gt;PARAMETRES!$F$35,4,IF($N563&gt;PARAMETRES!$E$35,3,IF($N563&gt;PARAMETRES!$D$35,2,1)))))</f>
        <v/>
      </c>
      <c r="W563" t="str">
        <f>IF($O563="","",IF($O563&gt;PARAMETRES!$G$36,5,IF($O563&gt;PARAMETRES!$F$36,4,IF($O563&gt;PARAMETRES!$E$36,3,IF($O563&gt;PARAMETRES!$D$36,2,1)))))</f>
        <v/>
      </c>
      <c r="X563" t="str">
        <f>IF($P563="","",IF($P563&gt;PARAMETRES!$G$37,5,IF($P563&gt;PARAMETRES!$F$37,4,IF($P563&gt;PARAMETRES!$E$37,3,IF($P563&gt;PARAMETRES!$D$37,2,1)))))</f>
        <v/>
      </c>
      <c r="Y563" t="str">
        <f t="shared" si="192"/>
        <v/>
      </c>
      <c r="Z563" t="str">
        <f>IFERROR(VLOOKUP($B563,TABLE_CYCLE,2,0),"")</f>
        <v/>
      </c>
      <c r="AA563" t="str">
        <f t="shared" si="193"/>
        <v/>
      </c>
      <c r="AB563" t="str">
        <f>IF($D563="","",IF(COUNTIF($D$2:$D563,$D563)=1,$D563,""))</f>
        <v/>
      </c>
      <c r="AC563">
        <f t="shared" si="194"/>
        <v>0</v>
      </c>
      <c r="AD563" t="str">
        <f t="shared" si="195"/>
        <v>|0</v>
      </c>
      <c r="AE563" t="str">
        <f t="shared" si="196"/>
        <v/>
      </c>
      <c r="AF563" t="str">
        <f t="shared" si="197"/>
        <v/>
      </c>
      <c r="AG563" t="str">
        <f t="shared" si="198"/>
        <v/>
      </c>
      <c r="AH563" t="str">
        <f t="shared" si="199"/>
        <v/>
      </c>
      <c r="AI563" t="str">
        <f t="shared" si="200"/>
        <v/>
      </c>
      <c r="AJ563" t="str">
        <f t="shared" si="201"/>
        <v/>
      </c>
      <c r="AK563" t="str">
        <f t="shared" si="202"/>
        <v/>
      </c>
      <c r="AL563" t="str">
        <f t="shared" si="203"/>
        <v/>
      </c>
      <c r="AM563" t="str">
        <f t="shared" si="204"/>
        <v/>
      </c>
      <c r="AN563" t="str">
        <f t="shared" si="205"/>
        <v/>
      </c>
      <c r="AO563" t="str">
        <f t="shared" si="206"/>
        <v/>
      </c>
      <c r="AP563">
        <f t="shared" si="207"/>
        <v>1</v>
      </c>
      <c r="AQ563" t="str">
        <f>IF(SAISIE!$F568="","",SAISIE!$Y568)</f>
        <v/>
      </c>
      <c r="AR563" t="str">
        <f>IF(OR(SAISIE!$U$4="",SAISIE!$W$4=""),"",IF(AND($A563=SAISIE!$U$4,$B563=SAISIE!$W$4,$C563="S1"),COUNTIFS($A$2:$A563,SAISIE!$U$4,$B$2:$B563,SAISIE!$W$4,$C$2:$C563,"S1"),""))</f>
        <v/>
      </c>
      <c r="AS563" t="str">
        <f t="shared" si="208"/>
        <v/>
      </c>
      <c r="AT563" t="str">
        <f t="shared" si="209"/>
        <v/>
      </c>
      <c r="AU563" t="str">
        <f t="shared" si="210"/>
        <v/>
      </c>
      <c r="AV563">
        <f>N(AV562)+IF(AND($AB563&lt;&gt;"",OR('PROFIL ELEVE'!$K$4="(Tous)",$AF563='PROFIL ELEVE'!$K$4)),1,0)</f>
        <v>0</v>
      </c>
      <c r="AW563">
        <f>N(AW562)+IF(AND($AB563&lt;&gt;"",OR('SUIVI LONGITUDINAL'!$Q$4="(Tous)",$AF563='SUIVI LONGITUDINAL'!$Q$4)),1,0)</f>
        <v>0</v>
      </c>
      <c r="AX563">
        <f t="shared" si="211"/>
        <v>0</v>
      </c>
      <c r="AY563">
        <f t="shared" si="212"/>
        <v>0</v>
      </c>
      <c r="AZ563">
        <f t="shared" si="213"/>
        <v>0</v>
      </c>
      <c r="BA563" t="str">
        <f t="shared" si="214"/>
        <v/>
      </c>
      <c r="BB563" t="str">
        <f t="shared" si="215"/>
        <v/>
      </c>
    </row>
    <row r="564" spans="1:54" ht="14.25" customHeight="1" x14ac:dyDescent="0.3">
      <c r="A564" t="str">
        <f>IF(SAISIE!$F569="","",SAISIE!$B569)</f>
        <v/>
      </c>
      <c r="B564" t="str">
        <f>IF(SAISIE!$F569="","",SAISIE!$C569)</f>
        <v/>
      </c>
      <c r="C564" t="str">
        <f>IF(SAISIE!$F569="","",SAISIE!$D569)</f>
        <v/>
      </c>
      <c r="D564" t="str">
        <f>IF(SAISIE!$E569="","",SAISIE!$E569)</f>
        <v/>
      </c>
      <c r="E564" t="str">
        <f>IF(SAISIE!$F569="","",SAISIE!$F569)</f>
        <v/>
      </c>
      <c r="F564" t="str">
        <f>IF(SAISIE!$G569="","",SAISIE!$G569)</f>
        <v/>
      </c>
      <c r="G564" t="str">
        <f>IF(SAISIE!$H569="","",SAISIE!$H569)</f>
        <v/>
      </c>
      <c r="H564" t="str">
        <f>IF(SAISIE!$I569="","",SAISIE!$I569)</f>
        <v/>
      </c>
      <c r="I564" t="str">
        <f>IF(SAISIE!$J569="","",SAISIE!$J569)</f>
        <v/>
      </c>
      <c r="J564" t="str">
        <f>IF(SAISIE!$K569="","",SAISIE!$K569)</f>
        <v/>
      </c>
      <c r="K564" t="str">
        <f>IF(SAISIE!$L569="","",SAISIE!$L569)</f>
        <v/>
      </c>
      <c r="L564" t="str">
        <f>IF(SAISIE!$M569="","",SAISIE!$M569)</f>
        <v/>
      </c>
      <c r="M564" t="str">
        <f>IF(SAISIE!$N569="","",SAISIE!$N569)</f>
        <v/>
      </c>
      <c r="N564" t="str">
        <f>IF(SAISIE!$O569="","",SAISIE!$O569)</f>
        <v/>
      </c>
      <c r="O564" t="str">
        <f>IF(SAISIE!$P569="","",SAISIE!$P569)</f>
        <v/>
      </c>
      <c r="P564" t="str">
        <f>IF(SAISIE!$Q569="","",SAISIE!$Q569)</f>
        <v/>
      </c>
      <c r="Q564" t="str">
        <f>IF($I564="","",IF($I564&gt;PARAMETRES!$G$29,5,IF($I564&gt;PARAMETRES!$F$29,4,IF($I564&gt;PARAMETRES!$E$29,3,IF($I564&gt;PARAMETRES!$D$29,2,1)))))</f>
        <v/>
      </c>
      <c r="R564" t="str">
        <f>IF($J564="","",IF($J564&gt;PARAMETRES!$G$30,5,IF($J564&gt;PARAMETRES!$F$30,4,IF($J564&gt;PARAMETRES!$E$30,3,IF($J564&gt;PARAMETRES!$D$30,2,1)))))</f>
        <v/>
      </c>
      <c r="S564" t="str">
        <f>IF($K564="","",IF($Z564=2,IF($K564&gt;PARAMETRES!$G$31,5,IF($K564&gt;PARAMETRES!$F$31,4,IF($K564&gt;PARAMETRES!$E$31,3,IF($K564&gt;PARAMETRES!$D$31,2,1)))),IF($K564&gt;PARAMETRES!$G$32,5,IF($K564&gt;PARAMETRES!$F$32,4,IF($K564&gt;PARAMETRES!$E$32,3,IF($K564&gt;PARAMETRES!$D$32,2,1))))))</f>
        <v/>
      </c>
      <c r="T564" t="str">
        <f>IF($L564="","",IF($L564&gt;PARAMETRES!$G$33,5,IF($L564&gt;PARAMETRES!$F$33,4,IF($L564&gt;PARAMETRES!$E$33,3,IF($L564&gt;PARAMETRES!$D$33,2,1)))))</f>
        <v/>
      </c>
      <c r="U564" t="str">
        <f>IF($M564="","",IF($M564&gt;PARAMETRES!$G$34,5,IF($M564&gt;PARAMETRES!$F$34,4,IF($M564&gt;PARAMETRES!$E$34,3,IF($M564&gt;PARAMETRES!$D$34,2,1)))))</f>
        <v/>
      </c>
      <c r="V564" t="str">
        <f>IF($N564="","",IF($N564&gt;PARAMETRES!$G$35,5,IF($N564&gt;PARAMETRES!$F$35,4,IF($N564&gt;PARAMETRES!$E$35,3,IF($N564&gt;PARAMETRES!$D$35,2,1)))))</f>
        <v/>
      </c>
      <c r="W564" t="str">
        <f>IF($O564="","",IF($O564&gt;PARAMETRES!$G$36,5,IF($O564&gt;PARAMETRES!$F$36,4,IF($O564&gt;PARAMETRES!$E$36,3,IF($O564&gt;PARAMETRES!$D$36,2,1)))))</f>
        <v/>
      </c>
      <c r="X564" t="str">
        <f>IF($P564="","",IF($P564&gt;PARAMETRES!$G$37,5,IF($P564&gt;PARAMETRES!$F$37,4,IF($P564&gt;PARAMETRES!$E$37,3,IF($P564&gt;PARAMETRES!$D$37,2,1)))))</f>
        <v/>
      </c>
      <c r="Y564" t="str">
        <f t="shared" si="192"/>
        <v/>
      </c>
      <c r="Z564" t="str">
        <f>IFERROR(VLOOKUP($B564,TABLE_CYCLE,2,0),"")</f>
        <v/>
      </c>
      <c r="AA564" t="str">
        <f t="shared" si="193"/>
        <v/>
      </c>
      <c r="AB564" t="str">
        <f>IF($D564="","",IF(COUNTIF($D$2:$D564,$D564)=1,$D564,""))</f>
        <v/>
      </c>
      <c r="AC564">
        <f t="shared" si="194"/>
        <v>0</v>
      </c>
      <c r="AD564" t="str">
        <f t="shared" si="195"/>
        <v>|0</v>
      </c>
      <c r="AE564" t="str">
        <f t="shared" si="196"/>
        <v/>
      </c>
      <c r="AF564" t="str">
        <f t="shared" si="197"/>
        <v/>
      </c>
      <c r="AG564" t="str">
        <f t="shared" si="198"/>
        <v/>
      </c>
      <c r="AH564" t="str">
        <f t="shared" si="199"/>
        <v/>
      </c>
      <c r="AI564" t="str">
        <f t="shared" si="200"/>
        <v/>
      </c>
      <c r="AJ564" t="str">
        <f t="shared" si="201"/>
        <v/>
      </c>
      <c r="AK564" t="str">
        <f t="shared" si="202"/>
        <v/>
      </c>
      <c r="AL564" t="str">
        <f t="shared" si="203"/>
        <v/>
      </c>
      <c r="AM564" t="str">
        <f t="shared" si="204"/>
        <v/>
      </c>
      <c r="AN564" t="str">
        <f t="shared" si="205"/>
        <v/>
      </c>
      <c r="AO564" t="str">
        <f t="shared" si="206"/>
        <v/>
      </c>
      <c r="AP564">
        <f t="shared" si="207"/>
        <v>1</v>
      </c>
      <c r="AQ564" t="str">
        <f>IF(SAISIE!$F569="","",SAISIE!$Y569)</f>
        <v/>
      </c>
      <c r="AR564" t="str">
        <f>IF(OR(SAISIE!$U$4="",SAISIE!$W$4=""),"",IF(AND($A564=SAISIE!$U$4,$B564=SAISIE!$W$4,$C564="S1"),COUNTIFS($A$2:$A564,SAISIE!$U$4,$B$2:$B564,SAISIE!$W$4,$C$2:$C564,"S1"),""))</f>
        <v/>
      </c>
      <c r="AS564" t="str">
        <f t="shared" si="208"/>
        <v/>
      </c>
      <c r="AT564" t="str">
        <f t="shared" si="209"/>
        <v/>
      </c>
      <c r="AU564" t="str">
        <f t="shared" si="210"/>
        <v/>
      </c>
      <c r="AV564">
        <f>N(AV563)+IF(AND($AB564&lt;&gt;"",OR('PROFIL ELEVE'!$K$4="(Tous)",$AF564='PROFIL ELEVE'!$K$4)),1,0)</f>
        <v>0</v>
      </c>
      <c r="AW564">
        <f>N(AW563)+IF(AND($AB564&lt;&gt;"",OR('SUIVI LONGITUDINAL'!$Q$4="(Tous)",$AF564='SUIVI LONGITUDINAL'!$Q$4)),1,0)</f>
        <v>0</v>
      </c>
      <c r="AX564">
        <f t="shared" si="211"/>
        <v>0</v>
      </c>
      <c r="AY564">
        <f t="shared" si="212"/>
        <v>0</v>
      </c>
      <c r="AZ564">
        <f t="shared" si="213"/>
        <v>0</v>
      </c>
      <c r="BA564" t="str">
        <f t="shared" si="214"/>
        <v/>
      </c>
      <c r="BB564" t="str">
        <f t="shared" si="215"/>
        <v/>
      </c>
    </row>
    <row r="565" spans="1:54" ht="14.25" customHeight="1" x14ac:dyDescent="0.3">
      <c r="A565" t="str">
        <f>IF(SAISIE!$F570="","",SAISIE!$B570)</f>
        <v/>
      </c>
      <c r="B565" t="str">
        <f>IF(SAISIE!$F570="","",SAISIE!$C570)</f>
        <v/>
      </c>
      <c r="C565" t="str">
        <f>IF(SAISIE!$F570="","",SAISIE!$D570)</f>
        <v/>
      </c>
      <c r="D565" t="str">
        <f>IF(SAISIE!$E570="","",SAISIE!$E570)</f>
        <v/>
      </c>
      <c r="E565" t="str">
        <f>IF(SAISIE!$F570="","",SAISIE!$F570)</f>
        <v/>
      </c>
      <c r="F565" t="str">
        <f>IF(SAISIE!$G570="","",SAISIE!$G570)</f>
        <v/>
      </c>
      <c r="G565" t="str">
        <f>IF(SAISIE!$H570="","",SAISIE!$H570)</f>
        <v/>
      </c>
      <c r="H565" t="str">
        <f>IF(SAISIE!$I570="","",SAISIE!$I570)</f>
        <v/>
      </c>
      <c r="I565" t="str">
        <f>IF(SAISIE!$J570="","",SAISIE!$J570)</f>
        <v/>
      </c>
      <c r="J565" t="str">
        <f>IF(SAISIE!$K570="","",SAISIE!$K570)</f>
        <v/>
      </c>
      <c r="K565" t="str">
        <f>IF(SAISIE!$L570="","",SAISIE!$L570)</f>
        <v/>
      </c>
      <c r="L565" t="str">
        <f>IF(SAISIE!$M570="","",SAISIE!$M570)</f>
        <v/>
      </c>
      <c r="M565" t="str">
        <f>IF(SAISIE!$N570="","",SAISIE!$N570)</f>
        <v/>
      </c>
      <c r="N565" t="str">
        <f>IF(SAISIE!$O570="","",SAISIE!$O570)</f>
        <v/>
      </c>
      <c r="O565" t="str">
        <f>IF(SAISIE!$P570="","",SAISIE!$P570)</f>
        <v/>
      </c>
      <c r="P565" t="str">
        <f>IF(SAISIE!$Q570="","",SAISIE!$Q570)</f>
        <v/>
      </c>
      <c r="Q565" t="str">
        <f>IF($I565="","",IF($I565&gt;PARAMETRES!$G$29,5,IF($I565&gt;PARAMETRES!$F$29,4,IF($I565&gt;PARAMETRES!$E$29,3,IF($I565&gt;PARAMETRES!$D$29,2,1)))))</f>
        <v/>
      </c>
      <c r="R565" t="str">
        <f>IF($J565="","",IF($J565&gt;PARAMETRES!$G$30,5,IF($J565&gt;PARAMETRES!$F$30,4,IF($J565&gt;PARAMETRES!$E$30,3,IF($J565&gt;PARAMETRES!$D$30,2,1)))))</f>
        <v/>
      </c>
      <c r="S565" t="str">
        <f>IF($K565="","",IF($Z565=2,IF($K565&gt;PARAMETRES!$G$31,5,IF($K565&gt;PARAMETRES!$F$31,4,IF($K565&gt;PARAMETRES!$E$31,3,IF($K565&gt;PARAMETRES!$D$31,2,1)))),IF($K565&gt;PARAMETRES!$G$32,5,IF($K565&gt;PARAMETRES!$F$32,4,IF($K565&gt;PARAMETRES!$E$32,3,IF($K565&gt;PARAMETRES!$D$32,2,1))))))</f>
        <v/>
      </c>
      <c r="T565" t="str">
        <f>IF($L565="","",IF($L565&gt;PARAMETRES!$G$33,5,IF($L565&gt;PARAMETRES!$F$33,4,IF($L565&gt;PARAMETRES!$E$33,3,IF($L565&gt;PARAMETRES!$D$33,2,1)))))</f>
        <v/>
      </c>
      <c r="U565" t="str">
        <f>IF($M565="","",IF($M565&gt;PARAMETRES!$G$34,5,IF($M565&gt;PARAMETRES!$F$34,4,IF($M565&gt;PARAMETRES!$E$34,3,IF($M565&gt;PARAMETRES!$D$34,2,1)))))</f>
        <v/>
      </c>
      <c r="V565" t="str">
        <f>IF($N565="","",IF($N565&gt;PARAMETRES!$G$35,5,IF($N565&gt;PARAMETRES!$F$35,4,IF($N565&gt;PARAMETRES!$E$35,3,IF($N565&gt;PARAMETRES!$D$35,2,1)))))</f>
        <v/>
      </c>
      <c r="W565" t="str">
        <f>IF($O565="","",IF($O565&gt;PARAMETRES!$G$36,5,IF($O565&gt;PARAMETRES!$F$36,4,IF($O565&gt;PARAMETRES!$E$36,3,IF($O565&gt;PARAMETRES!$D$36,2,1)))))</f>
        <v/>
      </c>
      <c r="X565" t="str">
        <f>IF($P565="","",IF($P565&gt;PARAMETRES!$G$37,5,IF($P565&gt;PARAMETRES!$F$37,4,IF($P565&gt;PARAMETRES!$E$37,3,IF($P565&gt;PARAMETRES!$D$37,2,1)))))</f>
        <v/>
      </c>
      <c r="Y565" t="str">
        <f t="shared" si="192"/>
        <v/>
      </c>
      <c r="Z565" t="str">
        <f>IFERROR(VLOOKUP($B565,TABLE_CYCLE,2,0),"")</f>
        <v/>
      </c>
      <c r="AA565" t="str">
        <f t="shared" si="193"/>
        <v/>
      </c>
      <c r="AB565" t="str">
        <f>IF($D565="","",IF(COUNTIF($D$2:$D565,$D565)=1,$D565,""))</f>
        <v/>
      </c>
      <c r="AC565">
        <f t="shared" si="194"/>
        <v>0</v>
      </c>
      <c r="AD565" t="str">
        <f t="shared" si="195"/>
        <v>|0</v>
      </c>
      <c r="AE565" t="str">
        <f t="shared" si="196"/>
        <v/>
      </c>
      <c r="AF565" t="str">
        <f t="shared" si="197"/>
        <v/>
      </c>
      <c r="AG565" t="str">
        <f t="shared" si="198"/>
        <v/>
      </c>
      <c r="AH565" t="str">
        <f t="shared" si="199"/>
        <v/>
      </c>
      <c r="AI565" t="str">
        <f t="shared" si="200"/>
        <v/>
      </c>
      <c r="AJ565" t="str">
        <f t="shared" si="201"/>
        <v/>
      </c>
      <c r="AK565" t="str">
        <f t="shared" si="202"/>
        <v/>
      </c>
      <c r="AL565" t="str">
        <f t="shared" si="203"/>
        <v/>
      </c>
      <c r="AM565" t="str">
        <f t="shared" si="204"/>
        <v/>
      </c>
      <c r="AN565" t="str">
        <f t="shared" si="205"/>
        <v/>
      </c>
      <c r="AO565" t="str">
        <f t="shared" si="206"/>
        <v/>
      </c>
      <c r="AP565">
        <f t="shared" si="207"/>
        <v>1</v>
      </c>
      <c r="AQ565" t="str">
        <f>IF(SAISIE!$F570="","",SAISIE!$Y570)</f>
        <v/>
      </c>
      <c r="AR565" t="str">
        <f>IF(OR(SAISIE!$U$4="",SAISIE!$W$4=""),"",IF(AND($A565=SAISIE!$U$4,$B565=SAISIE!$W$4,$C565="S1"),COUNTIFS($A$2:$A565,SAISIE!$U$4,$B$2:$B565,SAISIE!$W$4,$C$2:$C565,"S1"),""))</f>
        <v/>
      </c>
      <c r="AS565" t="str">
        <f t="shared" si="208"/>
        <v/>
      </c>
      <c r="AT565" t="str">
        <f t="shared" si="209"/>
        <v/>
      </c>
      <c r="AU565" t="str">
        <f t="shared" si="210"/>
        <v/>
      </c>
      <c r="AV565">
        <f>N(AV564)+IF(AND($AB565&lt;&gt;"",OR('PROFIL ELEVE'!$K$4="(Tous)",$AF565='PROFIL ELEVE'!$K$4)),1,0)</f>
        <v>0</v>
      </c>
      <c r="AW565">
        <f>N(AW564)+IF(AND($AB565&lt;&gt;"",OR('SUIVI LONGITUDINAL'!$Q$4="(Tous)",$AF565='SUIVI LONGITUDINAL'!$Q$4)),1,0)</f>
        <v>0</v>
      </c>
      <c r="AX565">
        <f t="shared" si="211"/>
        <v>0</v>
      </c>
      <c r="AY565">
        <f t="shared" si="212"/>
        <v>0</v>
      </c>
      <c r="AZ565">
        <f t="shared" si="213"/>
        <v>0</v>
      </c>
      <c r="BA565" t="str">
        <f t="shared" si="214"/>
        <v/>
      </c>
      <c r="BB565" t="str">
        <f t="shared" si="215"/>
        <v/>
      </c>
    </row>
    <row r="566" spans="1:54" ht="14.25" customHeight="1" x14ac:dyDescent="0.3">
      <c r="A566" t="str">
        <f>IF(SAISIE!$F571="","",SAISIE!$B571)</f>
        <v/>
      </c>
      <c r="B566" t="str">
        <f>IF(SAISIE!$F571="","",SAISIE!$C571)</f>
        <v/>
      </c>
      <c r="C566" t="str">
        <f>IF(SAISIE!$F571="","",SAISIE!$D571)</f>
        <v/>
      </c>
      <c r="D566" t="str">
        <f>IF(SAISIE!$E571="","",SAISIE!$E571)</f>
        <v/>
      </c>
      <c r="E566" t="str">
        <f>IF(SAISIE!$F571="","",SAISIE!$F571)</f>
        <v/>
      </c>
      <c r="F566" t="str">
        <f>IF(SAISIE!$G571="","",SAISIE!$G571)</f>
        <v/>
      </c>
      <c r="G566" t="str">
        <f>IF(SAISIE!$H571="","",SAISIE!$H571)</f>
        <v/>
      </c>
      <c r="H566" t="str">
        <f>IF(SAISIE!$I571="","",SAISIE!$I571)</f>
        <v/>
      </c>
      <c r="I566" t="str">
        <f>IF(SAISIE!$J571="","",SAISIE!$J571)</f>
        <v/>
      </c>
      <c r="J566" t="str">
        <f>IF(SAISIE!$K571="","",SAISIE!$K571)</f>
        <v/>
      </c>
      <c r="K566" t="str">
        <f>IF(SAISIE!$L571="","",SAISIE!$L571)</f>
        <v/>
      </c>
      <c r="L566" t="str">
        <f>IF(SAISIE!$M571="","",SAISIE!$M571)</f>
        <v/>
      </c>
      <c r="M566" t="str">
        <f>IF(SAISIE!$N571="","",SAISIE!$N571)</f>
        <v/>
      </c>
      <c r="N566" t="str">
        <f>IF(SAISIE!$O571="","",SAISIE!$O571)</f>
        <v/>
      </c>
      <c r="O566" t="str">
        <f>IF(SAISIE!$P571="","",SAISIE!$P571)</f>
        <v/>
      </c>
      <c r="P566" t="str">
        <f>IF(SAISIE!$Q571="","",SAISIE!$Q571)</f>
        <v/>
      </c>
      <c r="Q566" t="str">
        <f>IF($I566="","",IF($I566&gt;PARAMETRES!$G$29,5,IF($I566&gt;PARAMETRES!$F$29,4,IF($I566&gt;PARAMETRES!$E$29,3,IF($I566&gt;PARAMETRES!$D$29,2,1)))))</f>
        <v/>
      </c>
      <c r="R566" t="str">
        <f>IF($J566="","",IF($J566&gt;PARAMETRES!$G$30,5,IF($J566&gt;PARAMETRES!$F$30,4,IF($J566&gt;PARAMETRES!$E$30,3,IF($J566&gt;PARAMETRES!$D$30,2,1)))))</f>
        <v/>
      </c>
      <c r="S566" t="str">
        <f>IF($K566="","",IF($Z566=2,IF($K566&gt;PARAMETRES!$G$31,5,IF($K566&gt;PARAMETRES!$F$31,4,IF($K566&gt;PARAMETRES!$E$31,3,IF($K566&gt;PARAMETRES!$D$31,2,1)))),IF($K566&gt;PARAMETRES!$G$32,5,IF($K566&gt;PARAMETRES!$F$32,4,IF($K566&gt;PARAMETRES!$E$32,3,IF($K566&gt;PARAMETRES!$D$32,2,1))))))</f>
        <v/>
      </c>
      <c r="T566" t="str">
        <f>IF($L566="","",IF($L566&gt;PARAMETRES!$G$33,5,IF($L566&gt;PARAMETRES!$F$33,4,IF($L566&gt;PARAMETRES!$E$33,3,IF($L566&gt;PARAMETRES!$D$33,2,1)))))</f>
        <v/>
      </c>
      <c r="U566" t="str">
        <f>IF($M566="","",IF($M566&gt;PARAMETRES!$G$34,5,IF($M566&gt;PARAMETRES!$F$34,4,IF($M566&gt;PARAMETRES!$E$34,3,IF($M566&gt;PARAMETRES!$D$34,2,1)))))</f>
        <v/>
      </c>
      <c r="V566" t="str">
        <f>IF($N566="","",IF($N566&gt;PARAMETRES!$G$35,5,IF($N566&gt;PARAMETRES!$F$35,4,IF($N566&gt;PARAMETRES!$E$35,3,IF($N566&gt;PARAMETRES!$D$35,2,1)))))</f>
        <v/>
      </c>
      <c r="W566" t="str">
        <f>IF($O566="","",IF($O566&gt;PARAMETRES!$G$36,5,IF($O566&gt;PARAMETRES!$F$36,4,IF($O566&gt;PARAMETRES!$E$36,3,IF($O566&gt;PARAMETRES!$D$36,2,1)))))</f>
        <v/>
      </c>
      <c r="X566" t="str">
        <f>IF($P566="","",IF($P566&gt;PARAMETRES!$G$37,5,IF($P566&gt;PARAMETRES!$F$37,4,IF($P566&gt;PARAMETRES!$E$37,3,IF($P566&gt;PARAMETRES!$D$37,2,1)))))</f>
        <v/>
      </c>
      <c r="Y566" t="str">
        <f t="shared" si="192"/>
        <v/>
      </c>
      <c r="Z566" t="str">
        <f>IFERROR(VLOOKUP($B566,TABLE_CYCLE,2,0),"")</f>
        <v/>
      </c>
      <c r="AA566" t="str">
        <f t="shared" si="193"/>
        <v/>
      </c>
      <c r="AB566" t="str">
        <f>IF($D566="","",IF(COUNTIF($D$2:$D566,$D566)=1,$D566,""))</f>
        <v/>
      </c>
      <c r="AC566">
        <f t="shared" si="194"/>
        <v>0</v>
      </c>
      <c r="AD566" t="str">
        <f t="shared" si="195"/>
        <v>|0</v>
      </c>
      <c r="AE566" t="str">
        <f t="shared" si="196"/>
        <v/>
      </c>
      <c r="AF566" t="str">
        <f t="shared" si="197"/>
        <v/>
      </c>
      <c r="AG566" t="str">
        <f t="shared" si="198"/>
        <v/>
      </c>
      <c r="AH566" t="str">
        <f t="shared" si="199"/>
        <v/>
      </c>
      <c r="AI566" t="str">
        <f t="shared" si="200"/>
        <v/>
      </c>
      <c r="AJ566" t="str">
        <f t="shared" si="201"/>
        <v/>
      </c>
      <c r="AK566" t="str">
        <f t="shared" si="202"/>
        <v/>
      </c>
      <c r="AL566" t="str">
        <f t="shared" si="203"/>
        <v/>
      </c>
      <c r="AM566" t="str">
        <f t="shared" si="204"/>
        <v/>
      </c>
      <c r="AN566" t="str">
        <f t="shared" si="205"/>
        <v/>
      </c>
      <c r="AO566" t="str">
        <f t="shared" si="206"/>
        <v/>
      </c>
      <c r="AP566">
        <f t="shared" si="207"/>
        <v>1</v>
      </c>
      <c r="AQ566" t="str">
        <f>IF(SAISIE!$F571="","",SAISIE!$Y571)</f>
        <v/>
      </c>
      <c r="AR566" t="str">
        <f>IF(OR(SAISIE!$U$4="",SAISIE!$W$4=""),"",IF(AND($A566=SAISIE!$U$4,$B566=SAISIE!$W$4,$C566="S1"),COUNTIFS($A$2:$A566,SAISIE!$U$4,$B$2:$B566,SAISIE!$W$4,$C$2:$C566,"S1"),""))</f>
        <v/>
      </c>
      <c r="AS566" t="str">
        <f t="shared" si="208"/>
        <v/>
      </c>
      <c r="AT566" t="str">
        <f t="shared" si="209"/>
        <v/>
      </c>
      <c r="AU566" t="str">
        <f t="shared" si="210"/>
        <v/>
      </c>
      <c r="AV566">
        <f>N(AV565)+IF(AND($AB566&lt;&gt;"",OR('PROFIL ELEVE'!$K$4="(Tous)",$AF566='PROFIL ELEVE'!$K$4)),1,0)</f>
        <v>0</v>
      </c>
      <c r="AW566">
        <f>N(AW565)+IF(AND($AB566&lt;&gt;"",OR('SUIVI LONGITUDINAL'!$Q$4="(Tous)",$AF566='SUIVI LONGITUDINAL'!$Q$4)),1,0)</f>
        <v>0</v>
      </c>
      <c r="AX566">
        <f t="shared" si="211"/>
        <v>0</v>
      </c>
      <c r="AY566">
        <f t="shared" si="212"/>
        <v>0</v>
      </c>
      <c r="AZ566">
        <f t="shared" si="213"/>
        <v>0</v>
      </c>
      <c r="BA566" t="str">
        <f t="shared" si="214"/>
        <v/>
      </c>
      <c r="BB566" t="str">
        <f t="shared" si="215"/>
        <v/>
      </c>
    </row>
    <row r="567" spans="1:54" ht="14.25" customHeight="1" x14ac:dyDescent="0.3">
      <c r="A567" t="str">
        <f>IF(SAISIE!$F572="","",SAISIE!$B572)</f>
        <v/>
      </c>
      <c r="B567" t="str">
        <f>IF(SAISIE!$F572="","",SAISIE!$C572)</f>
        <v/>
      </c>
      <c r="C567" t="str">
        <f>IF(SAISIE!$F572="","",SAISIE!$D572)</f>
        <v/>
      </c>
      <c r="D567" t="str">
        <f>IF(SAISIE!$E572="","",SAISIE!$E572)</f>
        <v/>
      </c>
      <c r="E567" t="str">
        <f>IF(SAISIE!$F572="","",SAISIE!$F572)</f>
        <v/>
      </c>
      <c r="F567" t="str">
        <f>IF(SAISIE!$G572="","",SAISIE!$G572)</f>
        <v/>
      </c>
      <c r="G567" t="str">
        <f>IF(SAISIE!$H572="","",SAISIE!$H572)</f>
        <v/>
      </c>
      <c r="H567" t="str">
        <f>IF(SAISIE!$I572="","",SAISIE!$I572)</f>
        <v/>
      </c>
      <c r="I567" t="str">
        <f>IF(SAISIE!$J572="","",SAISIE!$J572)</f>
        <v/>
      </c>
      <c r="J567" t="str">
        <f>IF(SAISIE!$K572="","",SAISIE!$K572)</f>
        <v/>
      </c>
      <c r="K567" t="str">
        <f>IF(SAISIE!$L572="","",SAISIE!$L572)</f>
        <v/>
      </c>
      <c r="L567" t="str">
        <f>IF(SAISIE!$M572="","",SAISIE!$M572)</f>
        <v/>
      </c>
      <c r="M567" t="str">
        <f>IF(SAISIE!$N572="","",SAISIE!$N572)</f>
        <v/>
      </c>
      <c r="N567" t="str">
        <f>IF(SAISIE!$O572="","",SAISIE!$O572)</f>
        <v/>
      </c>
      <c r="O567" t="str">
        <f>IF(SAISIE!$P572="","",SAISIE!$P572)</f>
        <v/>
      </c>
      <c r="P567" t="str">
        <f>IF(SAISIE!$Q572="","",SAISIE!$Q572)</f>
        <v/>
      </c>
      <c r="Q567" t="str">
        <f>IF($I567="","",IF($I567&gt;PARAMETRES!$G$29,5,IF($I567&gt;PARAMETRES!$F$29,4,IF($I567&gt;PARAMETRES!$E$29,3,IF($I567&gt;PARAMETRES!$D$29,2,1)))))</f>
        <v/>
      </c>
      <c r="R567" t="str">
        <f>IF($J567="","",IF($J567&gt;PARAMETRES!$G$30,5,IF($J567&gt;PARAMETRES!$F$30,4,IF($J567&gt;PARAMETRES!$E$30,3,IF($J567&gt;PARAMETRES!$D$30,2,1)))))</f>
        <v/>
      </c>
      <c r="S567" t="str">
        <f>IF($K567="","",IF($Z567=2,IF($K567&gt;PARAMETRES!$G$31,5,IF($K567&gt;PARAMETRES!$F$31,4,IF($K567&gt;PARAMETRES!$E$31,3,IF($K567&gt;PARAMETRES!$D$31,2,1)))),IF($K567&gt;PARAMETRES!$G$32,5,IF($K567&gt;PARAMETRES!$F$32,4,IF($K567&gt;PARAMETRES!$E$32,3,IF($K567&gt;PARAMETRES!$D$32,2,1))))))</f>
        <v/>
      </c>
      <c r="T567" t="str">
        <f>IF($L567="","",IF($L567&gt;PARAMETRES!$G$33,5,IF($L567&gt;PARAMETRES!$F$33,4,IF($L567&gt;PARAMETRES!$E$33,3,IF($L567&gt;PARAMETRES!$D$33,2,1)))))</f>
        <v/>
      </c>
      <c r="U567" t="str">
        <f>IF($M567="","",IF($M567&gt;PARAMETRES!$G$34,5,IF($M567&gt;PARAMETRES!$F$34,4,IF($M567&gt;PARAMETRES!$E$34,3,IF($M567&gt;PARAMETRES!$D$34,2,1)))))</f>
        <v/>
      </c>
      <c r="V567" t="str">
        <f>IF($N567="","",IF($N567&gt;PARAMETRES!$G$35,5,IF($N567&gt;PARAMETRES!$F$35,4,IF($N567&gt;PARAMETRES!$E$35,3,IF($N567&gt;PARAMETRES!$D$35,2,1)))))</f>
        <v/>
      </c>
      <c r="W567" t="str">
        <f>IF($O567="","",IF($O567&gt;PARAMETRES!$G$36,5,IF($O567&gt;PARAMETRES!$F$36,4,IF($O567&gt;PARAMETRES!$E$36,3,IF($O567&gt;PARAMETRES!$D$36,2,1)))))</f>
        <v/>
      </c>
      <c r="X567" t="str">
        <f>IF($P567="","",IF($P567&gt;PARAMETRES!$G$37,5,IF($P567&gt;PARAMETRES!$F$37,4,IF($P567&gt;PARAMETRES!$E$37,3,IF($P567&gt;PARAMETRES!$D$37,2,1)))))</f>
        <v/>
      </c>
      <c r="Y567" t="str">
        <f t="shared" si="192"/>
        <v/>
      </c>
      <c r="Z567" t="str">
        <f>IFERROR(VLOOKUP($B567,TABLE_CYCLE,2,0),"")</f>
        <v/>
      </c>
      <c r="AA567" t="str">
        <f t="shared" si="193"/>
        <v/>
      </c>
      <c r="AB567" t="str">
        <f>IF($D567="","",IF(COUNTIF($D$2:$D567,$D567)=1,$D567,""))</f>
        <v/>
      </c>
      <c r="AC567">
        <f t="shared" si="194"/>
        <v>0</v>
      </c>
      <c r="AD567" t="str">
        <f t="shared" si="195"/>
        <v>|0</v>
      </c>
      <c r="AE567" t="str">
        <f t="shared" si="196"/>
        <v/>
      </c>
      <c r="AF567" t="str">
        <f t="shared" si="197"/>
        <v/>
      </c>
      <c r="AG567" t="str">
        <f t="shared" si="198"/>
        <v/>
      </c>
      <c r="AH567" t="str">
        <f t="shared" si="199"/>
        <v/>
      </c>
      <c r="AI567" t="str">
        <f t="shared" si="200"/>
        <v/>
      </c>
      <c r="AJ567" t="str">
        <f t="shared" si="201"/>
        <v/>
      </c>
      <c r="AK567" t="str">
        <f t="shared" si="202"/>
        <v/>
      </c>
      <c r="AL567" t="str">
        <f t="shared" si="203"/>
        <v/>
      </c>
      <c r="AM567" t="str">
        <f t="shared" si="204"/>
        <v/>
      </c>
      <c r="AN567" t="str">
        <f t="shared" si="205"/>
        <v/>
      </c>
      <c r="AO567" t="str">
        <f t="shared" si="206"/>
        <v/>
      </c>
      <c r="AP567">
        <f t="shared" si="207"/>
        <v>1</v>
      </c>
      <c r="AQ567" t="str">
        <f>IF(SAISIE!$F572="","",SAISIE!$Y572)</f>
        <v/>
      </c>
      <c r="AR567" t="str">
        <f>IF(OR(SAISIE!$U$4="",SAISIE!$W$4=""),"",IF(AND($A567=SAISIE!$U$4,$B567=SAISIE!$W$4,$C567="S1"),COUNTIFS($A$2:$A567,SAISIE!$U$4,$B$2:$B567,SAISIE!$W$4,$C$2:$C567,"S1"),""))</f>
        <v/>
      </c>
      <c r="AS567" t="str">
        <f t="shared" si="208"/>
        <v/>
      </c>
      <c r="AT567" t="str">
        <f t="shared" si="209"/>
        <v/>
      </c>
      <c r="AU567" t="str">
        <f t="shared" si="210"/>
        <v/>
      </c>
      <c r="AV567">
        <f>N(AV566)+IF(AND($AB567&lt;&gt;"",OR('PROFIL ELEVE'!$K$4="(Tous)",$AF567='PROFIL ELEVE'!$K$4)),1,0)</f>
        <v>0</v>
      </c>
      <c r="AW567">
        <f>N(AW566)+IF(AND($AB567&lt;&gt;"",OR('SUIVI LONGITUDINAL'!$Q$4="(Tous)",$AF567='SUIVI LONGITUDINAL'!$Q$4)),1,0)</f>
        <v>0</v>
      </c>
      <c r="AX567">
        <f t="shared" si="211"/>
        <v>0</v>
      </c>
      <c r="AY567">
        <f t="shared" si="212"/>
        <v>0</v>
      </c>
      <c r="AZ567">
        <f t="shared" si="213"/>
        <v>0</v>
      </c>
      <c r="BA567" t="str">
        <f t="shared" si="214"/>
        <v/>
      </c>
      <c r="BB567" t="str">
        <f t="shared" si="215"/>
        <v/>
      </c>
    </row>
    <row r="568" spans="1:54" ht="14.25" customHeight="1" x14ac:dyDescent="0.3">
      <c r="A568" t="str">
        <f>IF(SAISIE!$F573="","",SAISIE!$B573)</f>
        <v/>
      </c>
      <c r="B568" t="str">
        <f>IF(SAISIE!$F573="","",SAISIE!$C573)</f>
        <v/>
      </c>
      <c r="C568" t="str">
        <f>IF(SAISIE!$F573="","",SAISIE!$D573)</f>
        <v/>
      </c>
      <c r="D568" t="str">
        <f>IF(SAISIE!$E573="","",SAISIE!$E573)</f>
        <v/>
      </c>
      <c r="E568" t="str">
        <f>IF(SAISIE!$F573="","",SAISIE!$F573)</f>
        <v/>
      </c>
      <c r="F568" t="str">
        <f>IF(SAISIE!$G573="","",SAISIE!$G573)</f>
        <v/>
      </c>
      <c r="G568" t="str">
        <f>IF(SAISIE!$H573="","",SAISIE!$H573)</f>
        <v/>
      </c>
      <c r="H568" t="str">
        <f>IF(SAISIE!$I573="","",SAISIE!$I573)</f>
        <v/>
      </c>
      <c r="I568" t="str">
        <f>IF(SAISIE!$J573="","",SAISIE!$J573)</f>
        <v/>
      </c>
      <c r="J568" t="str">
        <f>IF(SAISIE!$K573="","",SAISIE!$K573)</f>
        <v/>
      </c>
      <c r="K568" t="str">
        <f>IF(SAISIE!$L573="","",SAISIE!$L573)</f>
        <v/>
      </c>
      <c r="L568" t="str">
        <f>IF(SAISIE!$M573="","",SAISIE!$M573)</f>
        <v/>
      </c>
      <c r="M568" t="str">
        <f>IF(SAISIE!$N573="","",SAISIE!$N573)</f>
        <v/>
      </c>
      <c r="N568" t="str">
        <f>IF(SAISIE!$O573="","",SAISIE!$O573)</f>
        <v/>
      </c>
      <c r="O568" t="str">
        <f>IF(SAISIE!$P573="","",SAISIE!$P573)</f>
        <v/>
      </c>
      <c r="P568" t="str">
        <f>IF(SAISIE!$Q573="","",SAISIE!$Q573)</f>
        <v/>
      </c>
      <c r="Q568" t="str">
        <f>IF($I568="","",IF($I568&gt;PARAMETRES!$G$29,5,IF($I568&gt;PARAMETRES!$F$29,4,IF($I568&gt;PARAMETRES!$E$29,3,IF($I568&gt;PARAMETRES!$D$29,2,1)))))</f>
        <v/>
      </c>
      <c r="R568" t="str">
        <f>IF($J568="","",IF($J568&gt;PARAMETRES!$G$30,5,IF($J568&gt;PARAMETRES!$F$30,4,IF($J568&gt;PARAMETRES!$E$30,3,IF($J568&gt;PARAMETRES!$D$30,2,1)))))</f>
        <v/>
      </c>
      <c r="S568" t="str">
        <f>IF($K568="","",IF($Z568=2,IF($K568&gt;PARAMETRES!$G$31,5,IF($K568&gt;PARAMETRES!$F$31,4,IF($K568&gt;PARAMETRES!$E$31,3,IF($K568&gt;PARAMETRES!$D$31,2,1)))),IF($K568&gt;PARAMETRES!$G$32,5,IF($K568&gt;PARAMETRES!$F$32,4,IF($K568&gt;PARAMETRES!$E$32,3,IF($K568&gt;PARAMETRES!$D$32,2,1))))))</f>
        <v/>
      </c>
      <c r="T568" t="str">
        <f>IF($L568="","",IF($L568&gt;PARAMETRES!$G$33,5,IF($L568&gt;PARAMETRES!$F$33,4,IF($L568&gt;PARAMETRES!$E$33,3,IF($L568&gt;PARAMETRES!$D$33,2,1)))))</f>
        <v/>
      </c>
      <c r="U568" t="str">
        <f>IF($M568="","",IF($M568&gt;PARAMETRES!$G$34,5,IF($M568&gt;PARAMETRES!$F$34,4,IF($M568&gt;PARAMETRES!$E$34,3,IF($M568&gt;PARAMETRES!$D$34,2,1)))))</f>
        <v/>
      </c>
      <c r="V568" t="str">
        <f>IF($N568="","",IF($N568&gt;PARAMETRES!$G$35,5,IF($N568&gt;PARAMETRES!$F$35,4,IF($N568&gt;PARAMETRES!$E$35,3,IF($N568&gt;PARAMETRES!$D$35,2,1)))))</f>
        <v/>
      </c>
      <c r="W568" t="str">
        <f>IF($O568="","",IF($O568&gt;PARAMETRES!$G$36,5,IF($O568&gt;PARAMETRES!$F$36,4,IF($O568&gt;PARAMETRES!$E$36,3,IF($O568&gt;PARAMETRES!$D$36,2,1)))))</f>
        <v/>
      </c>
      <c r="X568" t="str">
        <f>IF($P568="","",IF($P568&gt;PARAMETRES!$G$37,5,IF($P568&gt;PARAMETRES!$F$37,4,IF($P568&gt;PARAMETRES!$E$37,3,IF($P568&gt;PARAMETRES!$D$37,2,1)))))</f>
        <v/>
      </c>
      <c r="Y568" t="str">
        <f t="shared" si="192"/>
        <v/>
      </c>
      <c r="Z568" t="str">
        <f>IFERROR(VLOOKUP($B568,TABLE_CYCLE,2,0),"")</f>
        <v/>
      </c>
      <c r="AA568" t="str">
        <f t="shared" si="193"/>
        <v/>
      </c>
      <c r="AB568" t="str">
        <f>IF($D568="","",IF(COUNTIF($D$2:$D568,$D568)=1,$D568,""))</f>
        <v/>
      </c>
      <c r="AC568">
        <f t="shared" si="194"/>
        <v>0</v>
      </c>
      <c r="AD568" t="str">
        <f t="shared" si="195"/>
        <v>|0</v>
      </c>
      <c r="AE568" t="str">
        <f t="shared" si="196"/>
        <v/>
      </c>
      <c r="AF568" t="str">
        <f t="shared" si="197"/>
        <v/>
      </c>
      <c r="AG568" t="str">
        <f t="shared" si="198"/>
        <v/>
      </c>
      <c r="AH568" t="str">
        <f t="shared" si="199"/>
        <v/>
      </c>
      <c r="AI568" t="str">
        <f t="shared" si="200"/>
        <v/>
      </c>
      <c r="AJ568" t="str">
        <f t="shared" si="201"/>
        <v/>
      </c>
      <c r="AK568" t="str">
        <f t="shared" si="202"/>
        <v/>
      </c>
      <c r="AL568" t="str">
        <f t="shared" si="203"/>
        <v/>
      </c>
      <c r="AM568" t="str">
        <f t="shared" si="204"/>
        <v/>
      </c>
      <c r="AN568" t="str">
        <f t="shared" si="205"/>
        <v/>
      </c>
      <c r="AO568" t="str">
        <f t="shared" si="206"/>
        <v/>
      </c>
      <c r="AP568">
        <f t="shared" si="207"/>
        <v>1</v>
      </c>
      <c r="AQ568" t="str">
        <f>IF(SAISIE!$F573="","",SAISIE!$Y573)</f>
        <v/>
      </c>
      <c r="AR568" t="str">
        <f>IF(OR(SAISIE!$U$4="",SAISIE!$W$4=""),"",IF(AND($A568=SAISIE!$U$4,$B568=SAISIE!$W$4,$C568="S1"),COUNTIFS($A$2:$A568,SAISIE!$U$4,$B$2:$B568,SAISIE!$W$4,$C$2:$C568,"S1"),""))</f>
        <v/>
      </c>
      <c r="AS568" t="str">
        <f t="shared" si="208"/>
        <v/>
      </c>
      <c r="AT568" t="str">
        <f t="shared" si="209"/>
        <v/>
      </c>
      <c r="AU568" t="str">
        <f t="shared" si="210"/>
        <v/>
      </c>
      <c r="AV568">
        <f>N(AV567)+IF(AND($AB568&lt;&gt;"",OR('PROFIL ELEVE'!$K$4="(Tous)",$AF568='PROFIL ELEVE'!$K$4)),1,0)</f>
        <v>0</v>
      </c>
      <c r="AW568">
        <f>N(AW567)+IF(AND($AB568&lt;&gt;"",OR('SUIVI LONGITUDINAL'!$Q$4="(Tous)",$AF568='SUIVI LONGITUDINAL'!$Q$4)),1,0)</f>
        <v>0</v>
      </c>
      <c r="AX568">
        <f t="shared" si="211"/>
        <v>0</v>
      </c>
      <c r="AY568">
        <f t="shared" si="212"/>
        <v>0</v>
      </c>
      <c r="AZ568">
        <f t="shared" si="213"/>
        <v>0</v>
      </c>
      <c r="BA568" t="str">
        <f t="shared" si="214"/>
        <v/>
      </c>
      <c r="BB568" t="str">
        <f t="shared" si="215"/>
        <v/>
      </c>
    </row>
    <row r="569" spans="1:54" ht="14.25" customHeight="1" x14ac:dyDescent="0.3">
      <c r="A569" t="str">
        <f>IF(SAISIE!$F574="","",SAISIE!$B574)</f>
        <v/>
      </c>
      <c r="B569" t="str">
        <f>IF(SAISIE!$F574="","",SAISIE!$C574)</f>
        <v/>
      </c>
      <c r="C569" t="str">
        <f>IF(SAISIE!$F574="","",SAISIE!$D574)</f>
        <v/>
      </c>
      <c r="D569" t="str">
        <f>IF(SAISIE!$E574="","",SAISIE!$E574)</f>
        <v/>
      </c>
      <c r="E569" t="str">
        <f>IF(SAISIE!$F574="","",SAISIE!$F574)</f>
        <v/>
      </c>
      <c r="F569" t="str">
        <f>IF(SAISIE!$G574="","",SAISIE!$G574)</f>
        <v/>
      </c>
      <c r="G569" t="str">
        <f>IF(SAISIE!$H574="","",SAISIE!$H574)</f>
        <v/>
      </c>
      <c r="H569" t="str">
        <f>IF(SAISIE!$I574="","",SAISIE!$I574)</f>
        <v/>
      </c>
      <c r="I569" t="str">
        <f>IF(SAISIE!$J574="","",SAISIE!$J574)</f>
        <v/>
      </c>
      <c r="J569" t="str">
        <f>IF(SAISIE!$K574="","",SAISIE!$K574)</f>
        <v/>
      </c>
      <c r="K569" t="str">
        <f>IF(SAISIE!$L574="","",SAISIE!$L574)</f>
        <v/>
      </c>
      <c r="L569" t="str">
        <f>IF(SAISIE!$M574="","",SAISIE!$M574)</f>
        <v/>
      </c>
      <c r="M569" t="str">
        <f>IF(SAISIE!$N574="","",SAISIE!$N574)</f>
        <v/>
      </c>
      <c r="N569" t="str">
        <f>IF(SAISIE!$O574="","",SAISIE!$O574)</f>
        <v/>
      </c>
      <c r="O569" t="str">
        <f>IF(SAISIE!$P574="","",SAISIE!$P574)</f>
        <v/>
      </c>
      <c r="P569" t="str">
        <f>IF(SAISIE!$Q574="","",SAISIE!$Q574)</f>
        <v/>
      </c>
      <c r="Q569" t="str">
        <f>IF($I569="","",IF($I569&gt;PARAMETRES!$G$29,5,IF($I569&gt;PARAMETRES!$F$29,4,IF($I569&gt;PARAMETRES!$E$29,3,IF($I569&gt;PARAMETRES!$D$29,2,1)))))</f>
        <v/>
      </c>
      <c r="R569" t="str">
        <f>IF($J569="","",IF($J569&gt;PARAMETRES!$G$30,5,IF($J569&gt;PARAMETRES!$F$30,4,IF($J569&gt;PARAMETRES!$E$30,3,IF($J569&gt;PARAMETRES!$D$30,2,1)))))</f>
        <v/>
      </c>
      <c r="S569" t="str">
        <f>IF($K569="","",IF($Z569=2,IF($K569&gt;PARAMETRES!$G$31,5,IF($K569&gt;PARAMETRES!$F$31,4,IF($K569&gt;PARAMETRES!$E$31,3,IF($K569&gt;PARAMETRES!$D$31,2,1)))),IF($K569&gt;PARAMETRES!$G$32,5,IF($K569&gt;PARAMETRES!$F$32,4,IF($K569&gt;PARAMETRES!$E$32,3,IF($K569&gt;PARAMETRES!$D$32,2,1))))))</f>
        <v/>
      </c>
      <c r="T569" t="str">
        <f>IF($L569="","",IF($L569&gt;PARAMETRES!$G$33,5,IF($L569&gt;PARAMETRES!$F$33,4,IF($L569&gt;PARAMETRES!$E$33,3,IF($L569&gt;PARAMETRES!$D$33,2,1)))))</f>
        <v/>
      </c>
      <c r="U569" t="str">
        <f>IF($M569="","",IF($M569&gt;PARAMETRES!$G$34,5,IF($M569&gt;PARAMETRES!$F$34,4,IF($M569&gt;PARAMETRES!$E$34,3,IF($M569&gt;PARAMETRES!$D$34,2,1)))))</f>
        <v/>
      </c>
      <c r="V569" t="str">
        <f>IF($N569="","",IF($N569&gt;PARAMETRES!$G$35,5,IF($N569&gt;PARAMETRES!$F$35,4,IF($N569&gt;PARAMETRES!$E$35,3,IF($N569&gt;PARAMETRES!$D$35,2,1)))))</f>
        <v/>
      </c>
      <c r="W569" t="str">
        <f>IF($O569="","",IF($O569&gt;PARAMETRES!$G$36,5,IF($O569&gt;PARAMETRES!$F$36,4,IF($O569&gt;PARAMETRES!$E$36,3,IF($O569&gt;PARAMETRES!$D$36,2,1)))))</f>
        <v/>
      </c>
      <c r="X569" t="str">
        <f>IF($P569="","",IF($P569&gt;PARAMETRES!$G$37,5,IF($P569&gt;PARAMETRES!$F$37,4,IF($P569&gt;PARAMETRES!$E$37,3,IF($P569&gt;PARAMETRES!$D$37,2,1)))))</f>
        <v/>
      </c>
      <c r="Y569" t="str">
        <f t="shared" si="192"/>
        <v/>
      </c>
      <c r="Z569" t="str">
        <f>IFERROR(VLOOKUP($B569,TABLE_CYCLE,2,0),"")</f>
        <v/>
      </c>
      <c r="AA569" t="str">
        <f t="shared" si="193"/>
        <v/>
      </c>
      <c r="AB569" t="str">
        <f>IF($D569="","",IF(COUNTIF($D$2:$D569,$D569)=1,$D569,""))</f>
        <v/>
      </c>
      <c r="AC569">
        <f t="shared" si="194"/>
        <v>0</v>
      </c>
      <c r="AD569" t="str">
        <f t="shared" si="195"/>
        <v>|0</v>
      </c>
      <c r="AE569" t="str">
        <f t="shared" si="196"/>
        <v/>
      </c>
      <c r="AF569" t="str">
        <f t="shared" si="197"/>
        <v/>
      </c>
      <c r="AG569" t="str">
        <f t="shared" si="198"/>
        <v/>
      </c>
      <c r="AH569" t="str">
        <f t="shared" si="199"/>
        <v/>
      </c>
      <c r="AI569" t="str">
        <f t="shared" si="200"/>
        <v/>
      </c>
      <c r="AJ569" t="str">
        <f t="shared" si="201"/>
        <v/>
      </c>
      <c r="AK569" t="str">
        <f t="shared" si="202"/>
        <v/>
      </c>
      <c r="AL569" t="str">
        <f t="shared" si="203"/>
        <v/>
      </c>
      <c r="AM569" t="str">
        <f t="shared" si="204"/>
        <v/>
      </c>
      <c r="AN569" t="str">
        <f t="shared" si="205"/>
        <v/>
      </c>
      <c r="AO569" t="str">
        <f t="shared" si="206"/>
        <v/>
      </c>
      <c r="AP569">
        <f t="shared" si="207"/>
        <v>1</v>
      </c>
      <c r="AQ569" t="str">
        <f>IF(SAISIE!$F574="","",SAISIE!$Y574)</f>
        <v/>
      </c>
      <c r="AR569" t="str">
        <f>IF(OR(SAISIE!$U$4="",SAISIE!$W$4=""),"",IF(AND($A569=SAISIE!$U$4,$B569=SAISIE!$W$4,$C569="S1"),COUNTIFS($A$2:$A569,SAISIE!$U$4,$B$2:$B569,SAISIE!$W$4,$C$2:$C569,"S1"),""))</f>
        <v/>
      </c>
      <c r="AS569" t="str">
        <f t="shared" si="208"/>
        <v/>
      </c>
      <c r="AT569" t="str">
        <f t="shared" si="209"/>
        <v/>
      </c>
      <c r="AU569" t="str">
        <f t="shared" si="210"/>
        <v/>
      </c>
      <c r="AV569">
        <f>N(AV568)+IF(AND($AB569&lt;&gt;"",OR('PROFIL ELEVE'!$K$4="(Tous)",$AF569='PROFIL ELEVE'!$K$4)),1,0)</f>
        <v>0</v>
      </c>
      <c r="AW569">
        <f>N(AW568)+IF(AND($AB569&lt;&gt;"",OR('SUIVI LONGITUDINAL'!$Q$4="(Tous)",$AF569='SUIVI LONGITUDINAL'!$Q$4)),1,0)</f>
        <v>0</v>
      </c>
      <c r="AX569">
        <f t="shared" si="211"/>
        <v>0</v>
      </c>
      <c r="AY569">
        <f t="shared" si="212"/>
        <v>0</v>
      </c>
      <c r="AZ569">
        <f t="shared" si="213"/>
        <v>0</v>
      </c>
      <c r="BA569" t="str">
        <f t="shared" si="214"/>
        <v/>
      </c>
      <c r="BB569" t="str">
        <f t="shared" si="215"/>
        <v/>
      </c>
    </row>
    <row r="570" spans="1:54" ht="14.25" customHeight="1" x14ac:dyDescent="0.3">
      <c r="A570" t="str">
        <f>IF(SAISIE!$F575="","",SAISIE!$B575)</f>
        <v/>
      </c>
      <c r="B570" t="str">
        <f>IF(SAISIE!$F575="","",SAISIE!$C575)</f>
        <v/>
      </c>
      <c r="C570" t="str">
        <f>IF(SAISIE!$F575="","",SAISIE!$D575)</f>
        <v/>
      </c>
      <c r="D570" t="str">
        <f>IF(SAISIE!$E575="","",SAISIE!$E575)</f>
        <v/>
      </c>
      <c r="E570" t="str">
        <f>IF(SAISIE!$F575="","",SAISIE!$F575)</f>
        <v/>
      </c>
      <c r="F570" t="str">
        <f>IF(SAISIE!$G575="","",SAISIE!$G575)</f>
        <v/>
      </c>
      <c r="G570" t="str">
        <f>IF(SAISIE!$H575="","",SAISIE!$H575)</f>
        <v/>
      </c>
      <c r="H570" t="str">
        <f>IF(SAISIE!$I575="","",SAISIE!$I575)</f>
        <v/>
      </c>
      <c r="I570" t="str">
        <f>IF(SAISIE!$J575="","",SAISIE!$J575)</f>
        <v/>
      </c>
      <c r="J570" t="str">
        <f>IF(SAISIE!$K575="","",SAISIE!$K575)</f>
        <v/>
      </c>
      <c r="K570" t="str">
        <f>IF(SAISIE!$L575="","",SAISIE!$L575)</f>
        <v/>
      </c>
      <c r="L570" t="str">
        <f>IF(SAISIE!$M575="","",SAISIE!$M575)</f>
        <v/>
      </c>
      <c r="M570" t="str">
        <f>IF(SAISIE!$N575="","",SAISIE!$N575)</f>
        <v/>
      </c>
      <c r="N570" t="str">
        <f>IF(SAISIE!$O575="","",SAISIE!$O575)</f>
        <v/>
      </c>
      <c r="O570" t="str">
        <f>IF(SAISIE!$P575="","",SAISIE!$P575)</f>
        <v/>
      </c>
      <c r="P570" t="str">
        <f>IF(SAISIE!$Q575="","",SAISIE!$Q575)</f>
        <v/>
      </c>
      <c r="Q570" t="str">
        <f>IF($I570="","",IF($I570&gt;PARAMETRES!$G$29,5,IF($I570&gt;PARAMETRES!$F$29,4,IF($I570&gt;PARAMETRES!$E$29,3,IF($I570&gt;PARAMETRES!$D$29,2,1)))))</f>
        <v/>
      </c>
      <c r="R570" t="str">
        <f>IF($J570="","",IF($J570&gt;PARAMETRES!$G$30,5,IF($J570&gt;PARAMETRES!$F$30,4,IF($J570&gt;PARAMETRES!$E$30,3,IF($J570&gt;PARAMETRES!$D$30,2,1)))))</f>
        <v/>
      </c>
      <c r="S570" t="str">
        <f>IF($K570="","",IF($Z570=2,IF($K570&gt;PARAMETRES!$G$31,5,IF($K570&gt;PARAMETRES!$F$31,4,IF($K570&gt;PARAMETRES!$E$31,3,IF($K570&gt;PARAMETRES!$D$31,2,1)))),IF($K570&gt;PARAMETRES!$G$32,5,IF($K570&gt;PARAMETRES!$F$32,4,IF($K570&gt;PARAMETRES!$E$32,3,IF($K570&gt;PARAMETRES!$D$32,2,1))))))</f>
        <v/>
      </c>
      <c r="T570" t="str">
        <f>IF($L570="","",IF($L570&gt;PARAMETRES!$G$33,5,IF($L570&gt;PARAMETRES!$F$33,4,IF($L570&gt;PARAMETRES!$E$33,3,IF($L570&gt;PARAMETRES!$D$33,2,1)))))</f>
        <v/>
      </c>
      <c r="U570" t="str">
        <f>IF($M570="","",IF($M570&gt;PARAMETRES!$G$34,5,IF($M570&gt;PARAMETRES!$F$34,4,IF($M570&gt;PARAMETRES!$E$34,3,IF($M570&gt;PARAMETRES!$D$34,2,1)))))</f>
        <v/>
      </c>
      <c r="V570" t="str">
        <f>IF($N570="","",IF($N570&gt;PARAMETRES!$G$35,5,IF($N570&gt;PARAMETRES!$F$35,4,IF($N570&gt;PARAMETRES!$E$35,3,IF($N570&gt;PARAMETRES!$D$35,2,1)))))</f>
        <v/>
      </c>
      <c r="W570" t="str">
        <f>IF($O570="","",IF($O570&gt;PARAMETRES!$G$36,5,IF($O570&gt;PARAMETRES!$F$36,4,IF($O570&gt;PARAMETRES!$E$36,3,IF($O570&gt;PARAMETRES!$D$36,2,1)))))</f>
        <v/>
      </c>
      <c r="X570" t="str">
        <f>IF($P570="","",IF($P570&gt;PARAMETRES!$G$37,5,IF($P570&gt;PARAMETRES!$F$37,4,IF($P570&gt;PARAMETRES!$E$37,3,IF($P570&gt;PARAMETRES!$D$37,2,1)))))</f>
        <v/>
      </c>
      <c r="Y570" t="str">
        <f t="shared" si="192"/>
        <v/>
      </c>
      <c r="Z570" t="str">
        <f>IFERROR(VLOOKUP($B570,TABLE_CYCLE,2,0),"")</f>
        <v/>
      </c>
      <c r="AA570" t="str">
        <f t="shared" si="193"/>
        <v/>
      </c>
      <c r="AB570" t="str">
        <f>IF($D570="","",IF(COUNTIF($D$2:$D570,$D570)=1,$D570,""))</f>
        <v/>
      </c>
      <c r="AC570">
        <f t="shared" si="194"/>
        <v>0</v>
      </c>
      <c r="AD570" t="str">
        <f t="shared" si="195"/>
        <v>|0</v>
      </c>
      <c r="AE570" t="str">
        <f t="shared" si="196"/>
        <v/>
      </c>
      <c r="AF570" t="str">
        <f t="shared" si="197"/>
        <v/>
      </c>
      <c r="AG570" t="str">
        <f t="shared" si="198"/>
        <v/>
      </c>
      <c r="AH570" t="str">
        <f t="shared" si="199"/>
        <v/>
      </c>
      <c r="AI570" t="str">
        <f t="shared" si="200"/>
        <v/>
      </c>
      <c r="AJ570" t="str">
        <f t="shared" si="201"/>
        <v/>
      </c>
      <c r="AK570" t="str">
        <f t="shared" si="202"/>
        <v/>
      </c>
      <c r="AL570" t="str">
        <f t="shared" si="203"/>
        <v/>
      </c>
      <c r="AM570" t="str">
        <f t="shared" si="204"/>
        <v/>
      </c>
      <c r="AN570" t="str">
        <f t="shared" si="205"/>
        <v/>
      </c>
      <c r="AO570" t="str">
        <f t="shared" si="206"/>
        <v/>
      </c>
      <c r="AP570">
        <f t="shared" si="207"/>
        <v>1</v>
      </c>
      <c r="AQ570" t="str">
        <f>IF(SAISIE!$F575="","",SAISIE!$Y575)</f>
        <v/>
      </c>
      <c r="AR570" t="str">
        <f>IF(OR(SAISIE!$U$4="",SAISIE!$W$4=""),"",IF(AND($A570=SAISIE!$U$4,$B570=SAISIE!$W$4,$C570="S1"),COUNTIFS($A$2:$A570,SAISIE!$U$4,$B$2:$B570,SAISIE!$W$4,$C$2:$C570,"S1"),""))</f>
        <v/>
      </c>
      <c r="AS570" t="str">
        <f t="shared" si="208"/>
        <v/>
      </c>
      <c r="AT570" t="str">
        <f t="shared" si="209"/>
        <v/>
      </c>
      <c r="AU570" t="str">
        <f t="shared" si="210"/>
        <v/>
      </c>
      <c r="AV570">
        <f>N(AV569)+IF(AND($AB570&lt;&gt;"",OR('PROFIL ELEVE'!$K$4="(Tous)",$AF570='PROFIL ELEVE'!$K$4)),1,0)</f>
        <v>0</v>
      </c>
      <c r="AW570">
        <f>N(AW569)+IF(AND($AB570&lt;&gt;"",OR('SUIVI LONGITUDINAL'!$Q$4="(Tous)",$AF570='SUIVI LONGITUDINAL'!$Q$4)),1,0)</f>
        <v>0</v>
      </c>
      <c r="AX570">
        <f t="shared" si="211"/>
        <v>0</v>
      </c>
      <c r="AY570">
        <f t="shared" si="212"/>
        <v>0</v>
      </c>
      <c r="AZ570">
        <f t="shared" si="213"/>
        <v>0</v>
      </c>
      <c r="BA570" t="str">
        <f t="shared" si="214"/>
        <v/>
      </c>
      <c r="BB570" t="str">
        <f t="shared" si="215"/>
        <v/>
      </c>
    </row>
    <row r="571" spans="1:54" ht="14.25" customHeight="1" x14ac:dyDescent="0.3">
      <c r="A571" t="str">
        <f>IF(SAISIE!$F576="","",SAISIE!$B576)</f>
        <v/>
      </c>
      <c r="B571" t="str">
        <f>IF(SAISIE!$F576="","",SAISIE!$C576)</f>
        <v/>
      </c>
      <c r="C571" t="str">
        <f>IF(SAISIE!$F576="","",SAISIE!$D576)</f>
        <v/>
      </c>
      <c r="D571" t="str">
        <f>IF(SAISIE!$E576="","",SAISIE!$E576)</f>
        <v/>
      </c>
      <c r="E571" t="str">
        <f>IF(SAISIE!$F576="","",SAISIE!$F576)</f>
        <v/>
      </c>
      <c r="F571" t="str">
        <f>IF(SAISIE!$G576="","",SAISIE!$G576)</f>
        <v/>
      </c>
      <c r="G571" t="str">
        <f>IF(SAISIE!$H576="","",SAISIE!$H576)</f>
        <v/>
      </c>
      <c r="H571" t="str">
        <f>IF(SAISIE!$I576="","",SAISIE!$I576)</f>
        <v/>
      </c>
      <c r="I571" t="str">
        <f>IF(SAISIE!$J576="","",SAISIE!$J576)</f>
        <v/>
      </c>
      <c r="J571" t="str">
        <f>IF(SAISIE!$K576="","",SAISIE!$K576)</f>
        <v/>
      </c>
      <c r="K571" t="str">
        <f>IF(SAISIE!$L576="","",SAISIE!$L576)</f>
        <v/>
      </c>
      <c r="L571" t="str">
        <f>IF(SAISIE!$M576="","",SAISIE!$M576)</f>
        <v/>
      </c>
      <c r="M571" t="str">
        <f>IF(SAISIE!$N576="","",SAISIE!$N576)</f>
        <v/>
      </c>
      <c r="N571" t="str">
        <f>IF(SAISIE!$O576="","",SAISIE!$O576)</f>
        <v/>
      </c>
      <c r="O571" t="str">
        <f>IF(SAISIE!$P576="","",SAISIE!$P576)</f>
        <v/>
      </c>
      <c r="P571" t="str">
        <f>IF(SAISIE!$Q576="","",SAISIE!$Q576)</f>
        <v/>
      </c>
      <c r="Q571" t="str">
        <f>IF($I571="","",IF($I571&gt;PARAMETRES!$G$29,5,IF($I571&gt;PARAMETRES!$F$29,4,IF($I571&gt;PARAMETRES!$E$29,3,IF($I571&gt;PARAMETRES!$D$29,2,1)))))</f>
        <v/>
      </c>
      <c r="R571" t="str">
        <f>IF($J571="","",IF($J571&gt;PARAMETRES!$G$30,5,IF($J571&gt;PARAMETRES!$F$30,4,IF($J571&gt;PARAMETRES!$E$30,3,IF($J571&gt;PARAMETRES!$D$30,2,1)))))</f>
        <v/>
      </c>
      <c r="S571" t="str">
        <f>IF($K571="","",IF($Z571=2,IF($K571&gt;PARAMETRES!$G$31,5,IF($K571&gt;PARAMETRES!$F$31,4,IF($K571&gt;PARAMETRES!$E$31,3,IF($K571&gt;PARAMETRES!$D$31,2,1)))),IF($K571&gt;PARAMETRES!$G$32,5,IF($K571&gt;PARAMETRES!$F$32,4,IF($K571&gt;PARAMETRES!$E$32,3,IF($K571&gt;PARAMETRES!$D$32,2,1))))))</f>
        <v/>
      </c>
      <c r="T571" t="str">
        <f>IF($L571="","",IF($L571&gt;PARAMETRES!$G$33,5,IF($L571&gt;PARAMETRES!$F$33,4,IF($L571&gt;PARAMETRES!$E$33,3,IF($L571&gt;PARAMETRES!$D$33,2,1)))))</f>
        <v/>
      </c>
      <c r="U571" t="str">
        <f>IF($M571="","",IF($M571&gt;PARAMETRES!$G$34,5,IF($M571&gt;PARAMETRES!$F$34,4,IF($M571&gt;PARAMETRES!$E$34,3,IF($M571&gt;PARAMETRES!$D$34,2,1)))))</f>
        <v/>
      </c>
      <c r="V571" t="str">
        <f>IF($N571="","",IF($N571&gt;PARAMETRES!$G$35,5,IF($N571&gt;PARAMETRES!$F$35,4,IF($N571&gt;PARAMETRES!$E$35,3,IF($N571&gt;PARAMETRES!$D$35,2,1)))))</f>
        <v/>
      </c>
      <c r="W571" t="str">
        <f>IF($O571="","",IF($O571&gt;PARAMETRES!$G$36,5,IF($O571&gt;PARAMETRES!$F$36,4,IF($O571&gt;PARAMETRES!$E$36,3,IF($O571&gt;PARAMETRES!$D$36,2,1)))))</f>
        <v/>
      </c>
      <c r="X571" t="str">
        <f>IF($P571="","",IF($P571&gt;PARAMETRES!$G$37,5,IF($P571&gt;PARAMETRES!$F$37,4,IF($P571&gt;PARAMETRES!$E$37,3,IF($P571&gt;PARAMETRES!$D$37,2,1)))))</f>
        <v/>
      </c>
      <c r="Y571" t="str">
        <f t="shared" si="192"/>
        <v/>
      </c>
      <c r="Z571" t="str">
        <f>IFERROR(VLOOKUP($B571,TABLE_CYCLE,2,0),"")</f>
        <v/>
      </c>
      <c r="AA571" t="str">
        <f t="shared" si="193"/>
        <v/>
      </c>
      <c r="AB571" t="str">
        <f>IF($D571="","",IF(COUNTIF($D$2:$D571,$D571)=1,$D571,""))</f>
        <v/>
      </c>
      <c r="AC571">
        <f t="shared" si="194"/>
        <v>0</v>
      </c>
      <c r="AD571" t="str">
        <f t="shared" si="195"/>
        <v>|0</v>
      </c>
      <c r="AE571" t="str">
        <f t="shared" si="196"/>
        <v/>
      </c>
      <c r="AF571" t="str">
        <f t="shared" si="197"/>
        <v/>
      </c>
      <c r="AG571" t="str">
        <f t="shared" si="198"/>
        <v/>
      </c>
      <c r="AH571" t="str">
        <f t="shared" si="199"/>
        <v/>
      </c>
      <c r="AI571" t="str">
        <f t="shared" si="200"/>
        <v/>
      </c>
      <c r="AJ571" t="str">
        <f t="shared" si="201"/>
        <v/>
      </c>
      <c r="AK571" t="str">
        <f t="shared" si="202"/>
        <v/>
      </c>
      <c r="AL571" t="str">
        <f t="shared" si="203"/>
        <v/>
      </c>
      <c r="AM571" t="str">
        <f t="shared" si="204"/>
        <v/>
      </c>
      <c r="AN571" t="str">
        <f t="shared" si="205"/>
        <v/>
      </c>
      <c r="AO571" t="str">
        <f t="shared" si="206"/>
        <v/>
      </c>
      <c r="AP571">
        <f t="shared" si="207"/>
        <v>1</v>
      </c>
      <c r="AQ571" t="str">
        <f>IF(SAISIE!$F576="","",SAISIE!$Y576)</f>
        <v/>
      </c>
      <c r="AR571" t="str">
        <f>IF(OR(SAISIE!$U$4="",SAISIE!$W$4=""),"",IF(AND($A571=SAISIE!$U$4,$B571=SAISIE!$W$4,$C571="S1"),COUNTIFS($A$2:$A571,SAISIE!$U$4,$B$2:$B571,SAISIE!$W$4,$C$2:$C571,"S1"),""))</f>
        <v/>
      </c>
      <c r="AS571" t="str">
        <f t="shared" si="208"/>
        <v/>
      </c>
      <c r="AT571" t="str">
        <f t="shared" si="209"/>
        <v/>
      </c>
      <c r="AU571" t="str">
        <f t="shared" si="210"/>
        <v/>
      </c>
      <c r="AV571">
        <f>N(AV570)+IF(AND($AB571&lt;&gt;"",OR('PROFIL ELEVE'!$K$4="(Tous)",$AF571='PROFIL ELEVE'!$K$4)),1,0)</f>
        <v>0</v>
      </c>
      <c r="AW571">
        <f>N(AW570)+IF(AND($AB571&lt;&gt;"",OR('SUIVI LONGITUDINAL'!$Q$4="(Tous)",$AF571='SUIVI LONGITUDINAL'!$Q$4)),1,0)</f>
        <v>0</v>
      </c>
      <c r="AX571">
        <f t="shared" si="211"/>
        <v>0</v>
      </c>
      <c r="AY571">
        <f t="shared" si="212"/>
        <v>0</v>
      </c>
      <c r="AZ571">
        <f t="shared" si="213"/>
        <v>0</v>
      </c>
      <c r="BA571" t="str">
        <f t="shared" si="214"/>
        <v/>
      </c>
      <c r="BB571" t="str">
        <f t="shared" si="215"/>
        <v/>
      </c>
    </row>
    <row r="572" spans="1:54" ht="14.25" customHeight="1" x14ac:dyDescent="0.3">
      <c r="A572" t="str">
        <f>IF(SAISIE!$F577="","",SAISIE!$B577)</f>
        <v/>
      </c>
      <c r="B572" t="str">
        <f>IF(SAISIE!$F577="","",SAISIE!$C577)</f>
        <v/>
      </c>
      <c r="C572" t="str">
        <f>IF(SAISIE!$F577="","",SAISIE!$D577)</f>
        <v/>
      </c>
      <c r="D572" t="str">
        <f>IF(SAISIE!$E577="","",SAISIE!$E577)</f>
        <v/>
      </c>
      <c r="E572" t="str">
        <f>IF(SAISIE!$F577="","",SAISIE!$F577)</f>
        <v/>
      </c>
      <c r="F572" t="str">
        <f>IF(SAISIE!$G577="","",SAISIE!$G577)</f>
        <v/>
      </c>
      <c r="G572" t="str">
        <f>IF(SAISIE!$H577="","",SAISIE!$H577)</f>
        <v/>
      </c>
      <c r="H572" t="str">
        <f>IF(SAISIE!$I577="","",SAISIE!$I577)</f>
        <v/>
      </c>
      <c r="I572" t="str">
        <f>IF(SAISIE!$J577="","",SAISIE!$J577)</f>
        <v/>
      </c>
      <c r="J572" t="str">
        <f>IF(SAISIE!$K577="","",SAISIE!$K577)</f>
        <v/>
      </c>
      <c r="K572" t="str">
        <f>IF(SAISIE!$L577="","",SAISIE!$L577)</f>
        <v/>
      </c>
      <c r="L572" t="str">
        <f>IF(SAISIE!$M577="","",SAISIE!$M577)</f>
        <v/>
      </c>
      <c r="M572" t="str">
        <f>IF(SAISIE!$N577="","",SAISIE!$N577)</f>
        <v/>
      </c>
      <c r="N572" t="str">
        <f>IF(SAISIE!$O577="","",SAISIE!$O577)</f>
        <v/>
      </c>
      <c r="O572" t="str">
        <f>IF(SAISIE!$P577="","",SAISIE!$P577)</f>
        <v/>
      </c>
      <c r="P572" t="str">
        <f>IF(SAISIE!$Q577="","",SAISIE!$Q577)</f>
        <v/>
      </c>
      <c r="Q572" t="str">
        <f>IF($I572="","",IF($I572&gt;PARAMETRES!$G$29,5,IF($I572&gt;PARAMETRES!$F$29,4,IF($I572&gt;PARAMETRES!$E$29,3,IF($I572&gt;PARAMETRES!$D$29,2,1)))))</f>
        <v/>
      </c>
      <c r="R572" t="str">
        <f>IF($J572="","",IF($J572&gt;PARAMETRES!$G$30,5,IF($J572&gt;PARAMETRES!$F$30,4,IF($J572&gt;PARAMETRES!$E$30,3,IF($J572&gt;PARAMETRES!$D$30,2,1)))))</f>
        <v/>
      </c>
      <c r="S572" t="str">
        <f>IF($K572="","",IF($Z572=2,IF($K572&gt;PARAMETRES!$G$31,5,IF($K572&gt;PARAMETRES!$F$31,4,IF($K572&gt;PARAMETRES!$E$31,3,IF($K572&gt;PARAMETRES!$D$31,2,1)))),IF($K572&gt;PARAMETRES!$G$32,5,IF($K572&gt;PARAMETRES!$F$32,4,IF($K572&gt;PARAMETRES!$E$32,3,IF($K572&gt;PARAMETRES!$D$32,2,1))))))</f>
        <v/>
      </c>
      <c r="T572" t="str">
        <f>IF($L572="","",IF($L572&gt;PARAMETRES!$G$33,5,IF($L572&gt;PARAMETRES!$F$33,4,IF($L572&gt;PARAMETRES!$E$33,3,IF($L572&gt;PARAMETRES!$D$33,2,1)))))</f>
        <v/>
      </c>
      <c r="U572" t="str">
        <f>IF($M572="","",IF($M572&gt;PARAMETRES!$G$34,5,IF($M572&gt;PARAMETRES!$F$34,4,IF($M572&gt;PARAMETRES!$E$34,3,IF($M572&gt;PARAMETRES!$D$34,2,1)))))</f>
        <v/>
      </c>
      <c r="V572" t="str">
        <f>IF($N572="","",IF($N572&gt;PARAMETRES!$G$35,5,IF($N572&gt;PARAMETRES!$F$35,4,IF($N572&gt;PARAMETRES!$E$35,3,IF($N572&gt;PARAMETRES!$D$35,2,1)))))</f>
        <v/>
      </c>
      <c r="W572" t="str">
        <f>IF($O572="","",IF($O572&gt;PARAMETRES!$G$36,5,IF($O572&gt;PARAMETRES!$F$36,4,IF($O572&gt;PARAMETRES!$E$36,3,IF($O572&gt;PARAMETRES!$D$36,2,1)))))</f>
        <v/>
      </c>
      <c r="X572" t="str">
        <f>IF($P572="","",IF($P572&gt;PARAMETRES!$G$37,5,IF($P572&gt;PARAMETRES!$F$37,4,IF($P572&gt;PARAMETRES!$E$37,3,IF($P572&gt;PARAMETRES!$D$37,2,1)))))</f>
        <v/>
      </c>
      <c r="Y572" t="str">
        <f t="shared" si="192"/>
        <v/>
      </c>
      <c r="Z572" t="str">
        <f>IFERROR(VLOOKUP($B572,TABLE_CYCLE,2,0),"")</f>
        <v/>
      </c>
      <c r="AA572" t="str">
        <f t="shared" si="193"/>
        <v/>
      </c>
      <c r="AB572" t="str">
        <f>IF($D572="","",IF(COUNTIF($D$2:$D572,$D572)=1,$D572,""))</f>
        <v/>
      </c>
      <c r="AC572">
        <f t="shared" si="194"/>
        <v>0</v>
      </c>
      <c r="AD572" t="str">
        <f t="shared" si="195"/>
        <v>|0</v>
      </c>
      <c r="AE572" t="str">
        <f t="shared" si="196"/>
        <v/>
      </c>
      <c r="AF572" t="str">
        <f t="shared" si="197"/>
        <v/>
      </c>
      <c r="AG572" t="str">
        <f t="shared" si="198"/>
        <v/>
      </c>
      <c r="AH572" t="str">
        <f t="shared" si="199"/>
        <v/>
      </c>
      <c r="AI572" t="str">
        <f t="shared" si="200"/>
        <v/>
      </c>
      <c r="AJ572" t="str">
        <f t="shared" si="201"/>
        <v/>
      </c>
      <c r="AK572" t="str">
        <f t="shared" si="202"/>
        <v/>
      </c>
      <c r="AL572" t="str">
        <f t="shared" si="203"/>
        <v/>
      </c>
      <c r="AM572" t="str">
        <f t="shared" si="204"/>
        <v/>
      </c>
      <c r="AN572" t="str">
        <f t="shared" si="205"/>
        <v/>
      </c>
      <c r="AO572" t="str">
        <f t="shared" si="206"/>
        <v/>
      </c>
      <c r="AP572">
        <f t="shared" si="207"/>
        <v>1</v>
      </c>
      <c r="AQ572" t="str">
        <f>IF(SAISIE!$F577="","",SAISIE!$Y577)</f>
        <v/>
      </c>
      <c r="AR572" t="str">
        <f>IF(OR(SAISIE!$U$4="",SAISIE!$W$4=""),"",IF(AND($A572=SAISIE!$U$4,$B572=SAISIE!$W$4,$C572="S1"),COUNTIFS($A$2:$A572,SAISIE!$U$4,$B$2:$B572,SAISIE!$W$4,$C$2:$C572,"S1"),""))</f>
        <v/>
      </c>
      <c r="AS572" t="str">
        <f t="shared" si="208"/>
        <v/>
      </c>
      <c r="AT572" t="str">
        <f t="shared" si="209"/>
        <v/>
      </c>
      <c r="AU572" t="str">
        <f t="shared" si="210"/>
        <v/>
      </c>
      <c r="AV572">
        <f>N(AV571)+IF(AND($AB572&lt;&gt;"",OR('PROFIL ELEVE'!$K$4="(Tous)",$AF572='PROFIL ELEVE'!$K$4)),1,0)</f>
        <v>0</v>
      </c>
      <c r="AW572">
        <f>N(AW571)+IF(AND($AB572&lt;&gt;"",OR('SUIVI LONGITUDINAL'!$Q$4="(Tous)",$AF572='SUIVI LONGITUDINAL'!$Q$4)),1,0)</f>
        <v>0</v>
      </c>
      <c r="AX572">
        <f t="shared" si="211"/>
        <v>0</v>
      </c>
      <c r="AY572">
        <f t="shared" si="212"/>
        <v>0</v>
      </c>
      <c r="AZ572">
        <f t="shared" si="213"/>
        <v>0</v>
      </c>
      <c r="BA572" t="str">
        <f t="shared" si="214"/>
        <v/>
      </c>
      <c r="BB572" t="str">
        <f t="shared" si="215"/>
        <v/>
      </c>
    </row>
    <row r="573" spans="1:54" ht="14.25" customHeight="1" x14ac:dyDescent="0.3">
      <c r="A573" t="str">
        <f>IF(SAISIE!$F578="","",SAISIE!$B578)</f>
        <v/>
      </c>
      <c r="B573" t="str">
        <f>IF(SAISIE!$F578="","",SAISIE!$C578)</f>
        <v/>
      </c>
      <c r="C573" t="str">
        <f>IF(SAISIE!$F578="","",SAISIE!$D578)</f>
        <v/>
      </c>
      <c r="D573" t="str">
        <f>IF(SAISIE!$E578="","",SAISIE!$E578)</f>
        <v/>
      </c>
      <c r="E573" t="str">
        <f>IF(SAISIE!$F578="","",SAISIE!$F578)</f>
        <v/>
      </c>
      <c r="F573" t="str">
        <f>IF(SAISIE!$G578="","",SAISIE!$G578)</f>
        <v/>
      </c>
      <c r="G573" t="str">
        <f>IF(SAISIE!$H578="","",SAISIE!$H578)</f>
        <v/>
      </c>
      <c r="H573" t="str">
        <f>IF(SAISIE!$I578="","",SAISIE!$I578)</f>
        <v/>
      </c>
      <c r="I573" t="str">
        <f>IF(SAISIE!$J578="","",SAISIE!$J578)</f>
        <v/>
      </c>
      <c r="J573" t="str">
        <f>IF(SAISIE!$K578="","",SAISIE!$K578)</f>
        <v/>
      </c>
      <c r="K573" t="str">
        <f>IF(SAISIE!$L578="","",SAISIE!$L578)</f>
        <v/>
      </c>
      <c r="L573" t="str">
        <f>IF(SAISIE!$M578="","",SAISIE!$M578)</f>
        <v/>
      </c>
      <c r="M573" t="str">
        <f>IF(SAISIE!$N578="","",SAISIE!$N578)</f>
        <v/>
      </c>
      <c r="N573" t="str">
        <f>IF(SAISIE!$O578="","",SAISIE!$O578)</f>
        <v/>
      </c>
      <c r="O573" t="str">
        <f>IF(SAISIE!$P578="","",SAISIE!$P578)</f>
        <v/>
      </c>
      <c r="P573" t="str">
        <f>IF(SAISIE!$Q578="","",SAISIE!$Q578)</f>
        <v/>
      </c>
      <c r="Q573" t="str">
        <f>IF($I573="","",IF($I573&gt;PARAMETRES!$G$29,5,IF($I573&gt;PARAMETRES!$F$29,4,IF($I573&gt;PARAMETRES!$E$29,3,IF($I573&gt;PARAMETRES!$D$29,2,1)))))</f>
        <v/>
      </c>
      <c r="R573" t="str">
        <f>IF($J573="","",IF($J573&gt;PARAMETRES!$G$30,5,IF($J573&gt;PARAMETRES!$F$30,4,IF($J573&gt;PARAMETRES!$E$30,3,IF($J573&gt;PARAMETRES!$D$30,2,1)))))</f>
        <v/>
      </c>
      <c r="S573" t="str">
        <f>IF($K573="","",IF($Z573=2,IF($K573&gt;PARAMETRES!$G$31,5,IF($K573&gt;PARAMETRES!$F$31,4,IF($K573&gt;PARAMETRES!$E$31,3,IF($K573&gt;PARAMETRES!$D$31,2,1)))),IF($K573&gt;PARAMETRES!$G$32,5,IF($K573&gt;PARAMETRES!$F$32,4,IF($K573&gt;PARAMETRES!$E$32,3,IF($K573&gt;PARAMETRES!$D$32,2,1))))))</f>
        <v/>
      </c>
      <c r="T573" t="str">
        <f>IF($L573="","",IF($L573&gt;PARAMETRES!$G$33,5,IF($L573&gt;PARAMETRES!$F$33,4,IF($L573&gt;PARAMETRES!$E$33,3,IF($L573&gt;PARAMETRES!$D$33,2,1)))))</f>
        <v/>
      </c>
      <c r="U573" t="str">
        <f>IF($M573="","",IF($M573&gt;PARAMETRES!$G$34,5,IF($M573&gt;PARAMETRES!$F$34,4,IF($M573&gt;PARAMETRES!$E$34,3,IF($M573&gt;PARAMETRES!$D$34,2,1)))))</f>
        <v/>
      </c>
      <c r="V573" t="str">
        <f>IF($N573="","",IF($N573&gt;PARAMETRES!$G$35,5,IF($N573&gt;PARAMETRES!$F$35,4,IF($N573&gt;PARAMETRES!$E$35,3,IF($N573&gt;PARAMETRES!$D$35,2,1)))))</f>
        <v/>
      </c>
      <c r="W573" t="str">
        <f>IF($O573="","",IF($O573&gt;PARAMETRES!$G$36,5,IF($O573&gt;PARAMETRES!$F$36,4,IF($O573&gt;PARAMETRES!$E$36,3,IF($O573&gt;PARAMETRES!$D$36,2,1)))))</f>
        <v/>
      </c>
      <c r="X573" t="str">
        <f>IF($P573="","",IF($P573&gt;PARAMETRES!$G$37,5,IF($P573&gt;PARAMETRES!$F$37,4,IF($P573&gt;PARAMETRES!$E$37,3,IF($P573&gt;PARAMETRES!$D$37,2,1)))))</f>
        <v/>
      </c>
      <c r="Y573" t="str">
        <f t="shared" si="192"/>
        <v/>
      </c>
      <c r="Z573" t="str">
        <f>IFERROR(VLOOKUP($B573,TABLE_CYCLE,2,0),"")</f>
        <v/>
      </c>
      <c r="AA573" t="str">
        <f t="shared" si="193"/>
        <v/>
      </c>
      <c r="AB573" t="str">
        <f>IF($D573="","",IF(COUNTIF($D$2:$D573,$D573)=1,$D573,""))</f>
        <v/>
      </c>
      <c r="AC573">
        <f t="shared" si="194"/>
        <v>0</v>
      </c>
      <c r="AD573" t="str">
        <f t="shared" si="195"/>
        <v>|0</v>
      </c>
      <c r="AE573" t="str">
        <f t="shared" si="196"/>
        <v/>
      </c>
      <c r="AF573" t="str">
        <f t="shared" si="197"/>
        <v/>
      </c>
      <c r="AG573" t="str">
        <f t="shared" si="198"/>
        <v/>
      </c>
      <c r="AH573" t="str">
        <f t="shared" si="199"/>
        <v/>
      </c>
      <c r="AI573" t="str">
        <f t="shared" si="200"/>
        <v/>
      </c>
      <c r="AJ573" t="str">
        <f t="shared" si="201"/>
        <v/>
      </c>
      <c r="AK573" t="str">
        <f t="shared" si="202"/>
        <v/>
      </c>
      <c r="AL573" t="str">
        <f t="shared" si="203"/>
        <v/>
      </c>
      <c r="AM573" t="str">
        <f t="shared" si="204"/>
        <v/>
      </c>
      <c r="AN573" t="str">
        <f t="shared" si="205"/>
        <v/>
      </c>
      <c r="AO573" t="str">
        <f t="shared" si="206"/>
        <v/>
      </c>
      <c r="AP573">
        <f t="shared" si="207"/>
        <v>1</v>
      </c>
      <c r="AQ573" t="str">
        <f>IF(SAISIE!$F578="","",SAISIE!$Y578)</f>
        <v/>
      </c>
      <c r="AR573" t="str">
        <f>IF(OR(SAISIE!$U$4="",SAISIE!$W$4=""),"",IF(AND($A573=SAISIE!$U$4,$B573=SAISIE!$W$4,$C573="S1"),COUNTIFS($A$2:$A573,SAISIE!$U$4,$B$2:$B573,SAISIE!$W$4,$C$2:$C573,"S1"),""))</f>
        <v/>
      </c>
      <c r="AS573" t="str">
        <f t="shared" si="208"/>
        <v/>
      </c>
      <c r="AT573" t="str">
        <f t="shared" si="209"/>
        <v/>
      </c>
      <c r="AU573" t="str">
        <f t="shared" si="210"/>
        <v/>
      </c>
      <c r="AV573">
        <f>N(AV572)+IF(AND($AB573&lt;&gt;"",OR('PROFIL ELEVE'!$K$4="(Tous)",$AF573='PROFIL ELEVE'!$K$4)),1,0)</f>
        <v>0</v>
      </c>
      <c r="AW573">
        <f>N(AW572)+IF(AND($AB573&lt;&gt;"",OR('SUIVI LONGITUDINAL'!$Q$4="(Tous)",$AF573='SUIVI LONGITUDINAL'!$Q$4)),1,0)</f>
        <v>0</v>
      </c>
      <c r="AX573">
        <f t="shared" si="211"/>
        <v>0</v>
      </c>
      <c r="AY573">
        <f t="shared" si="212"/>
        <v>0</v>
      </c>
      <c r="AZ573">
        <f t="shared" si="213"/>
        <v>0</v>
      </c>
      <c r="BA573" t="str">
        <f t="shared" si="214"/>
        <v/>
      </c>
      <c r="BB573" t="str">
        <f t="shared" si="215"/>
        <v/>
      </c>
    </row>
    <row r="574" spans="1:54" ht="14.25" customHeight="1" x14ac:dyDescent="0.3">
      <c r="A574" t="str">
        <f>IF(SAISIE!$F579="","",SAISIE!$B579)</f>
        <v/>
      </c>
      <c r="B574" t="str">
        <f>IF(SAISIE!$F579="","",SAISIE!$C579)</f>
        <v/>
      </c>
      <c r="C574" t="str">
        <f>IF(SAISIE!$F579="","",SAISIE!$D579)</f>
        <v/>
      </c>
      <c r="D574" t="str">
        <f>IF(SAISIE!$E579="","",SAISIE!$E579)</f>
        <v/>
      </c>
      <c r="E574" t="str">
        <f>IF(SAISIE!$F579="","",SAISIE!$F579)</f>
        <v/>
      </c>
      <c r="F574" t="str">
        <f>IF(SAISIE!$G579="","",SAISIE!$G579)</f>
        <v/>
      </c>
      <c r="G574" t="str">
        <f>IF(SAISIE!$H579="","",SAISIE!$H579)</f>
        <v/>
      </c>
      <c r="H574" t="str">
        <f>IF(SAISIE!$I579="","",SAISIE!$I579)</f>
        <v/>
      </c>
      <c r="I574" t="str">
        <f>IF(SAISIE!$J579="","",SAISIE!$J579)</f>
        <v/>
      </c>
      <c r="J574" t="str">
        <f>IF(SAISIE!$K579="","",SAISIE!$K579)</f>
        <v/>
      </c>
      <c r="K574" t="str">
        <f>IF(SAISIE!$L579="","",SAISIE!$L579)</f>
        <v/>
      </c>
      <c r="L574" t="str">
        <f>IF(SAISIE!$M579="","",SAISIE!$M579)</f>
        <v/>
      </c>
      <c r="M574" t="str">
        <f>IF(SAISIE!$N579="","",SAISIE!$N579)</f>
        <v/>
      </c>
      <c r="N574" t="str">
        <f>IF(SAISIE!$O579="","",SAISIE!$O579)</f>
        <v/>
      </c>
      <c r="O574" t="str">
        <f>IF(SAISIE!$P579="","",SAISIE!$P579)</f>
        <v/>
      </c>
      <c r="P574" t="str">
        <f>IF(SAISIE!$Q579="","",SAISIE!$Q579)</f>
        <v/>
      </c>
      <c r="Q574" t="str">
        <f>IF($I574="","",IF($I574&gt;PARAMETRES!$G$29,5,IF($I574&gt;PARAMETRES!$F$29,4,IF($I574&gt;PARAMETRES!$E$29,3,IF($I574&gt;PARAMETRES!$D$29,2,1)))))</f>
        <v/>
      </c>
      <c r="R574" t="str">
        <f>IF($J574="","",IF($J574&gt;PARAMETRES!$G$30,5,IF($J574&gt;PARAMETRES!$F$30,4,IF($J574&gt;PARAMETRES!$E$30,3,IF($J574&gt;PARAMETRES!$D$30,2,1)))))</f>
        <v/>
      </c>
      <c r="S574" t="str">
        <f>IF($K574="","",IF($Z574=2,IF($K574&gt;PARAMETRES!$G$31,5,IF($K574&gt;PARAMETRES!$F$31,4,IF($K574&gt;PARAMETRES!$E$31,3,IF($K574&gt;PARAMETRES!$D$31,2,1)))),IF($K574&gt;PARAMETRES!$G$32,5,IF($K574&gt;PARAMETRES!$F$32,4,IF($K574&gt;PARAMETRES!$E$32,3,IF($K574&gt;PARAMETRES!$D$32,2,1))))))</f>
        <v/>
      </c>
      <c r="T574" t="str">
        <f>IF($L574="","",IF($L574&gt;PARAMETRES!$G$33,5,IF($L574&gt;PARAMETRES!$F$33,4,IF($L574&gt;PARAMETRES!$E$33,3,IF($L574&gt;PARAMETRES!$D$33,2,1)))))</f>
        <v/>
      </c>
      <c r="U574" t="str">
        <f>IF($M574="","",IF($M574&gt;PARAMETRES!$G$34,5,IF($M574&gt;PARAMETRES!$F$34,4,IF($M574&gt;PARAMETRES!$E$34,3,IF($M574&gt;PARAMETRES!$D$34,2,1)))))</f>
        <v/>
      </c>
      <c r="V574" t="str">
        <f>IF($N574="","",IF($N574&gt;PARAMETRES!$G$35,5,IF($N574&gt;PARAMETRES!$F$35,4,IF($N574&gt;PARAMETRES!$E$35,3,IF($N574&gt;PARAMETRES!$D$35,2,1)))))</f>
        <v/>
      </c>
      <c r="W574" t="str">
        <f>IF($O574="","",IF($O574&gt;PARAMETRES!$G$36,5,IF($O574&gt;PARAMETRES!$F$36,4,IF($O574&gt;PARAMETRES!$E$36,3,IF($O574&gt;PARAMETRES!$D$36,2,1)))))</f>
        <v/>
      </c>
      <c r="X574" t="str">
        <f>IF($P574="","",IF($P574&gt;PARAMETRES!$G$37,5,IF($P574&gt;PARAMETRES!$F$37,4,IF($P574&gt;PARAMETRES!$E$37,3,IF($P574&gt;PARAMETRES!$D$37,2,1)))))</f>
        <v/>
      </c>
      <c r="Y574" t="str">
        <f t="shared" si="192"/>
        <v/>
      </c>
      <c r="Z574" t="str">
        <f>IFERROR(VLOOKUP($B574,TABLE_CYCLE,2,0),"")</f>
        <v/>
      </c>
      <c r="AA574" t="str">
        <f t="shared" si="193"/>
        <v/>
      </c>
      <c r="AB574" t="str">
        <f>IF($D574="","",IF(COUNTIF($D$2:$D574,$D574)=1,$D574,""))</f>
        <v/>
      </c>
      <c r="AC574">
        <f t="shared" si="194"/>
        <v>0</v>
      </c>
      <c r="AD574" t="str">
        <f t="shared" si="195"/>
        <v>|0</v>
      </c>
      <c r="AE574" t="str">
        <f t="shared" si="196"/>
        <v/>
      </c>
      <c r="AF574" t="str">
        <f t="shared" si="197"/>
        <v/>
      </c>
      <c r="AG574" t="str">
        <f t="shared" si="198"/>
        <v/>
      </c>
      <c r="AH574" t="str">
        <f t="shared" si="199"/>
        <v/>
      </c>
      <c r="AI574" t="str">
        <f t="shared" si="200"/>
        <v/>
      </c>
      <c r="AJ574" t="str">
        <f t="shared" si="201"/>
        <v/>
      </c>
      <c r="AK574" t="str">
        <f t="shared" si="202"/>
        <v/>
      </c>
      <c r="AL574" t="str">
        <f t="shared" si="203"/>
        <v/>
      </c>
      <c r="AM574" t="str">
        <f t="shared" si="204"/>
        <v/>
      </c>
      <c r="AN574" t="str">
        <f t="shared" si="205"/>
        <v/>
      </c>
      <c r="AO574" t="str">
        <f t="shared" si="206"/>
        <v/>
      </c>
      <c r="AP574">
        <f t="shared" si="207"/>
        <v>1</v>
      </c>
      <c r="AQ574" t="str">
        <f>IF(SAISIE!$F579="","",SAISIE!$Y579)</f>
        <v/>
      </c>
      <c r="AR574" t="str">
        <f>IF(OR(SAISIE!$U$4="",SAISIE!$W$4=""),"",IF(AND($A574=SAISIE!$U$4,$B574=SAISIE!$W$4,$C574="S1"),COUNTIFS($A$2:$A574,SAISIE!$U$4,$B$2:$B574,SAISIE!$W$4,$C$2:$C574,"S1"),""))</f>
        <v/>
      </c>
      <c r="AS574" t="str">
        <f t="shared" si="208"/>
        <v/>
      </c>
      <c r="AT574" t="str">
        <f t="shared" si="209"/>
        <v/>
      </c>
      <c r="AU574" t="str">
        <f t="shared" si="210"/>
        <v/>
      </c>
      <c r="AV574">
        <f>N(AV573)+IF(AND($AB574&lt;&gt;"",OR('PROFIL ELEVE'!$K$4="(Tous)",$AF574='PROFIL ELEVE'!$K$4)),1,0)</f>
        <v>0</v>
      </c>
      <c r="AW574">
        <f>N(AW573)+IF(AND($AB574&lt;&gt;"",OR('SUIVI LONGITUDINAL'!$Q$4="(Tous)",$AF574='SUIVI LONGITUDINAL'!$Q$4)),1,0)</f>
        <v>0</v>
      </c>
      <c r="AX574">
        <f t="shared" si="211"/>
        <v>0</v>
      </c>
      <c r="AY574">
        <f t="shared" si="212"/>
        <v>0</v>
      </c>
      <c r="AZ574">
        <f t="shared" si="213"/>
        <v>0</v>
      </c>
      <c r="BA574" t="str">
        <f t="shared" si="214"/>
        <v/>
      </c>
      <c r="BB574" t="str">
        <f t="shared" si="215"/>
        <v/>
      </c>
    </row>
    <row r="575" spans="1:54" ht="14.25" customHeight="1" x14ac:dyDescent="0.3">
      <c r="A575" t="str">
        <f>IF(SAISIE!$F580="","",SAISIE!$B580)</f>
        <v/>
      </c>
      <c r="B575" t="str">
        <f>IF(SAISIE!$F580="","",SAISIE!$C580)</f>
        <v/>
      </c>
      <c r="C575" t="str">
        <f>IF(SAISIE!$F580="","",SAISIE!$D580)</f>
        <v/>
      </c>
      <c r="D575" t="str">
        <f>IF(SAISIE!$E580="","",SAISIE!$E580)</f>
        <v/>
      </c>
      <c r="E575" t="str">
        <f>IF(SAISIE!$F580="","",SAISIE!$F580)</f>
        <v/>
      </c>
      <c r="F575" t="str">
        <f>IF(SAISIE!$G580="","",SAISIE!$G580)</f>
        <v/>
      </c>
      <c r="G575" t="str">
        <f>IF(SAISIE!$H580="","",SAISIE!$H580)</f>
        <v/>
      </c>
      <c r="H575" t="str">
        <f>IF(SAISIE!$I580="","",SAISIE!$I580)</f>
        <v/>
      </c>
      <c r="I575" t="str">
        <f>IF(SAISIE!$J580="","",SAISIE!$J580)</f>
        <v/>
      </c>
      <c r="J575" t="str">
        <f>IF(SAISIE!$K580="","",SAISIE!$K580)</f>
        <v/>
      </c>
      <c r="K575" t="str">
        <f>IF(SAISIE!$L580="","",SAISIE!$L580)</f>
        <v/>
      </c>
      <c r="L575" t="str">
        <f>IF(SAISIE!$M580="","",SAISIE!$M580)</f>
        <v/>
      </c>
      <c r="M575" t="str">
        <f>IF(SAISIE!$N580="","",SAISIE!$N580)</f>
        <v/>
      </c>
      <c r="N575" t="str">
        <f>IF(SAISIE!$O580="","",SAISIE!$O580)</f>
        <v/>
      </c>
      <c r="O575" t="str">
        <f>IF(SAISIE!$P580="","",SAISIE!$P580)</f>
        <v/>
      </c>
      <c r="P575" t="str">
        <f>IF(SAISIE!$Q580="","",SAISIE!$Q580)</f>
        <v/>
      </c>
      <c r="Q575" t="str">
        <f>IF($I575="","",IF($I575&gt;PARAMETRES!$G$29,5,IF($I575&gt;PARAMETRES!$F$29,4,IF($I575&gt;PARAMETRES!$E$29,3,IF($I575&gt;PARAMETRES!$D$29,2,1)))))</f>
        <v/>
      </c>
      <c r="R575" t="str">
        <f>IF($J575="","",IF($J575&gt;PARAMETRES!$G$30,5,IF($J575&gt;PARAMETRES!$F$30,4,IF($J575&gt;PARAMETRES!$E$30,3,IF($J575&gt;PARAMETRES!$D$30,2,1)))))</f>
        <v/>
      </c>
      <c r="S575" t="str">
        <f>IF($K575="","",IF($Z575=2,IF($K575&gt;PARAMETRES!$G$31,5,IF($K575&gt;PARAMETRES!$F$31,4,IF($K575&gt;PARAMETRES!$E$31,3,IF($K575&gt;PARAMETRES!$D$31,2,1)))),IF($K575&gt;PARAMETRES!$G$32,5,IF($K575&gt;PARAMETRES!$F$32,4,IF($K575&gt;PARAMETRES!$E$32,3,IF($K575&gt;PARAMETRES!$D$32,2,1))))))</f>
        <v/>
      </c>
      <c r="T575" t="str">
        <f>IF($L575="","",IF($L575&gt;PARAMETRES!$G$33,5,IF($L575&gt;PARAMETRES!$F$33,4,IF($L575&gt;PARAMETRES!$E$33,3,IF($L575&gt;PARAMETRES!$D$33,2,1)))))</f>
        <v/>
      </c>
      <c r="U575" t="str">
        <f>IF($M575="","",IF($M575&gt;PARAMETRES!$G$34,5,IF($M575&gt;PARAMETRES!$F$34,4,IF($M575&gt;PARAMETRES!$E$34,3,IF($M575&gt;PARAMETRES!$D$34,2,1)))))</f>
        <v/>
      </c>
      <c r="V575" t="str">
        <f>IF($N575="","",IF($N575&gt;PARAMETRES!$G$35,5,IF($N575&gt;PARAMETRES!$F$35,4,IF($N575&gt;PARAMETRES!$E$35,3,IF($N575&gt;PARAMETRES!$D$35,2,1)))))</f>
        <v/>
      </c>
      <c r="W575" t="str">
        <f>IF($O575="","",IF($O575&gt;PARAMETRES!$G$36,5,IF($O575&gt;PARAMETRES!$F$36,4,IF($O575&gt;PARAMETRES!$E$36,3,IF($O575&gt;PARAMETRES!$D$36,2,1)))))</f>
        <v/>
      </c>
      <c r="X575" t="str">
        <f>IF($P575="","",IF($P575&gt;PARAMETRES!$G$37,5,IF($P575&gt;PARAMETRES!$F$37,4,IF($P575&gt;PARAMETRES!$E$37,3,IF($P575&gt;PARAMETRES!$D$37,2,1)))))</f>
        <v/>
      </c>
      <c r="Y575" t="str">
        <f t="shared" si="192"/>
        <v/>
      </c>
      <c r="Z575" t="str">
        <f>IFERROR(VLOOKUP($B575,TABLE_CYCLE,2,0),"")</f>
        <v/>
      </c>
      <c r="AA575" t="str">
        <f t="shared" si="193"/>
        <v/>
      </c>
      <c r="AB575" t="str">
        <f>IF($D575="","",IF(COUNTIF($D$2:$D575,$D575)=1,$D575,""))</f>
        <v/>
      </c>
      <c r="AC575">
        <f t="shared" si="194"/>
        <v>0</v>
      </c>
      <c r="AD575" t="str">
        <f t="shared" si="195"/>
        <v>|0</v>
      </c>
      <c r="AE575" t="str">
        <f t="shared" si="196"/>
        <v/>
      </c>
      <c r="AF575" t="str">
        <f t="shared" si="197"/>
        <v/>
      </c>
      <c r="AG575" t="str">
        <f t="shared" si="198"/>
        <v/>
      </c>
      <c r="AH575" t="str">
        <f t="shared" si="199"/>
        <v/>
      </c>
      <c r="AI575" t="str">
        <f t="shared" si="200"/>
        <v/>
      </c>
      <c r="AJ575" t="str">
        <f t="shared" si="201"/>
        <v/>
      </c>
      <c r="AK575" t="str">
        <f t="shared" si="202"/>
        <v/>
      </c>
      <c r="AL575" t="str">
        <f t="shared" si="203"/>
        <v/>
      </c>
      <c r="AM575" t="str">
        <f t="shared" si="204"/>
        <v/>
      </c>
      <c r="AN575" t="str">
        <f t="shared" si="205"/>
        <v/>
      </c>
      <c r="AO575" t="str">
        <f t="shared" si="206"/>
        <v/>
      </c>
      <c r="AP575">
        <f t="shared" si="207"/>
        <v>1</v>
      </c>
      <c r="AQ575" t="str">
        <f>IF(SAISIE!$F580="","",SAISIE!$Y580)</f>
        <v/>
      </c>
      <c r="AR575" t="str">
        <f>IF(OR(SAISIE!$U$4="",SAISIE!$W$4=""),"",IF(AND($A575=SAISIE!$U$4,$B575=SAISIE!$W$4,$C575="S1"),COUNTIFS($A$2:$A575,SAISIE!$U$4,$B$2:$B575,SAISIE!$W$4,$C$2:$C575,"S1"),""))</f>
        <v/>
      </c>
      <c r="AS575" t="str">
        <f t="shared" si="208"/>
        <v/>
      </c>
      <c r="AT575" t="str">
        <f t="shared" si="209"/>
        <v/>
      </c>
      <c r="AU575" t="str">
        <f t="shared" si="210"/>
        <v/>
      </c>
      <c r="AV575">
        <f>N(AV574)+IF(AND($AB575&lt;&gt;"",OR('PROFIL ELEVE'!$K$4="(Tous)",$AF575='PROFIL ELEVE'!$K$4)),1,0)</f>
        <v>0</v>
      </c>
      <c r="AW575">
        <f>N(AW574)+IF(AND($AB575&lt;&gt;"",OR('SUIVI LONGITUDINAL'!$Q$4="(Tous)",$AF575='SUIVI LONGITUDINAL'!$Q$4)),1,0)</f>
        <v>0</v>
      </c>
      <c r="AX575">
        <f t="shared" si="211"/>
        <v>0</v>
      </c>
      <c r="AY575">
        <f t="shared" si="212"/>
        <v>0</v>
      </c>
      <c r="AZ575">
        <f t="shared" si="213"/>
        <v>0</v>
      </c>
      <c r="BA575" t="str">
        <f t="shared" si="214"/>
        <v/>
      </c>
      <c r="BB575" t="str">
        <f t="shared" si="215"/>
        <v/>
      </c>
    </row>
    <row r="576" spans="1:54" ht="14.25" customHeight="1" x14ac:dyDescent="0.3">
      <c r="A576" t="str">
        <f>IF(SAISIE!$F581="","",SAISIE!$B581)</f>
        <v/>
      </c>
      <c r="B576" t="str">
        <f>IF(SAISIE!$F581="","",SAISIE!$C581)</f>
        <v/>
      </c>
      <c r="C576" t="str">
        <f>IF(SAISIE!$F581="","",SAISIE!$D581)</f>
        <v/>
      </c>
      <c r="D576" t="str">
        <f>IF(SAISIE!$E581="","",SAISIE!$E581)</f>
        <v/>
      </c>
      <c r="E576" t="str">
        <f>IF(SAISIE!$F581="","",SAISIE!$F581)</f>
        <v/>
      </c>
      <c r="F576" t="str">
        <f>IF(SAISIE!$G581="","",SAISIE!$G581)</f>
        <v/>
      </c>
      <c r="G576" t="str">
        <f>IF(SAISIE!$H581="","",SAISIE!$H581)</f>
        <v/>
      </c>
      <c r="H576" t="str">
        <f>IF(SAISIE!$I581="","",SAISIE!$I581)</f>
        <v/>
      </c>
      <c r="I576" t="str">
        <f>IF(SAISIE!$J581="","",SAISIE!$J581)</f>
        <v/>
      </c>
      <c r="J576" t="str">
        <f>IF(SAISIE!$K581="","",SAISIE!$K581)</f>
        <v/>
      </c>
      <c r="K576" t="str">
        <f>IF(SAISIE!$L581="","",SAISIE!$L581)</f>
        <v/>
      </c>
      <c r="L576" t="str">
        <f>IF(SAISIE!$M581="","",SAISIE!$M581)</f>
        <v/>
      </c>
      <c r="M576" t="str">
        <f>IF(SAISIE!$N581="","",SAISIE!$N581)</f>
        <v/>
      </c>
      <c r="N576" t="str">
        <f>IF(SAISIE!$O581="","",SAISIE!$O581)</f>
        <v/>
      </c>
      <c r="O576" t="str">
        <f>IF(SAISIE!$P581="","",SAISIE!$P581)</f>
        <v/>
      </c>
      <c r="P576" t="str">
        <f>IF(SAISIE!$Q581="","",SAISIE!$Q581)</f>
        <v/>
      </c>
      <c r="Q576" t="str">
        <f>IF($I576="","",IF($I576&gt;PARAMETRES!$G$29,5,IF($I576&gt;PARAMETRES!$F$29,4,IF($I576&gt;PARAMETRES!$E$29,3,IF($I576&gt;PARAMETRES!$D$29,2,1)))))</f>
        <v/>
      </c>
      <c r="R576" t="str">
        <f>IF($J576="","",IF($J576&gt;PARAMETRES!$G$30,5,IF($J576&gt;PARAMETRES!$F$30,4,IF($J576&gt;PARAMETRES!$E$30,3,IF($J576&gt;PARAMETRES!$D$30,2,1)))))</f>
        <v/>
      </c>
      <c r="S576" t="str">
        <f>IF($K576="","",IF($Z576=2,IF($K576&gt;PARAMETRES!$G$31,5,IF($K576&gt;PARAMETRES!$F$31,4,IF($K576&gt;PARAMETRES!$E$31,3,IF($K576&gt;PARAMETRES!$D$31,2,1)))),IF($K576&gt;PARAMETRES!$G$32,5,IF($K576&gt;PARAMETRES!$F$32,4,IF($K576&gt;PARAMETRES!$E$32,3,IF($K576&gt;PARAMETRES!$D$32,2,1))))))</f>
        <v/>
      </c>
      <c r="T576" t="str">
        <f>IF($L576="","",IF($L576&gt;PARAMETRES!$G$33,5,IF($L576&gt;PARAMETRES!$F$33,4,IF($L576&gt;PARAMETRES!$E$33,3,IF($L576&gt;PARAMETRES!$D$33,2,1)))))</f>
        <v/>
      </c>
      <c r="U576" t="str">
        <f>IF($M576="","",IF($M576&gt;PARAMETRES!$G$34,5,IF($M576&gt;PARAMETRES!$F$34,4,IF($M576&gt;PARAMETRES!$E$34,3,IF($M576&gt;PARAMETRES!$D$34,2,1)))))</f>
        <v/>
      </c>
      <c r="V576" t="str">
        <f>IF($N576="","",IF($N576&gt;PARAMETRES!$G$35,5,IF($N576&gt;PARAMETRES!$F$35,4,IF($N576&gt;PARAMETRES!$E$35,3,IF($N576&gt;PARAMETRES!$D$35,2,1)))))</f>
        <v/>
      </c>
      <c r="W576" t="str">
        <f>IF($O576="","",IF($O576&gt;PARAMETRES!$G$36,5,IF($O576&gt;PARAMETRES!$F$36,4,IF($O576&gt;PARAMETRES!$E$36,3,IF($O576&gt;PARAMETRES!$D$36,2,1)))))</f>
        <v/>
      </c>
      <c r="X576" t="str">
        <f>IF($P576="","",IF($P576&gt;PARAMETRES!$G$37,5,IF($P576&gt;PARAMETRES!$F$37,4,IF($P576&gt;PARAMETRES!$E$37,3,IF($P576&gt;PARAMETRES!$D$37,2,1)))))</f>
        <v/>
      </c>
      <c r="Y576" t="str">
        <f t="shared" si="192"/>
        <v/>
      </c>
      <c r="Z576" t="str">
        <f>IFERROR(VLOOKUP($B576,TABLE_CYCLE,2,0),"")</f>
        <v/>
      </c>
      <c r="AA576" t="str">
        <f t="shared" si="193"/>
        <v/>
      </c>
      <c r="AB576" t="str">
        <f>IF($D576="","",IF(COUNTIF($D$2:$D576,$D576)=1,$D576,""))</f>
        <v/>
      </c>
      <c r="AC576">
        <f t="shared" si="194"/>
        <v>0</v>
      </c>
      <c r="AD576" t="str">
        <f t="shared" si="195"/>
        <v>|0</v>
      </c>
      <c r="AE576" t="str">
        <f t="shared" si="196"/>
        <v/>
      </c>
      <c r="AF576" t="str">
        <f t="shared" si="197"/>
        <v/>
      </c>
      <c r="AG576" t="str">
        <f t="shared" si="198"/>
        <v/>
      </c>
      <c r="AH576" t="str">
        <f t="shared" si="199"/>
        <v/>
      </c>
      <c r="AI576" t="str">
        <f t="shared" si="200"/>
        <v/>
      </c>
      <c r="AJ576" t="str">
        <f t="shared" si="201"/>
        <v/>
      </c>
      <c r="AK576" t="str">
        <f t="shared" si="202"/>
        <v/>
      </c>
      <c r="AL576" t="str">
        <f t="shared" si="203"/>
        <v/>
      </c>
      <c r="AM576" t="str">
        <f t="shared" si="204"/>
        <v/>
      </c>
      <c r="AN576" t="str">
        <f t="shared" si="205"/>
        <v/>
      </c>
      <c r="AO576" t="str">
        <f t="shared" si="206"/>
        <v/>
      </c>
      <c r="AP576">
        <f t="shared" si="207"/>
        <v>1</v>
      </c>
      <c r="AQ576" t="str">
        <f>IF(SAISIE!$F581="","",SAISIE!$Y581)</f>
        <v/>
      </c>
      <c r="AR576" t="str">
        <f>IF(OR(SAISIE!$U$4="",SAISIE!$W$4=""),"",IF(AND($A576=SAISIE!$U$4,$B576=SAISIE!$W$4,$C576="S1"),COUNTIFS($A$2:$A576,SAISIE!$U$4,$B$2:$B576,SAISIE!$W$4,$C$2:$C576,"S1"),""))</f>
        <v/>
      </c>
      <c r="AS576" t="str">
        <f t="shared" si="208"/>
        <v/>
      </c>
      <c r="AT576" t="str">
        <f t="shared" si="209"/>
        <v/>
      </c>
      <c r="AU576" t="str">
        <f t="shared" si="210"/>
        <v/>
      </c>
      <c r="AV576">
        <f>N(AV575)+IF(AND($AB576&lt;&gt;"",OR('PROFIL ELEVE'!$K$4="(Tous)",$AF576='PROFIL ELEVE'!$K$4)),1,0)</f>
        <v>0</v>
      </c>
      <c r="AW576">
        <f>N(AW575)+IF(AND($AB576&lt;&gt;"",OR('SUIVI LONGITUDINAL'!$Q$4="(Tous)",$AF576='SUIVI LONGITUDINAL'!$Q$4)),1,0)</f>
        <v>0</v>
      </c>
      <c r="AX576">
        <f t="shared" si="211"/>
        <v>0</v>
      </c>
      <c r="AY576">
        <f t="shared" si="212"/>
        <v>0</v>
      </c>
      <c r="AZ576">
        <f t="shared" si="213"/>
        <v>0</v>
      </c>
      <c r="BA576" t="str">
        <f t="shared" si="214"/>
        <v/>
      </c>
      <c r="BB576" t="str">
        <f t="shared" si="215"/>
        <v/>
      </c>
    </row>
    <row r="577" spans="1:54" ht="14.25" customHeight="1" x14ac:dyDescent="0.3">
      <c r="A577" t="str">
        <f>IF(SAISIE!$F582="","",SAISIE!$B582)</f>
        <v/>
      </c>
      <c r="B577" t="str">
        <f>IF(SAISIE!$F582="","",SAISIE!$C582)</f>
        <v/>
      </c>
      <c r="C577" t="str">
        <f>IF(SAISIE!$F582="","",SAISIE!$D582)</f>
        <v/>
      </c>
      <c r="D577" t="str">
        <f>IF(SAISIE!$E582="","",SAISIE!$E582)</f>
        <v/>
      </c>
      <c r="E577" t="str">
        <f>IF(SAISIE!$F582="","",SAISIE!$F582)</f>
        <v/>
      </c>
      <c r="F577" t="str">
        <f>IF(SAISIE!$G582="","",SAISIE!$G582)</f>
        <v/>
      </c>
      <c r="G577" t="str">
        <f>IF(SAISIE!$H582="","",SAISIE!$H582)</f>
        <v/>
      </c>
      <c r="H577" t="str">
        <f>IF(SAISIE!$I582="","",SAISIE!$I582)</f>
        <v/>
      </c>
      <c r="I577" t="str">
        <f>IF(SAISIE!$J582="","",SAISIE!$J582)</f>
        <v/>
      </c>
      <c r="J577" t="str">
        <f>IF(SAISIE!$K582="","",SAISIE!$K582)</f>
        <v/>
      </c>
      <c r="K577" t="str">
        <f>IF(SAISIE!$L582="","",SAISIE!$L582)</f>
        <v/>
      </c>
      <c r="L577" t="str">
        <f>IF(SAISIE!$M582="","",SAISIE!$M582)</f>
        <v/>
      </c>
      <c r="M577" t="str">
        <f>IF(SAISIE!$N582="","",SAISIE!$N582)</f>
        <v/>
      </c>
      <c r="N577" t="str">
        <f>IF(SAISIE!$O582="","",SAISIE!$O582)</f>
        <v/>
      </c>
      <c r="O577" t="str">
        <f>IF(SAISIE!$P582="","",SAISIE!$P582)</f>
        <v/>
      </c>
      <c r="P577" t="str">
        <f>IF(SAISIE!$Q582="","",SAISIE!$Q582)</f>
        <v/>
      </c>
      <c r="Q577" t="str">
        <f>IF($I577="","",IF($I577&gt;PARAMETRES!$G$29,5,IF($I577&gt;PARAMETRES!$F$29,4,IF($I577&gt;PARAMETRES!$E$29,3,IF($I577&gt;PARAMETRES!$D$29,2,1)))))</f>
        <v/>
      </c>
      <c r="R577" t="str">
        <f>IF($J577="","",IF($J577&gt;PARAMETRES!$G$30,5,IF($J577&gt;PARAMETRES!$F$30,4,IF($J577&gt;PARAMETRES!$E$30,3,IF($J577&gt;PARAMETRES!$D$30,2,1)))))</f>
        <v/>
      </c>
      <c r="S577" t="str">
        <f>IF($K577="","",IF($Z577=2,IF($K577&gt;PARAMETRES!$G$31,5,IF($K577&gt;PARAMETRES!$F$31,4,IF($K577&gt;PARAMETRES!$E$31,3,IF($K577&gt;PARAMETRES!$D$31,2,1)))),IF($K577&gt;PARAMETRES!$G$32,5,IF($K577&gt;PARAMETRES!$F$32,4,IF($K577&gt;PARAMETRES!$E$32,3,IF($K577&gt;PARAMETRES!$D$32,2,1))))))</f>
        <v/>
      </c>
      <c r="T577" t="str">
        <f>IF($L577="","",IF($L577&gt;PARAMETRES!$G$33,5,IF($L577&gt;PARAMETRES!$F$33,4,IF($L577&gt;PARAMETRES!$E$33,3,IF($L577&gt;PARAMETRES!$D$33,2,1)))))</f>
        <v/>
      </c>
      <c r="U577" t="str">
        <f>IF($M577="","",IF($M577&gt;PARAMETRES!$G$34,5,IF($M577&gt;PARAMETRES!$F$34,4,IF($M577&gt;PARAMETRES!$E$34,3,IF($M577&gt;PARAMETRES!$D$34,2,1)))))</f>
        <v/>
      </c>
      <c r="V577" t="str">
        <f>IF($N577="","",IF($N577&gt;PARAMETRES!$G$35,5,IF($N577&gt;PARAMETRES!$F$35,4,IF($N577&gt;PARAMETRES!$E$35,3,IF($N577&gt;PARAMETRES!$D$35,2,1)))))</f>
        <v/>
      </c>
      <c r="W577" t="str">
        <f>IF($O577="","",IF($O577&gt;PARAMETRES!$G$36,5,IF($O577&gt;PARAMETRES!$F$36,4,IF($O577&gt;PARAMETRES!$E$36,3,IF($O577&gt;PARAMETRES!$D$36,2,1)))))</f>
        <v/>
      </c>
      <c r="X577" t="str">
        <f>IF($P577="","",IF($P577&gt;PARAMETRES!$G$37,5,IF($P577&gt;PARAMETRES!$F$37,4,IF($P577&gt;PARAMETRES!$E$37,3,IF($P577&gt;PARAMETRES!$D$37,2,1)))))</f>
        <v/>
      </c>
      <c r="Y577" t="str">
        <f t="shared" si="192"/>
        <v/>
      </c>
      <c r="Z577" t="str">
        <f>IFERROR(VLOOKUP($B577,TABLE_CYCLE,2,0),"")</f>
        <v/>
      </c>
      <c r="AA577" t="str">
        <f t="shared" si="193"/>
        <v/>
      </c>
      <c r="AB577" t="str">
        <f>IF($D577="","",IF(COUNTIF($D$2:$D577,$D577)=1,$D577,""))</f>
        <v/>
      </c>
      <c r="AC577">
        <f t="shared" si="194"/>
        <v>0</v>
      </c>
      <c r="AD577" t="str">
        <f t="shared" si="195"/>
        <v>|0</v>
      </c>
      <c r="AE577" t="str">
        <f t="shared" si="196"/>
        <v/>
      </c>
      <c r="AF577" t="str">
        <f t="shared" si="197"/>
        <v/>
      </c>
      <c r="AG577" t="str">
        <f t="shared" si="198"/>
        <v/>
      </c>
      <c r="AH577" t="str">
        <f t="shared" si="199"/>
        <v/>
      </c>
      <c r="AI577" t="str">
        <f t="shared" si="200"/>
        <v/>
      </c>
      <c r="AJ577" t="str">
        <f t="shared" si="201"/>
        <v/>
      </c>
      <c r="AK577" t="str">
        <f t="shared" si="202"/>
        <v/>
      </c>
      <c r="AL577" t="str">
        <f t="shared" si="203"/>
        <v/>
      </c>
      <c r="AM577" t="str">
        <f t="shared" si="204"/>
        <v/>
      </c>
      <c r="AN577" t="str">
        <f t="shared" si="205"/>
        <v/>
      </c>
      <c r="AO577" t="str">
        <f t="shared" si="206"/>
        <v/>
      </c>
      <c r="AP577">
        <f t="shared" si="207"/>
        <v>1</v>
      </c>
      <c r="AQ577" t="str">
        <f>IF(SAISIE!$F582="","",SAISIE!$Y582)</f>
        <v/>
      </c>
      <c r="AR577" t="str">
        <f>IF(OR(SAISIE!$U$4="",SAISIE!$W$4=""),"",IF(AND($A577=SAISIE!$U$4,$B577=SAISIE!$W$4,$C577="S1"),COUNTIFS($A$2:$A577,SAISIE!$U$4,$B$2:$B577,SAISIE!$W$4,$C$2:$C577,"S1"),""))</f>
        <v/>
      </c>
      <c r="AS577" t="str">
        <f t="shared" si="208"/>
        <v/>
      </c>
      <c r="AT577" t="str">
        <f t="shared" si="209"/>
        <v/>
      </c>
      <c r="AU577" t="str">
        <f t="shared" si="210"/>
        <v/>
      </c>
      <c r="AV577">
        <f>N(AV576)+IF(AND($AB577&lt;&gt;"",OR('PROFIL ELEVE'!$K$4="(Tous)",$AF577='PROFIL ELEVE'!$K$4)),1,0)</f>
        <v>0</v>
      </c>
      <c r="AW577">
        <f>N(AW576)+IF(AND($AB577&lt;&gt;"",OR('SUIVI LONGITUDINAL'!$Q$4="(Tous)",$AF577='SUIVI LONGITUDINAL'!$Q$4)),1,0)</f>
        <v>0</v>
      </c>
      <c r="AX577">
        <f t="shared" si="211"/>
        <v>0</v>
      </c>
      <c r="AY577">
        <f t="shared" si="212"/>
        <v>0</v>
      </c>
      <c r="AZ577">
        <f t="shared" si="213"/>
        <v>0</v>
      </c>
      <c r="BA577" t="str">
        <f t="shared" si="214"/>
        <v/>
      </c>
      <c r="BB577" t="str">
        <f t="shared" si="215"/>
        <v/>
      </c>
    </row>
    <row r="578" spans="1:54" ht="14.25" customHeight="1" x14ac:dyDescent="0.3">
      <c r="A578" t="str">
        <f>IF(SAISIE!$F583="","",SAISIE!$B583)</f>
        <v/>
      </c>
      <c r="B578" t="str">
        <f>IF(SAISIE!$F583="","",SAISIE!$C583)</f>
        <v/>
      </c>
      <c r="C578" t="str">
        <f>IF(SAISIE!$F583="","",SAISIE!$D583)</f>
        <v/>
      </c>
      <c r="D578" t="str">
        <f>IF(SAISIE!$E583="","",SAISIE!$E583)</f>
        <v/>
      </c>
      <c r="E578" t="str">
        <f>IF(SAISIE!$F583="","",SAISIE!$F583)</f>
        <v/>
      </c>
      <c r="F578" t="str">
        <f>IF(SAISIE!$G583="","",SAISIE!$G583)</f>
        <v/>
      </c>
      <c r="G578" t="str">
        <f>IF(SAISIE!$H583="","",SAISIE!$H583)</f>
        <v/>
      </c>
      <c r="H578" t="str">
        <f>IF(SAISIE!$I583="","",SAISIE!$I583)</f>
        <v/>
      </c>
      <c r="I578" t="str">
        <f>IF(SAISIE!$J583="","",SAISIE!$J583)</f>
        <v/>
      </c>
      <c r="J578" t="str">
        <f>IF(SAISIE!$K583="","",SAISIE!$K583)</f>
        <v/>
      </c>
      <c r="K578" t="str">
        <f>IF(SAISIE!$L583="","",SAISIE!$L583)</f>
        <v/>
      </c>
      <c r="L578" t="str">
        <f>IF(SAISIE!$M583="","",SAISIE!$M583)</f>
        <v/>
      </c>
      <c r="M578" t="str">
        <f>IF(SAISIE!$N583="","",SAISIE!$N583)</f>
        <v/>
      </c>
      <c r="N578" t="str">
        <f>IF(SAISIE!$O583="","",SAISIE!$O583)</f>
        <v/>
      </c>
      <c r="O578" t="str">
        <f>IF(SAISIE!$P583="","",SAISIE!$P583)</f>
        <v/>
      </c>
      <c r="P578" t="str">
        <f>IF(SAISIE!$Q583="","",SAISIE!$Q583)</f>
        <v/>
      </c>
      <c r="Q578" t="str">
        <f>IF($I578="","",IF($I578&gt;PARAMETRES!$G$29,5,IF($I578&gt;PARAMETRES!$F$29,4,IF($I578&gt;PARAMETRES!$E$29,3,IF($I578&gt;PARAMETRES!$D$29,2,1)))))</f>
        <v/>
      </c>
      <c r="R578" t="str">
        <f>IF($J578="","",IF($J578&gt;PARAMETRES!$G$30,5,IF($J578&gt;PARAMETRES!$F$30,4,IF($J578&gt;PARAMETRES!$E$30,3,IF($J578&gt;PARAMETRES!$D$30,2,1)))))</f>
        <v/>
      </c>
      <c r="S578" t="str">
        <f>IF($K578="","",IF($Z578=2,IF($K578&gt;PARAMETRES!$G$31,5,IF($K578&gt;PARAMETRES!$F$31,4,IF($K578&gt;PARAMETRES!$E$31,3,IF($K578&gt;PARAMETRES!$D$31,2,1)))),IF($K578&gt;PARAMETRES!$G$32,5,IF($K578&gt;PARAMETRES!$F$32,4,IF($K578&gt;PARAMETRES!$E$32,3,IF($K578&gt;PARAMETRES!$D$32,2,1))))))</f>
        <v/>
      </c>
      <c r="T578" t="str">
        <f>IF($L578="","",IF($L578&gt;PARAMETRES!$G$33,5,IF($L578&gt;PARAMETRES!$F$33,4,IF($L578&gt;PARAMETRES!$E$33,3,IF($L578&gt;PARAMETRES!$D$33,2,1)))))</f>
        <v/>
      </c>
      <c r="U578" t="str">
        <f>IF($M578="","",IF($M578&gt;PARAMETRES!$G$34,5,IF($M578&gt;PARAMETRES!$F$34,4,IF($M578&gt;PARAMETRES!$E$34,3,IF($M578&gt;PARAMETRES!$D$34,2,1)))))</f>
        <v/>
      </c>
      <c r="V578" t="str">
        <f>IF($N578="","",IF($N578&gt;PARAMETRES!$G$35,5,IF($N578&gt;PARAMETRES!$F$35,4,IF($N578&gt;PARAMETRES!$E$35,3,IF($N578&gt;PARAMETRES!$D$35,2,1)))))</f>
        <v/>
      </c>
      <c r="W578" t="str">
        <f>IF($O578="","",IF($O578&gt;PARAMETRES!$G$36,5,IF($O578&gt;PARAMETRES!$F$36,4,IF($O578&gt;PARAMETRES!$E$36,3,IF($O578&gt;PARAMETRES!$D$36,2,1)))))</f>
        <v/>
      </c>
      <c r="X578" t="str">
        <f>IF($P578="","",IF($P578&gt;PARAMETRES!$G$37,5,IF($P578&gt;PARAMETRES!$F$37,4,IF($P578&gt;PARAMETRES!$E$37,3,IF($P578&gt;PARAMETRES!$D$37,2,1)))))</f>
        <v/>
      </c>
      <c r="Y578" t="str">
        <f t="shared" ref="Y578:Y641" si="216">IF(COUNT($Q578:$X578)=0,"",AVERAGE($Q578:$X578))</f>
        <v/>
      </c>
      <c r="Z578" t="str">
        <f>IFERROR(VLOOKUP($B578,TABLE_CYCLE,2,0),"")</f>
        <v/>
      </c>
      <c r="AA578" t="str">
        <f t="shared" ref="AA578:AA641" si="217">IF($D578="","",$D578&amp;"|"&amp;$A578&amp;"|"&amp;$C578)</f>
        <v/>
      </c>
      <c r="AB578" t="str">
        <f>IF($D578="","",IF(COUNTIF($D$2:$D578,$D578)=1,$D578,""))</f>
        <v/>
      </c>
      <c r="AC578">
        <f t="shared" ref="AC578:AC641" si="218">IFERROR(MATCH($A578,LISTE_ANNEES,0),0)</f>
        <v>0</v>
      </c>
      <c r="AD578" t="str">
        <f t="shared" ref="AD578:AD641" si="219">$D578&amp;"|"&amp;$AC578</f>
        <v>|0</v>
      </c>
      <c r="AE578" t="str">
        <f t="shared" ref="AE578:AE641" si="220">IF($D578="","",_xlfn.MAXIFS($AC$2:$AC$1201,$D$2:$D$1201,$D578))</f>
        <v/>
      </c>
      <c r="AF578" t="str">
        <f t="shared" ref="AF578:AF641" si="221">IF($AB578="","",IFERROR(INDEX($B$2:$B$1201,MATCH($D578&amp;"|"&amp;$AE578,$AD$2:$AD$1201,0)),""))</f>
        <v/>
      </c>
      <c r="AG578" t="str">
        <f t="shared" ref="AG578:AG641" si="222">IF($C578&lt;&gt;"S1","",IFERROR(MATCH($D578&amp;"|"&amp;$A578&amp;"|S2",$AA$2:$AA$1201,0),""))</f>
        <v/>
      </c>
      <c r="AH578" t="str">
        <f t="shared" ref="AH578:AH641" si="223">IF(OR($AG578="",$Q578=""),"",IF(INDEX($Q$2:$Q$1201,$AG578)="","",IF(INDEX($Q$2:$Q$1201,$AG578)&gt;$Q578,1,IF(INDEX($Q$2:$Q$1201,$AG578)&lt;$Q578,-1,0))))</f>
        <v/>
      </c>
      <c r="AI578" t="str">
        <f t="shared" ref="AI578:AI641" si="224">IF(OR($AG578="",$R578=""),"",IF(INDEX($R$2:$R$1201,$AG578)="","",IF(INDEX($R$2:$R$1201,$AG578)&gt;$R578,1,IF(INDEX($R$2:$R$1201,$AG578)&lt;$R578,-1,0))))</f>
        <v/>
      </c>
      <c r="AJ578" t="str">
        <f t="shared" ref="AJ578:AJ641" si="225">IF(OR($AG578="",$S578=""),"",IF(INDEX($S$2:$S$1201,$AG578)="","",IF(INDEX($S$2:$S$1201,$AG578)&gt;$S578,1,IF(INDEX($S$2:$S$1201,$AG578)&lt;$S578,-1,0))))</f>
        <v/>
      </c>
      <c r="AK578" t="str">
        <f t="shared" ref="AK578:AK641" si="226">IF(OR($AG578="",$T578=""),"",IF(INDEX($T$2:$T$1201,$AG578)="","",IF(INDEX($T$2:$T$1201,$AG578)&gt;$T578,1,IF(INDEX($T$2:$T$1201,$AG578)&lt;$T578,-1,0))))</f>
        <v/>
      </c>
      <c r="AL578" t="str">
        <f t="shared" ref="AL578:AL641" si="227">IF(OR($AG578="",$U578=""),"",IF(INDEX($U$2:$U$1201,$AG578)="","",IF(INDEX($U$2:$U$1201,$AG578)&gt;$U578,1,IF(INDEX($U$2:$U$1201,$AG578)&lt;$U578,-1,0))))</f>
        <v/>
      </c>
      <c r="AM578" t="str">
        <f t="shared" ref="AM578:AM641" si="228">IF(OR($AG578="",$V578=""),"",IF(INDEX($V$2:$V$1201,$AG578)="","",IF(INDEX($V$2:$V$1201,$AG578)&gt;$V578,1,IF(INDEX($V$2:$V$1201,$AG578)&lt;$V578,-1,0))))</f>
        <v/>
      </c>
      <c r="AN578" t="str">
        <f t="shared" ref="AN578:AN641" si="229">IF(OR($AG578="",$W578=""),"",IF(INDEX($W$2:$W$1201,$AG578)="","",IF(INDEX($W$2:$W$1201,$AG578)&gt;$W578,1,IF(INDEX($W$2:$W$1201,$AG578)&lt;$W578,-1,0))))</f>
        <v/>
      </c>
      <c r="AO578" t="str">
        <f t="shared" ref="AO578:AO641" si="230">IF(OR($AG578="",$X578=""),"",IF(INDEX($X$2:$X$1201,$AG578)="","",IF(INDEX($X$2:$X$1201,$AG578)&gt;$X578,1,IF(INDEX($X$2:$X$1201,$AG578)&lt;$X578,-1,0))))</f>
        <v/>
      </c>
      <c r="AP578">
        <f t="shared" ref="AP578:AP641" si="231">IF($D578="",1,COUNTIFS($D$2:$D$1201,$D578,$A$2:$A$1201,$A578))</f>
        <v>1</v>
      </c>
      <c r="AQ578" t="str">
        <f>IF(SAISIE!$F583="","",SAISIE!$Y583)</f>
        <v/>
      </c>
      <c r="AR578" t="str">
        <f>IF(OR(SAISIE!$U$4="",SAISIE!$W$4=""),"",IF(AND($A578=SAISIE!$U$4,$B578=SAISIE!$W$4,$C578="S1"),COUNTIFS($A$2:$A578,SAISIE!$U$4,$B$2:$B578,SAISIE!$W$4,$C$2:$C578,"S1"),""))</f>
        <v/>
      </c>
      <c r="AS578" t="str">
        <f t="shared" ref="AS578:AS641" si="232">IF($D578="","",$A578&amp;"|"&amp;$C578&amp;"|"&amp;$D578)</f>
        <v/>
      </c>
      <c r="AT578" t="str">
        <f t="shared" ref="AT578:AT641" si="233">IF($D578="","",$A578&amp;"|"&amp;$D578&amp;"|"&amp;IF($AQ578="Parti","P","A"))</f>
        <v/>
      </c>
      <c r="AU578" t="str">
        <f t="shared" ref="AU578:AU641" si="234">IF($A578="","",$A578&amp;"|"&amp;$B578&amp;"|"&amp;$C578)</f>
        <v/>
      </c>
      <c r="AV578">
        <f>N(AV577)+IF(AND($AB578&lt;&gt;"",OR('PROFIL ELEVE'!$K$4="(Tous)",$AF578='PROFIL ELEVE'!$K$4)),1,0)</f>
        <v>0</v>
      </c>
      <c r="AW578">
        <f>N(AW577)+IF(AND($AB578&lt;&gt;"",OR('SUIVI LONGITUDINAL'!$Q$4="(Tous)",$AF578='SUIVI LONGITUDINAL'!$Q$4)),1,0)</f>
        <v>0</v>
      </c>
      <c r="AX578">
        <f t="shared" ref="AX578:AX641" si="235">COUNTIF($AH578:$AO578,1)</f>
        <v>0</v>
      </c>
      <c r="AY578">
        <f t="shared" ref="AY578:AY641" si="236">COUNTIF($AH578:$AO578,0)</f>
        <v>0</v>
      </c>
      <c r="AZ578">
        <f t="shared" ref="AZ578:AZ641" si="237">COUNTIF($AH578:$AO578,-1)</f>
        <v>0</v>
      </c>
      <c r="BA578" t="str">
        <f t="shared" ref="BA578:BA641" si="238">IF($E578="","",COUNT($Q578:$X578))</f>
        <v/>
      </c>
      <c r="BB578" t="str">
        <f t="shared" ref="BB578:BB641" si="239">IF($E578="","",IF(COUNT($Q578:$X578)&gt;=IF($Z578=2,5,8),1,0))</f>
        <v/>
      </c>
    </row>
    <row r="579" spans="1:54" ht="14.25" customHeight="1" x14ac:dyDescent="0.3">
      <c r="A579" t="str">
        <f>IF(SAISIE!$F584="","",SAISIE!$B584)</f>
        <v/>
      </c>
      <c r="B579" t="str">
        <f>IF(SAISIE!$F584="","",SAISIE!$C584)</f>
        <v/>
      </c>
      <c r="C579" t="str">
        <f>IF(SAISIE!$F584="","",SAISIE!$D584)</f>
        <v/>
      </c>
      <c r="D579" t="str">
        <f>IF(SAISIE!$E584="","",SAISIE!$E584)</f>
        <v/>
      </c>
      <c r="E579" t="str">
        <f>IF(SAISIE!$F584="","",SAISIE!$F584)</f>
        <v/>
      </c>
      <c r="F579" t="str">
        <f>IF(SAISIE!$G584="","",SAISIE!$G584)</f>
        <v/>
      </c>
      <c r="G579" t="str">
        <f>IF(SAISIE!$H584="","",SAISIE!$H584)</f>
        <v/>
      </c>
      <c r="H579" t="str">
        <f>IF(SAISIE!$I584="","",SAISIE!$I584)</f>
        <v/>
      </c>
      <c r="I579" t="str">
        <f>IF(SAISIE!$J584="","",SAISIE!$J584)</f>
        <v/>
      </c>
      <c r="J579" t="str">
        <f>IF(SAISIE!$K584="","",SAISIE!$K584)</f>
        <v/>
      </c>
      <c r="K579" t="str">
        <f>IF(SAISIE!$L584="","",SAISIE!$L584)</f>
        <v/>
      </c>
      <c r="L579" t="str">
        <f>IF(SAISIE!$M584="","",SAISIE!$M584)</f>
        <v/>
      </c>
      <c r="M579" t="str">
        <f>IF(SAISIE!$N584="","",SAISIE!$N584)</f>
        <v/>
      </c>
      <c r="N579" t="str">
        <f>IF(SAISIE!$O584="","",SAISIE!$O584)</f>
        <v/>
      </c>
      <c r="O579" t="str">
        <f>IF(SAISIE!$P584="","",SAISIE!$P584)</f>
        <v/>
      </c>
      <c r="P579" t="str">
        <f>IF(SAISIE!$Q584="","",SAISIE!$Q584)</f>
        <v/>
      </c>
      <c r="Q579" t="str">
        <f>IF($I579="","",IF($I579&gt;PARAMETRES!$G$29,5,IF($I579&gt;PARAMETRES!$F$29,4,IF($I579&gt;PARAMETRES!$E$29,3,IF($I579&gt;PARAMETRES!$D$29,2,1)))))</f>
        <v/>
      </c>
      <c r="R579" t="str">
        <f>IF($J579="","",IF($J579&gt;PARAMETRES!$G$30,5,IF($J579&gt;PARAMETRES!$F$30,4,IF($J579&gt;PARAMETRES!$E$30,3,IF($J579&gt;PARAMETRES!$D$30,2,1)))))</f>
        <v/>
      </c>
      <c r="S579" t="str">
        <f>IF($K579="","",IF($Z579=2,IF($K579&gt;PARAMETRES!$G$31,5,IF($K579&gt;PARAMETRES!$F$31,4,IF($K579&gt;PARAMETRES!$E$31,3,IF($K579&gt;PARAMETRES!$D$31,2,1)))),IF($K579&gt;PARAMETRES!$G$32,5,IF($K579&gt;PARAMETRES!$F$32,4,IF($K579&gt;PARAMETRES!$E$32,3,IF($K579&gt;PARAMETRES!$D$32,2,1))))))</f>
        <v/>
      </c>
      <c r="T579" t="str">
        <f>IF($L579="","",IF($L579&gt;PARAMETRES!$G$33,5,IF($L579&gt;PARAMETRES!$F$33,4,IF($L579&gt;PARAMETRES!$E$33,3,IF($L579&gt;PARAMETRES!$D$33,2,1)))))</f>
        <v/>
      </c>
      <c r="U579" t="str">
        <f>IF($M579="","",IF($M579&gt;PARAMETRES!$G$34,5,IF($M579&gt;PARAMETRES!$F$34,4,IF($M579&gt;PARAMETRES!$E$34,3,IF($M579&gt;PARAMETRES!$D$34,2,1)))))</f>
        <v/>
      </c>
      <c r="V579" t="str">
        <f>IF($N579="","",IF($N579&gt;PARAMETRES!$G$35,5,IF($N579&gt;PARAMETRES!$F$35,4,IF($N579&gt;PARAMETRES!$E$35,3,IF($N579&gt;PARAMETRES!$D$35,2,1)))))</f>
        <v/>
      </c>
      <c r="W579" t="str">
        <f>IF($O579="","",IF($O579&gt;PARAMETRES!$G$36,5,IF($O579&gt;PARAMETRES!$F$36,4,IF($O579&gt;PARAMETRES!$E$36,3,IF($O579&gt;PARAMETRES!$D$36,2,1)))))</f>
        <v/>
      </c>
      <c r="X579" t="str">
        <f>IF($P579="","",IF($P579&gt;PARAMETRES!$G$37,5,IF($P579&gt;PARAMETRES!$F$37,4,IF($P579&gt;PARAMETRES!$E$37,3,IF($P579&gt;PARAMETRES!$D$37,2,1)))))</f>
        <v/>
      </c>
      <c r="Y579" t="str">
        <f t="shared" si="216"/>
        <v/>
      </c>
      <c r="Z579" t="str">
        <f>IFERROR(VLOOKUP($B579,TABLE_CYCLE,2,0),"")</f>
        <v/>
      </c>
      <c r="AA579" t="str">
        <f t="shared" si="217"/>
        <v/>
      </c>
      <c r="AB579" t="str">
        <f>IF($D579="","",IF(COUNTIF($D$2:$D579,$D579)=1,$D579,""))</f>
        <v/>
      </c>
      <c r="AC579">
        <f t="shared" si="218"/>
        <v>0</v>
      </c>
      <c r="AD579" t="str">
        <f t="shared" si="219"/>
        <v>|0</v>
      </c>
      <c r="AE579" t="str">
        <f t="shared" si="220"/>
        <v/>
      </c>
      <c r="AF579" t="str">
        <f t="shared" si="221"/>
        <v/>
      </c>
      <c r="AG579" t="str">
        <f t="shared" si="222"/>
        <v/>
      </c>
      <c r="AH579" t="str">
        <f t="shared" si="223"/>
        <v/>
      </c>
      <c r="AI579" t="str">
        <f t="shared" si="224"/>
        <v/>
      </c>
      <c r="AJ579" t="str">
        <f t="shared" si="225"/>
        <v/>
      </c>
      <c r="AK579" t="str">
        <f t="shared" si="226"/>
        <v/>
      </c>
      <c r="AL579" t="str">
        <f t="shared" si="227"/>
        <v/>
      </c>
      <c r="AM579" t="str">
        <f t="shared" si="228"/>
        <v/>
      </c>
      <c r="AN579" t="str">
        <f t="shared" si="229"/>
        <v/>
      </c>
      <c r="AO579" t="str">
        <f t="shared" si="230"/>
        <v/>
      </c>
      <c r="AP579">
        <f t="shared" si="231"/>
        <v>1</v>
      </c>
      <c r="AQ579" t="str">
        <f>IF(SAISIE!$F584="","",SAISIE!$Y584)</f>
        <v/>
      </c>
      <c r="AR579" t="str">
        <f>IF(OR(SAISIE!$U$4="",SAISIE!$W$4=""),"",IF(AND($A579=SAISIE!$U$4,$B579=SAISIE!$W$4,$C579="S1"),COUNTIFS($A$2:$A579,SAISIE!$U$4,$B$2:$B579,SAISIE!$W$4,$C$2:$C579,"S1"),""))</f>
        <v/>
      </c>
      <c r="AS579" t="str">
        <f t="shared" si="232"/>
        <v/>
      </c>
      <c r="AT579" t="str">
        <f t="shared" si="233"/>
        <v/>
      </c>
      <c r="AU579" t="str">
        <f t="shared" si="234"/>
        <v/>
      </c>
      <c r="AV579">
        <f>N(AV578)+IF(AND($AB579&lt;&gt;"",OR('PROFIL ELEVE'!$K$4="(Tous)",$AF579='PROFIL ELEVE'!$K$4)),1,0)</f>
        <v>0</v>
      </c>
      <c r="AW579">
        <f>N(AW578)+IF(AND($AB579&lt;&gt;"",OR('SUIVI LONGITUDINAL'!$Q$4="(Tous)",$AF579='SUIVI LONGITUDINAL'!$Q$4)),1,0)</f>
        <v>0</v>
      </c>
      <c r="AX579">
        <f t="shared" si="235"/>
        <v>0</v>
      </c>
      <c r="AY579">
        <f t="shared" si="236"/>
        <v>0</v>
      </c>
      <c r="AZ579">
        <f t="shared" si="237"/>
        <v>0</v>
      </c>
      <c r="BA579" t="str">
        <f t="shared" si="238"/>
        <v/>
      </c>
      <c r="BB579" t="str">
        <f t="shared" si="239"/>
        <v/>
      </c>
    </row>
    <row r="580" spans="1:54" ht="14.25" customHeight="1" x14ac:dyDescent="0.3">
      <c r="A580" t="str">
        <f>IF(SAISIE!$F585="","",SAISIE!$B585)</f>
        <v/>
      </c>
      <c r="B580" t="str">
        <f>IF(SAISIE!$F585="","",SAISIE!$C585)</f>
        <v/>
      </c>
      <c r="C580" t="str">
        <f>IF(SAISIE!$F585="","",SAISIE!$D585)</f>
        <v/>
      </c>
      <c r="D580" t="str">
        <f>IF(SAISIE!$E585="","",SAISIE!$E585)</f>
        <v/>
      </c>
      <c r="E580" t="str">
        <f>IF(SAISIE!$F585="","",SAISIE!$F585)</f>
        <v/>
      </c>
      <c r="F580" t="str">
        <f>IF(SAISIE!$G585="","",SAISIE!$G585)</f>
        <v/>
      </c>
      <c r="G580" t="str">
        <f>IF(SAISIE!$H585="","",SAISIE!$H585)</f>
        <v/>
      </c>
      <c r="H580" t="str">
        <f>IF(SAISIE!$I585="","",SAISIE!$I585)</f>
        <v/>
      </c>
      <c r="I580" t="str">
        <f>IF(SAISIE!$J585="","",SAISIE!$J585)</f>
        <v/>
      </c>
      <c r="J580" t="str">
        <f>IF(SAISIE!$K585="","",SAISIE!$K585)</f>
        <v/>
      </c>
      <c r="K580" t="str">
        <f>IF(SAISIE!$L585="","",SAISIE!$L585)</f>
        <v/>
      </c>
      <c r="L580" t="str">
        <f>IF(SAISIE!$M585="","",SAISIE!$M585)</f>
        <v/>
      </c>
      <c r="M580" t="str">
        <f>IF(SAISIE!$N585="","",SAISIE!$N585)</f>
        <v/>
      </c>
      <c r="N580" t="str">
        <f>IF(SAISIE!$O585="","",SAISIE!$O585)</f>
        <v/>
      </c>
      <c r="O580" t="str">
        <f>IF(SAISIE!$P585="","",SAISIE!$P585)</f>
        <v/>
      </c>
      <c r="P580" t="str">
        <f>IF(SAISIE!$Q585="","",SAISIE!$Q585)</f>
        <v/>
      </c>
      <c r="Q580" t="str">
        <f>IF($I580="","",IF($I580&gt;PARAMETRES!$G$29,5,IF($I580&gt;PARAMETRES!$F$29,4,IF($I580&gt;PARAMETRES!$E$29,3,IF($I580&gt;PARAMETRES!$D$29,2,1)))))</f>
        <v/>
      </c>
      <c r="R580" t="str">
        <f>IF($J580="","",IF($J580&gt;PARAMETRES!$G$30,5,IF($J580&gt;PARAMETRES!$F$30,4,IF($J580&gt;PARAMETRES!$E$30,3,IF($J580&gt;PARAMETRES!$D$30,2,1)))))</f>
        <v/>
      </c>
      <c r="S580" t="str">
        <f>IF($K580="","",IF($Z580=2,IF($K580&gt;PARAMETRES!$G$31,5,IF($K580&gt;PARAMETRES!$F$31,4,IF($K580&gt;PARAMETRES!$E$31,3,IF($K580&gt;PARAMETRES!$D$31,2,1)))),IF($K580&gt;PARAMETRES!$G$32,5,IF($K580&gt;PARAMETRES!$F$32,4,IF($K580&gt;PARAMETRES!$E$32,3,IF($K580&gt;PARAMETRES!$D$32,2,1))))))</f>
        <v/>
      </c>
      <c r="T580" t="str">
        <f>IF($L580="","",IF($L580&gt;PARAMETRES!$G$33,5,IF($L580&gt;PARAMETRES!$F$33,4,IF($L580&gt;PARAMETRES!$E$33,3,IF($L580&gt;PARAMETRES!$D$33,2,1)))))</f>
        <v/>
      </c>
      <c r="U580" t="str">
        <f>IF($M580="","",IF($M580&gt;PARAMETRES!$G$34,5,IF($M580&gt;PARAMETRES!$F$34,4,IF($M580&gt;PARAMETRES!$E$34,3,IF($M580&gt;PARAMETRES!$D$34,2,1)))))</f>
        <v/>
      </c>
      <c r="V580" t="str">
        <f>IF($N580="","",IF($N580&gt;PARAMETRES!$G$35,5,IF($N580&gt;PARAMETRES!$F$35,4,IF($N580&gt;PARAMETRES!$E$35,3,IF($N580&gt;PARAMETRES!$D$35,2,1)))))</f>
        <v/>
      </c>
      <c r="W580" t="str">
        <f>IF($O580="","",IF($O580&gt;PARAMETRES!$G$36,5,IF($O580&gt;PARAMETRES!$F$36,4,IF($O580&gt;PARAMETRES!$E$36,3,IF($O580&gt;PARAMETRES!$D$36,2,1)))))</f>
        <v/>
      </c>
      <c r="X580" t="str">
        <f>IF($P580="","",IF($P580&gt;PARAMETRES!$G$37,5,IF($P580&gt;PARAMETRES!$F$37,4,IF($P580&gt;PARAMETRES!$E$37,3,IF($P580&gt;PARAMETRES!$D$37,2,1)))))</f>
        <v/>
      </c>
      <c r="Y580" t="str">
        <f t="shared" si="216"/>
        <v/>
      </c>
      <c r="Z580" t="str">
        <f>IFERROR(VLOOKUP($B580,TABLE_CYCLE,2,0),"")</f>
        <v/>
      </c>
      <c r="AA580" t="str">
        <f t="shared" si="217"/>
        <v/>
      </c>
      <c r="AB580" t="str">
        <f>IF($D580="","",IF(COUNTIF($D$2:$D580,$D580)=1,$D580,""))</f>
        <v/>
      </c>
      <c r="AC580">
        <f t="shared" si="218"/>
        <v>0</v>
      </c>
      <c r="AD580" t="str">
        <f t="shared" si="219"/>
        <v>|0</v>
      </c>
      <c r="AE580" t="str">
        <f t="shared" si="220"/>
        <v/>
      </c>
      <c r="AF580" t="str">
        <f t="shared" si="221"/>
        <v/>
      </c>
      <c r="AG580" t="str">
        <f t="shared" si="222"/>
        <v/>
      </c>
      <c r="AH580" t="str">
        <f t="shared" si="223"/>
        <v/>
      </c>
      <c r="AI580" t="str">
        <f t="shared" si="224"/>
        <v/>
      </c>
      <c r="AJ580" t="str">
        <f t="shared" si="225"/>
        <v/>
      </c>
      <c r="AK580" t="str">
        <f t="shared" si="226"/>
        <v/>
      </c>
      <c r="AL580" t="str">
        <f t="shared" si="227"/>
        <v/>
      </c>
      <c r="AM580" t="str">
        <f t="shared" si="228"/>
        <v/>
      </c>
      <c r="AN580" t="str">
        <f t="shared" si="229"/>
        <v/>
      </c>
      <c r="AO580" t="str">
        <f t="shared" si="230"/>
        <v/>
      </c>
      <c r="AP580">
        <f t="shared" si="231"/>
        <v>1</v>
      </c>
      <c r="AQ580" t="str">
        <f>IF(SAISIE!$F585="","",SAISIE!$Y585)</f>
        <v/>
      </c>
      <c r="AR580" t="str">
        <f>IF(OR(SAISIE!$U$4="",SAISIE!$W$4=""),"",IF(AND($A580=SAISIE!$U$4,$B580=SAISIE!$W$4,$C580="S1"),COUNTIFS($A$2:$A580,SAISIE!$U$4,$B$2:$B580,SAISIE!$W$4,$C$2:$C580,"S1"),""))</f>
        <v/>
      </c>
      <c r="AS580" t="str">
        <f t="shared" si="232"/>
        <v/>
      </c>
      <c r="AT580" t="str">
        <f t="shared" si="233"/>
        <v/>
      </c>
      <c r="AU580" t="str">
        <f t="shared" si="234"/>
        <v/>
      </c>
      <c r="AV580">
        <f>N(AV579)+IF(AND($AB580&lt;&gt;"",OR('PROFIL ELEVE'!$K$4="(Tous)",$AF580='PROFIL ELEVE'!$K$4)),1,0)</f>
        <v>0</v>
      </c>
      <c r="AW580">
        <f>N(AW579)+IF(AND($AB580&lt;&gt;"",OR('SUIVI LONGITUDINAL'!$Q$4="(Tous)",$AF580='SUIVI LONGITUDINAL'!$Q$4)),1,0)</f>
        <v>0</v>
      </c>
      <c r="AX580">
        <f t="shared" si="235"/>
        <v>0</v>
      </c>
      <c r="AY580">
        <f t="shared" si="236"/>
        <v>0</v>
      </c>
      <c r="AZ580">
        <f t="shared" si="237"/>
        <v>0</v>
      </c>
      <c r="BA580" t="str">
        <f t="shared" si="238"/>
        <v/>
      </c>
      <c r="BB580" t="str">
        <f t="shared" si="239"/>
        <v/>
      </c>
    </row>
    <row r="581" spans="1:54" ht="14.25" customHeight="1" x14ac:dyDescent="0.3">
      <c r="A581" t="str">
        <f>IF(SAISIE!$F586="","",SAISIE!$B586)</f>
        <v/>
      </c>
      <c r="B581" t="str">
        <f>IF(SAISIE!$F586="","",SAISIE!$C586)</f>
        <v/>
      </c>
      <c r="C581" t="str">
        <f>IF(SAISIE!$F586="","",SAISIE!$D586)</f>
        <v/>
      </c>
      <c r="D581" t="str">
        <f>IF(SAISIE!$E586="","",SAISIE!$E586)</f>
        <v/>
      </c>
      <c r="E581" t="str">
        <f>IF(SAISIE!$F586="","",SAISIE!$F586)</f>
        <v/>
      </c>
      <c r="F581" t="str">
        <f>IF(SAISIE!$G586="","",SAISIE!$G586)</f>
        <v/>
      </c>
      <c r="G581" t="str">
        <f>IF(SAISIE!$H586="","",SAISIE!$H586)</f>
        <v/>
      </c>
      <c r="H581" t="str">
        <f>IF(SAISIE!$I586="","",SAISIE!$I586)</f>
        <v/>
      </c>
      <c r="I581" t="str">
        <f>IF(SAISIE!$J586="","",SAISIE!$J586)</f>
        <v/>
      </c>
      <c r="J581" t="str">
        <f>IF(SAISIE!$K586="","",SAISIE!$K586)</f>
        <v/>
      </c>
      <c r="K581" t="str">
        <f>IF(SAISIE!$L586="","",SAISIE!$L586)</f>
        <v/>
      </c>
      <c r="L581" t="str">
        <f>IF(SAISIE!$M586="","",SAISIE!$M586)</f>
        <v/>
      </c>
      <c r="M581" t="str">
        <f>IF(SAISIE!$N586="","",SAISIE!$N586)</f>
        <v/>
      </c>
      <c r="N581" t="str">
        <f>IF(SAISIE!$O586="","",SAISIE!$O586)</f>
        <v/>
      </c>
      <c r="O581" t="str">
        <f>IF(SAISIE!$P586="","",SAISIE!$P586)</f>
        <v/>
      </c>
      <c r="P581" t="str">
        <f>IF(SAISIE!$Q586="","",SAISIE!$Q586)</f>
        <v/>
      </c>
      <c r="Q581" t="str">
        <f>IF($I581="","",IF($I581&gt;PARAMETRES!$G$29,5,IF($I581&gt;PARAMETRES!$F$29,4,IF($I581&gt;PARAMETRES!$E$29,3,IF($I581&gt;PARAMETRES!$D$29,2,1)))))</f>
        <v/>
      </c>
      <c r="R581" t="str">
        <f>IF($J581="","",IF($J581&gt;PARAMETRES!$G$30,5,IF($J581&gt;PARAMETRES!$F$30,4,IF($J581&gt;PARAMETRES!$E$30,3,IF($J581&gt;PARAMETRES!$D$30,2,1)))))</f>
        <v/>
      </c>
      <c r="S581" t="str">
        <f>IF($K581="","",IF($Z581=2,IF($K581&gt;PARAMETRES!$G$31,5,IF($K581&gt;PARAMETRES!$F$31,4,IF($K581&gt;PARAMETRES!$E$31,3,IF($K581&gt;PARAMETRES!$D$31,2,1)))),IF($K581&gt;PARAMETRES!$G$32,5,IF($K581&gt;PARAMETRES!$F$32,4,IF($K581&gt;PARAMETRES!$E$32,3,IF($K581&gt;PARAMETRES!$D$32,2,1))))))</f>
        <v/>
      </c>
      <c r="T581" t="str">
        <f>IF($L581="","",IF($L581&gt;PARAMETRES!$G$33,5,IF($L581&gt;PARAMETRES!$F$33,4,IF($L581&gt;PARAMETRES!$E$33,3,IF($L581&gt;PARAMETRES!$D$33,2,1)))))</f>
        <v/>
      </c>
      <c r="U581" t="str">
        <f>IF($M581="","",IF($M581&gt;PARAMETRES!$G$34,5,IF($M581&gt;PARAMETRES!$F$34,4,IF($M581&gt;PARAMETRES!$E$34,3,IF($M581&gt;PARAMETRES!$D$34,2,1)))))</f>
        <v/>
      </c>
      <c r="V581" t="str">
        <f>IF($N581="","",IF($N581&gt;PARAMETRES!$G$35,5,IF($N581&gt;PARAMETRES!$F$35,4,IF($N581&gt;PARAMETRES!$E$35,3,IF($N581&gt;PARAMETRES!$D$35,2,1)))))</f>
        <v/>
      </c>
      <c r="W581" t="str">
        <f>IF($O581="","",IF($O581&gt;PARAMETRES!$G$36,5,IF($O581&gt;PARAMETRES!$F$36,4,IF($O581&gt;PARAMETRES!$E$36,3,IF($O581&gt;PARAMETRES!$D$36,2,1)))))</f>
        <v/>
      </c>
      <c r="X581" t="str">
        <f>IF($P581="","",IF($P581&gt;PARAMETRES!$G$37,5,IF($P581&gt;PARAMETRES!$F$37,4,IF($P581&gt;PARAMETRES!$E$37,3,IF($P581&gt;PARAMETRES!$D$37,2,1)))))</f>
        <v/>
      </c>
      <c r="Y581" t="str">
        <f t="shared" si="216"/>
        <v/>
      </c>
      <c r="Z581" t="str">
        <f>IFERROR(VLOOKUP($B581,TABLE_CYCLE,2,0),"")</f>
        <v/>
      </c>
      <c r="AA581" t="str">
        <f t="shared" si="217"/>
        <v/>
      </c>
      <c r="AB581" t="str">
        <f>IF($D581="","",IF(COUNTIF($D$2:$D581,$D581)=1,$D581,""))</f>
        <v/>
      </c>
      <c r="AC581">
        <f t="shared" si="218"/>
        <v>0</v>
      </c>
      <c r="AD581" t="str">
        <f t="shared" si="219"/>
        <v>|0</v>
      </c>
      <c r="AE581" t="str">
        <f t="shared" si="220"/>
        <v/>
      </c>
      <c r="AF581" t="str">
        <f t="shared" si="221"/>
        <v/>
      </c>
      <c r="AG581" t="str">
        <f t="shared" si="222"/>
        <v/>
      </c>
      <c r="AH581" t="str">
        <f t="shared" si="223"/>
        <v/>
      </c>
      <c r="AI581" t="str">
        <f t="shared" si="224"/>
        <v/>
      </c>
      <c r="AJ581" t="str">
        <f t="shared" si="225"/>
        <v/>
      </c>
      <c r="AK581" t="str">
        <f t="shared" si="226"/>
        <v/>
      </c>
      <c r="AL581" t="str">
        <f t="shared" si="227"/>
        <v/>
      </c>
      <c r="AM581" t="str">
        <f t="shared" si="228"/>
        <v/>
      </c>
      <c r="AN581" t="str">
        <f t="shared" si="229"/>
        <v/>
      </c>
      <c r="AO581" t="str">
        <f t="shared" si="230"/>
        <v/>
      </c>
      <c r="AP581">
        <f t="shared" si="231"/>
        <v>1</v>
      </c>
      <c r="AQ581" t="str">
        <f>IF(SAISIE!$F586="","",SAISIE!$Y586)</f>
        <v/>
      </c>
      <c r="AR581" t="str">
        <f>IF(OR(SAISIE!$U$4="",SAISIE!$W$4=""),"",IF(AND($A581=SAISIE!$U$4,$B581=SAISIE!$W$4,$C581="S1"),COUNTIFS($A$2:$A581,SAISIE!$U$4,$B$2:$B581,SAISIE!$W$4,$C$2:$C581,"S1"),""))</f>
        <v/>
      </c>
      <c r="AS581" t="str">
        <f t="shared" si="232"/>
        <v/>
      </c>
      <c r="AT581" t="str">
        <f t="shared" si="233"/>
        <v/>
      </c>
      <c r="AU581" t="str">
        <f t="shared" si="234"/>
        <v/>
      </c>
      <c r="AV581">
        <f>N(AV580)+IF(AND($AB581&lt;&gt;"",OR('PROFIL ELEVE'!$K$4="(Tous)",$AF581='PROFIL ELEVE'!$K$4)),1,0)</f>
        <v>0</v>
      </c>
      <c r="AW581">
        <f>N(AW580)+IF(AND($AB581&lt;&gt;"",OR('SUIVI LONGITUDINAL'!$Q$4="(Tous)",$AF581='SUIVI LONGITUDINAL'!$Q$4)),1,0)</f>
        <v>0</v>
      </c>
      <c r="AX581">
        <f t="shared" si="235"/>
        <v>0</v>
      </c>
      <c r="AY581">
        <f t="shared" si="236"/>
        <v>0</v>
      </c>
      <c r="AZ581">
        <f t="shared" si="237"/>
        <v>0</v>
      </c>
      <c r="BA581" t="str">
        <f t="shared" si="238"/>
        <v/>
      </c>
      <c r="BB581" t="str">
        <f t="shared" si="239"/>
        <v/>
      </c>
    </row>
    <row r="582" spans="1:54" ht="14.25" customHeight="1" x14ac:dyDescent="0.3">
      <c r="A582" t="str">
        <f>IF(SAISIE!$F587="","",SAISIE!$B587)</f>
        <v/>
      </c>
      <c r="B582" t="str">
        <f>IF(SAISIE!$F587="","",SAISIE!$C587)</f>
        <v/>
      </c>
      <c r="C582" t="str">
        <f>IF(SAISIE!$F587="","",SAISIE!$D587)</f>
        <v/>
      </c>
      <c r="D582" t="str">
        <f>IF(SAISIE!$E587="","",SAISIE!$E587)</f>
        <v/>
      </c>
      <c r="E582" t="str">
        <f>IF(SAISIE!$F587="","",SAISIE!$F587)</f>
        <v/>
      </c>
      <c r="F582" t="str">
        <f>IF(SAISIE!$G587="","",SAISIE!$G587)</f>
        <v/>
      </c>
      <c r="G582" t="str">
        <f>IF(SAISIE!$H587="","",SAISIE!$H587)</f>
        <v/>
      </c>
      <c r="H582" t="str">
        <f>IF(SAISIE!$I587="","",SAISIE!$I587)</f>
        <v/>
      </c>
      <c r="I582" t="str">
        <f>IF(SAISIE!$J587="","",SAISIE!$J587)</f>
        <v/>
      </c>
      <c r="J582" t="str">
        <f>IF(SAISIE!$K587="","",SAISIE!$K587)</f>
        <v/>
      </c>
      <c r="K582" t="str">
        <f>IF(SAISIE!$L587="","",SAISIE!$L587)</f>
        <v/>
      </c>
      <c r="L582" t="str">
        <f>IF(SAISIE!$M587="","",SAISIE!$M587)</f>
        <v/>
      </c>
      <c r="M582" t="str">
        <f>IF(SAISIE!$N587="","",SAISIE!$N587)</f>
        <v/>
      </c>
      <c r="N582" t="str">
        <f>IF(SAISIE!$O587="","",SAISIE!$O587)</f>
        <v/>
      </c>
      <c r="O582" t="str">
        <f>IF(SAISIE!$P587="","",SAISIE!$P587)</f>
        <v/>
      </c>
      <c r="P582" t="str">
        <f>IF(SAISIE!$Q587="","",SAISIE!$Q587)</f>
        <v/>
      </c>
      <c r="Q582" t="str">
        <f>IF($I582="","",IF($I582&gt;PARAMETRES!$G$29,5,IF($I582&gt;PARAMETRES!$F$29,4,IF($I582&gt;PARAMETRES!$E$29,3,IF($I582&gt;PARAMETRES!$D$29,2,1)))))</f>
        <v/>
      </c>
      <c r="R582" t="str">
        <f>IF($J582="","",IF($J582&gt;PARAMETRES!$G$30,5,IF($J582&gt;PARAMETRES!$F$30,4,IF($J582&gt;PARAMETRES!$E$30,3,IF($J582&gt;PARAMETRES!$D$30,2,1)))))</f>
        <v/>
      </c>
      <c r="S582" t="str">
        <f>IF($K582="","",IF($Z582=2,IF($K582&gt;PARAMETRES!$G$31,5,IF($K582&gt;PARAMETRES!$F$31,4,IF($K582&gt;PARAMETRES!$E$31,3,IF($K582&gt;PARAMETRES!$D$31,2,1)))),IF($K582&gt;PARAMETRES!$G$32,5,IF($K582&gt;PARAMETRES!$F$32,4,IF($K582&gt;PARAMETRES!$E$32,3,IF($K582&gt;PARAMETRES!$D$32,2,1))))))</f>
        <v/>
      </c>
      <c r="T582" t="str">
        <f>IF($L582="","",IF($L582&gt;PARAMETRES!$G$33,5,IF($L582&gt;PARAMETRES!$F$33,4,IF($L582&gt;PARAMETRES!$E$33,3,IF($L582&gt;PARAMETRES!$D$33,2,1)))))</f>
        <v/>
      </c>
      <c r="U582" t="str">
        <f>IF($M582="","",IF($M582&gt;PARAMETRES!$G$34,5,IF($M582&gt;PARAMETRES!$F$34,4,IF($M582&gt;PARAMETRES!$E$34,3,IF($M582&gt;PARAMETRES!$D$34,2,1)))))</f>
        <v/>
      </c>
      <c r="V582" t="str">
        <f>IF($N582="","",IF($N582&gt;PARAMETRES!$G$35,5,IF($N582&gt;PARAMETRES!$F$35,4,IF($N582&gt;PARAMETRES!$E$35,3,IF($N582&gt;PARAMETRES!$D$35,2,1)))))</f>
        <v/>
      </c>
      <c r="W582" t="str">
        <f>IF($O582="","",IF($O582&gt;PARAMETRES!$G$36,5,IF($O582&gt;PARAMETRES!$F$36,4,IF($O582&gt;PARAMETRES!$E$36,3,IF($O582&gt;PARAMETRES!$D$36,2,1)))))</f>
        <v/>
      </c>
      <c r="X582" t="str">
        <f>IF($P582="","",IF($P582&gt;PARAMETRES!$G$37,5,IF($P582&gt;PARAMETRES!$F$37,4,IF($P582&gt;PARAMETRES!$E$37,3,IF($P582&gt;PARAMETRES!$D$37,2,1)))))</f>
        <v/>
      </c>
      <c r="Y582" t="str">
        <f t="shared" si="216"/>
        <v/>
      </c>
      <c r="Z582" t="str">
        <f>IFERROR(VLOOKUP($B582,TABLE_CYCLE,2,0),"")</f>
        <v/>
      </c>
      <c r="AA582" t="str">
        <f t="shared" si="217"/>
        <v/>
      </c>
      <c r="AB582" t="str">
        <f>IF($D582="","",IF(COUNTIF($D$2:$D582,$D582)=1,$D582,""))</f>
        <v/>
      </c>
      <c r="AC582">
        <f t="shared" si="218"/>
        <v>0</v>
      </c>
      <c r="AD582" t="str">
        <f t="shared" si="219"/>
        <v>|0</v>
      </c>
      <c r="AE582" t="str">
        <f t="shared" si="220"/>
        <v/>
      </c>
      <c r="AF582" t="str">
        <f t="shared" si="221"/>
        <v/>
      </c>
      <c r="AG582" t="str">
        <f t="shared" si="222"/>
        <v/>
      </c>
      <c r="AH582" t="str">
        <f t="shared" si="223"/>
        <v/>
      </c>
      <c r="AI582" t="str">
        <f t="shared" si="224"/>
        <v/>
      </c>
      <c r="AJ582" t="str">
        <f t="shared" si="225"/>
        <v/>
      </c>
      <c r="AK582" t="str">
        <f t="shared" si="226"/>
        <v/>
      </c>
      <c r="AL582" t="str">
        <f t="shared" si="227"/>
        <v/>
      </c>
      <c r="AM582" t="str">
        <f t="shared" si="228"/>
        <v/>
      </c>
      <c r="AN582" t="str">
        <f t="shared" si="229"/>
        <v/>
      </c>
      <c r="AO582" t="str">
        <f t="shared" si="230"/>
        <v/>
      </c>
      <c r="AP582">
        <f t="shared" si="231"/>
        <v>1</v>
      </c>
      <c r="AQ582" t="str">
        <f>IF(SAISIE!$F587="","",SAISIE!$Y587)</f>
        <v/>
      </c>
      <c r="AR582" t="str">
        <f>IF(OR(SAISIE!$U$4="",SAISIE!$W$4=""),"",IF(AND($A582=SAISIE!$U$4,$B582=SAISIE!$W$4,$C582="S1"),COUNTIFS($A$2:$A582,SAISIE!$U$4,$B$2:$B582,SAISIE!$W$4,$C$2:$C582,"S1"),""))</f>
        <v/>
      </c>
      <c r="AS582" t="str">
        <f t="shared" si="232"/>
        <v/>
      </c>
      <c r="AT582" t="str">
        <f t="shared" si="233"/>
        <v/>
      </c>
      <c r="AU582" t="str">
        <f t="shared" si="234"/>
        <v/>
      </c>
      <c r="AV582">
        <f>N(AV581)+IF(AND($AB582&lt;&gt;"",OR('PROFIL ELEVE'!$K$4="(Tous)",$AF582='PROFIL ELEVE'!$K$4)),1,0)</f>
        <v>0</v>
      </c>
      <c r="AW582">
        <f>N(AW581)+IF(AND($AB582&lt;&gt;"",OR('SUIVI LONGITUDINAL'!$Q$4="(Tous)",$AF582='SUIVI LONGITUDINAL'!$Q$4)),1,0)</f>
        <v>0</v>
      </c>
      <c r="AX582">
        <f t="shared" si="235"/>
        <v>0</v>
      </c>
      <c r="AY582">
        <f t="shared" si="236"/>
        <v>0</v>
      </c>
      <c r="AZ582">
        <f t="shared" si="237"/>
        <v>0</v>
      </c>
      <c r="BA582" t="str">
        <f t="shared" si="238"/>
        <v/>
      </c>
      <c r="BB582" t="str">
        <f t="shared" si="239"/>
        <v/>
      </c>
    </row>
    <row r="583" spans="1:54" ht="14.25" customHeight="1" x14ac:dyDescent="0.3">
      <c r="A583" t="str">
        <f>IF(SAISIE!$F588="","",SAISIE!$B588)</f>
        <v/>
      </c>
      <c r="B583" t="str">
        <f>IF(SAISIE!$F588="","",SAISIE!$C588)</f>
        <v/>
      </c>
      <c r="C583" t="str">
        <f>IF(SAISIE!$F588="","",SAISIE!$D588)</f>
        <v/>
      </c>
      <c r="D583" t="str">
        <f>IF(SAISIE!$E588="","",SAISIE!$E588)</f>
        <v/>
      </c>
      <c r="E583" t="str">
        <f>IF(SAISIE!$F588="","",SAISIE!$F588)</f>
        <v/>
      </c>
      <c r="F583" t="str">
        <f>IF(SAISIE!$G588="","",SAISIE!$G588)</f>
        <v/>
      </c>
      <c r="G583" t="str">
        <f>IF(SAISIE!$H588="","",SAISIE!$H588)</f>
        <v/>
      </c>
      <c r="H583" t="str">
        <f>IF(SAISIE!$I588="","",SAISIE!$I588)</f>
        <v/>
      </c>
      <c r="I583" t="str">
        <f>IF(SAISIE!$J588="","",SAISIE!$J588)</f>
        <v/>
      </c>
      <c r="J583" t="str">
        <f>IF(SAISIE!$K588="","",SAISIE!$K588)</f>
        <v/>
      </c>
      <c r="K583" t="str">
        <f>IF(SAISIE!$L588="","",SAISIE!$L588)</f>
        <v/>
      </c>
      <c r="L583" t="str">
        <f>IF(SAISIE!$M588="","",SAISIE!$M588)</f>
        <v/>
      </c>
      <c r="M583" t="str">
        <f>IF(SAISIE!$N588="","",SAISIE!$N588)</f>
        <v/>
      </c>
      <c r="N583" t="str">
        <f>IF(SAISIE!$O588="","",SAISIE!$O588)</f>
        <v/>
      </c>
      <c r="O583" t="str">
        <f>IF(SAISIE!$P588="","",SAISIE!$P588)</f>
        <v/>
      </c>
      <c r="P583" t="str">
        <f>IF(SAISIE!$Q588="","",SAISIE!$Q588)</f>
        <v/>
      </c>
      <c r="Q583" t="str">
        <f>IF($I583="","",IF($I583&gt;PARAMETRES!$G$29,5,IF($I583&gt;PARAMETRES!$F$29,4,IF($I583&gt;PARAMETRES!$E$29,3,IF($I583&gt;PARAMETRES!$D$29,2,1)))))</f>
        <v/>
      </c>
      <c r="R583" t="str">
        <f>IF($J583="","",IF($J583&gt;PARAMETRES!$G$30,5,IF($J583&gt;PARAMETRES!$F$30,4,IF($J583&gt;PARAMETRES!$E$30,3,IF($J583&gt;PARAMETRES!$D$30,2,1)))))</f>
        <v/>
      </c>
      <c r="S583" t="str">
        <f>IF($K583="","",IF($Z583=2,IF($K583&gt;PARAMETRES!$G$31,5,IF($K583&gt;PARAMETRES!$F$31,4,IF($K583&gt;PARAMETRES!$E$31,3,IF($K583&gt;PARAMETRES!$D$31,2,1)))),IF($K583&gt;PARAMETRES!$G$32,5,IF($K583&gt;PARAMETRES!$F$32,4,IF($K583&gt;PARAMETRES!$E$32,3,IF($K583&gt;PARAMETRES!$D$32,2,1))))))</f>
        <v/>
      </c>
      <c r="T583" t="str">
        <f>IF($L583="","",IF($L583&gt;PARAMETRES!$G$33,5,IF($L583&gt;PARAMETRES!$F$33,4,IF($L583&gt;PARAMETRES!$E$33,3,IF($L583&gt;PARAMETRES!$D$33,2,1)))))</f>
        <v/>
      </c>
      <c r="U583" t="str">
        <f>IF($M583="","",IF($M583&gt;PARAMETRES!$G$34,5,IF($M583&gt;PARAMETRES!$F$34,4,IF($M583&gt;PARAMETRES!$E$34,3,IF($M583&gt;PARAMETRES!$D$34,2,1)))))</f>
        <v/>
      </c>
      <c r="V583" t="str">
        <f>IF($N583="","",IF($N583&gt;PARAMETRES!$G$35,5,IF($N583&gt;PARAMETRES!$F$35,4,IF($N583&gt;PARAMETRES!$E$35,3,IF($N583&gt;PARAMETRES!$D$35,2,1)))))</f>
        <v/>
      </c>
      <c r="W583" t="str">
        <f>IF($O583="","",IF($O583&gt;PARAMETRES!$G$36,5,IF($O583&gt;PARAMETRES!$F$36,4,IF($O583&gt;PARAMETRES!$E$36,3,IF($O583&gt;PARAMETRES!$D$36,2,1)))))</f>
        <v/>
      </c>
      <c r="X583" t="str">
        <f>IF($P583="","",IF($P583&gt;PARAMETRES!$G$37,5,IF($P583&gt;PARAMETRES!$F$37,4,IF($P583&gt;PARAMETRES!$E$37,3,IF($P583&gt;PARAMETRES!$D$37,2,1)))))</f>
        <v/>
      </c>
      <c r="Y583" t="str">
        <f t="shared" si="216"/>
        <v/>
      </c>
      <c r="Z583" t="str">
        <f>IFERROR(VLOOKUP($B583,TABLE_CYCLE,2,0),"")</f>
        <v/>
      </c>
      <c r="AA583" t="str">
        <f t="shared" si="217"/>
        <v/>
      </c>
      <c r="AB583" t="str">
        <f>IF($D583="","",IF(COUNTIF($D$2:$D583,$D583)=1,$D583,""))</f>
        <v/>
      </c>
      <c r="AC583">
        <f t="shared" si="218"/>
        <v>0</v>
      </c>
      <c r="AD583" t="str">
        <f t="shared" si="219"/>
        <v>|0</v>
      </c>
      <c r="AE583" t="str">
        <f t="shared" si="220"/>
        <v/>
      </c>
      <c r="AF583" t="str">
        <f t="shared" si="221"/>
        <v/>
      </c>
      <c r="AG583" t="str">
        <f t="shared" si="222"/>
        <v/>
      </c>
      <c r="AH583" t="str">
        <f t="shared" si="223"/>
        <v/>
      </c>
      <c r="AI583" t="str">
        <f t="shared" si="224"/>
        <v/>
      </c>
      <c r="AJ583" t="str">
        <f t="shared" si="225"/>
        <v/>
      </c>
      <c r="AK583" t="str">
        <f t="shared" si="226"/>
        <v/>
      </c>
      <c r="AL583" t="str">
        <f t="shared" si="227"/>
        <v/>
      </c>
      <c r="AM583" t="str">
        <f t="shared" si="228"/>
        <v/>
      </c>
      <c r="AN583" t="str">
        <f t="shared" si="229"/>
        <v/>
      </c>
      <c r="AO583" t="str">
        <f t="shared" si="230"/>
        <v/>
      </c>
      <c r="AP583">
        <f t="shared" si="231"/>
        <v>1</v>
      </c>
      <c r="AQ583" t="str">
        <f>IF(SAISIE!$F588="","",SAISIE!$Y588)</f>
        <v/>
      </c>
      <c r="AR583" t="str">
        <f>IF(OR(SAISIE!$U$4="",SAISIE!$W$4=""),"",IF(AND($A583=SAISIE!$U$4,$B583=SAISIE!$W$4,$C583="S1"),COUNTIFS($A$2:$A583,SAISIE!$U$4,$B$2:$B583,SAISIE!$W$4,$C$2:$C583,"S1"),""))</f>
        <v/>
      </c>
      <c r="AS583" t="str">
        <f t="shared" si="232"/>
        <v/>
      </c>
      <c r="AT583" t="str">
        <f t="shared" si="233"/>
        <v/>
      </c>
      <c r="AU583" t="str">
        <f t="shared" si="234"/>
        <v/>
      </c>
      <c r="AV583">
        <f>N(AV582)+IF(AND($AB583&lt;&gt;"",OR('PROFIL ELEVE'!$K$4="(Tous)",$AF583='PROFIL ELEVE'!$K$4)),1,0)</f>
        <v>0</v>
      </c>
      <c r="AW583">
        <f>N(AW582)+IF(AND($AB583&lt;&gt;"",OR('SUIVI LONGITUDINAL'!$Q$4="(Tous)",$AF583='SUIVI LONGITUDINAL'!$Q$4)),1,0)</f>
        <v>0</v>
      </c>
      <c r="AX583">
        <f t="shared" si="235"/>
        <v>0</v>
      </c>
      <c r="AY583">
        <f t="shared" si="236"/>
        <v>0</v>
      </c>
      <c r="AZ583">
        <f t="shared" si="237"/>
        <v>0</v>
      </c>
      <c r="BA583" t="str">
        <f t="shared" si="238"/>
        <v/>
      </c>
      <c r="BB583" t="str">
        <f t="shared" si="239"/>
        <v/>
      </c>
    </row>
    <row r="584" spans="1:54" ht="14.25" customHeight="1" x14ac:dyDescent="0.3">
      <c r="A584" t="str">
        <f>IF(SAISIE!$F589="","",SAISIE!$B589)</f>
        <v/>
      </c>
      <c r="B584" t="str">
        <f>IF(SAISIE!$F589="","",SAISIE!$C589)</f>
        <v/>
      </c>
      <c r="C584" t="str">
        <f>IF(SAISIE!$F589="","",SAISIE!$D589)</f>
        <v/>
      </c>
      <c r="D584" t="str">
        <f>IF(SAISIE!$E589="","",SAISIE!$E589)</f>
        <v/>
      </c>
      <c r="E584" t="str">
        <f>IF(SAISIE!$F589="","",SAISIE!$F589)</f>
        <v/>
      </c>
      <c r="F584" t="str">
        <f>IF(SAISIE!$G589="","",SAISIE!$G589)</f>
        <v/>
      </c>
      <c r="G584" t="str">
        <f>IF(SAISIE!$H589="","",SAISIE!$H589)</f>
        <v/>
      </c>
      <c r="H584" t="str">
        <f>IF(SAISIE!$I589="","",SAISIE!$I589)</f>
        <v/>
      </c>
      <c r="I584" t="str">
        <f>IF(SAISIE!$J589="","",SAISIE!$J589)</f>
        <v/>
      </c>
      <c r="J584" t="str">
        <f>IF(SAISIE!$K589="","",SAISIE!$K589)</f>
        <v/>
      </c>
      <c r="K584" t="str">
        <f>IF(SAISIE!$L589="","",SAISIE!$L589)</f>
        <v/>
      </c>
      <c r="L584" t="str">
        <f>IF(SAISIE!$M589="","",SAISIE!$M589)</f>
        <v/>
      </c>
      <c r="M584" t="str">
        <f>IF(SAISIE!$N589="","",SAISIE!$N589)</f>
        <v/>
      </c>
      <c r="N584" t="str">
        <f>IF(SAISIE!$O589="","",SAISIE!$O589)</f>
        <v/>
      </c>
      <c r="O584" t="str">
        <f>IF(SAISIE!$P589="","",SAISIE!$P589)</f>
        <v/>
      </c>
      <c r="P584" t="str">
        <f>IF(SAISIE!$Q589="","",SAISIE!$Q589)</f>
        <v/>
      </c>
      <c r="Q584" t="str">
        <f>IF($I584="","",IF($I584&gt;PARAMETRES!$G$29,5,IF($I584&gt;PARAMETRES!$F$29,4,IF($I584&gt;PARAMETRES!$E$29,3,IF($I584&gt;PARAMETRES!$D$29,2,1)))))</f>
        <v/>
      </c>
      <c r="R584" t="str">
        <f>IF($J584="","",IF($J584&gt;PARAMETRES!$G$30,5,IF($J584&gt;PARAMETRES!$F$30,4,IF($J584&gt;PARAMETRES!$E$30,3,IF($J584&gt;PARAMETRES!$D$30,2,1)))))</f>
        <v/>
      </c>
      <c r="S584" t="str">
        <f>IF($K584="","",IF($Z584=2,IF($K584&gt;PARAMETRES!$G$31,5,IF($K584&gt;PARAMETRES!$F$31,4,IF($K584&gt;PARAMETRES!$E$31,3,IF($K584&gt;PARAMETRES!$D$31,2,1)))),IF($K584&gt;PARAMETRES!$G$32,5,IF($K584&gt;PARAMETRES!$F$32,4,IF($K584&gt;PARAMETRES!$E$32,3,IF($K584&gt;PARAMETRES!$D$32,2,1))))))</f>
        <v/>
      </c>
      <c r="T584" t="str">
        <f>IF($L584="","",IF($L584&gt;PARAMETRES!$G$33,5,IF($L584&gt;PARAMETRES!$F$33,4,IF($L584&gt;PARAMETRES!$E$33,3,IF($L584&gt;PARAMETRES!$D$33,2,1)))))</f>
        <v/>
      </c>
      <c r="U584" t="str">
        <f>IF($M584="","",IF($M584&gt;PARAMETRES!$G$34,5,IF($M584&gt;PARAMETRES!$F$34,4,IF($M584&gt;PARAMETRES!$E$34,3,IF($M584&gt;PARAMETRES!$D$34,2,1)))))</f>
        <v/>
      </c>
      <c r="V584" t="str">
        <f>IF($N584="","",IF($N584&gt;PARAMETRES!$G$35,5,IF($N584&gt;PARAMETRES!$F$35,4,IF($N584&gt;PARAMETRES!$E$35,3,IF($N584&gt;PARAMETRES!$D$35,2,1)))))</f>
        <v/>
      </c>
      <c r="W584" t="str">
        <f>IF($O584="","",IF($O584&gt;PARAMETRES!$G$36,5,IF($O584&gt;PARAMETRES!$F$36,4,IF($O584&gt;PARAMETRES!$E$36,3,IF($O584&gt;PARAMETRES!$D$36,2,1)))))</f>
        <v/>
      </c>
      <c r="X584" t="str">
        <f>IF($P584="","",IF($P584&gt;PARAMETRES!$G$37,5,IF($P584&gt;PARAMETRES!$F$37,4,IF($P584&gt;PARAMETRES!$E$37,3,IF($P584&gt;PARAMETRES!$D$37,2,1)))))</f>
        <v/>
      </c>
      <c r="Y584" t="str">
        <f t="shared" si="216"/>
        <v/>
      </c>
      <c r="Z584" t="str">
        <f>IFERROR(VLOOKUP($B584,TABLE_CYCLE,2,0),"")</f>
        <v/>
      </c>
      <c r="AA584" t="str">
        <f t="shared" si="217"/>
        <v/>
      </c>
      <c r="AB584" t="str">
        <f>IF($D584="","",IF(COUNTIF($D$2:$D584,$D584)=1,$D584,""))</f>
        <v/>
      </c>
      <c r="AC584">
        <f t="shared" si="218"/>
        <v>0</v>
      </c>
      <c r="AD584" t="str">
        <f t="shared" si="219"/>
        <v>|0</v>
      </c>
      <c r="AE584" t="str">
        <f t="shared" si="220"/>
        <v/>
      </c>
      <c r="AF584" t="str">
        <f t="shared" si="221"/>
        <v/>
      </c>
      <c r="AG584" t="str">
        <f t="shared" si="222"/>
        <v/>
      </c>
      <c r="AH584" t="str">
        <f t="shared" si="223"/>
        <v/>
      </c>
      <c r="AI584" t="str">
        <f t="shared" si="224"/>
        <v/>
      </c>
      <c r="AJ584" t="str">
        <f t="shared" si="225"/>
        <v/>
      </c>
      <c r="AK584" t="str">
        <f t="shared" si="226"/>
        <v/>
      </c>
      <c r="AL584" t="str">
        <f t="shared" si="227"/>
        <v/>
      </c>
      <c r="AM584" t="str">
        <f t="shared" si="228"/>
        <v/>
      </c>
      <c r="AN584" t="str">
        <f t="shared" si="229"/>
        <v/>
      </c>
      <c r="AO584" t="str">
        <f t="shared" si="230"/>
        <v/>
      </c>
      <c r="AP584">
        <f t="shared" si="231"/>
        <v>1</v>
      </c>
      <c r="AQ584" t="str">
        <f>IF(SAISIE!$F589="","",SAISIE!$Y589)</f>
        <v/>
      </c>
      <c r="AR584" t="str">
        <f>IF(OR(SAISIE!$U$4="",SAISIE!$W$4=""),"",IF(AND($A584=SAISIE!$U$4,$B584=SAISIE!$W$4,$C584="S1"),COUNTIFS($A$2:$A584,SAISIE!$U$4,$B$2:$B584,SAISIE!$W$4,$C$2:$C584,"S1"),""))</f>
        <v/>
      </c>
      <c r="AS584" t="str">
        <f t="shared" si="232"/>
        <v/>
      </c>
      <c r="AT584" t="str">
        <f t="shared" si="233"/>
        <v/>
      </c>
      <c r="AU584" t="str">
        <f t="shared" si="234"/>
        <v/>
      </c>
      <c r="AV584">
        <f>N(AV583)+IF(AND($AB584&lt;&gt;"",OR('PROFIL ELEVE'!$K$4="(Tous)",$AF584='PROFIL ELEVE'!$K$4)),1,0)</f>
        <v>0</v>
      </c>
      <c r="AW584">
        <f>N(AW583)+IF(AND($AB584&lt;&gt;"",OR('SUIVI LONGITUDINAL'!$Q$4="(Tous)",$AF584='SUIVI LONGITUDINAL'!$Q$4)),1,0)</f>
        <v>0</v>
      </c>
      <c r="AX584">
        <f t="shared" si="235"/>
        <v>0</v>
      </c>
      <c r="AY584">
        <f t="shared" si="236"/>
        <v>0</v>
      </c>
      <c r="AZ584">
        <f t="shared" si="237"/>
        <v>0</v>
      </c>
      <c r="BA584" t="str">
        <f t="shared" si="238"/>
        <v/>
      </c>
      <c r="BB584" t="str">
        <f t="shared" si="239"/>
        <v/>
      </c>
    </row>
    <row r="585" spans="1:54" ht="14.25" customHeight="1" x14ac:dyDescent="0.3">
      <c r="A585" t="str">
        <f>IF(SAISIE!$F590="","",SAISIE!$B590)</f>
        <v/>
      </c>
      <c r="B585" t="str">
        <f>IF(SAISIE!$F590="","",SAISIE!$C590)</f>
        <v/>
      </c>
      <c r="C585" t="str">
        <f>IF(SAISIE!$F590="","",SAISIE!$D590)</f>
        <v/>
      </c>
      <c r="D585" t="str">
        <f>IF(SAISIE!$E590="","",SAISIE!$E590)</f>
        <v/>
      </c>
      <c r="E585" t="str">
        <f>IF(SAISIE!$F590="","",SAISIE!$F590)</f>
        <v/>
      </c>
      <c r="F585" t="str">
        <f>IF(SAISIE!$G590="","",SAISIE!$G590)</f>
        <v/>
      </c>
      <c r="G585" t="str">
        <f>IF(SAISIE!$H590="","",SAISIE!$H590)</f>
        <v/>
      </c>
      <c r="H585" t="str">
        <f>IF(SAISIE!$I590="","",SAISIE!$I590)</f>
        <v/>
      </c>
      <c r="I585" t="str">
        <f>IF(SAISIE!$J590="","",SAISIE!$J590)</f>
        <v/>
      </c>
      <c r="J585" t="str">
        <f>IF(SAISIE!$K590="","",SAISIE!$K590)</f>
        <v/>
      </c>
      <c r="K585" t="str">
        <f>IF(SAISIE!$L590="","",SAISIE!$L590)</f>
        <v/>
      </c>
      <c r="L585" t="str">
        <f>IF(SAISIE!$M590="","",SAISIE!$M590)</f>
        <v/>
      </c>
      <c r="M585" t="str">
        <f>IF(SAISIE!$N590="","",SAISIE!$N590)</f>
        <v/>
      </c>
      <c r="N585" t="str">
        <f>IF(SAISIE!$O590="","",SAISIE!$O590)</f>
        <v/>
      </c>
      <c r="O585" t="str">
        <f>IF(SAISIE!$P590="","",SAISIE!$P590)</f>
        <v/>
      </c>
      <c r="P585" t="str">
        <f>IF(SAISIE!$Q590="","",SAISIE!$Q590)</f>
        <v/>
      </c>
      <c r="Q585" t="str">
        <f>IF($I585="","",IF($I585&gt;PARAMETRES!$G$29,5,IF($I585&gt;PARAMETRES!$F$29,4,IF($I585&gt;PARAMETRES!$E$29,3,IF($I585&gt;PARAMETRES!$D$29,2,1)))))</f>
        <v/>
      </c>
      <c r="R585" t="str">
        <f>IF($J585="","",IF($J585&gt;PARAMETRES!$G$30,5,IF($J585&gt;PARAMETRES!$F$30,4,IF($J585&gt;PARAMETRES!$E$30,3,IF($J585&gt;PARAMETRES!$D$30,2,1)))))</f>
        <v/>
      </c>
      <c r="S585" t="str">
        <f>IF($K585="","",IF($Z585=2,IF($K585&gt;PARAMETRES!$G$31,5,IF($K585&gt;PARAMETRES!$F$31,4,IF($K585&gt;PARAMETRES!$E$31,3,IF($K585&gt;PARAMETRES!$D$31,2,1)))),IF($K585&gt;PARAMETRES!$G$32,5,IF($K585&gt;PARAMETRES!$F$32,4,IF($K585&gt;PARAMETRES!$E$32,3,IF($K585&gt;PARAMETRES!$D$32,2,1))))))</f>
        <v/>
      </c>
      <c r="T585" t="str">
        <f>IF($L585="","",IF($L585&gt;PARAMETRES!$G$33,5,IF($L585&gt;PARAMETRES!$F$33,4,IF($L585&gt;PARAMETRES!$E$33,3,IF($L585&gt;PARAMETRES!$D$33,2,1)))))</f>
        <v/>
      </c>
      <c r="U585" t="str">
        <f>IF($M585="","",IF($M585&gt;PARAMETRES!$G$34,5,IF($M585&gt;PARAMETRES!$F$34,4,IF($M585&gt;PARAMETRES!$E$34,3,IF($M585&gt;PARAMETRES!$D$34,2,1)))))</f>
        <v/>
      </c>
      <c r="V585" t="str">
        <f>IF($N585="","",IF($N585&gt;PARAMETRES!$G$35,5,IF($N585&gt;PARAMETRES!$F$35,4,IF($N585&gt;PARAMETRES!$E$35,3,IF($N585&gt;PARAMETRES!$D$35,2,1)))))</f>
        <v/>
      </c>
      <c r="W585" t="str">
        <f>IF($O585="","",IF($O585&gt;PARAMETRES!$G$36,5,IF($O585&gt;PARAMETRES!$F$36,4,IF($O585&gt;PARAMETRES!$E$36,3,IF($O585&gt;PARAMETRES!$D$36,2,1)))))</f>
        <v/>
      </c>
      <c r="X585" t="str">
        <f>IF($P585="","",IF($P585&gt;PARAMETRES!$G$37,5,IF($P585&gt;PARAMETRES!$F$37,4,IF($P585&gt;PARAMETRES!$E$37,3,IF($P585&gt;PARAMETRES!$D$37,2,1)))))</f>
        <v/>
      </c>
      <c r="Y585" t="str">
        <f t="shared" si="216"/>
        <v/>
      </c>
      <c r="Z585" t="str">
        <f>IFERROR(VLOOKUP($B585,TABLE_CYCLE,2,0),"")</f>
        <v/>
      </c>
      <c r="AA585" t="str">
        <f t="shared" si="217"/>
        <v/>
      </c>
      <c r="AB585" t="str">
        <f>IF($D585="","",IF(COUNTIF($D$2:$D585,$D585)=1,$D585,""))</f>
        <v/>
      </c>
      <c r="AC585">
        <f t="shared" si="218"/>
        <v>0</v>
      </c>
      <c r="AD585" t="str">
        <f t="shared" si="219"/>
        <v>|0</v>
      </c>
      <c r="AE585" t="str">
        <f t="shared" si="220"/>
        <v/>
      </c>
      <c r="AF585" t="str">
        <f t="shared" si="221"/>
        <v/>
      </c>
      <c r="AG585" t="str">
        <f t="shared" si="222"/>
        <v/>
      </c>
      <c r="AH585" t="str">
        <f t="shared" si="223"/>
        <v/>
      </c>
      <c r="AI585" t="str">
        <f t="shared" si="224"/>
        <v/>
      </c>
      <c r="AJ585" t="str">
        <f t="shared" si="225"/>
        <v/>
      </c>
      <c r="AK585" t="str">
        <f t="shared" si="226"/>
        <v/>
      </c>
      <c r="AL585" t="str">
        <f t="shared" si="227"/>
        <v/>
      </c>
      <c r="AM585" t="str">
        <f t="shared" si="228"/>
        <v/>
      </c>
      <c r="AN585" t="str">
        <f t="shared" si="229"/>
        <v/>
      </c>
      <c r="AO585" t="str">
        <f t="shared" si="230"/>
        <v/>
      </c>
      <c r="AP585">
        <f t="shared" si="231"/>
        <v>1</v>
      </c>
      <c r="AQ585" t="str">
        <f>IF(SAISIE!$F590="","",SAISIE!$Y590)</f>
        <v/>
      </c>
      <c r="AR585" t="str">
        <f>IF(OR(SAISIE!$U$4="",SAISIE!$W$4=""),"",IF(AND($A585=SAISIE!$U$4,$B585=SAISIE!$W$4,$C585="S1"),COUNTIFS($A$2:$A585,SAISIE!$U$4,$B$2:$B585,SAISIE!$W$4,$C$2:$C585,"S1"),""))</f>
        <v/>
      </c>
      <c r="AS585" t="str">
        <f t="shared" si="232"/>
        <v/>
      </c>
      <c r="AT585" t="str">
        <f t="shared" si="233"/>
        <v/>
      </c>
      <c r="AU585" t="str">
        <f t="shared" si="234"/>
        <v/>
      </c>
      <c r="AV585">
        <f>N(AV584)+IF(AND($AB585&lt;&gt;"",OR('PROFIL ELEVE'!$K$4="(Tous)",$AF585='PROFIL ELEVE'!$K$4)),1,0)</f>
        <v>0</v>
      </c>
      <c r="AW585">
        <f>N(AW584)+IF(AND($AB585&lt;&gt;"",OR('SUIVI LONGITUDINAL'!$Q$4="(Tous)",$AF585='SUIVI LONGITUDINAL'!$Q$4)),1,0)</f>
        <v>0</v>
      </c>
      <c r="AX585">
        <f t="shared" si="235"/>
        <v>0</v>
      </c>
      <c r="AY585">
        <f t="shared" si="236"/>
        <v>0</v>
      </c>
      <c r="AZ585">
        <f t="shared" si="237"/>
        <v>0</v>
      </c>
      <c r="BA585" t="str">
        <f t="shared" si="238"/>
        <v/>
      </c>
      <c r="BB585" t="str">
        <f t="shared" si="239"/>
        <v/>
      </c>
    </row>
    <row r="586" spans="1:54" ht="14.25" customHeight="1" x14ac:dyDescent="0.3">
      <c r="A586" t="str">
        <f>IF(SAISIE!$F591="","",SAISIE!$B591)</f>
        <v/>
      </c>
      <c r="B586" t="str">
        <f>IF(SAISIE!$F591="","",SAISIE!$C591)</f>
        <v/>
      </c>
      <c r="C586" t="str">
        <f>IF(SAISIE!$F591="","",SAISIE!$D591)</f>
        <v/>
      </c>
      <c r="D586" t="str">
        <f>IF(SAISIE!$E591="","",SAISIE!$E591)</f>
        <v/>
      </c>
      <c r="E586" t="str">
        <f>IF(SAISIE!$F591="","",SAISIE!$F591)</f>
        <v/>
      </c>
      <c r="F586" t="str">
        <f>IF(SAISIE!$G591="","",SAISIE!$G591)</f>
        <v/>
      </c>
      <c r="G586" t="str">
        <f>IF(SAISIE!$H591="","",SAISIE!$H591)</f>
        <v/>
      </c>
      <c r="H586" t="str">
        <f>IF(SAISIE!$I591="","",SAISIE!$I591)</f>
        <v/>
      </c>
      <c r="I586" t="str">
        <f>IF(SAISIE!$J591="","",SAISIE!$J591)</f>
        <v/>
      </c>
      <c r="J586" t="str">
        <f>IF(SAISIE!$K591="","",SAISIE!$K591)</f>
        <v/>
      </c>
      <c r="K586" t="str">
        <f>IF(SAISIE!$L591="","",SAISIE!$L591)</f>
        <v/>
      </c>
      <c r="L586" t="str">
        <f>IF(SAISIE!$M591="","",SAISIE!$M591)</f>
        <v/>
      </c>
      <c r="M586" t="str">
        <f>IF(SAISIE!$N591="","",SAISIE!$N591)</f>
        <v/>
      </c>
      <c r="N586" t="str">
        <f>IF(SAISIE!$O591="","",SAISIE!$O591)</f>
        <v/>
      </c>
      <c r="O586" t="str">
        <f>IF(SAISIE!$P591="","",SAISIE!$P591)</f>
        <v/>
      </c>
      <c r="P586" t="str">
        <f>IF(SAISIE!$Q591="","",SAISIE!$Q591)</f>
        <v/>
      </c>
      <c r="Q586" t="str">
        <f>IF($I586="","",IF($I586&gt;PARAMETRES!$G$29,5,IF($I586&gt;PARAMETRES!$F$29,4,IF($I586&gt;PARAMETRES!$E$29,3,IF($I586&gt;PARAMETRES!$D$29,2,1)))))</f>
        <v/>
      </c>
      <c r="R586" t="str">
        <f>IF($J586="","",IF($J586&gt;PARAMETRES!$G$30,5,IF($J586&gt;PARAMETRES!$F$30,4,IF($J586&gt;PARAMETRES!$E$30,3,IF($J586&gt;PARAMETRES!$D$30,2,1)))))</f>
        <v/>
      </c>
      <c r="S586" t="str">
        <f>IF($K586="","",IF($Z586=2,IF($K586&gt;PARAMETRES!$G$31,5,IF($K586&gt;PARAMETRES!$F$31,4,IF($K586&gt;PARAMETRES!$E$31,3,IF($K586&gt;PARAMETRES!$D$31,2,1)))),IF($K586&gt;PARAMETRES!$G$32,5,IF($K586&gt;PARAMETRES!$F$32,4,IF($K586&gt;PARAMETRES!$E$32,3,IF($K586&gt;PARAMETRES!$D$32,2,1))))))</f>
        <v/>
      </c>
      <c r="T586" t="str">
        <f>IF($L586="","",IF($L586&gt;PARAMETRES!$G$33,5,IF($L586&gt;PARAMETRES!$F$33,4,IF($L586&gt;PARAMETRES!$E$33,3,IF($L586&gt;PARAMETRES!$D$33,2,1)))))</f>
        <v/>
      </c>
      <c r="U586" t="str">
        <f>IF($M586="","",IF($M586&gt;PARAMETRES!$G$34,5,IF($M586&gt;PARAMETRES!$F$34,4,IF($M586&gt;PARAMETRES!$E$34,3,IF($M586&gt;PARAMETRES!$D$34,2,1)))))</f>
        <v/>
      </c>
      <c r="V586" t="str">
        <f>IF($N586="","",IF($N586&gt;PARAMETRES!$G$35,5,IF($N586&gt;PARAMETRES!$F$35,4,IF($N586&gt;PARAMETRES!$E$35,3,IF($N586&gt;PARAMETRES!$D$35,2,1)))))</f>
        <v/>
      </c>
      <c r="W586" t="str">
        <f>IF($O586="","",IF($O586&gt;PARAMETRES!$G$36,5,IF($O586&gt;PARAMETRES!$F$36,4,IF($O586&gt;PARAMETRES!$E$36,3,IF($O586&gt;PARAMETRES!$D$36,2,1)))))</f>
        <v/>
      </c>
      <c r="X586" t="str">
        <f>IF($P586="","",IF($P586&gt;PARAMETRES!$G$37,5,IF($P586&gt;PARAMETRES!$F$37,4,IF($P586&gt;PARAMETRES!$E$37,3,IF($P586&gt;PARAMETRES!$D$37,2,1)))))</f>
        <v/>
      </c>
      <c r="Y586" t="str">
        <f t="shared" si="216"/>
        <v/>
      </c>
      <c r="Z586" t="str">
        <f>IFERROR(VLOOKUP($B586,TABLE_CYCLE,2,0),"")</f>
        <v/>
      </c>
      <c r="AA586" t="str">
        <f t="shared" si="217"/>
        <v/>
      </c>
      <c r="AB586" t="str">
        <f>IF($D586="","",IF(COUNTIF($D$2:$D586,$D586)=1,$D586,""))</f>
        <v/>
      </c>
      <c r="AC586">
        <f t="shared" si="218"/>
        <v>0</v>
      </c>
      <c r="AD586" t="str">
        <f t="shared" si="219"/>
        <v>|0</v>
      </c>
      <c r="AE586" t="str">
        <f t="shared" si="220"/>
        <v/>
      </c>
      <c r="AF586" t="str">
        <f t="shared" si="221"/>
        <v/>
      </c>
      <c r="AG586" t="str">
        <f t="shared" si="222"/>
        <v/>
      </c>
      <c r="AH586" t="str">
        <f t="shared" si="223"/>
        <v/>
      </c>
      <c r="AI586" t="str">
        <f t="shared" si="224"/>
        <v/>
      </c>
      <c r="AJ586" t="str">
        <f t="shared" si="225"/>
        <v/>
      </c>
      <c r="AK586" t="str">
        <f t="shared" si="226"/>
        <v/>
      </c>
      <c r="AL586" t="str">
        <f t="shared" si="227"/>
        <v/>
      </c>
      <c r="AM586" t="str">
        <f t="shared" si="228"/>
        <v/>
      </c>
      <c r="AN586" t="str">
        <f t="shared" si="229"/>
        <v/>
      </c>
      <c r="AO586" t="str">
        <f t="shared" si="230"/>
        <v/>
      </c>
      <c r="AP586">
        <f t="shared" si="231"/>
        <v>1</v>
      </c>
      <c r="AQ586" t="str">
        <f>IF(SAISIE!$F591="","",SAISIE!$Y591)</f>
        <v/>
      </c>
      <c r="AR586" t="str">
        <f>IF(OR(SAISIE!$U$4="",SAISIE!$W$4=""),"",IF(AND($A586=SAISIE!$U$4,$B586=SAISIE!$W$4,$C586="S1"),COUNTIFS($A$2:$A586,SAISIE!$U$4,$B$2:$B586,SAISIE!$W$4,$C$2:$C586,"S1"),""))</f>
        <v/>
      </c>
      <c r="AS586" t="str">
        <f t="shared" si="232"/>
        <v/>
      </c>
      <c r="AT586" t="str">
        <f t="shared" si="233"/>
        <v/>
      </c>
      <c r="AU586" t="str">
        <f t="shared" si="234"/>
        <v/>
      </c>
      <c r="AV586">
        <f>N(AV585)+IF(AND($AB586&lt;&gt;"",OR('PROFIL ELEVE'!$K$4="(Tous)",$AF586='PROFIL ELEVE'!$K$4)),1,0)</f>
        <v>0</v>
      </c>
      <c r="AW586">
        <f>N(AW585)+IF(AND($AB586&lt;&gt;"",OR('SUIVI LONGITUDINAL'!$Q$4="(Tous)",$AF586='SUIVI LONGITUDINAL'!$Q$4)),1,0)</f>
        <v>0</v>
      </c>
      <c r="AX586">
        <f t="shared" si="235"/>
        <v>0</v>
      </c>
      <c r="AY586">
        <f t="shared" si="236"/>
        <v>0</v>
      </c>
      <c r="AZ586">
        <f t="shared" si="237"/>
        <v>0</v>
      </c>
      <c r="BA586" t="str">
        <f t="shared" si="238"/>
        <v/>
      </c>
      <c r="BB586" t="str">
        <f t="shared" si="239"/>
        <v/>
      </c>
    </row>
    <row r="587" spans="1:54" ht="14.25" customHeight="1" x14ac:dyDescent="0.3">
      <c r="A587" t="str">
        <f>IF(SAISIE!$F592="","",SAISIE!$B592)</f>
        <v/>
      </c>
      <c r="B587" t="str">
        <f>IF(SAISIE!$F592="","",SAISIE!$C592)</f>
        <v/>
      </c>
      <c r="C587" t="str">
        <f>IF(SAISIE!$F592="","",SAISIE!$D592)</f>
        <v/>
      </c>
      <c r="D587" t="str">
        <f>IF(SAISIE!$E592="","",SAISIE!$E592)</f>
        <v/>
      </c>
      <c r="E587" t="str">
        <f>IF(SAISIE!$F592="","",SAISIE!$F592)</f>
        <v/>
      </c>
      <c r="F587" t="str">
        <f>IF(SAISIE!$G592="","",SAISIE!$G592)</f>
        <v/>
      </c>
      <c r="G587" t="str">
        <f>IF(SAISIE!$H592="","",SAISIE!$H592)</f>
        <v/>
      </c>
      <c r="H587" t="str">
        <f>IF(SAISIE!$I592="","",SAISIE!$I592)</f>
        <v/>
      </c>
      <c r="I587" t="str">
        <f>IF(SAISIE!$J592="","",SAISIE!$J592)</f>
        <v/>
      </c>
      <c r="J587" t="str">
        <f>IF(SAISIE!$K592="","",SAISIE!$K592)</f>
        <v/>
      </c>
      <c r="K587" t="str">
        <f>IF(SAISIE!$L592="","",SAISIE!$L592)</f>
        <v/>
      </c>
      <c r="L587" t="str">
        <f>IF(SAISIE!$M592="","",SAISIE!$M592)</f>
        <v/>
      </c>
      <c r="M587" t="str">
        <f>IF(SAISIE!$N592="","",SAISIE!$N592)</f>
        <v/>
      </c>
      <c r="N587" t="str">
        <f>IF(SAISIE!$O592="","",SAISIE!$O592)</f>
        <v/>
      </c>
      <c r="O587" t="str">
        <f>IF(SAISIE!$P592="","",SAISIE!$P592)</f>
        <v/>
      </c>
      <c r="P587" t="str">
        <f>IF(SAISIE!$Q592="","",SAISIE!$Q592)</f>
        <v/>
      </c>
      <c r="Q587" t="str">
        <f>IF($I587="","",IF($I587&gt;PARAMETRES!$G$29,5,IF($I587&gt;PARAMETRES!$F$29,4,IF($I587&gt;PARAMETRES!$E$29,3,IF($I587&gt;PARAMETRES!$D$29,2,1)))))</f>
        <v/>
      </c>
      <c r="R587" t="str">
        <f>IF($J587="","",IF($J587&gt;PARAMETRES!$G$30,5,IF($J587&gt;PARAMETRES!$F$30,4,IF($J587&gt;PARAMETRES!$E$30,3,IF($J587&gt;PARAMETRES!$D$30,2,1)))))</f>
        <v/>
      </c>
      <c r="S587" t="str">
        <f>IF($K587="","",IF($Z587=2,IF($K587&gt;PARAMETRES!$G$31,5,IF($K587&gt;PARAMETRES!$F$31,4,IF($K587&gt;PARAMETRES!$E$31,3,IF($K587&gt;PARAMETRES!$D$31,2,1)))),IF($K587&gt;PARAMETRES!$G$32,5,IF($K587&gt;PARAMETRES!$F$32,4,IF($K587&gt;PARAMETRES!$E$32,3,IF($K587&gt;PARAMETRES!$D$32,2,1))))))</f>
        <v/>
      </c>
      <c r="T587" t="str">
        <f>IF($L587="","",IF($L587&gt;PARAMETRES!$G$33,5,IF($L587&gt;PARAMETRES!$F$33,4,IF($L587&gt;PARAMETRES!$E$33,3,IF($L587&gt;PARAMETRES!$D$33,2,1)))))</f>
        <v/>
      </c>
      <c r="U587" t="str">
        <f>IF($M587="","",IF($M587&gt;PARAMETRES!$G$34,5,IF($M587&gt;PARAMETRES!$F$34,4,IF($M587&gt;PARAMETRES!$E$34,3,IF($M587&gt;PARAMETRES!$D$34,2,1)))))</f>
        <v/>
      </c>
      <c r="V587" t="str">
        <f>IF($N587="","",IF($N587&gt;PARAMETRES!$G$35,5,IF($N587&gt;PARAMETRES!$F$35,4,IF($N587&gt;PARAMETRES!$E$35,3,IF($N587&gt;PARAMETRES!$D$35,2,1)))))</f>
        <v/>
      </c>
      <c r="W587" t="str">
        <f>IF($O587="","",IF($O587&gt;PARAMETRES!$G$36,5,IF($O587&gt;PARAMETRES!$F$36,4,IF($O587&gt;PARAMETRES!$E$36,3,IF($O587&gt;PARAMETRES!$D$36,2,1)))))</f>
        <v/>
      </c>
      <c r="X587" t="str">
        <f>IF($P587="","",IF($P587&gt;PARAMETRES!$G$37,5,IF($P587&gt;PARAMETRES!$F$37,4,IF($P587&gt;PARAMETRES!$E$37,3,IF($P587&gt;PARAMETRES!$D$37,2,1)))))</f>
        <v/>
      </c>
      <c r="Y587" t="str">
        <f t="shared" si="216"/>
        <v/>
      </c>
      <c r="Z587" t="str">
        <f>IFERROR(VLOOKUP($B587,TABLE_CYCLE,2,0),"")</f>
        <v/>
      </c>
      <c r="AA587" t="str">
        <f t="shared" si="217"/>
        <v/>
      </c>
      <c r="AB587" t="str">
        <f>IF($D587="","",IF(COUNTIF($D$2:$D587,$D587)=1,$D587,""))</f>
        <v/>
      </c>
      <c r="AC587">
        <f t="shared" si="218"/>
        <v>0</v>
      </c>
      <c r="AD587" t="str">
        <f t="shared" si="219"/>
        <v>|0</v>
      </c>
      <c r="AE587" t="str">
        <f t="shared" si="220"/>
        <v/>
      </c>
      <c r="AF587" t="str">
        <f t="shared" si="221"/>
        <v/>
      </c>
      <c r="AG587" t="str">
        <f t="shared" si="222"/>
        <v/>
      </c>
      <c r="AH587" t="str">
        <f t="shared" si="223"/>
        <v/>
      </c>
      <c r="AI587" t="str">
        <f t="shared" si="224"/>
        <v/>
      </c>
      <c r="AJ587" t="str">
        <f t="shared" si="225"/>
        <v/>
      </c>
      <c r="AK587" t="str">
        <f t="shared" si="226"/>
        <v/>
      </c>
      <c r="AL587" t="str">
        <f t="shared" si="227"/>
        <v/>
      </c>
      <c r="AM587" t="str">
        <f t="shared" si="228"/>
        <v/>
      </c>
      <c r="AN587" t="str">
        <f t="shared" si="229"/>
        <v/>
      </c>
      <c r="AO587" t="str">
        <f t="shared" si="230"/>
        <v/>
      </c>
      <c r="AP587">
        <f t="shared" si="231"/>
        <v>1</v>
      </c>
      <c r="AQ587" t="str">
        <f>IF(SAISIE!$F592="","",SAISIE!$Y592)</f>
        <v/>
      </c>
      <c r="AR587" t="str">
        <f>IF(OR(SAISIE!$U$4="",SAISIE!$W$4=""),"",IF(AND($A587=SAISIE!$U$4,$B587=SAISIE!$W$4,$C587="S1"),COUNTIFS($A$2:$A587,SAISIE!$U$4,$B$2:$B587,SAISIE!$W$4,$C$2:$C587,"S1"),""))</f>
        <v/>
      </c>
      <c r="AS587" t="str">
        <f t="shared" si="232"/>
        <v/>
      </c>
      <c r="AT587" t="str">
        <f t="shared" si="233"/>
        <v/>
      </c>
      <c r="AU587" t="str">
        <f t="shared" si="234"/>
        <v/>
      </c>
      <c r="AV587">
        <f>N(AV586)+IF(AND($AB587&lt;&gt;"",OR('PROFIL ELEVE'!$K$4="(Tous)",$AF587='PROFIL ELEVE'!$K$4)),1,0)</f>
        <v>0</v>
      </c>
      <c r="AW587">
        <f>N(AW586)+IF(AND($AB587&lt;&gt;"",OR('SUIVI LONGITUDINAL'!$Q$4="(Tous)",$AF587='SUIVI LONGITUDINAL'!$Q$4)),1,0)</f>
        <v>0</v>
      </c>
      <c r="AX587">
        <f t="shared" si="235"/>
        <v>0</v>
      </c>
      <c r="AY587">
        <f t="shared" si="236"/>
        <v>0</v>
      </c>
      <c r="AZ587">
        <f t="shared" si="237"/>
        <v>0</v>
      </c>
      <c r="BA587" t="str">
        <f t="shared" si="238"/>
        <v/>
      </c>
      <c r="BB587" t="str">
        <f t="shared" si="239"/>
        <v/>
      </c>
    </row>
    <row r="588" spans="1:54" ht="14.25" customHeight="1" x14ac:dyDescent="0.3">
      <c r="A588" t="str">
        <f>IF(SAISIE!$F593="","",SAISIE!$B593)</f>
        <v/>
      </c>
      <c r="B588" t="str">
        <f>IF(SAISIE!$F593="","",SAISIE!$C593)</f>
        <v/>
      </c>
      <c r="C588" t="str">
        <f>IF(SAISIE!$F593="","",SAISIE!$D593)</f>
        <v/>
      </c>
      <c r="D588" t="str">
        <f>IF(SAISIE!$E593="","",SAISIE!$E593)</f>
        <v/>
      </c>
      <c r="E588" t="str">
        <f>IF(SAISIE!$F593="","",SAISIE!$F593)</f>
        <v/>
      </c>
      <c r="F588" t="str">
        <f>IF(SAISIE!$G593="","",SAISIE!$G593)</f>
        <v/>
      </c>
      <c r="G588" t="str">
        <f>IF(SAISIE!$H593="","",SAISIE!$H593)</f>
        <v/>
      </c>
      <c r="H588" t="str">
        <f>IF(SAISIE!$I593="","",SAISIE!$I593)</f>
        <v/>
      </c>
      <c r="I588" t="str">
        <f>IF(SAISIE!$J593="","",SAISIE!$J593)</f>
        <v/>
      </c>
      <c r="J588" t="str">
        <f>IF(SAISIE!$K593="","",SAISIE!$K593)</f>
        <v/>
      </c>
      <c r="K588" t="str">
        <f>IF(SAISIE!$L593="","",SAISIE!$L593)</f>
        <v/>
      </c>
      <c r="L588" t="str">
        <f>IF(SAISIE!$M593="","",SAISIE!$M593)</f>
        <v/>
      </c>
      <c r="M588" t="str">
        <f>IF(SAISIE!$N593="","",SAISIE!$N593)</f>
        <v/>
      </c>
      <c r="N588" t="str">
        <f>IF(SAISIE!$O593="","",SAISIE!$O593)</f>
        <v/>
      </c>
      <c r="O588" t="str">
        <f>IF(SAISIE!$P593="","",SAISIE!$P593)</f>
        <v/>
      </c>
      <c r="P588" t="str">
        <f>IF(SAISIE!$Q593="","",SAISIE!$Q593)</f>
        <v/>
      </c>
      <c r="Q588" t="str">
        <f>IF($I588="","",IF($I588&gt;PARAMETRES!$G$29,5,IF($I588&gt;PARAMETRES!$F$29,4,IF($I588&gt;PARAMETRES!$E$29,3,IF($I588&gt;PARAMETRES!$D$29,2,1)))))</f>
        <v/>
      </c>
      <c r="R588" t="str">
        <f>IF($J588="","",IF($J588&gt;PARAMETRES!$G$30,5,IF($J588&gt;PARAMETRES!$F$30,4,IF($J588&gt;PARAMETRES!$E$30,3,IF($J588&gt;PARAMETRES!$D$30,2,1)))))</f>
        <v/>
      </c>
      <c r="S588" t="str">
        <f>IF($K588="","",IF($Z588=2,IF($K588&gt;PARAMETRES!$G$31,5,IF($K588&gt;PARAMETRES!$F$31,4,IF($K588&gt;PARAMETRES!$E$31,3,IF($K588&gt;PARAMETRES!$D$31,2,1)))),IF($K588&gt;PARAMETRES!$G$32,5,IF($K588&gt;PARAMETRES!$F$32,4,IF($K588&gt;PARAMETRES!$E$32,3,IF($K588&gt;PARAMETRES!$D$32,2,1))))))</f>
        <v/>
      </c>
      <c r="T588" t="str">
        <f>IF($L588="","",IF($L588&gt;PARAMETRES!$G$33,5,IF($L588&gt;PARAMETRES!$F$33,4,IF($L588&gt;PARAMETRES!$E$33,3,IF($L588&gt;PARAMETRES!$D$33,2,1)))))</f>
        <v/>
      </c>
      <c r="U588" t="str">
        <f>IF($M588="","",IF($M588&gt;PARAMETRES!$G$34,5,IF($M588&gt;PARAMETRES!$F$34,4,IF($M588&gt;PARAMETRES!$E$34,3,IF($M588&gt;PARAMETRES!$D$34,2,1)))))</f>
        <v/>
      </c>
      <c r="V588" t="str">
        <f>IF($N588="","",IF($N588&gt;PARAMETRES!$G$35,5,IF($N588&gt;PARAMETRES!$F$35,4,IF($N588&gt;PARAMETRES!$E$35,3,IF($N588&gt;PARAMETRES!$D$35,2,1)))))</f>
        <v/>
      </c>
      <c r="W588" t="str">
        <f>IF($O588="","",IF($O588&gt;PARAMETRES!$G$36,5,IF($O588&gt;PARAMETRES!$F$36,4,IF($O588&gt;PARAMETRES!$E$36,3,IF($O588&gt;PARAMETRES!$D$36,2,1)))))</f>
        <v/>
      </c>
      <c r="X588" t="str">
        <f>IF($P588="","",IF($P588&gt;PARAMETRES!$G$37,5,IF($P588&gt;PARAMETRES!$F$37,4,IF($P588&gt;PARAMETRES!$E$37,3,IF($P588&gt;PARAMETRES!$D$37,2,1)))))</f>
        <v/>
      </c>
      <c r="Y588" t="str">
        <f t="shared" si="216"/>
        <v/>
      </c>
      <c r="Z588" t="str">
        <f>IFERROR(VLOOKUP($B588,TABLE_CYCLE,2,0),"")</f>
        <v/>
      </c>
      <c r="AA588" t="str">
        <f t="shared" si="217"/>
        <v/>
      </c>
      <c r="AB588" t="str">
        <f>IF($D588="","",IF(COUNTIF($D$2:$D588,$D588)=1,$D588,""))</f>
        <v/>
      </c>
      <c r="AC588">
        <f t="shared" si="218"/>
        <v>0</v>
      </c>
      <c r="AD588" t="str">
        <f t="shared" si="219"/>
        <v>|0</v>
      </c>
      <c r="AE588" t="str">
        <f t="shared" si="220"/>
        <v/>
      </c>
      <c r="AF588" t="str">
        <f t="shared" si="221"/>
        <v/>
      </c>
      <c r="AG588" t="str">
        <f t="shared" si="222"/>
        <v/>
      </c>
      <c r="AH588" t="str">
        <f t="shared" si="223"/>
        <v/>
      </c>
      <c r="AI588" t="str">
        <f t="shared" si="224"/>
        <v/>
      </c>
      <c r="AJ588" t="str">
        <f t="shared" si="225"/>
        <v/>
      </c>
      <c r="AK588" t="str">
        <f t="shared" si="226"/>
        <v/>
      </c>
      <c r="AL588" t="str">
        <f t="shared" si="227"/>
        <v/>
      </c>
      <c r="AM588" t="str">
        <f t="shared" si="228"/>
        <v/>
      </c>
      <c r="AN588" t="str">
        <f t="shared" si="229"/>
        <v/>
      </c>
      <c r="AO588" t="str">
        <f t="shared" si="230"/>
        <v/>
      </c>
      <c r="AP588">
        <f t="shared" si="231"/>
        <v>1</v>
      </c>
      <c r="AQ588" t="str">
        <f>IF(SAISIE!$F593="","",SAISIE!$Y593)</f>
        <v/>
      </c>
      <c r="AR588" t="str">
        <f>IF(OR(SAISIE!$U$4="",SAISIE!$W$4=""),"",IF(AND($A588=SAISIE!$U$4,$B588=SAISIE!$W$4,$C588="S1"),COUNTIFS($A$2:$A588,SAISIE!$U$4,$B$2:$B588,SAISIE!$W$4,$C$2:$C588,"S1"),""))</f>
        <v/>
      </c>
      <c r="AS588" t="str">
        <f t="shared" si="232"/>
        <v/>
      </c>
      <c r="AT588" t="str">
        <f t="shared" si="233"/>
        <v/>
      </c>
      <c r="AU588" t="str">
        <f t="shared" si="234"/>
        <v/>
      </c>
      <c r="AV588">
        <f>N(AV587)+IF(AND($AB588&lt;&gt;"",OR('PROFIL ELEVE'!$K$4="(Tous)",$AF588='PROFIL ELEVE'!$K$4)),1,0)</f>
        <v>0</v>
      </c>
      <c r="AW588">
        <f>N(AW587)+IF(AND($AB588&lt;&gt;"",OR('SUIVI LONGITUDINAL'!$Q$4="(Tous)",$AF588='SUIVI LONGITUDINAL'!$Q$4)),1,0)</f>
        <v>0</v>
      </c>
      <c r="AX588">
        <f t="shared" si="235"/>
        <v>0</v>
      </c>
      <c r="AY588">
        <f t="shared" si="236"/>
        <v>0</v>
      </c>
      <c r="AZ588">
        <f t="shared" si="237"/>
        <v>0</v>
      </c>
      <c r="BA588" t="str">
        <f t="shared" si="238"/>
        <v/>
      </c>
      <c r="BB588" t="str">
        <f t="shared" si="239"/>
        <v/>
      </c>
    </row>
    <row r="589" spans="1:54" ht="14.25" customHeight="1" x14ac:dyDescent="0.3">
      <c r="A589" t="str">
        <f>IF(SAISIE!$F594="","",SAISIE!$B594)</f>
        <v/>
      </c>
      <c r="B589" t="str">
        <f>IF(SAISIE!$F594="","",SAISIE!$C594)</f>
        <v/>
      </c>
      <c r="C589" t="str">
        <f>IF(SAISIE!$F594="","",SAISIE!$D594)</f>
        <v/>
      </c>
      <c r="D589" t="str">
        <f>IF(SAISIE!$E594="","",SAISIE!$E594)</f>
        <v/>
      </c>
      <c r="E589" t="str">
        <f>IF(SAISIE!$F594="","",SAISIE!$F594)</f>
        <v/>
      </c>
      <c r="F589" t="str">
        <f>IF(SAISIE!$G594="","",SAISIE!$G594)</f>
        <v/>
      </c>
      <c r="G589" t="str">
        <f>IF(SAISIE!$H594="","",SAISIE!$H594)</f>
        <v/>
      </c>
      <c r="H589" t="str">
        <f>IF(SAISIE!$I594="","",SAISIE!$I594)</f>
        <v/>
      </c>
      <c r="I589" t="str">
        <f>IF(SAISIE!$J594="","",SAISIE!$J594)</f>
        <v/>
      </c>
      <c r="J589" t="str">
        <f>IF(SAISIE!$K594="","",SAISIE!$K594)</f>
        <v/>
      </c>
      <c r="K589" t="str">
        <f>IF(SAISIE!$L594="","",SAISIE!$L594)</f>
        <v/>
      </c>
      <c r="L589" t="str">
        <f>IF(SAISIE!$M594="","",SAISIE!$M594)</f>
        <v/>
      </c>
      <c r="M589" t="str">
        <f>IF(SAISIE!$N594="","",SAISIE!$N594)</f>
        <v/>
      </c>
      <c r="N589" t="str">
        <f>IF(SAISIE!$O594="","",SAISIE!$O594)</f>
        <v/>
      </c>
      <c r="O589" t="str">
        <f>IF(SAISIE!$P594="","",SAISIE!$P594)</f>
        <v/>
      </c>
      <c r="P589" t="str">
        <f>IF(SAISIE!$Q594="","",SAISIE!$Q594)</f>
        <v/>
      </c>
      <c r="Q589" t="str">
        <f>IF($I589="","",IF($I589&gt;PARAMETRES!$G$29,5,IF($I589&gt;PARAMETRES!$F$29,4,IF($I589&gt;PARAMETRES!$E$29,3,IF($I589&gt;PARAMETRES!$D$29,2,1)))))</f>
        <v/>
      </c>
      <c r="R589" t="str">
        <f>IF($J589="","",IF($J589&gt;PARAMETRES!$G$30,5,IF($J589&gt;PARAMETRES!$F$30,4,IF($J589&gt;PARAMETRES!$E$30,3,IF($J589&gt;PARAMETRES!$D$30,2,1)))))</f>
        <v/>
      </c>
      <c r="S589" t="str">
        <f>IF($K589="","",IF($Z589=2,IF($K589&gt;PARAMETRES!$G$31,5,IF($K589&gt;PARAMETRES!$F$31,4,IF($K589&gt;PARAMETRES!$E$31,3,IF($K589&gt;PARAMETRES!$D$31,2,1)))),IF($K589&gt;PARAMETRES!$G$32,5,IF($K589&gt;PARAMETRES!$F$32,4,IF($K589&gt;PARAMETRES!$E$32,3,IF($K589&gt;PARAMETRES!$D$32,2,1))))))</f>
        <v/>
      </c>
      <c r="T589" t="str">
        <f>IF($L589="","",IF($L589&gt;PARAMETRES!$G$33,5,IF($L589&gt;PARAMETRES!$F$33,4,IF($L589&gt;PARAMETRES!$E$33,3,IF($L589&gt;PARAMETRES!$D$33,2,1)))))</f>
        <v/>
      </c>
      <c r="U589" t="str">
        <f>IF($M589="","",IF($M589&gt;PARAMETRES!$G$34,5,IF($M589&gt;PARAMETRES!$F$34,4,IF($M589&gt;PARAMETRES!$E$34,3,IF($M589&gt;PARAMETRES!$D$34,2,1)))))</f>
        <v/>
      </c>
      <c r="V589" t="str">
        <f>IF($N589="","",IF($N589&gt;PARAMETRES!$G$35,5,IF($N589&gt;PARAMETRES!$F$35,4,IF($N589&gt;PARAMETRES!$E$35,3,IF($N589&gt;PARAMETRES!$D$35,2,1)))))</f>
        <v/>
      </c>
      <c r="W589" t="str">
        <f>IF($O589="","",IF($O589&gt;PARAMETRES!$G$36,5,IF($O589&gt;PARAMETRES!$F$36,4,IF($O589&gt;PARAMETRES!$E$36,3,IF($O589&gt;PARAMETRES!$D$36,2,1)))))</f>
        <v/>
      </c>
      <c r="X589" t="str">
        <f>IF($P589="","",IF($P589&gt;PARAMETRES!$G$37,5,IF($P589&gt;PARAMETRES!$F$37,4,IF($P589&gt;PARAMETRES!$E$37,3,IF($P589&gt;PARAMETRES!$D$37,2,1)))))</f>
        <v/>
      </c>
      <c r="Y589" t="str">
        <f t="shared" si="216"/>
        <v/>
      </c>
      <c r="Z589" t="str">
        <f>IFERROR(VLOOKUP($B589,TABLE_CYCLE,2,0),"")</f>
        <v/>
      </c>
      <c r="AA589" t="str">
        <f t="shared" si="217"/>
        <v/>
      </c>
      <c r="AB589" t="str">
        <f>IF($D589="","",IF(COUNTIF($D$2:$D589,$D589)=1,$D589,""))</f>
        <v/>
      </c>
      <c r="AC589">
        <f t="shared" si="218"/>
        <v>0</v>
      </c>
      <c r="AD589" t="str">
        <f t="shared" si="219"/>
        <v>|0</v>
      </c>
      <c r="AE589" t="str">
        <f t="shared" si="220"/>
        <v/>
      </c>
      <c r="AF589" t="str">
        <f t="shared" si="221"/>
        <v/>
      </c>
      <c r="AG589" t="str">
        <f t="shared" si="222"/>
        <v/>
      </c>
      <c r="AH589" t="str">
        <f t="shared" si="223"/>
        <v/>
      </c>
      <c r="AI589" t="str">
        <f t="shared" si="224"/>
        <v/>
      </c>
      <c r="AJ589" t="str">
        <f t="shared" si="225"/>
        <v/>
      </c>
      <c r="AK589" t="str">
        <f t="shared" si="226"/>
        <v/>
      </c>
      <c r="AL589" t="str">
        <f t="shared" si="227"/>
        <v/>
      </c>
      <c r="AM589" t="str">
        <f t="shared" si="228"/>
        <v/>
      </c>
      <c r="AN589" t="str">
        <f t="shared" si="229"/>
        <v/>
      </c>
      <c r="AO589" t="str">
        <f t="shared" si="230"/>
        <v/>
      </c>
      <c r="AP589">
        <f t="shared" si="231"/>
        <v>1</v>
      </c>
      <c r="AQ589" t="str">
        <f>IF(SAISIE!$F594="","",SAISIE!$Y594)</f>
        <v/>
      </c>
      <c r="AR589" t="str">
        <f>IF(OR(SAISIE!$U$4="",SAISIE!$W$4=""),"",IF(AND($A589=SAISIE!$U$4,$B589=SAISIE!$W$4,$C589="S1"),COUNTIFS($A$2:$A589,SAISIE!$U$4,$B$2:$B589,SAISIE!$W$4,$C$2:$C589,"S1"),""))</f>
        <v/>
      </c>
      <c r="AS589" t="str">
        <f t="shared" si="232"/>
        <v/>
      </c>
      <c r="AT589" t="str">
        <f t="shared" si="233"/>
        <v/>
      </c>
      <c r="AU589" t="str">
        <f t="shared" si="234"/>
        <v/>
      </c>
      <c r="AV589">
        <f>N(AV588)+IF(AND($AB589&lt;&gt;"",OR('PROFIL ELEVE'!$K$4="(Tous)",$AF589='PROFIL ELEVE'!$K$4)),1,0)</f>
        <v>0</v>
      </c>
      <c r="AW589">
        <f>N(AW588)+IF(AND($AB589&lt;&gt;"",OR('SUIVI LONGITUDINAL'!$Q$4="(Tous)",$AF589='SUIVI LONGITUDINAL'!$Q$4)),1,0)</f>
        <v>0</v>
      </c>
      <c r="AX589">
        <f t="shared" si="235"/>
        <v>0</v>
      </c>
      <c r="AY589">
        <f t="shared" si="236"/>
        <v>0</v>
      </c>
      <c r="AZ589">
        <f t="shared" si="237"/>
        <v>0</v>
      </c>
      <c r="BA589" t="str">
        <f t="shared" si="238"/>
        <v/>
      </c>
      <c r="BB589" t="str">
        <f t="shared" si="239"/>
        <v/>
      </c>
    </row>
    <row r="590" spans="1:54" ht="14.25" customHeight="1" x14ac:dyDescent="0.3">
      <c r="A590" t="str">
        <f>IF(SAISIE!$F595="","",SAISIE!$B595)</f>
        <v/>
      </c>
      <c r="B590" t="str">
        <f>IF(SAISIE!$F595="","",SAISIE!$C595)</f>
        <v/>
      </c>
      <c r="C590" t="str">
        <f>IF(SAISIE!$F595="","",SAISIE!$D595)</f>
        <v/>
      </c>
      <c r="D590" t="str">
        <f>IF(SAISIE!$E595="","",SAISIE!$E595)</f>
        <v/>
      </c>
      <c r="E590" t="str">
        <f>IF(SAISIE!$F595="","",SAISIE!$F595)</f>
        <v/>
      </c>
      <c r="F590" t="str">
        <f>IF(SAISIE!$G595="","",SAISIE!$G595)</f>
        <v/>
      </c>
      <c r="G590" t="str">
        <f>IF(SAISIE!$H595="","",SAISIE!$H595)</f>
        <v/>
      </c>
      <c r="H590" t="str">
        <f>IF(SAISIE!$I595="","",SAISIE!$I595)</f>
        <v/>
      </c>
      <c r="I590" t="str">
        <f>IF(SAISIE!$J595="","",SAISIE!$J595)</f>
        <v/>
      </c>
      <c r="J590" t="str">
        <f>IF(SAISIE!$K595="","",SAISIE!$K595)</f>
        <v/>
      </c>
      <c r="K590" t="str">
        <f>IF(SAISIE!$L595="","",SAISIE!$L595)</f>
        <v/>
      </c>
      <c r="L590" t="str">
        <f>IF(SAISIE!$M595="","",SAISIE!$M595)</f>
        <v/>
      </c>
      <c r="M590" t="str">
        <f>IF(SAISIE!$N595="","",SAISIE!$N595)</f>
        <v/>
      </c>
      <c r="N590" t="str">
        <f>IF(SAISIE!$O595="","",SAISIE!$O595)</f>
        <v/>
      </c>
      <c r="O590" t="str">
        <f>IF(SAISIE!$P595="","",SAISIE!$P595)</f>
        <v/>
      </c>
      <c r="P590" t="str">
        <f>IF(SAISIE!$Q595="","",SAISIE!$Q595)</f>
        <v/>
      </c>
      <c r="Q590" t="str">
        <f>IF($I590="","",IF($I590&gt;PARAMETRES!$G$29,5,IF($I590&gt;PARAMETRES!$F$29,4,IF($I590&gt;PARAMETRES!$E$29,3,IF($I590&gt;PARAMETRES!$D$29,2,1)))))</f>
        <v/>
      </c>
      <c r="R590" t="str">
        <f>IF($J590="","",IF($J590&gt;PARAMETRES!$G$30,5,IF($J590&gt;PARAMETRES!$F$30,4,IF($J590&gt;PARAMETRES!$E$30,3,IF($J590&gt;PARAMETRES!$D$30,2,1)))))</f>
        <v/>
      </c>
      <c r="S590" t="str">
        <f>IF($K590="","",IF($Z590=2,IF($K590&gt;PARAMETRES!$G$31,5,IF($K590&gt;PARAMETRES!$F$31,4,IF($K590&gt;PARAMETRES!$E$31,3,IF($K590&gt;PARAMETRES!$D$31,2,1)))),IF($K590&gt;PARAMETRES!$G$32,5,IF($K590&gt;PARAMETRES!$F$32,4,IF($K590&gt;PARAMETRES!$E$32,3,IF($K590&gt;PARAMETRES!$D$32,2,1))))))</f>
        <v/>
      </c>
      <c r="T590" t="str">
        <f>IF($L590="","",IF($L590&gt;PARAMETRES!$G$33,5,IF($L590&gt;PARAMETRES!$F$33,4,IF($L590&gt;PARAMETRES!$E$33,3,IF($L590&gt;PARAMETRES!$D$33,2,1)))))</f>
        <v/>
      </c>
      <c r="U590" t="str">
        <f>IF($M590="","",IF($M590&gt;PARAMETRES!$G$34,5,IF($M590&gt;PARAMETRES!$F$34,4,IF($M590&gt;PARAMETRES!$E$34,3,IF($M590&gt;PARAMETRES!$D$34,2,1)))))</f>
        <v/>
      </c>
      <c r="V590" t="str">
        <f>IF($N590="","",IF($N590&gt;PARAMETRES!$G$35,5,IF($N590&gt;PARAMETRES!$F$35,4,IF($N590&gt;PARAMETRES!$E$35,3,IF($N590&gt;PARAMETRES!$D$35,2,1)))))</f>
        <v/>
      </c>
      <c r="W590" t="str">
        <f>IF($O590="","",IF($O590&gt;PARAMETRES!$G$36,5,IF($O590&gt;PARAMETRES!$F$36,4,IF($O590&gt;PARAMETRES!$E$36,3,IF($O590&gt;PARAMETRES!$D$36,2,1)))))</f>
        <v/>
      </c>
      <c r="X590" t="str">
        <f>IF($P590="","",IF($P590&gt;PARAMETRES!$G$37,5,IF($P590&gt;PARAMETRES!$F$37,4,IF($P590&gt;PARAMETRES!$E$37,3,IF($P590&gt;PARAMETRES!$D$37,2,1)))))</f>
        <v/>
      </c>
      <c r="Y590" t="str">
        <f t="shared" si="216"/>
        <v/>
      </c>
      <c r="Z590" t="str">
        <f>IFERROR(VLOOKUP($B590,TABLE_CYCLE,2,0),"")</f>
        <v/>
      </c>
      <c r="AA590" t="str">
        <f t="shared" si="217"/>
        <v/>
      </c>
      <c r="AB590" t="str">
        <f>IF($D590="","",IF(COUNTIF($D$2:$D590,$D590)=1,$D590,""))</f>
        <v/>
      </c>
      <c r="AC590">
        <f t="shared" si="218"/>
        <v>0</v>
      </c>
      <c r="AD590" t="str">
        <f t="shared" si="219"/>
        <v>|0</v>
      </c>
      <c r="AE590" t="str">
        <f t="shared" si="220"/>
        <v/>
      </c>
      <c r="AF590" t="str">
        <f t="shared" si="221"/>
        <v/>
      </c>
      <c r="AG590" t="str">
        <f t="shared" si="222"/>
        <v/>
      </c>
      <c r="AH590" t="str">
        <f t="shared" si="223"/>
        <v/>
      </c>
      <c r="AI590" t="str">
        <f t="shared" si="224"/>
        <v/>
      </c>
      <c r="AJ590" t="str">
        <f t="shared" si="225"/>
        <v/>
      </c>
      <c r="AK590" t="str">
        <f t="shared" si="226"/>
        <v/>
      </c>
      <c r="AL590" t="str">
        <f t="shared" si="227"/>
        <v/>
      </c>
      <c r="AM590" t="str">
        <f t="shared" si="228"/>
        <v/>
      </c>
      <c r="AN590" t="str">
        <f t="shared" si="229"/>
        <v/>
      </c>
      <c r="AO590" t="str">
        <f t="shared" si="230"/>
        <v/>
      </c>
      <c r="AP590">
        <f t="shared" si="231"/>
        <v>1</v>
      </c>
      <c r="AQ590" t="str">
        <f>IF(SAISIE!$F595="","",SAISIE!$Y595)</f>
        <v/>
      </c>
      <c r="AR590" t="str">
        <f>IF(OR(SAISIE!$U$4="",SAISIE!$W$4=""),"",IF(AND($A590=SAISIE!$U$4,$B590=SAISIE!$W$4,$C590="S1"),COUNTIFS($A$2:$A590,SAISIE!$U$4,$B$2:$B590,SAISIE!$W$4,$C$2:$C590,"S1"),""))</f>
        <v/>
      </c>
      <c r="AS590" t="str">
        <f t="shared" si="232"/>
        <v/>
      </c>
      <c r="AT590" t="str">
        <f t="shared" si="233"/>
        <v/>
      </c>
      <c r="AU590" t="str">
        <f t="shared" si="234"/>
        <v/>
      </c>
      <c r="AV590">
        <f>N(AV589)+IF(AND($AB590&lt;&gt;"",OR('PROFIL ELEVE'!$K$4="(Tous)",$AF590='PROFIL ELEVE'!$K$4)),1,0)</f>
        <v>0</v>
      </c>
      <c r="AW590">
        <f>N(AW589)+IF(AND($AB590&lt;&gt;"",OR('SUIVI LONGITUDINAL'!$Q$4="(Tous)",$AF590='SUIVI LONGITUDINAL'!$Q$4)),1,0)</f>
        <v>0</v>
      </c>
      <c r="AX590">
        <f t="shared" si="235"/>
        <v>0</v>
      </c>
      <c r="AY590">
        <f t="shared" si="236"/>
        <v>0</v>
      </c>
      <c r="AZ590">
        <f t="shared" si="237"/>
        <v>0</v>
      </c>
      <c r="BA590" t="str">
        <f t="shared" si="238"/>
        <v/>
      </c>
      <c r="BB590" t="str">
        <f t="shared" si="239"/>
        <v/>
      </c>
    </row>
    <row r="591" spans="1:54" ht="14.25" customHeight="1" x14ac:dyDescent="0.3">
      <c r="A591" t="str">
        <f>IF(SAISIE!$F596="","",SAISIE!$B596)</f>
        <v/>
      </c>
      <c r="B591" t="str">
        <f>IF(SAISIE!$F596="","",SAISIE!$C596)</f>
        <v/>
      </c>
      <c r="C591" t="str">
        <f>IF(SAISIE!$F596="","",SAISIE!$D596)</f>
        <v/>
      </c>
      <c r="D591" t="str">
        <f>IF(SAISIE!$E596="","",SAISIE!$E596)</f>
        <v/>
      </c>
      <c r="E591" t="str">
        <f>IF(SAISIE!$F596="","",SAISIE!$F596)</f>
        <v/>
      </c>
      <c r="F591" t="str">
        <f>IF(SAISIE!$G596="","",SAISIE!$G596)</f>
        <v/>
      </c>
      <c r="G591" t="str">
        <f>IF(SAISIE!$H596="","",SAISIE!$H596)</f>
        <v/>
      </c>
      <c r="H591" t="str">
        <f>IF(SAISIE!$I596="","",SAISIE!$I596)</f>
        <v/>
      </c>
      <c r="I591" t="str">
        <f>IF(SAISIE!$J596="","",SAISIE!$J596)</f>
        <v/>
      </c>
      <c r="J591" t="str">
        <f>IF(SAISIE!$K596="","",SAISIE!$K596)</f>
        <v/>
      </c>
      <c r="K591" t="str">
        <f>IF(SAISIE!$L596="","",SAISIE!$L596)</f>
        <v/>
      </c>
      <c r="L591" t="str">
        <f>IF(SAISIE!$M596="","",SAISIE!$M596)</f>
        <v/>
      </c>
      <c r="M591" t="str">
        <f>IF(SAISIE!$N596="","",SAISIE!$N596)</f>
        <v/>
      </c>
      <c r="N591" t="str">
        <f>IF(SAISIE!$O596="","",SAISIE!$O596)</f>
        <v/>
      </c>
      <c r="O591" t="str">
        <f>IF(SAISIE!$P596="","",SAISIE!$P596)</f>
        <v/>
      </c>
      <c r="P591" t="str">
        <f>IF(SAISIE!$Q596="","",SAISIE!$Q596)</f>
        <v/>
      </c>
      <c r="Q591" t="str">
        <f>IF($I591="","",IF($I591&gt;PARAMETRES!$G$29,5,IF($I591&gt;PARAMETRES!$F$29,4,IF($I591&gt;PARAMETRES!$E$29,3,IF($I591&gt;PARAMETRES!$D$29,2,1)))))</f>
        <v/>
      </c>
      <c r="R591" t="str">
        <f>IF($J591="","",IF($J591&gt;PARAMETRES!$G$30,5,IF($J591&gt;PARAMETRES!$F$30,4,IF($J591&gt;PARAMETRES!$E$30,3,IF($J591&gt;PARAMETRES!$D$30,2,1)))))</f>
        <v/>
      </c>
      <c r="S591" t="str">
        <f>IF($K591="","",IF($Z591=2,IF($K591&gt;PARAMETRES!$G$31,5,IF($K591&gt;PARAMETRES!$F$31,4,IF($K591&gt;PARAMETRES!$E$31,3,IF($K591&gt;PARAMETRES!$D$31,2,1)))),IF($K591&gt;PARAMETRES!$G$32,5,IF($K591&gt;PARAMETRES!$F$32,4,IF($K591&gt;PARAMETRES!$E$32,3,IF($K591&gt;PARAMETRES!$D$32,2,1))))))</f>
        <v/>
      </c>
      <c r="T591" t="str">
        <f>IF($L591="","",IF($L591&gt;PARAMETRES!$G$33,5,IF($L591&gt;PARAMETRES!$F$33,4,IF($L591&gt;PARAMETRES!$E$33,3,IF($L591&gt;PARAMETRES!$D$33,2,1)))))</f>
        <v/>
      </c>
      <c r="U591" t="str">
        <f>IF($M591="","",IF($M591&gt;PARAMETRES!$G$34,5,IF($M591&gt;PARAMETRES!$F$34,4,IF($M591&gt;PARAMETRES!$E$34,3,IF($M591&gt;PARAMETRES!$D$34,2,1)))))</f>
        <v/>
      </c>
      <c r="V591" t="str">
        <f>IF($N591="","",IF($N591&gt;PARAMETRES!$G$35,5,IF($N591&gt;PARAMETRES!$F$35,4,IF($N591&gt;PARAMETRES!$E$35,3,IF($N591&gt;PARAMETRES!$D$35,2,1)))))</f>
        <v/>
      </c>
      <c r="W591" t="str">
        <f>IF($O591="","",IF($O591&gt;PARAMETRES!$G$36,5,IF($O591&gt;PARAMETRES!$F$36,4,IF($O591&gt;PARAMETRES!$E$36,3,IF($O591&gt;PARAMETRES!$D$36,2,1)))))</f>
        <v/>
      </c>
      <c r="X591" t="str">
        <f>IF($P591="","",IF($P591&gt;PARAMETRES!$G$37,5,IF($P591&gt;PARAMETRES!$F$37,4,IF($P591&gt;PARAMETRES!$E$37,3,IF($P591&gt;PARAMETRES!$D$37,2,1)))))</f>
        <v/>
      </c>
      <c r="Y591" t="str">
        <f t="shared" si="216"/>
        <v/>
      </c>
      <c r="Z591" t="str">
        <f>IFERROR(VLOOKUP($B591,TABLE_CYCLE,2,0),"")</f>
        <v/>
      </c>
      <c r="AA591" t="str">
        <f t="shared" si="217"/>
        <v/>
      </c>
      <c r="AB591" t="str">
        <f>IF($D591="","",IF(COUNTIF($D$2:$D591,$D591)=1,$D591,""))</f>
        <v/>
      </c>
      <c r="AC591">
        <f t="shared" si="218"/>
        <v>0</v>
      </c>
      <c r="AD591" t="str">
        <f t="shared" si="219"/>
        <v>|0</v>
      </c>
      <c r="AE591" t="str">
        <f t="shared" si="220"/>
        <v/>
      </c>
      <c r="AF591" t="str">
        <f t="shared" si="221"/>
        <v/>
      </c>
      <c r="AG591" t="str">
        <f t="shared" si="222"/>
        <v/>
      </c>
      <c r="AH591" t="str">
        <f t="shared" si="223"/>
        <v/>
      </c>
      <c r="AI591" t="str">
        <f t="shared" si="224"/>
        <v/>
      </c>
      <c r="AJ591" t="str">
        <f t="shared" si="225"/>
        <v/>
      </c>
      <c r="AK591" t="str">
        <f t="shared" si="226"/>
        <v/>
      </c>
      <c r="AL591" t="str">
        <f t="shared" si="227"/>
        <v/>
      </c>
      <c r="AM591" t="str">
        <f t="shared" si="228"/>
        <v/>
      </c>
      <c r="AN591" t="str">
        <f t="shared" si="229"/>
        <v/>
      </c>
      <c r="AO591" t="str">
        <f t="shared" si="230"/>
        <v/>
      </c>
      <c r="AP591">
        <f t="shared" si="231"/>
        <v>1</v>
      </c>
      <c r="AQ591" t="str">
        <f>IF(SAISIE!$F596="","",SAISIE!$Y596)</f>
        <v/>
      </c>
      <c r="AR591" t="str">
        <f>IF(OR(SAISIE!$U$4="",SAISIE!$W$4=""),"",IF(AND($A591=SAISIE!$U$4,$B591=SAISIE!$W$4,$C591="S1"),COUNTIFS($A$2:$A591,SAISIE!$U$4,$B$2:$B591,SAISIE!$W$4,$C$2:$C591,"S1"),""))</f>
        <v/>
      </c>
      <c r="AS591" t="str">
        <f t="shared" si="232"/>
        <v/>
      </c>
      <c r="AT591" t="str">
        <f t="shared" si="233"/>
        <v/>
      </c>
      <c r="AU591" t="str">
        <f t="shared" si="234"/>
        <v/>
      </c>
      <c r="AV591">
        <f>N(AV590)+IF(AND($AB591&lt;&gt;"",OR('PROFIL ELEVE'!$K$4="(Tous)",$AF591='PROFIL ELEVE'!$K$4)),1,0)</f>
        <v>0</v>
      </c>
      <c r="AW591">
        <f>N(AW590)+IF(AND($AB591&lt;&gt;"",OR('SUIVI LONGITUDINAL'!$Q$4="(Tous)",$AF591='SUIVI LONGITUDINAL'!$Q$4)),1,0)</f>
        <v>0</v>
      </c>
      <c r="AX591">
        <f t="shared" si="235"/>
        <v>0</v>
      </c>
      <c r="AY591">
        <f t="shared" si="236"/>
        <v>0</v>
      </c>
      <c r="AZ591">
        <f t="shared" si="237"/>
        <v>0</v>
      </c>
      <c r="BA591" t="str">
        <f t="shared" si="238"/>
        <v/>
      </c>
      <c r="BB591" t="str">
        <f t="shared" si="239"/>
        <v/>
      </c>
    </row>
    <row r="592" spans="1:54" ht="14.25" customHeight="1" x14ac:dyDescent="0.3">
      <c r="A592" t="str">
        <f>IF(SAISIE!$F597="","",SAISIE!$B597)</f>
        <v/>
      </c>
      <c r="B592" t="str">
        <f>IF(SAISIE!$F597="","",SAISIE!$C597)</f>
        <v/>
      </c>
      <c r="C592" t="str">
        <f>IF(SAISIE!$F597="","",SAISIE!$D597)</f>
        <v/>
      </c>
      <c r="D592" t="str">
        <f>IF(SAISIE!$E597="","",SAISIE!$E597)</f>
        <v/>
      </c>
      <c r="E592" t="str">
        <f>IF(SAISIE!$F597="","",SAISIE!$F597)</f>
        <v/>
      </c>
      <c r="F592" t="str">
        <f>IF(SAISIE!$G597="","",SAISIE!$G597)</f>
        <v/>
      </c>
      <c r="G592" t="str">
        <f>IF(SAISIE!$H597="","",SAISIE!$H597)</f>
        <v/>
      </c>
      <c r="H592" t="str">
        <f>IF(SAISIE!$I597="","",SAISIE!$I597)</f>
        <v/>
      </c>
      <c r="I592" t="str">
        <f>IF(SAISIE!$J597="","",SAISIE!$J597)</f>
        <v/>
      </c>
      <c r="J592" t="str">
        <f>IF(SAISIE!$K597="","",SAISIE!$K597)</f>
        <v/>
      </c>
      <c r="K592" t="str">
        <f>IF(SAISIE!$L597="","",SAISIE!$L597)</f>
        <v/>
      </c>
      <c r="L592" t="str">
        <f>IF(SAISIE!$M597="","",SAISIE!$M597)</f>
        <v/>
      </c>
      <c r="M592" t="str">
        <f>IF(SAISIE!$N597="","",SAISIE!$N597)</f>
        <v/>
      </c>
      <c r="N592" t="str">
        <f>IF(SAISIE!$O597="","",SAISIE!$O597)</f>
        <v/>
      </c>
      <c r="O592" t="str">
        <f>IF(SAISIE!$P597="","",SAISIE!$P597)</f>
        <v/>
      </c>
      <c r="P592" t="str">
        <f>IF(SAISIE!$Q597="","",SAISIE!$Q597)</f>
        <v/>
      </c>
      <c r="Q592" t="str">
        <f>IF($I592="","",IF($I592&gt;PARAMETRES!$G$29,5,IF($I592&gt;PARAMETRES!$F$29,4,IF($I592&gt;PARAMETRES!$E$29,3,IF($I592&gt;PARAMETRES!$D$29,2,1)))))</f>
        <v/>
      </c>
      <c r="R592" t="str">
        <f>IF($J592="","",IF($J592&gt;PARAMETRES!$G$30,5,IF($J592&gt;PARAMETRES!$F$30,4,IF($J592&gt;PARAMETRES!$E$30,3,IF($J592&gt;PARAMETRES!$D$30,2,1)))))</f>
        <v/>
      </c>
      <c r="S592" t="str">
        <f>IF($K592="","",IF($Z592=2,IF($K592&gt;PARAMETRES!$G$31,5,IF($K592&gt;PARAMETRES!$F$31,4,IF($K592&gt;PARAMETRES!$E$31,3,IF($K592&gt;PARAMETRES!$D$31,2,1)))),IF($K592&gt;PARAMETRES!$G$32,5,IF($K592&gt;PARAMETRES!$F$32,4,IF($K592&gt;PARAMETRES!$E$32,3,IF($K592&gt;PARAMETRES!$D$32,2,1))))))</f>
        <v/>
      </c>
      <c r="T592" t="str">
        <f>IF($L592="","",IF($L592&gt;PARAMETRES!$G$33,5,IF($L592&gt;PARAMETRES!$F$33,4,IF($L592&gt;PARAMETRES!$E$33,3,IF($L592&gt;PARAMETRES!$D$33,2,1)))))</f>
        <v/>
      </c>
      <c r="U592" t="str">
        <f>IF($M592="","",IF($M592&gt;PARAMETRES!$G$34,5,IF($M592&gt;PARAMETRES!$F$34,4,IF($M592&gt;PARAMETRES!$E$34,3,IF($M592&gt;PARAMETRES!$D$34,2,1)))))</f>
        <v/>
      </c>
      <c r="V592" t="str">
        <f>IF($N592="","",IF($N592&gt;PARAMETRES!$G$35,5,IF($N592&gt;PARAMETRES!$F$35,4,IF($N592&gt;PARAMETRES!$E$35,3,IF($N592&gt;PARAMETRES!$D$35,2,1)))))</f>
        <v/>
      </c>
      <c r="W592" t="str">
        <f>IF($O592="","",IF($O592&gt;PARAMETRES!$G$36,5,IF($O592&gt;PARAMETRES!$F$36,4,IF($O592&gt;PARAMETRES!$E$36,3,IF($O592&gt;PARAMETRES!$D$36,2,1)))))</f>
        <v/>
      </c>
      <c r="X592" t="str">
        <f>IF($P592="","",IF($P592&gt;PARAMETRES!$G$37,5,IF($P592&gt;PARAMETRES!$F$37,4,IF($P592&gt;PARAMETRES!$E$37,3,IF($P592&gt;PARAMETRES!$D$37,2,1)))))</f>
        <v/>
      </c>
      <c r="Y592" t="str">
        <f t="shared" si="216"/>
        <v/>
      </c>
      <c r="Z592" t="str">
        <f>IFERROR(VLOOKUP($B592,TABLE_CYCLE,2,0),"")</f>
        <v/>
      </c>
      <c r="AA592" t="str">
        <f t="shared" si="217"/>
        <v/>
      </c>
      <c r="AB592" t="str">
        <f>IF($D592="","",IF(COUNTIF($D$2:$D592,$D592)=1,$D592,""))</f>
        <v/>
      </c>
      <c r="AC592">
        <f t="shared" si="218"/>
        <v>0</v>
      </c>
      <c r="AD592" t="str">
        <f t="shared" si="219"/>
        <v>|0</v>
      </c>
      <c r="AE592" t="str">
        <f t="shared" si="220"/>
        <v/>
      </c>
      <c r="AF592" t="str">
        <f t="shared" si="221"/>
        <v/>
      </c>
      <c r="AG592" t="str">
        <f t="shared" si="222"/>
        <v/>
      </c>
      <c r="AH592" t="str">
        <f t="shared" si="223"/>
        <v/>
      </c>
      <c r="AI592" t="str">
        <f t="shared" si="224"/>
        <v/>
      </c>
      <c r="AJ592" t="str">
        <f t="shared" si="225"/>
        <v/>
      </c>
      <c r="AK592" t="str">
        <f t="shared" si="226"/>
        <v/>
      </c>
      <c r="AL592" t="str">
        <f t="shared" si="227"/>
        <v/>
      </c>
      <c r="AM592" t="str">
        <f t="shared" si="228"/>
        <v/>
      </c>
      <c r="AN592" t="str">
        <f t="shared" si="229"/>
        <v/>
      </c>
      <c r="AO592" t="str">
        <f t="shared" si="230"/>
        <v/>
      </c>
      <c r="AP592">
        <f t="shared" si="231"/>
        <v>1</v>
      </c>
      <c r="AQ592" t="str">
        <f>IF(SAISIE!$F597="","",SAISIE!$Y597)</f>
        <v/>
      </c>
      <c r="AR592" t="str">
        <f>IF(OR(SAISIE!$U$4="",SAISIE!$W$4=""),"",IF(AND($A592=SAISIE!$U$4,$B592=SAISIE!$W$4,$C592="S1"),COUNTIFS($A$2:$A592,SAISIE!$U$4,$B$2:$B592,SAISIE!$W$4,$C$2:$C592,"S1"),""))</f>
        <v/>
      </c>
      <c r="AS592" t="str">
        <f t="shared" si="232"/>
        <v/>
      </c>
      <c r="AT592" t="str">
        <f t="shared" si="233"/>
        <v/>
      </c>
      <c r="AU592" t="str">
        <f t="shared" si="234"/>
        <v/>
      </c>
      <c r="AV592">
        <f>N(AV591)+IF(AND($AB592&lt;&gt;"",OR('PROFIL ELEVE'!$K$4="(Tous)",$AF592='PROFIL ELEVE'!$K$4)),1,0)</f>
        <v>0</v>
      </c>
      <c r="AW592">
        <f>N(AW591)+IF(AND($AB592&lt;&gt;"",OR('SUIVI LONGITUDINAL'!$Q$4="(Tous)",$AF592='SUIVI LONGITUDINAL'!$Q$4)),1,0)</f>
        <v>0</v>
      </c>
      <c r="AX592">
        <f t="shared" si="235"/>
        <v>0</v>
      </c>
      <c r="AY592">
        <f t="shared" si="236"/>
        <v>0</v>
      </c>
      <c r="AZ592">
        <f t="shared" si="237"/>
        <v>0</v>
      </c>
      <c r="BA592" t="str">
        <f t="shared" si="238"/>
        <v/>
      </c>
      <c r="BB592" t="str">
        <f t="shared" si="239"/>
        <v/>
      </c>
    </row>
    <row r="593" spans="1:54" ht="14.25" customHeight="1" x14ac:dyDescent="0.3">
      <c r="A593" t="str">
        <f>IF(SAISIE!$F598="","",SAISIE!$B598)</f>
        <v/>
      </c>
      <c r="B593" t="str">
        <f>IF(SAISIE!$F598="","",SAISIE!$C598)</f>
        <v/>
      </c>
      <c r="C593" t="str">
        <f>IF(SAISIE!$F598="","",SAISIE!$D598)</f>
        <v/>
      </c>
      <c r="D593" t="str">
        <f>IF(SAISIE!$E598="","",SAISIE!$E598)</f>
        <v/>
      </c>
      <c r="E593" t="str">
        <f>IF(SAISIE!$F598="","",SAISIE!$F598)</f>
        <v/>
      </c>
      <c r="F593" t="str">
        <f>IF(SAISIE!$G598="","",SAISIE!$G598)</f>
        <v/>
      </c>
      <c r="G593" t="str">
        <f>IF(SAISIE!$H598="","",SAISIE!$H598)</f>
        <v/>
      </c>
      <c r="H593" t="str">
        <f>IF(SAISIE!$I598="","",SAISIE!$I598)</f>
        <v/>
      </c>
      <c r="I593" t="str">
        <f>IF(SAISIE!$J598="","",SAISIE!$J598)</f>
        <v/>
      </c>
      <c r="J593" t="str">
        <f>IF(SAISIE!$K598="","",SAISIE!$K598)</f>
        <v/>
      </c>
      <c r="K593" t="str">
        <f>IF(SAISIE!$L598="","",SAISIE!$L598)</f>
        <v/>
      </c>
      <c r="L593" t="str">
        <f>IF(SAISIE!$M598="","",SAISIE!$M598)</f>
        <v/>
      </c>
      <c r="M593" t="str">
        <f>IF(SAISIE!$N598="","",SAISIE!$N598)</f>
        <v/>
      </c>
      <c r="N593" t="str">
        <f>IF(SAISIE!$O598="","",SAISIE!$O598)</f>
        <v/>
      </c>
      <c r="O593" t="str">
        <f>IF(SAISIE!$P598="","",SAISIE!$P598)</f>
        <v/>
      </c>
      <c r="P593" t="str">
        <f>IF(SAISIE!$Q598="","",SAISIE!$Q598)</f>
        <v/>
      </c>
      <c r="Q593" t="str">
        <f>IF($I593="","",IF($I593&gt;PARAMETRES!$G$29,5,IF($I593&gt;PARAMETRES!$F$29,4,IF($I593&gt;PARAMETRES!$E$29,3,IF($I593&gt;PARAMETRES!$D$29,2,1)))))</f>
        <v/>
      </c>
      <c r="R593" t="str">
        <f>IF($J593="","",IF($J593&gt;PARAMETRES!$G$30,5,IF($J593&gt;PARAMETRES!$F$30,4,IF($J593&gt;PARAMETRES!$E$30,3,IF($J593&gt;PARAMETRES!$D$30,2,1)))))</f>
        <v/>
      </c>
      <c r="S593" t="str">
        <f>IF($K593="","",IF($Z593=2,IF($K593&gt;PARAMETRES!$G$31,5,IF($K593&gt;PARAMETRES!$F$31,4,IF($K593&gt;PARAMETRES!$E$31,3,IF($K593&gt;PARAMETRES!$D$31,2,1)))),IF($K593&gt;PARAMETRES!$G$32,5,IF($K593&gt;PARAMETRES!$F$32,4,IF($K593&gt;PARAMETRES!$E$32,3,IF($K593&gt;PARAMETRES!$D$32,2,1))))))</f>
        <v/>
      </c>
      <c r="T593" t="str">
        <f>IF($L593="","",IF($L593&gt;PARAMETRES!$G$33,5,IF($L593&gt;PARAMETRES!$F$33,4,IF($L593&gt;PARAMETRES!$E$33,3,IF($L593&gt;PARAMETRES!$D$33,2,1)))))</f>
        <v/>
      </c>
      <c r="U593" t="str">
        <f>IF($M593="","",IF($M593&gt;PARAMETRES!$G$34,5,IF($M593&gt;PARAMETRES!$F$34,4,IF($M593&gt;PARAMETRES!$E$34,3,IF($M593&gt;PARAMETRES!$D$34,2,1)))))</f>
        <v/>
      </c>
      <c r="V593" t="str">
        <f>IF($N593="","",IF($N593&gt;PARAMETRES!$G$35,5,IF($N593&gt;PARAMETRES!$F$35,4,IF($N593&gt;PARAMETRES!$E$35,3,IF($N593&gt;PARAMETRES!$D$35,2,1)))))</f>
        <v/>
      </c>
      <c r="W593" t="str">
        <f>IF($O593="","",IF($O593&gt;PARAMETRES!$G$36,5,IF($O593&gt;PARAMETRES!$F$36,4,IF($O593&gt;PARAMETRES!$E$36,3,IF($O593&gt;PARAMETRES!$D$36,2,1)))))</f>
        <v/>
      </c>
      <c r="X593" t="str">
        <f>IF($P593="","",IF($P593&gt;PARAMETRES!$G$37,5,IF($P593&gt;PARAMETRES!$F$37,4,IF($P593&gt;PARAMETRES!$E$37,3,IF($P593&gt;PARAMETRES!$D$37,2,1)))))</f>
        <v/>
      </c>
      <c r="Y593" t="str">
        <f t="shared" si="216"/>
        <v/>
      </c>
      <c r="Z593" t="str">
        <f>IFERROR(VLOOKUP($B593,TABLE_CYCLE,2,0),"")</f>
        <v/>
      </c>
      <c r="AA593" t="str">
        <f t="shared" si="217"/>
        <v/>
      </c>
      <c r="AB593" t="str">
        <f>IF($D593="","",IF(COUNTIF($D$2:$D593,$D593)=1,$D593,""))</f>
        <v/>
      </c>
      <c r="AC593">
        <f t="shared" si="218"/>
        <v>0</v>
      </c>
      <c r="AD593" t="str">
        <f t="shared" si="219"/>
        <v>|0</v>
      </c>
      <c r="AE593" t="str">
        <f t="shared" si="220"/>
        <v/>
      </c>
      <c r="AF593" t="str">
        <f t="shared" si="221"/>
        <v/>
      </c>
      <c r="AG593" t="str">
        <f t="shared" si="222"/>
        <v/>
      </c>
      <c r="AH593" t="str">
        <f t="shared" si="223"/>
        <v/>
      </c>
      <c r="AI593" t="str">
        <f t="shared" si="224"/>
        <v/>
      </c>
      <c r="AJ593" t="str">
        <f t="shared" si="225"/>
        <v/>
      </c>
      <c r="AK593" t="str">
        <f t="shared" si="226"/>
        <v/>
      </c>
      <c r="AL593" t="str">
        <f t="shared" si="227"/>
        <v/>
      </c>
      <c r="AM593" t="str">
        <f t="shared" si="228"/>
        <v/>
      </c>
      <c r="AN593" t="str">
        <f t="shared" si="229"/>
        <v/>
      </c>
      <c r="AO593" t="str">
        <f t="shared" si="230"/>
        <v/>
      </c>
      <c r="AP593">
        <f t="shared" si="231"/>
        <v>1</v>
      </c>
      <c r="AQ593" t="str">
        <f>IF(SAISIE!$F598="","",SAISIE!$Y598)</f>
        <v/>
      </c>
      <c r="AR593" t="str">
        <f>IF(OR(SAISIE!$U$4="",SAISIE!$W$4=""),"",IF(AND($A593=SAISIE!$U$4,$B593=SAISIE!$W$4,$C593="S1"),COUNTIFS($A$2:$A593,SAISIE!$U$4,$B$2:$B593,SAISIE!$W$4,$C$2:$C593,"S1"),""))</f>
        <v/>
      </c>
      <c r="AS593" t="str">
        <f t="shared" si="232"/>
        <v/>
      </c>
      <c r="AT593" t="str">
        <f t="shared" si="233"/>
        <v/>
      </c>
      <c r="AU593" t="str">
        <f t="shared" si="234"/>
        <v/>
      </c>
      <c r="AV593">
        <f>N(AV592)+IF(AND($AB593&lt;&gt;"",OR('PROFIL ELEVE'!$K$4="(Tous)",$AF593='PROFIL ELEVE'!$K$4)),1,0)</f>
        <v>0</v>
      </c>
      <c r="AW593">
        <f>N(AW592)+IF(AND($AB593&lt;&gt;"",OR('SUIVI LONGITUDINAL'!$Q$4="(Tous)",$AF593='SUIVI LONGITUDINAL'!$Q$4)),1,0)</f>
        <v>0</v>
      </c>
      <c r="AX593">
        <f t="shared" si="235"/>
        <v>0</v>
      </c>
      <c r="AY593">
        <f t="shared" si="236"/>
        <v>0</v>
      </c>
      <c r="AZ593">
        <f t="shared" si="237"/>
        <v>0</v>
      </c>
      <c r="BA593" t="str">
        <f t="shared" si="238"/>
        <v/>
      </c>
      <c r="BB593" t="str">
        <f t="shared" si="239"/>
        <v/>
      </c>
    </row>
    <row r="594" spans="1:54" ht="14.25" customHeight="1" x14ac:dyDescent="0.3">
      <c r="A594" t="str">
        <f>IF(SAISIE!$F599="","",SAISIE!$B599)</f>
        <v/>
      </c>
      <c r="B594" t="str">
        <f>IF(SAISIE!$F599="","",SAISIE!$C599)</f>
        <v/>
      </c>
      <c r="C594" t="str">
        <f>IF(SAISIE!$F599="","",SAISIE!$D599)</f>
        <v/>
      </c>
      <c r="D594" t="str">
        <f>IF(SAISIE!$E599="","",SAISIE!$E599)</f>
        <v/>
      </c>
      <c r="E594" t="str">
        <f>IF(SAISIE!$F599="","",SAISIE!$F599)</f>
        <v/>
      </c>
      <c r="F594" t="str">
        <f>IF(SAISIE!$G599="","",SAISIE!$G599)</f>
        <v/>
      </c>
      <c r="G594" t="str">
        <f>IF(SAISIE!$H599="","",SAISIE!$H599)</f>
        <v/>
      </c>
      <c r="H594" t="str">
        <f>IF(SAISIE!$I599="","",SAISIE!$I599)</f>
        <v/>
      </c>
      <c r="I594" t="str">
        <f>IF(SAISIE!$J599="","",SAISIE!$J599)</f>
        <v/>
      </c>
      <c r="J594" t="str">
        <f>IF(SAISIE!$K599="","",SAISIE!$K599)</f>
        <v/>
      </c>
      <c r="K594" t="str">
        <f>IF(SAISIE!$L599="","",SAISIE!$L599)</f>
        <v/>
      </c>
      <c r="L594" t="str">
        <f>IF(SAISIE!$M599="","",SAISIE!$M599)</f>
        <v/>
      </c>
      <c r="M594" t="str">
        <f>IF(SAISIE!$N599="","",SAISIE!$N599)</f>
        <v/>
      </c>
      <c r="N594" t="str">
        <f>IF(SAISIE!$O599="","",SAISIE!$O599)</f>
        <v/>
      </c>
      <c r="O594" t="str">
        <f>IF(SAISIE!$P599="","",SAISIE!$P599)</f>
        <v/>
      </c>
      <c r="P594" t="str">
        <f>IF(SAISIE!$Q599="","",SAISIE!$Q599)</f>
        <v/>
      </c>
      <c r="Q594" t="str">
        <f>IF($I594="","",IF($I594&gt;PARAMETRES!$G$29,5,IF($I594&gt;PARAMETRES!$F$29,4,IF($I594&gt;PARAMETRES!$E$29,3,IF($I594&gt;PARAMETRES!$D$29,2,1)))))</f>
        <v/>
      </c>
      <c r="R594" t="str">
        <f>IF($J594="","",IF($J594&gt;PARAMETRES!$G$30,5,IF($J594&gt;PARAMETRES!$F$30,4,IF($J594&gt;PARAMETRES!$E$30,3,IF($J594&gt;PARAMETRES!$D$30,2,1)))))</f>
        <v/>
      </c>
      <c r="S594" t="str">
        <f>IF($K594="","",IF($Z594=2,IF($K594&gt;PARAMETRES!$G$31,5,IF($K594&gt;PARAMETRES!$F$31,4,IF($K594&gt;PARAMETRES!$E$31,3,IF($K594&gt;PARAMETRES!$D$31,2,1)))),IF($K594&gt;PARAMETRES!$G$32,5,IF($K594&gt;PARAMETRES!$F$32,4,IF($K594&gt;PARAMETRES!$E$32,3,IF($K594&gt;PARAMETRES!$D$32,2,1))))))</f>
        <v/>
      </c>
      <c r="T594" t="str">
        <f>IF($L594="","",IF($L594&gt;PARAMETRES!$G$33,5,IF($L594&gt;PARAMETRES!$F$33,4,IF($L594&gt;PARAMETRES!$E$33,3,IF($L594&gt;PARAMETRES!$D$33,2,1)))))</f>
        <v/>
      </c>
      <c r="U594" t="str">
        <f>IF($M594="","",IF($M594&gt;PARAMETRES!$G$34,5,IF($M594&gt;PARAMETRES!$F$34,4,IF($M594&gt;PARAMETRES!$E$34,3,IF($M594&gt;PARAMETRES!$D$34,2,1)))))</f>
        <v/>
      </c>
      <c r="V594" t="str">
        <f>IF($N594="","",IF($N594&gt;PARAMETRES!$G$35,5,IF($N594&gt;PARAMETRES!$F$35,4,IF($N594&gt;PARAMETRES!$E$35,3,IF($N594&gt;PARAMETRES!$D$35,2,1)))))</f>
        <v/>
      </c>
      <c r="W594" t="str">
        <f>IF($O594="","",IF($O594&gt;PARAMETRES!$G$36,5,IF($O594&gt;PARAMETRES!$F$36,4,IF($O594&gt;PARAMETRES!$E$36,3,IF($O594&gt;PARAMETRES!$D$36,2,1)))))</f>
        <v/>
      </c>
      <c r="X594" t="str">
        <f>IF($P594="","",IF($P594&gt;PARAMETRES!$G$37,5,IF($P594&gt;PARAMETRES!$F$37,4,IF($P594&gt;PARAMETRES!$E$37,3,IF($P594&gt;PARAMETRES!$D$37,2,1)))))</f>
        <v/>
      </c>
      <c r="Y594" t="str">
        <f t="shared" si="216"/>
        <v/>
      </c>
      <c r="Z594" t="str">
        <f>IFERROR(VLOOKUP($B594,TABLE_CYCLE,2,0),"")</f>
        <v/>
      </c>
      <c r="AA594" t="str">
        <f t="shared" si="217"/>
        <v/>
      </c>
      <c r="AB594" t="str">
        <f>IF($D594="","",IF(COUNTIF($D$2:$D594,$D594)=1,$D594,""))</f>
        <v/>
      </c>
      <c r="AC594">
        <f t="shared" si="218"/>
        <v>0</v>
      </c>
      <c r="AD594" t="str">
        <f t="shared" si="219"/>
        <v>|0</v>
      </c>
      <c r="AE594" t="str">
        <f t="shared" si="220"/>
        <v/>
      </c>
      <c r="AF594" t="str">
        <f t="shared" si="221"/>
        <v/>
      </c>
      <c r="AG594" t="str">
        <f t="shared" si="222"/>
        <v/>
      </c>
      <c r="AH594" t="str">
        <f t="shared" si="223"/>
        <v/>
      </c>
      <c r="AI594" t="str">
        <f t="shared" si="224"/>
        <v/>
      </c>
      <c r="AJ594" t="str">
        <f t="shared" si="225"/>
        <v/>
      </c>
      <c r="AK594" t="str">
        <f t="shared" si="226"/>
        <v/>
      </c>
      <c r="AL594" t="str">
        <f t="shared" si="227"/>
        <v/>
      </c>
      <c r="AM594" t="str">
        <f t="shared" si="228"/>
        <v/>
      </c>
      <c r="AN594" t="str">
        <f t="shared" si="229"/>
        <v/>
      </c>
      <c r="AO594" t="str">
        <f t="shared" si="230"/>
        <v/>
      </c>
      <c r="AP594">
        <f t="shared" si="231"/>
        <v>1</v>
      </c>
      <c r="AQ594" t="str">
        <f>IF(SAISIE!$F599="","",SAISIE!$Y599)</f>
        <v/>
      </c>
      <c r="AR594" t="str">
        <f>IF(OR(SAISIE!$U$4="",SAISIE!$W$4=""),"",IF(AND($A594=SAISIE!$U$4,$B594=SAISIE!$W$4,$C594="S1"),COUNTIFS($A$2:$A594,SAISIE!$U$4,$B$2:$B594,SAISIE!$W$4,$C$2:$C594,"S1"),""))</f>
        <v/>
      </c>
      <c r="AS594" t="str">
        <f t="shared" si="232"/>
        <v/>
      </c>
      <c r="AT594" t="str">
        <f t="shared" si="233"/>
        <v/>
      </c>
      <c r="AU594" t="str">
        <f t="shared" si="234"/>
        <v/>
      </c>
      <c r="AV594">
        <f>N(AV593)+IF(AND($AB594&lt;&gt;"",OR('PROFIL ELEVE'!$K$4="(Tous)",$AF594='PROFIL ELEVE'!$K$4)),1,0)</f>
        <v>0</v>
      </c>
      <c r="AW594">
        <f>N(AW593)+IF(AND($AB594&lt;&gt;"",OR('SUIVI LONGITUDINAL'!$Q$4="(Tous)",$AF594='SUIVI LONGITUDINAL'!$Q$4)),1,0)</f>
        <v>0</v>
      </c>
      <c r="AX594">
        <f t="shared" si="235"/>
        <v>0</v>
      </c>
      <c r="AY594">
        <f t="shared" si="236"/>
        <v>0</v>
      </c>
      <c r="AZ594">
        <f t="shared" si="237"/>
        <v>0</v>
      </c>
      <c r="BA594" t="str">
        <f t="shared" si="238"/>
        <v/>
      </c>
      <c r="BB594" t="str">
        <f t="shared" si="239"/>
        <v/>
      </c>
    </row>
    <row r="595" spans="1:54" ht="14.25" customHeight="1" x14ac:dyDescent="0.3">
      <c r="A595" t="str">
        <f>IF(SAISIE!$F600="","",SAISIE!$B600)</f>
        <v/>
      </c>
      <c r="B595" t="str">
        <f>IF(SAISIE!$F600="","",SAISIE!$C600)</f>
        <v/>
      </c>
      <c r="C595" t="str">
        <f>IF(SAISIE!$F600="","",SAISIE!$D600)</f>
        <v/>
      </c>
      <c r="D595" t="str">
        <f>IF(SAISIE!$E600="","",SAISIE!$E600)</f>
        <v/>
      </c>
      <c r="E595" t="str">
        <f>IF(SAISIE!$F600="","",SAISIE!$F600)</f>
        <v/>
      </c>
      <c r="F595" t="str">
        <f>IF(SAISIE!$G600="","",SAISIE!$G600)</f>
        <v/>
      </c>
      <c r="G595" t="str">
        <f>IF(SAISIE!$H600="","",SAISIE!$H600)</f>
        <v/>
      </c>
      <c r="H595" t="str">
        <f>IF(SAISIE!$I600="","",SAISIE!$I600)</f>
        <v/>
      </c>
      <c r="I595" t="str">
        <f>IF(SAISIE!$J600="","",SAISIE!$J600)</f>
        <v/>
      </c>
      <c r="J595" t="str">
        <f>IF(SAISIE!$K600="","",SAISIE!$K600)</f>
        <v/>
      </c>
      <c r="K595" t="str">
        <f>IF(SAISIE!$L600="","",SAISIE!$L600)</f>
        <v/>
      </c>
      <c r="L595" t="str">
        <f>IF(SAISIE!$M600="","",SAISIE!$M600)</f>
        <v/>
      </c>
      <c r="M595" t="str">
        <f>IF(SAISIE!$N600="","",SAISIE!$N600)</f>
        <v/>
      </c>
      <c r="N595" t="str">
        <f>IF(SAISIE!$O600="","",SAISIE!$O600)</f>
        <v/>
      </c>
      <c r="O595" t="str">
        <f>IF(SAISIE!$P600="","",SAISIE!$P600)</f>
        <v/>
      </c>
      <c r="P595" t="str">
        <f>IF(SAISIE!$Q600="","",SAISIE!$Q600)</f>
        <v/>
      </c>
      <c r="Q595" t="str">
        <f>IF($I595="","",IF($I595&gt;PARAMETRES!$G$29,5,IF($I595&gt;PARAMETRES!$F$29,4,IF($I595&gt;PARAMETRES!$E$29,3,IF($I595&gt;PARAMETRES!$D$29,2,1)))))</f>
        <v/>
      </c>
      <c r="R595" t="str">
        <f>IF($J595="","",IF($J595&gt;PARAMETRES!$G$30,5,IF($J595&gt;PARAMETRES!$F$30,4,IF($J595&gt;PARAMETRES!$E$30,3,IF($J595&gt;PARAMETRES!$D$30,2,1)))))</f>
        <v/>
      </c>
      <c r="S595" t="str">
        <f>IF($K595="","",IF($Z595=2,IF($K595&gt;PARAMETRES!$G$31,5,IF($K595&gt;PARAMETRES!$F$31,4,IF($K595&gt;PARAMETRES!$E$31,3,IF($K595&gt;PARAMETRES!$D$31,2,1)))),IF($K595&gt;PARAMETRES!$G$32,5,IF($K595&gt;PARAMETRES!$F$32,4,IF($K595&gt;PARAMETRES!$E$32,3,IF($K595&gt;PARAMETRES!$D$32,2,1))))))</f>
        <v/>
      </c>
      <c r="T595" t="str">
        <f>IF($L595="","",IF($L595&gt;PARAMETRES!$G$33,5,IF($L595&gt;PARAMETRES!$F$33,4,IF($L595&gt;PARAMETRES!$E$33,3,IF($L595&gt;PARAMETRES!$D$33,2,1)))))</f>
        <v/>
      </c>
      <c r="U595" t="str">
        <f>IF($M595="","",IF($M595&gt;PARAMETRES!$G$34,5,IF($M595&gt;PARAMETRES!$F$34,4,IF($M595&gt;PARAMETRES!$E$34,3,IF($M595&gt;PARAMETRES!$D$34,2,1)))))</f>
        <v/>
      </c>
      <c r="V595" t="str">
        <f>IF($N595="","",IF($N595&gt;PARAMETRES!$G$35,5,IF($N595&gt;PARAMETRES!$F$35,4,IF($N595&gt;PARAMETRES!$E$35,3,IF($N595&gt;PARAMETRES!$D$35,2,1)))))</f>
        <v/>
      </c>
      <c r="W595" t="str">
        <f>IF($O595="","",IF($O595&gt;PARAMETRES!$G$36,5,IF($O595&gt;PARAMETRES!$F$36,4,IF($O595&gt;PARAMETRES!$E$36,3,IF($O595&gt;PARAMETRES!$D$36,2,1)))))</f>
        <v/>
      </c>
      <c r="X595" t="str">
        <f>IF($P595="","",IF($P595&gt;PARAMETRES!$G$37,5,IF($P595&gt;PARAMETRES!$F$37,4,IF($P595&gt;PARAMETRES!$E$37,3,IF($P595&gt;PARAMETRES!$D$37,2,1)))))</f>
        <v/>
      </c>
      <c r="Y595" t="str">
        <f t="shared" si="216"/>
        <v/>
      </c>
      <c r="Z595" t="str">
        <f>IFERROR(VLOOKUP($B595,TABLE_CYCLE,2,0),"")</f>
        <v/>
      </c>
      <c r="AA595" t="str">
        <f t="shared" si="217"/>
        <v/>
      </c>
      <c r="AB595" t="str">
        <f>IF($D595="","",IF(COUNTIF($D$2:$D595,$D595)=1,$D595,""))</f>
        <v/>
      </c>
      <c r="AC595">
        <f t="shared" si="218"/>
        <v>0</v>
      </c>
      <c r="AD595" t="str">
        <f t="shared" si="219"/>
        <v>|0</v>
      </c>
      <c r="AE595" t="str">
        <f t="shared" si="220"/>
        <v/>
      </c>
      <c r="AF595" t="str">
        <f t="shared" si="221"/>
        <v/>
      </c>
      <c r="AG595" t="str">
        <f t="shared" si="222"/>
        <v/>
      </c>
      <c r="AH595" t="str">
        <f t="shared" si="223"/>
        <v/>
      </c>
      <c r="AI595" t="str">
        <f t="shared" si="224"/>
        <v/>
      </c>
      <c r="AJ595" t="str">
        <f t="shared" si="225"/>
        <v/>
      </c>
      <c r="AK595" t="str">
        <f t="shared" si="226"/>
        <v/>
      </c>
      <c r="AL595" t="str">
        <f t="shared" si="227"/>
        <v/>
      </c>
      <c r="AM595" t="str">
        <f t="shared" si="228"/>
        <v/>
      </c>
      <c r="AN595" t="str">
        <f t="shared" si="229"/>
        <v/>
      </c>
      <c r="AO595" t="str">
        <f t="shared" si="230"/>
        <v/>
      </c>
      <c r="AP595">
        <f t="shared" si="231"/>
        <v>1</v>
      </c>
      <c r="AQ595" t="str">
        <f>IF(SAISIE!$F600="","",SAISIE!$Y600)</f>
        <v/>
      </c>
      <c r="AR595" t="str">
        <f>IF(OR(SAISIE!$U$4="",SAISIE!$W$4=""),"",IF(AND($A595=SAISIE!$U$4,$B595=SAISIE!$W$4,$C595="S1"),COUNTIFS($A$2:$A595,SAISIE!$U$4,$B$2:$B595,SAISIE!$W$4,$C$2:$C595,"S1"),""))</f>
        <v/>
      </c>
      <c r="AS595" t="str">
        <f t="shared" si="232"/>
        <v/>
      </c>
      <c r="AT595" t="str">
        <f t="shared" si="233"/>
        <v/>
      </c>
      <c r="AU595" t="str">
        <f t="shared" si="234"/>
        <v/>
      </c>
      <c r="AV595">
        <f>N(AV594)+IF(AND($AB595&lt;&gt;"",OR('PROFIL ELEVE'!$K$4="(Tous)",$AF595='PROFIL ELEVE'!$K$4)),1,0)</f>
        <v>0</v>
      </c>
      <c r="AW595">
        <f>N(AW594)+IF(AND($AB595&lt;&gt;"",OR('SUIVI LONGITUDINAL'!$Q$4="(Tous)",$AF595='SUIVI LONGITUDINAL'!$Q$4)),1,0)</f>
        <v>0</v>
      </c>
      <c r="AX595">
        <f t="shared" si="235"/>
        <v>0</v>
      </c>
      <c r="AY595">
        <f t="shared" si="236"/>
        <v>0</v>
      </c>
      <c r="AZ595">
        <f t="shared" si="237"/>
        <v>0</v>
      </c>
      <c r="BA595" t="str">
        <f t="shared" si="238"/>
        <v/>
      </c>
      <c r="BB595" t="str">
        <f t="shared" si="239"/>
        <v/>
      </c>
    </row>
    <row r="596" spans="1:54" ht="14.25" customHeight="1" x14ac:dyDescent="0.3">
      <c r="A596" t="str">
        <f>IF(SAISIE!$F601="","",SAISIE!$B601)</f>
        <v/>
      </c>
      <c r="B596" t="str">
        <f>IF(SAISIE!$F601="","",SAISIE!$C601)</f>
        <v/>
      </c>
      <c r="C596" t="str">
        <f>IF(SAISIE!$F601="","",SAISIE!$D601)</f>
        <v/>
      </c>
      <c r="D596" t="str">
        <f>IF(SAISIE!$E601="","",SAISIE!$E601)</f>
        <v/>
      </c>
      <c r="E596" t="str">
        <f>IF(SAISIE!$F601="","",SAISIE!$F601)</f>
        <v/>
      </c>
      <c r="F596" t="str">
        <f>IF(SAISIE!$G601="","",SAISIE!$G601)</f>
        <v/>
      </c>
      <c r="G596" t="str">
        <f>IF(SAISIE!$H601="","",SAISIE!$H601)</f>
        <v/>
      </c>
      <c r="H596" t="str">
        <f>IF(SAISIE!$I601="","",SAISIE!$I601)</f>
        <v/>
      </c>
      <c r="I596" t="str">
        <f>IF(SAISIE!$J601="","",SAISIE!$J601)</f>
        <v/>
      </c>
      <c r="J596" t="str">
        <f>IF(SAISIE!$K601="","",SAISIE!$K601)</f>
        <v/>
      </c>
      <c r="K596" t="str">
        <f>IF(SAISIE!$L601="","",SAISIE!$L601)</f>
        <v/>
      </c>
      <c r="L596" t="str">
        <f>IF(SAISIE!$M601="","",SAISIE!$M601)</f>
        <v/>
      </c>
      <c r="M596" t="str">
        <f>IF(SAISIE!$N601="","",SAISIE!$N601)</f>
        <v/>
      </c>
      <c r="N596" t="str">
        <f>IF(SAISIE!$O601="","",SAISIE!$O601)</f>
        <v/>
      </c>
      <c r="O596" t="str">
        <f>IF(SAISIE!$P601="","",SAISIE!$P601)</f>
        <v/>
      </c>
      <c r="P596" t="str">
        <f>IF(SAISIE!$Q601="","",SAISIE!$Q601)</f>
        <v/>
      </c>
      <c r="Q596" t="str">
        <f>IF($I596="","",IF($I596&gt;PARAMETRES!$G$29,5,IF($I596&gt;PARAMETRES!$F$29,4,IF($I596&gt;PARAMETRES!$E$29,3,IF($I596&gt;PARAMETRES!$D$29,2,1)))))</f>
        <v/>
      </c>
      <c r="R596" t="str">
        <f>IF($J596="","",IF($J596&gt;PARAMETRES!$G$30,5,IF($J596&gt;PARAMETRES!$F$30,4,IF($J596&gt;PARAMETRES!$E$30,3,IF($J596&gt;PARAMETRES!$D$30,2,1)))))</f>
        <v/>
      </c>
      <c r="S596" t="str">
        <f>IF($K596="","",IF($Z596=2,IF($K596&gt;PARAMETRES!$G$31,5,IF($K596&gt;PARAMETRES!$F$31,4,IF($K596&gt;PARAMETRES!$E$31,3,IF($K596&gt;PARAMETRES!$D$31,2,1)))),IF($K596&gt;PARAMETRES!$G$32,5,IF($K596&gt;PARAMETRES!$F$32,4,IF($K596&gt;PARAMETRES!$E$32,3,IF($K596&gt;PARAMETRES!$D$32,2,1))))))</f>
        <v/>
      </c>
      <c r="T596" t="str">
        <f>IF($L596="","",IF($L596&gt;PARAMETRES!$G$33,5,IF($L596&gt;PARAMETRES!$F$33,4,IF($L596&gt;PARAMETRES!$E$33,3,IF($L596&gt;PARAMETRES!$D$33,2,1)))))</f>
        <v/>
      </c>
      <c r="U596" t="str">
        <f>IF($M596="","",IF($M596&gt;PARAMETRES!$G$34,5,IF($M596&gt;PARAMETRES!$F$34,4,IF($M596&gt;PARAMETRES!$E$34,3,IF($M596&gt;PARAMETRES!$D$34,2,1)))))</f>
        <v/>
      </c>
      <c r="V596" t="str">
        <f>IF($N596="","",IF($N596&gt;PARAMETRES!$G$35,5,IF($N596&gt;PARAMETRES!$F$35,4,IF($N596&gt;PARAMETRES!$E$35,3,IF($N596&gt;PARAMETRES!$D$35,2,1)))))</f>
        <v/>
      </c>
      <c r="W596" t="str">
        <f>IF($O596="","",IF($O596&gt;PARAMETRES!$G$36,5,IF($O596&gt;PARAMETRES!$F$36,4,IF($O596&gt;PARAMETRES!$E$36,3,IF($O596&gt;PARAMETRES!$D$36,2,1)))))</f>
        <v/>
      </c>
      <c r="X596" t="str">
        <f>IF($P596="","",IF($P596&gt;PARAMETRES!$G$37,5,IF($P596&gt;PARAMETRES!$F$37,4,IF($P596&gt;PARAMETRES!$E$37,3,IF($P596&gt;PARAMETRES!$D$37,2,1)))))</f>
        <v/>
      </c>
      <c r="Y596" t="str">
        <f t="shared" si="216"/>
        <v/>
      </c>
      <c r="Z596" t="str">
        <f>IFERROR(VLOOKUP($B596,TABLE_CYCLE,2,0),"")</f>
        <v/>
      </c>
      <c r="AA596" t="str">
        <f t="shared" si="217"/>
        <v/>
      </c>
      <c r="AB596" t="str">
        <f>IF($D596="","",IF(COUNTIF($D$2:$D596,$D596)=1,$D596,""))</f>
        <v/>
      </c>
      <c r="AC596">
        <f t="shared" si="218"/>
        <v>0</v>
      </c>
      <c r="AD596" t="str">
        <f t="shared" si="219"/>
        <v>|0</v>
      </c>
      <c r="AE596" t="str">
        <f t="shared" si="220"/>
        <v/>
      </c>
      <c r="AF596" t="str">
        <f t="shared" si="221"/>
        <v/>
      </c>
      <c r="AG596" t="str">
        <f t="shared" si="222"/>
        <v/>
      </c>
      <c r="AH596" t="str">
        <f t="shared" si="223"/>
        <v/>
      </c>
      <c r="AI596" t="str">
        <f t="shared" si="224"/>
        <v/>
      </c>
      <c r="AJ596" t="str">
        <f t="shared" si="225"/>
        <v/>
      </c>
      <c r="AK596" t="str">
        <f t="shared" si="226"/>
        <v/>
      </c>
      <c r="AL596" t="str">
        <f t="shared" si="227"/>
        <v/>
      </c>
      <c r="AM596" t="str">
        <f t="shared" si="228"/>
        <v/>
      </c>
      <c r="AN596" t="str">
        <f t="shared" si="229"/>
        <v/>
      </c>
      <c r="AO596" t="str">
        <f t="shared" si="230"/>
        <v/>
      </c>
      <c r="AP596">
        <f t="shared" si="231"/>
        <v>1</v>
      </c>
      <c r="AQ596" t="str">
        <f>IF(SAISIE!$F601="","",SAISIE!$Y601)</f>
        <v/>
      </c>
      <c r="AR596" t="str">
        <f>IF(OR(SAISIE!$U$4="",SAISIE!$W$4=""),"",IF(AND($A596=SAISIE!$U$4,$B596=SAISIE!$W$4,$C596="S1"),COUNTIFS($A$2:$A596,SAISIE!$U$4,$B$2:$B596,SAISIE!$W$4,$C$2:$C596,"S1"),""))</f>
        <v/>
      </c>
      <c r="AS596" t="str">
        <f t="shared" si="232"/>
        <v/>
      </c>
      <c r="AT596" t="str">
        <f t="shared" si="233"/>
        <v/>
      </c>
      <c r="AU596" t="str">
        <f t="shared" si="234"/>
        <v/>
      </c>
      <c r="AV596">
        <f>N(AV595)+IF(AND($AB596&lt;&gt;"",OR('PROFIL ELEVE'!$K$4="(Tous)",$AF596='PROFIL ELEVE'!$K$4)),1,0)</f>
        <v>0</v>
      </c>
      <c r="AW596">
        <f>N(AW595)+IF(AND($AB596&lt;&gt;"",OR('SUIVI LONGITUDINAL'!$Q$4="(Tous)",$AF596='SUIVI LONGITUDINAL'!$Q$4)),1,0)</f>
        <v>0</v>
      </c>
      <c r="AX596">
        <f t="shared" si="235"/>
        <v>0</v>
      </c>
      <c r="AY596">
        <f t="shared" si="236"/>
        <v>0</v>
      </c>
      <c r="AZ596">
        <f t="shared" si="237"/>
        <v>0</v>
      </c>
      <c r="BA596" t="str">
        <f t="shared" si="238"/>
        <v/>
      </c>
      <c r="BB596" t="str">
        <f t="shared" si="239"/>
        <v/>
      </c>
    </row>
    <row r="597" spans="1:54" ht="14.25" customHeight="1" x14ac:dyDescent="0.3">
      <c r="A597" t="str">
        <f>IF(SAISIE!$F602="","",SAISIE!$B602)</f>
        <v/>
      </c>
      <c r="B597" t="str">
        <f>IF(SAISIE!$F602="","",SAISIE!$C602)</f>
        <v/>
      </c>
      <c r="C597" t="str">
        <f>IF(SAISIE!$F602="","",SAISIE!$D602)</f>
        <v/>
      </c>
      <c r="D597" t="str">
        <f>IF(SAISIE!$E602="","",SAISIE!$E602)</f>
        <v/>
      </c>
      <c r="E597" t="str">
        <f>IF(SAISIE!$F602="","",SAISIE!$F602)</f>
        <v/>
      </c>
      <c r="F597" t="str">
        <f>IF(SAISIE!$G602="","",SAISIE!$G602)</f>
        <v/>
      </c>
      <c r="G597" t="str">
        <f>IF(SAISIE!$H602="","",SAISIE!$H602)</f>
        <v/>
      </c>
      <c r="H597" t="str">
        <f>IF(SAISIE!$I602="","",SAISIE!$I602)</f>
        <v/>
      </c>
      <c r="I597" t="str">
        <f>IF(SAISIE!$J602="","",SAISIE!$J602)</f>
        <v/>
      </c>
      <c r="J597" t="str">
        <f>IF(SAISIE!$K602="","",SAISIE!$K602)</f>
        <v/>
      </c>
      <c r="K597" t="str">
        <f>IF(SAISIE!$L602="","",SAISIE!$L602)</f>
        <v/>
      </c>
      <c r="L597" t="str">
        <f>IF(SAISIE!$M602="","",SAISIE!$M602)</f>
        <v/>
      </c>
      <c r="M597" t="str">
        <f>IF(SAISIE!$N602="","",SAISIE!$N602)</f>
        <v/>
      </c>
      <c r="N597" t="str">
        <f>IF(SAISIE!$O602="","",SAISIE!$O602)</f>
        <v/>
      </c>
      <c r="O597" t="str">
        <f>IF(SAISIE!$P602="","",SAISIE!$P602)</f>
        <v/>
      </c>
      <c r="P597" t="str">
        <f>IF(SAISIE!$Q602="","",SAISIE!$Q602)</f>
        <v/>
      </c>
      <c r="Q597" t="str">
        <f>IF($I597="","",IF($I597&gt;PARAMETRES!$G$29,5,IF($I597&gt;PARAMETRES!$F$29,4,IF($I597&gt;PARAMETRES!$E$29,3,IF($I597&gt;PARAMETRES!$D$29,2,1)))))</f>
        <v/>
      </c>
      <c r="R597" t="str">
        <f>IF($J597="","",IF($J597&gt;PARAMETRES!$G$30,5,IF($J597&gt;PARAMETRES!$F$30,4,IF($J597&gt;PARAMETRES!$E$30,3,IF($J597&gt;PARAMETRES!$D$30,2,1)))))</f>
        <v/>
      </c>
      <c r="S597" t="str">
        <f>IF($K597="","",IF($Z597=2,IF($K597&gt;PARAMETRES!$G$31,5,IF($K597&gt;PARAMETRES!$F$31,4,IF($K597&gt;PARAMETRES!$E$31,3,IF($K597&gt;PARAMETRES!$D$31,2,1)))),IF($K597&gt;PARAMETRES!$G$32,5,IF($K597&gt;PARAMETRES!$F$32,4,IF($K597&gt;PARAMETRES!$E$32,3,IF($K597&gt;PARAMETRES!$D$32,2,1))))))</f>
        <v/>
      </c>
      <c r="T597" t="str">
        <f>IF($L597="","",IF($L597&gt;PARAMETRES!$G$33,5,IF($L597&gt;PARAMETRES!$F$33,4,IF($L597&gt;PARAMETRES!$E$33,3,IF($L597&gt;PARAMETRES!$D$33,2,1)))))</f>
        <v/>
      </c>
      <c r="U597" t="str">
        <f>IF($M597="","",IF($M597&gt;PARAMETRES!$G$34,5,IF($M597&gt;PARAMETRES!$F$34,4,IF($M597&gt;PARAMETRES!$E$34,3,IF($M597&gt;PARAMETRES!$D$34,2,1)))))</f>
        <v/>
      </c>
      <c r="V597" t="str">
        <f>IF($N597="","",IF($N597&gt;PARAMETRES!$G$35,5,IF($N597&gt;PARAMETRES!$F$35,4,IF($N597&gt;PARAMETRES!$E$35,3,IF($N597&gt;PARAMETRES!$D$35,2,1)))))</f>
        <v/>
      </c>
      <c r="W597" t="str">
        <f>IF($O597="","",IF($O597&gt;PARAMETRES!$G$36,5,IF($O597&gt;PARAMETRES!$F$36,4,IF($O597&gt;PARAMETRES!$E$36,3,IF($O597&gt;PARAMETRES!$D$36,2,1)))))</f>
        <v/>
      </c>
      <c r="X597" t="str">
        <f>IF($P597="","",IF($P597&gt;PARAMETRES!$G$37,5,IF($P597&gt;PARAMETRES!$F$37,4,IF($P597&gt;PARAMETRES!$E$37,3,IF($P597&gt;PARAMETRES!$D$37,2,1)))))</f>
        <v/>
      </c>
      <c r="Y597" t="str">
        <f t="shared" si="216"/>
        <v/>
      </c>
      <c r="Z597" t="str">
        <f>IFERROR(VLOOKUP($B597,TABLE_CYCLE,2,0),"")</f>
        <v/>
      </c>
      <c r="AA597" t="str">
        <f t="shared" si="217"/>
        <v/>
      </c>
      <c r="AB597" t="str">
        <f>IF($D597="","",IF(COUNTIF($D$2:$D597,$D597)=1,$D597,""))</f>
        <v/>
      </c>
      <c r="AC597">
        <f t="shared" si="218"/>
        <v>0</v>
      </c>
      <c r="AD597" t="str">
        <f t="shared" si="219"/>
        <v>|0</v>
      </c>
      <c r="AE597" t="str">
        <f t="shared" si="220"/>
        <v/>
      </c>
      <c r="AF597" t="str">
        <f t="shared" si="221"/>
        <v/>
      </c>
      <c r="AG597" t="str">
        <f t="shared" si="222"/>
        <v/>
      </c>
      <c r="AH597" t="str">
        <f t="shared" si="223"/>
        <v/>
      </c>
      <c r="AI597" t="str">
        <f t="shared" si="224"/>
        <v/>
      </c>
      <c r="AJ597" t="str">
        <f t="shared" si="225"/>
        <v/>
      </c>
      <c r="AK597" t="str">
        <f t="shared" si="226"/>
        <v/>
      </c>
      <c r="AL597" t="str">
        <f t="shared" si="227"/>
        <v/>
      </c>
      <c r="AM597" t="str">
        <f t="shared" si="228"/>
        <v/>
      </c>
      <c r="AN597" t="str">
        <f t="shared" si="229"/>
        <v/>
      </c>
      <c r="AO597" t="str">
        <f t="shared" si="230"/>
        <v/>
      </c>
      <c r="AP597">
        <f t="shared" si="231"/>
        <v>1</v>
      </c>
      <c r="AQ597" t="str">
        <f>IF(SAISIE!$F602="","",SAISIE!$Y602)</f>
        <v/>
      </c>
      <c r="AR597" t="str">
        <f>IF(OR(SAISIE!$U$4="",SAISIE!$W$4=""),"",IF(AND($A597=SAISIE!$U$4,$B597=SAISIE!$W$4,$C597="S1"),COUNTIFS($A$2:$A597,SAISIE!$U$4,$B$2:$B597,SAISIE!$W$4,$C$2:$C597,"S1"),""))</f>
        <v/>
      </c>
      <c r="AS597" t="str">
        <f t="shared" si="232"/>
        <v/>
      </c>
      <c r="AT597" t="str">
        <f t="shared" si="233"/>
        <v/>
      </c>
      <c r="AU597" t="str">
        <f t="shared" si="234"/>
        <v/>
      </c>
      <c r="AV597">
        <f>N(AV596)+IF(AND($AB597&lt;&gt;"",OR('PROFIL ELEVE'!$K$4="(Tous)",$AF597='PROFIL ELEVE'!$K$4)),1,0)</f>
        <v>0</v>
      </c>
      <c r="AW597">
        <f>N(AW596)+IF(AND($AB597&lt;&gt;"",OR('SUIVI LONGITUDINAL'!$Q$4="(Tous)",$AF597='SUIVI LONGITUDINAL'!$Q$4)),1,0)</f>
        <v>0</v>
      </c>
      <c r="AX597">
        <f t="shared" si="235"/>
        <v>0</v>
      </c>
      <c r="AY597">
        <f t="shared" si="236"/>
        <v>0</v>
      </c>
      <c r="AZ597">
        <f t="shared" si="237"/>
        <v>0</v>
      </c>
      <c r="BA597" t="str">
        <f t="shared" si="238"/>
        <v/>
      </c>
      <c r="BB597" t="str">
        <f t="shared" si="239"/>
        <v/>
      </c>
    </row>
    <row r="598" spans="1:54" ht="14.25" customHeight="1" x14ac:dyDescent="0.3">
      <c r="A598" t="str">
        <f>IF(SAISIE!$F603="","",SAISIE!$B603)</f>
        <v/>
      </c>
      <c r="B598" t="str">
        <f>IF(SAISIE!$F603="","",SAISIE!$C603)</f>
        <v/>
      </c>
      <c r="C598" t="str">
        <f>IF(SAISIE!$F603="","",SAISIE!$D603)</f>
        <v/>
      </c>
      <c r="D598" t="str">
        <f>IF(SAISIE!$E603="","",SAISIE!$E603)</f>
        <v/>
      </c>
      <c r="E598" t="str">
        <f>IF(SAISIE!$F603="","",SAISIE!$F603)</f>
        <v/>
      </c>
      <c r="F598" t="str">
        <f>IF(SAISIE!$G603="","",SAISIE!$G603)</f>
        <v/>
      </c>
      <c r="G598" t="str">
        <f>IF(SAISIE!$H603="","",SAISIE!$H603)</f>
        <v/>
      </c>
      <c r="H598" t="str">
        <f>IF(SAISIE!$I603="","",SAISIE!$I603)</f>
        <v/>
      </c>
      <c r="I598" t="str">
        <f>IF(SAISIE!$J603="","",SAISIE!$J603)</f>
        <v/>
      </c>
      <c r="J598" t="str">
        <f>IF(SAISIE!$K603="","",SAISIE!$K603)</f>
        <v/>
      </c>
      <c r="K598" t="str">
        <f>IF(SAISIE!$L603="","",SAISIE!$L603)</f>
        <v/>
      </c>
      <c r="L598" t="str">
        <f>IF(SAISIE!$M603="","",SAISIE!$M603)</f>
        <v/>
      </c>
      <c r="M598" t="str">
        <f>IF(SAISIE!$N603="","",SAISIE!$N603)</f>
        <v/>
      </c>
      <c r="N598" t="str">
        <f>IF(SAISIE!$O603="","",SAISIE!$O603)</f>
        <v/>
      </c>
      <c r="O598" t="str">
        <f>IF(SAISIE!$P603="","",SAISIE!$P603)</f>
        <v/>
      </c>
      <c r="P598" t="str">
        <f>IF(SAISIE!$Q603="","",SAISIE!$Q603)</f>
        <v/>
      </c>
      <c r="Q598" t="str">
        <f>IF($I598="","",IF($I598&gt;PARAMETRES!$G$29,5,IF($I598&gt;PARAMETRES!$F$29,4,IF($I598&gt;PARAMETRES!$E$29,3,IF($I598&gt;PARAMETRES!$D$29,2,1)))))</f>
        <v/>
      </c>
      <c r="R598" t="str">
        <f>IF($J598="","",IF($J598&gt;PARAMETRES!$G$30,5,IF($J598&gt;PARAMETRES!$F$30,4,IF($J598&gt;PARAMETRES!$E$30,3,IF($J598&gt;PARAMETRES!$D$30,2,1)))))</f>
        <v/>
      </c>
      <c r="S598" t="str">
        <f>IF($K598="","",IF($Z598=2,IF($K598&gt;PARAMETRES!$G$31,5,IF($K598&gt;PARAMETRES!$F$31,4,IF($K598&gt;PARAMETRES!$E$31,3,IF($K598&gt;PARAMETRES!$D$31,2,1)))),IF($K598&gt;PARAMETRES!$G$32,5,IF($K598&gt;PARAMETRES!$F$32,4,IF($K598&gt;PARAMETRES!$E$32,3,IF($K598&gt;PARAMETRES!$D$32,2,1))))))</f>
        <v/>
      </c>
      <c r="T598" t="str">
        <f>IF($L598="","",IF($L598&gt;PARAMETRES!$G$33,5,IF($L598&gt;PARAMETRES!$F$33,4,IF($L598&gt;PARAMETRES!$E$33,3,IF($L598&gt;PARAMETRES!$D$33,2,1)))))</f>
        <v/>
      </c>
      <c r="U598" t="str">
        <f>IF($M598="","",IF($M598&gt;PARAMETRES!$G$34,5,IF($M598&gt;PARAMETRES!$F$34,4,IF($M598&gt;PARAMETRES!$E$34,3,IF($M598&gt;PARAMETRES!$D$34,2,1)))))</f>
        <v/>
      </c>
      <c r="V598" t="str">
        <f>IF($N598="","",IF($N598&gt;PARAMETRES!$G$35,5,IF($N598&gt;PARAMETRES!$F$35,4,IF($N598&gt;PARAMETRES!$E$35,3,IF($N598&gt;PARAMETRES!$D$35,2,1)))))</f>
        <v/>
      </c>
      <c r="W598" t="str">
        <f>IF($O598="","",IF($O598&gt;PARAMETRES!$G$36,5,IF($O598&gt;PARAMETRES!$F$36,4,IF($O598&gt;PARAMETRES!$E$36,3,IF($O598&gt;PARAMETRES!$D$36,2,1)))))</f>
        <v/>
      </c>
      <c r="X598" t="str">
        <f>IF($P598="","",IF($P598&gt;PARAMETRES!$G$37,5,IF($P598&gt;PARAMETRES!$F$37,4,IF($P598&gt;PARAMETRES!$E$37,3,IF($P598&gt;PARAMETRES!$D$37,2,1)))))</f>
        <v/>
      </c>
      <c r="Y598" t="str">
        <f t="shared" si="216"/>
        <v/>
      </c>
      <c r="Z598" t="str">
        <f>IFERROR(VLOOKUP($B598,TABLE_CYCLE,2,0),"")</f>
        <v/>
      </c>
      <c r="AA598" t="str">
        <f t="shared" si="217"/>
        <v/>
      </c>
      <c r="AB598" t="str">
        <f>IF($D598="","",IF(COUNTIF($D$2:$D598,$D598)=1,$D598,""))</f>
        <v/>
      </c>
      <c r="AC598">
        <f t="shared" si="218"/>
        <v>0</v>
      </c>
      <c r="AD598" t="str">
        <f t="shared" si="219"/>
        <v>|0</v>
      </c>
      <c r="AE598" t="str">
        <f t="shared" si="220"/>
        <v/>
      </c>
      <c r="AF598" t="str">
        <f t="shared" si="221"/>
        <v/>
      </c>
      <c r="AG598" t="str">
        <f t="shared" si="222"/>
        <v/>
      </c>
      <c r="AH598" t="str">
        <f t="shared" si="223"/>
        <v/>
      </c>
      <c r="AI598" t="str">
        <f t="shared" si="224"/>
        <v/>
      </c>
      <c r="AJ598" t="str">
        <f t="shared" si="225"/>
        <v/>
      </c>
      <c r="AK598" t="str">
        <f t="shared" si="226"/>
        <v/>
      </c>
      <c r="AL598" t="str">
        <f t="shared" si="227"/>
        <v/>
      </c>
      <c r="AM598" t="str">
        <f t="shared" si="228"/>
        <v/>
      </c>
      <c r="AN598" t="str">
        <f t="shared" si="229"/>
        <v/>
      </c>
      <c r="AO598" t="str">
        <f t="shared" si="230"/>
        <v/>
      </c>
      <c r="AP598">
        <f t="shared" si="231"/>
        <v>1</v>
      </c>
      <c r="AQ598" t="str">
        <f>IF(SAISIE!$F603="","",SAISIE!$Y603)</f>
        <v/>
      </c>
      <c r="AR598" t="str">
        <f>IF(OR(SAISIE!$U$4="",SAISIE!$W$4=""),"",IF(AND($A598=SAISIE!$U$4,$B598=SAISIE!$W$4,$C598="S1"),COUNTIFS($A$2:$A598,SAISIE!$U$4,$B$2:$B598,SAISIE!$W$4,$C$2:$C598,"S1"),""))</f>
        <v/>
      </c>
      <c r="AS598" t="str">
        <f t="shared" si="232"/>
        <v/>
      </c>
      <c r="AT598" t="str">
        <f t="shared" si="233"/>
        <v/>
      </c>
      <c r="AU598" t="str">
        <f t="shared" si="234"/>
        <v/>
      </c>
      <c r="AV598">
        <f>N(AV597)+IF(AND($AB598&lt;&gt;"",OR('PROFIL ELEVE'!$K$4="(Tous)",$AF598='PROFIL ELEVE'!$K$4)),1,0)</f>
        <v>0</v>
      </c>
      <c r="AW598">
        <f>N(AW597)+IF(AND($AB598&lt;&gt;"",OR('SUIVI LONGITUDINAL'!$Q$4="(Tous)",$AF598='SUIVI LONGITUDINAL'!$Q$4)),1,0)</f>
        <v>0</v>
      </c>
      <c r="AX598">
        <f t="shared" si="235"/>
        <v>0</v>
      </c>
      <c r="AY598">
        <f t="shared" si="236"/>
        <v>0</v>
      </c>
      <c r="AZ598">
        <f t="shared" si="237"/>
        <v>0</v>
      </c>
      <c r="BA598" t="str">
        <f t="shared" si="238"/>
        <v/>
      </c>
      <c r="BB598" t="str">
        <f t="shared" si="239"/>
        <v/>
      </c>
    </row>
    <row r="599" spans="1:54" ht="14.25" customHeight="1" x14ac:dyDescent="0.3">
      <c r="A599" t="str">
        <f>IF(SAISIE!$F604="","",SAISIE!$B604)</f>
        <v/>
      </c>
      <c r="B599" t="str">
        <f>IF(SAISIE!$F604="","",SAISIE!$C604)</f>
        <v/>
      </c>
      <c r="C599" t="str">
        <f>IF(SAISIE!$F604="","",SAISIE!$D604)</f>
        <v/>
      </c>
      <c r="D599" t="str">
        <f>IF(SAISIE!$E604="","",SAISIE!$E604)</f>
        <v/>
      </c>
      <c r="E599" t="str">
        <f>IF(SAISIE!$F604="","",SAISIE!$F604)</f>
        <v/>
      </c>
      <c r="F599" t="str">
        <f>IF(SAISIE!$G604="","",SAISIE!$G604)</f>
        <v/>
      </c>
      <c r="G599" t="str">
        <f>IF(SAISIE!$H604="","",SAISIE!$H604)</f>
        <v/>
      </c>
      <c r="H599" t="str">
        <f>IF(SAISIE!$I604="","",SAISIE!$I604)</f>
        <v/>
      </c>
      <c r="I599" t="str">
        <f>IF(SAISIE!$J604="","",SAISIE!$J604)</f>
        <v/>
      </c>
      <c r="J599" t="str">
        <f>IF(SAISIE!$K604="","",SAISIE!$K604)</f>
        <v/>
      </c>
      <c r="K599" t="str">
        <f>IF(SAISIE!$L604="","",SAISIE!$L604)</f>
        <v/>
      </c>
      <c r="L599" t="str">
        <f>IF(SAISIE!$M604="","",SAISIE!$M604)</f>
        <v/>
      </c>
      <c r="M599" t="str">
        <f>IF(SAISIE!$N604="","",SAISIE!$N604)</f>
        <v/>
      </c>
      <c r="N599" t="str">
        <f>IF(SAISIE!$O604="","",SAISIE!$O604)</f>
        <v/>
      </c>
      <c r="O599" t="str">
        <f>IF(SAISIE!$P604="","",SAISIE!$P604)</f>
        <v/>
      </c>
      <c r="P599" t="str">
        <f>IF(SAISIE!$Q604="","",SAISIE!$Q604)</f>
        <v/>
      </c>
      <c r="Q599" t="str">
        <f>IF($I599="","",IF($I599&gt;PARAMETRES!$G$29,5,IF($I599&gt;PARAMETRES!$F$29,4,IF($I599&gt;PARAMETRES!$E$29,3,IF($I599&gt;PARAMETRES!$D$29,2,1)))))</f>
        <v/>
      </c>
      <c r="R599" t="str">
        <f>IF($J599="","",IF($J599&gt;PARAMETRES!$G$30,5,IF($J599&gt;PARAMETRES!$F$30,4,IF($J599&gt;PARAMETRES!$E$30,3,IF($J599&gt;PARAMETRES!$D$30,2,1)))))</f>
        <v/>
      </c>
      <c r="S599" t="str">
        <f>IF($K599="","",IF($Z599=2,IF($K599&gt;PARAMETRES!$G$31,5,IF($K599&gt;PARAMETRES!$F$31,4,IF($K599&gt;PARAMETRES!$E$31,3,IF($K599&gt;PARAMETRES!$D$31,2,1)))),IF($K599&gt;PARAMETRES!$G$32,5,IF($K599&gt;PARAMETRES!$F$32,4,IF($K599&gt;PARAMETRES!$E$32,3,IF($K599&gt;PARAMETRES!$D$32,2,1))))))</f>
        <v/>
      </c>
      <c r="T599" t="str">
        <f>IF($L599="","",IF($L599&gt;PARAMETRES!$G$33,5,IF($L599&gt;PARAMETRES!$F$33,4,IF($L599&gt;PARAMETRES!$E$33,3,IF($L599&gt;PARAMETRES!$D$33,2,1)))))</f>
        <v/>
      </c>
      <c r="U599" t="str">
        <f>IF($M599="","",IF($M599&gt;PARAMETRES!$G$34,5,IF($M599&gt;PARAMETRES!$F$34,4,IF($M599&gt;PARAMETRES!$E$34,3,IF($M599&gt;PARAMETRES!$D$34,2,1)))))</f>
        <v/>
      </c>
      <c r="V599" t="str">
        <f>IF($N599="","",IF($N599&gt;PARAMETRES!$G$35,5,IF($N599&gt;PARAMETRES!$F$35,4,IF($N599&gt;PARAMETRES!$E$35,3,IF($N599&gt;PARAMETRES!$D$35,2,1)))))</f>
        <v/>
      </c>
      <c r="W599" t="str">
        <f>IF($O599="","",IF($O599&gt;PARAMETRES!$G$36,5,IF($O599&gt;PARAMETRES!$F$36,4,IF($O599&gt;PARAMETRES!$E$36,3,IF($O599&gt;PARAMETRES!$D$36,2,1)))))</f>
        <v/>
      </c>
      <c r="X599" t="str">
        <f>IF($P599="","",IF($P599&gt;PARAMETRES!$G$37,5,IF($P599&gt;PARAMETRES!$F$37,4,IF($P599&gt;PARAMETRES!$E$37,3,IF($P599&gt;PARAMETRES!$D$37,2,1)))))</f>
        <v/>
      </c>
      <c r="Y599" t="str">
        <f t="shared" si="216"/>
        <v/>
      </c>
      <c r="Z599" t="str">
        <f>IFERROR(VLOOKUP($B599,TABLE_CYCLE,2,0),"")</f>
        <v/>
      </c>
      <c r="AA599" t="str">
        <f t="shared" si="217"/>
        <v/>
      </c>
      <c r="AB599" t="str">
        <f>IF($D599="","",IF(COUNTIF($D$2:$D599,$D599)=1,$D599,""))</f>
        <v/>
      </c>
      <c r="AC599">
        <f t="shared" si="218"/>
        <v>0</v>
      </c>
      <c r="AD599" t="str">
        <f t="shared" si="219"/>
        <v>|0</v>
      </c>
      <c r="AE599" t="str">
        <f t="shared" si="220"/>
        <v/>
      </c>
      <c r="AF599" t="str">
        <f t="shared" si="221"/>
        <v/>
      </c>
      <c r="AG599" t="str">
        <f t="shared" si="222"/>
        <v/>
      </c>
      <c r="AH599" t="str">
        <f t="shared" si="223"/>
        <v/>
      </c>
      <c r="AI599" t="str">
        <f t="shared" si="224"/>
        <v/>
      </c>
      <c r="AJ599" t="str">
        <f t="shared" si="225"/>
        <v/>
      </c>
      <c r="AK599" t="str">
        <f t="shared" si="226"/>
        <v/>
      </c>
      <c r="AL599" t="str">
        <f t="shared" si="227"/>
        <v/>
      </c>
      <c r="AM599" t="str">
        <f t="shared" si="228"/>
        <v/>
      </c>
      <c r="AN599" t="str">
        <f t="shared" si="229"/>
        <v/>
      </c>
      <c r="AO599" t="str">
        <f t="shared" si="230"/>
        <v/>
      </c>
      <c r="AP599">
        <f t="shared" si="231"/>
        <v>1</v>
      </c>
      <c r="AQ599" t="str">
        <f>IF(SAISIE!$F604="","",SAISIE!$Y604)</f>
        <v/>
      </c>
      <c r="AR599" t="str">
        <f>IF(OR(SAISIE!$U$4="",SAISIE!$W$4=""),"",IF(AND($A599=SAISIE!$U$4,$B599=SAISIE!$W$4,$C599="S1"),COUNTIFS($A$2:$A599,SAISIE!$U$4,$B$2:$B599,SAISIE!$W$4,$C$2:$C599,"S1"),""))</f>
        <v/>
      </c>
      <c r="AS599" t="str">
        <f t="shared" si="232"/>
        <v/>
      </c>
      <c r="AT599" t="str">
        <f t="shared" si="233"/>
        <v/>
      </c>
      <c r="AU599" t="str">
        <f t="shared" si="234"/>
        <v/>
      </c>
      <c r="AV599">
        <f>N(AV598)+IF(AND($AB599&lt;&gt;"",OR('PROFIL ELEVE'!$K$4="(Tous)",$AF599='PROFIL ELEVE'!$K$4)),1,0)</f>
        <v>0</v>
      </c>
      <c r="AW599">
        <f>N(AW598)+IF(AND($AB599&lt;&gt;"",OR('SUIVI LONGITUDINAL'!$Q$4="(Tous)",$AF599='SUIVI LONGITUDINAL'!$Q$4)),1,0)</f>
        <v>0</v>
      </c>
      <c r="AX599">
        <f t="shared" si="235"/>
        <v>0</v>
      </c>
      <c r="AY599">
        <f t="shared" si="236"/>
        <v>0</v>
      </c>
      <c r="AZ599">
        <f t="shared" si="237"/>
        <v>0</v>
      </c>
      <c r="BA599" t="str">
        <f t="shared" si="238"/>
        <v/>
      </c>
      <c r="BB599" t="str">
        <f t="shared" si="239"/>
        <v/>
      </c>
    </row>
    <row r="600" spans="1:54" ht="14.25" customHeight="1" x14ac:dyDescent="0.3">
      <c r="A600" t="str">
        <f>IF(SAISIE!$F605="","",SAISIE!$B605)</f>
        <v/>
      </c>
      <c r="B600" t="str">
        <f>IF(SAISIE!$F605="","",SAISIE!$C605)</f>
        <v/>
      </c>
      <c r="C600" t="str">
        <f>IF(SAISIE!$F605="","",SAISIE!$D605)</f>
        <v/>
      </c>
      <c r="D600" t="str">
        <f>IF(SAISIE!$E605="","",SAISIE!$E605)</f>
        <v/>
      </c>
      <c r="E600" t="str">
        <f>IF(SAISIE!$F605="","",SAISIE!$F605)</f>
        <v/>
      </c>
      <c r="F600" t="str">
        <f>IF(SAISIE!$G605="","",SAISIE!$G605)</f>
        <v/>
      </c>
      <c r="G600" t="str">
        <f>IF(SAISIE!$H605="","",SAISIE!$H605)</f>
        <v/>
      </c>
      <c r="H600" t="str">
        <f>IF(SAISIE!$I605="","",SAISIE!$I605)</f>
        <v/>
      </c>
      <c r="I600" t="str">
        <f>IF(SAISIE!$J605="","",SAISIE!$J605)</f>
        <v/>
      </c>
      <c r="J600" t="str">
        <f>IF(SAISIE!$K605="","",SAISIE!$K605)</f>
        <v/>
      </c>
      <c r="K600" t="str">
        <f>IF(SAISIE!$L605="","",SAISIE!$L605)</f>
        <v/>
      </c>
      <c r="L600" t="str">
        <f>IF(SAISIE!$M605="","",SAISIE!$M605)</f>
        <v/>
      </c>
      <c r="M600" t="str">
        <f>IF(SAISIE!$N605="","",SAISIE!$N605)</f>
        <v/>
      </c>
      <c r="N600" t="str">
        <f>IF(SAISIE!$O605="","",SAISIE!$O605)</f>
        <v/>
      </c>
      <c r="O600" t="str">
        <f>IF(SAISIE!$P605="","",SAISIE!$P605)</f>
        <v/>
      </c>
      <c r="P600" t="str">
        <f>IF(SAISIE!$Q605="","",SAISIE!$Q605)</f>
        <v/>
      </c>
      <c r="Q600" t="str">
        <f>IF($I600="","",IF($I600&gt;PARAMETRES!$G$29,5,IF($I600&gt;PARAMETRES!$F$29,4,IF($I600&gt;PARAMETRES!$E$29,3,IF($I600&gt;PARAMETRES!$D$29,2,1)))))</f>
        <v/>
      </c>
      <c r="R600" t="str">
        <f>IF($J600="","",IF($J600&gt;PARAMETRES!$G$30,5,IF($J600&gt;PARAMETRES!$F$30,4,IF($J600&gt;PARAMETRES!$E$30,3,IF($J600&gt;PARAMETRES!$D$30,2,1)))))</f>
        <v/>
      </c>
      <c r="S600" t="str">
        <f>IF($K600="","",IF($Z600=2,IF($K600&gt;PARAMETRES!$G$31,5,IF($K600&gt;PARAMETRES!$F$31,4,IF($K600&gt;PARAMETRES!$E$31,3,IF($K600&gt;PARAMETRES!$D$31,2,1)))),IF($K600&gt;PARAMETRES!$G$32,5,IF($K600&gt;PARAMETRES!$F$32,4,IF($K600&gt;PARAMETRES!$E$32,3,IF($K600&gt;PARAMETRES!$D$32,2,1))))))</f>
        <v/>
      </c>
      <c r="T600" t="str">
        <f>IF($L600="","",IF($L600&gt;PARAMETRES!$G$33,5,IF($L600&gt;PARAMETRES!$F$33,4,IF($L600&gt;PARAMETRES!$E$33,3,IF($L600&gt;PARAMETRES!$D$33,2,1)))))</f>
        <v/>
      </c>
      <c r="U600" t="str">
        <f>IF($M600="","",IF($M600&gt;PARAMETRES!$G$34,5,IF($M600&gt;PARAMETRES!$F$34,4,IF($M600&gt;PARAMETRES!$E$34,3,IF($M600&gt;PARAMETRES!$D$34,2,1)))))</f>
        <v/>
      </c>
      <c r="V600" t="str">
        <f>IF($N600="","",IF($N600&gt;PARAMETRES!$G$35,5,IF($N600&gt;PARAMETRES!$F$35,4,IF($N600&gt;PARAMETRES!$E$35,3,IF($N600&gt;PARAMETRES!$D$35,2,1)))))</f>
        <v/>
      </c>
      <c r="W600" t="str">
        <f>IF($O600="","",IF($O600&gt;PARAMETRES!$G$36,5,IF($O600&gt;PARAMETRES!$F$36,4,IF($O600&gt;PARAMETRES!$E$36,3,IF($O600&gt;PARAMETRES!$D$36,2,1)))))</f>
        <v/>
      </c>
      <c r="X600" t="str">
        <f>IF($P600="","",IF($P600&gt;PARAMETRES!$G$37,5,IF($P600&gt;PARAMETRES!$F$37,4,IF($P600&gt;PARAMETRES!$E$37,3,IF($P600&gt;PARAMETRES!$D$37,2,1)))))</f>
        <v/>
      </c>
      <c r="Y600" t="str">
        <f t="shared" si="216"/>
        <v/>
      </c>
      <c r="Z600" t="str">
        <f>IFERROR(VLOOKUP($B600,TABLE_CYCLE,2,0),"")</f>
        <v/>
      </c>
      <c r="AA600" t="str">
        <f t="shared" si="217"/>
        <v/>
      </c>
      <c r="AB600" t="str">
        <f>IF($D600="","",IF(COUNTIF($D$2:$D600,$D600)=1,$D600,""))</f>
        <v/>
      </c>
      <c r="AC600">
        <f t="shared" si="218"/>
        <v>0</v>
      </c>
      <c r="AD600" t="str">
        <f t="shared" si="219"/>
        <v>|0</v>
      </c>
      <c r="AE600" t="str">
        <f t="shared" si="220"/>
        <v/>
      </c>
      <c r="AF600" t="str">
        <f t="shared" si="221"/>
        <v/>
      </c>
      <c r="AG600" t="str">
        <f t="shared" si="222"/>
        <v/>
      </c>
      <c r="AH600" t="str">
        <f t="shared" si="223"/>
        <v/>
      </c>
      <c r="AI600" t="str">
        <f t="shared" si="224"/>
        <v/>
      </c>
      <c r="AJ600" t="str">
        <f t="shared" si="225"/>
        <v/>
      </c>
      <c r="AK600" t="str">
        <f t="shared" si="226"/>
        <v/>
      </c>
      <c r="AL600" t="str">
        <f t="shared" si="227"/>
        <v/>
      </c>
      <c r="AM600" t="str">
        <f t="shared" si="228"/>
        <v/>
      </c>
      <c r="AN600" t="str">
        <f t="shared" si="229"/>
        <v/>
      </c>
      <c r="AO600" t="str">
        <f t="shared" si="230"/>
        <v/>
      </c>
      <c r="AP600">
        <f t="shared" si="231"/>
        <v>1</v>
      </c>
      <c r="AQ600" t="str">
        <f>IF(SAISIE!$F605="","",SAISIE!$Y605)</f>
        <v/>
      </c>
      <c r="AR600" t="str">
        <f>IF(OR(SAISIE!$U$4="",SAISIE!$W$4=""),"",IF(AND($A600=SAISIE!$U$4,$B600=SAISIE!$W$4,$C600="S1"),COUNTIFS($A$2:$A600,SAISIE!$U$4,$B$2:$B600,SAISIE!$W$4,$C$2:$C600,"S1"),""))</f>
        <v/>
      </c>
      <c r="AS600" t="str">
        <f t="shared" si="232"/>
        <v/>
      </c>
      <c r="AT600" t="str">
        <f t="shared" si="233"/>
        <v/>
      </c>
      <c r="AU600" t="str">
        <f t="shared" si="234"/>
        <v/>
      </c>
      <c r="AV600">
        <f>N(AV599)+IF(AND($AB600&lt;&gt;"",OR('PROFIL ELEVE'!$K$4="(Tous)",$AF600='PROFIL ELEVE'!$K$4)),1,0)</f>
        <v>0</v>
      </c>
      <c r="AW600">
        <f>N(AW599)+IF(AND($AB600&lt;&gt;"",OR('SUIVI LONGITUDINAL'!$Q$4="(Tous)",$AF600='SUIVI LONGITUDINAL'!$Q$4)),1,0)</f>
        <v>0</v>
      </c>
      <c r="AX600">
        <f t="shared" si="235"/>
        <v>0</v>
      </c>
      <c r="AY600">
        <f t="shared" si="236"/>
        <v>0</v>
      </c>
      <c r="AZ600">
        <f t="shared" si="237"/>
        <v>0</v>
      </c>
      <c r="BA600" t="str">
        <f t="shared" si="238"/>
        <v/>
      </c>
      <c r="BB600" t="str">
        <f t="shared" si="239"/>
        <v/>
      </c>
    </row>
    <row r="601" spans="1:54" ht="14.25" customHeight="1" x14ac:dyDescent="0.3">
      <c r="A601" t="str">
        <f>IF(SAISIE!$F606="","",SAISIE!$B606)</f>
        <v/>
      </c>
      <c r="B601" t="str">
        <f>IF(SAISIE!$F606="","",SAISIE!$C606)</f>
        <v/>
      </c>
      <c r="C601" t="str">
        <f>IF(SAISIE!$F606="","",SAISIE!$D606)</f>
        <v/>
      </c>
      <c r="D601" t="str">
        <f>IF(SAISIE!$E606="","",SAISIE!$E606)</f>
        <v/>
      </c>
      <c r="E601" t="str">
        <f>IF(SAISIE!$F606="","",SAISIE!$F606)</f>
        <v/>
      </c>
      <c r="F601" t="str">
        <f>IF(SAISIE!$G606="","",SAISIE!$G606)</f>
        <v/>
      </c>
      <c r="G601" t="str">
        <f>IF(SAISIE!$H606="","",SAISIE!$H606)</f>
        <v/>
      </c>
      <c r="H601" t="str">
        <f>IF(SAISIE!$I606="","",SAISIE!$I606)</f>
        <v/>
      </c>
      <c r="I601" t="str">
        <f>IF(SAISIE!$J606="","",SAISIE!$J606)</f>
        <v/>
      </c>
      <c r="J601" t="str">
        <f>IF(SAISIE!$K606="","",SAISIE!$K606)</f>
        <v/>
      </c>
      <c r="K601" t="str">
        <f>IF(SAISIE!$L606="","",SAISIE!$L606)</f>
        <v/>
      </c>
      <c r="L601" t="str">
        <f>IF(SAISIE!$M606="","",SAISIE!$M606)</f>
        <v/>
      </c>
      <c r="M601" t="str">
        <f>IF(SAISIE!$N606="","",SAISIE!$N606)</f>
        <v/>
      </c>
      <c r="N601" t="str">
        <f>IF(SAISIE!$O606="","",SAISIE!$O606)</f>
        <v/>
      </c>
      <c r="O601" t="str">
        <f>IF(SAISIE!$P606="","",SAISIE!$P606)</f>
        <v/>
      </c>
      <c r="P601" t="str">
        <f>IF(SAISIE!$Q606="","",SAISIE!$Q606)</f>
        <v/>
      </c>
      <c r="Q601" t="str">
        <f>IF($I601="","",IF($I601&gt;PARAMETRES!$G$29,5,IF($I601&gt;PARAMETRES!$F$29,4,IF($I601&gt;PARAMETRES!$E$29,3,IF($I601&gt;PARAMETRES!$D$29,2,1)))))</f>
        <v/>
      </c>
      <c r="R601" t="str">
        <f>IF($J601="","",IF($J601&gt;PARAMETRES!$G$30,5,IF($J601&gt;PARAMETRES!$F$30,4,IF($J601&gt;PARAMETRES!$E$30,3,IF($J601&gt;PARAMETRES!$D$30,2,1)))))</f>
        <v/>
      </c>
      <c r="S601" t="str">
        <f>IF($K601="","",IF($Z601=2,IF($K601&gt;PARAMETRES!$G$31,5,IF($K601&gt;PARAMETRES!$F$31,4,IF($K601&gt;PARAMETRES!$E$31,3,IF($K601&gt;PARAMETRES!$D$31,2,1)))),IF($K601&gt;PARAMETRES!$G$32,5,IF($K601&gt;PARAMETRES!$F$32,4,IF($K601&gt;PARAMETRES!$E$32,3,IF($K601&gt;PARAMETRES!$D$32,2,1))))))</f>
        <v/>
      </c>
      <c r="T601" t="str">
        <f>IF($L601="","",IF($L601&gt;PARAMETRES!$G$33,5,IF($L601&gt;PARAMETRES!$F$33,4,IF($L601&gt;PARAMETRES!$E$33,3,IF($L601&gt;PARAMETRES!$D$33,2,1)))))</f>
        <v/>
      </c>
      <c r="U601" t="str">
        <f>IF($M601="","",IF($M601&gt;PARAMETRES!$G$34,5,IF($M601&gt;PARAMETRES!$F$34,4,IF($M601&gt;PARAMETRES!$E$34,3,IF($M601&gt;PARAMETRES!$D$34,2,1)))))</f>
        <v/>
      </c>
      <c r="V601" t="str">
        <f>IF($N601="","",IF($N601&gt;PARAMETRES!$G$35,5,IF($N601&gt;PARAMETRES!$F$35,4,IF($N601&gt;PARAMETRES!$E$35,3,IF($N601&gt;PARAMETRES!$D$35,2,1)))))</f>
        <v/>
      </c>
      <c r="W601" t="str">
        <f>IF($O601="","",IF($O601&gt;PARAMETRES!$G$36,5,IF($O601&gt;PARAMETRES!$F$36,4,IF($O601&gt;PARAMETRES!$E$36,3,IF($O601&gt;PARAMETRES!$D$36,2,1)))))</f>
        <v/>
      </c>
      <c r="X601" t="str">
        <f>IF($P601="","",IF($P601&gt;PARAMETRES!$G$37,5,IF($P601&gt;PARAMETRES!$F$37,4,IF($P601&gt;PARAMETRES!$E$37,3,IF($P601&gt;PARAMETRES!$D$37,2,1)))))</f>
        <v/>
      </c>
      <c r="Y601" t="str">
        <f t="shared" si="216"/>
        <v/>
      </c>
      <c r="Z601" t="str">
        <f>IFERROR(VLOOKUP($B601,TABLE_CYCLE,2,0),"")</f>
        <v/>
      </c>
      <c r="AA601" t="str">
        <f t="shared" si="217"/>
        <v/>
      </c>
      <c r="AB601" t="str">
        <f>IF($D601="","",IF(COUNTIF($D$2:$D601,$D601)=1,$D601,""))</f>
        <v/>
      </c>
      <c r="AC601">
        <f t="shared" si="218"/>
        <v>0</v>
      </c>
      <c r="AD601" t="str">
        <f t="shared" si="219"/>
        <v>|0</v>
      </c>
      <c r="AE601" t="str">
        <f t="shared" si="220"/>
        <v/>
      </c>
      <c r="AF601" t="str">
        <f t="shared" si="221"/>
        <v/>
      </c>
      <c r="AG601" t="str">
        <f t="shared" si="222"/>
        <v/>
      </c>
      <c r="AH601" t="str">
        <f t="shared" si="223"/>
        <v/>
      </c>
      <c r="AI601" t="str">
        <f t="shared" si="224"/>
        <v/>
      </c>
      <c r="AJ601" t="str">
        <f t="shared" si="225"/>
        <v/>
      </c>
      <c r="AK601" t="str">
        <f t="shared" si="226"/>
        <v/>
      </c>
      <c r="AL601" t="str">
        <f t="shared" si="227"/>
        <v/>
      </c>
      <c r="AM601" t="str">
        <f t="shared" si="228"/>
        <v/>
      </c>
      <c r="AN601" t="str">
        <f t="shared" si="229"/>
        <v/>
      </c>
      <c r="AO601" t="str">
        <f t="shared" si="230"/>
        <v/>
      </c>
      <c r="AP601">
        <f t="shared" si="231"/>
        <v>1</v>
      </c>
      <c r="AQ601" t="str">
        <f>IF(SAISIE!$F606="","",SAISIE!$Y606)</f>
        <v/>
      </c>
      <c r="AR601" t="str">
        <f>IF(OR(SAISIE!$U$4="",SAISIE!$W$4=""),"",IF(AND($A601=SAISIE!$U$4,$B601=SAISIE!$W$4,$C601="S1"),COUNTIFS($A$2:$A601,SAISIE!$U$4,$B$2:$B601,SAISIE!$W$4,$C$2:$C601,"S1"),""))</f>
        <v/>
      </c>
      <c r="AS601" t="str">
        <f t="shared" si="232"/>
        <v/>
      </c>
      <c r="AT601" t="str">
        <f t="shared" si="233"/>
        <v/>
      </c>
      <c r="AU601" t="str">
        <f t="shared" si="234"/>
        <v/>
      </c>
      <c r="AV601">
        <f>N(AV600)+IF(AND($AB601&lt;&gt;"",OR('PROFIL ELEVE'!$K$4="(Tous)",$AF601='PROFIL ELEVE'!$K$4)),1,0)</f>
        <v>0</v>
      </c>
      <c r="AW601">
        <f>N(AW600)+IF(AND($AB601&lt;&gt;"",OR('SUIVI LONGITUDINAL'!$Q$4="(Tous)",$AF601='SUIVI LONGITUDINAL'!$Q$4)),1,0)</f>
        <v>0</v>
      </c>
      <c r="AX601">
        <f t="shared" si="235"/>
        <v>0</v>
      </c>
      <c r="AY601">
        <f t="shared" si="236"/>
        <v>0</v>
      </c>
      <c r="AZ601">
        <f t="shared" si="237"/>
        <v>0</v>
      </c>
      <c r="BA601" t="str">
        <f t="shared" si="238"/>
        <v/>
      </c>
      <c r="BB601" t="str">
        <f t="shared" si="239"/>
        <v/>
      </c>
    </row>
    <row r="602" spans="1:54" ht="14.25" customHeight="1" x14ac:dyDescent="0.3">
      <c r="A602" t="str">
        <f>IF(SAISIE!$F607="","",SAISIE!$B607)</f>
        <v/>
      </c>
      <c r="B602" t="str">
        <f>IF(SAISIE!$F607="","",SAISIE!$C607)</f>
        <v/>
      </c>
      <c r="C602" t="str">
        <f>IF(SAISIE!$F607="","",SAISIE!$D607)</f>
        <v/>
      </c>
      <c r="D602" t="str">
        <f>IF(SAISIE!$E607="","",SAISIE!$E607)</f>
        <v/>
      </c>
      <c r="E602" t="str">
        <f>IF(SAISIE!$F607="","",SAISIE!$F607)</f>
        <v/>
      </c>
      <c r="F602" t="str">
        <f>IF(SAISIE!$G607="","",SAISIE!$G607)</f>
        <v/>
      </c>
      <c r="G602" t="str">
        <f>IF(SAISIE!$H607="","",SAISIE!$H607)</f>
        <v/>
      </c>
      <c r="H602" t="str">
        <f>IF(SAISIE!$I607="","",SAISIE!$I607)</f>
        <v/>
      </c>
      <c r="I602" t="str">
        <f>IF(SAISIE!$J607="","",SAISIE!$J607)</f>
        <v/>
      </c>
      <c r="J602" t="str">
        <f>IF(SAISIE!$K607="","",SAISIE!$K607)</f>
        <v/>
      </c>
      <c r="K602" t="str">
        <f>IF(SAISIE!$L607="","",SAISIE!$L607)</f>
        <v/>
      </c>
      <c r="L602" t="str">
        <f>IF(SAISIE!$M607="","",SAISIE!$M607)</f>
        <v/>
      </c>
      <c r="M602" t="str">
        <f>IF(SAISIE!$N607="","",SAISIE!$N607)</f>
        <v/>
      </c>
      <c r="N602" t="str">
        <f>IF(SAISIE!$O607="","",SAISIE!$O607)</f>
        <v/>
      </c>
      <c r="O602" t="str">
        <f>IF(SAISIE!$P607="","",SAISIE!$P607)</f>
        <v/>
      </c>
      <c r="P602" t="str">
        <f>IF(SAISIE!$Q607="","",SAISIE!$Q607)</f>
        <v/>
      </c>
      <c r="Q602" t="str">
        <f>IF($I602="","",IF($I602&gt;PARAMETRES!$G$29,5,IF($I602&gt;PARAMETRES!$F$29,4,IF($I602&gt;PARAMETRES!$E$29,3,IF($I602&gt;PARAMETRES!$D$29,2,1)))))</f>
        <v/>
      </c>
      <c r="R602" t="str">
        <f>IF($J602="","",IF($J602&gt;PARAMETRES!$G$30,5,IF($J602&gt;PARAMETRES!$F$30,4,IF($J602&gt;PARAMETRES!$E$30,3,IF($J602&gt;PARAMETRES!$D$30,2,1)))))</f>
        <v/>
      </c>
      <c r="S602" t="str">
        <f>IF($K602="","",IF($Z602=2,IF($K602&gt;PARAMETRES!$G$31,5,IF($K602&gt;PARAMETRES!$F$31,4,IF($K602&gt;PARAMETRES!$E$31,3,IF($K602&gt;PARAMETRES!$D$31,2,1)))),IF($K602&gt;PARAMETRES!$G$32,5,IF($K602&gt;PARAMETRES!$F$32,4,IF($K602&gt;PARAMETRES!$E$32,3,IF($K602&gt;PARAMETRES!$D$32,2,1))))))</f>
        <v/>
      </c>
      <c r="T602" t="str">
        <f>IF($L602="","",IF($L602&gt;PARAMETRES!$G$33,5,IF($L602&gt;PARAMETRES!$F$33,4,IF($L602&gt;PARAMETRES!$E$33,3,IF($L602&gt;PARAMETRES!$D$33,2,1)))))</f>
        <v/>
      </c>
      <c r="U602" t="str">
        <f>IF($M602="","",IF($M602&gt;PARAMETRES!$G$34,5,IF($M602&gt;PARAMETRES!$F$34,4,IF($M602&gt;PARAMETRES!$E$34,3,IF($M602&gt;PARAMETRES!$D$34,2,1)))))</f>
        <v/>
      </c>
      <c r="V602" t="str">
        <f>IF($N602="","",IF($N602&gt;PARAMETRES!$G$35,5,IF($N602&gt;PARAMETRES!$F$35,4,IF($N602&gt;PARAMETRES!$E$35,3,IF($N602&gt;PARAMETRES!$D$35,2,1)))))</f>
        <v/>
      </c>
      <c r="W602" t="str">
        <f>IF($O602="","",IF($O602&gt;PARAMETRES!$G$36,5,IF($O602&gt;PARAMETRES!$F$36,4,IF($O602&gt;PARAMETRES!$E$36,3,IF($O602&gt;PARAMETRES!$D$36,2,1)))))</f>
        <v/>
      </c>
      <c r="X602" t="str">
        <f>IF($P602="","",IF($P602&gt;PARAMETRES!$G$37,5,IF($P602&gt;PARAMETRES!$F$37,4,IF($P602&gt;PARAMETRES!$E$37,3,IF($P602&gt;PARAMETRES!$D$37,2,1)))))</f>
        <v/>
      </c>
      <c r="Y602" t="str">
        <f t="shared" si="216"/>
        <v/>
      </c>
      <c r="Z602" t="str">
        <f>IFERROR(VLOOKUP($B602,TABLE_CYCLE,2,0),"")</f>
        <v/>
      </c>
      <c r="AA602" t="str">
        <f t="shared" si="217"/>
        <v/>
      </c>
      <c r="AB602" t="str">
        <f>IF($D602="","",IF(COUNTIF($D$2:$D602,$D602)=1,$D602,""))</f>
        <v/>
      </c>
      <c r="AC602">
        <f t="shared" si="218"/>
        <v>0</v>
      </c>
      <c r="AD602" t="str">
        <f t="shared" si="219"/>
        <v>|0</v>
      </c>
      <c r="AE602" t="str">
        <f t="shared" si="220"/>
        <v/>
      </c>
      <c r="AF602" t="str">
        <f t="shared" si="221"/>
        <v/>
      </c>
      <c r="AG602" t="str">
        <f t="shared" si="222"/>
        <v/>
      </c>
      <c r="AH602" t="str">
        <f t="shared" si="223"/>
        <v/>
      </c>
      <c r="AI602" t="str">
        <f t="shared" si="224"/>
        <v/>
      </c>
      <c r="AJ602" t="str">
        <f t="shared" si="225"/>
        <v/>
      </c>
      <c r="AK602" t="str">
        <f t="shared" si="226"/>
        <v/>
      </c>
      <c r="AL602" t="str">
        <f t="shared" si="227"/>
        <v/>
      </c>
      <c r="AM602" t="str">
        <f t="shared" si="228"/>
        <v/>
      </c>
      <c r="AN602" t="str">
        <f t="shared" si="229"/>
        <v/>
      </c>
      <c r="AO602" t="str">
        <f t="shared" si="230"/>
        <v/>
      </c>
      <c r="AP602">
        <f t="shared" si="231"/>
        <v>1</v>
      </c>
      <c r="AQ602" t="str">
        <f>IF(SAISIE!$F607="","",SAISIE!$Y607)</f>
        <v/>
      </c>
      <c r="AR602" t="str">
        <f>IF(OR(SAISIE!$U$4="",SAISIE!$W$4=""),"",IF(AND($A602=SAISIE!$U$4,$B602=SAISIE!$W$4,$C602="S1"),COUNTIFS($A$2:$A602,SAISIE!$U$4,$B$2:$B602,SAISIE!$W$4,$C$2:$C602,"S1"),""))</f>
        <v/>
      </c>
      <c r="AS602" t="str">
        <f t="shared" si="232"/>
        <v/>
      </c>
      <c r="AT602" t="str">
        <f t="shared" si="233"/>
        <v/>
      </c>
      <c r="AU602" t="str">
        <f t="shared" si="234"/>
        <v/>
      </c>
      <c r="AV602">
        <f>N(AV601)+IF(AND($AB602&lt;&gt;"",OR('PROFIL ELEVE'!$K$4="(Tous)",$AF602='PROFIL ELEVE'!$K$4)),1,0)</f>
        <v>0</v>
      </c>
      <c r="AW602">
        <f>N(AW601)+IF(AND($AB602&lt;&gt;"",OR('SUIVI LONGITUDINAL'!$Q$4="(Tous)",$AF602='SUIVI LONGITUDINAL'!$Q$4)),1,0)</f>
        <v>0</v>
      </c>
      <c r="AX602">
        <f t="shared" si="235"/>
        <v>0</v>
      </c>
      <c r="AY602">
        <f t="shared" si="236"/>
        <v>0</v>
      </c>
      <c r="AZ602">
        <f t="shared" si="237"/>
        <v>0</v>
      </c>
      <c r="BA602" t="str">
        <f t="shared" si="238"/>
        <v/>
      </c>
      <c r="BB602" t="str">
        <f t="shared" si="239"/>
        <v/>
      </c>
    </row>
    <row r="603" spans="1:54" ht="14.25" customHeight="1" x14ac:dyDescent="0.3">
      <c r="A603" t="str">
        <f>IF(SAISIE!$F608="","",SAISIE!$B608)</f>
        <v/>
      </c>
      <c r="B603" t="str">
        <f>IF(SAISIE!$F608="","",SAISIE!$C608)</f>
        <v/>
      </c>
      <c r="C603" t="str">
        <f>IF(SAISIE!$F608="","",SAISIE!$D608)</f>
        <v/>
      </c>
      <c r="D603" t="str">
        <f>IF(SAISIE!$E608="","",SAISIE!$E608)</f>
        <v/>
      </c>
      <c r="E603" t="str">
        <f>IF(SAISIE!$F608="","",SAISIE!$F608)</f>
        <v/>
      </c>
      <c r="F603" t="str">
        <f>IF(SAISIE!$G608="","",SAISIE!$G608)</f>
        <v/>
      </c>
      <c r="G603" t="str">
        <f>IF(SAISIE!$H608="","",SAISIE!$H608)</f>
        <v/>
      </c>
      <c r="H603" t="str">
        <f>IF(SAISIE!$I608="","",SAISIE!$I608)</f>
        <v/>
      </c>
      <c r="I603" t="str">
        <f>IF(SAISIE!$J608="","",SAISIE!$J608)</f>
        <v/>
      </c>
      <c r="J603" t="str">
        <f>IF(SAISIE!$K608="","",SAISIE!$K608)</f>
        <v/>
      </c>
      <c r="K603" t="str">
        <f>IF(SAISIE!$L608="","",SAISIE!$L608)</f>
        <v/>
      </c>
      <c r="L603" t="str">
        <f>IF(SAISIE!$M608="","",SAISIE!$M608)</f>
        <v/>
      </c>
      <c r="M603" t="str">
        <f>IF(SAISIE!$N608="","",SAISIE!$N608)</f>
        <v/>
      </c>
      <c r="N603" t="str">
        <f>IF(SAISIE!$O608="","",SAISIE!$O608)</f>
        <v/>
      </c>
      <c r="O603" t="str">
        <f>IF(SAISIE!$P608="","",SAISIE!$P608)</f>
        <v/>
      </c>
      <c r="P603" t="str">
        <f>IF(SAISIE!$Q608="","",SAISIE!$Q608)</f>
        <v/>
      </c>
      <c r="Q603" t="str">
        <f>IF($I603="","",IF($I603&gt;PARAMETRES!$G$29,5,IF($I603&gt;PARAMETRES!$F$29,4,IF($I603&gt;PARAMETRES!$E$29,3,IF($I603&gt;PARAMETRES!$D$29,2,1)))))</f>
        <v/>
      </c>
      <c r="R603" t="str">
        <f>IF($J603="","",IF($J603&gt;PARAMETRES!$G$30,5,IF($J603&gt;PARAMETRES!$F$30,4,IF($J603&gt;PARAMETRES!$E$30,3,IF($J603&gt;PARAMETRES!$D$30,2,1)))))</f>
        <v/>
      </c>
      <c r="S603" t="str">
        <f>IF($K603="","",IF($Z603=2,IF($K603&gt;PARAMETRES!$G$31,5,IF($K603&gt;PARAMETRES!$F$31,4,IF($K603&gt;PARAMETRES!$E$31,3,IF($K603&gt;PARAMETRES!$D$31,2,1)))),IF($K603&gt;PARAMETRES!$G$32,5,IF($K603&gt;PARAMETRES!$F$32,4,IF($K603&gt;PARAMETRES!$E$32,3,IF($K603&gt;PARAMETRES!$D$32,2,1))))))</f>
        <v/>
      </c>
      <c r="T603" t="str">
        <f>IF($L603="","",IF($L603&gt;PARAMETRES!$G$33,5,IF($L603&gt;PARAMETRES!$F$33,4,IF($L603&gt;PARAMETRES!$E$33,3,IF($L603&gt;PARAMETRES!$D$33,2,1)))))</f>
        <v/>
      </c>
      <c r="U603" t="str">
        <f>IF($M603="","",IF($M603&gt;PARAMETRES!$G$34,5,IF($M603&gt;PARAMETRES!$F$34,4,IF($M603&gt;PARAMETRES!$E$34,3,IF($M603&gt;PARAMETRES!$D$34,2,1)))))</f>
        <v/>
      </c>
      <c r="V603" t="str">
        <f>IF($N603="","",IF($N603&gt;PARAMETRES!$G$35,5,IF($N603&gt;PARAMETRES!$F$35,4,IF($N603&gt;PARAMETRES!$E$35,3,IF($N603&gt;PARAMETRES!$D$35,2,1)))))</f>
        <v/>
      </c>
      <c r="W603" t="str">
        <f>IF($O603="","",IF($O603&gt;PARAMETRES!$G$36,5,IF($O603&gt;PARAMETRES!$F$36,4,IF($O603&gt;PARAMETRES!$E$36,3,IF($O603&gt;PARAMETRES!$D$36,2,1)))))</f>
        <v/>
      </c>
      <c r="X603" t="str">
        <f>IF($P603="","",IF($P603&gt;PARAMETRES!$G$37,5,IF($P603&gt;PARAMETRES!$F$37,4,IF($P603&gt;PARAMETRES!$E$37,3,IF($P603&gt;PARAMETRES!$D$37,2,1)))))</f>
        <v/>
      </c>
      <c r="Y603" t="str">
        <f t="shared" si="216"/>
        <v/>
      </c>
      <c r="Z603" t="str">
        <f>IFERROR(VLOOKUP($B603,TABLE_CYCLE,2,0),"")</f>
        <v/>
      </c>
      <c r="AA603" t="str">
        <f t="shared" si="217"/>
        <v/>
      </c>
      <c r="AB603" t="str">
        <f>IF($D603="","",IF(COUNTIF($D$2:$D603,$D603)=1,$D603,""))</f>
        <v/>
      </c>
      <c r="AC603">
        <f t="shared" si="218"/>
        <v>0</v>
      </c>
      <c r="AD603" t="str">
        <f t="shared" si="219"/>
        <v>|0</v>
      </c>
      <c r="AE603" t="str">
        <f t="shared" si="220"/>
        <v/>
      </c>
      <c r="AF603" t="str">
        <f t="shared" si="221"/>
        <v/>
      </c>
      <c r="AG603" t="str">
        <f t="shared" si="222"/>
        <v/>
      </c>
      <c r="AH603" t="str">
        <f t="shared" si="223"/>
        <v/>
      </c>
      <c r="AI603" t="str">
        <f t="shared" si="224"/>
        <v/>
      </c>
      <c r="AJ603" t="str">
        <f t="shared" si="225"/>
        <v/>
      </c>
      <c r="AK603" t="str">
        <f t="shared" si="226"/>
        <v/>
      </c>
      <c r="AL603" t="str">
        <f t="shared" si="227"/>
        <v/>
      </c>
      <c r="AM603" t="str">
        <f t="shared" si="228"/>
        <v/>
      </c>
      <c r="AN603" t="str">
        <f t="shared" si="229"/>
        <v/>
      </c>
      <c r="AO603" t="str">
        <f t="shared" si="230"/>
        <v/>
      </c>
      <c r="AP603">
        <f t="shared" si="231"/>
        <v>1</v>
      </c>
      <c r="AQ603" t="str">
        <f>IF(SAISIE!$F608="","",SAISIE!$Y608)</f>
        <v/>
      </c>
      <c r="AR603" t="str">
        <f>IF(OR(SAISIE!$U$4="",SAISIE!$W$4=""),"",IF(AND($A603=SAISIE!$U$4,$B603=SAISIE!$W$4,$C603="S1"),COUNTIFS($A$2:$A603,SAISIE!$U$4,$B$2:$B603,SAISIE!$W$4,$C$2:$C603,"S1"),""))</f>
        <v/>
      </c>
      <c r="AS603" t="str">
        <f t="shared" si="232"/>
        <v/>
      </c>
      <c r="AT603" t="str">
        <f t="shared" si="233"/>
        <v/>
      </c>
      <c r="AU603" t="str">
        <f t="shared" si="234"/>
        <v/>
      </c>
      <c r="AV603">
        <f>N(AV602)+IF(AND($AB603&lt;&gt;"",OR('PROFIL ELEVE'!$K$4="(Tous)",$AF603='PROFIL ELEVE'!$K$4)),1,0)</f>
        <v>0</v>
      </c>
      <c r="AW603">
        <f>N(AW602)+IF(AND($AB603&lt;&gt;"",OR('SUIVI LONGITUDINAL'!$Q$4="(Tous)",$AF603='SUIVI LONGITUDINAL'!$Q$4)),1,0)</f>
        <v>0</v>
      </c>
      <c r="AX603">
        <f t="shared" si="235"/>
        <v>0</v>
      </c>
      <c r="AY603">
        <f t="shared" si="236"/>
        <v>0</v>
      </c>
      <c r="AZ603">
        <f t="shared" si="237"/>
        <v>0</v>
      </c>
      <c r="BA603" t="str">
        <f t="shared" si="238"/>
        <v/>
      </c>
      <c r="BB603" t="str">
        <f t="shared" si="239"/>
        <v/>
      </c>
    </row>
    <row r="604" spans="1:54" ht="14.25" customHeight="1" x14ac:dyDescent="0.3">
      <c r="A604" t="str">
        <f>IF(SAISIE!$F609="","",SAISIE!$B609)</f>
        <v/>
      </c>
      <c r="B604" t="str">
        <f>IF(SAISIE!$F609="","",SAISIE!$C609)</f>
        <v/>
      </c>
      <c r="C604" t="str">
        <f>IF(SAISIE!$F609="","",SAISIE!$D609)</f>
        <v/>
      </c>
      <c r="D604" t="str">
        <f>IF(SAISIE!$E609="","",SAISIE!$E609)</f>
        <v/>
      </c>
      <c r="E604" t="str">
        <f>IF(SAISIE!$F609="","",SAISIE!$F609)</f>
        <v/>
      </c>
      <c r="F604" t="str">
        <f>IF(SAISIE!$G609="","",SAISIE!$G609)</f>
        <v/>
      </c>
      <c r="G604" t="str">
        <f>IF(SAISIE!$H609="","",SAISIE!$H609)</f>
        <v/>
      </c>
      <c r="H604" t="str">
        <f>IF(SAISIE!$I609="","",SAISIE!$I609)</f>
        <v/>
      </c>
      <c r="I604" t="str">
        <f>IF(SAISIE!$J609="","",SAISIE!$J609)</f>
        <v/>
      </c>
      <c r="J604" t="str">
        <f>IF(SAISIE!$K609="","",SAISIE!$K609)</f>
        <v/>
      </c>
      <c r="K604" t="str">
        <f>IF(SAISIE!$L609="","",SAISIE!$L609)</f>
        <v/>
      </c>
      <c r="L604" t="str">
        <f>IF(SAISIE!$M609="","",SAISIE!$M609)</f>
        <v/>
      </c>
      <c r="M604" t="str">
        <f>IF(SAISIE!$N609="","",SAISIE!$N609)</f>
        <v/>
      </c>
      <c r="N604" t="str">
        <f>IF(SAISIE!$O609="","",SAISIE!$O609)</f>
        <v/>
      </c>
      <c r="O604" t="str">
        <f>IF(SAISIE!$P609="","",SAISIE!$P609)</f>
        <v/>
      </c>
      <c r="P604" t="str">
        <f>IF(SAISIE!$Q609="","",SAISIE!$Q609)</f>
        <v/>
      </c>
      <c r="Q604" t="str">
        <f>IF($I604="","",IF($I604&gt;PARAMETRES!$G$29,5,IF($I604&gt;PARAMETRES!$F$29,4,IF($I604&gt;PARAMETRES!$E$29,3,IF($I604&gt;PARAMETRES!$D$29,2,1)))))</f>
        <v/>
      </c>
      <c r="R604" t="str">
        <f>IF($J604="","",IF($J604&gt;PARAMETRES!$G$30,5,IF($J604&gt;PARAMETRES!$F$30,4,IF($J604&gt;PARAMETRES!$E$30,3,IF($J604&gt;PARAMETRES!$D$30,2,1)))))</f>
        <v/>
      </c>
      <c r="S604" t="str">
        <f>IF($K604="","",IF($Z604=2,IF($K604&gt;PARAMETRES!$G$31,5,IF($K604&gt;PARAMETRES!$F$31,4,IF($K604&gt;PARAMETRES!$E$31,3,IF($K604&gt;PARAMETRES!$D$31,2,1)))),IF($K604&gt;PARAMETRES!$G$32,5,IF($K604&gt;PARAMETRES!$F$32,4,IF($K604&gt;PARAMETRES!$E$32,3,IF($K604&gt;PARAMETRES!$D$32,2,1))))))</f>
        <v/>
      </c>
      <c r="T604" t="str">
        <f>IF($L604="","",IF($L604&gt;PARAMETRES!$G$33,5,IF($L604&gt;PARAMETRES!$F$33,4,IF($L604&gt;PARAMETRES!$E$33,3,IF($L604&gt;PARAMETRES!$D$33,2,1)))))</f>
        <v/>
      </c>
      <c r="U604" t="str">
        <f>IF($M604="","",IF($M604&gt;PARAMETRES!$G$34,5,IF($M604&gt;PARAMETRES!$F$34,4,IF($M604&gt;PARAMETRES!$E$34,3,IF($M604&gt;PARAMETRES!$D$34,2,1)))))</f>
        <v/>
      </c>
      <c r="V604" t="str">
        <f>IF($N604="","",IF($N604&gt;PARAMETRES!$G$35,5,IF($N604&gt;PARAMETRES!$F$35,4,IF($N604&gt;PARAMETRES!$E$35,3,IF($N604&gt;PARAMETRES!$D$35,2,1)))))</f>
        <v/>
      </c>
      <c r="W604" t="str">
        <f>IF($O604="","",IF($O604&gt;PARAMETRES!$G$36,5,IF($O604&gt;PARAMETRES!$F$36,4,IF($O604&gt;PARAMETRES!$E$36,3,IF($O604&gt;PARAMETRES!$D$36,2,1)))))</f>
        <v/>
      </c>
      <c r="X604" t="str">
        <f>IF($P604="","",IF($P604&gt;PARAMETRES!$G$37,5,IF($P604&gt;PARAMETRES!$F$37,4,IF($P604&gt;PARAMETRES!$E$37,3,IF($P604&gt;PARAMETRES!$D$37,2,1)))))</f>
        <v/>
      </c>
      <c r="Y604" t="str">
        <f t="shared" si="216"/>
        <v/>
      </c>
      <c r="Z604" t="str">
        <f>IFERROR(VLOOKUP($B604,TABLE_CYCLE,2,0),"")</f>
        <v/>
      </c>
      <c r="AA604" t="str">
        <f t="shared" si="217"/>
        <v/>
      </c>
      <c r="AB604" t="str">
        <f>IF($D604="","",IF(COUNTIF($D$2:$D604,$D604)=1,$D604,""))</f>
        <v/>
      </c>
      <c r="AC604">
        <f t="shared" si="218"/>
        <v>0</v>
      </c>
      <c r="AD604" t="str">
        <f t="shared" si="219"/>
        <v>|0</v>
      </c>
      <c r="AE604" t="str">
        <f t="shared" si="220"/>
        <v/>
      </c>
      <c r="AF604" t="str">
        <f t="shared" si="221"/>
        <v/>
      </c>
      <c r="AG604" t="str">
        <f t="shared" si="222"/>
        <v/>
      </c>
      <c r="AH604" t="str">
        <f t="shared" si="223"/>
        <v/>
      </c>
      <c r="AI604" t="str">
        <f t="shared" si="224"/>
        <v/>
      </c>
      <c r="AJ604" t="str">
        <f t="shared" si="225"/>
        <v/>
      </c>
      <c r="AK604" t="str">
        <f t="shared" si="226"/>
        <v/>
      </c>
      <c r="AL604" t="str">
        <f t="shared" si="227"/>
        <v/>
      </c>
      <c r="AM604" t="str">
        <f t="shared" si="228"/>
        <v/>
      </c>
      <c r="AN604" t="str">
        <f t="shared" si="229"/>
        <v/>
      </c>
      <c r="AO604" t="str">
        <f t="shared" si="230"/>
        <v/>
      </c>
      <c r="AP604">
        <f t="shared" si="231"/>
        <v>1</v>
      </c>
      <c r="AQ604" t="str">
        <f>IF(SAISIE!$F609="","",SAISIE!$Y609)</f>
        <v/>
      </c>
      <c r="AR604" t="str">
        <f>IF(OR(SAISIE!$U$4="",SAISIE!$W$4=""),"",IF(AND($A604=SAISIE!$U$4,$B604=SAISIE!$W$4,$C604="S1"),COUNTIFS($A$2:$A604,SAISIE!$U$4,$B$2:$B604,SAISIE!$W$4,$C$2:$C604,"S1"),""))</f>
        <v/>
      </c>
      <c r="AS604" t="str">
        <f t="shared" si="232"/>
        <v/>
      </c>
      <c r="AT604" t="str">
        <f t="shared" si="233"/>
        <v/>
      </c>
      <c r="AU604" t="str">
        <f t="shared" si="234"/>
        <v/>
      </c>
      <c r="AV604">
        <f>N(AV603)+IF(AND($AB604&lt;&gt;"",OR('PROFIL ELEVE'!$K$4="(Tous)",$AF604='PROFIL ELEVE'!$K$4)),1,0)</f>
        <v>0</v>
      </c>
      <c r="AW604">
        <f>N(AW603)+IF(AND($AB604&lt;&gt;"",OR('SUIVI LONGITUDINAL'!$Q$4="(Tous)",$AF604='SUIVI LONGITUDINAL'!$Q$4)),1,0)</f>
        <v>0</v>
      </c>
      <c r="AX604">
        <f t="shared" si="235"/>
        <v>0</v>
      </c>
      <c r="AY604">
        <f t="shared" si="236"/>
        <v>0</v>
      </c>
      <c r="AZ604">
        <f t="shared" si="237"/>
        <v>0</v>
      </c>
      <c r="BA604" t="str">
        <f t="shared" si="238"/>
        <v/>
      </c>
      <c r="BB604" t="str">
        <f t="shared" si="239"/>
        <v/>
      </c>
    </row>
    <row r="605" spans="1:54" ht="14.25" customHeight="1" x14ac:dyDescent="0.3">
      <c r="A605" t="str">
        <f>IF(SAISIE!$F610="","",SAISIE!$B610)</f>
        <v/>
      </c>
      <c r="B605" t="str">
        <f>IF(SAISIE!$F610="","",SAISIE!$C610)</f>
        <v/>
      </c>
      <c r="C605" t="str">
        <f>IF(SAISIE!$F610="","",SAISIE!$D610)</f>
        <v/>
      </c>
      <c r="D605" t="str">
        <f>IF(SAISIE!$E610="","",SAISIE!$E610)</f>
        <v/>
      </c>
      <c r="E605" t="str">
        <f>IF(SAISIE!$F610="","",SAISIE!$F610)</f>
        <v/>
      </c>
      <c r="F605" t="str">
        <f>IF(SAISIE!$G610="","",SAISIE!$G610)</f>
        <v/>
      </c>
      <c r="G605" t="str">
        <f>IF(SAISIE!$H610="","",SAISIE!$H610)</f>
        <v/>
      </c>
      <c r="H605" t="str">
        <f>IF(SAISIE!$I610="","",SAISIE!$I610)</f>
        <v/>
      </c>
      <c r="I605" t="str">
        <f>IF(SAISIE!$J610="","",SAISIE!$J610)</f>
        <v/>
      </c>
      <c r="J605" t="str">
        <f>IF(SAISIE!$K610="","",SAISIE!$K610)</f>
        <v/>
      </c>
      <c r="K605" t="str">
        <f>IF(SAISIE!$L610="","",SAISIE!$L610)</f>
        <v/>
      </c>
      <c r="L605" t="str">
        <f>IF(SAISIE!$M610="","",SAISIE!$M610)</f>
        <v/>
      </c>
      <c r="M605" t="str">
        <f>IF(SAISIE!$N610="","",SAISIE!$N610)</f>
        <v/>
      </c>
      <c r="N605" t="str">
        <f>IF(SAISIE!$O610="","",SAISIE!$O610)</f>
        <v/>
      </c>
      <c r="O605" t="str">
        <f>IF(SAISIE!$P610="","",SAISIE!$P610)</f>
        <v/>
      </c>
      <c r="P605" t="str">
        <f>IF(SAISIE!$Q610="","",SAISIE!$Q610)</f>
        <v/>
      </c>
      <c r="Q605" t="str">
        <f>IF($I605="","",IF($I605&gt;PARAMETRES!$G$29,5,IF($I605&gt;PARAMETRES!$F$29,4,IF($I605&gt;PARAMETRES!$E$29,3,IF($I605&gt;PARAMETRES!$D$29,2,1)))))</f>
        <v/>
      </c>
      <c r="R605" t="str">
        <f>IF($J605="","",IF($J605&gt;PARAMETRES!$G$30,5,IF($J605&gt;PARAMETRES!$F$30,4,IF($J605&gt;PARAMETRES!$E$30,3,IF($J605&gt;PARAMETRES!$D$30,2,1)))))</f>
        <v/>
      </c>
      <c r="S605" t="str">
        <f>IF($K605="","",IF($Z605=2,IF($K605&gt;PARAMETRES!$G$31,5,IF($K605&gt;PARAMETRES!$F$31,4,IF($K605&gt;PARAMETRES!$E$31,3,IF($K605&gt;PARAMETRES!$D$31,2,1)))),IF($K605&gt;PARAMETRES!$G$32,5,IF($K605&gt;PARAMETRES!$F$32,4,IF($K605&gt;PARAMETRES!$E$32,3,IF($K605&gt;PARAMETRES!$D$32,2,1))))))</f>
        <v/>
      </c>
      <c r="T605" t="str">
        <f>IF($L605="","",IF($L605&gt;PARAMETRES!$G$33,5,IF($L605&gt;PARAMETRES!$F$33,4,IF($L605&gt;PARAMETRES!$E$33,3,IF($L605&gt;PARAMETRES!$D$33,2,1)))))</f>
        <v/>
      </c>
      <c r="U605" t="str">
        <f>IF($M605="","",IF($M605&gt;PARAMETRES!$G$34,5,IF($M605&gt;PARAMETRES!$F$34,4,IF($M605&gt;PARAMETRES!$E$34,3,IF($M605&gt;PARAMETRES!$D$34,2,1)))))</f>
        <v/>
      </c>
      <c r="V605" t="str">
        <f>IF($N605="","",IF($N605&gt;PARAMETRES!$G$35,5,IF($N605&gt;PARAMETRES!$F$35,4,IF($N605&gt;PARAMETRES!$E$35,3,IF($N605&gt;PARAMETRES!$D$35,2,1)))))</f>
        <v/>
      </c>
      <c r="W605" t="str">
        <f>IF($O605="","",IF($O605&gt;PARAMETRES!$G$36,5,IF($O605&gt;PARAMETRES!$F$36,4,IF($O605&gt;PARAMETRES!$E$36,3,IF($O605&gt;PARAMETRES!$D$36,2,1)))))</f>
        <v/>
      </c>
      <c r="X605" t="str">
        <f>IF($P605="","",IF($P605&gt;PARAMETRES!$G$37,5,IF($P605&gt;PARAMETRES!$F$37,4,IF($P605&gt;PARAMETRES!$E$37,3,IF($P605&gt;PARAMETRES!$D$37,2,1)))))</f>
        <v/>
      </c>
      <c r="Y605" t="str">
        <f t="shared" si="216"/>
        <v/>
      </c>
      <c r="Z605" t="str">
        <f>IFERROR(VLOOKUP($B605,TABLE_CYCLE,2,0),"")</f>
        <v/>
      </c>
      <c r="AA605" t="str">
        <f t="shared" si="217"/>
        <v/>
      </c>
      <c r="AB605" t="str">
        <f>IF($D605="","",IF(COUNTIF($D$2:$D605,$D605)=1,$D605,""))</f>
        <v/>
      </c>
      <c r="AC605">
        <f t="shared" si="218"/>
        <v>0</v>
      </c>
      <c r="AD605" t="str">
        <f t="shared" si="219"/>
        <v>|0</v>
      </c>
      <c r="AE605" t="str">
        <f t="shared" si="220"/>
        <v/>
      </c>
      <c r="AF605" t="str">
        <f t="shared" si="221"/>
        <v/>
      </c>
      <c r="AG605" t="str">
        <f t="shared" si="222"/>
        <v/>
      </c>
      <c r="AH605" t="str">
        <f t="shared" si="223"/>
        <v/>
      </c>
      <c r="AI605" t="str">
        <f t="shared" si="224"/>
        <v/>
      </c>
      <c r="AJ605" t="str">
        <f t="shared" si="225"/>
        <v/>
      </c>
      <c r="AK605" t="str">
        <f t="shared" si="226"/>
        <v/>
      </c>
      <c r="AL605" t="str">
        <f t="shared" si="227"/>
        <v/>
      </c>
      <c r="AM605" t="str">
        <f t="shared" si="228"/>
        <v/>
      </c>
      <c r="AN605" t="str">
        <f t="shared" si="229"/>
        <v/>
      </c>
      <c r="AO605" t="str">
        <f t="shared" si="230"/>
        <v/>
      </c>
      <c r="AP605">
        <f t="shared" si="231"/>
        <v>1</v>
      </c>
      <c r="AQ605" t="str">
        <f>IF(SAISIE!$F610="","",SAISIE!$Y610)</f>
        <v/>
      </c>
      <c r="AR605" t="str">
        <f>IF(OR(SAISIE!$U$4="",SAISIE!$W$4=""),"",IF(AND($A605=SAISIE!$U$4,$B605=SAISIE!$W$4,$C605="S1"),COUNTIFS($A$2:$A605,SAISIE!$U$4,$B$2:$B605,SAISIE!$W$4,$C$2:$C605,"S1"),""))</f>
        <v/>
      </c>
      <c r="AS605" t="str">
        <f t="shared" si="232"/>
        <v/>
      </c>
      <c r="AT605" t="str">
        <f t="shared" si="233"/>
        <v/>
      </c>
      <c r="AU605" t="str">
        <f t="shared" si="234"/>
        <v/>
      </c>
      <c r="AV605">
        <f>N(AV604)+IF(AND($AB605&lt;&gt;"",OR('PROFIL ELEVE'!$K$4="(Tous)",$AF605='PROFIL ELEVE'!$K$4)),1,0)</f>
        <v>0</v>
      </c>
      <c r="AW605">
        <f>N(AW604)+IF(AND($AB605&lt;&gt;"",OR('SUIVI LONGITUDINAL'!$Q$4="(Tous)",$AF605='SUIVI LONGITUDINAL'!$Q$4)),1,0)</f>
        <v>0</v>
      </c>
      <c r="AX605">
        <f t="shared" si="235"/>
        <v>0</v>
      </c>
      <c r="AY605">
        <f t="shared" si="236"/>
        <v>0</v>
      </c>
      <c r="AZ605">
        <f t="shared" si="237"/>
        <v>0</v>
      </c>
      <c r="BA605" t="str">
        <f t="shared" si="238"/>
        <v/>
      </c>
      <c r="BB605" t="str">
        <f t="shared" si="239"/>
        <v/>
      </c>
    </row>
    <row r="606" spans="1:54" ht="14.25" customHeight="1" x14ac:dyDescent="0.3">
      <c r="A606" t="str">
        <f>IF(SAISIE!$F611="","",SAISIE!$B611)</f>
        <v/>
      </c>
      <c r="B606" t="str">
        <f>IF(SAISIE!$F611="","",SAISIE!$C611)</f>
        <v/>
      </c>
      <c r="C606" t="str">
        <f>IF(SAISIE!$F611="","",SAISIE!$D611)</f>
        <v/>
      </c>
      <c r="D606" t="str">
        <f>IF(SAISIE!$E611="","",SAISIE!$E611)</f>
        <v/>
      </c>
      <c r="E606" t="str">
        <f>IF(SAISIE!$F611="","",SAISIE!$F611)</f>
        <v/>
      </c>
      <c r="F606" t="str">
        <f>IF(SAISIE!$G611="","",SAISIE!$G611)</f>
        <v/>
      </c>
      <c r="G606" t="str">
        <f>IF(SAISIE!$H611="","",SAISIE!$H611)</f>
        <v/>
      </c>
      <c r="H606" t="str">
        <f>IF(SAISIE!$I611="","",SAISIE!$I611)</f>
        <v/>
      </c>
      <c r="I606" t="str">
        <f>IF(SAISIE!$J611="","",SAISIE!$J611)</f>
        <v/>
      </c>
      <c r="J606" t="str">
        <f>IF(SAISIE!$K611="","",SAISIE!$K611)</f>
        <v/>
      </c>
      <c r="K606" t="str">
        <f>IF(SAISIE!$L611="","",SAISIE!$L611)</f>
        <v/>
      </c>
      <c r="L606" t="str">
        <f>IF(SAISIE!$M611="","",SAISIE!$M611)</f>
        <v/>
      </c>
      <c r="M606" t="str">
        <f>IF(SAISIE!$N611="","",SAISIE!$N611)</f>
        <v/>
      </c>
      <c r="N606" t="str">
        <f>IF(SAISIE!$O611="","",SAISIE!$O611)</f>
        <v/>
      </c>
      <c r="O606" t="str">
        <f>IF(SAISIE!$P611="","",SAISIE!$P611)</f>
        <v/>
      </c>
      <c r="P606" t="str">
        <f>IF(SAISIE!$Q611="","",SAISIE!$Q611)</f>
        <v/>
      </c>
      <c r="Q606" t="str">
        <f>IF($I606="","",IF($I606&gt;PARAMETRES!$G$29,5,IF($I606&gt;PARAMETRES!$F$29,4,IF($I606&gt;PARAMETRES!$E$29,3,IF($I606&gt;PARAMETRES!$D$29,2,1)))))</f>
        <v/>
      </c>
      <c r="R606" t="str">
        <f>IF($J606="","",IF($J606&gt;PARAMETRES!$G$30,5,IF($J606&gt;PARAMETRES!$F$30,4,IF($J606&gt;PARAMETRES!$E$30,3,IF($J606&gt;PARAMETRES!$D$30,2,1)))))</f>
        <v/>
      </c>
      <c r="S606" t="str">
        <f>IF($K606="","",IF($Z606=2,IF($K606&gt;PARAMETRES!$G$31,5,IF($K606&gt;PARAMETRES!$F$31,4,IF($K606&gt;PARAMETRES!$E$31,3,IF($K606&gt;PARAMETRES!$D$31,2,1)))),IF($K606&gt;PARAMETRES!$G$32,5,IF($K606&gt;PARAMETRES!$F$32,4,IF($K606&gt;PARAMETRES!$E$32,3,IF($K606&gt;PARAMETRES!$D$32,2,1))))))</f>
        <v/>
      </c>
      <c r="T606" t="str">
        <f>IF($L606="","",IF($L606&gt;PARAMETRES!$G$33,5,IF($L606&gt;PARAMETRES!$F$33,4,IF($L606&gt;PARAMETRES!$E$33,3,IF($L606&gt;PARAMETRES!$D$33,2,1)))))</f>
        <v/>
      </c>
      <c r="U606" t="str">
        <f>IF($M606="","",IF($M606&gt;PARAMETRES!$G$34,5,IF($M606&gt;PARAMETRES!$F$34,4,IF($M606&gt;PARAMETRES!$E$34,3,IF($M606&gt;PARAMETRES!$D$34,2,1)))))</f>
        <v/>
      </c>
      <c r="V606" t="str">
        <f>IF($N606="","",IF($N606&gt;PARAMETRES!$G$35,5,IF($N606&gt;PARAMETRES!$F$35,4,IF($N606&gt;PARAMETRES!$E$35,3,IF($N606&gt;PARAMETRES!$D$35,2,1)))))</f>
        <v/>
      </c>
      <c r="W606" t="str">
        <f>IF($O606="","",IF($O606&gt;PARAMETRES!$G$36,5,IF($O606&gt;PARAMETRES!$F$36,4,IF($O606&gt;PARAMETRES!$E$36,3,IF($O606&gt;PARAMETRES!$D$36,2,1)))))</f>
        <v/>
      </c>
      <c r="X606" t="str">
        <f>IF($P606="","",IF($P606&gt;PARAMETRES!$G$37,5,IF($P606&gt;PARAMETRES!$F$37,4,IF($P606&gt;PARAMETRES!$E$37,3,IF($P606&gt;PARAMETRES!$D$37,2,1)))))</f>
        <v/>
      </c>
      <c r="Y606" t="str">
        <f t="shared" si="216"/>
        <v/>
      </c>
      <c r="Z606" t="str">
        <f>IFERROR(VLOOKUP($B606,TABLE_CYCLE,2,0),"")</f>
        <v/>
      </c>
      <c r="AA606" t="str">
        <f t="shared" si="217"/>
        <v/>
      </c>
      <c r="AB606" t="str">
        <f>IF($D606="","",IF(COUNTIF($D$2:$D606,$D606)=1,$D606,""))</f>
        <v/>
      </c>
      <c r="AC606">
        <f t="shared" si="218"/>
        <v>0</v>
      </c>
      <c r="AD606" t="str">
        <f t="shared" si="219"/>
        <v>|0</v>
      </c>
      <c r="AE606" t="str">
        <f t="shared" si="220"/>
        <v/>
      </c>
      <c r="AF606" t="str">
        <f t="shared" si="221"/>
        <v/>
      </c>
      <c r="AG606" t="str">
        <f t="shared" si="222"/>
        <v/>
      </c>
      <c r="AH606" t="str">
        <f t="shared" si="223"/>
        <v/>
      </c>
      <c r="AI606" t="str">
        <f t="shared" si="224"/>
        <v/>
      </c>
      <c r="AJ606" t="str">
        <f t="shared" si="225"/>
        <v/>
      </c>
      <c r="AK606" t="str">
        <f t="shared" si="226"/>
        <v/>
      </c>
      <c r="AL606" t="str">
        <f t="shared" si="227"/>
        <v/>
      </c>
      <c r="AM606" t="str">
        <f t="shared" si="228"/>
        <v/>
      </c>
      <c r="AN606" t="str">
        <f t="shared" si="229"/>
        <v/>
      </c>
      <c r="AO606" t="str">
        <f t="shared" si="230"/>
        <v/>
      </c>
      <c r="AP606">
        <f t="shared" si="231"/>
        <v>1</v>
      </c>
      <c r="AQ606" t="str">
        <f>IF(SAISIE!$F611="","",SAISIE!$Y611)</f>
        <v/>
      </c>
      <c r="AR606" t="str">
        <f>IF(OR(SAISIE!$U$4="",SAISIE!$W$4=""),"",IF(AND($A606=SAISIE!$U$4,$B606=SAISIE!$W$4,$C606="S1"),COUNTIFS($A$2:$A606,SAISIE!$U$4,$B$2:$B606,SAISIE!$W$4,$C$2:$C606,"S1"),""))</f>
        <v/>
      </c>
      <c r="AS606" t="str">
        <f t="shared" si="232"/>
        <v/>
      </c>
      <c r="AT606" t="str">
        <f t="shared" si="233"/>
        <v/>
      </c>
      <c r="AU606" t="str">
        <f t="shared" si="234"/>
        <v/>
      </c>
      <c r="AV606">
        <f>N(AV605)+IF(AND($AB606&lt;&gt;"",OR('PROFIL ELEVE'!$K$4="(Tous)",$AF606='PROFIL ELEVE'!$K$4)),1,0)</f>
        <v>0</v>
      </c>
      <c r="AW606">
        <f>N(AW605)+IF(AND($AB606&lt;&gt;"",OR('SUIVI LONGITUDINAL'!$Q$4="(Tous)",$AF606='SUIVI LONGITUDINAL'!$Q$4)),1,0)</f>
        <v>0</v>
      </c>
      <c r="AX606">
        <f t="shared" si="235"/>
        <v>0</v>
      </c>
      <c r="AY606">
        <f t="shared" si="236"/>
        <v>0</v>
      </c>
      <c r="AZ606">
        <f t="shared" si="237"/>
        <v>0</v>
      </c>
      <c r="BA606" t="str">
        <f t="shared" si="238"/>
        <v/>
      </c>
      <c r="BB606" t="str">
        <f t="shared" si="239"/>
        <v/>
      </c>
    </row>
    <row r="607" spans="1:54" ht="14.25" customHeight="1" x14ac:dyDescent="0.3">
      <c r="A607" t="str">
        <f>IF(SAISIE!$F612="","",SAISIE!$B612)</f>
        <v/>
      </c>
      <c r="B607" t="str">
        <f>IF(SAISIE!$F612="","",SAISIE!$C612)</f>
        <v/>
      </c>
      <c r="C607" t="str">
        <f>IF(SAISIE!$F612="","",SAISIE!$D612)</f>
        <v/>
      </c>
      <c r="D607" t="str">
        <f>IF(SAISIE!$E612="","",SAISIE!$E612)</f>
        <v/>
      </c>
      <c r="E607" t="str">
        <f>IF(SAISIE!$F612="","",SAISIE!$F612)</f>
        <v/>
      </c>
      <c r="F607" t="str">
        <f>IF(SAISIE!$G612="","",SAISIE!$G612)</f>
        <v/>
      </c>
      <c r="G607" t="str">
        <f>IF(SAISIE!$H612="","",SAISIE!$H612)</f>
        <v/>
      </c>
      <c r="H607" t="str">
        <f>IF(SAISIE!$I612="","",SAISIE!$I612)</f>
        <v/>
      </c>
      <c r="I607" t="str">
        <f>IF(SAISIE!$J612="","",SAISIE!$J612)</f>
        <v/>
      </c>
      <c r="J607" t="str">
        <f>IF(SAISIE!$K612="","",SAISIE!$K612)</f>
        <v/>
      </c>
      <c r="K607" t="str">
        <f>IF(SAISIE!$L612="","",SAISIE!$L612)</f>
        <v/>
      </c>
      <c r="L607" t="str">
        <f>IF(SAISIE!$M612="","",SAISIE!$M612)</f>
        <v/>
      </c>
      <c r="M607" t="str">
        <f>IF(SAISIE!$N612="","",SAISIE!$N612)</f>
        <v/>
      </c>
      <c r="N607" t="str">
        <f>IF(SAISIE!$O612="","",SAISIE!$O612)</f>
        <v/>
      </c>
      <c r="O607" t="str">
        <f>IF(SAISIE!$P612="","",SAISIE!$P612)</f>
        <v/>
      </c>
      <c r="P607" t="str">
        <f>IF(SAISIE!$Q612="","",SAISIE!$Q612)</f>
        <v/>
      </c>
      <c r="Q607" t="str">
        <f>IF($I607="","",IF($I607&gt;PARAMETRES!$G$29,5,IF($I607&gt;PARAMETRES!$F$29,4,IF($I607&gt;PARAMETRES!$E$29,3,IF($I607&gt;PARAMETRES!$D$29,2,1)))))</f>
        <v/>
      </c>
      <c r="R607" t="str">
        <f>IF($J607="","",IF($J607&gt;PARAMETRES!$G$30,5,IF($J607&gt;PARAMETRES!$F$30,4,IF($J607&gt;PARAMETRES!$E$30,3,IF($J607&gt;PARAMETRES!$D$30,2,1)))))</f>
        <v/>
      </c>
      <c r="S607" t="str">
        <f>IF($K607="","",IF($Z607=2,IF($K607&gt;PARAMETRES!$G$31,5,IF($K607&gt;PARAMETRES!$F$31,4,IF($K607&gt;PARAMETRES!$E$31,3,IF($K607&gt;PARAMETRES!$D$31,2,1)))),IF($K607&gt;PARAMETRES!$G$32,5,IF($K607&gt;PARAMETRES!$F$32,4,IF($K607&gt;PARAMETRES!$E$32,3,IF($K607&gt;PARAMETRES!$D$32,2,1))))))</f>
        <v/>
      </c>
      <c r="T607" t="str">
        <f>IF($L607="","",IF($L607&gt;PARAMETRES!$G$33,5,IF($L607&gt;PARAMETRES!$F$33,4,IF($L607&gt;PARAMETRES!$E$33,3,IF($L607&gt;PARAMETRES!$D$33,2,1)))))</f>
        <v/>
      </c>
      <c r="U607" t="str">
        <f>IF($M607="","",IF($M607&gt;PARAMETRES!$G$34,5,IF($M607&gt;PARAMETRES!$F$34,4,IF($M607&gt;PARAMETRES!$E$34,3,IF($M607&gt;PARAMETRES!$D$34,2,1)))))</f>
        <v/>
      </c>
      <c r="V607" t="str">
        <f>IF($N607="","",IF($N607&gt;PARAMETRES!$G$35,5,IF($N607&gt;PARAMETRES!$F$35,4,IF($N607&gt;PARAMETRES!$E$35,3,IF($N607&gt;PARAMETRES!$D$35,2,1)))))</f>
        <v/>
      </c>
      <c r="W607" t="str">
        <f>IF($O607="","",IF($O607&gt;PARAMETRES!$G$36,5,IF($O607&gt;PARAMETRES!$F$36,4,IF($O607&gt;PARAMETRES!$E$36,3,IF($O607&gt;PARAMETRES!$D$36,2,1)))))</f>
        <v/>
      </c>
      <c r="X607" t="str">
        <f>IF($P607="","",IF($P607&gt;PARAMETRES!$G$37,5,IF($P607&gt;PARAMETRES!$F$37,4,IF($P607&gt;PARAMETRES!$E$37,3,IF($P607&gt;PARAMETRES!$D$37,2,1)))))</f>
        <v/>
      </c>
      <c r="Y607" t="str">
        <f t="shared" si="216"/>
        <v/>
      </c>
      <c r="Z607" t="str">
        <f>IFERROR(VLOOKUP($B607,TABLE_CYCLE,2,0),"")</f>
        <v/>
      </c>
      <c r="AA607" t="str">
        <f t="shared" si="217"/>
        <v/>
      </c>
      <c r="AB607" t="str">
        <f>IF($D607="","",IF(COUNTIF($D$2:$D607,$D607)=1,$D607,""))</f>
        <v/>
      </c>
      <c r="AC607">
        <f t="shared" si="218"/>
        <v>0</v>
      </c>
      <c r="AD607" t="str">
        <f t="shared" si="219"/>
        <v>|0</v>
      </c>
      <c r="AE607" t="str">
        <f t="shared" si="220"/>
        <v/>
      </c>
      <c r="AF607" t="str">
        <f t="shared" si="221"/>
        <v/>
      </c>
      <c r="AG607" t="str">
        <f t="shared" si="222"/>
        <v/>
      </c>
      <c r="AH607" t="str">
        <f t="shared" si="223"/>
        <v/>
      </c>
      <c r="AI607" t="str">
        <f t="shared" si="224"/>
        <v/>
      </c>
      <c r="AJ607" t="str">
        <f t="shared" si="225"/>
        <v/>
      </c>
      <c r="AK607" t="str">
        <f t="shared" si="226"/>
        <v/>
      </c>
      <c r="AL607" t="str">
        <f t="shared" si="227"/>
        <v/>
      </c>
      <c r="AM607" t="str">
        <f t="shared" si="228"/>
        <v/>
      </c>
      <c r="AN607" t="str">
        <f t="shared" si="229"/>
        <v/>
      </c>
      <c r="AO607" t="str">
        <f t="shared" si="230"/>
        <v/>
      </c>
      <c r="AP607">
        <f t="shared" si="231"/>
        <v>1</v>
      </c>
      <c r="AQ607" t="str">
        <f>IF(SAISIE!$F612="","",SAISIE!$Y612)</f>
        <v/>
      </c>
      <c r="AR607" t="str">
        <f>IF(OR(SAISIE!$U$4="",SAISIE!$W$4=""),"",IF(AND($A607=SAISIE!$U$4,$B607=SAISIE!$W$4,$C607="S1"),COUNTIFS($A$2:$A607,SAISIE!$U$4,$B$2:$B607,SAISIE!$W$4,$C$2:$C607,"S1"),""))</f>
        <v/>
      </c>
      <c r="AS607" t="str">
        <f t="shared" si="232"/>
        <v/>
      </c>
      <c r="AT607" t="str">
        <f t="shared" si="233"/>
        <v/>
      </c>
      <c r="AU607" t="str">
        <f t="shared" si="234"/>
        <v/>
      </c>
      <c r="AV607">
        <f>N(AV606)+IF(AND($AB607&lt;&gt;"",OR('PROFIL ELEVE'!$K$4="(Tous)",$AF607='PROFIL ELEVE'!$K$4)),1,0)</f>
        <v>0</v>
      </c>
      <c r="AW607">
        <f>N(AW606)+IF(AND($AB607&lt;&gt;"",OR('SUIVI LONGITUDINAL'!$Q$4="(Tous)",$AF607='SUIVI LONGITUDINAL'!$Q$4)),1,0)</f>
        <v>0</v>
      </c>
      <c r="AX607">
        <f t="shared" si="235"/>
        <v>0</v>
      </c>
      <c r="AY607">
        <f t="shared" si="236"/>
        <v>0</v>
      </c>
      <c r="AZ607">
        <f t="shared" si="237"/>
        <v>0</v>
      </c>
      <c r="BA607" t="str">
        <f t="shared" si="238"/>
        <v/>
      </c>
      <c r="BB607" t="str">
        <f t="shared" si="239"/>
        <v/>
      </c>
    </row>
    <row r="608" spans="1:54" ht="14.25" customHeight="1" x14ac:dyDescent="0.3">
      <c r="A608" t="str">
        <f>IF(SAISIE!$F613="","",SAISIE!$B613)</f>
        <v/>
      </c>
      <c r="B608" t="str">
        <f>IF(SAISIE!$F613="","",SAISIE!$C613)</f>
        <v/>
      </c>
      <c r="C608" t="str">
        <f>IF(SAISIE!$F613="","",SAISIE!$D613)</f>
        <v/>
      </c>
      <c r="D608" t="str">
        <f>IF(SAISIE!$E613="","",SAISIE!$E613)</f>
        <v/>
      </c>
      <c r="E608" t="str">
        <f>IF(SAISIE!$F613="","",SAISIE!$F613)</f>
        <v/>
      </c>
      <c r="F608" t="str">
        <f>IF(SAISIE!$G613="","",SAISIE!$G613)</f>
        <v/>
      </c>
      <c r="G608" t="str">
        <f>IF(SAISIE!$H613="","",SAISIE!$H613)</f>
        <v/>
      </c>
      <c r="H608" t="str">
        <f>IF(SAISIE!$I613="","",SAISIE!$I613)</f>
        <v/>
      </c>
      <c r="I608" t="str">
        <f>IF(SAISIE!$J613="","",SAISIE!$J613)</f>
        <v/>
      </c>
      <c r="J608" t="str">
        <f>IF(SAISIE!$K613="","",SAISIE!$K613)</f>
        <v/>
      </c>
      <c r="K608" t="str">
        <f>IF(SAISIE!$L613="","",SAISIE!$L613)</f>
        <v/>
      </c>
      <c r="L608" t="str">
        <f>IF(SAISIE!$M613="","",SAISIE!$M613)</f>
        <v/>
      </c>
      <c r="M608" t="str">
        <f>IF(SAISIE!$N613="","",SAISIE!$N613)</f>
        <v/>
      </c>
      <c r="N608" t="str">
        <f>IF(SAISIE!$O613="","",SAISIE!$O613)</f>
        <v/>
      </c>
      <c r="O608" t="str">
        <f>IF(SAISIE!$P613="","",SAISIE!$P613)</f>
        <v/>
      </c>
      <c r="P608" t="str">
        <f>IF(SAISIE!$Q613="","",SAISIE!$Q613)</f>
        <v/>
      </c>
      <c r="Q608" t="str">
        <f>IF($I608="","",IF($I608&gt;PARAMETRES!$G$29,5,IF($I608&gt;PARAMETRES!$F$29,4,IF($I608&gt;PARAMETRES!$E$29,3,IF($I608&gt;PARAMETRES!$D$29,2,1)))))</f>
        <v/>
      </c>
      <c r="R608" t="str">
        <f>IF($J608="","",IF($J608&gt;PARAMETRES!$G$30,5,IF($J608&gt;PARAMETRES!$F$30,4,IF($J608&gt;PARAMETRES!$E$30,3,IF($J608&gt;PARAMETRES!$D$30,2,1)))))</f>
        <v/>
      </c>
      <c r="S608" t="str">
        <f>IF($K608="","",IF($Z608=2,IF($K608&gt;PARAMETRES!$G$31,5,IF($K608&gt;PARAMETRES!$F$31,4,IF($K608&gt;PARAMETRES!$E$31,3,IF($K608&gt;PARAMETRES!$D$31,2,1)))),IF($K608&gt;PARAMETRES!$G$32,5,IF($K608&gt;PARAMETRES!$F$32,4,IF($K608&gt;PARAMETRES!$E$32,3,IF($K608&gt;PARAMETRES!$D$32,2,1))))))</f>
        <v/>
      </c>
      <c r="T608" t="str">
        <f>IF($L608="","",IF($L608&gt;PARAMETRES!$G$33,5,IF($L608&gt;PARAMETRES!$F$33,4,IF($L608&gt;PARAMETRES!$E$33,3,IF($L608&gt;PARAMETRES!$D$33,2,1)))))</f>
        <v/>
      </c>
      <c r="U608" t="str">
        <f>IF($M608="","",IF($M608&gt;PARAMETRES!$G$34,5,IF($M608&gt;PARAMETRES!$F$34,4,IF($M608&gt;PARAMETRES!$E$34,3,IF($M608&gt;PARAMETRES!$D$34,2,1)))))</f>
        <v/>
      </c>
      <c r="V608" t="str">
        <f>IF($N608="","",IF($N608&gt;PARAMETRES!$G$35,5,IF($N608&gt;PARAMETRES!$F$35,4,IF($N608&gt;PARAMETRES!$E$35,3,IF($N608&gt;PARAMETRES!$D$35,2,1)))))</f>
        <v/>
      </c>
      <c r="W608" t="str">
        <f>IF($O608="","",IF($O608&gt;PARAMETRES!$G$36,5,IF($O608&gt;PARAMETRES!$F$36,4,IF($O608&gt;PARAMETRES!$E$36,3,IF($O608&gt;PARAMETRES!$D$36,2,1)))))</f>
        <v/>
      </c>
      <c r="X608" t="str">
        <f>IF($P608="","",IF($P608&gt;PARAMETRES!$G$37,5,IF($P608&gt;PARAMETRES!$F$37,4,IF($P608&gt;PARAMETRES!$E$37,3,IF($P608&gt;PARAMETRES!$D$37,2,1)))))</f>
        <v/>
      </c>
      <c r="Y608" t="str">
        <f t="shared" si="216"/>
        <v/>
      </c>
      <c r="Z608" t="str">
        <f>IFERROR(VLOOKUP($B608,TABLE_CYCLE,2,0),"")</f>
        <v/>
      </c>
      <c r="AA608" t="str">
        <f t="shared" si="217"/>
        <v/>
      </c>
      <c r="AB608" t="str">
        <f>IF($D608="","",IF(COUNTIF($D$2:$D608,$D608)=1,$D608,""))</f>
        <v/>
      </c>
      <c r="AC608">
        <f t="shared" si="218"/>
        <v>0</v>
      </c>
      <c r="AD608" t="str">
        <f t="shared" si="219"/>
        <v>|0</v>
      </c>
      <c r="AE608" t="str">
        <f t="shared" si="220"/>
        <v/>
      </c>
      <c r="AF608" t="str">
        <f t="shared" si="221"/>
        <v/>
      </c>
      <c r="AG608" t="str">
        <f t="shared" si="222"/>
        <v/>
      </c>
      <c r="AH608" t="str">
        <f t="shared" si="223"/>
        <v/>
      </c>
      <c r="AI608" t="str">
        <f t="shared" si="224"/>
        <v/>
      </c>
      <c r="AJ608" t="str">
        <f t="shared" si="225"/>
        <v/>
      </c>
      <c r="AK608" t="str">
        <f t="shared" si="226"/>
        <v/>
      </c>
      <c r="AL608" t="str">
        <f t="shared" si="227"/>
        <v/>
      </c>
      <c r="AM608" t="str">
        <f t="shared" si="228"/>
        <v/>
      </c>
      <c r="AN608" t="str">
        <f t="shared" si="229"/>
        <v/>
      </c>
      <c r="AO608" t="str">
        <f t="shared" si="230"/>
        <v/>
      </c>
      <c r="AP608">
        <f t="shared" si="231"/>
        <v>1</v>
      </c>
      <c r="AQ608" t="str">
        <f>IF(SAISIE!$F613="","",SAISIE!$Y613)</f>
        <v/>
      </c>
      <c r="AR608" t="str">
        <f>IF(OR(SAISIE!$U$4="",SAISIE!$W$4=""),"",IF(AND($A608=SAISIE!$U$4,$B608=SAISIE!$W$4,$C608="S1"),COUNTIFS($A$2:$A608,SAISIE!$U$4,$B$2:$B608,SAISIE!$W$4,$C$2:$C608,"S1"),""))</f>
        <v/>
      </c>
      <c r="AS608" t="str">
        <f t="shared" si="232"/>
        <v/>
      </c>
      <c r="AT608" t="str">
        <f t="shared" si="233"/>
        <v/>
      </c>
      <c r="AU608" t="str">
        <f t="shared" si="234"/>
        <v/>
      </c>
      <c r="AV608">
        <f>N(AV607)+IF(AND($AB608&lt;&gt;"",OR('PROFIL ELEVE'!$K$4="(Tous)",$AF608='PROFIL ELEVE'!$K$4)),1,0)</f>
        <v>0</v>
      </c>
      <c r="AW608">
        <f>N(AW607)+IF(AND($AB608&lt;&gt;"",OR('SUIVI LONGITUDINAL'!$Q$4="(Tous)",$AF608='SUIVI LONGITUDINAL'!$Q$4)),1,0)</f>
        <v>0</v>
      </c>
      <c r="AX608">
        <f t="shared" si="235"/>
        <v>0</v>
      </c>
      <c r="AY608">
        <f t="shared" si="236"/>
        <v>0</v>
      </c>
      <c r="AZ608">
        <f t="shared" si="237"/>
        <v>0</v>
      </c>
      <c r="BA608" t="str">
        <f t="shared" si="238"/>
        <v/>
      </c>
      <c r="BB608" t="str">
        <f t="shared" si="239"/>
        <v/>
      </c>
    </row>
    <row r="609" spans="1:54" ht="14.25" customHeight="1" x14ac:dyDescent="0.3">
      <c r="A609" t="str">
        <f>IF(SAISIE!$F614="","",SAISIE!$B614)</f>
        <v/>
      </c>
      <c r="B609" t="str">
        <f>IF(SAISIE!$F614="","",SAISIE!$C614)</f>
        <v/>
      </c>
      <c r="C609" t="str">
        <f>IF(SAISIE!$F614="","",SAISIE!$D614)</f>
        <v/>
      </c>
      <c r="D609" t="str">
        <f>IF(SAISIE!$E614="","",SAISIE!$E614)</f>
        <v/>
      </c>
      <c r="E609" t="str">
        <f>IF(SAISIE!$F614="","",SAISIE!$F614)</f>
        <v/>
      </c>
      <c r="F609" t="str">
        <f>IF(SAISIE!$G614="","",SAISIE!$G614)</f>
        <v/>
      </c>
      <c r="G609" t="str">
        <f>IF(SAISIE!$H614="","",SAISIE!$H614)</f>
        <v/>
      </c>
      <c r="H609" t="str">
        <f>IF(SAISIE!$I614="","",SAISIE!$I614)</f>
        <v/>
      </c>
      <c r="I609" t="str">
        <f>IF(SAISIE!$J614="","",SAISIE!$J614)</f>
        <v/>
      </c>
      <c r="J609" t="str">
        <f>IF(SAISIE!$K614="","",SAISIE!$K614)</f>
        <v/>
      </c>
      <c r="K609" t="str">
        <f>IF(SAISIE!$L614="","",SAISIE!$L614)</f>
        <v/>
      </c>
      <c r="L609" t="str">
        <f>IF(SAISIE!$M614="","",SAISIE!$M614)</f>
        <v/>
      </c>
      <c r="M609" t="str">
        <f>IF(SAISIE!$N614="","",SAISIE!$N614)</f>
        <v/>
      </c>
      <c r="N609" t="str">
        <f>IF(SAISIE!$O614="","",SAISIE!$O614)</f>
        <v/>
      </c>
      <c r="O609" t="str">
        <f>IF(SAISIE!$P614="","",SAISIE!$P614)</f>
        <v/>
      </c>
      <c r="P609" t="str">
        <f>IF(SAISIE!$Q614="","",SAISIE!$Q614)</f>
        <v/>
      </c>
      <c r="Q609" t="str">
        <f>IF($I609="","",IF($I609&gt;PARAMETRES!$G$29,5,IF($I609&gt;PARAMETRES!$F$29,4,IF($I609&gt;PARAMETRES!$E$29,3,IF($I609&gt;PARAMETRES!$D$29,2,1)))))</f>
        <v/>
      </c>
      <c r="R609" t="str">
        <f>IF($J609="","",IF($J609&gt;PARAMETRES!$G$30,5,IF($J609&gt;PARAMETRES!$F$30,4,IF($J609&gt;PARAMETRES!$E$30,3,IF($J609&gt;PARAMETRES!$D$30,2,1)))))</f>
        <v/>
      </c>
      <c r="S609" t="str">
        <f>IF($K609="","",IF($Z609=2,IF($K609&gt;PARAMETRES!$G$31,5,IF($K609&gt;PARAMETRES!$F$31,4,IF($K609&gt;PARAMETRES!$E$31,3,IF($K609&gt;PARAMETRES!$D$31,2,1)))),IF($K609&gt;PARAMETRES!$G$32,5,IF($K609&gt;PARAMETRES!$F$32,4,IF($K609&gt;PARAMETRES!$E$32,3,IF($K609&gt;PARAMETRES!$D$32,2,1))))))</f>
        <v/>
      </c>
      <c r="T609" t="str">
        <f>IF($L609="","",IF($L609&gt;PARAMETRES!$G$33,5,IF($L609&gt;PARAMETRES!$F$33,4,IF($L609&gt;PARAMETRES!$E$33,3,IF($L609&gt;PARAMETRES!$D$33,2,1)))))</f>
        <v/>
      </c>
      <c r="U609" t="str">
        <f>IF($M609="","",IF($M609&gt;PARAMETRES!$G$34,5,IF($M609&gt;PARAMETRES!$F$34,4,IF($M609&gt;PARAMETRES!$E$34,3,IF($M609&gt;PARAMETRES!$D$34,2,1)))))</f>
        <v/>
      </c>
      <c r="V609" t="str">
        <f>IF($N609="","",IF($N609&gt;PARAMETRES!$G$35,5,IF($N609&gt;PARAMETRES!$F$35,4,IF($N609&gt;PARAMETRES!$E$35,3,IF($N609&gt;PARAMETRES!$D$35,2,1)))))</f>
        <v/>
      </c>
      <c r="W609" t="str">
        <f>IF($O609="","",IF($O609&gt;PARAMETRES!$G$36,5,IF($O609&gt;PARAMETRES!$F$36,4,IF($O609&gt;PARAMETRES!$E$36,3,IF($O609&gt;PARAMETRES!$D$36,2,1)))))</f>
        <v/>
      </c>
      <c r="X609" t="str">
        <f>IF($P609="","",IF($P609&gt;PARAMETRES!$G$37,5,IF($P609&gt;PARAMETRES!$F$37,4,IF($P609&gt;PARAMETRES!$E$37,3,IF($P609&gt;PARAMETRES!$D$37,2,1)))))</f>
        <v/>
      </c>
      <c r="Y609" t="str">
        <f t="shared" si="216"/>
        <v/>
      </c>
      <c r="Z609" t="str">
        <f>IFERROR(VLOOKUP($B609,TABLE_CYCLE,2,0),"")</f>
        <v/>
      </c>
      <c r="AA609" t="str">
        <f t="shared" si="217"/>
        <v/>
      </c>
      <c r="AB609" t="str">
        <f>IF($D609="","",IF(COUNTIF($D$2:$D609,$D609)=1,$D609,""))</f>
        <v/>
      </c>
      <c r="AC609">
        <f t="shared" si="218"/>
        <v>0</v>
      </c>
      <c r="AD609" t="str">
        <f t="shared" si="219"/>
        <v>|0</v>
      </c>
      <c r="AE609" t="str">
        <f t="shared" si="220"/>
        <v/>
      </c>
      <c r="AF609" t="str">
        <f t="shared" si="221"/>
        <v/>
      </c>
      <c r="AG609" t="str">
        <f t="shared" si="222"/>
        <v/>
      </c>
      <c r="AH609" t="str">
        <f t="shared" si="223"/>
        <v/>
      </c>
      <c r="AI609" t="str">
        <f t="shared" si="224"/>
        <v/>
      </c>
      <c r="AJ609" t="str">
        <f t="shared" si="225"/>
        <v/>
      </c>
      <c r="AK609" t="str">
        <f t="shared" si="226"/>
        <v/>
      </c>
      <c r="AL609" t="str">
        <f t="shared" si="227"/>
        <v/>
      </c>
      <c r="AM609" t="str">
        <f t="shared" si="228"/>
        <v/>
      </c>
      <c r="AN609" t="str">
        <f t="shared" si="229"/>
        <v/>
      </c>
      <c r="AO609" t="str">
        <f t="shared" si="230"/>
        <v/>
      </c>
      <c r="AP609">
        <f t="shared" si="231"/>
        <v>1</v>
      </c>
      <c r="AQ609" t="str">
        <f>IF(SAISIE!$F614="","",SAISIE!$Y614)</f>
        <v/>
      </c>
      <c r="AR609" t="str">
        <f>IF(OR(SAISIE!$U$4="",SAISIE!$W$4=""),"",IF(AND($A609=SAISIE!$U$4,$B609=SAISIE!$W$4,$C609="S1"),COUNTIFS($A$2:$A609,SAISIE!$U$4,$B$2:$B609,SAISIE!$W$4,$C$2:$C609,"S1"),""))</f>
        <v/>
      </c>
      <c r="AS609" t="str">
        <f t="shared" si="232"/>
        <v/>
      </c>
      <c r="AT609" t="str">
        <f t="shared" si="233"/>
        <v/>
      </c>
      <c r="AU609" t="str">
        <f t="shared" si="234"/>
        <v/>
      </c>
      <c r="AV609">
        <f>N(AV608)+IF(AND($AB609&lt;&gt;"",OR('PROFIL ELEVE'!$K$4="(Tous)",$AF609='PROFIL ELEVE'!$K$4)),1,0)</f>
        <v>0</v>
      </c>
      <c r="AW609">
        <f>N(AW608)+IF(AND($AB609&lt;&gt;"",OR('SUIVI LONGITUDINAL'!$Q$4="(Tous)",$AF609='SUIVI LONGITUDINAL'!$Q$4)),1,0)</f>
        <v>0</v>
      </c>
      <c r="AX609">
        <f t="shared" si="235"/>
        <v>0</v>
      </c>
      <c r="AY609">
        <f t="shared" si="236"/>
        <v>0</v>
      </c>
      <c r="AZ609">
        <f t="shared" si="237"/>
        <v>0</v>
      </c>
      <c r="BA609" t="str">
        <f t="shared" si="238"/>
        <v/>
      </c>
      <c r="BB609" t="str">
        <f t="shared" si="239"/>
        <v/>
      </c>
    </row>
    <row r="610" spans="1:54" ht="14.25" customHeight="1" x14ac:dyDescent="0.3">
      <c r="A610" t="str">
        <f>IF(SAISIE!$F615="","",SAISIE!$B615)</f>
        <v/>
      </c>
      <c r="B610" t="str">
        <f>IF(SAISIE!$F615="","",SAISIE!$C615)</f>
        <v/>
      </c>
      <c r="C610" t="str">
        <f>IF(SAISIE!$F615="","",SAISIE!$D615)</f>
        <v/>
      </c>
      <c r="D610" t="str">
        <f>IF(SAISIE!$E615="","",SAISIE!$E615)</f>
        <v/>
      </c>
      <c r="E610" t="str">
        <f>IF(SAISIE!$F615="","",SAISIE!$F615)</f>
        <v/>
      </c>
      <c r="F610" t="str">
        <f>IF(SAISIE!$G615="","",SAISIE!$G615)</f>
        <v/>
      </c>
      <c r="G610" t="str">
        <f>IF(SAISIE!$H615="","",SAISIE!$H615)</f>
        <v/>
      </c>
      <c r="H610" t="str">
        <f>IF(SAISIE!$I615="","",SAISIE!$I615)</f>
        <v/>
      </c>
      <c r="I610" t="str">
        <f>IF(SAISIE!$J615="","",SAISIE!$J615)</f>
        <v/>
      </c>
      <c r="J610" t="str">
        <f>IF(SAISIE!$K615="","",SAISIE!$K615)</f>
        <v/>
      </c>
      <c r="K610" t="str">
        <f>IF(SAISIE!$L615="","",SAISIE!$L615)</f>
        <v/>
      </c>
      <c r="L610" t="str">
        <f>IF(SAISIE!$M615="","",SAISIE!$M615)</f>
        <v/>
      </c>
      <c r="M610" t="str">
        <f>IF(SAISIE!$N615="","",SAISIE!$N615)</f>
        <v/>
      </c>
      <c r="N610" t="str">
        <f>IF(SAISIE!$O615="","",SAISIE!$O615)</f>
        <v/>
      </c>
      <c r="O610" t="str">
        <f>IF(SAISIE!$P615="","",SAISIE!$P615)</f>
        <v/>
      </c>
      <c r="P610" t="str">
        <f>IF(SAISIE!$Q615="","",SAISIE!$Q615)</f>
        <v/>
      </c>
      <c r="Q610" t="str">
        <f>IF($I610="","",IF($I610&gt;PARAMETRES!$G$29,5,IF($I610&gt;PARAMETRES!$F$29,4,IF($I610&gt;PARAMETRES!$E$29,3,IF($I610&gt;PARAMETRES!$D$29,2,1)))))</f>
        <v/>
      </c>
      <c r="R610" t="str">
        <f>IF($J610="","",IF($J610&gt;PARAMETRES!$G$30,5,IF($J610&gt;PARAMETRES!$F$30,4,IF($J610&gt;PARAMETRES!$E$30,3,IF($J610&gt;PARAMETRES!$D$30,2,1)))))</f>
        <v/>
      </c>
      <c r="S610" t="str">
        <f>IF($K610="","",IF($Z610=2,IF($K610&gt;PARAMETRES!$G$31,5,IF($K610&gt;PARAMETRES!$F$31,4,IF($K610&gt;PARAMETRES!$E$31,3,IF($K610&gt;PARAMETRES!$D$31,2,1)))),IF($K610&gt;PARAMETRES!$G$32,5,IF($K610&gt;PARAMETRES!$F$32,4,IF($K610&gt;PARAMETRES!$E$32,3,IF($K610&gt;PARAMETRES!$D$32,2,1))))))</f>
        <v/>
      </c>
      <c r="T610" t="str">
        <f>IF($L610="","",IF($L610&gt;PARAMETRES!$G$33,5,IF($L610&gt;PARAMETRES!$F$33,4,IF($L610&gt;PARAMETRES!$E$33,3,IF($L610&gt;PARAMETRES!$D$33,2,1)))))</f>
        <v/>
      </c>
      <c r="U610" t="str">
        <f>IF($M610="","",IF($M610&gt;PARAMETRES!$G$34,5,IF($M610&gt;PARAMETRES!$F$34,4,IF($M610&gt;PARAMETRES!$E$34,3,IF($M610&gt;PARAMETRES!$D$34,2,1)))))</f>
        <v/>
      </c>
      <c r="V610" t="str">
        <f>IF($N610="","",IF($N610&gt;PARAMETRES!$G$35,5,IF($N610&gt;PARAMETRES!$F$35,4,IF($N610&gt;PARAMETRES!$E$35,3,IF($N610&gt;PARAMETRES!$D$35,2,1)))))</f>
        <v/>
      </c>
      <c r="W610" t="str">
        <f>IF($O610="","",IF($O610&gt;PARAMETRES!$G$36,5,IF($O610&gt;PARAMETRES!$F$36,4,IF($O610&gt;PARAMETRES!$E$36,3,IF($O610&gt;PARAMETRES!$D$36,2,1)))))</f>
        <v/>
      </c>
      <c r="X610" t="str">
        <f>IF($P610="","",IF($P610&gt;PARAMETRES!$G$37,5,IF($P610&gt;PARAMETRES!$F$37,4,IF($P610&gt;PARAMETRES!$E$37,3,IF($P610&gt;PARAMETRES!$D$37,2,1)))))</f>
        <v/>
      </c>
      <c r="Y610" t="str">
        <f t="shared" si="216"/>
        <v/>
      </c>
      <c r="Z610" t="str">
        <f>IFERROR(VLOOKUP($B610,TABLE_CYCLE,2,0),"")</f>
        <v/>
      </c>
      <c r="AA610" t="str">
        <f t="shared" si="217"/>
        <v/>
      </c>
      <c r="AB610" t="str">
        <f>IF($D610="","",IF(COUNTIF($D$2:$D610,$D610)=1,$D610,""))</f>
        <v/>
      </c>
      <c r="AC610">
        <f t="shared" si="218"/>
        <v>0</v>
      </c>
      <c r="AD610" t="str">
        <f t="shared" si="219"/>
        <v>|0</v>
      </c>
      <c r="AE610" t="str">
        <f t="shared" si="220"/>
        <v/>
      </c>
      <c r="AF610" t="str">
        <f t="shared" si="221"/>
        <v/>
      </c>
      <c r="AG610" t="str">
        <f t="shared" si="222"/>
        <v/>
      </c>
      <c r="AH610" t="str">
        <f t="shared" si="223"/>
        <v/>
      </c>
      <c r="AI610" t="str">
        <f t="shared" si="224"/>
        <v/>
      </c>
      <c r="AJ610" t="str">
        <f t="shared" si="225"/>
        <v/>
      </c>
      <c r="AK610" t="str">
        <f t="shared" si="226"/>
        <v/>
      </c>
      <c r="AL610" t="str">
        <f t="shared" si="227"/>
        <v/>
      </c>
      <c r="AM610" t="str">
        <f t="shared" si="228"/>
        <v/>
      </c>
      <c r="AN610" t="str">
        <f t="shared" si="229"/>
        <v/>
      </c>
      <c r="AO610" t="str">
        <f t="shared" si="230"/>
        <v/>
      </c>
      <c r="AP610">
        <f t="shared" si="231"/>
        <v>1</v>
      </c>
      <c r="AQ610" t="str">
        <f>IF(SAISIE!$F615="","",SAISIE!$Y615)</f>
        <v/>
      </c>
      <c r="AR610" t="str">
        <f>IF(OR(SAISIE!$U$4="",SAISIE!$W$4=""),"",IF(AND($A610=SAISIE!$U$4,$B610=SAISIE!$W$4,$C610="S1"),COUNTIFS($A$2:$A610,SAISIE!$U$4,$B$2:$B610,SAISIE!$W$4,$C$2:$C610,"S1"),""))</f>
        <v/>
      </c>
      <c r="AS610" t="str">
        <f t="shared" si="232"/>
        <v/>
      </c>
      <c r="AT610" t="str">
        <f t="shared" si="233"/>
        <v/>
      </c>
      <c r="AU610" t="str">
        <f t="shared" si="234"/>
        <v/>
      </c>
      <c r="AV610">
        <f>N(AV609)+IF(AND($AB610&lt;&gt;"",OR('PROFIL ELEVE'!$K$4="(Tous)",$AF610='PROFIL ELEVE'!$K$4)),1,0)</f>
        <v>0</v>
      </c>
      <c r="AW610">
        <f>N(AW609)+IF(AND($AB610&lt;&gt;"",OR('SUIVI LONGITUDINAL'!$Q$4="(Tous)",$AF610='SUIVI LONGITUDINAL'!$Q$4)),1,0)</f>
        <v>0</v>
      </c>
      <c r="AX610">
        <f t="shared" si="235"/>
        <v>0</v>
      </c>
      <c r="AY610">
        <f t="shared" si="236"/>
        <v>0</v>
      </c>
      <c r="AZ610">
        <f t="shared" si="237"/>
        <v>0</v>
      </c>
      <c r="BA610" t="str">
        <f t="shared" si="238"/>
        <v/>
      </c>
      <c r="BB610" t="str">
        <f t="shared" si="239"/>
        <v/>
      </c>
    </row>
    <row r="611" spans="1:54" ht="14.25" customHeight="1" x14ac:dyDescent="0.3">
      <c r="A611" t="str">
        <f>IF(SAISIE!$F616="","",SAISIE!$B616)</f>
        <v/>
      </c>
      <c r="B611" t="str">
        <f>IF(SAISIE!$F616="","",SAISIE!$C616)</f>
        <v/>
      </c>
      <c r="C611" t="str">
        <f>IF(SAISIE!$F616="","",SAISIE!$D616)</f>
        <v/>
      </c>
      <c r="D611" t="str">
        <f>IF(SAISIE!$E616="","",SAISIE!$E616)</f>
        <v/>
      </c>
      <c r="E611" t="str">
        <f>IF(SAISIE!$F616="","",SAISIE!$F616)</f>
        <v/>
      </c>
      <c r="F611" t="str">
        <f>IF(SAISIE!$G616="","",SAISIE!$G616)</f>
        <v/>
      </c>
      <c r="G611" t="str">
        <f>IF(SAISIE!$H616="","",SAISIE!$H616)</f>
        <v/>
      </c>
      <c r="H611" t="str">
        <f>IF(SAISIE!$I616="","",SAISIE!$I616)</f>
        <v/>
      </c>
      <c r="I611" t="str">
        <f>IF(SAISIE!$J616="","",SAISIE!$J616)</f>
        <v/>
      </c>
      <c r="J611" t="str">
        <f>IF(SAISIE!$K616="","",SAISIE!$K616)</f>
        <v/>
      </c>
      <c r="K611" t="str">
        <f>IF(SAISIE!$L616="","",SAISIE!$L616)</f>
        <v/>
      </c>
      <c r="L611" t="str">
        <f>IF(SAISIE!$M616="","",SAISIE!$M616)</f>
        <v/>
      </c>
      <c r="M611" t="str">
        <f>IF(SAISIE!$N616="","",SAISIE!$N616)</f>
        <v/>
      </c>
      <c r="N611" t="str">
        <f>IF(SAISIE!$O616="","",SAISIE!$O616)</f>
        <v/>
      </c>
      <c r="O611" t="str">
        <f>IF(SAISIE!$P616="","",SAISIE!$P616)</f>
        <v/>
      </c>
      <c r="P611" t="str">
        <f>IF(SAISIE!$Q616="","",SAISIE!$Q616)</f>
        <v/>
      </c>
      <c r="Q611" t="str">
        <f>IF($I611="","",IF($I611&gt;PARAMETRES!$G$29,5,IF($I611&gt;PARAMETRES!$F$29,4,IF($I611&gt;PARAMETRES!$E$29,3,IF($I611&gt;PARAMETRES!$D$29,2,1)))))</f>
        <v/>
      </c>
      <c r="R611" t="str">
        <f>IF($J611="","",IF($J611&gt;PARAMETRES!$G$30,5,IF($J611&gt;PARAMETRES!$F$30,4,IF($J611&gt;PARAMETRES!$E$30,3,IF($J611&gt;PARAMETRES!$D$30,2,1)))))</f>
        <v/>
      </c>
      <c r="S611" t="str">
        <f>IF($K611="","",IF($Z611=2,IF($K611&gt;PARAMETRES!$G$31,5,IF($K611&gt;PARAMETRES!$F$31,4,IF($K611&gt;PARAMETRES!$E$31,3,IF($K611&gt;PARAMETRES!$D$31,2,1)))),IF($K611&gt;PARAMETRES!$G$32,5,IF($K611&gt;PARAMETRES!$F$32,4,IF($K611&gt;PARAMETRES!$E$32,3,IF($K611&gt;PARAMETRES!$D$32,2,1))))))</f>
        <v/>
      </c>
      <c r="T611" t="str">
        <f>IF($L611="","",IF($L611&gt;PARAMETRES!$G$33,5,IF($L611&gt;PARAMETRES!$F$33,4,IF($L611&gt;PARAMETRES!$E$33,3,IF($L611&gt;PARAMETRES!$D$33,2,1)))))</f>
        <v/>
      </c>
      <c r="U611" t="str">
        <f>IF($M611="","",IF($M611&gt;PARAMETRES!$G$34,5,IF($M611&gt;PARAMETRES!$F$34,4,IF($M611&gt;PARAMETRES!$E$34,3,IF($M611&gt;PARAMETRES!$D$34,2,1)))))</f>
        <v/>
      </c>
      <c r="V611" t="str">
        <f>IF($N611="","",IF($N611&gt;PARAMETRES!$G$35,5,IF($N611&gt;PARAMETRES!$F$35,4,IF($N611&gt;PARAMETRES!$E$35,3,IF($N611&gt;PARAMETRES!$D$35,2,1)))))</f>
        <v/>
      </c>
      <c r="W611" t="str">
        <f>IF($O611="","",IF($O611&gt;PARAMETRES!$G$36,5,IF($O611&gt;PARAMETRES!$F$36,4,IF($O611&gt;PARAMETRES!$E$36,3,IF($O611&gt;PARAMETRES!$D$36,2,1)))))</f>
        <v/>
      </c>
      <c r="X611" t="str">
        <f>IF($P611="","",IF($P611&gt;PARAMETRES!$G$37,5,IF($P611&gt;PARAMETRES!$F$37,4,IF($P611&gt;PARAMETRES!$E$37,3,IF($P611&gt;PARAMETRES!$D$37,2,1)))))</f>
        <v/>
      </c>
      <c r="Y611" t="str">
        <f t="shared" si="216"/>
        <v/>
      </c>
      <c r="Z611" t="str">
        <f>IFERROR(VLOOKUP($B611,TABLE_CYCLE,2,0),"")</f>
        <v/>
      </c>
      <c r="AA611" t="str">
        <f t="shared" si="217"/>
        <v/>
      </c>
      <c r="AB611" t="str">
        <f>IF($D611="","",IF(COUNTIF($D$2:$D611,$D611)=1,$D611,""))</f>
        <v/>
      </c>
      <c r="AC611">
        <f t="shared" si="218"/>
        <v>0</v>
      </c>
      <c r="AD611" t="str">
        <f t="shared" si="219"/>
        <v>|0</v>
      </c>
      <c r="AE611" t="str">
        <f t="shared" si="220"/>
        <v/>
      </c>
      <c r="AF611" t="str">
        <f t="shared" si="221"/>
        <v/>
      </c>
      <c r="AG611" t="str">
        <f t="shared" si="222"/>
        <v/>
      </c>
      <c r="AH611" t="str">
        <f t="shared" si="223"/>
        <v/>
      </c>
      <c r="AI611" t="str">
        <f t="shared" si="224"/>
        <v/>
      </c>
      <c r="AJ611" t="str">
        <f t="shared" si="225"/>
        <v/>
      </c>
      <c r="AK611" t="str">
        <f t="shared" si="226"/>
        <v/>
      </c>
      <c r="AL611" t="str">
        <f t="shared" si="227"/>
        <v/>
      </c>
      <c r="AM611" t="str">
        <f t="shared" si="228"/>
        <v/>
      </c>
      <c r="AN611" t="str">
        <f t="shared" si="229"/>
        <v/>
      </c>
      <c r="AO611" t="str">
        <f t="shared" si="230"/>
        <v/>
      </c>
      <c r="AP611">
        <f t="shared" si="231"/>
        <v>1</v>
      </c>
      <c r="AQ611" t="str">
        <f>IF(SAISIE!$F616="","",SAISIE!$Y616)</f>
        <v/>
      </c>
      <c r="AR611" t="str">
        <f>IF(OR(SAISIE!$U$4="",SAISIE!$W$4=""),"",IF(AND($A611=SAISIE!$U$4,$B611=SAISIE!$W$4,$C611="S1"),COUNTIFS($A$2:$A611,SAISIE!$U$4,$B$2:$B611,SAISIE!$W$4,$C$2:$C611,"S1"),""))</f>
        <v/>
      </c>
      <c r="AS611" t="str">
        <f t="shared" si="232"/>
        <v/>
      </c>
      <c r="AT611" t="str">
        <f t="shared" si="233"/>
        <v/>
      </c>
      <c r="AU611" t="str">
        <f t="shared" si="234"/>
        <v/>
      </c>
      <c r="AV611">
        <f>N(AV610)+IF(AND($AB611&lt;&gt;"",OR('PROFIL ELEVE'!$K$4="(Tous)",$AF611='PROFIL ELEVE'!$K$4)),1,0)</f>
        <v>0</v>
      </c>
      <c r="AW611">
        <f>N(AW610)+IF(AND($AB611&lt;&gt;"",OR('SUIVI LONGITUDINAL'!$Q$4="(Tous)",$AF611='SUIVI LONGITUDINAL'!$Q$4)),1,0)</f>
        <v>0</v>
      </c>
      <c r="AX611">
        <f t="shared" si="235"/>
        <v>0</v>
      </c>
      <c r="AY611">
        <f t="shared" si="236"/>
        <v>0</v>
      </c>
      <c r="AZ611">
        <f t="shared" si="237"/>
        <v>0</v>
      </c>
      <c r="BA611" t="str">
        <f t="shared" si="238"/>
        <v/>
      </c>
      <c r="BB611" t="str">
        <f t="shared" si="239"/>
        <v/>
      </c>
    </row>
    <row r="612" spans="1:54" ht="14.25" customHeight="1" x14ac:dyDescent="0.3">
      <c r="A612" t="str">
        <f>IF(SAISIE!$F617="","",SAISIE!$B617)</f>
        <v/>
      </c>
      <c r="B612" t="str">
        <f>IF(SAISIE!$F617="","",SAISIE!$C617)</f>
        <v/>
      </c>
      <c r="C612" t="str">
        <f>IF(SAISIE!$F617="","",SAISIE!$D617)</f>
        <v/>
      </c>
      <c r="D612" t="str">
        <f>IF(SAISIE!$E617="","",SAISIE!$E617)</f>
        <v/>
      </c>
      <c r="E612" t="str">
        <f>IF(SAISIE!$F617="","",SAISIE!$F617)</f>
        <v/>
      </c>
      <c r="F612" t="str">
        <f>IF(SAISIE!$G617="","",SAISIE!$G617)</f>
        <v/>
      </c>
      <c r="G612" t="str">
        <f>IF(SAISIE!$H617="","",SAISIE!$H617)</f>
        <v/>
      </c>
      <c r="H612" t="str">
        <f>IF(SAISIE!$I617="","",SAISIE!$I617)</f>
        <v/>
      </c>
      <c r="I612" t="str">
        <f>IF(SAISIE!$J617="","",SAISIE!$J617)</f>
        <v/>
      </c>
      <c r="J612" t="str">
        <f>IF(SAISIE!$K617="","",SAISIE!$K617)</f>
        <v/>
      </c>
      <c r="K612" t="str">
        <f>IF(SAISIE!$L617="","",SAISIE!$L617)</f>
        <v/>
      </c>
      <c r="L612" t="str">
        <f>IF(SAISIE!$M617="","",SAISIE!$M617)</f>
        <v/>
      </c>
      <c r="M612" t="str">
        <f>IF(SAISIE!$N617="","",SAISIE!$N617)</f>
        <v/>
      </c>
      <c r="N612" t="str">
        <f>IF(SAISIE!$O617="","",SAISIE!$O617)</f>
        <v/>
      </c>
      <c r="O612" t="str">
        <f>IF(SAISIE!$P617="","",SAISIE!$P617)</f>
        <v/>
      </c>
      <c r="P612" t="str">
        <f>IF(SAISIE!$Q617="","",SAISIE!$Q617)</f>
        <v/>
      </c>
      <c r="Q612" t="str">
        <f>IF($I612="","",IF($I612&gt;PARAMETRES!$G$29,5,IF($I612&gt;PARAMETRES!$F$29,4,IF($I612&gt;PARAMETRES!$E$29,3,IF($I612&gt;PARAMETRES!$D$29,2,1)))))</f>
        <v/>
      </c>
      <c r="R612" t="str">
        <f>IF($J612="","",IF($J612&gt;PARAMETRES!$G$30,5,IF($J612&gt;PARAMETRES!$F$30,4,IF($J612&gt;PARAMETRES!$E$30,3,IF($J612&gt;PARAMETRES!$D$30,2,1)))))</f>
        <v/>
      </c>
      <c r="S612" t="str">
        <f>IF($K612="","",IF($Z612=2,IF($K612&gt;PARAMETRES!$G$31,5,IF($K612&gt;PARAMETRES!$F$31,4,IF($K612&gt;PARAMETRES!$E$31,3,IF($K612&gt;PARAMETRES!$D$31,2,1)))),IF($K612&gt;PARAMETRES!$G$32,5,IF($K612&gt;PARAMETRES!$F$32,4,IF($K612&gt;PARAMETRES!$E$32,3,IF($K612&gt;PARAMETRES!$D$32,2,1))))))</f>
        <v/>
      </c>
      <c r="T612" t="str">
        <f>IF($L612="","",IF($L612&gt;PARAMETRES!$G$33,5,IF($L612&gt;PARAMETRES!$F$33,4,IF($L612&gt;PARAMETRES!$E$33,3,IF($L612&gt;PARAMETRES!$D$33,2,1)))))</f>
        <v/>
      </c>
      <c r="U612" t="str">
        <f>IF($M612="","",IF($M612&gt;PARAMETRES!$G$34,5,IF($M612&gt;PARAMETRES!$F$34,4,IF($M612&gt;PARAMETRES!$E$34,3,IF($M612&gt;PARAMETRES!$D$34,2,1)))))</f>
        <v/>
      </c>
      <c r="V612" t="str">
        <f>IF($N612="","",IF($N612&gt;PARAMETRES!$G$35,5,IF($N612&gt;PARAMETRES!$F$35,4,IF($N612&gt;PARAMETRES!$E$35,3,IF($N612&gt;PARAMETRES!$D$35,2,1)))))</f>
        <v/>
      </c>
      <c r="W612" t="str">
        <f>IF($O612="","",IF($O612&gt;PARAMETRES!$G$36,5,IF($O612&gt;PARAMETRES!$F$36,4,IF($O612&gt;PARAMETRES!$E$36,3,IF($O612&gt;PARAMETRES!$D$36,2,1)))))</f>
        <v/>
      </c>
      <c r="X612" t="str">
        <f>IF($P612="","",IF($P612&gt;PARAMETRES!$G$37,5,IF($P612&gt;PARAMETRES!$F$37,4,IF($P612&gt;PARAMETRES!$E$37,3,IF($P612&gt;PARAMETRES!$D$37,2,1)))))</f>
        <v/>
      </c>
      <c r="Y612" t="str">
        <f t="shared" si="216"/>
        <v/>
      </c>
      <c r="Z612" t="str">
        <f>IFERROR(VLOOKUP($B612,TABLE_CYCLE,2,0),"")</f>
        <v/>
      </c>
      <c r="AA612" t="str">
        <f t="shared" si="217"/>
        <v/>
      </c>
      <c r="AB612" t="str">
        <f>IF($D612="","",IF(COUNTIF($D$2:$D612,$D612)=1,$D612,""))</f>
        <v/>
      </c>
      <c r="AC612">
        <f t="shared" si="218"/>
        <v>0</v>
      </c>
      <c r="AD612" t="str">
        <f t="shared" si="219"/>
        <v>|0</v>
      </c>
      <c r="AE612" t="str">
        <f t="shared" si="220"/>
        <v/>
      </c>
      <c r="AF612" t="str">
        <f t="shared" si="221"/>
        <v/>
      </c>
      <c r="AG612" t="str">
        <f t="shared" si="222"/>
        <v/>
      </c>
      <c r="AH612" t="str">
        <f t="shared" si="223"/>
        <v/>
      </c>
      <c r="AI612" t="str">
        <f t="shared" si="224"/>
        <v/>
      </c>
      <c r="AJ612" t="str">
        <f t="shared" si="225"/>
        <v/>
      </c>
      <c r="AK612" t="str">
        <f t="shared" si="226"/>
        <v/>
      </c>
      <c r="AL612" t="str">
        <f t="shared" si="227"/>
        <v/>
      </c>
      <c r="AM612" t="str">
        <f t="shared" si="228"/>
        <v/>
      </c>
      <c r="AN612" t="str">
        <f t="shared" si="229"/>
        <v/>
      </c>
      <c r="AO612" t="str">
        <f t="shared" si="230"/>
        <v/>
      </c>
      <c r="AP612">
        <f t="shared" si="231"/>
        <v>1</v>
      </c>
      <c r="AQ612" t="str">
        <f>IF(SAISIE!$F617="","",SAISIE!$Y617)</f>
        <v/>
      </c>
      <c r="AR612" t="str">
        <f>IF(OR(SAISIE!$U$4="",SAISIE!$W$4=""),"",IF(AND($A612=SAISIE!$U$4,$B612=SAISIE!$W$4,$C612="S1"),COUNTIFS($A$2:$A612,SAISIE!$U$4,$B$2:$B612,SAISIE!$W$4,$C$2:$C612,"S1"),""))</f>
        <v/>
      </c>
      <c r="AS612" t="str">
        <f t="shared" si="232"/>
        <v/>
      </c>
      <c r="AT612" t="str">
        <f t="shared" si="233"/>
        <v/>
      </c>
      <c r="AU612" t="str">
        <f t="shared" si="234"/>
        <v/>
      </c>
      <c r="AV612">
        <f>N(AV611)+IF(AND($AB612&lt;&gt;"",OR('PROFIL ELEVE'!$K$4="(Tous)",$AF612='PROFIL ELEVE'!$K$4)),1,0)</f>
        <v>0</v>
      </c>
      <c r="AW612">
        <f>N(AW611)+IF(AND($AB612&lt;&gt;"",OR('SUIVI LONGITUDINAL'!$Q$4="(Tous)",$AF612='SUIVI LONGITUDINAL'!$Q$4)),1,0)</f>
        <v>0</v>
      </c>
      <c r="AX612">
        <f t="shared" si="235"/>
        <v>0</v>
      </c>
      <c r="AY612">
        <f t="shared" si="236"/>
        <v>0</v>
      </c>
      <c r="AZ612">
        <f t="shared" si="237"/>
        <v>0</v>
      </c>
      <c r="BA612" t="str">
        <f t="shared" si="238"/>
        <v/>
      </c>
      <c r="BB612" t="str">
        <f t="shared" si="239"/>
        <v/>
      </c>
    </row>
    <row r="613" spans="1:54" ht="14.25" customHeight="1" x14ac:dyDescent="0.3">
      <c r="A613" t="str">
        <f>IF(SAISIE!$F618="","",SAISIE!$B618)</f>
        <v/>
      </c>
      <c r="B613" t="str">
        <f>IF(SAISIE!$F618="","",SAISIE!$C618)</f>
        <v/>
      </c>
      <c r="C613" t="str">
        <f>IF(SAISIE!$F618="","",SAISIE!$D618)</f>
        <v/>
      </c>
      <c r="D613" t="str">
        <f>IF(SAISIE!$E618="","",SAISIE!$E618)</f>
        <v/>
      </c>
      <c r="E613" t="str">
        <f>IF(SAISIE!$F618="","",SAISIE!$F618)</f>
        <v/>
      </c>
      <c r="F613" t="str">
        <f>IF(SAISIE!$G618="","",SAISIE!$G618)</f>
        <v/>
      </c>
      <c r="G613" t="str">
        <f>IF(SAISIE!$H618="","",SAISIE!$H618)</f>
        <v/>
      </c>
      <c r="H613" t="str">
        <f>IF(SAISIE!$I618="","",SAISIE!$I618)</f>
        <v/>
      </c>
      <c r="I613" t="str">
        <f>IF(SAISIE!$J618="","",SAISIE!$J618)</f>
        <v/>
      </c>
      <c r="J613" t="str">
        <f>IF(SAISIE!$K618="","",SAISIE!$K618)</f>
        <v/>
      </c>
      <c r="K613" t="str">
        <f>IF(SAISIE!$L618="","",SAISIE!$L618)</f>
        <v/>
      </c>
      <c r="L613" t="str">
        <f>IF(SAISIE!$M618="","",SAISIE!$M618)</f>
        <v/>
      </c>
      <c r="M613" t="str">
        <f>IF(SAISIE!$N618="","",SAISIE!$N618)</f>
        <v/>
      </c>
      <c r="N613" t="str">
        <f>IF(SAISIE!$O618="","",SAISIE!$O618)</f>
        <v/>
      </c>
      <c r="O613" t="str">
        <f>IF(SAISIE!$P618="","",SAISIE!$P618)</f>
        <v/>
      </c>
      <c r="P613" t="str">
        <f>IF(SAISIE!$Q618="","",SAISIE!$Q618)</f>
        <v/>
      </c>
      <c r="Q613" t="str">
        <f>IF($I613="","",IF($I613&gt;PARAMETRES!$G$29,5,IF($I613&gt;PARAMETRES!$F$29,4,IF($I613&gt;PARAMETRES!$E$29,3,IF($I613&gt;PARAMETRES!$D$29,2,1)))))</f>
        <v/>
      </c>
      <c r="R613" t="str">
        <f>IF($J613="","",IF($J613&gt;PARAMETRES!$G$30,5,IF($J613&gt;PARAMETRES!$F$30,4,IF($J613&gt;PARAMETRES!$E$30,3,IF($J613&gt;PARAMETRES!$D$30,2,1)))))</f>
        <v/>
      </c>
      <c r="S613" t="str">
        <f>IF($K613="","",IF($Z613=2,IF($K613&gt;PARAMETRES!$G$31,5,IF($K613&gt;PARAMETRES!$F$31,4,IF($K613&gt;PARAMETRES!$E$31,3,IF($K613&gt;PARAMETRES!$D$31,2,1)))),IF($K613&gt;PARAMETRES!$G$32,5,IF($K613&gt;PARAMETRES!$F$32,4,IF($K613&gt;PARAMETRES!$E$32,3,IF($K613&gt;PARAMETRES!$D$32,2,1))))))</f>
        <v/>
      </c>
      <c r="T613" t="str">
        <f>IF($L613="","",IF($L613&gt;PARAMETRES!$G$33,5,IF($L613&gt;PARAMETRES!$F$33,4,IF($L613&gt;PARAMETRES!$E$33,3,IF($L613&gt;PARAMETRES!$D$33,2,1)))))</f>
        <v/>
      </c>
      <c r="U613" t="str">
        <f>IF($M613="","",IF($M613&gt;PARAMETRES!$G$34,5,IF($M613&gt;PARAMETRES!$F$34,4,IF($M613&gt;PARAMETRES!$E$34,3,IF($M613&gt;PARAMETRES!$D$34,2,1)))))</f>
        <v/>
      </c>
      <c r="V613" t="str">
        <f>IF($N613="","",IF($N613&gt;PARAMETRES!$G$35,5,IF($N613&gt;PARAMETRES!$F$35,4,IF($N613&gt;PARAMETRES!$E$35,3,IF($N613&gt;PARAMETRES!$D$35,2,1)))))</f>
        <v/>
      </c>
      <c r="W613" t="str">
        <f>IF($O613="","",IF($O613&gt;PARAMETRES!$G$36,5,IF($O613&gt;PARAMETRES!$F$36,4,IF($O613&gt;PARAMETRES!$E$36,3,IF($O613&gt;PARAMETRES!$D$36,2,1)))))</f>
        <v/>
      </c>
      <c r="X613" t="str">
        <f>IF($P613="","",IF($P613&gt;PARAMETRES!$G$37,5,IF($P613&gt;PARAMETRES!$F$37,4,IF($P613&gt;PARAMETRES!$E$37,3,IF($P613&gt;PARAMETRES!$D$37,2,1)))))</f>
        <v/>
      </c>
      <c r="Y613" t="str">
        <f t="shared" si="216"/>
        <v/>
      </c>
      <c r="Z613" t="str">
        <f>IFERROR(VLOOKUP($B613,TABLE_CYCLE,2,0),"")</f>
        <v/>
      </c>
      <c r="AA613" t="str">
        <f t="shared" si="217"/>
        <v/>
      </c>
      <c r="AB613" t="str">
        <f>IF($D613="","",IF(COUNTIF($D$2:$D613,$D613)=1,$D613,""))</f>
        <v/>
      </c>
      <c r="AC613">
        <f t="shared" si="218"/>
        <v>0</v>
      </c>
      <c r="AD613" t="str">
        <f t="shared" si="219"/>
        <v>|0</v>
      </c>
      <c r="AE613" t="str">
        <f t="shared" si="220"/>
        <v/>
      </c>
      <c r="AF613" t="str">
        <f t="shared" si="221"/>
        <v/>
      </c>
      <c r="AG613" t="str">
        <f t="shared" si="222"/>
        <v/>
      </c>
      <c r="AH613" t="str">
        <f t="shared" si="223"/>
        <v/>
      </c>
      <c r="AI613" t="str">
        <f t="shared" si="224"/>
        <v/>
      </c>
      <c r="AJ613" t="str">
        <f t="shared" si="225"/>
        <v/>
      </c>
      <c r="AK613" t="str">
        <f t="shared" si="226"/>
        <v/>
      </c>
      <c r="AL613" t="str">
        <f t="shared" si="227"/>
        <v/>
      </c>
      <c r="AM613" t="str">
        <f t="shared" si="228"/>
        <v/>
      </c>
      <c r="AN613" t="str">
        <f t="shared" si="229"/>
        <v/>
      </c>
      <c r="AO613" t="str">
        <f t="shared" si="230"/>
        <v/>
      </c>
      <c r="AP613">
        <f t="shared" si="231"/>
        <v>1</v>
      </c>
      <c r="AQ613" t="str">
        <f>IF(SAISIE!$F618="","",SAISIE!$Y618)</f>
        <v/>
      </c>
      <c r="AR613" t="str">
        <f>IF(OR(SAISIE!$U$4="",SAISIE!$W$4=""),"",IF(AND($A613=SAISIE!$U$4,$B613=SAISIE!$W$4,$C613="S1"),COUNTIFS($A$2:$A613,SAISIE!$U$4,$B$2:$B613,SAISIE!$W$4,$C$2:$C613,"S1"),""))</f>
        <v/>
      </c>
      <c r="AS613" t="str">
        <f t="shared" si="232"/>
        <v/>
      </c>
      <c r="AT613" t="str">
        <f t="shared" si="233"/>
        <v/>
      </c>
      <c r="AU613" t="str">
        <f t="shared" si="234"/>
        <v/>
      </c>
      <c r="AV613">
        <f>N(AV612)+IF(AND($AB613&lt;&gt;"",OR('PROFIL ELEVE'!$K$4="(Tous)",$AF613='PROFIL ELEVE'!$K$4)),1,0)</f>
        <v>0</v>
      </c>
      <c r="AW613">
        <f>N(AW612)+IF(AND($AB613&lt;&gt;"",OR('SUIVI LONGITUDINAL'!$Q$4="(Tous)",$AF613='SUIVI LONGITUDINAL'!$Q$4)),1,0)</f>
        <v>0</v>
      </c>
      <c r="AX613">
        <f t="shared" si="235"/>
        <v>0</v>
      </c>
      <c r="AY613">
        <f t="shared" si="236"/>
        <v>0</v>
      </c>
      <c r="AZ613">
        <f t="shared" si="237"/>
        <v>0</v>
      </c>
      <c r="BA613" t="str">
        <f t="shared" si="238"/>
        <v/>
      </c>
      <c r="BB613" t="str">
        <f t="shared" si="239"/>
        <v/>
      </c>
    </row>
    <row r="614" spans="1:54" ht="14.25" customHeight="1" x14ac:dyDescent="0.3">
      <c r="A614" t="str">
        <f>IF(SAISIE!$F619="","",SAISIE!$B619)</f>
        <v/>
      </c>
      <c r="B614" t="str">
        <f>IF(SAISIE!$F619="","",SAISIE!$C619)</f>
        <v/>
      </c>
      <c r="C614" t="str">
        <f>IF(SAISIE!$F619="","",SAISIE!$D619)</f>
        <v/>
      </c>
      <c r="D614" t="str">
        <f>IF(SAISIE!$E619="","",SAISIE!$E619)</f>
        <v/>
      </c>
      <c r="E614" t="str">
        <f>IF(SAISIE!$F619="","",SAISIE!$F619)</f>
        <v/>
      </c>
      <c r="F614" t="str">
        <f>IF(SAISIE!$G619="","",SAISIE!$G619)</f>
        <v/>
      </c>
      <c r="G614" t="str">
        <f>IF(SAISIE!$H619="","",SAISIE!$H619)</f>
        <v/>
      </c>
      <c r="H614" t="str">
        <f>IF(SAISIE!$I619="","",SAISIE!$I619)</f>
        <v/>
      </c>
      <c r="I614" t="str">
        <f>IF(SAISIE!$J619="","",SAISIE!$J619)</f>
        <v/>
      </c>
      <c r="J614" t="str">
        <f>IF(SAISIE!$K619="","",SAISIE!$K619)</f>
        <v/>
      </c>
      <c r="K614" t="str">
        <f>IF(SAISIE!$L619="","",SAISIE!$L619)</f>
        <v/>
      </c>
      <c r="L614" t="str">
        <f>IF(SAISIE!$M619="","",SAISIE!$M619)</f>
        <v/>
      </c>
      <c r="M614" t="str">
        <f>IF(SAISIE!$N619="","",SAISIE!$N619)</f>
        <v/>
      </c>
      <c r="N614" t="str">
        <f>IF(SAISIE!$O619="","",SAISIE!$O619)</f>
        <v/>
      </c>
      <c r="O614" t="str">
        <f>IF(SAISIE!$P619="","",SAISIE!$P619)</f>
        <v/>
      </c>
      <c r="P614" t="str">
        <f>IF(SAISIE!$Q619="","",SAISIE!$Q619)</f>
        <v/>
      </c>
      <c r="Q614" t="str">
        <f>IF($I614="","",IF($I614&gt;PARAMETRES!$G$29,5,IF($I614&gt;PARAMETRES!$F$29,4,IF($I614&gt;PARAMETRES!$E$29,3,IF($I614&gt;PARAMETRES!$D$29,2,1)))))</f>
        <v/>
      </c>
      <c r="R614" t="str">
        <f>IF($J614="","",IF($J614&gt;PARAMETRES!$G$30,5,IF($J614&gt;PARAMETRES!$F$30,4,IF($J614&gt;PARAMETRES!$E$30,3,IF($J614&gt;PARAMETRES!$D$30,2,1)))))</f>
        <v/>
      </c>
      <c r="S614" t="str">
        <f>IF($K614="","",IF($Z614=2,IF($K614&gt;PARAMETRES!$G$31,5,IF($K614&gt;PARAMETRES!$F$31,4,IF($K614&gt;PARAMETRES!$E$31,3,IF($K614&gt;PARAMETRES!$D$31,2,1)))),IF($K614&gt;PARAMETRES!$G$32,5,IF($K614&gt;PARAMETRES!$F$32,4,IF($K614&gt;PARAMETRES!$E$32,3,IF($K614&gt;PARAMETRES!$D$32,2,1))))))</f>
        <v/>
      </c>
      <c r="T614" t="str">
        <f>IF($L614="","",IF($L614&gt;PARAMETRES!$G$33,5,IF($L614&gt;PARAMETRES!$F$33,4,IF($L614&gt;PARAMETRES!$E$33,3,IF($L614&gt;PARAMETRES!$D$33,2,1)))))</f>
        <v/>
      </c>
      <c r="U614" t="str">
        <f>IF($M614="","",IF($M614&gt;PARAMETRES!$G$34,5,IF($M614&gt;PARAMETRES!$F$34,4,IF($M614&gt;PARAMETRES!$E$34,3,IF($M614&gt;PARAMETRES!$D$34,2,1)))))</f>
        <v/>
      </c>
      <c r="V614" t="str">
        <f>IF($N614="","",IF($N614&gt;PARAMETRES!$G$35,5,IF($N614&gt;PARAMETRES!$F$35,4,IF($N614&gt;PARAMETRES!$E$35,3,IF($N614&gt;PARAMETRES!$D$35,2,1)))))</f>
        <v/>
      </c>
      <c r="W614" t="str">
        <f>IF($O614="","",IF($O614&gt;PARAMETRES!$G$36,5,IF($O614&gt;PARAMETRES!$F$36,4,IF($O614&gt;PARAMETRES!$E$36,3,IF($O614&gt;PARAMETRES!$D$36,2,1)))))</f>
        <v/>
      </c>
      <c r="X614" t="str">
        <f>IF($P614="","",IF($P614&gt;PARAMETRES!$G$37,5,IF($P614&gt;PARAMETRES!$F$37,4,IF($P614&gt;PARAMETRES!$E$37,3,IF($P614&gt;PARAMETRES!$D$37,2,1)))))</f>
        <v/>
      </c>
      <c r="Y614" t="str">
        <f t="shared" si="216"/>
        <v/>
      </c>
      <c r="Z614" t="str">
        <f>IFERROR(VLOOKUP($B614,TABLE_CYCLE,2,0),"")</f>
        <v/>
      </c>
      <c r="AA614" t="str">
        <f t="shared" si="217"/>
        <v/>
      </c>
      <c r="AB614" t="str">
        <f>IF($D614="","",IF(COUNTIF($D$2:$D614,$D614)=1,$D614,""))</f>
        <v/>
      </c>
      <c r="AC614">
        <f t="shared" si="218"/>
        <v>0</v>
      </c>
      <c r="AD614" t="str">
        <f t="shared" si="219"/>
        <v>|0</v>
      </c>
      <c r="AE614" t="str">
        <f t="shared" si="220"/>
        <v/>
      </c>
      <c r="AF614" t="str">
        <f t="shared" si="221"/>
        <v/>
      </c>
      <c r="AG614" t="str">
        <f t="shared" si="222"/>
        <v/>
      </c>
      <c r="AH614" t="str">
        <f t="shared" si="223"/>
        <v/>
      </c>
      <c r="AI614" t="str">
        <f t="shared" si="224"/>
        <v/>
      </c>
      <c r="AJ614" t="str">
        <f t="shared" si="225"/>
        <v/>
      </c>
      <c r="AK614" t="str">
        <f t="shared" si="226"/>
        <v/>
      </c>
      <c r="AL614" t="str">
        <f t="shared" si="227"/>
        <v/>
      </c>
      <c r="AM614" t="str">
        <f t="shared" si="228"/>
        <v/>
      </c>
      <c r="AN614" t="str">
        <f t="shared" si="229"/>
        <v/>
      </c>
      <c r="AO614" t="str">
        <f t="shared" si="230"/>
        <v/>
      </c>
      <c r="AP614">
        <f t="shared" si="231"/>
        <v>1</v>
      </c>
      <c r="AQ614" t="str">
        <f>IF(SAISIE!$F619="","",SAISIE!$Y619)</f>
        <v/>
      </c>
      <c r="AR614" t="str">
        <f>IF(OR(SAISIE!$U$4="",SAISIE!$W$4=""),"",IF(AND($A614=SAISIE!$U$4,$B614=SAISIE!$W$4,$C614="S1"),COUNTIFS($A$2:$A614,SAISIE!$U$4,$B$2:$B614,SAISIE!$W$4,$C$2:$C614,"S1"),""))</f>
        <v/>
      </c>
      <c r="AS614" t="str">
        <f t="shared" si="232"/>
        <v/>
      </c>
      <c r="AT614" t="str">
        <f t="shared" si="233"/>
        <v/>
      </c>
      <c r="AU614" t="str">
        <f t="shared" si="234"/>
        <v/>
      </c>
      <c r="AV614">
        <f>N(AV613)+IF(AND($AB614&lt;&gt;"",OR('PROFIL ELEVE'!$K$4="(Tous)",$AF614='PROFIL ELEVE'!$K$4)),1,0)</f>
        <v>0</v>
      </c>
      <c r="AW614">
        <f>N(AW613)+IF(AND($AB614&lt;&gt;"",OR('SUIVI LONGITUDINAL'!$Q$4="(Tous)",$AF614='SUIVI LONGITUDINAL'!$Q$4)),1,0)</f>
        <v>0</v>
      </c>
      <c r="AX614">
        <f t="shared" si="235"/>
        <v>0</v>
      </c>
      <c r="AY614">
        <f t="shared" si="236"/>
        <v>0</v>
      </c>
      <c r="AZ614">
        <f t="shared" si="237"/>
        <v>0</v>
      </c>
      <c r="BA614" t="str">
        <f t="shared" si="238"/>
        <v/>
      </c>
      <c r="BB614" t="str">
        <f t="shared" si="239"/>
        <v/>
      </c>
    </row>
    <row r="615" spans="1:54" ht="14.25" customHeight="1" x14ac:dyDescent="0.3">
      <c r="A615" t="str">
        <f>IF(SAISIE!$F620="","",SAISIE!$B620)</f>
        <v/>
      </c>
      <c r="B615" t="str">
        <f>IF(SAISIE!$F620="","",SAISIE!$C620)</f>
        <v/>
      </c>
      <c r="C615" t="str">
        <f>IF(SAISIE!$F620="","",SAISIE!$D620)</f>
        <v/>
      </c>
      <c r="D615" t="str">
        <f>IF(SAISIE!$E620="","",SAISIE!$E620)</f>
        <v/>
      </c>
      <c r="E615" t="str">
        <f>IF(SAISIE!$F620="","",SAISIE!$F620)</f>
        <v/>
      </c>
      <c r="F615" t="str">
        <f>IF(SAISIE!$G620="","",SAISIE!$G620)</f>
        <v/>
      </c>
      <c r="G615" t="str">
        <f>IF(SAISIE!$H620="","",SAISIE!$H620)</f>
        <v/>
      </c>
      <c r="H615" t="str">
        <f>IF(SAISIE!$I620="","",SAISIE!$I620)</f>
        <v/>
      </c>
      <c r="I615" t="str">
        <f>IF(SAISIE!$J620="","",SAISIE!$J620)</f>
        <v/>
      </c>
      <c r="J615" t="str">
        <f>IF(SAISIE!$K620="","",SAISIE!$K620)</f>
        <v/>
      </c>
      <c r="K615" t="str">
        <f>IF(SAISIE!$L620="","",SAISIE!$L620)</f>
        <v/>
      </c>
      <c r="L615" t="str">
        <f>IF(SAISIE!$M620="","",SAISIE!$M620)</f>
        <v/>
      </c>
      <c r="M615" t="str">
        <f>IF(SAISIE!$N620="","",SAISIE!$N620)</f>
        <v/>
      </c>
      <c r="N615" t="str">
        <f>IF(SAISIE!$O620="","",SAISIE!$O620)</f>
        <v/>
      </c>
      <c r="O615" t="str">
        <f>IF(SAISIE!$P620="","",SAISIE!$P620)</f>
        <v/>
      </c>
      <c r="P615" t="str">
        <f>IF(SAISIE!$Q620="","",SAISIE!$Q620)</f>
        <v/>
      </c>
      <c r="Q615" t="str">
        <f>IF($I615="","",IF($I615&gt;PARAMETRES!$G$29,5,IF($I615&gt;PARAMETRES!$F$29,4,IF($I615&gt;PARAMETRES!$E$29,3,IF($I615&gt;PARAMETRES!$D$29,2,1)))))</f>
        <v/>
      </c>
      <c r="R615" t="str">
        <f>IF($J615="","",IF($J615&gt;PARAMETRES!$G$30,5,IF($J615&gt;PARAMETRES!$F$30,4,IF($J615&gt;PARAMETRES!$E$30,3,IF($J615&gt;PARAMETRES!$D$30,2,1)))))</f>
        <v/>
      </c>
      <c r="S615" t="str">
        <f>IF($K615="","",IF($Z615=2,IF($K615&gt;PARAMETRES!$G$31,5,IF($K615&gt;PARAMETRES!$F$31,4,IF($K615&gt;PARAMETRES!$E$31,3,IF($K615&gt;PARAMETRES!$D$31,2,1)))),IF($K615&gt;PARAMETRES!$G$32,5,IF($K615&gt;PARAMETRES!$F$32,4,IF($K615&gt;PARAMETRES!$E$32,3,IF($K615&gt;PARAMETRES!$D$32,2,1))))))</f>
        <v/>
      </c>
      <c r="T615" t="str">
        <f>IF($L615="","",IF($L615&gt;PARAMETRES!$G$33,5,IF($L615&gt;PARAMETRES!$F$33,4,IF($L615&gt;PARAMETRES!$E$33,3,IF($L615&gt;PARAMETRES!$D$33,2,1)))))</f>
        <v/>
      </c>
      <c r="U615" t="str">
        <f>IF($M615="","",IF($M615&gt;PARAMETRES!$G$34,5,IF($M615&gt;PARAMETRES!$F$34,4,IF($M615&gt;PARAMETRES!$E$34,3,IF($M615&gt;PARAMETRES!$D$34,2,1)))))</f>
        <v/>
      </c>
      <c r="V615" t="str">
        <f>IF($N615="","",IF($N615&gt;PARAMETRES!$G$35,5,IF($N615&gt;PARAMETRES!$F$35,4,IF($N615&gt;PARAMETRES!$E$35,3,IF($N615&gt;PARAMETRES!$D$35,2,1)))))</f>
        <v/>
      </c>
      <c r="W615" t="str">
        <f>IF($O615="","",IF($O615&gt;PARAMETRES!$G$36,5,IF($O615&gt;PARAMETRES!$F$36,4,IF($O615&gt;PARAMETRES!$E$36,3,IF($O615&gt;PARAMETRES!$D$36,2,1)))))</f>
        <v/>
      </c>
      <c r="X615" t="str">
        <f>IF($P615="","",IF($P615&gt;PARAMETRES!$G$37,5,IF($P615&gt;PARAMETRES!$F$37,4,IF($P615&gt;PARAMETRES!$E$37,3,IF($P615&gt;PARAMETRES!$D$37,2,1)))))</f>
        <v/>
      </c>
      <c r="Y615" t="str">
        <f t="shared" si="216"/>
        <v/>
      </c>
      <c r="Z615" t="str">
        <f>IFERROR(VLOOKUP($B615,TABLE_CYCLE,2,0),"")</f>
        <v/>
      </c>
      <c r="AA615" t="str">
        <f t="shared" si="217"/>
        <v/>
      </c>
      <c r="AB615" t="str">
        <f>IF($D615="","",IF(COUNTIF($D$2:$D615,$D615)=1,$D615,""))</f>
        <v/>
      </c>
      <c r="AC615">
        <f t="shared" si="218"/>
        <v>0</v>
      </c>
      <c r="AD615" t="str">
        <f t="shared" si="219"/>
        <v>|0</v>
      </c>
      <c r="AE615" t="str">
        <f t="shared" si="220"/>
        <v/>
      </c>
      <c r="AF615" t="str">
        <f t="shared" si="221"/>
        <v/>
      </c>
      <c r="AG615" t="str">
        <f t="shared" si="222"/>
        <v/>
      </c>
      <c r="AH615" t="str">
        <f t="shared" si="223"/>
        <v/>
      </c>
      <c r="AI615" t="str">
        <f t="shared" si="224"/>
        <v/>
      </c>
      <c r="AJ615" t="str">
        <f t="shared" si="225"/>
        <v/>
      </c>
      <c r="AK615" t="str">
        <f t="shared" si="226"/>
        <v/>
      </c>
      <c r="AL615" t="str">
        <f t="shared" si="227"/>
        <v/>
      </c>
      <c r="AM615" t="str">
        <f t="shared" si="228"/>
        <v/>
      </c>
      <c r="AN615" t="str">
        <f t="shared" si="229"/>
        <v/>
      </c>
      <c r="AO615" t="str">
        <f t="shared" si="230"/>
        <v/>
      </c>
      <c r="AP615">
        <f t="shared" si="231"/>
        <v>1</v>
      </c>
      <c r="AQ615" t="str">
        <f>IF(SAISIE!$F620="","",SAISIE!$Y620)</f>
        <v/>
      </c>
      <c r="AR615" t="str">
        <f>IF(OR(SAISIE!$U$4="",SAISIE!$W$4=""),"",IF(AND($A615=SAISIE!$U$4,$B615=SAISIE!$W$4,$C615="S1"),COUNTIFS($A$2:$A615,SAISIE!$U$4,$B$2:$B615,SAISIE!$W$4,$C$2:$C615,"S1"),""))</f>
        <v/>
      </c>
      <c r="AS615" t="str">
        <f t="shared" si="232"/>
        <v/>
      </c>
      <c r="AT615" t="str">
        <f t="shared" si="233"/>
        <v/>
      </c>
      <c r="AU615" t="str">
        <f t="shared" si="234"/>
        <v/>
      </c>
      <c r="AV615">
        <f>N(AV614)+IF(AND($AB615&lt;&gt;"",OR('PROFIL ELEVE'!$K$4="(Tous)",$AF615='PROFIL ELEVE'!$K$4)),1,0)</f>
        <v>0</v>
      </c>
      <c r="AW615">
        <f>N(AW614)+IF(AND($AB615&lt;&gt;"",OR('SUIVI LONGITUDINAL'!$Q$4="(Tous)",$AF615='SUIVI LONGITUDINAL'!$Q$4)),1,0)</f>
        <v>0</v>
      </c>
      <c r="AX615">
        <f t="shared" si="235"/>
        <v>0</v>
      </c>
      <c r="AY615">
        <f t="shared" si="236"/>
        <v>0</v>
      </c>
      <c r="AZ615">
        <f t="shared" si="237"/>
        <v>0</v>
      </c>
      <c r="BA615" t="str">
        <f t="shared" si="238"/>
        <v/>
      </c>
      <c r="BB615" t="str">
        <f t="shared" si="239"/>
        <v/>
      </c>
    </row>
    <row r="616" spans="1:54" ht="14.25" customHeight="1" x14ac:dyDescent="0.3">
      <c r="A616" t="str">
        <f>IF(SAISIE!$F621="","",SAISIE!$B621)</f>
        <v/>
      </c>
      <c r="B616" t="str">
        <f>IF(SAISIE!$F621="","",SAISIE!$C621)</f>
        <v/>
      </c>
      <c r="C616" t="str">
        <f>IF(SAISIE!$F621="","",SAISIE!$D621)</f>
        <v/>
      </c>
      <c r="D616" t="str">
        <f>IF(SAISIE!$E621="","",SAISIE!$E621)</f>
        <v/>
      </c>
      <c r="E616" t="str">
        <f>IF(SAISIE!$F621="","",SAISIE!$F621)</f>
        <v/>
      </c>
      <c r="F616" t="str">
        <f>IF(SAISIE!$G621="","",SAISIE!$G621)</f>
        <v/>
      </c>
      <c r="G616" t="str">
        <f>IF(SAISIE!$H621="","",SAISIE!$H621)</f>
        <v/>
      </c>
      <c r="H616" t="str">
        <f>IF(SAISIE!$I621="","",SAISIE!$I621)</f>
        <v/>
      </c>
      <c r="I616" t="str">
        <f>IF(SAISIE!$J621="","",SAISIE!$J621)</f>
        <v/>
      </c>
      <c r="J616" t="str">
        <f>IF(SAISIE!$K621="","",SAISIE!$K621)</f>
        <v/>
      </c>
      <c r="K616" t="str">
        <f>IF(SAISIE!$L621="","",SAISIE!$L621)</f>
        <v/>
      </c>
      <c r="L616" t="str">
        <f>IF(SAISIE!$M621="","",SAISIE!$M621)</f>
        <v/>
      </c>
      <c r="M616" t="str">
        <f>IF(SAISIE!$N621="","",SAISIE!$N621)</f>
        <v/>
      </c>
      <c r="N616" t="str">
        <f>IF(SAISIE!$O621="","",SAISIE!$O621)</f>
        <v/>
      </c>
      <c r="O616" t="str">
        <f>IF(SAISIE!$P621="","",SAISIE!$P621)</f>
        <v/>
      </c>
      <c r="P616" t="str">
        <f>IF(SAISIE!$Q621="","",SAISIE!$Q621)</f>
        <v/>
      </c>
      <c r="Q616" t="str">
        <f>IF($I616="","",IF($I616&gt;PARAMETRES!$G$29,5,IF($I616&gt;PARAMETRES!$F$29,4,IF($I616&gt;PARAMETRES!$E$29,3,IF($I616&gt;PARAMETRES!$D$29,2,1)))))</f>
        <v/>
      </c>
      <c r="R616" t="str">
        <f>IF($J616="","",IF($J616&gt;PARAMETRES!$G$30,5,IF($J616&gt;PARAMETRES!$F$30,4,IF($J616&gt;PARAMETRES!$E$30,3,IF($J616&gt;PARAMETRES!$D$30,2,1)))))</f>
        <v/>
      </c>
      <c r="S616" t="str">
        <f>IF($K616="","",IF($Z616=2,IF($K616&gt;PARAMETRES!$G$31,5,IF($K616&gt;PARAMETRES!$F$31,4,IF($K616&gt;PARAMETRES!$E$31,3,IF($K616&gt;PARAMETRES!$D$31,2,1)))),IF($K616&gt;PARAMETRES!$G$32,5,IF($K616&gt;PARAMETRES!$F$32,4,IF($K616&gt;PARAMETRES!$E$32,3,IF($K616&gt;PARAMETRES!$D$32,2,1))))))</f>
        <v/>
      </c>
      <c r="T616" t="str">
        <f>IF($L616="","",IF($L616&gt;PARAMETRES!$G$33,5,IF($L616&gt;PARAMETRES!$F$33,4,IF($L616&gt;PARAMETRES!$E$33,3,IF($L616&gt;PARAMETRES!$D$33,2,1)))))</f>
        <v/>
      </c>
      <c r="U616" t="str">
        <f>IF($M616="","",IF($M616&gt;PARAMETRES!$G$34,5,IF($M616&gt;PARAMETRES!$F$34,4,IF($M616&gt;PARAMETRES!$E$34,3,IF($M616&gt;PARAMETRES!$D$34,2,1)))))</f>
        <v/>
      </c>
      <c r="V616" t="str">
        <f>IF($N616="","",IF($N616&gt;PARAMETRES!$G$35,5,IF($N616&gt;PARAMETRES!$F$35,4,IF($N616&gt;PARAMETRES!$E$35,3,IF($N616&gt;PARAMETRES!$D$35,2,1)))))</f>
        <v/>
      </c>
      <c r="W616" t="str">
        <f>IF($O616="","",IF($O616&gt;PARAMETRES!$G$36,5,IF($O616&gt;PARAMETRES!$F$36,4,IF($O616&gt;PARAMETRES!$E$36,3,IF($O616&gt;PARAMETRES!$D$36,2,1)))))</f>
        <v/>
      </c>
      <c r="X616" t="str">
        <f>IF($P616="","",IF($P616&gt;PARAMETRES!$G$37,5,IF($P616&gt;PARAMETRES!$F$37,4,IF($P616&gt;PARAMETRES!$E$37,3,IF($P616&gt;PARAMETRES!$D$37,2,1)))))</f>
        <v/>
      </c>
      <c r="Y616" t="str">
        <f t="shared" si="216"/>
        <v/>
      </c>
      <c r="Z616" t="str">
        <f>IFERROR(VLOOKUP($B616,TABLE_CYCLE,2,0),"")</f>
        <v/>
      </c>
      <c r="AA616" t="str">
        <f t="shared" si="217"/>
        <v/>
      </c>
      <c r="AB616" t="str">
        <f>IF($D616="","",IF(COUNTIF($D$2:$D616,$D616)=1,$D616,""))</f>
        <v/>
      </c>
      <c r="AC616">
        <f t="shared" si="218"/>
        <v>0</v>
      </c>
      <c r="AD616" t="str">
        <f t="shared" si="219"/>
        <v>|0</v>
      </c>
      <c r="AE616" t="str">
        <f t="shared" si="220"/>
        <v/>
      </c>
      <c r="AF616" t="str">
        <f t="shared" si="221"/>
        <v/>
      </c>
      <c r="AG616" t="str">
        <f t="shared" si="222"/>
        <v/>
      </c>
      <c r="AH616" t="str">
        <f t="shared" si="223"/>
        <v/>
      </c>
      <c r="AI616" t="str">
        <f t="shared" si="224"/>
        <v/>
      </c>
      <c r="AJ616" t="str">
        <f t="shared" si="225"/>
        <v/>
      </c>
      <c r="AK616" t="str">
        <f t="shared" si="226"/>
        <v/>
      </c>
      <c r="AL616" t="str">
        <f t="shared" si="227"/>
        <v/>
      </c>
      <c r="AM616" t="str">
        <f t="shared" si="228"/>
        <v/>
      </c>
      <c r="AN616" t="str">
        <f t="shared" si="229"/>
        <v/>
      </c>
      <c r="AO616" t="str">
        <f t="shared" si="230"/>
        <v/>
      </c>
      <c r="AP616">
        <f t="shared" si="231"/>
        <v>1</v>
      </c>
      <c r="AQ616" t="str">
        <f>IF(SAISIE!$F621="","",SAISIE!$Y621)</f>
        <v/>
      </c>
      <c r="AR616" t="str">
        <f>IF(OR(SAISIE!$U$4="",SAISIE!$W$4=""),"",IF(AND($A616=SAISIE!$U$4,$B616=SAISIE!$W$4,$C616="S1"),COUNTIFS($A$2:$A616,SAISIE!$U$4,$B$2:$B616,SAISIE!$W$4,$C$2:$C616,"S1"),""))</f>
        <v/>
      </c>
      <c r="AS616" t="str">
        <f t="shared" si="232"/>
        <v/>
      </c>
      <c r="AT616" t="str">
        <f t="shared" si="233"/>
        <v/>
      </c>
      <c r="AU616" t="str">
        <f t="shared" si="234"/>
        <v/>
      </c>
      <c r="AV616">
        <f>N(AV615)+IF(AND($AB616&lt;&gt;"",OR('PROFIL ELEVE'!$K$4="(Tous)",$AF616='PROFIL ELEVE'!$K$4)),1,0)</f>
        <v>0</v>
      </c>
      <c r="AW616">
        <f>N(AW615)+IF(AND($AB616&lt;&gt;"",OR('SUIVI LONGITUDINAL'!$Q$4="(Tous)",$AF616='SUIVI LONGITUDINAL'!$Q$4)),1,0)</f>
        <v>0</v>
      </c>
      <c r="AX616">
        <f t="shared" si="235"/>
        <v>0</v>
      </c>
      <c r="AY616">
        <f t="shared" si="236"/>
        <v>0</v>
      </c>
      <c r="AZ616">
        <f t="shared" si="237"/>
        <v>0</v>
      </c>
      <c r="BA616" t="str">
        <f t="shared" si="238"/>
        <v/>
      </c>
      <c r="BB616" t="str">
        <f t="shared" si="239"/>
        <v/>
      </c>
    </row>
    <row r="617" spans="1:54" ht="14.25" customHeight="1" x14ac:dyDescent="0.3">
      <c r="A617" t="str">
        <f>IF(SAISIE!$F622="","",SAISIE!$B622)</f>
        <v/>
      </c>
      <c r="B617" t="str">
        <f>IF(SAISIE!$F622="","",SAISIE!$C622)</f>
        <v/>
      </c>
      <c r="C617" t="str">
        <f>IF(SAISIE!$F622="","",SAISIE!$D622)</f>
        <v/>
      </c>
      <c r="D617" t="str">
        <f>IF(SAISIE!$E622="","",SAISIE!$E622)</f>
        <v/>
      </c>
      <c r="E617" t="str">
        <f>IF(SAISIE!$F622="","",SAISIE!$F622)</f>
        <v/>
      </c>
      <c r="F617" t="str">
        <f>IF(SAISIE!$G622="","",SAISIE!$G622)</f>
        <v/>
      </c>
      <c r="G617" t="str">
        <f>IF(SAISIE!$H622="","",SAISIE!$H622)</f>
        <v/>
      </c>
      <c r="H617" t="str">
        <f>IF(SAISIE!$I622="","",SAISIE!$I622)</f>
        <v/>
      </c>
      <c r="I617" t="str">
        <f>IF(SAISIE!$J622="","",SAISIE!$J622)</f>
        <v/>
      </c>
      <c r="J617" t="str">
        <f>IF(SAISIE!$K622="","",SAISIE!$K622)</f>
        <v/>
      </c>
      <c r="K617" t="str">
        <f>IF(SAISIE!$L622="","",SAISIE!$L622)</f>
        <v/>
      </c>
      <c r="L617" t="str">
        <f>IF(SAISIE!$M622="","",SAISIE!$M622)</f>
        <v/>
      </c>
      <c r="M617" t="str">
        <f>IF(SAISIE!$N622="","",SAISIE!$N622)</f>
        <v/>
      </c>
      <c r="N617" t="str">
        <f>IF(SAISIE!$O622="","",SAISIE!$O622)</f>
        <v/>
      </c>
      <c r="O617" t="str">
        <f>IF(SAISIE!$P622="","",SAISIE!$P622)</f>
        <v/>
      </c>
      <c r="P617" t="str">
        <f>IF(SAISIE!$Q622="","",SAISIE!$Q622)</f>
        <v/>
      </c>
      <c r="Q617" t="str">
        <f>IF($I617="","",IF($I617&gt;PARAMETRES!$G$29,5,IF($I617&gt;PARAMETRES!$F$29,4,IF($I617&gt;PARAMETRES!$E$29,3,IF($I617&gt;PARAMETRES!$D$29,2,1)))))</f>
        <v/>
      </c>
      <c r="R617" t="str">
        <f>IF($J617="","",IF($J617&gt;PARAMETRES!$G$30,5,IF($J617&gt;PARAMETRES!$F$30,4,IF($J617&gt;PARAMETRES!$E$30,3,IF($J617&gt;PARAMETRES!$D$30,2,1)))))</f>
        <v/>
      </c>
      <c r="S617" t="str">
        <f>IF($K617="","",IF($Z617=2,IF($K617&gt;PARAMETRES!$G$31,5,IF($K617&gt;PARAMETRES!$F$31,4,IF($K617&gt;PARAMETRES!$E$31,3,IF($K617&gt;PARAMETRES!$D$31,2,1)))),IF($K617&gt;PARAMETRES!$G$32,5,IF($K617&gt;PARAMETRES!$F$32,4,IF($K617&gt;PARAMETRES!$E$32,3,IF($K617&gt;PARAMETRES!$D$32,2,1))))))</f>
        <v/>
      </c>
      <c r="T617" t="str">
        <f>IF($L617="","",IF($L617&gt;PARAMETRES!$G$33,5,IF($L617&gt;PARAMETRES!$F$33,4,IF($L617&gt;PARAMETRES!$E$33,3,IF($L617&gt;PARAMETRES!$D$33,2,1)))))</f>
        <v/>
      </c>
      <c r="U617" t="str">
        <f>IF($M617="","",IF($M617&gt;PARAMETRES!$G$34,5,IF($M617&gt;PARAMETRES!$F$34,4,IF($M617&gt;PARAMETRES!$E$34,3,IF($M617&gt;PARAMETRES!$D$34,2,1)))))</f>
        <v/>
      </c>
      <c r="V617" t="str">
        <f>IF($N617="","",IF($N617&gt;PARAMETRES!$G$35,5,IF($N617&gt;PARAMETRES!$F$35,4,IF($N617&gt;PARAMETRES!$E$35,3,IF($N617&gt;PARAMETRES!$D$35,2,1)))))</f>
        <v/>
      </c>
      <c r="W617" t="str">
        <f>IF($O617="","",IF($O617&gt;PARAMETRES!$G$36,5,IF($O617&gt;PARAMETRES!$F$36,4,IF($O617&gt;PARAMETRES!$E$36,3,IF($O617&gt;PARAMETRES!$D$36,2,1)))))</f>
        <v/>
      </c>
      <c r="X617" t="str">
        <f>IF($P617="","",IF($P617&gt;PARAMETRES!$G$37,5,IF($P617&gt;PARAMETRES!$F$37,4,IF($P617&gt;PARAMETRES!$E$37,3,IF($P617&gt;PARAMETRES!$D$37,2,1)))))</f>
        <v/>
      </c>
      <c r="Y617" t="str">
        <f t="shared" si="216"/>
        <v/>
      </c>
      <c r="Z617" t="str">
        <f>IFERROR(VLOOKUP($B617,TABLE_CYCLE,2,0),"")</f>
        <v/>
      </c>
      <c r="AA617" t="str">
        <f t="shared" si="217"/>
        <v/>
      </c>
      <c r="AB617" t="str">
        <f>IF($D617="","",IF(COUNTIF($D$2:$D617,$D617)=1,$D617,""))</f>
        <v/>
      </c>
      <c r="AC617">
        <f t="shared" si="218"/>
        <v>0</v>
      </c>
      <c r="AD617" t="str">
        <f t="shared" si="219"/>
        <v>|0</v>
      </c>
      <c r="AE617" t="str">
        <f t="shared" si="220"/>
        <v/>
      </c>
      <c r="AF617" t="str">
        <f t="shared" si="221"/>
        <v/>
      </c>
      <c r="AG617" t="str">
        <f t="shared" si="222"/>
        <v/>
      </c>
      <c r="AH617" t="str">
        <f t="shared" si="223"/>
        <v/>
      </c>
      <c r="AI617" t="str">
        <f t="shared" si="224"/>
        <v/>
      </c>
      <c r="AJ617" t="str">
        <f t="shared" si="225"/>
        <v/>
      </c>
      <c r="AK617" t="str">
        <f t="shared" si="226"/>
        <v/>
      </c>
      <c r="AL617" t="str">
        <f t="shared" si="227"/>
        <v/>
      </c>
      <c r="AM617" t="str">
        <f t="shared" si="228"/>
        <v/>
      </c>
      <c r="AN617" t="str">
        <f t="shared" si="229"/>
        <v/>
      </c>
      <c r="AO617" t="str">
        <f t="shared" si="230"/>
        <v/>
      </c>
      <c r="AP617">
        <f t="shared" si="231"/>
        <v>1</v>
      </c>
      <c r="AQ617" t="str">
        <f>IF(SAISIE!$F622="","",SAISIE!$Y622)</f>
        <v/>
      </c>
      <c r="AR617" t="str">
        <f>IF(OR(SAISIE!$U$4="",SAISIE!$W$4=""),"",IF(AND($A617=SAISIE!$U$4,$B617=SAISIE!$W$4,$C617="S1"),COUNTIFS($A$2:$A617,SAISIE!$U$4,$B$2:$B617,SAISIE!$W$4,$C$2:$C617,"S1"),""))</f>
        <v/>
      </c>
      <c r="AS617" t="str">
        <f t="shared" si="232"/>
        <v/>
      </c>
      <c r="AT617" t="str">
        <f t="shared" si="233"/>
        <v/>
      </c>
      <c r="AU617" t="str">
        <f t="shared" si="234"/>
        <v/>
      </c>
      <c r="AV617">
        <f>N(AV616)+IF(AND($AB617&lt;&gt;"",OR('PROFIL ELEVE'!$K$4="(Tous)",$AF617='PROFIL ELEVE'!$K$4)),1,0)</f>
        <v>0</v>
      </c>
      <c r="AW617">
        <f>N(AW616)+IF(AND($AB617&lt;&gt;"",OR('SUIVI LONGITUDINAL'!$Q$4="(Tous)",$AF617='SUIVI LONGITUDINAL'!$Q$4)),1,0)</f>
        <v>0</v>
      </c>
      <c r="AX617">
        <f t="shared" si="235"/>
        <v>0</v>
      </c>
      <c r="AY617">
        <f t="shared" si="236"/>
        <v>0</v>
      </c>
      <c r="AZ617">
        <f t="shared" si="237"/>
        <v>0</v>
      </c>
      <c r="BA617" t="str">
        <f t="shared" si="238"/>
        <v/>
      </c>
      <c r="BB617" t="str">
        <f t="shared" si="239"/>
        <v/>
      </c>
    </row>
    <row r="618" spans="1:54" ht="14.25" customHeight="1" x14ac:dyDescent="0.3">
      <c r="A618" t="str">
        <f>IF(SAISIE!$F623="","",SAISIE!$B623)</f>
        <v/>
      </c>
      <c r="B618" t="str">
        <f>IF(SAISIE!$F623="","",SAISIE!$C623)</f>
        <v/>
      </c>
      <c r="C618" t="str">
        <f>IF(SAISIE!$F623="","",SAISIE!$D623)</f>
        <v/>
      </c>
      <c r="D618" t="str">
        <f>IF(SAISIE!$E623="","",SAISIE!$E623)</f>
        <v/>
      </c>
      <c r="E618" t="str">
        <f>IF(SAISIE!$F623="","",SAISIE!$F623)</f>
        <v/>
      </c>
      <c r="F618" t="str">
        <f>IF(SAISIE!$G623="","",SAISIE!$G623)</f>
        <v/>
      </c>
      <c r="G618" t="str">
        <f>IF(SAISIE!$H623="","",SAISIE!$H623)</f>
        <v/>
      </c>
      <c r="H618" t="str">
        <f>IF(SAISIE!$I623="","",SAISIE!$I623)</f>
        <v/>
      </c>
      <c r="I618" t="str">
        <f>IF(SAISIE!$J623="","",SAISIE!$J623)</f>
        <v/>
      </c>
      <c r="J618" t="str">
        <f>IF(SAISIE!$K623="","",SAISIE!$K623)</f>
        <v/>
      </c>
      <c r="K618" t="str">
        <f>IF(SAISIE!$L623="","",SAISIE!$L623)</f>
        <v/>
      </c>
      <c r="L618" t="str">
        <f>IF(SAISIE!$M623="","",SAISIE!$M623)</f>
        <v/>
      </c>
      <c r="M618" t="str">
        <f>IF(SAISIE!$N623="","",SAISIE!$N623)</f>
        <v/>
      </c>
      <c r="N618" t="str">
        <f>IF(SAISIE!$O623="","",SAISIE!$O623)</f>
        <v/>
      </c>
      <c r="O618" t="str">
        <f>IF(SAISIE!$P623="","",SAISIE!$P623)</f>
        <v/>
      </c>
      <c r="P618" t="str">
        <f>IF(SAISIE!$Q623="","",SAISIE!$Q623)</f>
        <v/>
      </c>
      <c r="Q618" t="str">
        <f>IF($I618="","",IF($I618&gt;PARAMETRES!$G$29,5,IF($I618&gt;PARAMETRES!$F$29,4,IF($I618&gt;PARAMETRES!$E$29,3,IF($I618&gt;PARAMETRES!$D$29,2,1)))))</f>
        <v/>
      </c>
      <c r="R618" t="str">
        <f>IF($J618="","",IF($J618&gt;PARAMETRES!$G$30,5,IF($J618&gt;PARAMETRES!$F$30,4,IF($J618&gt;PARAMETRES!$E$30,3,IF($J618&gt;PARAMETRES!$D$30,2,1)))))</f>
        <v/>
      </c>
      <c r="S618" t="str">
        <f>IF($K618="","",IF($Z618=2,IF($K618&gt;PARAMETRES!$G$31,5,IF($K618&gt;PARAMETRES!$F$31,4,IF($K618&gt;PARAMETRES!$E$31,3,IF($K618&gt;PARAMETRES!$D$31,2,1)))),IF($K618&gt;PARAMETRES!$G$32,5,IF($K618&gt;PARAMETRES!$F$32,4,IF($K618&gt;PARAMETRES!$E$32,3,IF($K618&gt;PARAMETRES!$D$32,2,1))))))</f>
        <v/>
      </c>
      <c r="T618" t="str">
        <f>IF($L618="","",IF($L618&gt;PARAMETRES!$G$33,5,IF($L618&gt;PARAMETRES!$F$33,4,IF($L618&gt;PARAMETRES!$E$33,3,IF($L618&gt;PARAMETRES!$D$33,2,1)))))</f>
        <v/>
      </c>
      <c r="U618" t="str">
        <f>IF($M618="","",IF($M618&gt;PARAMETRES!$G$34,5,IF($M618&gt;PARAMETRES!$F$34,4,IF($M618&gt;PARAMETRES!$E$34,3,IF($M618&gt;PARAMETRES!$D$34,2,1)))))</f>
        <v/>
      </c>
      <c r="V618" t="str">
        <f>IF($N618="","",IF($N618&gt;PARAMETRES!$G$35,5,IF($N618&gt;PARAMETRES!$F$35,4,IF($N618&gt;PARAMETRES!$E$35,3,IF($N618&gt;PARAMETRES!$D$35,2,1)))))</f>
        <v/>
      </c>
      <c r="W618" t="str">
        <f>IF($O618="","",IF($O618&gt;PARAMETRES!$G$36,5,IF($O618&gt;PARAMETRES!$F$36,4,IF($O618&gt;PARAMETRES!$E$36,3,IF($O618&gt;PARAMETRES!$D$36,2,1)))))</f>
        <v/>
      </c>
      <c r="X618" t="str">
        <f>IF($P618="","",IF($P618&gt;PARAMETRES!$G$37,5,IF($P618&gt;PARAMETRES!$F$37,4,IF($P618&gt;PARAMETRES!$E$37,3,IF($P618&gt;PARAMETRES!$D$37,2,1)))))</f>
        <v/>
      </c>
      <c r="Y618" t="str">
        <f t="shared" si="216"/>
        <v/>
      </c>
      <c r="Z618" t="str">
        <f>IFERROR(VLOOKUP($B618,TABLE_CYCLE,2,0),"")</f>
        <v/>
      </c>
      <c r="AA618" t="str">
        <f t="shared" si="217"/>
        <v/>
      </c>
      <c r="AB618" t="str">
        <f>IF($D618="","",IF(COUNTIF($D$2:$D618,$D618)=1,$D618,""))</f>
        <v/>
      </c>
      <c r="AC618">
        <f t="shared" si="218"/>
        <v>0</v>
      </c>
      <c r="AD618" t="str">
        <f t="shared" si="219"/>
        <v>|0</v>
      </c>
      <c r="AE618" t="str">
        <f t="shared" si="220"/>
        <v/>
      </c>
      <c r="AF618" t="str">
        <f t="shared" si="221"/>
        <v/>
      </c>
      <c r="AG618" t="str">
        <f t="shared" si="222"/>
        <v/>
      </c>
      <c r="AH618" t="str">
        <f t="shared" si="223"/>
        <v/>
      </c>
      <c r="AI618" t="str">
        <f t="shared" si="224"/>
        <v/>
      </c>
      <c r="AJ618" t="str">
        <f t="shared" si="225"/>
        <v/>
      </c>
      <c r="AK618" t="str">
        <f t="shared" si="226"/>
        <v/>
      </c>
      <c r="AL618" t="str">
        <f t="shared" si="227"/>
        <v/>
      </c>
      <c r="AM618" t="str">
        <f t="shared" si="228"/>
        <v/>
      </c>
      <c r="AN618" t="str">
        <f t="shared" si="229"/>
        <v/>
      </c>
      <c r="AO618" t="str">
        <f t="shared" si="230"/>
        <v/>
      </c>
      <c r="AP618">
        <f t="shared" si="231"/>
        <v>1</v>
      </c>
      <c r="AQ618" t="str">
        <f>IF(SAISIE!$F623="","",SAISIE!$Y623)</f>
        <v/>
      </c>
      <c r="AR618" t="str">
        <f>IF(OR(SAISIE!$U$4="",SAISIE!$W$4=""),"",IF(AND($A618=SAISIE!$U$4,$B618=SAISIE!$W$4,$C618="S1"),COUNTIFS($A$2:$A618,SAISIE!$U$4,$B$2:$B618,SAISIE!$W$4,$C$2:$C618,"S1"),""))</f>
        <v/>
      </c>
      <c r="AS618" t="str">
        <f t="shared" si="232"/>
        <v/>
      </c>
      <c r="AT618" t="str">
        <f t="shared" si="233"/>
        <v/>
      </c>
      <c r="AU618" t="str">
        <f t="shared" si="234"/>
        <v/>
      </c>
      <c r="AV618">
        <f>N(AV617)+IF(AND($AB618&lt;&gt;"",OR('PROFIL ELEVE'!$K$4="(Tous)",$AF618='PROFIL ELEVE'!$K$4)),1,0)</f>
        <v>0</v>
      </c>
      <c r="AW618">
        <f>N(AW617)+IF(AND($AB618&lt;&gt;"",OR('SUIVI LONGITUDINAL'!$Q$4="(Tous)",$AF618='SUIVI LONGITUDINAL'!$Q$4)),1,0)</f>
        <v>0</v>
      </c>
      <c r="AX618">
        <f t="shared" si="235"/>
        <v>0</v>
      </c>
      <c r="AY618">
        <f t="shared" si="236"/>
        <v>0</v>
      </c>
      <c r="AZ618">
        <f t="shared" si="237"/>
        <v>0</v>
      </c>
      <c r="BA618" t="str">
        <f t="shared" si="238"/>
        <v/>
      </c>
      <c r="BB618" t="str">
        <f t="shared" si="239"/>
        <v/>
      </c>
    </row>
    <row r="619" spans="1:54" ht="14.25" customHeight="1" x14ac:dyDescent="0.3">
      <c r="A619" t="str">
        <f>IF(SAISIE!$F624="","",SAISIE!$B624)</f>
        <v/>
      </c>
      <c r="B619" t="str">
        <f>IF(SAISIE!$F624="","",SAISIE!$C624)</f>
        <v/>
      </c>
      <c r="C619" t="str">
        <f>IF(SAISIE!$F624="","",SAISIE!$D624)</f>
        <v/>
      </c>
      <c r="D619" t="str">
        <f>IF(SAISIE!$E624="","",SAISIE!$E624)</f>
        <v/>
      </c>
      <c r="E619" t="str">
        <f>IF(SAISIE!$F624="","",SAISIE!$F624)</f>
        <v/>
      </c>
      <c r="F619" t="str">
        <f>IF(SAISIE!$G624="","",SAISIE!$G624)</f>
        <v/>
      </c>
      <c r="G619" t="str">
        <f>IF(SAISIE!$H624="","",SAISIE!$H624)</f>
        <v/>
      </c>
      <c r="H619" t="str">
        <f>IF(SAISIE!$I624="","",SAISIE!$I624)</f>
        <v/>
      </c>
      <c r="I619" t="str">
        <f>IF(SAISIE!$J624="","",SAISIE!$J624)</f>
        <v/>
      </c>
      <c r="J619" t="str">
        <f>IF(SAISIE!$K624="","",SAISIE!$K624)</f>
        <v/>
      </c>
      <c r="K619" t="str">
        <f>IF(SAISIE!$L624="","",SAISIE!$L624)</f>
        <v/>
      </c>
      <c r="L619" t="str">
        <f>IF(SAISIE!$M624="","",SAISIE!$M624)</f>
        <v/>
      </c>
      <c r="M619" t="str">
        <f>IF(SAISIE!$N624="","",SAISIE!$N624)</f>
        <v/>
      </c>
      <c r="N619" t="str">
        <f>IF(SAISIE!$O624="","",SAISIE!$O624)</f>
        <v/>
      </c>
      <c r="O619" t="str">
        <f>IF(SAISIE!$P624="","",SAISIE!$P624)</f>
        <v/>
      </c>
      <c r="P619" t="str">
        <f>IF(SAISIE!$Q624="","",SAISIE!$Q624)</f>
        <v/>
      </c>
      <c r="Q619" t="str">
        <f>IF($I619="","",IF($I619&gt;PARAMETRES!$G$29,5,IF($I619&gt;PARAMETRES!$F$29,4,IF($I619&gt;PARAMETRES!$E$29,3,IF($I619&gt;PARAMETRES!$D$29,2,1)))))</f>
        <v/>
      </c>
      <c r="R619" t="str">
        <f>IF($J619="","",IF($J619&gt;PARAMETRES!$G$30,5,IF($J619&gt;PARAMETRES!$F$30,4,IF($J619&gt;PARAMETRES!$E$30,3,IF($J619&gt;PARAMETRES!$D$30,2,1)))))</f>
        <v/>
      </c>
      <c r="S619" t="str">
        <f>IF($K619="","",IF($Z619=2,IF($K619&gt;PARAMETRES!$G$31,5,IF($K619&gt;PARAMETRES!$F$31,4,IF($K619&gt;PARAMETRES!$E$31,3,IF($K619&gt;PARAMETRES!$D$31,2,1)))),IF($K619&gt;PARAMETRES!$G$32,5,IF($K619&gt;PARAMETRES!$F$32,4,IF($K619&gt;PARAMETRES!$E$32,3,IF($K619&gt;PARAMETRES!$D$32,2,1))))))</f>
        <v/>
      </c>
      <c r="T619" t="str">
        <f>IF($L619="","",IF($L619&gt;PARAMETRES!$G$33,5,IF($L619&gt;PARAMETRES!$F$33,4,IF($L619&gt;PARAMETRES!$E$33,3,IF($L619&gt;PARAMETRES!$D$33,2,1)))))</f>
        <v/>
      </c>
      <c r="U619" t="str">
        <f>IF($M619="","",IF($M619&gt;PARAMETRES!$G$34,5,IF($M619&gt;PARAMETRES!$F$34,4,IF($M619&gt;PARAMETRES!$E$34,3,IF($M619&gt;PARAMETRES!$D$34,2,1)))))</f>
        <v/>
      </c>
      <c r="V619" t="str">
        <f>IF($N619="","",IF($N619&gt;PARAMETRES!$G$35,5,IF($N619&gt;PARAMETRES!$F$35,4,IF($N619&gt;PARAMETRES!$E$35,3,IF($N619&gt;PARAMETRES!$D$35,2,1)))))</f>
        <v/>
      </c>
      <c r="W619" t="str">
        <f>IF($O619="","",IF($O619&gt;PARAMETRES!$G$36,5,IF($O619&gt;PARAMETRES!$F$36,4,IF($O619&gt;PARAMETRES!$E$36,3,IF($O619&gt;PARAMETRES!$D$36,2,1)))))</f>
        <v/>
      </c>
      <c r="X619" t="str">
        <f>IF($P619="","",IF($P619&gt;PARAMETRES!$G$37,5,IF($P619&gt;PARAMETRES!$F$37,4,IF($P619&gt;PARAMETRES!$E$37,3,IF($P619&gt;PARAMETRES!$D$37,2,1)))))</f>
        <v/>
      </c>
      <c r="Y619" t="str">
        <f t="shared" si="216"/>
        <v/>
      </c>
      <c r="Z619" t="str">
        <f>IFERROR(VLOOKUP($B619,TABLE_CYCLE,2,0),"")</f>
        <v/>
      </c>
      <c r="AA619" t="str">
        <f t="shared" si="217"/>
        <v/>
      </c>
      <c r="AB619" t="str">
        <f>IF($D619="","",IF(COUNTIF($D$2:$D619,$D619)=1,$D619,""))</f>
        <v/>
      </c>
      <c r="AC619">
        <f t="shared" si="218"/>
        <v>0</v>
      </c>
      <c r="AD619" t="str">
        <f t="shared" si="219"/>
        <v>|0</v>
      </c>
      <c r="AE619" t="str">
        <f t="shared" si="220"/>
        <v/>
      </c>
      <c r="AF619" t="str">
        <f t="shared" si="221"/>
        <v/>
      </c>
      <c r="AG619" t="str">
        <f t="shared" si="222"/>
        <v/>
      </c>
      <c r="AH619" t="str">
        <f t="shared" si="223"/>
        <v/>
      </c>
      <c r="AI619" t="str">
        <f t="shared" si="224"/>
        <v/>
      </c>
      <c r="AJ619" t="str">
        <f t="shared" si="225"/>
        <v/>
      </c>
      <c r="AK619" t="str">
        <f t="shared" si="226"/>
        <v/>
      </c>
      <c r="AL619" t="str">
        <f t="shared" si="227"/>
        <v/>
      </c>
      <c r="AM619" t="str">
        <f t="shared" si="228"/>
        <v/>
      </c>
      <c r="AN619" t="str">
        <f t="shared" si="229"/>
        <v/>
      </c>
      <c r="AO619" t="str">
        <f t="shared" si="230"/>
        <v/>
      </c>
      <c r="AP619">
        <f t="shared" si="231"/>
        <v>1</v>
      </c>
      <c r="AQ619" t="str">
        <f>IF(SAISIE!$F624="","",SAISIE!$Y624)</f>
        <v/>
      </c>
      <c r="AR619" t="str">
        <f>IF(OR(SAISIE!$U$4="",SAISIE!$W$4=""),"",IF(AND($A619=SAISIE!$U$4,$B619=SAISIE!$W$4,$C619="S1"),COUNTIFS($A$2:$A619,SAISIE!$U$4,$B$2:$B619,SAISIE!$W$4,$C$2:$C619,"S1"),""))</f>
        <v/>
      </c>
      <c r="AS619" t="str">
        <f t="shared" si="232"/>
        <v/>
      </c>
      <c r="AT619" t="str">
        <f t="shared" si="233"/>
        <v/>
      </c>
      <c r="AU619" t="str">
        <f t="shared" si="234"/>
        <v/>
      </c>
      <c r="AV619">
        <f>N(AV618)+IF(AND($AB619&lt;&gt;"",OR('PROFIL ELEVE'!$K$4="(Tous)",$AF619='PROFIL ELEVE'!$K$4)),1,0)</f>
        <v>0</v>
      </c>
      <c r="AW619">
        <f>N(AW618)+IF(AND($AB619&lt;&gt;"",OR('SUIVI LONGITUDINAL'!$Q$4="(Tous)",$AF619='SUIVI LONGITUDINAL'!$Q$4)),1,0)</f>
        <v>0</v>
      </c>
      <c r="AX619">
        <f t="shared" si="235"/>
        <v>0</v>
      </c>
      <c r="AY619">
        <f t="shared" si="236"/>
        <v>0</v>
      </c>
      <c r="AZ619">
        <f t="shared" si="237"/>
        <v>0</v>
      </c>
      <c r="BA619" t="str">
        <f t="shared" si="238"/>
        <v/>
      </c>
      <c r="BB619" t="str">
        <f t="shared" si="239"/>
        <v/>
      </c>
    </row>
    <row r="620" spans="1:54" ht="14.25" customHeight="1" x14ac:dyDescent="0.3">
      <c r="A620" t="str">
        <f>IF(SAISIE!$F625="","",SAISIE!$B625)</f>
        <v/>
      </c>
      <c r="B620" t="str">
        <f>IF(SAISIE!$F625="","",SAISIE!$C625)</f>
        <v/>
      </c>
      <c r="C620" t="str">
        <f>IF(SAISIE!$F625="","",SAISIE!$D625)</f>
        <v/>
      </c>
      <c r="D620" t="str">
        <f>IF(SAISIE!$E625="","",SAISIE!$E625)</f>
        <v/>
      </c>
      <c r="E620" t="str">
        <f>IF(SAISIE!$F625="","",SAISIE!$F625)</f>
        <v/>
      </c>
      <c r="F620" t="str">
        <f>IF(SAISIE!$G625="","",SAISIE!$G625)</f>
        <v/>
      </c>
      <c r="G620" t="str">
        <f>IF(SAISIE!$H625="","",SAISIE!$H625)</f>
        <v/>
      </c>
      <c r="H620" t="str">
        <f>IF(SAISIE!$I625="","",SAISIE!$I625)</f>
        <v/>
      </c>
      <c r="I620" t="str">
        <f>IF(SAISIE!$J625="","",SAISIE!$J625)</f>
        <v/>
      </c>
      <c r="J620" t="str">
        <f>IF(SAISIE!$K625="","",SAISIE!$K625)</f>
        <v/>
      </c>
      <c r="K620" t="str">
        <f>IF(SAISIE!$L625="","",SAISIE!$L625)</f>
        <v/>
      </c>
      <c r="L620" t="str">
        <f>IF(SAISIE!$M625="","",SAISIE!$M625)</f>
        <v/>
      </c>
      <c r="M620" t="str">
        <f>IF(SAISIE!$N625="","",SAISIE!$N625)</f>
        <v/>
      </c>
      <c r="N620" t="str">
        <f>IF(SAISIE!$O625="","",SAISIE!$O625)</f>
        <v/>
      </c>
      <c r="O620" t="str">
        <f>IF(SAISIE!$P625="","",SAISIE!$P625)</f>
        <v/>
      </c>
      <c r="P620" t="str">
        <f>IF(SAISIE!$Q625="","",SAISIE!$Q625)</f>
        <v/>
      </c>
      <c r="Q620" t="str">
        <f>IF($I620="","",IF($I620&gt;PARAMETRES!$G$29,5,IF($I620&gt;PARAMETRES!$F$29,4,IF($I620&gt;PARAMETRES!$E$29,3,IF($I620&gt;PARAMETRES!$D$29,2,1)))))</f>
        <v/>
      </c>
      <c r="R620" t="str">
        <f>IF($J620="","",IF($J620&gt;PARAMETRES!$G$30,5,IF($J620&gt;PARAMETRES!$F$30,4,IF($J620&gt;PARAMETRES!$E$30,3,IF($J620&gt;PARAMETRES!$D$30,2,1)))))</f>
        <v/>
      </c>
      <c r="S620" t="str">
        <f>IF($K620="","",IF($Z620=2,IF($K620&gt;PARAMETRES!$G$31,5,IF($K620&gt;PARAMETRES!$F$31,4,IF($K620&gt;PARAMETRES!$E$31,3,IF($K620&gt;PARAMETRES!$D$31,2,1)))),IF($K620&gt;PARAMETRES!$G$32,5,IF($K620&gt;PARAMETRES!$F$32,4,IF($K620&gt;PARAMETRES!$E$32,3,IF($K620&gt;PARAMETRES!$D$32,2,1))))))</f>
        <v/>
      </c>
      <c r="T620" t="str">
        <f>IF($L620="","",IF($L620&gt;PARAMETRES!$G$33,5,IF($L620&gt;PARAMETRES!$F$33,4,IF($L620&gt;PARAMETRES!$E$33,3,IF($L620&gt;PARAMETRES!$D$33,2,1)))))</f>
        <v/>
      </c>
      <c r="U620" t="str">
        <f>IF($M620="","",IF($M620&gt;PARAMETRES!$G$34,5,IF($M620&gt;PARAMETRES!$F$34,4,IF($M620&gt;PARAMETRES!$E$34,3,IF($M620&gt;PARAMETRES!$D$34,2,1)))))</f>
        <v/>
      </c>
      <c r="V620" t="str">
        <f>IF($N620="","",IF($N620&gt;PARAMETRES!$G$35,5,IF($N620&gt;PARAMETRES!$F$35,4,IF($N620&gt;PARAMETRES!$E$35,3,IF($N620&gt;PARAMETRES!$D$35,2,1)))))</f>
        <v/>
      </c>
      <c r="W620" t="str">
        <f>IF($O620="","",IF($O620&gt;PARAMETRES!$G$36,5,IF($O620&gt;PARAMETRES!$F$36,4,IF($O620&gt;PARAMETRES!$E$36,3,IF($O620&gt;PARAMETRES!$D$36,2,1)))))</f>
        <v/>
      </c>
      <c r="X620" t="str">
        <f>IF($P620="","",IF($P620&gt;PARAMETRES!$G$37,5,IF($P620&gt;PARAMETRES!$F$37,4,IF($P620&gt;PARAMETRES!$E$37,3,IF($P620&gt;PARAMETRES!$D$37,2,1)))))</f>
        <v/>
      </c>
      <c r="Y620" t="str">
        <f t="shared" si="216"/>
        <v/>
      </c>
      <c r="Z620" t="str">
        <f>IFERROR(VLOOKUP($B620,TABLE_CYCLE,2,0),"")</f>
        <v/>
      </c>
      <c r="AA620" t="str">
        <f t="shared" si="217"/>
        <v/>
      </c>
      <c r="AB620" t="str">
        <f>IF($D620="","",IF(COUNTIF($D$2:$D620,$D620)=1,$D620,""))</f>
        <v/>
      </c>
      <c r="AC620">
        <f t="shared" si="218"/>
        <v>0</v>
      </c>
      <c r="AD620" t="str">
        <f t="shared" si="219"/>
        <v>|0</v>
      </c>
      <c r="AE620" t="str">
        <f t="shared" si="220"/>
        <v/>
      </c>
      <c r="AF620" t="str">
        <f t="shared" si="221"/>
        <v/>
      </c>
      <c r="AG620" t="str">
        <f t="shared" si="222"/>
        <v/>
      </c>
      <c r="AH620" t="str">
        <f t="shared" si="223"/>
        <v/>
      </c>
      <c r="AI620" t="str">
        <f t="shared" si="224"/>
        <v/>
      </c>
      <c r="AJ620" t="str">
        <f t="shared" si="225"/>
        <v/>
      </c>
      <c r="AK620" t="str">
        <f t="shared" si="226"/>
        <v/>
      </c>
      <c r="AL620" t="str">
        <f t="shared" si="227"/>
        <v/>
      </c>
      <c r="AM620" t="str">
        <f t="shared" si="228"/>
        <v/>
      </c>
      <c r="AN620" t="str">
        <f t="shared" si="229"/>
        <v/>
      </c>
      <c r="AO620" t="str">
        <f t="shared" si="230"/>
        <v/>
      </c>
      <c r="AP620">
        <f t="shared" si="231"/>
        <v>1</v>
      </c>
      <c r="AQ620" t="str">
        <f>IF(SAISIE!$F625="","",SAISIE!$Y625)</f>
        <v/>
      </c>
      <c r="AR620" t="str">
        <f>IF(OR(SAISIE!$U$4="",SAISIE!$W$4=""),"",IF(AND($A620=SAISIE!$U$4,$B620=SAISIE!$W$4,$C620="S1"),COUNTIFS($A$2:$A620,SAISIE!$U$4,$B$2:$B620,SAISIE!$W$4,$C$2:$C620,"S1"),""))</f>
        <v/>
      </c>
      <c r="AS620" t="str">
        <f t="shared" si="232"/>
        <v/>
      </c>
      <c r="AT620" t="str">
        <f t="shared" si="233"/>
        <v/>
      </c>
      <c r="AU620" t="str">
        <f t="shared" si="234"/>
        <v/>
      </c>
      <c r="AV620">
        <f>N(AV619)+IF(AND($AB620&lt;&gt;"",OR('PROFIL ELEVE'!$K$4="(Tous)",$AF620='PROFIL ELEVE'!$K$4)),1,0)</f>
        <v>0</v>
      </c>
      <c r="AW620">
        <f>N(AW619)+IF(AND($AB620&lt;&gt;"",OR('SUIVI LONGITUDINAL'!$Q$4="(Tous)",$AF620='SUIVI LONGITUDINAL'!$Q$4)),1,0)</f>
        <v>0</v>
      </c>
      <c r="AX620">
        <f t="shared" si="235"/>
        <v>0</v>
      </c>
      <c r="AY620">
        <f t="shared" si="236"/>
        <v>0</v>
      </c>
      <c r="AZ620">
        <f t="shared" si="237"/>
        <v>0</v>
      </c>
      <c r="BA620" t="str">
        <f t="shared" si="238"/>
        <v/>
      </c>
      <c r="BB620" t="str">
        <f t="shared" si="239"/>
        <v/>
      </c>
    </row>
    <row r="621" spans="1:54" ht="14.25" customHeight="1" x14ac:dyDescent="0.3">
      <c r="A621" t="str">
        <f>IF(SAISIE!$F626="","",SAISIE!$B626)</f>
        <v/>
      </c>
      <c r="B621" t="str">
        <f>IF(SAISIE!$F626="","",SAISIE!$C626)</f>
        <v/>
      </c>
      <c r="C621" t="str">
        <f>IF(SAISIE!$F626="","",SAISIE!$D626)</f>
        <v/>
      </c>
      <c r="D621" t="str">
        <f>IF(SAISIE!$E626="","",SAISIE!$E626)</f>
        <v/>
      </c>
      <c r="E621" t="str">
        <f>IF(SAISIE!$F626="","",SAISIE!$F626)</f>
        <v/>
      </c>
      <c r="F621" t="str">
        <f>IF(SAISIE!$G626="","",SAISIE!$G626)</f>
        <v/>
      </c>
      <c r="G621" t="str">
        <f>IF(SAISIE!$H626="","",SAISIE!$H626)</f>
        <v/>
      </c>
      <c r="H621" t="str">
        <f>IF(SAISIE!$I626="","",SAISIE!$I626)</f>
        <v/>
      </c>
      <c r="I621" t="str">
        <f>IF(SAISIE!$J626="","",SAISIE!$J626)</f>
        <v/>
      </c>
      <c r="J621" t="str">
        <f>IF(SAISIE!$K626="","",SAISIE!$K626)</f>
        <v/>
      </c>
      <c r="K621" t="str">
        <f>IF(SAISIE!$L626="","",SAISIE!$L626)</f>
        <v/>
      </c>
      <c r="L621" t="str">
        <f>IF(SAISIE!$M626="","",SAISIE!$M626)</f>
        <v/>
      </c>
      <c r="M621" t="str">
        <f>IF(SAISIE!$N626="","",SAISIE!$N626)</f>
        <v/>
      </c>
      <c r="N621" t="str">
        <f>IF(SAISIE!$O626="","",SAISIE!$O626)</f>
        <v/>
      </c>
      <c r="O621" t="str">
        <f>IF(SAISIE!$P626="","",SAISIE!$P626)</f>
        <v/>
      </c>
      <c r="P621" t="str">
        <f>IF(SAISIE!$Q626="","",SAISIE!$Q626)</f>
        <v/>
      </c>
      <c r="Q621" t="str">
        <f>IF($I621="","",IF($I621&gt;PARAMETRES!$G$29,5,IF($I621&gt;PARAMETRES!$F$29,4,IF($I621&gt;PARAMETRES!$E$29,3,IF($I621&gt;PARAMETRES!$D$29,2,1)))))</f>
        <v/>
      </c>
      <c r="R621" t="str">
        <f>IF($J621="","",IF($J621&gt;PARAMETRES!$G$30,5,IF($J621&gt;PARAMETRES!$F$30,4,IF($J621&gt;PARAMETRES!$E$30,3,IF($J621&gt;PARAMETRES!$D$30,2,1)))))</f>
        <v/>
      </c>
      <c r="S621" t="str">
        <f>IF($K621="","",IF($Z621=2,IF($K621&gt;PARAMETRES!$G$31,5,IF($K621&gt;PARAMETRES!$F$31,4,IF($K621&gt;PARAMETRES!$E$31,3,IF($K621&gt;PARAMETRES!$D$31,2,1)))),IF($K621&gt;PARAMETRES!$G$32,5,IF($K621&gt;PARAMETRES!$F$32,4,IF($K621&gt;PARAMETRES!$E$32,3,IF($K621&gt;PARAMETRES!$D$32,2,1))))))</f>
        <v/>
      </c>
      <c r="T621" t="str">
        <f>IF($L621="","",IF($L621&gt;PARAMETRES!$G$33,5,IF($L621&gt;PARAMETRES!$F$33,4,IF($L621&gt;PARAMETRES!$E$33,3,IF($L621&gt;PARAMETRES!$D$33,2,1)))))</f>
        <v/>
      </c>
      <c r="U621" t="str">
        <f>IF($M621="","",IF($M621&gt;PARAMETRES!$G$34,5,IF($M621&gt;PARAMETRES!$F$34,4,IF($M621&gt;PARAMETRES!$E$34,3,IF($M621&gt;PARAMETRES!$D$34,2,1)))))</f>
        <v/>
      </c>
      <c r="V621" t="str">
        <f>IF($N621="","",IF($N621&gt;PARAMETRES!$G$35,5,IF($N621&gt;PARAMETRES!$F$35,4,IF($N621&gt;PARAMETRES!$E$35,3,IF($N621&gt;PARAMETRES!$D$35,2,1)))))</f>
        <v/>
      </c>
      <c r="W621" t="str">
        <f>IF($O621="","",IF($O621&gt;PARAMETRES!$G$36,5,IF($O621&gt;PARAMETRES!$F$36,4,IF($O621&gt;PARAMETRES!$E$36,3,IF($O621&gt;PARAMETRES!$D$36,2,1)))))</f>
        <v/>
      </c>
      <c r="X621" t="str">
        <f>IF($P621="","",IF($P621&gt;PARAMETRES!$G$37,5,IF($P621&gt;PARAMETRES!$F$37,4,IF($P621&gt;PARAMETRES!$E$37,3,IF($P621&gt;PARAMETRES!$D$37,2,1)))))</f>
        <v/>
      </c>
      <c r="Y621" t="str">
        <f t="shared" si="216"/>
        <v/>
      </c>
      <c r="Z621" t="str">
        <f>IFERROR(VLOOKUP($B621,TABLE_CYCLE,2,0),"")</f>
        <v/>
      </c>
      <c r="AA621" t="str">
        <f t="shared" si="217"/>
        <v/>
      </c>
      <c r="AB621" t="str">
        <f>IF($D621="","",IF(COUNTIF($D$2:$D621,$D621)=1,$D621,""))</f>
        <v/>
      </c>
      <c r="AC621">
        <f t="shared" si="218"/>
        <v>0</v>
      </c>
      <c r="AD621" t="str">
        <f t="shared" si="219"/>
        <v>|0</v>
      </c>
      <c r="AE621" t="str">
        <f t="shared" si="220"/>
        <v/>
      </c>
      <c r="AF621" t="str">
        <f t="shared" si="221"/>
        <v/>
      </c>
      <c r="AG621" t="str">
        <f t="shared" si="222"/>
        <v/>
      </c>
      <c r="AH621" t="str">
        <f t="shared" si="223"/>
        <v/>
      </c>
      <c r="AI621" t="str">
        <f t="shared" si="224"/>
        <v/>
      </c>
      <c r="AJ621" t="str">
        <f t="shared" si="225"/>
        <v/>
      </c>
      <c r="AK621" t="str">
        <f t="shared" si="226"/>
        <v/>
      </c>
      <c r="AL621" t="str">
        <f t="shared" si="227"/>
        <v/>
      </c>
      <c r="AM621" t="str">
        <f t="shared" si="228"/>
        <v/>
      </c>
      <c r="AN621" t="str">
        <f t="shared" si="229"/>
        <v/>
      </c>
      <c r="AO621" t="str">
        <f t="shared" si="230"/>
        <v/>
      </c>
      <c r="AP621">
        <f t="shared" si="231"/>
        <v>1</v>
      </c>
      <c r="AQ621" t="str">
        <f>IF(SAISIE!$F626="","",SAISIE!$Y626)</f>
        <v/>
      </c>
      <c r="AR621" t="str">
        <f>IF(OR(SAISIE!$U$4="",SAISIE!$W$4=""),"",IF(AND($A621=SAISIE!$U$4,$B621=SAISIE!$W$4,$C621="S1"),COUNTIFS($A$2:$A621,SAISIE!$U$4,$B$2:$B621,SAISIE!$W$4,$C$2:$C621,"S1"),""))</f>
        <v/>
      </c>
      <c r="AS621" t="str">
        <f t="shared" si="232"/>
        <v/>
      </c>
      <c r="AT621" t="str">
        <f t="shared" si="233"/>
        <v/>
      </c>
      <c r="AU621" t="str">
        <f t="shared" si="234"/>
        <v/>
      </c>
      <c r="AV621">
        <f>N(AV620)+IF(AND($AB621&lt;&gt;"",OR('PROFIL ELEVE'!$K$4="(Tous)",$AF621='PROFIL ELEVE'!$K$4)),1,0)</f>
        <v>0</v>
      </c>
      <c r="AW621">
        <f>N(AW620)+IF(AND($AB621&lt;&gt;"",OR('SUIVI LONGITUDINAL'!$Q$4="(Tous)",$AF621='SUIVI LONGITUDINAL'!$Q$4)),1,0)</f>
        <v>0</v>
      </c>
      <c r="AX621">
        <f t="shared" si="235"/>
        <v>0</v>
      </c>
      <c r="AY621">
        <f t="shared" si="236"/>
        <v>0</v>
      </c>
      <c r="AZ621">
        <f t="shared" si="237"/>
        <v>0</v>
      </c>
      <c r="BA621" t="str">
        <f t="shared" si="238"/>
        <v/>
      </c>
      <c r="BB621" t="str">
        <f t="shared" si="239"/>
        <v/>
      </c>
    </row>
    <row r="622" spans="1:54" ht="14.25" customHeight="1" x14ac:dyDescent="0.3">
      <c r="A622" t="str">
        <f>IF(SAISIE!$F627="","",SAISIE!$B627)</f>
        <v/>
      </c>
      <c r="B622" t="str">
        <f>IF(SAISIE!$F627="","",SAISIE!$C627)</f>
        <v/>
      </c>
      <c r="C622" t="str">
        <f>IF(SAISIE!$F627="","",SAISIE!$D627)</f>
        <v/>
      </c>
      <c r="D622" t="str">
        <f>IF(SAISIE!$E627="","",SAISIE!$E627)</f>
        <v/>
      </c>
      <c r="E622" t="str">
        <f>IF(SAISIE!$F627="","",SAISIE!$F627)</f>
        <v/>
      </c>
      <c r="F622" t="str">
        <f>IF(SAISIE!$G627="","",SAISIE!$G627)</f>
        <v/>
      </c>
      <c r="G622" t="str">
        <f>IF(SAISIE!$H627="","",SAISIE!$H627)</f>
        <v/>
      </c>
      <c r="H622" t="str">
        <f>IF(SAISIE!$I627="","",SAISIE!$I627)</f>
        <v/>
      </c>
      <c r="I622" t="str">
        <f>IF(SAISIE!$J627="","",SAISIE!$J627)</f>
        <v/>
      </c>
      <c r="J622" t="str">
        <f>IF(SAISIE!$K627="","",SAISIE!$K627)</f>
        <v/>
      </c>
      <c r="K622" t="str">
        <f>IF(SAISIE!$L627="","",SAISIE!$L627)</f>
        <v/>
      </c>
      <c r="L622" t="str">
        <f>IF(SAISIE!$M627="","",SAISIE!$M627)</f>
        <v/>
      </c>
      <c r="M622" t="str">
        <f>IF(SAISIE!$N627="","",SAISIE!$N627)</f>
        <v/>
      </c>
      <c r="N622" t="str">
        <f>IF(SAISIE!$O627="","",SAISIE!$O627)</f>
        <v/>
      </c>
      <c r="O622" t="str">
        <f>IF(SAISIE!$P627="","",SAISIE!$P627)</f>
        <v/>
      </c>
      <c r="P622" t="str">
        <f>IF(SAISIE!$Q627="","",SAISIE!$Q627)</f>
        <v/>
      </c>
      <c r="Q622" t="str">
        <f>IF($I622="","",IF($I622&gt;PARAMETRES!$G$29,5,IF($I622&gt;PARAMETRES!$F$29,4,IF($I622&gt;PARAMETRES!$E$29,3,IF($I622&gt;PARAMETRES!$D$29,2,1)))))</f>
        <v/>
      </c>
      <c r="R622" t="str">
        <f>IF($J622="","",IF($J622&gt;PARAMETRES!$G$30,5,IF($J622&gt;PARAMETRES!$F$30,4,IF($J622&gt;PARAMETRES!$E$30,3,IF($J622&gt;PARAMETRES!$D$30,2,1)))))</f>
        <v/>
      </c>
      <c r="S622" t="str">
        <f>IF($K622="","",IF($Z622=2,IF($K622&gt;PARAMETRES!$G$31,5,IF($K622&gt;PARAMETRES!$F$31,4,IF($K622&gt;PARAMETRES!$E$31,3,IF($K622&gt;PARAMETRES!$D$31,2,1)))),IF($K622&gt;PARAMETRES!$G$32,5,IF($K622&gt;PARAMETRES!$F$32,4,IF($K622&gt;PARAMETRES!$E$32,3,IF($K622&gt;PARAMETRES!$D$32,2,1))))))</f>
        <v/>
      </c>
      <c r="T622" t="str">
        <f>IF($L622="","",IF($L622&gt;PARAMETRES!$G$33,5,IF($L622&gt;PARAMETRES!$F$33,4,IF($L622&gt;PARAMETRES!$E$33,3,IF($L622&gt;PARAMETRES!$D$33,2,1)))))</f>
        <v/>
      </c>
      <c r="U622" t="str">
        <f>IF($M622="","",IF($M622&gt;PARAMETRES!$G$34,5,IF($M622&gt;PARAMETRES!$F$34,4,IF($M622&gt;PARAMETRES!$E$34,3,IF($M622&gt;PARAMETRES!$D$34,2,1)))))</f>
        <v/>
      </c>
      <c r="V622" t="str">
        <f>IF($N622="","",IF($N622&gt;PARAMETRES!$G$35,5,IF($N622&gt;PARAMETRES!$F$35,4,IF($N622&gt;PARAMETRES!$E$35,3,IF($N622&gt;PARAMETRES!$D$35,2,1)))))</f>
        <v/>
      </c>
      <c r="W622" t="str">
        <f>IF($O622="","",IF($O622&gt;PARAMETRES!$G$36,5,IF($O622&gt;PARAMETRES!$F$36,4,IF($O622&gt;PARAMETRES!$E$36,3,IF($O622&gt;PARAMETRES!$D$36,2,1)))))</f>
        <v/>
      </c>
      <c r="X622" t="str">
        <f>IF($P622="","",IF($P622&gt;PARAMETRES!$G$37,5,IF($P622&gt;PARAMETRES!$F$37,4,IF($P622&gt;PARAMETRES!$E$37,3,IF($P622&gt;PARAMETRES!$D$37,2,1)))))</f>
        <v/>
      </c>
      <c r="Y622" t="str">
        <f t="shared" si="216"/>
        <v/>
      </c>
      <c r="Z622" t="str">
        <f>IFERROR(VLOOKUP($B622,TABLE_CYCLE,2,0),"")</f>
        <v/>
      </c>
      <c r="AA622" t="str">
        <f t="shared" si="217"/>
        <v/>
      </c>
      <c r="AB622" t="str">
        <f>IF($D622="","",IF(COUNTIF($D$2:$D622,$D622)=1,$D622,""))</f>
        <v/>
      </c>
      <c r="AC622">
        <f t="shared" si="218"/>
        <v>0</v>
      </c>
      <c r="AD622" t="str">
        <f t="shared" si="219"/>
        <v>|0</v>
      </c>
      <c r="AE622" t="str">
        <f t="shared" si="220"/>
        <v/>
      </c>
      <c r="AF622" t="str">
        <f t="shared" si="221"/>
        <v/>
      </c>
      <c r="AG622" t="str">
        <f t="shared" si="222"/>
        <v/>
      </c>
      <c r="AH622" t="str">
        <f t="shared" si="223"/>
        <v/>
      </c>
      <c r="AI622" t="str">
        <f t="shared" si="224"/>
        <v/>
      </c>
      <c r="AJ622" t="str">
        <f t="shared" si="225"/>
        <v/>
      </c>
      <c r="AK622" t="str">
        <f t="shared" si="226"/>
        <v/>
      </c>
      <c r="AL622" t="str">
        <f t="shared" si="227"/>
        <v/>
      </c>
      <c r="AM622" t="str">
        <f t="shared" si="228"/>
        <v/>
      </c>
      <c r="AN622" t="str">
        <f t="shared" si="229"/>
        <v/>
      </c>
      <c r="AO622" t="str">
        <f t="shared" si="230"/>
        <v/>
      </c>
      <c r="AP622">
        <f t="shared" si="231"/>
        <v>1</v>
      </c>
      <c r="AQ622" t="str">
        <f>IF(SAISIE!$F627="","",SAISIE!$Y627)</f>
        <v/>
      </c>
      <c r="AR622" t="str">
        <f>IF(OR(SAISIE!$U$4="",SAISIE!$W$4=""),"",IF(AND($A622=SAISIE!$U$4,$B622=SAISIE!$W$4,$C622="S1"),COUNTIFS($A$2:$A622,SAISIE!$U$4,$B$2:$B622,SAISIE!$W$4,$C$2:$C622,"S1"),""))</f>
        <v/>
      </c>
      <c r="AS622" t="str">
        <f t="shared" si="232"/>
        <v/>
      </c>
      <c r="AT622" t="str">
        <f t="shared" si="233"/>
        <v/>
      </c>
      <c r="AU622" t="str">
        <f t="shared" si="234"/>
        <v/>
      </c>
      <c r="AV622">
        <f>N(AV621)+IF(AND($AB622&lt;&gt;"",OR('PROFIL ELEVE'!$K$4="(Tous)",$AF622='PROFIL ELEVE'!$K$4)),1,0)</f>
        <v>0</v>
      </c>
      <c r="AW622">
        <f>N(AW621)+IF(AND($AB622&lt;&gt;"",OR('SUIVI LONGITUDINAL'!$Q$4="(Tous)",$AF622='SUIVI LONGITUDINAL'!$Q$4)),1,0)</f>
        <v>0</v>
      </c>
      <c r="AX622">
        <f t="shared" si="235"/>
        <v>0</v>
      </c>
      <c r="AY622">
        <f t="shared" si="236"/>
        <v>0</v>
      </c>
      <c r="AZ622">
        <f t="shared" si="237"/>
        <v>0</v>
      </c>
      <c r="BA622" t="str">
        <f t="shared" si="238"/>
        <v/>
      </c>
      <c r="BB622" t="str">
        <f t="shared" si="239"/>
        <v/>
      </c>
    </row>
    <row r="623" spans="1:54" ht="14.25" customHeight="1" x14ac:dyDescent="0.3">
      <c r="A623" t="str">
        <f>IF(SAISIE!$F628="","",SAISIE!$B628)</f>
        <v/>
      </c>
      <c r="B623" t="str">
        <f>IF(SAISIE!$F628="","",SAISIE!$C628)</f>
        <v/>
      </c>
      <c r="C623" t="str">
        <f>IF(SAISIE!$F628="","",SAISIE!$D628)</f>
        <v/>
      </c>
      <c r="D623" t="str">
        <f>IF(SAISIE!$E628="","",SAISIE!$E628)</f>
        <v/>
      </c>
      <c r="E623" t="str">
        <f>IF(SAISIE!$F628="","",SAISIE!$F628)</f>
        <v/>
      </c>
      <c r="F623" t="str">
        <f>IF(SAISIE!$G628="","",SAISIE!$G628)</f>
        <v/>
      </c>
      <c r="G623" t="str">
        <f>IF(SAISIE!$H628="","",SAISIE!$H628)</f>
        <v/>
      </c>
      <c r="H623" t="str">
        <f>IF(SAISIE!$I628="","",SAISIE!$I628)</f>
        <v/>
      </c>
      <c r="I623" t="str">
        <f>IF(SAISIE!$J628="","",SAISIE!$J628)</f>
        <v/>
      </c>
      <c r="J623" t="str">
        <f>IF(SAISIE!$K628="","",SAISIE!$K628)</f>
        <v/>
      </c>
      <c r="K623" t="str">
        <f>IF(SAISIE!$L628="","",SAISIE!$L628)</f>
        <v/>
      </c>
      <c r="L623" t="str">
        <f>IF(SAISIE!$M628="","",SAISIE!$M628)</f>
        <v/>
      </c>
      <c r="M623" t="str">
        <f>IF(SAISIE!$N628="","",SAISIE!$N628)</f>
        <v/>
      </c>
      <c r="N623" t="str">
        <f>IF(SAISIE!$O628="","",SAISIE!$O628)</f>
        <v/>
      </c>
      <c r="O623" t="str">
        <f>IF(SAISIE!$P628="","",SAISIE!$P628)</f>
        <v/>
      </c>
      <c r="P623" t="str">
        <f>IF(SAISIE!$Q628="","",SAISIE!$Q628)</f>
        <v/>
      </c>
      <c r="Q623" t="str">
        <f>IF($I623="","",IF($I623&gt;PARAMETRES!$G$29,5,IF($I623&gt;PARAMETRES!$F$29,4,IF($I623&gt;PARAMETRES!$E$29,3,IF($I623&gt;PARAMETRES!$D$29,2,1)))))</f>
        <v/>
      </c>
      <c r="R623" t="str">
        <f>IF($J623="","",IF($J623&gt;PARAMETRES!$G$30,5,IF($J623&gt;PARAMETRES!$F$30,4,IF($J623&gt;PARAMETRES!$E$30,3,IF($J623&gt;PARAMETRES!$D$30,2,1)))))</f>
        <v/>
      </c>
      <c r="S623" t="str">
        <f>IF($K623="","",IF($Z623=2,IF($K623&gt;PARAMETRES!$G$31,5,IF($K623&gt;PARAMETRES!$F$31,4,IF($K623&gt;PARAMETRES!$E$31,3,IF($K623&gt;PARAMETRES!$D$31,2,1)))),IF($K623&gt;PARAMETRES!$G$32,5,IF($K623&gt;PARAMETRES!$F$32,4,IF($K623&gt;PARAMETRES!$E$32,3,IF($K623&gt;PARAMETRES!$D$32,2,1))))))</f>
        <v/>
      </c>
      <c r="T623" t="str">
        <f>IF($L623="","",IF($L623&gt;PARAMETRES!$G$33,5,IF($L623&gt;PARAMETRES!$F$33,4,IF($L623&gt;PARAMETRES!$E$33,3,IF($L623&gt;PARAMETRES!$D$33,2,1)))))</f>
        <v/>
      </c>
      <c r="U623" t="str">
        <f>IF($M623="","",IF($M623&gt;PARAMETRES!$G$34,5,IF($M623&gt;PARAMETRES!$F$34,4,IF($M623&gt;PARAMETRES!$E$34,3,IF($M623&gt;PARAMETRES!$D$34,2,1)))))</f>
        <v/>
      </c>
      <c r="V623" t="str">
        <f>IF($N623="","",IF($N623&gt;PARAMETRES!$G$35,5,IF($N623&gt;PARAMETRES!$F$35,4,IF($N623&gt;PARAMETRES!$E$35,3,IF($N623&gt;PARAMETRES!$D$35,2,1)))))</f>
        <v/>
      </c>
      <c r="W623" t="str">
        <f>IF($O623="","",IF($O623&gt;PARAMETRES!$G$36,5,IF($O623&gt;PARAMETRES!$F$36,4,IF($O623&gt;PARAMETRES!$E$36,3,IF($O623&gt;PARAMETRES!$D$36,2,1)))))</f>
        <v/>
      </c>
      <c r="X623" t="str">
        <f>IF($P623="","",IF($P623&gt;PARAMETRES!$G$37,5,IF($P623&gt;PARAMETRES!$F$37,4,IF($P623&gt;PARAMETRES!$E$37,3,IF($P623&gt;PARAMETRES!$D$37,2,1)))))</f>
        <v/>
      </c>
      <c r="Y623" t="str">
        <f t="shared" si="216"/>
        <v/>
      </c>
      <c r="Z623" t="str">
        <f>IFERROR(VLOOKUP($B623,TABLE_CYCLE,2,0),"")</f>
        <v/>
      </c>
      <c r="AA623" t="str">
        <f t="shared" si="217"/>
        <v/>
      </c>
      <c r="AB623" t="str">
        <f>IF($D623="","",IF(COUNTIF($D$2:$D623,$D623)=1,$D623,""))</f>
        <v/>
      </c>
      <c r="AC623">
        <f t="shared" si="218"/>
        <v>0</v>
      </c>
      <c r="AD623" t="str">
        <f t="shared" si="219"/>
        <v>|0</v>
      </c>
      <c r="AE623" t="str">
        <f t="shared" si="220"/>
        <v/>
      </c>
      <c r="AF623" t="str">
        <f t="shared" si="221"/>
        <v/>
      </c>
      <c r="AG623" t="str">
        <f t="shared" si="222"/>
        <v/>
      </c>
      <c r="AH623" t="str">
        <f t="shared" si="223"/>
        <v/>
      </c>
      <c r="AI623" t="str">
        <f t="shared" si="224"/>
        <v/>
      </c>
      <c r="AJ623" t="str">
        <f t="shared" si="225"/>
        <v/>
      </c>
      <c r="AK623" t="str">
        <f t="shared" si="226"/>
        <v/>
      </c>
      <c r="AL623" t="str">
        <f t="shared" si="227"/>
        <v/>
      </c>
      <c r="AM623" t="str">
        <f t="shared" si="228"/>
        <v/>
      </c>
      <c r="AN623" t="str">
        <f t="shared" si="229"/>
        <v/>
      </c>
      <c r="AO623" t="str">
        <f t="shared" si="230"/>
        <v/>
      </c>
      <c r="AP623">
        <f t="shared" si="231"/>
        <v>1</v>
      </c>
      <c r="AQ623" t="str">
        <f>IF(SAISIE!$F628="","",SAISIE!$Y628)</f>
        <v/>
      </c>
      <c r="AR623" t="str">
        <f>IF(OR(SAISIE!$U$4="",SAISIE!$W$4=""),"",IF(AND($A623=SAISIE!$U$4,$B623=SAISIE!$W$4,$C623="S1"),COUNTIFS($A$2:$A623,SAISIE!$U$4,$B$2:$B623,SAISIE!$W$4,$C$2:$C623,"S1"),""))</f>
        <v/>
      </c>
      <c r="AS623" t="str">
        <f t="shared" si="232"/>
        <v/>
      </c>
      <c r="AT623" t="str">
        <f t="shared" si="233"/>
        <v/>
      </c>
      <c r="AU623" t="str">
        <f t="shared" si="234"/>
        <v/>
      </c>
      <c r="AV623">
        <f>N(AV622)+IF(AND($AB623&lt;&gt;"",OR('PROFIL ELEVE'!$K$4="(Tous)",$AF623='PROFIL ELEVE'!$K$4)),1,0)</f>
        <v>0</v>
      </c>
      <c r="AW623">
        <f>N(AW622)+IF(AND($AB623&lt;&gt;"",OR('SUIVI LONGITUDINAL'!$Q$4="(Tous)",$AF623='SUIVI LONGITUDINAL'!$Q$4)),1,0)</f>
        <v>0</v>
      </c>
      <c r="AX623">
        <f t="shared" si="235"/>
        <v>0</v>
      </c>
      <c r="AY623">
        <f t="shared" si="236"/>
        <v>0</v>
      </c>
      <c r="AZ623">
        <f t="shared" si="237"/>
        <v>0</v>
      </c>
      <c r="BA623" t="str">
        <f t="shared" si="238"/>
        <v/>
      </c>
      <c r="BB623" t="str">
        <f t="shared" si="239"/>
        <v/>
      </c>
    </row>
    <row r="624" spans="1:54" ht="14.25" customHeight="1" x14ac:dyDescent="0.3">
      <c r="A624" t="str">
        <f>IF(SAISIE!$F629="","",SAISIE!$B629)</f>
        <v/>
      </c>
      <c r="B624" t="str">
        <f>IF(SAISIE!$F629="","",SAISIE!$C629)</f>
        <v/>
      </c>
      <c r="C624" t="str">
        <f>IF(SAISIE!$F629="","",SAISIE!$D629)</f>
        <v/>
      </c>
      <c r="D624" t="str">
        <f>IF(SAISIE!$E629="","",SAISIE!$E629)</f>
        <v/>
      </c>
      <c r="E624" t="str">
        <f>IF(SAISIE!$F629="","",SAISIE!$F629)</f>
        <v/>
      </c>
      <c r="F624" t="str">
        <f>IF(SAISIE!$G629="","",SAISIE!$G629)</f>
        <v/>
      </c>
      <c r="G624" t="str">
        <f>IF(SAISIE!$H629="","",SAISIE!$H629)</f>
        <v/>
      </c>
      <c r="H624" t="str">
        <f>IF(SAISIE!$I629="","",SAISIE!$I629)</f>
        <v/>
      </c>
      <c r="I624" t="str">
        <f>IF(SAISIE!$J629="","",SAISIE!$J629)</f>
        <v/>
      </c>
      <c r="J624" t="str">
        <f>IF(SAISIE!$K629="","",SAISIE!$K629)</f>
        <v/>
      </c>
      <c r="K624" t="str">
        <f>IF(SAISIE!$L629="","",SAISIE!$L629)</f>
        <v/>
      </c>
      <c r="L624" t="str">
        <f>IF(SAISIE!$M629="","",SAISIE!$M629)</f>
        <v/>
      </c>
      <c r="M624" t="str">
        <f>IF(SAISIE!$N629="","",SAISIE!$N629)</f>
        <v/>
      </c>
      <c r="N624" t="str">
        <f>IF(SAISIE!$O629="","",SAISIE!$O629)</f>
        <v/>
      </c>
      <c r="O624" t="str">
        <f>IF(SAISIE!$P629="","",SAISIE!$P629)</f>
        <v/>
      </c>
      <c r="P624" t="str">
        <f>IF(SAISIE!$Q629="","",SAISIE!$Q629)</f>
        <v/>
      </c>
      <c r="Q624" t="str">
        <f>IF($I624="","",IF($I624&gt;PARAMETRES!$G$29,5,IF($I624&gt;PARAMETRES!$F$29,4,IF($I624&gt;PARAMETRES!$E$29,3,IF($I624&gt;PARAMETRES!$D$29,2,1)))))</f>
        <v/>
      </c>
      <c r="R624" t="str">
        <f>IF($J624="","",IF($J624&gt;PARAMETRES!$G$30,5,IF($J624&gt;PARAMETRES!$F$30,4,IF($J624&gt;PARAMETRES!$E$30,3,IF($J624&gt;PARAMETRES!$D$30,2,1)))))</f>
        <v/>
      </c>
      <c r="S624" t="str">
        <f>IF($K624="","",IF($Z624=2,IF($K624&gt;PARAMETRES!$G$31,5,IF($K624&gt;PARAMETRES!$F$31,4,IF($K624&gt;PARAMETRES!$E$31,3,IF($K624&gt;PARAMETRES!$D$31,2,1)))),IF($K624&gt;PARAMETRES!$G$32,5,IF($K624&gt;PARAMETRES!$F$32,4,IF($K624&gt;PARAMETRES!$E$32,3,IF($K624&gt;PARAMETRES!$D$32,2,1))))))</f>
        <v/>
      </c>
      <c r="T624" t="str">
        <f>IF($L624="","",IF($L624&gt;PARAMETRES!$G$33,5,IF($L624&gt;PARAMETRES!$F$33,4,IF($L624&gt;PARAMETRES!$E$33,3,IF($L624&gt;PARAMETRES!$D$33,2,1)))))</f>
        <v/>
      </c>
      <c r="U624" t="str">
        <f>IF($M624="","",IF($M624&gt;PARAMETRES!$G$34,5,IF($M624&gt;PARAMETRES!$F$34,4,IF($M624&gt;PARAMETRES!$E$34,3,IF($M624&gt;PARAMETRES!$D$34,2,1)))))</f>
        <v/>
      </c>
      <c r="V624" t="str">
        <f>IF($N624="","",IF($N624&gt;PARAMETRES!$G$35,5,IF($N624&gt;PARAMETRES!$F$35,4,IF($N624&gt;PARAMETRES!$E$35,3,IF($N624&gt;PARAMETRES!$D$35,2,1)))))</f>
        <v/>
      </c>
      <c r="W624" t="str">
        <f>IF($O624="","",IF($O624&gt;PARAMETRES!$G$36,5,IF($O624&gt;PARAMETRES!$F$36,4,IF($O624&gt;PARAMETRES!$E$36,3,IF($O624&gt;PARAMETRES!$D$36,2,1)))))</f>
        <v/>
      </c>
      <c r="X624" t="str">
        <f>IF($P624="","",IF($P624&gt;PARAMETRES!$G$37,5,IF($P624&gt;PARAMETRES!$F$37,4,IF($P624&gt;PARAMETRES!$E$37,3,IF($P624&gt;PARAMETRES!$D$37,2,1)))))</f>
        <v/>
      </c>
      <c r="Y624" t="str">
        <f t="shared" si="216"/>
        <v/>
      </c>
      <c r="Z624" t="str">
        <f>IFERROR(VLOOKUP($B624,TABLE_CYCLE,2,0),"")</f>
        <v/>
      </c>
      <c r="AA624" t="str">
        <f t="shared" si="217"/>
        <v/>
      </c>
      <c r="AB624" t="str">
        <f>IF($D624="","",IF(COUNTIF($D$2:$D624,$D624)=1,$D624,""))</f>
        <v/>
      </c>
      <c r="AC624">
        <f t="shared" si="218"/>
        <v>0</v>
      </c>
      <c r="AD624" t="str">
        <f t="shared" si="219"/>
        <v>|0</v>
      </c>
      <c r="AE624" t="str">
        <f t="shared" si="220"/>
        <v/>
      </c>
      <c r="AF624" t="str">
        <f t="shared" si="221"/>
        <v/>
      </c>
      <c r="AG624" t="str">
        <f t="shared" si="222"/>
        <v/>
      </c>
      <c r="AH624" t="str">
        <f t="shared" si="223"/>
        <v/>
      </c>
      <c r="AI624" t="str">
        <f t="shared" si="224"/>
        <v/>
      </c>
      <c r="AJ624" t="str">
        <f t="shared" si="225"/>
        <v/>
      </c>
      <c r="AK624" t="str">
        <f t="shared" si="226"/>
        <v/>
      </c>
      <c r="AL624" t="str">
        <f t="shared" si="227"/>
        <v/>
      </c>
      <c r="AM624" t="str">
        <f t="shared" si="228"/>
        <v/>
      </c>
      <c r="AN624" t="str">
        <f t="shared" si="229"/>
        <v/>
      </c>
      <c r="AO624" t="str">
        <f t="shared" si="230"/>
        <v/>
      </c>
      <c r="AP624">
        <f t="shared" si="231"/>
        <v>1</v>
      </c>
      <c r="AQ624" t="str">
        <f>IF(SAISIE!$F629="","",SAISIE!$Y629)</f>
        <v/>
      </c>
      <c r="AR624" t="str">
        <f>IF(OR(SAISIE!$U$4="",SAISIE!$W$4=""),"",IF(AND($A624=SAISIE!$U$4,$B624=SAISIE!$W$4,$C624="S1"),COUNTIFS($A$2:$A624,SAISIE!$U$4,$B$2:$B624,SAISIE!$W$4,$C$2:$C624,"S1"),""))</f>
        <v/>
      </c>
      <c r="AS624" t="str">
        <f t="shared" si="232"/>
        <v/>
      </c>
      <c r="AT624" t="str">
        <f t="shared" si="233"/>
        <v/>
      </c>
      <c r="AU624" t="str">
        <f t="shared" si="234"/>
        <v/>
      </c>
      <c r="AV624">
        <f>N(AV623)+IF(AND($AB624&lt;&gt;"",OR('PROFIL ELEVE'!$K$4="(Tous)",$AF624='PROFIL ELEVE'!$K$4)),1,0)</f>
        <v>0</v>
      </c>
      <c r="AW624">
        <f>N(AW623)+IF(AND($AB624&lt;&gt;"",OR('SUIVI LONGITUDINAL'!$Q$4="(Tous)",$AF624='SUIVI LONGITUDINAL'!$Q$4)),1,0)</f>
        <v>0</v>
      </c>
      <c r="AX624">
        <f t="shared" si="235"/>
        <v>0</v>
      </c>
      <c r="AY624">
        <f t="shared" si="236"/>
        <v>0</v>
      </c>
      <c r="AZ624">
        <f t="shared" si="237"/>
        <v>0</v>
      </c>
      <c r="BA624" t="str">
        <f t="shared" si="238"/>
        <v/>
      </c>
      <c r="BB624" t="str">
        <f t="shared" si="239"/>
        <v/>
      </c>
    </row>
    <row r="625" spans="1:54" ht="14.25" customHeight="1" x14ac:dyDescent="0.3">
      <c r="A625" t="str">
        <f>IF(SAISIE!$F630="","",SAISIE!$B630)</f>
        <v/>
      </c>
      <c r="B625" t="str">
        <f>IF(SAISIE!$F630="","",SAISIE!$C630)</f>
        <v/>
      </c>
      <c r="C625" t="str">
        <f>IF(SAISIE!$F630="","",SAISIE!$D630)</f>
        <v/>
      </c>
      <c r="D625" t="str">
        <f>IF(SAISIE!$E630="","",SAISIE!$E630)</f>
        <v/>
      </c>
      <c r="E625" t="str">
        <f>IF(SAISIE!$F630="","",SAISIE!$F630)</f>
        <v/>
      </c>
      <c r="F625" t="str">
        <f>IF(SAISIE!$G630="","",SAISIE!$G630)</f>
        <v/>
      </c>
      <c r="G625" t="str">
        <f>IF(SAISIE!$H630="","",SAISIE!$H630)</f>
        <v/>
      </c>
      <c r="H625" t="str">
        <f>IF(SAISIE!$I630="","",SAISIE!$I630)</f>
        <v/>
      </c>
      <c r="I625" t="str">
        <f>IF(SAISIE!$J630="","",SAISIE!$J630)</f>
        <v/>
      </c>
      <c r="J625" t="str">
        <f>IF(SAISIE!$K630="","",SAISIE!$K630)</f>
        <v/>
      </c>
      <c r="K625" t="str">
        <f>IF(SAISIE!$L630="","",SAISIE!$L630)</f>
        <v/>
      </c>
      <c r="L625" t="str">
        <f>IF(SAISIE!$M630="","",SAISIE!$M630)</f>
        <v/>
      </c>
      <c r="M625" t="str">
        <f>IF(SAISIE!$N630="","",SAISIE!$N630)</f>
        <v/>
      </c>
      <c r="N625" t="str">
        <f>IF(SAISIE!$O630="","",SAISIE!$O630)</f>
        <v/>
      </c>
      <c r="O625" t="str">
        <f>IF(SAISIE!$P630="","",SAISIE!$P630)</f>
        <v/>
      </c>
      <c r="P625" t="str">
        <f>IF(SAISIE!$Q630="","",SAISIE!$Q630)</f>
        <v/>
      </c>
      <c r="Q625" t="str">
        <f>IF($I625="","",IF($I625&gt;PARAMETRES!$G$29,5,IF($I625&gt;PARAMETRES!$F$29,4,IF($I625&gt;PARAMETRES!$E$29,3,IF($I625&gt;PARAMETRES!$D$29,2,1)))))</f>
        <v/>
      </c>
      <c r="R625" t="str">
        <f>IF($J625="","",IF($J625&gt;PARAMETRES!$G$30,5,IF($J625&gt;PARAMETRES!$F$30,4,IF($J625&gt;PARAMETRES!$E$30,3,IF($J625&gt;PARAMETRES!$D$30,2,1)))))</f>
        <v/>
      </c>
      <c r="S625" t="str">
        <f>IF($K625="","",IF($Z625=2,IF($K625&gt;PARAMETRES!$G$31,5,IF($K625&gt;PARAMETRES!$F$31,4,IF($K625&gt;PARAMETRES!$E$31,3,IF($K625&gt;PARAMETRES!$D$31,2,1)))),IF($K625&gt;PARAMETRES!$G$32,5,IF($K625&gt;PARAMETRES!$F$32,4,IF($K625&gt;PARAMETRES!$E$32,3,IF($K625&gt;PARAMETRES!$D$32,2,1))))))</f>
        <v/>
      </c>
      <c r="T625" t="str">
        <f>IF($L625="","",IF($L625&gt;PARAMETRES!$G$33,5,IF($L625&gt;PARAMETRES!$F$33,4,IF($L625&gt;PARAMETRES!$E$33,3,IF($L625&gt;PARAMETRES!$D$33,2,1)))))</f>
        <v/>
      </c>
      <c r="U625" t="str">
        <f>IF($M625="","",IF($M625&gt;PARAMETRES!$G$34,5,IF($M625&gt;PARAMETRES!$F$34,4,IF($M625&gt;PARAMETRES!$E$34,3,IF($M625&gt;PARAMETRES!$D$34,2,1)))))</f>
        <v/>
      </c>
      <c r="V625" t="str">
        <f>IF($N625="","",IF($N625&gt;PARAMETRES!$G$35,5,IF($N625&gt;PARAMETRES!$F$35,4,IF($N625&gt;PARAMETRES!$E$35,3,IF($N625&gt;PARAMETRES!$D$35,2,1)))))</f>
        <v/>
      </c>
      <c r="W625" t="str">
        <f>IF($O625="","",IF($O625&gt;PARAMETRES!$G$36,5,IF($O625&gt;PARAMETRES!$F$36,4,IF($O625&gt;PARAMETRES!$E$36,3,IF($O625&gt;PARAMETRES!$D$36,2,1)))))</f>
        <v/>
      </c>
      <c r="X625" t="str">
        <f>IF($P625="","",IF($P625&gt;PARAMETRES!$G$37,5,IF($P625&gt;PARAMETRES!$F$37,4,IF($P625&gt;PARAMETRES!$E$37,3,IF($P625&gt;PARAMETRES!$D$37,2,1)))))</f>
        <v/>
      </c>
      <c r="Y625" t="str">
        <f t="shared" si="216"/>
        <v/>
      </c>
      <c r="Z625" t="str">
        <f>IFERROR(VLOOKUP($B625,TABLE_CYCLE,2,0),"")</f>
        <v/>
      </c>
      <c r="AA625" t="str">
        <f t="shared" si="217"/>
        <v/>
      </c>
      <c r="AB625" t="str">
        <f>IF($D625="","",IF(COUNTIF($D$2:$D625,$D625)=1,$D625,""))</f>
        <v/>
      </c>
      <c r="AC625">
        <f t="shared" si="218"/>
        <v>0</v>
      </c>
      <c r="AD625" t="str">
        <f t="shared" si="219"/>
        <v>|0</v>
      </c>
      <c r="AE625" t="str">
        <f t="shared" si="220"/>
        <v/>
      </c>
      <c r="AF625" t="str">
        <f t="shared" si="221"/>
        <v/>
      </c>
      <c r="AG625" t="str">
        <f t="shared" si="222"/>
        <v/>
      </c>
      <c r="AH625" t="str">
        <f t="shared" si="223"/>
        <v/>
      </c>
      <c r="AI625" t="str">
        <f t="shared" si="224"/>
        <v/>
      </c>
      <c r="AJ625" t="str">
        <f t="shared" si="225"/>
        <v/>
      </c>
      <c r="AK625" t="str">
        <f t="shared" si="226"/>
        <v/>
      </c>
      <c r="AL625" t="str">
        <f t="shared" si="227"/>
        <v/>
      </c>
      <c r="AM625" t="str">
        <f t="shared" si="228"/>
        <v/>
      </c>
      <c r="AN625" t="str">
        <f t="shared" si="229"/>
        <v/>
      </c>
      <c r="AO625" t="str">
        <f t="shared" si="230"/>
        <v/>
      </c>
      <c r="AP625">
        <f t="shared" si="231"/>
        <v>1</v>
      </c>
      <c r="AQ625" t="str">
        <f>IF(SAISIE!$F630="","",SAISIE!$Y630)</f>
        <v/>
      </c>
      <c r="AR625" t="str">
        <f>IF(OR(SAISIE!$U$4="",SAISIE!$W$4=""),"",IF(AND($A625=SAISIE!$U$4,$B625=SAISIE!$W$4,$C625="S1"),COUNTIFS($A$2:$A625,SAISIE!$U$4,$B$2:$B625,SAISIE!$W$4,$C$2:$C625,"S1"),""))</f>
        <v/>
      </c>
      <c r="AS625" t="str">
        <f t="shared" si="232"/>
        <v/>
      </c>
      <c r="AT625" t="str">
        <f t="shared" si="233"/>
        <v/>
      </c>
      <c r="AU625" t="str">
        <f t="shared" si="234"/>
        <v/>
      </c>
      <c r="AV625">
        <f>N(AV624)+IF(AND($AB625&lt;&gt;"",OR('PROFIL ELEVE'!$K$4="(Tous)",$AF625='PROFIL ELEVE'!$K$4)),1,0)</f>
        <v>0</v>
      </c>
      <c r="AW625">
        <f>N(AW624)+IF(AND($AB625&lt;&gt;"",OR('SUIVI LONGITUDINAL'!$Q$4="(Tous)",$AF625='SUIVI LONGITUDINAL'!$Q$4)),1,0)</f>
        <v>0</v>
      </c>
      <c r="AX625">
        <f t="shared" si="235"/>
        <v>0</v>
      </c>
      <c r="AY625">
        <f t="shared" si="236"/>
        <v>0</v>
      </c>
      <c r="AZ625">
        <f t="shared" si="237"/>
        <v>0</v>
      </c>
      <c r="BA625" t="str">
        <f t="shared" si="238"/>
        <v/>
      </c>
      <c r="BB625" t="str">
        <f t="shared" si="239"/>
        <v/>
      </c>
    </row>
    <row r="626" spans="1:54" ht="14.25" customHeight="1" x14ac:dyDescent="0.3">
      <c r="A626" t="str">
        <f>IF(SAISIE!$F631="","",SAISIE!$B631)</f>
        <v/>
      </c>
      <c r="B626" t="str">
        <f>IF(SAISIE!$F631="","",SAISIE!$C631)</f>
        <v/>
      </c>
      <c r="C626" t="str">
        <f>IF(SAISIE!$F631="","",SAISIE!$D631)</f>
        <v/>
      </c>
      <c r="D626" t="str">
        <f>IF(SAISIE!$E631="","",SAISIE!$E631)</f>
        <v/>
      </c>
      <c r="E626" t="str">
        <f>IF(SAISIE!$F631="","",SAISIE!$F631)</f>
        <v/>
      </c>
      <c r="F626" t="str">
        <f>IF(SAISIE!$G631="","",SAISIE!$G631)</f>
        <v/>
      </c>
      <c r="G626" t="str">
        <f>IF(SAISIE!$H631="","",SAISIE!$H631)</f>
        <v/>
      </c>
      <c r="H626" t="str">
        <f>IF(SAISIE!$I631="","",SAISIE!$I631)</f>
        <v/>
      </c>
      <c r="I626" t="str">
        <f>IF(SAISIE!$J631="","",SAISIE!$J631)</f>
        <v/>
      </c>
      <c r="J626" t="str">
        <f>IF(SAISIE!$K631="","",SAISIE!$K631)</f>
        <v/>
      </c>
      <c r="K626" t="str">
        <f>IF(SAISIE!$L631="","",SAISIE!$L631)</f>
        <v/>
      </c>
      <c r="L626" t="str">
        <f>IF(SAISIE!$M631="","",SAISIE!$M631)</f>
        <v/>
      </c>
      <c r="M626" t="str">
        <f>IF(SAISIE!$N631="","",SAISIE!$N631)</f>
        <v/>
      </c>
      <c r="N626" t="str">
        <f>IF(SAISIE!$O631="","",SAISIE!$O631)</f>
        <v/>
      </c>
      <c r="O626" t="str">
        <f>IF(SAISIE!$P631="","",SAISIE!$P631)</f>
        <v/>
      </c>
      <c r="P626" t="str">
        <f>IF(SAISIE!$Q631="","",SAISIE!$Q631)</f>
        <v/>
      </c>
      <c r="Q626" t="str">
        <f>IF($I626="","",IF($I626&gt;PARAMETRES!$G$29,5,IF($I626&gt;PARAMETRES!$F$29,4,IF($I626&gt;PARAMETRES!$E$29,3,IF($I626&gt;PARAMETRES!$D$29,2,1)))))</f>
        <v/>
      </c>
      <c r="R626" t="str">
        <f>IF($J626="","",IF($J626&gt;PARAMETRES!$G$30,5,IF($J626&gt;PARAMETRES!$F$30,4,IF($J626&gt;PARAMETRES!$E$30,3,IF($J626&gt;PARAMETRES!$D$30,2,1)))))</f>
        <v/>
      </c>
      <c r="S626" t="str">
        <f>IF($K626="","",IF($Z626=2,IF($K626&gt;PARAMETRES!$G$31,5,IF($K626&gt;PARAMETRES!$F$31,4,IF($K626&gt;PARAMETRES!$E$31,3,IF($K626&gt;PARAMETRES!$D$31,2,1)))),IF($K626&gt;PARAMETRES!$G$32,5,IF($K626&gt;PARAMETRES!$F$32,4,IF($K626&gt;PARAMETRES!$E$32,3,IF($K626&gt;PARAMETRES!$D$32,2,1))))))</f>
        <v/>
      </c>
      <c r="T626" t="str">
        <f>IF($L626="","",IF($L626&gt;PARAMETRES!$G$33,5,IF($L626&gt;PARAMETRES!$F$33,4,IF($L626&gt;PARAMETRES!$E$33,3,IF($L626&gt;PARAMETRES!$D$33,2,1)))))</f>
        <v/>
      </c>
      <c r="U626" t="str">
        <f>IF($M626="","",IF($M626&gt;PARAMETRES!$G$34,5,IF($M626&gt;PARAMETRES!$F$34,4,IF($M626&gt;PARAMETRES!$E$34,3,IF($M626&gt;PARAMETRES!$D$34,2,1)))))</f>
        <v/>
      </c>
      <c r="V626" t="str">
        <f>IF($N626="","",IF($N626&gt;PARAMETRES!$G$35,5,IF($N626&gt;PARAMETRES!$F$35,4,IF($N626&gt;PARAMETRES!$E$35,3,IF($N626&gt;PARAMETRES!$D$35,2,1)))))</f>
        <v/>
      </c>
      <c r="W626" t="str">
        <f>IF($O626="","",IF($O626&gt;PARAMETRES!$G$36,5,IF($O626&gt;PARAMETRES!$F$36,4,IF($O626&gt;PARAMETRES!$E$36,3,IF($O626&gt;PARAMETRES!$D$36,2,1)))))</f>
        <v/>
      </c>
      <c r="X626" t="str">
        <f>IF($P626="","",IF($P626&gt;PARAMETRES!$G$37,5,IF($P626&gt;PARAMETRES!$F$37,4,IF($P626&gt;PARAMETRES!$E$37,3,IF($P626&gt;PARAMETRES!$D$37,2,1)))))</f>
        <v/>
      </c>
      <c r="Y626" t="str">
        <f t="shared" si="216"/>
        <v/>
      </c>
      <c r="Z626" t="str">
        <f>IFERROR(VLOOKUP($B626,TABLE_CYCLE,2,0),"")</f>
        <v/>
      </c>
      <c r="AA626" t="str">
        <f t="shared" si="217"/>
        <v/>
      </c>
      <c r="AB626" t="str">
        <f>IF($D626="","",IF(COUNTIF($D$2:$D626,$D626)=1,$D626,""))</f>
        <v/>
      </c>
      <c r="AC626">
        <f t="shared" si="218"/>
        <v>0</v>
      </c>
      <c r="AD626" t="str">
        <f t="shared" si="219"/>
        <v>|0</v>
      </c>
      <c r="AE626" t="str">
        <f t="shared" si="220"/>
        <v/>
      </c>
      <c r="AF626" t="str">
        <f t="shared" si="221"/>
        <v/>
      </c>
      <c r="AG626" t="str">
        <f t="shared" si="222"/>
        <v/>
      </c>
      <c r="AH626" t="str">
        <f t="shared" si="223"/>
        <v/>
      </c>
      <c r="AI626" t="str">
        <f t="shared" si="224"/>
        <v/>
      </c>
      <c r="AJ626" t="str">
        <f t="shared" si="225"/>
        <v/>
      </c>
      <c r="AK626" t="str">
        <f t="shared" si="226"/>
        <v/>
      </c>
      <c r="AL626" t="str">
        <f t="shared" si="227"/>
        <v/>
      </c>
      <c r="AM626" t="str">
        <f t="shared" si="228"/>
        <v/>
      </c>
      <c r="AN626" t="str">
        <f t="shared" si="229"/>
        <v/>
      </c>
      <c r="AO626" t="str">
        <f t="shared" si="230"/>
        <v/>
      </c>
      <c r="AP626">
        <f t="shared" si="231"/>
        <v>1</v>
      </c>
      <c r="AQ626" t="str">
        <f>IF(SAISIE!$F631="","",SAISIE!$Y631)</f>
        <v/>
      </c>
      <c r="AR626" t="str">
        <f>IF(OR(SAISIE!$U$4="",SAISIE!$W$4=""),"",IF(AND($A626=SAISIE!$U$4,$B626=SAISIE!$W$4,$C626="S1"),COUNTIFS($A$2:$A626,SAISIE!$U$4,$B$2:$B626,SAISIE!$W$4,$C$2:$C626,"S1"),""))</f>
        <v/>
      </c>
      <c r="AS626" t="str">
        <f t="shared" si="232"/>
        <v/>
      </c>
      <c r="AT626" t="str">
        <f t="shared" si="233"/>
        <v/>
      </c>
      <c r="AU626" t="str">
        <f t="shared" si="234"/>
        <v/>
      </c>
      <c r="AV626">
        <f>N(AV625)+IF(AND($AB626&lt;&gt;"",OR('PROFIL ELEVE'!$K$4="(Tous)",$AF626='PROFIL ELEVE'!$K$4)),1,0)</f>
        <v>0</v>
      </c>
      <c r="AW626">
        <f>N(AW625)+IF(AND($AB626&lt;&gt;"",OR('SUIVI LONGITUDINAL'!$Q$4="(Tous)",$AF626='SUIVI LONGITUDINAL'!$Q$4)),1,0)</f>
        <v>0</v>
      </c>
      <c r="AX626">
        <f t="shared" si="235"/>
        <v>0</v>
      </c>
      <c r="AY626">
        <f t="shared" si="236"/>
        <v>0</v>
      </c>
      <c r="AZ626">
        <f t="shared" si="237"/>
        <v>0</v>
      </c>
      <c r="BA626" t="str">
        <f t="shared" si="238"/>
        <v/>
      </c>
      <c r="BB626" t="str">
        <f t="shared" si="239"/>
        <v/>
      </c>
    </row>
    <row r="627" spans="1:54" ht="14.25" customHeight="1" x14ac:dyDescent="0.3">
      <c r="A627" t="str">
        <f>IF(SAISIE!$F632="","",SAISIE!$B632)</f>
        <v/>
      </c>
      <c r="B627" t="str">
        <f>IF(SAISIE!$F632="","",SAISIE!$C632)</f>
        <v/>
      </c>
      <c r="C627" t="str">
        <f>IF(SAISIE!$F632="","",SAISIE!$D632)</f>
        <v/>
      </c>
      <c r="D627" t="str">
        <f>IF(SAISIE!$E632="","",SAISIE!$E632)</f>
        <v/>
      </c>
      <c r="E627" t="str">
        <f>IF(SAISIE!$F632="","",SAISIE!$F632)</f>
        <v/>
      </c>
      <c r="F627" t="str">
        <f>IF(SAISIE!$G632="","",SAISIE!$G632)</f>
        <v/>
      </c>
      <c r="G627" t="str">
        <f>IF(SAISIE!$H632="","",SAISIE!$H632)</f>
        <v/>
      </c>
      <c r="H627" t="str">
        <f>IF(SAISIE!$I632="","",SAISIE!$I632)</f>
        <v/>
      </c>
      <c r="I627" t="str">
        <f>IF(SAISIE!$J632="","",SAISIE!$J632)</f>
        <v/>
      </c>
      <c r="J627" t="str">
        <f>IF(SAISIE!$K632="","",SAISIE!$K632)</f>
        <v/>
      </c>
      <c r="K627" t="str">
        <f>IF(SAISIE!$L632="","",SAISIE!$L632)</f>
        <v/>
      </c>
      <c r="L627" t="str">
        <f>IF(SAISIE!$M632="","",SAISIE!$M632)</f>
        <v/>
      </c>
      <c r="M627" t="str">
        <f>IF(SAISIE!$N632="","",SAISIE!$N632)</f>
        <v/>
      </c>
      <c r="N627" t="str">
        <f>IF(SAISIE!$O632="","",SAISIE!$O632)</f>
        <v/>
      </c>
      <c r="O627" t="str">
        <f>IF(SAISIE!$P632="","",SAISIE!$P632)</f>
        <v/>
      </c>
      <c r="P627" t="str">
        <f>IF(SAISIE!$Q632="","",SAISIE!$Q632)</f>
        <v/>
      </c>
      <c r="Q627" t="str">
        <f>IF($I627="","",IF($I627&gt;PARAMETRES!$G$29,5,IF($I627&gt;PARAMETRES!$F$29,4,IF($I627&gt;PARAMETRES!$E$29,3,IF($I627&gt;PARAMETRES!$D$29,2,1)))))</f>
        <v/>
      </c>
      <c r="R627" t="str">
        <f>IF($J627="","",IF($J627&gt;PARAMETRES!$G$30,5,IF($J627&gt;PARAMETRES!$F$30,4,IF($J627&gt;PARAMETRES!$E$30,3,IF($J627&gt;PARAMETRES!$D$30,2,1)))))</f>
        <v/>
      </c>
      <c r="S627" t="str">
        <f>IF($K627="","",IF($Z627=2,IF($K627&gt;PARAMETRES!$G$31,5,IF($K627&gt;PARAMETRES!$F$31,4,IF($K627&gt;PARAMETRES!$E$31,3,IF($K627&gt;PARAMETRES!$D$31,2,1)))),IF($K627&gt;PARAMETRES!$G$32,5,IF($K627&gt;PARAMETRES!$F$32,4,IF($K627&gt;PARAMETRES!$E$32,3,IF($K627&gt;PARAMETRES!$D$32,2,1))))))</f>
        <v/>
      </c>
      <c r="T627" t="str">
        <f>IF($L627="","",IF($L627&gt;PARAMETRES!$G$33,5,IF($L627&gt;PARAMETRES!$F$33,4,IF($L627&gt;PARAMETRES!$E$33,3,IF($L627&gt;PARAMETRES!$D$33,2,1)))))</f>
        <v/>
      </c>
      <c r="U627" t="str">
        <f>IF($M627="","",IF($M627&gt;PARAMETRES!$G$34,5,IF($M627&gt;PARAMETRES!$F$34,4,IF($M627&gt;PARAMETRES!$E$34,3,IF($M627&gt;PARAMETRES!$D$34,2,1)))))</f>
        <v/>
      </c>
      <c r="V627" t="str">
        <f>IF($N627="","",IF($N627&gt;PARAMETRES!$G$35,5,IF($N627&gt;PARAMETRES!$F$35,4,IF($N627&gt;PARAMETRES!$E$35,3,IF($N627&gt;PARAMETRES!$D$35,2,1)))))</f>
        <v/>
      </c>
      <c r="W627" t="str">
        <f>IF($O627="","",IF($O627&gt;PARAMETRES!$G$36,5,IF($O627&gt;PARAMETRES!$F$36,4,IF($O627&gt;PARAMETRES!$E$36,3,IF($O627&gt;PARAMETRES!$D$36,2,1)))))</f>
        <v/>
      </c>
      <c r="X627" t="str">
        <f>IF($P627="","",IF($P627&gt;PARAMETRES!$G$37,5,IF($P627&gt;PARAMETRES!$F$37,4,IF($P627&gt;PARAMETRES!$E$37,3,IF($P627&gt;PARAMETRES!$D$37,2,1)))))</f>
        <v/>
      </c>
      <c r="Y627" t="str">
        <f t="shared" si="216"/>
        <v/>
      </c>
      <c r="Z627" t="str">
        <f>IFERROR(VLOOKUP($B627,TABLE_CYCLE,2,0),"")</f>
        <v/>
      </c>
      <c r="AA627" t="str">
        <f t="shared" si="217"/>
        <v/>
      </c>
      <c r="AB627" t="str">
        <f>IF($D627="","",IF(COUNTIF($D$2:$D627,$D627)=1,$D627,""))</f>
        <v/>
      </c>
      <c r="AC627">
        <f t="shared" si="218"/>
        <v>0</v>
      </c>
      <c r="AD627" t="str">
        <f t="shared" si="219"/>
        <v>|0</v>
      </c>
      <c r="AE627" t="str">
        <f t="shared" si="220"/>
        <v/>
      </c>
      <c r="AF627" t="str">
        <f t="shared" si="221"/>
        <v/>
      </c>
      <c r="AG627" t="str">
        <f t="shared" si="222"/>
        <v/>
      </c>
      <c r="AH627" t="str">
        <f t="shared" si="223"/>
        <v/>
      </c>
      <c r="AI627" t="str">
        <f t="shared" si="224"/>
        <v/>
      </c>
      <c r="AJ627" t="str">
        <f t="shared" si="225"/>
        <v/>
      </c>
      <c r="AK627" t="str">
        <f t="shared" si="226"/>
        <v/>
      </c>
      <c r="AL627" t="str">
        <f t="shared" si="227"/>
        <v/>
      </c>
      <c r="AM627" t="str">
        <f t="shared" si="228"/>
        <v/>
      </c>
      <c r="AN627" t="str">
        <f t="shared" si="229"/>
        <v/>
      </c>
      <c r="AO627" t="str">
        <f t="shared" si="230"/>
        <v/>
      </c>
      <c r="AP627">
        <f t="shared" si="231"/>
        <v>1</v>
      </c>
      <c r="AQ627" t="str">
        <f>IF(SAISIE!$F632="","",SAISIE!$Y632)</f>
        <v/>
      </c>
      <c r="AR627" t="str">
        <f>IF(OR(SAISIE!$U$4="",SAISIE!$W$4=""),"",IF(AND($A627=SAISIE!$U$4,$B627=SAISIE!$W$4,$C627="S1"),COUNTIFS($A$2:$A627,SAISIE!$U$4,$B$2:$B627,SAISIE!$W$4,$C$2:$C627,"S1"),""))</f>
        <v/>
      </c>
      <c r="AS627" t="str">
        <f t="shared" si="232"/>
        <v/>
      </c>
      <c r="AT627" t="str">
        <f t="shared" si="233"/>
        <v/>
      </c>
      <c r="AU627" t="str">
        <f t="shared" si="234"/>
        <v/>
      </c>
      <c r="AV627">
        <f>N(AV626)+IF(AND($AB627&lt;&gt;"",OR('PROFIL ELEVE'!$K$4="(Tous)",$AF627='PROFIL ELEVE'!$K$4)),1,0)</f>
        <v>0</v>
      </c>
      <c r="AW627">
        <f>N(AW626)+IF(AND($AB627&lt;&gt;"",OR('SUIVI LONGITUDINAL'!$Q$4="(Tous)",$AF627='SUIVI LONGITUDINAL'!$Q$4)),1,0)</f>
        <v>0</v>
      </c>
      <c r="AX627">
        <f t="shared" si="235"/>
        <v>0</v>
      </c>
      <c r="AY627">
        <f t="shared" si="236"/>
        <v>0</v>
      </c>
      <c r="AZ627">
        <f t="shared" si="237"/>
        <v>0</v>
      </c>
      <c r="BA627" t="str">
        <f t="shared" si="238"/>
        <v/>
      </c>
      <c r="BB627" t="str">
        <f t="shared" si="239"/>
        <v/>
      </c>
    </row>
    <row r="628" spans="1:54" ht="14.25" customHeight="1" x14ac:dyDescent="0.3">
      <c r="A628" t="str">
        <f>IF(SAISIE!$F633="","",SAISIE!$B633)</f>
        <v/>
      </c>
      <c r="B628" t="str">
        <f>IF(SAISIE!$F633="","",SAISIE!$C633)</f>
        <v/>
      </c>
      <c r="C628" t="str">
        <f>IF(SAISIE!$F633="","",SAISIE!$D633)</f>
        <v/>
      </c>
      <c r="D628" t="str">
        <f>IF(SAISIE!$E633="","",SAISIE!$E633)</f>
        <v/>
      </c>
      <c r="E628" t="str">
        <f>IF(SAISIE!$F633="","",SAISIE!$F633)</f>
        <v/>
      </c>
      <c r="F628" t="str">
        <f>IF(SAISIE!$G633="","",SAISIE!$G633)</f>
        <v/>
      </c>
      <c r="G628" t="str">
        <f>IF(SAISIE!$H633="","",SAISIE!$H633)</f>
        <v/>
      </c>
      <c r="H628" t="str">
        <f>IF(SAISIE!$I633="","",SAISIE!$I633)</f>
        <v/>
      </c>
      <c r="I628" t="str">
        <f>IF(SAISIE!$J633="","",SAISIE!$J633)</f>
        <v/>
      </c>
      <c r="J628" t="str">
        <f>IF(SAISIE!$K633="","",SAISIE!$K633)</f>
        <v/>
      </c>
      <c r="K628" t="str">
        <f>IF(SAISIE!$L633="","",SAISIE!$L633)</f>
        <v/>
      </c>
      <c r="L628" t="str">
        <f>IF(SAISIE!$M633="","",SAISIE!$M633)</f>
        <v/>
      </c>
      <c r="M628" t="str">
        <f>IF(SAISIE!$N633="","",SAISIE!$N633)</f>
        <v/>
      </c>
      <c r="N628" t="str">
        <f>IF(SAISIE!$O633="","",SAISIE!$O633)</f>
        <v/>
      </c>
      <c r="O628" t="str">
        <f>IF(SAISIE!$P633="","",SAISIE!$P633)</f>
        <v/>
      </c>
      <c r="P628" t="str">
        <f>IF(SAISIE!$Q633="","",SAISIE!$Q633)</f>
        <v/>
      </c>
      <c r="Q628" t="str">
        <f>IF($I628="","",IF($I628&gt;PARAMETRES!$G$29,5,IF($I628&gt;PARAMETRES!$F$29,4,IF($I628&gt;PARAMETRES!$E$29,3,IF($I628&gt;PARAMETRES!$D$29,2,1)))))</f>
        <v/>
      </c>
      <c r="R628" t="str">
        <f>IF($J628="","",IF($J628&gt;PARAMETRES!$G$30,5,IF($J628&gt;PARAMETRES!$F$30,4,IF($J628&gt;PARAMETRES!$E$30,3,IF($J628&gt;PARAMETRES!$D$30,2,1)))))</f>
        <v/>
      </c>
      <c r="S628" t="str">
        <f>IF($K628="","",IF($Z628=2,IF($K628&gt;PARAMETRES!$G$31,5,IF($K628&gt;PARAMETRES!$F$31,4,IF($K628&gt;PARAMETRES!$E$31,3,IF($K628&gt;PARAMETRES!$D$31,2,1)))),IF($K628&gt;PARAMETRES!$G$32,5,IF($K628&gt;PARAMETRES!$F$32,4,IF($K628&gt;PARAMETRES!$E$32,3,IF($K628&gt;PARAMETRES!$D$32,2,1))))))</f>
        <v/>
      </c>
      <c r="T628" t="str">
        <f>IF($L628="","",IF($L628&gt;PARAMETRES!$G$33,5,IF($L628&gt;PARAMETRES!$F$33,4,IF($L628&gt;PARAMETRES!$E$33,3,IF($L628&gt;PARAMETRES!$D$33,2,1)))))</f>
        <v/>
      </c>
      <c r="U628" t="str">
        <f>IF($M628="","",IF($M628&gt;PARAMETRES!$G$34,5,IF($M628&gt;PARAMETRES!$F$34,4,IF($M628&gt;PARAMETRES!$E$34,3,IF($M628&gt;PARAMETRES!$D$34,2,1)))))</f>
        <v/>
      </c>
      <c r="V628" t="str">
        <f>IF($N628="","",IF($N628&gt;PARAMETRES!$G$35,5,IF($N628&gt;PARAMETRES!$F$35,4,IF($N628&gt;PARAMETRES!$E$35,3,IF($N628&gt;PARAMETRES!$D$35,2,1)))))</f>
        <v/>
      </c>
      <c r="W628" t="str">
        <f>IF($O628="","",IF($O628&gt;PARAMETRES!$G$36,5,IF($O628&gt;PARAMETRES!$F$36,4,IF($O628&gt;PARAMETRES!$E$36,3,IF($O628&gt;PARAMETRES!$D$36,2,1)))))</f>
        <v/>
      </c>
      <c r="X628" t="str">
        <f>IF($P628="","",IF($P628&gt;PARAMETRES!$G$37,5,IF($P628&gt;PARAMETRES!$F$37,4,IF($P628&gt;PARAMETRES!$E$37,3,IF($P628&gt;PARAMETRES!$D$37,2,1)))))</f>
        <v/>
      </c>
      <c r="Y628" t="str">
        <f t="shared" si="216"/>
        <v/>
      </c>
      <c r="Z628" t="str">
        <f>IFERROR(VLOOKUP($B628,TABLE_CYCLE,2,0),"")</f>
        <v/>
      </c>
      <c r="AA628" t="str">
        <f t="shared" si="217"/>
        <v/>
      </c>
      <c r="AB628" t="str">
        <f>IF($D628="","",IF(COUNTIF($D$2:$D628,$D628)=1,$D628,""))</f>
        <v/>
      </c>
      <c r="AC628">
        <f t="shared" si="218"/>
        <v>0</v>
      </c>
      <c r="AD628" t="str">
        <f t="shared" si="219"/>
        <v>|0</v>
      </c>
      <c r="AE628" t="str">
        <f t="shared" si="220"/>
        <v/>
      </c>
      <c r="AF628" t="str">
        <f t="shared" si="221"/>
        <v/>
      </c>
      <c r="AG628" t="str">
        <f t="shared" si="222"/>
        <v/>
      </c>
      <c r="AH628" t="str">
        <f t="shared" si="223"/>
        <v/>
      </c>
      <c r="AI628" t="str">
        <f t="shared" si="224"/>
        <v/>
      </c>
      <c r="AJ628" t="str">
        <f t="shared" si="225"/>
        <v/>
      </c>
      <c r="AK628" t="str">
        <f t="shared" si="226"/>
        <v/>
      </c>
      <c r="AL628" t="str">
        <f t="shared" si="227"/>
        <v/>
      </c>
      <c r="AM628" t="str">
        <f t="shared" si="228"/>
        <v/>
      </c>
      <c r="AN628" t="str">
        <f t="shared" si="229"/>
        <v/>
      </c>
      <c r="AO628" t="str">
        <f t="shared" si="230"/>
        <v/>
      </c>
      <c r="AP628">
        <f t="shared" si="231"/>
        <v>1</v>
      </c>
      <c r="AQ628" t="str">
        <f>IF(SAISIE!$F633="","",SAISIE!$Y633)</f>
        <v/>
      </c>
      <c r="AR628" t="str">
        <f>IF(OR(SAISIE!$U$4="",SAISIE!$W$4=""),"",IF(AND($A628=SAISIE!$U$4,$B628=SAISIE!$W$4,$C628="S1"),COUNTIFS($A$2:$A628,SAISIE!$U$4,$B$2:$B628,SAISIE!$W$4,$C$2:$C628,"S1"),""))</f>
        <v/>
      </c>
      <c r="AS628" t="str">
        <f t="shared" si="232"/>
        <v/>
      </c>
      <c r="AT628" t="str">
        <f t="shared" si="233"/>
        <v/>
      </c>
      <c r="AU628" t="str">
        <f t="shared" si="234"/>
        <v/>
      </c>
      <c r="AV628">
        <f>N(AV627)+IF(AND($AB628&lt;&gt;"",OR('PROFIL ELEVE'!$K$4="(Tous)",$AF628='PROFIL ELEVE'!$K$4)),1,0)</f>
        <v>0</v>
      </c>
      <c r="AW628">
        <f>N(AW627)+IF(AND($AB628&lt;&gt;"",OR('SUIVI LONGITUDINAL'!$Q$4="(Tous)",$AF628='SUIVI LONGITUDINAL'!$Q$4)),1,0)</f>
        <v>0</v>
      </c>
      <c r="AX628">
        <f t="shared" si="235"/>
        <v>0</v>
      </c>
      <c r="AY628">
        <f t="shared" si="236"/>
        <v>0</v>
      </c>
      <c r="AZ628">
        <f t="shared" si="237"/>
        <v>0</v>
      </c>
      <c r="BA628" t="str">
        <f t="shared" si="238"/>
        <v/>
      </c>
      <c r="BB628" t="str">
        <f t="shared" si="239"/>
        <v/>
      </c>
    </row>
    <row r="629" spans="1:54" ht="14.25" customHeight="1" x14ac:dyDescent="0.3">
      <c r="A629" t="str">
        <f>IF(SAISIE!$F634="","",SAISIE!$B634)</f>
        <v/>
      </c>
      <c r="B629" t="str">
        <f>IF(SAISIE!$F634="","",SAISIE!$C634)</f>
        <v/>
      </c>
      <c r="C629" t="str">
        <f>IF(SAISIE!$F634="","",SAISIE!$D634)</f>
        <v/>
      </c>
      <c r="D629" t="str">
        <f>IF(SAISIE!$E634="","",SAISIE!$E634)</f>
        <v/>
      </c>
      <c r="E629" t="str">
        <f>IF(SAISIE!$F634="","",SAISIE!$F634)</f>
        <v/>
      </c>
      <c r="F629" t="str">
        <f>IF(SAISIE!$G634="","",SAISIE!$G634)</f>
        <v/>
      </c>
      <c r="G629" t="str">
        <f>IF(SAISIE!$H634="","",SAISIE!$H634)</f>
        <v/>
      </c>
      <c r="H629" t="str">
        <f>IF(SAISIE!$I634="","",SAISIE!$I634)</f>
        <v/>
      </c>
      <c r="I629" t="str">
        <f>IF(SAISIE!$J634="","",SAISIE!$J634)</f>
        <v/>
      </c>
      <c r="J629" t="str">
        <f>IF(SAISIE!$K634="","",SAISIE!$K634)</f>
        <v/>
      </c>
      <c r="K629" t="str">
        <f>IF(SAISIE!$L634="","",SAISIE!$L634)</f>
        <v/>
      </c>
      <c r="L629" t="str">
        <f>IF(SAISIE!$M634="","",SAISIE!$M634)</f>
        <v/>
      </c>
      <c r="M629" t="str">
        <f>IF(SAISIE!$N634="","",SAISIE!$N634)</f>
        <v/>
      </c>
      <c r="N629" t="str">
        <f>IF(SAISIE!$O634="","",SAISIE!$O634)</f>
        <v/>
      </c>
      <c r="O629" t="str">
        <f>IF(SAISIE!$P634="","",SAISIE!$P634)</f>
        <v/>
      </c>
      <c r="P629" t="str">
        <f>IF(SAISIE!$Q634="","",SAISIE!$Q634)</f>
        <v/>
      </c>
      <c r="Q629" t="str">
        <f>IF($I629="","",IF($I629&gt;PARAMETRES!$G$29,5,IF($I629&gt;PARAMETRES!$F$29,4,IF($I629&gt;PARAMETRES!$E$29,3,IF($I629&gt;PARAMETRES!$D$29,2,1)))))</f>
        <v/>
      </c>
      <c r="R629" t="str">
        <f>IF($J629="","",IF($J629&gt;PARAMETRES!$G$30,5,IF($J629&gt;PARAMETRES!$F$30,4,IF($J629&gt;PARAMETRES!$E$30,3,IF($J629&gt;PARAMETRES!$D$30,2,1)))))</f>
        <v/>
      </c>
      <c r="S629" t="str">
        <f>IF($K629="","",IF($Z629=2,IF($K629&gt;PARAMETRES!$G$31,5,IF($K629&gt;PARAMETRES!$F$31,4,IF($K629&gt;PARAMETRES!$E$31,3,IF($K629&gt;PARAMETRES!$D$31,2,1)))),IF($K629&gt;PARAMETRES!$G$32,5,IF($K629&gt;PARAMETRES!$F$32,4,IF($K629&gt;PARAMETRES!$E$32,3,IF($K629&gt;PARAMETRES!$D$32,2,1))))))</f>
        <v/>
      </c>
      <c r="T629" t="str">
        <f>IF($L629="","",IF($L629&gt;PARAMETRES!$G$33,5,IF($L629&gt;PARAMETRES!$F$33,4,IF($L629&gt;PARAMETRES!$E$33,3,IF($L629&gt;PARAMETRES!$D$33,2,1)))))</f>
        <v/>
      </c>
      <c r="U629" t="str">
        <f>IF($M629="","",IF($M629&gt;PARAMETRES!$G$34,5,IF($M629&gt;PARAMETRES!$F$34,4,IF($M629&gt;PARAMETRES!$E$34,3,IF($M629&gt;PARAMETRES!$D$34,2,1)))))</f>
        <v/>
      </c>
      <c r="V629" t="str">
        <f>IF($N629="","",IF($N629&gt;PARAMETRES!$G$35,5,IF($N629&gt;PARAMETRES!$F$35,4,IF($N629&gt;PARAMETRES!$E$35,3,IF($N629&gt;PARAMETRES!$D$35,2,1)))))</f>
        <v/>
      </c>
      <c r="W629" t="str">
        <f>IF($O629="","",IF($O629&gt;PARAMETRES!$G$36,5,IF($O629&gt;PARAMETRES!$F$36,4,IF($O629&gt;PARAMETRES!$E$36,3,IF($O629&gt;PARAMETRES!$D$36,2,1)))))</f>
        <v/>
      </c>
      <c r="X629" t="str">
        <f>IF($P629="","",IF($P629&gt;PARAMETRES!$G$37,5,IF($P629&gt;PARAMETRES!$F$37,4,IF($P629&gt;PARAMETRES!$E$37,3,IF($P629&gt;PARAMETRES!$D$37,2,1)))))</f>
        <v/>
      </c>
      <c r="Y629" t="str">
        <f t="shared" si="216"/>
        <v/>
      </c>
      <c r="Z629" t="str">
        <f>IFERROR(VLOOKUP($B629,TABLE_CYCLE,2,0),"")</f>
        <v/>
      </c>
      <c r="AA629" t="str">
        <f t="shared" si="217"/>
        <v/>
      </c>
      <c r="AB629" t="str">
        <f>IF($D629="","",IF(COUNTIF($D$2:$D629,$D629)=1,$D629,""))</f>
        <v/>
      </c>
      <c r="AC629">
        <f t="shared" si="218"/>
        <v>0</v>
      </c>
      <c r="AD629" t="str">
        <f t="shared" si="219"/>
        <v>|0</v>
      </c>
      <c r="AE629" t="str">
        <f t="shared" si="220"/>
        <v/>
      </c>
      <c r="AF629" t="str">
        <f t="shared" si="221"/>
        <v/>
      </c>
      <c r="AG629" t="str">
        <f t="shared" si="222"/>
        <v/>
      </c>
      <c r="AH629" t="str">
        <f t="shared" si="223"/>
        <v/>
      </c>
      <c r="AI629" t="str">
        <f t="shared" si="224"/>
        <v/>
      </c>
      <c r="AJ629" t="str">
        <f t="shared" si="225"/>
        <v/>
      </c>
      <c r="AK629" t="str">
        <f t="shared" si="226"/>
        <v/>
      </c>
      <c r="AL629" t="str">
        <f t="shared" si="227"/>
        <v/>
      </c>
      <c r="AM629" t="str">
        <f t="shared" si="228"/>
        <v/>
      </c>
      <c r="AN629" t="str">
        <f t="shared" si="229"/>
        <v/>
      </c>
      <c r="AO629" t="str">
        <f t="shared" si="230"/>
        <v/>
      </c>
      <c r="AP629">
        <f t="shared" si="231"/>
        <v>1</v>
      </c>
      <c r="AQ629" t="str">
        <f>IF(SAISIE!$F634="","",SAISIE!$Y634)</f>
        <v/>
      </c>
      <c r="AR629" t="str">
        <f>IF(OR(SAISIE!$U$4="",SAISIE!$W$4=""),"",IF(AND($A629=SAISIE!$U$4,$B629=SAISIE!$W$4,$C629="S1"),COUNTIFS($A$2:$A629,SAISIE!$U$4,$B$2:$B629,SAISIE!$W$4,$C$2:$C629,"S1"),""))</f>
        <v/>
      </c>
      <c r="AS629" t="str">
        <f t="shared" si="232"/>
        <v/>
      </c>
      <c r="AT629" t="str">
        <f t="shared" si="233"/>
        <v/>
      </c>
      <c r="AU629" t="str">
        <f t="shared" si="234"/>
        <v/>
      </c>
      <c r="AV629">
        <f>N(AV628)+IF(AND($AB629&lt;&gt;"",OR('PROFIL ELEVE'!$K$4="(Tous)",$AF629='PROFIL ELEVE'!$K$4)),1,0)</f>
        <v>0</v>
      </c>
      <c r="AW629">
        <f>N(AW628)+IF(AND($AB629&lt;&gt;"",OR('SUIVI LONGITUDINAL'!$Q$4="(Tous)",$AF629='SUIVI LONGITUDINAL'!$Q$4)),1,0)</f>
        <v>0</v>
      </c>
      <c r="AX629">
        <f t="shared" si="235"/>
        <v>0</v>
      </c>
      <c r="AY629">
        <f t="shared" si="236"/>
        <v>0</v>
      </c>
      <c r="AZ629">
        <f t="shared" si="237"/>
        <v>0</v>
      </c>
      <c r="BA629" t="str">
        <f t="shared" si="238"/>
        <v/>
      </c>
      <c r="BB629" t="str">
        <f t="shared" si="239"/>
        <v/>
      </c>
    </row>
    <row r="630" spans="1:54" ht="14.25" customHeight="1" x14ac:dyDescent="0.3">
      <c r="A630" t="str">
        <f>IF(SAISIE!$F635="","",SAISIE!$B635)</f>
        <v/>
      </c>
      <c r="B630" t="str">
        <f>IF(SAISIE!$F635="","",SAISIE!$C635)</f>
        <v/>
      </c>
      <c r="C630" t="str">
        <f>IF(SAISIE!$F635="","",SAISIE!$D635)</f>
        <v/>
      </c>
      <c r="D630" t="str">
        <f>IF(SAISIE!$E635="","",SAISIE!$E635)</f>
        <v/>
      </c>
      <c r="E630" t="str">
        <f>IF(SAISIE!$F635="","",SAISIE!$F635)</f>
        <v/>
      </c>
      <c r="F630" t="str">
        <f>IF(SAISIE!$G635="","",SAISIE!$G635)</f>
        <v/>
      </c>
      <c r="G630" t="str">
        <f>IF(SAISIE!$H635="","",SAISIE!$H635)</f>
        <v/>
      </c>
      <c r="H630" t="str">
        <f>IF(SAISIE!$I635="","",SAISIE!$I635)</f>
        <v/>
      </c>
      <c r="I630" t="str">
        <f>IF(SAISIE!$J635="","",SAISIE!$J635)</f>
        <v/>
      </c>
      <c r="J630" t="str">
        <f>IF(SAISIE!$K635="","",SAISIE!$K635)</f>
        <v/>
      </c>
      <c r="K630" t="str">
        <f>IF(SAISIE!$L635="","",SAISIE!$L635)</f>
        <v/>
      </c>
      <c r="L630" t="str">
        <f>IF(SAISIE!$M635="","",SAISIE!$M635)</f>
        <v/>
      </c>
      <c r="M630" t="str">
        <f>IF(SAISIE!$N635="","",SAISIE!$N635)</f>
        <v/>
      </c>
      <c r="N630" t="str">
        <f>IF(SAISIE!$O635="","",SAISIE!$O635)</f>
        <v/>
      </c>
      <c r="O630" t="str">
        <f>IF(SAISIE!$P635="","",SAISIE!$P635)</f>
        <v/>
      </c>
      <c r="P630" t="str">
        <f>IF(SAISIE!$Q635="","",SAISIE!$Q635)</f>
        <v/>
      </c>
      <c r="Q630" t="str">
        <f>IF($I630="","",IF($I630&gt;PARAMETRES!$G$29,5,IF($I630&gt;PARAMETRES!$F$29,4,IF($I630&gt;PARAMETRES!$E$29,3,IF($I630&gt;PARAMETRES!$D$29,2,1)))))</f>
        <v/>
      </c>
      <c r="R630" t="str">
        <f>IF($J630="","",IF($J630&gt;PARAMETRES!$G$30,5,IF($J630&gt;PARAMETRES!$F$30,4,IF($J630&gt;PARAMETRES!$E$30,3,IF($J630&gt;PARAMETRES!$D$30,2,1)))))</f>
        <v/>
      </c>
      <c r="S630" t="str">
        <f>IF($K630="","",IF($Z630=2,IF($K630&gt;PARAMETRES!$G$31,5,IF($K630&gt;PARAMETRES!$F$31,4,IF($K630&gt;PARAMETRES!$E$31,3,IF($K630&gt;PARAMETRES!$D$31,2,1)))),IF($K630&gt;PARAMETRES!$G$32,5,IF($K630&gt;PARAMETRES!$F$32,4,IF($K630&gt;PARAMETRES!$E$32,3,IF($K630&gt;PARAMETRES!$D$32,2,1))))))</f>
        <v/>
      </c>
      <c r="T630" t="str">
        <f>IF($L630="","",IF($L630&gt;PARAMETRES!$G$33,5,IF($L630&gt;PARAMETRES!$F$33,4,IF($L630&gt;PARAMETRES!$E$33,3,IF($L630&gt;PARAMETRES!$D$33,2,1)))))</f>
        <v/>
      </c>
      <c r="U630" t="str">
        <f>IF($M630="","",IF($M630&gt;PARAMETRES!$G$34,5,IF($M630&gt;PARAMETRES!$F$34,4,IF($M630&gt;PARAMETRES!$E$34,3,IF($M630&gt;PARAMETRES!$D$34,2,1)))))</f>
        <v/>
      </c>
      <c r="V630" t="str">
        <f>IF($N630="","",IF($N630&gt;PARAMETRES!$G$35,5,IF($N630&gt;PARAMETRES!$F$35,4,IF($N630&gt;PARAMETRES!$E$35,3,IF($N630&gt;PARAMETRES!$D$35,2,1)))))</f>
        <v/>
      </c>
      <c r="W630" t="str">
        <f>IF($O630="","",IF($O630&gt;PARAMETRES!$G$36,5,IF($O630&gt;PARAMETRES!$F$36,4,IF($O630&gt;PARAMETRES!$E$36,3,IF($O630&gt;PARAMETRES!$D$36,2,1)))))</f>
        <v/>
      </c>
      <c r="X630" t="str">
        <f>IF($P630="","",IF($P630&gt;PARAMETRES!$G$37,5,IF($P630&gt;PARAMETRES!$F$37,4,IF($P630&gt;PARAMETRES!$E$37,3,IF($P630&gt;PARAMETRES!$D$37,2,1)))))</f>
        <v/>
      </c>
      <c r="Y630" t="str">
        <f t="shared" si="216"/>
        <v/>
      </c>
      <c r="Z630" t="str">
        <f>IFERROR(VLOOKUP($B630,TABLE_CYCLE,2,0),"")</f>
        <v/>
      </c>
      <c r="AA630" t="str">
        <f t="shared" si="217"/>
        <v/>
      </c>
      <c r="AB630" t="str">
        <f>IF($D630="","",IF(COUNTIF($D$2:$D630,$D630)=1,$D630,""))</f>
        <v/>
      </c>
      <c r="AC630">
        <f t="shared" si="218"/>
        <v>0</v>
      </c>
      <c r="AD630" t="str">
        <f t="shared" si="219"/>
        <v>|0</v>
      </c>
      <c r="AE630" t="str">
        <f t="shared" si="220"/>
        <v/>
      </c>
      <c r="AF630" t="str">
        <f t="shared" si="221"/>
        <v/>
      </c>
      <c r="AG630" t="str">
        <f t="shared" si="222"/>
        <v/>
      </c>
      <c r="AH630" t="str">
        <f t="shared" si="223"/>
        <v/>
      </c>
      <c r="AI630" t="str">
        <f t="shared" si="224"/>
        <v/>
      </c>
      <c r="AJ630" t="str">
        <f t="shared" si="225"/>
        <v/>
      </c>
      <c r="AK630" t="str">
        <f t="shared" si="226"/>
        <v/>
      </c>
      <c r="AL630" t="str">
        <f t="shared" si="227"/>
        <v/>
      </c>
      <c r="AM630" t="str">
        <f t="shared" si="228"/>
        <v/>
      </c>
      <c r="AN630" t="str">
        <f t="shared" si="229"/>
        <v/>
      </c>
      <c r="AO630" t="str">
        <f t="shared" si="230"/>
        <v/>
      </c>
      <c r="AP630">
        <f t="shared" si="231"/>
        <v>1</v>
      </c>
      <c r="AQ630" t="str">
        <f>IF(SAISIE!$F635="","",SAISIE!$Y635)</f>
        <v/>
      </c>
      <c r="AR630" t="str">
        <f>IF(OR(SAISIE!$U$4="",SAISIE!$W$4=""),"",IF(AND($A630=SAISIE!$U$4,$B630=SAISIE!$W$4,$C630="S1"),COUNTIFS($A$2:$A630,SAISIE!$U$4,$B$2:$B630,SAISIE!$W$4,$C$2:$C630,"S1"),""))</f>
        <v/>
      </c>
      <c r="AS630" t="str">
        <f t="shared" si="232"/>
        <v/>
      </c>
      <c r="AT630" t="str">
        <f t="shared" si="233"/>
        <v/>
      </c>
      <c r="AU630" t="str">
        <f t="shared" si="234"/>
        <v/>
      </c>
      <c r="AV630">
        <f>N(AV629)+IF(AND($AB630&lt;&gt;"",OR('PROFIL ELEVE'!$K$4="(Tous)",$AF630='PROFIL ELEVE'!$K$4)),1,0)</f>
        <v>0</v>
      </c>
      <c r="AW630">
        <f>N(AW629)+IF(AND($AB630&lt;&gt;"",OR('SUIVI LONGITUDINAL'!$Q$4="(Tous)",$AF630='SUIVI LONGITUDINAL'!$Q$4)),1,0)</f>
        <v>0</v>
      </c>
      <c r="AX630">
        <f t="shared" si="235"/>
        <v>0</v>
      </c>
      <c r="AY630">
        <f t="shared" si="236"/>
        <v>0</v>
      </c>
      <c r="AZ630">
        <f t="shared" si="237"/>
        <v>0</v>
      </c>
      <c r="BA630" t="str">
        <f t="shared" si="238"/>
        <v/>
      </c>
      <c r="BB630" t="str">
        <f t="shared" si="239"/>
        <v/>
      </c>
    </row>
    <row r="631" spans="1:54" ht="14.25" customHeight="1" x14ac:dyDescent="0.3">
      <c r="A631" t="str">
        <f>IF(SAISIE!$F636="","",SAISIE!$B636)</f>
        <v/>
      </c>
      <c r="B631" t="str">
        <f>IF(SAISIE!$F636="","",SAISIE!$C636)</f>
        <v/>
      </c>
      <c r="C631" t="str">
        <f>IF(SAISIE!$F636="","",SAISIE!$D636)</f>
        <v/>
      </c>
      <c r="D631" t="str">
        <f>IF(SAISIE!$E636="","",SAISIE!$E636)</f>
        <v/>
      </c>
      <c r="E631" t="str">
        <f>IF(SAISIE!$F636="","",SAISIE!$F636)</f>
        <v/>
      </c>
      <c r="F631" t="str">
        <f>IF(SAISIE!$G636="","",SAISIE!$G636)</f>
        <v/>
      </c>
      <c r="G631" t="str">
        <f>IF(SAISIE!$H636="","",SAISIE!$H636)</f>
        <v/>
      </c>
      <c r="H631" t="str">
        <f>IF(SAISIE!$I636="","",SAISIE!$I636)</f>
        <v/>
      </c>
      <c r="I631" t="str">
        <f>IF(SAISIE!$J636="","",SAISIE!$J636)</f>
        <v/>
      </c>
      <c r="J631" t="str">
        <f>IF(SAISIE!$K636="","",SAISIE!$K636)</f>
        <v/>
      </c>
      <c r="K631" t="str">
        <f>IF(SAISIE!$L636="","",SAISIE!$L636)</f>
        <v/>
      </c>
      <c r="L631" t="str">
        <f>IF(SAISIE!$M636="","",SAISIE!$M636)</f>
        <v/>
      </c>
      <c r="M631" t="str">
        <f>IF(SAISIE!$N636="","",SAISIE!$N636)</f>
        <v/>
      </c>
      <c r="N631" t="str">
        <f>IF(SAISIE!$O636="","",SAISIE!$O636)</f>
        <v/>
      </c>
      <c r="O631" t="str">
        <f>IF(SAISIE!$P636="","",SAISIE!$P636)</f>
        <v/>
      </c>
      <c r="P631" t="str">
        <f>IF(SAISIE!$Q636="","",SAISIE!$Q636)</f>
        <v/>
      </c>
      <c r="Q631" t="str">
        <f>IF($I631="","",IF($I631&gt;PARAMETRES!$G$29,5,IF($I631&gt;PARAMETRES!$F$29,4,IF($I631&gt;PARAMETRES!$E$29,3,IF($I631&gt;PARAMETRES!$D$29,2,1)))))</f>
        <v/>
      </c>
      <c r="R631" t="str">
        <f>IF($J631="","",IF($J631&gt;PARAMETRES!$G$30,5,IF($J631&gt;PARAMETRES!$F$30,4,IF($J631&gt;PARAMETRES!$E$30,3,IF($J631&gt;PARAMETRES!$D$30,2,1)))))</f>
        <v/>
      </c>
      <c r="S631" t="str">
        <f>IF($K631="","",IF($Z631=2,IF($K631&gt;PARAMETRES!$G$31,5,IF($K631&gt;PARAMETRES!$F$31,4,IF($K631&gt;PARAMETRES!$E$31,3,IF($K631&gt;PARAMETRES!$D$31,2,1)))),IF($K631&gt;PARAMETRES!$G$32,5,IF($K631&gt;PARAMETRES!$F$32,4,IF($K631&gt;PARAMETRES!$E$32,3,IF($K631&gt;PARAMETRES!$D$32,2,1))))))</f>
        <v/>
      </c>
      <c r="T631" t="str">
        <f>IF($L631="","",IF($L631&gt;PARAMETRES!$G$33,5,IF($L631&gt;PARAMETRES!$F$33,4,IF($L631&gt;PARAMETRES!$E$33,3,IF($L631&gt;PARAMETRES!$D$33,2,1)))))</f>
        <v/>
      </c>
      <c r="U631" t="str">
        <f>IF($M631="","",IF($M631&gt;PARAMETRES!$G$34,5,IF($M631&gt;PARAMETRES!$F$34,4,IF($M631&gt;PARAMETRES!$E$34,3,IF($M631&gt;PARAMETRES!$D$34,2,1)))))</f>
        <v/>
      </c>
      <c r="V631" t="str">
        <f>IF($N631="","",IF($N631&gt;PARAMETRES!$G$35,5,IF($N631&gt;PARAMETRES!$F$35,4,IF($N631&gt;PARAMETRES!$E$35,3,IF($N631&gt;PARAMETRES!$D$35,2,1)))))</f>
        <v/>
      </c>
      <c r="W631" t="str">
        <f>IF($O631="","",IF($O631&gt;PARAMETRES!$G$36,5,IF($O631&gt;PARAMETRES!$F$36,4,IF($O631&gt;PARAMETRES!$E$36,3,IF($O631&gt;PARAMETRES!$D$36,2,1)))))</f>
        <v/>
      </c>
      <c r="X631" t="str">
        <f>IF($P631="","",IF($P631&gt;PARAMETRES!$G$37,5,IF($P631&gt;PARAMETRES!$F$37,4,IF($P631&gt;PARAMETRES!$E$37,3,IF($P631&gt;PARAMETRES!$D$37,2,1)))))</f>
        <v/>
      </c>
      <c r="Y631" t="str">
        <f t="shared" si="216"/>
        <v/>
      </c>
      <c r="Z631" t="str">
        <f>IFERROR(VLOOKUP($B631,TABLE_CYCLE,2,0),"")</f>
        <v/>
      </c>
      <c r="AA631" t="str">
        <f t="shared" si="217"/>
        <v/>
      </c>
      <c r="AB631" t="str">
        <f>IF($D631="","",IF(COUNTIF($D$2:$D631,$D631)=1,$D631,""))</f>
        <v/>
      </c>
      <c r="AC631">
        <f t="shared" si="218"/>
        <v>0</v>
      </c>
      <c r="AD631" t="str">
        <f t="shared" si="219"/>
        <v>|0</v>
      </c>
      <c r="AE631" t="str">
        <f t="shared" si="220"/>
        <v/>
      </c>
      <c r="AF631" t="str">
        <f t="shared" si="221"/>
        <v/>
      </c>
      <c r="AG631" t="str">
        <f t="shared" si="222"/>
        <v/>
      </c>
      <c r="AH631" t="str">
        <f t="shared" si="223"/>
        <v/>
      </c>
      <c r="AI631" t="str">
        <f t="shared" si="224"/>
        <v/>
      </c>
      <c r="AJ631" t="str">
        <f t="shared" si="225"/>
        <v/>
      </c>
      <c r="AK631" t="str">
        <f t="shared" si="226"/>
        <v/>
      </c>
      <c r="AL631" t="str">
        <f t="shared" si="227"/>
        <v/>
      </c>
      <c r="AM631" t="str">
        <f t="shared" si="228"/>
        <v/>
      </c>
      <c r="AN631" t="str">
        <f t="shared" si="229"/>
        <v/>
      </c>
      <c r="AO631" t="str">
        <f t="shared" si="230"/>
        <v/>
      </c>
      <c r="AP631">
        <f t="shared" si="231"/>
        <v>1</v>
      </c>
      <c r="AQ631" t="str">
        <f>IF(SAISIE!$F636="","",SAISIE!$Y636)</f>
        <v/>
      </c>
      <c r="AR631" t="str">
        <f>IF(OR(SAISIE!$U$4="",SAISIE!$W$4=""),"",IF(AND($A631=SAISIE!$U$4,$B631=SAISIE!$W$4,$C631="S1"),COUNTIFS($A$2:$A631,SAISIE!$U$4,$B$2:$B631,SAISIE!$W$4,$C$2:$C631,"S1"),""))</f>
        <v/>
      </c>
      <c r="AS631" t="str">
        <f t="shared" si="232"/>
        <v/>
      </c>
      <c r="AT631" t="str">
        <f t="shared" si="233"/>
        <v/>
      </c>
      <c r="AU631" t="str">
        <f t="shared" si="234"/>
        <v/>
      </c>
      <c r="AV631">
        <f>N(AV630)+IF(AND($AB631&lt;&gt;"",OR('PROFIL ELEVE'!$K$4="(Tous)",$AF631='PROFIL ELEVE'!$K$4)),1,0)</f>
        <v>0</v>
      </c>
      <c r="AW631">
        <f>N(AW630)+IF(AND($AB631&lt;&gt;"",OR('SUIVI LONGITUDINAL'!$Q$4="(Tous)",$AF631='SUIVI LONGITUDINAL'!$Q$4)),1,0)</f>
        <v>0</v>
      </c>
      <c r="AX631">
        <f t="shared" si="235"/>
        <v>0</v>
      </c>
      <c r="AY631">
        <f t="shared" si="236"/>
        <v>0</v>
      </c>
      <c r="AZ631">
        <f t="shared" si="237"/>
        <v>0</v>
      </c>
      <c r="BA631" t="str">
        <f t="shared" si="238"/>
        <v/>
      </c>
      <c r="BB631" t="str">
        <f t="shared" si="239"/>
        <v/>
      </c>
    </row>
    <row r="632" spans="1:54" ht="14.25" customHeight="1" x14ac:dyDescent="0.3">
      <c r="A632" t="str">
        <f>IF(SAISIE!$F637="","",SAISIE!$B637)</f>
        <v/>
      </c>
      <c r="B632" t="str">
        <f>IF(SAISIE!$F637="","",SAISIE!$C637)</f>
        <v/>
      </c>
      <c r="C632" t="str">
        <f>IF(SAISIE!$F637="","",SAISIE!$D637)</f>
        <v/>
      </c>
      <c r="D632" t="str">
        <f>IF(SAISIE!$E637="","",SAISIE!$E637)</f>
        <v/>
      </c>
      <c r="E632" t="str">
        <f>IF(SAISIE!$F637="","",SAISIE!$F637)</f>
        <v/>
      </c>
      <c r="F632" t="str">
        <f>IF(SAISIE!$G637="","",SAISIE!$G637)</f>
        <v/>
      </c>
      <c r="G632" t="str">
        <f>IF(SAISIE!$H637="","",SAISIE!$H637)</f>
        <v/>
      </c>
      <c r="H632" t="str">
        <f>IF(SAISIE!$I637="","",SAISIE!$I637)</f>
        <v/>
      </c>
      <c r="I632" t="str">
        <f>IF(SAISIE!$J637="","",SAISIE!$J637)</f>
        <v/>
      </c>
      <c r="J632" t="str">
        <f>IF(SAISIE!$K637="","",SAISIE!$K637)</f>
        <v/>
      </c>
      <c r="K632" t="str">
        <f>IF(SAISIE!$L637="","",SAISIE!$L637)</f>
        <v/>
      </c>
      <c r="L632" t="str">
        <f>IF(SAISIE!$M637="","",SAISIE!$M637)</f>
        <v/>
      </c>
      <c r="M632" t="str">
        <f>IF(SAISIE!$N637="","",SAISIE!$N637)</f>
        <v/>
      </c>
      <c r="N632" t="str">
        <f>IF(SAISIE!$O637="","",SAISIE!$O637)</f>
        <v/>
      </c>
      <c r="O632" t="str">
        <f>IF(SAISIE!$P637="","",SAISIE!$P637)</f>
        <v/>
      </c>
      <c r="P632" t="str">
        <f>IF(SAISIE!$Q637="","",SAISIE!$Q637)</f>
        <v/>
      </c>
      <c r="Q632" t="str">
        <f>IF($I632="","",IF($I632&gt;PARAMETRES!$G$29,5,IF($I632&gt;PARAMETRES!$F$29,4,IF($I632&gt;PARAMETRES!$E$29,3,IF($I632&gt;PARAMETRES!$D$29,2,1)))))</f>
        <v/>
      </c>
      <c r="R632" t="str">
        <f>IF($J632="","",IF($J632&gt;PARAMETRES!$G$30,5,IF($J632&gt;PARAMETRES!$F$30,4,IF($J632&gt;PARAMETRES!$E$30,3,IF($J632&gt;PARAMETRES!$D$30,2,1)))))</f>
        <v/>
      </c>
      <c r="S632" t="str">
        <f>IF($K632="","",IF($Z632=2,IF($K632&gt;PARAMETRES!$G$31,5,IF($K632&gt;PARAMETRES!$F$31,4,IF($K632&gt;PARAMETRES!$E$31,3,IF($K632&gt;PARAMETRES!$D$31,2,1)))),IF($K632&gt;PARAMETRES!$G$32,5,IF($K632&gt;PARAMETRES!$F$32,4,IF($K632&gt;PARAMETRES!$E$32,3,IF($K632&gt;PARAMETRES!$D$32,2,1))))))</f>
        <v/>
      </c>
      <c r="T632" t="str">
        <f>IF($L632="","",IF($L632&gt;PARAMETRES!$G$33,5,IF($L632&gt;PARAMETRES!$F$33,4,IF($L632&gt;PARAMETRES!$E$33,3,IF($L632&gt;PARAMETRES!$D$33,2,1)))))</f>
        <v/>
      </c>
      <c r="U632" t="str">
        <f>IF($M632="","",IF($M632&gt;PARAMETRES!$G$34,5,IF($M632&gt;PARAMETRES!$F$34,4,IF($M632&gt;PARAMETRES!$E$34,3,IF($M632&gt;PARAMETRES!$D$34,2,1)))))</f>
        <v/>
      </c>
      <c r="V632" t="str">
        <f>IF($N632="","",IF($N632&gt;PARAMETRES!$G$35,5,IF($N632&gt;PARAMETRES!$F$35,4,IF($N632&gt;PARAMETRES!$E$35,3,IF($N632&gt;PARAMETRES!$D$35,2,1)))))</f>
        <v/>
      </c>
      <c r="W632" t="str">
        <f>IF($O632="","",IF($O632&gt;PARAMETRES!$G$36,5,IF($O632&gt;PARAMETRES!$F$36,4,IF($O632&gt;PARAMETRES!$E$36,3,IF($O632&gt;PARAMETRES!$D$36,2,1)))))</f>
        <v/>
      </c>
      <c r="X632" t="str">
        <f>IF($P632="","",IF($P632&gt;PARAMETRES!$G$37,5,IF($P632&gt;PARAMETRES!$F$37,4,IF($P632&gt;PARAMETRES!$E$37,3,IF($P632&gt;PARAMETRES!$D$37,2,1)))))</f>
        <v/>
      </c>
      <c r="Y632" t="str">
        <f t="shared" si="216"/>
        <v/>
      </c>
      <c r="Z632" t="str">
        <f>IFERROR(VLOOKUP($B632,TABLE_CYCLE,2,0),"")</f>
        <v/>
      </c>
      <c r="AA632" t="str">
        <f t="shared" si="217"/>
        <v/>
      </c>
      <c r="AB632" t="str">
        <f>IF($D632="","",IF(COUNTIF($D$2:$D632,$D632)=1,$D632,""))</f>
        <v/>
      </c>
      <c r="AC632">
        <f t="shared" si="218"/>
        <v>0</v>
      </c>
      <c r="AD632" t="str">
        <f t="shared" si="219"/>
        <v>|0</v>
      </c>
      <c r="AE632" t="str">
        <f t="shared" si="220"/>
        <v/>
      </c>
      <c r="AF632" t="str">
        <f t="shared" si="221"/>
        <v/>
      </c>
      <c r="AG632" t="str">
        <f t="shared" si="222"/>
        <v/>
      </c>
      <c r="AH632" t="str">
        <f t="shared" si="223"/>
        <v/>
      </c>
      <c r="AI632" t="str">
        <f t="shared" si="224"/>
        <v/>
      </c>
      <c r="AJ632" t="str">
        <f t="shared" si="225"/>
        <v/>
      </c>
      <c r="AK632" t="str">
        <f t="shared" si="226"/>
        <v/>
      </c>
      <c r="AL632" t="str">
        <f t="shared" si="227"/>
        <v/>
      </c>
      <c r="AM632" t="str">
        <f t="shared" si="228"/>
        <v/>
      </c>
      <c r="AN632" t="str">
        <f t="shared" si="229"/>
        <v/>
      </c>
      <c r="AO632" t="str">
        <f t="shared" si="230"/>
        <v/>
      </c>
      <c r="AP632">
        <f t="shared" si="231"/>
        <v>1</v>
      </c>
      <c r="AQ632" t="str">
        <f>IF(SAISIE!$F637="","",SAISIE!$Y637)</f>
        <v/>
      </c>
      <c r="AR632" t="str">
        <f>IF(OR(SAISIE!$U$4="",SAISIE!$W$4=""),"",IF(AND($A632=SAISIE!$U$4,$B632=SAISIE!$W$4,$C632="S1"),COUNTIFS($A$2:$A632,SAISIE!$U$4,$B$2:$B632,SAISIE!$W$4,$C$2:$C632,"S1"),""))</f>
        <v/>
      </c>
      <c r="AS632" t="str">
        <f t="shared" si="232"/>
        <v/>
      </c>
      <c r="AT632" t="str">
        <f t="shared" si="233"/>
        <v/>
      </c>
      <c r="AU632" t="str">
        <f t="shared" si="234"/>
        <v/>
      </c>
      <c r="AV632">
        <f>N(AV631)+IF(AND($AB632&lt;&gt;"",OR('PROFIL ELEVE'!$K$4="(Tous)",$AF632='PROFIL ELEVE'!$K$4)),1,0)</f>
        <v>0</v>
      </c>
      <c r="AW632">
        <f>N(AW631)+IF(AND($AB632&lt;&gt;"",OR('SUIVI LONGITUDINAL'!$Q$4="(Tous)",$AF632='SUIVI LONGITUDINAL'!$Q$4)),1,0)</f>
        <v>0</v>
      </c>
      <c r="AX632">
        <f t="shared" si="235"/>
        <v>0</v>
      </c>
      <c r="AY632">
        <f t="shared" si="236"/>
        <v>0</v>
      </c>
      <c r="AZ632">
        <f t="shared" si="237"/>
        <v>0</v>
      </c>
      <c r="BA632" t="str">
        <f t="shared" si="238"/>
        <v/>
      </c>
      <c r="BB632" t="str">
        <f t="shared" si="239"/>
        <v/>
      </c>
    </row>
    <row r="633" spans="1:54" ht="14.25" customHeight="1" x14ac:dyDescent="0.3">
      <c r="A633" t="str">
        <f>IF(SAISIE!$F638="","",SAISIE!$B638)</f>
        <v/>
      </c>
      <c r="B633" t="str">
        <f>IF(SAISIE!$F638="","",SAISIE!$C638)</f>
        <v/>
      </c>
      <c r="C633" t="str">
        <f>IF(SAISIE!$F638="","",SAISIE!$D638)</f>
        <v/>
      </c>
      <c r="D633" t="str">
        <f>IF(SAISIE!$E638="","",SAISIE!$E638)</f>
        <v/>
      </c>
      <c r="E633" t="str">
        <f>IF(SAISIE!$F638="","",SAISIE!$F638)</f>
        <v/>
      </c>
      <c r="F633" t="str">
        <f>IF(SAISIE!$G638="","",SAISIE!$G638)</f>
        <v/>
      </c>
      <c r="G633" t="str">
        <f>IF(SAISIE!$H638="","",SAISIE!$H638)</f>
        <v/>
      </c>
      <c r="H633" t="str">
        <f>IF(SAISIE!$I638="","",SAISIE!$I638)</f>
        <v/>
      </c>
      <c r="I633" t="str">
        <f>IF(SAISIE!$J638="","",SAISIE!$J638)</f>
        <v/>
      </c>
      <c r="J633" t="str">
        <f>IF(SAISIE!$K638="","",SAISIE!$K638)</f>
        <v/>
      </c>
      <c r="K633" t="str">
        <f>IF(SAISIE!$L638="","",SAISIE!$L638)</f>
        <v/>
      </c>
      <c r="L633" t="str">
        <f>IF(SAISIE!$M638="","",SAISIE!$M638)</f>
        <v/>
      </c>
      <c r="M633" t="str">
        <f>IF(SAISIE!$N638="","",SAISIE!$N638)</f>
        <v/>
      </c>
      <c r="N633" t="str">
        <f>IF(SAISIE!$O638="","",SAISIE!$O638)</f>
        <v/>
      </c>
      <c r="O633" t="str">
        <f>IF(SAISIE!$P638="","",SAISIE!$P638)</f>
        <v/>
      </c>
      <c r="P633" t="str">
        <f>IF(SAISIE!$Q638="","",SAISIE!$Q638)</f>
        <v/>
      </c>
      <c r="Q633" t="str">
        <f>IF($I633="","",IF($I633&gt;PARAMETRES!$G$29,5,IF($I633&gt;PARAMETRES!$F$29,4,IF($I633&gt;PARAMETRES!$E$29,3,IF($I633&gt;PARAMETRES!$D$29,2,1)))))</f>
        <v/>
      </c>
      <c r="R633" t="str">
        <f>IF($J633="","",IF($J633&gt;PARAMETRES!$G$30,5,IF($J633&gt;PARAMETRES!$F$30,4,IF($J633&gt;PARAMETRES!$E$30,3,IF($J633&gt;PARAMETRES!$D$30,2,1)))))</f>
        <v/>
      </c>
      <c r="S633" t="str">
        <f>IF($K633="","",IF($Z633=2,IF($K633&gt;PARAMETRES!$G$31,5,IF($K633&gt;PARAMETRES!$F$31,4,IF($K633&gt;PARAMETRES!$E$31,3,IF($K633&gt;PARAMETRES!$D$31,2,1)))),IF($K633&gt;PARAMETRES!$G$32,5,IF($K633&gt;PARAMETRES!$F$32,4,IF($K633&gt;PARAMETRES!$E$32,3,IF($K633&gt;PARAMETRES!$D$32,2,1))))))</f>
        <v/>
      </c>
      <c r="T633" t="str">
        <f>IF($L633="","",IF($L633&gt;PARAMETRES!$G$33,5,IF($L633&gt;PARAMETRES!$F$33,4,IF($L633&gt;PARAMETRES!$E$33,3,IF($L633&gt;PARAMETRES!$D$33,2,1)))))</f>
        <v/>
      </c>
      <c r="U633" t="str">
        <f>IF($M633="","",IF($M633&gt;PARAMETRES!$G$34,5,IF($M633&gt;PARAMETRES!$F$34,4,IF($M633&gt;PARAMETRES!$E$34,3,IF($M633&gt;PARAMETRES!$D$34,2,1)))))</f>
        <v/>
      </c>
      <c r="V633" t="str">
        <f>IF($N633="","",IF($N633&gt;PARAMETRES!$G$35,5,IF($N633&gt;PARAMETRES!$F$35,4,IF($N633&gt;PARAMETRES!$E$35,3,IF($N633&gt;PARAMETRES!$D$35,2,1)))))</f>
        <v/>
      </c>
      <c r="W633" t="str">
        <f>IF($O633="","",IF($O633&gt;PARAMETRES!$G$36,5,IF($O633&gt;PARAMETRES!$F$36,4,IF($O633&gt;PARAMETRES!$E$36,3,IF($O633&gt;PARAMETRES!$D$36,2,1)))))</f>
        <v/>
      </c>
      <c r="X633" t="str">
        <f>IF($P633="","",IF($P633&gt;PARAMETRES!$G$37,5,IF($P633&gt;PARAMETRES!$F$37,4,IF($P633&gt;PARAMETRES!$E$37,3,IF($P633&gt;PARAMETRES!$D$37,2,1)))))</f>
        <v/>
      </c>
      <c r="Y633" t="str">
        <f t="shared" si="216"/>
        <v/>
      </c>
      <c r="Z633" t="str">
        <f>IFERROR(VLOOKUP($B633,TABLE_CYCLE,2,0),"")</f>
        <v/>
      </c>
      <c r="AA633" t="str">
        <f t="shared" si="217"/>
        <v/>
      </c>
      <c r="AB633" t="str">
        <f>IF($D633="","",IF(COUNTIF($D$2:$D633,$D633)=1,$D633,""))</f>
        <v/>
      </c>
      <c r="AC633">
        <f t="shared" si="218"/>
        <v>0</v>
      </c>
      <c r="AD633" t="str">
        <f t="shared" si="219"/>
        <v>|0</v>
      </c>
      <c r="AE633" t="str">
        <f t="shared" si="220"/>
        <v/>
      </c>
      <c r="AF633" t="str">
        <f t="shared" si="221"/>
        <v/>
      </c>
      <c r="AG633" t="str">
        <f t="shared" si="222"/>
        <v/>
      </c>
      <c r="AH633" t="str">
        <f t="shared" si="223"/>
        <v/>
      </c>
      <c r="AI633" t="str">
        <f t="shared" si="224"/>
        <v/>
      </c>
      <c r="AJ633" t="str">
        <f t="shared" si="225"/>
        <v/>
      </c>
      <c r="AK633" t="str">
        <f t="shared" si="226"/>
        <v/>
      </c>
      <c r="AL633" t="str">
        <f t="shared" si="227"/>
        <v/>
      </c>
      <c r="AM633" t="str">
        <f t="shared" si="228"/>
        <v/>
      </c>
      <c r="AN633" t="str">
        <f t="shared" si="229"/>
        <v/>
      </c>
      <c r="AO633" t="str">
        <f t="shared" si="230"/>
        <v/>
      </c>
      <c r="AP633">
        <f t="shared" si="231"/>
        <v>1</v>
      </c>
      <c r="AQ633" t="str">
        <f>IF(SAISIE!$F638="","",SAISIE!$Y638)</f>
        <v/>
      </c>
      <c r="AR633" t="str">
        <f>IF(OR(SAISIE!$U$4="",SAISIE!$W$4=""),"",IF(AND($A633=SAISIE!$U$4,$B633=SAISIE!$W$4,$C633="S1"),COUNTIFS($A$2:$A633,SAISIE!$U$4,$B$2:$B633,SAISIE!$W$4,$C$2:$C633,"S1"),""))</f>
        <v/>
      </c>
      <c r="AS633" t="str">
        <f t="shared" si="232"/>
        <v/>
      </c>
      <c r="AT633" t="str">
        <f t="shared" si="233"/>
        <v/>
      </c>
      <c r="AU633" t="str">
        <f t="shared" si="234"/>
        <v/>
      </c>
      <c r="AV633">
        <f>N(AV632)+IF(AND($AB633&lt;&gt;"",OR('PROFIL ELEVE'!$K$4="(Tous)",$AF633='PROFIL ELEVE'!$K$4)),1,0)</f>
        <v>0</v>
      </c>
      <c r="AW633">
        <f>N(AW632)+IF(AND($AB633&lt;&gt;"",OR('SUIVI LONGITUDINAL'!$Q$4="(Tous)",$AF633='SUIVI LONGITUDINAL'!$Q$4)),1,0)</f>
        <v>0</v>
      </c>
      <c r="AX633">
        <f t="shared" si="235"/>
        <v>0</v>
      </c>
      <c r="AY633">
        <f t="shared" si="236"/>
        <v>0</v>
      </c>
      <c r="AZ633">
        <f t="shared" si="237"/>
        <v>0</v>
      </c>
      <c r="BA633" t="str">
        <f t="shared" si="238"/>
        <v/>
      </c>
      <c r="BB633" t="str">
        <f t="shared" si="239"/>
        <v/>
      </c>
    </row>
    <row r="634" spans="1:54" ht="14.25" customHeight="1" x14ac:dyDescent="0.3">
      <c r="A634" t="str">
        <f>IF(SAISIE!$F639="","",SAISIE!$B639)</f>
        <v/>
      </c>
      <c r="B634" t="str">
        <f>IF(SAISIE!$F639="","",SAISIE!$C639)</f>
        <v/>
      </c>
      <c r="C634" t="str">
        <f>IF(SAISIE!$F639="","",SAISIE!$D639)</f>
        <v/>
      </c>
      <c r="D634" t="str">
        <f>IF(SAISIE!$E639="","",SAISIE!$E639)</f>
        <v/>
      </c>
      <c r="E634" t="str">
        <f>IF(SAISIE!$F639="","",SAISIE!$F639)</f>
        <v/>
      </c>
      <c r="F634" t="str">
        <f>IF(SAISIE!$G639="","",SAISIE!$G639)</f>
        <v/>
      </c>
      <c r="G634" t="str">
        <f>IF(SAISIE!$H639="","",SAISIE!$H639)</f>
        <v/>
      </c>
      <c r="H634" t="str">
        <f>IF(SAISIE!$I639="","",SAISIE!$I639)</f>
        <v/>
      </c>
      <c r="I634" t="str">
        <f>IF(SAISIE!$J639="","",SAISIE!$J639)</f>
        <v/>
      </c>
      <c r="J634" t="str">
        <f>IF(SAISIE!$K639="","",SAISIE!$K639)</f>
        <v/>
      </c>
      <c r="K634" t="str">
        <f>IF(SAISIE!$L639="","",SAISIE!$L639)</f>
        <v/>
      </c>
      <c r="L634" t="str">
        <f>IF(SAISIE!$M639="","",SAISIE!$M639)</f>
        <v/>
      </c>
      <c r="M634" t="str">
        <f>IF(SAISIE!$N639="","",SAISIE!$N639)</f>
        <v/>
      </c>
      <c r="N634" t="str">
        <f>IF(SAISIE!$O639="","",SAISIE!$O639)</f>
        <v/>
      </c>
      <c r="O634" t="str">
        <f>IF(SAISIE!$P639="","",SAISIE!$P639)</f>
        <v/>
      </c>
      <c r="P634" t="str">
        <f>IF(SAISIE!$Q639="","",SAISIE!$Q639)</f>
        <v/>
      </c>
      <c r="Q634" t="str">
        <f>IF($I634="","",IF($I634&gt;PARAMETRES!$G$29,5,IF($I634&gt;PARAMETRES!$F$29,4,IF($I634&gt;PARAMETRES!$E$29,3,IF($I634&gt;PARAMETRES!$D$29,2,1)))))</f>
        <v/>
      </c>
      <c r="R634" t="str">
        <f>IF($J634="","",IF($J634&gt;PARAMETRES!$G$30,5,IF($J634&gt;PARAMETRES!$F$30,4,IF($J634&gt;PARAMETRES!$E$30,3,IF($J634&gt;PARAMETRES!$D$30,2,1)))))</f>
        <v/>
      </c>
      <c r="S634" t="str">
        <f>IF($K634="","",IF($Z634=2,IF($K634&gt;PARAMETRES!$G$31,5,IF($K634&gt;PARAMETRES!$F$31,4,IF($K634&gt;PARAMETRES!$E$31,3,IF($K634&gt;PARAMETRES!$D$31,2,1)))),IF($K634&gt;PARAMETRES!$G$32,5,IF($K634&gt;PARAMETRES!$F$32,4,IF($K634&gt;PARAMETRES!$E$32,3,IF($K634&gt;PARAMETRES!$D$32,2,1))))))</f>
        <v/>
      </c>
      <c r="T634" t="str">
        <f>IF($L634="","",IF($L634&gt;PARAMETRES!$G$33,5,IF($L634&gt;PARAMETRES!$F$33,4,IF($L634&gt;PARAMETRES!$E$33,3,IF($L634&gt;PARAMETRES!$D$33,2,1)))))</f>
        <v/>
      </c>
      <c r="U634" t="str">
        <f>IF($M634="","",IF($M634&gt;PARAMETRES!$G$34,5,IF($M634&gt;PARAMETRES!$F$34,4,IF($M634&gt;PARAMETRES!$E$34,3,IF($M634&gt;PARAMETRES!$D$34,2,1)))))</f>
        <v/>
      </c>
      <c r="V634" t="str">
        <f>IF($N634="","",IF($N634&gt;PARAMETRES!$G$35,5,IF($N634&gt;PARAMETRES!$F$35,4,IF($N634&gt;PARAMETRES!$E$35,3,IF($N634&gt;PARAMETRES!$D$35,2,1)))))</f>
        <v/>
      </c>
      <c r="W634" t="str">
        <f>IF($O634="","",IF($O634&gt;PARAMETRES!$G$36,5,IF($O634&gt;PARAMETRES!$F$36,4,IF($O634&gt;PARAMETRES!$E$36,3,IF($O634&gt;PARAMETRES!$D$36,2,1)))))</f>
        <v/>
      </c>
      <c r="X634" t="str">
        <f>IF($P634="","",IF($P634&gt;PARAMETRES!$G$37,5,IF($P634&gt;PARAMETRES!$F$37,4,IF($P634&gt;PARAMETRES!$E$37,3,IF($P634&gt;PARAMETRES!$D$37,2,1)))))</f>
        <v/>
      </c>
      <c r="Y634" t="str">
        <f t="shared" si="216"/>
        <v/>
      </c>
      <c r="Z634" t="str">
        <f>IFERROR(VLOOKUP($B634,TABLE_CYCLE,2,0),"")</f>
        <v/>
      </c>
      <c r="AA634" t="str">
        <f t="shared" si="217"/>
        <v/>
      </c>
      <c r="AB634" t="str">
        <f>IF($D634="","",IF(COUNTIF($D$2:$D634,$D634)=1,$D634,""))</f>
        <v/>
      </c>
      <c r="AC634">
        <f t="shared" si="218"/>
        <v>0</v>
      </c>
      <c r="AD634" t="str">
        <f t="shared" si="219"/>
        <v>|0</v>
      </c>
      <c r="AE634" t="str">
        <f t="shared" si="220"/>
        <v/>
      </c>
      <c r="AF634" t="str">
        <f t="shared" si="221"/>
        <v/>
      </c>
      <c r="AG634" t="str">
        <f t="shared" si="222"/>
        <v/>
      </c>
      <c r="AH634" t="str">
        <f t="shared" si="223"/>
        <v/>
      </c>
      <c r="AI634" t="str">
        <f t="shared" si="224"/>
        <v/>
      </c>
      <c r="AJ634" t="str">
        <f t="shared" si="225"/>
        <v/>
      </c>
      <c r="AK634" t="str">
        <f t="shared" si="226"/>
        <v/>
      </c>
      <c r="AL634" t="str">
        <f t="shared" si="227"/>
        <v/>
      </c>
      <c r="AM634" t="str">
        <f t="shared" si="228"/>
        <v/>
      </c>
      <c r="AN634" t="str">
        <f t="shared" si="229"/>
        <v/>
      </c>
      <c r="AO634" t="str">
        <f t="shared" si="230"/>
        <v/>
      </c>
      <c r="AP634">
        <f t="shared" si="231"/>
        <v>1</v>
      </c>
      <c r="AQ634" t="str">
        <f>IF(SAISIE!$F639="","",SAISIE!$Y639)</f>
        <v/>
      </c>
      <c r="AR634" t="str">
        <f>IF(OR(SAISIE!$U$4="",SAISIE!$W$4=""),"",IF(AND($A634=SAISIE!$U$4,$B634=SAISIE!$W$4,$C634="S1"),COUNTIFS($A$2:$A634,SAISIE!$U$4,$B$2:$B634,SAISIE!$W$4,$C$2:$C634,"S1"),""))</f>
        <v/>
      </c>
      <c r="AS634" t="str">
        <f t="shared" si="232"/>
        <v/>
      </c>
      <c r="AT634" t="str">
        <f t="shared" si="233"/>
        <v/>
      </c>
      <c r="AU634" t="str">
        <f t="shared" si="234"/>
        <v/>
      </c>
      <c r="AV634">
        <f>N(AV633)+IF(AND($AB634&lt;&gt;"",OR('PROFIL ELEVE'!$K$4="(Tous)",$AF634='PROFIL ELEVE'!$K$4)),1,0)</f>
        <v>0</v>
      </c>
      <c r="AW634">
        <f>N(AW633)+IF(AND($AB634&lt;&gt;"",OR('SUIVI LONGITUDINAL'!$Q$4="(Tous)",$AF634='SUIVI LONGITUDINAL'!$Q$4)),1,0)</f>
        <v>0</v>
      </c>
      <c r="AX634">
        <f t="shared" si="235"/>
        <v>0</v>
      </c>
      <c r="AY634">
        <f t="shared" si="236"/>
        <v>0</v>
      </c>
      <c r="AZ634">
        <f t="shared" si="237"/>
        <v>0</v>
      </c>
      <c r="BA634" t="str">
        <f t="shared" si="238"/>
        <v/>
      </c>
      <c r="BB634" t="str">
        <f t="shared" si="239"/>
        <v/>
      </c>
    </row>
    <row r="635" spans="1:54" ht="14.25" customHeight="1" x14ac:dyDescent="0.3">
      <c r="A635" t="str">
        <f>IF(SAISIE!$F640="","",SAISIE!$B640)</f>
        <v/>
      </c>
      <c r="B635" t="str">
        <f>IF(SAISIE!$F640="","",SAISIE!$C640)</f>
        <v/>
      </c>
      <c r="C635" t="str">
        <f>IF(SAISIE!$F640="","",SAISIE!$D640)</f>
        <v/>
      </c>
      <c r="D635" t="str">
        <f>IF(SAISIE!$E640="","",SAISIE!$E640)</f>
        <v/>
      </c>
      <c r="E635" t="str">
        <f>IF(SAISIE!$F640="","",SAISIE!$F640)</f>
        <v/>
      </c>
      <c r="F635" t="str">
        <f>IF(SAISIE!$G640="","",SAISIE!$G640)</f>
        <v/>
      </c>
      <c r="G635" t="str">
        <f>IF(SAISIE!$H640="","",SAISIE!$H640)</f>
        <v/>
      </c>
      <c r="H635" t="str">
        <f>IF(SAISIE!$I640="","",SAISIE!$I640)</f>
        <v/>
      </c>
      <c r="I635" t="str">
        <f>IF(SAISIE!$J640="","",SAISIE!$J640)</f>
        <v/>
      </c>
      <c r="J635" t="str">
        <f>IF(SAISIE!$K640="","",SAISIE!$K640)</f>
        <v/>
      </c>
      <c r="K635" t="str">
        <f>IF(SAISIE!$L640="","",SAISIE!$L640)</f>
        <v/>
      </c>
      <c r="L635" t="str">
        <f>IF(SAISIE!$M640="","",SAISIE!$M640)</f>
        <v/>
      </c>
      <c r="M635" t="str">
        <f>IF(SAISIE!$N640="","",SAISIE!$N640)</f>
        <v/>
      </c>
      <c r="N635" t="str">
        <f>IF(SAISIE!$O640="","",SAISIE!$O640)</f>
        <v/>
      </c>
      <c r="O635" t="str">
        <f>IF(SAISIE!$P640="","",SAISIE!$P640)</f>
        <v/>
      </c>
      <c r="P635" t="str">
        <f>IF(SAISIE!$Q640="","",SAISIE!$Q640)</f>
        <v/>
      </c>
      <c r="Q635" t="str">
        <f>IF($I635="","",IF($I635&gt;PARAMETRES!$G$29,5,IF($I635&gt;PARAMETRES!$F$29,4,IF($I635&gt;PARAMETRES!$E$29,3,IF($I635&gt;PARAMETRES!$D$29,2,1)))))</f>
        <v/>
      </c>
      <c r="R635" t="str">
        <f>IF($J635="","",IF($J635&gt;PARAMETRES!$G$30,5,IF($J635&gt;PARAMETRES!$F$30,4,IF($J635&gt;PARAMETRES!$E$30,3,IF($J635&gt;PARAMETRES!$D$30,2,1)))))</f>
        <v/>
      </c>
      <c r="S635" t="str">
        <f>IF($K635="","",IF($Z635=2,IF($K635&gt;PARAMETRES!$G$31,5,IF($K635&gt;PARAMETRES!$F$31,4,IF($K635&gt;PARAMETRES!$E$31,3,IF($K635&gt;PARAMETRES!$D$31,2,1)))),IF($K635&gt;PARAMETRES!$G$32,5,IF($K635&gt;PARAMETRES!$F$32,4,IF($K635&gt;PARAMETRES!$E$32,3,IF($K635&gt;PARAMETRES!$D$32,2,1))))))</f>
        <v/>
      </c>
      <c r="T635" t="str">
        <f>IF($L635="","",IF($L635&gt;PARAMETRES!$G$33,5,IF($L635&gt;PARAMETRES!$F$33,4,IF($L635&gt;PARAMETRES!$E$33,3,IF($L635&gt;PARAMETRES!$D$33,2,1)))))</f>
        <v/>
      </c>
      <c r="U635" t="str">
        <f>IF($M635="","",IF($M635&gt;PARAMETRES!$G$34,5,IF($M635&gt;PARAMETRES!$F$34,4,IF($M635&gt;PARAMETRES!$E$34,3,IF($M635&gt;PARAMETRES!$D$34,2,1)))))</f>
        <v/>
      </c>
      <c r="V635" t="str">
        <f>IF($N635="","",IF($N635&gt;PARAMETRES!$G$35,5,IF($N635&gt;PARAMETRES!$F$35,4,IF($N635&gt;PARAMETRES!$E$35,3,IF($N635&gt;PARAMETRES!$D$35,2,1)))))</f>
        <v/>
      </c>
      <c r="W635" t="str">
        <f>IF($O635="","",IF($O635&gt;PARAMETRES!$G$36,5,IF($O635&gt;PARAMETRES!$F$36,4,IF($O635&gt;PARAMETRES!$E$36,3,IF($O635&gt;PARAMETRES!$D$36,2,1)))))</f>
        <v/>
      </c>
      <c r="X635" t="str">
        <f>IF($P635="","",IF($P635&gt;PARAMETRES!$G$37,5,IF($P635&gt;PARAMETRES!$F$37,4,IF($P635&gt;PARAMETRES!$E$37,3,IF($P635&gt;PARAMETRES!$D$37,2,1)))))</f>
        <v/>
      </c>
      <c r="Y635" t="str">
        <f t="shared" si="216"/>
        <v/>
      </c>
      <c r="Z635" t="str">
        <f>IFERROR(VLOOKUP($B635,TABLE_CYCLE,2,0),"")</f>
        <v/>
      </c>
      <c r="AA635" t="str">
        <f t="shared" si="217"/>
        <v/>
      </c>
      <c r="AB635" t="str">
        <f>IF($D635="","",IF(COUNTIF($D$2:$D635,$D635)=1,$D635,""))</f>
        <v/>
      </c>
      <c r="AC635">
        <f t="shared" si="218"/>
        <v>0</v>
      </c>
      <c r="AD635" t="str">
        <f t="shared" si="219"/>
        <v>|0</v>
      </c>
      <c r="AE635" t="str">
        <f t="shared" si="220"/>
        <v/>
      </c>
      <c r="AF635" t="str">
        <f t="shared" si="221"/>
        <v/>
      </c>
      <c r="AG635" t="str">
        <f t="shared" si="222"/>
        <v/>
      </c>
      <c r="AH635" t="str">
        <f t="shared" si="223"/>
        <v/>
      </c>
      <c r="AI635" t="str">
        <f t="shared" si="224"/>
        <v/>
      </c>
      <c r="AJ635" t="str">
        <f t="shared" si="225"/>
        <v/>
      </c>
      <c r="AK635" t="str">
        <f t="shared" si="226"/>
        <v/>
      </c>
      <c r="AL635" t="str">
        <f t="shared" si="227"/>
        <v/>
      </c>
      <c r="AM635" t="str">
        <f t="shared" si="228"/>
        <v/>
      </c>
      <c r="AN635" t="str">
        <f t="shared" si="229"/>
        <v/>
      </c>
      <c r="AO635" t="str">
        <f t="shared" si="230"/>
        <v/>
      </c>
      <c r="AP635">
        <f t="shared" si="231"/>
        <v>1</v>
      </c>
      <c r="AQ635" t="str">
        <f>IF(SAISIE!$F640="","",SAISIE!$Y640)</f>
        <v/>
      </c>
      <c r="AR635" t="str">
        <f>IF(OR(SAISIE!$U$4="",SAISIE!$W$4=""),"",IF(AND($A635=SAISIE!$U$4,$B635=SAISIE!$W$4,$C635="S1"),COUNTIFS($A$2:$A635,SAISIE!$U$4,$B$2:$B635,SAISIE!$W$4,$C$2:$C635,"S1"),""))</f>
        <v/>
      </c>
      <c r="AS635" t="str">
        <f t="shared" si="232"/>
        <v/>
      </c>
      <c r="AT635" t="str">
        <f t="shared" si="233"/>
        <v/>
      </c>
      <c r="AU635" t="str">
        <f t="shared" si="234"/>
        <v/>
      </c>
      <c r="AV635">
        <f>N(AV634)+IF(AND($AB635&lt;&gt;"",OR('PROFIL ELEVE'!$K$4="(Tous)",$AF635='PROFIL ELEVE'!$K$4)),1,0)</f>
        <v>0</v>
      </c>
      <c r="AW635">
        <f>N(AW634)+IF(AND($AB635&lt;&gt;"",OR('SUIVI LONGITUDINAL'!$Q$4="(Tous)",$AF635='SUIVI LONGITUDINAL'!$Q$4)),1,0)</f>
        <v>0</v>
      </c>
      <c r="AX635">
        <f t="shared" si="235"/>
        <v>0</v>
      </c>
      <c r="AY635">
        <f t="shared" si="236"/>
        <v>0</v>
      </c>
      <c r="AZ635">
        <f t="shared" si="237"/>
        <v>0</v>
      </c>
      <c r="BA635" t="str">
        <f t="shared" si="238"/>
        <v/>
      </c>
      <c r="BB635" t="str">
        <f t="shared" si="239"/>
        <v/>
      </c>
    </row>
    <row r="636" spans="1:54" ht="14.25" customHeight="1" x14ac:dyDescent="0.3">
      <c r="A636" t="str">
        <f>IF(SAISIE!$F641="","",SAISIE!$B641)</f>
        <v/>
      </c>
      <c r="B636" t="str">
        <f>IF(SAISIE!$F641="","",SAISIE!$C641)</f>
        <v/>
      </c>
      <c r="C636" t="str">
        <f>IF(SAISIE!$F641="","",SAISIE!$D641)</f>
        <v/>
      </c>
      <c r="D636" t="str">
        <f>IF(SAISIE!$E641="","",SAISIE!$E641)</f>
        <v/>
      </c>
      <c r="E636" t="str">
        <f>IF(SAISIE!$F641="","",SAISIE!$F641)</f>
        <v/>
      </c>
      <c r="F636" t="str">
        <f>IF(SAISIE!$G641="","",SAISIE!$G641)</f>
        <v/>
      </c>
      <c r="G636" t="str">
        <f>IF(SAISIE!$H641="","",SAISIE!$H641)</f>
        <v/>
      </c>
      <c r="H636" t="str">
        <f>IF(SAISIE!$I641="","",SAISIE!$I641)</f>
        <v/>
      </c>
      <c r="I636" t="str">
        <f>IF(SAISIE!$J641="","",SAISIE!$J641)</f>
        <v/>
      </c>
      <c r="J636" t="str">
        <f>IF(SAISIE!$K641="","",SAISIE!$K641)</f>
        <v/>
      </c>
      <c r="K636" t="str">
        <f>IF(SAISIE!$L641="","",SAISIE!$L641)</f>
        <v/>
      </c>
      <c r="L636" t="str">
        <f>IF(SAISIE!$M641="","",SAISIE!$M641)</f>
        <v/>
      </c>
      <c r="M636" t="str">
        <f>IF(SAISIE!$N641="","",SAISIE!$N641)</f>
        <v/>
      </c>
      <c r="N636" t="str">
        <f>IF(SAISIE!$O641="","",SAISIE!$O641)</f>
        <v/>
      </c>
      <c r="O636" t="str">
        <f>IF(SAISIE!$P641="","",SAISIE!$P641)</f>
        <v/>
      </c>
      <c r="P636" t="str">
        <f>IF(SAISIE!$Q641="","",SAISIE!$Q641)</f>
        <v/>
      </c>
      <c r="Q636" t="str">
        <f>IF($I636="","",IF($I636&gt;PARAMETRES!$G$29,5,IF($I636&gt;PARAMETRES!$F$29,4,IF($I636&gt;PARAMETRES!$E$29,3,IF($I636&gt;PARAMETRES!$D$29,2,1)))))</f>
        <v/>
      </c>
      <c r="R636" t="str">
        <f>IF($J636="","",IF($J636&gt;PARAMETRES!$G$30,5,IF($J636&gt;PARAMETRES!$F$30,4,IF($J636&gt;PARAMETRES!$E$30,3,IF($J636&gt;PARAMETRES!$D$30,2,1)))))</f>
        <v/>
      </c>
      <c r="S636" t="str">
        <f>IF($K636="","",IF($Z636=2,IF($K636&gt;PARAMETRES!$G$31,5,IF($K636&gt;PARAMETRES!$F$31,4,IF($K636&gt;PARAMETRES!$E$31,3,IF($K636&gt;PARAMETRES!$D$31,2,1)))),IF($K636&gt;PARAMETRES!$G$32,5,IF($K636&gt;PARAMETRES!$F$32,4,IF($K636&gt;PARAMETRES!$E$32,3,IF($K636&gt;PARAMETRES!$D$32,2,1))))))</f>
        <v/>
      </c>
      <c r="T636" t="str">
        <f>IF($L636="","",IF($L636&gt;PARAMETRES!$G$33,5,IF($L636&gt;PARAMETRES!$F$33,4,IF($L636&gt;PARAMETRES!$E$33,3,IF($L636&gt;PARAMETRES!$D$33,2,1)))))</f>
        <v/>
      </c>
      <c r="U636" t="str">
        <f>IF($M636="","",IF($M636&gt;PARAMETRES!$G$34,5,IF($M636&gt;PARAMETRES!$F$34,4,IF($M636&gt;PARAMETRES!$E$34,3,IF($M636&gt;PARAMETRES!$D$34,2,1)))))</f>
        <v/>
      </c>
      <c r="V636" t="str">
        <f>IF($N636="","",IF($N636&gt;PARAMETRES!$G$35,5,IF($N636&gt;PARAMETRES!$F$35,4,IF($N636&gt;PARAMETRES!$E$35,3,IF($N636&gt;PARAMETRES!$D$35,2,1)))))</f>
        <v/>
      </c>
      <c r="W636" t="str">
        <f>IF($O636="","",IF($O636&gt;PARAMETRES!$G$36,5,IF($O636&gt;PARAMETRES!$F$36,4,IF($O636&gt;PARAMETRES!$E$36,3,IF($O636&gt;PARAMETRES!$D$36,2,1)))))</f>
        <v/>
      </c>
      <c r="X636" t="str">
        <f>IF($P636="","",IF($P636&gt;PARAMETRES!$G$37,5,IF($P636&gt;PARAMETRES!$F$37,4,IF($P636&gt;PARAMETRES!$E$37,3,IF($P636&gt;PARAMETRES!$D$37,2,1)))))</f>
        <v/>
      </c>
      <c r="Y636" t="str">
        <f t="shared" si="216"/>
        <v/>
      </c>
      <c r="Z636" t="str">
        <f>IFERROR(VLOOKUP($B636,TABLE_CYCLE,2,0),"")</f>
        <v/>
      </c>
      <c r="AA636" t="str">
        <f t="shared" si="217"/>
        <v/>
      </c>
      <c r="AB636" t="str">
        <f>IF($D636="","",IF(COUNTIF($D$2:$D636,$D636)=1,$D636,""))</f>
        <v/>
      </c>
      <c r="AC636">
        <f t="shared" si="218"/>
        <v>0</v>
      </c>
      <c r="AD636" t="str">
        <f t="shared" si="219"/>
        <v>|0</v>
      </c>
      <c r="AE636" t="str">
        <f t="shared" si="220"/>
        <v/>
      </c>
      <c r="AF636" t="str">
        <f t="shared" si="221"/>
        <v/>
      </c>
      <c r="AG636" t="str">
        <f t="shared" si="222"/>
        <v/>
      </c>
      <c r="AH636" t="str">
        <f t="shared" si="223"/>
        <v/>
      </c>
      <c r="AI636" t="str">
        <f t="shared" si="224"/>
        <v/>
      </c>
      <c r="AJ636" t="str">
        <f t="shared" si="225"/>
        <v/>
      </c>
      <c r="AK636" t="str">
        <f t="shared" si="226"/>
        <v/>
      </c>
      <c r="AL636" t="str">
        <f t="shared" si="227"/>
        <v/>
      </c>
      <c r="AM636" t="str">
        <f t="shared" si="228"/>
        <v/>
      </c>
      <c r="AN636" t="str">
        <f t="shared" si="229"/>
        <v/>
      </c>
      <c r="AO636" t="str">
        <f t="shared" si="230"/>
        <v/>
      </c>
      <c r="AP636">
        <f t="shared" si="231"/>
        <v>1</v>
      </c>
      <c r="AQ636" t="str">
        <f>IF(SAISIE!$F641="","",SAISIE!$Y641)</f>
        <v/>
      </c>
      <c r="AR636" t="str">
        <f>IF(OR(SAISIE!$U$4="",SAISIE!$W$4=""),"",IF(AND($A636=SAISIE!$U$4,$B636=SAISIE!$W$4,$C636="S1"),COUNTIFS($A$2:$A636,SAISIE!$U$4,$B$2:$B636,SAISIE!$W$4,$C$2:$C636,"S1"),""))</f>
        <v/>
      </c>
      <c r="AS636" t="str">
        <f t="shared" si="232"/>
        <v/>
      </c>
      <c r="AT636" t="str">
        <f t="shared" si="233"/>
        <v/>
      </c>
      <c r="AU636" t="str">
        <f t="shared" si="234"/>
        <v/>
      </c>
      <c r="AV636">
        <f>N(AV635)+IF(AND($AB636&lt;&gt;"",OR('PROFIL ELEVE'!$K$4="(Tous)",$AF636='PROFIL ELEVE'!$K$4)),1,0)</f>
        <v>0</v>
      </c>
      <c r="AW636">
        <f>N(AW635)+IF(AND($AB636&lt;&gt;"",OR('SUIVI LONGITUDINAL'!$Q$4="(Tous)",$AF636='SUIVI LONGITUDINAL'!$Q$4)),1,0)</f>
        <v>0</v>
      </c>
      <c r="AX636">
        <f t="shared" si="235"/>
        <v>0</v>
      </c>
      <c r="AY636">
        <f t="shared" si="236"/>
        <v>0</v>
      </c>
      <c r="AZ636">
        <f t="shared" si="237"/>
        <v>0</v>
      </c>
      <c r="BA636" t="str">
        <f t="shared" si="238"/>
        <v/>
      </c>
      <c r="BB636" t="str">
        <f t="shared" si="239"/>
        <v/>
      </c>
    </row>
    <row r="637" spans="1:54" ht="14.25" customHeight="1" x14ac:dyDescent="0.3">
      <c r="A637" t="str">
        <f>IF(SAISIE!$F642="","",SAISIE!$B642)</f>
        <v/>
      </c>
      <c r="B637" t="str">
        <f>IF(SAISIE!$F642="","",SAISIE!$C642)</f>
        <v/>
      </c>
      <c r="C637" t="str">
        <f>IF(SAISIE!$F642="","",SAISIE!$D642)</f>
        <v/>
      </c>
      <c r="D637" t="str">
        <f>IF(SAISIE!$E642="","",SAISIE!$E642)</f>
        <v/>
      </c>
      <c r="E637" t="str">
        <f>IF(SAISIE!$F642="","",SAISIE!$F642)</f>
        <v/>
      </c>
      <c r="F637" t="str">
        <f>IF(SAISIE!$G642="","",SAISIE!$G642)</f>
        <v/>
      </c>
      <c r="G637" t="str">
        <f>IF(SAISIE!$H642="","",SAISIE!$H642)</f>
        <v/>
      </c>
      <c r="H637" t="str">
        <f>IF(SAISIE!$I642="","",SAISIE!$I642)</f>
        <v/>
      </c>
      <c r="I637" t="str">
        <f>IF(SAISIE!$J642="","",SAISIE!$J642)</f>
        <v/>
      </c>
      <c r="J637" t="str">
        <f>IF(SAISIE!$K642="","",SAISIE!$K642)</f>
        <v/>
      </c>
      <c r="K637" t="str">
        <f>IF(SAISIE!$L642="","",SAISIE!$L642)</f>
        <v/>
      </c>
      <c r="L637" t="str">
        <f>IF(SAISIE!$M642="","",SAISIE!$M642)</f>
        <v/>
      </c>
      <c r="M637" t="str">
        <f>IF(SAISIE!$N642="","",SAISIE!$N642)</f>
        <v/>
      </c>
      <c r="N637" t="str">
        <f>IF(SAISIE!$O642="","",SAISIE!$O642)</f>
        <v/>
      </c>
      <c r="O637" t="str">
        <f>IF(SAISIE!$P642="","",SAISIE!$P642)</f>
        <v/>
      </c>
      <c r="P637" t="str">
        <f>IF(SAISIE!$Q642="","",SAISIE!$Q642)</f>
        <v/>
      </c>
      <c r="Q637" t="str">
        <f>IF($I637="","",IF($I637&gt;PARAMETRES!$G$29,5,IF($I637&gt;PARAMETRES!$F$29,4,IF($I637&gt;PARAMETRES!$E$29,3,IF($I637&gt;PARAMETRES!$D$29,2,1)))))</f>
        <v/>
      </c>
      <c r="R637" t="str">
        <f>IF($J637="","",IF($J637&gt;PARAMETRES!$G$30,5,IF($J637&gt;PARAMETRES!$F$30,4,IF($J637&gt;PARAMETRES!$E$30,3,IF($J637&gt;PARAMETRES!$D$30,2,1)))))</f>
        <v/>
      </c>
      <c r="S637" t="str">
        <f>IF($K637="","",IF($Z637=2,IF($K637&gt;PARAMETRES!$G$31,5,IF($K637&gt;PARAMETRES!$F$31,4,IF($K637&gt;PARAMETRES!$E$31,3,IF($K637&gt;PARAMETRES!$D$31,2,1)))),IF($K637&gt;PARAMETRES!$G$32,5,IF($K637&gt;PARAMETRES!$F$32,4,IF($K637&gt;PARAMETRES!$E$32,3,IF($K637&gt;PARAMETRES!$D$32,2,1))))))</f>
        <v/>
      </c>
      <c r="T637" t="str">
        <f>IF($L637="","",IF($L637&gt;PARAMETRES!$G$33,5,IF($L637&gt;PARAMETRES!$F$33,4,IF($L637&gt;PARAMETRES!$E$33,3,IF($L637&gt;PARAMETRES!$D$33,2,1)))))</f>
        <v/>
      </c>
      <c r="U637" t="str">
        <f>IF($M637="","",IF($M637&gt;PARAMETRES!$G$34,5,IF($M637&gt;PARAMETRES!$F$34,4,IF($M637&gt;PARAMETRES!$E$34,3,IF($M637&gt;PARAMETRES!$D$34,2,1)))))</f>
        <v/>
      </c>
      <c r="V637" t="str">
        <f>IF($N637="","",IF($N637&gt;PARAMETRES!$G$35,5,IF($N637&gt;PARAMETRES!$F$35,4,IF($N637&gt;PARAMETRES!$E$35,3,IF($N637&gt;PARAMETRES!$D$35,2,1)))))</f>
        <v/>
      </c>
      <c r="W637" t="str">
        <f>IF($O637="","",IF($O637&gt;PARAMETRES!$G$36,5,IF($O637&gt;PARAMETRES!$F$36,4,IF($O637&gt;PARAMETRES!$E$36,3,IF($O637&gt;PARAMETRES!$D$36,2,1)))))</f>
        <v/>
      </c>
      <c r="X637" t="str">
        <f>IF($P637="","",IF($P637&gt;PARAMETRES!$G$37,5,IF($P637&gt;PARAMETRES!$F$37,4,IF($P637&gt;PARAMETRES!$E$37,3,IF($P637&gt;PARAMETRES!$D$37,2,1)))))</f>
        <v/>
      </c>
      <c r="Y637" t="str">
        <f t="shared" si="216"/>
        <v/>
      </c>
      <c r="Z637" t="str">
        <f>IFERROR(VLOOKUP($B637,TABLE_CYCLE,2,0),"")</f>
        <v/>
      </c>
      <c r="AA637" t="str">
        <f t="shared" si="217"/>
        <v/>
      </c>
      <c r="AB637" t="str">
        <f>IF($D637="","",IF(COUNTIF($D$2:$D637,$D637)=1,$D637,""))</f>
        <v/>
      </c>
      <c r="AC637">
        <f t="shared" si="218"/>
        <v>0</v>
      </c>
      <c r="AD637" t="str">
        <f t="shared" si="219"/>
        <v>|0</v>
      </c>
      <c r="AE637" t="str">
        <f t="shared" si="220"/>
        <v/>
      </c>
      <c r="AF637" t="str">
        <f t="shared" si="221"/>
        <v/>
      </c>
      <c r="AG637" t="str">
        <f t="shared" si="222"/>
        <v/>
      </c>
      <c r="AH637" t="str">
        <f t="shared" si="223"/>
        <v/>
      </c>
      <c r="AI637" t="str">
        <f t="shared" si="224"/>
        <v/>
      </c>
      <c r="AJ637" t="str">
        <f t="shared" si="225"/>
        <v/>
      </c>
      <c r="AK637" t="str">
        <f t="shared" si="226"/>
        <v/>
      </c>
      <c r="AL637" t="str">
        <f t="shared" si="227"/>
        <v/>
      </c>
      <c r="AM637" t="str">
        <f t="shared" si="228"/>
        <v/>
      </c>
      <c r="AN637" t="str">
        <f t="shared" si="229"/>
        <v/>
      </c>
      <c r="AO637" t="str">
        <f t="shared" si="230"/>
        <v/>
      </c>
      <c r="AP637">
        <f t="shared" si="231"/>
        <v>1</v>
      </c>
      <c r="AQ637" t="str">
        <f>IF(SAISIE!$F642="","",SAISIE!$Y642)</f>
        <v/>
      </c>
      <c r="AR637" t="str">
        <f>IF(OR(SAISIE!$U$4="",SAISIE!$W$4=""),"",IF(AND($A637=SAISIE!$U$4,$B637=SAISIE!$W$4,$C637="S1"),COUNTIFS($A$2:$A637,SAISIE!$U$4,$B$2:$B637,SAISIE!$W$4,$C$2:$C637,"S1"),""))</f>
        <v/>
      </c>
      <c r="AS637" t="str">
        <f t="shared" si="232"/>
        <v/>
      </c>
      <c r="AT637" t="str">
        <f t="shared" si="233"/>
        <v/>
      </c>
      <c r="AU637" t="str">
        <f t="shared" si="234"/>
        <v/>
      </c>
      <c r="AV637">
        <f>N(AV636)+IF(AND($AB637&lt;&gt;"",OR('PROFIL ELEVE'!$K$4="(Tous)",$AF637='PROFIL ELEVE'!$K$4)),1,0)</f>
        <v>0</v>
      </c>
      <c r="AW637">
        <f>N(AW636)+IF(AND($AB637&lt;&gt;"",OR('SUIVI LONGITUDINAL'!$Q$4="(Tous)",$AF637='SUIVI LONGITUDINAL'!$Q$4)),1,0)</f>
        <v>0</v>
      </c>
      <c r="AX637">
        <f t="shared" si="235"/>
        <v>0</v>
      </c>
      <c r="AY637">
        <f t="shared" si="236"/>
        <v>0</v>
      </c>
      <c r="AZ637">
        <f t="shared" si="237"/>
        <v>0</v>
      </c>
      <c r="BA637" t="str">
        <f t="shared" si="238"/>
        <v/>
      </c>
      <c r="BB637" t="str">
        <f t="shared" si="239"/>
        <v/>
      </c>
    </row>
    <row r="638" spans="1:54" ht="14.25" customHeight="1" x14ac:dyDescent="0.3">
      <c r="A638" t="str">
        <f>IF(SAISIE!$F643="","",SAISIE!$B643)</f>
        <v/>
      </c>
      <c r="B638" t="str">
        <f>IF(SAISIE!$F643="","",SAISIE!$C643)</f>
        <v/>
      </c>
      <c r="C638" t="str">
        <f>IF(SAISIE!$F643="","",SAISIE!$D643)</f>
        <v/>
      </c>
      <c r="D638" t="str">
        <f>IF(SAISIE!$E643="","",SAISIE!$E643)</f>
        <v/>
      </c>
      <c r="E638" t="str">
        <f>IF(SAISIE!$F643="","",SAISIE!$F643)</f>
        <v/>
      </c>
      <c r="F638" t="str">
        <f>IF(SAISIE!$G643="","",SAISIE!$G643)</f>
        <v/>
      </c>
      <c r="G638" t="str">
        <f>IF(SAISIE!$H643="","",SAISIE!$H643)</f>
        <v/>
      </c>
      <c r="H638" t="str">
        <f>IF(SAISIE!$I643="","",SAISIE!$I643)</f>
        <v/>
      </c>
      <c r="I638" t="str">
        <f>IF(SAISIE!$J643="","",SAISIE!$J643)</f>
        <v/>
      </c>
      <c r="J638" t="str">
        <f>IF(SAISIE!$K643="","",SAISIE!$K643)</f>
        <v/>
      </c>
      <c r="K638" t="str">
        <f>IF(SAISIE!$L643="","",SAISIE!$L643)</f>
        <v/>
      </c>
      <c r="L638" t="str">
        <f>IF(SAISIE!$M643="","",SAISIE!$M643)</f>
        <v/>
      </c>
      <c r="M638" t="str">
        <f>IF(SAISIE!$N643="","",SAISIE!$N643)</f>
        <v/>
      </c>
      <c r="N638" t="str">
        <f>IF(SAISIE!$O643="","",SAISIE!$O643)</f>
        <v/>
      </c>
      <c r="O638" t="str">
        <f>IF(SAISIE!$P643="","",SAISIE!$P643)</f>
        <v/>
      </c>
      <c r="P638" t="str">
        <f>IF(SAISIE!$Q643="","",SAISIE!$Q643)</f>
        <v/>
      </c>
      <c r="Q638" t="str">
        <f>IF($I638="","",IF($I638&gt;PARAMETRES!$G$29,5,IF($I638&gt;PARAMETRES!$F$29,4,IF($I638&gt;PARAMETRES!$E$29,3,IF($I638&gt;PARAMETRES!$D$29,2,1)))))</f>
        <v/>
      </c>
      <c r="R638" t="str">
        <f>IF($J638="","",IF($J638&gt;PARAMETRES!$G$30,5,IF($J638&gt;PARAMETRES!$F$30,4,IF($J638&gt;PARAMETRES!$E$30,3,IF($J638&gt;PARAMETRES!$D$30,2,1)))))</f>
        <v/>
      </c>
      <c r="S638" t="str">
        <f>IF($K638="","",IF($Z638=2,IF($K638&gt;PARAMETRES!$G$31,5,IF($K638&gt;PARAMETRES!$F$31,4,IF($K638&gt;PARAMETRES!$E$31,3,IF($K638&gt;PARAMETRES!$D$31,2,1)))),IF($K638&gt;PARAMETRES!$G$32,5,IF($K638&gt;PARAMETRES!$F$32,4,IF($K638&gt;PARAMETRES!$E$32,3,IF($K638&gt;PARAMETRES!$D$32,2,1))))))</f>
        <v/>
      </c>
      <c r="T638" t="str">
        <f>IF($L638="","",IF($L638&gt;PARAMETRES!$G$33,5,IF($L638&gt;PARAMETRES!$F$33,4,IF($L638&gt;PARAMETRES!$E$33,3,IF($L638&gt;PARAMETRES!$D$33,2,1)))))</f>
        <v/>
      </c>
      <c r="U638" t="str">
        <f>IF($M638="","",IF($M638&gt;PARAMETRES!$G$34,5,IF($M638&gt;PARAMETRES!$F$34,4,IF($M638&gt;PARAMETRES!$E$34,3,IF($M638&gt;PARAMETRES!$D$34,2,1)))))</f>
        <v/>
      </c>
      <c r="V638" t="str">
        <f>IF($N638="","",IF($N638&gt;PARAMETRES!$G$35,5,IF($N638&gt;PARAMETRES!$F$35,4,IF($N638&gt;PARAMETRES!$E$35,3,IF($N638&gt;PARAMETRES!$D$35,2,1)))))</f>
        <v/>
      </c>
      <c r="W638" t="str">
        <f>IF($O638="","",IF($O638&gt;PARAMETRES!$G$36,5,IF($O638&gt;PARAMETRES!$F$36,4,IF($O638&gt;PARAMETRES!$E$36,3,IF($O638&gt;PARAMETRES!$D$36,2,1)))))</f>
        <v/>
      </c>
      <c r="X638" t="str">
        <f>IF($P638="","",IF($P638&gt;PARAMETRES!$G$37,5,IF($P638&gt;PARAMETRES!$F$37,4,IF($P638&gt;PARAMETRES!$E$37,3,IF($P638&gt;PARAMETRES!$D$37,2,1)))))</f>
        <v/>
      </c>
      <c r="Y638" t="str">
        <f t="shared" si="216"/>
        <v/>
      </c>
      <c r="Z638" t="str">
        <f>IFERROR(VLOOKUP($B638,TABLE_CYCLE,2,0),"")</f>
        <v/>
      </c>
      <c r="AA638" t="str">
        <f t="shared" si="217"/>
        <v/>
      </c>
      <c r="AB638" t="str">
        <f>IF($D638="","",IF(COUNTIF($D$2:$D638,$D638)=1,$D638,""))</f>
        <v/>
      </c>
      <c r="AC638">
        <f t="shared" si="218"/>
        <v>0</v>
      </c>
      <c r="AD638" t="str">
        <f t="shared" si="219"/>
        <v>|0</v>
      </c>
      <c r="AE638" t="str">
        <f t="shared" si="220"/>
        <v/>
      </c>
      <c r="AF638" t="str">
        <f t="shared" si="221"/>
        <v/>
      </c>
      <c r="AG638" t="str">
        <f t="shared" si="222"/>
        <v/>
      </c>
      <c r="AH638" t="str">
        <f t="shared" si="223"/>
        <v/>
      </c>
      <c r="AI638" t="str">
        <f t="shared" si="224"/>
        <v/>
      </c>
      <c r="AJ638" t="str">
        <f t="shared" si="225"/>
        <v/>
      </c>
      <c r="AK638" t="str">
        <f t="shared" si="226"/>
        <v/>
      </c>
      <c r="AL638" t="str">
        <f t="shared" si="227"/>
        <v/>
      </c>
      <c r="AM638" t="str">
        <f t="shared" si="228"/>
        <v/>
      </c>
      <c r="AN638" t="str">
        <f t="shared" si="229"/>
        <v/>
      </c>
      <c r="AO638" t="str">
        <f t="shared" si="230"/>
        <v/>
      </c>
      <c r="AP638">
        <f t="shared" si="231"/>
        <v>1</v>
      </c>
      <c r="AQ638" t="str">
        <f>IF(SAISIE!$F643="","",SAISIE!$Y643)</f>
        <v/>
      </c>
      <c r="AR638" t="str">
        <f>IF(OR(SAISIE!$U$4="",SAISIE!$W$4=""),"",IF(AND($A638=SAISIE!$U$4,$B638=SAISIE!$W$4,$C638="S1"),COUNTIFS($A$2:$A638,SAISIE!$U$4,$B$2:$B638,SAISIE!$W$4,$C$2:$C638,"S1"),""))</f>
        <v/>
      </c>
      <c r="AS638" t="str">
        <f t="shared" si="232"/>
        <v/>
      </c>
      <c r="AT638" t="str">
        <f t="shared" si="233"/>
        <v/>
      </c>
      <c r="AU638" t="str">
        <f t="shared" si="234"/>
        <v/>
      </c>
      <c r="AV638">
        <f>N(AV637)+IF(AND($AB638&lt;&gt;"",OR('PROFIL ELEVE'!$K$4="(Tous)",$AF638='PROFIL ELEVE'!$K$4)),1,0)</f>
        <v>0</v>
      </c>
      <c r="AW638">
        <f>N(AW637)+IF(AND($AB638&lt;&gt;"",OR('SUIVI LONGITUDINAL'!$Q$4="(Tous)",$AF638='SUIVI LONGITUDINAL'!$Q$4)),1,0)</f>
        <v>0</v>
      </c>
      <c r="AX638">
        <f t="shared" si="235"/>
        <v>0</v>
      </c>
      <c r="AY638">
        <f t="shared" si="236"/>
        <v>0</v>
      </c>
      <c r="AZ638">
        <f t="shared" si="237"/>
        <v>0</v>
      </c>
      <c r="BA638" t="str">
        <f t="shared" si="238"/>
        <v/>
      </c>
      <c r="BB638" t="str">
        <f t="shared" si="239"/>
        <v/>
      </c>
    </row>
    <row r="639" spans="1:54" ht="14.25" customHeight="1" x14ac:dyDescent="0.3">
      <c r="A639" t="str">
        <f>IF(SAISIE!$F644="","",SAISIE!$B644)</f>
        <v/>
      </c>
      <c r="B639" t="str">
        <f>IF(SAISIE!$F644="","",SAISIE!$C644)</f>
        <v/>
      </c>
      <c r="C639" t="str">
        <f>IF(SAISIE!$F644="","",SAISIE!$D644)</f>
        <v/>
      </c>
      <c r="D639" t="str">
        <f>IF(SAISIE!$E644="","",SAISIE!$E644)</f>
        <v/>
      </c>
      <c r="E639" t="str">
        <f>IF(SAISIE!$F644="","",SAISIE!$F644)</f>
        <v/>
      </c>
      <c r="F639" t="str">
        <f>IF(SAISIE!$G644="","",SAISIE!$G644)</f>
        <v/>
      </c>
      <c r="G639" t="str">
        <f>IF(SAISIE!$H644="","",SAISIE!$H644)</f>
        <v/>
      </c>
      <c r="H639" t="str">
        <f>IF(SAISIE!$I644="","",SAISIE!$I644)</f>
        <v/>
      </c>
      <c r="I639" t="str">
        <f>IF(SAISIE!$J644="","",SAISIE!$J644)</f>
        <v/>
      </c>
      <c r="J639" t="str">
        <f>IF(SAISIE!$K644="","",SAISIE!$K644)</f>
        <v/>
      </c>
      <c r="K639" t="str">
        <f>IF(SAISIE!$L644="","",SAISIE!$L644)</f>
        <v/>
      </c>
      <c r="L639" t="str">
        <f>IF(SAISIE!$M644="","",SAISIE!$M644)</f>
        <v/>
      </c>
      <c r="M639" t="str">
        <f>IF(SAISIE!$N644="","",SAISIE!$N644)</f>
        <v/>
      </c>
      <c r="N639" t="str">
        <f>IF(SAISIE!$O644="","",SAISIE!$O644)</f>
        <v/>
      </c>
      <c r="O639" t="str">
        <f>IF(SAISIE!$P644="","",SAISIE!$P644)</f>
        <v/>
      </c>
      <c r="P639" t="str">
        <f>IF(SAISIE!$Q644="","",SAISIE!$Q644)</f>
        <v/>
      </c>
      <c r="Q639" t="str">
        <f>IF($I639="","",IF($I639&gt;PARAMETRES!$G$29,5,IF($I639&gt;PARAMETRES!$F$29,4,IF($I639&gt;PARAMETRES!$E$29,3,IF($I639&gt;PARAMETRES!$D$29,2,1)))))</f>
        <v/>
      </c>
      <c r="R639" t="str">
        <f>IF($J639="","",IF($J639&gt;PARAMETRES!$G$30,5,IF($J639&gt;PARAMETRES!$F$30,4,IF($J639&gt;PARAMETRES!$E$30,3,IF($J639&gt;PARAMETRES!$D$30,2,1)))))</f>
        <v/>
      </c>
      <c r="S639" t="str">
        <f>IF($K639="","",IF($Z639=2,IF($K639&gt;PARAMETRES!$G$31,5,IF($K639&gt;PARAMETRES!$F$31,4,IF($K639&gt;PARAMETRES!$E$31,3,IF($K639&gt;PARAMETRES!$D$31,2,1)))),IF($K639&gt;PARAMETRES!$G$32,5,IF($K639&gt;PARAMETRES!$F$32,4,IF($K639&gt;PARAMETRES!$E$32,3,IF($K639&gt;PARAMETRES!$D$32,2,1))))))</f>
        <v/>
      </c>
      <c r="T639" t="str">
        <f>IF($L639="","",IF($L639&gt;PARAMETRES!$G$33,5,IF($L639&gt;PARAMETRES!$F$33,4,IF($L639&gt;PARAMETRES!$E$33,3,IF($L639&gt;PARAMETRES!$D$33,2,1)))))</f>
        <v/>
      </c>
      <c r="U639" t="str">
        <f>IF($M639="","",IF($M639&gt;PARAMETRES!$G$34,5,IF($M639&gt;PARAMETRES!$F$34,4,IF($M639&gt;PARAMETRES!$E$34,3,IF($M639&gt;PARAMETRES!$D$34,2,1)))))</f>
        <v/>
      </c>
      <c r="V639" t="str">
        <f>IF($N639="","",IF($N639&gt;PARAMETRES!$G$35,5,IF($N639&gt;PARAMETRES!$F$35,4,IF($N639&gt;PARAMETRES!$E$35,3,IF($N639&gt;PARAMETRES!$D$35,2,1)))))</f>
        <v/>
      </c>
      <c r="W639" t="str">
        <f>IF($O639="","",IF($O639&gt;PARAMETRES!$G$36,5,IF($O639&gt;PARAMETRES!$F$36,4,IF($O639&gt;PARAMETRES!$E$36,3,IF($O639&gt;PARAMETRES!$D$36,2,1)))))</f>
        <v/>
      </c>
      <c r="X639" t="str">
        <f>IF($P639="","",IF($P639&gt;PARAMETRES!$G$37,5,IF($P639&gt;PARAMETRES!$F$37,4,IF($P639&gt;PARAMETRES!$E$37,3,IF($P639&gt;PARAMETRES!$D$37,2,1)))))</f>
        <v/>
      </c>
      <c r="Y639" t="str">
        <f t="shared" si="216"/>
        <v/>
      </c>
      <c r="Z639" t="str">
        <f>IFERROR(VLOOKUP($B639,TABLE_CYCLE,2,0),"")</f>
        <v/>
      </c>
      <c r="AA639" t="str">
        <f t="shared" si="217"/>
        <v/>
      </c>
      <c r="AB639" t="str">
        <f>IF($D639="","",IF(COUNTIF($D$2:$D639,$D639)=1,$D639,""))</f>
        <v/>
      </c>
      <c r="AC639">
        <f t="shared" si="218"/>
        <v>0</v>
      </c>
      <c r="AD639" t="str">
        <f t="shared" si="219"/>
        <v>|0</v>
      </c>
      <c r="AE639" t="str">
        <f t="shared" si="220"/>
        <v/>
      </c>
      <c r="AF639" t="str">
        <f t="shared" si="221"/>
        <v/>
      </c>
      <c r="AG639" t="str">
        <f t="shared" si="222"/>
        <v/>
      </c>
      <c r="AH639" t="str">
        <f t="shared" si="223"/>
        <v/>
      </c>
      <c r="AI639" t="str">
        <f t="shared" si="224"/>
        <v/>
      </c>
      <c r="AJ639" t="str">
        <f t="shared" si="225"/>
        <v/>
      </c>
      <c r="AK639" t="str">
        <f t="shared" si="226"/>
        <v/>
      </c>
      <c r="AL639" t="str">
        <f t="shared" si="227"/>
        <v/>
      </c>
      <c r="AM639" t="str">
        <f t="shared" si="228"/>
        <v/>
      </c>
      <c r="AN639" t="str">
        <f t="shared" si="229"/>
        <v/>
      </c>
      <c r="AO639" t="str">
        <f t="shared" si="230"/>
        <v/>
      </c>
      <c r="AP639">
        <f t="shared" si="231"/>
        <v>1</v>
      </c>
      <c r="AQ639" t="str">
        <f>IF(SAISIE!$F644="","",SAISIE!$Y644)</f>
        <v/>
      </c>
      <c r="AR639" t="str">
        <f>IF(OR(SAISIE!$U$4="",SAISIE!$W$4=""),"",IF(AND($A639=SAISIE!$U$4,$B639=SAISIE!$W$4,$C639="S1"),COUNTIFS($A$2:$A639,SAISIE!$U$4,$B$2:$B639,SAISIE!$W$4,$C$2:$C639,"S1"),""))</f>
        <v/>
      </c>
      <c r="AS639" t="str">
        <f t="shared" si="232"/>
        <v/>
      </c>
      <c r="AT639" t="str">
        <f t="shared" si="233"/>
        <v/>
      </c>
      <c r="AU639" t="str">
        <f t="shared" si="234"/>
        <v/>
      </c>
      <c r="AV639">
        <f>N(AV638)+IF(AND($AB639&lt;&gt;"",OR('PROFIL ELEVE'!$K$4="(Tous)",$AF639='PROFIL ELEVE'!$K$4)),1,0)</f>
        <v>0</v>
      </c>
      <c r="AW639">
        <f>N(AW638)+IF(AND($AB639&lt;&gt;"",OR('SUIVI LONGITUDINAL'!$Q$4="(Tous)",$AF639='SUIVI LONGITUDINAL'!$Q$4)),1,0)</f>
        <v>0</v>
      </c>
      <c r="AX639">
        <f t="shared" si="235"/>
        <v>0</v>
      </c>
      <c r="AY639">
        <f t="shared" si="236"/>
        <v>0</v>
      </c>
      <c r="AZ639">
        <f t="shared" si="237"/>
        <v>0</v>
      </c>
      <c r="BA639" t="str">
        <f t="shared" si="238"/>
        <v/>
      </c>
      <c r="BB639" t="str">
        <f t="shared" si="239"/>
        <v/>
      </c>
    </row>
    <row r="640" spans="1:54" ht="14.25" customHeight="1" x14ac:dyDescent="0.3">
      <c r="A640" t="str">
        <f>IF(SAISIE!$F645="","",SAISIE!$B645)</f>
        <v/>
      </c>
      <c r="B640" t="str">
        <f>IF(SAISIE!$F645="","",SAISIE!$C645)</f>
        <v/>
      </c>
      <c r="C640" t="str">
        <f>IF(SAISIE!$F645="","",SAISIE!$D645)</f>
        <v/>
      </c>
      <c r="D640" t="str">
        <f>IF(SAISIE!$E645="","",SAISIE!$E645)</f>
        <v/>
      </c>
      <c r="E640" t="str">
        <f>IF(SAISIE!$F645="","",SAISIE!$F645)</f>
        <v/>
      </c>
      <c r="F640" t="str">
        <f>IF(SAISIE!$G645="","",SAISIE!$G645)</f>
        <v/>
      </c>
      <c r="G640" t="str">
        <f>IF(SAISIE!$H645="","",SAISIE!$H645)</f>
        <v/>
      </c>
      <c r="H640" t="str">
        <f>IF(SAISIE!$I645="","",SAISIE!$I645)</f>
        <v/>
      </c>
      <c r="I640" t="str">
        <f>IF(SAISIE!$J645="","",SAISIE!$J645)</f>
        <v/>
      </c>
      <c r="J640" t="str">
        <f>IF(SAISIE!$K645="","",SAISIE!$K645)</f>
        <v/>
      </c>
      <c r="K640" t="str">
        <f>IF(SAISIE!$L645="","",SAISIE!$L645)</f>
        <v/>
      </c>
      <c r="L640" t="str">
        <f>IF(SAISIE!$M645="","",SAISIE!$M645)</f>
        <v/>
      </c>
      <c r="M640" t="str">
        <f>IF(SAISIE!$N645="","",SAISIE!$N645)</f>
        <v/>
      </c>
      <c r="N640" t="str">
        <f>IF(SAISIE!$O645="","",SAISIE!$O645)</f>
        <v/>
      </c>
      <c r="O640" t="str">
        <f>IF(SAISIE!$P645="","",SAISIE!$P645)</f>
        <v/>
      </c>
      <c r="P640" t="str">
        <f>IF(SAISIE!$Q645="","",SAISIE!$Q645)</f>
        <v/>
      </c>
      <c r="Q640" t="str">
        <f>IF($I640="","",IF($I640&gt;PARAMETRES!$G$29,5,IF($I640&gt;PARAMETRES!$F$29,4,IF($I640&gt;PARAMETRES!$E$29,3,IF($I640&gt;PARAMETRES!$D$29,2,1)))))</f>
        <v/>
      </c>
      <c r="R640" t="str">
        <f>IF($J640="","",IF($J640&gt;PARAMETRES!$G$30,5,IF($J640&gt;PARAMETRES!$F$30,4,IF($J640&gt;PARAMETRES!$E$30,3,IF($J640&gt;PARAMETRES!$D$30,2,1)))))</f>
        <v/>
      </c>
      <c r="S640" t="str">
        <f>IF($K640="","",IF($Z640=2,IF($K640&gt;PARAMETRES!$G$31,5,IF($K640&gt;PARAMETRES!$F$31,4,IF($K640&gt;PARAMETRES!$E$31,3,IF($K640&gt;PARAMETRES!$D$31,2,1)))),IF($K640&gt;PARAMETRES!$G$32,5,IF($K640&gt;PARAMETRES!$F$32,4,IF($K640&gt;PARAMETRES!$E$32,3,IF($K640&gt;PARAMETRES!$D$32,2,1))))))</f>
        <v/>
      </c>
      <c r="T640" t="str">
        <f>IF($L640="","",IF($L640&gt;PARAMETRES!$G$33,5,IF($L640&gt;PARAMETRES!$F$33,4,IF($L640&gt;PARAMETRES!$E$33,3,IF($L640&gt;PARAMETRES!$D$33,2,1)))))</f>
        <v/>
      </c>
      <c r="U640" t="str">
        <f>IF($M640="","",IF($M640&gt;PARAMETRES!$G$34,5,IF($M640&gt;PARAMETRES!$F$34,4,IF($M640&gt;PARAMETRES!$E$34,3,IF($M640&gt;PARAMETRES!$D$34,2,1)))))</f>
        <v/>
      </c>
      <c r="V640" t="str">
        <f>IF($N640="","",IF($N640&gt;PARAMETRES!$G$35,5,IF($N640&gt;PARAMETRES!$F$35,4,IF($N640&gt;PARAMETRES!$E$35,3,IF($N640&gt;PARAMETRES!$D$35,2,1)))))</f>
        <v/>
      </c>
      <c r="W640" t="str">
        <f>IF($O640="","",IF($O640&gt;PARAMETRES!$G$36,5,IF($O640&gt;PARAMETRES!$F$36,4,IF($O640&gt;PARAMETRES!$E$36,3,IF($O640&gt;PARAMETRES!$D$36,2,1)))))</f>
        <v/>
      </c>
      <c r="X640" t="str">
        <f>IF($P640="","",IF($P640&gt;PARAMETRES!$G$37,5,IF($P640&gt;PARAMETRES!$F$37,4,IF($P640&gt;PARAMETRES!$E$37,3,IF($P640&gt;PARAMETRES!$D$37,2,1)))))</f>
        <v/>
      </c>
      <c r="Y640" t="str">
        <f t="shared" si="216"/>
        <v/>
      </c>
      <c r="Z640" t="str">
        <f>IFERROR(VLOOKUP($B640,TABLE_CYCLE,2,0),"")</f>
        <v/>
      </c>
      <c r="AA640" t="str">
        <f t="shared" si="217"/>
        <v/>
      </c>
      <c r="AB640" t="str">
        <f>IF($D640="","",IF(COUNTIF($D$2:$D640,$D640)=1,$D640,""))</f>
        <v/>
      </c>
      <c r="AC640">
        <f t="shared" si="218"/>
        <v>0</v>
      </c>
      <c r="AD640" t="str">
        <f t="shared" si="219"/>
        <v>|0</v>
      </c>
      <c r="AE640" t="str">
        <f t="shared" si="220"/>
        <v/>
      </c>
      <c r="AF640" t="str">
        <f t="shared" si="221"/>
        <v/>
      </c>
      <c r="AG640" t="str">
        <f t="shared" si="222"/>
        <v/>
      </c>
      <c r="AH640" t="str">
        <f t="shared" si="223"/>
        <v/>
      </c>
      <c r="AI640" t="str">
        <f t="shared" si="224"/>
        <v/>
      </c>
      <c r="AJ640" t="str">
        <f t="shared" si="225"/>
        <v/>
      </c>
      <c r="AK640" t="str">
        <f t="shared" si="226"/>
        <v/>
      </c>
      <c r="AL640" t="str">
        <f t="shared" si="227"/>
        <v/>
      </c>
      <c r="AM640" t="str">
        <f t="shared" si="228"/>
        <v/>
      </c>
      <c r="AN640" t="str">
        <f t="shared" si="229"/>
        <v/>
      </c>
      <c r="AO640" t="str">
        <f t="shared" si="230"/>
        <v/>
      </c>
      <c r="AP640">
        <f t="shared" si="231"/>
        <v>1</v>
      </c>
      <c r="AQ640" t="str">
        <f>IF(SAISIE!$F645="","",SAISIE!$Y645)</f>
        <v/>
      </c>
      <c r="AR640" t="str">
        <f>IF(OR(SAISIE!$U$4="",SAISIE!$W$4=""),"",IF(AND($A640=SAISIE!$U$4,$B640=SAISIE!$W$4,$C640="S1"),COUNTIFS($A$2:$A640,SAISIE!$U$4,$B$2:$B640,SAISIE!$W$4,$C$2:$C640,"S1"),""))</f>
        <v/>
      </c>
      <c r="AS640" t="str">
        <f t="shared" si="232"/>
        <v/>
      </c>
      <c r="AT640" t="str">
        <f t="shared" si="233"/>
        <v/>
      </c>
      <c r="AU640" t="str">
        <f t="shared" si="234"/>
        <v/>
      </c>
      <c r="AV640">
        <f>N(AV639)+IF(AND($AB640&lt;&gt;"",OR('PROFIL ELEVE'!$K$4="(Tous)",$AF640='PROFIL ELEVE'!$K$4)),1,0)</f>
        <v>0</v>
      </c>
      <c r="AW640">
        <f>N(AW639)+IF(AND($AB640&lt;&gt;"",OR('SUIVI LONGITUDINAL'!$Q$4="(Tous)",$AF640='SUIVI LONGITUDINAL'!$Q$4)),1,0)</f>
        <v>0</v>
      </c>
      <c r="AX640">
        <f t="shared" si="235"/>
        <v>0</v>
      </c>
      <c r="AY640">
        <f t="shared" si="236"/>
        <v>0</v>
      </c>
      <c r="AZ640">
        <f t="shared" si="237"/>
        <v>0</v>
      </c>
      <c r="BA640" t="str">
        <f t="shared" si="238"/>
        <v/>
      </c>
      <c r="BB640" t="str">
        <f t="shared" si="239"/>
        <v/>
      </c>
    </row>
    <row r="641" spans="1:54" ht="14.25" customHeight="1" x14ac:dyDescent="0.3">
      <c r="A641" t="str">
        <f>IF(SAISIE!$F646="","",SAISIE!$B646)</f>
        <v/>
      </c>
      <c r="B641" t="str">
        <f>IF(SAISIE!$F646="","",SAISIE!$C646)</f>
        <v/>
      </c>
      <c r="C641" t="str">
        <f>IF(SAISIE!$F646="","",SAISIE!$D646)</f>
        <v/>
      </c>
      <c r="D641" t="str">
        <f>IF(SAISIE!$E646="","",SAISIE!$E646)</f>
        <v/>
      </c>
      <c r="E641" t="str">
        <f>IF(SAISIE!$F646="","",SAISIE!$F646)</f>
        <v/>
      </c>
      <c r="F641" t="str">
        <f>IF(SAISIE!$G646="","",SAISIE!$G646)</f>
        <v/>
      </c>
      <c r="G641" t="str">
        <f>IF(SAISIE!$H646="","",SAISIE!$H646)</f>
        <v/>
      </c>
      <c r="H641" t="str">
        <f>IF(SAISIE!$I646="","",SAISIE!$I646)</f>
        <v/>
      </c>
      <c r="I641" t="str">
        <f>IF(SAISIE!$J646="","",SAISIE!$J646)</f>
        <v/>
      </c>
      <c r="J641" t="str">
        <f>IF(SAISIE!$K646="","",SAISIE!$K646)</f>
        <v/>
      </c>
      <c r="K641" t="str">
        <f>IF(SAISIE!$L646="","",SAISIE!$L646)</f>
        <v/>
      </c>
      <c r="L641" t="str">
        <f>IF(SAISIE!$M646="","",SAISIE!$M646)</f>
        <v/>
      </c>
      <c r="M641" t="str">
        <f>IF(SAISIE!$N646="","",SAISIE!$N646)</f>
        <v/>
      </c>
      <c r="N641" t="str">
        <f>IF(SAISIE!$O646="","",SAISIE!$O646)</f>
        <v/>
      </c>
      <c r="O641" t="str">
        <f>IF(SAISIE!$P646="","",SAISIE!$P646)</f>
        <v/>
      </c>
      <c r="P641" t="str">
        <f>IF(SAISIE!$Q646="","",SAISIE!$Q646)</f>
        <v/>
      </c>
      <c r="Q641" t="str">
        <f>IF($I641="","",IF($I641&gt;PARAMETRES!$G$29,5,IF($I641&gt;PARAMETRES!$F$29,4,IF($I641&gt;PARAMETRES!$E$29,3,IF($I641&gt;PARAMETRES!$D$29,2,1)))))</f>
        <v/>
      </c>
      <c r="R641" t="str">
        <f>IF($J641="","",IF($J641&gt;PARAMETRES!$G$30,5,IF($J641&gt;PARAMETRES!$F$30,4,IF($J641&gt;PARAMETRES!$E$30,3,IF($J641&gt;PARAMETRES!$D$30,2,1)))))</f>
        <v/>
      </c>
      <c r="S641" t="str">
        <f>IF($K641="","",IF($Z641=2,IF($K641&gt;PARAMETRES!$G$31,5,IF($K641&gt;PARAMETRES!$F$31,4,IF($K641&gt;PARAMETRES!$E$31,3,IF($K641&gt;PARAMETRES!$D$31,2,1)))),IF($K641&gt;PARAMETRES!$G$32,5,IF($K641&gt;PARAMETRES!$F$32,4,IF($K641&gt;PARAMETRES!$E$32,3,IF($K641&gt;PARAMETRES!$D$32,2,1))))))</f>
        <v/>
      </c>
      <c r="T641" t="str">
        <f>IF($L641="","",IF($L641&gt;PARAMETRES!$G$33,5,IF($L641&gt;PARAMETRES!$F$33,4,IF($L641&gt;PARAMETRES!$E$33,3,IF($L641&gt;PARAMETRES!$D$33,2,1)))))</f>
        <v/>
      </c>
      <c r="U641" t="str">
        <f>IF($M641="","",IF($M641&gt;PARAMETRES!$G$34,5,IF($M641&gt;PARAMETRES!$F$34,4,IF($M641&gt;PARAMETRES!$E$34,3,IF($M641&gt;PARAMETRES!$D$34,2,1)))))</f>
        <v/>
      </c>
      <c r="V641" t="str">
        <f>IF($N641="","",IF($N641&gt;PARAMETRES!$G$35,5,IF($N641&gt;PARAMETRES!$F$35,4,IF($N641&gt;PARAMETRES!$E$35,3,IF($N641&gt;PARAMETRES!$D$35,2,1)))))</f>
        <v/>
      </c>
      <c r="W641" t="str">
        <f>IF($O641="","",IF($O641&gt;PARAMETRES!$G$36,5,IF($O641&gt;PARAMETRES!$F$36,4,IF($O641&gt;PARAMETRES!$E$36,3,IF($O641&gt;PARAMETRES!$D$36,2,1)))))</f>
        <v/>
      </c>
      <c r="X641" t="str">
        <f>IF($P641="","",IF($P641&gt;PARAMETRES!$G$37,5,IF($P641&gt;PARAMETRES!$F$37,4,IF($P641&gt;PARAMETRES!$E$37,3,IF($P641&gt;PARAMETRES!$D$37,2,1)))))</f>
        <v/>
      </c>
      <c r="Y641" t="str">
        <f t="shared" si="216"/>
        <v/>
      </c>
      <c r="Z641" t="str">
        <f>IFERROR(VLOOKUP($B641,TABLE_CYCLE,2,0),"")</f>
        <v/>
      </c>
      <c r="AA641" t="str">
        <f t="shared" si="217"/>
        <v/>
      </c>
      <c r="AB641" t="str">
        <f>IF($D641="","",IF(COUNTIF($D$2:$D641,$D641)=1,$D641,""))</f>
        <v/>
      </c>
      <c r="AC641">
        <f t="shared" si="218"/>
        <v>0</v>
      </c>
      <c r="AD641" t="str">
        <f t="shared" si="219"/>
        <v>|0</v>
      </c>
      <c r="AE641" t="str">
        <f t="shared" si="220"/>
        <v/>
      </c>
      <c r="AF641" t="str">
        <f t="shared" si="221"/>
        <v/>
      </c>
      <c r="AG641" t="str">
        <f t="shared" si="222"/>
        <v/>
      </c>
      <c r="AH641" t="str">
        <f t="shared" si="223"/>
        <v/>
      </c>
      <c r="AI641" t="str">
        <f t="shared" si="224"/>
        <v/>
      </c>
      <c r="AJ641" t="str">
        <f t="shared" si="225"/>
        <v/>
      </c>
      <c r="AK641" t="str">
        <f t="shared" si="226"/>
        <v/>
      </c>
      <c r="AL641" t="str">
        <f t="shared" si="227"/>
        <v/>
      </c>
      <c r="AM641" t="str">
        <f t="shared" si="228"/>
        <v/>
      </c>
      <c r="AN641" t="str">
        <f t="shared" si="229"/>
        <v/>
      </c>
      <c r="AO641" t="str">
        <f t="shared" si="230"/>
        <v/>
      </c>
      <c r="AP641">
        <f t="shared" si="231"/>
        <v>1</v>
      </c>
      <c r="AQ641" t="str">
        <f>IF(SAISIE!$F646="","",SAISIE!$Y646)</f>
        <v/>
      </c>
      <c r="AR641" t="str">
        <f>IF(OR(SAISIE!$U$4="",SAISIE!$W$4=""),"",IF(AND($A641=SAISIE!$U$4,$B641=SAISIE!$W$4,$C641="S1"),COUNTIFS($A$2:$A641,SAISIE!$U$4,$B$2:$B641,SAISIE!$W$4,$C$2:$C641,"S1"),""))</f>
        <v/>
      </c>
      <c r="AS641" t="str">
        <f t="shared" si="232"/>
        <v/>
      </c>
      <c r="AT641" t="str">
        <f t="shared" si="233"/>
        <v/>
      </c>
      <c r="AU641" t="str">
        <f t="shared" si="234"/>
        <v/>
      </c>
      <c r="AV641">
        <f>N(AV640)+IF(AND($AB641&lt;&gt;"",OR('PROFIL ELEVE'!$K$4="(Tous)",$AF641='PROFIL ELEVE'!$K$4)),1,0)</f>
        <v>0</v>
      </c>
      <c r="AW641">
        <f>N(AW640)+IF(AND($AB641&lt;&gt;"",OR('SUIVI LONGITUDINAL'!$Q$4="(Tous)",$AF641='SUIVI LONGITUDINAL'!$Q$4)),1,0)</f>
        <v>0</v>
      </c>
      <c r="AX641">
        <f t="shared" si="235"/>
        <v>0</v>
      </c>
      <c r="AY641">
        <f t="shared" si="236"/>
        <v>0</v>
      </c>
      <c r="AZ641">
        <f t="shared" si="237"/>
        <v>0</v>
      </c>
      <c r="BA641" t="str">
        <f t="shared" si="238"/>
        <v/>
      </c>
      <c r="BB641" t="str">
        <f t="shared" si="239"/>
        <v/>
      </c>
    </row>
    <row r="642" spans="1:54" ht="14.25" customHeight="1" x14ac:dyDescent="0.3">
      <c r="A642" t="str">
        <f>IF(SAISIE!$F647="","",SAISIE!$B647)</f>
        <v/>
      </c>
      <c r="B642" t="str">
        <f>IF(SAISIE!$F647="","",SAISIE!$C647)</f>
        <v/>
      </c>
      <c r="C642" t="str">
        <f>IF(SAISIE!$F647="","",SAISIE!$D647)</f>
        <v/>
      </c>
      <c r="D642" t="str">
        <f>IF(SAISIE!$E647="","",SAISIE!$E647)</f>
        <v/>
      </c>
      <c r="E642" t="str">
        <f>IF(SAISIE!$F647="","",SAISIE!$F647)</f>
        <v/>
      </c>
      <c r="F642" t="str">
        <f>IF(SAISIE!$G647="","",SAISIE!$G647)</f>
        <v/>
      </c>
      <c r="G642" t="str">
        <f>IF(SAISIE!$H647="","",SAISIE!$H647)</f>
        <v/>
      </c>
      <c r="H642" t="str">
        <f>IF(SAISIE!$I647="","",SAISIE!$I647)</f>
        <v/>
      </c>
      <c r="I642" t="str">
        <f>IF(SAISIE!$J647="","",SAISIE!$J647)</f>
        <v/>
      </c>
      <c r="J642" t="str">
        <f>IF(SAISIE!$K647="","",SAISIE!$K647)</f>
        <v/>
      </c>
      <c r="K642" t="str">
        <f>IF(SAISIE!$L647="","",SAISIE!$L647)</f>
        <v/>
      </c>
      <c r="L642" t="str">
        <f>IF(SAISIE!$M647="","",SAISIE!$M647)</f>
        <v/>
      </c>
      <c r="M642" t="str">
        <f>IF(SAISIE!$N647="","",SAISIE!$N647)</f>
        <v/>
      </c>
      <c r="N642" t="str">
        <f>IF(SAISIE!$O647="","",SAISIE!$O647)</f>
        <v/>
      </c>
      <c r="O642" t="str">
        <f>IF(SAISIE!$P647="","",SAISIE!$P647)</f>
        <v/>
      </c>
      <c r="P642" t="str">
        <f>IF(SAISIE!$Q647="","",SAISIE!$Q647)</f>
        <v/>
      </c>
      <c r="Q642" t="str">
        <f>IF($I642="","",IF($I642&gt;PARAMETRES!$G$29,5,IF($I642&gt;PARAMETRES!$F$29,4,IF($I642&gt;PARAMETRES!$E$29,3,IF($I642&gt;PARAMETRES!$D$29,2,1)))))</f>
        <v/>
      </c>
      <c r="R642" t="str">
        <f>IF($J642="","",IF($J642&gt;PARAMETRES!$G$30,5,IF($J642&gt;PARAMETRES!$F$30,4,IF($J642&gt;PARAMETRES!$E$30,3,IF($J642&gt;PARAMETRES!$D$30,2,1)))))</f>
        <v/>
      </c>
      <c r="S642" t="str">
        <f>IF($K642="","",IF($Z642=2,IF($K642&gt;PARAMETRES!$G$31,5,IF($K642&gt;PARAMETRES!$F$31,4,IF($K642&gt;PARAMETRES!$E$31,3,IF($K642&gt;PARAMETRES!$D$31,2,1)))),IF($K642&gt;PARAMETRES!$G$32,5,IF($K642&gt;PARAMETRES!$F$32,4,IF($K642&gt;PARAMETRES!$E$32,3,IF($K642&gt;PARAMETRES!$D$32,2,1))))))</f>
        <v/>
      </c>
      <c r="T642" t="str">
        <f>IF($L642="","",IF($L642&gt;PARAMETRES!$G$33,5,IF($L642&gt;PARAMETRES!$F$33,4,IF($L642&gt;PARAMETRES!$E$33,3,IF($L642&gt;PARAMETRES!$D$33,2,1)))))</f>
        <v/>
      </c>
      <c r="U642" t="str">
        <f>IF($M642="","",IF($M642&gt;PARAMETRES!$G$34,5,IF($M642&gt;PARAMETRES!$F$34,4,IF($M642&gt;PARAMETRES!$E$34,3,IF($M642&gt;PARAMETRES!$D$34,2,1)))))</f>
        <v/>
      </c>
      <c r="V642" t="str">
        <f>IF($N642="","",IF($N642&gt;PARAMETRES!$G$35,5,IF($N642&gt;PARAMETRES!$F$35,4,IF($N642&gt;PARAMETRES!$E$35,3,IF($N642&gt;PARAMETRES!$D$35,2,1)))))</f>
        <v/>
      </c>
      <c r="W642" t="str">
        <f>IF($O642="","",IF($O642&gt;PARAMETRES!$G$36,5,IF($O642&gt;PARAMETRES!$F$36,4,IF($O642&gt;PARAMETRES!$E$36,3,IF($O642&gt;PARAMETRES!$D$36,2,1)))))</f>
        <v/>
      </c>
      <c r="X642" t="str">
        <f>IF($P642="","",IF($P642&gt;PARAMETRES!$G$37,5,IF($P642&gt;PARAMETRES!$F$37,4,IF($P642&gt;PARAMETRES!$E$37,3,IF($P642&gt;PARAMETRES!$D$37,2,1)))))</f>
        <v/>
      </c>
      <c r="Y642" t="str">
        <f t="shared" ref="Y642:Y705" si="240">IF(COUNT($Q642:$X642)=0,"",AVERAGE($Q642:$X642))</f>
        <v/>
      </c>
      <c r="Z642" t="str">
        <f>IFERROR(VLOOKUP($B642,TABLE_CYCLE,2,0),"")</f>
        <v/>
      </c>
      <c r="AA642" t="str">
        <f t="shared" ref="AA642:AA705" si="241">IF($D642="","",$D642&amp;"|"&amp;$A642&amp;"|"&amp;$C642)</f>
        <v/>
      </c>
      <c r="AB642" t="str">
        <f>IF($D642="","",IF(COUNTIF($D$2:$D642,$D642)=1,$D642,""))</f>
        <v/>
      </c>
      <c r="AC642">
        <f t="shared" ref="AC642:AC705" si="242">IFERROR(MATCH($A642,LISTE_ANNEES,0),0)</f>
        <v>0</v>
      </c>
      <c r="AD642" t="str">
        <f t="shared" ref="AD642:AD705" si="243">$D642&amp;"|"&amp;$AC642</f>
        <v>|0</v>
      </c>
      <c r="AE642" t="str">
        <f t="shared" ref="AE642:AE705" si="244">IF($D642="","",_xlfn.MAXIFS($AC$2:$AC$1201,$D$2:$D$1201,$D642))</f>
        <v/>
      </c>
      <c r="AF642" t="str">
        <f t="shared" ref="AF642:AF705" si="245">IF($AB642="","",IFERROR(INDEX($B$2:$B$1201,MATCH($D642&amp;"|"&amp;$AE642,$AD$2:$AD$1201,0)),""))</f>
        <v/>
      </c>
      <c r="AG642" t="str">
        <f t="shared" ref="AG642:AG705" si="246">IF($C642&lt;&gt;"S1","",IFERROR(MATCH($D642&amp;"|"&amp;$A642&amp;"|S2",$AA$2:$AA$1201,0),""))</f>
        <v/>
      </c>
      <c r="AH642" t="str">
        <f t="shared" ref="AH642:AH705" si="247">IF(OR($AG642="",$Q642=""),"",IF(INDEX($Q$2:$Q$1201,$AG642)="","",IF(INDEX($Q$2:$Q$1201,$AG642)&gt;$Q642,1,IF(INDEX($Q$2:$Q$1201,$AG642)&lt;$Q642,-1,0))))</f>
        <v/>
      </c>
      <c r="AI642" t="str">
        <f t="shared" ref="AI642:AI705" si="248">IF(OR($AG642="",$R642=""),"",IF(INDEX($R$2:$R$1201,$AG642)="","",IF(INDEX($R$2:$R$1201,$AG642)&gt;$R642,1,IF(INDEX($R$2:$R$1201,$AG642)&lt;$R642,-1,0))))</f>
        <v/>
      </c>
      <c r="AJ642" t="str">
        <f t="shared" ref="AJ642:AJ705" si="249">IF(OR($AG642="",$S642=""),"",IF(INDEX($S$2:$S$1201,$AG642)="","",IF(INDEX($S$2:$S$1201,$AG642)&gt;$S642,1,IF(INDEX($S$2:$S$1201,$AG642)&lt;$S642,-1,0))))</f>
        <v/>
      </c>
      <c r="AK642" t="str">
        <f t="shared" ref="AK642:AK705" si="250">IF(OR($AG642="",$T642=""),"",IF(INDEX($T$2:$T$1201,$AG642)="","",IF(INDEX($T$2:$T$1201,$AG642)&gt;$T642,1,IF(INDEX($T$2:$T$1201,$AG642)&lt;$T642,-1,0))))</f>
        <v/>
      </c>
      <c r="AL642" t="str">
        <f t="shared" ref="AL642:AL705" si="251">IF(OR($AG642="",$U642=""),"",IF(INDEX($U$2:$U$1201,$AG642)="","",IF(INDEX($U$2:$U$1201,$AG642)&gt;$U642,1,IF(INDEX($U$2:$U$1201,$AG642)&lt;$U642,-1,0))))</f>
        <v/>
      </c>
      <c r="AM642" t="str">
        <f t="shared" ref="AM642:AM705" si="252">IF(OR($AG642="",$V642=""),"",IF(INDEX($V$2:$V$1201,$AG642)="","",IF(INDEX($V$2:$V$1201,$AG642)&gt;$V642,1,IF(INDEX($V$2:$V$1201,$AG642)&lt;$V642,-1,0))))</f>
        <v/>
      </c>
      <c r="AN642" t="str">
        <f t="shared" ref="AN642:AN705" si="253">IF(OR($AG642="",$W642=""),"",IF(INDEX($W$2:$W$1201,$AG642)="","",IF(INDEX($W$2:$W$1201,$AG642)&gt;$W642,1,IF(INDEX($W$2:$W$1201,$AG642)&lt;$W642,-1,0))))</f>
        <v/>
      </c>
      <c r="AO642" t="str">
        <f t="shared" ref="AO642:AO705" si="254">IF(OR($AG642="",$X642=""),"",IF(INDEX($X$2:$X$1201,$AG642)="","",IF(INDEX($X$2:$X$1201,$AG642)&gt;$X642,1,IF(INDEX($X$2:$X$1201,$AG642)&lt;$X642,-1,0))))</f>
        <v/>
      </c>
      <c r="AP642">
        <f t="shared" ref="AP642:AP705" si="255">IF($D642="",1,COUNTIFS($D$2:$D$1201,$D642,$A$2:$A$1201,$A642))</f>
        <v>1</v>
      </c>
      <c r="AQ642" t="str">
        <f>IF(SAISIE!$F647="","",SAISIE!$Y647)</f>
        <v/>
      </c>
      <c r="AR642" t="str">
        <f>IF(OR(SAISIE!$U$4="",SAISIE!$W$4=""),"",IF(AND($A642=SAISIE!$U$4,$B642=SAISIE!$W$4,$C642="S1"),COUNTIFS($A$2:$A642,SAISIE!$U$4,$B$2:$B642,SAISIE!$W$4,$C$2:$C642,"S1"),""))</f>
        <v/>
      </c>
      <c r="AS642" t="str">
        <f t="shared" ref="AS642:AS705" si="256">IF($D642="","",$A642&amp;"|"&amp;$C642&amp;"|"&amp;$D642)</f>
        <v/>
      </c>
      <c r="AT642" t="str">
        <f t="shared" ref="AT642:AT705" si="257">IF($D642="","",$A642&amp;"|"&amp;$D642&amp;"|"&amp;IF($AQ642="Parti","P","A"))</f>
        <v/>
      </c>
      <c r="AU642" t="str">
        <f t="shared" ref="AU642:AU705" si="258">IF($A642="","",$A642&amp;"|"&amp;$B642&amp;"|"&amp;$C642)</f>
        <v/>
      </c>
      <c r="AV642">
        <f>N(AV641)+IF(AND($AB642&lt;&gt;"",OR('PROFIL ELEVE'!$K$4="(Tous)",$AF642='PROFIL ELEVE'!$K$4)),1,0)</f>
        <v>0</v>
      </c>
      <c r="AW642">
        <f>N(AW641)+IF(AND($AB642&lt;&gt;"",OR('SUIVI LONGITUDINAL'!$Q$4="(Tous)",$AF642='SUIVI LONGITUDINAL'!$Q$4)),1,0)</f>
        <v>0</v>
      </c>
      <c r="AX642">
        <f t="shared" ref="AX642:AX705" si="259">COUNTIF($AH642:$AO642,1)</f>
        <v>0</v>
      </c>
      <c r="AY642">
        <f t="shared" ref="AY642:AY705" si="260">COUNTIF($AH642:$AO642,0)</f>
        <v>0</v>
      </c>
      <c r="AZ642">
        <f t="shared" ref="AZ642:AZ705" si="261">COUNTIF($AH642:$AO642,-1)</f>
        <v>0</v>
      </c>
      <c r="BA642" t="str">
        <f t="shared" ref="BA642:BA705" si="262">IF($E642="","",COUNT($Q642:$X642))</f>
        <v/>
      </c>
      <c r="BB642" t="str">
        <f t="shared" ref="BB642:BB705" si="263">IF($E642="","",IF(COUNT($Q642:$X642)&gt;=IF($Z642=2,5,8),1,0))</f>
        <v/>
      </c>
    </row>
    <row r="643" spans="1:54" ht="14.25" customHeight="1" x14ac:dyDescent="0.3">
      <c r="A643" t="str">
        <f>IF(SAISIE!$F648="","",SAISIE!$B648)</f>
        <v/>
      </c>
      <c r="B643" t="str">
        <f>IF(SAISIE!$F648="","",SAISIE!$C648)</f>
        <v/>
      </c>
      <c r="C643" t="str">
        <f>IF(SAISIE!$F648="","",SAISIE!$D648)</f>
        <v/>
      </c>
      <c r="D643" t="str">
        <f>IF(SAISIE!$E648="","",SAISIE!$E648)</f>
        <v/>
      </c>
      <c r="E643" t="str">
        <f>IF(SAISIE!$F648="","",SAISIE!$F648)</f>
        <v/>
      </c>
      <c r="F643" t="str">
        <f>IF(SAISIE!$G648="","",SAISIE!$G648)</f>
        <v/>
      </c>
      <c r="G643" t="str">
        <f>IF(SAISIE!$H648="","",SAISIE!$H648)</f>
        <v/>
      </c>
      <c r="H643" t="str">
        <f>IF(SAISIE!$I648="","",SAISIE!$I648)</f>
        <v/>
      </c>
      <c r="I643" t="str">
        <f>IF(SAISIE!$J648="","",SAISIE!$J648)</f>
        <v/>
      </c>
      <c r="J643" t="str">
        <f>IF(SAISIE!$K648="","",SAISIE!$K648)</f>
        <v/>
      </c>
      <c r="K643" t="str">
        <f>IF(SAISIE!$L648="","",SAISIE!$L648)</f>
        <v/>
      </c>
      <c r="L643" t="str">
        <f>IF(SAISIE!$M648="","",SAISIE!$M648)</f>
        <v/>
      </c>
      <c r="M643" t="str">
        <f>IF(SAISIE!$N648="","",SAISIE!$N648)</f>
        <v/>
      </c>
      <c r="N643" t="str">
        <f>IF(SAISIE!$O648="","",SAISIE!$O648)</f>
        <v/>
      </c>
      <c r="O643" t="str">
        <f>IF(SAISIE!$P648="","",SAISIE!$P648)</f>
        <v/>
      </c>
      <c r="P643" t="str">
        <f>IF(SAISIE!$Q648="","",SAISIE!$Q648)</f>
        <v/>
      </c>
      <c r="Q643" t="str">
        <f>IF($I643="","",IF($I643&gt;PARAMETRES!$G$29,5,IF($I643&gt;PARAMETRES!$F$29,4,IF($I643&gt;PARAMETRES!$E$29,3,IF($I643&gt;PARAMETRES!$D$29,2,1)))))</f>
        <v/>
      </c>
      <c r="R643" t="str">
        <f>IF($J643="","",IF($J643&gt;PARAMETRES!$G$30,5,IF($J643&gt;PARAMETRES!$F$30,4,IF($J643&gt;PARAMETRES!$E$30,3,IF($J643&gt;PARAMETRES!$D$30,2,1)))))</f>
        <v/>
      </c>
      <c r="S643" t="str">
        <f>IF($K643="","",IF($Z643=2,IF($K643&gt;PARAMETRES!$G$31,5,IF($K643&gt;PARAMETRES!$F$31,4,IF($K643&gt;PARAMETRES!$E$31,3,IF($K643&gt;PARAMETRES!$D$31,2,1)))),IF($K643&gt;PARAMETRES!$G$32,5,IF($K643&gt;PARAMETRES!$F$32,4,IF($K643&gt;PARAMETRES!$E$32,3,IF($K643&gt;PARAMETRES!$D$32,2,1))))))</f>
        <v/>
      </c>
      <c r="T643" t="str">
        <f>IF($L643="","",IF($L643&gt;PARAMETRES!$G$33,5,IF($L643&gt;PARAMETRES!$F$33,4,IF($L643&gt;PARAMETRES!$E$33,3,IF($L643&gt;PARAMETRES!$D$33,2,1)))))</f>
        <v/>
      </c>
      <c r="U643" t="str">
        <f>IF($M643="","",IF($M643&gt;PARAMETRES!$G$34,5,IF($M643&gt;PARAMETRES!$F$34,4,IF($M643&gt;PARAMETRES!$E$34,3,IF($M643&gt;PARAMETRES!$D$34,2,1)))))</f>
        <v/>
      </c>
      <c r="V643" t="str">
        <f>IF($N643="","",IF($N643&gt;PARAMETRES!$G$35,5,IF($N643&gt;PARAMETRES!$F$35,4,IF($N643&gt;PARAMETRES!$E$35,3,IF($N643&gt;PARAMETRES!$D$35,2,1)))))</f>
        <v/>
      </c>
      <c r="W643" t="str">
        <f>IF($O643="","",IF($O643&gt;PARAMETRES!$G$36,5,IF($O643&gt;PARAMETRES!$F$36,4,IF($O643&gt;PARAMETRES!$E$36,3,IF($O643&gt;PARAMETRES!$D$36,2,1)))))</f>
        <v/>
      </c>
      <c r="X643" t="str">
        <f>IF($P643="","",IF($P643&gt;PARAMETRES!$G$37,5,IF($P643&gt;PARAMETRES!$F$37,4,IF($P643&gt;PARAMETRES!$E$37,3,IF($P643&gt;PARAMETRES!$D$37,2,1)))))</f>
        <v/>
      </c>
      <c r="Y643" t="str">
        <f t="shared" si="240"/>
        <v/>
      </c>
      <c r="Z643" t="str">
        <f>IFERROR(VLOOKUP($B643,TABLE_CYCLE,2,0),"")</f>
        <v/>
      </c>
      <c r="AA643" t="str">
        <f t="shared" si="241"/>
        <v/>
      </c>
      <c r="AB643" t="str">
        <f>IF($D643="","",IF(COUNTIF($D$2:$D643,$D643)=1,$D643,""))</f>
        <v/>
      </c>
      <c r="AC643">
        <f t="shared" si="242"/>
        <v>0</v>
      </c>
      <c r="AD643" t="str">
        <f t="shared" si="243"/>
        <v>|0</v>
      </c>
      <c r="AE643" t="str">
        <f t="shared" si="244"/>
        <v/>
      </c>
      <c r="AF643" t="str">
        <f t="shared" si="245"/>
        <v/>
      </c>
      <c r="AG643" t="str">
        <f t="shared" si="246"/>
        <v/>
      </c>
      <c r="AH643" t="str">
        <f t="shared" si="247"/>
        <v/>
      </c>
      <c r="AI643" t="str">
        <f t="shared" si="248"/>
        <v/>
      </c>
      <c r="AJ643" t="str">
        <f t="shared" si="249"/>
        <v/>
      </c>
      <c r="AK643" t="str">
        <f t="shared" si="250"/>
        <v/>
      </c>
      <c r="AL643" t="str">
        <f t="shared" si="251"/>
        <v/>
      </c>
      <c r="AM643" t="str">
        <f t="shared" si="252"/>
        <v/>
      </c>
      <c r="AN643" t="str">
        <f t="shared" si="253"/>
        <v/>
      </c>
      <c r="AO643" t="str">
        <f t="shared" si="254"/>
        <v/>
      </c>
      <c r="AP643">
        <f t="shared" si="255"/>
        <v>1</v>
      </c>
      <c r="AQ643" t="str">
        <f>IF(SAISIE!$F648="","",SAISIE!$Y648)</f>
        <v/>
      </c>
      <c r="AR643" t="str">
        <f>IF(OR(SAISIE!$U$4="",SAISIE!$W$4=""),"",IF(AND($A643=SAISIE!$U$4,$B643=SAISIE!$W$4,$C643="S1"),COUNTIFS($A$2:$A643,SAISIE!$U$4,$B$2:$B643,SAISIE!$W$4,$C$2:$C643,"S1"),""))</f>
        <v/>
      </c>
      <c r="AS643" t="str">
        <f t="shared" si="256"/>
        <v/>
      </c>
      <c r="AT643" t="str">
        <f t="shared" si="257"/>
        <v/>
      </c>
      <c r="AU643" t="str">
        <f t="shared" si="258"/>
        <v/>
      </c>
      <c r="AV643">
        <f>N(AV642)+IF(AND($AB643&lt;&gt;"",OR('PROFIL ELEVE'!$K$4="(Tous)",$AF643='PROFIL ELEVE'!$K$4)),1,0)</f>
        <v>0</v>
      </c>
      <c r="AW643">
        <f>N(AW642)+IF(AND($AB643&lt;&gt;"",OR('SUIVI LONGITUDINAL'!$Q$4="(Tous)",$AF643='SUIVI LONGITUDINAL'!$Q$4)),1,0)</f>
        <v>0</v>
      </c>
      <c r="AX643">
        <f t="shared" si="259"/>
        <v>0</v>
      </c>
      <c r="AY643">
        <f t="shared" si="260"/>
        <v>0</v>
      </c>
      <c r="AZ643">
        <f t="shared" si="261"/>
        <v>0</v>
      </c>
      <c r="BA643" t="str">
        <f t="shared" si="262"/>
        <v/>
      </c>
      <c r="BB643" t="str">
        <f t="shared" si="263"/>
        <v/>
      </c>
    </row>
    <row r="644" spans="1:54" ht="14.25" customHeight="1" x14ac:dyDescent="0.3">
      <c r="A644" t="str">
        <f>IF(SAISIE!$F649="","",SAISIE!$B649)</f>
        <v/>
      </c>
      <c r="B644" t="str">
        <f>IF(SAISIE!$F649="","",SAISIE!$C649)</f>
        <v/>
      </c>
      <c r="C644" t="str">
        <f>IF(SAISIE!$F649="","",SAISIE!$D649)</f>
        <v/>
      </c>
      <c r="D644" t="str">
        <f>IF(SAISIE!$E649="","",SAISIE!$E649)</f>
        <v/>
      </c>
      <c r="E644" t="str">
        <f>IF(SAISIE!$F649="","",SAISIE!$F649)</f>
        <v/>
      </c>
      <c r="F644" t="str">
        <f>IF(SAISIE!$G649="","",SAISIE!$G649)</f>
        <v/>
      </c>
      <c r="G644" t="str">
        <f>IF(SAISIE!$H649="","",SAISIE!$H649)</f>
        <v/>
      </c>
      <c r="H644" t="str">
        <f>IF(SAISIE!$I649="","",SAISIE!$I649)</f>
        <v/>
      </c>
      <c r="I644" t="str">
        <f>IF(SAISIE!$J649="","",SAISIE!$J649)</f>
        <v/>
      </c>
      <c r="J644" t="str">
        <f>IF(SAISIE!$K649="","",SAISIE!$K649)</f>
        <v/>
      </c>
      <c r="K644" t="str">
        <f>IF(SAISIE!$L649="","",SAISIE!$L649)</f>
        <v/>
      </c>
      <c r="L644" t="str">
        <f>IF(SAISIE!$M649="","",SAISIE!$M649)</f>
        <v/>
      </c>
      <c r="M644" t="str">
        <f>IF(SAISIE!$N649="","",SAISIE!$N649)</f>
        <v/>
      </c>
      <c r="N644" t="str">
        <f>IF(SAISIE!$O649="","",SAISIE!$O649)</f>
        <v/>
      </c>
      <c r="O644" t="str">
        <f>IF(SAISIE!$P649="","",SAISIE!$P649)</f>
        <v/>
      </c>
      <c r="P644" t="str">
        <f>IF(SAISIE!$Q649="","",SAISIE!$Q649)</f>
        <v/>
      </c>
      <c r="Q644" t="str">
        <f>IF($I644="","",IF($I644&gt;PARAMETRES!$G$29,5,IF($I644&gt;PARAMETRES!$F$29,4,IF($I644&gt;PARAMETRES!$E$29,3,IF($I644&gt;PARAMETRES!$D$29,2,1)))))</f>
        <v/>
      </c>
      <c r="R644" t="str">
        <f>IF($J644="","",IF($J644&gt;PARAMETRES!$G$30,5,IF($J644&gt;PARAMETRES!$F$30,4,IF($J644&gt;PARAMETRES!$E$30,3,IF($J644&gt;PARAMETRES!$D$30,2,1)))))</f>
        <v/>
      </c>
      <c r="S644" t="str">
        <f>IF($K644="","",IF($Z644=2,IF($K644&gt;PARAMETRES!$G$31,5,IF($K644&gt;PARAMETRES!$F$31,4,IF($K644&gt;PARAMETRES!$E$31,3,IF($K644&gt;PARAMETRES!$D$31,2,1)))),IF($K644&gt;PARAMETRES!$G$32,5,IF($K644&gt;PARAMETRES!$F$32,4,IF($K644&gt;PARAMETRES!$E$32,3,IF($K644&gt;PARAMETRES!$D$32,2,1))))))</f>
        <v/>
      </c>
      <c r="T644" t="str">
        <f>IF($L644="","",IF($L644&gt;PARAMETRES!$G$33,5,IF($L644&gt;PARAMETRES!$F$33,4,IF($L644&gt;PARAMETRES!$E$33,3,IF($L644&gt;PARAMETRES!$D$33,2,1)))))</f>
        <v/>
      </c>
      <c r="U644" t="str">
        <f>IF($M644="","",IF($M644&gt;PARAMETRES!$G$34,5,IF($M644&gt;PARAMETRES!$F$34,4,IF($M644&gt;PARAMETRES!$E$34,3,IF($M644&gt;PARAMETRES!$D$34,2,1)))))</f>
        <v/>
      </c>
      <c r="V644" t="str">
        <f>IF($N644="","",IF($N644&gt;PARAMETRES!$G$35,5,IF($N644&gt;PARAMETRES!$F$35,4,IF($N644&gt;PARAMETRES!$E$35,3,IF($N644&gt;PARAMETRES!$D$35,2,1)))))</f>
        <v/>
      </c>
      <c r="W644" t="str">
        <f>IF($O644="","",IF($O644&gt;PARAMETRES!$G$36,5,IF($O644&gt;PARAMETRES!$F$36,4,IF($O644&gt;PARAMETRES!$E$36,3,IF($O644&gt;PARAMETRES!$D$36,2,1)))))</f>
        <v/>
      </c>
      <c r="X644" t="str">
        <f>IF($P644="","",IF($P644&gt;PARAMETRES!$G$37,5,IF($P644&gt;PARAMETRES!$F$37,4,IF($P644&gt;PARAMETRES!$E$37,3,IF($P644&gt;PARAMETRES!$D$37,2,1)))))</f>
        <v/>
      </c>
      <c r="Y644" t="str">
        <f t="shared" si="240"/>
        <v/>
      </c>
      <c r="Z644" t="str">
        <f>IFERROR(VLOOKUP($B644,TABLE_CYCLE,2,0),"")</f>
        <v/>
      </c>
      <c r="AA644" t="str">
        <f t="shared" si="241"/>
        <v/>
      </c>
      <c r="AB644" t="str">
        <f>IF($D644="","",IF(COUNTIF($D$2:$D644,$D644)=1,$D644,""))</f>
        <v/>
      </c>
      <c r="AC644">
        <f t="shared" si="242"/>
        <v>0</v>
      </c>
      <c r="AD644" t="str">
        <f t="shared" si="243"/>
        <v>|0</v>
      </c>
      <c r="AE644" t="str">
        <f t="shared" si="244"/>
        <v/>
      </c>
      <c r="AF644" t="str">
        <f t="shared" si="245"/>
        <v/>
      </c>
      <c r="AG644" t="str">
        <f t="shared" si="246"/>
        <v/>
      </c>
      <c r="AH644" t="str">
        <f t="shared" si="247"/>
        <v/>
      </c>
      <c r="AI644" t="str">
        <f t="shared" si="248"/>
        <v/>
      </c>
      <c r="AJ644" t="str">
        <f t="shared" si="249"/>
        <v/>
      </c>
      <c r="AK644" t="str">
        <f t="shared" si="250"/>
        <v/>
      </c>
      <c r="AL644" t="str">
        <f t="shared" si="251"/>
        <v/>
      </c>
      <c r="AM644" t="str">
        <f t="shared" si="252"/>
        <v/>
      </c>
      <c r="AN644" t="str">
        <f t="shared" si="253"/>
        <v/>
      </c>
      <c r="AO644" t="str">
        <f t="shared" si="254"/>
        <v/>
      </c>
      <c r="AP644">
        <f t="shared" si="255"/>
        <v>1</v>
      </c>
      <c r="AQ644" t="str">
        <f>IF(SAISIE!$F649="","",SAISIE!$Y649)</f>
        <v/>
      </c>
      <c r="AR644" t="str">
        <f>IF(OR(SAISIE!$U$4="",SAISIE!$W$4=""),"",IF(AND($A644=SAISIE!$U$4,$B644=SAISIE!$W$4,$C644="S1"),COUNTIFS($A$2:$A644,SAISIE!$U$4,$B$2:$B644,SAISIE!$W$4,$C$2:$C644,"S1"),""))</f>
        <v/>
      </c>
      <c r="AS644" t="str">
        <f t="shared" si="256"/>
        <v/>
      </c>
      <c r="AT644" t="str">
        <f t="shared" si="257"/>
        <v/>
      </c>
      <c r="AU644" t="str">
        <f t="shared" si="258"/>
        <v/>
      </c>
      <c r="AV644">
        <f>N(AV643)+IF(AND($AB644&lt;&gt;"",OR('PROFIL ELEVE'!$K$4="(Tous)",$AF644='PROFIL ELEVE'!$K$4)),1,0)</f>
        <v>0</v>
      </c>
      <c r="AW644">
        <f>N(AW643)+IF(AND($AB644&lt;&gt;"",OR('SUIVI LONGITUDINAL'!$Q$4="(Tous)",$AF644='SUIVI LONGITUDINAL'!$Q$4)),1,0)</f>
        <v>0</v>
      </c>
      <c r="AX644">
        <f t="shared" si="259"/>
        <v>0</v>
      </c>
      <c r="AY644">
        <f t="shared" si="260"/>
        <v>0</v>
      </c>
      <c r="AZ644">
        <f t="shared" si="261"/>
        <v>0</v>
      </c>
      <c r="BA644" t="str">
        <f t="shared" si="262"/>
        <v/>
      </c>
      <c r="BB644" t="str">
        <f t="shared" si="263"/>
        <v/>
      </c>
    </row>
    <row r="645" spans="1:54" ht="14.25" customHeight="1" x14ac:dyDescent="0.3">
      <c r="A645" t="str">
        <f>IF(SAISIE!$F650="","",SAISIE!$B650)</f>
        <v/>
      </c>
      <c r="B645" t="str">
        <f>IF(SAISIE!$F650="","",SAISIE!$C650)</f>
        <v/>
      </c>
      <c r="C645" t="str">
        <f>IF(SAISIE!$F650="","",SAISIE!$D650)</f>
        <v/>
      </c>
      <c r="D645" t="str">
        <f>IF(SAISIE!$E650="","",SAISIE!$E650)</f>
        <v/>
      </c>
      <c r="E645" t="str">
        <f>IF(SAISIE!$F650="","",SAISIE!$F650)</f>
        <v/>
      </c>
      <c r="F645" t="str">
        <f>IF(SAISIE!$G650="","",SAISIE!$G650)</f>
        <v/>
      </c>
      <c r="G645" t="str">
        <f>IF(SAISIE!$H650="","",SAISIE!$H650)</f>
        <v/>
      </c>
      <c r="H645" t="str">
        <f>IF(SAISIE!$I650="","",SAISIE!$I650)</f>
        <v/>
      </c>
      <c r="I645" t="str">
        <f>IF(SAISIE!$J650="","",SAISIE!$J650)</f>
        <v/>
      </c>
      <c r="J645" t="str">
        <f>IF(SAISIE!$K650="","",SAISIE!$K650)</f>
        <v/>
      </c>
      <c r="K645" t="str">
        <f>IF(SAISIE!$L650="","",SAISIE!$L650)</f>
        <v/>
      </c>
      <c r="L645" t="str">
        <f>IF(SAISIE!$M650="","",SAISIE!$M650)</f>
        <v/>
      </c>
      <c r="M645" t="str">
        <f>IF(SAISIE!$N650="","",SAISIE!$N650)</f>
        <v/>
      </c>
      <c r="N645" t="str">
        <f>IF(SAISIE!$O650="","",SAISIE!$O650)</f>
        <v/>
      </c>
      <c r="O645" t="str">
        <f>IF(SAISIE!$P650="","",SAISIE!$P650)</f>
        <v/>
      </c>
      <c r="P645" t="str">
        <f>IF(SAISIE!$Q650="","",SAISIE!$Q650)</f>
        <v/>
      </c>
      <c r="Q645" t="str">
        <f>IF($I645="","",IF($I645&gt;PARAMETRES!$G$29,5,IF($I645&gt;PARAMETRES!$F$29,4,IF($I645&gt;PARAMETRES!$E$29,3,IF($I645&gt;PARAMETRES!$D$29,2,1)))))</f>
        <v/>
      </c>
      <c r="R645" t="str">
        <f>IF($J645="","",IF($J645&gt;PARAMETRES!$G$30,5,IF($J645&gt;PARAMETRES!$F$30,4,IF($J645&gt;PARAMETRES!$E$30,3,IF($J645&gt;PARAMETRES!$D$30,2,1)))))</f>
        <v/>
      </c>
      <c r="S645" t="str">
        <f>IF($K645="","",IF($Z645=2,IF($K645&gt;PARAMETRES!$G$31,5,IF($K645&gt;PARAMETRES!$F$31,4,IF($K645&gt;PARAMETRES!$E$31,3,IF($K645&gt;PARAMETRES!$D$31,2,1)))),IF($K645&gt;PARAMETRES!$G$32,5,IF($K645&gt;PARAMETRES!$F$32,4,IF($K645&gt;PARAMETRES!$E$32,3,IF($K645&gt;PARAMETRES!$D$32,2,1))))))</f>
        <v/>
      </c>
      <c r="T645" t="str">
        <f>IF($L645="","",IF($L645&gt;PARAMETRES!$G$33,5,IF($L645&gt;PARAMETRES!$F$33,4,IF($L645&gt;PARAMETRES!$E$33,3,IF($L645&gt;PARAMETRES!$D$33,2,1)))))</f>
        <v/>
      </c>
      <c r="U645" t="str">
        <f>IF($M645="","",IF($M645&gt;PARAMETRES!$G$34,5,IF($M645&gt;PARAMETRES!$F$34,4,IF($M645&gt;PARAMETRES!$E$34,3,IF($M645&gt;PARAMETRES!$D$34,2,1)))))</f>
        <v/>
      </c>
      <c r="V645" t="str">
        <f>IF($N645="","",IF($N645&gt;PARAMETRES!$G$35,5,IF($N645&gt;PARAMETRES!$F$35,4,IF($N645&gt;PARAMETRES!$E$35,3,IF($N645&gt;PARAMETRES!$D$35,2,1)))))</f>
        <v/>
      </c>
      <c r="W645" t="str">
        <f>IF($O645="","",IF($O645&gt;PARAMETRES!$G$36,5,IF($O645&gt;PARAMETRES!$F$36,4,IF($O645&gt;PARAMETRES!$E$36,3,IF($O645&gt;PARAMETRES!$D$36,2,1)))))</f>
        <v/>
      </c>
      <c r="X645" t="str">
        <f>IF($P645="","",IF($P645&gt;PARAMETRES!$G$37,5,IF($P645&gt;PARAMETRES!$F$37,4,IF($P645&gt;PARAMETRES!$E$37,3,IF($P645&gt;PARAMETRES!$D$37,2,1)))))</f>
        <v/>
      </c>
      <c r="Y645" t="str">
        <f t="shared" si="240"/>
        <v/>
      </c>
      <c r="Z645" t="str">
        <f>IFERROR(VLOOKUP($B645,TABLE_CYCLE,2,0),"")</f>
        <v/>
      </c>
      <c r="AA645" t="str">
        <f t="shared" si="241"/>
        <v/>
      </c>
      <c r="AB645" t="str">
        <f>IF($D645="","",IF(COUNTIF($D$2:$D645,$D645)=1,$D645,""))</f>
        <v/>
      </c>
      <c r="AC645">
        <f t="shared" si="242"/>
        <v>0</v>
      </c>
      <c r="AD645" t="str">
        <f t="shared" si="243"/>
        <v>|0</v>
      </c>
      <c r="AE645" t="str">
        <f t="shared" si="244"/>
        <v/>
      </c>
      <c r="AF645" t="str">
        <f t="shared" si="245"/>
        <v/>
      </c>
      <c r="AG645" t="str">
        <f t="shared" si="246"/>
        <v/>
      </c>
      <c r="AH645" t="str">
        <f t="shared" si="247"/>
        <v/>
      </c>
      <c r="AI645" t="str">
        <f t="shared" si="248"/>
        <v/>
      </c>
      <c r="AJ645" t="str">
        <f t="shared" si="249"/>
        <v/>
      </c>
      <c r="AK645" t="str">
        <f t="shared" si="250"/>
        <v/>
      </c>
      <c r="AL645" t="str">
        <f t="shared" si="251"/>
        <v/>
      </c>
      <c r="AM645" t="str">
        <f t="shared" si="252"/>
        <v/>
      </c>
      <c r="AN645" t="str">
        <f t="shared" si="253"/>
        <v/>
      </c>
      <c r="AO645" t="str">
        <f t="shared" si="254"/>
        <v/>
      </c>
      <c r="AP645">
        <f t="shared" si="255"/>
        <v>1</v>
      </c>
      <c r="AQ645" t="str">
        <f>IF(SAISIE!$F650="","",SAISIE!$Y650)</f>
        <v/>
      </c>
      <c r="AR645" t="str">
        <f>IF(OR(SAISIE!$U$4="",SAISIE!$W$4=""),"",IF(AND($A645=SAISIE!$U$4,$B645=SAISIE!$W$4,$C645="S1"),COUNTIFS($A$2:$A645,SAISIE!$U$4,$B$2:$B645,SAISIE!$W$4,$C$2:$C645,"S1"),""))</f>
        <v/>
      </c>
      <c r="AS645" t="str">
        <f t="shared" si="256"/>
        <v/>
      </c>
      <c r="AT645" t="str">
        <f t="shared" si="257"/>
        <v/>
      </c>
      <c r="AU645" t="str">
        <f t="shared" si="258"/>
        <v/>
      </c>
      <c r="AV645">
        <f>N(AV644)+IF(AND($AB645&lt;&gt;"",OR('PROFIL ELEVE'!$K$4="(Tous)",$AF645='PROFIL ELEVE'!$K$4)),1,0)</f>
        <v>0</v>
      </c>
      <c r="AW645">
        <f>N(AW644)+IF(AND($AB645&lt;&gt;"",OR('SUIVI LONGITUDINAL'!$Q$4="(Tous)",$AF645='SUIVI LONGITUDINAL'!$Q$4)),1,0)</f>
        <v>0</v>
      </c>
      <c r="AX645">
        <f t="shared" si="259"/>
        <v>0</v>
      </c>
      <c r="AY645">
        <f t="shared" si="260"/>
        <v>0</v>
      </c>
      <c r="AZ645">
        <f t="shared" si="261"/>
        <v>0</v>
      </c>
      <c r="BA645" t="str">
        <f t="shared" si="262"/>
        <v/>
      </c>
      <c r="BB645" t="str">
        <f t="shared" si="263"/>
        <v/>
      </c>
    </row>
    <row r="646" spans="1:54" ht="14.25" customHeight="1" x14ac:dyDescent="0.3">
      <c r="A646" t="str">
        <f>IF(SAISIE!$F651="","",SAISIE!$B651)</f>
        <v/>
      </c>
      <c r="B646" t="str">
        <f>IF(SAISIE!$F651="","",SAISIE!$C651)</f>
        <v/>
      </c>
      <c r="C646" t="str">
        <f>IF(SAISIE!$F651="","",SAISIE!$D651)</f>
        <v/>
      </c>
      <c r="D646" t="str">
        <f>IF(SAISIE!$E651="","",SAISIE!$E651)</f>
        <v/>
      </c>
      <c r="E646" t="str">
        <f>IF(SAISIE!$F651="","",SAISIE!$F651)</f>
        <v/>
      </c>
      <c r="F646" t="str">
        <f>IF(SAISIE!$G651="","",SAISIE!$G651)</f>
        <v/>
      </c>
      <c r="G646" t="str">
        <f>IF(SAISIE!$H651="","",SAISIE!$H651)</f>
        <v/>
      </c>
      <c r="H646" t="str">
        <f>IF(SAISIE!$I651="","",SAISIE!$I651)</f>
        <v/>
      </c>
      <c r="I646" t="str">
        <f>IF(SAISIE!$J651="","",SAISIE!$J651)</f>
        <v/>
      </c>
      <c r="J646" t="str">
        <f>IF(SAISIE!$K651="","",SAISIE!$K651)</f>
        <v/>
      </c>
      <c r="K646" t="str">
        <f>IF(SAISIE!$L651="","",SAISIE!$L651)</f>
        <v/>
      </c>
      <c r="L646" t="str">
        <f>IF(SAISIE!$M651="","",SAISIE!$M651)</f>
        <v/>
      </c>
      <c r="M646" t="str">
        <f>IF(SAISIE!$N651="","",SAISIE!$N651)</f>
        <v/>
      </c>
      <c r="N646" t="str">
        <f>IF(SAISIE!$O651="","",SAISIE!$O651)</f>
        <v/>
      </c>
      <c r="O646" t="str">
        <f>IF(SAISIE!$P651="","",SAISIE!$P651)</f>
        <v/>
      </c>
      <c r="P646" t="str">
        <f>IF(SAISIE!$Q651="","",SAISIE!$Q651)</f>
        <v/>
      </c>
      <c r="Q646" t="str">
        <f>IF($I646="","",IF($I646&gt;PARAMETRES!$G$29,5,IF($I646&gt;PARAMETRES!$F$29,4,IF($I646&gt;PARAMETRES!$E$29,3,IF($I646&gt;PARAMETRES!$D$29,2,1)))))</f>
        <v/>
      </c>
      <c r="R646" t="str">
        <f>IF($J646="","",IF($J646&gt;PARAMETRES!$G$30,5,IF($J646&gt;PARAMETRES!$F$30,4,IF($J646&gt;PARAMETRES!$E$30,3,IF($J646&gt;PARAMETRES!$D$30,2,1)))))</f>
        <v/>
      </c>
      <c r="S646" t="str">
        <f>IF($K646="","",IF($Z646=2,IF($K646&gt;PARAMETRES!$G$31,5,IF($K646&gt;PARAMETRES!$F$31,4,IF($K646&gt;PARAMETRES!$E$31,3,IF($K646&gt;PARAMETRES!$D$31,2,1)))),IF($K646&gt;PARAMETRES!$G$32,5,IF($K646&gt;PARAMETRES!$F$32,4,IF($K646&gt;PARAMETRES!$E$32,3,IF($K646&gt;PARAMETRES!$D$32,2,1))))))</f>
        <v/>
      </c>
      <c r="T646" t="str">
        <f>IF($L646="","",IF($L646&gt;PARAMETRES!$G$33,5,IF($L646&gt;PARAMETRES!$F$33,4,IF($L646&gt;PARAMETRES!$E$33,3,IF($L646&gt;PARAMETRES!$D$33,2,1)))))</f>
        <v/>
      </c>
      <c r="U646" t="str">
        <f>IF($M646="","",IF($M646&gt;PARAMETRES!$G$34,5,IF($M646&gt;PARAMETRES!$F$34,4,IF($M646&gt;PARAMETRES!$E$34,3,IF($M646&gt;PARAMETRES!$D$34,2,1)))))</f>
        <v/>
      </c>
      <c r="V646" t="str">
        <f>IF($N646="","",IF($N646&gt;PARAMETRES!$G$35,5,IF($N646&gt;PARAMETRES!$F$35,4,IF($N646&gt;PARAMETRES!$E$35,3,IF($N646&gt;PARAMETRES!$D$35,2,1)))))</f>
        <v/>
      </c>
      <c r="W646" t="str">
        <f>IF($O646="","",IF($O646&gt;PARAMETRES!$G$36,5,IF($O646&gt;PARAMETRES!$F$36,4,IF($O646&gt;PARAMETRES!$E$36,3,IF($O646&gt;PARAMETRES!$D$36,2,1)))))</f>
        <v/>
      </c>
      <c r="X646" t="str">
        <f>IF($P646="","",IF($P646&gt;PARAMETRES!$G$37,5,IF($P646&gt;PARAMETRES!$F$37,4,IF($P646&gt;PARAMETRES!$E$37,3,IF($P646&gt;PARAMETRES!$D$37,2,1)))))</f>
        <v/>
      </c>
      <c r="Y646" t="str">
        <f t="shared" si="240"/>
        <v/>
      </c>
      <c r="Z646" t="str">
        <f>IFERROR(VLOOKUP($B646,TABLE_CYCLE,2,0),"")</f>
        <v/>
      </c>
      <c r="AA646" t="str">
        <f t="shared" si="241"/>
        <v/>
      </c>
      <c r="AB646" t="str">
        <f>IF($D646="","",IF(COUNTIF($D$2:$D646,$D646)=1,$D646,""))</f>
        <v/>
      </c>
      <c r="AC646">
        <f t="shared" si="242"/>
        <v>0</v>
      </c>
      <c r="AD646" t="str">
        <f t="shared" si="243"/>
        <v>|0</v>
      </c>
      <c r="AE646" t="str">
        <f t="shared" si="244"/>
        <v/>
      </c>
      <c r="AF646" t="str">
        <f t="shared" si="245"/>
        <v/>
      </c>
      <c r="AG646" t="str">
        <f t="shared" si="246"/>
        <v/>
      </c>
      <c r="AH646" t="str">
        <f t="shared" si="247"/>
        <v/>
      </c>
      <c r="AI646" t="str">
        <f t="shared" si="248"/>
        <v/>
      </c>
      <c r="AJ646" t="str">
        <f t="shared" si="249"/>
        <v/>
      </c>
      <c r="AK646" t="str">
        <f t="shared" si="250"/>
        <v/>
      </c>
      <c r="AL646" t="str">
        <f t="shared" si="251"/>
        <v/>
      </c>
      <c r="AM646" t="str">
        <f t="shared" si="252"/>
        <v/>
      </c>
      <c r="AN646" t="str">
        <f t="shared" si="253"/>
        <v/>
      </c>
      <c r="AO646" t="str">
        <f t="shared" si="254"/>
        <v/>
      </c>
      <c r="AP646">
        <f t="shared" si="255"/>
        <v>1</v>
      </c>
      <c r="AQ646" t="str">
        <f>IF(SAISIE!$F651="","",SAISIE!$Y651)</f>
        <v/>
      </c>
      <c r="AR646" t="str">
        <f>IF(OR(SAISIE!$U$4="",SAISIE!$W$4=""),"",IF(AND($A646=SAISIE!$U$4,$B646=SAISIE!$W$4,$C646="S1"),COUNTIFS($A$2:$A646,SAISIE!$U$4,$B$2:$B646,SAISIE!$W$4,$C$2:$C646,"S1"),""))</f>
        <v/>
      </c>
      <c r="AS646" t="str">
        <f t="shared" si="256"/>
        <v/>
      </c>
      <c r="AT646" t="str">
        <f t="shared" si="257"/>
        <v/>
      </c>
      <c r="AU646" t="str">
        <f t="shared" si="258"/>
        <v/>
      </c>
      <c r="AV646">
        <f>N(AV645)+IF(AND($AB646&lt;&gt;"",OR('PROFIL ELEVE'!$K$4="(Tous)",$AF646='PROFIL ELEVE'!$K$4)),1,0)</f>
        <v>0</v>
      </c>
      <c r="AW646">
        <f>N(AW645)+IF(AND($AB646&lt;&gt;"",OR('SUIVI LONGITUDINAL'!$Q$4="(Tous)",$AF646='SUIVI LONGITUDINAL'!$Q$4)),1,0)</f>
        <v>0</v>
      </c>
      <c r="AX646">
        <f t="shared" si="259"/>
        <v>0</v>
      </c>
      <c r="AY646">
        <f t="shared" si="260"/>
        <v>0</v>
      </c>
      <c r="AZ646">
        <f t="shared" si="261"/>
        <v>0</v>
      </c>
      <c r="BA646" t="str">
        <f t="shared" si="262"/>
        <v/>
      </c>
      <c r="BB646" t="str">
        <f t="shared" si="263"/>
        <v/>
      </c>
    </row>
    <row r="647" spans="1:54" ht="14.25" customHeight="1" x14ac:dyDescent="0.3">
      <c r="A647" t="str">
        <f>IF(SAISIE!$F652="","",SAISIE!$B652)</f>
        <v/>
      </c>
      <c r="B647" t="str">
        <f>IF(SAISIE!$F652="","",SAISIE!$C652)</f>
        <v/>
      </c>
      <c r="C647" t="str">
        <f>IF(SAISIE!$F652="","",SAISIE!$D652)</f>
        <v/>
      </c>
      <c r="D647" t="str">
        <f>IF(SAISIE!$E652="","",SAISIE!$E652)</f>
        <v/>
      </c>
      <c r="E647" t="str">
        <f>IF(SAISIE!$F652="","",SAISIE!$F652)</f>
        <v/>
      </c>
      <c r="F647" t="str">
        <f>IF(SAISIE!$G652="","",SAISIE!$G652)</f>
        <v/>
      </c>
      <c r="G647" t="str">
        <f>IF(SAISIE!$H652="","",SAISIE!$H652)</f>
        <v/>
      </c>
      <c r="H647" t="str">
        <f>IF(SAISIE!$I652="","",SAISIE!$I652)</f>
        <v/>
      </c>
      <c r="I647" t="str">
        <f>IF(SAISIE!$J652="","",SAISIE!$J652)</f>
        <v/>
      </c>
      <c r="J647" t="str">
        <f>IF(SAISIE!$K652="","",SAISIE!$K652)</f>
        <v/>
      </c>
      <c r="K647" t="str">
        <f>IF(SAISIE!$L652="","",SAISIE!$L652)</f>
        <v/>
      </c>
      <c r="L647" t="str">
        <f>IF(SAISIE!$M652="","",SAISIE!$M652)</f>
        <v/>
      </c>
      <c r="M647" t="str">
        <f>IF(SAISIE!$N652="","",SAISIE!$N652)</f>
        <v/>
      </c>
      <c r="N647" t="str">
        <f>IF(SAISIE!$O652="","",SAISIE!$O652)</f>
        <v/>
      </c>
      <c r="O647" t="str">
        <f>IF(SAISIE!$P652="","",SAISIE!$P652)</f>
        <v/>
      </c>
      <c r="P647" t="str">
        <f>IF(SAISIE!$Q652="","",SAISIE!$Q652)</f>
        <v/>
      </c>
      <c r="Q647" t="str">
        <f>IF($I647="","",IF($I647&gt;PARAMETRES!$G$29,5,IF($I647&gt;PARAMETRES!$F$29,4,IF($I647&gt;PARAMETRES!$E$29,3,IF($I647&gt;PARAMETRES!$D$29,2,1)))))</f>
        <v/>
      </c>
      <c r="R647" t="str">
        <f>IF($J647="","",IF($J647&gt;PARAMETRES!$G$30,5,IF($J647&gt;PARAMETRES!$F$30,4,IF($J647&gt;PARAMETRES!$E$30,3,IF($J647&gt;PARAMETRES!$D$30,2,1)))))</f>
        <v/>
      </c>
      <c r="S647" t="str">
        <f>IF($K647="","",IF($Z647=2,IF($K647&gt;PARAMETRES!$G$31,5,IF($K647&gt;PARAMETRES!$F$31,4,IF($K647&gt;PARAMETRES!$E$31,3,IF($K647&gt;PARAMETRES!$D$31,2,1)))),IF($K647&gt;PARAMETRES!$G$32,5,IF($K647&gt;PARAMETRES!$F$32,4,IF($K647&gt;PARAMETRES!$E$32,3,IF($K647&gt;PARAMETRES!$D$32,2,1))))))</f>
        <v/>
      </c>
      <c r="T647" t="str">
        <f>IF($L647="","",IF($L647&gt;PARAMETRES!$G$33,5,IF($L647&gt;PARAMETRES!$F$33,4,IF($L647&gt;PARAMETRES!$E$33,3,IF($L647&gt;PARAMETRES!$D$33,2,1)))))</f>
        <v/>
      </c>
      <c r="U647" t="str">
        <f>IF($M647="","",IF($M647&gt;PARAMETRES!$G$34,5,IF($M647&gt;PARAMETRES!$F$34,4,IF($M647&gt;PARAMETRES!$E$34,3,IF($M647&gt;PARAMETRES!$D$34,2,1)))))</f>
        <v/>
      </c>
      <c r="V647" t="str">
        <f>IF($N647="","",IF($N647&gt;PARAMETRES!$G$35,5,IF($N647&gt;PARAMETRES!$F$35,4,IF($N647&gt;PARAMETRES!$E$35,3,IF($N647&gt;PARAMETRES!$D$35,2,1)))))</f>
        <v/>
      </c>
      <c r="W647" t="str">
        <f>IF($O647="","",IF($O647&gt;PARAMETRES!$G$36,5,IF($O647&gt;PARAMETRES!$F$36,4,IF($O647&gt;PARAMETRES!$E$36,3,IF($O647&gt;PARAMETRES!$D$36,2,1)))))</f>
        <v/>
      </c>
      <c r="X647" t="str">
        <f>IF($P647="","",IF($P647&gt;PARAMETRES!$G$37,5,IF($P647&gt;PARAMETRES!$F$37,4,IF($P647&gt;PARAMETRES!$E$37,3,IF($P647&gt;PARAMETRES!$D$37,2,1)))))</f>
        <v/>
      </c>
      <c r="Y647" t="str">
        <f t="shared" si="240"/>
        <v/>
      </c>
      <c r="Z647" t="str">
        <f>IFERROR(VLOOKUP($B647,TABLE_CYCLE,2,0),"")</f>
        <v/>
      </c>
      <c r="AA647" t="str">
        <f t="shared" si="241"/>
        <v/>
      </c>
      <c r="AB647" t="str">
        <f>IF($D647="","",IF(COUNTIF($D$2:$D647,$D647)=1,$D647,""))</f>
        <v/>
      </c>
      <c r="AC647">
        <f t="shared" si="242"/>
        <v>0</v>
      </c>
      <c r="AD647" t="str">
        <f t="shared" si="243"/>
        <v>|0</v>
      </c>
      <c r="AE647" t="str">
        <f t="shared" si="244"/>
        <v/>
      </c>
      <c r="AF647" t="str">
        <f t="shared" si="245"/>
        <v/>
      </c>
      <c r="AG647" t="str">
        <f t="shared" si="246"/>
        <v/>
      </c>
      <c r="AH647" t="str">
        <f t="shared" si="247"/>
        <v/>
      </c>
      <c r="AI647" t="str">
        <f t="shared" si="248"/>
        <v/>
      </c>
      <c r="AJ647" t="str">
        <f t="shared" si="249"/>
        <v/>
      </c>
      <c r="AK647" t="str">
        <f t="shared" si="250"/>
        <v/>
      </c>
      <c r="AL647" t="str">
        <f t="shared" si="251"/>
        <v/>
      </c>
      <c r="AM647" t="str">
        <f t="shared" si="252"/>
        <v/>
      </c>
      <c r="AN647" t="str">
        <f t="shared" si="253"/>
        <v/>
      </c>
      <c r="AO647" t="str">
        <f t="shared" si="254"/>
        <v/>
      </c>
      <c r="AP647">
        <f t="shared" si="255"/>
        <v>1</v>
      </c>
      <c r="AQ647" t="str">
        <f>IF(SAISIE!$F652="","",SAISIE!$Y652)</f>
        <v/>
      </c>
      <c r="AR647" t="str">
        <f>IF(OR(SAISIE!$U$4="",SAISIE!$W$4=""),"",IF(AND($A647=SAISIE!$U$4,$B647=SAISIE!$W$4,$C647="S1"),COUNTIFS($A$2:$A647,SAISIE!$U$4,$B$2:$B647,SAISIE!$W$4,$C$2:$C647,"S1"),""))</f>
        <v/>
      </c>
      <c r="AS647" t="str">
        <f t="shared" si="256"/>
        <v/>
      </c>
      <c r="AT647" t="str">
        <f t="shared" si="257"/>
        <v/>
      </c>
      <c r="AU647" t="str">
        <f t="shared" si="258"/>
        <v/>
      </c>
      <c r="AV647">
        <f>N(AV646)+IF(AND($AB647&lt;&gt;"",OR('PROFIL ELEVE'!$K$4="(Tous)",$AF647='PROFIL ELEVE'!$K$4)),1,0)</f>
        <v>0</v>
      </c>
      <c r="AW647">
        <f>N(AW646)+IF(AND($AB647&lt;&gt;"",OR('SUIVI LONGITUDINAL'!$Q$4="(Tous)",$AF647='SUIVI LONGITUDINAL'!$Q$4)),1,0)</f>
        <v>0</v>
      </c>
      <c r="AX647">
        <f t="shared" si="259"/>
        <v>0</v>
      </c>
      <c r="AY647">
        <f t="shared" si="260"/>
        <v>0</v>
      </c>
      <c r="AZ647">
        <f t="shared" si="261"/>
        <v>0</v>
      </c>
      <c r="BA647" t="str">
        <f t="shared" si="262"/>
        <v/>
      </c>
      <c r="BB647" t="str">
        <f t="shared" si="263"/>
        <v/>
      </c>
    </row>
    <row r="648" spans="1:54" ht="14.25" customHeight="1" x14ac:dyDescent="0.3">
      <c r="A648" t="str">
        <f>IF(SAISIE!$F653="","",SAISIE!$B653)</f>
        <v/>
      </c>
      <c r="B648" t="str">
        <f>IF(SAISIE!$F653="","",SAISIE!$C653)</f>
        <v/>
      </c>
      <c r="C648" t="str">
        <f>IF(SAISIE!$F653="","",SAISIE!$D653)</f>
        <v/>
      </c>
      <c r="D648" t="str">
        <f>IF(SAISIE!$E653="","",SAISIE!$E653)</f>
        <v/>
      </c>
      <c r="E648" t="str">
        <f>IF(SAISIE!$F653="","",SAISIE!$F653)</f>
        <v/>
      </c>
      <c r="F648" t="str">
        <f>IF(SAISIE!$G653="","",SAISIE!$G653)</f>
        <v/>
      </c>
      <c r="G648" t="str">
        <f>IF(SAISIE!$H653="","",SAISIE!$H653)</f>
        <v/>
      </c>
      <c r="H648" t="str">
        <f>IF(SAISIE!$I653="","",SAISIE!$I653)</f>
        <v/>
      </c>
      <c r="I648" t="str">
        <f>IF(SAISIE!$J653="","",SAISIE!$J653)</f>
        <v/>
      </c>
      <c r="J648" t="str">
        <f>IF(SAISIE!$K653="","",SAISIE!$K653)</f>
        <v/>
      </c>
      <c r="K648" t="str">
        <f>IF(SAISIE!$L653="","",SAISIE!$L653)</f>
        <v/>
      </c>
      <c r="L648" t="str">
        <f>IF(SAISIE!$M653="","",SAISIE!$M653)</f>
        <v/>
      </c>
      <c r="M648" t="str">
        <f>IF(SAISIE!$N653="","",SAISIE!$N653)</f>
        <v/>
      </c>
      <c r="N648" t="str">
        <f>IF(SAISIE!$O653="","",SAISIE!$O653)</f>
        <v/>
      </c>
      <c r="O648" t="str">
        <f>IF(SAISIE!$P653="","",SAISIE!$P653)</f>
        <v/>
      </c>
      <c r="P648" t="str">
        <f>IF(SAISIE!$Q653="","",SAISIE!$Q653)</f>
        <v/>
      </c>
      <c r="Q648" t="str">
        <f>IF($I648="","",IF($I648&gt;PARAMETRES!$G$29,5,IF($I648&gt;PARAMETRES!$F$29,4,IF($I648&gt;PARAMETRES!$E$29,3,IF($I648&gt;PARAMETRES!$D$29,2,1)))))</f>
        <v/>
      </c>
      <c r="R648" t="str">
        <f>IF($J648="","",IF($J648&gt;PARAMETRES!$G$30,5,IF($J648&gt;PARAMETRES!$F$30,4,IF($J648&gt;PARAMETRES!$E$30,3,IF($J648&gt;PARAMETRES!$D$30,2,1)))))</f>
        <v/>
      </c>
      <c r="S648" t="str">
        <f>IF($K648="","",IF($Z648=2,IF($K648&gt;PARAMETRES!$G$31,5,IF($K648&gt;PARAMETRES!$F$31,4,IF($K648&gt;PARAMETRES!$E$31,3,IF($K648&gt;PARAMETRES!$D$31,2,1)))),IF($K648&gt;PARAMETRES!$G$32,5,IF($K648&gt;PARAMETRES!$F$32,4,IF($K648&gt;PARAMETRES!$E$32,3,IF($K648&gt;PARAMETRES!$D$32,2,1))))))</f>
        <v/>
      </c>
      <c r="T648" t="str">
        <f>IF($L648="","",IF($L648&gt;PARAMETRES!$G$33,5,IF($L648&gt;PARAMETRES!$F$33,4,IF($L648&gt;PARAMETRES!$E$33,3,IF($L648&gt;PARAMETRES!$D$33,2,1)))))</f>
        <v/>
      </c>
      <c r="U648" t="str">
        <f>IF($M648="","",IF($M648&gt;PARAMETRES!$G$34,5,IF($M648&gt;PARAMETRES!$F$34,4,IF($M648&gt;PARAMETRES!$E$34,3,IF($M648&gt;PARAMETRES!$D$34,2,1)))))</f>
        <v/>
      </c>
      <c r="V648" t="str">
        <f>IF($N648="","",IF($N648&gt;PARAMETRES!$G$35,5,IF($N648&gt;PARAMETRES!$F$35,4,IF($N648&gt;PARAMETRES!$E$35,3,IF($N648&gt;PARAMETRES!$D$35,2,1)))))</f>
        <v/>
      </c>
      <c r="W648" t="str">
        <f>IF($O648="","",IF($O648&gt;PARAMETRES!$G$36,5,IF($O648&gt;PARAMETRES!$F$36,4,IF($O648&gt;PARAMETRES!$E$36,3,IF($O648&gt;PARAMETRES!$D$36,2,1)))))</f>
        <v/>
      </c>
      <c r="X648" t="str">
        <f>IF($P648="","",IF($P648&gt;PARAMETRES!$G$37,5,IF($P648&gt;PARAMETRES!$F$37,4,IF($P648&gt;PARAMETRES!$E$37,3,IF($P648&gt;PARAMETRES!$D$37,2,1)))))</f>
        <v/>
      </c>
      <c r="Y648" t="str">
        <f t="shared" si="240"/>
        <v/>
      </c>
      <c r="Z648" t="str">
        <f>IFERROR(VLOOKUP($B648,TABLE_CYCLE,2,0),"")</f>
        <v/>
      </c>
      <c r="AA648" t="str">
        <f t="shared" si="241"/>
        <v/>
      </c>
      <c r="AB648" t="str">
        <f>IF($D648="","",IF(COUNTIF($D$2:$D648,$D648)=1,$D648,""))</f>
        <v/>
      </c>
      <c r="AC648">
        <f t="shared" si="242"/>
        <v>0</v>
      </c>
      <c r="AD648" t="str">
        <f t="shared" si="243"/>
        <v>|0</v>
      </c>
      <c r="AE648" t="str">
        <f t="shared" si="244"/>
        <v/>
      </c>
      <c r="AF648" t="str">
        <f t="shared" si="245"/>
        <v/>
      </c>
      <c r="AG648" t="str">
        <f t="shared" si="246"/>
        <v/>
      </c>
      <c r="AH648" t="str">
        <f t="shared" si="247"/>
        <v/>
      </c>
      <c r="AI648" t="str">
        <f t="shared" si="248"/>
        <v/>
      </c>
      <c r="AJ648" t="str">
        <f t="shared" si="249"/>
        <v/>
      </c>
      <c r="AK648" t="str">
        <f t="shared" si="250"/>
        <v/>
      </c>
      <c r="AL648" t="str">
        <f t="shared" si="251"/>
        <v/>
      </c>
      <c r="AM648" t="str">
        <f t="shared" si="252"/>
        <v/>
      </c>
      <c r="AN648" t="str">
        <f t="shared" si="253"/>
        <v/>
      </c>
      <c r="AO648" t="str">
        <f t="shared" si="254"/>
        <v/>
      </c>
      <c r="AP648">
        <f t="shared" si="255"/>
        <v>1</v>
      </c>
      <c r="AQ648" t="str">
        <f>IF(SAISIE!$F653="","",SAISIE!$Y653)</f>
        <v/>
      </c>
      <c r="AR648" t="str">
        <f>IF(OR(SAISIE!$U$4="",SAISIE!$W$4=""),"",IF(AND($A648=SAISIE!$U$4,$B648=SAISIE!$W$4,$C648="S1"),COUNTIFS($A$2:$A648,SAISIE!$U$4,$B$2:$B648,SAISIE!$W$4,$C$2:$C648,"S1"),""))</f>
        <v/>
      </c>
      <c r="AS648" t="str">
        <f t="shared" si="256"/>
        <v/>
      </c>
      <c r="AT648" t="str">
        <f t="shared" si="257"/>
        <v/>
      </c>
      <c r="AU648" t="str">
        <f t="shared" si="258"/>
        <v/>
      </c>
      <c r="AV648">
        <f>N(AV647)+IF(AND($AB648&lt;&gt;"",OR('PROFIL ELEVE'!$K$4="(Tous)",$AF648='PROFIL ELEVE'!$K$4)),1,0)</f>
        <v>0</v>
      </c>
      <c r="AW648">
        <f>N(AW647)+IF(AND($AB648&lt;&gt;"",OR('SUIVI LONGITUDINAL'!$Q$4="(Tous)",$AF648='SUIVI LONGITUDINAL'!$Q$4)),1,0)</f>
        <v>0</v>
      </c>
      <c r="AX648">
        <f t="shared" si="259"/>
        <v>0</v>
      </c>
      <c r="AY648">
        <f t="shared" si="260"/>
        <v>0</v>
      </c>
      <c r="AZ648">
        <f t="shared" si="261"/>
        <v>0</v>
      </c>
      <c r="BA648" t="str">
        <f t="shared" si="262"/>
        <v/>
      </c>
      <c r="BB648" t="str">
        <f t="shared" si="263"/>
        <v/>
      </c>
    </row>
    <row r="649" spans="1:54" ht="14.25" customHeight="1" x14ac:dyDescent="0.3">
      <c r="A649" t="str">
        <f>IF(SAISIE!$F654="","",SAISIE!$B654)</f>
        <v/>
      </c>
      <c r="B649" t="str">
        <f>IF(SAISIE!$F654="","",SAISIE!$C654)</f>
        <v/>
      </c>
      <c r="C649" t="str">
        <f>IF(SAISIE!$F654="","",SAISIE!$D654)</f>
        <v/>
      </c>
      <c r="D649" t="str">
        <f>IF(SAISIE!$E654="","",SAISIE!$E654)</f>
        <v/>
      </c>
      <c r="E649" t="str">
        <f>IF(SAISIE!$F654="","",SAISIE!$F654)</f>
        <v/>
      </c>
      <c r="F649" t="str">
        <f>IF(SAISIE!$G654="","",SAISIE!$G654)</f>
        <v/>
      </c>
      <c r="G649" t="str">
        <f>IF(SAISIE!$H654="","",SAISIE!$H654)</f>
        <v/>
      </c>
      <c r="H649" t="str">
        <f>IF(SAISIE!$I654="","",SAISIE!$I654)</f>
        <v/>
      </c>
      <c r="I649" t="str">
        <f>IF(SAISIE!$J654="","",SAISIE!$J654)</f>
        <v/>
      </c>
      <c r="J649" t="str">
        <f>IF(SAISIE!$K654="","",SAISIE!$K654)</f>
        <v/>
      </c>
      <c r="K649" t="str">
        <f>IF(SAISIE!$L654="","",SAISIE!$L654)</f>
        <v/>
      </c>
      <c r="L649" t="str">
        <f>IF(SAISIE!$M654="","",SAISIE!$M654)</f>
        <v/>
      </c>
      <c r="M649" t="str">
        <f>IF(SAISIE!$N654="","",SAISIE!$N654)</f>
        <v/>
      </c>
      <c r="N649" t="str">
        <f>IF(SAISIE!$O654="","",SAISIE!$O654)</f>
        <v/>
      </c>
      <c r="O649" t="str">
        <f>IF(SAISIE!$P654="","",SAISIE!$P654)</f>
        <v/>
      </c>
      <c r="P649" t="str">
        <f>IF(SAISIE!$Q654="","",SAISIE!$Q654)</f>
        <v/>
      </c>
      <c r="Q649" t="str">
        <f>IF($I649="","",IF($I649&gt;PARAMETRES!$G$29,5,IF($I649&gt;PARAMETRES!$F$29,4,IF($I649&gt;PARAMETRES!$E$29,3,IF($I649&gt;PARAMETRES!$D$29,2,1)))))</f>
        <v/>
      </c>
      <c r="R649" t="str">
        <f>IF($J649="","",IF($J649&gt;PARAMETRES!$G$30,5,IF($J649&gt;PARAMETRES!$F$30,4,IF($J649&gt;PARAMETRES!$E$30,3,IF($J649&gt;PARAMETRES!$D$30,2,1)))))</f>
        <v/>
      </c>
      <c r="S649" t="str">
        <f>IF($K649="","",IF($Z649=2,IF($K649&gt;PARAMETRES!$G$31,5,IF($K649&gt;PARAMETRES!$F$31,4,IF($K649&gt;PARAMETRES!$E$31,3,IF($K649&gt;PARAMETRES!$D$31,2,1)))),IF($K649&gt;PARAMETRES!$G$32,5,IF($K649&gt;PARAMETRES!$F$32,4,IF($K649&gt;PARAMETRES!$E$32,3,IF($K649&gt;PARAMETRES!$D$32,2,1))))))</f>
        <v/>
      </c>
      <c r="T649" t="str">
        <f>IF($L649="","",IF($L649&gt;PARAMETRES!$G$33,5,IF($L649&gt;PARAMETRES!$F$33,4,IF($L649&gt;PARAMETRES!$E$33,3,IF($L649&gt;PARAMETRES!$D$33,2,1)))))</f>
        <v/>
      </c>
      <c r="U649" t="str">
        <f>IF($M649="","",IF($M649&gt;PARAMETRES!$G$34,5,IF($M649&gt;PARAMETRES!$F$34,4,IF($M649&gt;PARAMETRES!$E$34,3,IF($M649&gt;PARAMETRES!$D$34,2,1)))))</f>
        <v/>
      </c>
      <c r="V649" t="str">
        <f>IF($N649="","",IF($N649&gt;PARAMETRES!$G$35,5,IF($N649&gt;PARAMETRES!$F$35,4,IF($N649&gt;PARAMETRES!$E$35,3,IF($N649&gt;PARAMETRES!$D$35,2,1)))))</f>
        <v/>
      </c>
      <c r="W649" t="str">
        <f>IF($O649="","",IF($O649&gt;PARAMETRES!$G$36,5,IF($O649&gt;PARAMETRES!$F$36,4,IF($O649&gt;PARAMETRES!$E$36,3,IF($O649&gt;PARAMETRES!$D$36,2,1)))))</f>
        <v/>
      </c>
      <c r="X649" t="str">
        <f>IF($P649="","",IF($P649&gt;PARAMETRES!$G$37,5,IF($P649&gt;PARAMETRES!$F$37,4,IF($P649&gt;PARAMETRES!$E$37,3,IF($P649&gt;PARAMETRES!$D$37,2,1)))))</f>
        <v/>
      </c>
      <c r="Y649" t="str">
        <f t="shared" si="240"/>
        <v/>
      </c>
      <c r="Z649" t="str">
        <f>IFERROR(VLOOKUP($B649,TABLE_CYCLE,2,0),"")</f>
        <v/>
      </c>
      <c r="AA649" t="str">
        <f t="shared" si="241"/>
        <v/>
      </c>
      <c r="AB649" t="str">
        <f>IF($D649="","",IF(COUNTIF($D$2:$D649,$D649)=1,$D649,""))</f>
        <v/>
      </c>
      <c r="AC649">
        <f t="shared" si="242"/>
        <v>0</v>
      </c>
      <c r="AD649" t="str">
        <f t="shared" si="243"/>
        <v>|0</v>
      </c>
      <c r="AE649" t="str">
        <f t="shared" si="244"/>
        <v/>
      </c>
      <c r="AF649" t="str">
        <f t="shared" si="245"/>
        <v/>
      </c>
      <c r="AG649" t="str">
        <f t="shared" si="246"/>
        <v/>
      </c>
      <c r="AH649" t="str">
        <f t="shared" si="247"/>
        <v/>
      </c>
      <c r="AI649" t="str">
        <f t="shared" si="248"/>
        <v/>
      </c>
      <c r="AJ649" t="str">
        <f t="shared" si="249"/>
        <v/>
      </c>
      <c r="AK649" t="str">
        <f t="shared" si="250"/>
        <v/>
      </c>
      <c r="AL649" t="str">
        <f t="shared" si="251"/>
        <v/>
      </c>
      <c r="AM649" t="str">
        <f t="shared" si="252"/>
        <v/>
      </c>
      <c r="AN649" t="str">
        <f t="shared" si="253"/>
        <v/>
      </c>
      <c r="AO649" t="str">
        <f t="shared" si="254"/>
        <v/>
      </c>
      <c r="AP649">
        <f t="shared" si="255"/>
        <v>1</v>
      </c>
      <c r="AQ649" t="str">
        <f>IF(SAISIE!$F654="","",SAISIE!$Y654)</f>
        <v/>
      </c>
      <c r="AR649" t="str">
        <f>IF(OR(SAISIE!$U$4="",SAISIE!$W$4=""),"",IF(AND($A649=SAISIE!$U$4,$B649=SAISIE!$W$4,$C649="S1"),COUNTIFS($A$2:$A649,SAISIE!$U$4,$B$2:$B649,SAISIE!$W$4,$C$2:$C649,"S1"),""))</f>
        <v/>
      </c>
      <c r="AS649" t="str">
        <f t="shared" si="256"/>
        <v/>
      </c>
      <c r="AT649" t="str">
        <f t="shared" si="257"/>
        <v/>
      </c>
      <c r="AU649" t="str">
        <f t="shared" si="258"/>
        <v/>
      </c>
      <c r="AV649">
        <f>N(AV648)+IF(AND($AB649&lt;&gt;"",OR('PROFIL ELEVE'!$K$4="(Tous)",$AF649='PROFIL ELEVE'!$K$4)),1,0)</f>
        <v>0</v>
      </c>
      <c r="AW649">
        <f>N(AW648)+IF(AND($AB649&lt;&gt;"",OR('SUIVI LONGITUDINAL'!$Q$4="(Tous)",$AF649='SUIVI LONGITUDINAL'!$Q$4)),1,0)</f>
        <v>0</v>
      </c>
      <c r="AX649">
        <f t="shared" si="259"/>
        <v>0</v>
      </c>
      <c r="AY649">
        <f t="shared" si="260"/>
        <v>0</v>
      </c>
      <c r="AZ649">
        <f t="shared" si="261"/>
        <v>0</v>
      </c>
      <c r="BA649" t="str">
        <f t="shared" si="262"/>
        <v/>
      </c>
      <c r="BB649" t="str">
        <f t="shared" si="263"/>
        <v/>
      </c>
    </row>
    <row r="650" spans="1:54" ht="14.25" customHeight="1" x14ac:dyDescent="0.3">
      <c r="A650" t="str">
        <f>IF(SAISIE!$F655="","",SAISIE!$B655)</f>
        <v/>
      </c>
      <c r="B650" t="str">
        <f>IF(SAISIE!$F655="","",SAISIE!$C655)</f>
        <v/>
      </c>
      <c r="C650" t="str">
        <f>IF(SAISIE!$F655="","",SAISIE!$D655)</f>
        <v/>
      </c>
      <c r="D650" t="str">
        <f>IF(SAISIE!$E655="","",SAISIE!$E655)</f>
        <v/>
      </c>
      <c r="E650" t="str">
        <f>IF(SAISIE!$F655="","",SAISIE!$F655)</f>
        <v/>
      </c>
      <c r="F650" t="str">
        <f>IF(SAISIE!$G655="","",SAISIE!$G655)</f>
        <v/>
      </c>
      <c r="G650" t="str">
        <f>IF(SAISIE!$H655="","",SAISIE!$H655)</f>
        <v/>
      </c>
      <c r="H650" t="str">
        <f>IF(SAISIE!$I655="","",SAISIE!$I655)</f>
        <v/>
      </c>
      <c r="I650" t="str">
        <f>IF(SAISIE!$J655="","",SAISIE!$J655)</f>
        <v/>
      </c>
      <c r="J650" t="str">
        <f>IF(SAISIE!$K655="","",SAISIE!$K655)</f>
        <v/>
      </c>
      <c r="K650" t="str">
        <f>IF(SAISIE!$L655="","",SAISIE!$L655)</f>
        <v/>
      </c>
      <c r="L650" t="str">
        <f>IF(SAISIE!$M655="","",SAISIE!$M655)</f>
        <v/>
      </c>
      <c r="M650" t="str">
        <f>IF(SAISIE!$N655="","",SAISIE!$N655)</f>
        <v/>
      </c>
      <c r="N650" t="str">
        <f>IF(SAISIE!$O655="","",SAISIE!$O655)</f>
        <v/>
      </c>
      <c r="O650" t="str">
        <f>IF(SAISIE!$P655="","",SAISIE!$P655)</f>
        <v/>
      </c>
      <c r="P650" t="str">
        <f>IF(SAISIE!$Q655="","",SAISIE!$Q655)</f>
        <v/>
      </c>
      <c r="Q650" t="str">
        <f>IF($I650="","",IF($I650&gt;PARAMETRES!$G$29,5,IF($I650&gt;PARAMETRES!$F$29,4,IF($I650&gt;PARAMETRES!$E$29,3,IF($I650&gt;PARAMETRES!$D$29,2,1)))))</f>
        <v/>
      </c>
      <c r="R650" t="str">
        <f>IF($J650="","",IF($J650&gt;PARAMETRES!$G$30,5,IF($J650&gt;PARAMETRES!$F$30,4,IF($J650&gt;PARAMETRES!$E$30,3,IF($J650&gt;PARAMETRES!$D$30,2,1)))))</f>
        <v/>
      </c>
      <c r="S650" t="str">
        <f>IF($K650="","",IF($Z650=2,IF($K650&gt;PARAMETRES!$G$31,5,IF($K650&gt;PARAMETRES!$F$31,4,IF($K650&gt;PARAMETRES!$E$31,3,IF($K650&gt;PARAMETRES!$D$31,2,1)))),IF($K650&gt;PARAMETRES!$G$32,5,IF($K650&gt;PARAMETRES!$F$32,4,IF($K650&gt;PARAMETRES!$E$32,3,IF($K650&gt;PARAMETRES!$D$32,2,1))))))</f>
        <v/>
      </c>
      <c r="T650" t="str">
        <f>IF($L650="","",IF($L650&gt;PARAMETRES!$G$33,5,IF($L650&gt;PARAMETRES!$F$33,4,IF($L650&gt;PARAMETRES!$E$33,3,IF($L650&gt;PARAMETRES!$D$33,2,1)))))</f>
        <v/>
      </c>
      <c r="U650" t="str">
        <f>IF($M650="","",IF($M650&gt;PARAMETRES!$G$34,5,IF($M650&gt;PARAMETRES!$F$34,4,IF($M650&gt;PARAMETRES!$E$34,3,IF($M650&gt;PARAMETRES!$D$34,2,1)))))</f>
        <v/>
      </c>
      <c r="V650" t="str">
        <f>IF($N650="","",IF($N650&gt;PARAMETRES!$G$35,5,IF($N650&gt;PARAMETRES!$F$35,4,IF($N650&gt;PARAMETRES!$E$35,3,IF($N650&gt;PARAMETRES!$D$35,2,1)))))</f>
        <v/>
      </c>
      <c r="W650" t="str">
        <f>IF($O650="","",IF($O650&gt;PARAMETRES!$G$36,5,IF($O650&gt;PARAMETRES!$F$36,4,IF($O650&gt;PARAMETRES!$E$36,3,IF($O650&gt;PARAMETRES!$D$36,2,1)))))</f>
        <v/>
      </c>
      <c r="X650" t="str">
        <f>IF($P650="","",IF($P650&gt;PARAMETRES!$G$37,5,IF($P650&gt;PARAMETRES!$F$37,4,IF($P650&gt;PARAMETRES!$E$37,3,IF($P650&gt;PARAMETRES!$D$37,2,1)))))</f>
        <v/>
      </c>
      <c r="Y650" t="str">
        <f t="shared" si="240"/>
        <v/>
      </c>
      <c r="Z650" t="str">
        <f>IFERROR(VLOOKUP($B650,TABLE_CYCLE,2,0),"")</f>
        <v/>
      </c>
      <c r="AA650" t="str">
        <f t="shared" si="241"/>
        <v/>
      </c>
      <c r="AB650" t="str">
        <f>IF($D650="","",IF(COUNTIF($D$2:$D650,$D650)=1,$D650,""))</f>
        <v/>
      </c>
      <c r="AC650">
        <f t="shared" si="242"/>
        <v>0</v>
      </c>
      <c r="AD650" t="str">
        <f t="shared" si="243"/>
        <v>|0</v>
      </c>
      <c r="AE650" t="str">
        <f t="shared" si="244"/>
        <v/>
      </c>
      <c r="AF650" t="str">
        <f t="shared" si="245"/>
        <v/>
      </c>
      <c r="AG650" t="str">
        <f t="shared" si="246"/>
        <v/>
      </c>
      <c r="AH650" t="str">
        <f t="shared" si="247"/>
        <v/>
      </c>
      <c r="AI650" t="str">
        <f t="shared" si="248"/>
        <v/>
      </c>
      <c r="AJ650" t="str">
        <f t="shared" si="249"/>
        <v/>
      </c>
      <c r="AK650" t="str">
        <f t="shared" si="250"/>
        <v/>
      </c>
      <c r="AL650" t="str">
        <f t="shared" si="251"/>
        <v/>
      </c>
      <c r="AM650" t="str">
        <f t="shared" si="252"/>
        <v/>
      </c>
      <c r="AN650" t="str">
        <f t="shared" si="253"/>
        <v/>
      </c>
      <c r="AO650" t="str">
        <f t="shared" si="254"/>
        <v/>
      </c>
      <c r="AP650">
        <f t="shared" si="255"/>
        <v>1</v>
      </c>
      <c r="AQ650" t="str">
        <f>IF(SAISIE!$F655="","",SAISIE!$Y655)</f>
        <v/>
      </c>
      <c r="AR650" t="str">
        <f>IF(OR(SAISIE!$U$4="",SAISIE!$W$4=""),"",IF(AND($A650=SAISIE!$U$4,$B650=SAISIE!$W$4,$C650="S1"),COUNTIFS($A$2:$A650,SAISIE!$U$4,$B$2:$B650,SAISIE!$W$4,$C$2:$C650,"S1"),""))</f>
        <v/>
      </c>
      <c r="AS650" t="str">
        <f t="shared" si="256"/>
        <v/>
      </c>
      <c r="AT650" t="str">
        <f t="shared" si="257"/>
        <v/>
      </c>
      <c r="AU650" t="str">
        <f t="shared" si="258"/>
        <v/>
      </c>
      <c r="AV650">
        <f>N(AV649)+IF(AND($AB650&lt;&gt;"",OR('PROFIL ELEVE'!$K$4="(Tous)",$AF650='PROFIL ELEVE'!$K$4)),1,0)</f>
        <v>0</v>
      </c>
      <c r="AW650">
        <f>N(AW649)+IF(AND($AB650&lt;&gt;"",OR('SUIVI LONGITUDINAL'!$Q$4="(Tous)",$AF650='SUIVI LONGITUDINAL'!$Q$4)),1,0)</f>
        <v>0</v>
      </c>
      <c r="AX650">
        <f t="shared" si="259"/>
        <v>0</v>
      </c>
      <c r="AY650">
        <f t="shared" si="260"/>
        <v>0</v>
      </c>
      <c r="AZ650">
        <f t="shared" si="261"/>
        <v>0</v>
      </c>
      <c r="BA650" t="str">
        <f t="shared" si="262"/>
        <v/>
      </c>
      <c r="BB650" t="str">
        <f t="shared" si="263"/>
        <v/>
      </c>
    </row>
    <row r="651" spans="1:54" ht="14.25" customHeight="1" x14ac:dyDescent="0.3">
      <c r="A651" t="str">
        <f>IF(SAISIE!$F656="","",SAISIE!$B656)</f>
        <v/>
      </c>
      <c r="B651" t="str">
        <f>IF(SAISIE!$F656="","",SAISIE!$C656)</f>
        <v/>
      </c>
      <c r="C651" t="str">
        <f>IF(SAISIE!$F656="","",SAISIE!$D656)</f>
        <v/>
      </c>
      <c r="D651" t="str">
        <f>IF(SAISIE!$E656="","",SAISIE!$E656)</f>
        <v/>
      </c>
      <c r="E651" t="str">
        <f>IF(SAISIE!$F656="","",SAISIE!$F656)</f>
        <v/>
      </c>
      <c r="F651" t="str">
        <f>IF(SAISIE!$G656="","",SAISIE!$G656)</f>
        <v/>
      </c>
      <c r="G651" t="str">
        <f>IF(SAISIE!$H656="","",SAISIE!$H656)</f>
        <v/>
      </c>
      <c r="H651" t="str">
        <f>IF(SAISIE!$I656="","",SAISIE!$I656)</f>
        <v/>
      </c>
      <c r="I651" t="str">
        <f>IF(SAISIE!$J656="","",SAISIE!$J656)</f>
        <v/>
      </c>
      <c r="J651" t="str">
        <f>IF(SAISIE!$K656="","",SAISIE!$K656)</f>
        <v/>
      </c>
      <c r="K651" t="str">
        <f>IF(SAISIE!$L656="","",SAISIE!$L656)</f>
        <v/>
      </c>
      <c r="L651" t="str">
        <f>IF(SAISIE!$M656="","",SAISIE!$M656)</f>
        <v/>
      </c>
      <c r="M651" t="str">
        <f>IF(SAISIE!$N656="","",SAISIE!$N656)</f>
        <v/>
      </c>
      <c r="N651" t="str">
        <f>IF(SAISIE!$O656="","",SAISIE!$O656)</f>
        <v/>
      </c>
      <c r="O651" t="str">
        <f>IF(SAISIE!$P656="","",SAISIE!$P656)</f>
        <v/>
      </c>
      <c r="P651" t="str">
        <f>IF(SAISIE!$Q656="","",SAISIE!$Q656)</f>
        <v/>
      </c>
      <c r="Q651" t="str">
        <f>IF($I651="","",IF($I651&gt;PARAMETRES!$G$29,5,IF($I651&gt;PARAMETRES!$F$29,4,IF($I651&gt;PARAMETRES!$E$29,3,IF($I651&gt;PARAMETRES!$D$29,2,1)))))</f>
        <v/>
      </c>
      <c r="R651" t="str">
        <f>IF($J651="","",IF($J651&gt;PARAMETRES!$G$30,5,IF($J651&gt;PARAMETRES!$F$30,4,IF($J651&gt;PARAMETRES!$E$30,3,IF($J651&gt;PARAMETRES!$D$30,2,1)))))</f>
        <v/>
      </c>
      <c r="S651" t="str">
        <f>IF($K651="","",IF($Z651=2,IF($K651&gt;PARAMETRES!$G$31,5,IF($K651&gt;PARAMETRES!$F$31,4,IF($K651&gt;PARAMETRES!$E$31,3,IF($K651&gt;PARAMETRES!$D$31,2,1)))),IF($K651&gt;PARAMETRES!$G$32,5,IF($K651&gt;PARAMETRES!$F$32,4,IF($K651&gt;PARAMETRES!$E$32,3,IF($K651&gt;PARAMETRES!$D$32,2,1))))))</f>
        <v/>
      </c>
      <c r="T651" t="str">
        <f>IF($L651="","",IF($L651&gt;PARAMETRES!$G$33,5,IF($L651&gt;PARAMETRES!$F$33,4,IF($L651&gt;PARAMETRES!$E$33,3,IF($L651&gt;PARAMETRES!$D$33,2,1)))))</f>
        <v/>
      </c>
      <c r="U651" t="str">
        <f>IF($M651="","",IF($M651&gt;PARAMETRES!$G$34,5,IF($M651&gt;PARAMETRES!$F$34,4,IF($M651&gt;PARAMETRES!$E$34,3,IF($M651&gt;PARAMETRES!$D$34,2,1)))))</f>
        <v/>
      </c>
      <c r="V651" t="str">
        <f>IF($N651="","",IF($N651&gt;PARAMETRES!$G$35,5,IF($N651&gt;PARAMETRES!$F$35,4,IF($N651&gt;PARAMETRES!$E$35,3,IF($N651&gt;PARAMETRES!$D$35,2,1)))))</f>
        <v/>
      </c>
      <c r="W651" t="str">
        <f>IF($O651="","",IF($O651&gt;PARAMETRES!$G$36,5,IF($O651&gt;PARAMETRES!$F$36,4,IF($O651&gt;PARAMETRES!$E$36,3,IF($O651&gt;PARAMETRES!$D$36,2,1)))))</f>
        <v/>
      </c>
      <c r="X651" t="str">
        <f>IF($P651="","",IF($P651&gt;PARAMETRES!$G$37,5,IF($P651&gt;PARAMETRES!$F$37,4,IF($P651&gt;PARAMETRES!$E$37,3,IF($P651&gt;PARAMETRES!$D$37,2,1)))))</f>
        <v/>
      </c>
      <c r="Y651" t="str">
        <f t="shared" si="240"/>
        <v/>
      </c>
      <c r="Z651" t="str">
        <f>IFERROR(VLOOKUP($B651,TABLE_CYCLE,2,0),"")</f>
        <v/>
      </c>
      <c r="AA651" t="str">
        <f t="shared" si="241"/>
        <v/>
      </c>
      <c r="AB651" t="str">
        <f>IF($D651="","",IF(COUNTIF($D$2:$D651,$D651)=1,$D651,""))</f>
        <v/>
      </c>
      <c r="AC651">
        <f t="shared" si="242"/>
        <v>0</v>
      </c>
      <c r="AD651" t="str">
        <f t="shared" si="243"/>
        <v>|0</v>
      </c>
      <c r="AE651" t="str">
        <f t="shared" si="244"/>
        <v/>
      </c>
      <c r="AF651" t="str">
        <f t="shared" si="245"/>
        <v/>
      </c>
      <c r="AG651" t="str">
        <f t="shared" si="246"/>
        <v/>
      </c>
      <c r="AH651" t="str">
        <f t="shared" si="247"/>
        <v/>
      </c>
      <c r="AI651" t="str">
        <f t="shared" si="248"/>
        <v/>
      </c>
      <c r="AJ651" t="str">
        <f t="shared" si="249"/>
        <v/>
      </c>
      <c r="AK651" t="str">
        <f t="shared" si="250"/>
        <v/>
      </c>
      <c r="AL651" t="str">
        <f t="shared" si="251"/>
        <v/>
      </c>
      <c r="AM651" t="str">
        <f t="shared" si="252"/>
        <v/>
      </c>
      <c r="AN651" t="str">
        <f t="shared" si="253"/>
        <v/>
      </c>
      <c r="AO651" t="str">
        <f t="shared" si="254"/>
        <v/>
      </c>
      <c r="AP651">
        <f t="shared" si="255"/>
        <v>1</v>
      </c>
      <c r="AQ651" t="str">
        <f>IF(SAISIE!$F656="","",SAISIE!$Y656)</f>
        <v/>
      </c>
      <c r="AR651" t="str">
        <f>IF(OR(SAISIE!$U$4="",SAISIE!$W$4=""),"",IF(AND($A651=SAISIE!$U$4,$B651=SAISIE!$W$4,$C651="S1"),COUNTIFS($A$2:$A651,SAISIE!$U$4,$B$2:$B651,SAISIE!$W$4,$C$2:$C651,"S1"),""))</f>
        <v/>
      </c>
      <c r="AS651" t="str">
        <f t="shared" si="256"/>
        <v/>
      </c>
      <c r="AT651" t="str">
        <f t="shared" si="257"/>
        <v/>
      </c>
      <c r="AU651" t="str">
        <f t="shared" si="258"/>
        <v/>
      </c>
      <c r="AV651">
        <f>N(AV650)+IF(AND($AB651&lt;&gt;"",OR('PROFIL ELEVE'!$K$4="(Tous)",$AF651='PROFIL ELEVE'!$K$4)),1,0)</f>
        <v>0</v>
      </c>
      <c r="AW651">
        <f>N(AW650)+IF(AND($AB651&lt;&gt;"",OR('SUIVI LONGITUDINAL'!$Q$4="(Tous)",$AF651='SUIVI LONGITUDINAL'!$Q$4)),1,0)</f>
        <v>0</v>
      </c>
      <c r="AX651">
        <f t="shared" si="259"/>
        <v>0</v>
      </c>
      <c r="AY651">
        <f t="shared" si="260"/>
        <v>0</v>
      </c>
      <c r="AZ651">
        <f t="shared" si="261"/>
        <v>0</v>
      </c>
      <c r="BA651" t="str">
        <f t="shared" si="262"/>
        <v/>
      </c>
      <c r="BB651" t="str">
        <f t="shared" si="263"/>
        <v/>
      </c>
    </row>
    <row r="652" spans="1:54" ht="14.25" customHeight="1" x14ac:dyDescent="0.3">
      <c r="A652" t="str">
        <f>IF(SAISIE!$F657="","",SAISIE!$B657)</f>
        <v/>
      </c>
      <c r="B652" t="str">
        <f>IF(SAISIE!$F657="","",SAISIE!$C657)</f>
        <v/>
      </c>
      <c r="C652" t="str">
        <f>IF(SAISIE!$F657="","",SAISIE!$D657)</f>
        <v/>
      </c>
      <c r="D652" t="str">
        <f>IF(SAISIE!$E657="","",SAISIE!$E657)</f>
        <v/>
      </c>
      <c r="E652" t="str">
        <f>IF(SAISIE!$F657="","",SAISIE!$F657)</f>
        <v/>
      </c>
      <c r="F652" t="str">
        <f>IF(SAISIE!$G657="","",SAISIE!$G657)</f>
        <v/>
      </c>
      <c r="G652" t="str">
        <f>IF(SAISIE!$H657="","",SAISIE!$H657)</f>
        <v/>
      </c>
      <c r="H652" t="str">
        <f>IF(SAISIE!$I657="","",SAISIE!$I657)</f>
        <v/>
      </c>
      <c r="I652" t="str">
        <f>IF(SAISIE!$J657="","",SAISIE!$J657)</f>
        <v/>
      </c>
      <c r="J652" t="str">
        <f>IF(SAISIE!$K657="","",SAISIE!$K657)</f>
        <v/>
      </c>
      <c r="K652" t="str">
        <f>IF(SAISIE!$L657="","",SAISIE!$L657)</f>
        <v/>
      </c>
      <c r="L652" t="str">
        <f>IF(SAISIE!$M657="","",SAISIE!$M657)</f>
        <v/>
      </c>
      <c r="M652" t="str">
        <f>IF(SAISIE!$N657="","",SAISIE!$N657)</f>
        <v/>
      </c>
      <c r="N652" t="str">
        <f>IF(SAISIE!$O657="","",SAISIE!$O657)</f>
        <v/>
      </c>
      <c r="O652" t="str">
        <f>IF(SAISIE!$P657="","",SAISIE!$P657)</f>
        <v/>
      </c>
      <c r="P652" t="str">
        <f>IF(SAISIE!$Q657="","",SAISIE!$Q657)</f>
        <v/>
      </c>
      <c r="Q652" t="str">
        <f>IF($I652="","",IF($I652&gt;PARAMETRES!$G$29,5,IF($I652&gt;PARAMETRES!$F$29,4,IF($I652&gt;PARAMETRES!$E$29,3,IF($I652&gt;PARAMETRES!$D$29,2,1)))))</f>
        <v/>
      </c>
      <c r="R652" t="str">
        <f>IF($J652="","",IF($J652&gt;PARAMETRES!$G$30,5,IF($J652&gt;PARAMETRES!$F$30,4,IF($J652&gt;PARAMETRES!$E$30,3,IF($J652&gt;PARAMETRES!$D$30,2,1)))))</f>
        <v/>
      </c>
      <c r="S652" t="str">
        <f>IF($K652="","",IF($Z652=2,IF($K652&gt;PARAMETRES!$G$31,5,IF($K652&gt;PARAMETRES!$F$31,4,IF($K652&gt;PARAMETRES!$E$31,3,IF($K652&gt;PARAMETRES!$D$31,2,1)))),IF($K652&gt;PARAMETRES!$G$32,5,IF($K652&gt;PARAMETRES!$F$32,4,IF($K652&gt;PARAMETRES!$E$32,3,IF($K652&gt;PARAMETRES!$D$32,2,1))))))</f>
        <v/>
      </c>
      <c r="T652" t="str">
        <f>IF($L652="","",IF($L652&gt;PARAMETRES!$G$33,5,IF($L652&gt;PARAMETRES!$F$33,4,IF($L652&gt;PARAMETRES!$E$33,3,IF($L652&gt;PARAMETRES!$D$33,2,1)))))</f>
        <v/>
      </c>
      <c r="U652" t="str">
        <f>IF($M652="","",IF($M652&gt;PARAMETRES!$G$34,5,IF($M652&gt;PARAMETRES!$F$34,4,IF($M652&gt;PARAMETRES!$E$34,3,IF($M652&gt;PARAMETRES!$D$34,2,1)))))</f>
        <v/>
      </c>
      <c r="V652" t="str">
        <f>IF($N652="","",IF($N652&gt;PARAMETRES!$G$35,5,IF($N652&gt;PARAMETRES!$F$35,4,IF($N652&gt;PARAMETRES!$E$35,3,IF($N652&gt;PARAMETRES!$D$35,2,1)))))</f>
        <v/>
      </c>
      <c r="W652" t="str">
        <f>IF($O652="","",IF($O652&gt;PARAMETRES!$G$36,5,IF($O652&gt;PARAMETRES!$F$36,4,IF($O652&gt;PARAMETRES!$E$36,3,IF($O652&gt;PARAMETRES!$D$36,2,1)))))</f>
        <v/>
      </c>
      <c r="X652" t="str">
        <f>IF($P652="","",IF($P652&gt;PARAMETRES!$G$37,5,IF($P652&gt;PARAMETRES!$F$37,4,IF($P652&gt;PARAMETRES!$E$37,3,IF($P652&gt;PARAMETRES!$D$37,2,1)))))</f>
        <v/>
      </c>
      <c r="Y652" t="str">
        <f t="shared" si="240"/>
        <v/>
      </c>
      <c r="Z652" t="str">
        <f>IFERROR(VLOOKUP($B652,TABLE_CYCLE,2,0),"")</f>
        <v/>
      </c>
      <c r="AA652" t="str">
        <f t="shared" si="241"/>
        <v/>
      </c>
      <c r="AB652" t="str">
        <f>IF($D652="","",IF(COUNTIF($D$2:$D652,$D652)=1,$D652,""))</f>
        <v/>
      </c>
      <c r="AC652">
        <f t="shared" si="242"/>
        <v>0</v>
      </c>
      <c r="AD652" t="str">
        <f t="shared" si="243"/>
        <v>|0</v>
      </c>
      <c r="AE652" t="str">
        <f t="shared" si="244"/>
        <v/>
      </c>
      <c r="AF652" t="str">
        <f t="shared" si="245"/>
        <v/>
      </c>
      <c r="AG652" t="str">
        <f t="shared" si="246"/>
        <v/>
      </c>
      <c r="AH652" t="str">
        <f t="shared" si="247"/>
        <v/>
      </c>
      <c r="AI652" t="str">
        <f t="shared" si="248"/>
        <v/>
      </c>
      <c r="AJ652" t="str">
        <f t="shared" si="249"/>
        <v/>
      </c>
      <c r="AK652" t="str">
        <f t="shared" si="250"/>
        <v/>
      </c>
      <c r="AL652" t="str">
        <f t="shared" si="251"/>
        <v/>
      </c>
      <c r="AM652" t="str">
        <f t="shared" si="252"/>
        <v/>
      </c>
      <c r="AN652" t="str">
        <f t="shared" si="253"/>
        <v/>
      </c>
      <c r="AO652" t="str">
        <f t="shared" si="254"/>
        <v/>
      </c>
      <c r="AP652">
        <f t="shared" si="255"/>
        <v>1</v>
      </c>
      <c r="AQ652" t="str">
        <f>IF(SAISIE!$F657="","",SAISIE!$Y657)</f>
        <v/>
      </c>
      <c r="AR652" t="str">
        <f>IF(OR(SAISIE!$U$4="",SAISIE!$W$4=""),"",IF(AND($A652=SAISIE!$U$4,$B652=SAISIE!$W$4,$C652="S1"),COUNTIFS($A$2:$A652,SAISIE!$U$4,$B$2:$B652,SAISIE!$W$4,$C$2:$C652,"S1"),""))</f>
        <v/>
      </c>
      <c r="AS652" t="str">
        <f t="shared" si="256"/>
        <v/>
      </c>
      <c r="AT652" t="str">
        <f t="shared" si="257"/>
        <v/>
      </c>
      <c r="AU652" t="str">
        <f t="shared" si="258"/>
        <v/>
      </c>
      <c r="AV652">
        <f>N(AV651)+IF(AND($AB652&lt;&gt;"",OR('PROFIL ELEVE'!$K$4="(Tous)",$AF652='PROFIL ELEVE'!$K$4)),1,0)</f>
        <v>0</v>
      </c>
      <c r="AW652">
        <f>N(AW651)+IF(AND($AB652&lt;&gt;"",OR('SUIVI LONGITUDINAL'!$Q$4="(Tous)",$AF652='SUIVI LONGITUDINAL'!$Q$4)),1,0)</f>
        <v>0</v>
      </c>
      <c r="AX652">
        <f t="shared" si="259"/>
        <v>0</v>
      </c>
      <c r="AY652">
        <f t="shared" si="260"/>
        <v>0</v>
      </c>
      <c r="AZ652">
        <f t="shared" si="261"/>
        <v>0</v>
      </c>
      <c r="BA652" t="str">
        <f t="shared" si="262"/>
        <v/>
      </c>
      <c r="BB652" t="str">
        <f t="shared" si="263"/>
        <v/>
      </c>
    </row>
    <row r="653" spans="1:54" ht="14.25" customHeight="1" x14ac:dyDescent="0.3">
      <c r="A653" t="str">
        <f>IF(SAISIE!$F658="","",SAISIE!$B658)</f>
        <v/>
      </c>
      <c r="B653" t="str">
        <f>IF(SAISIE!$F658="","",SAISIE!$C658)</f>
        <v/>
      </c>
      <c r="C653" t="str">
        <f>IF(SAISIE!$F658="","",SAISIE!$D658)</f>
        <v/>
      </c>
      <c r="D653" t="str">
        <f>IF(SAISIE!$E658="","",SAISIE!$E658)</f>
        <v/>
      </c>
      <c r="E653" t="str">
        <f>IF(SAISIE!$F658="","",SAISIE!$F658)</f>
        <v/>
      </c>
      <c r="F653" t="str">
        <f>IF(SAISIE!$G658="","",SAISIE!$G658)</f>
        <v/>
      </c>
      <c r="G653" t="str">
        <f>IF(SAISIE!$H658="","",SAISIE!$H658)</f>
        <v/>
      </c>
      <c r="H653" t="str">
        <f>IF(SAISIE!$I658="","",SAISIE!$I658)</f>
        <v/>
      </c>
      <c r="I653" t="str">
        <f>IF(SAISIE!$J658="","",SAISIE!$J658)</f>
        <v/>
      </c>
      <c r="J653" t="str">
        <f>IF(SAISIE!$K658="","",SAISIE!$K658)</f>
        <v/>
      </c>
      <c r="K653" t="str">
        <f>IF(SAISIE!$L658="","",SAISIE!$L658)</f>
        <v/>
      </c>
      <c r="L653" t="str">
        <f>IF(SAISIE!$M658="","",SAISIE!$M658)</f>
        <v/>
      </c>
      <c r="M653" t="str">
        <f>IF(SAISIE!$N658="","",SAISIE!$N658)</f>
        <v/>
      </c>
      <c r="N653" t="str">
        <f>IF(SAISIE!$O658="","",SAISIE!$O658)</f>
        <v/>
      </c>
      <c r="O653" t="str">
        <f>IF(SAISIE!$P658="","",SAISIE!$P658)</f>
        <v/>
      </c>
      <c r="P653" t="str">
        <f>IF(SAISIE!$Q658="","",SAISIE!$Q658)</f>
        <v/>
      </c>
      <c r="Q653" t="str">
        <f>IF($I653="","",IF($I653&gt;PARAMETRES!$G$29,5,IF($I653&gt;PARAMETRES!$F$29,4,IF($I653&gt;PARAMETRES!$E$29,3,IF($I653&gt;PARAMETRES!$D$29,2,1)))))</f>
        <v/>
      </c>
      <c r="R653" t="str">
        <f>IF($J653="","",IF($J653&gt;PARAMETRES!$G$30,5,IF($J653&gt;PARAMETRES!$F$30,4,IF($J653&gt;PARAMETRES!$E$30,3,IF($J653&gt;PARAMETRES!$D$30,2,1)))))</f>
        <v/>
      </c>
      <c r="S653" t="str">
        <f>IF($K653="","",IF($Z653=2,IF($K653&gt;PARAMETRES!$G$31,5,IF($K653&gt;PARAMETRES!$F$31,4,IF($K653&gt;PARAMETRES!$E$31,3,IF($K653&gt;PARAMETRES!$D$31,2,1)))),IF($K653&gt;PARAMETRES!$G$32,5,IF($K653&gt;PARAMETRES!$F$32,4,IF($K653&gt;PARAMETRES!$E$32,3,IF($K653&gt;PARAMETRES!$D$32,2,1))))))</f>
        <v/>
      </c>
      <c r="T653" t="str">
        <f>IF($L653="","",IF($L653&gt;PARAMETRES!$G$33,5,IF($L653&gt;PARAMETRES!$F$33,4,IF($L653&gt;PARAMETRES!$E$33,3,IF($L653&gt;PARAMETRES!$D$33,2,1)))))</f>
        <v/>
      </c>
      <c r="U653" t="str">
        <f>IF($M653="","",IF($M653&gt;PARAMETRES!$G$34,5,IF($M653&gt;PARAMETRES!$F$34,4,IF($M653&gt;PARAMETRES!$E$34,3,IF($M653&gt;PARAMETRES!$D$34,2,1)))))</f>
        <v/>
      </c>
      <c r="V653" t="str">
        <f>IF($N653="","",IF($N653&gt;PARAMETRES!$G$35,5,IF($N653&gt;PARAMETRES!$F$35,4,IF($N653&gt;PARAMETRES!$E$35,3,IF($N653&gt;PARAMETRES!$D$35,2,1)))))</f>
        <v/>
      </c>
      <c r="W653" t="str">
        <f>IF($O653="","",IF($O653&gt;PARAMETRES!$G$36,5,IF($O653&gt;PARAMETRES!$F$36,4,IF($O653&gt;PARAMETRES!$E$36,3,IF($O653&gt;PARAMETRES!$D$36,2,1)))))</f>
        <v/>
      </c>
      <c r="X653" t="str">
        <f>IF($P653="","",IF($P653&gt;PARAMETRES!$G$37,5,IF($P653&gt;PARAMETRES!$F$37,4,IF($P653&gt;PARAMETRES!$E$37,3,IF($P653&gt;PARAMETRES!$D$37,2,1)))))</f>
        <v/>
      </c>
      <c r="Y653" t="str">
        <f t="shared" si="240"/>
        <v/>
      </c>
      <c r="Z653" t="str">
        <f>IFERROR(VLOOKUP($B653,TABLE_CYCLE,2,0),"")</f>
        <v/>
      </c>
      <c r="AA653" t="str">
        <f t="shared" si="241"/>
        <v/>
      </c>
      <c r="AB653" t="str">
        <f>IF($D653="","",IF(COUNTIF($D$2:$D653,$D653)=1,$D653,""))</f>
        <v/>
      </c>
      <c r="AC653">
        <f t="shared" si="242"/>
        <v>0</v>
      </c>
      <c r="AD653" t="str">
        <f t="shared" si="243"/>
        <v>|0</v>
      </c>
      <c r="AE653" t="str">
        <f t="shared" si="244"/>
        <v/>
      </c>
      <c r="AF653" t="str">
        <f t="shared" si="245"/>
        <v/>
      </c>
      <c r="AG653" t="str">
        <f t="shared" si="246"/>
        <v/>
      </c>
      <c r="AH653" t="str">
        <f t="shared" si="247"/>
        <v/>
      </c>
      <c r="AI653" t="str">
        <f t="shared" si="248"/>
        <v/>
      </c>
      <c r="AJ653" t="str">
        <f t="shared" si="249"/>
        <v/>
      </c>
      <c r="AK653" t="str">
        <f t="shared" si="250"/>
        <v/>
      </c>
      <c r="AL653" t="str">
        <f t="shared" si="251"/>
        <v/>
      </c>
      <c r="AM653" t="str">
        <f t="shared" si="252"/>
        <v/>
      </c>
      <c r="AN653" t="str">
        <f t="shared" si="253"/>
        <v/>
      </c>
      <c r="AO653" t="str">
        <f t="shared" si="254"/>
        <v/>
      </c>
      <c r="AP653">
        <f t="shared" si="255"/>
        <v>1</v>
      </c>
      <c r="AQ653" t="str">
        <f>IF(SAISIE!$F658="","",SAISIE!$Y658)</f>
        <v/>
      </c>
      <c r="AR653" t="str">
        <f>IF(OR(SAISIE!$U$4="",SAISIE!$W$4=""),"",IF(AND($A653=SAISIE!$U$4,$B653=SAISIE!$W$4,$C653="S1"),COUNTIFS($A$2:$A653,SAISIE!$U$4,$B$2:$B653,SAISIE!$W$4,$C$2:$C653,"S1"),""))</f>
        <v/>
      </c>
      <c r="AS653" t="str">
        <f t="shared" si="256"/>
        <v/>
      </c>
      <c r="AT653" t="str">
        <f t="shared" si="257"/>
        <v/>
      </c>
      <c r="AU653" t="str">
        <f t="shared" si="258"/>
        <v/>
      </c>
      <c r="AV653">
        <f>N(AV652)+IF(AND($AB653&lt;&gt;"",OR('PROFIL ELEVE'!$K$4="(Tous)",$AF653='PROFIL ELEVE'!$K$4)),1,0)</f>
        <v>0</v>
      </c>
      <c r="AW653">
        <f>N(AW652)+IF(AND($AB653&lt;&gt;"",OR('SUIVI LONGITUDINAL'!$Q$4="(Tous)",$AF653='SUIVI LONGITUDINAL'!$Q$4)),1,0)</f>
        <v>0</v>
      </c>
      <c r="AX653">
        <f t="shared" si="259"/>
        <v>0</v>
      </c>
      <c r="AY653">
        <f t="shared" si="260"/>
        <v>0</v>
      </c>
      <c r="AZ653">
        <f t="shared" si="261"/>
        <v>0</v>
      </c>
      <c r="BA653" t="str">
        <f t="shared" si="262"/>
        <v/>
      </c>
      <c r="BB653" t="str">
        <f t="shared" si="263"/>
        <v/>
      </c>
    </row>
    <row r="654" spans="1:54" ht="14.25" customHeight="1" x14ac:dyDescent="0.3">
      <c r="A654" t="str">
        <f>IF(SAISIE!$F659="","",SAISIE!$B659)</f>
        <v/>
      </c>
      <c r="B654" t="str">
        <f>IF(SAISIE!$F659="","",SAISIE!$C659)</f>
        <v/>
      </c>
      <c r="C654" t="str">
        <f>IF(SAISIE!$F659="","",SAISIE!$D659)</f>
        <v/>
      </c>
      <c r="D654" t="str">
        <f>IF(SAISIE!$E659="","",SAISIE!$E659)</f>
        <v/>
      </c>
      <c r="E654" t="str">
        <f>IF(SAISIE!$F659="","",SAISIE!$F659)</f>
        <v/>
      </c>
      <c r="F654" t="str">
        <f>IF(SAISIE!$G659="","",SAISIE!$G659)</f>
        <v/>
      </c>
      <c r="G654" t="str">
        <f>IF(SAISIE!$H659="","",SAISIE!$H659)</f>
        <v/>
      </c>
      <c r="H654" t="str">
        <f>IF(SAISIE!$I659="","",SAISIE!$I659)</f>
        <v/>
      </c>
      <c r="I654" t="str">
        <f>IF(SAISIE!$J659="","",SAISIE!$J659)</f>
        <v/>
      </c>
      <c r="J654" t="str">
        <f>IF(SAISIE!$K659="","",SAISIE!$K659)</f>
        <v/>
      </c>
      <c r="K654" t="str">
        <f>IF(SAISIE!$L659="","",SAISIE!$L659)</f>
        <v/>
      </c>
      <c r="L654" t="str">
        <f>IF(SAISIE!$M659="","",SAISIE!$M659)</f>
        <v/>
      </c>
      <c r="M654" t="str">
        <f>IF(SAISIE!$N659="","",SAISIE!$N659)</f>
        <v/>
      </c>
      <c r="N654" t="str">
        <f>IF(SAISIE!$O659="","",SAISIE!$O659)</f>
        <v/>
      </c>
      <c r="O654" t="str">
        <f>IF(SAISIE!$P659="","",SAISIE!$P659)</f>
        <v/>
      </c>
      <c r="P654" t="str">
        <f>IF(SAISIE!$Q659="","",SAISIE!$Q659)</f>
        <v/>
      </c>
      <c r="Q654" t="str">
        <f>IF($I654="","",IF($I654&gt;PARAMETRES!$G$29,5,IF($I654&gt;PARAMETRES!$F$29,4,IF($I654&gt;PARAMETRES!$E$29,3,IF($I654&gt;PARAMETRES!$D$29,2,1)))))</f>
        <v/>
      </c>
      <c r="R654" t="str">
        <f>IF($J654="","",IF($J654&gt;PARAMETRES!$G$30,5,IF($J654&gt;PARAMETRES!$F$30,4,IF($J654&gt;PARAMETRES!$E$30,3,IF($J654&gt;PARAMETRES!$D$30,2,1)))))</f>
        <v/>
      </c>
      <c r="S654" t="str">
        <f>IF($K654="","",IF($Z654=2,IF($K654&gt;PARAMETRES!$G$31,5,IF($K654&gt;PARAMETRES!$F$31,4,IF($K654&gt;PARAMETRES!$E$31,3,IF($K654&gt;PARAMETRES!$D$31,2,1)))),IF($K654&gt;PARAMETRES!$G$32,5,IF($K654&gt;PARAMETRES!$F$32,4,IF($K654&gt;PARAMETRES!$E$32,3,IF($K654&gt;PARAMETRES!$D$32,2,1))))))</f>
        <v/>
      </c>
      <c r="T654" t="str">
        <f>IF($L654="","",IF($L654&gt;PARAMETRES!$G$33,5,IF($L654&gt;PARAMETRES!$F$33,4,IF($L654&gt;PARAMETRES!$E$33,3,IF($L654&gt;PARAMETRES!$D$33,2,1)))))</f>
        <v/>
      </c>
      <c r="U654" t="str">
        <f>IF($M654="","",IF($M654&gt;PARAMETRES!$G$34,5,IF($M654&gt;PARAMETRES!$F$34,4,IF($M654&gt;PARAMETRES!$E$34,3,IF($M654&gt;PARAMETRES!$D$34,2,1)))))</f>
        <v/>
      </c>
      <c r="V654" t="str">
        <f>IF($N654="","",IF($N654&gt;PARAMETRES!$G$35,5,IF($N654&gt;PARAMETRES!$F$35,4,IF($N654&gt;PARAMETRES!$E$35,3,IF($N654&gt;PARAMETRES!$D$35,2,1)))))</f>
        <v/>
      </c>
      <c r="W654" t="str">
        <f>IF($O654="","",IF($O654&gt;PARAMETRES!$G$36,5,IF($O654&gt;PARAMETRES!$F$36,4,IF($O654&gt;PARAMETRES!$E$36,3,IF($O654&gt;PARAMETRES!$D$36,2,1)))))</f>
        <v/>
      </c>
      <c r="X654" t="str">
        <f>IF($P654="","",IF($P654&gt;PARAMETRES!$G$37,5,IF($P654&gt;PARAMETRES!$F$37,4,IF($P654&gt;PARAMETRES!$E$37,3,IF($P654&gt;PARAMETRES!$D$37,2,1)))))</f>
        <v/>
      </c>
      <c r="Y654" t="str">
        <f t="shared" si="240"/>
        <v/>
      </c>
      <c r="Z654" t="str">
        <f>IFERROR(VLOOKUP($B654,TABLE_CYCLE,2,0),"")</f>
        <v/>
      </c>
      <c r="AA654" t="str">
        <f t="shared" si="241"/>
        <v/>
      </c>
      <c r="AB654" t="str">
        <f>IF($D654="","",IF(COUNTIF($D$2:$D654,$D654)=1,$D654,""))</f>
        <v/>
      </c>
      <c r="AC654">
        <f t="shared" si="242"/>
        <v>0</v>
      </c>
      <c r="AD654" t="str">
        <f t="shared" si="243"/>
        <v>|0</v>
      </c>
      <c r="AE654" t="str">
        <f t="shared" si="244"/>
        <v/>
      </c>
      <c r="AF654" t="str">
        <f t="shared" si="245"/>
        <v/>
      </c>
      <c r="AG654" t="str">
        <f t="shared" si="246"/>
        <v/>
      </c>
      <c r="AH654" t="str">
        <f t="shared" si="247"/>
        <v/>
      </c>
      <c r="AI654" t="str">
        <f t="shared" si="248"/>
        <v/>
      </c>
      <c r="AJ654" t="str">
        <f t="shared" si="249"/>
        <v/>
      </c>
      <c r="AK654" t="str">
        <f t="shared" si="250"/>
        <v/>
      </c>
      <c r="AL654" t="str">
        <f t="shared" si="251"/>
        <v/>
      </c>
      <c r="AM654" t="str">
        <f t="shared" si="252"/>
        <v/>
      </c>
      <c r="AN654" t="str">
        <f t="shared" si="253"/>
        <v/>
      </c>
      <c r="AO654" t="str">
        <f t="shared" si="254"/>
        <v/>
      </c>
      <c r="AP654">
        <f t="shared" si="255"/>
        <v>1</v>
      </c>
      <c r="AQ654" t="str">
        <f>IF(SAISIE!$F659="","",SAISIE!$Y659)</f>
        <v/>
      </c>
      <c r="AR654" t="str">
        <f>IF(OR(SAISIE!$U$4="",SAISIE!$W$4=""),"",IF(AND($A654=SAISIE!$U$4,$B654=SAISIE!$W$4,$C654="S1"),COUNTIFS($A$2:$A654,SAISIE!$U$4,$B$2:$B654,SAISIE!$W$4,$C$2:$C654,"S1"),""))</f>
        <v/>
      </c>
      <c r="AS654" t="str">
        <f t="shared" si="256"/>
        <v/>
      </c>
      <c r="AT654" t="str">
        <f t="shared" si="257"/>
        <v/>
      </c>
      <c r="AU654" t="str">
        <f t="shared" si="258"/>
        <v/>
      </c>
      <c r="AV654">
        <f>N(AV653)+IF(AND($AB654&lt;&gt;"",OR('PROFIL ELEVE'!$K$4="(Tous)",$AF654='PROFIL ELEVE'!$K$4)),1,0)</f>
        <v>0</v>
      </c>
      <c r="AW654">
        <f>N(AW653)+IF(AND($AB654&lt;&gt;"",OR('SUIVI LONGITUDINAL'!$Q$4="(Tous)",$AF654='SUIVI LONGITUDINAL'!$Q$4)),1,0)</f>
        <v>0</v>
      </c>
      <c r="AX654">
        <f t="shared" si="259"/>
        <v>0</v>
      </c>
      <c r="AY654">
        <f t="shared" si="260"/>
        <v>0</v>
      </c>
      <c r="AZ654">
        <f t="shared" si="261"/>
        <v>0</v>
      </c>
      <c r="BA654" t="str">
        <f t="shared" si="262"/>
        <v/>
      </c>
      <c r="BB654" t="str">
        <f t="shared" si="263"/>
        <v/>
      </c>
    </row>
    <row r="655" spans="1:54" ht="14.25" customHeight="1" x14ac:dyDescent="0.3">
      <c r="A655" t="str">
        <f>IF(SAISIE!$F660="","",SAISIE!$B660)</f>
        <v/>
      </c>
      <c r="B655" t="str">
        <f>IF(SAISIE!$F660="","",SAISIE!$C660)</f>
        <v/>
      </c>
      <c r="C655" t="str">
        <f>IF(SAISIE!$F660="","",SAISIE!$D660)</f>
        <v/>
      </c>
      <c r="D655" t="str">
        <f>IF(SAISIE!$E660="","",SAISIE!$E660)</f>
        <v/>
      </c>
      <c r="E655" t="str">
        <f>IF(SAISIE!$F660="","",SAISIE!$F660)</f>
        <v/>
      </c>
      <c r="F655" t="str">
        <f>IF(SAISIE!$G660="","",SAISIE!$G660)</f>
        <v/>
      </c>
      <c r="G655" t="str">
        <f>IF(SAISIE!$H660="","",SAISIE!$H660)</f>
        <v/>
      </c>
      <c r="H655" t="str">
        <f>IF(SAISIE!$I660="","",SAISIE!$I660)</f>
        <v/>
      </c>
      <c r="I655" t="str">
        <f>IF(SAISIE!$J660="","",SAISIE!$J660)</f>
        <v/>
      </c>
      <c r="J655" t="str">
        <f>IF(SAISIE!$K660="","",SAISIE!$K660)</f>
        <v/>
      </c>
      <c r="K655" t="str">
        <f>IF(SAISIE!$L660="","",SAISIE!$L660)</f>
        <v/>
      </c>
      <c r="L655" t="str">
        <f>IF(SAISIE!$M660="","",SAISIE!$M660)</f>
        <v/>
      </c>
      <c r="M655" t="str">
        <f>IF(SAISIE!$N660="","",SAISIE!$N660)</f>
        <v/>
      </c>
      <c r="N655" t="str">
        <f>IF(SAISIE!$O660="","",SAISIE!$O660)</f>
        <v/>
      </c>
      <c r="O655" t="str">
        <f>IF(SAISIE!$P660="","",SAISIE!$P660)</f>
        <v/>
      </c>
      <c r="P655" t="str">
        <f>IF(SAISIE!$Q660="","",SAISIE!$Q660)</f>
        <v/>
      </c>
      <c r="Q655" t="str">
        <f>IF($I655="","",IF($I655&gt;PARAMETRES!$G$29,5,IF($I655&gt;PARAMETRES!$F$29,4,IF($I655&gt;PARAMETRES!$E$29,3,IF($I655&gt;PARAMETRES!$D$29,2,1)))))</f>
        <v/>
      </c>
      <c r="R655" t="str">
        <f>IF($J655="","",IF($J655&gt;PARAMETRES!$G$30,5,IF($J655&gt;PARAMETRES!$F$30,4,IF($J655&gt;PARAMETRES!$E$30,3,IF($J655&gt;PARAMETRES!$D$30,2,1)))))</f>
        <v/>
      </c>
      <c r="S655" t="str">
        <f>IF($K655="","",IF($Z655=2,IF($K655&gt;PARAMETRES!$G$31,5,IF($K655&gt;PARAMETRES!$F$31,4,IF($K655&gt;PARAMETRES!$E$31,3,IF($K655&gt;PARAMETRES!$D$31,2,1)))),IF($K655&gt;PARAMETRES!$G$32,5,IF($K655&gt;PARAMETRES!$F$32,4,IF($K655&gt;PARAMETRES!$E$32,3,IF($K655&gt;PARAMETRES!$D$32,2,1))))))</f>
        <v/>
      </c>
      <c r="T655" t="str">
        <f>IF($L655="","",IF($L655&gt;PARAMETRES!$G$33,5,IF($L655&gt;PARAMETRES!$F$33,4,IF($L655&gt;PARAMETRES!$E$33,3,IF($L655&gt;PARAMETRES!$D$33,2,1)))))</f>
        <v/>
      </c>
      <c r="U655" t="str">
        <f>IF($M655="","",IF($M655&gt;PARAMETRES!$G$34,5,IF($M655&gt;PARAMETRES!$F$34,4,IF($M655&gt;PARAMETRES!$E$34,3,IF($M655&gt;PARAMETRES!$D$34,2,1)))))</f>
        <v/>
      </c>
      <c r="V655" t="str">
        <f>IF($N655="","",IF($N655&gt;PARAMETRES!$G$35,5,IF($N655&gt;PARAMETRES!$F$35,4,IF($N655&gt;PARAMETRES!$E$35,3,IF($N655&gt;PARAMETRES!$D$35,2,1)))))</f>
        <v/>
      </c>
      <c r="W655" t="str">
        <f>IF($O655="","",IF($O655&gt;PARAMETRES!$G$36,5,IF($O655&gt;PARAMETRES!$F$36,4,IF($O655&gt;PARAMETRES!$E$36,3,IF($O655&gt;PARAMETRES!$D$36,2,1)))))</f>
        <v/>
      </c>
      <c r="X655" t="str">
        <f>IF($P655="","",IF($P655&gt;PARAMETRES!$G$37,5,IF($P655&gt;PARAMETRES!$F$37,4,IF($P655&gt;PARAMETRES!$E$37,3,IF($P655&gt;PARAMETRES!$D$37,2,1)))))</f>
        <v/>
      </c>
      <c r="Y655" t="str">
        <f t="shared" si="240"/>
        <v/>
      </c>
      <c r="Z655" t="str">
        <f>IFERROR(VLOOKUP($B655,TABLE_CYCLE,2,0),"")</f>
        <v/>
      </c>
      <c r="AA655" t="str">
        <f t="shared" si="241"/>
        <v/>
      </c>
      <c r="AB655" t="str">
        <f>IF($D655="","",IF(COUNTIF($D$2:$D655,$D655)=1,$D655,""))</f>
        <v/>
      </c>
      <c r="AC655">
        <f t="shared" si="242"/>
        <v>0</v>
      </c>
      <c r="AD655" t="str">
        <f t="shared" si="243"/>
        <v>|0</v>
      </c>
      <c r="AE655" t="str">
        <f t="shared" si="244"/>
        <v/>
      </c>
      <c r="AF655" t="str">
        <f t="shared" si="245"/>
        <v/>
      </c>
      <c r="AG655" t="str">
        <f t="shared" si="246"/>
        <v/>
      </c>
      <c r="AH655" t="str">
        <f t="shared" si="247"/>
        <v/>
      </c>
      <c r="AI655" t="str">
        <f t="shared" si="248"/>
        <v/>
      </c>
      <c r="AJ655" t="str">
        <f t="shared" si="249"/>
        <v/>
      </c>
      <c r="AK655" t="str">
        <f t="shared" si="250"/>
        <v/>
      </c>
      <c r="AL655" t="str">
        <f t="shared" si="251"/>
        <v/>
      </c>
      <c r="AM655" t="str">
        <f t="shared" si="252"/>
        <v/>
      </c>
      <c r="AN655" t="str">
        <f t="shared" si="253"/>
        <v/>
      </c>
      <c r="AO655" t="str">
        <f t="shared" si="254"/>
        <v/>
      </c>
      <c r="AP655">
        <f t="shared" si="255"/>
        <v>1</v>
      </c>
      <c r="AQ655" t="str">
        <f>IF(SAISIE!$F660="","",SAISIE!$Y660)</f>
        <v/>
      </c>
      <c r="AR655" t="str">
        <f>IF(OR(SAISIE!$U$4="",SAISIE!$W$4=""),"",IF(AND($A655=SAISIE!$U$4,$B655=SAISIE!$W$4,$C655="S1"),COUNTIFS($A$2:$A655,SAISIE!$U$4,$B$2:$B655,SAISIE!$W$4,$C$2:$C655,"S1"),""))</f>
        <v/>
      </c>
      <c r="AS655" t="str">
        <f t="shared" si="256"/>
        <v/>
      </c>
      <c r="AT655" t="str">
        <f t="shared" si="257"/>
        <v/>
      </c>
      <c r="AU655" t="str">
        <f t="shared" si="258"/>
        <v/>
      </c>
      <c r="AV655">
        <f>N(AV654)+IF(AND($AB655&lt;&gt;"",OR('PROFIL ELEVE'!$K$4="(Tous)",$AF655='PROFIL ELEVE'!$K$4)),1,0)</f>
        <v>0</v>
      </c>
      <c r="AW655">
        <f>N(AW654)+IF(AND($AB655&lt;&gt;"",OR('SUIVI LONGITUDINAL'!$Q$4="(Tous)",$AF655='SUIVI LONGITUDINAL'!$Q$4)),1,0)</f>
        <v>0</v>
      </c>
      <c r="AX655">
        <f t="shared" si="259"/>
        <v>0</v>
      </c>
      <c r="AY655">
        <f t="shared" si="260"/>
        <v>0</v>
      </c>
      <c r="AZ655">
        <f t="shared" si="261"/>
        <v>0</v>
      </c>
      <c r="BA655" t="str">
        <f t="shared" si="262"/>
        <v/>
      </c>
      <c r="BB655" t="str">
        <f t="shared" si="263"/>
        <v/>
      </c>
    </row>
    <row r="656" spans="1:54" ht="14.25" customHeight="1" x14ac:dyDescent="0.3">
      <c r="A656" t="str">
        <f>IF(SAISIE!$F661="","",SAISIE!$B661)</f>
        <v/>
      </c>
      <c r="B656" t="str">
        <f>IF(SAISIE!$F661="","",SAISIE!$C661)</f>
        <v/>
      </c>
      <c r="C656" t="str">
        <f>IF(SAISIE!$F661="","",SAISIE!$D661)</f>
        <v/>
      </c>
      <c r="D656" t="str">
        <f>IF(SAISIE!$E661="","",SAISIE!$E661)</f>
        <v/>
      </c>
      <c r="E656" t="str">
        <f>IF(SAISIE!$F661="","",SAISIE!$F661)</f>
        <v/>
      </c>
      <c r="F656" t="str">
        <f>IF(SAISIE!$G661="","",SAISIE!$G661)</f>
        <v/>
      </c>
      <c r="G656" t="str">
        <f>IF(SAISIE!$H661="","",SAISIE!$H661)</f>
        <v/>
      </c>
      <c r="H656" t="str">
        <f>IF(SAISIE!$I661="","",SAISIE!$I661)</f>
        <v/>
      </c>
      <c r="I656" t="str">
        <f>IF(SAISIE!$J661="","",SAISIE!$J661)</f>
        <v/>
      </c>
      <c r="J656" t="str">
        <f>IF(SAISIE!$K661="","",SAISIE!$K661)</f>
        <v/>
      </c>
      <c r="K656" t="str">
        <f>IF(SAISIE!$L661="","",SAISIE!$L661)</f>
        <v/>
      </c>
      <c r="L656" t="str">
        <f>IF(SAISIE!$M661="","",SAISIE!$M661)</f>
        <v/>
      </c>
      <c r="M656" t="str">
        <f>IF(SAISIE!$N661="","",SAISIE!$N661)</f>
        <v/>
      </c>
      <c r="N656" t="str">
        <f>IF(SAISIE!$O661="","",SAISIE!$O661)</f>
        <v/>
      </c>
      <c r="O656" t="str">
        <f>IF(SAISIE!$P661="","",SAISIE!$P661)</f>
        <v/>
      </c>
      <c r="P656" t="str">
        <f>IF(SAISIE!$Q661="","",SAISIE!$Q661)</f>
        <v/>
      </c>
      <c r="Q656" t="str">
        <f>IF($I656="","",IF($I656&gt;PARAMETRES!$G$29,5,IF($I656&gt;PARAMETRES!$F$29,4,IF($I656&gt;PARAMETRES!$E$29,3,IF($I656&gt;PARAMETRES!$D$29,2,1)))))</f>
        <v/>
      </c>
      <c r="R656" t="str">
        <f>IF($J656="","",IF($J656&gt;PARAMETRES!$G$30,5,IF($J656&gt;PARAMETRES!$F$30,4,IF($J656&gt;PARAMETRES!$E$30,3,IF($J656&gt;PARAMETRES!$D$30,2,1)))))</f>
        <v/>
      </c>
      <c r="S656" t="str">
        <f>IF($K656="","",IF($Z656=2,IF($K656&gt;PARAMETRES!$G$31,5,IF($K656&gt;PARAMETRES!$F$31,4,IF($K656&gt;PARAMETRES!$E$31,3,IF($K656&gt;PARAMETRES!$D$31,2,1)))),IF($K656&gt;PARAMETRES!$G$32,5,IF($K656&gt;PARAMETRES!$F$32,4,IF($K656&gt;PARAMETRES!$E$32,3,IF($K656&gt;PARAMETRES!$D$32,2,1))))))</f>
        <v/>
      </c>
      <c r="T656" t="str">
        <f>IF($L656="","",IF($L656&gt;PARAMETRES!$G$33,5,IF($L656&gt;PARAMETRES!$F$33,4,IF($L656&gt;PARAMETRES!$E$33,3,IF($L656&gt;PARAMETRES!$D$33,2,1)))))</f>
        <v/>
      </c>
      <c r="U656" t="str">
        <f>IF($M656="","",IF($M656&gt;PARAMETRES!$G$34,5,IF($M656&gt;PARAMETRES!$F$34,4,IF($M656&gt;PARAMETRES!$E$34,3,IF($M656&gt;PARAMETRES!$D$34,2,1)))))</f>
        <v/>
      </c>
      <c r="V656" t="str">
        <f>IF($N656="","",IF($N656&gt;PARAMETRES!$G$35,5,IF($N656&gt;PARAMETRES!$F$35,4,IF($N656&gt;PARAMETRES!$E$35,3,IF($N656&gt;PARAMETRES!$D$35,2,1)))))</f>
        <v/>
      </c>
      <c r="W656" t="str">
        <f>IF($O656="","",IF($O656&gt;PARAMETRES!$G$36,5,IF($O656&gt;PARAMETRES!$F$36,4,IF($O656&gt;PARAMETRES!$E$36,3,IF($O656&gt;PARAMETRES!$D$36,2,1)))))</f>
        <v/>
      </c>
      <c r="X656" t="str">
        <f>IF($P656="","",IF($P656&gt;PARAMETRES!$G$37,5,IF($P656&gt;PARAMETRES!$F$37,4,IF($P656&gt;PARAMETRES!$E$37,3,IF($P656&gt;PARAMETRES!$D$37,2,1)))))</f>
        <v/>
      </c>
      <c r="Y656" t="str">
        <f t="shared" si="240"/>
        <v/>
      </c>
      <c r="Z656" t="str">
        <f>IFERROR(VLOOKUP($B656,TABLE_CYCLE,2,0),"")</f>
        <v/>
      </c>
      <c r="AA656" t="str">
        <f t="shared" si="241"/>
        <v/>
      </c>
      <c r="AB656" t="str">
        <f>IF($D656="","",IF(COUNTIF($D$2:$D656,$D656)=1,$D656,""))</f>
        <v/>
      </c>
      <c r="AC656">
        <f t="shared" si="242"/>
        <v>0</v>
      </c>
      <c r="AD656" t="str">
        <f t="shared" si="243"/>
        <v>|0</v>
      </c>
      <c r="AE656" t="str">
        <f t="shared" si="244"/>
        <v/>
      </c>
      <c r="AF656" t="str">
        <f t="shared" si="245"/>
        <v/>
      </c>
      <c r="AG656" t="str">
        <f t="shared" si="246"/>
        <v/>
      </c>
      <c r="AH656" t="str">
        <f t="shared" si="247"/>
        <v/>
      </c>
      <c r="AI656" t="str">
        <f t="shared" si="248"/>
        <v/>
      </c>
      <c r="AJ656" t="str">
        <f t="shared" si="249"/>
        <v/>
      </c>
      <c r="AK656" t="str">
        <f t="shared" si="250"/>
        <v/>
      </c>
      <c r="AL656" t="str">
        <f t="shared" si="251"/>
        <v/>
      </c>
      <c r="AM656" t="str">
        <f t="shared" si="252"/>
        <v/>
      </c>
      <c r="AN656" t="str">
        <f t="shared" si="253"/>
        <v/>
      </c>
      <c r="AO656" t="str">
        <f t="shared" si="254"/>
        <v/>
      </c>
      <c r="AP656">
        <f t="shared" si="255"/>
        <v>1</v>
      </c>
      <c r="AQ656" t="str">
        <f>IF(SAISIE!$F661="","",SAISIE!$Y661)</f>
        <v/>
      </c>
      <c r="AR656" t="str">
        <f>IF(OR(SAISIE!$U$4="",SAISIE!$W$4=""),"",IF(AND($A656=SAISIE!$U$4,$B656=SAISIE!$W$4,$C656="S1"),COUNTIFS($A$2:$A656,SAISIE!$U$4,$B$2:$B656,SAISIE!$W$4,$C$2:$C656,"S1"),""))</f>
        <v/>
      </c>
      <c r="AS656" t="str">
        <f t="shared" si="256"/>
        <v/>
      </c>
      <c r="AT656" t="str">
        <f t="shared" si="257"/>
        <v/>
      </c>
      <c r="AU656" t="str">
        <f t="shared" si="258"/>
        <v/>
      </c>
      <c r="AV656">
        <f>N(AV655)+IF(AND($AB656&lt;&gt;"",OR('PROFIL ELEVE'!$K$4="(Tous)",$AF656='PROFIL ELEVE'!$K$4)),1,0)</f>
        <v>0</v>
      </c>
      <c r="AW656">
        <f>N(AW655)+IF(AND($AB656&lt;&gt;"",OR('SUIVI LONGITUDINAL'!$Q$4="(Tous)",$AF656='SUIVI LONGITUDINAL'!$Q$4)),1,0)</f>
        <v>0</v>
      </c>
      <c r="AX656">
        <f t="shared" si="259"/>
        <v>0</v>
      </c>
      <c r="AY656">
        <f t="shared" si="260"/>
        <v>0</v>
      </c>
      <c r="AZ656">
        <f t="shared" si="261"/>
        <v>0</v>
      </c>
      <c r="BA656" t="str">
        <f t="shared" si="262"/>
        <v/>
      </c>
      <c r="BB656" t="str">
        <f t="shared" si="263"/>
        <v/>
      </c>
    </row>
    <row r="657" spans="1:54" ht="14.25" customHeight="1" x14ac:dyDescent="0.3">
      <c r="A657" t="str">
        <f>IF(SAISIE!$F662="","",SAISIE!$B662)</f>
        <v/>
      </c>
      <c r="B657" t="str">
        <f>IF(SAISIE!$F662="","",SAISIE!$C662)</f>
        <v/>
      </c>
      <c r="C657" t="str">
        <f>IF(SAISIE!$F662="","",SAISIE!$D662)</f>
        <v/>
      </c>
      <c r="D657" t="str">
        <f>IF(SAISIE!$E662="","",SAISIE!$E662)</f>
        <v/>
      </c>
      <c r="E657" t="str">
        <f>IF(SAISIE!$F662="","",SAISIE!$F662)</f>
        <v/>
      </c>
      <c r="F657" t="str">
        <f>IF(SAISIE!$G662="","",SAISIE!$G662)</f>
        <v/>
      </c>
      <c r="G657" t="str">
        <f>IF(SAISIE!$H662="","",SAISIE!$H662)</f>
        <v/>
      </c>
      <c r="H657" t="str">
        <f>IF(SAISIE!$I662="","",SAISIE!$I662)</f>
        <v/>
      </c>
      <c r="I657" t="str">
        <f>IF(SAISIE!$J662="","",SAISIE!$J662)</f>
        <v/>
      </c>
      <c r="J657" t="str">
        <f>IF(SAISIE!$K662="","",SAISIE!$K662)</f>
        <v/>
      </c>
      <c r="K657" t="str">
        <f>IF(SAISIE!$L662="","",SAISIE!$L662)</f>
        <v/>
      </c>
      <c r="L657" t="str">
        <f>IF(SAISIE!$M662="","",SAISIE!$M662)</f>
        <v/>
      </c>
      <c r="M657" t="str">
        <f>IF(SAISIE!$N662="","",SAISIE!$N662)</f>
        <v/>
      </c>
      <c r="N657" t="str">
        <f>IF(SAISIE!$O662="","",SAISIE!$O662)</f>
        <v/>
      </c>
      <c r="O657" t="str">
        <f>IF(SAISIE!$P662="","",SAISIE!$P662)</f>
        <v/>
      </c>
      <c r="P657" t="str">
        <f>IF(SAISIE!$Q662="","",SAISIE!$Q662)</f>
        <v/>
      </c>
      <c r="Q657" t="str">
        <f>IF($I657="","",IF($I657&gt;PARAMETRES!$G$29,5,IF($I657&gt;PARAMETRES!$F$29,4,IF($I657&gt;PARAMETRES!$E$29,3,IF($I657&gt;PARAMETRES!$D$29,2,1)))))</f>
        <v/>
      </c>
      <c r="R657" t="str">
        <f>IF($J657="","",IF($J657&gt;PARAMETRES!$G$30,5,IF($J657&gt;PARAMETRES!$F$30,4,IF($J657&gt;PARAMETRES!$E$30,3,IF($J657&gt;PARAMETRES!$D$30,2,1)))))</f>
        <v/>
      </c>
      <c r="S657" t="str">
        <f>IF($K657="","",IF($Z657=2,IF($K657&gt;PARAMETRES!$G$31,5,IF($K657&gt;PARAMETRES!$F$31,4,IF($K657&gt;PARAMETRES!$E$31,3,IF($K657&gt;PARAMETRES!$D$31,2,1)))),IF($K657&gt;PARAMETRES!$G$32,5,IF($K657&gt;PARAMETRES!$F$32,4,IF($K657&gt;PARAMETRES!$E$32,3,IF($K657&gt;PARAMETRES!$D$32,2,1))))))</f>
        <v/>
      </c>
      <c r="T657" t="str">
        <f>IF($L657="","",IF($L657&gt;PARAMETRES!$G$33,5,IF($L657&gt;PARAMETRES!$F$33,4,IF($L657&gt;PARAMETRES!$E$33,3,IF($L657&gt;PARAMETRES!$D$33,2,1)))))</f>
        <v/>
      </c>
      <c r="U657" t="str">
        <f>IF($M657="","",IF($M657&gt;PARAMETRES!$G$34,5,IF($M657&gt;PARAMETRES!$F$34,4,IF($M657&gt;PARAMETRES!$E$34,3,IF($M657&gt;PARAMETRES!$D$34,2,1)))))</f>
        <v/>
      </c>
      <c r="V657" t="str">
        <f>IF($N657="","",IF($N657&gt;PARAMETRES!$G$35,5,IF($N657&gt;PARAMETRES!$F$35,4,IF($N657&gt;PARAMETRES!$E$35,3,IF($N657&gt;PARAMETRES!$D$35,2,1)))))</f>
        <v/>
      </c>
      <c r="W657" t="str">
        <f>IF($O657="","",IF($O657&gt;PARAMETRES!$G$36,5,IF($O657&gt;PARAMETRES!$F$36,4,IF($O657&gt;PARAMETRES!$E$36,3,IF($O657&gt;PARAMETRES!$D$36,2,1)))))</f>
        <v/>
      </c>
      <c r="X657" t="str">
        <f>IF($P657="","",IF($P657&gt;PARAMETRES!$G$37,5,IF($P657&gt;PARAMETRES!$F$37,4,IF($P657&gt;PARAMETRES!$E$37,3,IF($P657&gt;PARAMETRES!$D$37,2,1)))))</f>
        <v/>
      </c>
      <c r="Y657" t="str">
        <f t="shared" si="240"/>
        <v/>
      </c>
      <c r="Z657" t="str">
        <f>IFERROR(VLOOKUP($B657,TABLE_CYCLE,2,0),"")</f>
        <v/>
      </c>
      <c r="AA657" t="str">
        <f t="shared" si="241"/>
        <v/>
      </c>
      <c r="AB657" t="str">
        <f>IF($D657="","",IF(COUNTIF($D$2:$D657,$D657)=1,$D657,""))</f>
        <v/>
      </c>
      <c r="AC657">
        <f t="shared" si="242"/>
        <v>0</v>
      </c>
      <c r="AD657" t="str">
        <f t="shared" si="243"/>
        <v>|0</v>
      </c>
      <c r="AE657" t="str">
        <f t="shared" si="244"/>
        <v/>
      </c>
      <c r="AF657" t="str">
        <f t="shared" si="245"/>
        <v/>
      </c>
      <c r="AG657" t="str">
        <f t="shared" si="246"/>
        <v/>
      </c>
      <c r="AH657" t="str">
        <f t="shared" si="247"/>
        <v/>
      </c>
      <c r="AI657" t="str">
        <f t="shared" si="248"/>
        <v/>
      </c>
      <c r="AJ657" t="str">
        <f t="shared" si="249"/>
        <v/>
      </c>
      <c r="AK657" t="str">
        <f t="shared" si="250"/>
        <v/>
      </c>
      <c r="AL657" t="str">
        <f t="shared" si="251"/>
        <v/>
      </c>
      <c r="AM657" t="str">
        <f t="shared" si="252"/>
        <v/>
      </c>
      <c r="AN657" t="str">
        <f t="shared" si="253"/>
        <v/>
      </c>
      <c r="AO657" t="str">
        <f t="shared" si="254"/>
        <v/>
      </c>
      <c r="AP657">
        <f t="shared" si="255"/>
        <v>1</v>
      </c>
      <c r="AQ657" t="str">
        <f>IF(SAISIE!$F662="","",SAISIE!$Y662)</f>
        <v/>
      </c>
      <c r="AR657" t="str">
        <f>IF(OR(SAISIE!$U$4="",SAISIE!$W$4=""),"",IF(AND($A657=SAISIE!$U$4,$B657=SAISIE!$W$4,$C657="S1"),COUNTIFS($A$2:$A657,SAISIE!$U$4,$B$2:$B657,SAISIE!$W$4,$C$2:$C657,"S1"),""))</f>
        <v/>
      </c>
      <c r="AS657" t="str">
        <f t="shared" si="256"/>
        <v/>
      </c>
      <c r="AT657" t="str">
        <f t="shared" si="257"/>
        <v/>
      </c>
      <c r="AU657" t="str">
        <f t="shared" si="258"/>
        <v/>
      </c>
      <c r="AV657">
        <f>N(AV656)+IF(AND($AB657&lt;&gt;"",OR('PROFIL ELEVE'!$K$4="(Tous)",$AF657='PROFIL ELEVE'!$K$4)),1,0)</f>
        <v>0</v>
      </c>
      <c r="AW657">
        <f>N(AW656)+IF(AND($AB657&lt;&gt;"",OR('SUIVI LONGITUDINAL'!$Q$4="(Tous)",$AF657='SUIVI LONGITUDINAL'!$Q$4)),1,0)</f>
        <v>0</v>
      </c>
      <c r="AX657">
        <f t="shared" si="259"/>
        <v>0</v>
      </c>
      <c r="AY657">
        <f t="shared" si="260"/>
        <v>0</v>
      </c>
      <c r="AZ657">
        <f t="shared" si="261"/>
        <v>0</v>
      </c>
      <c r="BA657" t="str">
        <f t="shared" si="262"/>
        <v/>
      </c>
      <c r="BB657" t="str">
        <f t="shared" si="263"/>
        <v/>
      </c>
    </row>
    <row r="658" spans="1:54" ht="14.25" customHeight="1" x14ac:dyDescent="0.3">
      <c r="A658" t="str">
        <f>IF(SAISIE!$F663="","",SAISIE!$B663)</f>
        <v/>
      </c>
      <c r="B658" t="str">
        <f>IF(SAISIE!$F663="","",SAISIE!$C663)</f>
        <v/>
      </c>
      <c r="C658" t="str">
        <f>IF(SAISIE!$F663="","",SAISIE!$D663)</f>
        <v/>
      </c>
      <c r="D658" t="str">
        <f>IF(SAISIE!$E663="","",SAISIE!$E663)</f>
        <v/>
      </c>
      <c r="E658" t="str">
        <f>IF(SAISIE!$F663="","",SAISIE!$F663)</f>
        <v/>
      </c>
      <c r="F658" t="str">
        <f>IF(SAISIE!$G663="","",SAISIE!$G663)</f>
        <v/>
      </c>
      <c r="G658" t="str">
        <f>IF(SAISIE!$H663="","",SAISIE!$H663)</f>
        <v/>
      </c>
      <c r="H658" t="str">
        <f>IF(SAISIE!$I663="","",SAISIE!$I663)</f>
        <v/>
      </c>
      <c r="I658" t="str">
        <f>IF(SAISIE!$J663="","",SAISIE!$J663)</f>
        <v/>
      </c>
      <c r="J658" t="str">
        <f>IF(SAISIE!$K663="","",SAISIE!$K663)</f>
        <v/>
      </c>
      <c r="K658" t="str">
        <f>IF(SAISIE!$L663="","",SAISIE!$L663)</f>
        <v/>
      </c>
      <c r="L658" t="str">
        <f>IF(SAISIE!$M663="","",SAISIE!$M663)</f>
        <v/>
      </c>
      <c r="M658" t="str">
        <f>IF(SAISIE!$N663="","",SAISIE!$N663)</f>
        <v/>
      </c>
      <c r="N658" t="str">
        <f>IF(SAISIE!$O663="","",SAISIE!$O663)</f>
        <v/>
      </c>
      <c r="O658" t="str">
        <f>IF(SAISIE!$P663="","",SAISIE!$P663)</f>
        <v/>
      </c>
      <c r="P658" t="str">
        <f>IF(SAISIE!$Q663="","",SAISIE!$Q663)</f>
        <v/>
      </c>
      <c r="Q658" t="str">
        <f>IF($I658="","",IF($I658&gt;PARAMETRES!$G$29,5,IF($I658&gt;PARAMETRES!$F$29,4,IF($I658&gt;PARAMETRES!$E$29,3,IF($I658&gt;PARAMETRES!$D$29,2,1)))))</f>
        <v/>
      </c>
      <c r="R658" t="str">
        <f>IF($J658="","",IF($J658&gt;PARAMETRES!$G$30,5,IF($J658&gt;PARAMETRES!$F$30,4,IF($J658&gt;PARAMETRES!$E$30,3,IF($J658&gt;PARAMETRES!$D$30,2,1)))))</f>
        <v/>
      </c>
      <c r="S658" t="str">
        <f>IF($K658="","",IF($Z658=2,IF($K658&gt;PARAMETRES!$G$31,5,IF($K658&gt;PARAMETRES!$F$31,4,IF($K658&gt;PARAMETRES!$E$31,3,IF($K658&gt;PARAMETRES!$D$31,2,1)))),IF($K658&gt;PARAMETRES!$G$32,5,IF($K658&gt;PARAMETRES!$F$32,4,IF($K658&gt;PARAMETRES!$E$32,3,IF($K658&gt;PARAMETRES!$D$32,2,1))))))</f>
        <v/>
      </c>
      <c r="T658" t="str">
        <f>IF($L658="","",IF($L658&gt;PARAMETRES!$G$33,5,IF($L658&gt;PARAMETRES!$F$33,4,IF($L658&gt;PARAMETRES!$E$33,3,IF($L658&gt;PARAMETRES!$D$33,2,1)))))</f>
        <v/>
      </c>
      <c r="U658" t="str">
        <f>IF($M658="","",IF($M658&gt;PARAMETRES!$G$34,5,IF($M658&gt;PARAMETRES!$F$34,4,IF($M658&gt;PARAMETRES!$E$34,3,IF($M658&gt;PARAMETRES!$D$34,2,1)))))</f>
        <v/>
      </c>
      <c r="V658" t="str">
        <f>IF($N658="","",IF($N658&gt;PARAMETRES!$G$35,5,IF($N658&gt;PARAMETRES!$F$35,4,IF($N658&gt;PARAMETRES!$E$35,3,IF($N658&gt;PARAMETRES!$D$35,2,1)))))</f>
        <v/>
      </c>
      <c r="W658" t="str">
        <f>IF($O658="","",IF($O658&gt;PARAMETRES!$G$36,5,IF($O658&gt;PARAMETRES!$F$36,4,IF($O658&gt;PARAMETRES!$E$36,3,IF($O658&gt;PARAMETRES!$D$36,2,1)))))</f>
        <v/>
      </c>
      <c r="X658" t="str">
        <f>IF($P658="","",IF($P658&gt;PARAMETRES!$G$37,5,IF($P658&gt;PARAMETRES!$F$37,4,IF($P658&gt;PARAMETRES!$E$37,3,IF($P658&gt;PARAMETRES!$D$37,2,1)))))</f>
        <v/>
      </c>
      <c r="Y658" t="str">
        <f t="shared" si="240"/>
        <v/>
      </c>
      <c r="Z658" t="str">
        <f>IFERROR(VLOOKUP($B658,TABLE_CYCLE,2,0),"")</f>
        <v/>
      </c>
      <c r="AA658" t="str">
        <f t="shared" si="241"/>
        <v/>
      </c>
      <c r="AB658" t="str">
        <f>IF($D658="","",IF(COUNTIF($D$2:$D658,$D658)=1,$D658,""))</f>
        <v/>
      </c>
      <c r="AC658">
        <f t="shared" si="242"/>
        <v>0</v>
      </c>
      <c r="AD658" t="str">
        <f t="shared" si="243"/>
        <v>|0</v>
      </c>
      <c r="AE658" t="str">
        <f t="shared" si="244"/>
        <v/>
      </c>
      <c r="AF658" t="str">
        <f t="shared" si="245"/>
        <v/>
      </c>
      <c r="AG658" t="str">
        <f t="shared" si="246"/>
        <v/>
      </c>
      <c r="AH658" t="str">
        <f t="shared" si="247"/>
        <v/>
      </c>
      <c r="AI658" t="str">
        <f t="shared" si="248"/>
        <v/>
      </c>
      <c r="AJ658" t="str">
        <f t="shared" si="249"/>
        <v/>
      </c>
      <c r="AK658" t="str">
        <f t="shared" si="250"/>
        <v/>
      </c>
      <c r="AL658" t="str">
        <f t="shared" si="251"/>
        <v/>
      </c>
      <c r="AM658" t="str">
        <f t="shared" si="252"/>
        <v/>
      </c>
      <c r="AN658" t="str">
        <f t="shared" si="253"/>
        <v/>
      </c>
      <c r="AO658" t="str">
        <f t="shared" si="254"/>
        <v/>
      </c>
      <c r="AP658">
        <f t="shared" si="255"/>
        <v>1</v>
      </c>
      <c r="AQ658" t="str">
        <f>IF(SAISIE!$F663="","",SAISIE!$Y663)</f>
        <v/>
      </c>
      <c r="AR658" t="str">
        <f>IF(OR(SAISIE!$U$4="",SAISIE!$W$4=""),"",IF(AND($A658=SAISIE!$U$4,$B658=SAISIE!$W$4,$C658="S1"),COUNTIFS($A$2:$A658,SAISIE!$U$4,$B$2:$B658,SAISIE!$W$4,$C$2:$C658,"S1"),""))</f>
        <v/>
      </c>
      <c r="AS658" t="str">
        <f t="shared" si="256"/>
        <v/>
      </c>
      <c r="AT658" t="str">
        <f t="shared" si="257"/>
        <v/>
      </c>
      <c r="AU658" t="str">
        <f t="shared" si="258"/>
        <v/>
      </c>
      <c r="AV658">
        <f>N(AV657)+IF(AND($AB658&lt;&gt;"",OR('PROFIL ELEVE'!$K$4="(Tous)",$AF658='PROFIL ELEVE'!$K$4)),1,0)</f>
        <v>0</v>
      </c>
      <c r="AW658">
        <f>N(AW657)+IF(AND($AB658&lt;&gt;"",OR('SUIVI LONGITUDINAL'!$Q$4="(Tous)",$AF658='SUIVI LONGITUDINAL'!$Q$4)),1,0)</f>
        <v>0</v>
      </c>
      <c r="AX658">
        <f t="shared" si="259"/>
        <v>0</v>
      </c>
      <c r="AY658">
        <f t="shared" si="260"/>
        <v>0</v>
      </c>
      <c r="AZ658">
        <f t="shared" si="261"/>
        <v>0</v>
      </c>
      <c r="BA658" t="str">
        <f t="shared" si="262"/>
        <v/>
      </c>
      <c r="BB658" t="str">
        <f t="shared" si="263"/>
        <v/>
      </c>
    </row>
    <row r="659" spans="1:54" ht="14.25" customHeight="1" x14ac:dyDescent="0.3">
      <c r="A659" t="str">
        <f>IF(SAISIE!$F664="","",SAISIE!$B664)</f>
        <v/>
      </c>
      <c r="B659" t="str">
        <f>IF(SAISIE!$F664="","",SAISIE!$C664)</f>
        <v/>
      </c>
      <c r="C659" t="str">
        <f>IF(SAISIE!$F664="","",SAISIE!$D664)</f>
        <v/>
      </c>
      <c r="D659" t="str">
        <f>IF(SAISIE!$E664="","",SAISIE!$E664)</f>
        <v/>
      </c>
      <c r="E659" t="str">
        <f>IF(SAISIE!$F664="","",SAISIE!$F664)</f>
        <v/>
      </c>
      <c r="F659" t="str">
        <f>IF(SAISIE!$G664="","",SAISIE!$G664)</f>
        <v/>
      </c>
      <c r="G659" t="str">
        <f>IF(SAISIE!$H664="","",SAISIE!$H664)</f>
        <v/>
      </c>
      <c r="H659" t="str">
        <f>IF(SAISIE!$I664="","",SAISIE!$I664)</f>
        <v/>
      </c>
      <c r="I659" t="str">
        <f>IF(SAISIE!$J664="","",SAISIE!$J664)</f>
        <v/>
      </c>
      <c r="J659" t="str">
        <f>IF(SAISIE!$K664="","",SAISIE!$K664)</f>
        <v/>
      </c>
      <c r="K659" t="str">
        <f>IF(SAISIE!$L664="","",SAISIE!$L664)</f>
        <v/>
      </c>
      <c r="L659" t="str">
        <f>IF(SAISIE!$M664="","",SAISIE!$M664)</f>
        <v/>
      </c>
      <c r="M659" t="str">
        <f>IF(SAISIE!$N664="","",SAISIE!$N664)</f>
        <v/>
      </c>
      <c r="N659" t="str">
        <f>IF(SAISIE!$O664="","",SAISIE!$O664)</f>
        <v/>
      </c>
      <c r="O659" t="str">
        <f>IF(SAISIE!$P664="","",SAISIE!$P664)</f>
        <v/>
      </c>
      <c r="P659" t="str">
        <f>IF(SAISIE!$Q664="","",SAISIE!$Q664)</f>
        <v/>
      </c>
      <c r="Q659" t="str">
        <f>IF($I659="","",IF($I659&gt;PARAMETRES!$G$29,5,IF($I659&gt;PARAMETRES!$F$29,4,IF($I659&gt;PARAMETRES!$E$29,3,IF($I659&gt;PARAMETRES!$D$29,2,1)))))</f>
        <v/>
      </c>
      <c r="R659" t="str">
        <f>IF($J659="","",IF($J659&gt;PARAMETRES!$G$30,5,IF($J659&gt;PARAMETRES!$F$30,4,IF($J659&gt;PARAMETRES!$E$30,3,IF($J659&gt;PARAMETRES!$D$30,2,1)))))</f>
        <v/>
      </c>
      <c r="S659" t="str">
        <f>IF($K659="","",IF($Z659=2,IF($K659&gt;PARAMETRES!$G$31,5,IF($K659&gt;PARAMETRES!$F$31,4,IF($K659&gt;PARAMETRES!$E$31,3,IF($K659&gt;PARAMETRES!$D$31,2,1)))),IF($K659&gt;PARAMETRES!$G$32,5,IF($K659&gt;PARAMETRES!$F$32,4,IF($K659&gt;PARAMETRES!$E$32,3,IF($K659&gt;PARAMETRES!$D$32,2,1))))))</f>
        <v/>
      </c>
      <c r="T659" t="str">
        <f>IF($L659="","",IF($L659&gt;PARAMETRES!$G$33,5,IF($L659&gt;PARAMETRES!$F$33,4,IF($L659&gt;PARAMETRES!$E$33,3,IF($L659&gt;PARAMETRES!$D$33,2,1)))))</f>
        <v/>
      </c>
      <c r="U659" t="str">
        <f>IF($M659="","",IF($M659&gt;PARAMETRES!$G$34,5,IF($M659&gt;PARAMETRES!$F$34,4,IF($M659&gt;PARAMETRES!$E$34,3,IF($M659&gt;PARAMETRES!$D$34,2,1)))))</f>
        <v/>
      </c>
      <c r="V659" t="str">
        <f>IF($N659="","",IF($N659&gt;PARAMETRES!$G$35,5,IF($N659&gt;PARAMETRES!$F$35,4,IF($N659&gt;PARAMETRES!$E$35,3,IF($N659&gt;PARAMETRES!$D$35,2,1)))))</f>
        <v/>
      </c>
      <c r="W659" t="str">
        <f>IF($O659="","",IF($O659&gt;PARAMETRES!$G$36,5,IF($O659&gt;PARAMETRES!$F$36,4,IF($O659&gt;PARAMETRES!$E$36,3,IF($O659&gt;PARAMETRES!$D$36,2,1)))))</f>
        <v/>
      </c>
      <c r="X659" t="str">
        <f>IF($P659="","",IF($P659&gt;PARAMETRES!$G$37,5,IF($P659&gt;PARAMETRES!$F$37,4,IF($P659&gt;PARAMETRES!$E$37,3,IF($P659&gt;PARAMETRES!$D$37,2,1)))))</f>
        <v/>
      </c>
      <c r="Y659" t="str">
        <f t="shared" si="240"/>
        <v/>
      </c>
      <c r="Z659" t="str">
        <f>IFERROR(VLOOKUP($B659,TABLE_CYCLE,2,0),"")</f>
        <v/>
      </c>
      <c r="AA659" t="str">
        <f t="shared" si="241"/>
        <v/>
      </c>
      <c r="AB659" t="str">
        <f>IF($D659="","",IF(COUNTIF($D$2:$D659,$D659)=1,$D659,""))</f>
        <v/>
      </c>
      <c r="AC659">
        <f t="shared" si="242"/>
        <v>0</v>
      </c>
      <c r="AD659" t="str">
        <f t="shared" si="243"/>
        <v>|0</v>
      </c>
      <c r="AE659" t="str">
        <f t="shared" si="244"/>
        <v/>
      </c>
      <c r="AF659" t="str">
        <f t="shared" si="245"/>
        <v/>
      </c>
      <c r="AG659" t="str">
        <f t="shared" si="246"/>
        <v/>
      </c>
      <c r="AH659" t="str">
        <f t="shared" si="247"/>
        <v/>
      </c>
      <c r="AI659" t="str">
        <f t="shared" si="248"/>
        <v/>
      </c>
      <c r="AJ659" t="str">
        <f t="shared" si="249"/>
        <v/>
      </c>
      <c r="AK659" t="str">
        <f t="shared" si="250"/>
        <v/>
      </c>
      <c r="AL659" t="str">
        <f t="shared" si="251"/>
        <v/>
      </c>
      <c r="AM659" t="str">
        <f t="shared" si="252"/>
        <v/>
      </c>
      <c r="AN659" t="str">
        <f t="shared" si="253"/>
        <v/>
      </c>
      <c r="AO659" t="str">
        <f t="shared" si="254"/>
        <v/>
      </c>
      <c r="AP659">
        <f t="shared" si="255"/>
        <v>1</v>
      </c>
      <c r="AQ659" t="str">
        <f>IF(SAISIE!$F664="","",SAISIE!$Y664)</f>
        <v/>
      </c>
      <c r="AR659" t="str">
        <f>IF(OR(SAISIE!$U$4="",SAISIE!$W$4=""),"",IF(AND($A659=SAISIE!$U$4,$B659=SAISIE!$W$4,$C659="S1"),COUNTIFS($A$2:$A659,SAISIE!$U$4,$B$2:$B659,SAISIE!$W$4,$C$2:$C659,"S1"),""))</f>
        <v/>
      </c>
      <c r="AS659" t="str">
        <f t="shared" si="256"/>
        <v/>
      </c>
      <c r="AT659" t="str">
        <f t="shared" si="257"/>
        <v/>
      </c>
      <c r="AU659" t="str">
        <f t="shared" si="258"/>
        <v/>
      </c>
      <c r="AV659">
        <f>N(AV658)+IF(AND($AB659&lt;&gt;"",OR('PROFIL ELEVE'!$K$4="(Tous)",$AF659='PROFIL ELEVE'!$K$4)),1,0)</f>
        <v>0</v>
      </c>
      <c r="AW659">
        <f>N(AW658)+IF(AND($AB659&lt;&gt;"",OR('SUIVI LONGITUDINAL'!$Q$4="(Tous)",$AF659='SUIVI LONGITUDINAL'!$Q$4)),1,0)</f>
        <v>0</v>
      </c>
      <c r="AX659">
        <f t="shared" si="259"/>
        <v>0</v>
      </c>
      <c r="AY659">
        <f t="shared" si="260"/>
        <v>0</v>
      </c>
      <c r="AZ659">
        <f t="shared" si="261"/>
        <v>0</v>
      </c>
      <c r="BA659" t="str">
        <f t="shared" si="262"/>
        <v/>
      </c>
      <c r="BB659" t="str">
        <f t="shared" si="263"/>
        <v/>
      </c>
    </row>
    <row r="660" spans="1:54" ht="14.25" customHeight="1" x14ac:dyDescent="0.3">
      <c r="A660" t="str">
        <f>IF(SAISIE!$F665="","",SAISIE!$B665)</f>
        <v/>
      </c>
      <c r="B660" t="str">
        <f>IF(SAISIE!$F665="","",SAISIE!$C665)</f>
        <v/>
      </c>
      <c r="C660" t="str">
        <f>IF(SAISIE!$F665="","",SAISIE!$D665)</f>
        <v/>
      </c>
      <c r="D660" t="str">
        <f>IF(SAISIE!$E665="","",SAISIE!$E665)</f>
        <v/>
      </c>
      <c r="E660" t="str">
        <f>IF(SAISIE!$F665="","",SAISIE!$F665)</f>
        <v/>
      </c>
      <c r="F660" t="str">
        <f>IF(SAISIE!$G665="","",SAISIE!$G665)</f>
        <v/>
      </c>
      <c r="G660" t="str">
        <f>IF(SAISIE!$H665="","",SAISIE!$H665)</f>
        <v/>
      </c>
      <c r="H660" t="str">
        <f>IF(SAISIE!$I665="","",SAISIE!$I665)</f>
        <v/>
      </c>
      <c r="I660" t="str">
        <f>IF(SAISIE!$J665="","",SAISIE!$J665)</f>
        <v/>
      </c>
      <c r="J660" t="str">
        <f>IF(SAISIE!$K665="","",SAISIE!$K665)</f>
        <v/>
      </c>
      <c r="K660" t="str">
        <f>IF(SAISIE!$L665="","",SAISIE!$L665)</f>
        <v/>
      </c>
      <c r="L660" t="str">
        <f>IF(SAISIE!$M665="","",SAISIE!$M665)</f>
        <v/>
      </c>
      <c r="M660" t="str">
        <f>IF(SAISIE!$N665="","",SAISIE!$N665)</f>
        <v/>
      </c>
      <c r="N660" t="str">
        <f>IF(SAISIE!$O665="","",SAISIE!$O665)</f>
        <v/>
      </c>
      <c r="O660" t="str">
        <f>IF(SAISIE!$P665="","",SAISIE!$P665)</f>
        <v/>
      </c>
      <c r="P660" t="str">
        <f>IF(SAISIE!$Q665="","",SAISIE!$Q665)</f>
        <v/>
      </c>
      <c r="Q660" t="str">
        <f>IF($I660="","",IF($I660&gt;PARAMETRES!$G$29,5,IF($I660&gt;PARAMETRES!$F$29,4,IF($I660&gt;PARAMETRES!$E$29,3,IF($I660&gt;PARAMETRES!$D$29,2,1)))))</f>
        <v/>
      </c>
      <c r="R660" t="str">
        <f>IF($J660="","",IF($J660&gt;PARAMETRES!$G$30,5,IF($J660&gt;PARAMETRES!$F$30,4,IF($J660&gt;PARAMETRES!$E$30,3,IF($J660&gt;PARAMETRES!$D$30,2,1)))))</f>
        <v/>
      </c>
      <c r="S660" t="str">
        <f>IF($K660="","",IF($Z660=2,IF($K660&gt;PARAMETRES!$G$31,5,IF($K660&gt;PARAMETRES!$F$31,4,IF($K660&gt;PARAMETRES!$E$31,3,IF($K660&gt;PARAMETRES!$D$31,2,1)))),IF($K660&gt;PARAMETRES!$G$32,5,IF($K660&gt;PARAMETRES!$F$32,4,IF($K660&gt;PARAMETRES!$E$32,3,IF($K660&gt;PARAMETRES!$D$32,2,1))))))</f>
        <v/>
      </c>
      <c r="T660" t="str">
        <f>IF($L660="","",IF($L660&gt;PARAMETRES!$G$33,5,IF($L660&gt;PARAMETRES!$F$33,4,IF($L660&gt;PARAMETRES!$E$33,3,IF($L660&gt;PARAMETRES!$D$33,2,1)))))</f>
        <v/>
      </c>
      <c r="U660" t="str">
        <f>IF($M660="","",IF($M660&gt;PARAMETRES!$G$34,5,IF($M660&gt;PARAMETRES!$F$34,4,IF($M660&gt;PARAMETRES!$E$34,3,IF($M660&gt;PARAMETRES!$D$34,2,1)))))</f>
        <v/>
      </c>
      <c r="V660" t="str">
        <f>IF($N660="","",IF($N660&gt;PARAMETRES!$G$35,5,IF($N660&gt;PARAMETRES!$F$35,4,IF($N660&gt;PARAMETRES!$E$35,3,IF($N660&gt;PARAMETRES!$D$35,2,1)))))</f>
        <v/>
      </c>
      <c r="W660" t="str">
        <f>IF($O660="","",IF($O660&gt;PARAMETRES!$G$36,5,IF($O660&gt;PARAMETRES!$F$36,4,IF($O660&gt;PARAMETRES!$E$36,3,IF($O660&gt;PARAMETRES!$D$36,2,1)))))</f>
        <v/>
      </c>
      <c r="X660" t="str">
        <f>IF($P660="","",IF($P660&gt;PARAMETRES!$G$37,5,IF($P660&gt;PARAMETRES!$F$37,4,IF($P660&gt;PARAMETRES!$E$37,3,IF($P660&gt;PARAMETRES!$D$37,2,1)))))</f>
        <v/>
      </c>
      <c r="Y660" t="str">
        <f t="shared" si="240"/>
        <v/>
      </c>
      <c r="Z660" t="str">
        <f>IFERROR(VLOOKUP($B660,TABLE_CYCLE,2,0),"")</f>
        <v/>
      </c>
      <c r="AA660" t="str">
        <f t="shared" si="241"/>
        <v/>
      </c>
      <c r="AB660" t="str">
        <f>IF($D660="","",IF(COUNTIF($D$2:$D660,$D660)=1,$D660,""))</f>
        <v/>
      </c>
      <c r="AC660">
        <f t="shared" si="242"/>
        <v>0</v>
      </c>
      <c r="AD660" t="str">
        <f t="shared" si="243"/>
        <v>|0</v>
      </c>
      <c r="AE660" t="str">
        <f t="shared" si="244"/>
        <v/>
      </c>
      <c r="AF660" t="str">
        <f t="shared" si="245"/>
        <v/>
      </c>
      <c r="AG660" t="str">
        <f t="shared" si="246"/>
        <v/>
      </c>
      <c r="AH660" t="str">
        <f t="shared" si="247"/>
        <v/>
      </c>
      <c r="AI660" t="str">
        <f t="shared" si="248"/>
        <v/>
      </c>
      <c r="AJ660" t="str">
        <f t="shared" si="249"/>
        <v/>
      </c>
      <c r="AK660" t="str">
        <f t="shared" si="250"/>
        <v/>
      </c>
      <c r="AL660" t="str">
        <f t="shared" si="251"/>
        <v/>
      </c>
      <c r="AM660" t="str">
        <f t="shared" si="252"/>
        <v/>
      </c>
      <c r="AN660" t="str">
        <f t="shared" si="253"/>
        <v/>
      </c>
      <c r="AO660" t="str">
        <f t="shared" si="254"/>
        <v/>
      </c>
      <c r="AP660">
        <f t="shared" si="255"/>
        <v>1</v>
      </c>
      <c r="AQ660" t="str">
        <f>IF(SAISIE!$F665="","",SAISIE!$Y665)</f>
        <v/>
      </c>
      <c r="AR660" t="str">
        <f>IF(OR(SAISIE!$U$4="",SAISIE!$W$4=""),"",IF(AND($A660=SAISIE!$U$4,$B660=SAISIE!$W$4,$C660="S1"),COUNTIFS($A$2:$A660,SAISIE!$U$4,$B$2:$B660,SAISIE!$W$4,$C$2:$C660,"S1"),""))</f>
        <v/>
      </c>
      <c r="AS660" t="str">
        <f t="shared" si="256"/>
        <v/>
      </c>
      <c r="AT660" t="str">
        <f t="shared" si="257"/>
        <v/>
      </c>
      <c r="AU660" t="str">
        <f t="shared" si="258"/>
        <v/>
      </c>
      <c r="AV660">
        <f>N(AV659)+IF(AND($AB660&lt;&gt;"",OR('PROFIL ELEVE'!$K$4="(Tous)",$AF660='PROFIL ELEVE'!$K$4)),1,0)</f>
        <v>0</v>
      </c>
      <c r="AW660">
        <f>N(AW659)+IF(AND($AB660&lt;&gt;"",OR('SUIVI LONGITUDINAL'!$Q$4="(Tous)",$AF660='SUIVI LONGITUDINAL'!$Q$4)),1,0)</f>
        <v>0</v>
      </c>
      <c r="AX660">
        <f t="shared" si="259"/>
        <v>0</v>
      </c>
      <c r="AY660">
        <f t="shared" si="260"/>
        <v>0</v>
      </c>
      <c r="AZ660">
        <f t="shared" si="261"/>
        <v>0</v>
      </c>
      <c r="BA660" t="str">
        <f t="shared" si="262"/>
        <v/>
      </c>
      <c r="BB660" t="str">
        <f t="shared" si="263"/>
        <v/>
      </c>
    </row>
    <row r="661" spans="1:54" ht="14.25" customHeight="1" x14ac:dyDescent="0.3">
      <c r="A661" t="str">
        <f>IF(SAISIE!$F666="","",SAISIE!$B666)</f>
        <v/>
      </c>
      <c r="B661" t="str">
        <f>IF(SAISIE!$F666="","",SAISIE!$C666)</f>
        <v/>
      </c>
      <c r="C661" t="str">
        <f>IF(SAISIE!$F666="","",SAISIE!$D666)</f>
        <v/>
      </c>
      <c r="D661" t="str">
        <f>IF(SAISIE!$E666="","",SAISIE!$E666)</f>
        <v/>
      </c>
      <c r="E661" t="str">
        <f>IF(SAISIE!$F666="","",SAISIE!$F666)</f>
        <v/>
      </c>
      <c r="F661" t="str">
        <f>IF(SAISIE!$G666="","",SAISIE!$G666)</f>
        <v/>
      </c>
      <c r="G661" t="str">
        <f>IF(SAISIE!$H666="","",SAISIE!$H666)</f>
        <v/>
      </c>
      <c r="H661" t="str">
        <f>IF(SAISIE!$I666="","",SAISIE!$I666)</f>
        <v/>
      </c>
      <c r="I661" t="str">
        <f>IF(SAISIE!$J666="","",SAISIE!$J666)</f>
        <v/>
      </c>
      <c r="J661" t="str">
        <f>IF(SAISIE!$K666="","",SAISIE!$K666)</f>
        <v/>
      </c>
      <c r="K661" t="str">
        <f>IF(SAISIE!$L666="","",SAISIE!$L666)</f>
        <v/>
      </c>
      <c r="L661" t="str">
        <f>IF(SAISIE!$M666="","",SAISIE!$M666)</f>
        <v/>
      </c>
      <c r="M661" t="str">
        <f>IF(SAISIE!$N666="","",SAISIE!$N666)</f>
        <v/>
      </c>
      <c r="N661" t="str">
        <f>IF(SAISIE!$O666="","",SAISIE!$O666)</f>
        <v/>
      </c>
      <c r="O661" t="str">
        <f>IF(SAISIE!$P666="","",SAISIE!$P666)</f>
        <v/>
      </c>
      <c r="P661" t="str">
        <f>IF(SAISIE!$Q666="","",SAISIE!$Q666)</f>
        <v/>
      </c>
      <c r="Q661" t="str">
        <f>IF($I661="","",IF($I661&gt;PARAMETRES!$G$29,5,IF($I661&gt;PARAMETRES!$F$29,4,IF($I661&gt;PARAMETRES!$E$29,3,IF($I661&gt;PARAMETRES!$D$29,2,1)))))</f>
        <v/>
      </c>
      <c r="R661" t="str">
        <f>IF($J661="","",IF($J661&gt;PARAMETRES!$G$30,5,IF($J661&gt;PARAMETRES!$F$30,4,IF($J661&gt;PARAMETRES!$E$30,3,IF($J661&gt;PARAMETRES!$D$30,2,1)))))</f>
        <v/>
      </c>
      <c r="S661" t="str">
        <f>IF($K661="","",IF($Z661=2,IF($K661&gt;PARAMETRES!$G$31,5,IF($K661&gt;PARAMETRES!$F$31,4,IF($K661&gt;PARAMETRES!$E$31,3,IF($K661&gt;PARAMETRES!$D$31,2,1)))),IF($K661&gt;PARAMETRES!$G$32,5,IF($K661&gt;PARAMETRES!$F$32,4,IF($K661&gt;PARAMETRES!$E$32,3,IF($K661&gt;PARAMETRES!$D$32,2,1))))))</f>
        <v/>
      </c>
      <c r="T661" t="str">
        <f>IF($L661="","",IF($L661&gt;PARAMETRES!$G$33,5,IF($L661&gt;PARAMETRES!$F$33,4,IF($L661&gt;PARAMETRES!$E$33,3,IF($L661&gt;PARAMETRES!$D$33,2,1)))))</f>
        <v/>
      </c>
      <c r="U661" t="str">
        <f>IF($M661="","",IF($M661&gt;PARAMETRES!$G$34,5,IF($M661&gt;PARAMETRES!$F$34,4,IF($M661&gt;PARAMETRES!$E$34,3,IF($M661&gt;PARAMETRES!$D$34,2,1)))))</f>
        <v/>
      </c>
      <c r="V661" t="str">
        <f>IF($N661="","",IF($N661&gt;PARAMETRES!$G$35,5,IF($N661&gt;PARAMETRES!$F$35,4,IF($N661&gt;PARAMETRES!$E$35,3,IF($N661&gt;PARAMETRES!$D$35,2,1)))))</f>
        <v/>
      </c>
      <c r="W661" t="str">
        <f>IF($O661="","",IF($O661&gt;PARAMETRES!$G$36,5,IF($O661&gt;PARAMETRES!$F$36,4,IF($O661&gt;PARAMETRES!$E$36,3,IF($O661&gt;PARAMETRES!$D$36,2,1)))))</f>
        <v/>
      </c>
      <c r="X661" t="str">
        <f>IF($P661="","",IF($P661&gt;PARAMETRES!$G$37,5,IF($P661&gt;PARAMETRES!$F$37,4,IF($P661&gt;PARAMETRES!$E$37,3,IF($P661&gt;PARAMETRES!$D$37,2,1)))))</f>
        <v/>
      </c>
      <c r="Y661" t="str">
        <f t="shared" si="240"/>
        <v/>
      </c>
      <c r="Z661" t="str">
        <f>IFERROR(VLOOKUP($B661,TABLE_CYCLE,2,0),"")</f>
        <v/>
      </c>
      <c r="AA661" t="str">
        <f t="shared" si="241"/>
        <v/>
      </c>
      <c r="AB661" t="str">
        <f>IF($D661="","",IF(COUNTIF($D$2:$D661,$D661)=1,$D661,""))</f>
        <v/>
      </c>
      <c r="AC661">
        <f t="shared" si="242"/>
        <v>0</v>
      </c>
      <c r="AD661" t="str">
        <f t="shared" si="243"/>
        <v>|0</v>
      </c>
      <c r="AE661" t="str">
        <f t="shared" si="244"/>
        <v/>
      </c>
      <c r="AF661" t="str">
        <f t="shared" si="245"/>
        <v/>
      </c>
      <c r="AG661" t="str">
        <f t="shared" si="246"/>
        <v/>
      </c>
      <c r="AH661" t="str">
        <f t="shared" si="247"/>
        <v/>
      </c>
      <c r="AI661" t="str">
        <f t="shared" si="248"/>
        <v/>
      </c>
      <c r="AJ661" t="str">
        <f t="shared" si="249"/>
        <v/>
      </c>
      <c r="AK661" t="str">
        <f t="shared" si="250"/>
        <v/>
      </c>
      <c r="AL661" t="str">
        <f t="shared" si="251"/>
        <v/>
      </c>
      <c r="AM661" t="str">
        <f t="shared" si="252"/>
        <v/>
      </c>
      <c r="AN661" t="str">
        <f t="shared" si="253"/>
        <v/>
      </c>
      <c r="AO661" t="str">
        <f t="shared" si="254"/>
        <v/>
      </c>
      <c r="AP661">
        <f t="shared" si="255"/>
        <v>1</v>
      </c>
      <c r="AQ661" t="str">
        <f>IF(SAISIE!$F666="","",SAISIE!$Y666)</f>
        <v/>
      </c>
      <c r="AR661" t="str">
        <f>IF(OR(SAISIE!$U$4="",SAISIE!$W$4=""),"",IF(AND($A661=SAISIE!$U$4,$B661=SAISIE!$W$4,$C661="S1"),COUNTIFS($A$2:$A661,SAISIE!$U$4,$B$2:$B661,SAISIE!$W$4,$C$2:$C661,"S1"),""))</f>
        <v/>
      </c>
      <c r="AS661" t="str">
        <f t="shared" si="256"/>
        <v/>
      </c>
      <c r="AT661" t="str">
        <f t="shared" si="257"/>
        <v/>
      </c>
      <c r="AU661" t="str">
        <f t="shared" si="258"/>
        <v/>
      </c>
      <c r="AV661">
        <f>N(AV660)+IF(AND($AB661&lt;&gt;"",OR('PROFIL ELEVE'!$K$4="(Tous)",$AF661='PROFIL ELEVE'!$K$4)),1,0)</f>
        <v>0</v>
      </c>
      <c r="AW661">
        <f>N(AW660)+IF(AND($AB661&lt;&gt;"",OR('SUIVI LONGITUDINAL'!$Q$4="(Tous)",$AF661='SUIVI LONGITUDINAL'!$Q$4)),1,0)</f>
        <v>0</v>
      </c>
      <c r="AX661">
        <f t="shared" si="259"/>
        <v>0</v>
      </c>
      <c r="AY661">
        <f t="shared" si="260"/>
        <v>0</v>
      </c>
      <c r="AZ661">
        <f t="shared" si="261"/>
        <v>0</v>
      </c>
      <c r="BA661" t="str">
        <f t="shared" si="262"/>
        <v/>
      </c>
      <c r="BB661" t="str">
        <f t="shared" si="263"/>
        <v/>
      </c>
    </row>
    <row r="662" spans="1:54" ht="14.25" customHeight="1" x14ac:dyDescent="0.3">
      <c r="A662" t="str">
        <f>IF(SAISIE!$F667="","",SAISIE!$B667)</f>
        <v/>
      </c>
      <c r="B662" t="str">
        <f>IF(SAISIE!$F667="","",SAISIE!$C667)</f>
        <v/>
      </c>
      <c r="C662" t="str">
        <f>IF(SAISIE!$F667="","",SAISIE!$D667)</f>
        <v/>
      </c>
      <c r="D662" t="str">
        <f>IF(SAISIE!$E667="","",SAISIE!$E667)</f>
        <v/>
      </c>
      <c r="E662" t="str">
        <f>IF(SAISIE!$F667="","",SAISIE!$F667)</f>
        <v/>
      </c>
      <c r="F662" t="str">
        <f>IF(SAISIE!$G667="","",SAISIE!$G667)</f>
        <v/>
      </c>
      <c r="G662" t="str">
        <f>IF(SAISIE!$H667="","",SAISIE!$H667)</f>
        <v/>
      </c>
      <c r="H662" t="str">
        <f>IF(SAISIE!$I667="","",SAISIE!$I667)</f>
        <v/>
      </c>
      <c r="I662" t="str">
        <f>IF(SAISIE!$J667="","",SAISIE!$J667)</f>
        <v/>
      </c>
      <c r="J662" t="str">
        <f>IF(SAISIE!$K667="","",SAISIE!$K667)</f>
        <v/>
      </c>
      <c r="K662" t="str">
        <f>IF(SAISIE!$L667="","",SAISIE!$L667)</f>
        <v/>
      </c>
      <c r="L662" t="str">
        <f>IF(SAISIE!$M667="","",SAISIE!$M667)</f>
        <v/>
      </c>
      <c r="M662" t="str">
        <f>IF(SAISIE!$N667="","",SAISIE!$N667)</f>
        <v/>
      </c>
      <c r="N662" t="str">
        <f>IF(SAISIE!$O667="","",SAISIE!$O667)</f>
        <v/>
      </c>
      <c r="O662" t="str">
        <f>IF(SAISIE!$P667="","",SAISIE!$P667)</f>
        <v/>
      </c>
      <c r="P662" t="str">
        <f>IF(SAISIE!$Q667="","",SAISIE!$Q667)</f>
        <v/>
      </c>
      <c r="Q662" t="str">
        <f>IF($I662="","",IF($I662&gt;PARAMETRES!$G$29,5,IF($I662&gt;PARAMETRES!$F$29,4,IF($I662&gt;PARAMETRES!$E$29,3,IF($I662&gt;PARAMETRES!$D$29,2,1)))))</f>
        <v/>
      </c>
      <c r="R662" t="str">
        <f>IF($J662="","",IF($J662&gt;PARAMETRES!$G$30,5,IF($J662&gt;PARAMETRES!$F$30,4,IF($J662&gt;PARAMETRES!$E$30,3,IF($J662&gt;PARAMETRES!$D$30,2,1)))))</f>
        <v/>
      </c>
      <c r="S662" t="str">
        <f>IF($K662="","",IF($Z662=2,IF($K662&gt;PARAMETRES!$G$31,5,IF($K662&gt;PARAMETRES!$F$31,4,IF($K662&gt;PARAMETRES!$E$31,3,IF($K662&gt;PARAMETRES!$D$31,2,1)))),IF($K662&gt;PARAMETRES!$G$32,5,IF($K662&gt;PARAMETRES!$F$32,4,IF($K662&gt;PARAMETRES!$E$32,3,IF($K662&gt;PARAMETRES!$D$32,2,1))))))</f>
        <v/>
      </c>
      <c r="T662" t="str">
        <f>IF($L662="","",IF($L662&gt;PARAMETRES!$G$33,5,IF($L662&gt;PARAMETRES!$F$33,4,IF($L662&gt;PARAMETRES!$E$33,3,IF($L662&gt;PARAMETRES!$D$33,2,1)))))</f>
        <v/>
      </c>
      <c r="U662" t="str">
        <f>IF($M662="","",IF($M662&gt;PARAMETRES!$G$34,5,IF($M662&gt;PARAMETRES!$F$34,4,IF($M662&gt;PARAMETRES!$E$34,3,IF($M662&gt;PARAMETRES!$D$34,2,1)))))</f>
        <v/>
      </c>
      <c r="V662" t="str">
        <f>IF($N662="","",IF($N662&gt;PARAMETRES!$G$35,5,IF($N662&gt;PARAMETRES!$F$35,4,IF($N662&gt;PARAMETRES!$E$35,3,IF($N662&gt;PARAMETRES!$D$35,2,1)))))</f>
        <v/>
      </c>
      <c r="W662" t="str">
        <f>IF($O662="","",IF($O662&gt;PARAMETRES!$G$36,5,IF($O662&gt;PARAMETRES!$F$36,4,IF($O662&gt;PARAMETRES!$E$36,3,IF($O662&gt;PARAMETRES!$D$36,2,1)))))</f>
        <v/>
      </c>
      <c r="X662" t="str">
        <f>IF($P662="","",IF($P662&gt;PARAMETRES!$G$37,5,IF($P662&gt;PARAMETRES!$F$37,4,IF($P662&gt;PARAMETRES!$E$37,3,IF($P662&gt;PARAMETRES!$D$37,2,1)))))</f>
        <v/>
      </c>
      <c r="Y662" t="str">
        <f t="shared" si="240"/>
        <v/>
      </c>
      <c r="Z662" t="str">
        <f>IFERROR(VLOOKUP($B662,TABLE_CYCLE,2,0),"")</f>
        <v/>
      </c>
      <c r="AA662" t="str">
        <f t="shared" si="241"/>
        <v/>
      </c>
      <c r="AB662" t="str">
        <f>IF($D662="","",IF(COUNTIF($D$2:$D662,$D662)=1,$D662,""))</f>
        <v/>
      </c>
      <c r="AC662">
        <f t="shared" si="242"/>
        <v>0</v>
      </c>
      <c r="AD662" t="str">
        <f t="shared" si="243"/>
        <v>|0</v>
      </c>
      <c r="AE662" t="str">
        <f t="shared" si="244"/>
        <v/>
      </c>
      <c r="AF662" t="str">
        <f t="shared" si="245"/>
        <v/>
      </c>
      <c r="AG662" t="str">
        <f t="shared" si="246"/>
        <v/>
      </c>
      <c r="AH662" t="str">
        <f t="shared" si="247"/>
        <v/>
      </c>
      <c r="AI662" t="str">
        <f t="shared" si="248"/>
        <v/>
      </c>
      <c r="AJ662" t="str">
        <f t="shared" si="249"/>
        <v/>
      </c>
      <c r="AK662" t="str">
        <f t="shared" si="250"/>
        <v/>
      </c>
      <c r="AL662" t="str">
        <f t="shared" si="251"/>
        <v/>
      </c>
      <c r="AM662" t="str">
        <f t="shared" si="252"/>
        <v/>
      </c>
      <c r="AN662" t="str">
        <f t="shared" si="253"/>
        <v/>
      </c>
      <c r="AO662" t="str">
        <f t="shared" si="254"/>
        <v/>
      </c>
      <c r="AP662">
        <f t="shared" si="255"/>
        <v>1</v>
      </c>
      <c r="AQ662" t="str">
        <f>IF(SAISIE!$F667="","",SAISIE!$Y667)</f>
        <v/>
      </c>
      <c r="AR662" t="str">
        <f>IF(OR(SAISIE!$U$4="",SAISIE!$W$4=""),"",IF(AND($A662=SAISIE!$U$4,$B662=SAISIE!$W$4,$C662="S1"),COUNTIFS($A$2:$A662,SAISIE!$U$4,$B$2:$B662,SAISIE!$W$4,$C$2:$C662,"S1"),""))</f>
        <v/>
      </c>
      <c r="AS662" t="str">
        <f t="shared" si="256"/>
        <v/>
      </c>
      <c r="AT662" t="str">
        <f t="shared" si="257"/>
        <v/>
      </c>
      <c r="AU662" t="str">
        <f t="shared" si="258"/>
        <v/>
      </c>
      <c r="AV662">
        <f>N(AV661)+IF(AND($AB662&lt;&gt;"",OR('PROFIL ELEVE'!$K$4="(Tous)",$AF662='PROFIL ELEVE'!$K$4)),1,0)</f>
        <v>0</v>
      </c>
      <c r="AW662">
        <f>N(AW661)+IF(AND($AB662&lt;&gt;"",OR('SUIVI LONGITUDINAL'!$Q$4="(Tous)",$AF662='SUIVI LONGITUDINAL'!$Q$4)),1,0)</f>
        <v>0</v>
      </c>
      <c r="AX662">
        <f t="shared" si="259"/>
        <v>0</v>
      </c>
      <c r="AY662">
        <f t="shared" si="260"/>
        <v>0</v>
      </c>
      <c r="AZ662">
        <f t="shared" si="261"/>
        <v>0</v>
      </c>
      <c r="BA662" t="str">
        <f t="shared" si="262"/>
        <v/>
      </c>
      <c r="BB662" t="str">
        <f t="shared" si="263"/>
        <v/>
      </c>
    </row>
    <row r="663" spans="1:54" ht="14.25" customHeight="1" x14ac:dyDescent="0.3">
      <c r="A663" t="str">
        <f>IF(SAISIE!$F668="","",SAISIE!$B668)</f>
        <v/>
      </c>
      <c r="B663" t="str">
        <f>IF(SAISIE!$F668="","",SAISIE!$C668)</f>
        <v/>
      </c>
      <c r="C663" t="str">
        <f>IF(SAISIE!$F668="","",SAISIE!$D668)</f>
        <v/>
      </c>
      <c r="D663" t="str">
        <f>IF(SAISIE!$E668="","",SAISIE!$E668)</f>
        <v/>
      </c>
      <c r="E663" t="str">
        <f>IF(SAISIE!$F668="","",SAISIE!$F668)</f>
        <v/>
      </c>
      <c r="F663" t="str">
        <f>IF(SAISIE!$G668="","",SAISIE!$G668)</f>
        <v/>
      </c>
      <c r="G663" t="str">
        <f>IF(SAISIE!$H668="","",SAISIE!$H668)</f>
        <v/>
      </c>
      <c r="H663" t="str">
        <f>IF(SAISIE!$I668="","",SAISIE!$I668)</f>
        <v/>
      </c>
      <c r="I663" t="str">
        <f>IF(SAISIE!$J668="","",SAISIE!$J668)</f>
        <v/>
      </c>
      <c r="J663" t="str">
        <f>IF(SAISIE!$K668="","",SAISIE!$K668)</f>
        <v/>
      </c>
      <c r="K663" t="str">
        <f>IF(SAISIE!$L668="","",SAISIE!$L668)</f>
        <v/>
      </c>
      <c r="L663" t="str">
        <f>IF(SAISIE!$M668="","",SAISIE!$M668)</f>
        <v/>
      </c>
      <c r="M663" t="str">
        <f>IF(SAISIE!$N668="","",SAISIE!$N668)</f>
        <v/>
      </c>
      <c r="N663" t="str">
        <f>IF(SAISIE!$O668="","",SAISIE!$O668)</f>
        <v/>
      </c>
      <c r="O663" t="str">
        <f>IF(SAISIE!$P668="","",SAISIE!$P668)</f>
        <v/>
      </c>
      <c r="P663" t="str">
        <f>IF(SAISIE!$Q668="","",SAISIE!$Q668)</f>
        <v/>
      </c>
      <c r="Q663" t="str">
        <f>IF($I663="","",IF($I663&gt;PARAMETRES!$G$29,5,IF($I663&gt;PARAMETRES!$F$29,4,IF($I663&gt;PARAMETRES!$E$29,3,IF($I663&gt;PARAMETRES!$D$29,2,1)))))</f>
        <v/>
      </c>
      <c r="R663" t="str">
        <f>IF($J663="","",IF($J663&gt;PARAMETRES!$G$30,5,IF($J663&gt;PARAMETRES!$F$30,4,IF($J663&gt;PARAMETRES!$E$30,3,IF($J663&gt;PARAMETRES!$D$30,2,1)))))</f>
        <v/>
      </c>
      <c r="S663" t="str">
        <f>IF($K663="","",IF($Z663=2,IF($K663&gt;PARAMETRES!$G$31,5,IF($K663&gt;PARAMETRES!$F$31,4,IF($K663&gt;PARAMETRES!$E$31,3,IF($K663&gt;PARAMETRES!$D$31,2,1)))),IF($K663&gt;PARAMETRES!$G$32,5,IF($K663&gt;PARAMETRES!$F$32,4,IF($K663&gt;PARAMETRES!$E$32,3,IF($K663&gt;PARAMETRES!$D$32,2,1))))))</f>
        <v/>
      </c>
      <c r="T663" t="str">
        <f>IF($L663="","",IF($L663&gt;PARAMETRES!$G$33,5,IF($L663&gt;PARAMETRES!$F$33,4,IF($L663&gt;PARAMETRES!$E$33,3,IF($L663&gt;PARAMETRES!$D$33,2,1)))))</f>
        <v/>
      </c>
      <c r="U663" t="str">
        <f>IF($M663="","",IF($M663&gt;PARAMETRES!$G$34,5,IF($M663&gt;PARAMETRES!$F$34,4,IF($M663&gt;PARAMETRES!$E$34,3,IF($M663&gt;PARAMETRES!$D$34,2,1)))))</f>
        <v/>
      </c>
      <c r="V663" t="str">
        <f>IF($N663="","",IF($N663&gt;PARAMETRES!$G$35,5,IF($N663&gt;PARAMETRES!$F$35,4,IF($N663&gt;PARAMETRES!$E$35,3,IF($N663&gt;PARAMETRES!$D$35,2,1)))))</f>
        <v/>
      </c>
      <c r="W663" t="str">
        <f>IF($O663="","",IF($O663&gt;PARAMETRES!$G$36,5,IF($O663&gt;PARAMETRES!$F$36,4,IF($O663&gt;PARAMETRES!$E$36,3,IF($O663&gt;PARAMETRES!$D$36,2,1)))))</f>
        <v/>
      </c>
      <c r="X663" t="str">
        <f>IF($P663="","",IF($P663&gt;PARAMETRES!$G$37,5,IF($P663&gt;PARAMETRES!$F$37,4,IF($P663&gt;PARAMETRES!$E$37,3,IF($P663&gt;PARAMETRES!$D$37,2,1)))))</f>
        <v/>
      </c>
      <c r="Y663" t="str">
        <f t="shared" si="240"/>
        <v/>
      </c>
      <c r="Z663" t="str">
        <f>IFERROR(VLOOKUP($B663,TABLE_CYCLE,2,0),"")</f>
        <v/>
      </c>
      <c r="AA663" t="str">
        <f t="shared" si="241"/>
        <v/>
      </c>
      <c r="AB663" t="str">
        <f>IF($D663="","",IF(COUNTIF($D$2:$D663,$D663)=1,$D663,""))</f>
        <v/>
      </c>
      <c r="AC663">
        <f t="shared" si="242"/>
        <v>0</v>
      </c>
      <c r="AD663" t="str">
        <f t="shared" si="243"/>
        <v>|0</v>
      </c>
      <c r="AE663" t="str">
        <f t="shared" si="244"/>
        <v/>
      </c>
      <c r="AF663" t="str">
        <f t="shared" si="245"/>
        <v/>
      </c>
      <c r="AG663" t="str">
        <f t="shared" si="246"/>
        <v/>
      </c>
      <c r="AH663" t="str">
        <f t="shared" si="247"/>
        <v/>
      </c>
      <c r="AI663" t="str">
        <f t="shared" si="248"/>
        <v/>
      </c>
      <c r="AJ663" t="str">
        <f t="shared" si="249"/>
        <v/>
      </c>
      <c r="AK663" t="str">
        <f t="shared" si="250"/>
        <v/>
      </c>
      <c r="AL663" t="str">
        <f t="shared" si="251"/>
        <v/>
      </c>
      <c r="AM663" t="str">
        <f t="shared" si="252"/>
        <v/>
      </c>
      <c r="AN663" t="str">
        <f t="shared" si="253"/>
        <v/>
      </c>
      <c r="AO663" t="str">
        <f t="shared" si="254"/>
        <v/>
      </c>
      <c r="AP663">
        <f t="shared" si="255"/>
        <v>1</v>
      </c>
      <c r="AQ663" t="str">
        <f>IF(SAISIE!$F668="","",SAISIE!$Y668)</f>
        <v/>
      </c>
      <c r="AR663" t="str">
        <f>IF(OR(SAISIE!$U$4="",SAISIE!$W$4=""),"",IF(AND($A663=SAISIE!$U$4,$B663=SAISIE!$W$4,$C663="S1"),COUNTIFS($A$2:$A663,SAISIE!$U$4,$B$2:$B663,SAISIE!$W$4,$C$2:$C663,"S1"),""))</f>
        <v/>
      </c>
      <c r="AS663" t="str">
        <f t="shared" si="256"/>
        <v/>
      </c>
      <c r="AT663" t="str">
        <f t="shared" si="257"/>
        <v/>
      </c>
      <c r="AU663" t="str">
        <f t="shared" si="258"/>
        <v/>
      </c>
      <c r="AV663">
        <f>N(AV662)+IF(AND($AB663&lt;&gt;"",OR('PROFIL ELEVE'!$K$4="(Tous)",$AF663='PROFIL ELEVE'!$K$4)),1,0)</f>
        <v>0</v>
      </c>
      <c r="AW663">
        <f>N(AW662)+IF(AND($AB663&lt;&gt;"",OR('SUIVI LONGITUDINAL'!$Q$4="(Tous)",$AF663='SUIVI LONGITUDINAL'!$Q$4)),1,0)</f>
        <v>0</v>
      </c>
      <c r="AX663">
        <f t="shared" si="259"/>
        <v>0</v>
      </c>
      <c r="AY663">
        <f t="shared" si="260"/>
        <v>0</v>
      </c>
      <c r="AZ663">
        <f t="shared" si="261"/>
        <v>0</v>
      </c>
      <c r="BA663" t="str">
        <f t="shared" si="262"/>
        <v/>
      </c>
      <c r="BB663" t="str">
        <f t="shared" si="263"/>
        <v/>
      </c>
    </row>
    <row r="664" spans="1:54" ht="14.25" customHeight="1" x14ac:dyDescent="0.3">
      <c r="A664" t="str">
        <f>IF(SAISIE!$F669="","",SAISIE!$B669)</f>
        <v/>
      </c>
      <c r="B664" t="str">
        <f>IF(SAISIE!$F669="","",SAISIE!$C669)</f>
        <v/>
      </c>
      <c r="C664" t="str">
        <f>IF(SAISIE!$F669="","",SAISIE!$D669)</f>
        <v/>
      </c>
      <c r="D664" t="str">
        <f>IF(SAISIE!$E669="","",SAISIE!$E669)</f>
        <v/>
      </c>
      <c r="E664" t="str">
        <f>IF(SAISIE!$F669="","",SAISIE!$F669)</f>
        <v/>
      </c>
      <c r="F664" t="str">
        <f>IF(SAISIE!$G669="","",SAISIE!$G669)</f>
        <v/>
      </c>
      <c r="G664" t="str">
        <f>IF(SAISIE!$H669="","",SAISIE!$H669)</f>
        <v/>
      </c>
      <c r="H664" t="str">
        <f>IF(SAISIE!$I669="","",SAISIE!$I669)</f>
        <v/>
      </c>
      <c r="I664" t="str">
        <f>IF(SAISIE!$J669="","",SAISIE!$J669)</f>
        <v/>
      </c>
      <c r="J664" t="str">
        <f>IF(SAISIE!$K669="","",SAISIE!$K669)</f>
        <v/>
      </c>
      <c r="K664" t="str">
        <f>IF(SAISIE!$L669="","",SAISIE!$L669)</f>
        <v/>
      </c>
      <c r="L664" t="str">
        <f>IF(SAISIE!$M669="","",SAISIE!$M669)</f>
        <v/>
      </c>
      <c r="M664" t="str">
        <f>IF(SAISIE!$N669="","",SAISIE!$N669)</f>
        <v/>
      </c>
      <c r="N664" t="str">
        <f>IF(SAISIE!$O669="","",SAISIE!$O669)</f>
        <v/>
      </c>
      <c r="O664" t="str">
        <f>IF(SAISIE!$P669="","",SAISIE!$P669)</f>
        <v/>
      </c>
      <c r="P664" t="str">
        <f>IF(SAISIE!$Q669="","",SAISIE!$Q669)</f>
        <v/>
      </c>
      <c r="Q664" t="str">
        <f>IF($I664="","",IF($I664&gt;PARAMETRES!$G$29,5,IF($I664&gt;PARAMETRES!$F$29,4,IF($I664&gt;PARAMETRES!$E$29,3,IF($I664&gt;PARAMETRES!$D$29,2,1)))))</f>
        <v/>
      </c>
      <c r="R664" t="str">
        <f>IF($J664="","",IF($J664&gt;PARAMETRES!$G$30,5,IF($J664&gt;PARAMETRES!$F$30,4,IF($J664&gt;PARAMETRES!$E$30,3,IF($J664&gt;PARAMETRES!$D$30,2,1)))))</f>
        <v/>
      </c>
      <c r="S664" t="str">
        <f>IF($K664="","",IF($Z664=2,IF($K664&gt;PARAMETRES!$G$31,5,IF($K664&gt;PARAMETRES!$F$31,4,IF($K664&gt;PARAMETRES!$E$31,3,IF($K664&gt;PARAMETRES!$D$31,2,1)))),IF($K664&gt;PARAMETRES!$G$32,5,IF($K664&gt;PARAMETRES!$F$32,4,IF($K664&gt;PARAMETRES!$E$32,3,IF($K664&gt;PARAMETRES!$D$32,2,1))))))</f>
        <v/>
      </c>
      <c r="T664" t="str">
        <f>IF($L664="","",IF($L664&gt;PARAMETRES!$G$33,5,IF($L664&gt;PARAMETRES!$F$33,4,IF($L664&gt;PARAMETRES!$E$33,3,IF($L664&gt;PARAMETRES!$D$33,2,1)))))</f>
        <v/>
      </c>
      <c r="U664" t="str">
        <f>IF($M664="","",IF($M664&gt;PARAMETRES!$G$34,5,IF($M664&gt;PARAMETRES!$F$34,4,IF($M664&gt;PARAMETRES!$E$34,3,IF($M664&gt;PARAMETRES!$D$34,2,1)))))</f>
        <v/>
      </c>
      <c r="V664" t="str">
        <f>IF($N664="","",IF($N664&gt;PARAMETRES!$G$35,5,IF($N664&gt;PARAMETRES!$F$35,4,IF($N664&gt;PARAMETRES!$E$35,3,IF($N664&gt;PARAMETRES!$D$35,2,1)))))</f>
        <v/>
      </c>
      <c r="W664" t="str">
        <f>IF($O664="","",IF($O664&gt;PARAMETRES!$G$36,5,IF($O664&gt;PARAMETRES!$F$36,4,IF($O664&gt;PARAMETRES!$E$36,3,IF($O664&gt;PARAMETRES!$D$36,2,1)))))</f>
        <v/>
      </c>
      <c r="X664" t="str">
        <f>IF($P664="","",IF($P664&gt;PARAMETRES!$G$37,5,IF($P664&gt;PARAMETRES!$F$37,4,IF($P664&gt;PARAMETRES!$E$37,3,IF($P664&gt;PARAMETRES!$D$37,2,1)))))</f>
        <v/>
      </c>
      <c r="Y664" t="str">
        <f t="shared" si="240"/>
        <v/>
      </c>
      <c r="Z664" t="str">
        <f>IFERROR(VLOOKUP($B664,TABLE_CYCLE,2,0),"")</f>
        <v/>
      </c>
      <c r="AA664" t="str">
        <f t="shared" si="241"/>
        <v/>
      </c>
      <c r="AB664" t="str">
        <f>IF($D664="","",IF(COUNTIF($D$2:$D664,$D664)=1,$D664,""))</f>
        <v/>
      </c>
      <c r="AC664">
        <f t="shared" si="242"/>
        <v>0</v>
      </c>
      <c r="AD664" t="str">
        <f t="shared" si="243"/>
        <v>|0</v>
      </c>
      <c r="AE664" t="str">
        <f t="shared" si="244"/>
        <v/>
      </c>
      <c r="AF664" t="str">
        <f t="shared" si="245"/>
        <v/>
      </c>
      <c r="AG664" t="str">
        <f t="shared" si="246"/>
        <v/>
      </c>
      <c r="AH664" t="str">
        <f t="shared" si="247"/>
        <v/>
      </c>
      <c r="AI664" t="str">
        <f t="shared" si="248"/>
        <v/>
      </c>
      <c r="AJ664" t="str">
        <f t="shared" si="249"/>
        <v/>
      </c>
      <c r="AK664" t="str">
        <f t="shared" si="250"/>
        <v/>
      </c>
      <c r="AL664" t="str">
        <f t="shared" si="251"/>
        <v/>
      </c>
      <c r="AM664" t="str">
        <f t="shared" si="252"/>
        <v/>
      </c>
      <c r="AN664" t="str">
        <f t="shared" si="253"/>
        <v/>
      </c>
      <c r="AO664" t="str">
        <f t="shared" si="254"/>
        <v/>
      </c>
      <c r="AP664">
        <f t="shared" si="255"/>
        <v>1</v>
      </c>
      <c r="AQ664" t="str">
        <f>IF(SAISIE!$F669="","",SAISIE!$Y669)</f>
        <v/>
      </c>
      <c r="AR664" t="str">
        <f>IF(OR(SAISIE!$U$4="",SAISIE!$W$4=""),"",IF(AND($A664=SAISIE!$U$4,$B664=SAISIE!$W$4,$C664="S1"),COUNTIFS($A$2:$A664,SAISIE!$U$4,$B$2:$B664,SAISIE!$W$4,$C$2:$C664,"S1"),""))</f>
        <v/>
      </c>
      <c r="AS664" t="str">
        <f t="shared" si="256"/>
        <v/>
      </c>
      <c r="AT664" t="str">
        <f t="shared" si="257"/>
        <v/>
      </c>
      <c r="AU664" t="str">
        <f t="shared" si="258"/>
        <v/>
      </c>
      <c r="AV664">
        <f>N(AV663)+IF(AND($AB664&lt;&gt;"",OR('PROFIL ELEVE'!$K$4="(Tous)",$AF664='PROFIL ELEVE'!$K$4)),1,0)</f>
        <v>0</v>
      </c>
      <c r="AW664">
        <f>N(AW663)+IF(AND($AB664&lt;&gt;"",OR('SUIVI LONGITUDINAL'!$Q$4="(Tous)",$AF664='SUIVI LONGITUDINAL'!$Q$4)),1,0)</f>
        <v>0</v>
      </c>
      <c r="AX664">
        <f t="shared" si="259"/>
        <v>0</v>
      </c>
      <c r="AY664">
        <f t="shared" si="260"/>
        <v>0</v>
      </c>
      <c r="AZ664">
        <f t="shared" si="261"/>
        <v>0</v>
      </c>
      <c r="BA664" t="str">
        <f t="shared" si="262"/>
        <v/>
      </c>
      <c r="BB664" t="str">
        <f t="shared" si="263"/>
        <v/>
      </c>
    </row>
    <row r="665" spans="1:54" ht="14.25" customHeight="1" x14ac:dyDescent="0.3">
      <c r="A665" t="str">
        <f>IF(SAISIE!$F670="","",SAISIE!$B670)</f>
        <v/>
      </c>
      <c r="B665" t="str">
        <f>IF(SAISIE!$F670="","",SAISIE!$C670)</f>
        <v/>
      </c>
      <c r="C665" t="str">
        <f>IF(SAISIE!$F670="","",SAISIE!$D670)</f>
        <v/>
      </c>
      <c r="D665" t="str">
        <f>IF(SAISIE!$E670="","",SAISIE!$E670)</f>
        <v/>
      </c>
      <c r="E665" t="str">
        <f>IF(SAISIE!$F670="","",SAISIE!$F670)</f>
        <v/>
      </c>
      <c r="F665" t="str">
        <f>IF(SAISIE!$G670="","",SAISIE!$G670)</f>
        <v/>
      </c>
      <c r="G665" t="str">
        <f>IF(SAISIE!$H670="","",SAISIE!$H670)</f>
        <v/>
      </c>
      <c r="H665" t="str">
        <f>IF(SAISIE!$I670="","",SAISIE!$I670)</f>
        <v/>
      </c>
      <c r="I665" t="str">
        <f>IF(SAISIE!$J670="","",SAISIE!$J670)</f>
        <v/>
      </c>
      <c r="J665" t="str">
        <f>IF(SAISIE!$K670="","",SAISIE!$K670)</f>
        <v/>
      </c>
      <c r="K665" t="str">
        <f>IF(SAISIE!$L670="","",SAISIE!$L670)</f>
        <v/>
      </c>
      <c r="L665" t="str">
        <f>IF(SAISIE!$M670="","",SAISIE!$M670)</f>
        <v/>
      </c>
      <c r="M665" t="str">
        <f>IF(SAISIE!$N670="","",SAISIE!$N670)</f>
        <v/>
      </c>
      <c r="N665" t="str">
        <f>IF(SAISIE!$O670="","",SAISIE!$O670)</f>
        <v/>
      </c>
      <c r="O665" t="str">
        <f>IF(SAISIE!$P670="","",SAISIE!$P670)</f>
        <v/>
      </c>
      <c r="P665" t="str">
        <f>IF(SAISIE!$Q670="","",SAISIE!$Q670)</f>
        <v/>
      </c>
      <c r="Q665" t="str">
        <f>IF($I665="","",IF($I665&gt;PARAMETRES!$G$29,5,IF($I665&gt;PARAMETRES!$F$29,4,IF($I665&gt;PARAMETRES!$E$29,3,IF($I665&gt;PARAMETRES!$D$29,2,1)))))</f>
        <v/>
      </c>
      <c r="R665" t="str">
        <f>IF($J665="","",IF($J665&gt;PARAMETRES!$G$30,5,IF($J665&gt;PARAMETRES!$F$30,4,IF($J665&gt;PARAMETRES!$E$30,3,IF($J665&gt;PARAMETRES!$D$30,2,1)))))</f>
        <v/>
      </c>
      <c r="S665" t="str">
        <f>IF($K665="","",IF($Z665=2,IF($K665&gt;PARAMETRES!$G$31,5,IF($K665&gt;PARAMETRES!$F$31,4,IF($K665&gt;PARAMETRES!$E$31,3,IF($K665&gt;PARAMETRES!$D$31,2,1)))),IF($K665&gt;PARAMETRES!$G$32,5,IF($K665&gt;PARAMETRES!$F$32,4,IF($K665&gt;PARAMETRES!$E$32,3,IF($K665&gt;PARAMETRES!$D$32,2,1))))))</f>
        <v/>
      </c>
      <c r="T665" t="str">
        <f>IF($L665="","",IF($L665&gt;PARAMETRES!$G$33,5,IF($L665&gt;PARAMETRES!$F$33,4,IF($L665&gt;PARAMETRES!$E$33,3,IF($L665&gt;PARAMETRES!$D$33,2,1)))))</f>
        <v/>
      </c>
      <c r="U665" t="str">
        <f>IF($M665="","",IF($M665&gt;PARAMETRES!$G$34,5,IF($M665&gt;PARAMETRES!$F$34,4,IF($M665&gt;PARAMETRES!$E$34,3,IF($M665&gt;PARAMETRES!$D$34,2,1)))))</f>
        <v/>
      </c>
      <c r="V665" t="str">
        <f>IF($N665="","",IF($N665&gt;PARAMETRES!$G$35,5,IF($N665&gt;PARAMETRES!$F$35,4,IF($N665&gt;PARAMETRES!$E$35,3,IF($N665&gt;PARAMETRES!$D$35,2,1)))))</f>
        <v/>
      </c>
      <c r="W665" t="str">
        <f>IF($O665="","",IF($O665&gt;PARAMETRES!$G$36,5,IF($O665&gt;PARAMETRES!$F$36,4,IF($O665&gt;PARAMETRES!$E$36,3,IF($O665&gt;PARAMETRES!$D$36,2,1)))))</f>
        <v/>
      </c>
      <c r="X665" t="str">
        <f>IF($P665="","",IF($P665&gt;PARAMETRES!$G$37,5,IF($P665&gt;PARAMETRES!$F$37,4,IF($P665&gt;PARAMETRES!$E$37,3,IF($P665&gt;PARAMETRES!$D$37,2,1)))))</f>
        <v/>
      </c>
      <c r="Y665" t="str">
        <f t="shared" si="240"/>
        <v/>
      </c>
      <c r="Z665" t="str">
        <f>IFERROR(VLOOKUP($B665,TABLE_CYCLE,2,0),"")</f>
        <v/>
      </c>
      <c r="AA665" t="str">
        <f t="shared" si="241"/>
        <v/>
      </c>
      <c r="AB665" t="str">
        <f>IF($D665="","",IF(COUNTIF($D$2:$D665,$D665)=1,$D665,""))</f>
        <v/>
      </c>
      <c r="AC665">
        <f t="shared" si="242"/>
        <v>0</v>
      </c>
      <c r="AD665" t="str">
        <f t="shared" si="243"/>
        <v>|0</v>
      </c>
      <c r="AE665" t="str">
        <f t="shared" si="244"/>
        <v/>
      </c>
      <c r="AF665" t="str">
        <f t="shared" si="245"/>
        <v/>
      </c>
      <c r="AG665" t="str">
        <f t="shared" si="246"/>
        <v/>
      </c>
      <c r="AH665" t="str">
        <f t="shared" si="247"/>
        <v/>
      </c>
      <c r="AI665" t="str">
        <f t="shared" si="248"/>
        <v/>
      </c>
      <c r="AJ665" t="str">
        <f t="shared" si="249"/>
        <v/>
      </c>
      <c r="AK665" t="str">
        <f t="shared" si="250"/>
        <v/>
      </c>
      <c r="AL665" t="str">
        <f t="shared" si="251"/>
        <v/>
      </c>
      <c r="AM665" t="str">
        <f t="shared" si="252"/>
        <v/>
      </c>
      <c r="AN665" t="str">
        <f t="shared" si="253"/>
        <v/>
      </c>
      <c r="AO665" t="str">
        <f t="shared" si="254"/>
        <v/>
      </c>
      <c r="AP665">
        <f t="shared" si="255"/>
        <v>1</v>
      </c>
      <c r="AQ665" t="str">
        <f>IF(SAISIE!$F670="","",SAISIE!$Y670)</f>
        <v/>
      </c>
      <c r="AR665" t="str">
        <f>IF(OR(SAISIE!$U$4="",SAISIE!$W$4=""),"",IF(AND($A665=SAISIE!$U$4,$B665=SAISIE!$W$4,$C665="S1"),COUNTIFS($A$2:$A665,SAISIE!$U$4,$B$2:$B665,SAISIE!$W$4,$C$2:$C665,"S1"),""))</f>
        <v/>
      </c>
      <c r="AS665" t="str">
        <f t="shared" si="256"/>
        <v/>
      </c>
      <c r="AT665" t="str">
        <f t="shared" si="257"/>
        <v/>
      </c>
      <c r="AU665" t="str">
        <f t="shared" si="258"/>
        <v/>
      </c>
      <c r="AV665">
        <f>N(AV664)+IF(AND($AB665&lt;&gt;"",OR('PROFIL ELEVE'!$K$4="(Tous)",$AF665='PROFIL ELEVE'!$K$4)),1,0)</f>
        <v>0</v>
      </c>
      <c r="AW665">
        <f>N(AW664)+IF(AND($AB665&lt;&gt;"",OR('SUIVI LONGITUDINAL'!$Q$4="(Tous)",$AF665='SUIVI LONGITUDINAL'!$Q$4)),1,0)</f>
        <v>0</v>
      </c>
      <c r="AX665">
        <f t="shared" si="259"/>
        <v>0</v>
      </c>
      <c r="AY665">
        <f t="shared" si="260"/>
        <v>0</v>
      </c>
      <c r="AZ665">
        <f t="shared" si="261"/>
        <v>0</v>
      </c>
      <c r="BA665" t="str">
        <f t="shared" si="262"/>
        <v/>
      </c>
      <c r="BB665" t="str">
        <f t="shared" si="263"/>
        <v/>
      </c>
    </row>
    <row r="666" spans="1:54" ht="14.25" customHeight="1" x14ac:dyDescent="0.3">
      <c r="A666" t="str">
        <f>IF(SAISIE!$F671="","",SAISIE!$B671)</f>
        <v/>
      </c>
      <c r="B666" t="str">
        <f>IF(SAISIE!$F671="","",SAISIE!$C671)</f>
        <v/>
      </c>
      <c r="C666" t="str">
        <f>IF(SAISIE!$F671="","",SAISIE!$D671)</f>
        <v/>
      </c>
      <c r="D666" t="str">
        <f>IF(SAISIE!$E671="","",SAISIE!$E671)</f>
        <v/>
      </c>
      <c r="E666" t="str">
        <f>IF(SAISIE!$F671="","",SAISIE!$F671)</f>
        <v/>
      </c>
      <c r="F666" t="str">
        <f>IF(SAISIE!$G671="","",SAISIE!$G671)</f>
        <v/>
      </c>
      <c r="G666" t="str">
        <f>IF(SAISIE!$H671="","",SAISIE!$H671)</f>
        <v/>
      </c>
      <c r="H666" t="str">
        <f>IF(SAISIE!$I671="","",SAISIE!$I671)</f>
        <v/>
      </c>
      <c r="I666" t="str">
        <f>IF(SAISIE!$J671="","",SAISIE!$J671)</f>
        <v/>
      </c>
      <c r="J666" t="str">
        <f>IF(SAISIE!$K671="","",SAISIE!$K671)</f>
        <v/>
      </c>
      <c r="K666" t="str">
        <f>IF(SAISIE!$L671="","",SAISIE!$L671)</f>
        <v/>
      </c>
      <c r="L666" t="str">
        <f>IF(SAISIE!$M671="","",SAISIE!$M671)</f>
        <v/>
      </c>
      <c r="M666" t="str">
        <f>IF(SAISIE!$N671="","",SAISIE!$N671)</f>
        <v/>
      </c>
      <c r="N666" t="str">
        <f>IF(SAISIE!$O671="","",SAISIE!$O671)</f>
        <v/>
      </c>
      <c r="O666" t="str">
        <f>IF(SAISIE!$P671="","",SAISIE!$P671)</f>
        <v/>
      </c>
      <c r="P666" t="str">
        <f>IF(SAISIE!$Q671="","",SAISIE!$Q671)</f>
        <v/>
      </c>
      <c r="Q666" t="str">
        <f>IF($I666="","",IF($I666&gt;PARAMETRES!$G$29,5,IF($I666&gt;PARAMETRES!$F$29,4,IF($I666&gt;PARAMETRES!$E$29,3,IF($I666&gt;PARAMETRES!$D$29,2,1)))))</f>
        <v/>
      </c>
      <c r="R666" t="str">
        <f>IF($J666="","",IF($J666&gt;PARAMETRES!$G$30,5,IF($J666&gt;PARAMETRES!$F$30,4,IF($J666&gt;PARAMETRES!$E$30,3,IF($J666&gt;PARAMETRES!$D$30,2,1)))))</f>
        <v/>
      </c>
      <c r="S666" t="str">
        <f>IF($K666="","",IF($Z666=2,IF($K666&gt;PARAMETRES!$G$31,5,IF($K666&gt;PARAMETRES!$F$31,4,IF($K666&gt;PARAMETRES!$E$31,3,IF($K666&gt;PARAMETRES!$D$31,2,1)))),IF($K666&gt;PARAMETRES!$G$32,5,IF($K666&gt;PARAMETRES!$F$32,4,IF($K666&gt;PARAMETRES!$E$32,3,IF($K666&gt;PARAMETRES!$D$32,2,1))))))</f>
        <v/>
      </c>
      <c r="T666" t="str">
        <f>IF($L666="","",IF($L666&gt;PARAMETRES!$G$33,5,IF($L666&gt;PARAMETRES!$F$33,4,IF($L666&gt;PARAMETRES!$E$33,3,IF($L666&gt;PARAMETRES!$D$33,2,1)))))</f>
        <v/>
      </c>
      <c r="U666" t="str">
        <f>IF($M666="","",IF($M666&gt;PARAMETRES!$G$34,5,IF($M666&gt;PARAMETRES!$F$34,4,IF($M666&gt;PARAMETRES!$E$34,3,IF($M666&gt;PARAMETRES!$D$34,2,1)))))</f>
        <v/>
      </c>
      <c r="V666" t="str">
        <f>IF($N666="","",IF($N666&gt;PARAMETRES!$G$35,5,IF($N666&gt;PARAMETRES!$F$35,4,IF($N666&gt;PARAMETRES!$E$35,3,IF($N666&gt;PARAMETRES!$D$35,2,1)))))</f>
        <v/>
      </c>
      <c r="W666" t="str">
        <f>IF($O666="","",IF($O666&gt;PARAMETRES!$G$36,5,IF($O666&gt;PARAMETRES!$F$36,4,IF($O666&gt;PARAMETRES!$E$36,3,IF($O666&gt;PARAMETRES!$D$36,2,1)))))</f>
        <v/>
      </c>
      <c r="X666" t="str">
        <f>IF($P666="","",IF($P666&gt;PARAMETRES!$G$37,5,IF($P666&gt;PARAMETRES!$F$37,4,IF($P666&gt;PARAMETRES!$E$37,3,IF($P666&gt;PARAMETRES!$D$37,2,1)))))</f>
        <v/>
      </c>
      <c r="Y666" t="str">
        <f t="shared" si="240"/>
        <v/>
      </c>
      <c r="Z666" t="str">
        <f>IFERROR(VLOOKUP($B666,TABLE_CYCLE,2,0),"")</f>
        <v/>
      </c>
      <c r="AA666" t="str">
        <f t="shared" si="241"/>
        <v/>
      </c>
      <c r="AB666" t="str">
        <f>IF($D666="","",IF(COUNTIF($D$2:$D666,$D666)=1,$D666,""))</f>
        <v/>
      </c>
      <c r="AC666">
        <f t="shared" si="242"/>
        <v>0</v>
      </c>
      <c r="AD666" t="str">
        <f t="shared" si="243"/>
        <v>|0</v>
      </c>
      <c r="AE666" t="str">
        <f t="shared" si="244"/>
        <v/>
      </c>
      <c r="AF666" t="str">
        <f t="shared" si="245"/>
        <v/>
      </c>
      <c r="AG666" t="str">
        <f t="shared" si="246"/>
        <v/>
      </c>
      <c r="AH666" t="str">
        <f t="shared" si="247"/>
        <v/>
      </c>
      <c r="AI666" t="str">
        <f t="shared" si="248"/>
        <v/>
      </c>
      <c r="AJ666" t="str">
        <f t="shared" si="249"/>
        <v/>
      </c>
      <c r="AK666" t="str">
        <f t="shared" si="250"/>
        <v/>
      </c>
      <c r="AL666" t="str">
        <f t="shared" si="251"/>
        <v/>
      </c>
      <c r="AM666" t="str">
        <f t="shared" si="252"/>
        <v/>
      </c>
      <c r="AN666" t="str">
        <f t="shared" si="253"/>
        <v/>
      </c>
      <c r="AO666" t="str">
        <f t="shared" si="254"/>
        <v/>
      </c>
      <c r="AP666">
        <f t="shared" si="255"/>
        <v>1</v>
      </c>
      <c r="AQ666" t="str">
        <f>IF(SAISIE!$F671="","",SAISIE!$Y671)</f>
        <v/>
      </c>
      <c r="AR666" t="str">
        <f>IF(OR(SAISIE!$U$4="",SAISIE!$W$4=""),"",IF(AND($A666=SAISIE!$U$4,$B666=SAISIE!$W$4,$C666="S1"),COUNTIFS($A$2:$A666,SAISIE!$U$4,$B$2:$B666,SAISIE!$W$4,$C$2:$C666,"S1"),""))</f>
        <v/>
      </c>
      <c r="AS666" t="str">
        <f t="shared" si="256"/>
        <v/>
      </c>
      <c r="AT666" t="str">
        <f t="shared" si="257"/>
        <v/>
      </c>
      <c r="AU666" t="str">
        <f t="shared" si="258"/>
        <v/>
      </c>
      <c r="AV666">
        <f>N(AV665)+IF(AND($AB666&lt;&gt;"",OR('PROFIL ELEVE'!$K$4="(Tous)",$AF666='PROFIL ELEVE'!$K$4)),1,0)</f>
        <v>0</v>
      </c>
      <c r="AW666">
        <f>N(AW665)+IF(AND($AB666&lt;&gt;"",OR('SUIVI LONGITUDINAL'!$Q$4="(Tous)",$AF666='SUIVI LONGITUDINAL'!$Q$4)),1,0)</f>
        <v>0</v>
      </c>
      <c r="AX666">
        <f t="shared" si="259"/>
        <v>0</v>
      </c>
      <c r="AY666">
        <f t="shared" si="260"/>
        <v>0</v>
      </c>
      <c r="AZ666">
        <f t="shared" si="261"/>
        <v>0</v>
      </c>
      <c r="BA666" t="str">
        <f t="shared" si="262"/>
        <v/>
      </c>
      <c r="BB666" t="str">
        <f t="shared" si="263"/>
        <v/>
      </c>
    </row>
    <row r="667" spans="1:54" ht="14.25" customHeight="1" x14ac:dyDescent="0.3">
      <c r="A667" t="str">
        <f>IF(SAISIE!$F672="","",SAISIE!$B672)</f>
        <v/>
      </c>
      <c r="B667" t="str">
        <f>IF(SAISIE!$F672="","",SAISIE!$C672)</f>
        <v/>
      </c>
      <c r="C667" t="str">
        <f>IF(SAISIE!$F672="","",SAISIE!$D672)</f>
        <v/>
      </c>
      <c r="D667" t="str">
        <f>IF(SAISIE!$E672="","",SAISIE!$E672)</f>
        <v/>
      </c>
      <c r="E667" t="str">
        <f>IF(SAISIE!$F672="","",SAISIE!$F672)</f>
        <v/>
      </c>
      <c r="F667" t="str">
        <f>IF(SAISIE!$G672="","",SAISIE!$G672)</f>
        <v/>
      </c>
      <c r="G667" t="str">
        <f>IF(SAISIE!$H672="","",SAISIE!$H672)</f>
        <v/>
      </c>
      <c r="H667" t="str">
        <f>IF(SAISIE!$I672="","",SAISIE!$I672)</f>
        <v/>
      </c>
      <c r="I667" t="str">
        <f>IF(SAISIE!$J672="","",SAISIE!$J672)</f>
        <v/>
      </c>
      <c r="J667" t="str">
        <f>IF(SAISIE!$K672="","",SAISIE!$K672)</f>
        <v/>
      </c>
      <c r="K667" t="str">
        <f>IF(SAISIE!$L672="","",SAISIE!$L672)</f>
        <v/>
      </c>
      <c r="L667" t="str">
        <f>IF(SAISIE!$M672="","",SAISIE!$M672)</f>
        <v/>
      </c>
      <c r="M667" t="str">
        <f>IF(SAISIE!$N672="","",SAISIE!$N672)</f>
        <v/>
      </c>
      <c r="N667" t="str">
        <f>IF(SAISIE!$O672="","",SAISIE!$O672)</f>
        <v/>
      </c>
      <c r="O667" t="str">
        <f>IF(SAISIE!$P672="","",SAISIE!$P672)</f>
        <v/>
      </c>
      <c r="P667" t="str">
        <f>IF(SAISIE!$Q672="","",SAISIE!$Q672)</f>
        <v/>
      </c>
      <c r="Q667" t="str">
        <f>IF($I667="","",IF($I667&gt;PARAMETRES!$G$29,5,IF($I667&gt;PARAMETRES!$F$29,4,IF($I667&gt;PARAMETRES!$E$29,3,IF($I667&gt;PARAMETRES!$D$29,2,1)))))</f>
        <v/>
      </c>
      <c r="R667" t="str">
        <f>IF($J667="","",IF($J667&gt;PARAMETRES!$G$30,5,IF($J667&gt;PARAMETRES!$F$30,4,IF($J667&gt;PARAMETRES!$E$30,3,IF($J667&gt;PARAMETRES!$D$30,2,1)))))</f>
        <v/>
      </c>
      <c r="S667" t="str">
        <f>IF($K667="","",IF($Z667=2,IF($K667&gt;PARAMETRES!$G$31,5,IF($K667&gt;PARAMETRES!$F$31,4,IF($K667&gt;PARAMETRES!$E$31,3,IF($K667&gt;PARAMETRES!$D$31,2,1)))),IF($K667&gt;PARAMETRES!$G$32,5,IF($K667&gt;PARAMETRES!$F$32,4,IF($K667&gt;PARAMETRES!$E$32,3,IF($K667&gt;PARAMETRES!$D$32,2,1))))))</f>
        <v/>
      </c>
      <c r="T667" t="str">
        <f>IF($L667="","",IF($L667&gt;PARAMETRES!$G$33,5,IF($L667&gt;PARAMETRES!$F$33,4,IF($L667&gt;PARAMETRES!$E$33,3,IF($L667&gt;PARAMETRES!$D$33,2,1)))))</f>
        <v/>
      </c>
      <c r="U667" t="str">
        <f>IF($M667="","",IF($M667&gt;PARAMETRES!$G$34,5,IF($M667&gt;PARAMETRES!$F$34,4,IF($M667&gt;PARAMETRES!$E$34,3,IF($M667&gt;PARAMETRES!$D$34,2,1)))))</f>
        <v/>
      </c>
      <c r="V667" t="str">
        <f>IF($N667="","",IF($N667&gt;PARAMETRES!$G$35,5,IF($N667&gt;PARAMETRES!$F$35,4,IF($N667&gt;PARAMETRES!$E$35,3,IF($N667&gt;PARAMETRES!$D$35,2,1)))))</f>
        <v/>
      </c>
      <c r="W667" t="str">
        <f>IF($O667="","",IF($O667&gt;PARAMETRES!$G$36,5,IF($O667&gt;PARAMETRES!$F$36,4,IF($O667&gt;PARAMETRES!$E$36,3,IF($O667&gt;PARAMETRES!$D$36,2,1)))))</f>
        <v/>
      </c>
      <c r="X667" t="str">
        <f>IF($P667="","",IF($P667&gt;PARAMETRES!$G$37,5,IF($P667&gt;PARAMETRES!$F$37,4,IF($P667&gt;PARAMETRES!$E$37,3,IF($P667&gt;PARAMETRES!$D$37,2,1)))))</f>
        <v/>
      </c>
      <c r="Y667" t="str">
        <f t="shared" si="240"/>
        <v/>
      </c>
      <c r="Z667" t="str">
        <f>IFERROR(VLOOKUP($B667,TABLE_CYCLE,2,0),"")</f>
        <v/>
      </c>
      <c r="AA667" t="str">
        <f t="shared" si="241"/>
        <v/>
      </c>
      <c r="AB667" t="str">
        <f>IF($D667="","",IF(COUNTIF($D$2:$D667,$D667)=1,$D667,""))</f>
        <v/>
      </c>
      <c r="AC667">
        <f t="shared" si="242"/>
        <v>0</v>
      </c>
      <c r="AD667" t="str">
        <f t="shared" si="243"/>
        <v>|0</v>
      </c>
      <c r="AE667" t="str">
        <f t="shared" si="244"/>
        <v/>
      </c>
      <c r="AF667" t="str">
        <f t="shared" si="245"/>
        <v/>
      </c>
      <c r="AG667" t="str">
        <f t="shared" si="246"/>
        <v/>
      </c>
      <c r="AH667" t="str">
        <f t="shared" si="247"/>
        <v/>
      </c>
      <c r="AI667" t="str">
        <f t="shared" si="248"/>
        <v/>
      </c>
      <c r="AJ667" t="str">
        <f t="shared" si="249"/>
        <v/>
      </c>
      <c r="AK667" t="str">
        <f t="shared" si="250"/>
        <v/>
      </c>
      <c r="AL667" t="str">
        <f t="shared" si="251"/>
        <v/>
      </c>
      <c r="AM667" t="str">
        <f t="shared" si="252"/>
        <v/>
      </c>
      <c r="AN667" t="str">
        <f t="shared" si="253"/>
        <v/>
      </c>
      <c r="AO667" t="str">
        <f t="shared" si="254"/>
        <v/>
      </c>
      <c r="AP667">
        <f t="shared" si="255"/>
        <v>1</v>
      </c>
      <c r="AQ667" t="str">
        <f>IF(SAISIE!$F672="","",SAISIE!$Y672)</f>
        <v/>
      </c>
      <c r="AR667" t="str">
        <f>IF(OR(SAISIE!$U$4="",SAISIE!$W$4=""),"",IF(AND($A667=SAISIE!$U$4,$B667=SAISIE!$W$4,$C667="S1"),COUNTIFS($A$2:$A667,SAISIE!$U$4,$B$2:$B667,SAISIE!$W$4,$C$2:$C667,"S1"),""))</f>
        <v/>
      </c>
      <c r="AS667" t="str">
        <f t="shared" si="256"/>
        <v/>
      </c>
      <c r="AT667" t="str">
        <f t="shared" si="257"/>
        <v/>
      </c>
      <c r="AU667" t="str">
        <f t="shared" si="258"/>
        <v/>
      </c>
      <c r="AV667">
        <f>N(AV666)+IF(AND($AB667&lt;&gt;"",OR('PROFIL ELEVE'!$K$4="(Tous)",$AF667='PROFIL ELEVE'!$K$4)),1,0)</f>
        <v>0</v>
      </c>
      <c r="AW667">
        <f>N(AW666)+IF(AND($AB667&lt;&gt;"",OR('SUIVI LONGITUDINAL'!$Q$4="(Tous)",$AF667='SUIVI LONGITUDINAL'!$Q$4)),1,0)</f>
        <v>0</v>
      </c>
      <c r="AX667">
        <f t="shared" si="259"/>
        <v>0</v>
      </c>
      <c r="AY667">
        <f t="shared" si="260"/>
        <v>0</v>
      </c>
      <c r="AZ667">
        <f t="shared" si="261"/>
        <v>0</v>
      </c>
      <c r="BA667" t="str">
        <f t="shared" si="262"/>
        <v/>
      </c>
      <c r="BB667" t="str">
        <f t="shared" si="263"/>
        <v/>
      </c>
    </row>
    <row r="668" spans="1:54" ht="14.25" customHeight="1" x14ac:dyDescent="0.3">
      <c r="A668" t="str">
        <f>IF(SAISIE!$F673="","",SAISIE!$B673)</f>
        <v/>
      </c>
      <c r="B668" t="str">
        <f>IF(SAISIE!$F673="","",SAISIE!$C673)</f>
        <v/>
      </c>
      <c r="C668" t="str">
        <f>IF(SAISIE!$F673="","",SAISIE!$D673)</f>
        <v/>
      </c>
      <c r="D668" t="str">
        <f>IF(SAISIE!$E673="","",SAISIE!$E673)</f>
        <v/>
      </c>
      <c r="E668" t="str">
        <f>IF(SAISIE!$F673="","",SAISIE!$F673)</f>
        <v/>
      </c>
      <c r="F668" t="str">
        <f>IF(SAISIE!$G673="","",SAISIE!$G673)</f>
        <v/>
      </c>
      <c r="G668" t="str">
        <f>IF(SAISIE!$H673="","",SAISIE!$H673)</f>
        <v/>
      </c>
      <c r="H668" t="str">
        <f>IF(SAISIE!$I673="","",SAISIE!$I673)</f>
        <v/>
      </c>
      <c r="I668" t="str">
        <f>IF(SAISIE!$J673="","",SAISIE!$J673)</f>
        <v/>
      </c>
      <c r="J668" t="str">
        <f>IF(SAISIE!$K673="","",SAISIE!$K673)</f>
        <v/>
      </c>
      <c r="K668" t="str">
        <f>IF(SAISIE!$L673="","",SAISIE!$L673)</f>
        <v/>
      </c>
      <c r="L668" t="str">
        <f>IF(SAISIE!$M673="","",SAISIE!$M673)</f>
        <v/>
      </c>
      <c r="M668" t="str">
        <f>IF(SAISIE!$N673="","",SAISIE!$N673)</f>
        <v/>
      </c>
      <c r="N668" t="str">
        <f>IF(SAISIE!$O673="","",SAISIE!$O673)</f>
        <v/>
      </c>
      <c r="O668" t="str">
        <f>IF(SAISIE!$P673="","",SAISIE!$P673)</f>
        <v/>
      </c>
      <c r="P668" t="str">
        <f>IF(SAISIE!$Q673="","",SAISIE!$Q673)</f>
        <v/>
      </c>
      <c r="Q668" t="str">
        <f>IF($I668="","",IF($I668&gt;PARAMETRES!$G$29,5,IF($I668&gt;PARAMETRES!$F$29,4,IF($I668&gt;PARAMETRES!$E$29,3,IF($I668&gt;PARAMETRES!$D$29,2,1)))))</f>
        <v/>
      </c>
      <c r="R668" t="str">
        <f>IF($J668="","",IF($J668&gt;PARAMETRES!$G$30,5,IF($J668&gt;PARAMETRES!$F$30,4,IF($J668&gt;PARAMETRES!$E$30,3,IF($J668&gt;PARAMETRES!$D$30,2,1)))))</f>
        <v/>
      </c>
      <c r="S668" t="str">
        <f>IF($K668="","",IF($Z668=2,IF($K668&gt;PARAMETRES!$G$31,5,IF($K668&gt;PARAMETRES!$F$31,4,IF($K668&gt;PARAMETRES!$E$31,3,IF($K668&gt;PARAMETRES!$D$31,2,1)))),IF($K668&gt;PARAMETRES!$G$32,5,IF($K668&gt;PARAMETRES!$F$32,4,IF($K668&gt;PARAMETRES!$E$32,3,IF($K668&gt;PARAMETRES!$D$32,2,1))))))</f>
        <v/>
      </c>
      <c r="T668" t="str">
        <f>IF($L668="","",IF($L668&gt;PARAMETRES!$G$33,5,IF($L668&gt;PARAMETRES!$F$33,4,IF($L668&gt;PARAMETRES!$E$33,3,IF($L668&gt;PARAMETRES!$D$33,2,1)))))</f>
        <v/>
      </c>
      <c r="U668" t="str">
        <f>IF($M668="","",IF($M668&gt;PARAMETRES!$G$34,5,IF($M668&gt;PARAMETRES!$F$34,4,IF($M668&gt;PARAMETRES!$E$34,3,IF($M668&gt;PARAMETRES!$D$34,2,1)))))</f>
        <v/>
      </c>
      <c r="V668" t="str">
        <f>IF($N668="","",IF($N668&gt;PARAMETRES!$G$35,5,IF($N668&gt;PARAMETRES!$F$35,4,IF($N668&gt;PARAMETRES!$E$35,3,IF($N668&gt;PARAMETRES!$D$35,2,1)))))</f>
        <v/>
      </c>
      <c r="W668" t="str">
        <f>IF($O668="","",IF($O668&gt;PARAMETRES!$G$36,5,IF($O668&gt;PARAMETRES!$F$36,4,IF($O668&gt;PARAMETRES!$E$36,3,IF($O668&gt;PARAMETRES!$D$36,2,1)))))</f>
        <v/>
      </c>
      <c r="X668" t="str">
        <f>IF($P668="","",IF($P668&gt;PARAMETRES!$G$37,5,IF($P668&gt;PARAMETRES!$F$37,4,IF($P668&gt;PARAMETRES!$E$37,3,IF($P668&gt;PARAMETRES!$D$37,2,1)))))</f>
        <v/>
      </c>
      <c r="Y668" t="str">
        <f t="shared" si="240"/>
        <v/>
      </c>
      <c r="Z668" t="str">
        <f>IFERROR(VLOOKUP($B668,TABLE_CYCLE,2,0),"")</f>
        <v/>
      </c>
      <c r="AA668" t="str">
        <f t="shared" si="241"/>
        <v/>
      </c>
      <c r="AB668" t="str">
        <f>IF($D668="","",IF(COUNTIF($D$2:$D668,$D668)=1,$D668,""))</f>
        <v/>
      </c>
      <c r="AC668">
        <f t="shared" si="242"/>
        <v>0</v>
      </c>
      <c r="AD668" t="str">
        <f t="shared" si="243"/>
        <v>|0</v>
      </c>
      <c r="AE668" t="str">
        <f t="shared" si="244"/>
        <v/>
      </c>
      <c r="AF668" t="str">
        <f t="shared" si="245"/>
        <v/>
      </c>
      <c r="AG668" t="str">
        <f t="shared" si="246"/>
        <v/>
      </c>
      <c r="AH668" t="str">
        <f t="shared" si="247"/>
        <v/>
      </c>
      <c r="AI668" t="str">
        <f t="shared" si="248"/>
        <v/>
      </c>
      <c r="AJ668" t="str">
        <f t="shared" si="249"/>
        <v/>
      </c>
      <c r="AK668" t="str">
        <f t="shared" si="250"/>
        <v/>
      </c>
      <c r="AL668" t="str">
        <f t="shared" si="251"/>
        <v/>
      </c>
      <c r="AM668" t="str">
        <f t="shared" si="252"/>
        <v/>
      </c>
      <c r="AN668" t="str">
        <f t="shared" si="253"/>
        <v/>
      </c>
      <c r="AO668" t="str">
        <f t="shared" si="254"/>
        <v/>
      </c>
      <c r="AP668">
        <f t="shared" si="255"/>
        <v>1</v>
      </c>
      <c r="AQ668" t="str">
        <f>IF(SAISIE!$F673="","",SAISIE!$Y673)</f>
        <v/>
      </c>
      <c r="AR668" t="str">
        <f>IF(OR(SAISIE!$U$4="",SAISIE!$W$4=""),"",IF(AND($A668=SAISIE!$U$4,$B668=SAISIE!$W$4,$C668="S1"),COUNTIFS($A$2:$A668,SAISIE!$U$4,$B$2:$B668,SAISIE!$W$4,$C$2:$C668,"S1"),""))</f>
        <v/>
      </c>
      <c r="AS668" t="str">
        <f t="shared" si="256"/>
        <v/>
      </c>
      <c r="AT668" t="str">
        <f t="shared" si="257"/>
        <v/>
      </c>
      <c r="AU668" t="str">
        <f t="shared" si="258"/>
        <v/>
      </c>
      <c r="AV668">
        <f>N(AV667)+IF(AND($AB668&lt;&gt;"",OR('PROFIL ELEVE'!$K$4="(Tous)",$AF668='PROFIL ELEVE'!$K$4)),1,0)</f>
        <v>0</v>
      </c>
      <c r="AW668">
        <f>N(AW667)+IF(AND($AB668&lt;&gt;"",OR('SUIVI LONGITUDINAL'!$Q$4="(Tous)",$AF668='SUIVI LONGITUDINAL'!$Q$4)),1,0)</f>
        <v>0</v>
      </c>
      <c r="AX668">
        <f t="shared" si="259"/>
        <v>0</v>
      </c>
      <c r="AY668">
        <f t="shared" si="260"/>
        <v>0</v>
      </c>
      <c r="AZ668">
        <f t="shared" si="261"/>
        <v>0</v>
      </c>
      <c r="BA668" t="str">
        <f t="shared" si="262"/>
        <v/>
      </c>
      <c r="BB668" t="str">
        <f t="shared" si="263"/>
        <v/>
      </c>
    </row>
    <row r="669" spans="1:54" ht="14.25" customHeight="1" x14ac:dyDescent="0.3">
      <c r="A669" t="str">
        <f>IF(SAISIE!$F674="","",SAISIE!$B674)</f>
        <v/>
      </c>
      <c r="B669" t="str">
        <f>IF(SAISIE!$F674="","",SAISIE!$C674)</f>
        <v/>
      </c>
      <c r="C669" t="str">
        <f>IF(SAISIE!$F674="","",SAISIE!$D674)</f>
        <v/>
      </c>
      <c r="D669" t="str">
        <f>IF(SAISIE!$E674="","",SAISIE!$E674)</f>
        <v/>
      </c>
      <c r="E669" t="str">
        <f>IF(SAISIE!$F674="","",SAISIE!$F674)</f>
        <v/>
      </c>
      <c r="F669" t="str">
        <f>IF(SAISIE!$G674="","",SAISIE!$G674)</f>
        <v/>
      </c>
      <c r="G669" t="str">
        <f>IF(SAISIE!$H674="","",SAISIE!$H674)</f>
        <v/>
      </c>
      <c r="H669" t="str">
        <f>IF(SAISIE!$I674="","",SAISIE!$I674)</f>
        <v/>
      </c>
      <c r="I669" t="str">
        <f>IF(SAISIE!$J674="","",SAISIE!$J674)</f>
        <v/>
      </c>
      <c r="J669" t="str">
        <f>IF(SAISIE!$K674="","",SAISIE!$K674)</f>
        <v/>
      </c>
      <c r="K669" t="str">
        <f>IF(SAISIE!$L674="","",SAISIE!$L674)</f>
        <v/>
      </c>
      <c r="L669" t="str">
        <f>IF(SAISIE!$M674="","",SAISIE!$M674)</f>
        <v/>
      </c>
      <c r="M669" t="str">
        <f>IF(SAISIE!$N674="","",SAISIE!$N674)</f>
        <v/>
      </c>
      <c r="N669" t="str">
        <f>IF(SAISIE!$O674="","",SAISIE!$O674)</f>
        <v/>
      </c>
      <c r="O669" t="str">
        <f>IF(SAISIE!$P674="","",SAISIE!$P674)</f>
        <v/>
      </c>
      <c r="P669" t="str">
        <f>IF(SAISIE!$Q674="","",SAISIE!$Q674)</f>
        <v/>
      </c>
      <c r="Q669" t="str">
        <f>IF($I669="","",IF($I669&gt;PARAMETRES!$G$29,5,IF($I669&gt;PARAMETRES!$F$29,4,IF($I669&gt;PARAMETRES!$E$29,3,IF($I669&gt;PARAMETRES!$D$29,2,1)))))</f>
        <v/>
      </c>
      <c r="R669" t="str">
        <f>IF($J669="","",IF($J669&gt;PARAMETRES!$G$30,5,IF($J669&gt;PARAMETRES!$F$30,4,IF($J669&gt;PARAMETRES!$E$30,3,IF($J669&gt;PARAMETRES!$D$30,2,1)))))</f>
        <v/>
      </c>
      <c r="S669" t="str">
        <f>IF($K669="","",IF($Z669=2,IF($K669&gt;PARAMETRES!$G$31,5,IF($K669&gt;PARAMETRES!$F$31,4,IF($K669&gt;PARAMETRES!$E$31,3,IF($K669&gt;PARAMETRES!$D$31,2,1)))),IF($K669&gt;PARAMETRES!$G$32,5,IF($K669&gt;PARAMETRES!$F$32,4,IF($K669&gt;PARAMETRES!$E$32,3,IF($K669&gt;PARAMETRES!$D$32,2,1))))))</f>
        <v/>
      </c>
      <c r="T669" t="str">
        <f>IF($L669="","",IF($L669&gt;PARAMETRES!$G$33,5,IF($L669&gt;PARAMETRES!$F$33,4,IF($L669&gt;PARAMETRES!$E$33,3,IF($L669&gt;PARAMETRES!$D$33,2,1)))))</f>
        <v/>
      </c>
      <c r="U669" t="str">
        <f>IF($M669="","",IF($M669&gt;PARAMETRES!$G$34,5,IF($M669&gt;PARAMETRES!$F$34,4,IF($M669&gt;PARAMETRES!$E$34,3,IF($M669&gt;PARAMETRES!$D$34,2,1)))))</f>
        <v/>
      </c>
      <c r="V669" t="str">
        <f>IF($N669="","",IF($N669&gt;PARAMETRES!$G$35,5,IF($N669&gt;PARAMETRES!$F$35,4,IF($N669&gt;PARAMETRES!$E$35,3,IF($N669&gt;PARAMETRES!$D$35,2,1)))))</f>
        <v/>
      </c>
      <c r="W669" t="str">
        <f>IF($O669="","",IF($O669&gt;PARAMETRES!$G$36,5,IF($O669&gt;PARAMETRES!$F$36,4,IF($O669&gt;PARAMETRES!$E$36,3,IF($O669&gt;PARAMETRES!$D$36,2,1)))))</f>
        <v/>
      </c>
      <c r="X669" t="str">
        <f>IF($P669="","",IF($P669&gt;PARAMETRES!$G$37,5,IF($P669&gt;PARAMETRES!$F$37,4,IF($P669&gt;PARAMETRES!$E$37,3,IF($P669&gt;PARAMETRES!$D$37,2,1)))))</f>
        <v/>
      </c>
      <c r="Y669" t="str">
        <f t="shared" si="240"/>
        <v/>
      </c>
      <c r="Z669" t="str">
        <f>IFERROR(VLOOKUP($B669,TABLE_CYCLE,2,0),"")</f>
        <v/>
      </c>
      <c r="AA669" t="str">
        <f t="shared" si="241"/>
        <v/>
      </c>
      <c r="AB669" t="str">
        <f>IF($D669="","",IF(COUNTIF($D$2:$D669,$D669)=1,$D669,""))</f>
        <v/>
      </c>
      <c r="AC669">
        <f t="shared" si="242"/>
        <v>0</v>
      </c>
      <c r="AD669" t="str">
        <f t="shared" si="243"/>
        <v>|0</v>
      </c>
      <c r="AE669" t="str">
        <f t="shared" si="244"/>
        <v/>
      </c>
      <c r="AF669" t="str">
        <f t="shared" si="245"/>
        <v/>
      </c>
      <c r="AG669" t="str">
        <f t="shared" si="246"/>
        <v/>
      </c>
      <c r="AH669" t="str">
        <f t="shared" si="247"/>
        <v/>
      </c>
      <c r="AI669" t="str">
        <f t="shared" si="248"/>
        <v/>
      </c>
      <c r="AJ669" t="str">
        <f t="shared" si="249"/>
        <v/>
      </c>
      <c r="AK669" t="str">
        <f t="shared" si="250"/>
        <v/>
      </c>
      <c r="AL669" t="str">
        <f t="shared" si="251"/>
        <v/>
      </c>
      <c r="AM669" t="str">
        <f t="shared" si="252"/>
        <v/>
      </c>
      <c r="AN669" t="str">
        <f t="shared" si="253"/>
        <v/>
      </c>
      <c r="AO669" t="str">
        <f t="shared" si="254"/>
        <v/>
      </c>
      <c r="AP669">
        <f t="shared" si="255"/>
        <v>1</v>
      </c>
      <c r="AQ669" t="str">
        <f>IF(SAISIE!$F674="","",SAISIE!$Y674)</f>
        <v/>
      </c>
      <c r="AR669" t="str">
        <f>IF(OR(SAISIE!$U$4="",SAISIE!$W$4=""),"",IF(AND($A669=SAISIE!$U$4,$B669=SAISIE!$W$4,$C669="S1"),COUNTIFS($A$2:$A669,SAISIE!$U$4,$B$2:$B669,SAISIE!$W$4,$C$2:$C669,"S1"),""))</f>
        <v/>
      </c>
      <c r="AS669" t="str">
        <f t="shared" si="256"/>
        <v/>
      </c>
      <c r="AT669" t="str">
        <f t="shared" si="257"/>
        <v/>
      </c>
      <c r="AU669" t="str">
        <f t="shared" si="258"/>
        <v/>
      </c>
      <c r="AV669">
        <f>N(AV668)+IF(AND($AB669&lt;&gt;"",OR('PROFIL ELEVE'!$K$4="(Tous)",$AF669='PROFIL ELEVE'!$K$4)),1,0)</f>
        <v>0</v>
      </c>
      <c r="AW669">
        <f>N(AW668)+IF(AND($AB669&lt;&gt;"",OR('SUIVI LONGITUDINAL'!$Q$4="(Tous)",$AF669='SUIVI LONGITUDINAL'!$Q$4)),1,0)</f>
        <v>0</v>
      </c>
      <c r="AX669">
        <f t="shared" si="259"/>
        <v>0</v>
      </c>
      <c r="AY669">
        <f t="shared" si="260"/>
        <v>0</v>
      </c>
      <c r="AZ669">
        <f t="shared" si="261"/>
        <v>0</v>
      </c>
      <c r="BA669" t="str">
        <f t="shared" si="262"/>
        <v/>
      </c>
      <c r="BB669" t="str">
        <f t="shared" si="263"/>
        <v/>
      </c>
    </row>
    <row r="670" spans="1:54" ht="14.25" customHeight="1" x14ac:dyDescent="0.3">
      <c r="A670" t="str">
        <f>IF(SAISIE!$F675="","",SAISIE!$B675)</f>
        <v/>
      </c>
      <c r="B670" t="str">
        <f>IF(SAISIE!$F675="","",SAISIE!$C675)</f>
        <v/>
      </c>
      <c r="C670" t="str">
        <f>IF(SAISIE!$F675="","",SAISIE!$D675)</f>
        <v/>
      </c>
      <c r="D670" t="str">
        <f>IF(SAISIE!$E675="","",SAISIE!$E675)</f>
        <v/>
      </c>
      <c r="E670" t="str">
        <f>IF(SAISIE!$F675="","",SAISIE!$F675)</f>
        <v/>
      </c>
      <c r="F670" t="str">
        <f>IF(SAISIE!$G675="","",SAISIE!$G675)</f>
        <v/>
      </c>
      <c r="G670" t="str">
        <f>IF(SAISIE!$H675="","",SAISIE!$H675)</f>
        <v/>
      </c>
      <c r="H670" t="str">
        <f>IF(SAISIE!$I675="","",SAISIE!$I675)</f>
        <v/>
      </c>
      <c r="I670" t="str">
        <f>IF(SAISIE!$J675="","",SAISIE!$J675)</f>
        <v/>
      </c>
      <c r="J670" t="str">
        <f>IF(SAISIE!$K675="","",SAISIE!$K675)</f>
        <v/>
      </c>
      <c r="K670" t="str">
        <f>IF(SAISIE!$L675="","",SAISIE!$L675)</f>
        <v/>
      </c>
      <c r="L670" t="str">
        <f>IF(SAISIE!$M675="","",SAISIE!$M675)</f>
        <v/>
      </c>
      <c r="M670" t="str">
        <f>IF(SAISIE!$N675="","",SAISIE!$N675)</f>
        <v/>
      </c>
      <c r="N670" t="str">
        <f>IF(SAISIE!$O675="","",SAISIE!$O675)</f>
        <v/>
      </c>
      <c r="O670" t="str">
        <f>IF(SAISIE!$P675="","",SAISIE!$P675)</f>
        <v/>
      </c>
      <c r="P670" t="str">
        <f>IF(SAISIE!$Q675="","",SAISIE!$Q675)</f>
        <v/>
      </c>
      <c r="Q670" t="str">
        <f>IF($I670="","",IF($I670&gt;PARAMETRES!$G$29,5,IF($I670&gt;PARAMETRES!$F$29,4,IF($I670&gt;PARAMETRES!$E$29,3,IF($I670&gt;PARAMETRES!$D$29,2,1)))))</f>
        <v/>
      </c>
      <c r="R670" t="str">
        <f>IF($J670="","",IF($J670&gt;PARAMETRES!$G$30,5,IF($J670&gt;PARAMETRES!$F$30,4,IF($J670&gt;PARAMETRES!$E$30,3,IF($J670&gt;PARAMETRES!$D$30,2,1)))))</f>
        <v/>
      </c>
      <c r="S670" t="str">
        <f>IF($K670="","",IF($Z670=2,IF($K670&gt;PARAMETRES!$G$31,5,IF($K670&gt;PARAMETRES!$F$31,4,IF($K670&gt;PARAMETRES!$E$31,3,IF($K670&gt;PARAMETRES!$D$31,2,1)))),IF($K670&gt;PARAMETRES!$G$32,5,IF($K670&gt;PARAMETRES!$F$32,4,IF($K670&gt;PARAMETRES!$E$32,3,IF($K670&gt;PARAMETRES!$D$32,2,1))))))</f>
        <v/>
      </c>
      <c r="T670" t="str">
        <f>IF($L670="","",IF($L670&gt;PARAMETRES!$G$33,5,IF($L670&gt;PARAMETRES!$F$33,4,IF($L670&gt;PARAMETRES!$E$33,3,IF($L670&gt;PARAMETRES!$D$33,2,1)))))</f>
        <v/>
      </c>
      <c r="U670" t="str">
        <f>IF($M670="","",IF($M670&gt;PARAMETRES!$G$34,5,IF($M670&gt;PARAMETRES!$F$34,4,IF($M670&gt;PARAMETRES!$E$34,3,IF($M670&gt;PARAMETRES!$D$34,2,1)))))</f>
        <v/>
      </c>
      <c r="V670" t="str">
        <f>IF($N670="","",IF($N670&gt;PARAMETRES!$G$35,5,IF($N670&gt;PARAMETRES!$F$35,4,IF($N670&gt;PARAMETRES!$E$35,3,IF($N670&gt;PARAMETRES!$D$35,2,1)))))</f>
        <v/>
      </c>
      <c r="W670" t="str">
        <f>IF($O670="","",IF($O670&gt;PARAMETRES!$G$36,5,IF($O670&gt;PARAMETRES!$F$36,4,IF($O670&gt;PARAMETRES!$E$36,3,IF($O670&gt;PARAMETRES!$D$36,2,1)))))</f>
        <v/>
      </c>
      <c r="X670" t="str">
        <f>IF($P670="","",IF($P670&gt;PARAMETRES!$G$37,5,IF($P670&gt;PARAMETRES!$F$37,4,IF($P670&gt;PARAMETRES!$E$37,3,IF($P670&gt;PARAMETRES!$D$37,2,1)))))</f>
        <v/>
      </c>
      <c r="Y670" t="str">
        <f t="shared" si="240"/>
        <v/>
      </c>
      <c r="Z670" t="str">
        <f>IFERROR(VLOOKUP($B670,TABLE_CYCLE,2,0),"")</f>
        <v/>
      </c>
      <c r="AA670" t="str">
        <f t="shared" si="241"/>
        <v/>
      </c>
      <c r="AB670" t="str">
        <f>IF($D670="","",IF(COUNTIF($D$2:$D670,$D670)=1,$D670,""))</f>
        <v/>
      </c>
      <c r="AC670">
        <f t="shared" si="242"/>
        <v>0</v>
      </c>
      <c r="AD670" t="str">
        <f t="shared" si="243"/>
        <v>|0</v>
      </c>
      <c r="AE670" t="str">
        <f t="shared" si="244"/>
        <v/>
      </c>
      <c r="AF670" t="str">
        <f t="shared" si="245"/>
        <v/>
      </c>
      <c r="AG670" t="str">
        <f t="shared" si="246"/>
        <v/>
      </c>
      <c r="AH670" t="str">
        <f t="shared" si="247"/>
        <v/>
      </c>
      <c r="AI670" t="str">
        <f t="shared" si="248"/>
        <v/>
      </c>
      <c r="AJ670" t="str">
        <f t="shared" si="249"/>
        <v/>
      </c>
      <c r="AK670" t="str">
        <f t="shared" si="250"/>
        <v/>
      </c>
      <c r="AL670" t="str">
        <f t="shared" si="251"/>
        <v/>
      </c>
      <c r="AM670" t="str">
        <f t="shared" si="252"/>
        <v/>
      </c>
      <c r="AN670" t="str">
        <f t="shared" si="253"/>
        <v/>
      </c>
      <c r="AO670" t="str">
        <f t="shared" si="254"/>
        <v/>
      </c>
      <c r="AP670">
        <f t="shared" si="255"/>
        <v>1</v>
      </c>
      <c r="AQ670" t="str">
        <f>IF(SAISIE!$F675="","",SAISIE!$Y675)</f>
        <v/>
      </c>
      <c r="AR670" t="str">
        <f>IF(OR(SAISIE!$U$4="",SAISIE!$W$4=""),"",IF(AND($A670=SAISIE!$U$4,$B670=SAISIE!$W$4,$C670="S1"),COUNTIFS($A$2:$A670,SAISIE!$U$4,$B$2:$B670,SAISIE!$W$4,$C$2:$C670,"S1"),""))</f>
        <v/>
      </c>
      <c r="AS670" t="str">
        <f t="shared" si="256"/>
        <v/>
      </c>
      <c r="AT670" t="str">
        <f t="shared" si="257"/>
        <v/>
      </c>
      <c r="AU670" t="str">
        <f t="shared" si="258"/>
        <v/>
      </c>
      <c r="AV670">
        <f>N(AV669)+IF(AND($AB670&lt;&gt;"",OR('PROFIL ELEVE'!$K$4="(Tous)",$AF670='PROFIL ELEVE'!$K$4)),1,0)</f>
        <v>0</v>
      </c>
      <c r="AW670">
        <f>N(AW669)+IF(AND($AB670&lt;&gt;"",OR('SUIVI LONGITUDINAL'!$Q$4="(Tous)",$AF670='SUIVI LONGITUDINAL'!$Q$4)),1,0)</f>
        <v>0</v>
      </c>
      <c r="AX670">
        <f t="shared" si="259"/>
        <v>0</v>
      </c>
      <c r="AY670">
        <f t="shared" si="260"/>
        <v>0</v>
      </c>
      <c r="AZ670">
        <f t="shared" si="261"/>
        <v>0</v>
      </c>
      <c r="BA670" t="str">
        <f t="shared" si="262"/>
        <v/>
      </c>
      <c r="BB670" t="str">
        <f t="shared" si="263"/>
        <v/>
      </c>
    </row>
    <row r="671" spans="1:54" ht="14.25" customHeight="1" x14ac:dyDescent="0.3">
      <c r="A671" t="str">
        <f>IF(SAISIE!$F676="","",SAISIE!$B676)</f>
        <v/>
      </c>
      <c r="B671" t="str">
        <f>IF(SAISIE!$F676="","",SAISIE!$C676)</f>
        <v/>
      </c>
      <c r="C671" t="str">
        <f>IF(SAISIE!$F676="","",SAISIE!$D676)</f>
        <v/>
      </c>
      <c r="D671" t="str">
        <f>IF(SAISIE!$E676="","",SAISIE!$E676)</f>
        <v/>
      </c>
      <c r="E671" t="str">
        <f>IF(SAISIE!$F676="","",SAISIE!$F676)</f>
        <v/>
      </c>
      <c r="F671" t="str">
        <f>IF(SAISIE!$G676="","",SAISIE!$G676)</f>
        <v/>
      </c>
      <c r="G671" t="str">
        <f>IF(SAISIE!$H676="","",SAISIE!$H676)</f>
        <v/>
      </c>
      <c r="H671" t="str">
        <f>IF(SAISIE!$I676="","",SAISIE!$I676)</f>
        <v/>
      </c>
      <c r="I671" t="str">
        <f>IF(SAISIE!$J676="","",SAISIE!$J676)</f>
        <v/>
      </c>
      <c r="J671" t="str">
        <f>IF(SAISIE!$K676="","",SAISIE!$K676)</f>
        <v/>
      </c>
      <c r="K671" t="str">
        <f>IF(SAISIE!$L676="","",SAISIE!$L676)</f>
        <v/>
      </c>
      <c r="L671" t="str">
        <f>IF(SAISIE!$M676="","",SAISIE!$M676)</f>
        <v/>
      </c>
      <c r="M671" t="str">
        <f>IF(SAISIE!$N676="","",SAISIE!$N676)</f>
        <v/>
      </c>
      <c r="N671" t="str">
        <f>IF(SAISIE!$O676="","",SAISIE!$O676)</f>
        <v/>
      </c>
      <c r="O671" t="str">
        <f>IF(SAISIE!$P676="","",SAISIE!$P676)</f>
        <v/>
      </c>
      <c r="P671" t="str">
        <f>IF(SAISIE!$Q676="","",SAISIE!$Q676)</f>
        <v/>
      </c>
      <c r="Q671" t="str">
        <f>IF($I671="","",IF($I671&gt;PARAMETRES!$G$29,5,IF($I671&gt;PARAMETRES!$F$29,4,IF($I671&gt;PARAMETRES!$E$29,3,IF($I671&gt;PARAMETRES!$D$29,2,1)))))</f>
        <v/>
      </c>
      <c r="R671" t="str">
        <f>IF($J671="","",IF($J671&gt;PARAMETRES!$G$30,5,IF($J671&gt;PARAMETRES!$F$30,4,IF($J671&gt;PARAMETRES!$E$30,3,IF($J671&gt;PARAMETRES!$D$30,2,1)))))</f>
        <v/>
      </c>
      <c r="S671" t="str">
        <f>IF($K671="","",IF($Z671=2,IF($K671&gt;PARAMETRES!$G$31,5,IF($K671&gt;PARAMETRES!$F$31,4,IF($K671&gt;PARAMETRES!$E$31,3,IF($K671&gt;PARAMETRES!$D$31,2,1)))),IF($K671&gt;PARAMETRES!$G$32,5,IF($K671&gt;PARAMETRES!$F$32,4,IF($K671&gt;PARAMETRES!$E$32,3,IF($K671&gt;PARAMETRES!$D$32,2,1))))))</f>
        <v/>
      </c>
      <c r="T671" t="str">
        <f>IF($L671="","",IF($L671&gt;PARAMETRES!$G$33,5,IF($L671&gt;PARAMETRES!$F$33,4,IF($L671&gt;PARAMETRES!$E$33,3,IF($L671&gt;PARAMETRES!$D$33,2,1)))))</f>
        <v/>
      </c>
      <c r="U671" t="str">
        <f>IF($M671="","",IF($M671&gt;PARAMETRES!$G$34,5,IF($M671&gt;PARAMETRES!$F$34,4,IF($M671&gt;PARAMETRES!$E$34,3,IF($M671&gt;PARAMETRES!$D$34,2,1)))))</f>
        <v/>
      </c>
      <c r="V671" t="str">
        <f>IF($N671="","",IF($N671&gt;PARAMETRES!$G$35,5,IF($N671&gt;PARAMETRES!$F$35,4,IF($N671&gt;PARAMETRES!$E$35,3,IF($N671&gt;PARAMETRES!$D$35,2,1)))))</f>
        <v/>
      </c>
      <c r="W671" t="str">
        <f>IF($O671="","",IF($O671&gt;PARAMETRES!$G$36,5,IF($O671&gt;PARAMETRES!$F$36,4,IF($O671&gt;PARAMETRES!$E$36,3,IF($O671&gt;PARAMETRES!$D$36,2,1)))))</f>
        <v/>
      </c>
      <c r="X671" t="str">
        <f>IF($P671="","",IF($P671&gt;PARAMETRES!$G$37,5,IF($P671&gt;PARAMETRES!$F$37,4,IF($P671&gt;PARAMETRES!$E$37,3,IF($P671&gt;PARAMETRES!$D$37,2,1)))))</f>
        <v/>
      </c>
      <c r="Y671" t="str">
        <f t="shared" si="240"/>
        <v/>
      </c>
      <c r="Z671" t="str">
        <f>IFERROR(VLOOKUP($B671,TABLE_CYCLE,2,0),"")</f>
        <v/>
      </c>
      <c r="AA671" t="str">
        <f t="shared" si="241"/>
        <v/>
      </c>
      <c r="AB671" t="str">
        <f>IF($D671="","",IF(COUNTIF($D$2:$D671,$D671)=1,$D671,""))</f>
        <v/>
      </c>
      <c r="AC671">
        <f t="shared" si="242"/>
        <v>0</v>
      </c>
      <c r="AD671" t="str">
        <f t="shared" si="243"/>
        <v>|0</v>
      </c>
      <c r="AE671" t="str">
        <f t="shared" si="244"/>
        <v/>
      </c>
      <c r="AF671" t="str">
        <f t="shared" si="245"/>
        <v/>
      </c>
      <c r="AG671" t="str">
        <f t="shared" si="246"/>
        <v/>
      </c>
      <c r="AH671" t="str">
        <f t="shared" si="247"/>
        <v/>
      </c>
      <c r="AI671" t="str">
        <f t="shared" si="248"/>
        <v/>
      </c>
      <c r="AJ671" t="str">
        <f t="shared" si="249"/>
        <v/>
      </c>
      <c r="AK671" t="str">
        <f t="shared" si="250"/>
        <v/>
      </c>
      <c r="AL671" t="str">
        <f t="shared" si="251"/>
        <v/>
      </c>
      <c r="AM671" t="str">
        <f t="shared" si="252"/>
        <v/>
      </c>
      <c r="AN671" t="str">
        <f t="shared" si="253"/>
        <v/>
      </c>
      <c r="AO671" t="str">
        <f t="shared" si="254"/>
        <v/>
      </c>
      <c r="AP671">
        <f t="shared" si="255"/>
        <v>1</v>
      </c>
      <c r="AQ671" t="str">
        <f>IF(SAISIE!$F676="","",SAISIE!$Y676)</f>
        <v/>
      </c>
      <c r="AR671" t="str">
        <f>IF(OR(SAISIE!$U$4="",SAISIE!$W$4=""),"",IF(AND($A671=SAISIE!$U$4,$B671=SAISIE!$W$4,$C671="S1"),COUNTIFS($A$2:$A671,SAISIE!$U$4,$B$2:$B671,SAISIE!$W$4,$C$2:$C671,"S1"),""))</f>
        <v/>
      </c>
      <c r="AS671" t="str">
        <f t="shared" si="256"/>
        <v/>
      </c>
      <c r="AT671" t="str">
        <f t="shared" si="257"/>
        <v/>
      </c>
      <c r="AU671" t="str">
        <f t="shared" si="258"/>
        <v/>
      </c>
      <c r="AV671">
        <f>N(AV670)+IF(AND($AB671&lt;&gt;"",OR('PROFIL ELEVE'!$K$4="(Tous)",$AF671='PROFIL ELEVE'!$K$4)),1,0)</f>
        <v>0</v>
      </c>
      <c r="AW671">
        <f>N(AW670)+IF(AND($AB671&lt;&gt;"",OR('SUIVI LONGITUDINAL'!$Q$4="(Tous)",$AF671='SUIVI LONGITUDINAL'!$Q$4)),1,0)</f>
        <v>0</v>
      </c>
      <c r="AX671">
        <f t="shared" si="259"/>
        <v>0</v>
      </c>
      <c r="AY671">
        <f t="shared" si="260"/>
        <v>0</v>
      </c>
      <c r="AZ671">
        <f t="shared" si="261"/>
        <v>0</v>
      </c>
      <c r="BA671" t="str">
        <f t="shared" si="262"/>
        <v/>
      </c>
      <c r="BB671" t="str">
        <f t="shared" si="263"/>
        <v/>
      </c>
    </row>
    <row r="672" spans="1:54" ht="14.25" customHeight="1" x14ac:dyDescent="0.3">
      <c r="A672" t="str">
        <f>IF(SAISIE!$F677="","",SAISIE!$B677)</f>
        <v/>
      </c>
      <c r="B672" t="str">
        <f>IF(SAISIE!$F677="","",SAISIE!$C677)</f>
        <v/>
      </c>
      <c r="C672" t="str">
        <f>IF(SAISIE!$F677="","",SAISIE!$D677)</f>
        <v/>
      </c>
      <c r="D672" t="str">
        <f>IF(SAISIE!$E677="","",SAISIE!$E677)</f>
        <v/>
      </c>
      <c r="E672" t="str">
        <f>IF(SAISIE!$F677="","",SAISIE!$F677)</f>
        <v/>
      </c>
      <c r="F672" t="str">
        <f>IF(SAISIE!$G677="","",SAISIE!$G677)</f>
        <v/>
      </c>
      <c r="G672" t="str">
        <f>IF(SAISIE!$H677="","",SAISIE!$H677)</f>
        <v/>
      </c>
      <c r="H672" t="str">
        <f>IF(SAISIE!$I677="","",SAISIE!$I677)</f>
        <v/>
      </c>
      <c r="I672" t="str">
        <f>IF(SAISIE!$J677="","",SAISIE!$J677)</f>
        <v/>
      </c>
      <c r="J672" t="str">
        <f>IF(SAISIE!$K677="","",SAISIE!$K677)</f>
        <v/>
      </c>
      <c r="K672" t="str">
        <f>IF(SAISIE!$L677="","",SAISIE!$L677)</f>
        <v/>
      </c>
      <c r="L672" t="str">
        <f>IF(SAISIE!$M677="","",SAISIE!$M677)</f>
        <v/>
      </c>
      <c r="M672" t="str">
        <f>IF(SAISIE!$N677="","",SAISIE!$N677)</f>
        <v/>
      </c>
      <c r="N672" t="str">
        <f>IF(SAISIE!$O677="","",SAISIE!$O677)</f>
        <v/>
      </c>
      <c r="O672" t="str">
        <f>IF(SAISIE!$P677="","",SAISIE!$P677)</f>
        <v/>
      </c>
      <c r="P672" t="str">
        <f>IF(SAISIE!$Q677="","",SAISIE!$Q677)</f>
        <v/>
      </c>
      <c r="Q672" t="str">
        <f>IF($I672="","",IF($I672&gt;PARAMETRES!$G$29,5,IF($I672&gt;PARAMETRES!$F$29,4,IF($I672&gt;PARAMETRES!$E$29,3,IF($I672&gt;PARAMETRES!$D$29,2,1)))))</f>
        <v/>
      </c>
      <c r="R672" t="str">
        <f>IF($J672="","",IF($J672&gt;PARAMETRES!$G$30,5,IF($J672&gt;PARAMETRES!$F$30,4,IF($J672&gt;PARAMETRES!$E$30,3,IF($J672&gt;PARAMETRES!$D$30,2,1)))))</f>
        <v/>
      </c>
      <c r="S672" t="str">
        <f>IF($K672="","",IF($Z672=2,IF($K672&gt;PARAMETRES!$G$31,5,IF($K672&gt;PARAMETRES!$F$31,4,IF($K672&gt;PARAMETRES!$E$31,3,IF($K672&gt;PARAMETRES!$D$31,2,1)))),IF($K672&gt;PARAMETRES!$G$32,5,IF($K672&gt;PARAMETRES!$F$32,4,IF($K672&gt;PARAMETRES!$E$32,3,IF($K672&gt;PARAMETRES!$D$32,2,1))))))</f>
        <v/>
      </c>
      <c r="T672" t="str">
        <f>IF($L672="","",IF($L672&gt;PARAMETRES!$G$33,5,IF($L672&gt;PARAMETRES!$F$33,4,IF($L672&gt;PARAMETRES!$E$33,3,IF($L672&gt;PARAMETRES!$D$33,2,1)))))</f>
        <v/>
      </c>
      <c r="U672" t="str">
        <f>IF($M672="","",IF($M672&gt;PARAMETRES!$G$34,5,IF($M672&gt;PARAMETRES!$F$34,4,IF($M672&gt;PARAMETRES!$E$34,3,IF($M672&gt;PARAMETRES!$D$34,2,1)))))</f>
        <v/>
      </c>
      <c r="V672" t="str">
        <f>IF($N672="","",IF($N672&gt;PARAMETRES!$G$35,5,IF($N672&gt;PARAMETRES!$F$35,4,IF($N672&gt;PARAMETRES!$E$35,3,IF($N672&gt;PARAMETRES!$D$35,2,1)))))</f>
        <v/>
      </c>
      <c r="W672" t="str">
        <f>IF($O672="","",IF($O672&gt;PARAMETRES!$G$36,5,IF($O672&gt;PARAMETRES!$F$36,4,IF($O672&gt;PARAMETRES!$E$36,3,IF($O672&gt;PARAMETRES!$D$36,2,1)))))</f>
        <v/>
      </c>
      <c r="X672" t="str">
        <f>IF($P672="","",IF($P672&gt;PARAMETRES!$G$37,5,IF($P672&gt;PARAMETRES!$F$37,4,IF($P672&gt;PARAMETRES!$E$37,3,IF($P672&gt;PARAMETRES!$D$37,2,1)))))</f>
        <v/>
      </c>
      <c r="Y672" t="str">
        <f t="shared" si="240"/>
        <v/>
      </c>
      <c r="Z672" t="str">
        <f>IFERROR(VLOOKUP($B672,TABLE_CYCLE,2,0),"")</f>
        <v/>
      </c>
      <c r="AA672" t="str">
        <f t="shared" si="241"/>
        <v/>
      </c>
      <c r="AB672" t="str">
        <f>IF($D672="","",IF(COUNTIF($D$2:$D672,$D672)=1,$D672,""))</f>
        <v/>
      </c>
      <c r="AC672">
        <f t="shared" si="242"/>
        <v>0</v>
      </c>
      <c r="AD672" t="str">
        <f t="shared" si="243"/>
        <v>|0</v>
      </c>
      <c r="AE672" t="str">
        <f t="shared" si="244"/>
        <v/>
      </c>
      <c r="AF672" t="str">
        <f t="shared" si="245"/>
        <v/>
      </c>
      <c r="AG672" t="str">
        <f t="shared" si="246"/>
        <v/>
      </c>
      <c r="AH672" t="str">
        <f t="shared" si="247"/>
        <v/>
      </c>
      <c r="AI672" t="str">
        <f t="shared" si="248"/>
        <v/>
      </c>
      <c r="AJ672" t="str">
        <f t="shared" si="249"/>
        <v/>
      </c>
      <c r="AK672" t="str">
        <f t="shared" si="250"/>
        <v/>
      </c>
      <c r="AL672" t="str">
        <f t="shared" si="251"/>
        <v/>
      </c>
      <c r="AM672" t="str">
        <f t="shared" si="252"/>
        <v/>
      </c>
      <c r="AN672" t="str">
        <f t="shared" si="253"/>
        <v/>
      </c>
      <c r="AO672" t="str">
        <f t="shared" si="254"/>
        <v/>
      </c>
      <c r="AP672">
        <f t="shared" si="255"/>
        <v>1</v>
      </c>
      <c r="AQ672" t="str">
        <f>IF(SAISIE!$F677="","",SAISIE!$Y677)</f>
        <v/>
      </c>
      <c r="AR672" t="str">
        <f>IF(OR(SAISIE!$U$4="",SAISIE!$W$4=""),"",IF(AND($A672=SAISIE!$U$4,$B672=SAISIE!$W$4,$C672="S1"),COUNTIFS($A$2:$A672,SAISIE!$U$4,$B$2:$B672,SAISIE!$W$4,$C$2:$C672,"S1"),""))</f>
        <v/>
      </c>
      <c r="AS672" t="str">
        <f t="shared" si="256"/>
        <v/>
      </c>
      <c r="AT672" t="str">
        <f t="shared" si="257"/>
        <v/>
      </c>
      <c r="AU672" t="str">
        <f t="shared" si="258"/>
        <v/>
      </c>
      <c r="AV672">
        <f>N(AV671)+IF(AND($AB672&lt;&gt;"",OR('PROFIL ELEVE'!$K$4="(Tous)",$AF672='PROFIL ELEVE'!$K$4)),1,0)</f>
        <v>0</v>
      </c>
      <c r="AW672">
        <f>N(AW671)+IF(AND($AB672&lt;&gt;"",OR('SUIVI LONGITUDINAL'!$Q$4="(Tous)",$AF672='SUIVI LONGITUDINAL'!$Q$4)),1,0)</f>
        <v>0</v>
      </c>
      <c r="AX672">
        <f t="shared" si="259"/>
        <v>0</v>
      </c>
      <c r="AY672">
        <f t="shared" si="260"/>
        <v>0</v>
      </c>
      <c r="AZ672">
        <f t="shared" si="261"/>
        <v>0</v>
      </c>
      <c r="BA672" t="str">
        <f t="shared" si="262"/>
        <v/>
      </c>
      <c r="BB672" t="str">
        <f t="shared" si="263"/>
        <v/>
      </c>
    </row>
    <row r="673" spans="1:54" ht="14.25" customHeight="1" x14ac:dyDescent="0.3">
      <c r="A673" t="str">
        <f>IF(SAISIE!$F678="","",SAISIE!$B678)</f>
        <v/>
      </c>
      <c r="B673" t="str">
        <f>IF(SAISIE!$F678="","",SAISIE!$C678)</f>
        <v/>
      </c>
      <c r="C673" t="str">
        <f>IF(SAISIE!$F678="","",SAISIE!$D678)</f>
        <v/>
      </c>
      <c r="D673" t="str">
        <f>IF(SAISIE!$E678="","",SAISIE!$E678)</f>
        <v/>
      </c>
      <c r="E673" t="str">
        <f>IF(SAISIE!$F678="","",SAISIE!$F678)</f>
        <v/>
      </c>
      <c r="F673" t="str">
        <f>IF(SAISIE!$G678="","",SAISIE!$G678)</f>
        <v/>
      </c>
      <c r="G673" t="str">
        <f>IF(SAISIE!$H678="","",SAISIE!$H678)</f>
        <v/>
      </c>
      <c r="H673" t="str">
        <f>IF(SAISIE!$I678="","",SAISIE!$I678)</f>
        <v/>
      </c>
      <c r="I673" t="str">
        <f>IF(SAISIE!$J678="","",SAISIE!$J678)</f>
        <v/>
      </c>
      <c r="J673" t="str">
        <f>IF(SAISIE!$K678="","",SAISIE!$K678)</f>
        <v/>
      </c>
      <c r="K673" t="str">
        <f>IF(SAISIE!$L678="","",SAISIE!$L678)</f>
        <v/>
      </c>
      <c r="L673" t="str">
        <f>IF(SAISIE!$M678="","",SAISIE!$M678)</f>
        <v/>
      </c>
      <c r="M673" t="str">
        <f>IF(SAISIE!$N678="","",SAISIE!$N678)</f>
        <v/>
      </c>
      <c r="N673" t="str">
        <f>IF(SAISIE!$O678="","",SAISIE!$O678)</f>
        <v/>
      </c>
      <c r="O673" t="str">
        <f>IF(SAISIE!$P678="","",SAISIE!$P678)</f>
        <v/>
      </c>
      <c r="P673" t="str">
        <f>IF(SAISIE!$Q678="","",SAISIE!$Q678)</f>
        <v/>
      </c>
      <c r="Q673" t="str">
        <f>IF($I673="","",IF($I673&gt;PARAMETRES!$G$29,5,IF($I673&gt;PARAMETRES!$F$29,4,IF($I673&gt;PARAMETRES!$E$29,3,IF($I673&gt;PARAMETRES!$D$29,2,1)))))</f>
        <v/>
      </c>
      <c r="R673" t="str">
        <f>IF($J673="","",IF($J673&gt;PARAMETRES!$G$30,5,IF($J673&gt;PARAMETRES!$F$30,4,IF($J673&gt;PARAMETRES!$E$30,3,IF($J673&gt;PARAMETRES!$D$30,2,1)))))</f>
        <v/>
      </c>
      <c r="S673" t="str">
        <f>IF($K673="","",IF($Z673=2,IF($K673&gt;PARAMETRES!$G$31,5,IF($K673&gt;PARAMETRES!$F$31,4,IF($K673&gt;PARAMETRES!$E$31,3,IF($K673&gt;PARAMETRES!$D$31,2,1)))),IF($K673&gt;PARAMETRES!$G$32,5,IF($K673&gt;PARAMETRES!$F$32,4,IF($K673&gt;PARAMETRES!$E$32,3,IF($K673&gt;PARAMETRES!$D$32,2,1))))))</f>
        <v/>
      </c>
      <c r="T673" t="str">
        <f>IF($L673="","",IF($L673&gt;PARAMETRES!$G$33,5,IF($L673&gt;PARAMETRES!$F$33,4,IF($L673&gt;PARAMETRES!$E$33,3,IF($L673&gt;PARAMETRES!$D$33,2,1)))))</f>
        <v/>
      </c>
      <c r="U673" t="str">
        <f>IF($M673="","",IF($M673&gt;PARAMETRES!$G$34,5,IF($M673&gt;PARAMETRES!$F$34,4,IF($M673&gt;PARAMETRES!$E$34,3,IF($M673&gt;PARAMETRES!$D$34,2,1)))))</f>
        <v/>
      </c>
      <c r="V673" t="str">
        <f>IF($N673="","",IF($N673&gt;PARAMETRES!$G$35,5,IF($N673&gt;PARAMETRES!$F$35,4,IF($N673&gt;PARAMETRES!$E$35,3,IF($N673&gt;PARAMETRES!$D$35,2,1)))))</f>
        <v/>
      </c>
      <c r="W673" t="str">
        <f>IF($O673="","",IF($O673&gt;PARAMETRES!$G$36,5,IF($O673&gt;PARAMETRES!$F$36,4,IF($O673&gt;PARAMETRES!$E$36,3,IF($O673&gt;PARAMETRES!$D$36,2,1)))))</f>
        <v/>
      </c>
      <c r="X673" t="str">
        <f>IF($P673="","",IF($P673&gt;PARAMETRES!$G$37,5,IF($P673&gt;PARAMETRES!$F$37,4,IF($P673&gt;PARAMETRES!$E$37,3,IF($P673&gt;PARAMETRES!$D$37,2,1)))))</f>
        <v/>
      </c>
      <c r="Y673" t="str">
        <f t="shared" si="240"/>
        <v/>
      </c>
      <c r="Z673" t="str">
        <f>IFERROR(VLOOKUP($B673,TABLE_CYCLE,2,0),"")</f>
        <v/>
      </c>
      <c r="AA673" t="str">
        <f t="shared" si="241"/>
        <v/>
      </c>
      <c r="AB673" t="str">
        <f>IF($D673="","",IF(COUNTIF($D$2:$D673,$D673)=1,$D673,""))</f>
        <v/>
      </c>
      <c r="AC673">
        <f t="shared" si="242"/>
        <v>0</v>
      </c>
      <c r="AD673" t="str">
        <f t="shared" si="243"/>
        <v>|0</v>
      </c>
      <c r="AE673" t="str">
        <f t="shared" si="244"/>
        <v/>
      </c>
      <c r="AF673" t="str">
        <f t="shared" si="245"/>
        <v/>
      </c>
      <c r="AG673" t="str">
        <f t="shared" si="246"/>
        <v/>
      </c>
      <c r="AH673" t="str">
        <f t="shared" si="247"/>
        <v/>
      </c>
      <c r="AI673" t="str">
        <f t="shared" si="248"/>
        <v/>
      </c>
      <c r="AJ673" t="str">
        <f t="shared" si="249"/>
        <v/>
      </c>
      <c r="AK673" t="str">
        <f t="shared" si="250"/>
        <v/>
      </c>
      <c r="AL673" t="str">
        <f t="shared" si="251"/>
        <v/>
      </c>
      <c r="AM673" t="str">
        <f t="shared" si="252"/>
        <v/>
      </c>
      <c r="AN673" t="str">
        <f t="shared" si="253"/>
        <v/>
      </c>
      <c r="AO673" t="str">
        <f t="shared" si="254"/>
        <v/>
      </c>
      <c r="AP673">
        <f t="shared" si="255"/>
        <v>1</v>
      </c>
      <c r="AQ673" t="str">
        <f>IF(SAISIE!$F678="","",SAISIE!$Y678)</f>
        <v/>
      </c>
      <c r="AR673" t="str">
        <f>IF(OR(SAISIE!$U$4="",SAISIE!$W$4=""),"",IF(AND($A673=SAISIE!$U$4,$B673=SAISIE!$W$4,$C673="S1"),COUNTIFS($A$2:$A673,SAISIE!$U$4,$B$2:$B673,SAISIE!$W$4,$C$2:$C673,"S1"),""))</f>
        <v/>
      </c>
      <c r="AS673" t="str">
        <f t="shared" si="256"/>
        <v/>
      </c>
      <c r="AT673" t="str">
        <f t="shared" si="257"/>
        <v/>
      </c>
      <c r="AU673" t="str">
        <f t="shared" si="258"/>
        <v/>
      </c>
      <c r="AV673">
        <f>N(AV672)+IF(AND($AB673&lt;&gt;"",OR('PROFIL ELEVE'!$K$4="(Tous)",$AF673='PROFIL ELEVE'!$K$4)),1,0)</f>
        <v>0</v>
      </c>
      <c r="AW673">
        <f>N(AW672)+IF(AND($AB673&lt;&gt;"",OR('SUIVI LONGITUDINAL'!$Q$4="(Tous)",$AF673='SUIVI LONGITUDINAL'!$Q$4)),1,0)</f>
        <v>0</v>
      </c>
      <c r="AX673">
        <f t="shared" si="259"/>
        <v>0</v>
      </c>
      <c r="AY673">
        <f t="shared" si="260"/>
        <v>0</v>
      </c>
      <c r="AZ673">
        <f t="shared" si="261"/>
        <v>0</v>
      </c>
      <c r="BA673" t="str">
        <f t="shared" si="262"/>
        <v/>
      </c>
      <c r="BB673" t="str">
        <f t="shared" si="263"/>
        <v/>
      </c>
    </row>
    <row r="674" spans="1:54" ht="14.25" customHeight="1" x14ac:dyDescent="0.3">
      <c r="A674" t="str">
        <f>IF(SAISIE!$F679="","",SAISIE!$B679)</f>
        <v/>
      </c>
      <c r="B674" t="str">
        <f>IF(SAISIE!$F679="","",SAISIE!$C679)</f>
        <v/>
      </c>
      <c r="C674" t="str">
        <f>IF(SAISIE!$F679="","",SAISIE!$D679)</f>
        <v/>
      </c>
      <c r="D674" t="str">
        <f>IF(SAISIE!$E679="","",SAISIE!$E679)</f>
        <v/>
      </c>
      <c r="E674" t="str">
        <f>IF(SAISIE!$F679="","",SAISIE!$F679)</f>
        <v/>
      </c>
      <c r="F674" t="str">
        <f>IF(SAISIE!$G679="","",SAISIE!$G679)</f>
        <v/>
      </c>
      <c r="G674" t="str">
        <f>IF(SAISIE!$H679="","",SAISIE!$H679)</f>
        <v/>
      </c>
      <c r="H674" t="str">
        <f>IF(SAISIE!$I679="","",SAISIE!$I679)</f>
        <v/>
      </c>
      <c r="I674" t="str">
        <f>IF(SAISIE!$J679="","",SAISIE!$J679)</f>
        <v/>
      </c>
      <c r="J674" t="str">
        <f>IF(SAISIE!$K679="","",SAISIE!$K679)</f>
        <v/>
      </c>
      <c r="K674" t="str">
        <f>IF(SAISIE!$L679="","",SAISIE!$L679)</f>
        <v/>
      </c>
      <c r="L674" t="str">
        <f>IF(SAISIE!$M679="","",SAISIE!$M679)</f>
        <v/>
      </c>
      <c r="M674" t="str">
        <f>IF(SAISIE!$N679="","",SAISIE!$N679)</f>
        <v/>
      </c>
      <c r="N674" t="str">
        <f>IF(SAISIE!$O679="","",SAISIE!$O679)</f>
        <v/>
      </c>
      <c r="O674" t="str">
        <f>IF(SAISIE!$P679="","",SAISIE!$P679)</f>
        <v/>
      </c>
      <c r="P674" t="str">
        <f>IF(SAISIE!$Q679="","",SAISIE!$Q679)</f>
        <v/>
      </c>
      <c r="Q674" t="str">
        <f>IF($I674="","",IF($I674&gt;PARAMETRES!$G$29,5,IF($I674&gt;PARAMETRES!$F$29,4,IF($I674&gt;PARAMETRES!$E$29,3,IF($I674&gt;PARAMETRES!$D$29,2,1)))))</f>
        <v/>
      </c>
      <c r="R674" t="str">
        <f>IF($J674="","",IF($J674&gt;PARAMETRES!$G$30,5,IF($J674&gt;PARAMETRES!$F$30,4,IF($J674&gt;PARAMETRES!$E$30,3,IF($J674&gt;PARAMETRES!$D$30,2,1)))))</f>
        <v/>
      </c>
      <c r="S674" t="str">
        <f>IF($K674="","",IF($Z674=2,IF($K674&gt;PARAMETRES!$G$31,5,IF($K674&gt;PARAMETRES!$F$31,4,IF($K674&gt;PARAMETRES!$E$31,3,IF($K674&gt;PARAMETRES!$D$31,2,1)))),IF($K674&gt;PARAMETRES!$G$32,5,IF($K674&gt;PARAMETRES!$F$32,4,IF($K674&gt;PARAMETRES!$E$32,3,IF($K674&gt;PARAMETRES!$D$32,2,1))))))</f>
        <v/>
      </c>
      <c r="T674" t="str">
        <f>IF($L674="","",IF($L674&gt;PARAMETRES!$G$33,5,IF($L674&gt;PARAMETRES!$F$33,4,IF($L674&gt;PARAMETRES!$E$33,3,IF($L674&gt;PARAMETRES!$D$33,2,1)))))</f>
        <v/>
      </c>
      <c r="U674" t="str">
        <f>IF($M674="","",IF($M674&gt;PARAMETRES!$G$34,5,IF($M674&gt;PARAMETRES!$F$34,4,IF($M674&gt;PARAMETRES!$E$34,3,IF($M674&gt;PARAMETRES!$D$34,2,1)))))</f>
        <v/>
      </c>
      <c r="V674" t="str">
        <f>IF($N674="","",IF($N674&gt;PARAMETRES!$G$35,5,IF($N674&gt;PARAMETRES!$F$35,4,IF($N674&gt;PARAMETRES!$E$35,3,IF($N674&gt;PARAMETRES!$D$35,2,1)))))</f>
        <v/>
      </c>
      <c r="W674" t="str">
        <f>IF($O674="","",IF($O674&gt;PARAMETRES!$G$36,5,IF($O674&gt;PARAMETRES!$F$36,4,IF($O674&gt;PARAMETRES!$E$36,3,IF($O674&gt;PARAMETRES!$D$36,2,1)))))</f>
        <v/>
      </c>
      <c r="X674" t="str">
        <f>IF($P674="","",IF($P674&gt;PARAMETRES!$G$37,5,IF($P674&gt;PARAMETRES!$F$37,4,IF($P674&gt;PARAMETRES!$E$37,3,IF($P674&gt;PARAMETRES!$D$37,2,1)))))</f>
        <v/>
      </c>
      <c r="Y674" t="str">
        <f t="shared" si="240"/>
        <v/>
      </c>
      <c r="Z674" t="str">
        <f>IFERROR(VLOOKUP($B674,TABLE_CYCLE,2,0),"")</f>
        <v/>
      </c>
      <c r="AA674" t="str">
        <f t="shared" si="241"/>
        <v/>
      </c>
      <c r="AB674" t="str">
        <f>IF($D674="","",IF(COUNTIF($D$2:$D674,$D674)=1,$D674,""))</f>
        <v/>
      </c>
      <c r="AC674">
        <f t="shared" si="242"/>
        <v>0</v>
      </c>
      <c r="AD674" t="str">
        <f t="shared" si="243"/>
        <v>|0</v>
      </c>
      <c r="AE674" t="str">
        <f t="shared" si="244"/>
        <v/>
      </c>
      <c r="AF674" t="str">
        <f t="shared" si="245"/>
        <v/>
      </c>
      <c r="AG674" t="str">
        <f t="shared" si="246"/>
        <v/>
      </c>
      <c r="AH674" t="str">
        <f t="shared" si="247"/>
        <v/>
      </c>
      <c r="AI674" t="str">
        <f t="shared" si="248"/>
        <v/>
      </c>
      <c r="AJ674" t="str">
        <f t="shared" si="249"/>
        <v/>
      </c>
      <c r="AK674" t="str">
        <f t="shared" si="250"/>
        <v/>
      </c>
      <c r="AL674" t="str">
        <f t="shared" si="251"/>
        <v/>
      </c>
      <c r="AM674" t="str">
        <f t="shared" si="252"/>
        <v/>
      </c>
      <c r="AN674" t="str">
        <f t="shared" si="253"/>
        <v/>
      </c>
      <c r="AO674" t="str">
        <f t="shared" si="254"/>
        <v/>
      </c>
      <c r="AP674">
        <f t="shared" si="255"/>
        <v>1</v>
      </c>
      <c r="AQ674" t="str">
        <f>IF(SAISIE!$F679="","",SAISIE!$Y679)</f>
        <v/>
      </c>
      <c r="AR674" t="str">
        <f>IF(OR(SAISIE!$U$4="",SAISIE!$W$4=""),"",IF(AND($A674=SAISIE!$U$4,$B674=SAISIE!$W$4,$C674="S1"),COUNTIFS($A$2:$A674,SAISIE!$U$4,$B$2:$B674,SAISIE!$W$4,$C$2:$C674,"S1"),""))</f>
        <v/>
      </c>
      <c r="AS674" t="str">
        <f t="shared" si="256"/>
        <v/>
      </c>
      <c r="AT674" t="str">
        <f t="shared" si="257"/>
        <v/>
      </c>
      <c r="AU674" t="str">
        <f t="shared" si="258"/>
        <v/>
      </c>
      <c r="AV674">
        <f>N(AV673)+IF(AND($AB674&lt;&gt;"",OR('PROFIL ELEVE'!$K$4="(Tous)",$AF674='PROFIL ELEVE'!$K$4)),1,0)</f>
        <v>0</v>
      </c>
      <c r="AW674">
        <f>N(AW673)+IF(AND($AB674&lt;&gt;"",OR('SUIVI LONGITUDINAL'!$Q$4="(Tous)",$AF674='SUIVI LONGITUDINAL'!$Q$4)),1,0)</f>
        <v>0</v>
      </c>
      <c r="AX674">
        <f t="shared" si="259"/>
        <v>0</v>
      </c>
      <c r="AY674">
        <f t="shared" si="260"/>
        <v>0</v>
      </c>
      <c r="AZ674">
        <f t="shared" si="261"/>
        <v>0</v>
      </c>
      <c r="BA674" t="str">
        <f t="shared" si="262"/>
        <v/>
      </c>
      <c r="BB674" t="str">
        <f t="shared" si="263"/>
        <v/>
      </c>
    </row>
    <row r="675" spans="1:54" ht="14.25" customHeight="1" x14ac:dyDescent="0.3">
      <c r="A675" t="str">
        <f>IF(SAISIE!$F680="","",SAISIE!$B680)</f>
        <v/>
      </c>
      <c r="B675" t="str">
        <f>IF(SAISIE!$F680="","",SAISIE!$C680)</f>
        <v/>
      </c>
      <c r="C675" t="str">
        <f>IF(SAISIE!$F680="","",SAISIE!$D680)</f>
        <v/>
      </c>
      <c r="D675" t="str">
        <f>IF(SAISIE!$E680="","",SAISIE!$E680)</f>
        <v/>
      </c>
      <c r="E675" t="str">
        <f>IF(SAISIE!$F680="","",SAISIE!$F680)</f>
        <v/>
      </c>
      <c r="F675" t="str">
        <f>IF(SAISIE!$G680="","",SAISIE!$G680)</f>
        <v/>
      </c>
      <c r="G675" t="str">
        <f>IF(SAISIE!$H680="","",SAISIE!$H680)</f>
        <v/>
      </c>
      <c r="H675" t="str">
        <f>IF(SAISIE!$I680="","",SAISIE!$I680)</f>
        <v/>
      </c>
      <c r="I675" t="str">
        <f>IF(SAISIE!$J680="","",SAISIE!$J680)</f>
        <v/>
      </c>
      <c r="J675" t="str">
        <f>IF(SAISIE!$K680="","",SAISIE!$K680)</f>
        <v/>
      </c>
      <c r="K675" t="str">
        <f>IF(SAISIE!$L680="","",SAISIE!$L680)</f>
        <v/>
      </c>
      <c r="L675" t="str">
        <f>IF(SAISIE!$M680="","",SAISIE!$M680)</f>
        <v/>
      </c>
      <c r="M675" t="str">
        <f>IF(SAISIE!$N680="","",SAISIE!$N680)</f>
        <v/>
      </c>
      <c r="N675" t="str">
        <f>IF(SAISIE!$O680="","",SAISIE!$O680)</f>
        <v/>
      </c>
      <c r="O675" t="str">
        <f>IF(SAISIE!$P680="","",SAISIE!$P680)</f>
        <v/>
      </c>
      <c r="P675" t="str">
        <f>IF(SAISIE!$Q680="","",SAISIE!$Q680)</f>
        <v/>
      </c>
      <c r="Q675" t="str">
        <f>IF($I675="","",IF($I675&gt;PARAMETRES!$G$29,5,IF($I675&gt;PARAMETRES!$F$29,4,IF($I675&gt;PARAMETRES!$E$29,3,IF($I675&gt;PARAMETRES!$D$29,2,1)))))</f>
        <v/>
      </c>
      <c r="R675" t="str">
        <f>IF($J675="","",IF($J675&gt;PARAMETRES!$G$30,5,IF($J675&gt;PARAMETRES!$F$30,4,IF($J675&gt;PARAMETRES!$E$30,3,IF($J675&gt;PARAMETRES!$D$30,2,1)))))</f>
        <v/>
      </c>
      <c r="S675" t="str">
        <f>IF($K675="","",IF($Z675=2,IF($K675&gt;PARAMETRES!$G$31,5,IF($K675&gt;PARAMETRES!$F$31,4,IF($K675&gt;PARAMETRES!$E$31,3,IF($K675&gt;PARAMETRES!$D$31,2,1)))),IF($K675&gt;PARAMETRES!$G$32,5,IF($K675&gt;PARAMETRES!$F$32,4,IF($K675&gt;PARAMETRES!$E$32,3,IF($K675&gt;PARAMETRES!$D$32,2,1))))))</f>
        <v/>
      </c>
      <c r="T675" t="str">
        <f>IF($L675="","",IF($L675&gt;PARAMETRES!$G$33,5,IF($L675&gt;PARAMETRES!$F$33,4,IF($L675&gt;PARAMETRES!$E$33,3,IF($L675&gt;PARAMETRES!$D$33,2,1)))))</f>
        <v/>
      </c>
      <c r="U675" t="str">
        <f>IF($M675="","",IF($M675&gt;PARAMETRES!$G$34,5,IF($M675&gt;PARAMETRES!$F$34,4,IF($M675&gt;PARAMETRES!$E$34,3,IF($M675&gt;PARAMETRES!$D$34,2,1)))))</f>
        <v/>
      </c>
      <c r="V675" t="str">
        <f>IF($N675="","",IF($N675&gt;PARAMETRES!$G$35,5,IF($N675&gt;PARAMETRES!$F$35,4,IF($N675&gt;PARAMETRES!$E$35,3,IF($N675&gt;PARAMETRES!$D$35,2,1)))))</f>
        <v/>
      </c>
      <c r="W675" t="str">
        <f>IF($O675="","",IF($O675&gt;PARAMETRES!$G$36,5,IF($O675&gt;PARAMETRES!$F$36,4,IF($O675&gt;PARAMETRES!$E$36,3,IF($O675&gt;PARAMETRES!$D$36,2,1)))))</f>
        <v/>
      </c>
      <c r="X675" t="str">
        <f>IF($P675="","",IF($P675&gt;PARAMETRES!$G$37,5,IF($P675&gt;PARAMETRES!$F$37,4,IF($P675&gt;PARAMETRES!$E$37,3,IF($P675&gt;PARAMETRES!$D$37,2,1)))))</f>
        <v/>
      </c>
      <c r="Y675" t="str">
        <f t="shared" si="240"/>
        <v/>
      </c>
      <c r="Z675" t="str">
        <f>IFERROR(VLOOKUP($B675,TABLE_CYCLE,2,0),"")</f>
        <v/>
      </c>
      <c r="AA675" t="str">
        <f t="shared" si="241"/>
        <v/>
      </c>
      <c r="AB675" t="str">
        <f>IF($D675="","",IF(COUNTIF($D$2:$D675,$D675)=1,$D675,""))</f>
        <v/>
      </c>
      <c r="AC675">
        <f t="shared" si="242"/>
        <v>0</v>
      </c>
      <c r="AD675" t="str">
        <f t="shared" si="243"/>
        <v>|0</v>
      </c>
      <c r="AE675" t="str">
        <f t="shared" si="244"/>
        <v/>
      </c>
      <c r="AF675" t="str">
        <f t="shared" si="245"/>
        <v/>
      </c>
      <c r="AG675" t="str">
        <f t="shared" si="246"/>
        <v/>
      </c>
      <c r="AH675" t="str">
        <f t="shared" si="247"/>
        <v/>
      </c>
      <c r="AI675" t="str">
        <f t="shared" si="248"/>
        <v/>
      </c>
      <c r="AJ675" t="str">
        <f t="shared" si="249"/>
        <v/>
      </c>
      <c r="AK675" t="str">
        <f t="shared" si="250"/>
        <v/>
      </c>
      <c r="AL675" t="str">
        <f t="shared" si="251"/>
        <v/>
      </c>
      <c r="AM675" t="str">
        <f t="shared" si="252"/>
        <v/>
      </c>
      <c r="AN675" t="str">
        <f t="shared" si="253"/>
        <v/>
      </c>
      <c r="AO675" t="str">
        <f t="shared" si="254"/>
        <v/>
      </c>
      <c r="AP675">
        <f t="shared" si="255"/>
        <v>1</v>
      </c>
      <c r="AQ675" t="str">
        <f>IF(SAISIE!$F680="","",SAISIE!$Y680)</f>
        <v/>
      </c>
      <c r="AR675" t="str">
        <f>IF(OR(SAISIE!$U$4="",SAISIE!$W$4=""),"",IF(AND($A675=SAISIE!$U$4,$B675=SAISIE!$W$4,$C675="S1"),COUNTIFS($A$2:$A675,SAISIE!$U$4,$B$2:$B675,SAISIE!$W$4,$C$2:$C675,"S1"),""))</f>
        <v/>
      </c>
      <c r="AS675" t="str">
        <f t="shared" si="256"/>
        <v/>
      </c>
      <c r="AT675" t="str">
        <f t="shared" si="257"/>
        <v/>
      </c>
      <c r="AU675" t="str">
        <f t="shared" si="258"/>
        <v/>
      </c>
      <c r="AV675">
        <f>N(AV674)+IF(AND($AB675&lt;&gt;"",OR('PROFIL ELEVE'!$K$4="(Tous)",$AF675='PROFIL ELEVE'!$K$4)),1,0)</f>
        <v>0</v>
      </c>
      <c r="AW675">
        <f>N(AW674)+IF(AND($AB675&lt;&gt;"",OR('SUIVI LONGITUDINAL'!$Q$4="(Tous)",$AF675='SUIVI LONGITUDINAL'!$Q$4)),1,0)</f>
        <v>0</v>
      </c>
      <c r="AX675">
        <f t="shared" si="259"/>
        <v>0</v>
      </c>
      <c r="AY675">
        <f t="shared" si="260"/>
        <v>0</v>
      </c>
      <c r="AZ675">
        <f t="shared" si="261"/>
        <v>0</v>
      </c>
      <c r="BA675" t="str">
        <f t="shared" si="262"/>
        <v/>
      </c>
      <c r="BB675" t="str">
        <f t="shared" si="263"/>
        <v/>
      </c>
    </row>
    <row r="676" spans="1:54" ht="14.25" customHeight="1" x14ac:dyDescent="0.3">
      <c r="A676" t="str">
        <f>IF(SAISIE!$F681="","",SAISIE!$B681)</f>
        <v/>
      </c>
      <c r="B676" t="str">
        <f>IF(SAISIE!$F681="","",SAISIE!$C681)</f>
        <v/>
      </c>
      <c r="C676" t="str">
        <f>IF(SAISIE!$F681="","",SAISIE!$D681)</f>
        <v/>
      </c>
      <c r="D676" t="str">
        <f>IF(SAISIE!$E681="","",SAISIE!$E681)</f>
        <v/>
      </c>
      <c r="E676" t="str">
        <f>IF(SAISIE!$F681="","",SAISIE!$F681)</f>
        <v/>
      </c>
      <c r="F676" t="str">
        <f>IF(SAISIE!$G681="","",SAISIE!$G681)</f>
        <v/>
      </c>
      <c r="G676" t="str">
        <f>IF(SAISIE!$H681="","",SAISIE!$H681)</f>
        <v/>
      </c>
      <c r="H676" t="str">
        <f>IF(SAISIE!$I681="","",SAISIE!$I681)</f>
        <v/>
      </c>
      <c r="I676" t="str">
        <f>IF(SAISIE!$J681="","",SAISIE!$J681)</f>
        <v/>
      </c>
      <c r="J676" t="str">
        <f>IF(SAISIE!$K681="","",SAISIE!$K681)</f>
        <v/>
      </c>
      <c r="K676" t="str">
        <f>IF(SAISIE!$L681="","",SAISIE!$L681)</f>
        <v/>
      </c>
      <c r="L676" t="str">
        <f>IF(SAISIE!$M681="","",SAISIE!$M681)</f>
        <v/>
      </c>
      <c r="M676" t="str">
        <f>IF(SAISIE!$N681="","",SAISIE!$N681)</f>
        <v/>
      </c>
      <c r="N676" t="str">
        <f>IF(SAISIE!$O681="","",SAISIE!$O681)</f>
        <v/>
      </c>
      <c r="O676" t="str">
        <f>IF(SAISIE!$P681="","",SAISIE!$P681)</f>
        <v/>
      </c>
      <c r="P676" t="str">
        <f>IF(SAISIE!$Q681="","",SAISIE!$Q681)</f>
        <v/>
      </c>
      <c r="Q676" t="str">
        <f>IF($I676="","",IF($I676&gt;PARAMETRES!$G$29,5,IF($I676&gt;PARAMETRES!$F$29,4,IF($I676&gt;PARAMETRES!$E$29,3,IF($I676&gt;PARAMETRES!$D$29,2,1)))))</f>
        <v/>
      </c>
      <c r="R676" t="str">
        <f>IF($J676="","",IF($J676&gt;PARAMETRES!$G$30,5,IF($J676&gt;PARAMETRES!$F$30,4,IF($J676&gt;PARAMETRES!$E$30,3,IF($J676&gt;PARAMETRES!$D$30,2,1)))))</f>
        <v/>
      </c>
      <c r="S676" t="str">
        <f>IF($K676="","",IF($Z676=2,IF($K676&gt;PARAMETRES!$G$31,5,IF($K676&gt;PARAMETRES!$F$31,4,IF($K676&gt;PARAMETRES!$E$31,3,IF($K676&gt;PARAMETRES!$D$31,2,1)))),IF($K676&gt;PARAMETRES!$G$32,5,IF($K676&gt;PARAMETRES!$F$32,4,IF($K676&gt;PARAMETRES!$E$32,3,IF($K676&gt;PARAMETRES!$D$32,2,1))))))</f>
        <v/>
      </c>
      <c r="T676" t="str">
        <f>IF($L676="","",IF($L676&gt;PARAMETRES!$G$33,5,IF($L676&gt;PARAMETRES!$F$33,4,IF($L676&gt;PARAMETRES!$E$33,3,IF($L676&gt;PARAMETRES!$D$33,2,1)))))</f>
        <v/>
      </c>
      <c r="U676" t="str">
        <f>IF($M676="","",IF($M676&gt;PARAMETRES!$G$34,5,IF($M676&gt;PARAMETRES!$F$34,4,IF($M676&gt;PARAMETRES!$E$34,3,IF($M676&gt;PARAMETRES!$D$34,2,1)))))</f>
        <v/>
      </c>
      <c r="V676" t="str">
        <f>IF($N676="","",IF($N676&gt;PARAMETRES!$G$35,5,IF($N676&gt;PARAMETRES!$F$35,4,IF($N676&gt;PARAMETRES!$E$35,3,IF($N676&gt;PARAMETRES!$D$35,2,1)))))</f>
        <v/>
      </c>
      <c r="W676" t="str">
        <f>IF($O676="","",IF($O676&gt;PARAMETRES!$G$36,5,IF($O676&gt;PARAMETRES!$F$36,4,IF($O676&gt;PARAMETRES!$E$36,3,IF($O676&gt;PARAMETRES!$D$36,2,1)))))</f>
        <v/>
      </c>
      <c r="X676" t="str">
        <f>IF($P676="","",IF($P676&gt;PARAMETRES!$G$37,5,IF($P676&gt;PARAMETRES!$F$37,4,IF($P676&gt;PARAMETRES!$E$37,3,IF($P676&gt;PARAMETRES!$D$37,2,1)))))</f>
        <v/>
      </c>
      <c r="Y676" t="str">
        <f t="shared" si="240"/>
        <v/>
      </c>
      <c r="Z676" t="str">
        <f>IFERROR(VLOOKUP($B676,TABLE_CYCLE,2,0),"")</f>
        <v/>
      </c>
      <c r="AA676" t="str">
        <f t="shared" si="241"/>
        <v/>
      </c>
      <c r="AB676" t="str">
        <f>IF($D676="","",IF(COUNTIF($D$2:$D676,$D676)=1,$D676,""))</f>
        <v/>
      </c>
      <c r="AC676">
        <f t="shared" si="242"/>
        <v>0</v>
      </c>
      <c r="AD676" t="str">
        <f t="shared" si="243"/>
        <v>|0</v>
      </c>
      <c r="AE676" t="str">
        <f t="shared" si="244"/>
        <v/>
      </c>
      <c r="AF676" t="str">
        <f t="shared" si="245"/>
        <v/>
      </c>
      <c r="AG676" t="str">
        <f t="shared" si="246"/>
        <v/>
      </c>
      <c r="AH676" t="str">
        <f t="shared" si="247"/>
        <v/>
      </c>
      <c r="AI676" t="str">
        <f t="shared" si="248"/>
        <v/>
      </c>
      <c r="AJ676" t="str">
        <f t="shared" si="249"/>
        <v/>
      </c>
      <c r="AK676" t="str">
        <f t="shared" si="250"/>
        <v/>
      </c>
      <c r="AL676" t="str">
        <f t="shared" si="251"/>
        <v/>
      </c>
      <c r="AM676" t="str">
        <f t="shared" si="252"/>
        <v/>
      </c>
      <c r="AN676" t="str">
        <f t="shared" si="253"/>
        <v/>
      </c>
      <c r="AO676" t="str">
        <f t="shared" si="254"/>
        <v/>
      </c>
      <c r="AP676">
        <f t="shared" si="255"/>
        <v>1</v>
      </c>
      <c r="AQ676" t="str">
        <f>IF(SAISIE!$F681="","",SAISIE!$Y681)</f>
        <v/>
      </c>
      <c r="AR676" t="str">
        <f>IF(OR(SAISIE!$U$4="",SAISIE!$W$4=""),"",IF(AND($A676=SAISIE!$U$4,$B676=SAISIE!$W$4,$C676="S1"),COUNTIFS($A$2:$A676,SAISIE!$U$4,$B$2:$B676,SAISIE!$W$4,$C$2:$C676,"S1"),""))</f>
        <v/>
      </c>
      <c r="AS676" t="str">
        <f t="shared" si="256"/>
        <v/>
      </c>
      <c r="AT676" t="str">
        <f t="shared" si="257"/>
        <v/>
      </c>
      <c r="AU676" t="str">
        <f t="shared" si="258"/>
        <v/>
      </c>
      <c r="AV676">
        <f>N(AV675)+IF(AND($AB676&lt;&gt;"",OR('PROFIL ELEVE'!$K$4="(Tous)",$AF676='PROFIL ELEVE'!$K$4)),1,0)</f>
        <v>0</v>
      </c>
      <c r="AW676">
        <f>N(AW675)+IF(AND($AB676&lt;&gt;"",OR('SUIVI LONGITUDINAL'!$Q$4="(Tous)",$AF676='SUIVI LONGITUDINAL'!$Q$4)),1,0)</f>
        <v>0</v>
      </c>
      <c r="AX676">
        <f t="shared" si="259"/>
        <v>0</v>
      </c>
      <c r="AY676">
        <f t="shared" si="260"/>
        <v>0</v>
      </c>
      <c r="AZ676">
        <f t="shared" si="261"/>
        <v>0</v>
      </c>
      <c r="BA676" t="str">
        <f t="shared" si="262"/>
        <v/>
      </c>
      <c r="BB676" t="str">
        <f t="shared" si="263"/>
        <v/>
      </c>
    </row>
    <row r="677" spans="1:54" ht="14.25" customHeight="1" x14ac:dyDescent="0.3">
      <c r="A677" t="str">
        <f>IF(SAISIE!$F682="","",SAISIE!$B682)</f>
        <v/>
      </c>
      <c r="B677" t="str">
        <f>IF(SAISIE!$F682="","",SAISIE!$C682)</f>
        <v/>
      </c>
      <c r="C677" t="str">
        <f>IF(SAISIE!$F682="","",SAISIE!$D682)</f>
        <v/>
      </c>
      <c r="D677" t="str">
        <f>IF(SAISIE!$E682="","",SAISIE!$E682)</f>
        <v/>
      </c>
      <c r="E677" t="str">
        <f>IF(SAISIE!$F682="","",SAISIE!$F682)</f>
        <v/>
      </c>
      <c r="F677" t="str">
        <f>IF(SAISIE!$G682="","",SAISIE!$G682)</f>
        <v/>
      </c>
      <c r="G677" t="str">
        <f>IF(SAISIE!$H682="","",SAISIE!$H682)</f>
        <v/>
      </c>
      <c r="H677" t="str">
        <f>IF(SAISIE!$I682="","",SAISIE!$I682)</f>
        <v/>
      </c>
      <c r="I677" t="str">
        <f>IF(SAISIE!$J682="","",SAISIE!$J682)</f>
        <v/>
      </c>
      <c r="J677" t="str">
        <f>IF(SAISIE!$K682="","",SAISIE!$K682)</f>
        <v/>
      </c>
      <c r="K677" t="str">
        <f>IF(SAISIE!$L682="","",SAISIE!$L682)</f>
        <v/>
      </c>
      <c r="L677" t="str">
        <f>IF(SAISIE!$M682="","",SAISIE!$M682)</f>
        <v/>
      </c>
      <c r="M677" t="str">
        <f>IF(SAISIE!$N682="","",SAISIE!$N682)</f>
        <v/>
      </c>
      <c r="N677" t="str">
        <f>IF(SAISIE!$O682="","",SAISIE!$O682)</f>
        <v/>
      </c>
      <c r="O677" t="str">
        <f>IF(SAISIE!$P682="","",SAISIE!$P682)</f>
        <v/>
      </c>
      <c r="P677" t="str">
        <f>IF(SAISIE!$Q682="","",SAISIE!$Q682)</f>
        <v/>
      </c>
      <c r="Q677" t="str">
        <f>IF($I677="","",IF($I677&gt;PARAMETRES!$G$29,5,IF($I677&gt;PARAMETRES!$F$29,4,IF($I677&gt;PARAMETRES!$E$29,3,IF($I677&gt;PARAMETRES!$D$29,2,1)))))</f>
        <v/>
      </c>
      <c r="R677" t="str">
        <f>IF($J677="","",IF($J677&gt;PARAMETRES!$G$30,5,IF($J677&gt;PARAMETRES!$F$30,4,IF($J677&gt;PARAMETRES!$E$30,3,IF($J677&gt;PARAMETRES!$D$30,2,1)))))</f>
        <v/>
      </c>
      <c r="S677" t="str">
        <f>IF($K677="","",IF($Z677=2,IF($K677&gt;PARAMETRES!$G$31,5,IF($K677&gt;PARAMETRES!$F$31,4,IF($K677&gt;PARAMETRES!$E$31,3,IF($K677&gt;PARAMETRES!$D$31,2,1)))),IF($K677&gt;PARAMETRES!$G$32,5,IF($K677&gt;PARAMETRES!$F$32,4,IF($K677&gt;PARAMETRES!$E$32,3,IF($K677&gt;PARAMETRES!$D$32,2,1))))))</f>
        <v/>
      </c>
      <c r="T677" t="str">
        <f>IF($L677="","",IF($L677&gt;PARAMETRES!$G$33,5,IF($L677&gt;PARAMETRES!$F$33,4,IF($L677&gt;PARAMETRES!$E$33,3,IF($L677&gt;PARAMETRES!$D$33,2,1)))))</f>
        <v/>
      </c>
      <c r="U677" t="str">
        <f>IF($M677="","",IF($M677&gt;PARAMETRES!$G$34,5,IF($M677&gt;PARAMETRES!$F$34,4,IF($M677&gt;PARAMETRES!$E$34,3,IF($M677&gt;PARAMETRES!$D$34,2,1)))))</f>
        <v/>
      </c>
      <c r="V677" t="str">
        <f>IF($N677="","",IF($N677&gt;PARAMETRES!$G$35,5,IF($N677&gt;PARAMETRES!$F$35,4,IF($N677&gt;PARAMETRES!$E$35,3,IF($N677&gt;PARAMETRES!$D$35,2,1)))))</f>
        <v/>
      </c>
      <c r="W677" t="str">
        <f>IF($O677="","",IF($O677&gt;PARAMETRES!$G$36,5,IF($O677&gt;PARAMETRES!$F$36,4,IF($O677&gt;PARAMETRES!$E$36,3,IF($O677&gt;PARAMETRES!$D$36,2,1)))))</f>
        <v/>
      </c>
      <c r="X677" t="str">
        <f>IF($P677="","",IF($P677&gt;PARAMETRES!$G$37,5,IF($P677&gt;PARAMETRES!$F$37,4,IF($P677&gt;PARAMETRES!$E$37,3,IF($P677&gt;PARAMETRES!$D$37,2,1)))))</f>
        <v/>
      </c>
      <c r="Y677" t="str">
        <f t="shared" si="240"/>
        <v/>
      </c>
      <c r="Z677" t="str">
        <f>IFERROR(VLOOKUP($B677,TABLE_CYCLE,2,0),"")</f>
        <v/>
      </c>
      <c r="AA677" t="str">
        <f t="shared" si="241"/>
        <v/>
      </c>
      <c r="AB677" t="str">
        <f>IF($D677="","",IF(COUNTIF($D$2:$D677,$D677)=1,$D677,""))</f>
        <v/>
      </c>
      <c r="AC677">
        <f t="shared" si="242"/>
        <v>0</v>
      </c>
      <c r="AD677" t="str">
        <f t="shared" si="243"/>
        <v>|0</v>
      </c>
      <c r="AE677" t="str">
        <f t="shared" si="244"/>
        <v/>
      </c>
      <c r="AF677" t="str">
        <f t="shared" si="245"/>
        <v/>
      </c>
      <c r="AG677" t="str">
        <f t="shared" si="246"/>
        <v/>
      </c>
      <c r="AH677" t="str">
        <f t="shared" si="247"/>
        <v/>
      </c>
      <c r="AI677" t="str">
        <f t="shared" si="248"/>
        <v/>
      </c>
      <c r="AJ677" t="str">
        <f t="shared" si="249"/>
        <v/>
      </c>
      <c r="AK677" t="str">
        <f t="shared" si="250"/>
        <v/>
      </c>
      <c r="AL677" t="str">
        <f t="shared" si="251"/>
        <v/>
      </c>
      <c r="AM677" t="str">
        <f t="shared" si="252"/>
        <v/>
      </c>
      <c r="AN677" t="str">
        <f t="shared" si="253"/>
        <v/>
      </c>
      <c r="AO677" t="str">
        <f t="shared" si="254"/>
        <v/>
      </c>
      <c r="AP677">
        <f t="shared" si="255"/>
        <v>1</v>
      </c>
      <c r="AQ677" t="str">
        <f>IF(SAISIE!$F682="","",SAISIE!$Y682)</f>
        <v/>
      </c>
      <c r="AR677" t="str">
        <f>IF(OR(SAISIE!$U$4="",SAISIE!$W$4=""),"",IF(AND($A677=SAISIE!$U$4,$B677=SAISIE!$W$4,$C677="S1"),COUNTIFS($A$2:$A677,SAISIE!$U$4,$B$2:$B677,SAISIE!$W$4,$C$2:$C677,"S1"),""))</f>
        <v/>
      </c>
      <c r="AS677" t="str">
        <f t="shared" si="256"/>
        <v/>
      </c>
      <c r="AT677" t="str">
        <f t="shared" si="257"/>
        <v/>
      </c>
      <c r="AU677" t="str">
        <f t="shared" si="258"/>
        <v/>
      </c>
      <c r="AV677">
        <f>N(AV676)+IF(AND($AB677&lt;&gt;"",OR('PROFIL ELEVE'!$K$4="(Tous)",$AF677='PROFIL ELEVE'!$K$4)),1,0)</f>
        <v>0</v>
      </c>
      <c r="AW677">
        <f>N(AW676)+IF(AND($AB677&lt;&gt;"",OR('SUIVI LONGITUDINAL'!$Q$4="(Tous)",$AF677='SUIVI LONGITUDINAL'!$Q$4)),1,0)</f>
        <v>0</v>
      </c>
      <c r="AX677">
        <f t="shared" si="259"/>
        <v>0</v>
      </c>
      <c r="AY677">
        <f t="shared" si="260"/>
        <v>0</v>
      </c>
      <c r="AZ677">
        <f t="shared" si="261"/>
        <v>0</v>
      </c>
      <c r="BA677" t="str">
        <f t="shared" si="262"/>
        <v/>
      </c>
      <c r="BB677" t="str">
        <f t="shared" si="263"/>
        <v/>
      </c>
    </row>
    <row r="678" spans="1:54" ht="14.25" customHeight="1" x14ac:dyDescent="0.3">
      <c r="A678" t="str">
        <f>IF(SAISIE!$F683="","",SAISIE!$B683)</f>
        <v/>
      </c>
      <c r="B678" t="str">
        <f>IF(SAISIE!$F683="","",SAISIE!$C683)</f>
        <v/>
      </c>
      <c r="C678" t="str">
        <f>IF(SAISIE!$F683="","",SAISIE!$D683)</f>
        <v/>
      </c>
      <c r="D678" t="str">
        <f>IF(SAISIE!$E683="","",SAISIE!$E683)</f>
        <v/>
      </c>
      <c r="E678" t="str">
        <f>IF(SAISIE!$F683="","",SAISIE!$F683)</f>
        <v/>
      </c>
      <c r="F678" t="str">
        <f>IF(SAISIE!$G683="","",SAISIE!$G683)</f>
        <v/>
      </c>
      <c r="G678" t="str">
        <f>IF(SAISIE!$H683="","",SAISIE!$H683)</f>
        <v/>
      </c>
      <c r="H678" t="str">
        <f>IF(SAISIE!$I683="","",SAISIE!$I683)</f>
        <v/>
      </c>
      <c r="I678" t="str">
        <f>IF(SAISIE!$J683="","",SAISIE!$J683)</f>
        <v/>
      </c>
      <c r="J678" t="str">
        <f>IF(SAISIE!$K683="","",SAISIE!$K683)</f>
        <v/>
      </c>
      <c r="K678" t="str">
        <f>IF(SAISIE!$L683="","",SAISIE!$L683)</f>
        <v/>
      </c>
      <c r="L678" t="str">
        <f>IF(SAISIE!$M683="","",SAISIE!$M683)</f>
        <v/>
      </c>
      <c r="M678" t="str">
        <f>IF(SAISIE!$N683="","",SAISIE!$N683)</f>
        <v/>
      </c>
      <c r="N678" t="str">
        <f>IF(SAISIE!$O683="","",SAISIE!$O683)</f>
        <v/>
      </c>
      <c r="O678" t="str">
        <f>IF(SAISIE!$P683="","",SAISIE!$P683)</f>
        <v/>
      </c>
      <c r="P678" t="str">
        <f>IF(SAISIE!$Q683="","",SAISIE!$Q683)</f>
        <v/>
      </c>
      <c r="Q678" t="str">
        <f>IF($I678="","",IF($I678&gt;PARAMETRES!$G$29,5,IF($I678&gt;PARAMETRES!$F$29,4,IF($I678&gt;PARAMETRES!$E$29,3,IF($I678&gt;PARAMETRES!$D$29,2,1)))))</f>
        <v/>
      </c>
      <c r="R678" t="str">
        <f>IF($J678="","",IF($J678&gt;PARAMETRES!$G$30,5,IF($J678&gt;PARAMETRES!$F$30,4,IF($J678&gt;PARAMETRES!$E$30,3,IF($J678&gt;PARAMETRES!$D$30,2,1)))))</f>
        <v/>
      </c>
      <c r="S678" t="str">
        <f>IF($K678="","",IF($Z678=2,IF($K678&gt;PARAMETRES!$G$31,5,IF($K678&gt;PARAMETRES!$F$31,4,IF($K678&gt;PARAMETRES!$E$31,3,IF($K678&gt;PARAMETRES!$D$31,2,1)))),IF($K678&gt;PARAMETRES!$G$32,5,IF($K678&gt;PARAMETRES!$F$32,4,IF($K678&gt;PARAMETRES!$E$32,3,IF($K678&gt;PARAMETRES!$D$32,2,1))))))</f>
        <v/>
      </c>
      <c r="T678" t="str">
        <f>IF($L678="","",IF($L678&gt;PARAMETRES!$G$33,5,IF($L678&gt;PARAMETRES!$F$33,4,IF($L678&gt;PARAMETRES!$E$33,3,IF($L678&gt;PARAMETRES!$D$33,2,1)))))</f>
        <v/>
      </c>
      <c r="U678" t="str">
        <f>IF($M678="","",IF($M678&gt;PARAMETRES!$G$34,5,IF($M678&gt;PARAMETRES!$F$34,4,IF($M678&gt;PARAMETRES!$E$34,3,IF($M678&gt;PARAMETRES!$D$34,2,1)))))</f>
        <v/>
      </c>
      <c r="V678" t="str">
        <f>IF($N678="","",IF($N678&gt;PARAMETRES!$G$35,5,IF($N678&gt;PARAMETRES!$F$35,4,IF($N678&gt;PARAMETRES!$E$35,3,IF($N678&gt;PARAMETRES!$D$35,2,1)))))</f>
        <v/>
      </c>
      <c r="W678" t="str">
        <f>IF($O678="","",IF($O678&gt;PARAMETRES!$G$36,5,IF($O678&gt;PARAMETRES!$F$36,4,IF($O678&gt;PARAMETRES!$E$36,3,IF($O678&gt;PARAMETRES!$D$36,2,1)))))</f>
        <v/>
      </c>
      <c r="X678" t="str">
        <f>IF($P678="","",IF($P678&gt;PARAMETRES!$G$37,5,IF($P678&gt;PARAMETRES!$F$37,4,IF($P678&gt;PARAMETRES!$E$37,3,IF($P678&gt;PARAMETRES!$D$37,2,1)))))</f>
        <v/>
      </c>
      <c r="Y678" t="str">
        <f t="shared" si="240"/>
        <v/>
      </c>
      <c r="Z678" t="str">
        <f>IFERROR(VLOOKUP($B678,TABLE_CYCLE,2,0),"")</f>
        <v/>
      </c>
      <c r="AA678" t="str">
        <f t="shared" si="241"/>
        <v/>
      </c>
      <c r="AB678" t="str">
        <f>IF($D678="","",IF(COUNTIF($D$2:$D678,$D678)=1,$D678,""))</f>
        <v/>
      </c>
      <c r="AC678">
        <f t="shared" si="242"/>
        <v>0</v>
      </c>
      <c r="AD678" t="str">
        <f t="shared" si="243"/>
        <v>|0</v>
      </c>
      <c r="AE678" t="str">
        <f t="shared" si="244"/>
        <v/>
      </c>
      <c r="AF678" t="str">
        <f t="shared" si="245"/>
        <v/>
      </c>
      <c r="AG678" t="str">
        <f t="shared" si="246"/>
        <v/>
      </c>
      <c r="AH678" t="str">
        <f t="shared" si="247"/>
        <v/>
      </c>
      <c r="AI678" t="str">
        <f t="shared" si="248"/>
        <v/>
      </c>
      <c r="AJ678" t="str">
        <f t="shared" si="249"/>
        <v/>
      </c>
      <c r="AK678" t="str">
        <f t="shared" si="250"/>
        <v/>
      </c>
      <c r="AL678" t="str">
        <f t="shared" si="251"/>
        <v/>
      </c>
      <c r="AM678" t="str">
        <f t="shared" si="252"/>
        <v/>
      </c>
      <c r="AN678" t="str">
        <f t="shared" si="253"/>
        <v/>
      </c>
      <c r="AO678" t="str">
        <f t="shared" si="254"/>
        <v/>
      </c>
      <c r="AP678">
        <f t="shared" si="255"/>
        <v>1</v>
      </c>
      <c r="AQ678" t="str">
        <f>IF(SAISIE!$F683="","",SAISIE!$Y683)</f>
        <v/>
      </c>
      <c r="AR678" t="str">
        <f>IF(OR(SAISIE!$U$4="",SAISIE!$W$4=""),"",IF(AND($A678=SAISIE!$U$4,$B678=SAISIE!$W$4,$C678="S1"),COUNTIFS($A$2:$A678,SAISIE!$U$4,$B$2:$B678,SAISIE!$W$4,$C$2:$C678,"S1"),""))</f>
        <v/>
      </c>
      <c r="AS678" t="str">
        <f t="shared" si="256"/>
        <v/>
      </c>
      <c r="AT678" t="str">
        <f t="shared" si="257"/>
        <v/>
      </c>
      <c r="AU678" t="str">
        <f t="shared" si="258"/>
        <v/>
      </c>
      <c r="AV678">
        <f>N(AV677)+IF(AND($AB678&lt;&gt;"",OR('PROFIL ELEVE'!$K$4="(Tous)",$AF678='PROFIL ELEVE'!$K$4)),1,0)</f>
        <v>0</v>
      </c>
      <c r="AW678">
        <f>N(AW677)+IF(AND($AB678&lt;&gt;"",OR('SUIVI LONGITUDINAL'!$Q$4="(Tous)",$AF678='SUIVI LONGITUDINAL'!$Q$4)),1,0)</f>
        <v>0</v>
      </c>
      <c r="AX678">
        <f t="shared" si="259"/>
        <v>0</v>
      </c>
      <c r="AY678">
        <f t="shared" si="260"/>
        <v>0</v>
      </c>
      <c r="AZ678">
        <f t="shared" si="261"/>
        <v>0</v>
      </c>
      <c r="BA678" t="str">
        <f t="shared" si="262"/>
        <v/>
      </c>
      <c r="BB678" t="str">
        <f t="shared" si="263"/>
        <v/>
      </c>
    </row>
    <row r="679" spans="1:54" ht="14.25" customHeight="1" x14ac:dyDescent="0.3">
      <c r="A679" t="str">
        <f>IF(SAISIE!$F684="","",SAISIE!$B684)</f>
        <v/>
      </c>
      <c r="B679" t="str">
        <f>IF(SAISIE!$F684="","",SAISIE!$C684)</f>
        <v/>
      </c>
      <c r="C679" t="str">
        <f>IF(SAISIE!$F684="","",SAISIE!$D684)</f>
        <v/>
      </c>
      <c r="D679" t="str">
        <f>IF(SAISIE!$E684="","",SAISIE!$E684)</f>
        <v/>
      </c>
      <c r="E679" t="str">
        <f>IF(SAISIE!$F684="","",SAISIE!$F684)</f>
        <v/>
      </c>
      <c r="F679" t="str">
        <f>IF(SAISIE!$G684="","",SAISIE!$G684)</f>
        <v/>
      </c>
      <c r="G679" t="str">
        <f>IF(SAISIE!$H684="","",SAISIE!$H684)</f>
        <v/>
      </c>
      <c r="H679" t="str">
        <f>IF(SAISIE!$I684="","",SAISIE!$I684)</f>
        <v/>
      </c>
      <c r="I679" t="str">
        <f>IF(SAISIE!$J684="","",SAISIE!$J684)</f>
        <v/>
      </c>
      <c r="J679" t="str">
        <f>IF(SAISIE!$K684="","",SAISIE!$K684)</f>
        <v/>
      </c>
      <c r="K679" t="str">
        <f>IF(SAISIE!$L684="","",SAISIE!$L684)</f>
        <v/>
      </c>
      <c r="L679" t="str">
        <f>IF(SAISIE!$M684="","",SAISIE!$M684)</f>
        <v/>
      </c>
      <c r="M679" t="str">
        <f>IF(SAISIE!$N684="","",SAISIE!$N684)</f>
        <v/>
      </c>
      <c r="N679" t="str">
        <f>IF(SAISIE!$O684="","",SAISIE!$O684)</f>
        <v/>
      </c>
      <c r="O679" t="str">
        <f>IF(SAISIE!$P684="","",SAISIE!$P684)</f>
        <v/>
      </c>
      <c r="P679" t="str">
        <f>IF(SAISIE!$Q684="","",SAISIE!$Q684)</f>
        <v/>
      </c>
      <c r="Q679" t="str">
        <f>IF($I679="","",IF($I679&gt;PARAMETRES!$G$29,5,IF($I679&gt;PARAMETRES!$F$29,4,IF($I679&gt;PARAMETRES!$E$29,3,IF($I679&gt;PARAMETRES!$D$29,2,1)))))</f>
        <v/>
      </c>
      <c r="R679" t="str">
        <f>IF($J679="","",IF($J679&gt;PARAMETRES!$G$30,5,IF($J679&gt;PARAMETRES!$F$30,4,IF($J679&gt;PARAMETRES!$E$30,3,IF($J679&gt;PARAMETRES!$D$30,2,1)))))</f>
        <v/>
      </c>
      <c r="S679" t="str">
        <f>IF($K679="","",IF($Z679=2,IF($K679&gt;PARAMETRES!$G$31,5,IF($K679&gt;PARAMETRES!$F$31,4,IF($K679&gt;PARAMETRES!$E$31,3,IF($K679&gt;PARAMETRES!$D$31,2,1)))),IF($K679&gt;PARAMETRES!$G$32,5,IF($K679&gt;PARAMETRES!$F$32,4,IF($K679&gt;PARAMETRES!$E$32,3,IF($K679&gt;PARAMETRES!$D$32,2,1))))))</f>
        <v/>
      </c>
      <c r="T679" t="str">
        <f>IF($L679="","",IF($L679&gt;PARAMETRES!$G$33,5,IF($L679&gt;PARAMETRES!$F$33,4,IF($L679&gt;PARAMETRES!$E$33,3,IF($L679&gt;PARAMETRES!$D$33,2,1)))))</f>
        <v/>
      </c>
      <c r="U679" t="str">
        <f>IF($M679="","",IF($M679&gt;PARAMETRES!$G$34,5,IF($M679&gt;PARAMETRES!$F$34,4,IF($M679&gt;PARAMETRES!$E$34,3,IF($M679&gt;PARAMETRES!$D$34,2,1)))))</f>
        <v/>
      </c>
      <c r="V679" t="str">
        <f>IF($N679="","",IF($N679&gt;PARAMETRES!$G$35,5,IF($N679&gt;PARAMETRES!$F$35,4,IF($N679&gt;PARAMETRES!$E$35,3,IF($N679&gt;PARAMETRES!$D$35,2,1)))))</f>
        <v/>
      </c>
      <c r="W679" t="str">
        <f>IF($O679="","",IF($O679&gt;PARAMETRES!$G$36,5,IF($O679&gt;PARAMETRES!$F$36,4,IF($O679&gt;PARAMETRES!$E$36,3,IF($O679&gt;PARAMETRES!$D$36,2,1)))))</f>
        <v/>
      </c>
      <c r="X679" t="str">
        <f>IF($P679="","",IF($P679&gt;PARAMETRES!$G$37,5,IF($P679&gt;PARAMETRES!$F$37,4,IF($P679&gt;PARAMETRES!$E$37,3,IF($P679&gt;PARAMETRES!$D$37,2,1)))))</f>
        <v/>
      </c>
      <c r="Y679" t="str">
        <f t="shared" si="240"/>
        <v/>
      </c>
      <c r="Z679" t="str">
        <f>IFERROR(VLOOKUP($B679,TABLE_CYCLE,2,0),"")</f>
        <v/>
      </c>
      <c r="AA679" t="str">
        <f t="shared" si="241"/>
        <v/>
      </c>
      <c r="AB679" t="str">
        <f>IF($D679="","",IF(COUNTIF($D$2:$D679,$D679)=1,$D679,""))</f>
        <v/>
      </c>
      <c r="AC679">
        <f t="shared" si="242"/>
        <v>0</v>
      </c>
      <c r="AD679" t="str">
        <f t="shared" si="243"/>
        <v>|0</v>
      </c>
      <c r="AE679" t="str">
        <f t="shared" si="244"/>
        <v/>
      </c>
      <c r="AF679" t="str">
        <f t="shared" si="245"/>
        <v/>
      </c>
      <c r="AG679" t="str">
        <f t="shared" si="246"/>
        <v/>
      </c>
      <c r="AH679" t="str">
        <f t="shared" si="247"/>
        <v/>
      </c>
      <c r="AI679" t="str">
        <f t="shared" si="248"/>
        <v/>
      </c>
      <c r="AJ679" t="str">
        <f t="shared" si="249"/>
        <v/>
      </c>
      <c r="AK679" t="str">
        <f t="shared" si="250"/>
        <v/>
      </c>
      <c r="AL679" t="str">
        <f t="shared" si="251"/>
        <v/>
      </c>
      <c r="AM679" t="str">
        <f t="shared" si="252"/>
        <v/>
      </c>
      <c r="AN679" t="str">
        <f t="shared" si="253"/>
        <v/>
      </c>
      <c r="AO679" t="str">
        <f t="shared" si="254"/>
        <v/>
      </c>
      <c r="AP679">
        <f t="shared" si="255"/>
        <v>1</v>
      </c>
      <c r="AQ679" t="str">
        <f>IF(SAISIE!$F684="","",SAISIE!$Y684)</f>
        <v/>
      </c>
      <c r="AR679" t="str">
        <f>IF(OR(SAISIE!$U$4="",SAISIE!$W$4=""),"",IF(AND($A679=SAISIE!$U$4,$B679=SAISIE!$W$4,$C679="S1"),COUNTIFS($A$2:$A679,SAISIE!$U$4,$B$2:$B679,SAISIE!$W$4,$C$2:$C679,"S1"),""))</f>
        <v/>
      </c>
      <c r="AS679" t="str">
        <f t="shared" si="256"/>
        <v/>
      </c>
      <c r="AT679" t="str">
        <f t="shared" si="257"/>
        <v/>
      </c>
      <c r="AU679" t="str">
        <f t="shared" si="258"/>
        <v/>
      </c>
      <c r="AV679">
        <f>N(AV678)+IF(AND($AB679&lt;&gt;"",OR('PROFIL ELEVE'!$K$4="(Tous)",$AF679='PROFIL ELEVE'!$K$4)),1,0)</f>
        <v>0</v>
      </c>
      <c r="AW679">
        <f>N(AW678)+IF(AND($AB679&lt;&gt;"",OR('SUIVI LONGITUDINAL'!$Q$4="(Tous)",$AF679='SUIVI LONGITUDINAL'!$Q$4)),1,0)</f>
        <v>0</v>
      </c>
      <c r="AX679">
        <f t="shared" si="259"/>
        <v>0</v>
      </c>
      <c r="AY679">
        <f t="shared" si="260"/>
        <v>0</v>
      </c>
      <c r="AZ679">
        <f t="shared" si="261"/>
        <v>0</v>
      </c>
      <c r="BA679" t="str">
        <f t="shared" si="262"/>
        <v/>
      </c>
      <c r="BB679" t="str">
        <f t="shared" si="263"/>
        <v/>
      </c>
    </row>
    <row r="680" spans="1:54" ht="14.25" customHeight="1" x14ac:dyDescent="0.3">
      <c r="A680" t="str">
        <f>IF(SAISIE!$F685="","",SAISIE!$B685)</f>
        <v/>
      </c>
      <c r="B680" t="str">
        <f>IF(SAISIE!$F685="","",SAISIE!$C685)</f>
        <v/>
      </c>
      <c r="C680" t="str">
        <f>IF(SAISIE!$F685="","",SAISIE!$D685)</f>
        <v/>
      </c>
      <c r="D680" t="str">
        <f>IF(SAISIE!$E685="","",SAISIE!$E685)</f>
        <v/>
      </c>
      <c r="E680" t="str">
        <f>IF(SAISIE!$F685="","",SAISIE!$F685)</f>
        <v/>
      </c>
      <c r="F680" t="str">
        <f>IF(SAISIE!$G685="","",SAISIE!$G685)</f>
        <v/>
      </c>
      <c r="G680" t="str">
        <f>IF(SAISIE!$H685="","",SAISIE!$H685)</f>
        <v/>
      </c>
      <c r="H680" t="str">
        <f>IF(SAISIE!$I685="","",SAISIE!$I685)</f>
        <v/>
      </c>
      <c r="I680" t="str">
        <f>IF(SAISIE!$J685="","",SAISIE!$J685)</f>
        <v/>
      </c>
      <c r="J680" t="str">
        <f>IF(SAISIE!$K685="","",SAISIE!$K685)</f>
        <v/>
      </c>
      <c r="K680" t="str">
        <f>IF(SAISIE!$L685="","",SAISIE!$L685)</f>
        <v/>
      </c>
      <c r="L680" t="str">
        <f>IF(SAISIE!$M685="","",SAISIE!$M685)</f>
        <v/>
      </c>
      <c r="M680" t="str">
        <f>IF(SAISIE!$N685="","",SAISIE!$N685)</f>
        <v/>
      </c>
      <c r="N680" t="str">
        <f>IF(SAISIE!$O685="","",SAISIE!$O685)</f>
        <v/>
      </c>
      <c r="O680" t="str">
        <f>IF(SAISIE!$P685="","",SAISIE!$P685)</f>
        <v/>
      </c>
      <c r="P680" t="str">
        <f>IF(SAISIE!$Q685="","",SAISIE!$Q685)</f>
        <v/>
      </c>
      <c r="Q680" t="str">
        <f>IF($I680="","",IF($I680&gt;PARAMETRES!$G$29,5,IF($I680&gt;PARAMETRES!$F$29,4,IF($I680&gt;PARAMETRES!$E$29,3,IF($I680&gt;PARAMETRES!$D$29,2,1)))))</f>
        <v/>
      </c>
      <c r="R680" t="str">
        <f>IF($J680="","",IF($J680&gt;PARAMETRES!$G$30,5,IF($J680&gt;PARAMETRES!$F$30,4,IF($J680&gt;PARAMETRES!$E$30,3,IF($J680&gt;PARAMETRES!$D$30,2,1)))))</f>
        <v/>
      </c>
      <c r="S680" t="str">
        <f>IF($K680="","",IF($Z680=2,IF($K680&gt;PARAMETRES!$G$31,5,IF($K680&gt;PARAMETRES!$F$31,4,IF($K680&gt;PARAMETRES!$E$31,3,IF($K680&gt;PARAMETRES!$D$31,2,1)))),IF($K680&gt;PARAMETRES!$G$32,5,IF($K680&gt;PARAMETRES!$F$32,4,IF($K680&gt;PARAMETRES!$E$32,3,IF($K680&gt;PARAMETRES!$D$32,2,1))))))</f>
        <v/>
      </c>
      <c r="T680" t="str">
        <f>IF($L680="","",IF($L680&gt;PARAMETRES!$G$33,5,IF($L680&gt;PARAMETRES!$F$33,4,IF($L680&gt;PARAMETRES!$E$33,3,IF($L680&gt;PARAMETRES!$D$33,2,1)))))</f>
        <v/>
      </c>
      <c r="U680" t="str">
        <f>IF($M680="","",IF($M680&gt;PARAMETRES!$G$34,5,IF($M680&gt;PARAMETRES!$F$34,4,IF($M680&gt;PARAMETRES!$E$34,3,IF($M680&gt;PARAMETRES!$D$34,2,1)))))</f>
        <v/>
      </c>
      <c r="V680" t="str">
        <f>IF($N680="","",IF($N680&gt;PARAMETRES!$G$35,5,IF($N680&gt;PARAMETRES!$F$35,4,IF($N680&gt;PARAMETRES!$E$35,3,IF($N680&gt;PARAMETRES!$D$35,2,1)))))</f>
        <v/>
      </c>
      <c r="W680" t="str">
        <f>IF($O680="","",IF($O680&gt;PARAMETRES!$G$36,5,IF($O680&gt;PARAMETRES!$F$36,4,IF($O680&gt;PARAMETRES!$E$36,3,IF($O680&gt;PARAMETRES!$D$36,2,1)))))</f>
        <v/>
      </c>
      <c r="X680" t="str">
        <f>IF($P680="","",IF($P680&gt;PARAMETRES!$G$37,5,IF($P680&gt;PARAMETRES!$F$37,4,IF($P680&gt;PARAMETRES!$E$37,3,IF($P680&gt;PARAMETRES!$D$37,2,1)))))</f>
        <v/>
      </c>
      <c r="Y680" t="str">
        <f t="shared" si="240"/>
        <v/>
      </c>
      <c r="Z680" t="str">
        <f>IFERROR(VLOOKUP($B680,TABLE_CYCLE,2,0),"")</f>
        <v/>
      </c>
      <c r="AA680" t="str">
        <f t="shared" si="241"/>
        <v/>
      </c>
      <c r="AB680" t="str">
        <f>IF($D680="","",IF(COUNTIF($D$2:$D680,$D680)=1,$D680,""))</f>
        <v/>
      </c>
      <c r="AC680">
        <f t="shared" si="242"/>
        <v>0</v>
      </c>
      <c r="AD680" t="str">
        <f t="shared" si="243"/>
        <v>|0</v>
      </c>
      <c r="AE680" t="str">
        <f t="shared" si="244"/>
        <v/>
      </c>
      <c r="AF680" t="str">
        <f t="shared" si="245"/>
        <v/>
      </c>
      <c r="AG680" t="str">
        <f t="shared" si="246"/>
        <v/>
      </c>
      <c r="AH680" t="str">
        <f t="shared" si="247"/>
        <v/>
      </c>
      <c r="AI680" t="str">
        <f t="shared" si="248"/>
        <v/>
      </c>
      <c r="AJ680" t="str">
        <f t="shared" si="249"/>
        <v/>
      </c>
      <c r="AK680" t="str">
        <f t="shared" si="250"/>
        <v/>
      </c>
      <c r="AL680" t="str">
        <f t="shared" si="251"/>
        <v/>
      </c>
      <c r="AM680" t="str">
        <f t="shared" si="252"/>
        <v/>
      </c>
      <c r="AN680" t="str">
        <f t="shared" si="253"/>
        <v/>
      </c>
      <c r="AO680" t="str">
        <f t="shared" si="254"/>
        <v/>
      </c>
      <c r="AP680">
        <f t="shared" si="255"/>
        <v>1</v>
      </c>
      <c r="AQ680" t="str">
        <f>IF(SAISIE!$F685="","",SAISIE!$Y685)</f>
        <v/>
      </c>
      <c r="AR680" t="str">
        <f>IF(OR(SAISIE!$U$4="",SAISIE!$W$4=""),"",IF(AND($A680=SAISIE!$U$4,$B680=SAISIE!$W$4,$C680="S1"),COUNTIFS($A$2:$A680,SAISIE!$U$4,$B$2:$B680,SAISIE!$W$4,$C$2:$C680,"S1"),""))</f>
        <v/>
      </c>
      <c r="AS680" t="str">
        <f t="shared" si="256"/>
        <v/>
      </c>
      <c r="AT680" t="str">
        <f t="shared" si="257"/>
        <v/>
      </c>
      <c r="AU680" t="str">
        <f t="shared" si="258"/>
        <v/>
      </c>
      <c r="AV680">
        <f>N(AV679)+IF(AND($AB680&lt;&gt;"",OR('PROFIL ELEVE'!$K$4="(Tous)",$AF680='PROFIL ELEVE'!$K$4)),1,0)</f>
        <v>0</v>
      </c>
      <c r="AW680">
        <f>N(AW679)+IF(AND($AB680&lt;&gt;"",OR('SUIVI LONGITUDINAL'!$Q$4="(Tous)",$AF680='SUIVI LONGITUDINAL'!$Q$4)),1,0)</f>
        <v>0</v>
      </c>
      <c r="AX680">
        <f t="shared" si="259"/>
        <v>0</v>
      </c>
      <c r="AY680">
        <f t="shared" si="260"/>
        <v>0</v>
      </c>
      <c r="AZ680">
        <f t="shared" si="261"/>
        <v>0</v>
      </c>
      <c r="BA680" t="str">
        <f t="shared" si="262"/>
        <v/>
      </c>
      <c r="BB680" t="str">
        <f t="shared" si="263"/>
        <v/>
      </c>
    </row>
    <row r="681" spans="1:54" ht="14.25" customHeight="1" x14ac:dyDescent="0.3">
      <c r="A681" t="str">
        <f>IF(SAISIE!$F686="","",SAISIE!$B686)</f>
        <v/>
      </c>
      <c r="B681" t="str">
        <f>IF(SAISIE!$F686="","",SAISIE!$C686)</f>
        <v/>
      </c>
      <c r="C681" t="str">
        <f>IF(SAISIE!$F686="","",SAISIE!$D686)</f>
        <v/>
      </c>
      <c r="D681" t="str">
        <f>IF(SAISIE!$E686="","",SAISIE!$E686)</f>
        <v/>
      </c>
      <c r="E681" t="str">
        <f>IF(SAISIE!$F686="","",SAISIE!$F686)</f>
        <v/>
      </c>
      <c r="F681" t="str">
        <f>IF(SAISIE!$G686="","",SAISIE!$G686)</f>
        <v/>
      </c>
      <c r="G681" t="str">
        <f>IF(SAISIE!$H686="","",SAISIE!$H686)</f>
        <v/>
      </c>
      <c r="H681" t="str">
        <f>IF(SAISIE!$I686="","",SAISIE!$I686)</f>
        <v/>
      </c>
      <c r="I681" t="str">
        <f>IF(SAISIE!$J686="","",SAISIE!$J686)</f>
        <v/>
      </c>
      <c r="J681" t="str">
        <f>IF(SAISIE!$K686="","",SAISIE!$K686)</f>
        <v/>
      </c>
      <c r="K681" t="str">
        <f>IF(SAISIE!$L686="","",SAISIE!$L686)</f>
        <v/>
      </c>
      <c r="L681" t="str">
        <f>IF(SAISIE!$M686="","",SAISIE!$M686)</f>
        <v/>
      </c>
      <c r="M681" t="str">
        <f>IF(SAISIE!$N686="","",SAISIE!$N686)</f>
        <v/>
      </c>
      <c r="N681" t="str">
        <f>IF(SAISIE!$O686="","",SAISIE!$O686)</f>
        <v/>
      </c>
      <c r="O681" t="str">
        <f>IF(SAISIE!$P686="","",SAISIE!$P686)</f>
        <v/>
      </c>
      <c r="P681" t="str">
        <f>IF(SAISIE!$Q686="","",SAISIE!$Q686)</f>
        <v/>
      </c>
      <c r="Q681" t="str">
        <f>IF($I681="","",IF($I681&gt;PARAMETRES!$G$29,5,IF($I681&gt;PARAMETRES!$F$29,4,IF($I681&gt;PARAMETRES!$E$29,3,IF($I681&gt;PARAMETRES!$D$29,2,1)))))</f>
        <v/>
      </c>
      <c r="R681" t="str">
        <f>IF($J681="","",IF($J681&gt;PARAMETRES!$G$30,5,IF($J681&gt;PARAMETRES!$F$30,4,IF($J681&gt;PARAMETRES!$E$30,3,IF($J681&gt;PARAMETRES!$D$30,2,1)))))</f>
        <v/>
      </c>
      <c r="S681" t="str">
        <f>IF($K681="","",IF($Z681=2,IF($K681&gt;PARAMETRES!$G$31,5,IF($K681&gt;PARAMETRES!$F$31,4,IF($K681&gt;PARAMETRES!$E$31,3,IF($K681&gt;PARAMETRES!$D$31,2,1)))),IF($K681&gt;PARAMETRES!$G$32,5,IF($K681&gt;PARAMETRES!$F$32,4,IF($K681&gt;PARAMETRES!$E$32,3,IF($K681&gt;PARAMETRES!$D$32,2,1))))))</f>
        <v/>
      </c>
      <c r="T681" t="str">
        <f>IF($L681="","",IF($L681&gt;PARAMETRES!$G$33,5,IF($L681&gt;PARAMETRES!$F$33,4,IF($L681&gt;PARAMETRES!$E$33,3,IF($L681&gt;PARAMETRES!$D$33,2,1)))))</f>
        <v/>
      </c>
      <c r="U681" t="str">
        <f>IF($M681="","",IF($M681&gt;PARAMETRES!$G$34,5,IF($M681&gt;PARAMETRES!$F$34,4,IF($M681&gt;PARAMETRES!$E$34,3,IF($M681&gt;PARAMETRES!$D$34,2,1)))))</f>
        <v/>
      </c>
      <c r="V681" t="str">
        <f>IF($N681="","",IF($N681&gt;PARAMETRES!$G$35,5,IF($N681&gt;PARAMETRES!$F$35,4,IF($N681&gt;PARAMETRES!$E$35,3,IF($N681&gt;PARAMETRES!$D$35,2,1)))))</f>
        <v/>
      </c>
      <c r="W681" t="str">
        <f>IF($O681="","",IF($O681&gt;PARAMETRES!$G$36,5,IF($O681&gt;PARAMETRES!$F$36,4,IF($O681&gt;PARAMETRES!$E$36,3,IF($O681&gt;PARAMETRES!$D$36,2,1)))))</f>
        <v/>
      </c>
      <c r="X681" t="str">
        <f>IF($P681="","",IF($P681&gt;PARAMETRES!$G$37,5,IF($P681&gt;PARAMETRES!$F$37,4,IF($P681&gt;PARAMETRES!$E$37,3,IF($P681&gt;PARAMETRES!$D$37,2,1)))))</f>
        <v/>
      </c>
      <c r="Y681" t="str">
        <f t="shared" si="240"/>
        <v/>
      </c>
      <c r="Z681" t="str">
        <f>IFERROR(VLOOKUP($B681,TABLE_CYCLE,2,0),"")</f>
        <v/>
      </c>
      <c r="AA681" t="str">
        <f t="shared" si="241"/>
        <v/>
      </c>
      <c r="AB681" t="str">
        <f>IF($D681="","",IF(COUNTIF($D$2:$D681,$D681)=1,$D681,""))</f>
        <v/>
      </c>
      <c r="AC681">
        <f t="shared" si="242"/>
        <v>0</v>
      </c>
      <c r="AD681" t="str">
        <f t="shared" si="243"/>
        <v>|0</v>
      </c>
      <c r="AE681" t="str">
        <f t="shared" si="244"/>
        <v/>
      </c>
      <c r="AF681" t="str">
        <f t="shared" si="245"/>
        <v/>
      </c>
      <c r="AG681" t="str">
        <f t="shared" si="246"/>
        <v/>
      </c>
      <c r="AH681" t="str">
        <f t="shared" si="247"/>
        <v/>
      </c>
      <c r="AI681" t="str">
        <f t="shared" si="248"/>
        <v/>
      </c>
      <c r="AJ681" t="str">
        <f t="shared" si="249"/>
        <v/>
      </c>
      <c r="AK681" t="str">
        <f t="shared" si="250"/>
        <v/>
      </c>
      <c r="AL681" t="str">
        <f t="shared" si="251"/>
        <v/>
      </c>
      <c r="AM681" t="str">
        <f t="shared" si="252"/>
        <v/>
      </c>
      <c r="AN681" t="str">
        <f t="shared" si="253"/>
        <v/>
      </c>
      <c r="AO681" t="str">
        <f t="shared" si="254"/>
        <v/>
      </c>
      <c r="AP681">
        <f t="shared" si="255"/>
        <v>1</v>
      </c>
      <c r="AQ681" t="str">
        <f>IF(SAISIE!$F686="","",SAISIE!$Y686)</f>
        <v/>
      </c>
      <c r="AR681" t="str">
        <f>IF(OR(SAISIE!$U$4="",SAISIE!$W$4=""),"",IF(AND($A681=SAISIE!$U$4,$B681=SAISIE!$W$4,$C681="S1"),COUNTIFS($A$2:$A681,SAISIE!$U$4,$B$2:$B681,SAISIE!$W$4,$C$2:$C681,"S1"),""))</f>
        <v/>
      </c>
      <c r="AS681" t="str">
        <f t="shared" si="256"/>
        <v/>
      </c>
      <c r="AT681" t="str">
        <f t="shared" si="257"/>
        <v/>
      </c>
      <c r="AU681" t="str">
        <f t="shared" si="258"/>
        <v/>
      </c>
      <c r="AV681">
        <f>N(AV680)+IF(AND($AB681&lt;&gt;"",OR('PROFIL ELEVE'!$K$4="(Tous)",$AF681='PROFIL ELEVE'!$K$4)),1,0)</f>
        <v>0</v>
      </c>
      <c r="AW681">
        <f>N(AW680)+IF(AND($AB681&lt;&gt;"",OR('SUIVI LONGITUDINAL'!$Q$4="(Tous)",$AF681='SUIVI LONGITUDINAL'!$Q$4)),1,0)</f>
        <v>0</v>
      </c>
      <c r="AX681">
        <f t="shared" si="259"/>
        <v>0</v>
      </c>
      <c r="AY681">
        <f t="shared" si="260"/>
        <v>0</v>
      </c>
      <c r="AZ681">
        <f t="shared" si="261"/>
        <v>0</v>
      </c>
      <c r="BA681" t="str">
        <f t="shared" si="262"/>
        <v/>
      </c>
      <c r="BB681" t="str">
        <f t="shared" si="263"/>
        <v/>
      </c>
    </row>
    <row r="682" spans="1:54" ht="14.25" customHeight="1" x14ac:dyDescent="0.3">
      <c r="A682" t="str">
        <f>IF(SAISIE!$F687="","",SAISIE!$B687)</f>
        <v/>
      </c>
      <c r="B682" t="str">
        <f>IF(SAISIE!$F687="","",SAISIE!$C687)</f>
        <v/>
      </c>
      <c r="C682" t="str">
        <f>IF(SAISIE!$F687="","",SAISIE!$D687)</f>
        <v/>
      </c>
      <c r="D682" t="str">
        <f>IF(SAISIE!$E687="","",SAISIE!$E687)</f>
        <v/>
      </c>
      <c r="E682" t="str">
        <f>IF(SAISIE!$F687="","",SAISIE!$F687)</f>
        <v/>
      </c>
      <c r="F682" t="str">
        <f>IF(SAISIE!$G687="","",SAISIE!$G687)</f>
        <v/>
      </c>
      <c r="G682" t="str">
        <f>IF(SAISIE!$H687="","",SAISIE!$H687)</f>
        <v/>
      </c>
      <c r="H682" t="str">
        <f>IF(SAISIE!$I687="","",SAISIE!$I687)</f>
        <v/>
      </c>
      <c r="I682" t="str">
        <f>IF(SAISIE!$J687="","",SAISIE!$J687)</f>
        <v/>
      </c>
      <c r="J682" t="str">
        <f>IF(SAISIE!$K687="","",SAISIE!$K687)</f>
        <v/>
      </c>
      <c r="K682" t="str">
        <f>IF(SAISIE!$L687="","",SAISIE!$L687)</f>
        <v/>
      </c>
      <c r="L682" t="str">
        <f>IF(SAISIE!$M687="","",SAISIE!$M687)</f>
        <v/>
      </c>
      <c r="M682" t="str">
        <f>IF(SAISIE!$N687="","",SAISIE!$N687)</f>
        <v/>
      </c>
      <c r="N682" t="str">
        <f>IF(SAISIE!$O687="","",SAISIE!$O687)</f>
        <v/>
      </c>
      <c r="O682" t="str">
        <f>IF(SAISIE!$P687="","",SAISIE!$P687)</f>
        <v/>
      </c>
      <c r="P682" t="str">
        <f>IF(SAISIE!$Q687="","",SAISIE!$Q687)</f>
        <v/>
      </c>
      <c r="Q682" t="str">
        <f>IF($I682="","",IF($I682&gt;PARAMETRES!$G$29,5,IF($I682&gt;PARAMETRES!$F$29,4,IF($I682&gt;PARAMETRES!$E$29,3,IF($I682&gt;PARAMETRES!$D$29,2,1)))))</f>
        <v/>
      </c>
      <c r="R682" t="str">
        <f>IF($J682="","",IF($J682&gt;PARAMETRES!$G$30,5,IF($J682&gt;PARAMETRES!$F$30,4,IF($J682&gt;PARAMETRES!$E$30,3,IF($J682&gt;PARAMETRES!$D$30,2,1)))))</f>
        <v/>
      </c>
      <c r="S682" t="str">
        <f>IF($K682="","",IF($Z682=2,IF($K682&gt;PARAMETRES!$G$31,5,IF($K682&gt;PARAMETRES!$F$31,4,IF($K682&gt;PARAMETRES!$E$31,3,IF($K682&gt;PARAMETRES!$D$31,2,1)))),IF($K682&gt;PARAMETRES!$G$32,5,IF($K682&gt;PARAMETRES!$F$32,4,IF($K682&gt;PARAMETRES!$E$32,3,IF($K682&gt;PARAMETRES!$D$32,2,1))))))</f>
        <v/>
      </c>
      <c r="T682" t="str">
        <f>IF($L682="","",IF($L682&gt;PARAMETRES!$G$33,5,IF($L682&gt;PARAMETRES!$F$33,4,IF($L682&gt;PARAMETRES!$E$33,3,IF($L682&gt;PARAMETRES!$D$33,2,1)))))</f>
        <v/>
      </c>
      <c r="U682" t="str">
        <f>IF($M682="","",IF($M682&gt;PARAMETRES!$G$34,5,IF($M682&gt;PARAMETRES!$F$34,4,IF($M682&gt;PARAMETRES!$E$34,3,IF($M682&gt;PARAMETRES!$D$34,2,1)))))</f>
        <v/>
      </c>
      <c r="V682" t="str">
        <f>IF($N682="","",IF($N682&gt;PARAMETRES!$G$35,5,IF($N682&gt;PARAMETRES!$F$35,4,IF($N682&gt;PARAMETRES!$E$35,3,IF($N682&gt;PARAMETRES!$D$35,2,1)))))</f>
        <v/>
      </c>
      <c r="W682" t="str">
        <f>IF($O682="","",IF($O682&gt;PARAMETRES!$G$36,5,IF($O682&gt;PARAMETRES!$F$36,4,IF($O682&gt;PARAMETRES!$E$36,3,IF($O682&gt;PARAMETRES!$D$36,2,1)))))</f>
        <v/>
      </c>
      <c r="X682" t="str">
        <f>IF($P682="","",IF($P682&gt;PARAMETRES!$G$37,5,IF($P682&gt;PARAMETRES!$F$37,4,IF($P682&gt;PARAMETRES!$E$37,3,IF($P682&gt;PARAMETRES!$D$37,2,1)))))</f>
        <v/>
      </c>
      <c r="Y682" t="str">
        <f t="shared" si="240"/>
        <v/>
      </c>
      <c r="Z682" t="str">
        <f>IFERROR(VLOOKUP($B682,TABLE_CYCLE,2,0),"")</f>
        <v/>
      </c>
      <c r="AA682" t="str">
        <f t="shared" si="241"/>
        <v/>
      </c>
      <c r="AB682" t="str">
        <f>IF($D682="","",IF(COUNTIF($D$2:$D682,$D682)=1,$D682,""))</f>
        <v/>
      </c>
      <c r="AC682">
        <f t="shared" si="242"/>
        <v>0</v>
      </c>
      <c r="AD682" t="str">
        <f t="shared" si="243"/>
        <v>|0</v>
      </c>
      <c r="AE682" t="str">
        <f t="shared" si="244"/>
        <v/>
      </c>
      <c r="AF682" t="str">
        <f t="shared" si="245"/>
        <v/>
      </c>
      <c r="AG682" t="str">
        <f t="shared" si="246"/>
        <v/>
      </c>
      <c r="AH682" t="str">
        <f t="shared" si="247"/>
        <v/>
      </c>
      <c r="AI682" t="str">
        <f t="shared" si="248"/>
        <v/>
      </c>
      <c r="AJ682" t="str">
        <f t="shared" si="249"/>
        <v/>
      </c>
      <c r="AK682" t="str">
        <f t="shared" si="250"/>
        <v/>
      </c>
      <c r="AL682" t="str">
        <f t="shared" si="251"/>
        <v/>
      </c>
      <c r="AM682" t="str">
        <f t="shared" si="252"/>
        <v/>
      </c>
      <c r="AN682" t="str">
        <f t="shared" si="253"/>
        <v/>
      </c>
      <c r="AO682" t="str">
        <f t="shared" si="254"/>
        <v/>
      </c>
      <c r="AP682">
        <f t="shared" si="255"/>
        <v>1</v>
      </c>
      <c r="AQ682" t="str">
        <f>IF(SAISIE!$F687="","",SAISIE!$Y687)</f>
        <v/>
      </c>
      <c r="AR682" t="str">
        <f>IF(OR(SAISIE!$U$4="",SAISIE!$W$4=""),"",IF(AND($A682=SAISIE!$U$4,$B682=SAISIE!$W$4,$C682="S1"),COUNTIFS($A$2:$A682,SAISIE!$U$4,$B$2:$B682,SAISIE!$W$4,$C$2:$C682,"S1"),""))</f>
        <v/>
      </c>
      <c r="AS682" t="str">
        <f t="shared" si="256"/>
        <v/>
      </c>
      <c r="AT682" t="str">
        <f t="shared" si="257"/>
        <v/>
      </c>
      <c r="AU682" t="str">
        <f t="shared" si="258"/>
        <v/>
      </c>
      <c r="AV682">
        <f>N(AV681)+IF(AND($AB682&lt;&gt;"",OR('PROFIL ELEVE'!$K$4="(Tous)",$AF682='PROFIL ELEVE'!$K$4)),1,0)</f>
        <v>0</v>
      </c>
      <c r="AW682">
        <f>N(AW681)+IF(AND($AB682&lt;&gt;"",OR('SUIVI LONGITUDINAL'!$Q$4="(Tous)",$AF682='SUIVI LONGITUDINAL'!$Q$4)),1,0)</f>
        <v>0</v>
      </c>
      <c r="AX682">
        <f t="shared" si="259"/>
        <v>0</v>
      </c>
      <c r="AY682">
        <f t="shared" si="260"/>
        <v>0</v>
      </c>
      <c r="AZ682">
        <f t="shared" si="261"/>
        <v>0</v>
      </c>
      <c r="BA682" t="str">
        <f t="shared" si="262"/>
        <v/>
      </c>
      <c r="BB682" t="str">
        <f t="shared" si="263"/>
        <v/>
      </c>
    </row>
    <row r="683" spans="1:54" ht="14.25" customHeight="1" x14ac:dyDescent="0.3">
      <c r="A683" t="str">
        <f>IF(SAISIE!$F688="","",SAISIE!$B688)</f>
        <v/>
      </c>
      <c r="B683" t="str">
        <f>IF(SAISIE!$F688="","",SAISIE!$C688)</f>
        <v/>
      </c>
      <c r="C683" t="str">
        <f>IF(SAISIE!$F688="","",SAISIE!$D688)</f>
        <v/>
      </c>
      <c r="D683" t="str">
        <f>IF(SAISIE!$E688="","",SAISIE!$E688)</f>
        <v/>
      </c>
      <c r="E683" t="str">
        <f>IF(SAISIE!$F688="","",SAISIE!$F688)</f>
        <v/>
      </c>
      <c r="F683" t="str">
        <f>IF(SAISIE!$G688="","",SAISIE!$G688)</f>
        <v/>
      </c>
      <c r="G683" t="str">
        <f>IF(SAISIE!$H688="","",SAISIE!$H688)</f>
        <v/>
      </c>
      <c r="H683" t="str">
        <f>IF(SAISIE!$I688="","",SAISIE!$I688)</f>
        <v/>
      </c>
      <c r="I683" t="str">
        <f>IF(SAISIE!$J688="","",SAISIE!$J688)</f>
        <v/>
      </c>
      <c r="J683" t="str">
        <f>IF(SAISIE!$K688="","",SAISIE!$K688)</f>
        <v/>
      </c>
      <c r="K683" t="str">
        <f>IF(SAISIE!$L688="","",SAISIE!$L688)</f>
        <v/>
      </c>
      <c r="L683" t="str">
        <f>IF(SAISIE!$M688="","",SAISIE!$M688)</f>
        <v/>
      </c>
      <c r="M683" t="str">
        <f>IF(SAISIE!$N688="","",SAISIE!$N688)</f>
        <v/>
      </c>
      <c r="N683" t="str">
        <f>IF(SAISIE!$O688="","",SAISIE!$O688)</f>
        <v/>
      </c>
      <c r="O683" t="str">
        <f>IF(SAISIE!$P688="","",SAISIE!$P688)</f>
        <v/>
      </c>
      <c r="P683" t="str">
        <f>IF(SAISIE!$Q688="","",SAISIE!$Q688)</f>
        <v/>
      </c>
      <c r="Q683" t="str">
        <f>IF($I683="","",IF($I683&gt;PARAMETRES!$G$29,5,IF($I683&gt;PARAMETRES!$F$29,4,IF($I683&gt;PARAMETRES!$E$29,3,IF($I683&gt;PARAMETRES!$D$29,2,1)))))</f>
        <v/>
      </c>
      <c r="R683" t="str">
        <f>IF($J683="","",IF($J683&gt;PARAMETRES!$G$30,5,IF($J683&gt;PARAMETRES!$F$30,4,IF($J683&gt;PARAMETRES!$E$30,3,IF($J683&gt;PARAMETRES!$D$30,2,1)))))</f>
        <v/>
      </c>
      <c r="S683" t="str">
        <f>IF($K683="","",IF($Z683=2,IF($K683&gt;PARAMETRES!$G$31,5,IF($K683&gt;PARAMETRES!$F$31,4,IF($K683&gt;PARAMETRES!$E$31,3,IF($K683&gt;PARAMETRES!$D$31,2,1)))),IF($K683&gt;PARAMETRES!$G$32,5,IF($K683&gt;PARAMETRES!$F$32,4,IF($K683&gt;PARAMETRES!$E$32,3,IF($K683&gt;PARAMETRES!$D$32,2,1))))))</f>
        <v/>
      </c>
      <c r="T683" t="str">
        <f>IF($L683="","",IF($L683&gt;PARAMETRES!$G$33,5,IF($L683&gt;PARAMETRES!$F$33,4,IF($L683&gt;PARAMETRES!$E$33,3,IF($L683&gt;PARAMETRES!$D$33,2,1)))))</f>
        <v/>
      </c>
      <c r="U683" t="str">
        <f>IF($M683="","",IF($M683&gt;PARAMETRES!$G$34,5,IF($M683&gt;PARAMETRES!$F$34,4,IF($M683&gt;PARAMETRES!$E$34,3,IF($M683&gt;PARAMETRES!$D$34,2,1)))))</f>
        <v/>
      </c>
      <c r="V683" t="str">
        <f>IF($N683="","",IF($N683&gt;PARAMETRES!$G$35,5,IF($N683&gt;PARAMETRES!$F$35,4,IF($N683&gt;PARAMETRES!$E$35,3,IF($N683&gt;PARAMETRES!$D$35,2,1)))))</f>
        <v/>
      </c>
      <c r="W683" t="str">
        <f>IF($O683="","",IF($O683&gt;PARAMETRES!$G$36,5,IF($O683&gt;PARAMETRES!$F$36,4,IF($O683&gt;PARAMETRES!$E$36,3,IF($O683&gt;PARAMETRES!$D$36,2,1)))))</f>
        <v/>
      </c>
      <c r="X683" t="str">
        <f>IF($P683="","",IF($P683&gt;PARAMETRES!$G$37,5,IF($P683&gt;PARAMETRES!$F$37,4,IF($P683&gt;PARAMETRES!$E$37,3,IF($P683&gt;PARAMETRES!$D$37,2,1)))))</f>
        <v/>
      </c>
      <c r="Y683" t="str">
        <f t="shared" si="240"/>
        <v/>
      </c>
      <c r="Z683" t="str">
        <f>IFERROR(VLOOKUP($B683,TABLE_CYCLE,2,0),"")</f>
        <v/>
      </c>
      <c r="AA683" t="str">
        <f t="shared" si="241"/>
        <v/>
      </c>
      <c r="AB683" t="str">
        <f>IF($D683="","",IF(COUNTIF($D$2:$D683,$D683)=1,$D683,""))</f>
        <v/>
      </c>
      <c r="AC683">
        <f t="shared" si="242"/>
        <v>0</v>
      </c>
      <c r="AD683" t="str">
        <f t="shared" si="243"/>
        <v>|0</v>
      </c>
      <c r="AE683" t="str">
        <f t="shared" si="244"/>
        <v/>
      </c>
      <c r="AF683" t="str">
        <f t="shared" si="245"/>
        <v/>
      </c>
      <c r="AG683" t="str">
        <f t="shared" si="246"/>
        <v/>
      </c>
      <c r="AH683" t="str">
        <f t="shared" si="247"/>
        <v/>
      </c>
      <c r="AI683" t="str">
        <f t="shared" si="248"/>
        <v/>
      </c>
      <c r="AJ683" t="str">
        <f t="shared" si="249"/>
        <v/>
      </c>
      <c r="AK683" t="str">
        <f t="shared" si="250"/>
        <v/>
      </c>
      <c r="AL683" t="str">
        <f t="shared" si="251"/>
        <v/>
      </c>
      <c r="AM683" t="str">
        <f t="shared" si="252"/>
        <v/>
      </c>
      <c r="AN683" t="str">
        <f t="shared" si="253"/>
        <v/>
      </c>
      <c r="AO683" t="str">
        <f t="shared" si="254"/>
        <v/>
      </c>
      <c r="AP683">
        <f t="shared" si="255"/>
        <v>1</v>
      </c>
      <c r="AQ683" t="str">
        <f>IF(SAISIE!$F688="","",SAISIE!$Y688)</f>
        <v/>
      </c>
      <c r="AR683" t="str">
        <f>IF(OR(SAISIE!$U$4="",SAISIE!$W$4=""),"",IF(AND($A683=SAISIE!$U$4,$B683=SAISIE!$W$4,$C683="S1"),COUNTIFS($A$2:$A683,SAISIE!$U$4,$B$2:$B683,SAISIE!$W$4,$C$2:$C683,"S1"),""))</f>
        <v/>
      </c>
      <c r="AS683" t="str">
        <f t="shared" si="256"/>
        <v/>
      </c>
      <c r="AT683" t="str">
        <f t="shared" si="257"/>
        <v/>
      </c>
      <c r="AU683" t="str">
        <f t="shared" si="258"/>
        <v/>
      </c>
      <c r="AV683">
        <f>N(AV682)+IF(AND($AB683&lt;&gt;"",OR('PROFIL ELEVE'!$K$4="(Tous)",$AF683='PROFIL ELEVE'!$K$4)),1,0)</f>
        <v>0</v>
      </c>
      <c r="AW683">
        <f>N(AW682)+IF(AND($AB683&lt;&gt;"",OR('SUIVI LONGITUDINAL'!$Q$4="(Tous)",$AF683='SUIVI LONGITUDINAL'!$Q$4)),1,0)</f>
        <v>0</v>
      </c>
      <c r="AX683">
        <f t="shared" si="259"/>
        <v>0</v>
      </c>
      <c r="AY683">
        <f t="shared" si="260"/>
        <v>0</v>
      </c>
      <c r="AZ683">
        <f t="shared" si="261"/>
        <v>0</v>
      </c>
      <c r="BA683" t="str">
        <f t="shared" si="262"/>
        <v/>
      </c>
      <c r="BB683" t="str">
        <f t="shared" si="263"/>
        <v/>
      </c>
    </row>
    <row r="684" spans="1:54" ht="14.25" customHeight="1" x14ac:dyDescent="0.3">
      <c r="A684" t="str">
        <f>IF(SAISIE!$F689="","",SAISIE!$B689)</f>
        <v/>
      </c>
      <c r="B684" t="str">
        <f>IF(SAISIE!$F689="","",SAISIE!$C689)</f>
        <v/>
      </c>
      <c r="C684" t="str">
        <f>IF(SAISIE!$F689="","",SAISIE!$D689)</f>
        <v/>
      </c>
      <c r="D684" t="str">
        <f>IF(SAISIE!$E689="","",SAISIE!$E689)</f>
        <v/>
      </c>
      <c r="E684" t="str">
        <f>IF(SAISIE!$F689="","",SAISIE!$F689)</f>
        <v/>
      </c>
      <c r="F684" t="str">
        <f>IF(SAISIE!$G689="","",SAISIE!$G689)</f>
        <v/>
      </c>
      <c r="G684" t="str">
        <f>IF(SAISIE!$H689="","",SAISIE!$H689)</f>
        <v/>
      </c>
      <c r="H684" t="str">
        <f>IF(SAISIE!$I689="","",SAISIE!$I689)</f>
        <v/>
      </c>
      <c r="I684" t="str">
        <f>IF(SAISIE!$J689="","",SAISIE!$J689)</f>
        <v/>
      </c>
      <c r="J684" t="str">
        <f>IF(SAISIE!$K689="","",SAISIE!$K689)</f>
        <v/>
      </c>
      <c r="K684" t="str">
        <f>IF(SAISIE!$L689="","",SAISIE!$L689)</f>
        <v/>
      </c>
      <c r="L684" t="str">
        <f>IF(SAISIE!$M689="","",SAISIE!$M689)</f>
        <v/>
      </c>
      <c r="M684" t="str">
        <f>IF(SAISIE!$N689="","",SAISIE!$N689)</f>
        <v/>
      </c>
      <c r="N684" t="str">
        <f>IF(SAISIE!$O689="","",SAISIE!$O689)</f>
        <v/>
      </c>
      <c r="O684" t="str">
        <f>IF(SAISIE!$P689="","",SAISIE!$P689)</f>
        <v/>
      </c>
      <c r="P684" t="str">
        <f>IF(SAISIE!$Q689="","",SAISIE!$Q689)</f>
        <v/>
      </c>
      <c r="Q684" t="str">
        <f>IF($I684="","",IF($I684&gt;PARAMETRES!$G$29,5,IF($I684&gt;PARAMETRES!$F$29,4,IF($I684&gt;PARAMETRES!$E$29,3,IF($I684&gt;PARAMETRES!$D$29,2,1)))))</f>
        <v/>
      </c>
      <c r="R684" t="str">
        <f>IF($J684="","",IF($J684&gt;PARAMETRES!$G$30,5,IF($J684&gt;PARAMETRES!$F$30,4,IF($J684&gt;PARAMETRES!$E$30,3,IF($J684&gt;PARAMETRES!$D$30,2,1)))))</f>
        <v/>
      </c>
      <c r="S684" t="str">
        <f>IF($K684="","",IF($Z684=2,IF($K684&gt;PARAMETRES!$G$31,5,IF($K684&gt;PARAMETRES!$F$31,4,IF($K684&gt;PARAMETRES!$E$31,3,IF($K684&gt;PARAMETRES!$D$31,2,1)))),IF($K684&gt;PARAMETRES!$G$32,5,IF($K684&gt;PARAMETRES!$F$32,4,IF($K684&gt;PARAMETRES!$E$32,3,IF($K684&gt;PARAMETRES!$D$32,2,1))))))</f>
        <v/>
      </c>
      <c r="T684" t="str">
        <f>IF($L684="","",IF($L684&gt;PARAMETRES!$G$33,5,IF($L684&gt;PARAMETRES!$F$33,4,IF($L684&gt;PARAMETRES!$E$33,3,IF($L684&gt;PARAMETRES!$D$33,2,1)))))</f>
        <v/>
      </c>
      <c r="U684" t="str">
        <f>IF($M684="","",IF($M684&gt;PARAMETRES!$G$34,5,IF($M684&gt;PARAMETRES!$F$34,4,IF($M684&gt;PARAMETRES!$E$34,3,IF($M684&gt;PARAMETRES!$D$34,2,1)))))</f>
        <v/>
      </c>
      <c r="V684" t="str">
        <f>IF($N684="","",IF($N684&gt;PARAMETRES!$G$35,5,IF($N684&gt;PARAMETRES!$F$35,4,IF($N684&gt;PARAMETRES!$E$35,3,IF($N684&gt;PARAMETRES!$D$35,2,1)))))</f>
        <v/>
      </c>
      <c r="W684" t="str">
        <f>IF($O684="","",IF($O684&gt;PARAMETRES!$G$36,5,IF($O684&gt;PARAMETRES!$F$36,4,IF($O684&gt;PARAMETRES!$E$36,3,IF($O684&gt;PARAMETRES!$D$36,2,1)))))</f>
        <v/>
      </c>
      <c r="X684" t="str">
        <f>IF($P684="","",IF($P684&gt;PARAMETRES!$G$37,5,IF($P684&gt;PARAMETRES!$F$37,4,IF($P684&gt;PARAMETRES!$E$37,3,IF($P684&gt;PARAMETRES!$D$37,2,1)))))</f>
        <v/>
      </c>
      <c r="Y684" t="str">
        <f t="shared" si="240"/>
        <v/>
      </c>
      <c r="Z684" t="str">
        <f>IFERROR(VLOOKUP($B684,TABLE_CYCLE,2,0),"")</f>
        <v/>
      </c>
      <c r="AA684" t="str">
        <f t="shared" si="241"/>
        <v/>
      </c>
      <c r="AB684" t="str">
        <f>IF($D684="","",IF(COUNTIF($D$2:$D684,$D684)=1,$D684,""))</f>
        <v/>
      </c>
      <c r="AC684">
        <f t="shared" si="242"/>
        <v>0</v>
      </c>
      <c r="AD684" t="str">
        <f t="shared" si="243"/>
        <v>|0</v>
      </c>
      <c r="AE684" t="str">
        <f t="shared" si="244"/>
        <v/>
      </c>
      <c r="AF684" t="str">
        <f t="shared" si="245"/>
        <v/>
      </c>
      <c r="AG684" t="str">
        <f t="shared" si="246"/>
        <v/>
      </c>
      <c r="AH684" t="str">
        <f t="shared" si="247"/>
        <v/>
      </c>
      <c r="AI684" t="str">
        <f t="shared" si="248"/>
        <v/>
      </c>
      <c r="AJ684" t="str">
        <f t="shared" si="249"/>
        <v/>
      </c>
      <c r="AK684" t="str">
        <f t="shared" si="250"/>
        <v/>
      </c>
      <c r="AL684" t="str">
        <f t="shared" si="251"/>
        <v/>
      </c>
      <c r="AM684" t="str">
        <f t="shared" si="252"/>
        <v/>
      </c>
      <c r="AN684" t="str">
        <f t="shared" si="253"/>
        <v/>
      </c>
      <c r="AO684" t="str">
        <f t="shared" si="254"/>
        <v/>
      </c>
      <c r="AP684">
        <f t="shared" si="255"/>
        <v>1</v>
      </c>
      <c r="AQ684" t="str">
        <f>IF(SAISIE!$F689="","",SAISIE!$Y689)</f>
        <v/>
      </c>
      <c r="AR684" t="str">
        <f>IF(OR(SAISIE!$U$4="",SAISIE!$W$4=""),"",IF(AND($A684=SAISIE!$U$4,$B684=SAISIE!$W$4,$C684="S1"),COUNTIFS($A$2:$A684,SAISIE!$U$4,$B$2:$B684,SAISIE!$W$4,$C$2:$C684,"S1"),""))</f>
        <v/>
      </c>
      <c r="AS684" t="str">
        <f t="shared" si="256"/>
        <v/>
      </c>
      <c r="AT684" t="str">
        <f t="shared" si="257"/>
        <v/>
      </c>
      <c r="AU684" t="str">
        <f t="shared" si="258"/>
        <v/>
      </c>
      <c r="AV684">
        <f>N(AV683)+IF(AND($AB684&lt;&gt;"",OR('PROFIL ELEVE'!$K$4="(Tous)",$AF684='PROFIL ELEVE'!$K$4)),1,0)</f>
        <v>0</v>
      </c>
      <c r="AW684">
        <f>N(AW683)+IF(AND($AB684&lt;&gt;"",OR('SUIVI LONGITUDINAL'!$Q$4="(Tous)",$AF684='SUIVI LONGITUDINAL'!$Q$4)),1,0)</f>
        <v>0</v>
      </c>
      <c r="AX684">
        <f t="shared" si="259"/>
        <v>0</v>
      </c>
      <c r="AY684">
        <f t="shared" si="260"/>
        <v>0</v>
      </c>
      <c r="AZ684">
        <f t="shared" si="261"/>
        <v>0</v>
      </c>
      <c r="BA684" t="str">
        <f t="shared" si="262"/>
        <v/>
      </c>
      <c r="BB684" t="str">
        <f t="shared" si="263"/>
        <v/>
      </c>
    </row>
    <row r="685" spans="1:54" ht="14.25" customHeight="1" x14ac:dyDescent="0.3">
      <c r="A685" t="str">
        <f>IF(SAISIE!$F690="","",SAISIE!$B690)</f>
        <v/>
      </c>
      <c r="B685" t="str">
        <f>IF(SAISIE!$F690="","",SAISIE!$C690)</f>
        <v/>
      </c>
      <c r="C685" t="str">
        <f>IF(SAISIE!$F690="","",SAISIE!$D690)</f>
        <v/>
      </c>
      <c r="D685" t="str">
        <f>IF(SAISIE!$E690="","",SAISIE!$E690)</f>
        <v/>
      </c>
      <c r="E685" t="str">
        <f>IF(SAISIE!$F690="","",SAISIE!$F690)</f>
        <v/>
      </c>
      <c r="F685" t="str">
        <f>IF(SAISIE!$G690="","",SAISIE!$G690)</f>
        <v/>
      </c>
      <c r="G685" t="str">
        <f>IF(SAISIE!$H690="","",SAISIE!$H690)</f>
        <v/>
      </c>
      <c r="H685" t="str">
        <f>IF(SAISIE!$I690="","",SAISIE!$I690)</f>
        <v/>
      </c>
      <c r="I685" t="str">
        <f>IF(SAISIE!$J690="","",SAISIE!$J690)</f>
        <v/>
      </c>
      <c r="J685" t="str">
        <f>IF(SAISIE!$K690="","",SAISIE!$K690)</f>
        <v/>
      </c>
      <c r="K685" t="str">
        <f>IF(SAISIE!$L690="","",SAISIE!$L690)</f>
        <v/>
      </c>
      <c r="L685" t="str">
        <f>IF(SAISIE!$M690="","",SAISIE!$M690)</f>
        <v/>
      </c>
      <c r="M685" t="str">
        <f>IF(SAISIE!$N690="","",SAISIE!$N690)</f>
        <v/>
      </c>
      <c r="N685" t="str">
        <f>IF(SAISIE!$O690="","",SAISIE!$O690)</f>
        <v/>
      </c>
      <c r="O685" t="str">
        <f>IF(SAISIE!$P690="","",SAISIE!$P690)</f>
        <v/>
      </c>
      <c r="P685" t="str">
        <f>IF(SAISIE!$Q690="","",SAISIE!$Q690)</f>
        <v/>
      </c>
      <c r="Q685" t="str">
        <f>IF($I685="","",IF($I685&gt;PARAMETRES!$G$29,5,IF($I685&gt;PARAMETRES!$F$29,4,IF($I685&gt;PARAMETRES!$E$29,3,IF($I685&gt;PARAMETRES!$D$29,2,1)))))</f>
        <v/>
      </c>
      <c r="R685" t="str">
        <f>IF($J685="","",IF($J685&gt;PARAMETRES!$G$30,5,IF($J685&gt;PARAMETRES!$F$30,4,IF($J685&gt;PARAMETRES!$E$30,3,IF($J685&gt;PARAMETRES!$D$30,2,1)))))</f>
        <v/>
      </c>
      <c r="S685" t="str">
        <f>IF($K685="","",IF($Z685=2,IF($K685&gt;PARAMETRES!$G$31,5,IF($K685&gt;PARAMETRES!$F$31,4,IF($K685&gt;PARAMETRES!$E$31,3,IF($K685&gt;PARAMETRES!$D$31,2,1)))),IF($K685&gt;PARAMETRES!$G$32,5,IF($K685&gt;PARAMETRES!$F$32,4,IF($K685&gt;PARAMETRES!$E$32,3,IF($K685&gt;PARAMETRES!$D$32,2,1))))))</f>
        <v/>
      </c>
      <c r="T685" t="str">
        <f>IF($L685="","",IF($L685&gt;PARAMETRES!$G$33,5,IF($L685&gt;PARAMETRES!$F$33,4,IF($L685&gt;PARAMETRES!$E$33,3,IF($L685&gt;PARAMETRES!$D$33,2,1)))))</f>
        <v/>
      </c>
      <c r="U685" t="str">
        <f>IF($M685="","",IF($M685&gt;PARAMETRES!$G$34,5,IF($M685&gt;PARAMETRES!$F$34,4,IF($M685&gt;PARAMETRES!$E$34,3,IF($M685&gt;PARAMETRES!$D$34,2,1)))))</f>
        <v/>
      </c>
      <c r="V685" t="str">
        <f>IF($N685="","",IF($N685&gt;PARAMETRES!$G$35,5,IF($N685&gt;PARAMETRES!$F$35,4,IF($N685&gt;PARAMETRES!$E$35,3,IF($N685&gt;PARAMETRES!$D$35,2,1)))))</f>
        <v/>
      </c>
      <c r="W685" t="str">
        <f>IF($O685="","",IF($O685&gt;PARAMETRES!$G$36,5,IF($O685&gt;PARAMETRES!$F$36,4,IF($O685&gt;PARAMETRES!$E$36,3,IF($O685&gt;PARAMETRES!$D$36,2,1)))))</f>
        <v/>
      </c>
      <c r="X685" t="str">
        <f>IF($P685="","",IF($P685&gt;PARAMETRES!$G$37,5,IF($P685&gt;PARAMETRES!$F$37,4,IF($P685&gt;PARAMETRES!$E$37,3,IF($P685&gt;PARAMETRES!$D$37,2,1)))))</f>
        <v/>
      </c>
      <c r="Y685" t="str">
        <f t="shared" si="240"/>
        <v/>
      </c>
      <c r="Z685" t="str">
        <f>IFERROR(VLOOKUP($B685,TABLE_CYCLE,2,0),"")</f>
        <v/>
      </c>
      <c r="AA685" t="str">
        <f t="shared" si="241"/>
        <v/>
      </c>
      <c r="AB685" t="str">
        <f>IF($D685="","",IF(COUNTIF($D$2:$D685,$D685)=1,$D685,""))</f>
        <v/>
      </c>
      <c r="AC685">
        <f t="shared" si="242"/>
        <v>0</v>
      </c>
      <c r="AD685" t="str">
        <f t="shared" si="243"/>
        <v>|0</v>
      </c>
      <c r="AE685" t="str">
        <f t="shared" si="244"/>
        <v/>
      </c>
      <c r="AF685" t="str">
        <f t="shared" si="245"/>
        <v/>
      </c>
      <c r="AG685" t="str">
        <f t="shared" si="246"/>
        <v/>
      </c>
      <c r="AH685" t="str">
        <f t="shared" si="247"/>
        <v/>
      </c>
      <c r="AI685" t="str">
        <f t="shared" si="248"/>
        <v/>
      </c>
      <c r="AJ685" t="str">
        <f t="shared" si="249"/>
        <v/>
      </c>
      <c r="AK685" t="str">
        <f t="shared" si="250"/>
        <v/>
      </c>
      <c r="AL685" t="str">
        <f t="shared" si="251"/>
        <v/>
      </c>
      <c r="AM685" t="str">
        <f t="shared" si="252"/>
        <v/>
      </c>
      <c r="AN685" t="str">
        <f t="shared" si="253"/>
        <v/>
      </c>
      <c r="AO685" t="str">
        <f t="shared" si="254"/>
        <v/>
      </c>
      <c r="AP685">
        <f t="shared" si="255"/>
        <v>1</v>
      </c>
      <c r="AQ685" t="str">
        <f>IF(SAISIE!$F690="","",SAISIE!$Y690)</f>
        <v/>
      </c>
      <c r="AR685" t="str">
        <f>IF(OR(SAISIE!$U$4="",SAISIE!$W$4=""),"",IF(AND($A685=SAISIE!$U$4,$B685=SAISIE!$W$4,$C685="S1"),COUNTIFS($A$2:$A685,SAISIE!$U$4,$B$2:$B685,SAISIE!$W$4,$C$2:$C685,"S1"),""))</f>
        <v/>
      </c>
      <c r="AS685" t="str">
        <f t="shared" si="256"/>
        <v/>
      </c>
      <c r="AT685" t="str">
        <f t="shared" si="257"/>
        <v/>
      </c>
      <c r="AU685" t="str">
        <f t="shared" si="258"/>
        <v/>
      </c>
      <c r="AV685">
        <f>N(AV684)+IF(AND($AB685&lt;&gt;"",OR('PROFIL ELEVE'!$K$4="(Tous)",$AF685='PROFIL ELEVE'!$K$4)),1,0)</f>
        <v>0</v>
      </c>
      <c r="AW685">
        <f>N(AW684)+IF(AND($AB685&lt;&gt;"",OR('SUIVI LONGITUDINAL'!$Q$4="(Tous)",$AF685='SUIVI LONGITUDINAL'!$Q$4)),1,0)</f>
        <v>0</v>
      </c>
      <c r="AX685">
        <f t="shared" si="259"/>
        <v>0</v>
      </c>
      <c r="AY685">
        <f t="shared" si="260"/>
        <v>0</v>
      </c>
      <c r="AZ685">
        <f t="shared" si="261"/>
        <v>0</v>
      </c>
      <c r="BA685" t="str">
        <f t="shared" si="262"/>
        <v/>
      </c>
      <c r="BB685" t="str">
        <f t="shared" si="263"/>
        <v/>
      </c>
    </row>
    <row r="686" spans="1:54" ht="14.25" customHeight="1" x14ac:dyDescent="0.3">
      <c r="A686" t="str">
        <f>IF(SAISIE!$F691="","",SAISIE!$B691)</f>
        <v/>
      </c>
      <c r="B686" t="str">
        <f>IF(SAISIE!$F691="","",SAISIE!$C691)</f>
        <v/>
      </c>
      <c r="C686" t="str">
        <f>IF(SAISIE!$F691="","",SAISIE!$D691)</f>
        <v/>
      </c>
      <c r="D686" t="str">
        <f>IF(SAISIE!$E691="","",SAISIE!$E691)</f>
        <v/>
      </c>
      <c r="E686" t="str">
        <f>IF(SAISIE!$F691="","",SAISIE!$F691)</f>
        <v/>
      </c>
      <c r="F686" t="str">
        <f>IF(SAISIE!$G691="","",SAISIE!$G691)</f>
        <v/>
      </c>
      <c r="G686" t="str">
        <f>IF(SAISIE!$H691="","",SAISIE!$H691)</f>
        <v/>
      </c>
      <c r="H686" t="str">
        <f>IF(SAISIE!$I691="","",SAISIE!$I691)</f>
        <v/>
      </c>
      <c r="I686" t="str">
        <f>IF(SAISIE!$J691="","",SAISIE!$J691)</f>
        <v/>
      </c>
      <c r="J686" t="str">
        <f>IF(SAISIE!$K691="","",SAISIE!$K691)</f>
        <v/>
      </c>
      <c r="K686" t="str">
        <f>IF(SAISIE!$L691="","",SAISIE!$L691)</f>
        <v/>
      </c>
      <c r="L686" t="str">
        <f>IF(SAISIE!$M691="","",SAISIE!$M691)</f>
        <v/>
      </c>
      <c r="M686" t="str">
        <f>IF(SAISIE!$N691="","",SAISIE!$N691)</f>
        <v/>
      </c>
      <c r="N686" t="str">
        <f>IF(SAISIE!$O691="","",SAISIE!$O691)</f>
        <v/>
      </c>
      <c r="O686" t="str">
        <f>IF(SAISIE!$P691="","",SAISIE!$P691)</f>
        <v/>
      </c>
      <c r="P686" t="str">
        <f>IF(SAISIE!$Q691="","",SAISIE!$Q691)</f>
        <v/>
      </c>
      <c r="Q686" t="str">
        <f>IF($I686="","",IF($I686&gt;PARAMETRES!$G$29,5,IF($I686&gt;PARAMETRES!$F$29,4,IF($I686&gt;PARAMETRES!$E$29,3,IF($I686&gt;PARAMETRES!$D$29,2,1)))))</f>
        <v/>
      </c>
      <c r="R686" t="str">
        <f>IF($J686="","",IF($J686&gt;PARAMETRES!$G$30,5,IF($J686&gt;PARAMETRES!$F$30,4,IF($J686&gt;PARAMETRES!$E$30,3,IF($J686&gt;PARAMETRES!$D$30,2,1)))))</f>
        <v/>
      </c>
      <c r="S686" t="str">
        <f>IF($K686="","",IF($Z686=2,IF($K686&gt;PARAMETRES!$G$31,5,IF($K686&gt;PARAMETRES!$F$31,4,IF($K686&gt;PARAMETRES!$E$31,3,IF($K686&gt;PARAMETRES!$D$31,2,1)))),IF($K686&gt;PARAMETRES!$G$32,5,IF($K686&gt;PARAMETRES!$F$32,4,IF($K686&gt;PARAMETRES!$E$32,3,IF($K686&gt;PARAMETRES!$D$32,2,1))))))</f>
        <v/>
      </c>
      <c r="T686" t="str">
        <f>IF($L686="","",IF($L686&gt;PARAMETRES!$G$33,5,IF($L686&gt;PARAMETRES!$F$33,4,IF($L686&gt;PARAMETRES!$E$33,3,IF($L686&gt;PARAMETRES!$D$33,2,1)))))</f>
        <v/>
      </c>
      <c r="U686" t="str">
        <f>IF($M686="","",IF($M686&gt;PARAMETRES!$G$34,5,IF($M686&gt;PARAMETRES!$F$34,4,IF($M686&gt;PARAMETRES!$E$34,3,IF($M686&gt;PARAMETRES!$D$34,2,1)))))</f>
        <v/>
      </c>
      <c r="V686" t="str">
        <f>IF($N686="","",IF($N686&gt;PARAMETRES!$G$35,5,IF($N686&gt;PARAMETRES!$F$35,4,IF($N686&gt;PARAMETRES!$E$35,3,IF($N686&gt;PARAMETRES!$D$35,2,1)))))</f>
        <v/>
      </c>
      <c r="W686" t="str">
        <f>IF($O686="","",IF($O686&gt;PARAMETRES!$G$36,5,IF($O686&gt;PARAMETRES!$F$36,4,IF($O686&gt;PARAMETRES!$E$36,3,IF($O686&gt;PARAMETRES!$D$36,2,1)))))</f>
        <v/>
      </c>
      <c r="X686" t="str">
        <f>IF($P686="","",IF($P686&gt;PARAMETRES!$G$37,5,IF($P686&gt;PARAMETRES!$F$37,4,IF($P686&gt;PARAMETRES!$E$37,3,IF($P686&gt;PARAMETRES!$D$37,2,1)))))</f>
        <v/>
      </c>
      <c r="Y686" t="str">
        <f t="shared" si="240"/>
        <v/>
      </c>
      <c r="Z686" t="str">
        <f>IFERROR(VLOOKUP($B686,TABLE_CYCLE,2,0),"")</f>
        <v/>
      </c>
      <c r="AA686" t="str">
        <f t="shared" si="241"/>
        <v/>
      </c>
      <c r="AB686" t="str">
        <f>IF($D686="","",IF(COUNTIF($D$2:$D686,$D686)=1,$D686,""))</f>
        <v/>
      </c>
      <c r="AC686">
        <f t="shared" si="242"/>
        <v>0</v>
      </c>
      <c r="AD686" t="str">
        <f t="shared" si="243"/>
        <v>|0</v>
      </c>
      <c r="AE686" t="str">
        <f t="shared" si="244"/>
        <v/>
      </c>
      <c r="AF686" t="str">
        <f t="shared" si="245"/>
        <v/>
      </c>
      <c r="AG686" t="str">
        <f t="shared" si="246"/>
        <v/>
      </c>
      <c r="AH686" t="str">
        <f t="shared" si="247"/>
        <v/>
      </c>
      <c r="AI686" t="str">
        <f t="shared" si="248"/>
        <v/>
      </c>
      <c r="AJ686" t="str">
        <f t="shared" si="249"/>
        <v/>
      </c>
      <c r="AK686" t="str">
        <f t="shared" si="250"/>
        <v/>
      </c>
      <c r="AL686" t="str">
        <f t="shared" si="251"/>
        <v/>
      </c>
      <c r="AM686" t="str">
        <f t="shared" si="252"/>
        <v/>
      </c>
      <c r="AN686" t="str">
        <f t="shared" si="253"/>
        <v/>
      </c>
      <c r="AO686" t="str">
        <f t="shared" si="254"/>
        <v/>
      </c>
      <c r="AP686">
        <f t="shared" si="255"/>
        <v>1</v>
      </c>
      <c r="AQ686" t="str">
        <f>IF(SAISIE!$F691="","",SAISIE!$Y691)</f>
        <v/>
      </c>
      <c r="AR686" t="str">
        <f>IF(OR(SAISIE!$U$4="",SAISIE!$W$4=""),"",IF(AND($A686=SAISIE!$U$4,$B686=SAISIE!$W$4,$C686="S1"),COUNTIFS($A$2:$A686,SAISIE!$U$4,$B$2:$B686,SAISIE!$W$4,$C$2:$C686,"S1"),""))</f>
        <v/>
      </c>
      <c r="AS686" t="str">
        <f t="shared" si="256"/>
        <v/>
      </c>
      <c r="AT686" t="str">
        <f t="shared" si="257"/>
        <v/>
      </c>
      <c r="AU686" t="str">
        <f t="shared" si="258"/>
        <v/>
      </c>
      <c r="AV686">
        <f>N(AV685)+IF(AND($AB686&lt;&gt;"",OR('PROFIL ELEVE'!$K$4="(Tous)",$AF686='PROFIL ELEVE'!$K$4)),1,0)</f>
        <v>0</v>
      </c>
      <c r="AW686">
        <f>N(AW685)+IF(AND($AB686&lt;&gt;"",OR('SUIVI LONGITUDINAL'!$Q$4="(Tous)",$AF686='SUIVI LONGITUDINAL'!$Q$4)),1,0)</f>
        <v>0</v>
      </c>
      <c r="AX686">
        <f t="shared" si="259"/>
        <v>0</v>
      </c>
      <c r="AY686">
        <f t="shared" si="260"/>
        <v>0</v>
      </c>
      <c r="AZ686">
        <f t="shared" si="261"/>
        <v>0</v>
      </c>
      <c r="BA686" t="str">
        <f t="shared" si="262"/>
        <v/>
      </c>
      <c r="BB686" t="str">
        <f t="shared" si="263"/>
        <v/>
      </c>
    </row>
    <row r="687" spans="1:54" ht="14.25" customHeight="1" x14ac:dyDescent="0.3">
      <c r="A687" t="str">
        <f>IF(SAISIE!$F692="","",SAISIE!$B692)</f>
        <v/>
      </c>
      <c r="B687" t="str">
        <f>IF(SAISIE!$F692="","",SAISIE!$C692)</f>
        <v/>
      </c>
      <c r="C687" t="str">
        <f>IF(SAISIE!$F692="","",SAISIE!$D692)</f>
        <v/>
      </c>
      <c r="D687" t="str">
        <f>IF(SAISIE!$E692="","",SAISIE!$E692)</f>
        <v/>
      </c>
      <c r="E687" t="str">
        <f>IF(SAISIE!$F692="","",SAISIE!$F692)</f>
        <v/>
      </c>
      <c r="F687" t="str">
        <f>IF(SAISIE!$G692="","",SAISIE!$G692)</f>
        <v/>
      </c>
      <c r="G687" t="str">
        <f>IF(SAISIE!$H692="","",SAISIE!$H692)</f>
        <v/>
      </c>
      <c r="H687" t="str">
        <f>IF(SAISIE!$I692="","",SAISIE!$I692)</f>
        <v/>
      </c>
      <c r="I687" t="str">
        <f>IF(SAISIE!$J692="","",SAISIE!$J692)</f>
        <v/>
      </c>
      <c r="J687" t="str">
        <f>IF(SAISIE!$K692="","",SAISIE!$K692)</f>
        <v/>
      </c>
      <c r="K687" t="str">
        <f>IF(SAISIE!$L692="","",SAISIE!$L692)</f>
        <v/>
      </c>
      <c r="L687" t="str">
        <f>IF(SAISIE!$M692="","",SAISIE!$M692)</f>
        <v/>
      </c>
      <c r="M687" t="str">
        <f>IF(SAISIE!$N692="","",SAISIE!$N692)</f>
        <v/>
      </c>
      <c r="N687" t="str">
        <f>IF(SAISIE!$O692="","",SAISIE!$O692)</f>
        <v/>
      </c>
      <c r="O687" t="str">
        <f>IF(SAISIE!$P692="","",SAISIE!$P692)</f>
        <v/>
      </c>
      <c r="P687" t="str">
        <f>IF(SAISIE!$Q692="","",SAISIE!$Q692)</f>
        <v/>
      </c>
      <c r="Q687" t="str">
        <f>IF($I687="","",IF($I687&gt;PARAMETRES!$G$29,5,IF($I687&gt;PARAMETRES!$F$29,4,IF($I687&gt;PARAMETRES!$E$29,3,IF($I687&gt;PARAMETRES!$D$29,2,1)))))</f>
        <v/>
      </c>
      <c r="R687" t="str">
        <f>IF($J687="","",IF($J687&gt;PARAMETRES!$G$30,5,IF($J687&gt;PARAMETRES!$F$30,4,IF($J687&gt;PARAMETRES!$E$30,3,IF($J687&gt;PARAMETRES!$D$30,2,1)))))</f>
        <v/>
      </c>
      <c r="S687" t="str">
        <f>IF($K687="","",IF($Z687=2,IF($K687&gt;PARAMETRES!$G$31,5,IF($K687&gt;PARAMETRES!$F$31,4,IF($K687&gt;PARAMETRES!$E$31,3,IF($K687&gt;PARAMETRES!$D$31,2,1)))),IF($K687&gt;PARAMETRES!$G$32,5,IF($K687&gt;PARAMETRES!$F$32,4,IF($K687&gt;PARAMETRES!$E$32,3,IF($K687&gt;PARAMETRES!$D$32,2,1))))))</f>
        <v/>
      </c>
      <c r="T687" t="str">
        <f>IF($L687="","",IF($L687&gt;PARAMETRES!$G$33,5,IF($L687&gt;PARAMETRES!$F$33,4,IF($L687&gt;PARAMETRES!$E$33,3,IF($L687&gt;PARAMETRES!$D$33,2,1)))))</f>
        <v/>
      </c>
      <c r="U687" t="str">
        <f>IF($M687="","",IF($M687&gt;PARAMETRES!$G$34,5,IF($M687&gt;PARAMETRES!$F$34,4,IF($M687&gt;PARAMETRES!$E$34,3,IF($M687&gt;PARAMETRES!$D$34,2,1)))))</f>
        <v/>
      </c>
      <c r="V687" t="str">
        <f>IF($N687="","",IF($N687&gt;PARAMETRES!$G$35,5,IF($N687&gt;PARAMETRES!$F$35,4,IF($N687&gt;PARAMETRES!$E$35,3,IF($N687&gt;PARAMETRES!$D$35,2,1)))))</f>
        <v/>
      </c>
      <c r="W687" t="str">
        <f>IF($O687="","",IF($O687&gt;PARAMETRES!$G$36,5,IF($O687&gt;PARAMETRES!$F$36,4,IF($O687&gt;PARAMETRES!$E$36,3,IF($O687&gt;PARAMETRES!$D$36,2,1)))))</f>
        <v/>
      </c>
      <c r="X687" t="str">
        <f>IF($P687="","",IF($P687&gt;PARAMETRES!$G$37,5,IF($P687&gt;PARAMETRES!$F$37,4,IF($P687&gt;PARAMETRES!$E$37,3,IF($P687&gt;PARAMETRES!$D$37,2,1)))))</f>
        <v/>
      </c>
      <c r="Y687" t="str">
        <f t="shared" si="240"/>
        <v/>
      </c>
      <c r="Z687" t="str">
        <f>IFERROR(VLOOKUP($B687,TABLE_CYCLE,2,0),"")</f>
        <v/>
      </c>
      <c r="AA687" t="str">
        <f t="shared" si="241"/>
        <v/>
      </c>
      <c r="AB687" t="str">
        <f>IF($D687="","",IF(COUNTIF($D$2:$D687,$D687)=1,$D687,""))</f>
        <v/>
      </c>
      <c r="AC687">
        <f t="shared" si="242"/>
        <v>0</v>
      </c>
      <c r="AD687" t="str">
        <f t="shared" si="243"/>
        <v>|0</v>
      </c>
      <c r="AE687" t="str">
        <f t="shared" si="244"/>
        <v/>
      </c>
      <c r="AF687" t="str">
        <f t="shared" si="245"/>
        <v/>
      </c>
      <c r="AG687" t="str">
        <f t="shared" si="246"/>
        <v/>
      </c>
      <c r="AH687" t="str">
        <f t="shared" si="247"/>
        <v/>
      </c>
      <c r="AI687" t="str">
        <f t="shared" si="248"/>
        <v/>
      </c>
      <c r="AJ687" t="str">
        <f t="shared" si="249"/>
        <v/>
      </c>
      <c r="AK687" t="str">
        <f t="shared" si="250"/>
        <v/>
      </c>
      <c r="AL687" t="str">
        <f t="shared" si="251"/>
        <v/>
      </c>
      <c r="AM687" t="str">
        <f t="shared" si="252"/>
        <v/>
      </c>
      <c r="AN687" t="str">
        <f t="shared" si="253"/>
        <v/>
      </c>
      <c r="AO687" t="str">
        <f t="shared" si="254"/>
        <v/>
      </c>
      <c r="AP687">
        <f t="shared" si="255"/>
        <v>1</v>
      </c>
      <c r="AQ687" t="str">
        <f>IF(SAISIE!$F692="","",SAISIE!$Y692)</f>
        <v/>
      </c>
      <c r="AR687" t="str">
        <f>IF(OR(SAISIE!$U$4="",SAISIE!$W$4=""),"",IF(AND($A687=SAISIE!$U$4,$B687=SAISIE!$W$4,$C687="S1"),COUNTIFS($A$2:$A687,SAISIE!$U$4,$B$2:$B687,SAISIE!$W$4,$C$2:$C687,"S1"),""))</f>
        <v/>
      </c>
      <c r="AS687" t="str">
        <f t="shared" si="256"/>
        <v/>
      </c>
      <c r="AT687" t="str">
        <f t="shared" si="257"/>
        <v/>
      </c>
      <c r="AU687" t="str">
        <f t="shared" si="258"/>
        <v/>
      </c>
      <c r="AV687">
        <f>N(AV686)+IF(AND($AB687&lt;&gt;"",OR('PROFIL ELEVE'!$K$4="(Tous)",$AF687='PROFIL ELEVE'!$K$4)),1,0)</f>
        <v>0</v>
      </c>
      <c r="AW687">
        <f>N(AW686)+IF(AND($AB687&lt;&gt;"",OR('SUIVI LONGITUDINAL'!$Q$4="(Tous)",$AF687='SUIVI LONGITUDINAL'!$Q$4)),1,0)</f>
        <v>0</v>
      </c>
      <c r="AX687">
        <f t="shared" si="259"/>
        <v>0</v>
      </c>
      <c r="AY687">
        <f t="shared" si="260"/>
        <v>0</v>
      </c>
      <c r="AZ687">
        <f t="shared" si="261"/>
        <v>0</v>
      </c>
      <c r="BA687" t="str">
        <f t="shared" si="262"/>
        <v/>
      </c>
      <c r="BB687" t="str">
        <f t="shared" si="263"/>
        <v/>
      </c>
    </row>
    <row r="688" spans="1:54" ht="14.25" customHeight="1" x14ac:dyDescent="0.3">
      <c r="A688" t="str">
        <f>IF(SAISIE!$F693="","",SAISIE!$B693)</f>
        <v/>
      </c>
      <c r="B688" t="str">
        <f>IF(SAISIE!$F693="","",SAISIE!$C693)</f>
        <v/>
      </c>
      <c r="C688" t="str">
        <f>IF(SAISIE!$F693="","",SAISIE!$D693)</f>
        <v/>
      </c>
      <c r="D688" t="str">
        <f>IF(SAISIE!$E693="","",SAISIE!$E693)</f>
        <v/>
      </c>
      <c r="E688" t="str">
        <f>IF(SAISIE!$F693="","",SAISIE!$F693)</f>
        <v/>
      </c>
      <c r="F688" t="str">
        <f>IF(SAISIE!$G693="","",SAISIE!$G693)</f>
        <v/>
      </c>
      <c r="G688" t="str">
        <f>IF(SAISIE!$H693="","",SAISIE!$H693)</f>
        <v/>
      </c>
      <c r="H688" t="str">
        <f>IF(SAISIE!$I693="","",SAISIE!$I693)</f>
        <v/>
      </c>
      <c r="I688" t="str">
        <f>IF(SAISIE!$J693="","",SAISIE!$J693)</f>
        <v/>
      </c>
      <c r="J688" t="str">
        <f>IF(SAISIE!$K693="","",SAISIE!$K693)</f>
        <v/>
      </c>
      <c r="K688" t="str">
        <f>IF(SAISIE!$L693="","",SAISIE!$L693)</f>
        <v/>
      </c>
      <c r="L688" t="str">
        <f>IF(SAISIE!$M693="","",SAISIE!$M693)</f>
        <v/>
      </c>
      <c r="M688" t="str">
        <f>IF(SAISIE!$N693="","",SAISIE!$N693)</f>
        <v/>
      </c>
      <c r="N688" t="str">
        <f>IF(SAISIE!$O693="","",SAISIE!$O693)</f>
        <v/>
      </c>
      <c r="O688" t="str">
        <f>IF(SAISIE!$P693="","",SAISIE!$P693)</f>
        <v/>
      </c>
      <c r="P688" t="str">
        <f>IF(SAISIE!$Q693="","",SAISIE!$Q693)</f>
        <v/>
      </c>
      <c r="Q688" t="str">
        <f>IF($I688="","",IF($I688&gt;PARAMETRES!$G$29,5,IF($I688&gt;PARAMETRES!$F$29,4,IF($I688&gt;PARAMETRES!$E$29,3,IF($I688&gt;PARAMETRES!$D$29,2,1)))))</f>
        <v/>
      </c>
      <c r="R688" t="str">
        <f>IF($J688="","",IF($J688&gt;PARAMETRES!$G$30,5,IF($J688&gt;PARAMETRES!$F$30,4,IF($J688&gt;PARAMETRES!$E$30,3,IF($J688&gt;PARAMETRES!$D$30,2,1)))))</f>
        <v/>
      </c>
      <c r="S688" t="str">
        <f>IF($K688="","",IF($Z688=2,IF($K688&gt;PARAMETRES!$G$31,5,IF($K688&gt;PARAMETRES!$F$31,4,IF($K688&gt;PARAMETRES!$E$31,3,IF($K688&gt;PARAMETRES!$D$31,2,1)))),IF($K688&gt;PARAMETRES!$G$32,5,IF($K688&gt;PARAMETRES!$F$32,4,IF($K688&gt;PARAMETRES!$E$32,3,IF($K688&gt;PARAMETRES!$D$32,2,1))))))</f>
        <v/>
      </c>
      <c r="T688" t="str">
        <f>IF($L688="","",IF($L688&gt;PARAMETRES!$G$33,5,IF($L688&gt;PARAMETRES!$F$33,4,IF($L688&gt;PARAMETRES!$E$33,3,IF($L688&gt;PARAMETRES!$D$33,2,1)))))</f>
        <v/>
      </c>
      <c r="U688" t="str">
        <f>IF($M688="","",IF($M688&gt;PARAMETRES!$G$34,5,IF($M688&gt;PARAMETRES!$F$34,4,IF($M688&gt;PARAMETRES!$E$34,3,IF($M688&gt;PARAMETRES!$D$34,2,1)))))</f>
        <v/>
      </c>
      <c r="V688" t="str">
        <f>IF($N688="","",IF($N688&gt;PARAMETRES!$G$35,5,IF($N688&gt;PARAMETRES!$F$35,4,IF($N688&gt;PARAMETRES!$E$35,3,IF($N688&gt;PARAMETRES!$D$35,2,1)))))</f>
        <v/>
      </c>
      <c r="W688" t="str">
        <f>IF($O688="","",IF($O688&gt;PARAMETRES!$G$36,5,IF($O688&gt;PARAMETRES!$F$36,4,IF($O688&gt;PARAMETRES!$E$36,3,IF($O688&gt;PARAMETRES!$D$36,2,1)))))</f>
        <v/>
      </c>
      <c r="X688" t="str">
        <f>IF($P688="","",IF($P688&gt;PARAMETRES!$G$37,5,IF($P688&gt;PARAMETRES!$F$37,4,IF($P688&gt;PARAMETRES!$E$37,3,IF($P688&gt;PARAMETRES!$D$37,2,1)))))</f>
        <v/>
      </c>
      <c r="Y688" t="str">
        <f t="shared" si="240"/>
        <v/>
      </c>
      <c r="Z688" t="str">
        <f>IFERROR(VLOOKUP($B688,TABLE_CYCLE,2,0),"")</f>
        <v/>
      </c>
      <c r="AA688" t="str">
        <f t="shared" si="241"/>
        <v/>
      </c>
      <c r="AB688" t="str">
        <f>IF($D688="","",IF(COUNTIF($D$2:$D688,$D688)=1,$D688,""))</f>
        <v/>
      </c>
      <c r="AC688">
        <f t="shared" si="242"/>
        <v>0</v>
      </c>
      <c r="AD688" t="str">
        <f t="shared" si="243"/>
        <v>|0</v>
      </c>
      <c r="AE688" t="str">
        <f t="shared" si="244"/>
        <v/>
      </c>
      <c r="AF688" t="str">
        <f t="shared" si="245"/>
        <v/>
      </c>
      <c r="AG688" t="str">
        <f t="shared" si="246"/>
        <v/>
      </c>
      <c r="AH688" t="str">
        <f t="shared" si="247"/>
        <v/>
      </c>
      <c r="AI688" t="str">
        <f t="shared" si="248"/>
        <v/>
      </c>
      <c r="AJ688" t="str">
        <f t="shared" si="249"/>
        <v/>
      </c>
      <c r="AK688" t="str">
        <f t="shared" si="250"/>
        <v/>
      </c>
      <c r="AL688" t="str">
        <f t="shared" si="251"/>
        <v/>
      </c>
      <c r="AM688" t="str">
        <f t="shared" si="252"/>
        <v/>
      </c>
      <c r="AN688" t="str">
        <f t="shared" si="253"/>
        <v/>
      </c>
      <c r="AO688" t="str">
        <f t="shared" si="254"/>
        <v/>
      </c>
      <c r="AP688">
        <f t="shared" si="255"/>
        <v>1</v>
      </c>
      <c r="AQ688" t="str">
        <f>IF(SAISIE!$F693="","",SAISIE!$Y693)</f>
        <v/>
      </c>
      <c r="AR688" t="str">
        <f>IF(OR(SAISIE!$U$4="",SAISIE!$W$4=""),"",IF(AND($A688=SAISIE!$U$4,$B688=SAISIE!$W$4,$C688="S1"),COUNTIFS($A$2:$A688,SAISIE!$U$4,$B$2:$B688,SAISIE!$W$4,$C$2:$C688,"S1"),""))</f>
        <v/>
      </c>
      <c r="AS688" t="str">
        <f t="shared" si="256"/>
        <v/>
      </c>
      <c r="AT688" t="str">
        <f t="shared" si="257"/>
        <v/>
      </c>
      <c r="AU688" t="str">
        <f t="shared" si="258"/>
        <v/>
      </c>
      <c r="AV688">
        <f>N(AV687)+IF(AND($AB688&lt;&gt;"",OR('PROFIL ELEVE'!$K$4="(Tous)",$AF688='PROFIL ELEVE'!$K$4)),1,0)</f>
        <v>0</v>
      </c>
      <c r="AW688">
        <f>N(AW687)+IF(AND($AB688&lt;&gt;"",OR('SUIVI LONGITUDINAL'!$Q$4="(Tous)",$AF688='SUIVI LONGITUDINAL'!$Q$4)),1,0)</f>
        <v>0</v>
      </c>
      <c r="AX688">
        <f t="shared" si="259"/>
        <v>0</v>
      </c>
      <c r="AY688">
        <f t="shared" si="260"/>
        <v>0</v>
      </c>
      <c r="AZ688">
        <f t="shared" si="261"/>
        <v>0</v>
      </c>
      <c r="BA688" t="str">
        <f t="shared" si="262"/>
        <v/>
      </c>
      <c r="BB688" t="str">
        <f t="shared" si="263"/>
        <v/>
      </c>
    </row>
    <row r="689" spans="1:54" ht="14.25" customHeight="1" x14ac:dyDescent="0.3">
      <c r="A689" t="str">
        <f>IF(SAISIE!$F694="","",SAISIE!$B694)</f>
        <v/>
      </c>
      <c r="B689" t="str">
        <f>IF(SAISIE!$F694="","",SAISIE!$C694)</f>
        <v/>
      </c>
      <c r="C689" t="str">
        <f>IF(SAISIE!$F694="","",SAISIE!$D694)</f>
        <v/>
      </c>
      <c r="D689" t="str">
        <f>IF(SAISIE!$E694="","",SAISIE!$E694)</f>
        <v/>
      </c>
      <c r="E689" t="str">
        <f>IF(SAISIE!$F694="","",SAISIE!$F694)</f>
        <v/>
      </c>
      <c r="F689" t="str">
        <f>IF(SAISIE!$G694="","",SAISIE!$G694)</f>
        <v/>
      </c>
      <c r="G689" t="str">
        <f>IF(SAISIE!$H694="","",SAISIE!$H694)</f>
        <v/>
      </c>
      <c r="H689" t="str">
        <f>IF(SAISIE!$I694="","",SAISIE!$I694)</f>
        <v/>
      </c>
      <c r="I689" t="str">
        <f>IF(SAISIE!$J694="","",SAISIE!$J694)</f>
        <v/>
      </c>
      <c r="J689" t="str">
        <f>IF(SAISIE!$K694="","",SAISIE!$K694)</f>
        <v/>
      </c>
      <c r="K689" t="str">
        <f>IF(SAISIE!$L694="","",SAISIE!$L694)</f>
        <v/>
      </c>
      <c r="L689" t="str">
        <f>IF(SAISIE!$M694="","",SAISIE!$M694)</f>
        <v/>
      </c>
      <c r="M689" t="str">
        <f>IF(SAISIE!$N694="","",SAISIE!$N694)</f>
        <v/>
      </c>
      <c r="N689" t="str">
        <f>IF(SAISIE!$O694="","",SAISIE!$O694)</f>
        <v/>
      </c>
      <c r="O689" t="str">
        <f>IF(SAISIE!$P694="","",SAISIE!$P694)</f>
        <v/>
      </c>
      <c r="P689" t="str">
        <f>IF(SAISIE!$Q694="","",SAISIE!$Q694)</f>
        <v/>
      </c>
      <c r="Q689" t="str">
        <f>IF($I689="","",IF($I689&gt;PARAMETRES!$G$29,5,IF($I689&gt;PARAMETRES!$F$29,4,IF($I689&gt;PARAMETRES!$E$29,3,IF($I689&gt;PARAMETRES!$D$29,2,1)))))</f>
        <v/>
      </c>
      <c r="R689" t="str">
        <f>IF($J689="","",IF($J689&gt;PARAMETRES!$G$30,5,IF($J689&gt;PARAMETRES!$F$30,4,IF($J689&gt;PARAMETRES!$E$30,3,IF($J689&gt;PARAMETRES!$D$30,2,1)))))</f>
        <v/>
      </c>
      <c r="S689" t="str">
        <f>IF($K689="","",IF($Z689=2,IF($K689&gt;PARAMETRES!$G$31,5,IF($K689&gt;PARAMETRES!$F$31,4,IF($K689&gt;PARAMETRES!$E$31,3,IF($K689&gt;PARAMETRES!$D$31,2,1)))),IF($K689&gt;PARAMETRES!$G$32,5,IF($K689&gt;PARAMETRES!$F$32,4,IF($K689&gt;PARAMETRES!$E$32,3,IF($K689&gt;PARAMETRES!$D$32,2,1))))))</f>
        <v/>
      </c>
      <c r="T689" t="str">
        <f>IF($L689="","",IF($L689&gt;PARAMETRES!$G$33,5,IF($L689&gt;PARAMETRES!$F$33,4,IF($L689&gt;PARAMETRES!$E$33,3,IF($L689&gt;PARAMETRES!$D$33,2,1)))))</f>
        <v/>
      </c>
      <c r="U689" t="str">
        <f>IF($M689="","",IF($M689&gt;PARAMETRES!$G$34,5,IF($M689&gt;PARAMETRES!$F$34,4,IF($M689&gt;PARAMETRES!$E$34,3,IF($M689&gt;PARAMETRES!$D$34,2,1)))))</f>
        <v/>
      </c>
      <c r="V689" t="str">
        <f>IF($N689="","",IF($N689&gt;PARAMETRES!$G$35,5,IF($N689&gt;PARAMETRES!$F$35,4,IF($N689&gt;PARAMETRES!$E$35,3,IF($N689&gt;PARAMETRES!$D$35,2,1)))))</f>
        <v/>
      </c>
      <c r="W689" t="str">
        <f>IF($O689="","",IF($O689&gt;PARAMETRES!$G$36,5,IF($O689&gt;PARAMETRES!$F$36,4,IF($O689&gt;PARAMETRES!$E$36,3,IF($O689&gt;PARAMETRES!$D$36,2,1)))))</f>
        <v/>
      </c>
      <c r="X689" t="str">
        <f>IF($P689="","",IF($P689&gt;PARAMETRES!$G$37,5,IF($P689&gt;PARAMETRES!$F$37,4,IF($P689&gt;PARAMETRES!$E$37,3,IF($P689&gt;PARAMETRES!$D$37,2,1)))))</f>
        <v/>
      </c>
      <c r="Y689" t="str">
        <f t="shared" si="240"/>
        <v/>
      </c>
      <c r="Z689" t="str">
        <f>IFERROR(VLOOKUP($B689,TABLE_CYCLE,2,0),"")</f>
        <v/>
      </c>
      <c r="AA689" t="str">
        <f t="shared" si="241"/>
        <v/>
      </c>
      <c r="AB689" t="str">
        <f>IF($D689="","",IF(COUNTIF($D$2:$D689,$D689)=1,$D689,""))</f>
        <v/>
      </c>
      <c r="AC689">
        <f t="shared" si="242"/>
        <v>0</v>
      </c>
      <c r="AD689" t="str">
        <f t="shared" si="243"/>
        <v>|0</v>
      </c>
      <c r="AE689" t="str">
        <f t="shared" si="244"/>
        <v/>
      </c>
      <c r="AF689" t="str">
        <f t="shared" si="245"/>
        <v/>
      </c>
      <c r="AG689" t="str">
        <f t="shared" si="246"/>
        <v/>
      </c>
      <c r="AH689" t="str">
        <f t="shared" si="247"/>
        <v/>
      </c>
      <c r="AI689" t="str">
        <f t="shared" si="248"/>
        <v/>
      </c>
      <c r="AJ689" t="str">
        <f t="shared" si="249"/>
        <v/>
      </c>
      <c r="AK689" t="str">
        <f t="shared" si="250"/>
        <v/>
      </c>
      <c r="AL689" t="str">
        <f t="shared" si="251"/>
        <v/>
      </c>
      <c r="AM689" t="str">
        <f t="shared" si="252"/>
        <v/>
      </c>
      <c r="AN689" t="str">
        <f t="shared" si="253"/>
        <v/>
      </c>
      <c r="AO689" t="str">
        <f t="shared" si="254"/>
        <v/>
      </c>
      <c r="AP689">
        <f t="shared" si="255"/>
        <v>1</v>
      </c>
      <c r="AQ689" t="str">
        <f>IF(SAISIE!$F694="","",SAISIE!$Y694)</f>
        <v/>
      </c>
      <c r="AR689" t="str">
        <f>IF(OR(SAISIE!$U$4="",SAISIE!$W$4=""),"",IF(AND($A689=SAISIE!$U$4,$B689=SAISIE!$W$4,$C689="S1"),COUNTIFS($A$2:$A689,SAISIE!$U$4,$B$2:$B689,SAISIE!$W$4,$C$2:$C689,"S1"),""))</f>
        <v/>
      </c>
      <c r="AS689" t="str">
        <f t="shared" si="256"/>
        <v/>
      </c>
      <c r="AT689" t="str">
        <f t="shared" si="257"/>
        <v/>
      </c>
      <c r="AU689" t="str">
        <f t="shared" si="258"/>
        <v/>
      </c>
      <c r="AV689">
        <f>N(AV688)+IF(AND($AB689&lt;&gt;"",OR('PROFIL ELEVE'!$K$4="(Tous)",$AF689='PROFIL ELEVE'!$K$4)),1,0)</f>
        <v>0</v>
      </c>
      <c r="AW689">
        <f>N(AW688)+IF(AND($AB689&lt;&gt;"",OR('SUIVI LONGITUDINAL'!$Q$4="(Tous)",$AF689='SUIVI LONGITUDINAL'!$Q$4)),1,0)</f>
        <v>0</v>
      </c>
      <c r="AX689">
        <f t="shared" si="259"/>
        <v>0</v>
      </c>
      <c r="AY689">
        <f t="shared" si="260"/>
        <v>0</v>
      </c>
      <c r="AZ689">
        <f t="shared" si="261"/>
        <v>0</v>
      </c>
      <c r="BA689" t="str">
        <f t="shared" si="262"/>
        <v/>
      </c>
      <c r="BB689" t="str">
        <f t="shared" si="263"/>
        <v/>
      </c>
    </row>
    <row r="690" spans="1:54" ht="14.25" customHeight="1" x14ac:dyDescent="0.3">
      <c r="A690" t="str">
        <f>IF(SAISIE!$F695="","",SAISIE!$B695)</f>
        <v/>
      </c>
      <c r="B690" t="str">
        <f>IF(SAISIE!$F695="","",SAISIE!$C695)</f>
        <v/>
      </c>
      <c r="C690" t="str">
        <f>IF(SAISIE!$F695="","",SAISIE!$D695)</f>
        <v/>
      </c>
      <c r="D690" t="str">
        <f>IF(SAISIE!$E695="","",SAISIE!$E695)</f>
        <v/>
      </c>
      <c r="E690" t="str">
        <f>IF(SAISIE!$F695="","",SAISIE!$F695)</f>
        <v/>
      </c>
      <c r="F690" t="str">
        <f>IF(SAISIE!$G695="","",SAISIE!$G695)</f>
        <v/>
      </c>
      <c r="G690" t="str">
        <f>IF(SAISIE!$H695="","",SAISIE!$H695)</f>
        <v/>
      </c>
      <c r="H690" t="str">
        <f>IF(SAISIE!$I695="","",SAISIE!$I695)</f>
        <v/>
      </c>
      <c r="I690" t="str">
        <f>IF(SAISIE!$J695="","",SAISIE!$J695)</f>
        <v/>
      </c>
      <c r="J690" t="str">
        <f>IF(SAISIE!$K695="","",SAISIE!$K695)</f>
        <v/>
      </c>
      <c r="K690" t="str">
        <f>IF(SAISIE!$L695="","",SAISIE!$L695)</f>
        <v/>
      </c>
      <c r="L690" t="str">
        <f>IF(SAISIE!$M695="","",SAISIE!$M695)</f>
        <v/>
      </c>
      <c r="M690" t="str">
        <f>IF(SAISIE!$N695="","",SAISIE!$N695)</f>
        <v/>
      </c>
      <c r="N690" t="str">
        <f>IF(SAISIE!$O695="","",SAISIE!$O695)</f>
        <v/>
      </c>
      <c r="O690" t="str">
        <f>IF(SAISIE!$P695="","",SAISIE!$P695)</f>
        <v/>
      </c>
      <c r="P690" t="str">
        <f>IF(SAISIE!$Q695="","",SAISIE!$Q695)</f>
        <v/>
      </c>
      <c r="Q690" t="str">
        <f>IF($I690="","",IF($I690&gt;PARAMETRES!$G$29,5,IF($I690&gt;PARAMETRES!$F$29,4,IF($I690&gt;PARAMETRES!$E$29,3,IF($I690&gt;PARAMETRES!$D$29,2,1)))))</f>
        <v/>
      </c>
      <c r="R690" t="str">
        <f>IF($J690="","",IF($J690&gt;PARAMETRES!$G$30,5,IF($J690&gt;PARAMETRES!$F$30,4,IF($J690&gt;PARAMETRES!$E$30,3,IF($J690&gt;PARAMETRES!$D$30,2,1)))))</f>
        <v/>
      </c>
      <c r="S690" t="str">
        <f>IF($K690="","",IF($Z690=2,IF($K690&gt;PARAMETRES!$G$31,5,IF($K690&gt;PARAMETRES!$F$31,4,IF($K690&gt;PARAMETRES!$E$31,3,IF($K690&gt;PARAMETRES!$D$31,2,1)))),IF($K690&gt;PARAMETRES!$G$32,5,IF($K690&gt;PARAMETRES!$F$32,4,IF($K690&gt;PARAMETRES!$E$32,3,IF($K690&gt;PARAMETRES!$D$32,2,1))))))</f>
        <v/>
      </c>
      <c r="T690" t="str">
        <f>IF($L690="","",IF($L690&gt;PARAMETRES!$G$33,5,IF($L690&gt;PARAMETRES!$F$33,4,IF($L690&gt;PARAMETRES!$E$33,3,IF($L690&gt;PARAMETRES!$D$33,2,1)))))</f>
        <v/>
      </c>
      <c r="U690" t="str">
        <f>IF($M690="","",IF($M690&gt;PARAMETRES!$G$34,5,IF($M690&gt;PARAMETRES!$F$34,4,IF($M690&gt;PARAMETRES!$E$34,3,IF($M690&gt;PARAMETRES!$D$34,2,1)))))</f>
        <v/>
      </c>
      <c r="V690" t="str">
        <f>IF($N690="","",IF($N690&gt;PARAMETRES!$G$35,5,IF($N690&gt;PARAMETRES!$F$35,4,IF($N690&gt;PARAMETRES!$E$35,3,IF($N690&gt;PARAMETRES!$D$35,2,1)))))</f>
        <v/>
      </c>
      <c r="W690" t="str">
        <f>IF($O690="","",IF($O690&gt;PARAMETRES!$G$36,5,IF($O690&gt;PARAMETRES!$F$36,4,IF($O690&gt;PARAMETRES!$E$36,3,IF($O690&gt;PARAMETRES!$D$36,2,1)))))</f>
        <v/>
      </c>
      <c r="X690" t="str">
        <f>IF($P690="","",IF($P690&gt;PARAMETRES!$G$37,5,IF($P690&gt;PARAMETRES!$F$37,4,IF($P690&gt;PARAMETRES!$E$37,3,IF($P690&gt;PARAMETRES!$D$37,2,1)))))</f>
        <v/>
      </c>
      <c r="Y690" t="str">
        <f t="shared" si="240"/>
        <v/>
      </c>
      <c r="Z690" t="str">
        <f>IFERROR(VLOOKUP($B690,TABLE_CYCLE,2,0),"")</f>
        <v/>
      </c>
      <c r="AA690" t="str">
        <f t="shared" si="241"/>
        <v/>
      </c>
      <c r="AB690" t="str">
        <f>IF($D690="","",IF(COUNTIF($D$2:$D690,$D690)=1,$D690,""))</f>
        <v/>
      </c>
      <c r="AC690">
        <f t="shared" si="242"/>
        <v>0</v>
      </c>
      <c r="AD690" t="str">
        <f t="shared" si="243"/>
        <v>|0</v>
      </c>
      <c r="AE690" t="str">
        <f t="shared" si="244"/>
        <v/>
      </c>
      <c r="AF690" t="str">
        <f t="shared" si="245"/>
        <v/>
      </c>
      <c r="AG690" t="str">
        <f t="shared" si="246"/>
        <v/>
      </c>
      <c r="AH690" t="str">
        <f t="shared" si="247"/>
        <v/>
      </c>
      <c r="AI690" t="str">
        <f t="shared" si="248"/>
        <v/>
      </c>
      <c r="AJ690" t="str">
        <f t="shared" si="249"/>
        <v/>
      </c>
      <c r="AK690" t="str">
        <f t="shared" si="250"/>
        <v/>
      </c>
      <c r="AL690" t="str">
        <f t="shared" si="251"/>
        <v/>
      </c>
      <c r="AM690" t="str">
        <f t="shared" si="252"/>
        <v/>
      </c>
      <c r="AN690" t="str">
        <f t="shared" si="253"/>
        <v/>
      </c>
      <c r="AO690" t="str">
        <f t="shared" si="254"/>
        <v/>
      </c>
      <c r="AP690">
        <f t="shared" si="255"/>
        <v>1</v>
      </c>
      <c r="AQ690" t="str">
        <f>IF(SAISIE!$F695="","",SAISIE!$Y695)</f>
        <v/>
      </c>
      <c r="AR690" t="str">
        <f>IF(OR(SAISIE!$U$4="",SAISIE!$W$4=""),"",IF(AND($A690=SAISIE!$U$4,$B690=SAISIE!$W$4,$C690="S1"),COUNTIFS($A$2:$A690,SAISIE!$U$4,$B$2:$B690,SAISIE!$W$4,$C$2:$C690,"S1"),""))</f>
        <v/>
      </c>
      <c r="AS690" t="str">
        <f t="shared" si="256"/>
        <v/>
      </c>
      <c r="AT690" t="str">
        <f t="shared" si="257"/>
        <v/>
      </c>
      <c r="AU690" t="str">
        <f t="shared" si="258"/>
        <v/>
      </c>
      <c r="AV690">
        <f>N(AV689)+IF(AND($AB690&lt;&gt;"",OR('PROFIL ELEVE'!$K$4="(Tous)",$AF690='PROFIL ELEVE'!$K$4)),1,0)</f>
        <v>0</v>
      </c>
      <c r="AW690">
        <f>N(AW689)+IF(AND($AB690&lt;&gt;"",OR('SUIVI LONGITUDINAL'!$Q$4="(Tous)",$AF690='SUIVI LONGITUDINAL'!$Q$4)),1,0)</f>
        <v>0</v>
      </c>
      <c r="AX690">
        <f t="shared" si="259"/>
        <v>0</v>
      </c>
      <c r="AY690">
        <f t="shared" si="260"/>
        <v>0</v>
      </c>
      <c r="AZ690">
        <f t="shared" si="261"/>
        <v>0</v>
      </c>
      <c r="BA690" t="str">
        <f t="shared" si="262"/>
        <v/>
      </c>
      <c r="BB690" t="str">
        <f t="shared" si="263"/>
        <v/>
      </c>
    </row>
    <row r="691" spans="1:54" ht="14.25" customHeight="1" x14ac:dyDescent="0.3">
      <c r="A691" t="str">
        <f>IF(SAISIE!$F696="","",SAISIE!$B696)</f>
        <v/>
      </c>
      <c r="B691" t="str">
        <f>IF(SAISIE!$F696="","",SAISIE!$C696)</f>
        <v/>
      </c>
      <c r="C691" t="str">
        <f>IF(SAISIE!$F696="","",SAISIE!$D696)</f>
        <v/>
      </c>
      <c r="D691" t="str">
        <f>IF(SAISIE!$E696="","",SAISIE!$E696)</f>
        <v/>
      </c>
      <c r="E691" t="str">
        <f>IF(SAISIE!$F696="","",SAISIE!$F696)</f>
        <v/>
      </c>
      <c r="F691" t="str">
        <f>IF(SAISIE!$G696="","",SAISIE!$G696)</f>
        <v/>
      </c>
      <c r="G691" t="str">
        <f>IF(SAISIE!$H696="","",SAISIE!$H696)</f>
        <v/>
      </c>
      <c r="H691" t="str">
        <f>IF(SAISIE!$I696="","",SAISIE!$I696)</f>
        <v/>
      </c>
      <c r="I691" t="str">
        <f>IF(SAISIE!$J696="","",SAISIE!$J696)</f>
        <v/>
      </c>
      <c r="J691" t="str">
        <f>IF(SAISIE!$K696="","",SAISIE!$K696)</f>
        <v/>
      </c>
      <c r="K691" t="str">
        <f>IF(SAISIE!$L696="","",SAISIE!$L696)</f>
        <v/>
      </c>
      <c r="L691" t="str">
        <f>IF(SAISIE!$M696="","",SAISIE!$M696)</f>
        <v/>
      </c>
      <c r="M691" t="str">
        <f>IF(SAISIE!$N696="","",SAISIE!$N696)</f>
        <v/>
      </c>
      <c r="N691" t="str">
        <f>IF(SAISIE!$O696="","",SAISIE!$O696)</f>
        <v/>
      </c>
      <c r="O691" t="str">
        <f>IF(SAISIE!$P696="","",SAISIE!$P696)</f>
        <v/>
      </c>
      <c r="P691" t="str">
        <f>IF(SAISIE!$Q696="","",SAISIE!$Q696)</f>
        <v/>
      </c>
      <c r="Q691" t="str">
        <f>IF($I691="","",IF($I691&gt;PARAMETRES!$G$29,5,IF($I691&gt;PARAMETRES!$F$29,4,IF($I691&gt;PARAMETRES!$E$29,3,IF($I691&gt;PARAMETRES!$D$29,2,1)))))</f>
        <v/>
      </c>
      <c r="R691" t="str">
        <f>IF($J691="","",IF($J691&gt;PARAMETRES!$G$30,5,IF($J691&gt;PARAMETRES!$F$30,4,IF($J691&gt;PARAMETRES!$E$30,3,IF($J691&gt;PARAMETRES!$D$30,2,1)))))</f>
        <v/>
      </c>
      <c r="S691" t="str">
        <f>IF($K691="","",IF($Z691=2,IF($K691&gt;PARAMETRES!$G$31,5,IF($K691&gt;PARAMETRES!$F$31,4,IF($K691&gt;PARAMETRES!$E$31,3,IF($K691&gt;PARAMETRES!$D$31,2,1)))),IF($K691&gt;PARAMETRES!$G$32,5,IF($K691&gt;PARAMETRES!$F$32,4,IF($K691&gt;PARAMETRES!$E$32,3,IF($K691&gt;PARAMETRES!$D$32,2,1))))))</f>
        <v/>
      </c>
      <c r="T691" t="str">
        <f>IF($L691="","",IF($L691&gt;PARAMETRES!$G$33,5,IF($L691&gt;PARAMETRES!$F$33,4,IF($L691&gt;PARAMETRES!$E$33,3,IF($L691&gt;PARAMETRES!$D$33,2,1)))))</f>
        <v/>
      </c>
      <c r="U691" t="str">
        <f>IF($M691="","",IF($M691&gt;PARAMETRES!$G$34,5,IF($M691&gt;PARAMETRES!$F$34,4,IF($M691&gt;PARAMETRES!$E$34,3,IF($M691&gt;PARAMETRES!$D$34,2,1)))))</f>
        <v/>
      </c>
      <c r="V691" t="str">
        <f>IF($N691="","",IF($N691&gt;PARAMETRES!$G$35,5,IF($N691&gt;PARAMETRES!$F$35,4,IF($N691&gt;PARAMETRES!$E$35,3,IF($N691&gt;PARAMETRES!$D$35,2,1)))))</f>
        <v/>
      </c>
      <c r="W691" t="str">
        <f>IF($O691="","",IF($O691&gt;PARAMETRES!$G$36,5,IF($O691&gt;PARAMETRES!$F$36,4,IF($O691&gt;PARAMETRES!$E$36,3,IF($O691&gt;PARAMETRES!$D$36,2,1)))))</f>
        <v/>
      </c>
      <c r="X691" t="str">
        <f>IF($P691="","",IF($P691&gt;PARAMETRES!$G$37,5,IF($P691&gt;PARAMETRES!$F$37,4,IF($P691&gt;PARAMETRES!$E$37,3,IF($P691&gt;PARAMETRES!$D$37,2,1)))))</f>
        <v/>
      </c>
      <c r="Y691" t="str">
        <f t="shared" si="240"/>
        <v/>
      </c>
      <c r="Z691" t="str">
        <f>IFERROR(VLOOKUP($B691,TABLE_CYCLE,2,0),"")</f>
        <v/>
      </c>
      <c r="AA691" t="str">
        <f t="shared" si="241"/>
        <v/>
      </c>
      <c r="AB691" t="str">
        <f>IF($D691="","",IF(COUNTIF($D$2:$D691,$D691)=1,$D691,""))</f>
        <v/>
      </c>
      <c r="AC691">
        <f t="shared" si="242"/>
        <v>0</v>
      </c>
      <c r="AD691" t="str">
        <f t="shared" si="243"/>
        <v>|0</v>
      </c>
      <c r="AE691" t="str">
        <f t="shared" si="244"/>
        <v/>
      </c>
      <c r="AF691" t="str">
        <f t="shared" si="245"/>
        <v/>
      </c>
      <c r="AG691" t="str">
        <f t="shared" si="246"/>
        <v/>
      </c>
      <c r="AH691" t="str">
        <f t="shared" si="247"/>
        <v/>
      </c>
      <c r="AI691" t="str">
        <f t="shared" si="248"/>
        <v/>
      </c>
      <c r="AJ691" t="str">
        <f t="shared" si="249"/>
        <v/>
      </c>
      <c r="AK691" t="str">
        <f t="shared" si="250"/>
        <v/>
      </c>
      <c r="AL691" t="str">
        <f t="shared" si="251"/>
        <v/>
      </c>
      <c r="AM691" t="str">
        <f t="shared" si="252"/>
        <v/>
      </c>
      <c r="AN691" t="str">
        <f t="shared" si="253"/>
        <v/>
      </c>
      <c r="AO691" t="str">
        <f t="shared" si="254"/>
        <v/>
      </c>
      <c r="AP691">
        <f t="shared" si="255"/>
        <v>1</v>
      </c>
      <c r="AQ691" t="str">
        <f>IF(SAISIE!$F696="","",SAISIE!$Y696)</f>
        <v/>
      </c>
      <c r="AR691" t="str">
        <f>IF(OR(SAISIE!$U$4="",SAISIE!$W$4=""),"",IF(AND($A691=SAISIE!$U$4,$B691=SAISIE!$W$4,$C691="S1"),COUNTIFS($A$2:$A691,SAISIE!$U$4,$B$2:$B691,SAISIE!$W$4,$C$2:$C691,"S1"),""))</f>
        <v/>
      </c>
      <c r="AS691" t="str">
        <f t="shared" si="256"/>
        <v/>
      </c>
      <c r="AT691" t="str">
        <f t="shared" si="257"/>
        <v/>
      </c>
      <c r="AU691" t="str">
        <f t="shared" si="258"/>
        <v/>
      </c>
      <c r="AV691">
        <f>N(AV690)+IF(AND($AB691&lt;&gt;"",OR('PROFIL ELEVE'!$K$4="(Tous)",$AF691='PROFIL ELEVE'!$K$4)),1,0)</f>
        <v>0</v>
      </c>
      <c r="AW691">
        <f>N(AW690)+IF(AND($AB691&lt;&gt;"",OR('SUIVI LONGITUDINAL'!$Q$4="(Tous)",$AF691='SUIVI LONGITUDINAL'!$Q$4)),1,0)</f>
        <v>0</v>
      </c>
      <c r="AX691">
        <f t="shared" si="259"/>
        <v>0</v>
      </c>
      <c r="AY691">
        <f t="shared" si="260"/>
        <v>0</v>
      </c>
      <c r="AZ691">
        <f t="shared" si="261"/>
        <v>0</v>
      </c>
      <c r="BA691" t="str">
        <f t="shared" si="262"/>
        <v/>
      </c>
      <c r="BB691" t="str">
        <f t="shared" si="263"/>
        <v/>
      </c>
    </row>
    <row r="692" spans="1:54" ht="14.25" customHeight="1" x14ac:dyDescent="0.3">
      <c r="A692" t="str">
        <f>IF(SAISIE!$F697="","",SAISIE!$B697)</f>
        <v/>
      </c>
      <c r="B692" t="str">
        <f>IF(SAISIE!$F697="","",SAISIE!$C697)</f>
        <v/>
      </c>
      <c r="C692" t="str">
        <f>IF(SAISIE!$F697="","",SAISIE!$D697)</f>
        <v/>
      </c>
      <c r="D692" t="str">
        <f>IF(SAISIE!$E697="","",SAISIE!$E697)</f>
        <v/>
      </c>
      <c r="E692" t="str">
        <f>IF(SAISIE!$F697="","",SAISIE!$F697)</f>
        <v/>
      </c>
      <c r="F692" t="str">
        <f>IF(SAISIE!$G697="","",SAISIE!$G697)</f>
        <v/>
      </c>
      <c r="G692" t="str">
        <f>IF(SAISIE!$H697="","",SAISIE!$H697)</f>
        <v/>
      </c>
      <c r="H692" t="str">
        <f>IF(SAISIE!$I697="","",SAISIE!$I697)</f>
        <v/>
      </c>
      <c r="I692" t="str">
        <f>IF(SAISIE!$J697="","",SAISIE!$J697)</f>
        <v/>
      </c>
      <c r="J692" t="str">
        <f>IF(SAISIE!$K697="","",SAISIE!$K697)</f>
        <v/>
      </c>
      <c r="K692" t="str">
        <f>IF(SAISIE!$L697="","",SAISIE!$L697)</f>
        <v/>
      </c>
      <c r="L692" t="str">
        <f>IF(SAISIE!$M697="","",SAISIE!$M697)</f>
        <v/>
      </c>
      <c r="M692" t="str">
        <f>IF(SAISIE!$N697="","",SAISIE!$N697)</f>
        <v/>
      </c>
      <c r="N692" t="str">
        <f>IF(SAISIE!$O697="","",SAISIE!$O697)</f>
        <v/>
      </c>
      <c r="O692" t="str">
        <f>IF(SAISIE!$P697="","",SAISIE!$P697)</f>
        <v/>
      </c>
      <c r="P692" t="str">
        <f>IF(SAISIE!$Q697="","",SAISIE!$Q697)</f>
        <v/>
      </c>
      <c r="Q692" t="str">
        <f>IF($I692="","",IF($I692&gt;PARAMETRES!$G$29,5,IF($I692&gt;PARAMETRES!$F$29,4,IF($I692&gt;PARAMETRES!$E$29,3,IF($I692&gt;PARAMETRES!$D$29,2,1)))))</f>
        <v/>
      </c>
      <c r="R692" t="str">
        <f>IF($J692="","",IF($J692&gt;PARAMETRES!$G$30,5,IF($J692&gt;PARAMETRES!$F$30,4,IF($J692&gt;PARAMETRES!$E$30,3,IF($J692&gt;PARAMETRES!$D$30,2,1)))))</f>
        <v/>
      </c>
      <c r="S692" t="str">
        <f>IF($K692="","",IF($Z692=2,IF($K692&gt;PARAMETRES!$G$31,5,IF($K692&gt;PARAMETRES!$F$31,4,IF($K692&gt;PARAMETRES!$E$31,3,IF($K692&gt;PARAMETRES!$D$31,2,1)))),IF($K692&gt;PARAMETRES!$G$32,5,IF($K692&gt;PARAMETRES!$F$32,4,IF($K692&gt;PARAMETRES!$E$32,3,IF($K692&gt;PARAMETRES!$D$32,2,1))))))</f>
        <v/>
      </c>
      <c r="T692" t="str">
        <f>IF($L692="","",IF($L692&gt;PARAMETRES!$G$33,5,IF($L692&gt;PARAMETRES!$F$33,4,IF($L692&gt;PARAMETRES!$E$33,3,IF($L692&gt;PARAMETRES!$D$33,2,1)))))</f>
        <v/>
      </c>
      <c r="U692" t="str">
        <f>IF($M692="","",IF($M692&gt;PARAMETRES!$G$34,5,IF($M692&gt;PARAMETRES!$F$34,4,IF($M692&gt;PARAMETRES!$E$34,3,IF($M692&gt;PARAMETRES!$D$34,2,1)))))</f>
        <v/>
      </c>
      <c r="V692" t="str">
        <f>IF($N692="","",IF($N692&gt;PARAMETRES!$G$35,5,IF($N692&gt;PARAMETRES!$F$35,4,IF($N692&gt;PARAMETRES!$E$35,3,IF($N692&gt;PARAMETRES!$D$35,2,1)))))</f>
        <v/>
      </c>
      <c r="W692" t="str">
        <f>IF($O692="","",IF($O692&gt;PARAMETRES!$G$36,5,IF($O692&gt;PARAMETRES!$F$36,4,IF($O692&gt;PARAMETRES!$E$36,3,IF($O692&gt;PARAMETRES!$D$36,2,1)))))</f>
        <v/>
      </c>
      <c r="X692" t="str">
        <f>IF($P692="","",IF($P692&gt;PARAMETRES!$G$37,5,IF($P692&gt;PARAMETRES!$F$37,4,IF($P692&gt;PARAMETRES!$E$37,3,IF($P692&gt;PARAMETRES!$D$37,2,1)))))</f>
        <v/>
      </c>
      <c r="Y692" t="str">
        <f t="shared" si="240"/>
        <v/>
      </c>
      <c r="Z692" t="str">
        <f>IFERROR(VLOOKUP($B692,TABLE_CYCLE,2,0),"")</f>
        <v/>
      </c>
      <c r="AA692" t="str">
        <f t="shared" si="241"/>
        <v/>
      </c>
      <c r="AB692" t="str">
        <f>IF($D692="","",IF(COUNTIF($D$2:$D692,$D692)=1,$D692,""))</f>
        <v/>
      </c>
      <c r="AC692">
        <f t="shared" si="242"/>
        <v>0</v>
      </c>
      <c r="AD692" t="str">
        <f t="shared" si="243"/>
        <v>|0</v>
      </c>
      <c r="AE692" t="str">
        <f t="shared" si="244"/>
        <v/>
      </c>
      <c r="AF692" t="str">
        <f t="shared" si="245"/>
        <v/>
      </c>
      <c r="AG692" t="str">
        <f t="shared" si="246"/>
        <v/>
      </c>
      <c r="AH692" t="str">
        <f t="shared" si="247"/>
        <v/>
      </c>
      <c r="AI692" t="str">
        <f t="shared" si="248"/>
        <v/>
      </c>
      <c r="AJ692" t="str">
        <f t="shared" si="249"/>
        <v/>
      </c>
      <c r="AK692" t="str">
        <f t="shared" si="250"/>
        <v/>
      </c>
      <c r="AL692" t="str">
        <f t="shared" si="251"/>
        <v/>
      </c>
      <c r="AM692" t="str">
        <f t="shared" si="252"/>
        <v/>
      </c>
      <c r="AN692" t="str">
        <f t="shared" si="253"/>
        <v/>
      </c>
      <c r="AO692" t="str">
        <f t="shared" si="254"/>
        <v/>
      </c>
      <c r="AP692">
        <f t="shared" si="255"/>
        <v>1</v>
      </c>
      <c r="AQ692" t="str">
        <f>IF(SAISIE!$F697="","",SAISIE!$Y697)</f>
        <v/>
      </c>
      <c r="AR692" t="str">
        <f>IF(OR(SAISIE!$U$4="",SAISIE!$W$4=""),"",IF(AND($A692=SAISIE!$U$4,$B692=SAISIE!$W$4,$C692="S1"),COUNTIFS($A$2:$A692,SAISIE!$U$4,$B$2:$B692,SAISIE!$W$4,$C$2:$C692,"S1"),""))</f>
        <v/>
      </c>
      <c r="AS692" t="str">
        <f t="shared" si="256"/>
        <v/>
      </c>
      <c r="AT692" t="str">
        <f t="shared" si="257"/>
        <v/>
      </c>
      <c r="AU692" t="str">
        <f t="shared" si="258"/>
        <v/>
      </c>
      <c r="AV692">
        <f>N(AV691)+IF(AND($AB692&lt;&gt;"",OR('PROFIL ELEVE'!$K$4="(Tous)",$AF692='PROFIL ELEVE'!$K$4)),1,0)</f>
        <v>0</v>
      </c>
      <c r="AW692">
        <f>N(AW691)+IF(AND($AB692&lt;&gt;"",OR('SUIVI LONGITUDINAL'!$Q$4="(Tous)",$AF692='SUIVI LONGITUDINAL'!$Q$4)),1,0)</f>
        <v>0</v>
      </c>
      <c r="AX692">
        <f t="shared" si="259"/>
        <v>0</v>
      </c>
      <c r="AY692">
        <f t="shared" si="260"/>
        <v>0</v>
      </c>
      <c r="AZ692">
        <f t="shared" si="261"/>
        <v>0</v>
      </c>
      <c r="BA692" t="str">
        <f t="shared" si="262"/>
        <v/>
      </c>
      <c r="BB692" t="str">
        <f t="shared" si="263"/>
        <v/>
      </c>
    </row>
    <row r="693" spans="1:54" ht="14.25" customHeight="1" x14ac:dyDescent="0.3">
      <c r="A693" t="str">
        <f>IF(SAISIE!$F698="","",SAISIE!$B698)</f>
        <v/>
      </c>
      <c r="B693" t="str">
        <f>IF(SAISIE!$F698="","",SAISIE!$C698)</f>
        <v/>
      </c>
      <c r="C693" t="str">
        <f>IF(SAISIE!$F698="","",SAISIE!$D698)</f>
        <v/>
      </c>
      <c r="D693" t="str">
        <f>IF(SAISIE!$E698="","",SAISIE!$E698)</f>
        <v/>
      </c>
      <c r="E693" t="str">
        <f>IF(SAISIE!$F698="","",SAISIE!$F698)</f>
        <v/>
      </c>
      <c r="F693" t="str">
        <f>IF(SAISIE!$G698="","",SAISIE!$G698)</f>
        <v/>
      </c>
      <c r="G693" t="str">
        <f>IF(SAISIE!$H698="","",SAISIE!$H698)</f>
        <v/>
      </c>
      <c r="H693" t="str">
        <f>IF(SAISIE!$I698="","",SAISIE!$I698)</f>
        <v/>
      </c>
      <c r="I693" t="str">
        <f>IF(SAISIE!$J698="","",SAISIE!$J698)</f>
        <v/>
      </c>
      <c r="J693" t="str">
        <f>IF(SAISIE!$K698="","",SAISIE!$K698)</f>
        <v/>
      </c>
      <c r="K693" t="str">
        <f>IF(SAISIE!$L698="","",SAISIE!$L698)</f>
        <v/>
      </c>
      <c r="L693" t="str">
        <f>IF(SAISIE!$M698="","",SAISIE!$M698)</f>
        <v/>
      </c>
      <c r="M693" t="str">
        <f>IF(SAISIE!$N698="","",SAISIE!$N698)</f>
        <v/>
      </c>
      <c r="N693" t="str">
        <f>IF(SAISIE!$O698="","",SAISIE!$O698)</f>
        <v/>
      </c>
      <c r="O693" t="str">
        <f>IF(SAISIE!$P698="","",SAISIE!$P698)</f>
        <v/>
      </c>
      <c r="P693" t="str">
        <f>IF(SAISIE!$Q698="","",SAISIE!$Q698)</f>
        <v/>
      </c>
      <c r="Q693" t="str">
        <f>IF($I693="","",IF($I693&gt;PARAMETRES!$G$29,5,IF($I693&gt;PARAMETRES!$F$29,4,IF($I693&gt;PARAMETRES!$E$29,3,IF($I693&gt;PARAMETRES!$D$29,2,1)))))</f>
        <v/>
      </c>
      <c r="R693" t="str">
        <f>IF($J693="","",IF($J693&gt;PARAMETRES!$G$30,5,IF($J693&gt;PARAMETRES!$F$30,4,IF($J693&gt;PARAMETRES!$E$30,3,IF($J693&gt;PARAMETRES!$D$30,2,1)))))</f>
        <v/>
      </c>
      <c r="S693" t="str">
        <f>IF($K693="","",IF($Z693=2,IF($K693&gt;PARAMETRES!$G$31,5,IF($K693&gt;PARAMETRES!$F$31,4,IF($K693&gt;PARAMETRES!$E$31,3,IF($K693&gt;PARAMETRES!$D$31,2,1)))),IF($K693&gt;PARAMETRES!$G$32,5,IF($K693&gt;PARAMETRES!$F$32,4,IF($K693&gt;PARAMETRES!$E$32,3,IF($K693&gt;PARAMETRES!$D$32,2,1))))))</f>
        <v/>
      </c>
      <c r="T693" t="str">
        <f>IF($L693="","",IF($L693&gt;PARAMETRES!$G$33,5,IF($L693&gt;PARAMETRES!$F$33,4,IF($L693&gt;PARAMETRES!$E$33,3,IF($L693&gt;PARAMETRES!$D$33,2,1)))))</f>
        <v/>
      </c>
      <c r="U693" t="str">
        <f>IF($M693="","",IF($M693&gt;PARAMETRES!$G$34,5,IF($M693&gt;PARAMETRES!$F$34,4,IF($M693&gt;PARAMETRES!$E$34,3,IF($M693&gt;PARAMETRES!$D$34,2,1)))))</f>
        <v/>
      </c>
      <c r="V693" t="str">
        <f>IF($N693="","",IF($N693&gt;PARAMETRES!$G$35,5,IF($N693&gt;PARAMETRES!$F$35,4,IF($N693&gt;PARAMETRES!$E$35,3,IF($N693&gt;PARAMETRES!$D$35,2,1)))))</f>
        <v/>
      </c>
      <c r="W693" t="str">
        <f>IF($O693="","",IF($O693&gt;PARAMETRES!$G$36,5,IF($O693&gt;PARAMETRES!$F$36,4,IF($O693&gt;PARAMETRES!$E$36,3,IF($O693&gt;PARAMETRES!$D$36,2,1)))))</f>
        <v/>
      </c>
      <c r="X693" t="str">
        <f>IF($P693="","",IF($P693&gt;PARAMETRES!$G$37,5,IF($P693&gt;PARAMETRES!$F$37,4,IF($P693&gt;PARAMETRES!$E$37,3,IF($P693&gt;PARAMETRES!$D$37,2,1)))))</f>
        <v/>
      </c>
      <c r="Y693" t="str">
        <f t="shared" si="240"/>
        <v/>
      </c>
      <c r="Z693" t="str">
        <f>IFERROR(VLOOKUP($B693,TABLE_CYCLE,2,0),"")</f>
        <v/>
      </c>
      <c r="AA693" t="str">
        <f t="shared" si="241"/>
        <v/>
      </c>
      <c r="AB693" t="str">
        <f>IF($D693="","",IF(COUNTIF($D$2:$D693,$D693)=1,$D693,""))</f>
        <v/>
      </c>
      <c r="AC693">
        <f t="shared" si="242"/>
        <v>0</v>
      </c>
      <c r="AD693" t="str">
        <f t="shared" si="243"/>
        <v>|0</v>
      </c>
      <c r="AE693" t="str">
        <f t="shared" si="244"/>
        <v/>
      </c>
      <c r="AF693" t="str">
        <f t="shared" si="245"/>
        <v/>
      </c>
      <c r="AG693" t="str">
        <f t="shared" si="246"/>
        <v/>
      </c>
      <c r="AH693" t="str">
        <f t="shared" si="247"/>
        <v/>
      </c>
      <c r="AI693" t="str">
        <f t="shared" si="248"/>
        <v/>
      </c>
      <c r="AJ693" t="str">
        <f t="shared" si="249"/>
        <v/>
      </c>
      <c r="AK693" t="str">
        <f t="shared" si="250"/>
        <v/>
      </c>
      <c r="AL693" t="str">
        <f t="shared" si="251"/>
        <v/>
      </c>
      <c r="AM693" t="str">
        <f t="shared" si="252"/>
        <v/>
      </c>
      <c r="AN693" t="str">
        <f t="shared" si="253"/>
        <v/>
      </c>
      <c r="AO693" t="str">
        <f t="shared" si="254"/>
        <v/>
      </c>
      <c r="AP693">
        <f t="shared" si="255"/>
        <v>1</v>
      </c>
      <c r="AQ693" t="str">
        <f>IF(SAISIE!$F698="","",SAISIE!$Y698)</f>
        <v/>
      </c>
      <c r="AR693" t="str">
        <f>IF(OR(SAISIE!$U$4="",SAISIE!$W$4=""),"",IF(AND($A693=SAISIE!$U$4,$B693=SAISIE!$W$4,$C693="S1"),COUNTIFS($A$2:$A693,SAISIE!$U$4,$B$2:$B693,SAISIE!$W$4,$C$2:$C693,"S1"),""))</f>
        <v/>
      </c>
      <c r="AS693" t="str">
        <f t="shared" si="256"/>
        <v/>
      </c>
      <c r="AT693" t="str">
        <f t="shared" si="257"/>
        <v/>
      </c>
      <c r="AU693" t="str">
        <f t="shared" si="258"/>
        <v/>
      </c>
      <c r="AV693">
        <f>N(AV692)+IF(AND($AB693&lt;&gt;"",OR('PROFIL ELEVE'!$K$4="(Tous)",$AF693='PROFIL ELEVE'!$K$4)),1,0)</f>
        <v>0</v>
      </c>
      <c r="AW693">
        <f>N(AW692)+IF(AND($AB693&lt;&gt;"",OR('SUIVI LONGITUDINAL'!$Q$4="(Tous)",$AF693='SUIVI LONGITUDINAL'!$Q$4)),1,0)</f>
        <v>0</v>
      </c>
      <c r="AX693">
        <f t="shared" si="259"/>
        <v>0</v>
      </c>
      <c r="AY693">
        <f t="shared" si="260"/>
        <v>0</v>
      </c>
      <c r="AZ693">
        <f t="shared" si="261"/>
        <v>0</v>
      </c>
      <c r="BA693" t="str">
        <f t="shared" si="262"/>
        <v/>
      </c>
      <c r="BB693" t="str">
        <f t="shared" si="263"/>
        <v/>
      </c>
    </row>
    <row r="694" spans="1:54" ht="14.25" customHeight="1" x14ac:dyDescent="0.3">
      <c r="A694" t="str">
        <f>IF(SAISIE!$F699="","",SAISIE!$B699)</f>
        <v/>
      </c>
      <c r="B694" t="str">
        <f>IF(SAISIE!$F699="","",SAISIE!$C699)</f>
        <v/>
      </c>
      <c r="C694" t="str">
        <f>IF(SAISIE!$F699="","",SAISIE!$D699)</f>
        <v/>
      </c>
      <c r="D694" t="str">
        <f>IF(SAISIE!$E699="","",SAISIE!$E699)</f>
        <v/>
      </c>
      <c r="E694" t="str">
        <f>IF(SAISIE!$F699="","",SAISIE!$F699)</f>
        <v/>
      </c>
      <c r="F694" t="str">
        <f>IF(SAISIE!$G699="","",SAISIE!$G699)</f>
        <v/>
      </c>
      <c r="G694" t="str">
        <f>IF(SAISIE!$H699="","",SAISIE!$H699)</f>
        <v/>
      </c>
      <c r="H694" t="str">
        <f>IF(SAISIE!$I699="","",SAISIE!$I699)</f>
        <v/>
      </c>
      <c r="I694" t="str">
        <f>IF(SAISIE!$J699="","",SAISIE!$J699)</f>
        <v/>
      </c>
      <c r="J694" t="str">
        <f>IF(SAISIE!$K699="","",SAISIE!$K699)</f>
        <v/>
      </c>
      <c r="K694" t="str">
        <f>IF(SAISIE!$L699="","",SAISIE!$L699)</f>
        <v/>
      </c>
      <c r="L694" t="str">
        <f>IF(SAISIE!$M699="","",SAISIE!$M699)</f>
        <v/>
      </c>
      <c r="M694" t="str">
        <f>IF(SAISIE!$N699="","",SAISIE!$N699)</f>
        <v/>
      </c>
      <c r="N694" t="str">
        <f>IF(SAISIE!$O699="","",SAISIE!$O699)</f>
        <v/>
      </c>
      <c r="O694" t="str">
        <f>IF(SAISIE!$P699="","",SAISIE!$P699)</f>
        <v/>
      </c>
      <c r="P694" t="str">
        <f>IF(SAISIE!$Q699="","",SAISIE!$Q699)</f>
        <v/>
      </c>
      <c r="Q694" t="str">
        <f>IF($I694="","",IF($I694&gt;PARAMETRES!$G$29,5,IF($I694&gt;PARAMETRES!$F$29,4,IF($I694&gt;PARAMETRES!$E$29,3,IF($I694&gt;PARAMETRES!$D$29,2,1)))))</f>
        <v/>
      </c>
      <c r="R694" t="str">
        <f>IF($J694="","",IF($J694&gt;PARAMETRES!$G$30,5,IF($J694&gt;PARAMETRES!$F$30,4,IF($J694&gt;PARAMETRES!$E$30,3,IF($J694&gt;PARAMETRES!$D$30,2,1)))))</f>
        <v/>
      </c>
      <c r="S694" t="str">
        <f>IF($K694="","",IF($Z694=2,IF($K694&gt;PARAMETRES!$G$31,5,IF($K694&gt;PARAMETRES!$F$31,4,IF($K694&gt;PARAMETRES!$E$31,3,IF($K694&gt;PARAMETRES!$D$31,2,1)))),IF($K694&gt;PARAMETRES!$G$32,5,IF($K694&gt;PARAMETRES!$F$32,4,IF($K694&gt;PARAMETRES!$E$32,3,IF($K694&gt;PARAMETRES!$D$32,2,1))))))</f>
        <v/>
      </c>
      <c r="T694" t="str">
        <f>IF($L694="","",IF($L694&gt;PARAMETRES!$G$33,5,IF($L694&gt;PARAMETRES!$F$33,4,IF($L694&gt;PARAMETRES!$E$33,3,IF($L694&gt;PARAMETRES!$D$33,2,1)))))</f>
        <v/>
      </c>
      <c r="U694" t="str">
        <f>IF($M694="","",IF($M694&gt;PARAMETRES!$G$34,5,IF($M694&gt;PARAMETRES!$F$34,4,IF($M694&gt;PARAMETRES!$E$34,3,IF($M694&gt;PARAMETRES!$D$34,2,1)))))</f>
        <v/>
      </c>
      <c r="V694" t="str">
        <f>IF($N694="","",IF($N694&gt;PARAMETRES!$G$35,5,IF($N694&gt;PARAMETRES!$F$35,4,IF($N694&gt;PARAMETRES!$E$35,3,IF($N694&gt;PARAMETRES!$D$35,2,1)))))</f>
        <v/>
      </c>
      <c r="W694" t="str">
        <f>IF($O694="","",IF($O694&gt;PARAMETRES!$G$36,5,IF($O694&gt;PARAMETRES!$F$36,4,IF($O694&gt;PARAMETRES!$E$36,3,IF($O694&gt;PARAMETRES!$D$36,2,1)))))</f>
        <v/>
      </c>
      <c r="X694" t="str">
        <f>IF($P694="","",IF($P694&gt;PARAMETRES!$G$37,5,IF($P694&gt;PARAMETRES!$F$37,4,IF($P694&gt;PARAMETRES!$E$37,3,IF($P694&gt;PARAMETRES!$D$37,2,1)))))</f>
        <v/>
      </c>
      <c r="Y694" t="str">
        <f t="shared" si="240"/>
        <v/>
      </c>
      <c r="Z694" t="str">
        <f>IFERROR(VLOOKUP($B694,TABLE_CYCLE,2,0),"")</f>
        <v/>
      </c>
      <c r="AA694" t="str">
        <f t="shared" si="241"/>
        <v/>
      </c>
      <c r="AB694" t="str">
        <f>IF($D694="","",IF(COUNTIF($D$2:$D694,$D694)=1,$D694,""))</f>
        <v/>
      </c>
      <c r="AC694">
        <f t="shared" si="242"/>
        <v>0</v>
      </c>
      <c r="AD694" t="str">
        <f t="shared" si="243"/>
        <v>|0</v>
      </c>
      <c r="AE694" t="str">
        <f t="shared" si="244"/>
        <v/>
      </c>
      <c r="AF694" t="str">
        <f t="shared" si="245"/>
        <v/>
      </c>
      <c r="AG694" t="str">
        <f t="shared" si="246"/>
        <v/>
      </c>
      <c r="AH694" t="str">
        <f t="shared" si="247"/>
        <v/>
      </c>
      <c r="AI694" t="str">
        <f t="shared" si="248"/>
        <v/>
      </c>
      <c r="AJ694" t="str">
        <f t="shared" si="249"/>
        <v/>
      </c>
      <c r="AK694" t="str">
        <f t="shared" si="250"/>
        <v/>
      </c>
      <c r="AL694" t="str">
        <f t="shared" si="251"/>
        <v/>
      </c>
      <c r="AM694" t="str">
        <f t="shared" si="252"/>
        <v/>
      </c>
      <c r="AN694" t="str">
        <f t="shared" si="253"/>
        <v/>
      </c>
      <c r="AO694" t="str">
        <f t="shared" si="254"/>
        <v/>
      </c>
      <c r="AP694">
        <f t="shared" si="255"/>
        <v>1</v>
      </c>
      <c r="AQ694" t="str">
        <f>IF(SAISIE!$F699="","",SAISIE!$Y699)</f>
        <v/>
      </c>
      <c r="AR694" t="str">
        <f>IF(OR(SAISIE!$U$4="",SAISIE!$W$4=""),"",IF(AND($A694=SAISIE!$U$4,$B694=SAISIE!$W$4,$C694="S1"),COUNTIFS($A$2:$A694,SAISIE!$U$4,$B$2:$B694,SAISIE!$W$4,$C$2:$C694,"S1"),""))</f>
        <v/>
      </c>
      <c r="AS694" t="str">
        <f t="shared" si="256"/>
        <v/>
      </c>
      <c r="AT694" t="str">
        <f t="shared" si="257"/>
        <v/>
      </c>
      <c r="AU694" t="str">
        <f t="shared" si="258"/>
        <v/>
      </c>
      <c r="AV694">
        <f>N(AV693)+IF(AND($AB694&lt;&gt;"",OR('PROFIL ELEVE'!$K$4="(Tous)",$AF694='PROFIL ELEVE'!$K$4)),1,0)</f>
        <v>0</v>
      </c>
      <c r="AW694">
        <f>N(AW693)+IF(AND($AB694&lt;&gt;"",OR('SUIVI LONGITUDINAL'!$Q$4="(Tous)",$AF694='SUIVI LONGITUDINAL'!$Q$4)),1,0)</f>
        <v>0</v>
      </c>
      <c r="AX694">
        <f t="shared" si="259"/>
        <v>0</v>
      </c>
      <c r="AY694">
        <f t="shared" si="260"/>
        <v>0</v>
      </c>
      <c r="AZ694">
        <f t="shared" si="261"/>
        <v>0</v>
      </c>
      <c r="BA694" t="str">
        <f t="shared" si="262"/>
        <v/>
      </c>
      <c r="BB694" t="str">
        <f t="shared" si="263"/>
        <v/>
      </c>
    </row>
    <row r="695" spans="1:54" ht="14.25" customHeight="1" x14ac:dyDescent="0.3">
      <c r="A695" t="str">
        <f>IF(SAISIE!$F700="","",SAISIE!$B700)</f>
        <v/>
      </c>
      <c r="B695" t="str">
        <f>IF(SAISIE!$F700="","",SAISIE!$C700)</f>
        <v/>
      </c>
      <c r="C695" t="str">
        <f>IF(SAISIE!$F700="","",SAISIE!$D700)</f>
        <v/>
      </c>
      <c r="D695" t="str">
        <f>IF(SAISIE!$E700="","",SAISIE!$E700)</f>
        <v/>
      </c>
      <c r="E695" t="str">
        <f>IF(SAISIE!$F700="","",SAISIE!$F700)</f>
        <v/>
      </c>
      <c r="F695" t="str">
        <f>IF(SAISIE!$G700="","",SAISIE!$G700)</f>
        <v/>
      </c>
      <c r="G695" t="str">
        <f>IF(SAISIE!$H700="","",SAISIE!$H700)</f>
        <v/>
      </c>
      <c r="H695" t="str">
        <f>IF(SAISIE!$I700="","",SAISIE!$I700)</f>
        <v/>
      </c>
      <c r="I695" t="str">
        <f>IF(SAISIE!$J700="","",SAISIE!$J700)</f>
        <v/>
      </c>
      <c r="J695" t="str">
        <f>IF(SAISIE!$K700="","",SAISIE!$K700)</f>
        <v/>
      </c>
      <c r="K695" t="str">
        <f>IF(SAISIE!$L700="","",SAISIE!$L700)</f>
        <v/>
      </c>
      <c r="L695" t="str">
        <f>IF(SAISIE!$M700="","",SAISIE!$M700)</f>
        <v/>
      </c>
      <c r="M695" t="str">
        <f>IF(SAISIE!$N700="","",SAISIE!$N700)</f>
        <v/>
      </c>
      <c r="N695" t="str">
        <f>IF(SAISIE!$O700="","",SAISIE!$O700)</f>
        <v/>
      </c>
      <c r="O695" t="str">
        <f>IF(SAISIE!$P700="","",SAISIE!$P700)</f>
        <v/>
      </c>
      <c r="P695" t="str">
        <f>IF(SAISIE!$Q700="","",SAISIE!$Q700)</f>
        <v/>
      </c>
      <c r="Q695" t="str">
        <f>IF($I695="","",IF($I695&gt;PARAMETRES!$G$29,5,IF($I695&gt;PARAMETRES!$F$29,4,IF($I695&gt;PARAMETRES!$E$29,3,IF($I695&gt;PARAMETRES!$D$29,2,1)))))</f>
        <v/>
      </c>
      <c r="R695" t="str">
        <f>IF($J695="","",IF($J695&gt;PARAMETRES!$G$30,5,IF($J695&gt;PARAMETRES!$F$30,4,IF($J695&gt;PARAMETRES!$E$30,3,IF($J695&gt;PARAMETRES!$D$30,2,1)))))</f>
        <v/>
      </c>
      <c r="S695" t="str">
        <f>IF($K695="","",IF($Z695=2,IF($K695&gt;PARAMETRES!$G$31,5,IF($K695&gt;PARAMETRES!$F$31,4,IF($K695&gt;PARAMETRES!$E$31,3,IF($K695&gt;PARAMETRES!$D$31,2,1)))),IF($K695&gt;PARAMETRES!$G$32,5,IF($K695&gt;PARAMETRES!$F$32,4,IF($K695&gt;PARAMETRES!$E$32,3,IF($K695&gt;PARAMETRES!$D$32,2,1))))))</f>
        <v/>
      </c>
      <c r="T695" t="str">
        <f>IF($L695="","",IF($L695&gt;PARAMETRES!$G$33,5,IF($L695&gt;PARAMETRES!$F$33,4,IF($L695&gt;PARAMETRES!$E$33,3,IF($L695&gt;PARAMETRES!$D$33,2,1)))))</f>
        <v/>
      </c>
      <c r="U695" t="str">
        <f>IF($M695="","",IF($M695&gt;PARAMETRES!$G$34,5,IF($M695&gt;PARAMETRES!$F$34,4,IF($M695&gt;PARAMETRES!$E$34,3,IF($M695&gt;PARAMETRES!$D$34,2,1)))))</f>
        <v/>
      </c>
      <c r="V695" t="str">
        <f>IF($N695="","",IF($N695&gt;PARAMETRES!$G$35,5,IF($N695&gt;PARAMETRES!$F$35,4,IF($N695&gt;PARAMETRES!$E$35,3,IF($N695&gt;PARAMETRES!$D$35,2,1)))))</f>
        <v/>
      </c>
      <c r="W695" t="str">
        <f>IF($O695="","",IF($O695&gt;PARAMETRES!$G$36,5,IF($O695&gt;PARAMETRES!$F$36,4,IF($O695&gt;PARAMETRES!$E$36,3,IF($O695&gt;PARAMETRES!$D$36,2,1)))))</f>
        <v/>
      </c>
      <c r="X695" t="str">
        <f>IF($P695="","",IF($P695&gt;PARAMETRES!$G$37,5,IF($P695&gt;PARAMETRES!$F$37,4,IF($P695&gt;PARAMETRES!$E$37,3,IF($P695&gt;PARAMETRES!$D$37,2,1)))))</f>
        <v/>
      </c>
      <c r="Y695" t="str">
        <f t="shared" si="240"/>
        <v/>
      </c>
      <c r="Z695" t="str">
        <f>IFERROR(VLOOKUP($B695,TABLE_CYCLE,2,0),"")</f>
        <v/>
      </c>
      <c r="AA695" t="str">
        <f t="shared" si="241"/>
        <v/>
      </c>
      <c r="AB695" t="str">
        <f>IF($D695="","",IF(COUNTIF($D$2:$D695,$D695)=1,$D695,""))</f>
        <v/>
      </c>
      <c r="AC695">
        <f t="shared" si="242"/>
        <v>0</v>
      </c>
      <c r="AD695" t="str">
        <f t="shared" si="243"/>
        <v>|0</v>
      </c>
      <c r="AE695" t="str">
        <f t="shared" si="244"/>
        <v/>
      </c>
      <c r="AF695" t="str">
        <f t="shared" si="245"/>
        <v/>
      </c>
      <c r="AG695" t="str">
        <f t="shared" si="246"/>
        <v/>
      </c>
      <c r="AH695" t="str">
        <f t="shared" si="247"/>
        <v/>
      </c>
      <c r="AI695" t="str">
        <f t="shared" si="248"/>
        <v/>
      </c>
      <c r="AJ695" t="str">
        <f t="shared" si="249"/>
        <v/>
      </c>
      <c r="AK695" t="str">
        <f t="shared" si="250"/>
        <v/>
      </c>
      <c r="AL695" t="str">
        <f t="shared" si="251"/>
        <v/>
      </c>
      <c r="AM695" t="str">
        <f t="shared" si="252"/>
        <v/>
      </c>
      <c r="AN695" t="str">
        <f t="shared" si="253"/>
        <v/>
      </c>
      <c r="AO695" t="str">
        <f t="shared" si="254"/>
        <v/>
      </c>
      <c r="AP695">
        <f t="shared" si="255"/>
        <v>1</v>
      </c>
      <c r="AQ695" t="str">
        <f>IF(SAISIE!$F700="","",SAISIE!$Y700)</f>
        <v/>
      </c>
      <c r="AR695" t="str">
        <f>IF(OR(SAISIE!$U$4="",SAISIE!$W$4=""),"",IF(AND($A695=SAISIE!$U$4,$B695=SAISIE!$W$4,$C695="S1"),COUNTIFS($A$2:$A695,SAISIE!$U$4,$B$2:$B695,SAISIE!$W$4,$C$2:$C695,"S1"),""))</f>
        <v/>
      </c>
      <c r="AS695" t="str">
        <f t="shared" si="256"/>
        <v/>
      </c>
      <c r="AT695" t="str">
        <f t="shared" si="257"/>
        <v/>
      </c>
      <c r="AU695" t="str">
        <f t="shared" si="258"/>
        <v/>
      </c>
      <c r="AV695">
        <f>N(AV694)+IF(AND($AB695&lt;&gt;"",OR('PROFIL ELEVE'!$K$4="(Tous)",$AF695='PROFIL ELEVE'!$K$4)),1,0)</f>
        <v>0</v>
      </c>
      <c r="AW695">
        <f>N(AW694)+IF(AND($AB695&lt;&gt;"",OR('SUIVI LONGITUDINAL'!$Q$4="(Tous)",$AF695='SUIVI LONGITUDINAL'!$Q$4)),1,0)</f>
        <v>0</v>
      </c>
      <c r="AX695">
        <f t="shared" si="259"/>
        <v>0</v>
      </c>
      <c r="AY695">
        <f t="shared" si="260"/>
        <v>0</v>
      </c>
      <c r="AZ695">
        <f t="shared" si="261"/>
        <v>0</v>
      </c>
      <c r="BA695" t="str">
        <f t="shared" si="262"/>
        <v/>
      </c>
      <c r="BB695" t="str">
        <f t="shared" si="263"/>
        <v/>
      </c>
    </row>
    <row r="696" spans="1:54" ht="14.25" customHeight="1" x14ac:dyDescent="0.3">
      <c r="A696" t="str">
        <f>IF(SAISIE!$F701="","",SAISIE!$B701)</f>
        <v/>
      </c>
      <c r="B696" t="str">
        <f>IF(SAISIE!$F701="","",SAISIE!$C701)</f>
        <v/>
      </c>
      <c r="C696" t="str">
        <f>IF(SAISIE!$F701="","",SAISIE!$D701)</f>
        <v/>
      </c>
      <c r="D696" t="str">
        <f>IF(SAISIE!$E701="","",SAISIE!$E701)</f>
        <v/>
      </c>
      <c r="E696" t="str">
        <f>IF(SAISIE!$F701="","",SAISIE!$F701)</f>
        <v/>
      </c>
      <c r="F696" t="str">
        <f>IF(SAISIE!$G701="","",SAISIE!$G701)</f>
        <v/>
      </c>
      <c r="G696" t="str">
        <f>IF(SAISIE!$H701="","",SAISIE!$H701)</f>
        <v/>
      </c>
      <c r="H696" t="str">
        <f>IF(SAISIE!$I701="","",SAISIE!$I701)</f>
        <v/>
      </c>
      <c r="I696" t="str">
        <f>IF(SAISIE!$J701="","",SAISIE!$J701)</f>
        <v/>
      </c>
      <c r="J696" t="str">
        <f>IF(SAISIE!$K701="","",SAISIE!$K701)</f>
        <v/>
      </c>
      <c r="K696" t="str">
        <f>IF(SAISIE!$L701="","",SAISIE!$L701)</f>
        <v/>
      </c>
      <c r="L696" t="str">
        <f>IF(SAISIE!$M701="","",SAISIE!$M701)</f>
        <v/>
      </c>
      <c r="M696" t="str">
        <f>IF(SAISIE!$N701="","",SAISIE!$N701)</f>
        <v/>
      </c>
      <c r="N696" t="str">
        <f>IF(SAISIE!$O701="","",SAISIE!$O701)</f>
        <v/>
      </c>
      <c r="O696" t="str">
        <f>IF(SAISIE!$P701="","",SAISIE!$P701)</f>
        <v/>
      </c>
      <c r="P696" t="str">
        <f>IF(SAISIE!$Q701="","",SAISIE!$Q701)</f>
        <v/>
      </c>
      <c r="Q696" t="str">
        <f>IF($I696="","",IF($I696&gt;PARAMETRES!$G$29,5,IF($I696&gt;PARAMETRES!$F$29,4,IF($I696&gt;PARAMETRES!$E$29,3,IF($I696&gt;PARAMETRES!$D$29,2,1)))))</f>
        <v/>
      </c>
      <c r="R696" t="str">
        <f>IF($J696="","",IF($J696&gt;PARAMETRES!$G$30,5,IF($J696&gt;PARAMETRES!$F$30,4,IF($J696&gt;PARAMETRES!$E$30,3,IF($J696&gt;PARAMETRES!$D$30,2,1)))))</f>
        <v/>
      </c>
      <c r="S696" t="str">
        <f>IF($K696="","",IF($Z696=2,IF($K696&gt;PARAMETRES!$G$31,5,IF($K696&gt;PARAMETRES!$F$31,4,IF($K696&gt;PARAMETRES!$E$31,3,IF($K696&gt;PARAMETRES!$D$31,2,1)))),IF($K696&gt;PARAMETRES!$G$32,5,IF($K696&gt;PARAMETRES!$F$32,4,IF($K696&gt;PARAMETRES!$E$32,3,IF($K696&gt;PARAMETRES!$D$32,2,1))))))</f>
        <v/>
      </c>
      <c r="T696" t="str">
        <f>IF($L696="","",IF($L696&gt;PARAMETRES!$G$33,5,IF($L696&gt;PARAMETRES!$F$33,4,IF($L696&gt;PARAMETRES!$E$33,3,IF($L696&gt;PARAMETRES!$D$33,2,1)))))</f>
        <v/>
      </c>
      <c r="U696" t="str">
        <f>IF($M696="","",IF($M696&gt;PARAMETRES!$G$34,5,IF($M696&gt;PARAMETRES!$F$34,4,IF($M696&gt;PARAMETRES!$E$34,3,IF($M696&gt;PARAMETRES!$D$34,2,1)))))</f>
        <v/>
      </c>
      <c r="V696" t="str">
        <f>IF($N696="","",IF($N696&gt;PARAMETRES!$G$35,5,IF($N696&gt;PARAMETRES!$F$35,4,IF($N696&gt;PARAMETRES!$E$35,3,IF($N696&gt;PARAMETRES!$D$35,2,1)))))</f>
        <v/>
      </c>
      <c r="W696" t="str">
        <f>IF($O696="","",IF($O696&gt;PARAMETRES!$G$36,5,IF($O696&gt;PARAMETRES!$F$36,4,IF($O696&gt;PARAMETRES!$E$36,3,IF($O696&gt;PARAMETRES!$D$36,2,1)))))</f>
        <v/>
      </c>
      <c r="X696" t="str">
        <f>IF($P696="","",IF($P696&gt;PARAMETRES!$G$37,5,IF($P696&gt;PARAMETRES!$F$37,4,IF($P696&gt;PARAMETRES!$E$37,3,IF($P696&gt;PARAMETRES!$D$37,2,1)))))</f>
        <v/>
      </c>
      <c r="Y696" t="str">
        <f t="shared" si="240"/>
        <v/>
      </c>
      <c r="Z696" t="str">
        <f>IFERROR(VLOOKUP($B696,TABLE_CYCLE,2,0),"")</f>
        <v/>
      </c>
      <c r="AA696" t="str">
        <f t="shared" si="241"/>
        <v/>
      </c>
      <c r="AB696" t="str">
        <f>IF($D696="","",IF(COUNTIF($D$2:$D696,$D696)=1,$D696,""))</f>
        <v/>
      </c>
      <c r="AC696">
        <f t="shared" si="242"/>
        <v>0</v>
      </c>
      <c r="AD696" t="str">
        <f t="shared" si="243"/>
        <v>|0</v>
      </c>
      <c r="AE696" t="str">
        <f t="shared" si="244"/>
        <v/>
      </c>
      <c r="AF696" t="str">
        <f t="shared" si="245"/>
        <v/>
      </c>
      <c r="AG696" t="str">
        <f t="shared" si="246"/>
        <v/>
      </c>
      <c r="AH696" t="str">
        <f t="shared" si="247"/>
        <v/>
      </c>
      <c r="AI696" t="str">
        <f t="shared" si="248"/>
        <v/>
      </c>
      <c r="AJ696" t="str">
        <f t="shared" si="249"/>
        <v/>
      </c>
      <c r="AK696" t="str">
        <f t="shared" si="250"/>
        <v/>
      </c>
      <c r="AL696" t="str">
        <f t="shared" si="251"/>
        <v/>
      </c>
      <c r="AM696" t="str">
        <f t="shared" si="252"/>
        <v/>
      </c>
      <c r="AN696" t="str">
        <f t="shared" si="253"/>
        <v/>
      </c>
      <c r="AO696" t="str">
        <f t="shared" si="254"/>
        <v/>
      </c>
      <c r="AP696">
        <f t="shared" si="255"/>
        <v>1</v>
      </c>
      <c r="AQ696" t="str">
        <f>IF(SAISIE!$F701="","",SAISIE!$Y701)</f>
        <v/>
      </c>
      <c r="AR696" t="str">
        <f>IF(OR(SAISIE!$U$4="",SAISIE!$W$4=""),"",IF(AND($A696=SAISIE!$U$4,$B696=SAISIE!$W$4,$C696="S1"),COUNTIFS($A$2:$A696,SAISIE!$U$4,$B$2:$B696,SAISIE!$W$4,$C$2:$C696,"S1"),""))</f>
        <v/>
      </c>
      <c r="AS696" t="str">
        <f t="shared" si="256"/>
        <v/>
      </c>
      <c r="AT696" t="str">
        <f t="shared" si="257"/>
        <v/>
      </c>
      <c r="AU696" t="str">
        <f t="shared" si="258"/>
        <v/>
      </c>
      <c r="AV696">
        <f>N(AV695)+IF(AND($AB696&lt;&gt;"",OR('PROFIL ELEVE'!$K$4="(Tous)",$AF696='PROFIL ELEVE'!$K$4)),1,0)</f>
        <v>0</v>
      </c>
      <c r="AW696">
        <f>N(AW695)+IF(AND($AB696&lt;&gt;"",OR('SUIVI LONGITUDINAL'!$Q$4="(Tous)",$AF696='SUIVI LONGITUDINAL'!$Q$4)),1,0)</f>
        <v>0</v>
      </c>
      <c r="AX696">
        <f t="shared" si="259"/>
        <v>0</v>
      </c>
      <c r="AY696">
        <f t="shared" si="260"/>
        <v>0</v>
      </c>
      <c r="AZ696">
        <f t="shared" si="261"/>
        <v>0</v>
      </c>
      <c r="BA696" t="str">
        <f t="shared" si="262"/>
        <v/>
      </c>
      <c r="BB696" t="str">
        <f t="shared" si="263"/>
        <v/>
      </c>
    </row>
    <row r="697" spans="1:54" ht="14.25" customHeight="1" x14ac:dyDescent="0.3">
      <c r="A697" t="str">
        <f>IF(SAISIE!$F702="","",SAISIE!$B702)</f>
        <v/>
      </c>
      <c r="B697" t="str">
        <f>IF(SAISIE!$F702="","",SAISIE!$C702)</f>
        <v/>
      </c>
      <c r="C697" t="str">
        <f>IF(SAISIE!$F702="","",SAISIE!$D702)</f>
        <v/>
      </c>
      <c r="D697" t="str">
        <f>IF(SAISIE!$E702="","",SAISIE!$E702)</f>
        <v/>
      </c>
      <c r="E697" t="str">
        <f>IF(SAISIE!$F702="","",SAISIE!$F702)</f>
        <v/>
      </c>
      <c r="F697" t="str">
        <f>IF(SAISIE!$G702="","",SAISIE!$G702)</f>
        <v/>
      </c>
      <c r="G697" t="str">
        <f>IF(SAISIE!$H702="","",SAISIE!$H702)</f>
        <v/>
      </c>
      <c r="H697" t="str">
        <f>IF(SAISIE!$I702="","",SAISIE!$I702)</f>
        <v/>
      </c>
      <c r="I697" t="str">
        <f>IF(SAISIE!$J702="","",SAISIE!$J702)</f>
        <v/>
      </c>
      <c r="J697" t="str">
        <f>IF(SAISIE!$K702="","",SAISIE!$K702)</f>
        <v/>
      </c>
      <c r="K697" t="str">
        <f>IF(SAISIE!$L702="","",SAISIE!$L702)</f>
        <v/>
      </c>
      <c r="L697" t="str">
        <f>IF(SAISIE!$M702="","",SAISIE!$M702)</f>
        <v/>
      </c>
      <c r="M697" t="str">
        <f>IF(SAISIE!$N702="","",SAISIE!$N702)</f>
        <v/>
      </c>
      <c r="N697" t="str">
        <f>IF(SAISIE!$O702="","",SAISIE!$O702)</f>
        <v/>
      </c>
      <c r="O697" t="str">
        <f>IF(SAISIE!$P702="","",SAISIE!$P702)</f>
        <v/>
      </c>
      <c r="P697" t="str">
        <f>IF(SAISIE!$Q702="","",SAISIE!$Q702)</f>
        <v/>
      </c>
      <c r="Q697" t="str">
        <f>IF($I697="","",IF($I697&gt;PARAMETRES!$G$29,5,IF($I697&gt;PARAMETRES!$F$29,4,IF($I697&gt;PARAMETRES!$E$29,3,IF($I697&gt;PARAMETRES!$D$29,2,1)))))</f>
        <v/>
      </c>
      <c r="R697" t="str">
        <f>IF($J697="","",IF($J697&gt;PARAMETRES!$G$30,5,IF($J697&gt;PARAMETRES!$F$30,4,IF($J697&gt;PARAMETRES!$E$30,3,IF($J697&gt;PARAMETRES!$D$30,2,1)))))</f>
        <v/>
      </c>
      <c r="S697" t="str">
        <f>IF($K697="","",IF($Z697=2,IF($K697&gt;PARAMETRES!$G$31,5,IF($K697&gt;PARAMETRES!$F$31,4,IF($K697&gt;PARAMETRES!$E$31,3,IF($K697&gt;PARAMETRES!$D$31,2,1)))),IF($K697&gt;PARAMETRES!$G$32,5,IF($K697&gt;PARAMETRES!$F$32,4,IF($K697&gt;PARAMETRES!$E$32,3,IF($K697&gt;PARAMETRES!$D$32,2,1))))))</f>
        <v/>
      </c>
      <c r="T697" t="str">
        <f>IF($L697="","",IF($L697&gt;PARAMETRES!$G$33,5,IF($L697&gt;PARAMETRES!$F$33,4,IF($L697&gt;PARAMETRES!$E$33,3,IF($L697&gt;PARAMETRES!$D$33,2,1)))))</f>
        <v/>
      </c>
      <c r="U697" t="str">
        <f>IF($M697="","",IF($M697&gt;PARAMETRES!$G$34,5,IF($M697&gt;PARAMETRES!$F$34,4,IF($M697&gt;PARAMETRES!$E$34,3,IF($M697&gt;PARAMETRES!$D$34,2,1)))))</f>
        <v/>
      </c>
      <c r="V697" t="str">
        <f>IF($N697="","",IF($N697&gt;PARAMETRES!$G$35,5,IF($N697&gt;PARAMETRES!$F$35,4,IF($N697&gt;PARAMETRES!$E$35,3,IF($N697&gt;PARAMETRES!$D$35,2,1)))))</f>
        <v/>
      </c>
      <c r="W697" t="str">
        <f>IF($O697="","",IF($O697&gt;PARAMETRES!$G$36,5,IF($O697&gt;PARAMETRES!$F$36,4,IF($O697&gt;PARAMETRES!$E$36,3,IF($O697&gt;PARAMETRES!$D$36,2,1)))))</f>
        <v/>
      </c>
      <c r="X697" t="str">
        <f>IF($P697="","",IF($P697&gt;PARAMETRES!$G$37,5,IF($P697&gt;PARAMETRES!$F$37,4,IF($P697&gt;PARAMETRES!$E$37,3,IF($P697&gt;PARAMETRES!$D$37,2,1)))))</f>
        <v/>
      </c>
      <c r="Y697" t="str">
        <f t="shared" si="240"/>
        <v/>
      </c>
      <c r="Z697" t="str">
        <f>IFERROR(VLOOKUP($B697,TABLE_CYCLE,2,0),"")</f>
        <v/>
      </c>
      <c r="AA697" t="str">
        <f t="shared" si="241"/>
        <v/>
      </c>
      <c r="AB697" t="str">
        <f>IF($D697="","",IF(COUNTIF($D$2:$D697,$D697)=1,$D697,""))</f>
        <v/>
      </c>
      <c r="AC697">
        <f t="shared" si="242"/>
        <v>0</v>
      </c>
      <c r="AD697" t="str">
        <f t="shared" si="243"/>
        <v>|0</v>
      </c>
      <c r="AE697" t="str">
        <f t="shared" si="244"/>
        <v/>
      </c>
      <c r="AF697" t="str">
        <f t="shared" si="245"/>
        <v/>
      </c>
      <c r="AG697" t="str">
        <f t="shared" si="246"/>
        <v/>
      </c>
      <c r="AH697" t="str">
        <f t="shared" si="247"/>
        <v/>
      </c>
      <c r="AI697" t="str">
        <f t="shared" si="248"/>
        <v/>
      </c>
      <c r="AJ697" t="str">
        <f t="shared" si="249"/>
        <v/>
      </c>
      <c r="AK697" t="str">
        <f t="shared" si="250"/>
        <v/>
      </c>
      <c r="AL697" t="str">
        <f t="shared" si="251"/>
        <v/>
      </c>
      <c r="AM697" t="str">
        <f t="shared" si="252"/>
        <v/>
      </c>
      <c r="AN697" t="str">
        <f t="shared" si="253"/>
        <v/>
      </c>
      <c r="AO697" t="str">
        <f t="shared" si="254"/>
        <v/>
      </c>
      <c r="AP697">
        <f t="shared" si="255"/>
        <v>1</v>
      </c>
      <c r="AQ697" t="str">
        <f>IF(SAISIE!$F702="","",SAISIE!$Y702)</f>
        <v/>
      </c>
      <c r="AR697" t="str">
        <f>IF(OR(SAISIE!$U$4="",SAISIE!$W$4=""),"",IF(AND($A697=SAISIE!$U$4,$B697=SAISIE!$W$4,$C697="S1"),COUNTIFS($A$2:$A697,SAISIE!$U$4,$B$2:$B697,SAISIE!$W$4,$C$2:$C697,"S1"),""))</f>
        <v/>
      </c>
      <c r="AS697" t="str">
        <f t="shared" si="256"/>
        <v/>
      </c>
      <c r="AT697" t="str">
        <f t="shared" si="257"/>
        <v/>
      </c>
      <c r="AU697" t="str">
        <f t="shared" si="258"/>
        <v/>
      </c>
      <c r="AV697">
        <f>N(AV696)+IF(AND($AB697&lt;&gt;"",OR('PROFIL ELEVE'!$K$4="(Tous)",$AF697='PROFIL ELEVE'!$K$4)),1,0)</f>
        <v>0</v>
      </c>
      <c r="AW697">
        <f>N(AW696)+IF(AND($AB697&lt;&gt;"",OR('SUIVI LONGITUDINAL'!$Q$4="(Tous)",$AF697='SUIVI LONGITUDINAL'!$Q$4)),1,0)</f>
        <v>0</v>
      </c>
      <c r="AX697">
        <f t="shared" si="259"/>
        <v>0</v>
      </c>
      <c r="AY697">
        <f t="shared" si="260"/>
        <v>0</v>
      </c>
      <c r="AZ697">
        <f t="shared" si="261"/>
        <v>0</v>
      </c>
      <c r="BA697" t="str">
        <f t="shared" si="262"/>
        <v/>
      </c>
      <c r="BB697" t="str">
        <f t="shared" si="263"/>
        <v/>
      </c>
    </row>
    <row r="698" spans="1:54" ht="14.25" customHeight="1" x14ac:dyDescent="0.3">
      <c r="A698" t="str">
        <f>IF(SAISIE!$F703="","",SAISIE!$B703)</f>
        <v/>
      </c>
      <c r="B698" t="str">
        <f>IF(SAISIE!$F703="","",SAISIE!$C703)</f>
        <v/>
      </c>
      <c r="C698" t="str">
        <f>IF(SAISIE!$F703="","",SAISIE!$D703)</f>
        <v/>
      </c>
      <c r="D698" t="str">
        <f>IF(SAISIE!$E703="","",SAISIE!$E703)</f>
        <v/>
      </c>
      <c r="E698" t="str">
        <f>IF(SAISIE!$F703="","",SAISIE!$F703)</f>
        <v/>
      </c>
      <c r="F698" t="str">
        <f>IF(SAISIE!$G703="","",SAISIE!$G703)</f>
        <v/>
      </c>
      <c r="G698" t="str">
        <f>IF(SAISIE!$H703="","",SAISIE!$H703)</f>
        <v/>
      </c>
      <c r="H698" t="str">
        <f>IF(SAISIE!$I703="","",SAISIE!$I703)</f>
        <v/>
      </c>
      <c r="I698" t="str">
        <f>IF(SAISIE!$J703="","",SAISIE!$J703)</f>
        <v/>
      </c>
      <c r="J698" t="str">
        <f>IF(SAISIE!$K703="","",SAISIE!$K703)</f>
        <v/>
      </c>
      <c r="K698" t="str">
        <f>IF(SAISIE!$L703="","",SAISIE!$L703)</f>
        <v/>
      </c>
      <c r="L698" t="str">
        <f>IF(SAISIE!$M703="","",SAISIE!$M703)</f>
        <v/>
      </c>
      <c r="M698" t="str">
        <f>IF(SAISIE!$N703="","",SAISIE!$N703)</f>
        <v/>
      </c>
      <c r="N698" t="str">
        <f>IF(SAISIE!$O703="","",SAISIE!$O703)</f>
        <v/>
      </c>
      <c r="O698" t="str">
        <f>IF(SAISIE!$P703="","",SAISIE!$P703)</f>
        <v/>
      </c>
      <c r="P698" t="str">
        <f>IF(SAISIE!$Q703="","",SAISIE!$Q703)</f>
        <v/>
      </c>
      <c r="Q698" t="str">
        <f>IF($I698="","",IF($I698&gt;PARAMETRES!$G$29,5,IF($I698&gt;PARAMETRES!$F$29,4,IF($I698&gt;PARAMETRES!$E$29,3,IF($I698&gt;PARAMETRES!$D$29,2,1)))))</f>
        <v/>
      </c>
      <c r="R698" t="str">
        <f>IF($J698="","",IF($J698&gt;PARAMETRES!$G$30,5,IF($J698&gt;PARAMETRES!$F$30,4,IF($J698&gt;PARAMETRES!$E$30,3,IF($J698&gt;PARAMETRES!$D$30,2,1)))))</f>
        <v/>
      </c>
      <c r="S698" t="str">
        <f>IF($K698="","",IF($Z698=2,IF($K698&gt;PARAMETRES!$G$31,5,IF($K698&gt;PARAMETRES!$F$31,4,IF($K698&gt;PARAMETRES!$E$31,3,IF($K698&gt;PARAMETRES!$D$31,2,1)))),IF($K698&gt;PARAMETRES!$G$32,5,IF($K698&gt;PARAMETRES!$F$32,4,IF($K698&gt;PARAMETRES!$E$32,3,IF($K698&gt;PARAMETRES!$D$32,2,1))))))</f>
        <v/>
      </c>
      <c r="T698" t="str">
        <f>IF($L698="","",IF($L698&gt;PARAMETRES!$G$33,5,IF($L698&gt;PARAMETRES!$F$33,4,IF($L698&gt;PARAMETRES!$E$33,3,IF($L698&gt;PARAMETRES!$D$33,2,1)))))</f>
        <v/>
      </c>
      <c r="U698" t="str">
        <f>IF($M698="","",IF($M698&gt;PARAMETRES!$G$34,5,IF($M698&gt;PARAMETRES!$F$34,4,IF($M698&gt;PARAMETRES!$E$34,3,IF($M698&gt;PARAMETRES!$D$34,2,1)))))</f>
        <v/>
      </c>
      <c r="V698" t="str">
        <f>IF($N698="","",IF($N698&gt;PARAMETRES!$G$35,5,IF($N698&gt;PARAMETRES!$F$35,4,IF($N698&gt;PARAMETRES!$E$35,3,IF($N698&gt;PARAMETRES!$D$35,2,1)))))</f>
        <v/>
      </c>
      <c r="W698" t="str">
        <f>IF($O698="","",IF($O698&gt;PARAMETRES!$G$36,5,IF($O698&gt;PARAMETRES!$F$36,4,IF($O698&gt;PARAMETRES!$E$36,3,IF($O698&gt;PARAMETRES!$D$36,2,1)))))</f>
        <v/>
      </c>
      <c r="X698" t="str">
        <f>IF($P698="","",IF($P698&gt;PARAMETRES!$G$37,5,IF($P698&gt;PARAMETRES!$F$37,4,IF($P698&gt;PARAMETRES!$E$37,3,IF($P698&gt;PARAMETRES!$D$37,2,1)))))</f>
        <v/>
      </c>
      <c r="Y698" t="str">
        <f t="shared" si="240"/>
        <v/>
      </c>
      <c r="Z698" t="str">
        <f>IFERROR(VLOOKUP($B698,TABLE_CYCLE,2,0),"")</f>
        <v/>
      </c>
      <c r="AA698" t="str">
        <f t="shared" si="241"/>
        <v/>
      </c>
      <c r="AB698" t="str">
        <f>IF($D698="","",IF(COUNTIF($D$2:$D698,$D698)=1,$D698,""))</f>
        <v/>
      </c>
      <c r="AC698">
        <f t="shared" si="242"/>
        <v>0</v>
      </c>
      <c r="AD698" t="str">
        <f t="shared" si="243"/>
        <v>|0</v>
      </c>
      <c r="AE698" t="str">
        <f t="shared" si="244"/>
        <v/>
      </c>
      <c r="AF698" t="str">
        <f t="shared" si="245"/>
        <v/>
      </c>
      <c r="AG698" t="str">
        <f t="shared" si="246"/>
        <v/>
      </c>
      <c r="AH698" t="str">
        <f t="shared" si="247"/>
        <v/>
      </c>
      <c r="AI698" t="str">
        <f t="shared" si="248"/>
        <v/>
      </c>
      <c r="AJ698" t="str">
        <f t="shared" si="249"/>
        <v/>
      </c>
      <c r="AK698" t="str">
        <f t="shared" si="250"/>
        <v/>
      </c>
      <c r="AL698" t="str">
        <f t="shared" si="251"/>
        <v/>
      </c>
      <c r="AM698" t="str">
        <f t="shared" si="252"/>
        <v/>
      </c>
      <c r="AN698" t="str">
        <f t="shared" si="253"/>
        <v/>
      </c>
      <c r="AO698" t="str">
        <f t="shared" si="254"/>
        <v/>
      </c>
      <c r="AP698">
        <f t="shared" si="255"/>
        <v>1</v>
      </c>
      <c r="AQ698" t="str">
        <f>IF(SAISIE!$F703="","",SAISIE!$Y703)</f>
        <v/>
      </c>
      <c r="AR698" t="str">
        <f>IF(OR(SAISIE!$U$4="",SAISIE!$W$4=""),"",IF(AND($A698=SAISIE!$U$4,$B698=SAISIE!$W$4,$C698="S1"),COUNTIFS($A$2:$A698,SAISIE!$U$4,$B$2:$B698,SAISIE!$W$4,$C$2:$C698,"S1"),""))</f>
        <v/>
      </c>
      <c r="AS698" t="str">
        <f t="shared" si="256"/>
        <v/>
      </c>
      <c r="AT698" t="str">
        <f t="shared" si="257"/>
        <v/>
      </c>
      <c r="AU698" t="str">
        <f t="shared" si="258"/>
        <v/>
      </c>
      <c r="AV698">
        <f>N(AV697)+IF(AND($AB698&lt;&gt;"",OR('PROFIL ELEVE'!$K$4="(Tous)",$AF698='PROFIL ELEVE'!$K$4)),1,0)</f>
        <v>0</v>
      </c>
      <c r="AW698">
        <f>N(AW697)+IF(AND($AB698&lt;&gt;"",OR('SUIVI LONGITUDINAL'!$Q$4="(Tous)",$AF698='SUIVI LONGITUDINAL'!$Q$4)),1,0)</f>
        <v>0</v>
      </c>
      <c r="AX698">
        <f t="shared" si="259"/>
        <v>0</v>
      </c>
      <c r="AY698">
        <f t="shared" si="260"/>
        <v>0</v>
      </c>
      <c r="AZ698">
        <f t="shared" si="261"/>
        <v>0</v>
      </c>
      <c r="BA698" t="str">
        <f t="shared" si="262"/>
        <v/>
      </c>
      <c r="BB698" t="str">
        <f t="shared" si="263"/>
        <v/>
      </c>
    </row>
    <row r="699" spans="1:54" ht="14.25" customHeight="1" x14ac:dyDescent="0.3">
      <c r="A699" t="str">
        <f>IF(SAISIE!$F704="","",SAISIE!$B704)</f>
        <v/>
      </c>
      <c r="B699" t="str">
        <f>IF(SAISIE!$F704="","",SAISIE!$C704)</f>
        <v/>
      </c>
      <c r="C699" t="str">
        <f>IF(SAISIE!$F704="","",SAISIE!$D704)</f>
        <v/>
      </c>
      <c r="D699" t="str">
        <f>IF(SAISIE!$E704="","",SAISIE!$E704)</f>
        <v/>
      </c>
      <c r="E699" t="str">
        <f>IF(SAISIE!$F704="","",SAISIE!$F704)</f>
        <v/>
      </c>
      <c r="F699" t="str">
        <f>IF(SAISIE!$G704="","",SAISIE!$G704)</f>
        <v/>
      </c>
      <c r="G699" t="str">
        <f>IF(SAISIE!$H704="","",SAISIE!$H704)</f>
        <v/>
      </c>
      <c r="H699" t="str">
        <f>IF(SAISIE!$I704="","",SAISIE!$I704)</f>
        <v/>
      </c>
      <c r="I699" t="str">
        <f>IF(SAISIE!$J704="","",SAISIE!$J704)</f>
        <v/>
      </c>
      <c r="J699" t="str">
        <f>IF(SAISIE!$K704="","",SAISIE!$K704)</f>
        <v/>
      </c>
      <c r="K699" t="str">
        <f>IF(SAISIE!$L704="","",SAISIE!$L704)</f>
        <v/>
      </c>
      <c r="L699" t="str">
        <f>IF(SAISIE!$M704="","",SAISIE!$M704)</f>
        <v/>
      </c>
      <c r="M699" t="str">
        <f>IF(SAISIE!$N704="","",SAISIE!$N704)</f>
        <v/>
      </c>
      <c r="N699" t="str">
        <f>IF(SAISIE!$O704="","",SAISIE!$O704)</f>
        <v/>
      </c>
      <c r="O699" t="str">
        <f>IF(SAISIE!$P704="","",SAISIE!$P704)</f>
        <v/>
      </c>
      <c r="P699" t="str">
        <f>IF(SAISIE!$Q704="","",SAISIE!$Q704)</f>
        <v/>
      </c>
      <c r="Q699" t="str">
        <f>IF($I699="","",IF($I699&gt;PARAMETRES!$G$29,5,IF($I699&gt;PARAMETRES!$F$29,4,IF($I699&gt;PARAMETRES!$E$29,3,IF($I699&gt;PARAMETRES!$D$29,2,1)))))</f>
        <v/>
      </c>
      <c r="R699" t="str">
        <f>IF($J699="","",IF($J699&gt;PARAMETRES!$G$30,5,IF($J699&gt;PARAMETRES!$F$30,4,IF($J699&gt;PARAMETRES!$E$30,3,IF($J699&gt;PARAMETRES!$D$30,2,1)))))</f>
        <v/>
      </c>
      <c r="S699" t="str">
        <f>IF($K699="","",IF($Z699=2,IF($K699&gt;PARAMETRES!$G$31,5,IF($K699&gt;PARAMETRES!$F$31,4,IF($K699&gt;PARAMETRES!$E$31,3,IF($K699&gt;PARAMETRES!$D$31,2,1)))),IF($K699&gt;PARAMETRES!$G$32,5,IF($K699&gt;PARAMETRES!$F$32,4,IF($K699&gt;PARAMETRES!$E$32,3,IF($K699&gt;PARAMETRES!$D$32,2,1))))))</f>
        <v/>
      </c>
      <c r="T699" t="str">
        <f>IF($L699="","",IF($L699&gt;PARAMETRES!$G$33,5,IF($L699&gt;PARAMETRES!$F$33,4,IF($L699&gt;PARAMETRES!$E$33,3,IF($L699&gt;PARAMETRES!$D$33,2,1)))))</f>
        <v/>
      </c>
      <c r="U699" t="str">
        <f>IF($M699="","",IF($M699&gt;PARAMETRES!$G$34,5,IF($M699&gt;PARAMETRES!$F$34,4,IF($M699&gt;PARAMETRES!$E$34,3,IF($M699&gt;PARAMETRES!$D$34,2,1)))))</f>
        <v/>
      </c>
      <c r="V699" t="str">
        <f>IF($N699="","",IF($N699&gt;PARAMETRES!$G$35,5,IF($N699&gt;PARAMETRES!$F$35,4,IF($N699&gt;PARAMETRES!$E$35,3,IF($N699&gt;PARAMETRES!$D$35,2,1)))))</f>
        <v/>
      </c>
      <c r="W699" t="str">
        <f>IF($O699="","",IF($O699&gt;PARAMETRES!$G$36,5,IF($O699&gt;PARAMETRES!$F$36,4,IF($O699&gt;PARAMETRES!$E$36,3,IF($O699&gt;PARAMETRES!$D$36,2,1)))))</f>
        <v/>
      </c>
      <c r="X699" t="str">
        <f>IF($P699="","",IF($P699&gt;PARAMETRES!$G$37,5,IF($P699&gt;PARAMETRES!$F$37,4,IF($P699&gt;PARAMETRES!$E$37,3,IF($P699&gt;PARAMETRES!$D$37,2,1)))))</f>
        <v/>
      </c>
      <c r="Y699" t="str">
        <f t="shared" si="240"/>
        <v/>
      </c>
      <c r="Z699" t="str">
        <f>IFERROR(VLOOKUP($B699,TABLE_CYCLE,2,0),"")</f>
        <v/>
      </c>
      <c r="AA699" t="str">
        <f t="shared" si="241"/>
        <v/>
      </c>
      <c r="AB699" t="str">
        <f>IF($D699="","",IF(COUNTIF($D$2:$D699,$D699)=1,$D699,""))</f>
        <v/>
      </c>
      <c r="AC699">
        <f t="shared" si="242"/>
        <v>0</v>
      </c>
      <c r="AD699" t="str">
        <f t="shared" si="243"/>
        <v>|0</v>
      </c>
      <c r="AE699" t="str">
        <f t="shared" si="244"/>
        <v/>
      </c>
      <c r="AF699" t="str">
        <f t="shared" si="245"/>
        <v/>
      </c>
      <c r="AG699" t="str">
        <f t="shared" si="246"/>
        <v/>
      </c>
      <c r="AH699" t="str">
        <f t="shared" si="247"/>
        <v/>
      </c>
      <c r="AI699" t="str">
        <f t="shared" si="248"/>
        <v/>
      </c>
      <c r="AJ699" t="str">
        <f t="shared" si="249"/>
        <v/>
      </c>
      <c r="AK699" t="str">
        <f t="shared" si="250"/>
        <v/>
      </c>
      <c r="AL699" t="str">
        <f t="shared" si="251"/>
        <v/>
      </c>
      <c r="AM699" t="str">
        <f t="shared" si="252"/>
        <v/>
      </c>
      <c r="AN699" t="str">
        <f t="shared" si="253"/>
        <v/>
      </c>
      <c r="AO699" t="str">
        <f t="shared" si="254"/>
        <v/>
      </c>
      <c r="AP699">
        <f t="shared" si="255"/>
        <v>1</v>
      </c>
      <c r="AQ699" t="str">
        <f>IF(SAISIE!$F704="","",SAISIE!$Y704)</f>
        <v/>
      </c>
      <c r="AR699" t="str">
        <f>IF(OR(SAISIE!$U$4="",SAISIE!$W$4=""),"",IF(AND($A699=SAISIE!$U$4,$B699=SAISIE!$W$4,$C699="S1"),COUNTIFS($A$2:$A699,SAISIE!$U$4,$B$2:$B699,SAISIE!$W$4,$C$2:$C699,"S1"),""))</f>
        <v/>
      </c>
      <c r="AS699" t="str">
        <f t="shared" si="256"/>
        <v/>
      </c>
      <c r="AT699" t="str">
        <f t="shared" si="257"/>
        <v/>
      </c>
      <c r="AU699" t="str">
        <f t="shared" si="258"/>
        <v/>
      </c>
      <c r="AV699">
        <f>N(AV698)+IF(AND($AB699&lt;&gt;"",OR('PROFIL ELEVE'!$K$4="(Tous)",$AF699='PROFIL ELEVE'!$K$4)),1,0)</f>
        <v>0</v>
      </c>
      <c r="AW699">
        <f>N(AW698)+IF(AND($AB699&lt;&gt;"",OR('SUIVI LONGITUDINAL'!$Q$4="(Tous)",$AF699='SUIVI LONGITUDINAL'!$Q$4)),1,0)</f>
        <v>0</v>
      </c>
      <c r="AX699">
        <f t="shared" si="259"/>
        <v>0</v>
      </c>
      <c r="AY699">
        <f t="shared" si="260"/>
        <v>0</v>
      </c>
      <c r="AZ699">
        <f t="shared" si="261"/>
        <v>0</v>
      </c>
      <c r="BA699" t="str">
        <f t="shared" si="262"/>
        <v/>
      </c>
      <c r="BB699" t="str">
        <f t="shared" si="263"/>
        <v/>
      </c>
    </row>
    <row r="700" spans="1:54" ht="14.25" customHeight="1" x14ac:dyDescent="0.3">
      <c r="A700" t="str">
        <f>IF(SAISIE!$F705="","",SAISIE!$B705)</f>
        <v/>
      </c>
      <c r="B700" t="str">
        <f>IF(SAISIE!$F705="","",SAISIE!$C705)</f>
        <v/>
      </c>
      <c r="C700" t="str">
        <f>IF(SAISIE!$F705="","",SAISIE!$D705)</f>
        <v/>
      </c>
      <c r="D700" t="str">
        <f>IF(SAISIE!$E705="","",SAISIE!$E705)</f>
        <v/>
      </c>
      <c r="E700" t="str">
        <f>IF(SAISIE!$F705="","",SAISIE!$F705)</f>
        <v/>
      </c>
      <c r="F700" t="str">
        <f>IF(SAISIE!$G705="","",SAISIE!$G705)</f>
        <v/>
      </c>
      <c r="G700" t="str">
        <f>IF(SAISIE!$H705="","",SAISIE!$H705)</f>
        <v/>
      </c>
      <c r="H700" t="str">
        <f>IF(SAISIE!$I705="","",SAISIE!$I705)</f>
        <v/>
      </c>
      <c r="I700" t="str">
        <f>IF(SAISIE!$J705="","",SAISIE!$J705)</f>
        <v/>
      </c>
      <c r="J700" t="str">
        <f>IF(SAISIE!$K705="","",SAISIE!$K705)</f>
        <v/>
      </c>
      <c r="K700" t="str">
        <f>IF(SAISIE!$L705="","",SAISIE!$L705)</f>
        <v/>
      </c>
      <c r="L700" t="str">
        <f>IF(SAISIE!$M705="","",SAISIE!$M705)</f>
        <v/>
      </c>
      <c r="M700" t="str">
        <f>IF(SAISIE!$N705="","",SAISIE!$N705)</f>
        <v/>
      </c>
      <c r="N700" t="str">
        <f>IF(SAISIE!$O705="","",SAISIE!$O705)</f>
        <v/>
      </c>
      <c r="O700" t="str">
        <f>IF(SAISIE!$P705="","",SAISIE!$P705)</f>
        <v/>
      </c>
      <c r="P700" t="str">
        <f>IF(SAISIE!$Q705="","",SAISIE!$Q705)</f>
        <v/>
      </c>
      <c r="Q700" t="str">
        <f>IF($I700="","",IF($I700&gt;PARAMETRES!$G$29,5,IF($I700&gt;PARAMETRES!$F$29,4,IF($I700&gt;PARAMETRES!$E$29,3,IF($I700&gt;PARAMETRES!$D$29,2,1)))))</f>
        <v/>
      </c>
      <c r="R700" t="str">
        <f>IF($J700="","",IF($J700&gt;PARAMETRES!$G$30,5,IF($J700&gt;PARAMETRES!$F$30,4,IF($J700&gt;PARAMETRES!$E$30,3,IF($J700&gt;PARAMETRES!$D$30,2,1)))))</f>
        <v/>
      </c>
      <c r="S700" t="str">
        <f>IF($K700="","",IF($Z700=2,IF($K700&gt;PARAMETRES!$G$31,5,IF($K700&gt;PARAMETRES!$F$31,4,IF($K700&gt;PARAMETRES!$E$31,3,IF($K700&gt;PARAMETRES!$D$31,2,1)))),IF($K700&gt;PARAMETRES!$G$32,5,IF($K700&gt;PARAMETRES!$F$32,4,IF($K700&gt;PARAMETRES!$E$32,3,IF($K700&gt;PARAMETRES!$D$32,2,1))))))</f>
        <v/>
      </c>
      <c r="T700" t="str">
        <f>IF($L700="","",IF($L700&gt;PARAMETRES!$G$33,5,IF($L700&gt;PARAMETRES!$F$33,4,IF($L700&gt;PARAMETRES!$E$33,3,IF($L700&gt;PARAMETRES!$D$33,2,1)))))</f>
        <v/>
      </c>
      <c r="U700" t="str">
        <f>IF($M700="","",IF($M700&gt;PARAMETRES!$G$34,5,IF($M700&gt;PARAMETRES!$F$34,4,IF($M700&gt;PARAMETRES!$E$34,3,IF($M700&gt;PARAMETRES!$D$34,2,1)))))</f>
        <v/>
      </c>
      <c r="V700" t="str">
        <f>IF($N700="","",IF($N700&gt;PARAMETRES!$G$35,5,IF($N700&gt;PARAMETRES!$F$35,4,IF($N700&gt;PARAMETRES!$E$35,3,IF($N700&gt;PARAMETRES!$D$35,2,1)))))</f>
        <v/>
      </c>
      <c r="W700" t="str">
        <f>IF($O700="","",IF($O700&gt;PARAMETRES!$G$36,5,IF($O700&gt;PARAMETRES!$F$36,4,IF($O700&gt;PARAMETRES!$E$36,3,IF($O700&gt;PARAMETRES!$D$36,2,1)))))</f>
        <v/>
      </c>
      <c r="X700" t="str">
        <f>IF($P700="","",IF($P700&gt;PARAMETRES!$G$37,5,IF($P700&gt;PARAMETRES!$F$37,4,IF($P700&gt;PARAMETRES!$E$37,3,IF($P700&gt;PARAMETRES!$D$37,2,1)))))</f>
        <v/>
      </c>
      <c r="Y700" t="str">
        <f t="shared" si="240"/>
        <v/>
      </c>
      <c r="Z700" t="str">
        <f>IFERROR(VLOOKUP($B700,TABLE_CYCLE,2,0),"")</f>
        <v/>
      </c>
      <c r="AA700" t="str">
        <f t="shared" si="241"/>
        <v/>
      </c>
      <c r="AB700" t="str">
        <f>IF($D700="","",IF(COUNTIF($D$2:$D700,$D700)=1,$D700,""))</f>
        <v/>
      </c>
      <c r="AC700">
        <f t="shared" si="242"/>
        <v>0</v>
      </c>
      <c r="AD700" t="str">
        <f t="shared" si="243"/>
        <v>|0</v>
      </c>
      <c r="AE700" t="str">
        <f t="shared" si="244"/>
        <v/>
      </c>
      <c r="AF700" t="str">
        <f t="shared" si="245"/>
        <v/>
      </c>
      <c r="AG700" t="str">
        <f t="shared" si="246"/>
        <v/>
      </c>
      <c r="AH700" t="str">
        <f t="shared" si="247"/>
        <v/>
      </c>
      <c r="AI700" t="str">
        <f t="shared" si="248"/>
        <v/>
      </c>
      <c r="AJ700" t="str">
        <f t="shared" si="249"/>
        <v/>
      </c>
      <c r="AK700" t="str">
        <f t="shared" si="250"/>
        <v/>
      </c>
      <c r="AL700" t="str">
        <f t="shared" si="251"/>
        <v/>
      </c>
      <c r="AM700" t="str">
        <f t="shared" si="252"/>
        <v/>
      </c>
      <c r="AN700" t="str">
        <f t="shared" si="253"/>
        <v/>
      </c>
      <c r="AO700" t="str">
        <f t="shared" si="254"/>
        <v/>
      </c>
      <c r="AP700">
        <f t="shared" si="255"/>
        <v>1</v>
      </c>
      <c r="AQ700" t="str">
        <f>IF(SAISIE!$F705="","",SAISIE!$Y705)</f>
        <v/>
      </c>
      <c r="AR700" t="str">
        <f>IF(OR(SAISIE!$U$4="",SAISIE!$W$4=""),"",IF(AND($A700=SAISIE!$U$4,$B700=SAISIE!$W$4,$C700="S1"),COUNTIFS($A$2:$A700,SAISIE!$U$4,$B$2:$B700,SAISIE!$W$4,$C$2:$C700,"S1"),""))</f>
        <v/>
      </c>
      <c r="AS700" t="str">
        <f t="shared" si="256"/>
        <v/>
      </c>
      <c r="AT700" t="str">
        <f t="shared" si="257"/>
        <v/>
      </c>
      <c r="AU700" t="str">
        <f t="shared" si="258"/>
        <v/>
      </c>
      <c r="AV700">
        <f>N(AV699)+IF(AND($AB700&lt;&gt;"",OR('PROFIL ELEVE'!$K$4="(Tous)",$AF700='PROFIL ELEVE'!$K$4)),1,0)</f>
        <v>0</v>
      </c>
      <c r="AW700">
        <f>N(AW699)+IF(AND($AB700&lt;&gt;"",OR('SUIVI LONGITUDINAL'!$Q$4="(Tous)",$AF700='SUIVI LONGITUDINAL'!$Q$4)),1,0)</f>
        <v>0</v>
      </c>
      <c r="AX700">
        <f t="shared" si="259"/>
        <v>0</v>
      </c>
      <c r="AY700">
        <f t="shared" si="260"/>
        <v>0</v>
      </c>
      <c r="AZ700">
        <f t="shared" si="261"/>
        <v>0</v>
      </c>
      <c r="BA700" t="str">
        <f t="shared" si="262"/>
        <v/>
      </c>
      <c r="BB700" t="str">
        <f t="shared" si="263"/>
        <v/>
      </c>
    </row>
    <row r="701" spans="1:54" ht="14.25" customHeight="1" x14ac:dyDescent="0.3">
      <c r="A701" t="str">
        <f>IF(SAISIE!$F706="","",SAISIE!$B706)</f>
        <v/>
      </c>
      <c r="B701" t="str">
        <f>IF(SAISIE!$F706="","",SAISIE!$C706)</f>
        <v/>
      </c>
      <c r="C701" t="str">
        <f>IF(SAISIE!$F706="","",SAISIE!$D706)</f>
        <v/>
      </c>
      <c r="D701" t="str">
        <f>IF(SAISIE!$E706="","",SAISIE!$E706)</f>
        <v/>
      </c>
      <c r="E701" t="str">
        <f>IF(SAISIE!$F706="","",SAISIE!$F706)</f>
        <v/>
      </c>
      <c r="F701" t="str">
        <f>IF(SAISIE!$G706="","",SAISIE!$G706)</f>
        <v/>
      </c>
      <c r="G701" t="str">
        <f>IF(SAISIE!$H706="","",SAISIE!$H706)</f>
        <v/>
      </c>
      <c r="H701" t="str">
        <f>IF(SAISIE!$I706="","",SAISIE!$I706)</f>
        <v/>
      </c>
      <c r="I701" t="str">
        <f>IF(SAISIE!$J706="","",SAISIE!$J706)</f>
        <v/>
      </c>
      <c r="J701" t="str">
        <f>IF(SAISIE!$K706="","",SAISIE!$K706)</f>
        <v/>
      </c>
      <c r="K701" t="str">
        <f>IF(SAISIE!$L706="","",SAISIE!$L706)</f>
        <v/>
      </c>
      <c r="L701" t="str">
        <f>IF(SAISIE!$M706="","",SAISIE!$M706)</f>
        <v/>
      </c>
      <c r="M701" t="str">
        <f>IF(SAISIE!$N706="","",SAISIE!$N706)</f>
        <v/>
      </c>
      <c r="N701" t="str">
        <f>IF(SAISIE!$O706="","",SAISIE!$O706)</f>
        <v/>
      </c>
      <c r="O701" t="str">
        <f>IF(SAISIE!$P706="","",SAISIE!$P706)</f>
        <v/>
      </c>
      <c r="P701" t="str">
        <f>IF(SAISIE!$Q706="","",SAISIE!$Q706)</f>
        <v/>
      </c>
      <c r="Q701" t="str">
        <f>IF($I701="","",IF($I701&gt;PARAMETRES!$G$29,5,IF($I701&gt;PARAMETRES!$F$29,4,IF($I701&gt;PARAMETRES!$E$29,3,IF($I701&gt;PARAMETRES!$D$29,2,1)))))</f>
        <v/>
      </c>
      <c r="R701" t="str">
        <f>IF($J701="","",IF($J701&gt;PARAMETRES!$G$30,5,IF($J701&gt;PARAMETRES!$F$30,4,IF($J701&gt;PARAMETRES!$E$30,3,IF($J701&gt;PARAMETRES!$D$30,2,1)))))</f>
        <v/>
      </c>
      <c r="S701" t="str">
        <f>IF($K701="","",IF($Z701=2,IF($K701&gt;PARAMETRES!$G$31,5,IF($K701&gt;PARAMETRES!$F$31,4,IF($K701&gt;PARAMETRES!$E$31,3,IF($K701&gt;PARAMETRES!$D$31,2,1)))),IF($K701&gt;PARAMETRES!$G$32,5,IF($K701&gt;PARAMETRES!$F$32,4,IF($K701&gt;PARAMETRES!$E$32,3,IF($K701&gt;PARAMETRES!$D$32,2,1))))))</f>
        <v/>
      </c>
      <c r="T701" t="str">
        <f>IF($L701="","",IF($L701&gt;PARAMETRES!$G$33,5,IF($L701&gt;PARAMETRES!$F$33,4,IF($L701&gt;PARAMETRES!$E$33,3,IF($L701&gt;PARAMETRES!$D$33,2,1)))))</f>
        <v/>
      </c>
      <c r="U701" t="str">
        <f>IF($M701="","",IF($M701&gt;PARAMETRES!$G$34,5,IF($M701&gt;PARAMETRES!$F$34,4,IF($M701&gt;PARAMETRES!$E$34,3,IF($M701&gt;PARAMETRES!$D$34,2,1)))))</f>
        <v/>
      </c>
      <c r="V701" t="str">
        <f>IF($N701="","",IF($N701&gt;PARAMETRES!$G$35,5,IF($N701&gt;PARAMETRES!$F$35,4,IF($N701&gt;PARAMETRES!$E$35,3,IF($N701&gt;PARAMETRES!$D$35,2,1)))))</f>
        <v/>
      </c>
      <c r="W701" t="str">
        <f>IF($O701="","",IF($O701&gt;PARAMETRES!$G$36,5,IF($O701&gt;PARAMETRES!$F$36,4,IF($O701&gt;PARAMETRES!$E$36,3,IF($O701&gt;PARAMETRES!$D$36,2,1)))))</f>
        <v/>
      </c>
      <c r="X701" t="str">
        <f>IF($P701="","",IF($P701&gt;PARAMETRES!$G$37,5,IF($P701&gt;PARAMETRES!$F$37,4,IF($P701&gt;PARAMETRES!$E$37,3,IF($P701&gt;PARAMETRES!$D$37,2,1)))))</f>
        <v/>
      </c>
      <c r="Y701" t="str">
        <f t="shared" si="240"/>
        <v/>
      </c>
      <c r="Z701" t="str">
        <f>IFERROR(VLOOKUP($B701,TABLE_CYCLE,2,0),"")</f>
        <v/>
      </c>
      <c r="AA701" t="str">
        <f t="shared" si="241"/>
        <v/>
      </c>
      <c r="AB701" t="str">
        <f>IF($D701="","",IF(COUNTIF($D$2:$D701,$D701)=1,$D701,""))</f>
        <v/>
      </c>
      <c r="AC701">
        <f t="shared" si="242"/>
        <v>0</v>
      </c>
      <c r="AD701" t="str">
        <f t="shared" si="243"/>
        <v>|0</v>
      </c>
      <c r="AE701" t="str">
        <f t="shared" si="244"/>
        <v/>
      </c>
      <c r="AF701" t="str">
        <f t="shared" si="245"/>
        <v/>
      </c>
      <c r="AG701" t="str">
        <f t="shared" si="246"/>
        <v/>
      </c>
      <c r="AH701" t="str">
        <f t="shared" si="247"/>
        <v/>
      </c>
      <c r="AI701" t="str">
        <f t="shared" si="248"/>
        <v/>
      </c>
      <c r="AJ701" t="str">
        <f t="shared" si="249"/>
        <v/>
      </c>
      <c r="AK701" t="str">
        <f t="shared" si="250"/>
        <v/>
      </c>
      <c r="AL701" t="str">
        <f t="shared" si="251"/>
        <v/>
      </c>
      <c r="AM701" t="str">
        <f t="shared" si="252"/>
        <v/>
      </c>
      <c r="AN701" t="str">
        <f t="shared" si="253"/>
        <v/>
      </c>
      <c r="AO701" t="str">
        <f t="shared" si="254"/>
        <v/>
      </c>
      <c r="AP701">
        <f t="shared" si="255"/>
        <v>1</v>
      </c>
      <c r="AQ701" t="str">
        <f>IF(SAISIE!$F706="","",SAISIE!$Y706)</f>
        <v/>
      </c>
      <c r="AR701" t="str">
        <f>IF(OR(SAISIE!$U$4="",SAISIE!$W$4=""),"",IF(AND($A701=SAISIE!$U$4,$B701=SAISIE!$W$4,$C701="S1"),COUNTIFS($A$2:$A701,SAISIE!$U$4,$B$2:$B701,SAISIE!$W$4,$C$2:$C701,"S1"),""))</f>
        <v/>
      </c>
      <c r="AS701" t="str">
        <f t="shared" si="256"/>
        <v/>
      </c>
      <c r="AT701" t="str">
        <f t="shared" si="257"/>
        <v/>
      </c>
      <c r="AU701" t="str">
        <f t="shared" si="258"/>
        <v/>
      </c>
      <c r="AV701">
        <f>N(AV700)+IF(AND($AB701&lt;&gt;"",OR('PROFIL ELEVE'!$K$4="(Tous)",$AF701='PROFIL ELEVE'!$K$4)),1,0)</f>
        <v>0</v>
      </c>
      <c r="AW701">
        <f>N(AW700)+IF(AND($AB701&lt;&gt;"",OR('SUIVI LONGITUDINAL'!$Q$4="(Tous)",$AF701='SUIVI LONGITUDINAL'!$Q$4)),1,0)</f>
        <v>0</v>
      </c>
      <c r="AX701">
        <f t="shared" si="259"/>
        <v>0</v>
      </c>
      <c r="AY701">
        <f t="shared" si="260"/>
        <v>0</v>
      </c>
      <c r="AZ701">
        <f t="shared" si="261"/>
        <v>0</v>
      </c>
      <c r="BA701" t="str">
        <f t="shared" si="262"/>
        <v/>
      </c>
      <c r="BB701" t="str">
        <f t="shared" si="263"/>
        <v/>
      </c>
    </row>
    <row r="702" spans="1:54" ht="14.25" customHeight="1" x14ac:dyDescent="0.3">
      <c r="A702" t="str">
        <f>IF(SAISIE!$F707="","",SAISIE!$B707)</f>
        <v/>
      </c>
      <c r="B702" t="str">
        <f>IF(SAISIE!$F707="","",SAISIE!$C707)</f>
        <v/>
      </c>
      <c r="C702" t="str">
        <f>IF(SAISIE!$F707="","",SAISIE!$D707)</f>
        <v/>
      </c>
      <c r="D702" t="str">
        <f>IF(SAISIE!$E707="","",SAISIE!$E707)</f>
        <v/>
      </c>
      <c r="E702" t="str">
        <f>IF(SAISIE!$F707="","",SAISIE!$F707)</f>
        <v/>
      </c>
      <c r="F702" t="str">
        <f>IF(SAISIE!$G707="","",SAISIE!$G707)</f>
        <v/>
      </c>
      <c r="G702" t="str">
        <f>IF(SAISIE!$H707="","",SAISIE!$H707)</f>
        <v/>
      </c>
      <c r="H702" t="str">
        <f>IF(SAISIE!$I707="","",SAISIE!$I707)</f>
        <v/>
      </c>
      <c r="I702" t="str">
        <f>IF(SAISIE!$J707="","",SAISIE!$J707)</f>
        <v/>
      </c>
      <c r="J702" t="str">
        <f>IF(SAISIE!$K707="","",SAISIE!$K707)</f>
        <v/>
      </c>
      <c r="K702" t="str">
        <f>IF(SAISIE!$L707="","",SAISIE!$L707)</f>
        <v/>
      </c>
      <c r="L702" t="str">
        <f>IF(SAISIE!$M707="","",SAISIE!$M707)</f>
        <v/>
      </c>
      <c r="M702" t="str">
        <f>IF(SAISIE!$N707="","",SAISIE!$N707)</f>
        <v/>
      </c>
      <c r="N702" t="str">
        <f>IF(SAISIE!$O707="","",SAISIE!$O707)</f>
        <v/>
      </c>
      <c r="O702" t="str">
        <f>IF(SAISIE!$P707="","",SAISIE!$P707)</f>
        <v/>
      </c>
      <c r="P702" t="str">
        <f>IF(SAISIE!$Q707="","",SAISIE!$Q707)</f>
        <v/>
      </c>
      <c r="Q702" t="str">
        <f>IF($I702="","",IF($I702&gt;PARAMETRES!$G$29,5,IF($I702&gt;PARAMETRES!$F$29,4,IF($I702&gt;PARAMETRES!$E$29,3,IF($I702&gt;PARAMETRES!$D$29,2,1)))))</f>
        <v/>
      </c>
      <c r="R702" t="str">
        <f>IF($J702="","",IF($J702&gt;PARAMETRES!$G$30,5,IF($J702&gt;PARAMETRES!$F$30,4,IF($J702&gt;PARAMETRES!$E$30,3,IF($J702&gt;PARAMETRES!$D$30,2,1)))))</f>
        <v/>
      </c>
      <c r="S702" t="str">
        <f>IF($K702="","",IF($Z702=2,IF($K702&gt;PARAMETRES!$G$31,5,IF($K702&gt;PARAMETRES!$F$31,4,IF($K702&gt;PARAMETRES!$E$31,3,IF($K702&gt;PARAMETRES!$D$31,2,1)))),IF($K702&gt;PARAMETRES!$G$32,5,IF($K702&gt;PARAMETRES!$F$32,4,IF($K702&gt;PARAMETRES!$E$32,3,IF($K702&gt;PARAMETRES!$D$32,2,1))))))</f>
        <v/>
      </c>
      <c r="T702" t="str">
        <f>IF($L702="","",IF($L702&gt;PARAMETRES!$G$33,5,IF($L702&gt;PARAMETRES!$F$33,4,IF($L702&gt;PARAMETRES!$E$33,3,IF($L702&gt;PARAMETRES!$D$33,2,1)))))</f>
        <v/>
      </c>
      <c r="U702" t="str">
        <f>IF($M702="","",IF($M702&gt;PARAMETRES!$G$34,5,IF($M702&gt;PARAMETRES!$F$34,4,IF($M702&gt;PARAMETRES!$E$34,3,IF($M702&gt;PARAMETRES!$D$34,2,1)))))</f>
        <v/>
      </c>
      <c r="V702" t="str">
        <f>IF($N702="","",IF($N702&gt;PARAMETRES!$G$35,5,IF($N702&gt;PARAMETRES!$F$35,4,IF($N702&gt;PARAMETRES!$E$35,3,IF($N702&gt;PARAMETRES!$D$35,2,1)))))</f>
        <v/>
      </c>
      <c r="W702" t="str">
        <f>IF($O702="","",IF($O702&gt;PARAMETRES!$G$36,5,IF($O702&gt;PARAMETRES!$F$36,4,IF($O702&gt;PARAMETRES!$E$36,3,IF($O702&gt;PARAMETRES!$D$36,2,1)))))</f>
        <v/>
      </c>
      <c r="X702" t="str">
        <f>IF($P702="","",IF($P702&gt;PARAMETRES!$G$37,5,IF($P702&gt;PARAMETRES!$F$37,4,IF($P702&gt;PARAMETRES!$E$37,3,IF($P702&gt;PARAMETRES!$D$37,2,1)))))</f>
        <v/>
      </c>
      <c r="Y702" t="str">
        <f t="shared" si="240"/>
        <v/>
      </c>
      <c r="Z702" t="str">
        <f>IFERROR(VLOOKUP($B702,TABLE_CYCLE,2,0),"")</f>
        <v/>
      </c>
      <c r="AA702" t="str">
        <f t="shared" si="241"/>
        <v/>
      </c>
      <c r="AB702" t="str">
        <f>IF($D702="","",IF(COUNTIF($D$2:$D702,$D702)=1,$D702,""))</f>
        <v/>
      </c>
      <c r="AC702">
        <f t="shared" si="242"/>
        <v>0</v>
      </c>
      <c r="AD702" t="str">
        <f t="shared" si="243"/>
        <v>|0</v>
      </c>
      <c r="AE702" t="str">
        <f t="shared" si="244"/>
        <v/>
      </c>
      <c r="AF702" t="str">
        <f t="shared" si="245"/>
        <v/>
      </c>
      <c r="AG702" t="str">
        <f t="shared" si="246"/>
        <v/>
      </c>
      <c r="AH702" t="str">
        <f t="shared" si="247"/>
        <v/>
      </c>
      <c r="AI702" t="str">
        <f t="shared" si="248"/>
        <v/>
      </c>
      <c r="AJ702" t="str">
        <f t="shared" si="249"/>
        <v/>
      </c>
      <c r="AK702" t="str">
        <f t="shared" si="250"/>
        <v/>
      </c>
      <c r="AL702" t="str">
        <f t="shared" si="251"/>
        <v/>
      </c>
      <c r="AM702" t="str">
        <f t="shared" si="252"/>
        <v/>
      </c>
      <c r="AN702" t="str">
        <f t="shared" si="253"/>
        <v/>
      </c>
      <c r="AO702" t="str">
        <f t="shared" si="254"/>
        <v/>
      </c>
      <c r="AP702">
        <f t="shared" si="255"/>
        <v>1</v>
      </c>
      <c r="AQ702" t="str">
        <f>IF(SAISIE!$F707="","",SAISIE!$Y707)</f>
        <v/>
      </c>
      <c r="AR702" t="str">
        <f>IF(OR(SAISIE!$U$4="",SAISIE!$W$4=""),"",IF(AND($A702=SAISIE!$U$4,$B702=SAISIE!$W$4,$C702="S1"),COUNTIFS($A$2:$A702,SAISIE!$U$4,$B$2:$B702,SAISIE!$W$4,$C$2:$C702,"S1"),""))</f>
        <v/>
      </c>
      <c r="AS702" t="str">
        <f t="shared" si="256"/>
        <v/>
      </c>
      <c r="AT702" t="str">
        <f t="shared" si="257"/>
        <v/>
      </c>
      <c r="AU702" t="str">
        <f t="shared" si="258"/>
        <v/>
      </c>
      <c r="AV702">
        <f>N(AV701)+IF(AND($AB702&lt;&gt;"",OR('PROFIL ELEVE'!$K$4="(Tous)",$AF702='PROFIL ELEVE'!$K$4)),1,0)</f>
        <v>0</v>
      </c>
      <c r="AW702">
        <f>N(AW701)+IF(AND($AB702&lt;&gt;"",OR('SUIVI LONGITUDINAL'!$Q$4="(Tous)",$AF702='SUIVI LONGITUDINAL'!$Q$4)),1,0)</f>
        <v>0</v>
      </c>
      <c r="AX702">
        <f t="shared" si="259"/>
        <v>0</v>
      </c>
      <c r="AY702">
        <f t="shared" si="260"/>
        <v>0</v>
      </c>
      <c r="AZ702">
        <f t="shared" si="261"/>
        <v>0</v>
      </c>
      <c r="BA702" t="str">
        <f t="shared" si="262"/>
        <v/>
      </c>
      <c r="BB702" t="str">
        <f t="shared" si="263"/>
        <v/>
      </c>
    </row>
    <row r="703" spans="1:54" ht="14.25" customHeight="1" x14ac:dyDescent="0.3">
      <c r="A703" t="str">
        <f>IF(SAISIE!$F708="","",SAISIE!$B708)</f>
        <v/>
      </c>
      <c r="B703" t="str">
        <f>IF(SAISIE!$F708="","",SAISIE!$C708)</f>
        <v/>
      </c>
      <c r="C703" t="str">
        <f>IF(SAISIE!$F708="","",SAISIE!$D708)</f>
        <v/>
      </c>
      <c r="D703" t="str">
        <f>IF(SAISIE!$E708="","",SAISIE!$E708)</f>
        <v/>
      </c>
      <c r="E703" t="str">
        <f>IF(SAISIE!$F708="","",SAISIE!$F708)</f>
        <v/>
      </c>
      <c r="F703" t="str">
        <f>IF(SAISIE!$G708="","",SAISIE!$G708)</f>
        <v/>
      </c>
      <c r="G703" t="str">
        <f>IF(SAISIE!$H708="","",SAISIE!$H708)</f>
        <v/>
      </c>
      <c r="H703" t="str">
        <f>IF(SAISIE!$I708="","",SAISIE!$I708)</f>
        <v/>
      </c>
      <c r="I703" t="str">
        <f>IF(SAISIE!$J708="","",SAISIE!$J708)</f>
        <v/>
      </c>
      <c r="J703" t="str">
        <f>IF(SAISIE!$K708="","",SAISIE!$K708)</f>
        <v/>
      </c>
      <c r="K703" t="str">
        <f>IF(SAISIE!$L708="","",SAISIE!$L708)</f>
        <v/>
      </c>
      <c r="L703" t="str">
        <f>IF(SAISIE!$M708="","",SAISIE!$M708)</f>
        <v/>
      </c>
      <c r="M703" t="str">
        <f>IF(SAISIE!$N708="","",SAISIE!$N708)</f>
        <v/>
      </c>
      <c r="N703" t="str">
        <f>IF(SAISIE!$O708="","",SAISIE!$O708)</f>
        <v/>
      </c>
      <c r="O703" t="str">
        <f>IF(SAISIE!$P708="","",SAISIE!$P708)</f>
        <v/>
      </c>
      <c r="P703" t="str">
        <f>IF(SAISIE!$Q708="","",SAISIE!$Q708)</f>
        <v/>
      </c>
      <c r="Q703" t="str">
        <f>IF($I703="","",IF($I703&gt;PARAMETRES!$G$29,5,IF($I703&gt;PARAMETRES!$F$29,4,IF($I703&gt;PARAMETRES!$E$29,3,IF($I703&gt;PARAMETRES!$D$29,2,1)))))</f>
        <v/>
      </c>
      <c r="R703" t="str">
        <f>IF($J703="","",IF($J703&gt;PARAMETRES!$G$30,5,IF($J703&gt;PARAMETRES!$F$30,4,IF($J703&gt;PARAMETRES!$E$30,3,IF($J703&gt;PARAMETRES!$D$30,2,1)))))</f>
        <v/>
      </c>
      <c r="S703" t="str">
        <f>IF($K703="","",IF($Z703=2,IF($K703&gt;PARAMETRES!$G$31,5,IF($K703&gt;PARAMETRES!$F$31,4,IF($K703&gt;PARAMETRES!$E$31,3,IF($K703&gt;PARAMETRES!$D$31,2,1)))),IF($K703&gt;PARAMETRES!$G$32,5,IF($K703&gt;PARAMETRES!$F$32,4,IF($K703&gt;PARAMETRES!$E$32,3,IF($K703&gt;PARAMETRES!$D$32,2,1))))))</f>
        <v/>
      </c>
      <c r="T703" t="str">
        <f>IF($L703="","",IF($L703&gt;PARAMETRES!$G$33,5,IF($L703&gt;PARAMETRES!$F$33,4,IF($L703&gt;PARAMETRES!$E$33,3,IF($L703&gt;PARAMETRES!$D$33,2,1)))))</f>
        <v/>
      </c>
      <c r="U703" t="str">
        <f>IF($M703="","",IF($M703&gt;PARAMETRES!$G$34,5,IF($M703&gt;PARAMETRES!$F$34,4,IF($M703&gt;PARAMETRES!$E$34,3,IF($M703&gt;PARAMETRES!$D$34,2,1)))))</f>
        <v/>
      </c>
      <c r="V703" t="str">
        <f>IF($N703="","",IF($N703&gt;PARAMETRES!$G$35,5,IF($N703&gt;PARAMETRES!$F$35,4,IF($N703&gt;PARAMETRES!$E$35,3,IF($N703&gt;PARAMETRES!$D$35,2,1)))))</f>
        <v/>
      </c>
      <c r="W703" t="str">
        <f>IF($O703="","",IF($O703&gt;PARAMETRES!$G$36,5,IF($O703&gt;PARAMETRES!$F$36,4,IF($O703&gt;PARAMETRES!$E$36,3,IF($O703&gt;PARAMETRES!$D$36,2,1)))))</f>
        <v/>
      </c>
      <c r="X703" t="str">
        <f>IF($P703="","",IF($P703&gt;PARAMETRES!$G$37,5,IF($P703&gt;PARAMETRES!$F$37,4,IF($P703&gt;PARAMETRES!$E$37,3,IF($P703&gt;PARAMETRES!$D$37,2,1)))))</f>
        <v/>
      </c>
      <c r="Y703" t="str">
        <f t="shared" si="240"/>
        <v/>
      </c>
      <c r="Z703" t="str">
        <f>IFERROR(VLOOKUP($B703,TABLE_CYCLE,2,0),"")</f>
        <v/>
      </c>
      <c r="AA703" t="str">
        <f t="shared" si="241"/>
        <v/>
      </c>
      <c r="AB703" t="str">
        <f>IF($D703="","",IF(COUNTIF($D$2:$D703,$D703)=1,$D703,""))</f>
        <v/>
      </c>
      <c r="AC703">
        <f t="shared" si="242"/>
        <v>0</v>
      </c>
      <c r="AD703" t="str">
        <f t="shared" si="243"/>
        <v>|0</v>
      </c>
      <c r="AE703" t="str">
        <f t="shared" si="244"/>
        <v/>
      </c>
      <c r="AF703" t="str">
        <f t="shared" si="245"/>
        <v/>
      </c>
      <c r="AG703" t="str">
        <f t="shared" si="246"/>
        <v/>
      </c>
      <c r="AH703" t="str">
        <f t="shared" si="247"/>
        <v/>
      </c>
      <c r="AI703" t="str">
        <f t="shared" si="248"/>
        <v/>
      </c>
      <c r="AJ703" t="str">
        <f t="shared" si="249"/>
        <v/>
      </c>
      <c r="AK703" t="str">
        <f t="shared" si="250"/>
        <v/>
      </c>
      <c r="AL703" t="str">
        <f t="shared" si="251"/>
        <v/>
      </c>
      <c r="AM703" t="str">
        <f t="shared" si="252"/>
        <v/>
      </c>
      <c r="AN703" t="str">
        <f t="shared" si="253"/>
        <v/>
      </c>
      <c r="AO703" t="str">
        <f t="shared" si="254"/>
        <v/>
      </c>
      <c r="AP703">
        <f t="shared" si="255"/>
        <v>1</v>
      </c>
      <c r="AQ703" t="str">
        <f>IF(SAISIE!$F708="","",SAISIE!$Y708)</f>
        <v/>
      </c>
      <c r="AR703" t="str">
        <f>IF(OR(SAISIE!$U$4="",SAISIE!$W$4=""),"",IF(AND($A703=SAISIE!$U$4,$B703=SAISIE!$W$4,$C703="S1"),COUNTIFS($A$2:$A703,SAISIE!$U$4,$B$2:$B703,SAISIE!$W$4,$C$2:$C703,"S1"),""))</f>
        <v/>
      </c>
      <c r="AS703" t="str">
        <f t="shared" si="256"/>
        <v/>
      </c>
      <c r="AT703" t="str">
        <f t="shared" si="257"/>
        <v/>
      </c>
      <c r="AU703" t="str">
        <f t="shared" si="258"/>
        <v/>
      </c>
      <c r="AV703">
        <f>N(AV702)+IF(AND($AB703&lt;&gt;"",OR('PROFIL ELEVE'!$K$4="(Tous)",$AF703='PROFIL ELEVE'!$K$4)),1,0)</f>
        <v>0</v>
      </c>
      <c r="AW703">
        <f>N(AW702)+IF(AND($AB703&lt;&gt;"",OR('SUIVI LONGITUDINAL'!$Q$4="(Tous)",$AF703='SUIVI LONGITUDINAL'!$Q$4)),1,0)</f>
        <v>0</v>
      </c>
      <c r="AX703">
        <f t="shared" si="259"/>
        <v>0</v>
      </c>
      <c r="AY703">
        <f t="shared" si="260"/>
        <v>0</v>
      </c>
      <c r="AZ703">
        <f t="shared" si="261"/>
        <v>0</v>
      </c>
      <c r="BA703" t="str">
        <f t="shared" si="262"/>
        <v/>
      </c>
      <c r="BB703" t="str">
        <f t="shared" si="263"/>
        <v/>
      </c>
    </row>
    <row r="704" spans="1:54" ht="14.25" customHeight="1" x14ac:dyDescent="0.3">
      <c r="A704" t="str">
        <f>IF(SAISIE!$F709="","",SAISIE!$B709)</f>
        <v/>
      </c>
      <c r="B704" t="str">
        <f>IF(SAISIE!$F709="","",SAISIE!$C709)</f>
        <v/>
      </c>
      <c r="C704" t="str">
        <f>IF(SAISIE!$F709="","",SAISIE!$D709)</f>
        <v/>
      </c>
      <c r="D704" t="str">
        <f>IF(SAISIE!$E709="","",SAISIE!$E709)</f>
        <v/>
      </c>
      <c r="E704" t="str">
        <f>IF(SAISIE!$F709="","",SAISIE!$F709)</f>
        <v/>
      </c>
      <c r="F704" t="str">
        <f>IF(SAISIE!$G709="","",SAISIE!$G709)</f>
        <v/>
      </c>
      <c r="G704" t="str">
        <f>IF(SAISIE!$H709="","",SAISIE!$H709)</f>
        <v/>
      </c>
      <c r="H704" t="str">
        <f>IF(SAISIE!$I709="","",SAISIE!$I709)</f>
        <v/>
      </c>
      <c r="I704" t="str">
        <f>IF(SAISIE!$J709="","",SAISIE!$J709)</f>
        <v/>
      </c>
      <c r="J704" t="str">
        <f>IF(SAISIE!$K709="","",SAISIE!$K709)</f>
        <v/>
      </c>
      <c r="K704" t="str">
        <f>IF(SAISIE!$L709="","",SAISIE!$L709)</f>
        <v/>
      </c>
      <c r="L704" t="str">
        <f>IF(SAISIE!$M709="","",SAISIE!$M709)</f>
        <v/>
      </c>
      <c r="M704" t="str">
        <f>IF(SAISIE!$N709="","",SAISIE!$N709)</f>
        <v/>
      </c>
      <c r="N704" t="str">
        <f>IF(SAISIE!$O709="","",SAISIE!$O709)</f>
        <v/>
      </c>
      <c r="O704" t="str">
        <f>IF(SAISIE!$P709="","",SAISIE!$P709)</f>
        <v/>
      </c>
      <c r="P704" t="str">
        <f>IF(SAISIE!$Q709="","",SAISIE!$Q709)</f>
        <v/>
      </c>
      <c r="Q704" t="str">
        <f>IF($I704="","",IF($I704&gt;PARAMETRES!$G$29,5,IF($I704&gt;PARAMETRES!$F$29,4,IF($I704&gt;PARAMETRES!$E$29,3,IF($I704&gt;PARAMETRES!$D$29,2,1)))))</f>
        <v/>
      </c>
      <c r="R704" t="str">
        <f>IF($J704="","",IF($J704&gt;PARAMETRES!$G$30,5,IF($J704&gt;PARAMETRES!$F$30,4,IF($J704&gt;PARAMETRES!$E$30,3,IF($J704&gt;PARAMETRES!$D$30,2,1)))))</f>
        <v/>
      </c>
      <c r="S704" t="str">
        <f>IF($K704="","",IF($Z704=2,IF($K704&gt;PARAMETRES!$G$31,5,IF($K704&gt;PARAMETRES!$F$31,4,IF($K704&gt;PARAMETRES!$E$31,3,IF($K704&gt;PARAMETRES!$D$31,2,1)))),IF($K704&gt;PARAMETRES!$G$32,5,IF($K704&gt;PARAMETRES!$F$32,4,IF($K704&gt;PARAMETRES!$E$32,3,IF($K704&gt;PARAMETRES!$D$32,2,1))))))</f>
        <v/>
      </c>
      <c r="T704" t="str">
        <f>IF($L704="","",IF($L704&gt;PARAMETRES!$G$33,5,IF($L704&gt;PARAMETRES!$F$33,4,IF($L704&gt;PARAMETRES!$E$33,3,IF($L704&gt;PARAMETRES!$D$33,2,1)))))</f>
        <v/>
      </c>
      <c r="U704" t="str">
        <f>IF($M704="","",IF($M704&gt;PARAMETRES!$G$34,5,IF($M704&gt;PARAMETRES!$F$34,4,IF($M704&gt;PARAMETRES!$E$34,3,IF($M704&gt;PARAMETRES!$D$34,2,1)))))</f>
        <v/>
      </c>
      <c r="V704" t="str">
        <f>IF($N704="","",IF($N704&gt;PARAMETRES!$G$35,5,IF($N704&gt;PARAMETRES!$F$35,4,IF($N704&gt;PARAMETRES!$E$35,3,IF($N704&gt;PARAMETRES!$D$35,2,1)))))</f>
        <v/>
      </c>
      <c r="W704" t="str">
        <f>IF($O704="","",IF($O704&gt;PARAMETRES!$G$36,5,IF($O704&gt;PARAMETRES!$F$36,4,IF($O704&gt;PARAMETRES!$E$36,3,IF($O704&gt;PARAMETRES!$D$36,2,1)))))</f>
        <v/>
      </c>
      <c r="X704" t="str">
        <f>IF($P704="","",IF($P704&gt;PARAMETRES!$G$37,5,IF($P704&gt;PARAMETRES!$F$37,4,IF($P704&gt;PARAMETRES!$E$37,3,IF($P704&gt;PARAMETRES!$D$37,2,1)))))</f>
        <v/>
      </c>
      <c r="Y704" t="str">
        <f t="shared" si="240"/>
        <v/>
      </c>
      <c r="Z704" t="str">
        <f>IFERROR(VLOOKUP($B704,TABLE_CYCLE,2,0),"")</f>
        <v/>
      </c>
      <c r="AA704" t="str">
        <f t="shared" si="241"/>
        <v/>
      </c>
      <c r="AB704" t="str">
        <f>IF($D704="","",IF(COUNTIF($D$2:$D704,$D704)=1,$D704,""))</f>
        <v/>
      </c>
      <c r="AC704">
        <f t="shared" si="242"/>
        <v>0</v>
      </c>
      <c r="AD704" t="str">
        <f t="shared" si="243"/>
        <v>|0</v>
      </c>
      <c r="AE704" t="str">
        <f t="shared" si="244"/>
        <v/>
      </c>
      <c r="AF704" t="str">
        <f t="shared" si="245"/>
        <v/>
      </c>
      <c r="AG704" t="str">
        <f t="shared" si="246"/>
        <v/>
      </c>
      <c r="AH704" t="str">
        <f t="shared" si="247"/>
        <v/>
      </c>
      <c r="AI704" t="str">
        <f t="shared" si="248"/>
        <v/>
      </c>
      <c r="AJ704" t="str">
        <f t="shared" si="249"/>
        <v/>
      </c>
      <c r="AK704" t="str">
        <f t="shared" si="250"/>
        <v/>
      </c>
      <c r="AL704" t="str">
        <f t="shared" si="251"/>
        <v/>
      </c>
      <c r="AM704" t="str">
        <f t="shared" si="252"/>
        <v/>
      </c>
      <c r="AN704" t="str">
        <f t="shared" si="253"/>
        <v/>
      </c>
      <c r="AO704" t="str">
        <f t="shared" si="254"/>
        <v/>
      </c>
      <c r="AP704">
        <f t="shared" si="255"/>
        <v>1</v>
      </c>
      <c r="AQ704" t="str">
        <f>IF(SAISIE!$F709="","",SAISIE!$Y709)</f>
        <v/>
      </c>
      <c r="AR704" t="str">
        <f>IF(OR(SAISIE!$U$4="",SAISIE!$W$4=""),"",IF(AND($A704=SAISIE!$U$4,$B704=SAISIE!$W$4,$C704="S1"),COUNTIFS($A$2:$A704,SAISIE!$U$4,$B$2:$B704,SAISIE!$W$4,$C$2:$C704,"S1"),""))</f>
        <v/>
      </c>
      <c r="AS704" t="str">
        <f t="shared" si="256"/>
        <v/>
      </c>
      <c r="AT704" t="str">
        <f t="shared" si="257"/>
        <v/>
      </c>
      <c r="AU704" t="str">
        <f t="shared" si="258"/>
        <v/>
      </c>
      <c r="AV704">
        <f>N(AV703)+IF(AND($AB704&lt;&gt;"",OR('PROFIL ELEVE'!$K$4="(Tous)",$AF704='PROFIL ELEVE'!$K$4)),1,0)</f>
        <v>0</v>
      </c>
      <c r="AW704">
        <f>N(AW703)+IF(AND($AB704&lt;&gt;"",OR('SUIVI LONGITUDINAL'!$Q$4="(Tous)",$AF704='SUIVI LONGITUDINAL'!$Q$4)),1,0)</f>
        <v>0</v>
      </c>
      <c r="AX704">
        <f t="shared" si="259"/>
        <v>0</v>
      </c>
      <c r="AY704">
        <f t="shared" si="260"/>
        <v>0</v>
      </c>
      <c r="AZ704">
        <f t="shared" si="261"/>
        <v>0</v>
      </c>
      <c r="BA704" t="str">
        <f t="shared" si="262"/>
        <v/>
      </c>
      <c r="BB704" t="str">
        <f t="shared" si="263"/>
        <v/>
      </c>
    </row>
    <row r="705" spans="1:54" ht="14.25" customHeight="1" x14ac:dyDescent="0.3">
      <c r="A705" t="str">
        <f>IF(SAISIE!$F710="","",SAISIE!$B710)</f>
        <v/>
      </c>
      <c r="B705" t="str">
        <f>IF(SAISIE!$F710="","",SAISIE!$C710)</f>
        <v/>
      </c>
      <c r="C705" t="str">
        <f>IF(SAISIE!$F710="","",SAISIE!$D710)</f>
        <v/>
      </c>
      <c r="D705" t="str">
        <f>IF(SAISIE!$E710="","",SAISIE!$E710)</f>
        <v/>
      </c>
      <c r="E705" t="str">
        <f>IF(SAISIE!$F710="","",SAISIE!$F710)</f>
        <v/>
      </c>
      <c r="F705" t="str">
        <f>IF(SAISIE!$G710="","",SAISIE!$G710)</f>
        <v/>
      </c>
      <c r="G705" t="str">
        <f>IF(SAISIE!$H710="","",SAISIE!$H710)</f>
        <v/>
      </c>
      <c r="H705" t="str">
        <f>IF(SAISIE!$I710="","",SAISIE!$I710)</f>
        <v/>
      </c>
      <c r="I705" t="str">
        <f>IF(SAISIE!$J710="","",SAISIE!$J710)</f>
        <v/>
      </c>
      <c r="J705" t="str">
        <f>IF(SAISIE!$K710="","",SAISIE!$K710)</f>
        <v/>
      </c>
      <c r="K705" t="str">
        <f>IF(SAISIE!$L710="","",SAISIE!$L710)</f>
        <v/>
      </c>
      <c r="L705" t="str">
        <f>IF(SAISIE!$M710="","",SAISIE!$M710)</f>
        <v/>
      </c>
      <c r="M705" t="str">
        <f>IF(SAISIE!$N710="","",SAISIE!$N710)</f>
        <v/>
      </c>
      <c r="N705" t="str">
        <f>IF(SAISIE!$O710="","",SAISIE!$O710)</f>
        <v/>
      </c>
      <c r="O705" t="str">
        <f>IF(SAISIE!$P710="","",SAISIE!$P710)</f>
        <v/>
      </c>
      <c r="P705" t="str">
        <f>IF(SAISIE!$Q710="","",SAISIE!$Q710)</f>
        <v/>
      </c>
      <c r="Q705" t="str">
        <f>IF($I705="","",IF($I705&gt;PARAMETRES!$G$29,5,IF($I705&gt;PARAMETRES!$F$29,4,IF($I705&gt;PARAMETRES!$E$29,3,IF($I705&gt;PARAMETRES!$D$29,2,1)))))</f>
        <v/>
      </c>
      <c r="R705" t="str">
        <f>IF($J705="","",IF($J705&gt;PARAMETRES!$G$30,5,IF($J705&gt;PARAMETRES!$F$30,4,IF($J705&gt;PARAMETRES!$E$30,3,IF($J705&gt;PARAMETRES!$D$30,2,1)))))</f>
        <v/>
      </c>
      <c r="S705" t="str">
        <f>IF($K705="","",IF($Z705=2,IF($K705&gt;PARAMETRES!$G$31,5,IF($K705&gt;PARAMETRES!$F$31,4,IF($K705&gt;PARAMETRES!$E$31,3,IF($K705&gt;PARAMETRES!$D$31,2,1)))),IF($K705&gt;PARAMETRES!$G$32,5,IF($K705&gt;PARAMETRES!$F$32,4,IF($K705&gt;PARAMETRES!$E$32,3,IF($K705&gt;PARAMETRES!$D$32,2,1))))))</f>
        <v/>
      </c>
      <c r="T705" t="str">
        <f>IF($L705="","",IF($L705&gt;PARAMETRES!$G$33,5,IF($L705&gt;PARAMETRES!$F$33,4,IF($L705&gt;PARAMETRES!$E$33,3,IF($L705&gt;PARAMETRES!$D$33,2,1)))))</f>
        <v/>
      </c>
      <c r="U705" t="str">
        <f>IF($M705="","",IF($M705&gt;PARAMETRES!$G$34,5,IF($M705&gt;PARAMETRES!$F$34,4,IF($M705&gt;PARAMETRES!$E$34,3,IF($M705&gt;PARAMETRES!$D$34,2,1)))))</f>
        <v/>
      </c>
      <c r="V705" t="str">
        <f>IF($N705="","",IF($N705&gt;PARAMETRES!$G$35,5,IF($N705&gt;PARAMETRES!$F$35,4,IF($N705&gt;PARAMETRES!$E$35,3,IF($N705&gt;PARAMETRES!$D$35,2,1)))))</f>
        <v/>
      </c>
      <c r="W705" t="str">
        <f>IF($O705="","",IF($O705&gt;PARAMETRES!$G$36,5,IF($O705&gt;PARAMETRES!$F$36,4,IF($O705&gt;PARAMETRES!$E$36,3,IF($O705&gt;PARAMETRES!$D$36,2,1)))))</f>
        <v/>
      </c>
      <c r="X705" t="str">
        <f>IF($P705="","",IF($P705&gt;PARAMETRES!$G$37,5,IF($P705&gt;PARAMETRES!$F$37,4,IF($P705&gt;PARAMETRES!$E$37,3,IF($P705&gt;PARAMETRES!$D$37,2,1)))))</f>
        <v/>
      </c>
      <c r="Y705" t="str">
        <f t="shared" si="240"/>
        <v/>
      </c>
      <c r="Z705" t="str">
        <f>IFERROR(VLOOKUP($B705,TABLE_CYCLE,2,0),"")</f>
        <v/>
      </c>
      <c r="AA705" t="str">
        <f t="shared" si="241"/>
        <v/>
      </c>
      <c r="AB705" t="str">
        <f>IF($D705="","",IF(COUNTIF($D$2:$D705,$D705)=1,$D705,""))</f>
        <v/>
      </c>
      <c r="AC705">
        <f t="shared" si="242"/>
        <v>0</v>
      </c>
      <c r="AD705" t="str">
        <f t="shared" si="243"/>
        <v>|0</v>
      </c>
      <c r="AE705" t="str">
        <f t="shared" si="244"/>
        <v/>
      </c>
      <c r="AF705" t="str">
        <f t="shared" si="245"/>
        <v/>
      </c>
      <c r="AG705" t="str">
        <f t="shared" si="246"/>
        <v/>
      </c>
      <c r="AH705" t="str">
        <f t="shared" si="247"/>
        <v/>
      </c>
      <c r="AI705" t="str">
        <f t="shared" si="248"/>
        <v/>
      </c>
      <c r="AJ705" t="str">
        <f t="shared" si="249"/>
        <v/>
      </c>
      <c r="AK705" t="str">
        <f t="shared" si="250"/>
        <v/>
      </c>
      <c r="AL705" t="str">
        <f t="shared" si="251"/>
        <v/>
      </c>
      <c r="AM705" t="str">
        <f t="shared" si="252"/>
        <v/>
      </c>
      <c r="AN705" t="str">
        <f t="shared" si="253"/>
        <v/>
      </c>
      <c r="AO705" t="str">
        <f t="shared" si="254"/>
        <v/>
      </c>
      <c r="AP705">
        <f t="shared" si="255"/>
        <v>1</v>
      </c>
      <c r="AQ705" t="str">
        <f>IF(SAISIE!$F710="","",SAISIE!$Y710)</f>
        <v/>
      </c>
      <c r="AR705" t="str">
        <f>IF(OR(SAISIE!$U$4="",SAISIE!$W$4=""),"",IF(AND($A705=SAISIE!$U$4,$B705=SAISIE!$W$4,$C705="S1"),COUNTIFS($A$2:$A705,SAISIE!$U$4,$B$2:$B705,SAISIE!$W$4,$C$2:$C705,"S1"),""))</f>
        <v/>
      </c>
      <c r="AS705" t="str">
        <f t="shared" si="256"/>
        <v/>
      </c>
      <c r="AT705" t="str">
        <f t="shared" si="257"/>
        <v/>
      </c>
      <c r="AU705" t="str">
        <f t="shared" si="258"/>
        <v/>
      </c>
      <c r="AV705">
        <f>N(AV704)+IF(AND($AB705&lt;&gt;"",OR('PROFIL ELEVE'!$K$4="(Tous)",$AF705='PROFIL ELEVE'!$K$4)),1,0)</f>
        <v>0</v>
      </c>
      <c r="AW705">
        <f>N(AW704)+IF(AND($AB705&lt;&gt;"",OR('SUIVI LONGITUDINAL'!$Q$4="(Tous)",$AF705='SUIVI LONGITUDINAL'!$Q$4)),1,0)</f>
        <v>0</v>
      </c>
      <c r="AX705">
        <f t="shared" si="259"/>
        <v>0</v>
      </c>
      <c r="AY705">
        <f t="shared" si="260"/>
        <v>0</v>
      </c>
      <c r="AZ705">
        <f t="shared" si="261"/>
        <v>0</v>
      </c>
      <c r="BA705" t="str">
        <f t="shared" si="262"/>
        <v/>
      </c>
      <c r="BB705" t="str">
        <f t="shared" si="263"/>
        <v/>
      </c>
    </row>
    <row r="706" spans="1:54" ht="14.25" customHeight="1" x14ac:dyDescent="0.3">
      <c r="A706" t="str">
        <f>IF(SAISIE!$F711="","",SAISIE!$B711)</f>
        <v/>
      </c>
      <c r="B706" t="str">
        <f>IF(SAISIE!$F711="","",SAISIE!$C711)</f>
        <v/>
      </c>
      <c r="C706" t="str">
        <f>IF(SAISIE!$F711="","",SAISIE!$D711)</f>
        <v/>
      </c>
      <c r="D706" t="str">
        <f>IF(SAISIE!$E711="","",SAISIE!$E711)</f>
        <v/>
      </c>
      <c r="E706" t="str">
        <f>IF(SAISIE!$F711="","",SAISIE!$F711)</f>
        <v/>
      </c>
      <c r="F706" t="str">
        <f>IF(SAISIE!$G711="","",SAISIE!$G711)</f>
        <v/>
      </c>
      <c r="G706" t="str">
        <f>IF(SAISIE!$H711="","",SAISIE!$H711)</f>
        <v/>
      </c>
      <c r="H706" t="str">
        <f>IF(SAISIE!$I711="","",SAISIE!$I711)</f>
        <v/>
      </c>
      <c r="I706" t="str">
        <f>IF(SAISIE!$J711="","",SAISIE!$J711)</f>
        <v/>
      </c>
      <c r="J706" t="str">
        <f>IF(SAISIE!$K711="","",SAISIE!$K711)</f>
        <v/>
      </c>
      <c r="K706" t="str">
        <f>IF(SAISIE!$L711="","",SAISIE!$L711)</f>
        <v/>
      </c>
      <c r="L706" t="str">
        <f>IF(SAISIE!$M711="","",SAISIE!$M711)</f>
        <v/>
      </c>
      <c r="M706" t="str">
        <f>IF(SAISIE!$N711="","",SAISIE!$N711)</f>
        <v/>
      </c>
      <c r="N706" t="str">
        <f>IF(SAISIE!$O711="","",SAISIE!$O711)</f>
        <v/>
      </c>
      <c r="O706" t="str">
        <f>IF(SAISIE!$P711="","",SAISIE!$P711)</f>
        <v/>
      </c>
      <c r="P706" t="str">
        <f>IF(SAISIE!$Q711="","",SAISIE!$Q711)</f>
        <v/>
      </c>
      <c r="Q706" t="str">
        <f>IF($I706="","",IF($I706&gt;PARAMETRES!$G$29,5,IF($I706&gt;PARAMETRES!$F$29,4,IF($I706&gt;PARAMETRES!$E$29,3,IF($I706&gt;PARAMETRES!$D$29,2,1)))))</f>
        <v/>
      </c>
      <c r="R706" t="str">
        <f>IF($J706="","",IF($J706&gt;PARAMETRES!$G$30,5,IF($J706&gt;PARAMETRES!$F$30,4,IF($J706&gt;PARAMETRES!$E$30,3,IF($J706&gt;PARAMETRES!$D$30,2,1)))))</f>
        <v/>
      </c>
      <c r="S706" t="str">
        <f>IF($K706="","",IF($Z706=2,IF($K706&gt;PARAMETRES!$G$31,5,IF($K706&gt;PARAMETRES!$F$31,4,IF($K706&gt;PARAMETRES!$E$31,3,IF($K706&gt;PARAMETRES!$D$31,2,1)))),IF($K706&gt;PARAMETRES!$G$32,5,IF($K706&gt;PARAMETRES!$F$32,4,IF($K706&gt;PARAMETRES!$E$32,3,IF($K706&gt;PARAMETRES!$D$32,2,1))))))</f>
        <v/>
      </c>
      <c r="T706" t="str">
        <f>IF($L706="","",IF($L706&gt;PARAMETRES!$G$33,5,IF($L706&gt;PARAMETRES!$F$33,4,IF($L706&gt;PARAMETRES!$E$33,3,IF($L706&gt;PARAMETRES!$D$33,2,1)))))</f>
        <v/>
      </c>
      <c r="U706" t="str">
        <f>IF($M706="","",IF($M706&gt;PARAMETRES!$G$34,5,IF($M706&gt;PARAMETRES!$F$34,4,IF($M706&gt;PARAMETRES!$E$34,3,IF($M706&gt;PARAMETRES!$D$34,2,1)))))</f>
        <v/>
      </c>
      <c r="V706" t="str">
        <f>IF($N706="","",IF($N706&gt;PARAMETRES!$G$35,5,IF($N706&gt;PARAMETRES!$F$35,4,IF($N706&gt;PARAMETRES!$E$35,3,IF($N706&gt;PARAMETRES!$D$35,2,1)))))</f>
        <v/>
      </c>
      <c r="W706" t="str">
        <f>IF($O706="","",IF($O706&gt;PARAMETRES!$G$36,5,IF($O706&gt;PARAMETRES!$F$36,4,IF($O706&gt;PARAMETRES!$E$36,3,IF($O706&gt;PARAMETRES!$D$36,2,1)))))</f>
        <v/>
      </c>
      <c r="X706" t="str">
        <f>IF($P706="","",IF($P706&gt;PARAMETRES!$G$37,5,IF($P706&gt;PARAMETRES!$F$37,4,IF($P706&gt;PARAMETRES!$E$37,3,IF($P706&gt;PARAMETRES!$D$37,2,1)))))</f>
        <v/>
      </c>
      <c r="Y706" t="str">
        <f t="shared" ref="Y706:Y769" si="264">IF(COUNT($Q706:$X706)=0,"",AVERAGE($Q706:$X706))</f>
        <v/>
      </c>
      <c r="Z706" t="str">
        <f>IFERROR(VLOOKUP($B706,TABLE_CYCLE,2,0),"")</f>
        <v/>
      </c>
      <c r="AA706" t="str">
        <f t="shared" ref="AA706:AA769" si="265">IF($D706="","",$D706&amp;"|"&amp;$A706&amp;"|"&amp;$C706)</f>
        <v/>
      </c>
      <c r="AB706" t="str">
        <f>IF($D706="","",IF(COUNTIF($D$2:$D706,$D706)=1,$D706,""))</f>
        <v/>
      </c>
      <c r="AC706">
        <f t="shared" ref="AC706:AC769" si="266">IFERROR(MATCH($A706,LISTE_ANNEES,0),0)</f>
        <v>0</v>
      </c>
      <c r="AD706" t="str">
        <f t="shared" ref="AD706:AD769" si="267">$D706&amp;"|"&amp;$AC706</f>
        <v>|0</v>
      </c>
      <c r="AE706" t="str">
        <f t="shared" ref="AE706:AE769" si="268">IF($D706="","",_xlfn.MAXIFS($AC$2:$AC$1201,$D$2:$D$1201,$D706))</f>
        <v/>
      </c>
      <c r="AF706" t="str">
        <f t="shared" ref="AF706:AF769" si="269">IF($AB706="","",IFERROR(INDEX($B$2:$B$1201,MATCH($D706&amp;"|"&amp;$AE706,$AD$2:$AD$1201,0)),""))</f>
        <v/>
      </c>
      <c r="AG706" t="str">
        <f t="shared" ref="AG706:AG769" si="270">IF($C706&lt;&gt;"S1","",IFERROR(MATCH($D706&amp;"|"&amp;$A706&amp;"|S2",$AA$2:$AA$1201,0),""))</f>
        <v/>
      </c>
      <c r="AH706" t="str">
        <f t="shared" ref="AH706:AH769" si="271">IF(OR($AG706="",$Q706=""),"",IF(INDEX($Q$2:$Q$1201,$AG706)="","",IF(INDEX($Q$2:$Q$1201,$AG706)&gt;$Q706,1,IF(INDEX($Q$2:$Q$1201,$AG706)&lt;$Q706,-1,0))))</f>
        <v/>
      </c>
      <c r="AI706" t="str">
        <f t="shared" ref="AI706:AI769" si="272">IF(OR($AG706="",$R706=""),"",IF(INDEX($R$2:$R$1201,$AG706)="","",IF(INDEX($R$2:$R$1201,$AG706)&gt;$R706,1,IF(INDEX($R$2:$R$1201,$AG706)&lt;$R706,-1,0))))</f>
        <v/>
      </c>
      <c r="AJ706" t="str">
        <f t="shared" ref="AJ706:AJ769" si="273">IF(OR($AG706="",$S706=""),"",IF(INDEX($S$2:$S$1201,$AG706)="","",IF(INDEX($S$2:$S$1201,$AG706)&gt;$S706,1,IF(INDEX($S$2:$S$1201,$AG706)&lt;$S706,-1,0))))</f>
        <v/>
      </c>
      <c r="AK706" t="str">
        <f t="shared" ref="AK706:AK769" si="274">IF(OR($AG706="",$T706=""),"",IF(INDEX($T$2:$T$1201,$AG706)="","",IF(INDEX($T$2:$T$1201,$AG706)&gt;$T706,1,IF(INDEX($T$2:$T$1201,$AG706)&lt;$T706,-1,0))))</f>
        <v/>
      </c>
      <c r="AL706" t="str">
        <f t="shared" ref="AL706:AL769" si="275">IF(OR($AG706="",$U706=""),"",IF(INDEX($U$2:$U$1201,$AG706)="","",IF(INDEX($U$2:$U$1201,$AG706)&gt;$U706,1,IF(INDEX($U$2:$U$1201,$AG706)&lt;$U706,-1,0))))</f>
        <v/>
      </c>
      <c r="AM706" t="str">
        <f t="shared" ref="AM706:AM769" si="276">IF(OR($AG706="",$V706=""),"",IF(INDEX($V$2:$V$1201,$AG706)="","",IF(INDEX($V$2:$V$1201,$AG706)&gt;$V706,1,IF(INDEX($V$2:$V$1201,$AG706)&lt;$V706,-1,0))))</f>
        <v/>
      </c>
      <c r="AN706" t="str">
        <f t="shared" ref="AN706:AN769" si="277">IF(OR($AG706="",$W706=""),"",IF(INDEX($W$2:$W$1201,$AG706)="","",IF(INDEX($W$2:$W$1201,$AG706)&gt;$W706,1,IF(INDEX($W$2:$W$1201,$AG706)&lt;$W706,-1,0))))</f>
        <v/>
      </c>
      <c r="AO706" t="str">
        <f t="shared" ref="AO706:AO769" si="278">IF(OR($AG706="",$X706=""),"",IF(INDEX($X$2:$X$1201,$AG706)="","",IF(INDEX($X$2:$X$1201,$AG706)&gt;$X706,1,IF(INDEX($X$2:$X$1201,$AG706)&lt;$X706,-1,0))))</f>
        <v/>
      </c>
      <c r="AP706">
        <f t="shared" ref="AP706:AP769" si="279">IF($D706="",1,COUNTIFS($D$2:$D$1201,$D706,$A$2:$A$1201,$A706))</f>
        <v>1</v>
      </c>
      <c r="AQ706" t="str">
        <f>IF(SAISIE!$F711="","",SAISIE!$Y711)</f>
        <v/>
      </c>
      <c r="AR706" t="str">
        <f>IF(OR(SAISIE!$U$4="",SAISIE!$W$4=""),"",IF(AND($A706=SAISIE!$U$4,$B706=SAISIE!$W$4,$C706="S1"),COUNTIFS($A$2:$A706,SAISIE!$U$4,$B$2:$B706,SAISIE!$W$4,$C$2:$C706,"S1"),""))</f>
        <v/>
      </c>
      <c r="AS706" t="str">
        <f t="shared" ref="AS706:AS769" si="280">IF($D706="","",$A706&amp;"|"&amp;$C706&amp;"|"&amp;$D706)</f>
        <v/>
      </c>
      <c r="AT706" t="str">
        <f t="shared" ref="AT706:AT769" si="281">IF($D706="","",$A706&amp;"|"&amp;$D706&amp;"|"&amp;IF($AQ706="Parti","P","A"))</f>
        <v/>
      </c>
      <c r="AU706" t="str">
        <f t="shared" ref="AU706:AU769" si="282">IF($A706="","",$A706&amp;"|"&amp;$B706&amp;"|"&amp;$C706)</f>
        <v/>
      </c>
      <c r="AV706">
        <f>N(AV705)+IF(AND($AB706&lt;&gt;"",OR('PROFIL ELEVE'!$K$4="(Tous)",$AF706='PROFIL ELEVE'!$K$4)),1,0)</f>
        <v>0</v>
      </c>
      <c r="AW706">
        <f>N(AW705)+IF(AND($AB706&lt;&gt;"",OR('SUIVI LONGITUDINAL'!$Q$4="(Tous)",$AF706='SUIVI LONGITUDINAL'!$Q$4)),1,0)</f>
        <v>0</v>
      </c>
      <c r="AX706">
        <f t="shared" ref="AX706:AX769" si="283">COUNTIF($AH706:$AO706,1)</f>
        <v>0</v>
      </c>
      <c r="AY706">
        <f t="shared" ref="AY706:AY769" si="284">COUNTIF($AH706:$AO706,0)</f>
        <v>0</v>
      </c>
      <c r="AZ706">
        <f t="shared" ref="AZ706:AZ769" si="285">COUNTIF($AH706:$AO706,-1)</f>
        <v>0</v>
      </c>
      <c r="BA706" t="str">
        <f t="shared" ref="BA706:BA769" si="286">IF($E706="","",COUNT($Q706:$X706))</f>
        <v/>
      </c>
      <c r="BB706" t="str">
        <f t="shared" ref="BB706:BB769" si="287">IF($E706="","",IF(COUNT($Q706:$X706)&gt;=IF($Z706=2,5,8),1,0))</f>
        <v/>
      </c>
    </row>
    <row r="707" spans="1:54" ht="14.25" customHeight="1" x14ac:dyDescent="0.3">
      <c r="A707" t="str">
        <f>IF(SAISIE!$F712="","",SAISIE!$B712)</f>
        <v/>
      </c>
      <c r="B707" t="str">
        <f>IF(SAISIE!$F712="","",SAISIE!$C712)</f>
        <v/>
      </c>
      <c r="C707" t="str">
        <f>IF(SAISIE!$F712="","",SAISIE!$D712)</f>
        <v/>
      </c>
      <c r="D707" t="str">
        <f>IF(SAISIE!$E712="","",SAISIE!$E712)</f>
        <v/>
      </c>
      <c r="E707" t="str">
        <f>IF(SAISIE!$F712="","",SAISIE!$F712)</f>
        <v/>
      </c>
      <c r="F707" t="str">
        <f>IF(SAISIE!$G712="","",SAISIE!$G712)</f>
        <v/>
      </c>
      <c r="G707" t="str">
        <f>IF(SAISIE!$H712="","",SAISIE!$H712)</f>
        <v/>
      </c>
      <c r="H707" t="str">
        <f>IF(SAISIE!$I712="","",SAISIE!$I712)</f>
        <v/>
      </c>
      <c r="I707" t="str">
        <f>IF(SAISIE!$J712="","",SAISIE!$J712)</f>
        <v/>
      </c>
      <c r="J707" t="str">
        <f>IF(SAISIE!$K712="","",SAISIE!$K712)</f>
        <v/>
      </c>
      <c r="K707" t="str">
        <f>IF(SAISIE!$L712="","",SAISIE!$L712)</f>
        <v/>
      </c>
      <c r="L707" t="str">
        <f>IF(SAISIE!$M712="","",SAISIE!$M712)</f>
        <v/>
      </c>
      <c r="M707" t="str">
        <f>IF(SAISIE!$N712="","",SAISIE!$N712)</f>
        <v/>
      </c>
      <c r="N707" t="str">
        <f>IF(SAISIE!$O712="","",SAISIE!$O712)</f>
        <v/>
      </c>
      <c r="O707" t="str">
        <f>IF(SAISIE!$P712="","",SAISIE!$P712)</f>
        <v/>
      </c>
      <c r="P707" t="str">
        <f>IF(SAISIE!$Q712="","",SAISIE!$Q712)</f>
        <v/>
      </c>
      <c r="Q707" t="str">
        <f>IF($I707="","",IF($I707&gt;PARAMETRES!$G$29,5,IF($I707&gt;PARAMETRES!$F$29,4,IF($I707&gt;PARAMETRES!$E$29,3,IF($I707&gt;PARAMETRES!$D$29,2,1)))))</f>
        <v/>
      </c>
      <c r="R707" t="str">
        <f>IF($J707="","",IF($J707&gt;PARAMETRES!$G$30,5,IF($J707&gt;PARAMETRES!$F$30,4,IF($J707&gt;PARAMETRES!$E$30,3,IF($J707&gt;PARAMETRES!$D$30,2,1)))))</f>
        <v/>
      </c>
      <c r="S707" t="str">
        <f>IF($K707="","",IF($Z707=2,IF($K707&gt;PARAMETRES!$G$31,5,IF($K707&gt;PARAMETRES!$F$31,4,IF($K707&gt;PARAMETRES!$E$31,3,IF($K707&gt;PARAMETRES!$D$31,2,1)))),IF($K707&gt;PARAMETRES!$G$32,5,IF($K707&gt;PARAMETRES!$F$32,4,IF($K707&gt;PARAMETRES!$E$32,3,IF($K707&gt;PARAMETRES!$D$32,2,1))))))</f>
        <v/>
      </c>
      <c r="T707" t="str">
        <f>IF($L707="","",IF($L707&gt;PARAMETRES!$G$33,5,IF($L707&gt;PARAMETRES!$F$33,4,IF($L707&gt;PARAMETRES!$E$33,3,IF($L707&gt;PARAMETRES!$D$33,2,1)))))</f>
        <v/>
      </c>
      <c r="U707" t="str">
        <f>IF($M707="","",IF($M707&gt;PARAMETRES!$G$34,5,IF($M707&gt;PARAMETRES!$F$34,4,IF($M707&gt;PARAMETRES!$E$34,3,IF($M707&gt;PARAMETRES!$D$34,2,1)))))</f>
        <v/>
      </c>
      <c r="V707" t="str">
        <f>IF($N707="","",IF($N707&gt;PARAMETRES!$G$35,5,IF($N707&gt;PARAMETRES!$F$35,4,IF($N707&gt;PARAMETRES!$E$35,3,IF($N707&gt;PARAMETRES!$D$35,2,1)))))</f>
        <v/>
      </c>
      <c r="W707" t="str">
        <f>IF($O707="","",IF($O707&gt;PARAMETRES!$G$36,5,IF($O707&gt;PARAMETRES!$F$36,4,IF($O707&gt;PARAMETRES!$E$36,3,IF($O707&gt;PARAMETRES!$D$36,2,1)))))</f>
        <v/>
      </c>
      <c r="X707" t="str">
        <f>IF($P707="","",IF($P707&gt;PARAMETRES!$G$37,5,IF($P707&gt;PARAMETRES!$F$37,4,IF($P707&gt;PARAMETRES!$E$37,3,IF($P707&gt;PARAMETRES!$D$37,2,1)))))</f>
        <v/>
      </c>
      <c r="Y707" t="str">
        <f t="shared" si="264"/>
        <v/>
      </c>
      <c r="Z707" t="str">
        <f>IFERROR(VLOOKUP($B707,TABLE_CYCLE,2,0),"")</f>
        <v/>
      </c>
      <c r="AA707" t="str">
        <f t="shared" si="265"/>
        <v/>
      </c>
      <c r="AB707" t="str">
        <f>IF($D707="","",IF(COUNTIF($D$2:$D707,$D707)=1,$D707,""))</f>
        <v/>
      </c>
      <c r="AC707">
        <f t="shared" si="266"/>
        <v>0</v>
      </c>
      <c r="AD707" t="str">
        <f t="shared" si="267"/>
        <v>|0</v>
      </c>
      <c r="AE707" t="str">
        <f t="shared" si="268"/>
        <v/>
      </c>
      <c r="AF707" t="str">
        <f t="shared" si="269"/>
        <v/>
      </c>
      <c r="AG707" t="str">
        <f t="shared" si="270"/>
        <v/>
      </c>
      <c r="AH707" t="str">
        <f t="shared" si="271"/>
        <v/>
      </c>
      <c r="AI707" t="str">
        <f t="shared" si="272"/>
        <v/>
      </c>
      <c r="AJ707" t="str">
        <f t="shared" si="273"/>
        <v/>
      </c>
      <c r="AK707" t="str">
        <f t="shared" si="274"/>
        <v/>
      </c>
      <c r="AL707" t="str">
        <f t="shared" si="275"/>
        <v/>
      </c>
      <c r="AM707" t="str">
        <f t="shared" si="276"/>
        <v/>
      </c>
      <c r="AN707" t="str">
        <f t="shared" si="277"/>
        <v/>
      </c>
      <c r="AO707" t="str">
        <f t="shared" si="278"/>
        <v/>
      </c>
      <c r="AP707">
        <f t="shared" si="279"/>
        <v>1</v>
      </c>
      <c r="AQ707" t="str">
        <f>IF(SAISIE!$F712="","",SAISIE!$Y712)</f>
        <v/>
      </c>
      <c r="AR707" t="str">
        <f>IF(OR(SAISIE!$U$4="",SAISIE!$W$4=""),"",IF(AND($A707=SAISIE!$U$4,$B707=SAISIE!$W$4,$C707="S1"),COUNTIFS($A$2:$A707,SAISIE!$U$4,$B$2:$B707,SAISIE!$W$4,$C$2:$C707,"S1"),""))</f>
        <v/>
      </c>
      <c r="AS707" t="str">
        <f t="shared" si="280"/>
        <v/>
      </c>
      <c r="AT707" t="str">
        <f t="shared" si="281"/>
        <v/>
      </c>
      <c r="AU707" t="str">
        <f t="shared" si="282"/>
        <v/>
      </c>
      <c r="AV707">
        <f>N(AV706)+IF(AND($AB707&lt;&gt;"",OR('PROFIL ELEVE'!$K$4="(Tous)",$AF707='PROFIL ELEVE'!$K$4)),1,0)</f>
        <v>0</v>
      </c>
      <c r="AW707">
        <f>N(AW706)+IF(AND($AB707&lt;&gt;"",OR('SUIVI LONGITUDINAL'!$Q$4="(Tous)",$AF707='SUIVI LONGITUDINAL'!$Q$4)),1,0)</f>
        <v>0</v>
      </c>
      <c r="AX707">
        <f t="shared" si="283"/>
        <v>0</v>
      </c>
      <c r="AY707">
        <f t="shared" si="284"/>
        <v>0</v>
      </c>
      <c r="AZ707">
        <f t="shared" si="285"/>
        <v>0</v>
      </c>
      <c r="BA707" t="str">
        <f t="shared" si="286"/>
        <v/>
      </c>
      <c r="BB707" t="str">
        <f t="shared" si="287"/>
        <v/>
      </c>
    </row>
    <row r="708" spans="1:54" ht="14.25" customHeight="1" x14ac:dyDescent="0.3">
      <c r="A708" t="str">
        <f>IF(SAISIE!$F713="","",SAISIE!$B713)</f>
        <v/>
      </c>
      <c r="B708" t="str">
        <f>IF(SAISIE!$F713="","",SAISIE!$C713)</f>
        <v/>
      </c>
      <c r="C708" t="str">
        <f>IF(SAISIE!$F713="","",SAISIE!$D713)</f>
        <v/>
      </c>
      <c r="D708" t="str">
        <f>IF(SAISIE!$E713="","",SAISIE!$E713)</f>
        <v/>
      </c>
      <c r="E708" t="str">
        <f>IF(SAISIE!$F713="","",SAISIE!$F713)</f>
        <v/>
      </c>
      <c r="F708" t="str">
        <f>IF(SAISIE!$G713="","",SAISIE!$G713)</f>
        <v/>
      </c>
      <c r="G708" t="str">
        <f>IF(SAISIE!$H713="","",SAISIE!$H713)</f>
        <v/>
      </c>
      <c r="H708" t="str">
        <f>IF(SAISIE!$I713="","",SAISIE!$I713)</f>
        <v/>
      </c>
      <c r="I708" t="str">
        <f>IF(SAISIE!$J713="","",SAISIE!$J713)</f>
        <v/>
      </c>
      <c r="J708" t="str">
        <f>IF(SAISIE!$K713="","",SAISIE!$K713)</f>
        <v/>
      </c>
      <c r="K708" t="str">
        <f>IF(SAISIE!$L713="","",SAISIE!$L713)</f>
        <v/>
      </c>
      <c r="L708" t="str">
        <f>IF(SAISIE!$M713="","",SAISIE!$M713)</f>
        <v/>
      </c>
      <c r="M708" t="str">
        <f>IF(SAISIE!$N713="","",SAISIE!$N713)</f>
        <v/>
      </c>
      <c r="N708" t="str">
        <f>IF(SAISIE!$O713="","",SAISIE!$O713)</f>
        <v/>
      </c>
      <c r="O708" t="str">
        <f>IF(SAISIE!$P713="","",SAISIE!$P713)</f>
        <v/>
      </c>
      <c r="P708" t="str">
        <f>IF(SAISIE!$Q713="","",SAISIE!$Q713)</f>
        <v/>
      </c>
      <c r="Q708" t="str">
        <f>IF($I708="","",IF($I708&gt;PARAMETRES!$G$29,5,IF($I708&gt;PARAMETRES!$F$29,4,IF($I708&gt;PARAMETRES!$E$29,3,IF($I708&gt;PARAMETRES!$D$29,2,1)))))</f>
        <v/>
      </c>
      <c r="R708" t="str">
        <f>IF($J708="","",IF($J708&gt;PARAMETRES!$G$30,5,IF($J708&gt;PARAMETRES!$F$30,4,IF($J708&gt;PARAMETRES!$E$30,3,IF($J708&gt;PARAMETRES!$D$30,2,1)))))</f>
        <v/>
      </c>
      <c r="S708" t="str">
        <f>IF($K708="","",IF($Z708=2,IF($K708&gt;PARAMETRES!$G$31,5,IF($K708&gt;PARAMETRES!$F$31,4,IF($K708&gt;PARAMETRES!$E$31,3,IF($K708&gt;PARAMETRES!$D$31,2,1)))),IF($K708&gt;PARAMETRES!$G$32,5,IF($K708&gt;PARAMETRES!$F$32,4,IF($K708&gt;PARAMETRES!$E$32,3,IF($K708&gt;PARAMETRES!$D$32,2,1))))))</f>
        <v/>
      </c>
      <c r="T708" t="str">
        <f>IF($L708="","",IF($L708&gt;PARAMETRES!$G$33,5,IF($L708&gt;PARAMETRES!$F$33,4,IF($L708&gt;PARAMETRES!$E$33,3,IF($L708&gt;PARAMETRES!$D$33,2,1)))))</f>
        <v/>
      </c>
      <c r="U708" t="str">
        <f>IF($M708="","",IF($M708&gt;PARAMETRES!$G$34,5,IF($M708&gt;PARAMETRES!$F$34,4,IF($M708&gt;PARAMETRES!$E$34,3,IF($M708&gt;PARAMETRES!$D$34,2,1)))))</f>
        <v/>
      </c>
      <c r="V708" t="str">
        <f>IF($N708="","",IF($N708&gt;PARAMETRES!$G$35,5,IF($N708&gt;PARAMETRES!$F$35,4,IF($N708&gt;PARAMETRES!$E$35,3,IF($N708&gt;PARAMETRES!$D$35,2,1)))))</f>
        <v/>
      </c>
      <c r="W708" t="str">
        <f>IF($O708="","",IF($O708&gt;PARAMETRES!$G$36,5,IF($O708&gt;PARAMETRES!$F$36,4,IF($O708&gt;PARAMETRES!$E$36,3,IF($O708&gt;PARAMETRES!$D$36,2,1)))))</f>
        <v/>
      </c>
      <c r="X708" t="str">
        <f>IF($P708="","",IF($P708&gt;PARAMETRES!$G$37,5,IF($P708&gt;PARAMETRES!$F$37,4,IF($P708&gt;PARAMETRES!$E$37,3,IF($P708&gt;PARAMETRES!$D$37,2,1)))))</f>
        <v/>
      </c>
      <c r="Y708" t="str">
        <f t="shared" si="264"/>
        <v/>
      </c>
      <c r="Z708" t="str">
        <f>IFERROR(VLOOKUP($B708,TABLE_CYCLE,2,0),"")</f>
        <v/>
      </c>
      <c r="AA708" t="str">
        <f t="shared" si="265"/>
        <v/>
      </c>
      <c r="AB708" t="str">
        <f>IF($D708="","",IF(COUNTIF($D$2:$D708,$D708)=1,$D708,""))</f>
        <v/>
      </c>
      <c r="AC708">
        <f t="shared" si="266"/>
        <v>0</v>
      </c>
      <c r="AD708" t="str">
        <f t="shared" si="267"/>
        <v>|0</v>
      </c>
      <c r="AE708" t="str">
        <f t="shared" si="268"/>
        <v/>
      </c>
      <c r="AF708" t="str">
        <f t="shared" si="269"/>
        <v/>
      </c>
      <c r="AG708" t="str">
        <f t="shared" si="270"/>
        <v/>
      </c>
      <c r="AH708" t="str">
        <f t="shared" si="271"/>
        <v/>
      </c>
      <c r="AI708" t="str">
        <f t="shared" si="272"/>
        <v/>
      </c>
      <c r="AJ708" t="str">
        <f t="shared" si="273"/>
        <v/>
      </c>
      <c r="AK708" t="str">
        <f t="shared" si="274"/>
        <v/>
      </c>
      <c r="AL708" t="str">
        <f t="shared" si="275"/>
        <v/>
      </c>
      <c r="AM708" t="str">
        <f t="shared" si="276"/>
        <v/>
      </c>
      <c r="AN708" t="str">
        <f t="shared" si="277"/>
        <v/>
      </c>
      <c r="AO708" t="str">
        <f t="shared" si="278"/>
        <v/>
      </c>
      <c r="AP708">
        <f t="shared" si="279"/>
        <v>1</v>
      </c>
      <c r="AQ708" t="str">
        <f>IF(SAISIE!$F713="","",SAISIE!$Y713)</f>
        <v/>
      </c>
      <c r="AR708" t="str">
        <f>IF(OR(SAISIE!$U$4="",SAISIE!$W$4=""),"",IF(AND($A708=SAISIE!$U$4,$B708=SAISIE!$W$4,$C708="S1"),COUNTIFS($A$2:$A708,SAISIE!$U$4,$B$2:$B708,SAISIE!$W$4,$C$2:$C708,"S1"),""))</f>
        <v/>
      </c>
      <c r="AS708" t="str">
        <f t="shared" si="280"/>
        <v/>
      </c>
      <c r="AT708" t="str">
        <f t="shared" si="281"/>
        <v/>
      </c>
      <c r="AU708" t="str">
        <f t="shared" si="282"/>
        <v/>
      </c>
      <c r="AV708">
        <f>N(AV707)+IF(AND($AB708&lt;&gt;"",OR('PROFIL ELEVE'!$K$4="(Tous)",$AF708='PROFIL ELEVE'!$K$4)),1,0)</f>
        <v>0</v>
      </c>
      <c r="AW708">
        <f>N(AW707)+IF(AND($AB708&lt;&gt;"",OR('SUIVI LONGITUDINAL'!$Q$4="(Tous)",$AF708='SUIVI LONGITUDINAL'!$Q$4)),1,0)</f>
        <v>0</v>
      </c>
      <c r="AX708">
        <f t="shared" si="283"/>
        <v>0</v>
      </c>
      <c r="AY708">
        <f t="shared" si="284"/>
        <v>0</v>
      </c>
      <c r="AZ708">
        <f t="shared" si="285"/>
        <v>0</v>
      </c>
      <c r="BA708" t="str">
        <f t="shared" si="286"/>
        <v/>
      </c>
      <c r="BB708" t="str">
        <f t="shared" si="287"/>
        <v/>
      </c>
    </row>
    <row r="709" spans="1:54" ht="14.25" customHeight="1" x14ac:dyDescent="0.3">
      <c r="A709" t="str">
        <f>IF(SAISIE!$F714="","",SAISIE!$B714)</f>
        <v/>
      </c>
      <c r="B709" t="str">
        <f>IF(SAISIE!$F714="","",SAISIE!$C714)</f>
        <v/>
      </c>
      <c r="C709" t="str">
        <f>IF(SAISIE!$F714="","",SAISIE!$D714)</f>
        <v/>
      </c>
      <c r="D709" t="str">
        <f>IF(SAISIE!$E714="","",SAISIE!$E714)</f>
        <v/>
      </c>
      <c r="E709" t="str">
        <f>IF(SAISIE!$F714="","",SAISIE!$F714)</f>
        <v/>
      </c>
      <c r="F709" t="str">
        <f>IF(SAISIE!$G714="","",SAISIE!$G714)</f>
        <v/>
      </c>
      <c r="G709" t="str">
        <f>IF(SAISIE!$H714="","",SAISIE!$H714)</f>
        <v/>
      </c>
      <c r="H709" t="str">
        <f>IF(SAISIE!$I714="","",SAISIE!$I714)</f>
        <v/>
      </c>
      <c r="I709" t="str">
        <f>IF(SAISIE!$J714="","",SAISIE!$J714)</f>
        <v/>
      </c>
      <c r="J709" t="str">
        <f>IF(SAISIE!$K714="","",SAISIE!$K714)</f>
        <v/>
      </c>
      <c r="K709" t="str">
        <f>IF(SAISIE!$L714="","",SAISIE!$L714)</f>
        <v/>
      </c>
      <c r="L709" t="str">
        <f>IF(SAISIE!$M714="","",SAISIE!$M714)</f>
        <v/>
      </c>
      <c r="M709" t="str">
        <f>IF(SAISIE!$N714="","",SAISIE!$N714)</f>
        <v/>
      </c>
      <c r="N709" t="str">
        <f>IF(SAISIE!$O714="","",SAISIE!$O714)</f>
        <v/>
      </c>
      <c r="O709" t="str">
        <f>IF(SAISIE!$P714="","",SAISIE!$P714)</f>
        <v/>
      </c>
      <c r="P709" t="str">
        <f>IF(SAISIE!$Q714="","",SAISIE!$Q714)</f>
        <v/>
      </c>
      <c r="Q709" t="str">
        <f>IF($I709="","",IF($I709&gt;PARAMETRES!$G$29,5,IF($I709&gt;PARAMETRES!$F$29,4,IF($I709&gt;PARAMETRES!$E$29,3,IF($I709&gt;PARAMETRES!$D$29,2,1)))))</f>
        <v/>
      </c>
      <c r="R709" t="str">
        <f>IF($J709="","",IF($J709&gt;PARAMETRES!$G$30,5,IF($J709&gt;PARAMETRES!$F$30,4,IF($J709&gt;PARAMETRES!$E$30,3,IF($J709&gt;PARAMETRES!$D$30,2,1)))))</f>
        <v/>
      </c>
      <c r="S709" t="str">
        <f>IF($K709="","",IF($Z709=2,IF($K709&gt;PARAMETRES!$G$31,5,IF($K709&gt;PARAMETRES!$F$31,4,IF($K709&gt;PARAMETRES!$E$31,3,IF($K709&gt;PARAMETRES!$D$31,2,1)))),IF($K709&gt;PARAMETRES!$G$32,5,IF($K709&gt;PARAMETRES!$F$32,4,IF($K709&gt;PARAMETRES!$E$32,3,IF($K709&gt;PARAMETRES!$D$32,2,1))))))</f>
        <v/>
      </c>
      <c r="T709" t="str">
        <f>IF($L709="","",IF($L709&gt;PARAMETRES!$G$33,5,IF($L709&gt;PARAMETRES!$F$33,4,IF($L709&gt;PARAMETRES!$E$33,3,IF($L709&gt;PARAMETRES!$D$33,2,1)))))</f>
        <v/>
      </c>
      <c r="U709" t="str">
        <f>IF($M709="","",IF($M709&gt;PARAMETRES!$G$34,5,IF($M709&gt;PARAMETRES!$F$34,4,IF($M709&gt;PARAMETRES!$E$34,3,IF($M709&gt;PARAMETRES!$D$34,2,1)))))</f>
        <v/>
      </c>
      <c r="V709" t="str">
        <f>IF($N709="","",IF($N709&gt;PARAMETRES!$G$35,5,IF($N709&gt;PARAMETRES!$F$35,4,IF($N709&gt;PARAMETRES!$E$35,3,IF($N709&gt;PARAMETRES!$D$35,2,1)))))</f>
        <v/>
      </c>
      <c r="W709" t="str">
        <f>IF($O709="","",IF($O709&gt;PARAMETRES!$G$36,5,IF($O709&gt;PARAMETRES!$F$36,4,IF($O709&gt;PARAMETRES!$E$36,3,IF($O709&gt;PARAMETRES!$D$36,2,1)))))</f>
        <v/>
      </c>
      <c r="X709" t="str">
        <f>IF($P709="","",IF($P709&gt;PARAMETRES!$G$37,5,IF($P709&gt;PARAMETRES!$F$37,4,IF($P709&gt;PARAMETRES!$E$37,3,IF($P709&gt;PARAMETRES!$D$37,2,1)))))</f>
        <v/>
      </c>
      <c r="Y709" t="str">
        <f t="shared" si="264"/>
        <v/>
      </c>
      <c r="Z709" t="str">
        <f>IFERROR(VLOOKUP($B709,TABLE_CYCLE,2,0),"")</f>
        <v/>
      </c>
      <c r="AA709" t="str">
        <f t="shared" si="265"/>
        <v/>
      </c>
      <c r="AB709" t="str">
        <f>IF($D709="","",IF(COUNTIF($D$2:$D709,$D709)=1,$D709,""))</f>
        <v/>
      </c>
      <c r="AC709">
        <f t="shared" si="266"/>
        <v>0</v>
      </c>
      <c r="AD709" t="str">
        <f t="shared" si="267"/>
        <v>|0</v>
      </c>
      <c r="AE709" t="str">
        <f t="shared" si="268"/>
        <v/>
      </c>
      <c r="AF709" t="str">
        <f t="shared" si="269"/>
        <v/>
      </c>
      <c r="AG709" t="str">
        <f t="shared" si="270"/>
        <v/>
      </c>
      <c r="AH709" t="str">
        <f t="shared" si="271"/>
        <v/>
      </c>
      <c r="AI709" t="str">
        <f t="shared" si="272"/>
        <v/>
      </c>
      <c r="AJ709" t="str">
        <f t="shared" si="273"/>
        <v/>
      </c>
      <c r="AK709" t="str">
        <f t="shared" si="274"/>
        <v/>
      </c>
      <c r="AL709" t="str">
        <f t="shared" si="275"/>
        <v/>
      </c>
      <c r="AM709" t="str">
        <f t="shared" si="276"/>
        <v/>
      </c>
      <c r="AN709" t="str">
        <f t="shared" si="277"/>
        <v/>
      </c>
      <c r="AO709" t="str">
        <f t="shared" si="278"/>
        <v/>
      </c>
      <c r="AP709">
        <f t="shared" si="279"/>
        <v>1</v>
      </c>
      <c r="AQ709" t="str">
        <f>IF(SAISIE!$F714="","",SAISIE!$Y714)</f>
        <v/>
      </c>
      <c r="AR709" t="str">
        <f>IF(OR(SAISIE!$U$4="",SAISIE!$W$4=""),"",IF(AND($A709=SAISIE!$U$4,$B709=SAISIE!$W$4,$C709="S1"),COUNTIFS($A$2:$A709,SAISIE!$U$4,$B$2:$B709,SAISIE!$W$4,$C$2:$C709,"S1"),""))</f>
        <v/>
      </c>
      <c r="AS709" t="str">
        <f t="shared" si="280"/>
        <v/>
      </c>
      <c r="AT709" t="str">
        <f t="shared" si="281"/>
        <v/>
      </c>
      <c r="AU709" t="str">
        <f t="shared" si="282"/>
        <v/>
      </c>
      <c r="AV709">
        <f>N(AV708)+IF(AND($AB709&lt;&gt;"",OR('PROFIL ELEVE'!$K$4="(Tous)",$AF709='PROFIL ELEVE'!$K$4)),1,0)</f>
        <v>0</v>
      </c>
      <c r="AW709">
        <f>N(AW708)+IF(AND($AB709&lt;&gt;"",OR('SUIVI LONGITUDINAL'!$Q$4="(Tous)",$AF709='SUIVI LONGITUDINAL'!$Q$4)),1,0)</f>
        <v>0</v>
      </c>
      <c r="AX709">
        <f t="shared" si="283"/>
        <v>0</v>
      </c>
      <c r="AY709">
        <f t="shared" si="284"/>
        <v>0</v>
      </c>
      <c r="AZ709">
        <f t="shared" si="285"/>
        <v>0</v>
      </c>
      <c r="BA709" t="str">
        <f t="shared" si="286"/>
        <v/>
      </c>
      <c r="BB709" t="str">
        <f t="shared" si="287"/>
        <v/>
      </c>
    </row>
    <row r="710" spans="1:54" ht="14.25" customHeight="1" x14ac:dyDescent="0.3">
      <c r="A710" t="str">
        <f>IF(SAISIE!$F715="","",SAISIE!$B715)</f>
        <v/>
      </c>
      <c r="B710" t="str">
        <f>IF(SAISIE!$F715="","",SAISIE!$C715)</f>
        <v/>
      </c>
      <c r="C710" t="str">
        <f>IF(SAISIE!$F715="","",SAISIE!$D715)</f>
        <v/>
      </c>
      <c r="D710" t="str">
        <f>IF(SAISIE!$E715="","",SAISIE!$E715)</f>
        <v/>
      </c>
      <c r="E710" t="str">
        <f>IF(SAISIE!$F715="","",SAISIE!$F715)</f>
        <v/>
      </c>
      <c r="F710" t="str">
        <f>IF(SAISIE!$G715="","",SAISIE!$G715)</f>
        <v/>
      </c>
      <c r="G710" t="str">
        <f>IF(SAISIE!$H715="","",SAISIE!$H715)</f>
        <v/>
      </c>
      <c r="H710" t="str">
        <f>IF(SAISIE!$I715="","",SAISIE!$I715)</f>
        <v/>
      </c>
      <c r="I710" t="str">
        <f>IF(SAISIE!$J715="","",SAISIE!$J715)</f>
        <v/>
      </c>
      <c r="J710" t="str">
        <f>IF(SAISIE!$K715="","",SAISIE!$K715)</f>
        <v/>
      </c>
      <c r="K710" t="str">
        <f>IF(SAISIE!$L715="","",SAISIE!$L715)</f>
        <v/>
      </c>
      <c r="L710" t="str">
        <f>IF(SAISIE!$M715="","",SAISIE!$M715)</f>
        <v/>
      </c>
      <c r="M710" t="str">
        <f>IF(SAISIE!$N715="","",SAISIE!$N715)</f>
        <v/>
      </c>
      <c r="N710" t="str">
        <f>IF(SAISIE!$O715="","",SAISIE!$O715)</f>
        <v/>
      </c>
      <c r="O710" t="str">
        <f>IF(SAISIE!$P715="","",SAISIE!$P715)</f>
        <v/>
      </c>
      <c r="P710" t="str">
        <f>IF(SAISIE!$Q715="","",SAISIE!$Q715)</f>
        <v/>
      </c>
      <c r="Q710" t="str">
        <f>IF($I710="","",IF($I710&gt;PARAMETRES!$G$29,5,IF($I710&gt;PARAMETRES!$F$29,4,IF($I710&gt;PARAMETRES!$E$29,3,IF($I710&gt;PARAMETRES!$D$29,2,1)))))</f>
        <v/>
      </c>
      <c r="R710" t="str">
        <f>IF($J710="","",IF($J710&gt;PARAMETRES!$G$30,5,IF($J710&gt;PARAMETRES!$F$30,4,IF($J710&gt;PARAMETRES!$E$30,3,IF($J710&gt;PARAMETRES!$D$30,2,1)))))</f>
        <v/>
      </c>
      <c r="S710" t="str">
        <f>IF($K710="","",IF($Z710=2,IF($K710&gt;PARAMETRES!$G$31,5,IF($K710&gt;PARAMETRES!$F$31,4,IF($K710&gt;PARAMETRES!$E$31,3,IF($K710&gt;PARAMETRES!$D$31,2,1)))),IF($K710&gt;PARAMETRES!$G$32,5,IF($K710&gt;PARAMETRES!$F$32,4,IF($K710&gt;PARAMETRES!$E$32,3,IF($K710&gt;PARAMETRES!$D$32,2,1))))))</f>
        <v/>
      </c>
      <c r="T710" t="str">
        <f>IF($L710="","",IF($L710&gt;PARAMETRES!$G$33,5,IF($L710&gt;PARAMETRES!$F$33,4,IF($L710&gt;PARAMETRES!$E$33,3,IF($L710&gt;PARAMETRES!$D$33,2,1)))))</f>
        <v/>
      </c>
      <c r="U710" t="str">
        <f>IF($M710="","",IF($M710&gt;PARAMETRES!$G$34,5,IF($M710&gt;PARAMETRES!$F$34,4,IF($M710&gt;PARAMETRES!$E$34,3,IF($M710&gt;PARAMETRES!$D$34,2,1)))))</f>
        <v/>
      </c>
      <c r="V710" t="str">
        <f>IF($N710="","",IF($N710&gt;PARAMETRES!$G$35,5,IF($N710&gt;PARAMETRES!$F$35,4,IF($N710&gt;PARAMETRES!$E$35,3,IF($N710&gt;PARAMETRES!$D$35,2,1)))))</f>
        <v/>
      </c>
      <c r="W710" t="str">
        <f>IF($O710="","",IF($O710&gt;PARAMETRES!$G$36,5,IF($O710&gt;PARAMETRES!$F$36,4,IF($O710&gt;PARAMETRES!$E$36,3,IF($O710&gt;PARAMETRES!$D$36,2,1)))))</f>
        <v/>
      </c>
      <c r="X710" t="str">
        <f>IF($P710="","",IF($P710&gt;PARAMETRES!$G$37,5,IF($P710&gt;PARAMETRES!$F$37,4,IF($P710&gt;PARAMETRES!$E$37,3,IF($P710&gt;PARAMETRES!$D$37,2,1)))))</f>
        <v/>
      </c>
      <c r="Y710" t="str">
        <f t="shared" si="264"/>
        <v/>
      </c>
      <c r="Z710" t="str">
        <f>IFERROR(VLOOKUP($B710,TABLE_CYCLE,2,0),"")</f>
        <v/>
      </c>
      <c r="AA710" t="str">
        <f t="shared" si="265"/>
        <v/>
      </c>
      <c r="AB710" t="str">
        <f>IF($D710="","",IF(COUNTIF($D$2:$D710,$D710)=1,$D710,""))</f>
        <v/>
      </c>
      <c r="AC710">
        <f t="shared" si="266"/>
        <v>0</v>
      </c>
      <c r="AD710" t="str">
        <f t="shared" si="267"/>
        <v>|0</v>
      </c>
      <c r="AE710" t="str">
        <f t="shared" si="268"/>
        <v/>
      </c>
      <c r="AF710" t="str">
        <f t="shared" si="269"/>
        <v/>
      </c>
      <c r="AG710" t="str">
        <f t="shared" si="270"/>
        <v/>
      </c>
      <c r="AH710" t="str">
        <f t="shared" si="271"/>
        <v/>
      </c>
      <c r="AI710" t="str">
        <f t="shared" si="272"/>
        <v/>
      </c>
      <c r="AJ710" t="str">
        <f t="shared" si="273"/>
        <v/>
      </c>
      <c r="AK710" t="str">
        <f t="shared" si="274"/>
        <v/>
      </c>
      <c r="AL710" t="str">
        <f t="shared" si="275"/>
        <v/>
      </c>
      <c r="AM710" t="str">
        <f t="shared" si="276"/>
        <v/>
      </c>
      <c r="AN710" t="str">
        <f t="shared" si="277"/>
        <v/>
      </c>
      <c r="AO710" t="str">
        <f t="shared" si="278"/>
        <v/>
      </c>
      <c r="AP710">
        <f t="shared" si="279"/>
        <v>1</v>
      </c>
      <c r="AQ710" t="str">
        <f>IF(SAISIE!$F715="","",SAISIE!$Y715)</f>
        <v/>
      </c>
      <c r="AR710" t="str">
        <f>IF(OR(SAISIE!$U$4="",SAISIE!$W$4=""),"",IF(AND($A710=SAISIE!$U$4,$B710=SAISIE!$W$4,$C710="S1"),COUNTIFS($A$2:$A710,SAISIE!$U$4,$B$2:$B710,SAISIE!$W$4,$C$2:$C710,"S1"),""))</f>
        <v/>
      </c>
      <c r="AS710" t="str">
        <f t="shared" si="280"/>
        <v/>
      </c>
      <c r="AT710" t="str">
        <f t="shared" si="281"/>
        <v/>
      </c>
      <c r="AU710" t="str">
        <f t="shared" si="282"/>
        <v/>
      </c>
      <c r="AV710">
        <f>N(AV709)+IF(AND($AB710&lt;&gt;"",OR('PROFIL ELEVE'!$K$4="(Tous)",$AF710='PROFIL ELEVE'!$K$4)),1,0)</f>
        <v>0</v>
      </c>
      <c r="AW710">
        <f>N(AW709)+IF(AND($AB710&lt;&gt;"",OR('SUIVI LONGITUDINAL'!$Q$4="(Tous)",$AF710='SUIVI LONGITUDINAL'!$Q$4)),1,0)</f>
        <v>0</v>
      </c>
      <c r="AX710">
        <f t="shared" si="283"/>
        <v>0</v>
      </c>
      <c r="AY710">
        <f t="shared" si="284"/>
        <v>0</v>
      </c>
      <c r="AZ710">
        <f t="shared" si="285"/>
        <v>0</v>
      </c>
      <c r="BA710" t="str">
        <f t="shared" si="286"/>
        <v/>
      </c>
      <c r="BB710" t="str">
        <f t="shared" si="287"/>
        <v/>
      </c>
    </row>
    <row r="711" spans="1:54" ht="14.25" customHeight="1" x14ac:dyDescent="0.3">
      <c r="A711" t="str">
        <f>IF(SAISIE!$F716="","",SAISIE!$B716)</f>
        <v/>
      </c>
      <c r="B711" t="str">
        <f>IF(SAISIE!$F716="","",SAISIE!$C716)</f>
        <v/>
      </c>
      <c r="C711" t="str">
        <f>IF(SAISIE!$F716="","",SAISIE!$D716)</f>
        <v/>
      </c>
      <c r="D711" t="str">
        <f>IF(SAISIE!$E716="","",SAISIE!$E716)</f>
        <v/>
      </c>
      <c r="E711" t="str">
        <f>IF(SAISIE!$F716="","",SAISIE!$F716)</f>
        <v/>
      </c>
      <c r="F711" t="str">
        <f>IF(SAISIE!$G716="","",SAISIE!$G716)</f>
        <v/>
      </c>
      <c r="G711" t="str">
        <f>IF(SAISIE!$H716="","",SAISIE!$H716)</f>
        <v/>
      </c>
      <c r="H711" t="str">
        <f>IF(SAISIE!$I716="","",SAISIE!$I716)</f>
        <v/>
      </c>
      <c r="I711" t="str">
        <f>IF(SAISIE!$J716="","",SAISIE!$J716)</f>
        <v/>
      </c>
      <c r="J711" t="str">
        <f>IF(SAISIE!$K716="","",SAISIE!$K716)</f>
        <v/>
      </c>
      <c r="K711" t="str">
        <f>IF(SAISIE!$L716="","",SAISIE!$L716)</f>
        <v/>
      </c>
      <c r="L711" t="str">
        <f>IF(SAISIE!$M716="","",SAISIE!$M716)</f>
        <v/>
      </c>
      <c r="M711" t="str">
        <f>IF(SAISIE!$N716="","",SAISIE!$N716)</f>
        <v/>
      </c>
      <c r="N711" t="str">
        <f>IF(SAISIE!$O716="","",SAISIE!$O716)</f>
        <v/>
      </c>
      <c r="O711" t="str">
        <f>IF(SAISIE!$P716="","",SAISIE!$P716)</f>
        <v/>
      </c>
      <c r="P711" t="str">
        <f>IF(SAISIE!$Q716="","",SAISIE!$Q716)</f>
        <v/>
      </c>
      <c r="Q711" t="str">
        <f>IF($I711="","",IF($I711&gt;PARAMETRES!$G$29,5,IF($I711&gt;PARAMETRES!$F$29,4,IF($I711&gt;PARAMETRES!$E$29,3,IF($I711&gt;PARAMETRES!$D$29,2,1)))))</f>
        <v/>
      </c>
      <c r="R711" t="str">
        <f>IF($J711="","",IF($J711&gt;PARAMETRES!$G$30,5,IF($J711&gt;PARAMETRES!$F$30,4,IF($J711&gt;PARAMETRES!$E$30,3,IF($J711&gt;PARAMETRES!$D$30,2,1)))))</f>
        <v/>
      </c>
      <c r="S711" t="str">
        <f>IF($K711="","",IF($Z711=2,IF($K711&gt;PARAMETRES!$G$31,5,IF($K711&gt;PARAMETRES!$F$31,4,IF($K711&gt;PARAMETRES!$E$31,3,IF($K711&gt;PARAMETRES!$D$31,2,1)))),IF($K711&gt;PARAMETRES!$G$32,5,IF($K711&gt;PARAMETRES!$F$32,4,IF($K711&gt;PARAMETRES!$E$32,3,IF($K711&gt;PARAMETRES!$D$32,2,1))))))</f>
        <v/>
      </c>
      <c r="T711" t="str">
        <f>IF($L711="","",IF($L711&gt;PARAMETRES!$G$33,5,IF($L711&gt;PARAMETRES!$F$33,4,IF($L711&gt;PARAMETRES!$E$33,3,IF($L711&gt;PARAMETRES!$D$33,2,1)))))</f>
        <v/>
      </c>
      <c r="U711" t="str">
        <f>IF($M711="","",IF($M711&gt;PARAMETRES!$G$34,5,IF($M711&gt;PARAMETRES!$F$34,4,IF($M711&gt;PARAMETRES!$E$34,3,IF($M711&gt;PARAMETRES!$D$34,2,1)))))</f>
        <v/>
      </c>
      <c r="V711" t="str">
        <f>IF($N711="","",IF($N711&gt;PARAMETRES!$G$35,5,IF($N711&gt;PARAMETRES!$F$35,4,IF($N711&gt;PARAMETRES!$E$35,3,IF($N711&gt;PARAMETRES!$D$35,2,1)))))</f>
        <v/>
      </c>
      <c r="W711" t="str">
        <f>IF($O711="","",IF($O711&gt;PARAMETRES!$G$36,5,IF($O711&gt;PARAMETRES!$F$36,4,IF($O711&gt;PARAMETRES!$E$36,3,IF($O711&gt;PARAMETRES!$D$36,2,1)))))</f>
        <v/>
      </c>
      <c r="X711" t="str">
        <f>IF($P711="","",IF($P711&gt;PARAMETRES!$G$37,5,IF($P711&gt;PARAMETRES!$F$37,4,IF($P711&gt;PARAMETRES!$E$37,3,IF($P711&gt;PARAMETRES!$D$37,2,1)))))</f>
        <v/>
      </c>
      <c r="Y711" t="str">
        <f t="shared" si="264"/>
        <v/>
      </c>
      <c r="Z711" t="str">
        <f>IFERROR(VLOOKUP($B711,TABLE_CYCLE,2,0),"")</f>
        <v/>
      </c>
      <c r="AA711" t="str">
        <f t="shared" si="265"/>
        <v/>
      </c>
      <c r="AB711" t="str">
        <f>IF($D711="","",IF(COUNTIF($D$2:$D711,$D711)=1,$D711,""))</f>
        <v/>
      </c>
      <c r="AC711">
        <f t="shared" si="266"/>
        <v>0</v>
      </c>
      <c r="AD711" t="str">
        <f t="shared" si="267"/>
        <v>|0</v>
      </c>
      <c r="AE711" t="str">
        <f t="shared" si="268"/>
        <v/>
      </c>
      <c r="AF711" t="str">
        <f t="shared" si="269"/>
        <v/>
      </c>
      <c r="AG711" t="str">
        <f t="shared" si="270"/>
        <v/>
      </c>
      <c r="AH711" t="str">
        <f t="shared" si="271"/>
        <v/>
      </c>
      <c r="AI711" t="str">
        <f t="shared" si="272"/>
        <v/>
      </c>
      <c r="AJ711" t="str">
        <f t="shared" si="273"/>
        <v/>
      </c>
      <c r="AK711" t="str">
        <f t="shared" si="274"/>
        <v/>
      </c>
      <c r="AL711" t="str">
        <f t="shared" si="275"/>
        <v/>
      </c>
      <c r="AM711" t="str">
        <f t="shared" si="276"/>
        <v/>
      </c>
      <c r="AN711" t="str">
        <f t="shared" si="277"/>
        <v/>
      </c>
      <c r="AO711" t="str">
        <f t="shared" si="278"/>
        <v/>
      </c>
      <c r="AP711">
        <f t="shared" si="279"/>
        <v>1</v>
      </c>
      <c r="AQ711" t="str">
        <f>IF(SAISIE!$F716="","",SAISIE!$Y716)</f>
        <v/>
      </c>
      <c r="AR711" t="str">
        <f>IF(OR(SAISIE!$U$4="",SAISIE!$W$4=""),"",IF(AND($A711=SAISIE!$U$4,$B711=SAISIE!$W$4,$C711="S1"),COUNTIFS($A$2:$A711,SAISIE!$U$4,$B$2:$B711,SAISIE!$W$4,$C$2:$C711,"S1"),""))</f>
        <v/>
      </c>
      <c r="AS711" t="str">
        <f t="shared" si="280"/>
        <v/>
      </c>
      <c r="AT711" t="str">
        <f t="shared" si="281"/>
        <v/>
      </c>
      <c r="AU711" t="str">
        <f t="shared" si="282"/>
        <v/>
      </c>
      <c r="AV711">
        <f>N(AV710)+IF(AND($AB711&lt;&gt;"",OR('PROFIL ELEVE'!$K$4="(Tous)",$AF711='PROFIL ELEVE'!$K$4)),1,0)</f>
        <v>0</v>
      </c>
      <c r="AW711">
        <f>N(AW710)+IF(AND($AB711&lt;&gt;"",OR('SUIVI LONGITUDINAL'!$Q$4="(Tous)",$AF711='SUIVI LONGITUDINAL'!$Q$4)),1,0)</f>
        <v>0</v>
      </c>
      <c r="AX711">
        <f t="shared" si="283"/>
        <v>0</v>
      </c>
      <c r="AY711">
        <f t="shared" si="284"/>
        <v>0</v>
      </c>
      <c r="AZ711">
        <f t="shared" si="285"/>
        <v>0</v>
      </c>
      <c r="BA711" t="str">
        <f t="shared" si="286"/>
        <v/>
      </c>
      <c r="BB711" t="str">
        <f t="shared" si="287"/>
        <v/>
      </c>
    </row>
    <row r="712" spans="1:54" ht="14.25" customHeight="1" x14ac:dyDescent="0.3">
      <c r="A712" t="str">
        <f>IF(SAISIE!$F717="","",SAISIE!$B717)</f>
        <v/>
      </c>
      <c r="B712" t="str">
        <f>IF(SAISIE!$F717="","",SAISIE!$C717)</f>
        <v/>
      </c>
      <c r="C712" t="str">
        <f>IF(SAISIE!$F717="","",SAISIE!$D717)</f>
        <v/>
      </c>
      <c r="D712" t="str">
        <f>IF(SAISIE!$E717="","",SAISIE!$E717)</f>
        <v/>
      </c>
      <c r="E712" t="str">
        <f>IF(SAISIE!$F717="","",SAISIE!$F717)</f>
        <v/>
      </c>
      <c r="F712" t="str">
        <f>IF(SAISIE!$G717="","",SAISIE!$G717)</f>
        <v/>
      </c>
      <c r="G712" t="str">
        <f>IF(SAISIE!$H717="","",SAISIE!$H717)</f>
        <v/>
      </c>
      <c r="H712" t="str">
        <f>IF(SAISIE!$I717="","",SAISIE!$I717)</f>
        <v/>
      </c>
      <c r="I712" t="str">
        <f>IF(SAISIE!$J717="","",SAISIE!$J717)</f>
        <v/>
      </c>
      <c r="J712" t="str">
        <f>IF(SAISIE!$K717="","",SAISIE!$K717)</f>
        <v/>
      </c>
      <c r="K712" t="str">
        <f>IF(SAISIE!$L717="","",SAISIE!$L717)</f>
        <v/>
      </c>
      <c r="L712" t="str">
        <f>IF(SAISIE!$M717="","",SAISIE!$M717)</f>
        <v/>
      </c>
      <c r="M712" t="str">
        <f>IF(SAISIE!$N717="","",SAISIE!$N717)</f>
        <v/>
      </c>
      <c r="N712" t="str">
        <f>IF(SAISIE!$O717="","",SAISIE!$O717)</f>
        <v/>
      </c>
      <c r="O712" t="str">
        <f>IF(SAISIE!$P717="","",SAISIE!$P717)</f>
        <v/>
      </c>
      <c r="P712" t="str">
        <f>IF(SAISIE!$Q717="","",SAISIE!$Q717)</f>
        <v/>
      </c>
      <c r="Q712" t="str">
        <f>IF($I712="","",IF($I712&gt;PARAMETRES!$G$29,5,IF($I712&gt;PARAMETRES!$F$29,4,IF($I712&gt;PARAMETRES!$E$29,3,IF($I712&gt;PARAMETRES!$D$29,2,1)))))</f>
        <v/>
      </c>
      <c r="R712" t="str">
        <f>IF($J712="","",IF($J712&gt;PARAMETRES!$G$30,5,IF($J712&gt;PARAMETRES!$F$30,4,IF($J712&gt;PARAMETRES!$E$30,3,IF($J712&gt;PARAMETRES!$D$30,2,1)))))</f>
        <v/>
      </c>
      <c r="S712" t="str">
        <f>IF($K712="","",IF($Z712=2,IF($K712&gt;PARAMETRES!$G$31,5,IF($K712&gt;PARAMETRES!$F$31,4,IF($K712&gt;PARAMETRES!$E$31,3,IF($K712&gt;PARAMETRES!$D$31,2,1)))),IF($K712&gt;PARAMETRES!$G$32,5,IF($K712&gt;PARAMETRES!$F$32,4,IF($K712&gt;PARAMETRES!$E$32,3,IF($K712&gt;PARAMETRES!$D$32,2,1))))))</f>
        <v/>
      </c>
      <c r="T712" t="str">
        <f>IF($L712="","",IF($L712&gt;PARAMETRES!$G$33,5,IF($L712&gt;PARAMETRES!$F$33,4,IF($L712&gt;PARAMETRES!$E$33,3,IF($L712&gt;PARAMETRES!$D$33,2,1)))))</f>
        <v/>
      </c>
      <c r="U712" t="str">
        <f>IF($M712="","",IF($M712&gt;PARAMETRES!$G$34,5,IF($M712&gt;PARAMETRES!$F$34,4,IF($M712&gt;PARAMETRES!$E$34,3,IF($M712&gt;PARAMETRES!$D$34,2,1)))))</f>
        <v/>
      </c>
      <c r="V712" t="str">
        <f>IF($N712="","",IF($N712&gt;PARAMETRES!$G$35,5,IF($N712&gt;PARAMETRES!$F$35,4,IF($N712&gt;PARAMETRES!$E$35,3,IF($N712&gt;PARAMETRES!$D$35,2,1)))))</f>
        <v/>
      </c>
      <c r="W712" t="str">
        <f>IF($O712="","",IF($O712&gt;PARAMETRES!$G$36,5,IF($O712&gt;PARAMETRES!$F$36,4,IF($O712&gt;PARAMETRES!$E$36,3,IF($O712&gt;PARAMETRES!$D$36,2,1)))))</f>
        <v/>
      </c>
      <c r="X712" t="str">
        <f>IF($P712="","",IF($P712&gt;PARAMETRES!$G$37,5,IF($P712&gt;PARAMETRES!$F$37,4,IF($P712&gt;PARAMETRES!$E$37,3,IF($P712&gt;PARAMETRES!$D$37,2,1)))))</f>
        <v/>
      </c>
      <c r="Y712" t="str">
        <f t="shared" si="264"/>
        <v/>
      </c>
      <c r="Z712" t="str">
        <f>IFERROR(VLOOKUP($B712,TABLE_CYCLE,2,0),"")</f>
        <v/>
      </c>
      <c r="AA712" t="str">
        <f t="shared" si="265"/>
        <v/>
      </c>
      <c r="AB712" t="str">
        <f>IF($D712="","",IF(COUNTIF($D$2:$D712,$D712)=1,$D712,""))</f>
        <v/>
      </c>
      <c r="AC712">
        <f t="shared" si="266"/>
        <v>0</v>
      </c>
      <c r="AD712" t="str">
        <f t="shared" si="267"/>
        <v>|0</v>
      </c>
      <c r="AE712" t="str">
        <f t="shared" si="268"/>
        <v/>
      </c>
      <c r="AF712" t="str">
        <f t="shared" si="269"/>
        <v/>
      </c>
      <c r="AG712" t="str">
        <f t="shared" si="270"/>
        <v/>
      </c>
      <c r="AH712" t="str">
        <f t="shared" si="271"/>
        <v/>
      </c>
      <c r="AI712" t="str">
        <f t="shared" si="272"/>
        <v/>
      </c>
      <c r="AJ712" t="str">
        <f t="shared" si="273"/>
        <v/>
      </c>
      <c r="AK712" t="str">
        <f t="shared" si="274"/>
        <v/>
      </c>
      <c r="AL712" t="str">
        <f t="shared" si="275"/>
        <v/>
      </c>
      <c r="AM712" t="str">
        <f t="shared" si="276"/>
        <v/>
      </c>
      <c r="AN712" t="str">
        <f t="shared" si="277"/>
        <v/>
      </c>
      <c r="AO712" t="str">
        <f t="shared" si="278"/>
        <v/>
      </c>
      <c r="AP712">
        <f t="shared" si="279"/>
        <v>1</v>
      </c>
      <c r="AQ712" t="str">
        <f>IF(SAISIE!$F717="","",SAISIE!$Y717)</f>
        <v/>
      </c>
      <c r="AR712" t="str">
        <f>IF(OR(SAISIE!$U$4="",SAISIE!$W$4=""),"",IF(AND($A712=SAISIE!$U$4,$B712=SAISIE!$W$4,$C712="S1"),COUNTIFS($A$2:$A712,SAISIE!$U$4,$B$2:$B712,SAISIE!$W$4,$C$2:$C712,"S1"),""))</f>
        <v/>
      </c>
      <c r="AS712" t="str">
        <f t="shared" si="280"/>
        <v/>
      </c>
      <c r="AT712" t="str">
        <f t="shared" si="281"/>
        <v/>
      </c>
      <c r="AU712" t="str">
        <f t="shared" si="282"/>
        <v/>
      </c>
      <c r="AV712">
        <f>N(AV711)+IF(AND($AB712&lt;&gt;"",OR('PROFIL ELEVE'!$K$4="(Tous)",$AF712='PROFIL ELEVE'!$K$4)),1,0)</f>
        <v>0</v>
      </c>
      <c r="AW712">
        <f>N(AW711)+IF(AND($AB712&lt;&gt;"",OR('SUIVI LONGITUDINAL'!$Q$4="(Tous)",$AF712='SUIVI LONGITUDINAL'!$Q$4)),1,0)</f>
        <v>0</v>
      </c>
      <c r="AX712">
        <f t="shared" si="283"/>
        <v>0</v>
      </c>
      <c r="AY712">
        <f t="shared" si="284"/>
        <v>0</v>
      </c>
      <c r="AZ712">
        <f t="shared" si="285"/>
        <v>0</v>
      </c>
      <c r="BA712" t="str">
        <f t="shared" si="286"/>
        <v/>
      </c>
      <c r="BB712" t="str">
        <f t="shared" si="287"/>
        <v/>
      </c>
    </row>
    <row r="713" spans="1:54" ht="14.25" customHeight="1" x14ac:dyDescent="0.3">
      <c r="A713" t="str">
        <f>IF(SAISIE!$F718="","",SAISIE!$B718)</f>
        <v/>
      </c>
      <c r="B713" t="str">
        <f>IF(SAISIE!$F718="","",SAISIE!$C718)</f>
        <v/>
      </c>
      <c r="C713" t="str">
        <f>IF(SAISIE!$F718="","",SAISIE!$D718)</f>
        <v/>
      </c>
      <c r="D713" t="str">
        <f>IF(SAISIE!$E718="","",SAISIE!$E718)</f>
        <v/>
      </c>
      <c r="E713" t="str">
        <f>IF(SAISIE!$F718="","",SAISIE!$F718)</f>
        <v/>
      </c>
      <c r="F713" t="str">
        <f>IF(SAISIE!$G718="","",SAISIE!$G718)</f>
        <v/>
      </c>
      <c r="G713" t="str">
        <f>IF(SAISIE!$H718="","",SAISIE!$H718)</f>
        <v/>
      </c>
      <c r="H713" t="str">
        <f>IF(SAISIE!$I718="","",SAISIE!$I718)</f>
        <v/>
      </c>
      <c r="I713" t="str">
        <f>IF(SAISIE!$J718="","",SAISIE!$J718)</f>
        <v/>
      </c>
      <c r="J713" t="str">
        <f>IF(SAISIE!$K718="","",SAISIE!$K718)</f>
        <v/>
      </c>
      <c r="K713" t="str">
        <f>IF(SAISIE!$L718="","",SAISIE!$L718)</f>
        <v/>
      </c>
      <c r="L713" t="str">
        <f>IF(SAISIE!$M718="","",SAISIE!$M718)</f>
        <v/>
      </c>
      <c r="M713" t="str">
        <f>IF(SAISIE!$N718="","",SAISIE!$N718)</f>
        <v/>
      </c>
      <c r="N713" t="str">
        <f>IF(SAISIE!$O718="","",SAISIE!$O718)</f>
        <v/>
      </c>
      <c r="O713" t="str">
        <f>IF(SAISIE!$P718="","",SAISIE!$P718)</f>
        <v/>
      </c>
      <c r="P713" t="str">
        <f>IF(SAISIE!$Q718="","",SAISIE!$Q718)</f>
        <v/>
      </c>
      <c r="Q713" t="str">
        <f>IF($I713="","",IF($I713&gt;PARAMETRES!$G$29,5,IF($I713&gt;PARAMETRES!$F$29,4,IF($I713&gt;PARAMETRES!$E$29,3,IF($I713&gt;PARAMETRES!$D$29,2,1)))))</f>
        <v/>
      </c>
      <c r="R713" t="str">
        <f>IF($J713="","",IF($J713&gt;PARAMETRES!$G$30,5,IF($J713&gt;PARAMETRES!$F$30,4,IF($J713&gt;PARAMETRES!$E$30,3,IF($J713&gt;PARAMETRES!$D$30,2,1)))))</f>
        <v/>
      </c>
      <c r="S713" t="str">
        <f>IF($K713="","",IF($Z713=2,IF($K713&gt;PARAMETRES!$G$31,5,IF($K713&gt;PARAMETRES!$F$31,4,IF($K713&gt;PARAMETRES!$E$31,3,IF($K713&gt;PARAMETRES!$D$31,2,1)))),IF($K713&gt;PARAMETRES!$G$32,5,IF($K713&gt;PARAMETRES!$F$32,4,IF($K713&gt;PARAMETRES!$E$32,3,IF($K713&gt;PARAMETRES!$D$32,2,1))))))</f>
        <v/>
      </c>
      <c r="T713" t="str">
        <f>IF($L713="","",IF($L713&gt;PARAMETRES!$G$33,5,IF($L713&gt;PARAMETRES!$F$33,4,IF($L713&gt;PARAMETRES!$E$33,3,IF($L713&gt;PARAMETRES!$D$33,2,1)))))</f>
        <v/>
      </c>
      <c r="U713" t="str">
        <f>IF($M713="","",IF($M713&gt;PARAMETRES!$G$34,5,IF($M713&gt;PARAMETRES!$F$34,4,IF($M713&gt;PARAMETRES!$E$34,3,IF($M713&gt;PARAMETRES!$D$34,2,1)))))</f>
        <v/>
      </c>
      <c r="V713" t="str">
        <f>IF($N713="","",IF($N713&gt;PARAMETRES!$G$35,5,IF($N713&gt;PARAMETRES!$F$35,4,IF($N713&gt;PARAMETRES!$E$35,3,IF($N713&gt;PARAMETRES!$D$35,2,1)))))</f>
        <v/>
      </c>
      <c r="W713" t="str">
        <f>IF($O713="","",IF($O713&gt;PARAMETRES!$G$36,5,IF($O713&gt;PARAMETRES!$F$36,4,IF($O713&gt;PARAMETRES!$E$36,3,IF($O713&gt;PARAMETRES!$D$36,2,1)))))</f>
        <v/>
      </c>
      <c r="X713" t="str">
        <f>IF($P713="","",IF($P713&gt;PARAMETRES!$G$37,5,IF($P713&gt;PARAMETRES!$F$37,4,IF($P713&gt;PARAMETRES!$E$37,3,IF($P713&gt;PARAMETRES!$D$37,2,1)))))</f>
        <v/>
      </c>
      <c r="Y713" t="str">
        <f t="shared" si="264"/>
        <v/>
      </c>
      <c r="Z713" t="str">
        <f>IFERROR(VLOOKUP($B713,TABLE_CYCLE,2,0),"")</f>
        <v/>
      </c>
      <c r="AA713" t="str">
        <f t="shared" si="265"/>
        <v/>
      </c>
      <c r="AB713" t="str">
        <f>IF($D713="","",IF(COUNTIF($D$2:$D713,$D713)=1,$D713,""))</f>
        <v/>
      </c>
      <c r="AC713">
        <f t="shared" si="266"/>
        <v>0</v>
      </c>
      <c r="AD713" t="str">
        <f t="shared" si="267"/>
        <v>|0</v>
      </c>
      <c r="AE713" t="str">
        <f t="shared" si="268"/>
        <v/>
      </c>
      <c r="AF713" t="str">
        <f t="shared" si="269"/>
        <v/>
      </c>
      <c r="AG713" t="str">
        <f t="shared" si="270"/>
        <v/>
      </c>
      <c r="AH713" t="str">
        <f t="shared" si="271"/>
        <v/>
      </c>
      <c r="AI713" t="str">
        <f t="shared" si="272"/>
        <v/>
      </c>
      <c r="AJ713" t="str">
        <f t="shared" si="273"/>
        <v/>
      </c>
      <c r="AK713" t="str">
        <f t="shared" si="274"/>
        <v/>
      </c>
      <c r="AL713" t="str">
        <f t="shared" si="275"/>
        <v/>
      </c>
      <c r="AM713" t="str">
        <f t="shared" si="276"/>
        <v/>
      </c>
      <c r="AN713" t="str">
        <f t="shared" si="277"/>
        <v/>
      </c>
      <c r="AO713" t="str">
        <f t="shared" si="278"/>
        <v/>
      </c>
      <c r="AP713">
        <f t="shared" si="279"/>
        <v>1</v>
      </c>
      <c r="AQ713" t="str">
        <f>IF(SAISIE!$F718="","",SAISIE!$Y718)</f>
        <v/>
      </c>
      <c r="AR713" t="str">
        <f>IF(OR(SAISIE!$U$4="",SAISIE!$W$4=""),"",IF(AND($A713=SAISIE!$U$4,$B713=SAISIE!$W$4,$C713="S1"),COUNTIFS($A$2:$A713,SAISIE!$U$4,$B$2:$B713,SAISIE!$W$4,$C$2:$C713,"S1"),""))</f>
        <v/>
      </c>
      <c r="AS713" t="str">
        <f t="shared" si="280"/>
        <v/>
      </c>
      <c r="AT713" t="str">
        <f t="shared" si="281"/>
        <v/>
      </c>
      <c r="AU713" t="str">
        <f t="shared" si="282"/>
        <v/>
      </c>
      <c r="AV713">
        <f>N(AV712)+IF(AND($AB713&lt;&gt;"",OR('PROFIL ELEVE'!$K$4="(Tous)",$AF713='PROFIL ELEVE'!$K$4)),1,0)</f>
        <v>0</v>
      </c>
      <c r="AW713">
        <f>N(AW712)+IF(AND($AB713&lt;&gt;"",OR('SUIVI LONGITUDINAL'!$Q$4="(Tous)",$AF713='SUIVI LONGITUDINAL'!$Q$4)),1,0)</f>
        <v>0</v>
      </c>
      <c r="AX713">
        <f t="shared" si="283"/>
        <v>0</v>
      </c>
      <c r="AY713">
        <f t="shared" si="284"/>
        <v>0</v>
      </c>
      <c r="AZ713">
        <f t="shared" si="285"/>
        <v>0</v>
      </c>
      <c r="BA713" t="str">
        <f t="shared" si="286"/>
        <v/>
      </c>
      <c r="BB713" t="str">
        <f t="shared" si="287"/>
        <v/>
      </c>
    </row>
    <row r="714" spans="1:54" ht="14.25" customHeight="1" x14ac:dyDescent="0.3">
      <c r="A714" t="str">
        <f>IF(SAISIE!$F719="","",SAISIE!$B719)</f>
        <v/>
      </c>
      <c r="B714" t="str">
        <f>IF(SAISIE!$F719="","",SAISIE!$C719)</f>
        <v/>
      </c>
      <c r="C714" t="str">
        <f>IF(SAISIE!$F719="","",SAISIE!$D719)</f>
        <v/>
      </c>
      <c r="D714" t="str">
        <f>IF(SAISIE!$E719="","",SAISIE!$E719)</f>
        <v/>
      </c>
      <c r="E714" t="str">
        <f>IF(SAISIE!$F719="","",SAISIE!$F719)</f>
        <v/>
      </c>
      <c r="F714" t="str">
        <f>IF(SAISIE!$G719="","",SAISIE!$G719)</f>
        <v/>
      </c>
      <c r="G714" t="str">
        <f>IF(SAISIE!$H719="","",SAISIE!$H719)</f>
        <v/>
      </c>
      <c r="H714" t="str">
        <f>IF(SAISIE!$I719="","",SAISIE!$I719)</f>
        <v/>
      </c>
      <c r="I714" t="str">
        <f>IF(SAISIE!$J719="","",SAISIE!$J719)</f>
        <v/>
      </c>
      <c r="J714" t="str">
        <f>IF(SAISIE!$K719="","",SAISIE!$K719)</f>
        <v/>
      </c>
      <c r="K714" t="str">
        <f>IF(SAISIE!$L719="","",SAISIE!$L719)</f>
        <v/>
      </c>
      <c r="L714" t="str">
        <f>IF(SAISIE!$M719="","",SAISIE!$M719)</f>
        <v/>
      </c>
      <c r="M714" t="str">
        <f>IF(SAISIE!$N719="","",SAISIE!$N719)</f>
        <v/>
      </c>
      <c r="N714" t="str">
        <f>IF(SAISIE!$O719="","",SAISIE!$O719)</f>
        <v/>
      </c>
      <c r="O714" t="str">
        <f>IF(SAISIE!$P719="","",SAISIE!$P719)</f>
        <v/>
      </c>
      <c r="P714" t="str">
        <f>IF(SAISIE!$Q719="","",SAISIE!$Q719)</f>
        <v/>
      </c>
      <c r="Q714" t="str">
        <f>IF($I714="","",IF($I714&gt;PARAMETRES!$G$29,5,IF($I714&gt;PARAMETRES!$F$29,4,IF($I714&gt;PARAMETRES!$E$29,3,IF($I714&gt;PARAMETRES!$D$29,2,1)))))</f>
        <v/>
      </c>
      <c r="R714" t="str">
        <f>IF($J714="","",IF($J714&gt;PARAMETRES!$G$30,5,IF($J714&gt;PARAMETRES!$F$30,4,IF($J714&gt;PARAMETRES!$E$30,3,IF($J714&gt;PARAMETRES!$D$30,2,1)))))</f>
        <v/>
      </c>
      <c r="S714" t="str">
        <f>IF($K714="","",IF($Z714=2,IF($K714&gt;PARAMETRES!$G$31,5,IF($K714&gt;PARAMETRES!$F$31,4,IF($K714&gt;PARAMETRES!$E$31,3,IF($K714&gt;PARAMETRES!$D$31,2,1)))),IF($K714&gt;PARAMETRES!$G$32,5,IF($K714&gt;PARAMETRES!$F$32,4,IF($K714&gt;PARAMETRES!$E$32,3,IF($K714&gt;PARAMETRES!$D$32,2,1))))))</f>
        <v/>
      </c>
      <c r="T714" t="str">
        <f>IF($L714="","",IF($L714&gt;PARAMETRES!$G$33,5,IF($L714&gt;PARAMETRES!$F$33,4,IF($L714&gt;PARAMETRES!$E$33,3,IF($L714&gt;PARAMETRES!$D$33,2,1)))))</f>
        <v/>
      </c>
      <c r="U714" t="str">
        <f>IF($M714="","",IF($M714&gt;PARAMETRES!$G$34,5,IF($M714&gt;PARAMETRES!$F$34,4,IF($M714&gt;PARAMETRES!$E$34,3,IF($M714&gt;PARAMETRES!$D$34,2,1)))))</f>
        <v/>
      </c>
      <c r="V714" t="str">
        <f>IF($N714="","",IF($N714&gt;PARAMETRES!$G$35,5,IF($N714&gt;PARAMETRES!$F$35,4,IF($N714&gt;PARAMETRES!$E$35,3,IF($N714&gt;PARAMETRES!$D$35,2,1)))))</f>
        <v/>
      </c>
      <c r="W714" t="str">
        <f>IF($O714="","",IF($O714&gt;PARAMETRES!$G$36,5,IF($O714&gt;PARAMETRES!$F$36,4,IF($O714&gt;PARAMETRES!$E$36,3,IF($O714&gt;PARAMETRES!$D$36,2,1)))))</f>
        <v/>
      </c>
      <c r="X714" t="str">
        <f>IF($P714="","",IF($P714&gt;PARAMETRES!$G$37,5,IF($P714&gt;PARAMETRES!$F$37,4,IF($P714&gt;PARAMETRES!$E$37,3,IF($P714&gt;PARAMETRES!$D$37,2,1)))))</f>
        <v/>
      </c>
      <c r="Y714" t="str">
        <f t="shared" si="264"/>
        <v/>
      </c>
      <c r="Z714" t="str">
        <f>IFERROR(VLOOKUP($B714,TABLE_CYCLE,2,0),"")</f>
        <v/>
      </c>
      <c r="AA714" t="str">
        <f t="shared" si="265"/>
        <v/>
      </c>
      <c r="AB714" t="str">
        <f>IF($D714="","",IF(COUNTIF($D$2:$D714,$D714)=1,$D714,""))</f>
        <v/>
      </c>
      <c r="AC714">
        <f t="shared" si="266"/>
        <v>0</v>
      </c>
      <c r="AD714" t="str">
        <f t="shared" si="267"/>
        <v>|0</v>
      </c>
      <c r="AE714" t="str">
        <f t="shared" si="268"/>
        <v/>
      </c>
      <c r="AF714" t="str">
        <f t="shared" si="269"/>
        <v/>
      </c>
      <c r="AG714" t="str">
        <f t="shared" si="270"/>
        <v/>
      </c>
      <c r="AH714" t="str">
        <f t="shared" si="271"/>
        <v/>
      </c>
      <c r="AI714" t="str">
        <f t="shared" si="272"/>
        <v/>
      </c>
      <c r="AJ714" t="str">
        <f t="shared" si="273"/>
        <v/>
      </c>
      <c r="AK714" t="str">
        <f t="shared" si="274"/>
        <v/>
      </c>
      <c r="AL714" t="str">
        <f t="shared" si="275"/>
        <v/>
      </c>
      <c r="AM714" t="str">
        <f t="shared" si="276"/>
        <v/>
      </c>
      <c r="AN714" t="str">
        <f t="shared" si="277"/>
        <v/>
      </c>
      <c r="AO714" t="str">
        <f t="shared" si="278"/>
        <v/>
      </c>
      <c r="AP714">
        <f t="shared" si="279"/>
        <v>1</v>
      </c>
      <c r="AQ714" t="str">
        <f>IF(SAISIE!$F719="","",SAISIE!$Y719)</f>
        <v/>
      </c>
      <c r="AR714" t="str">
        <f>IF(OR(SAISIE!$U$4="",SAISIE!$W$4=""),"",IF(AND($A714=SAISIE!$U$4,$B714=SAISIE!$W$4,$C714="S1"),COUNTIFS($A$2:$A714,SAISIE!$U$4,$B$2:$B714,SAISIE!$W$4,$C$2:$C714,"S1"),""))</f>
        <v/>
      </c>
      <c r="AS714" t="str">
        <f t="shared" si="280"/>
        <v/>
      </c>
      <c r="AT714" t="str">
        <f t="shared" si="281"/>
        <v/>
      </c>
      <c r="AU714" t="str">
        <f t="shared" si="282"/>
        <v/>
      </c>
      <c r="AV714">
        <f>N(AV713)+IF(AND($AB714&lt;&gt;"",OR('PROFIL ELEVE'!$K$4="(Tous)",$AF714='PROFIL ELEVE'!$K$4)),1,0)</f>
        <v>0</v>
      </c>
      <c r="AW714">
        <f>N(AW713)+IF(AND($AB714&lt;&gt;"",OR('SUIVI LONGITUDINAL'!$Q$4="(Tous)",$AF714='SUIVI LONGITUDINAL'!$Q$4)),1,0)</f>
        <v>0</v>
      </c>
      <c r="AX714">
        <f t="shared" si="283"/>
        <v>0</v>
      </c>
      <c r="AY714">
        <f t="shared" si="284"/>
        <v>0</v>
      </c>
      <c r="AZ714">
        <f t="shared" si="285"/>
        <v>0</v>
      </c>
      <c r="BA714" t="str">
        <f t="shared" si="286"/>
        <v/>
      </c>
      <c r="BB714" t="str">
        <f t="shared" si="287"/>
        <v/>
      </c>
    </row>
    <row r="715" spans="1:54" ht="14.25" customHeight="1" x14ac:dyDescent="0.3">
      <c r="A715" t="str">
        <f>IF(SAISIE!$F720="","",SAISIE!$B720)</f>
        <v/>
      </c>
      <c r="B715" t="str">
        <f>IF(SAISIE!$F720="","",SAISIE!$C720)</f>
        <v/>
      </c>
      <c r="C715" t="str">
        <f>IF(SAISIE!$F720="","",SAISIE!$D720)</f>
        <v/>
      </c>
      <c r="D715" t="str">
        <f>IF(SAISIE!$E720="","",SAISIE!$E720)</f>
        <v/>
      </c>
      <c r="E715" t="str">
        <f>IF(SAISIE!$F720="","",SAISIE!$F720)</f>
        <v/>
      </c>
      <c r="F715" t="str">
        <f>IF(SAISIE!$G720="","",SAISIE!$G720)</f>
        <v/>
      </c>
      <c r="G715" t="str">
        <f>IF(SAISIE!$H720="","",SAISIE!$H720)</f>
        <v/>
      </c>
      <c r="H715" t="str">
        <f>IF(SAISIE!$I720="","",SAISIE!$I720)</f>
        <v/>
      </c>
      <c r="I715" t="str">
        <f>IF(SAISIE!$J720="","",SAISIE!$J720)</f>
        <v/>
      </c>
      <c r="J715" t="str">
        <f>IF(SAISIE!$K720="","",SAISIE!$K720)</f>
        <v/>
      </c>
      <c r="K715" t="str">
        <f>IF(SAISIE!$L720="","",SAISIE!$L720)</f>
        <v/>
      </c>
      <c r="L715" t="str">
        <f>IF(SAISIE!$M720="","",SAISIE!$M720)</f>
        <v/>
      </c>
      <c r="M715" t="str">
        <f>IF(SAISIE!$N720="","",SAISIE!$N720)</f>
        <v/>
      </c>
      <c r="N715" t="str">
        <f>IF(SAISIE!$O720="","",SAISIE!$O720)</f>
        <v/>
      </c>
      <c r="O715" t="str">
        <f>IF(SAISIE!$P720="","",SAISIE!$P720)</f>
        <v/>
      </c>
      <c r="P715" t="str">
        <f>IF(SAISIE!$Q720="","",SAISIE!$Q720)</f>
        <v/>
      </c>
      <c r="Q715" t="str">
        <f>IF($I715="","",IF($I715&gt;PARAMETRES!$G$29,5,IF($I715&gt;PARAMETRES!$F$29,4,IF($I715&gt;PARAMETRES!$E$29,3,IF($I715&gt;PARAMETRES!$D$29,2,1)))))</f>
        <v/>
      </c>
      <c r="R715" t="str">
        <f>IF($J715="","",IF($J715&gt;PARAMETRES!$G$30,5,IF($J715&gt;PARAMETRES!$F$30,4,IF($J715&gt;PARAMETRES!$E$30,3,IF($J715&gt;PARAMETRES!$D$30,2,1)))))</f>
        <v/>
      </c>
      <c r="S715" t="str">
        <f>IF($K715="","",IF($Z715=2,IF($K715&gt;PARAMETRES!$G$31,5,IF($K715&gt;PARAMETRES!$F$31,4,IF($K715&gt;PARAMETRES!$E$31,3,IF($K715&gt;PARAMETRES!$D$31,2,1)))),IF($K715&gt;PARAMETRES!$G$32,5,IF($K715&gt;PARAMETRES!$F$32,4,IF($K715&gt;PARAMETRES!$E$32,3,IF($K715&gt;PARAMETRES!$D$32,2,1))))))</f>
        <v/>
      </c>
      <c r="T715" t="str">
        <f>IF($L715="","",IF($L715&gt;PARAMETRES!$G$33,5,IF($L715&gt;PARAMETRES!$F$33,4,IF($L715&gt;PARAMETRES!$E$33,3,IF($L715&gt;PARAMETRES!$D$33,2,1)))))</f>
        <v/>
      </c>
      <c r="U715" t="str">
        <f>IF($M715="","",IF($M715&gt;PARAMETRES!$G$34,5,IF($M715&gt;PARAMETRES!$F$34,4,IF($M715&gt;PARAMETRES!$E$34,3,IF($M715&gt;PARAMETRES!$D$34,2,1)))))</f>
        <v/>
      </c>
      <c r="V715" t="str">
        <f>IF($N715="","",IF($N715&gt;PARAMETRES!$G$35,5,IF($N715&gt;PARAMETRES!$F$35,4,IF($N715&gt;PARAMETRES!$E$35,3,IF($N715&gt;PARAMETRES!$D$35,2,1)))))</f>
        <v/>
      </c>
      <c r="W715" t="str">
        <f>IF($O715="","",IF($O715&gt;PARAMETRES!$G$36,5,IF($O715&gt;PARAMETRES!$F$36,4,IF($O715&gt;PARAMETRES!$E$36,3,IF($O715&gt;PARAMETRES!$D$36,2,1)))))</f>
        <v/>
      </c>
      <c r="X715" t="str">
        <f>IF($P715="","",IF($P715&gt;PARAMETRES!$G$37,5,IF($P715&gt;PARAMETRES!$F$37,4,IF($P715&gt;PARAMETRES!$E$37,3,IF($P715&gt;PARAMETRES!$D$37,2,1)))))</f>
        <v/>
      </c>
      <c r="Y715" t="str">
        <f t="shared" si="264"/>
        <v/>
      </c>
      <c r="Z715" t="str">
        <f>IFERROR(VLOOKUP($B715,TABLE_CYCLE,2,0),"")</f>
        <v/>
      </c>
      <c r="AA715" t="str">
        <f t="shared" si="265"/>
        <v/>
      </c>
      <c r="AB715" t="str">
        <f>IF($D715="","",IF(COUNTIF($D$2:$D715,$D715)=1,$D715,""))</f>
        <v/>
      </c>
      <c r="AC715">
        <f t="shared" si="266"/>
        <v>0</v>
      </c>
      <c r="AD715" t="str">
        <f t="shared" si="267"/>
        <v>|0</v>
      </c>
      <c r="AE715" t="str">
        <f t="shared" si="268"/>
        <v/>
      </c>
      <c r="AF715" t="str">
        <f t="shared" si="269"/>
        <v/>
      </c>
      <c r="AG715" t="str">
        <f t="shared" si="270"/>
        <v/>
      </c>
      <c r="AH715" t="str">
        <f t="shared" si="271"/>
        <v/>
      </c>
      <c r="AI715" t="str">
        <f t="shared" si="272"/>
        <v/>
      </c>
      <c r="AJ715" t="str">
        <f t="shared" si="273"/>
        <v/>
      </c>
      <c r="AK715" t="str">
        <f t="shared" si="274"/>
        <v/>
      </c>
      <c r="AL715" t="str">
        <f t="shared" si="275"/>
        <v/>
      </c>
      <c r="AM715" t="str">
        <f t="shared" si="276"/>
        <v/>
      </c>
      <c r="AN715" t="str">
        <f t="shared" si="277"/>
        <v/>
      </c>
      <c r="AO715" t="str">
        <f t="shared" si="278"/>
        <v/>
      </c>
      <c r="AP715">
        <f t="shared" si="279"/>
        <v>1</v>
      </c>
      <c r="AQ715" t="str">
        <f>IF(SAISIE!$F720="","",SAISIE!$Y720)</f>
        <v/>
      </c>
      <c r="AR715" t="str">
        <f>IF(OR(SAISIE!$U$4="",SAISIE!$W$4=""),"",IF(AND($A715=SAISIE!$U$4,$B715=SAISIE!$W$4,$C715="S1"),COUNTIFS($A$2:$A715,SAISIE!$U$4,$B$2:$B715,SAISIE!$W$4,$C$2:$C715,"S1"),""))</f>
        <v/>
      </c>
      <c r="AS715" t="str">
        <f t="shared" si="280"/>
        <v/>
      </c>
      <c r="AT715" t="str">
        <f t="shared" si="281"/>
        <v/>
      </c>
      <c r="AU715" t="str">
        <f t="shared" si="282"/>
        <v/>
      </c>
      <c r="AV715">
        <f>N(AV714)+IF(AND($AB715&lt;&gt;"",OR('PROFIL ELEVE'!$K$4="(Tous)",$AF715='PROFIL ELEVE'!$K$4)),1,0)</f>
        <v>0</v>
      </c>
      <c r="AW715">
        <f>N(AW714)+IF(AND($AB715&lt;&gt;"",OR('SUIVI LONGITUDINAL'!$Q$4="(Tous)",$AF715='SUIVI LONGITUDINAL'!$Q$4)),1,0)</f>
        <v>0</v>
      </c>
      <c r="AX715">
        <f t="shared" si="283"/>
        <v>0</v>
      </c>
      <c r="AY715">
        <f t="shared" si="284"/>
        <v>0</v>
      </c>
      <c r="AZ715">
        <f t="shared" si="285"/>
        <v>0</v>
      </c>
      <c r="BA715" t="str">
        <f t="shared" si="286"/>
        <v/>
      </c>
      <c r="BB715" t="str">
        <f t="shared" si="287"/>
        <v/>
      </c>
    </row>
    <row r="716" spans="1:54" ht="14.25" customHeight="1" x14ac:dyDescent="0.3">
      <c r="A716" t="str">
        <f>IF(SAISIE!$F721="","",SAISIE!$B721)</f>
        <v/>
      </c>
      <c r="B716" t="str">
        <f>IF(SAISIE!$F721="","",SAISIE!$C721)</f>
        <v/>
      </c>
      <c r="C716" t="str">
        <f>IF(SAISIE!$F721="","",SAISIE!$D721)</f>
        <v/>
      </c>
      <c r="D716" t="str">
        <f>IF(SAISIE!$E721="","",SAISIE!$E721)</f>
        <v/>
      </c>
      <c r="E716" t="str">
        <f>IF(SAISIE!$F721="","",SAISIE!$F721)</f>
        <v/>
      </c>
      <c r="F716" t="str">
        <f>IF(SAISIE!$G721="","",SAISIE!$G721)</f>
        <v/>
      </c>
      <c r="G716" t="str">
        <f>IF(SAISIE!$H721="","",SAISIE!$H721)</f>
        <v/>
      </c>
      <c r="H716" t="str">
        <f>IF(SAISIE!$I721="","",SAISIE!$I721)</f>
        <v/>
      </c>
      <c r="I716" t="str">
        <f>IF(SAISIE!$J721="","",SAISIE!$J721)</f>
        <v/>
      </c>
      <c r="J716" t="str">
        <f>IF(SAISIE!$K721="","",SAISIE!$K721)</f>
        <v/>
      </c>
      <c r="K716" t="str">
        <f>IF(SAISIE!$L721="","",SAISIE!$L721)</f>
        <v/>
      </c>
      <c r="L716" t="str">
        <f>IF(SAISIE!$M721="","",SAISIE!$M721)</f>
        <v/>
      </c>
      <c r="M716" t="str">
        <f>IF(SAISIE!$N721="","",SAISIE!$N721)</f>
        <v/>
      </c>
      <c r="N716" t="str">
        <f>IF(SAISIE!$O721="","",SAISIE!$O721)</f>
        <v/>
      </c>
      <c r="O716" t="str">
        <f>IF(SAISIE!$P721="","",SAISIE!$P721)</f>
        <v/>
      </c>
      <c r="P716" t="str">
        <f>IF(SAISIE!$Q721="","",SAISIE!$Q721)</f>
        <v/>
      </c>
      <c r="Q716" t="str">
        <f>IF($I716="","",IF($I716&gt;PARAMETRES!$G$29,5,IF($I716&gt;PARAMETRES!$F$29,4,IF($I716&gt;PARAMETRES!$E$29,3,IF($I716&gt;PARAMETRES!$D$29,2,1)))))</f>
        <v/>
      </c>
      <c r="R716" t="str">
        <f>IF($J716="","",IF($J716&gt;PARAMETRES!$G$30,5,IF($J716&gt;PARAMETRES!$F$30,4,IF($J716&gt;PARAMETRES!$E$30,3,IF($J716&gt;PARAMETRES!$D$30,2,1)))))</f>
        <v/>
      </c>
      <c r="S716" t="str">
        <f>IF($K716="","",IF($Z716=2,IF($K716&gt;PARAMETRES!$G$31,5,IF($K716&gt;PARAMETRES!$F$31,4,IF($K716&gt;PARAMETRES!$E$31,3,IF($K716&gt;PARAMETRES!$D$31,2,1)))),IF($K716&gt;PARAMETRES!$G$32,5,IF($K716&gt;PARAMETRES!$F$32,4,IF($K716&gt;PARAMETRES!$E$32,3,IF($K716&gt;PARAMETRES!$D$32,2,1))))))</f>
        <v/>
      </c>
      <c r="T716" t="str">
        <f>IF($L716="","",IF($L716&gt;PARAMETRES!$G$33,5,IF($L716&gt;PARAMETRES!$F$33,4,IF($L716&gt;PARAMETRES!$E$33,3,IF($L716&gt;PARAMETRES!$D$33,2,1)))))</f>
        <v/>
      </c>
      <c r="U716" t="str">
        <f>IF($M716="","",IF($M716&gt;PARAMETRES!$G$34,5,IF($M716&gt;PARAMETRES!$F$34,4,IF($M716&gt;PARAMETRES!$E$34,3,IF($M716&gt;PARAMETRES!$D$34,2,1)))))</f>
        <v/>
      </c>
      <c r="V716" t="str">
        <f>IF($N716="","",IF($N716&gt;PARAMETRES!$G$35,5,IF($N716&gt;PARAMETRES!$F$35,4,IF($N716&gt;PARAMETRES!$E$35,3,IF($N716&gt;PARAMETRES!$D$35,2,1)))))</f>
        <v/>
      </c>
      <c r="W716" t="str">
        <f>IF($O716="","",IF($O716&gt;PARAMETRES!$G$36,5,IF($O716&gt;PARAMETRES!$F$36,4,IF($O716&gt;PARAMETRES!$E$36,3,IF($O716&gt;PARAMETRES!$D$36,2,1)))))</f>
        <v/>
      </c>
      <c r="X716" t="str">
        <f>IF($P716="","",IF($P716&gt;PARAMETRES!$G$37,5,IF($P716&gt;PARAMETRES!$F$37,4,IF($P716&gt;PARAMETRES!$E$37,3,IF($P716&gt;PARAMETRES!$D$37,2,1)))))</f>
        <v/>
      </c>
      <c r="Y716" t="str">
        <f t="shared" si="264"/>
        <v/>
      </c>
      <c r="Z716" t="str">
        <f>IFERROR(VLOOKUP($B716,TABLE_CYCLE,2,0),"")</f>
        <v/>
      </c>
      <c r="AA716" t="str">
        <f t="shared" si="265"/>
        <v/>
      </c>
      <c r="AB716" t="str">
        <f>IF($D716="","",IF(COUNTIF($D$2:$D716,$D716)=1,$D716,""))</f>
        <v/>
      </c>
      <c r="AC716">
        <f t="shared" si="266"/>
        <v>0</v>
      </c>
      <c r="AD716" t="str">
        <f t="shared" si="267"/>
        <v>|0</v>
      </c>
      <c r="AE716" t="str">
        <f t="shared" si="268"/>
        <v/>
      </c>
      <c r="AF716" t="str">
        <f t="shared" si="269"/>
        <v/>
      </c>
      <c r="AG716" t="str">
        <f t="shared" si="270"/>
        <v/>
      </c>
      <c r="AH716" t="str">
        <f t="shared" si="271"/>
        <v/>
      </c>
      <c r="AI716" t="str">
        <f t="shared" si="272"/>
        <v/>
      </c>
      <c r="AJ716" t="str">
        <f t="shared" si="273"/>
        <v/>
      </c>
      <c r="AK716" t="str">
        <f t="shared" si="274"/>
        <v/>
      </c>
      <c r="AL716" t="str">
        <f t="shared" si="275"/>
        <v/>
      </c>
      <c r="AM716" t="str">
        <f t="shared" si="276"/>
        <v/>
      </c>
      <c r="AN716" t="str">
        <f t="shared" si="277"/>
        <v/>
      </c>
      <c r="AO716" t="str">
        <f t="shared" si="278"/>
        <v/>
      </c>
      <c r="AP716">
        <f t="shared" si="279"/>
        <v>1</v>
      </c>
      <c r="AQ716" t="str">
        <f>IF(SAISIE!$F721="","",SAISIE!$Y721)</f>
        <v/>
      </c>
      <c r="AR716" t="str">
        <f>IF(OR(SAISIE!$U$4="",SAISIE!$W$4=""),"",IF(AND($A716=SAISIE!$U$4,$B716=SAISIE!$W$4,$C716="S1"),COUNTIFS($A$2:$A716,SAISIE!$U$4,$B$2:$B716,SAISIE!$W$4,$C$2:$C716,"S1"),""))</f>
        <v/>
      </c>
      <c r="AS716" t="str">
        <f t="shared" si="280"/>
        <v/>
      </c>
      <c r="AT716" t="str">
        <f t="shared" si="281"/>
        <v/>
      </c>
      <c r="AU716" t="str">
        <f t="shared" si="282"/>
        <v/>
      </c>
      <c r="AV716">
        <f>N(AV715)+IF(AND($AB716&lt;&gt;"",OR('PROFIL ELEVE'!$K$4="(Tous)",$AF716='PROFIL ELEVE'!$K$4)),1,0)</f>
        <v>0</v>
      </c>
      <c r="AW716">
        <f>N(AW715)+IF(AND($AB716&lt;&gt;"",OR('SUIVI LONGITUDINAL'!$Q$4="(Tous)",$AF716='SUIVI LONGITUDINAL'!$Q$4)),1,0)</f>
        <v>0</v>
      </c>
      <c r="AX716">
        <f t="shared" si="283"/>
        <v>0</v>
      </c>
      <c r="AY716">
        <f t="shared" si="284"/>
        <v>0</v>
      </c>
      <c r="AZ716">
        <f t="shared" si="285"/>
        <v>0</v>
      </c>
      <c r="BA716" t="str">
        <f t="shared" si="286"/>
        <v/>
      </c>
      <c r="BB716" t="str">
        <f t="shared" si="287"/>
        <v/>
      </c>
    </row>
    <row r="717" spans="1:54" ht="14.25" customHeight="1" x14ac:dyDescent="0.3">
      <c r="A717" t="str">
        <f>IF(SAISIE!$F722="","",SAISIE!$B722)</f>
        <v/>
      </c>
      <c r="B717" t="str">
        <f>IF(SAISIE!$F722="","",SAISIE!$C722)</f>
        <v/>
      </c>
      <c r="C717" t="str">
        <f>IF(SAISIE!$F722="","",SAISIE!$D722)</f>
        <v/>
      </c>
      <c r="D717" t="str">
        <f>IF(SAISIE!$E722="","",SAISIE!$E722)</f>
        <v/>
      </c>
      <c r="E717" t="str">
        <f>IF(SAISIE!$F722="","",SAISIE!$F722)</f>
        <v/>
      </c>
      <c r="F717" t="str">
        <f>IF(SAISIE!$G722="","",SAISIE!$G722)</f>
        <v/>
      </c>
      <c r="G717" t="str">
        <f>IF(SAISIE!$H722="","",SAISIE!$H722)</f>
        <v/>
      </c>
      <c r="H717" t="str">
        <f>IF(SAISIE!$I722="","",SAISIE!$I722)</f>
        <v/>
      </c>
      <c r="I717" t="str">
        <f>IF(SAISIE!$J722="","",SAISIE!$J722)</f>
        <v/>
      </c>
      <c r="J717" t="str">
        <f>IF(SAISIE!$K722="","",SAISIE!$K722)</f>
        <v/>
      </c>
      <c r="K717" t="str">
        <f>IF(SAISIE!$L722="","",SAISIE!$L722)</f>
        <v/>
      </c>
      <c r="L717" t="str">
        <f>IF(SAISIE!$M722="","",SAISIE!$M722)</f>
        <v/>
      </c>
      <c r="M717" t="str">
        <f>IF(SAISIE!$N722="","",SAISIE!$N722)</f>
        <v/>
      </c>
      <c r="N717" t="str">
        <f>IF(SAISIE!$O722="","",SAISIE!$O722)</f>
        <v/>
      </c>
      <c r="O717" t="str">
        <f>IF(SAISIE!$P722="","",SAISIE!$P722)</f>
        <v/>
      </c>
      <c r="P717" t="str">
        <f>IF(SAISIE!$Q722="","",SAISIE!$Q722)</f>
        <v/>
      </c>
      <c r="Q717" t="str">
        <f>IF($I717="","",IF($I717&gt;PARAMETRES!$G$29,5,IF($I717&gt;PARAMETRES!$F$29,4,IF($I717&gt;PARAMETRES!$E$29,3,IF($I717&gt;PARAMETRES!$D$29,2,1)))))</f>
        <v/>
      </c>
      <c r="R717" t="str">
        <f>IF($J717="","",IF($J717&gt;PARAMETRES!$G$30,5,IF($J717&gt;PARAMETRES!$F$30,4,IF($J717&gt;PARAMETRES!$E$30,3,IF($J717&gt;PARAMETRES!$D$30,2,1)))))</f>
        <v/>
      </c>
      <c r="S717" t="str">
        <f>IF($K717="","",IF($Z717=2,IF($K717&gt;PARAMETRES!$G$31,5,IF($K717&gt;PARAMETRES!$F$31,4,IF($K717&gt;PARAMETRES!$E$31,3,IF($K717&gt;PARAMETRES!$D$31,2,1)))),IF($K717&gt;PARAMETRES!$G$32,5,IF($K717&gt;PARAMETRES!$F$32,4,IF($K717&gt;PARAMETRES!$E$32,3,IF($K717&gt;PARAMETRES!$D$32,2,1))))))</f>
        <v/>
      </c>
      <c r="T717" t="str">
        <f>IF($L717="","",IF($L717&gt;PARAMETRES!$G$33,5,IF($L717&gt;PARAMETRES!$F$33,4,IF($L717&gt;PARAMETRES!$E$33,3,IF($L717&gt;PARAMETRES!$D$33,2,1)))))</f>
        <v/>
      </c>
      <c r="U717" t="str">
        <f>IF($M717="","",IF($M717&gt;PARAMETRES!$G$34,5,IF($M717&gt;PARAMETRES!$F$34,4,IF($M717&gt;PARAMETRES!$E$34,3,IF($M717&gt;PARAMETRES!$D$34,2,1)))))</f>
        <v/>
      </c>
      <c r="V717" t="str">
        <f>IF($N717="","",IF($N717&gt;PARAMETRES!$G$35,5,IF($N717&gt;PARAMETRES!$F$35,4,IF($N717&gt;PARAMETRES!$E$35,3,IF($N717&gt;PARAMETRES!$D$35,2,1)))))</f>
        <v/>
      </c>
      <c r="W717" t="str">
        <f>IF($O717="","",IF($O717&gt;PARAMETRES!$G$36,5,IF($O717&gt;PARAMETRES!$F$36,4,IF($O717&gt;PARAMETRES!$E$36,3,IF($O717&gt;PARAMETRES!$D$36,2,1)))))</f>
        <v/>
      </c>
      <c r="X717" t="str">
        <f>IF($P717="","",IF($P717&gt;PARAMETRES!$G$37,5,IF($P717&gt;PARAMETRES!$F$37,4,IF($P717&gt;PARAMETRES!$E$37,3,IF($P717&gt;PARAMETRES!$D$37,2,1)))))</f>
        <v/>
      </c>
      <c r="Y717" t="str">
        <f t="shared" si="264"/>
        <v/>
      </c>
      <c r="Z717" t="str">
        <f>IFERROR(VLOOKUP($B717,TABLE_CYCLE,2,0),"")</f>
        <v/>
      </c>
      <c r="AA717" t="str">
        <f t="shared" si="265"/>
        <v/>
      </c>
      <c r="AB717" t="str">
        <f>IF($D717="","",IF(COUNTIF($D$2:$D717,$D717)=1,$D717,""))</f>
        <v/>
      </c>
      <c r="AC717">
        <f t="shared" si="266"/>
        <v>0</v>
      </c>
      <c r="AD717" t="str">
        <f t="shared" si="267"/>
        <v>|0</v>
      </c>
      <c r="AE717" t="str">
        <f t="shared" si="268"/>
        <v/>
      </c>
      <c r="AF717" t="str">
        <f t="shared" si="269"/>
        <v/>
      </c>
      <c r="AG717" t="str">
        <f t="shared" si="270"/>
        <v/>
      </c>
      <c r="AH717" t="str">
        <f t="shared" si="271"/>
        <v/>
      </c>
      <c r="AI717" t="str">
        <f t="shared" si="272"/>
        <v/>
      </c>
      <c r="AJ717" t="str">
        <f t="shared" si="273"/>
        <v/>
      </c>
      <c r="AK717" t="str">
        <f t="shared" si="274"/>
        <v/>
      </c>
      <c r="AL717" t="str">
        <f t="shared" si="275"/>
        <v/>
      </c>
      <c r="AM717" t="str">
        <f t="shared" si="276"/>
        <v/>
      </c>
      <c r="AN717" t="str">
        <f t="shared" si="277"/>
        <v/>
      </c>
      <c r="AO717" t="str">
        <f t="shared" si="278"/>
        <v/>
      </c>
      <c r="AP717">
        <f t="shared" si="279"/>
        <v>1</v>
      </c>
      <c r="AQ717" t="str">
        <f>IF(SAISIE!$F722="","",SAISIE!$Y722)</f>
        <v/>
      </c>
      <c r="AR717" t="str">
        <f>IF(OR(SAISIE!$U$4="",SAISIE!$W$4=""),"",IF(AND($A717=SAISIE!$U$4,$B717=SAISIE!$W$4,$C717="S1"),COUNTIFS($A$2:$A717,SAISIE!$U$4,$B$2:$B717,SAISIE!$W$4,$C$2:$C717,"S1"),""))</f>
        <v/>
      </c>
      <c r="AS717" t="str">
        <f t="shared" si="280"/>
        <v/>
      </c>
      <c r="AT717" t="str">
        <f t="shared" si="281"/>
        <v/>
      </c>
      <c r="AU717" t="str">
        <f t="shared" si="282"/>
        <v/>
      </c>
      <c r="AV717">
        <f>N(AV716)+IF(AND($AB717&lt;&gt;"",OR('PROFIL ELEVE'!$K$4="(Tous)",$AF717='PROFIL ELEVE'!$K$4)),1,0)</f>
        <v>0</v>
      </c>
      <c r="AW717">
        <f>N(AW716)+IF(AND($AB717&lt;&gt;"",OR('SUIVI LONGITUDINAL'!$Q$4="(Tous)",$AF717='SUIVI LONGITUDINAL'!$Q$4)),1,0)</f>
        <v>0</v>
      </c>
      <c r="AX717">
        <f t="shared" si="283"/>
        <v>0</v>
      </c>
      <c r="AY717">
        <f t="shared" si="284"/>
        <v>0</v>
      </c>
      <c r="AZ717">
        <f t="shared" si="285"/>
        <v>0</v>
      </c>
      <c r="BA717" t="str">
        <f t="shared" si="286"/>
        <v/>
      </c>
      <c r="BB717" t="str">
        <f t="shared" si="287"/>
        <v/>
      </c>
    </row>
    <row r="718" spans="1:54" ht="14.25" customHeight="1" x14ac:dyDescent="0.3">
      <c r="A718" t="str">
        <f>IF(SAISIE!$F723="","",SAISIE!$B723)</f>
        <v/>
      </c>
      <c r="B718" t="str">
        <f>IF(SAISIE!$F723="","",SAISIE!$C723)</f>
        <v/>
      </c>
      <c r="C718" t="str">
        <f>IF(SAISIE!$F723="","",SAISIE!$D723)</f>
        <v/>
      </c>
      <c r="D718" t="str">
        <f>IF(SAISIE!$E723="","",SAISIE!$E723)</f>
        <v/>
      </c>
      <c r="E718" t="str">
        <f>IF(SAISIE!$F723="","",SAISIE!$F723)</f>
        <v/>
      </c>
      <c r="F718" t="str">
        <f>IF(SAISIE!$G723="","",SAISIE!$G723)</f>
        <v/>
      </c>
      <c r="G718" t="str">
        <f>IF(SAISIE!$H723="","",SAISIE!$H723)</f>
        <v/>
      </c>
      <c r="H718" t="str">
        <f>IF(SAISIE!$I723="","",SAISIE!$I723)</f>
        <v/>
      </c>
      <c r="I718" t="str">
        <f>IF(SAISIE!$J723="","",SAISIE!$J723)</f>
        <v/>
      </c>
      <c r="J718" t="str">
        <f>IF(SAISIE!$K723="","",SAISIE!$K723)</f>
        <v/>
      </c>
      <c r="K718" t="str">
        <f>IF(SAISIE!$L723="","",SAISIE!$L723)</f>
        <v/>
      </c>
      <c r="L718" t="str">
        <f>IF(SAISIE!$M723="","",SAISIE!$M723)</f>
        <v/>
      </c>
      <c r="M718" t="str">
        <f>IF(SAISIE!$N723="","",SAISIE!$N723)</f>
        <v/>
      </c>
      <c r="N718" t="str">
        <f>IF(SAISIE!$O723="","",SAISIE!$O723)</f>
        <v/>
      </c>
      <c r="O718" t="str">
        <f>IF(SAISIE!$P723="","",SAISIE!$P723)</f>
        <v/>
      </c>
      <c r="P718" t="str">
        <f>IF(SAISIE!$Q723="","",SAISIE!$Q723)</f>
        <v/>
      </c>
      <c r="Q718" t="str">
        <f>IF($I718="","",IF($I718&gt;PARAMETRES!$G$29,5,IF($I718&gt;PARAMETRES!$F$29,4,IF($I718&gt;PARAMETRES!$E$29,3,IF($I718&gt;PARAMETRES!$D$29,2,1)))))</f>
        <v/>
      </c>
      <c r="R718" t="str">
        <f>IF($J718="","",IF($J718&gt;PARAMETRES!$G$30,5,IF($J718&gt;PARAMETRES!$F$30,4,IF($J718&gt;PARAMETRES!$E$30,3,IF($J718&gt;PARAMETRES!$D$30,2,1)))))</f>
        <v/>
      </c>
      <c r="S718" t="str">
        <f>IF($K718="","",IF($Z718=2,IF($K718&gt;PARAMETRES!$G$31,5,IF($K718&gt;PARAMETRES!$F$31,4,IF($K718&gt;PARAMETRES!$E$31,3,IF($K718&gt;PARAMETRES!$D$31,2,1)))),IF($K718&gt;PARAMETRES!$G$32,5,IF($K718&gt;PARAMETRES!$F$32,4,IF($K718&gt;PARAMETRES!$E$32,3,IF($K718&gt;PARAMETRES!$D$32,2,1))))))</f>
        <v/>
      </c>
      <c r="T718" t="str">
        <f>IF($L718="","",IF($L718&gt;PARAMETRES!$G$33,5,IF($L718&gt;PARAMETRES!$F$33,4,IF($L718&gt;PARAMETRES!$E$33,3,IF($L718&gt;PARAMETRES!$D$33,2,1)))))</f>
        <v/>
      </c>
      <c r="U718" t="str">
        <f>IF($M718="","",IF($M718&gt;PARAMETRES!$G$34,5,IF($M718&gt;PARAMETRES!$F$34,4,IF($M718&gt;PARAMETRES!$E$34,3,IF($M718&gt;PARAMETRES!$D$34,2,1)))))</f>
        <v/>
      </c>
      <c r="V718" t="str">
        <f>IF($N718="","",IF($N718&gt;PARAMETRES!$G$35,5,IF($N718&gt;PARAMETRES!$F$35,4,IF($N718&gt;PARAMETRES!$E$35,3,IF($N718&gt;PARAMETRES!$D$35,2,1)))))</f>
        <v/>
      </c>
      <c r="W718" t="str">
        <f>IF($O718="","",IF($O718&gt;PARAMETRES!$G$36,5,IF($O718&gt;PARAMETRES!$F$36,4,IF($O718&gt;PARAMETRES!$E$36,3,IF($O718&gt;PARAMETRES!$D$36,2,1)))))</f>
        <v/>
      </c>
      <c r="X718" t="str">
        <f>IF($P718="","",IF($P718&gt;PARAMETRES!$G$37,5,IF($P718&gt;PARAMETRES!$F$37,4,IF($P718&gt;PARAMETRES!$E$37,3,IF($P718&gt;PARAMETRES!$D$37,2,1)))))</f>
        <v/>
      </c>
      <c r="Y718" t="str">
        <f t="shared" si="264"/>
        <v/>
      </c>
      <c r="Z718" t="str">
        <f>IFERROR(VLOOKUP($B718,TABLE_CYCLE,2,0),"")</f>
        <v/>
      </c>
      <c r="AA718" t="str">
        <f t="shared" si="265"/>
        <v/>
      </c>
      <c r="AB718" t="str">
        <f>IF($D718="","",IF(COUNTIF($D$2:$D718,$D718)=1,$D718,""))</f>
        <v/>
      </c>
      <c r="AC718">
        <f t="shared" si="266"/>
        <v>0</v>
      </c>
      <c r="AD718" t="str">
        <f t="shared" si="267"/>
        <v>|0</v>
      </c>
      <c r="AE718" t="str">
        <f t="shared" si="268"/>
        <v/>
      </c>
      <c r="AF718" t="str">
        <f t="shared" si="269"/>
        <v/>
      </c>
      <c r="AG718" t="str">
        <f t="shared" si="270"/>
        <v/>
      </c>
      <c r="AH718" t="str">
        <f t="shared" si="271"/>
        <v/>
      </c>
      <c r="AI718" t="str">
        <f t="shared" si="272"/>
        <v/>
      </c>
      <c r="AJ718" t="str">
        <f t="shared" si="273"/>
        <v/>
      </c>
      <c r="AK718" t="str">
        <f t="shared" si="274"/>
        <v/>
      </c>
      <c r="AL718" t="str">
        <f t="shared" si="275"/>
        <v/>
      </c>
      <c r="AM718" t="str">
        <f t="shared" si="276"/>
        <v/>
      </c>
      <c r="AN718" t="str">
        <f t="shared" si="277"/>
        <v/>
      </c>
      <c r="AO718" t="str">
        <f t="shared" si="278"/>
        <v/>
      </c>
      <c r="AP718">
        <f t="shared" si="279"/>
        <v>1</v>
      </c>
      <c r="AQ718" t="str">
        <f>IF(SAISIE!$F723="","",SAISIE!$Y723)</f>
        <v/>
      </c>
      <c r="AR718" t="str">
        <f>IF(OR(SAISIE!$U$4="",SAISIE!$W$4=""),"",IF(AND($A718=SAISIE!$U$4,$B718=SAISIE!$W$4,$C718="S1"),COUNTIFS($A$2:$A718,SAISIE!$U$4,$B$2:$B718,SAISIE!$W$4,$C$2:$C718,"S1"),""))</f>
        <v/>
      </c>
      <c r="AS718" t="str">
        <f t="shared" si="280"/>
        <v/>
      </c>
      <c r="AT718" t="str">
        <f t="shared" si="281"/>
        <v/>
      </c>
      <c r="AU718" t="str">
        <f t="shared" si="282"/>
        <v/>
      </c>
      <c r="AV718">
        <f>N(AV717)+IF(AND($AB718&lt;&gt;"",OR('PROFIL ELEVE'!$K$4="(Tous)",$AF718='PROFIL ELEVE'!$K$4)),1,0)</f>
        <v>0</v>
      </c>
      <c r="AW718">
        <f>N(AW717)+IF(AND($AB718&lt;&gt;"",OR('SUIVI LONGITUDINAL'!$Q$4="(Tous)",$AF718='SUIVI LONGITUDINAL'!$Q$4)),1,0)</f>
        <v>0</v>
      </c>
      <c r="AX718">
        <f t="shared" si="283"/>
        <v>0</v>
      </c>
      <c r="AY718">
        <f t="shared" si="284"/>
        <v>0</v>
      </c>
      <c r="AZ718">
        <f t="shared" si="285"/>
        <v>0</v>
      </c>
      <c r="BA718" t="str">
        <f t="shared" si="286"/>
        <v/>
      </c>
      <c r="BB718" t="str">
        <f t="shared" si="287"/>
        <v/>
      </c>
    </row>
    <row r="719" spans="1:54" ht="14.25" customHeight="1" x14ac:dyDescent="0.3">
      <c r="A719" t="str">
        <f>IF(SAISIE!$F724="","",SAISIE!$B724)</f>
        <v/>
      </c>
      <c r="B719" t="str">
        <f>IF(SAISIE!$F724="","",SAISIE!$C724)</f>
        <v/>
      </c>
      <c r="C719" t="str">
        <f>IF(SAISIE!$F724="","",SAISIE!$D724)</f>
        <v/>
      </c>
      <c r="D719" t="str">
        <f>IF(SAISIE!$E724="","",SAISIE!$E724)</f>
        <v/>
      </c>
      <c r="E719" t="str">
        <f>IF(SAISIE!$F724="","",SAISIE!$F724)</f>
        <v/>
      </c>
      <c r="F719" t="str">
        <f>IF(SAISIE!$G724="","",SAISIE!$G724)</f>
        <v/>
      </c>
      <c r="G719" t="str">
        <f>IF(SAISIE!$H724="","",SAISIE!$H724)</f>
        <v/>
      </c>
      <c r="H719" t="str">
        <f>IF(SAISIE!$I724="","",SAISIE!$I724)</f>
        <v/>
      </c>
      <c r="I719" t="str">
        <f>IF(SAISIE!$J724="","",SAISIE!$J724)</f>
        <v/>
      </c>
      <c r="J719" t="str">
        <f>IF(SAISIE!$K724="","",SAISIE!$K724)</f>
        <v/>
      </c>
      <c r="K719" t="str">
        <f>IF(SAISIE!$L724="","",SAISIE!$L724)</f>
        <v/>
      </c>
      <c r="L719" t="str">
        <f>IF(SAISIE!$M724="","",SAISIE!$M724)</f>
        <v/>
      </c>
      <c r="M719" t="str">
        <f>IF(SAISIE!$N724="","",SAISIE!$N724)</f>
        <v/>
      </c>
      <c r="N719" t="str">
        <f>IF(SAISIE!$O724="","",SAISIE!$O724)</f>
        <v/>
      </c>
      <c r="O719" t="str">
        <f>IF(SAISIE!$P724="","",SAISIE!$P724)</f>
        <v/>
      </c>
      <c r="P719" t="str">
        <f>IF(SAISIE!$Q724="","",SAISIE!$Q724)</f>
        <v/>
      </c>
      <c r="Q719" t="str">
        <f>IF($I719="","",IF($I719&gt;PARAMETRES!$G$29,5,IF($I719&gt;PARAMETRES!$F$29,4,IF($I719&gt;PARAMETRES!$E$29,3,IF($I719&gt;PARAMETRES!$D$29,2,1)))))</f>
        <v/>
      </c>
      <c r="R719" t="str">
        <f>IF($J719="","",IF($J719&gt;PARAMETRES!$G$30,5,IF($J719&gt;PARAMETRES!$F$30,4,IF($J719&gt;PARAMETRES!$E$30,3,IF($J719&gt;PARAMETRES!$D$30,2,1)))))</f>
        <v/>
      </c>
      <c r="S719" t="str">
        <f>IF($K719="","",IF($Z719=2,IF($K719&gt;PARAMETRES!$G$31,5,IF($K719&gt;PARAMETRES!$F$31,4,IF($K719&gt;PARAMETRES!$E$31,3,IF($K719&gt;PARAMETRES!$D$31,2,1)))),IF($K719&gt;PARAMETRES!$G$32,5,IF($K719&gt;PARAMETRES!$F$32,4,IF($K719&gt;PARAMETRES!$E$32,3,IF($K719&gt;PARAMETRES!$D$32,2,1))))))</f>
        <v/>
      </c>
      <c r="T719" t="str">
        <f>IF($L719="","",IF($L719&gt;PARAMETRES!$G$33,5,IF($L719&gt;PARAMETRES!$F$33,4,IF($L719&gt;PARAMETRES!$E$33,3,IF($L719&gt;PARAMETRES!$D$33,2,1)))))</f>
        <v/>
      </c>
      <c r="U719" t="str">
        <f>IF($M719="","",IF($M719&gt;PARAMETRES!$G$34,5,IF($M719&gt;PARAMETRES!$F$34,4,IF($M719&gt;PARAMETRES!$E$34,3,IF($M719&gt;PARAMETRES!$D$34,2,1)))))</f>
        <v/>
      </c>
      <c r="V719" t="str">
        <f>IF($N719="","",IF($N719&gt;PARAMETRES!$G$35,5,IF($N719&gt;PARAMETRES!$F$35,4,IF($N719&gt;PARAMETRES!$E$35,3,IF($N719&gt;PARAMETRES!$D$35,2,1)))))</f>
        <v/>
      </c>
      <c r="W719" t="str">
        <f>IF($O719="","",IF($O719&gt;PARAMETRES!$G$36,5,IF($O719&gt;PARAMETRES!$F$36,4,IF($O719&gt;PARAMETRES!$E$36,3,IF($O719&gt;PARAMETRES!$D$36,2,1)))))</f>
        <v/>
      </c>
      <c r="X719" t="str">
        <f>IF($P719="","",IF($P719&gt;PARAMETRES!$G$37,5,IF($P719&gt;PARAMETRES!$F$37,4,IF($P719&gt;PARAMETRES!$E$37,3,IF($P719&gt;PARAMETRES!$D$37,2,1)))))</f>
        <v/>
      </c>
      <c r="Y719" t="str">
        <f t="shared" si="264"/>
        <v/>
      </c>
      <c r="Z719" t="str">
        <f>IFERROR(VLOOKUP($B719,TABLE_CYCLE,2,0),"")</f>
        <v/>
      </c>
      <c r="AA719" t="str">
        <f t="shared" si="265"/>
        <v/>
      </c>
      <c r="AB719" t="str">
        <f>IF($D719="","",IF(COUNTIF($D$2:$D719,$D719)=1,$D719,""))</f>
        <v/>
      </c>
      <c r="AC719">
        <f t="shared" si="266"/>
        <v>0</v>
      </c>
      <c r="AD719" t="str">
        <f t="shared" si="267"/>
        <v>|0</v>
      </c>
      <c r="AE719" t="str">
        <f t="shared" si="268"/>
        <v/>
      </c>
      <c r="AF719" t="str">
        <f t="shared" si="269"/>
        <v/>
      </c>
      <c r="AG719" t="str">
        <f t="shared" si="270"/>
        <v/>
      </c>
      <c r="AH719" t="str">
        <f t="shared" si="271"/>
        <v/>
      </c>
      <c r="AI719" t="str">
        <f t="shared" si="272"/>
        <v/>
      </c>
      <c r="AJ719" t="str">
        <f t="shared" si="273"/>
        <v/>
      </c>
      <c r="AK719" t="str">
        <f t="shared" si="274"/>
        <v/>
      </c>
      <c r="AL719" t="str">
        <f t="shared" si="275"/>
        <v/>
      </c>
      <c r="AM719" t="str">
        <f t="shared" si="276"/>
        <v/>
      </c>
      <c r="AN719" t="str">
        <f t="shared" si="277"/>
        <v/>
      </c>
      <c r="AO719" t="str">
        <f t="shared" si="278"/>
        <v/>
      </c>
      <c r="AP719">
        <f t="shared" si="279"/>
        <v>1</v>
      </c>
      <c r="AQ719" t="str">
        <f>IF(SAISIE!$F724="","",SAISIE!$Y724)</f>
        <v/>
      </c>
      <c r="AR719" t="str">
        <f>IF(OR(SAISIE!$U$4="",SAISIE!$W$4=""),"",IF(AND($A719=SAISIE!$U$4,$B719=SAISIE!$W$4,$C719="S1"),COUNTIFS($A$2:$A719,SAISIE!$U$4,$B$2:$B719,SAISIE!$W$4,$C$2:$C719,"S1"),""))</f>
        <v/>
      </c>
      <c r="AS719" t="str">
        <f t="shared" si="280"/>
        <v/>
      </c>
      <c r="AT719" t="str">
        <f t="shared" si="281"/>
        <v/>
      </c>
      <c r="AU719" t="str">
        <f t="shared" si="282"/>
        <v/>
      </c>
      <c r="AV719">
        <f>N(AV718)+IF(AND($AB719&lt;&gt;"",OR('PROFIL ELEVE'!$K$4="(Tous)",$AF719='PROFIL ELEVE'!$K$4)),1,0)</f>
        <v>0</v>
      </c>
      <c r="AW719">
        <f>N(AW718)+IF(AND($AB719&lt;&gt;"",OR('SUIVI LONGITUDINAL'!$Q$4="(Tous)",$AF719='SUIVI LONGITUDINAL'!$Q$4)),1,0)</f>
        <v>0</v>
      </c>
      <c r="AX719">
        <f t="shared" si="283"/>
        <v>0</v>
      </c>
      <c r="AY719">
        <f t="shared" si="284"/>
        <v>0</v>
      </c>
      <c r="AZ719">
        <f t="shared" si="285"/>
        <v>0</v>
      </c>
      <c r="BA719" t="str">
        <f t="shared" si="286"/>
        <v/>
      </c>
      <c r="BB719" t="str">
        <f t="shared" si="287"/>
        <v/>
      </c>
    </row>
    <row r="720" spans="1:54" ht="14.25" customHeight="1" x14ac:dyDescent="0.3">
      <c r="A720" t="str">
        <f>IF(SAISIE!$F725="","",SAISIE!$B725)</f>
        <v/>
      </c>
      <c r="B720" t="str">
        <f>IF(SAISIE!$F725="","",SAISIE!$C725)</f>
        <v/>
      </c>
      <c r="C720" t="str">
        <f>IF(SAISIE!$F725="","",SAISIE!$D725)</f>
        <v/>
      </c>
      <c r="D720" t="str">
        <f>IF(SAISIE!$E725="","",SAISIE!$E725)</f>
        <v/>
      </c>
      <c r="E720" t="str">
        <f>IF(SAISIE!$F725="","",SAISIE!$F725)</f>
        <v/>
      </c>
      <c r="F720" t="str">
        <f>IF(SAISIE!$G725="","",SAISIE!$G725)</f>
        <v/>
      </c>
      <c r="G720" t="str">
        <f>IF(SAISIE!$H725="","",SAISIE!$H725)</f>
        <v/>
      </c>
      <c r="H720" t="str">
        <f>IF(SAISIE!$I725="","",SAISIE!$I725)</f>
        <v/>
      </c>
      <c r="I720" t="str">
        <f>IF(SAISIE!$J725="","",SAISIE!$J725)</f>
        <v/>
      </c>
      <c r="J720" t="str">
        <f>IF(SAISIE!$K725="","",SAISIE!$K725)</f>
        <v/>
      </c>
      <c r="K720" t="str">
        <f>IF(SAISIE!$L725="","",SAISIE!$L725)</f>
        <v/>
      </c>
      <c r="L720" t="str">
        <f>IF(SAISIE!$M725="","",SAISIE!$M725)</f>
        <v/>
      </c>
      <c r="M720" t="str">
        <f>IF(SAISIE!$N725="","",SAISIE!$N725)</f>
        <v/>
      </c>
      <c r="N720" t="str">
        <f>IF(SAISIE!$O725="","",SAISIE!$O725)</f>
        <v/>
      </c>
      <c r="O720" t="str">
        <f>IF(SAISIE!$P725="","",SAISIE!$P725)</f>
        <v/>
      </c>
      <c r="P720" t="str">
        <f>IF(SAISIE!$Q725="","",SAISIE!$Q725)</f>
        <v/>
      </c>
      <c r="Q720" t="str">
        <f>IF($I720="","",IF($I720&gt;PARAMETRES!$G$29,5,IF($I720&gt;PARAMETRES!$F$29,4,IF($I720&gt;PARAMETRES!$E$29,3,IF($I720&gt;PARAMETRES!$D$29,2,1)))))</f>
        <v/>
      </c>
      <c r="R720" t="str">
        <f>IF($J720="","",IF($J720&gt;PARAMETRES!$G$30,5,IF($J720&gt;PARAMETRES!$F$30,4,IF($J720&gt;PARAMETRES!$E$30,3,IF($J720&gt;PARAMETRES!$D$30,2,1)))))</f>
        <v/>
      </c>
      <c r="S720" t="str">
        <f>IF($K720="","",IF($Z720=2,IF($K720&gt;PARAMETRES!$G$31,5,IF($K720&gt;PARAMETRES!$F$31,4,IF($K720&gt;PARAMETRES!$E$31,3,IF($K720&gt;PARAMETRES!$D$31,2,1)))),IF($K720&gt;PARAMETRES!$G$32,5,IF($K720&gt;PARAMETRES!$F$32,4,IF($K720&gt;PARAMETRES!$E$32,3,IF($K720&gt;PARAMETRES!$D$32,2,1))))))</f>
        <v/>
      </c>
      <c r="T720" t="str">
        <f>IF($L720="","",IF($L720&gt;PARAMETRES!$G$33,5,IF($L720&gt;PARAMETRES!$F$33,4,IF($L720&gt;PARAMETRES!$E$33,3,IF($L720&gt;PARAMETRES!$D$33,2,1)))))</f>
        <v/>
      </c>
      <c r="U720" t="str">
        <f>IF($M720="","",IF($M720&gt;PARAMETRES!$G$34,5,IF($M720&gt;PARAMETRES!$F$34,4,IF($M720&gt;PARAMETRES!$E$34,3,IF($M720&gt;PARAMETRES!$D$34,2,1)))))</f>
        <v/>
      </c>
      <c r="V720" t="str">
        <f>IF($N720="","",IF($N720&gt;PARAMETRES!$G$35,5,IF($N720&gt;PARAMETRES!$F$35,4,IF($N720&gt;PARAMETRES!$E$35,3,IF($N720&gt;PARAMETRES!$D$35,2,1)))))</f>
        <v/>
      </c>
      <c r="W720" t="str">
        <f>IF($O720="","",IF($O720&gt;PARAMETRES!$G$36,5,IF($O720&gt;PARAMETRES!$F$36,4,IF($O720&gt;PARAMETRES!$E$36,3,IF($O720&gt;PARAMETRES!$D$36,2,1)))))</f>
        <v/>
      </c>
      <c r="X720" t="str">
        <f>IF($P720="","",IF($P720&gt;PARAMETRES!$G$37,5,IF($P720&gt;PARAMETRES!$F$37,4,IF($P720&gt;PARAMETRES!$E$37,3,IF($P720&gt;PARAMETRES!$D$37,2,1)))))</f>
        <v/>
      </c>
      <c r="Y720" t="str">
        <f t="shared" si="264"/>
        <v/>
      </c>
      <c r="Z720" t="str">
        <f>IFERROR(VLOOKUP($B720,TABLE_CYCLE,2,0),"")</f>
        <v/>
      </c>
      <c r="AA720" t="str">
        <f t="shared" si="265"/>
        <v/>
      </c>
      <c r="AB720" t="str">
        <f>IF($D720="","",IF(COUNTIF($D$2:$D720,$D720)=1,$D720,""))</f>
        <v/>
      </c>
      <c r="AC720">
        <f t="shared" si="266"/>
        <v>0</v>
      </c>
      <c r="AD720" t="str">
        <f t="shared" si="267"/>
        <v>|0</v>
      </c>
      <c r="AE720" t="str">
        <f t="shared" si="268"/>
        <v/>
      </c>
      <c r="AF720" t="str">
        <f t="shared" si="269"/>
        <v/>
      </c>
      <c r="AG720" t="str">
        <f t="shared" si="270"/>
        <v/>
      </c>
      <c r="AH720" t="str">
        <f t="shared" si="271"/>
        <v/>
      </c>
      <c r="AI720" t="str">
        <f t="shared" si="272"/>
        <v/>
      </c>
      <c r="AJ720" t="str">
        <f t="shared" si="273"/>
        <v/>
      </c>
      <c r="AK720" t="str">
        <f t="shared" si="274"/>
        <v/>
      </c>
      <c r="AL720" t="str">
        <f t="shared" si="275"/>
        <v/>
      </c>
      <c r="AM720" t="str">
        <f t="shared" si="276"/>
        <v/>
      </c>
      <c r="AN720" t="str">
        <f t="shared" si="277"/>
        <v/>
      </c>
      <c r="AO720" t="str">
        <f t="shared" si="278"/>
        <v/>
      </c>
      <c r="AP720">
        <f t="shared" si="279"/>
        <v>1</v>
      </c>
      <c r="AQ720" t="str">
        <f>IF(SAISIE!$F725="","",SAISIE!$Y725)</f>
        <v/>
      </c>
      <c r="AR720" t="str">
        <f>IF(OR(SAISIE!$U$4="",SAISIE!$W$4=""),"",IF(AND($A720=SAISIE!$U$4,$B720=SAISIE!$W$4,$C720="S1"),COUNTIFS($A$2:$A720,SAISIE!$U$4,$B$2:$B720,SAISIE!$W$4,$C$2:$C720,"S1"),""))</f>
        <v/>
      </c>
      <c r="AS720" t="str">
        <f t="shared" si="280"/>
        <v/>
      </c>
      <c r="AT720" t="str">
        <f t="shared" si="281"/>
        <v/>
      </c>
      <c r="AU720" t="str">
        <f t="shared" si="282"/>
        <v/>
      </c>
      <c r="AV720">
        <f>N(AV719)+IF(AND($AB720&lt;&gt;"",OR('PROFIL ELEVE'!$K$4="(Tous)",$AF720='PROFIL ELEVE'!$K$4)),1,0)</f>
        <v>0</v>
      </c>
      <c r="AW720">
        <f>N(AW719)+IF(AND($AB720&lt;&gt;"",OR('SUIVI LONGITUDINAL'!$Q$4="(Tous)",$AF720='SUIVI LONGITUDINAL'!$Q$4)),1,0)</f>
        <v>0</v>
      </c>
      <c r="AX720">
        <f t="shared" si="283"/>
        <v>0</v>
      </c>
      <c r="AY720">
        <f t="shared" si="284"/>
        <v>0</v>
      </c>
      <c r="AZ720">
        <f t="shared" si="285"/>
        <v>0</v>
      </c>
      <c r="BA720" t="str">
        <f t="shared" si="286"/>
        <v/>
      </c>
      <c r="BB720" t="str">
        <f t="shared" si="287"/>
        <v/>
      </c>
    </row>
    <row r="721" spans="1:54" ht="14.25" customHeight="1" x14ac:dyDescent="0.3">
      <c r="A721" t="str">
        <f>IF(SAISIE!$F726="","",SAISIE!$B726)</f>
        <v/>
      </c>
      <c r="B721" t="str">
        <f>IF(SAISIE!$F726="","",SAISIE!$C726)</f>
        <v/>
      </c>
      <c r="C721" t="str">
        <f>IF(SAISIE!$F726="","",SAISIE!$D726)</f>
        <v/>
      </c>
      <c r="D721" t="str">
        <f>IF(SAISIE!$E726="","",SAISIE!$E726)</f>
        <v/>
      </c>
      <c r="E721" t="str">
        <f>IF(SAISIE!$F726="","",SAISIE!$F726)</f>
        <v/>
      </c>
      <c r="F721" t="str">
        <f>IF(SAISIE!$G726="","",SAISIE!$G726)</f>
        <v/>
      </c>
      <c r="G721" t="str">
        <f>IF(SAISIE!$H726="","",SAISIE!$H726)</f>
        <v/>
      </c>
      <c r="H721" t="str">
        <f>IF(SAISIE!$I726="","",SAISIE!$I726)</f>
        <v/>
      </c>
      <c r="I721" t="str">
        <f>IF(SAISIE!$J726="","",SAISIE!$J726)</f>
        <v/>
      </c>
      <c r="J721" t="str">
        <f>IF(SAISIE!$K726="","",SAISIE!$K726)</f>
        <v/>
      </c>
      <c r="K721" t="str">
        <f>IF(SAISIE!$L726="","",SAISIE!$L726)</f>
        <v/>
      </c>
      <c r="L721" t="str">
        <f>IF(SAISIE!$M726="","",SAISIE!$M726)</f>
        <v/>
      </c>
      <c r="M721" t="str">
        <f>IF(SAISIE!$N726="","",SAISIE!$N726)</f>
        <v/>
      </c>
      <c r="N721" t="str">
        <f>IF(SAISIE!$O726="","",SAISIE!$O726)</f>
        <v/>
      </c>
      <c r="O721" t="str">
        <f>IF(SAISIE!$P726="","",SAISIE!$P726)</f>
        <v/>
      </c>
      <c r="P721" t="str">
        <f>IF(SAISIE!$Q726="","",SAISIE!$Q726)</f>
        <v/>
      </c>
      <c r="Q721" t="str">
        <f>IF($I721="","",IF($I721&gt;PARAMETRES!$G$29,5,IF($I721&gt;PARAMETRES!$F$29,4,IF($I721&gt;PARAMETRES!$E$29,3,IF($I721&gt;PARAMETRES!$D$29,2,1)))))</f>
        <v/>
      </c>
      <c r="R721" t="str">
        <f>IF($J721="","",IF($J721&gt;PARAMETRES!$G$30,5,IF($J721&gt;PARAMETRES!$F$30,4,IF($J721&gt;PARAMETRES!$E$30,3,IF($J721&gt;PARAMETRES!$D$30,2,1)))))</f>
        <v/>
      </c>
      <c r="S721" t="str">
        <f>IF($K721="","",IF($Z721=2,IF($K721&gt;PARAMETRES!$G$31,5,IF($K721&gt;PARAMETRES!$F$31,4,IF($K721&gt;PARAMETRES!$E$31,3,IF($K721&gt;PARAMETRES!$D$31,2,1)))),IF($K721&gt;PARAMETRES!$G$32,5,IF($K721&gt;PARAMETRES!$F$32,4,IF($K721&gt;PARAMETRES!$E$32,3,IF($K721&gt;PARAMETRES!$D$32,2,1))))))</f>
        <v/>
      </c>
      <c r="T721" t="str">
        <f>IF($L721="","",IF($L721&gt;PARAMETRES!$G$33,5,IF($L721&gt;PARAMETRES!$F$33,4,IF($L721&gt;PARAMETRES!$E$33,3,IF($L721&gt;PARAMETRES!$D$33,2,1)))))</f>
        <v/>
      </c>
      <c r="U721" t="str">
        <f>IF($M721="","",IF($M721&gt;PARAMETRES!$G$34,5,IF($M721&gt;PARAMETRES!$F$34,4,IF($M721&gt;PARAMETRES!$E$34,3,IF($M721&gt;PARAMETRES!$D$34,2,1)))))</f>
        <v/>
      </c>
      <c r="V721" t="str">
        <f>IF($N721="","",IF($N721&gt;PARAMETRES!$G$35,5,IF($N721&gt;PARAMETRES!$F$35,4,IF($N721&gt;PARAMETRES!$E$35,3,IF($N721&gt;PARAMETRES!$D$35,2,1)))))</f>
        <v/>
      </c>
      <c r="W721" t="str">
        <f>IF($O721="","",IF($O721&gt;PARAMETRES!$G$36,5,IF($O721&gt;PARAMETRES!$F$36,4,IF($O721&gt;PARAMETRES!$E$36,3,IF($O721&gt;PARAMETRES!$D$36,2,1)))))</f>
        <v/>
      </c>
      <c r="X721" t="str">
        <f>IF($P721="","",IF($P721&gt;PARAMETRES!$G$37,5,IF($P721&gt;PARAMETRES!$F$37,4,IF($P721&gt;PARAMETRES!$E$37,3,IF($P721&gt;PARAMETRES!$D$37,2,1)))))</f>
        <v/>
      </c>
      <c r="Y721" t="str">
        <f t="shared" si="264"/>
        <v/>
      </c>
      <c r="Z721" t="str">
        <f>IFERROR(VLOOKUP($B721,TABLE_CYCLE,2,0),"")</f>
        <v/>
      </c>
      <c r="AA721" t="str">
        <f t="shared" si="265"/>
        <v/>
      </c>
      <c r="AB721" t="str">
        <f>IF($D721="","",IF(COUNTIF($D$2:$D721,$D721)=1,$D721,""))</f>
        <v/>
      </c>
      <c r="AC721">
        <f t="shared" si="266"/>
        <v>0</v>
      </c>
      <c r="AD721" t="str">
        <f t="shared" si="267"/>
        <v>|0</v>
      </c>
      <c r="AE721" t="str">
        <f t="shared" si="268"/>
        <v/>
      </c>
      <c r="AF721" t="str">
        <f t="shared" si="269"/>
        <v/>
      </c>
      <c r="AG721" t="str">
        <f t="shared" si="270"/>
        <v/>
      </c>
      <c r="AH721" t="str">
        <f t="shared" si="271"/>
        <v/>
      </c>
      <c r="AI721" t="str">
        <f t="shared" si="272"/>
        <v/>
      </c>
      <c r="AJ721" t="str">
        <f t="shared" si="273"/>
        <v/>
      </c>
      <c r="AK721" t="str">
        <f t="shared" si="274"/>
        <v/>
      </c>
      <c r="AL721" t="str">
        <f t="shared" si="275"/>
        <v/>
      </c>
      <c r="AM721" t="str">
        <f t="shared" si="276"/>
        <v/>
      </c>
      <c r="AN721" t="str">
        <f t="shared" si="277"/>
        <v/>
      </c>
      <c r="AO721" t="str">
        <f t="shared" si="278"/>
        <v/>
      </c>
      <c r="AP721">
        <f t="shared" si="279"/>
        <v>1</v>
      </c>
      <c r="AQ721" t="str">
        <f>IF(SAISIE!$F726="","",SAISIE!$Y726)</f>
        <v/>
      </c>
      <c r="AR721" t="str">
        <f>IF(OR(SAISIE!$U$4="",SAISIE!$W$4=""),"",IF(AND($A721=SAISIE!$U$4,$B721=SAISIE!$W$4,$C721="S1"),COUNTIFS($A$2:$A721,SAISIE!$U$4,$B$2:$B721,SAISIE!$W$4,$C$2:$C721,"S1"),""))</f>
        <v/>
      </c>
      <c r="AS721" t="str">
        <f t="shared" si="280"/>
        <v/>
      </c>
      <c r="AT721" t="str">
        <f t="shared" si="281"/>
        <v/>
      </c>
      <c r="AU721" t="str">
        <f t="shared" si="282"/>
        <v/>
      </c>
      <c r="AV721">
        <f>N(AV720)+IF(AND($AB721&lt;&gt;"",OR('PROFIL ELEVE'!$K$4="(Tous)",$AF721='PROFIL ELEVE'!$K$4)),1,0)</f>
        <v>0</v>
      </c>
      <c r="AW721">
        <f>N(AW720)+IF(AND($AB721&lt;&gt;"",OR('SUIVI LONGITUDINAL'!$Q$4="(Tous)",$AF721='SUIVI LONGITUDINAL'!$Q$4)),1,0)</f>
        <v>0</v>
      </c>
      <c r="AX721">
        <f t="shared" si="283"/>
        <v>0</v>
      </c>
      <c r="AY721">
        <f t="shared" si="284"/>
        <v>0</v>
      </c>
      <c r="AZ721">
        <f t="shared" si="285"/>
        <v>0</v>
      </c>
      <c r="BA721" t="str">
        <f t="shared" si="286"/>
        <v/>
      </c>
      <c r="BB721" t="str">
        <f t="shared" si="287"/>
        <v/>
      </c>
    </row>
    <row r="722" spans="1:54" ht="14.25" customHeight="1" x14ac:dyDescent="0.3">
      <c r="A722" t="str">
        <f>IF(SAISIE!$F727="","",SAISIE!$B727)</f>
        <v/>
      </c>
      <c r="B722" t="str">
        <f>IF(SAISIE!$F727="","",SAISIE!$C727)</f>
        <v/>
      </c>
      <c r="C722" t="str">
        <f>IF(SAISIE!$F727="","",SAISIE!$D727)</f>
        <v/>
      </c>
      <c r="D722" t="str">
        <f>IF(SAISIE!$E727="","",SAISIE!$E727)</f>
        <v/>
      </c>
      <c r="E722" t="str">
        <f>IF(SAISIE!$F727="","",SAISIE!$F727)</f>
        <v/>
      </c>
      <c r="F722" t="str">
        <f>IF(SAISIE!$G727="","",SAISIE!$G727)</f>
        <v/>
      </c>
      <c r="G722" t="str">
        <f>IF(SAISIE!$H727="","",SAISIE!$H727)</f>
        <v/>
      </c>
      <c r="H722" t="str">
        <f>IF(SAISIE!$I727="","",SAISIE!$I727)</f>
        <v/>
      </c>
      <c r="I722" t="str">
        <f>IF(SAISIE!$J727="","",SAISIE!$J727)</f>
        <v/>
      </c>
      <c r="J722" t="str">
        <f>IF(SAISIE!$K727="","",SAISIE!$K727)</f>
        <v/>
      </c>
      <c r="K722" t="str">
        <f>IF(SAISIE!$L727="","",SAISIE!$L727)</f>
        <v/>
      </c>
      <c r="L722" t="str">
        <f>IF(SAISIE!$M727="","",SAISIE!$M727)</f>
        <v/>
      </c>
      <c r="M722" t="str">
        <f>IF(SAISIE!$N727="","",SAISIE!$N727)</f>
        <v/>
      </c>
      <c r="N722" t="str">
        <f>IF(SAISIE!$O727="","",SAISIE!$O727)</f>
        <v/>
      </c>
      <c r="O722" t="str">
        <f>IF(SAISIE!$P727="","",SAISIE!$P727)</f>
        <v/>
      </c>
      <c r="P722" t="str">
        <f>IF(SAISIE!$Q727="","",SAISIE!$Q727)</f>
        <v/>
      </c>
      <c r="Q722" t="str">
        <f>IF($I722="","",IF($I722&gt;PARAMETRES!$G$29,5,IF($I722&gt;PARAMETRES!$F$29,4,IF($I722&gt;PARAMETRES!$E$29,3,IF($I722&gt;PARAMETRES!$D$29,2,1)))))</f>
        <v/>
      </c>
      <c r="R722" t="str">
        <f>IF($J722="","",IF($J722&gt;PARAMETRES!$G$30,5,IF($J722&gt;PARAMETRES!$F$30,4,IF($J722&gt;PARAMETRES!$E$30,3,IF($J722&gt;PARAMETRES!$D$30,2,1)))))</f>
        <v/>
      </c>
      <c r="S722" t="str">
        <f>IF($K722="","",IF($Z722=2,IF($K722&gt;PARAMETRES!$G$31,5,IF($K722&gt;PARAMETRES!$F$31,4,IF($K722&gt;PARAMETRES!$E$31,3,IF($K722&gt;PARAMETRES!$D$31,2,1)))),IF($K722&gt;PARAMETRES!$G$32,5,IF($K722&gt;PARAMETRES!$F$32,4,IF($K722&gt;PARAMETRES!$E$32,3,IF($K722&gt;PARAMETRES!$D$32,2,1))))))</f>
        <v/>
      </c>
      <c r="T722" t="str">
        <f>IF($L722="","",IF($L722&gt;PARAMETRES!$G$33,5,IF($L722&gt;PARAMETRES!$F$33,4,IF($L722&gt;PARAMETRES!$E$33,3,IF($L722&gt;PARAMETRES!$D$33,2,1)))))</f>
        <v/>
      </c>
      <c r="U722" t="str">
        <f>IF($M722="","",IF($M722&gt;PARAMETRES!$G$34,5,IF($M722&gt;PARAMETRES!$F$34,4,IF($M722&gt;PARAMETRES!$E$34,3,IF($M722&gt;PARAMETRES!$D$34,2,1)))))</f>
        <v/>
      </c>
      <c r="V722" t="str">
        <f>IF($N722="","",IF($N722&gt;PARAMETRES!$G$35,5,IF($N722&gt;PARAMETRES!$F$35,4,IF($N722&gt;PARAMETRES!$E$35,3,IF($N722&gt;PARAMETRES!$D$35,2,1)))))</f>
        <v/>
      </c>
      <c r="W722" t="str">
        <f>IF($O722="","",IF($O722&gt;PARAMETRES!$G$36,5,IF($O722&gt;PARAMETRES!$F$36,4,IF($O722&gt;PARAMETRES!$E$36,3,IF($O722&gt;PARAMETRES!$D$36,2,1)))))</f>
        <v/>
      </c>
      <c r="X722" t="str">
        <f>IF($P722="","",IF($P722&gt;PARAMETRES!$G$37,5,IF($P722&gt;PARAMETRES!$F$37,4,IF($P722&gt;PARAMETRES!$E$37,3,IF($P722&gt;PARAMETRES!$D$37,2,1)))))</f>
        <v/>
      </c>
      <c r="Y722" t="str">
        <f t="shared" si="264"/>
        <v/>
      </c>
      <c r="Z722" t="str">
        <f>IFERROR(VLOOKUP($B722,TABLE_CYCLE,2,0),"")</f>
        <v/>
      </c>
      <c r="AA722" t="str">
        <f t="shared" si="265"/>
        <v/>
      </c>
      <c r="AB722" t="str">
        <f>IF($D722="","",IF(COUNTIF($D$2:$D722,$D722)=1,$D722,""))</f>
        <v/>
      </c>
      <c r="AC722">
        <f t="shared" si="266"/>
        <v>0</v>
      </c>
      <c r="AD722" t="str">
        <f t="shared" si="267"/>
        <v>|0</v>
      </c>
      <c r="AE722" t="str">
        <f t="shared" si="268"/>
        <v/>
      </c>
      <c r="AF722" t="str">
        <f t="shared" si="269"/>
        <v/>
      </c>
      <c r="AG722" t="str">
        <f t="shared" si="270"/>
        <v/>
      </c>
      <c r="AH722" t="str">
        <f t="shared" si="271"/>
        <v/>
      </c>
      <c r="AI722" t="str">
        <f t="shared" si="272"/>
        <v/>
      </c>
      <c r="AJ722" t="str">
        <f t="shared" si="273"/>
        <v/>
      </c>
      <c r="AK722" t="str">
        <f t="shared" si="274"/>
        <v/>
      </c>
      <c r="AL722" t="str">
        <f t="shared" si="275"/>
        <v/>
      </c>
      <c r="AM722" t="str">
        <f t="shared" si="276"/>
        <v/>
      </c>
      <c r="AN722" t="str">
        <f t="shared" si="277"/>
        <v/>
      </c>
      <c r="AO722" t="str">
        <f t="shared" si="278"/>
        <v/>
      </c>
      <c r="AP722">
        <f t="shared" si="279"/>
        <v>1</v>
      </c>
      <c r="AQ722" t="str">
        <f>IF(SAISIE!$F727="","",SAISIE!$Y727)</f>
        <v/>
      </c>
      <c r="AR722" t="str">
        <f>IF(OR(SAISIE!$U$4="",SAISIE!$W$4=""),"",IF(AND($A722=SAISIE!$U$4,$B722=SAISIE!$W$4,$C722="S1"),COUNTIFS($A$2:$A722,SAISIE!$U$4,$B$2:$B722,SAISIE!$W$4,$C$2:$C722,"S1"),""))</f>
        <v/>
      </c>
      <c r="AS722" t="str">
        <f t="shared" si="280"/>
        <v/>
      </c>
      <c r="AT722" t="str">
        <f t="shared" si="281"/>
        <v/>
      </c>
      <c r="AU722" t="str">
        <f t="shared" si="282"/>
        <v/>
      </c>
      <c r="AV722">
        <f>N(AV721)+IF(AND($AB722&lt;&gt;"",OR('PROFIL ELEVE'!$K$4="(Tous)",$AF722='PROFIL ELEVE'!$K$4)),1,0)</f>
        <v>0</v>
      </c>
      <c r="AW722">
        <f>N(AW721)+IF(AND($AB722&lt;&gt;"",OR('SUIVI LONGITUDINAL'!$Q$4="(Tous)",$AF722='SUIVI LONGITUDINAL'!$Q$4)),1,0)</f>
        <v>0</v>
      </c>
      <c r="AX722">
        <f t="shared" si="283"/>
        <v>0</v>
      </c>
      <c r="AY722">
        <f t="shared" si="284"/>
        <v>0</v>
      </c>
      <c r="AZ722">
        <f t="shared" si="285"/>
        <v>0</v>
      </c>
      <c r="BA722" t="str">
        <f t="shared" si="286"/>
        <v/>
      </c>
      <c r="BB722" t="str">
        <f t="shared" si="287"/>
        <v/>
      </c>
    </row>
    <row r="723" spans="1:54" ht="14.25" customHeight="1" x14ac:dyDescent="0.3">
      <c r="A723" t="str">
        <f>IF(SAISIE!$F728="","",SAISIE!$B728)</f>
        <v/>
      </c>
      <c r="B723" t="str">
        <f>IF(SAISIE!$F728="","",SAISIE!$C728)</f>
        <v/>
      </c>
      <c r="C723" t="str">
        <f>IF(SAISIE!$F728="","",SAISIE!$D728)</f>
        <v/>
      </c>
      <c r="D723" t="str">
        <f>IF(SAISIE!$E728="","",SAISIE!$E728)</f>
        <v/>
      </c>
      <c r="E723" t="str">
        <f>IF(SAISIE!$F728="","",SAISIE!$F728)</f>
        <v/>
      </c>
      <c r="F723" t="str">
        <f>IF(SAISIE!$G728="","",SAISIE!$G728)</f>
        <v/>
      </c>
      <c r="G723" t="str">
        <f>IF(SAISIE!$H728="","",SAISIE!$H728)</f>
        <v/>
      </c>
      <c r="H723" t="str">
        <f>IF(SAISIE!$I728="","",SAISIE!$I728)</f>
        <v/>
      </c>
      <c r="I723" t="str">
        <f>IF(SAISIE!$J728="","",SAISIE!$J728)</f>
        <v/>
      </c>
      <c r="J723" t="str">
        <f>IF(SAISIE!$K728="","",SAISIE!$K728)</f>
        <v/>
      </c>
      <c r="K723" t="str">
        <f>IF(SAISIE!$L728="","",SAISIE!$L728)</f>
        <v/>
      </c>
      <c r="L723" t="str">
        <f>IF(SAISIE!$M728="","",SAISIE!$M728)</f>
        <v/>
      </c>
      <c r="M723" t="str">
        <f>IF(SAISIE!$N728="","",SAISIE!$N728)</f>
        <v/>
      </c>
      <c r="N723" t="str">
        <f>IF(SAISIE!$O728="","",SAISIE!$O728)</f>
        <v/>
      </c>
      <c r="O723" t="str">
        <f>IF(SAISIE!$P728="","",SAISIE!$P728)</f>
        <v/>
      </c>
      <c r="P723" t="str">
        <f>IF(SAISIE!$Q728="","",SAISIE!$Q728)</f>
        <v/>
      </c>
      <c r="Q723" t="str">
        <f>IF($I723="","",IF($I723&gt;PARAMETRES!$G$29,5,IF($I723&gt;PARAMETRES!$F$29,4,IF($I723&gt;PARAMETRES!$E$29,3,IF($I723&gt;PARAMETRES!$D$29,2,1)))))</f>
        <v/>
      </c>
      <c r="R723" t="str">
        <f>IF($J723="","",IF($J723&gt;PARAMETRES!$G$30,5,IF($J723&gt;PARAMETRES!$F$30,4,IF($J723&gt;PARAMETRES!$E$30,3,IF($J723&gt;PARAMETRES!$D$30,2,1)))))</f>
        <v/>
      </c>
      <c r="S723" t="str">
        <f>IF($K723="","",IF($Z723=2,IF($K723&gt;PARAMETRES!$G$31,5,IF($K723&gt;PARAMETRES!$F$31,4,IF($K723&gt;PARAMETRES!$E$31,3,IF($K723&gt;PARAMETRES!$D$31,2,1)))),IF($K723&gt;PARAMETRES!$G$32,5,IF($K723&gt;PARAMETRES!$F$32,4,IF($K723&gt;PARAMETRES!$E$32,3,IF($K723&gt;PARAMETRES!$D$32,2,1))))))</f>
        <v/>
      </c>
      <c r="T723" t="str">
        <f>IF($L723="","",IF($L723&gt;PARAMETRES!$G$33,5,IF($L723&gt;PARAMETRES!$F$33,4,IF($L723&gt;PARAMETRES!$E$33,3,IF($L723&gt;PARAMETRES!$D$33,2,1)))))</f>
        <v/>
      </c>
      <c r="U723" t="str">
        <f>IF($M723="","",IF($M723&gt;PARAMETRES!$G$34,5,IF($M723&gt;PARAMETRES!$F$34,4,IF($M723&gt;PARAMETRES!$E$34,3,IF($M723&gt;PARAMETRES!$D$34,2,1)))))</f>
        <v/>
      </c>
      <c r="V723" t="str">
        <f>IF($N723="","",IF($N723&gt;PARAMETRES!$G$35,5,IF($N723&gt;PARAMETRES!$F$35,4,IF($N723&gt;PARAMETRES!$E$35,3,IF($N723&gt;PARAMETRES!$D$35,2,1)))))</f>
        <v/>
      </c>
      <c r="W723" t="str">
        <f>IF($O723="","",IF($O723&gt;PARAMETRES!$G$36,5,IF($O723&gt;PARAMETRES!$F$36,4,IF($O723&gt;PARAMETRES!$E$36,3,IF($O723&gt;PARAMETRES!$D$36,2,1)))))</f>
        <v/>
      </c>
      <c r="X723" t="str">
        <f>IF($P723="","",IF($P723&gt;PARAMETRES!$G$37,5,IF($P723&gt;PARAMETRES!$F$37,4,IF($P723&gt;PARAMETRES!$E$37,3,IF($P723&gt;PARAMETRES!$D$37,2,1)))))</f>
        <v/>
      </c>
      <c r="Y723" t="str">
        <f t="shared" si="264"/>
        <v/>
      </c>
      <c r="Z723" t="str">
        <f>IFERROR(VLOOKUP($B723,TABLE_CYCLE,2,0),"")</f>
        <v/>
      </c>
      <c r="AA723" t="str">
        <f t="shared" si="265"/>
        <v/>
      </c>
      <c r="AB723" t="str">
        <f>IF($D723="","",IF(COUNTIF($D$2:$D723,$D723)=1,$D723,""))</f>
        <v/>
      </c>
      <c r="AC723">
        <f t="shared" si="266"/>
        <v>0</v>
      </c>
      <c r="AD723" t="str">
        <f t="shared" si="267"/>
        <v>|0</v>
      </c>
      <c r="AE723" t="str">
        <f t="shared" si="268"/>
        <v/>
      </c>
      <c r="AF723" t="str">
        <f t="shared" si="269"/>
        <v/>
      </c>
      <c r="AG723" t="str">
        <f t="shared" si="270"/>
        <v/>
      </c>
      <c r="AH723" t="str">
        <f t="shared" si="271"/>
        <v/>
      </c>
      <c r="AI723" t="str">
        <f t="shared" si="272"/>
        <v/>
      </c>
      <c r="AJ723" t="str">
        <f t="shared" si="273"/>
        <v/>
      </c>
      <c r="AK723" t="str">
        <f t="shared" si="274"/>
        <v/>
      </c>
      <c r="AL723" t="str">
        <f t="shared" si="275"/>
        <v/>
      </c>
      <c r="AM723" t="str">
        <f t="shared" si="276"/>
        <v/>
      </c>
      <c r="AN723" t="str">
        <f t="shared" si="277"/>
        <v/>
      </c>
      <c r="AO723" t="str">
        <f t="shared" si="278"/>
        <v/>
      </c>
      <c r="AP723">
        <f t="shared" si="279"/>
        <v>1</v>
      </c>
      <c r="AQ723" t="str">
        <f>IF(SAISIE!$F728="","",SAISIE!$Y728)</f>
        <v/>
      </c>
      <c r="AR723" t="str">
        <f>IF(OR(SAISIE!$U$4="",SAISIE!$W$4=""),"",IF(AND($A723=SAISIE!$U$4,$B723=SAISIE!$W$4,$C723="S1"),COUNTIFS($A$2:$A723,SAISIE!$U$4,$B$2:$B723,SAISIE!$W$4,$C$2:$C723,"S1"),""))</f>
        <v/>
      </c>
      <c r="AS723" t="str">
        <f t="shared" si="280"/>
        <v/>
      </c>
      <c r="AT723" t="str">
        <f t="shared" si="281"/>
        <v/>
      </c>
      <c r="AU723" t="str">
        <f t="shared" si="282"/>
        <v/>
      </c>
      <c r="AV723">
        <f>N(AV722)+IF(AND($AB723&lt;&gt;"",OR('PROFIL ELEVE'!$K$4="(Tous)",$AF723='PROFIL ELEVE'!$K$4)),1,0)</f>
        <v>0</v>
      </c>
      <c r="AW723">
        <f>N(AW722)+IF(AND($AB723&lt;&gt;"",OR('SUIVI LONGITUDINAL'!$Q$4="(Tous)",$AF723='SUIVI LONGITUDINAL'!$Q$4)),1,0)</f>
        <v>0</v>
      </c>
      <c r="AX723">
        <f t="shared" si="283"/>
        <v>0</v>
      </c>
      <c r="AY723">
        <f t="shared" si="284"/>
        <v>0</v>
      </c>
      <c r="AZ723">
        <f t="shared" si="285"/>
        <v>0</v>
      </c>
      <c r="BA723" t="str">
        <f t="shared" si="286"/>
        <v/>
      </c>
      <c r="BB723" t="str">
        <f t="shared" si="287"/>
        <v/>
      </c>
    </row>
    <row r="724" spans="1:54" ht="14.25" customHeight="1" x14ac:dyDescent="0.3">
      <c r="A724" t="str">
        <f>IF(SAISIE!$F729="","",SAISIE!$B729)</f>
        <v/>
      </c>
      <c r="B724" t="str">
        <f>IF(SAISIE!$F729="","",SAISIE!$C729)</f>
        <v/>
      </c>
      <c r="C724" t="str">
        <f>IF(SAISIE!$F729="","",SAISIE!$D729)</f>
        <v/>
      </c>
      <c r="D724" t="str">
        <f>IF(SAISIE!$E729="","",SAISIE!$E729)</f>
        <v/>
      </c>
      <c r="E724" t="str">
        <f>IF(SAISIE!$F729="","",SAISIE!$F729)</f>
        <v/>
      </c>
      <c r="F724" t="str">
        <f>IF(SAISIE!$G729="","",SAISIE!$G729)</f>
        <v/>
      </c>
      <c r="G724" t="str">
        <f>IF(SAISIE!$H729="","",SAISIE!$H729)</f>
        <v/>
      </c>
      <c r="H724" t="str">
        <f>IF(SAISIE!$I729="","",SAISIE!$I729)</f>
        <v/>
      </c>
      <c r="I724" t="str">
        <f>IF(SAISIE!$J729="","",SAISIE!$J729)</f>
        <v/>
      </c>
      <c r="J724" t="str">
        <f>IF(SAISIE!$K729="","",SAISIE!$K729)</f>
        <v/>
      </c>
      <c r="K724" t="str">
        <f>IF(SAISIE!$L729="","",SAISIE!$L729)</f>
        <v/>
      </c>
      <c r="L724" t="str">
        <f>IF(SAISIE!$M729="","",SAISIE!$M729)</f>
        <v/>
      </c>
      <c r="M724" t="str">
        <f>IF(SAISIE!$N729="","",SAISIE!$N729)</f>
        <v/>
      </c>
      <c r="N724" t="str">
        <f>IF(SAISIE!$O729="","",SAISIE!$O729)</f>
        <v/>
      </c>
      <c r="O724" t="str">
        <f>IF(SAISIE!$P729="","",SAISIE!$P729)</f>
        <v/>
      </c>
      <c r="P724" t="str">
        <f>IF(SAISIE!$Q729="","",SAISIE!$Q729)</f>
        <v/>
      </c>
      <c r="Q724" t="str">
        <f>IF($I724="","",IF($I724&gt;PARAMETRES!$G$29,5,IF($I724&gt;PARAMETRES!$F$29,4,IF($I724&gt;PARAMETRES!$E$29,3,IF($I724&gt;PARAMETRES!$D$29,2,1)))))</f>
        <v/>
      </c>
      <c r="R724" t="str">
        <f>IF($J724="","",IF($J724&gt;PARAMETRES!$G$30,5,IF($J724&gt;PARAMETRES!$F$30,4,IF($J724&gt;PARAMETRES!$E$30,3,IF($J724&gt;PARAMETRES!$D$30,2,1)))))</f>
        <v/>
      </c>
      <c r="S724" t="str">
        <f>IF($K724="","",IF($Z724=2,IF($K724&gt;PARAMETRES!$G$31,5,IF($K724&gt;PARAMETRES!$F$31,4,IF($K724&gt;PARAMETRES!$E$31,3,IF($K724&gt;PARAMETRES!$D$31,2,1)))),IF($K724&gt;PARAMETRES!$G$32,5,IF($K724&gt;PARAMETRES!$F$32,4,IF($K724&gt;PARAMETRES!$E$32,3,IF($K724&gt;PARAMETRES!$D$32,2,1))))))</f>
        <v/>
      </c>
      <c r="T724" t="str">
        <f>IF($L724="","",IF($L724&gt;PARAMETRES!$G$33,5,IF($L724&gt;PARAMETRES!$F$33,4,IF($L724&gt;PARAMETRES!$E$33,3,IF($L724&gt;PARAMETRES!$D$33,2,1)))))</f>
        <v/>
      </c>
      <c r="U724" t="str">
        <f>IF($M724="","",IF($M724&gt;PARAMETRES!$G$34,5,IF($M724&gt;PARAMETRES!$F$34,4,IF($M724&gt;PARAMETRES!$E$34,3,IF($M724&gt;PARAMETRES!$D$34,2,1)))))</f>
        <v/>
      </c>
      <c r="V724" t="str">
        <f>IF($N724="","",IF($N724&gt;PARAMETRES!$G$35,5,IF($N724&gt;PARAMETRES!$F$35,4,IF($N724&gt;PARAMETRES!$E$35,3,IF($N724&gt;PARAMETRES!$D$35,2,1)))))</f>
        <v/>
      </c>
      <c r="W724" t="str">
        <f>IF($O724="","",IF($O724&gt;PARAMETRES!$G$36,5,IF($O724&gt;PARAMETRES!$F$36,4,IF($O724&gt;PARAMETRES!$E$36,3,IF($O724&gt;PARAMETRES!$D$36,2,1)))))</f>
        <v/>
      </c>
      <c r="X724" t="str">
        <f>IF($P724="","",IF($P724&gt;PARAMETRES!$G$37,5,IF($P724&gt;PARAMETRES!$F$37,4,IF($P724&gt;PARAMETRES!$E$37,3,IF($P724&gt;PARAMETRES!$D$37,2,1)))))</f>
        <v/>
      </c>
      <c r="Y724" t="str">
        <f t="shared" si="264"/>
        <v/>
      </c>
      <c r="Z724" t="str">
        <f>IFERROR(VLOOKUP($B724,TABLE_CYCLE,2,0),"")</f>
        <v/>
      </c>
      <c r="AA724" t="str">
        <f t="shared" si="265"/>
        <v/>
      </c>
      <c r="AB724" t="str">
        <f>IF($D724="","",IF(COUNTIF($D$2:$D724,$D724)=1,$D724,""))</f>
        <v/>
      </c>
      <c r="AC724">
        <f t="shared" si="266"/>
        <v>0</v>
      </c>
      <c r="AD724" t="str">
        <f t="shared" si="267"/>
        <v>|0</v>
      </c>
      <c r="AE724" t="str">
        <f t="shared" si="268"/>
        <v/>
      </c>
      <c r="AF724" t="str">
        <f t="shared" si="269"/>
        <v/>
      </c>
      <c r="AG724" t="str">
        <f t="shared" si="270"/>
        <v/>
      </c>
      <c r="AH724" t="str">
        <f t="shared" si="271"/>
        <v/>
      </c>
      <c r="AI724" t="str">
        <f t="shared" si="272"/>
        <v/>
      </c>
      <c r="AJ724" t="str">
        <f t="shared" si="273"/>
        <v/>
      </c>
      <c r="AK724" t="str">
        <f t="shared" si="274"/>
        <v/>
      </c>
      <c r="AL724" t="str">
        <f t="shared" si="275"/>
        <v/>
      </c>
      <c r="AM724" t="str">
        <f t="shared" si="276"/>
        <v/>
      </c>
      <c r="AN724" t="str">
        <f t="shared" si="277"/>
        <v/>
      </c>
      <c r="AO724" t="str">
        <f t="shared" si="278"/>
        <v/>
      </c>
      <c r="AP724">
        <f t="shared" si="279"/>
        <v>1</v>
      </c>
      <c r="AQ724" t="str">
        <f>IF(SAISIE!$F729="","",SAISIE!$Y729)</f>
        <v/>
      </c>
      <c r="AR724" t="str">
        <f>IF(OR(SAISIE!$U$4="",SAISIE!$W$4=""),"",IF(AND($A724=SAISIE!$U$4,$B724=SAISIE!$W$4,$C724="S1"),COUNTIFS($A$2:$A724,SAISIE!$U$4,$B$2:$B724,SAISIE!$W$4,$C$2:$C724,"S1"),""))</f>
        <v/>
      </c>
      <c r="AS724" t="str">
        <f t="shared" si="280"/>
        <v/>
      </c>
      <c r="AT724" t="str">
        <f t="shared" si="281"/>
        <v/>
      </c>
      <c r="AU724" t="str">
        <f t="shared" si="282"/>
        <v/>
      </c>
      <c r="AV724">
        <f>N(AV723)+IF(AND($AB724&lt;&gt;"",OR('PROFIL ELEVE'!$K$4="(Tous)",$AF724='PROFIL ELEVE'!$K$4)),1,0)</f>
        <v>0</v>
      </c>
      <c r="AW724">
        <f>N(AW723)+IF(AND($AB724&lt;&gt;"",OR('SUIVI LONGITUDINAL'!$Q$4="(Tous)",$AF724='SUIVI LONGITUDINAL'!$Q$4)),1,0)</f>
        <v>0</v>
      </c>
      <c r="AX724">
        <f t="shared" si="283"/>
        <v>0</v>
      </c>
      <c r="AY724">
        <f t="shared" si="284"/>
        <v>0</v>
      </c>
      <c r="AZ724">
        <f t="shared" si="285"/>
        <v>0</v>
      </c>
      <c r="BA724" t="str">
        <f t="shared" si="286"/>
        <v/>
      </c>
      <c r="BB724" t="str">
        <f t="shared" si="287"/>
        <v/>
      </c>
    </row>
    <row r="725" spans="1:54" ht="14.25" customHeight="1" x14ac:dyDescent="0.3">
      <c r="A725" t="str">
        <f>IF(SAISIE!$F730="","",SAISIE!$B730)</f>
        <v/>
      </c>
      <c r="B725" t="str">
        <f>IF(SAISIE!$F730="","",SAISIE!$C730)</f>
        <v/>
      </c>
      <c r="C725" t="str">
        <f>IF(SAISIE!$F730="","",SAISIE!$D730)</f>
        <v/>
      </c>
      <c r="D725" t="str">
        <f>IF(SAISIE!$E730="","",SAISIE!$E730)</f>
        <v/>
      </c>
      <c r="E725" t="str">
        <f>IF(SAISIE!$F730="","",SAISIE!$F730)</f>
        <v/>
      </c>
      <c r="F725" t="str">
        <f>IF(SAISIE!$G730="","",SAISIE!$G730)</f>
        <v/>
      </c>
      <c r="G725" t="str">
        <f>IF(SAISIE!$H730="","",SAISIE!$H730)</f>
        <v/>
      </c>
      <c r="H725" t="str">
        <f>IF(SAISIE!$I730="","",SAISIE!$I730)</f>
        <v/>
      </c>
      <c r="I725" t="str">
        <f>IF(SAISIE!$J730="","",SAISIE!$J730)</f>
        <v/>
      </c>
      <c r="J725" t="str">
        <f>IF(SAISIE!$K730="","",SAISIE!$K730)</f>
        <v/>
      </c>
      <c r="K725" t="str">
        <f>IF(SAISIE!$L730="","",SAISIE!$L730)</f>
        <v/>
      </c>
      <c r="L725" t="str">
        <f>IF(SAISIE!$M730="","",SAISIE!$M730)</f>
        <v/>
      </c>
      <c r="M725" t="str">
        <f>IF(SAISIE!$N730="","",SAISIE!$N730)</f>
        <v/>
      </c>
      <c r="N725" t="str">
        <f>IF(SAISIE!$O730="","",SAISIE!$O730)</f>
        <v/>
      </c>
      <c r="O725" t="str">
        <f>IF(SAISIE!$P730="","",SAISIE!$P730)</f>
        <v/>
      </c>
      <c r="P725" t="str">
        <f>IF(SAISIE!$Q730="","",SAISIE!$Q730)</f>
        <v/>
      </c>
      <c r="Q725" t="str">
        <f>IF($I725="","",IF($I725&gt;PARAMETRES!$G$29,5,IF($I725&gt;PARAMETRES!$F$29,4,IF($I725&gt;PARAMETRES!$E$29,3,IF($I725&gt;PARAMETRES!$D$29,2,1)))))</f>
        <v/>
      </c>
      <c r="R725" t="str">
        <f>IF($J725="","",IF($J725&gt;PARAMETRES!$G$30,5,IF($J725&gt;PARAMETRES!$F$30,4,IF($J725&gt;PARAMETRES!$E$30,3,IF($J725&gt;PARAMETRES!$D$30,2,1)))))</f>
        <v/>
      </c>
      <c r="S725" t="str">
        <f>IF($K725="","",IF($Z725=2,IF($K725&gt;PARAMETRES!$G$31,5,IF($K725&gt;PARAMETRES!$F$31,4,IF($K725&gt;PARAMETRES!$E$31,3,IF($K725&gt;PARAMETRES!$D$31,2,1)))),IF($K725&gt;PARAMETRES!$G$32,5,IF($K725&gt;PARAMETRES!$F$32,4,IF($K725&gt;PARAMETRES!$E$32,3,IF($K725&gt;PARAMETRES!$D$32,2,1))))))</f>
        <v/>
      </c>
      <c r="T725" t="str">
        <f>IF($L725="","",IF($L725&gt;PARAMETRES!$G$33,5,IF($L725&gt;PARAMETRES!$F$33,4,IF($L725&gt;PARAMETRES!$E$33,3,IF($L725&gt;PARAMETRES!$D$33,2,1)))))</f>
        <v/>
      </c>
      <c r="U725" t="str">
        <f>IF($M725="","",IF($M725&gt;PARAMETRES!$G$34,5,IF($M725&gt;PARAMETRES!$F$34,4,IF($M725&gt;PARAMETRES!$E$34,3,IF($M725&gt;PARAMETRES!$D$34,2,1)))))</f>
        <v/>
      </c>
      <c r="V725" t="str">
        <f>IF($N725="","",IF($N725&gt;PARAMETRES!$G$35,5,IF($N725&gt;PARAMETRES!$F$35,4,IF($N725&gt;PARAMETRES!$E$35,3,IF($N725&gt;PARAMETRES!$D$35,2,1)))))</f>
        <v/>
      </c>
      <c r="W725" t="str">
        <f>IF($O725="","",IF($O725&gt;PARAMETRES!$G$36,5,IF($O725&gt;PARAMETRES!$F$36,4,IF($O725&gt;PARAMETRES!$E$36,3,IF($O725&gt;PARAMETRES!$D$36,2,1)))))</f>
        <v/>
      </c>
      <c r="X725" t="str">
        <f>IF($P725="","",IF($P725&gt;PARAMETRES!$G$37,5,IF($P725&gt;PARAMETRES!$F$37,4,IF($P725&gt;PARAMETRES!$E$37,3,IF($P725&gt;PARAMETRES!$D$37,2,1)))))</f>
        <v/>
      </c>
      <c r="Y725" t="str">
        <f t="shared" si="264"/>
        <v/>
      </c>
      <c r="Z725" t="str">
        <f>IFERROR(VLOOKUP($B725,TABLE_CYCLE,2,0),"")</f>
        <v/>
      </c>
      <c r="AA725" t="str">
        <f t="shared" si="265"/>
        <v/>
      </c>
      <c r="AB725" t="str">
        <f>IF($D725="","",IF(COUNTIF($D$2:$D725,$D725)=1,$D725,""))</f>
        <v/>
      </c>
      <c r="AC725">
        <f t="shared" si="266"/>
        <v>0</v>
      </c>
      <c r="AD725" t="str">
        <f t="shared" si="267"/>
        <v>|0</v>
      </c>
      <c r="AE725" t="str">
        <f t="shared" si="268"/>
        <v/>
      </c>
      <c r="AF725" t="str">
        <f t="shared" si="269"/>
        <v/>
      </c>
      <c r="AG725" t="str">
        <f t="shared" si="270"/>
        <v/>
      </c>
      <c r="AH725" t="str">
        <f t="shared" si="271"/>
        <v/>
      </c>
      <c r="AI725" t="str">
        <f t="shared" si="272"/>
        <v/>
      </c>
      <c r="AJ725" t="str">
        <f t="shared" si="273"/>
        <v/>
      </c>
      <c r="AK725" t="str">
        <f t="shared" si="274"/>
        <v/>
      </c>
      <c r="AL725" t="str">
        <f t="shared" si="275"/>
        <v/>
      </c>
      <c r="AM725" t="str">
        <f t="shared" si="276"/>
        <v/>
      </c>
      <c r="AN725" t="str">
        <f t="shared" si="277"/>
        <v/>
      </c>
      <c r="AO725" t="str">
        <f t="shared" si="278"/>
        <v/>
      </c>
      <c r="AP725">
        <f t="shared" si="279"/>
        <v>1</v>
      </c>
      <c r="AQ725" t="str">
        <f>IF(SAISIE!$F730="","",SAISIE!$Y730)</f>
        <v/>
      </c>
      <c r="AR725" t="str">
        <f>IF(OR(SAISIE!$U$4="",SAISIE!$W$4=""),"",IF(AND($A725=SAISIE!$U$4,$B725=SAISIE!$W$4,$C725="S1"),COUNTIFS($A$2:$A725,SAISIE!$U$4,$B$2:$B725,SAISIE!$W$4,$C$2:$C725,"S1"),""))</f>
        <v/>
      </c>
      <c r="AS725" t="str">
        <f t="shared" si="280"/>
        <v/>
      </c>
      <c r="AT725" t="str">
        <f t="shared" si="281"/>
        <v/>
      </c>
      <c r="AU725" t="str">
        <f t="shared" si="282"/>
        <v/>
      </c>
      <c r="AV725">
        <f>N(AV724)+IF(AND($AB725&lt;&gt;"",OR('PROFIL ELEVE'!$K$4="(Tous)",$AF725='PROFIL ELEVE'!$K$4)),1,0)</f>
        <v>0</v>
      </c>
      <c r="AW725">
        <f>N(AW724)+IF(AND($AB725&lt;&gt;"",OR('SUIVI LONGITUDINAL'!$Q$4="(Tous)",$AF725='SUIVI LONGITUDINAL'!$Q$4)),1,0)</f>
        <v>0</v>
      </c>
      <c r="AX725">
        <f t="shared" si="283"/>
        <v>0</v>
      </c>
      <c r="AY725">
        <f t="shared" si="284"/>
        <v>0</v>
      </c>
      <c r="AZ725">
        <f t="shared" si="285"/>
        <v>0</v>
      </c>
      <c r="BA725" t="str">
        <f t="shared" si="286"/>
        <v/>
      </c>
      <c r="BB725" t="str">
        <f t="shared" si="287"/>
        <v/>
      </c>
    </row>
    <row r="726" spans="1:54" ht="14.25" customHeight="1" x14ac:dyDescent="0.3">
      <c r="A726" t="str">
        <f>IF(SAISIE!$F731="","",SAISIE!$B731)</f>
        <v/>
      </c>
      <c r="B726" t="str">
        <f>IF(SAISIE!$F731="","",SAISIE!$C731)</f>
        <v/>
      </c>
      <c r="C726" t="str">
        <f>IF(SAISIE!$F731="","",SAISIE!$D731)</f>
        <v/>
      </c>
      <c r="D726" t="str">
        <f>IF(SAISIE!$E731="","",SAISIE!$E731)</f>
        <v/>
      </c>
      <c r="E726" t="str">
        <f>IF(SAISIE!$F731="","",SAISIE!$F731)</f>
        <v/>
      </c>
      <c r="F726" t="str">
        <f>IF(SAISIE!$G731="","",SAISIE!$G731)</f>
        <v/>
      </c>
      <c r="G726" t="str">
        <f>IF(SAISIE!$H731="","",SAISIE!$H731)</f>
        <v/>
      </c>
      <c r="H726" t="str">
        <f>IF(SAISIE!$I731="","",SAISIE!$I731)</f>
        <v/>
      </c>
      <c r="I726" t="str">
        <f>IF(SAISIE!$J731="","",SAISIE!$J731)</f>
        <v/>
      </c>
      <c r="J726" t="str">
        <f>IF(SAISIE!$K731="","",SAISIE!$K731)</f>
        <v/>
      </c>
      <c r="K726" t="str">
        <f>IF(SAISIE!$L731="","",SAISIE!$L731)</f>
        <v/>
      </c>
      <c r="L726" t="str">
        <f>IF(SAISIE!$M731="","",SAISIE!$M731)</f>
        <v/>
      </c>
      <c r="M726" t="str">
        <f>IF(SAISIE!$N731="","",SAISIE!$N731)</f>
        <v/>
      </c>
      <c r="N726" t="str">
        <f>IF(SAISIE!$O731="","",SAISIE!$O731)</f>
        <v/>
      </c>
      <c r="O726" t="str">
        <f>IF(SAISIE!$P731="","",SAISIE!$P731)</f>
        <v/>
      </c>
      <c r="P726" t="str">
        <f>IF(SAISIE!$Q731="","",SAISIE!$Q731)</f>
        <v/>
      </c>
      <c r="Q726" t="str">
        <f>IF($I726="","",IF($I726&gt;PARAMETRES!$G$29,5,IF($I726&gt;PARAMETRES!$F$29,4,IF($I726&gt;PARAMETRES!$E$29,3,IF($I726&gt;PARAMETRES!$D$29,2,1)))))</f>
        <v/>
      </c>
      <c r="R726" t="str">
        <f>IF($J726="","",IF($J726&gt;PARAMETRES!$G$30,5,IF($J726&gt;PARAMETRES!$F$30,4,IF($J726&gt;PARAMETRES!$E$30,3,IF($J726&gt;PARAMETRES!$D$30,2,1)))))</f>
        <v/>
      </c>
      <c r="S726" t="str">
        <f>IF($K726="","",IF($Z726=2,IF($K726&gt;PARAMETRES!$G$31,5,IF($K726&gt;PARAMETRES!$F$31,4,IF($K726&gt;PARAMETRES!$E$31,3,IF($K726&gt;PARAMETRES!$D$31,2,1)))),IF($K726&gt;PARAMETRES!$G$32,5,IF($K726&gt;PARAMETRES!$F$32,4,IF($K726&gt;PARAMETRES!$E$32,3,IF($K726&gt;PARAMETRES!$D$32,2,1))))))</f>
        <v/>
      </c>
      <c r="T726" t="str">
        <f>IF($L726="","",IF($L726&gt;PARAMETRES!$G$33,5,IF($L726&gt;PARAMETRES!$F$33,4,IF($L726&gt;PARAMETRES!$E$33,3,IF($L726&gt;PARAMETRES!$D$33,2,1)))))</f>
        <v/>
      </c>
      <c r="U726" t="str">
        <f>IF($M726="","",IF($M726&gt;PARAMETRES!$G$34,5,IF($M726&gt;PARAMETRES!$F$34,4,IF($M726&gt;PARAMETRES!$E$34,3,IF($M726&gt;PARAMETRES!$D$34,2,1)))))</f>
        <v/>
      </c>
      <c r="V726" t="str">
        <f>IF($N726="","",IF($N726&gt;PARAMETRES!$G$35,5,IF($N726&gt;PARAMETRES!$F$35,4,IF($N726&gt;PARAMETRES!$E$35,3,IF($N726&gt;PARAMETRES!$D$35,2,1)))))</f>
        <v/>
      </c>
      <c r="W726" t="str">
        <f>IF($O726="","",IF($O726&gt;PARAMETRES!$G$36,5,IF($O726&gt;PARAMETRES!$F$36,4,IF($O726&gt;PARAMETRES!$E$36,3,IF($O726&gt;PARAMETRES!$D$36,2,1)))))</f>
        <v/>
      </c>
      <c r="X726" t="str">
        <f>IF($P726="","",IF($P726&gt;PARAMETRES!$G$37,5,IF($P726&gt;PARAMETRES!$F$37,4,IF($P726&gt;PARAMETRES!$E$37,3,IF($P726&gt;PARAMETRES!$D$37,2,1)))))</f>
        <v/>
      </c>
      <c r="Y726" t="str">
        <f t="shared" si="264"/>
        <v/>
      </c>
      <c r="Z726" t="str">
        <f>IFERROR(VLOOKUP($B726,TABLE_CYCLE,2,0),"")</f>
        <v/>
      </c>
      <c r="AA726" t="str">
        <f t="shared" si="265"/>
        <v/>
      </c>
      <c r="AB726" t="str">
        <f>IF($D726="","",IF(COUNTIF($D$2:$D726,$D726)=1,$D726,""))</f>
        <v/>
      </c>
      <c r="AC726">
        <f t="shared" si="266"/>
        <v>0</v>
      </c>
      <c r="AD726" t="str">
        <f t="shared" si="267"/>
        <v>|0</v>
      </c>
      <c r="AE726" t="str">
        <f t="shared" si="268"/>
        <v/>
      </c>
      <c r="AF726" t="str">
        <f t="shared" si="269"/>
        <v/>
      </c>
      <c r="AG726" t="str">
        <f t="shared" si="270"/>
        <v/>
      </c>
      <c r="AH726" t="str">
        <f t="shared" si="271"/>
        <v/>
      </c>
      <c r="AI726" t="str">
        <f t="shared" si="272"/>
        <v/>
      </c>
      <c r="AJ726" t="str">
        <f t="shared" si="273"/>
        <v/>
      </c>
      <c r="AK726" t="str">
        <f t="shared" si="274"/>
        <v/>
      </c>
      <c r="AL726" t="str">
        <f t="shared" si="275"/>
        <v/>
      </c>
      <c r="AM726" t="str">
        <f t="shared" si="276"/>
        <v/>
      </c>
      <c r="AN726" t="str">
        <f t="shared" si="277"/>
        <v/>
      </c>
      <c r="AO726" t="str">
        <f t="shared" si="278"/>
        <v/>
      </c>
      <c r="AP726">
        <f t="shared" si="279"/>
        <v>1</v>
      </c>
      <c r="AQ726" t="str">
        <f>IF(SAISIE!$F731="","",SAISIE!$Y731)</f>
        <v/>
      </c>
      <c r="AR726" t="str">
        <f>IF(OR(SAISIE!$U$4="",SAISIE!$W$4=""),"",IF(AND($A726=SAISIE!$U$4,$B726=SAISIE!$W$4,$C726="S1"),COUNTIFS($A$2:$A726,SAISIE!$U$4,$B$2:$B726,SAISIE!$W$4,$C$2:$C726,"S1"),""))</f>
        <v/>
      </c>
      <c r="AS726" t="str">
        <f t="shared" si="280"/>
        <v/>
      </c>
      <c r="AT726" t="str">
        <f t="shared" si="281"/>
        <v/>
      </c>
      <c r="AU726" t="str">
        <f t="shared" si="282"/>
        <v/>
      </c>
      <c r="AV726">
        <f>N(AV725)+IF(AND($AB726&lt;&gt;"",OR('PROFIL ELEVE'!$K$4="(Tous)",$AF726='PROFIL ELEVE'!$K$4)),1,0)</f>
        <v>0</v>
      </c>
      <c r="AW726">
        <f>N(AW725)+IF(AND($AB726&lt;&gt;"",OR('SUIVI LONGITUDINAL'!$Q$4="(Tous)",$AF726='SUIVI LONGITUDINAL'!$Q$4)),1,0)</f>
        <v>0</v>
      </c>
      <c r="AX726">
        <f t="shared" si="283"/>
        <v>0</v>
      </c>
      <c r="AY726">
        <f t="shared" si="284"/>
        <v>0</v>
      </c>
      <c r="AZ726">
        <f t="shared" si="285"/>
        <v>0</v>
      </c>
      <c r="BA726" t="str">
        <f t="shared" si="286"/>
        <v/>
      </c>
      <c r="BB726" t="str">
        <f t="shared" si="287"/>
        <v/>
      </c>
    </row>
    <row r="727" spans="1:54" ht="14.25" customHeight="1" x14ac:dyDescent="0.3">
      <c r="A727" t="str">
        <f>IF(SAISIE!$F732="","",SAISIE!$B732)</f>
        <v/>
      </c>
      <c r="B727" t="str">
        <f>IF(SAISIE!$F732="","",SAISIE!$C732)</f>
        <v/>
      </c>
      <c r="C727" t="str">
        <f>IF(SAISIE!$F732="","",SAISIE!$D732)</f>
        <v/>
      </c>
      <c r="D727" t="str">
        <f>IF(SAISIE!$E732="","",SAISIE!$E732)</f>
        <v/>
      </c>
      <c r="E727" t="str">
        <f>IF(SAISIE!$F732="","",SAISIE!$F732)</f>
        <v/>
      </c>
      <c r="F727" t="str">
        <f>IF(SAISIE!$G732="","",SAISIE!$G732)</f>
        <v/>
      </c>
      <c r="G727" t="str">
        <f>IF(SAISIE!$H732="","",SAISIE!$H732)</f>
        <v/>
      </c>
      <c r="H727" t="str">
        <f>IF(SAISIE!$I732="","",SAISIE!$I732)</f>
        <v/>
      </c>
      <c r="I727" t="str">
        <f>IF(SAISIE!$J732="","",SAISIE!$J732)</f>
        <v/>
      </c>
      <c r="J727" t="str">
        <f>IF(SAISIE!$K732="","",SAISIE!$K732)</f>
        <v/>
      </c>
      <c r="K727" t="str">
        <f>IF(SAISIE!$L732="","",SAISIE!$L732)</f>
        <v/>
      </c>
      <c r="L727" t="str">
        <f>IF(SAISIE!$M732="","",SAISIE!$M732)</f>
        <v/>
      </c>
      <c r="M727" t="str">
        <f>IF(SAISIE!$N732="","",SAISIE!$N732)</f>
        <v/>
      </c>
      <c r="N727" t="str">
        <f>IF(SAISIE!$O732="","",SAISIE!$O732)</f>
        <v/>
      </c>
      <c r="O727" t="str">
        <f>IF(SAISIE!$P732="","",SAISIE!$P732)</f>
        <v/>
      </c>
      <c r="P727" t="str">
        <f>IF(SAISIE!$Q732="","",SAISIE!$Q732)</f>
        <v/>
      </c>
      <c r="Q727" t="str">
        <f>IF($I727="","",IF($I727&gt;PARAMETRES!$G$29,5,IF($I727&gt;PARAMETRES!$F$29,4,IF($I727&gt;PARAMETRES!$E$29,3,IF($I727&gt;PARAMETRES!$D$29,2,1)))))</f>
        <v/>
      </c>
      <c r="R727" t="str">
        <f>IF($J727="","",IF($J727&gt;PARAMETRES!$G$30,5,IF($J727&gt;PARAMETRES!$F$30,4,IF($J727&gt;PARAMETRES!$E$30,3,IF($J727&gt;PARAMETRES!$D$30,2,1)))))</f>
        <v/>
      </c>
      <c r="S727" t="str">
        <f>IF($K727="","",IF($Z727=2,IF($K727&gt;PARAMETRES!$G$31,5,IF($K727&gt;PARAMETRES!$F$31,4,IF($K727&gt;PARAMETRES!$E$31,3,IF($K727&gt;PARAMETRES!$D$31,2,1)))),IF($K727&gt;PARAMETRES!$G$32,5,IF($K727&gt;PARAMETRES!$F$32,4,IF($K727&gt;PARAMETRES!$E$32,3,IF($K727&gt;PARAMETRES!$D$32,2,1))))))</f>
        <v/>
      </c>
      <c r="T727" t="str">
        <f>IF($L727="","",IF($L727&gt;PARAMETRES!$G$33,5,IF($L727&gt;PARAMETRES!$F$33,4,IF($L727&gt;PARAMETRES!$E$33,3,IF($L727&gt;PARAMETRES!$D$33,2,1)))))</f>
        <v/>
      </c>
      <c r="U727" t="str">
        <f>IF($M727="","",IF($M727&gt;PARAMETRES!$G$34,5,IF($M727&gt;PARAMETRES!$F$34,4,IF($M727&gt;PARAMETRES!$E$34,3,IF($M727&gt;PARAMETRES!$D$34,2,1)))))</f>
        <v/>
      </c>
      <c r="V727" t="str">
        <f>IF($N727="","",IF($N727&gt;PARAMETRES!$G$35,5,IF($N727&gt;PARAMETRES!$F$35,4,IF($N727&gt;PARAMETRES!$E$35,3,IF($N727&gt;PARAMETRES!$D$35,2,1)))))</f>
        <v/>
      </c>
      <c r="W727" t="str">
        <f>IF($O727="","",IF($O727&gt;PARAMETRES!$G$36,5,IF($O727&gt;PARAMETRES!$F$36,4,IF($O727&gt;PARAMETRES!$E$36,3,IF($O727&gt;PARAMETRES!$D$36,2,1)))))</f>
        <v/>
      </c>
      <c r="X727" t="str">
        <f>IF($P727="","",IF($P727&gt;PARAMETRES!$G$37,5,IF($P727&gt;PARAMETRES!$F$37,4,IF($P727&gt;PARAMETRES!$E$37,3,IF($P727&gt;PARAMETRES!$D$37,2,1)))))</f>
        <v/>
      </c>
      <c r="Y727" t="str">
        <f t="shared" si="264"/>
        <v/>
      </c>
      <c r="Z727" t="str">
        <f>IFERROR(VLOOKUP($B727,TABLE_CYCLE,2,0),"")</f>
        <v/>
      </c>
      <c r="AA727" t="str">
        <f t="shared" si="265"/>
        <v/>
      </c>
      <c r="AB727" t="str">
        <f>IF($D727="","",IF(COUNTIF($D$2:$D727,$D727)=1,$D727,""))</f>
        <v/>
      </c>
      <c r="AC727">
        <f t="shared" si="266"/>
        <v>0</v>
      </c>
      <c r="AD727" t="str">
        <f t="shared" si="267"/>
        <v>|0</v>
      </c>
      <c r="AE727" t="str">
        <f t="shared" si="268"/>
        <v/>
      </c>
      <c r="AF727" t="str">
        <f t="shared" si="269"/>
        <v/>
      </c>
      <c r="AG727" t="str">
        <f t="shared" si="270"/>
        <v/>
      </c>
      <c r="AH727" t="str">
        <f t="shared" si="271"/>
        <v/>
      </c>
      <c r="AI727" t="str">
        <f t="shared" si="272"/>
        <v/>
      </c>
      <c r="AJ727" t="str">
        <f t="shared" si="273"/>
        <v/>
      </c>
      <c r="AK727" t="str">
        <f t="shared" si="274"/>
        <v/>
      </c>
      <c r="AL727" t="str">
        <f t="shared" si="275"/>
        <v/>
      </c>
      <c r="AM727" t="str">
        <f t="shared" si="276"/>
        <v/>
      </c>
      <c r="AN727" t="str">
        <f t="shared" si="277"/>
        <v/>
      </c>
      <c r="AO727" t="str">
        <f t="shared" si="278"/>
        <v/>
      </c>
      <c r="AP727">
        <f t="shared" si="279"/>
        <v>1</v>
      </c>
      <c r="AQ727" t="str">
        <f>IF(SAISIE!$F732="","",SAISIE!$Y732)</f>
        <v/>
      </c>
      <c r="AR727" t="str">
        <f>IF(OR(SAISIE!$U$4="",SAISIE!$W$4=""),"",IF(AND($A727=SAISIE!$U$4,$B727=SAISIE!$W$4,$C727="S1"),COUNTIFS($A$2:$A727,SAISIE!$U$4,$B$2:$B727,SAISIE!$W$4,$C$2:$C727,"S1"),""))</f>
        <v/>
      </c>
      <c r="AS727" t="str">
        <f t="shared" si="280"/>
        <v/>
      </c>
      <c r="AT727" t="str">
        <f t="shared" si="281"/>
        <v/>
      </c>
      <c r="AU727" t="str">
        <f t="shared" si="282"/>
        <v/>
      </c>
      <c r="AV727">
        <f>N(AV726)+IF(AND($AB727&lt;&gt;"",OR('PROFIL ELEVE'!$K$4="(Tous)",$AF727='PROFIL ELEVE'!$K$4)),1,0)</f>
        <v>0</v>
      </c>
      <c r="AW727">
        <f>N(AW726)+IF(AND($AB727&lt;&gt;"",OR('SUIVI LONGITUDINAL'!$Q$4="(Tous)",$AF727='SUIVI LONGITUDINAL'!$Q$4)),1,0)</f>
        <v>0</v>
      </c>
      <c r="AX727">
        <f t="shared" si="283"/>
        <v>0</v>
      </c>
      <c r="AY727">
        <f t="shared" si="284"/>
        <v>0</v>
      </c>
      <c r="AZ727">
        <f t="shared" si="285"/>
        <v>0</v>
      </c>
      <c r="BA727" t="str">
        <f t="shared" si="286"/>
        <v/>
      </c>
      <c r="BB727" t="str">
        <f t="shared" si="287"/>
        <v/>
      </c>
    </row>
    <row r="728" spans="1:54" ht="14.25" customHeight="1" x14ac:dyDescent="0.3">
      <c r="A728" t="str">
        <f>IF(SAISIE!$F733="","",SAISIE!$B733)</f>
        <v/>
      </c>
      <c r="B728" t="str">
        <f>IF(SAISIE!$F733="","",SAISIE!$C733)</f>
        <v/>
      </c>
      <c r="C728" t="str">
        <f>IF(SAISIE!$F733="","",SAISIE!$D733)</f>
        <v/>
      </c>
      <c r="D728" t="str">
        <f>IF(SAISIE!$E733="","",SAISIE!$E733)</f>
        <v/>
      </c>
      <c r="E728" t="str">
        <f>IF(SAISIE!$F733="","",SAISIE!$F733)</f>
        <v/>
      </c>
      <c r="F728" t="str">
        <f>IF(SAISIE!$G733="","",SAISIE!$G733)</f>
        <v/>
      </c>
      <c r="G728" t="str">
        <f>IF(SAISIE!$H733="","",SAISIE!$H733)</f>
        <v/>
      </c>
      <c r="H728" t="str">
        <f>IF(SAISIE!$I733="","",SAISIE!$I733)</f>
        <v/>
      </c>
      <c r="I728" t="str">
        <f>IF(SAISIE!$J733="","",SAISIE!$J733)</f>
        <v/>
      </c>
      <c r="J728" t="str">
        <f>IF(SAISIE!$K733="","",SAISIE!$K733)</f>
        <v/>
      </c>
      <c r="K728" t="str">
        <f>IF(SAISIE!$L733="","",SAISIE!$L733)</f>
        <v/>
      </c>
      <c r="L728" t="str">
        <f>IF(SAISIE!$M733="","",SAISIE!$M733)</f>
        <v/>
      </c>
      <c r="M728" t="str">
        <f>IF(SAISIE!$N733="","",SAISIE!$N733)</f>
        <v/>
      </c>
      <c r="N728" t="str">
        <f>IF(SAISIE!$O733="","",SAISIE!$O733)</f>
        <v/>
      </c>
      <c r="O728" t="str">
        <f>IF(SAISIE!$P733="","",SAISIE!$P733)</f>
        <v/>
      </c>
      <c r="P728" t="str">
        <f>IF(SAISIE!$Q733="","",SAISIE!$Q733)</f>
        <v/>
      </c>
      <c r="Q728" t="str">
        <f>IF($I728="","",IF($I728&gt;PARAMETRES!$G$29,5,IF($I728&gt;PARAMETRES!$F$29,4,IF($I728&gt;PARAMETRES!$E$29,3,IF($I728&gt;PARAMETRES!$D$29,2,1)))))</f>
        <v/>
      </c>
      <c r="R728" t="str">
        <f>IF($J728="","",IF($J728&gt;PARAMETRES!$G$30,5,IF($J728&gt;PARAMETRES!$F$30,4,IF($J728&gt;PARAMETRES!$E$30,3,IF($J728&gt;PARAMETRES!$D$30,2,1)))))</f>
        <v/>
      </c>
      <c r="S728" t="str">
        <f>IF($K728="","",IF($Z728=2,IF($K728&gt;PARAMETRES!$G$31,5,IF($K728&gt;PARAMETRES!$F$31,4,IF($K728&gt;PARAMETRES!$E$31,3,IF($K728&gt;PARAMETRES!$D$31,2,1)))),IF($K728&gt;PARAMETRES!$G$32,5,IF($K728&gt;PARAMETRES!$F$32,4,IF($K728&gt;PARAMETRES!$E$32,3,IF($K728&gt;PARAMETRES!$D$32,2,1))))))</f>
        <v/>
      </c>
      <c r="T728" t="str">
        <f>IF($L728="","",IF($L728&gt;PARAMETRES!$G$33,5,IF($L728&gt;PARAMETRES!$F$33,4,IF($L728&gt;PARAMETRES!$E$33,3,IF($L728&gt;PARAMETRES!$D$33,2,1)))))</f>
        <v/>
      </c>
      <c r="U728" t="str">
        <f>IF($M728="","",IF($M728&gt;PARAMETRES!$G$34,5,IF($M728&gt;PARAMETRES!$F$34,4,IF($M728&gt;PARAMETRES!$E$34,3,IF($M728&gt;PARAMETRES!$D$34,2,1)))))</f>
        <v/>
      </c>
      <c r="V728" t="str">
        <f>IF($N728="","",IF($N728&gt;PARAMETRES!$G$35,5,IF($N728&gt;PARAMETRES!$F$35,4,IF($N728&gt;PARAMETRES!$E$35,3,IF($N728&gt;PARAMETRES!$D$35,2,1)))))</f>
        <v/>
      </c>
      <c r="W728" t="str">
        <f>IF($O728="","",IF($O728&gt;PARAMETRES!$G$36,5,IF($O728&gt;PARAMETRES!$F$36,4,IF($O728&gt;PARAMETRES!$E$36,3,IF($O728&gt;PARAMETRES!$D$36,2,1)))))</f>
        <v/>
      </c>
      <c r="X728" t="str">
        <f>IF($P728="","",IF($P728&gt;PARAMETRES!$G$37,5,IF($P728&gt;PARAMETRES!$F$37,4,IF($P728&gt;PARAMETRES!$E$37,3,IF($P728&gt;PARAMETRES!$D$37,2,1)))))</f>
        <v/>
      </c>
      <c r="Y728" t="str">
        <f t="shared" si="264"/>
        <v/>
      </c>
      <c r="Z728" t="str">
        <f>IFERROR(VLOOKUP($B728,TABLE_CYCLE,2,0),"")</f>
        <v/>
      </c>
      <c r="AA728" t="str">
        <f t="shared" si="265"/>
        <v/>
      </c>
      <c r="AB728" t="str">
        <f>IF($D728="","",IF(COUNTIF($D$2:$D728,$D728)=1,$D728,""))</f>
        <v/>
      </c>
      <c r="AC728">
        <f t="shared" si="266"/>
        <v>0</v>
      </c>
      <c r="AD728" t="str">
        <f t="shared" si="267"/>
        <v>|0</v>
      </c>
      <c r="AE728" t="str">
        <f t="shared" si="268"/>
        <v/>
      </c>
      <c r="AF728" t="str">
        <f t="shared" si="269"/>
        <v/>
      </c>
      <c r="AG728" t="str">
        <f t="shared" si="270"/>
        <v/>
      </c>
      <c r="AH728" t="str">
        <f t="shared" si="271"/>
        <v/>
      </c>
      <c r="AI728" t="str">
        <f t="shared" si="272"/>
        <v/>
      </c>
      <c r="AJ728" t="str">
        <f t="shared" si="273"/>
        <v/>
      </c>
      <c r="AK728" t="str">
        <f t="shared" si="274"/>
        <v/>
      </c>
      <c r="AL728" t="str">
        <f t="shared" si="275"/>
        <v/>
      </c>
      <c r="AM728" t="str">
        <f t="shared" si="276"/>
        <v/>
      </c>
      <c r="AN728" t="str">
        <f t="shared" si="277"/>
        <v/>
      </c>
      <c r="AO728" t="str">
        <f t="shared" si="278"/>
        <v/>
      </c>
      <c r="AP728">
        <f t="shared" si="279"/>
        <v>1</v>
      </c>
      <c r="AQ728" t="str">
        <f>IF(SAISIE!$F733="","",SAISIE!$Y733)</f>
        <v/>
      </c>
      <c r="AR728" t="str">
        <f>IF(OR(SAISIE!$U$4="",SAISIE!$W$4=""),"",IF(AND($A728=SAISIE!$U$4,$B728=SAISIE!$W$4,$C728="S1"),COUNTIFS($A$2:$A728,SAISIE!$U$4,$B$2:$B728,SAISIE!$W$4,$C$2:$C728,"S1"),""))</f>
        <v/>
      </c>
      <c r="AS728" t="str">
        <f t="shared" si="280"/>
        <v/>
      </c>
      <c r="AT728" t="str">
        <f t="shared" si="281"/>
        <v/>
      </c>
      <c r="AU728" t="str">
        <f t="shared" si="282"/>
        <v/>
      </c>
      <c r="AV728">
        <f>N(AV727)+IF(AND($AB728&lt;&gt;"",OR('PROFIL ELEVE'!$K$4="(Tous)",$AF728='PROFIL ELEVE'!$K$4)),1,0)</f>
        <v>0</v>
      </c>
      <c r="AW728">
        <f>N(AW727)+IF(AND($AB728&lt;&gt;"",OR('SUIVI LONGITUDINAL'!$Q$4="(Tous)",$AF728='SUIVI LONGITUDINAL'!$Q$4)),1,0)</f>
        <v>0</v>
      </c>
      <c r="AX728">
        <f t="shared" si="283"/>
        <v>0</v>
      </c>
      <c r="AY728">
        <f t="shared" si="284"/>
        <v>0</v>
      </c>
      <c r="AZ728">
        <f t="shared" si="285"/>
        <v>0</v>
      </c>
      <c r="BA728" t="str">
        <f t="shared" si="286"/>
        <v/>
      </c>
      <c r="BB728" t="str">
        <f t="shared" si="287"/>
        <v/>
      </c>
    </row>
    <row r="729" spans="1:54" ht="14.25" customHeight="1" x14ac:dyDescent="0.3">
      <c r="A729" t="str">
        <f>IF(SAISIE!$F734="","",SAISIE!$B734)</f>
        <v/>
      </c>
      <c r="B729" t="str">
        <f>IF(SAISIE!$F734="","",SAISIE!$C734)</f>
        <v/>
      </c>
      <c r="C729" t="str">
        <f>IF(SAISIE!$F734="","",SAISIE!$D734)</f>
        <v/>
      </c>
      <c r="D729" t="str">
        <f>IF(SAISIE!$E734="","",SAISIE!$E734)</f>
        <v/>
      </c>
      <c r="E729" t="str">
        <f>IF(SAISIE!$F734="","",SAISIE!$F734)</f>
        <v/>
      </c>
      <c r="F729" t="str">
        <f>IF(SAISIE!$G734="","",SAISIE!$G734)</f>
        <v/>
      </c>
      <c r="G729" t="str">
        <f>IF(SAISIE!$H734="","",SAISIE!$H734)</f>
        <v/>
      </c>
      <c r="H729" t="str">
        <f>IF(SAISIE!$I734="","",SAISIE!$I734)</f>
        <v/>
      </c>
      <c r="I729" t="str">
        <f>IF(SAISIE!$J734="","",SAISIE!$J734)</f>
        <v/>
      </c>
      <c r="J729" t="str">
        <f>IF(SAISIE!$K734="","",SAISIE!$K734)</f>
        <v/>
      </c>
      <c r="K729" t="str">
        <f>IF(SAISIE!$L734="","",SAISIE!$L734)</f>
        <v/>
      </c>
      <c r="L729" t="str">
        <f>IF(SAISIE!$M734="","",SAISIE!$M734)</f>
        <v/>
      </c>
      <c r="M729" t="str">
        <f>IF(SAISIE!$N734="","",SAISIE!$N734)</f>
        <v/>
      </c>
      <c r="N729" t="str">
        <f>IF(SAISIE!$O734="","",SAISIE!$O734)</f>
        <v/>
      </c>
      <c r="O729" t="str">
        <f>IF(SAISIE!$P734="","",SAISIE!$P734)</f>
        <v/>
      </c>
      <c r="P729" t="str">
        <f>IF(SAISIE!$Q734="","",SAISIE!$Q734)</f>
        <v/>
      </c>
      <c r="Q729" t="str">
        <f>IF($I729="","",IF($I729&gt;PARAMETRES!$G$29,5,IF($I729&gt;PARAMETRES!$F$29,4,IF($I729&gt;PARAMETRES!$E$29,3,IF($I729&gt;PARAMETRES!$D$29,2,1)))))</f>
        <v/>
      </c>
      <c r="R729" t="str">
        <f>IF($J729="","",IF($J729&gt;PARAMETRES!$G$30,5,IF($J729&gt;PARAMETRES!$F$30,4,IF($J729&gt;PARAMETRES!$E$30,3,IF($J729&gt;PARAMETRES!$D$30,2,1)))))</f>
        <v/>
      </c>
      <c r="S729" t="str">
        <f>IF($K729="","",IF($Z729=2,IF($K729&gt;PARAMETRES!$G$31,5,IF($K729&gt;PARAMETRES!$F$31,4,IF($K729&gt;PARAMETRES!$E$31,3,IF($K729&gt;PARAMETRES!$D$31,2,1)))),IF($K729&gt;PARAMETRES!$G$32,5,IF($K729&gt;PARAMETRES!$F$32,4,IF($K729&gt;PARAMETRES!$E$32,3,IF($K729&gt;PARAMETRES!$D$32,2,1))))))</f>
        <v/>
      </c>
      <c r="T729" t="str">
        <f>IF($L729="","",IF($L729&gt;PARAMETRES!$G$33,5,IF($L729&gt;PARAMETRES!$F$33,4,IF($L729&gt;PARAMETRES!$E$33,3,IF($L729&gt;PARAMETRES!$D$33,2,1)))))</f>
        <v/>
      </c>
      <c r="U729" t="str">
        <f>IF($M729="","",IF($M729&gt;PARAMETRES!$G$34,5,IF($M729&gt;PARAMETRES!$F$34,4,IF($M729&gt;PARAMETRES!$E$34,3,IF($M729&gt;PARAMETRES!$D$34,2,1)))))</f>
        <v/>
      </c>
      <c r="V729" t="str">
        <f>IF($N729="","",IF($N729&gt;PARAMETRES!$G$35,5,IF($N729&gt;PARAMETRES!$F$35,4,IF($N729&gt;PARAMETRES!$E$35,3,IF($N729&gt;PARAMETRES!$D$35,2,1)))))</f>
        <v/>
      </c>
      <c r="W729" t="str">
        <f>IF($O729="","",IF($O729&gt;PARAMETRES!$G$36,5,IF($O729&gt;PARAMETRES!$F$36,4,IF($O729&gt;PARAMETRES!$E$36,3,IF($O729&gt;PARAMETRES!$D$36,2,1)))))</f>
        <v/>
      </c>
      <c r="X729" t="str">
        <f>IF($P729="","",IF($P729&gt;PARAMETRES!$G$37,5,IF($P729&gt;PARAMETRES!$F$37,4,IF($P729&gt;PARAMETRES!$E$37,3,IF($P729&gt;PARAMETRES!$D$37,2,1)))))</f>
        <v/>
      </c>
      <c r="Y729" t="str">
        <f t="shared" si="264"/>
        <v/>
      </c>
      <c r="Z729" t="str">
        <f>IFERROR(VLOOKUP($B729,TABLE_CYCLE,2,0),"")</f>
        <v/>
      </c>
      <c r="AA729" t="str">
        <f t="shared" si="265"/>
        <v/>
      </c>
      <c r="AB729" t="str">
        <f>IF($D729="","",IF(COUNTIF($D$2:$D729,$D729)=1,$D729,""))</f>
        <v/>
      </c>
      <c r="AC729">
        <f t="shared" si="266"/>
        <v>0</v>
      </c>
      <c r="AD729" t="str">
        <f t="shared" si="267"/>
        <v>|0</v>
      </c>
      <c r="AE729" t="str">
        <f t="shared" si="268"/>
        <v/>
      </c>
      <c r="AF729" t="str">
        <f t="shared" si="269"/>
        <v/>
      </c>
      <c r="AG729" t="str">
        <f t="shared" si="270"/>
        <v/>
      </c>
      <c r="AH729" t="str">
        <f t="shared" si="271"/>
        <v/>
      </c>
      <c r="AI729" t="str">
        <f t="shared" si="272"/>
        <v/>
      </c>
      <c r="AJ729" t="str">
        <f t="shared" si="273"/>
        <v/>
      </c>
      <c r="AK729" t="str">
        <f t="shared" si="274"/>
        <v/>
      </c>
      <c r="AL729" t="str">
        <f t="shared" si="275"/>
        <v/>
      </c>
      <c r="AM729" t="str">
        <f t="shared" si="276"/>
        <v/>
      </c>
      <c r="AN729" t="str">
        <f t="shared" si="277"/>
        <v/>
      </c>
      <c r="AO729" t="str">
        <f t="shared" si="278"/>
        <v/>
      </c>
      <c r="AP729">
        <f t="shared" si="279"/>
        <v>1</v>
      </c>
      <c r="AQ729" t="str">
        <f>IF(SAISIE!$F734="","",SAISIE!$Y734)</f>
        <v/>
      </c>
      <c r="AR729" t="str">
        <f>IF(OR(SAISIE!$U$4="",SAISIE!$W$4=""),"",IF(AND($A729=SAISIE!$U$4,$B729=SAISIE!$W$4,$C729="S1"),COUNTIFS($A$2:$A729,SAISIE!$U$4,$B$2:$B729,SAISIE!$W$4,$C$2:$C729,"S1"),""))</f>
        <v/>
      </c>
      <c r="AS729" t="str">
        <f t="shared" si="280"/>
        <v/>
      </c>
      <c r="AT729" t="str">
        <f t="shared" si="281"/>
        <v/>
      </c>
      <c r="AU729" t="str">
        <f t="shared" si="282"/>
        <v/>
      </c>
      <c r="AV729">
        <f>N(AV728)+IF(AND($AB729&lt;&gt;"",OR('PROFIL ELEVE'!$K$4="(Tous)",$AF729='PROFIL ELEVE'!$K$4)),1,0)</f>
        <v>0</v>
      </c>
      <c r="AW729">
        <f>N(AW728)+IF(AND($AB729&lt;&gt;"",OR('SUIVI LONGITUDINAL'!$Q$4="(Tous)",$AF729='SUIVI LONGITUDINAL'!$Q$4)),1,0)</f>
        <v>0</v>
      </c>
      <c r="AX729">
        <f t="shared" si="283"/>
        <v>0</v>
      </c>
      <c r="AY729">
        <f t="shared" si="284"/>
        <v>0</v>
      </c>
      <c r="AZ729">
        <f t="shared" si="285"/>
        <v>0</v>
      </c>
      <c r="BA729" t="str">
        <f t="shared" si="286"/>
        <v/>
      </c>
      <c r="BB729" t="str">
        <f t="shared" si="287"/>
        <v/>
      </c>
    </row>
    <row r="730" spans="1:54" ht="14.25" customHeight="1" x14ac:dyDescent="0.3">
      <c r="A730" t="str">
        <f>IF(SAISIE!$F735="","",SAISIE!$B735)</f>
        <v/>
      </c>
      <c r="B730" t="str">
        <f>IF(SAISIE!$F735="","",SAISIE!$C735)</f>
        <v/>
      </c>
      <c r="C730" t="str">
        <f>IF(SAISIE!$F735="","",SAISIE!$D735)</f>
        <v/>
      </c>
      <c r="D730" t="str">
        <f>IF(SAISIE!$E735="","",SAISIE!$E735)</f>
        <v/>
      </c>
      <c r="E730" t="str">
        <f>IF(SAISIE!$F735="","",SAISIE!$F735)</f>
        <v/>
      </c>
      <c r="F730" t="str">
        <f>IF(SAISIE!$G735="","",SAISIE!$G735)</f>
        <v/>
      </c>
      <c r="G730" t="str">
        <f>IF(SAISIE!$H735="","",SAISIE!$H735)</f>
        <v/>
      </c>
      <c r="H730" t="str">
        <f>IF(SAISIE!$I735="","",SAISIE!$I735)</f>
        <v/>
      </c>
      <c r="I730" t="str">
        <f>IF(SAISIE!$J735="","",SAISIE!$J735)</f>
        <v/>
      </c>
      <c r="J730" t="str">
        <f>IF(SAISIE!$K735="","",SAISIE!$K735)</f>
        <v/>
      </c>
      <c r="K730" t="str">
        <f>IF(SAISIE!$L735="","",SAISIE!$L735)</f>
        <v/>
      </c>
      <c r="L730" t="str">
        <f>IF(SAISIE!$M735="","",SAISIE!$M735)</f>
        <v/>
      </c>
      <c r="M730" t="str">
        <f>IF(SAISIE!$N735="","",SAISIE!$N735)</f>
        <v/>
      </c>
      <c r="N730" t="str">
        <f>IF(SAISIE!$O735="","",SAISIE!$O735)</f>
        <v/>
      </c>
      <c r="O730" t="str">
        <f>IF(SAISIE!$P735="","",SAISIE!$P735)</f>
        <v/>
      </c>
      <c r="P730" t="str">
        <f>IF(SAISIE!$Q735="","",SAISIE!$Q735)</f>
        <v/>
      </c>
      <c r="Q730" t="str">
        <f>IF($I730="","",IF($I730&gt;PARAMETRES!$G$29,5,IF($I730&gt;PARAMETRES!$F$29,4,IF($I730&gt;PARAMETRES!$E$29,3,IF($I730&gt;PARAMETRES!$D$29,2,1)))))</f>
        <v/>
      </c>
      <c r="R730" t="str">
        <f>IF($J730="","",IF($J730&gt;PARAMETRES!$G$30,5,IF($J730&gt;PARAMETRES!$F$30,4,IF($J730&gt;PARAMETRES!$E$30,3,IF($J730&gt;PARAMETRES!$D$30,2,1)))))</f>
        <v/>
      </c>
      <c r="S730" t="str">
        <f>IF($K730="","",IF($Z730=2,IF($K730&gt;PARAMETRES!$G$31,5,IF($K730&gt;PARAMETRES!$F$31,4,IF($K730&gt;PARAMETRES!$E$31,3,IF($K730&gt;PARAMETRES!$D$31,2,1)))),IF($K730&gt;PARAMETRES!$G$32,5,IF($K730&gt;PARAMETRES!$F$32,4,IF($K730&gt;PARAMETRES!$E$32,3,IF($K730&gt;PARAMETRES!$D$32,2,1))))))</f>
        <v/>
      </c>
      <c r="T730" t="str">
        <f>IF($L730="","",IF($L730&gt;PARAMETRES!$G$33,5,IF($L730&gt;PARAMETRES!$F$33,4,IF($L730&gt;PARAMETRES!$E$33,3,IF($L730&gt;PARAMETRES!$D$33,2,1)))))</f>
        <v/>
      </c>
      <c r="U730" t="str">
        <f>IF($M730="","",IF($M730&gt;PARAMETRES!$G$34,5,IF($M730&gt;PARAMETRES!$F$34,4,IF($M730&gt;PARAMETRES!$E$34,3,IF($M730&gt;PARAMETRES!$D$34,2,1)))))</f>
        <v/>
      </c>
      <c r="V730" t="str">
        <f>IF($N730="","",IF($N730&gt;PARAMETRES!$G$35,5,IF($N730&gt;PARAMETRES!$F$35,4,IF($N730&gt;PARAMETRES!$E$35,3,IF($N730&gt;PARAMETRES!$D$35,2,1)))))</f>
        <v/>
      </c>
      <c r="W730" t="str">
        <f>IF($O730="","",IF($O730&gt;PARAMETRES!$G$36,5,IF($O730&gt;PARAMETRES!$F$36,4,IF($O730&gt;PARAMETRES!$E$36,3,IF($O730&gt;PARAMETRES!$D$36,2,1)))))</f>
        <v/>
      </c>
      <c r="X730" t="str">
        <f>IF($P730="","",IF($P730&gt;PARAMETRES!$G$37,5,IF($P730&gt;PARAMETRES!$F$37,4,IF($P730&gt;PARAMETRES!$E$37,3,IF($P730&gt;PARAMETRES!$D$37,2,1)))))</f>
        <v/>
      </c>
      <c r="Y730" t="str">
        <f t="shared" si="264"/>
        <v/>
      </c>
      <c r="Z730" t="str">
        <f>IFERROR(VLOOKUP($B730,TABLE_CYCLE,2,0),"")</f>
        <v/>
      </c>
      <c r="AA730" t="str">
        <f t="shared" si="265"/>
        <v/>
      </c>
      <c r="AB730" t="str">
        <f>IF($D730="","",IF(COUNTIF($D$2:$D730,$D730)=1,$D730,""))</f>
        <v/>
      </c>
      <c r="AC730">
        <f t="shared" si="266"/>
        <v>0</v>
      </c>
      <c r="AD730" t="str">
        <f t="shared" si="267"/>
        <v>|0</v>
      </c>
      <c r="AE730" t="str">
        <f t="shared" si="268"/>
        <v/>
      </c>
      <c r="AF730" t="str">
        <f t="shared" si="269"/>
        <v/>
      </c>
      <c r="AG730" t="str">
        <f t="shared" si="270"/>
        <v/>
      </c>
      <c r="AH730" t="str">
        <f t="shared" si="271"/>
        <v/>
      </c>
      <c r="AI730" t="str">
        <f t="shared" si="272"/>
        <v/>
      </c>
      <c r="AJ730" t="str">
        <f t="shared" si="273"/>
        <v/>
      </c>
      <c r="AK730" t="str">
        <f t="shared" si="274"/>
        <v/>
      </c>
      <c r="AL730" t="str">
        <f t="shared" si="275"/>
        <v/>
      </c>
      <c r="AM730" t="str">
        <f t="shared" si="276"/>
        <v/>
      </c>
      <c r="AN730" t="str">
        <f t="shared" si="277"/>
        <v/>
      </c>
      <c r="AO730" t="str">
        <f t="shared" si="278"/>
        <v/>
      </c>
      <c r="AP730">
        <f t="shared" si="279"/>
        <v>1</v>
      </c>
      <c r="AQ730" t="str">
        <f>IF(SAISIE!$F735="","",SAISIE!$Y735)</f>
        <v/>
      </c>
      <c r="AR730" t="str">
        <f>IF(OR(SAISIE!$U$4="",SAISIE!$W$4=""),"",IF(AND($A730=SAISIE!$U$4,$B730=SAISIE!$W$4,$C730="S1"),COUNTIFS($A$2:$A730,SAISIE!$U$4,$B$2:$B730,SAISIE!$W$4,$C$2:$C730,"S1"),""))</f>
        <v/>
      </c>
      <c r="AS730" t="str">
        <f t="shared" si="280"/>
        <v/>
      </c>
      <c r="AT730" t="str">
        <f t="shared" si="281"/>
        <v/>
      </c>
      <c r="AU730" t="str">
        <f t="shared" si="282"/>
        <v/>
      </c>
      <c r="AV730">
        <f>N(AV729)+IF(AND($AB730&lt;&gt;"",OR('PROFIL ELEVE'!$K$4="(Tous)",$AF730='PROFIL ELEVE'!$K$4)),1,0)</f>
        <v>0</v>
      </c>
      <c r="AW730">
        <f>N(AW729)+IF(AND($AB730&lt;&gt;"",OR('SUIVI LONGITUDINAL'!$Q$4="(Tous)",$AF730='SUIVI LONGITUDINAL'!$Q$4)),1,0)</f>
        <v>0</v>
      </c>
      <c r="AX730">
        <f t="shared" si="283"/>
        <v>0</v>
      </c>
      <c r="AY730">
        <f t="shared" si="284"/>
        <v>0</v>
      </c>
      <c r="AZ730">
        <f t="shared" si="285"/>
        <v>0</v>
      </c>
      <c r="BA730" t="str">
        <f t="shared" si="286"/>
        <v/>
      </c>
      <c r="BB730" t="str">
        <f t="shared" si="287"/>
        <v/>
      </c>
    </row>
    <row r="731" spans="1:54" ht="14.25" customHeight="1" x14ac:dyDescent="0.3">
      <c r="A731" t="str">
        <f>IF(SAISIE!$F736="","",SAISIE!$B736)</f>
        <v/>
      </c>
      <c r="B731" t="str">
        <f>IF(SAISIE!$F736="","",SAISIE!$C736)</f>
        <v/>
      </c>
      <c r="C731" t="str">
        <f>IF(SAISIE!$F736="","",SAISIE!$D736)</f>
        <v/>
      </c>
      <c r="D731" t="str">
        <f>IF(SAISIE!$E736="","",SAISIE!$E736)</f>
        <v/>
      </c>
      <c r="E731" t="str">
        <f>IF(SAISIE!$F736="","",SAISIE!$F736)</f>
        <v/>
      </c>
      <c r="F731" t="str">
        <f>IF(SAISIE!$G736="","",SAISIE!$G736)</f>
        <v/>
      </c>
      <c r="G731" t="str">
        <f>IF(SAISIE!$H736="","",SAISIE!$H736)</f>
        <v/>
      </c>
      <c r="H731" t="str">
        <f>IF(SAISIE!$I736="","",SAISIE!$I736)</f>
        <v/>
      </c>
      <c r="I731" t="str">
        <f>IF(SAISIE!$J736="","",SAISIE!$J736)</f>
        <v/>
      </c>
      <c r="J731" t="str">
        <f>IF(SAISIE!$K736="","",SAISIE!$K736)</f>
        <v/>
      </c>
      <c r="K731" t="str">
        <f>IF(SAISIE!$L736="","",SAISIE!$L736)</f>
        <v/>
      </c>
      <c r="L731" t="str">
        <f>IF(SAISIE!$M736="","",SAISIE!$M736)</f>
        <v/>
      </c>
      <c r="M731" t="str">
        <f>IF(SAISIE!$N736="","",SAISIE!$N736)</f>
        <v/>
      </c>
      <c r="N731" t="str">
        <f>IF(SAISIE!$O736="","",SAISIE!$O736)</f>
        <v/>
      </c>
      <c r="O731" t="str">
        <f>IF(SAISIE!$P736="","",SAISIE!$P736)</f>
        <v/>
      </c>
      <c r="P731" t="str">
        <f>IF(SAISIE!$Q736="","",SAISIE!$Q736)</f>
        <v/>
      </c>
      <c r="Q731" t="str">
        <f>IF($I731="","",IF($I731&gt;PARAMETRES!$G$29,5,IF($I731&gt;PARAMETRES!$F$29,4,IF($I731&gt;PARAMETRES!$E$29,3,IF($I731&gt;PARAMETRES!$D$29,2,1)))))</f>
        <v/>
      </c>
      <c r="R731" t="str">
        <f>IF($J731="","",IF($J731&gt;PARAMETRES!$G$30,5,IF($J731&gt;PARAMETRES!$F$30,4,IF($J731&gt;PARAMETRES!$E$30,3,IF($J731&gt;PARAMETRES!$D$30,2,1)))))</f>
        <v/>
      </c>
      <c r="S731" t="str">
        <f>IF($K731="","",IF($Z731=2,IF($K731&gt;PARAMETRES!$G$31,5,IF($K731&gt;PARAMETRES!$F$31,4,IF($K731&gt;PARAMETRES!$E$31,3,IF($K731&gt;PARAMETRES!$D$31,2,1)))),IF($K731&gt;PARAMETRES!$G$32,5,IF($K731&gt;PARAMETRES!$F$32,4,IF($K731&gt;PARAMETRES!$E$32,3,IF($K731&gt;PARAMETRES!$D$32,2,1))))))</f>
        <v/>
      </c>
      <c r="T731" t="str">
        <f>IF($L731="","",IF($L731&gt;PARAMETRES!$G$33,5,IF($L731&gt;PARAMETRES!$F$33,4,IF($L731&gt;PARAMETRES!$E$33,3,IF($L731&gt;PARAMETRES!$D$33,2,1)))))</f>
        <v/>
      </c>
      <c r="U731" t="str">
        <f>IF($M731="","",IF($M731&gt;PARAMETRES!$G$34,5,IF($M731&gt;PARAMETRES!$F$34,4,IF($M731&gt;PARAMETRES!$E$34,3,IF($M731&gt;PARAMETRES!$D$34,2,1)))))</f>
        <v/>
      </c>
      <c r="V731" t="str">
        <f>IF($N731="","",IF($N731&gt;PARAMETRES!$G$35,5,IF($N731&gt;PARAMETRES!$F$35,4,IF($N731&gt;PARAMETRES!$E$35,3,IF($N731&gt;PARAMETRES!$D$35,2,1)))))</f>
        <v/>
      </c>
      <c r="W731" t="str">
        <f>IF($O731="","",IF($O731&gt;PARAMETRES!$G$36,5,IF($O731&gt;PARAMETRES!$F$36,4,IF($O731&gt;PARAMETRES!$E$36,3,IF($O731&gt;PARAMETRES!$D$36,2,1)))))</f>
        <v/>
      </c>
      <c r="X731" t="str">
        <f>IF($P731="","",IF($P731&gt;PARAMETRES!$G$37,5,IF($P731&gt;PARAMETRES!$F$37,4,IF($P731&gt;PARAMETRES!$E$37,3,IF($P731&gt;PARAMETRES!$D$37,2,1)))))</f>
        <v/>
      </c>
      <c r="Y731" t="str">
        <f t="shared" si="264"/>
        <v/>
      </c>
      <c r="Z731" t="str">
        <f>IFERROR(VLOOKUP($B731,TABLE_CYCLE,2,0),"")</f>
        <v/>
      </c>
      <c r="AA731" t="str">
        <f t="shared" si="265"/>
        <v/>
      </c>
      <c r="AB731" t="str">
        <f>IF($D731="","",IF(COUNTIF($D$2:$D731,$D731)=1,$D731,""))</f>
        <v/>
      </c>
      <c r="AC731">
        <f t="shared" si="266"/>
        <v>0</v>
      </c>
      <c r="AD731" t="str">
        <f t="shared" si="267"/>
        <v>|0</v>
      </c>
      <c r="AE731" t="str">
        <f t="shared" si="268"/>
        <v/>
      </c>
      <c r="AF731" t="str">
        <f t="shared" si="269"/>
        <v/>
      </c>
      <c r="AG731" t="str">
        <f t="shared" si="270"/>
        <v/>
      </c>
      <c r="AH731" t="str">
        <f t="shared" si="271"/>
        <v/>
      </c>
      <c r="AI731" t="str">
        <f t="shared" si="272"/>
        <v/>
      </c>
      <c r="AJ731" t="str">
        <f t="shared" si="273"/>
        <v/>
      </c>
      <c r="AK731" t="str">
        <f t="shared" si="274"/>
        <v/>
      </c>
      <c r="AL731" t="str">
        <f t="shared" si="275"/>
        <v/>
      </c>
      <c r="AM731" t="str">
        <f t="shared" si="276"/>
        <v/>
      </c>
      <c r="AN731" t="str">
        <f t="shared" si="277"/>
        <v/>
      </c>
      <c r="AO731" t="str">
        <f t="shared" si="278"/>
        <v/>
      </c>
      <c r="AP731">
        <f t="shared" si="279"/>
        <v>1</v>
      </c>
      <c r="AQ731" t="str">
        <f>IF(SAISIE!$F736="","",SAISIE!$Y736)</f>
        <v/>
      </c>
      <c r="AR731" t="str">
        <f>IF(OR(SAISIE!$U$4="",SAISIE!$W$4=""),"",IF(AND($A731=SAISIE!$U$4,$B731=SAISIE!$W$4,$C731="S1"),COUNTIFS($A$2:$A731,SAISIE!$U$4,$B$2:$B731,SAISIE!$W$4,$C$2:$C731,"S1"),""))</f>
        <v/>
      </c>
      <c r="AS731" t="str">
        <f t="shared" si="280"/>
        <v/>
      </c>
      <c r="AT731" t="str">
        <f t="shared" si="281"/>
        <v/>
      </c>
      <c r="AU731" t="str">
        <f t="shared" si="282"/>
        <v/>
      </c>
      <c r="AV731">
        <f>N(AV730)+IF(AND($AB731&lt;&gt;"",OR('PROFIL ELEVE'!$K$4="(Tous)",$AF731='PROFIL ELEVE'!$K$4)),1,0)</f>
        <v>0</v>
      </c>
      <c r="AW731">
        <f>N(AW730)+IF(AND($AB731&lt;&gt;"",OR('SUIVI LONGITUDINAL'!$Q$4="(Tous)",$AF731='SUIVI LONGITUDINAL'!$Q$4)),1,0)</f>
        <v>0</v>
      </c>
      <c r="AX731">
        <f t="shared" si="283"/>
        <v>0</v>
      </c>
      <c r="AY731">
        <f t="shared" si="284"/>
        <v>0</v>
      </c>
      <c r="AZ731">
        <f t="shared" si="285"/>
        <v>0</v>
      </c>
      <c r="BA731" t="str">
        <f t="shared" si="286"/>
        <v/>
      </c>
      <c r="BB731" t="str">
        <f t="shared" si="287"/>
        <v/>
      </c>
    </row>
    <row r="732" spans="1:54" ht="14.25" customHeight="1" x14ac:dyDescent="0.3">
      <c r="A732" t="str">
        <f>IF(SAISIE!$F737="","",SAISIE!$B737)</f>
        <v/>
      </c>
      <c r="B732" t="str">
        <f>IF(SAISIE!$F737="","",SAISIE!$C737)</f>
        <v/>
      </c>
      <c r="C732" t="str">
        <f>IF(SAISIE!$F737="","",SAISIE!$D737)</f>
        <v/>
      </c>
      <c r="D732" t="str">
        <f>IF(SAISIE!$E737="","",SAISIE!$E737)</f>
        <v/>
      </c>
      <c r="E732" t="str">
        <f>IF(SAISIE!$F737="","",SAISIE!$F737)</f>
        <v/>
      </c>
      <c r="F732" t="str">
        <f>IF(SAISIE!$G737="","",SAISIE!$G737)</f>
        <v/>
      </c>
      <c r="G732" t="str">
        <f>IF(SAISIE!$H737="","",SAISIE!$H737)</f>
        <v/>
      </c>
      <c r="H732" t="str">
        <f>IF(SAISIE!$I737="","",SAISIE!$I737)</f>
        <v/>
      </c>
      <c r="I732" t="str">
        <f>IF(SAISIE!$J737="","",SAISIE!$J737)</f>
        <v/>
      </c>
      <c r="J732" t="str">
        <f>IF(SAISIE!$K737="","",SAISIE!$K737)</f>
        <v/>
      </c>
      <c r="K732" t="str">
        <f>IF(SAISIE!$L737="","",SAISIE!$L737)</f>
        <v/>
      </c>
      <c r="L732" t="str">
        <f>IF(SAISIE!$M737="","",SAISIE!$M737)</f>
        <v/>
      </c>
      <c r="M732" t="str">
        <f>IF(SAISIE!$N737="","",SAISIE!$N737)</f>
        <v/>
      </c>
      <c r="N732" t="str">
        <f>IF(SAISIE!$O737="","",SAISIE!$O737)</f>
        <v/>
      </c>
      <c r="O732" t="str">
        <f>IF(SAISIE!$P737="","",SAISIE!$P737)</f>
        <v/>
      </c>
      <c r="P732" t="str">
        <f>IF(SAISIE!$Q737="","",SAISIE!$Q737)</f>
        <v/>
      </c>
      <c r="Q732" t="str">
        <f>IF($I732="","",IF($I732&gt;PARAMETRES!$G$29,5,IF($I732&gt;PARAMETRES!$F$29,4,IF($I732&gt;PARAMETRES!$E$29,3,IF($I732&gt;PARAMETRES!$D$29,2,1)))))</f>
        <v/>
      </c>
      <c r="R732" t="str">
        <f>IF($J732="","",IF($J732&gt;PARAMETRES!$G$30,5,IF($J732&gt;PARAMETRES!$F$30,4,IF($J732&gt;PARAMETRES!$E$30,3,IF($J732&gt;PARAMETRES!$D$30,2,1)))))</f>
        <v/>
      </c>
      <c r="S732" t="str">
        <f>IF($K732="","",IF($Z732=2,IF($K732&gt;PARAMETRES!$G$31,5,IF($K732&gt;PARAMETRES!$F$31,4,IF($K732&gt;PARAMETRES!$E$31,3,IF($K732&gt;PARAMETRES!$D$31,2,1)))),IF($K732&gt;PARAMETRES!$G$32,5,IF($K732&gt;PARAMETRES!$F$32,4,IF($K732&gt;PARAMETRES!$E$32,3,IF($K732&gt;PARAMETRES!$D$32,2,1))))))</f>
        <v/>
      </c>
      <c r="T732" t="str">
        <f>IF($L732="","",IF($L732&gt;PARAMETRES!$G$33,5,IF($L732&gt;PARAMETRES!$F$33,4,IF($L732&gt;PARAMETRES!$E$33,3,IF($L732&gt;PARAMETRES!$D$33,2,1)))))</f>
        <v/>
      </c>
      <c r="U732" t="str">
        <f>IF($M732="","",IF($M732&gt;PARAMETRES!$G$34,5,IF($M732&gt;PARAMETRES!$F$34,4,IF($M732&gt;PARAMETRES!$E$34,3,IF($M732&gt;PARAMETRES!$D$34,2,1)))))</f>
        <v/>
      </c>
      <c r="V732" t="str">
        <f>IF($N732="","",IF($N732&gt;PARAMETRES!$G$35,5,IF($N732&gt;PARAMETRES!$F$35,4,IF($N732&gt;PARAMETRES!$E$35,3,IF($N732&gt;PARAMETRES!$D$35,2,1)))))</f>
        <v/>
      </c>
      <c r="W732" t="str">
        <f>IF($O732="","",IF($O732&gt;PARAMETRES!$G$36,5,IF($O732&gt;PARAMETRES!$F$36,4,IF($O732&gt;PARAMETRES!$E$36,3,IF($O732&gt;PARAMETRES!$D$36,2,1)))))</f>
        <v/>
      </c>
      <c r="X732" t="str">
        <f>IF($P732="","",IF($P732&gt;PARAMETRES!$G$37,5,IF($P732&gt;PARAMETRES!$F$37,4,IF($P732&gt;PARAMETRES!$E$37,3,IF($P732&gt;PARAMETRES!$D$37,2,1)))))</f>
        <v/>
      </c>
      <c r="Y732" t="str">
        <f t="shared" si="264"/>
        <v/>
      </c>
      <c r="Z732" t="str">
        <f>IFERROR(VLOOKUP($B732,TABLE_CYCLE,2,0),"")</f>
        <v/>
      </c>
      <c r="AA732" t="str">
        <f t="shared" si="265"/>
        <v/>
      </c>
      <c r="AB732" t="str">
        <f>IF($D732="","",IF(COUNTIF($D$2:$D732,$D732)=1,$D732,""))</f>
        <v/>
      </c>
      <c r="AC732">
        <f t="shared" si="266"/>
        <v>0</v>
      </c>
      <c r="AD732" t="str">
        <f t="shared" si="267"/>
        <v>|0</v>
      </c>
      <c r="AE732" t="str">
        <f t="shared" si="268"/>
        <v/>
      </c>
      <c r="AF732" t="str">
        <f t="shared" si="269"/>
        <v/>
      </c>
      <c r="AG732" t="str">
        <f t="shared" si="270"/>
        <v/>
      </c>
      <c r="AH732" t="str">
        <f t="shared" si="271"/>
        <v/>
      </c>
      <c r="AI732" t="str">
        <f t="shared" si="272"/>
        <v/>
      </c>
      <c r="AJ732" t="str">
        <f t="shared" si="273"/>
        <v/>
      </c>
      <c r="AK732" t="str">
        <f t="shared" si="274"/>
        <v/>
      </c>
      <c r="AL732" t="str">
        <f t="shared" si="275"/>
        <v/>
      </c>
      <c r="AM732" t="str">
        <f t="shared" si="276"/>
        <v/>
      </c>
      <c r="AN732" t="str">
        <f t="shared" si="277"/>
        <v/>
      </c>
      <c r="AO732" t="str">
        <f t="shared" si="278"/>
        <v/>
      </c>
      <c r="AP732">
        <f t="shared" si="279"/>
        <v>1</v>
      </c>
      <c r="AQ732" t="str">
        <f>IF(SAISIE!$F737="","",SAISIE!$Y737)</f>
        <v/>
      </c>
      <c r="AR732" t="str">
        <f>IF(OR(SAISIE!$U$4="",SAISIE!$W$4=""),"",IF(AND($A732=SAISIE!$U$4,$B732=SAISIE!$W$4,$C732="S1"),COUNTIFS($A$2:$A732,SAISIE!$U$4,$B$2:$B732,SAISIE!$W$4,$C$2:$C732,"S1"),""))</f>
        <v/>
      </c>
      <c r="AS732" t="str">
        <f t="shared" si="280"/>
        <v/>
      </c>
      <c r="AT732" t="str">
        <f t="shared" si="281"/>
        <v/>
      </c>
      <c r="AU732" t="str">
        <f t="shared" si="282"/>
        <v/>
      </c>
      <c r="AV732">
        <f>N(AV731)+IF(AND($AB732&lt;&gt;"",OR('PROFIL ELEVE'!$K$4="(Tous)",$AF732='PROFIL ELEVE'!$K$4)),1,0)</f>
        <v>0</v>
      </c>
      <c r="AW732">
        <f>N(AW731)+IF(AND($AB732&lt;&gt;"",OR('SUIVI LONGITUDINAL'!$Q$4="(Tous)",$AF732='SUIVI LONGITUDINAL'!$Q$4)),1,0)</f>
        <v>0</v>
      </c>
      <c r="AX732">
        <f t="shared" si="283"/>
        <v>0</v>
      </c>
      <c r="AY732">
        <f t="shared" si="284"/>
        <v>0</v>
      </c>
      <c r="AZ732">
        <f t="shared" si="285"/>
        <v>0</v>
      </c>
      <c r="BA732" t="str">
        <f t="shared" si="286"/>
        <v/>
      </c>
      <c r="BB732" t="str">
        <f t="shared" si="287"/>
        <v/>
      </c>
    </row>
    <row r="733" spans="1:54" ht="14.25" customHeight="1" x14ac:dyDescent="0.3">
      <c r="A733" t="str">
        <f>IF(SAISIE!$F738="","",SAISIE!$B738)</f>
        <v/>
      </c>
      <c r="B733" t="str">
        <f>IF(SAISIE!$F738="","",SAISIE!$C738)</f>
        <v/>
      </c>
      <c r="C733" t="str">
        <f>IF(SAISIE!$F738="","",SAISIE!$D738)</f>
        <v/>
      </c>
      <c r="D733" t="str">
        <f>IF(SAISIE!$E738="","",SAISIE!$E738)</f>
        <v/>
      </c>
      <c r="E733" t="str">
        <f>IF(SAISIE!$F738="","",SAISIE!$F738)</f>
        <v/>
      </c>
      <c r="F733" t="str">
        <f>IF(SAISIE!$G738="","",SAISIE!$G738)</f>
        <v/>
      </c>
      <c r="G733" t="str">
        <f>IF(SAISIE!$H738="","",SAISIE!$H738)</f>
        <v/>
      </c>
      <c r="H733" t="str">
        <f>IF(SAISIE!$I738="","",SAISIE!$I738)</f>
        <v/>
      </c>
      <c r="I733" t="str">
        <f>IF(SAISIE!$J738="","",SAISIE!$J738)</f>
        <v/>
      </c>
      <c r="J733" t="str">
        <f>IF(SAISIE!$K738="","",SAISIE!$K738)</f>
        <v/>
      </c>
      <c r="K733" t="str">
        <f>IF(SAISIE!$L738="","",SAISIE!$L738)</f>
        <v/>
      </c>
      <c r="L733" t="str">
        <f>IF(SAISIE!$M738="","",SAISIE!$M738)</f>
        <v/>
      </c>
      <c r="M733" t="str">
        <f>IF(SAISIE!$N738="","",SAISIE!$N738)</f>
        <v/>
      </c>
      <c r="N733" t="str">
        <f>IF(SAISIE!$O738="","",SAISIE!$O738)</f>
        <v/>
      </c>
      <c r="O733" t="str">
        <f>IF(SAISIE!$P738="","",SAISIE!$P738)</f>
        <v/>
      </c>
      <c r="P733" t="str">
        <f>IF(SAISIE!$Q738="","",SAISIE!$Q738)</f>
        <v/>
      </c>
      <c r="Q733" t="str">
        <f>IF($I733="","",IF($I733&gt;PARAMETRES!$G$29,5,IF($I733&gt;PARAMETRES!$F$29,4,IF($I733&gt;PARAMETRES!$E$29,3,IF($I733&gt;PARAMETRES!$D$29,2,1)))))</f>
        <v/>
      </c>
      <c r="R733" t="str">
        <f>IF($J733="","",IF($J733&gt;PARAMETRES!$G$30,5,IF($J733&gt;PARAMETRES!$F$30,4,IF($J733&gt;PARAMETRES!$E$30,3,IF($J733&gt;PARAMETRES!$D$30,2,1)))))</f>
        <v/>
      </c>
      <c r="S733" t="str">
        <f>IF($K733="","",IF($Z733=2,IF($K733&gt;PARAMETRES!$G$31,5,IF($K733&gt;PARAMETRES!$F$31,4,IF($K733&gt;PARAMETRES!$E$31,3,IF($K733&gt;PARAMETRES!$D$31,2,1)))),IF($K733&gt;PARAMETRES!$G$32,5,IF($K733&gt;PARAMETRES!$F$32,4,IF($K733&gt;PARAMETRES!$E$32,3,IF($K733&gt;PARAMETRES!$D$32,2,1))))))</f>
        <v/>
      </c>
      <c r="T733" t="str">
        <f>IF($L733="","",IF($L733&gt;PARAMETRES!$G$33,5,IF($L733&gt;PARAMETRES!$F$33,4,IF($L733&gt;PARAMETRES!$E$33,3,IF($L733&gt;PARAMETRES!$D$33,2,1)))))</f>
        <v/>
      </c>
      <c r="U733" t="str">
        <f>IF($M733="","",IF($M733&gt;PARAMETRES!$G$34,5,IF($M733&gt;PARAMETRES!$F$34,4,IF($M733&gt;PARAMETRES!$E$34,3,IF($M733&gt;PARAMETRES!$D$34,2,1)))))</f>
        <v/>
      </c>
      <c r="V733" t="str">
        <f>IF($N733="","",IF($N733&gt;PARAMETRES!$G$35,5,IF($N733&gt;PARAMETRES!$F$35,4,IF($N733&gt;PARAMETRES!$E$35,3,IF($N733&gt;PARAMETRES!$D$35,2,1)))))</f>
        <v/>
      </c>
      <c r="W733" t="str">
        <f>IF($O733="","",IF($O733&gt;PARAMETRES!$G$36,5,IF($O733&gt;PARAMETRES!$F$36,4,IF($O733&gt;PARAMETRES!$E$36,3,IF($O733&gt;PARAMETRES!$D$36,2,1)))))</f>
        <v/>
      </c>
      <c r="X733" t="str">
        <f>IF($P733="","",IF($P733&gt;PARAMETRES!$G$37,5,IF($P733&gt;PARAMETRES!$F$37,4,IF($P733&gt;PARAMETRES!$E$37,3,IF($P733&gt;PARAMETRES!$D$37,2,1)))))</f>
        <v/>
      </c>
      <c r="Y733" t="str">
        <f t="shared" si="264"/>
        <v/>
      </c>
      <c r="Z733" t="str">
        <f>IFERROR(VLOOKUP($B733,TABLE_CYCLE,2,0),"")</f>
        <v/>
      </c>
      <c r="AA733" t="str">
        <f t="shared" si="265"/>
        <v/>
      </c>
      <c r="AB733" t="str">
        <f>IF($D733="","",IF(COUNTIF($D$2:$D733,$D733)=1,$D733,""))</f>
        <v/>
      </c>
      <c r="AC733">
        <f t="shared" si="266"/>
        <v>0</v>
      </c>
      <c r="AD733" t="str">
        <f t="shared" si="267"/>
        <v>|0</v>
      </c>
      <c r="AE733" t="str">
        <f t="shared" si="268"/>
        <v/>
      </c>
      <c r="AF733" t="str">
        <f t="shared" si="269"/>
        <v/>
      </c>
      <c r="AG733" t="str">
        <f t="shared" si="270"/>
        <v/>
      </c>
      <c r="AH733" t="str">
        <f t="shared" si="271"/>
        <v/>
      </c>
      <c r="AI733" t="str">
        <f t="shared" si="272"/>
        <v/>
      </c>
      <c r="AJ733" t="str">
        <f t="shared" si="273"/>
        <v/>
      </c>
      <c r="AK733" t="str">
        <f t="shared" si="274"/>
        <v/>
      </c>
      <c r="AL733" t="str">
        <f t="shared" si="275"/>
        <v/>
      </c>
      <c r="AM733" t="str">
        <f t="shared" si="276"/>
        <v/>
      </c>
      <c r="AN733" t="str">
        <f t="shared" si="277"/>
        <v/>
      </c>
      <c r="AO733" t="str">
        <f t="shared" si="278"/>
        <v/>
      </c>
      <c r="AP733">
        <f t="shared" si="279"/>
        <v>1</v>
      </c>
      <c r="AQ733" t="str">
        <f>IF(SAISIE!$F738="","",SAISIE!$Y738)</f>
        <v/>
      </c>
      <c r="AR733" t="str">
        <f>IF(OR(SAISIE!$U$4="",SAISIE!$W$4=""),"",IF(AND($A733=SAISIE!$U$4,$B733=SAISIE!$W$4,$C733="S1"),COUNTIFS($A$2:$A733,SAISIE!$U$4,$B$2:$B733,SAISIE!$W$4,$C$2:$C733,"S1"),""))</f>
        <v/>
      </c>
      <c r="AS733" t="str">
        <f t="shared" si="280"/>
        <v/>
      </c>
      <c r="AT733" t="str">
        <f t="shared" si="281"/>
        <v/>
      </c>
      <c r="AU733" t="str">
        <f t="shared" si="282"/>
        <v/>
      </c>
      <c r="AV733">
        <f>N(AV732)+IF(AND($AB733&lt;&gt;"",OR('PROFIL ELEVE'!$K$4="(Tous)",$AF733='PROFIL ELEVE'!$K$4)),1,0)</f>
        <v>0</v>
      </c>
      <c r="AW733">
        <f>N(AW732)+IF(AND($AB733&lt;&gt;"",OR('SUIVI LONGITUDINAL'!$Q$4="(Tous)",$AF733='SUIVI LONGITUDINAL'!$Q$4)),1,0)</f>
        <v>0</v>
      </c>
      <c r="AX733">
        <f t="shared" si="283"/>
        <v>0</v>
      </c>
      <c r="AY733">
        <f t="shared" si="284"/>
        <v>0</v>
      </c>
      <c r="AZ733">
        <f t="shared" si="285"/>
        <v>0</v>
      </c>
      <c r="BA733" t="str">
        <f t="shared" si="286"/>
        <v/>
      </c>
      <c r="BB733" t="str">
        <f t="shared" si="287"/>
        <v/>
      </c>
    </row>
    <row r="734" spans="1:54" ht="14.25" customHeight="1" x14ac:dyDescent="0.3">
      <c r="A734" t="str">
        <f>IF(SAISIE!$F739="","",SAISIE!$B739)</f>
        <v/>
      </c>
      <c r="B734" t="str">
        <f>IF(SAISIE!$F739="","",SAISIE!$C739)</f>
        <v/>
      </c>
      <c r="C734" t="str">
        <f>IF(SAISIE!$F739="","",SAISIE!$D739)</f>
        <v/>
      </c>
      <c r="D734" t="str">
        <f>IF(SAISIE!$E739="","",SAISIE!$E739)</f>
        <v/>
      </c>
      <c r="E734" t="str">
        <f>IF(SAISIE!$F739="","",SAISIE!$F739)</f>
        <v/>
      </c>
      <c r="F734" t="str">
        <f>IF(SAISIE!$G739="","",SAISIE!$G739)</f>
        <v/>
      </c>
      <c r="G734" t="str">
        <f>IF(SAISIE!$H739="","",SAISIE!$H739)</f>
        <v/>
      </c>
      <c r="H734" t="str">
        <f>IF(SAISIE!$I739="","",SAISIE!$I739)</f>
        <v/>
      </c>
      <c r="I734" t="str">
        <f>IF(SAISIE!$J739="","",SAISIE!$J739)</f>
        <v/>
      </c>
      <c r="J734" t="str">
        <f>IF(SAISIE!$K739="","",SAISIE!$K739)</f>
        <v/>
      </c>
      <c r="K734" t="str">
        <f>IF(SAISIE!$L739="","",SAISIE!$L739)</f>
        <v/>
      </c>
      <c r="L734" t="str">
        <f>IF(SAISIE!$M739="","",SAISIE!$M739)</f>
        <v/>
      </c>
      <c r="M734" t="str">
        <f>IF(SAISIE!$N739="","",SAISIE!$N739)</f>
        <v/>
      </c>
      <c r="N734" t="str">
        <f>IF(SAISIE!$O739="","",SAISIE!$O739)</f>
        <v/>
      </c>
      <c r="O734" t="str">
        <f>IF(SAISIE!$P739="","",SAISIE!$P739)</f>
        <v/>
      </c>
      <c r="P734" t="str">
        <f>IF(SAISIE!$Q739="","",SAISIE!$Q739)</f>
        <v/>
      </c>
      <c r="Q734" t="str">
        <f>IF($I734="","",IF($I734&gt;PARAMETRES!$G$29,5,IF($I734&gt;PARAMETRES!$F$29,4,IF($I734&gt;PARAMETRES!$E$29,3,IF($I734&gt;PARAMETRES!$D$29,2,1)))))</f>
        <v/>
      </c>
      <c r="R734" t="str">
        <f>IF($J734="","",IF($J734&gt;PARAMETRES!$G$30,5,IF($J734&gt;PARAMETRES!$F$30,4,IF($J734&gt;PARAMETRES!$E$30,3,IF($J734&gt;PARAMETRES!$D$30,2,1)))))</f>
        <v/>
      </c>
      <c r="S734" t="str">
        <f>IF($K734="","",IF($Z734=2,IF($K734&gt;PARAMETRES!$G$31,5,IF($K734&gt;PARAMETRES!$F$31,4,IF($K734&gt;PARAMETRES!$E$31,3,IF($K734&gt;PARAMETRES!$D$31,2,1)))),IF($K734&gt;PARAMETRES!$G$32,5,IF($K734&gt;PARAMETRES!$F$32,4,IF($K734&gt;PARAMETRES!$E$32,3,IF($K734&gt;PARAMETRES!$D$32,2,1))))))</f>
        <v/>
      </c>
      <c r="T734" t="str">
        <f>IF($L734="","",IF($L734&gt;PARAMETRES!$G$33,5,IF($L734&gt;PARAMETRES!$F$33,4,IF($L734&gt;PARAMETRES!$E$33,3,IF($L734&gt;PARAMETRES!$D$33,2,1)))))</f>
        <v/>
      </c>
      <c r="U734" t="str">
        <f>IF($M734="","",IF($M734&gt;PARAMETRES!$G$34,5,IF($M734&gt;PARAMETRES!$F$34,4,IF($M734&gt;PARAMETRES!$E$34,3,IF($M734&gt;PARAMETRES!$D$34,2,1)))))</f>
        <v/>
      </c>
      <c r="V734" t="str">
        <f>IF($N734="","",IF($N734&gt;PARAMETRES!$G$35,5,IF($N734&gt;PARAMETRES!$F$35,4,IF($N734&gt;PARAMETRES!$E$35,3,IF($N734&gt;PARAMETRES!$D$35,2,1)))))</f>
        <v/>
      </c>
      <c r="W734" t="str">
        <f>IF($O734="","",IF($O734&gt;PARAMETRES!$G$36,5,IF($O734&gt;PARAMETRES!$F$36,4,IF($O734&gt;PARAMETRES!$E$36,3,IF($O734&gt;PARAMETRES!$D$36,2,1)))))</f>
        <v/>
      </c>
      <c r="X734" t="str">
        <f>IF($P734="","",IF($P734&gt;PARAMETRES!$G$37,5,IF($P734&gt;PARAMETRES!$F$37,4,IF($P734&gt;PARAMETRES!$E$37,3,IF($P734&gt;PARAMETRES!$D$37,2,1)))))</f>
        <v/>
      </c>
      <c r="Y734" t="str">
        <f t="shared" si="264"/>
        <v/>
      </c>
      <c r="Z734" t="str">
        <f>IFERROR(VLOOKUP($B734,TABLE_CYCLE,2,0),"")</f>
        <v/>
      </c>
      <c r="AA734" t="str">
        <f t="shared" si="265"/>
        <v/>
      </c>
      <c r="AB734" t="str">
        <f>IF($D734="","",IF(COUNTIF($D$2:$D734,$D734)=1,$D734,""))</f>
        <v/>
      </c>
      <c r="AC734">
        <f t="shared" si="266"/>
        <v>0</v>
      </c>
      <c r="AD734" t="str">
        <f t="shared" si="267"/>
        <v>|0</v>
      </c>
      <c r="AE734" t="str">
        <f t="shared" si="268"/>
        <v/>
      </c>
      <c r="AF734" t="str">
        <f t="shared" si="269"/>
        <v/>
      </c>
      <c r="AG734" t="str">
        <f t="shared" si="270"/>
        <v/>
      </c>
      <c r="AH734" t="str">
        <f t="shared" si="271"/>
        <v/>
      </c>
      <c r="AI734" t="str">
        <f t="shared" si="272"/>
        <v/>
      </c>
      <c r="AJ734" t="str">
        <f t="shared" si="273"/>
        <v/>
      </c>
      <c r="AK734" t="str">
        <f t="shared" si="274"/>
        <v/>
      </c>
      <c r="AL734" t="str">
        <f t="shared" si="275"/>
        <v/>
      </c>
      <c r="AM734" t="str">
        <f t="shared" si="276"/>
        <v/>
      </c>
      <c r="AN734" t="str">
        <f t="shared" si="277"/>
        <v/>
      </c>
      <c r="AO734" t="str">
        <f t="shared" si="278"/>
        <v/>
      </c>
      <c r="AP734">
        <f t="shared" si="279"/>
        <v>1</v>
      </c>
      <c r="AQ734" t="str">
        <f>IF(SAISIE!$F739="","",SAISIE!$Y739)</f>
        <v/>
      </c>
      <c r="AR734" t="str">
        <f>IF(OR(SAISIE!$U$4="",SAISIE!$W$4=""),"",IF(AND($A734=SAISIE!$U$4,$B734=SAISIE!$W$4,$C734="S1"),COUNTIFS($A$2:$A734,SAISIE!$U$4,$B$2:$B734,SAISIE!$W$4,$C$2:$C734,"S1"),""))</f>
        <v/>
      </c>
      <c r="AS734" t="str">
        <f t="shared" si="280"/>
        <v/>
      </c>
      <c r="AT734" t="str">
        <f t="shared" si="281"/>
        <v/>
      </c>
      <c r="AU734" t="str">
        <f t="shared" si="282"/>
        <v/>
      </c>
      <c r="AV734">
        <f>N(AV733)+IF(AND($AB734&lt;&gt;"",OR('PROFIL ELEVE'!$K$4="(Tous)",$AF734='PROFIL ELEVE'!$K$4)),1,0)</f>
        <v>0</v>
      </c>
      <c r="AW734">
        <f>N(AW733)+IF(AND($AB734&lt;&gt;"",OR('SUIVI LONGITUDINAL'!$Q$4="(Tous)",$AF734='SUIVI LONGITUDINAL'!$Q$4)),1,0)</f>
        <v>0</v>
      </c>
      <c r="AX734">
        <f t="shared" si="283"/>
        <v>0</v>
      </c>
      <c r="AY734">
        <f t="shared" si="284"/>
        <v>0</v>
      </c>
      <c r="AZ734">
        <f t="shared" si="285"/>
        <v>0</v>
      </c>
      <c r="BA734" t="str">
        <f t="shared" si="286"/>
        <v/>
      </c>
      <c r="BB734" t="str">
        <f t="shared" si="287"/>
        <v/>
      </c>
    </row>
    <row r="735" spans="1:54" ht="14.25" customHeight="1" x14ac:dyDescent="0.3">
      <c r="A735" t="str">
        <f>IF(SAISIE!$F740="","",SAISIE!$B740)</f>
        <v/>
      </c>
      <c r="B735" t="str">
        <f>IF(SAISIE!$F740="","",SAISIE!$C740)</f>
        <v/>
      </c>
      <c r="C735" t="str">
        <f>IF(SAISIE!$F740="","",SAISIE!$D740)</f>
        <v/>
      </c>
      <c r="D735" t="str">
        <f>IF(SAISIE!$E740="","",SAISIE!$E740)</f>
        <v/>
      </c>
      <c r="E735" t="str">
        <f>IF(SAISIE!$F740="","",SAISIE!$F740)</f>
        <v/>
      </c>
      <c r="F735" t="str">
        <f>IF(SAISIE!$G740="","",SAISIE!$G740)</f>
        <v/>
      </c>
      <c r="G735" t="str">
        <f>IF(SAISIE!$H740="","",SAISIE!$H740)</f>
        <v/>
      </c>
      <c r="H735" t="str">
        <f>IF(SAISIE!$I740="","",SAISIE!$I740)</f>
        <v/>
      </c>
      <c r="I735" t="str">
        <f>IF(SAISIE!$J740="","",SAISIE!$J740)</f>
        <v/>
      </c>
      <c r="J735" t="str">
        <f>IF(SAISIE!$K740="","",SAISIE!$K740)</f>
        <v/>
      </c>
      <c r="K735" t="str">
        <f>IF(SAISIE!$L740="","",SAISIE!$L740)</f>
        <v/>
      </c>
      <c r="L735" t="str">
        <f>IF(SAISIE!$M740="","",SAISIE!$M740)</f>
        <v/>
      </c>
      <c r="M735" t="str">
        <f>IF(SAISIE!$N740="","",SAISIE!$N740)</f>
        <v/>
      </c>
      <c r="N735" t="str">
        <f>IF(SAISIE!$O740="","",SAISIE!$O740)</f>
        <v/>
      </c>
      <c r="O735" t="str">
        <f>IF(SAISIE!$P740="","",SAISIE!$P740)</f>
        <v/>
      </c>
      <c r="P735" t="str">
        <f>IF(SAISIE!$Q740="","",SAISIE!$Q740)</f>
        <v/>
      </c>
      <c r="Q735" t="str">
        <f>IF($I735="","",IF($I735&gt;PARAMETRES!$G$29,5,IF($I735&gt;PARAMETRES!$F$29,4,IF($I735&gt;PARAMETRES!$E$29,3,IF($I735&gt;PARAMETRES!$D$29,2,1)))))</f>
        <v/>
      </c>
      <c r="R735" t="str">
        <f>IF($J735="","",IF($J735&gt;PARAMETRES!$G$30,5,IF($J735&gt;PARAMETRES!$F$30,4,IF($J735&gt;PARAMETRES!$E$30,3,IF($J735&gt;PARAMETRES!$D$30,2,1)))))</f>
        <v/>
      </c>
      <c r="S735" t="str">
        <f>IF($K735="","",IF($Z735=2,IF($K735&gt;PARAMETRES!$G$31,5,IF($K735&gt;PARAMETRES!$F$31,4,IF($K735&gt;PARAMETRES!$E$31,3,IF($K735&gt;PARAMETRES!$D$31,2,1)))),IF($K735&gt;PARAMETRES!$G$32,5,IF($K735&gt;PARAMETRES!$F$32,4,IF($K735&gt;PARAMETRES!$E$32,3,IF($K735&gt;PARAMETRES!$D$32,2,1))))))</f>
        <v/>
      </c>
      <c r="T735" t="str">
        <f>IF($L735="","",IF($L735&gt;PARAMETRES!$G$33,5,IF($L735&gt;PARAMETRES!$F$33,4,IF($L735&gt;PARAMETRES!$E$33,3,IF($L735&gt;PARAMETRES!$D$33,2,1)))))</f>
        <v/>
      </c>
      <c r="U735" t="str">
        <f>IF($M735="","",IF($M735&gt;PARAMETRES!$G$34,5,IF($M735&gt;PARAMETRES!$F$34,4,IF($M735&gt;PARAMETRES!$E$34,3,IF($M735&gt;PARAMETRES!$D$34,2,1)))))</f>
        <v/>
      </c>
      <c r="V735" t="str">
        <f>IF($N735="","",IF($N735&gt;PARAMETRES!$G$35,5,IF($N735&gt;PARAMETRES!$F$35,4,IF($N735&gt;PARAMETRES!$E$35,3,IF($N735&gt;PARAMETRES!$D$35,2,1)))))</f>
        <v/>
      </c>
      <c r="W735" t="str">
        <f>IF($O735="","",IF($O735&gt;PARAMETRES!$G$36,5,IF($O735&gt;PARAMETRES!$F$36,4,IF($O735&gt;PARAMETRES!$E$36,3,IF($O735&gt;PARAMETRES!$D$36,2,1)))))</f>
        <v/>
      </c>
      <c r="X735" t="str">
        <f>IF($P735="","",IF($P735&gt;PARAMETRES!$G$37,5,IF($P735&gt;PARAMETRES!$F$37,4,IF($P735&gt;PARAMETRES!$E$37,3,IF($P735&gt;PARAMETRES!$D$37,2,1)))))</f>
        <v/>
      </c>
      <c r="Y735" t="str">
        <f t="shared" si="264"/>
        <v/>
      </c>
      <c r="Z735" t="str">
        <f>IFERROR(VLOOKUP($B735,TABLE_CYCLE,2,0),"")</f>
        <v/>
      </c>
      <c r="AA735" t="str">
        <f t="shared" si="265"/>
        <v/>
      </c>
      <c r="AB735" t="str">
        <f>IF($D735="","",IF(COUNTIF($D$2:$D735,$D735)=1,$D735,""))</f>
        <v/>
      </c>
      <c r="AC735">
        <f t="shared" si="266"/>
        <v>0</v>
      </c>
      <c r="AD735" t="str">
        <f t="shared" si="267"/>
        <v>|0</v>
      </c>
      <c r="AE735" t="str">
        <f t="shared" si="268"/>
        <v/>
      </c>
      <c r="AF735" t="str">
        <f t="shared" si="269"/>
        <v/>
      </c>
      <c r="AG735" t="str">
        <f t="shared" si="270"/>
        <v/>
      </c>
      <c r="AH735" t="str">
        <f t="shared" si="271"/>
        <v/>
      </c>
      <c r="AI735" t="str">
        <f t="shared" si="272"/>
        <v/>
      </c>
      <c r="AJ735" t="str">
        <f t="shared" si="273"/>
        <v/>
      </c>
      <c r="AK735" t="str">
        <f t="shared" si="274"/>
        <v/>
      </c>
      <c r="AL735" t="str">
        <f t="shared" si="275"/>
        <v/>
      </c>
      <c r="AM735" t="str">
        <f t="shared" si="276"/>
        <v/>
      </c>
      <c r="AN735" t="str">
        <f t="shared" si="277"/>
        <v/>
      </c>
      <c r="AO735" t="str">
        <f t="shared" si="278"/>
        <v/>
      </c>
      <c r="AP735">
        <f t="shared" si="279"/>
        <v>1</v>
      </c>
      <c r="AQ735" t="str">
        <f>IF(SAISIE!$F740="","",SAISIE!$Y740)</f>
        <v/>
      </c>
      <c r="AR735" t="str">
        <f>IF(OR(SAISIE!$U$4="",SAISIE!$W$4=""),"",IF(AND($A735=SAISIE!$U$4,$B735=SAISIE!$W$4,$C735="S1"),COUNTIFS($A$2:$A735,SAISIE!$U$4,$B$2:$B735,SAISIE!$W$4,$C$2:$C735,"S1"),""))</f>
        <v/>
      </c>
      <c r="AS735" t="str">
        <f t="shared" si="280"/>
        <v/>
      </c>
      <c r="AT735" t="str">
        <f t="shared" si="281"/>
        <v/>
      </c>
      <c r="AU735" t="str">
        <f t="shared" si="282"/>
        <v/>
      </c>
      <c r="AV735">
        <f>N(AV734)+IF(AND($AB735&lt;&gt;"",OR('PROFIL ELEVE'!$K$4="(Tous)",$AF735='PROFIL ELEVE'!$K$4)),1,0)</f>
        <v>0</v>
      </c>
      <c r="AW735">
        <f>N(AW734)+IF(AND($AB735&lt;&gt;"",OR('SUIVI LONGITUDINAL'!$Q$4="(Tous)",$AF735='SUIVI LONGITUDINAL'!$Q$4)),1,0)</f>
        <v>0</v>
      </c>
      <c r="AX735">
        <f t="shared" si="283"/>
        <v>0</v>
      </c>
      <c r="AY735">
        <f t="shared" si="284"/>
        <v>0</v>
      </c>
      <c r="AZ735">
        <f t="shared" si="285"/>
        <v>0</v>
      </c>
      <c r="BA735" t="str">
        <f t="shared" si="286"/>
        <v/>
      </c>
      <c r="BB735" t="str">
        <f t="shared" si="287"/>
        <v/>
      </c>
    </row>
    <row r="736" spans="1:54" ht="14.25" customHeight="1" x14ac:dyDescent="0.3">
      <c r="A736" t="str">
        <f>IF(SAISIE!$F741="","",SAISIE!$B741)</f>
        <v/>
      </c>
      <c r="B736" t="str">
        <f>IF(SAISIE!$F741="","",SAISIE!$C741)</f>
        <v/>
      </c>
      <c r="C736" t="str">
        <f>IF(SAISIE!$F741="","",SAISIE!$D741)</f>
        <v/>
      </c>
      <c r="D736" t="str">
        <f>IF(SAISIE!$E741="","",SAISIE!$E741)</f>
        <v/>
      </c>
      <c r="E736" t="str">
        <f>IF(SAISIE!$F741="","",SAISIE!$F741)</f>
        <v/>
      </c>
      <c r="F736" t="str">
        <f>IF(SAISIE!$G741="","",SAISIE!$G741)</f>
        <v/>
      </c>
      <c r="G736" t="str">
        <f>IF(SAISIE!$H741="","",SAISIE!$H741)</f>
        <v/>
      </c>
      <c r="H736" t="str">
        <f>IF(SAISIE!$I741="","",SAISIE!$I741)</f>
        <v/>
      </c>
      <c r="I736" t="str">
        <f>IF(SAISIE!$J741="","",SAISIE!$J741)</f>
        <v/>
      </c>
      <c r="J736" t="str">
        <f>IF(SAISIE!$K741="","",SAISIE!$K741)</f>
        <v/>
      </c>
      <c r="K736" t="str">
        <f>IF(SAISIE!$L741="","",SAISIE!$L741)</f>
        <v/>
      </c>
      <c r="L736" t="str">
        <f>IF(SAISIE!$M741="","",SAISIE!$M741)</f>
        <v/>
      </c>
      <c r="M736" t="str">
        <f>IF(SAISIE!$N741="","",SAISIE!$N741)</f>
        <v/>
      </c>
      <c r="N736" t="str">
        <f>IF(SAISIE!$O741="","",SAISIE!$O741)</f>
        <v/>
      </c>
      <c r="O736" t="str">
        <f>IF(SAISIE!$P741="","",SAISIE!$P741)</f>
        <v/>
      </c>
      <c r="P736" t="str">
        <f>IF(SAISIE!$Q741="","",SAISIE!$Q741)</f>
        <v/>
      </c>
      <c r="Q736" t="str">
        <f>IF($I736="","",IF($I736&gt;PARAMETRES!$G$29,5,IF($I736&gt;PARAMETRES!$F$29,4,IF($I736&gt;PARAMETRES!$E$29,3,IF($I736&gt;PARAMETRES!$D$29,2,1)))))</f>
        <v/>
      </c>
      <c r="R736" t="str">
        <f>IF($J736="","",IF($J736&gt;PARAMETRES!$G$30,5,IF($J736&gt;PARAMETRES!$F$30,4,IF($J736&gt;PARAMETRES!$E$30,3,IF($J736&gt;PARAMETRES!$D$30,2,1)))))</f>
        <v/>
      </c>
      <c r="S736" t="str">
        <f>IF($K736="","",IF($Z736=2,IF($K736&gt;PARAMETRES!$G$31,5,IF($K736&gt;PARAMETRES!$F$31,4,IF($K736&gt;PARAMETRES!$E$31,3,IF($K736&gt;PARAMETRES!$D$31,2,1)))),IF($K736&gt;PARAMETRES!$G$32,5,IF($K736&gt;PARAMETRES!$F$32,4,IF($K736&gt;PARAMETRES!$E$32,3,IF($K736&gt;PARAMETRES!$D$32,2,1))))))</f>
        <v/>
      </c>
      <c r="T736" t="str">
        <f>IF($L736="","",IF($L736&gt;PARAMETRES!$G$33,5,IF($L736&gt;PARAMETRES!$F$33,4,IF($L736&gt;PARAMETRES!$E$33,3,IF($L736&gt;PARAMETRES!$D$33,2,1)))))</f>
        <v/>
      </c>
      <c r="U736" t="str">
        <f>IF($M736="","",IF($M736&gt;PARAMETRES!$G$34,5,IF($M736&gt;PARAMETRES!$F$34,4,IF($M736&gt;PARAMETRES!$E$34,3,IF($M736&gt;PARAMETRES!$D$34,2,1)))))</f>
        <v/>
      </c>
      <c r="V736" t="str">
        <f>IF($N736="","",IF($N736&gt;PARAMETRES!$G$35,5,IF($N736&gt;PARAMETRES!$F$35,4,IF($N736&gt;PARAMETRES!$E$35,3,IF($N736&gt;PARAMETRES!$D$35,2,1)))))</f>
        <v/>
      </c>
      <c r="W736" t="str">
        <f>IF($O736="","",IF($O736&gt;PARAMETRES!$G$36,5,IF($O736&gt;PARAMETRES!$F$36,4,IF($O736&gt;PARAMETRES!$E$36,3,IF($O736&gt;PARAMETRES!$D$36,2,1)))))</f>
        <v/>
      </c>
      <c r="X736" t="str">
        <f>IF($P736="","",IF($P736&gt;PARAMETRES!$G$37,5,IF($P736&gt;PARAMETRES!$F$37,4,IF($P736&gt;PARAMETRES!$E$37,3,IF($P736&gt;PARAMETRES!$D$37,2,1)))))</f>
        <v/>
      </c>
      <c r="Y736" t="str">
        <f t="shared" si="264"/>
        <v/>
      </c>
      <c r="Z736" t="str">
        <f>IFERROR(VLOOKUP($B736,TABLE_CYCLE,2,0),"")</f>
        <v/>
      </c>
      <c r="AA736" t="str">
        <f t="shared" si="265"/>
        <v/>
      </c>
      <c r="AB736" t="str">
        <f>IF($D736="","",IF(COUNTIF($D$2:$D736,$D736)=1,$D736,""))</f>
        <v/>
      </c>
      <c r="AC736">
        <f t="shared" si="266"/>
        <v>0</v>
      </c>
      <c r="AD736" t="str">
        <f t="shared" si="267"/>
        <v>|0</v>
      </c>
      <c r="AE736" t="str">
        <f t="shared" si="268"/>
        <v/>
      </c>
      <c r="AF736" t="str">
        <f t="shared" si="269"/>
        <v/>
      </c>
      <c r="AG736" t="str">
        <f t="shared" si="270"/>
        <v/>
      </c>
      <c r="AH736" t="str">
        <f t="shared" si="271"/>
        <v/>
      </c>
      <c r="AI736" t="str">
        <f t="shared" si="272"/>
        <v/>
      </c>
      <c r="AJ736" t="str">
        <f t="shared" si="273"/>
        <v/>
      </c>
      <c r="AK736" t="str">
        <f t="shared" si="274"/>
        <v/>
      </c>
      <c r="AL736" t="str">
        <f t="shared" si="275"/>
        <v/>
      </c>
      <c r="AM736" t="str">
        <f t="shared" si="276"/>
        <v/>
      </c>
      <c r="AN736" t="str">
        <f t="shared" si="277"/>
        <v/>
      </c>
      <c r="AO736" t="str">
        <f t="shared" si="278"/>
        <v/>
      </c>
      <c r="AP736">
        <f t="shared" si="279"/>
        <v>1</v>
      </c>
      <c r="AQ736" t="str">
        <f>IF(SAISIE!$F741="","",SAISIE!$Y741)</f>
        <v/>
      </c>
      <c r="AR736" t="str">
        <f>IF(OR(SAISIE!$U$4="",SAISIE!$W$4=""),"",IF(AND($A736=SAISIE!$U$4,$B736=SAISIE!$W$4,$C736="S1"),COUNTIFS($A$2:$A736,SAISIE!$U$4,$B$2:$B736,SAISIE!$W$4,$C$2:$C736,"S1"),""))</f>
        <v/>
      </c>
      <c r="AS736" t="str">
        <f t="shared" si="280"/>
        <v/>
      </c>
      <c r="AT736" t="str">
        <f t="shared" si="281"/>
        <v/>
      </c>
      <c r="AU736" t="str">
        <f t="shared" si="282"/>
        <v/>
      </c>
      <c r="AV736">
        <f>N(AV735)+IF(AND($AB736&lt;&gt;"",OR('PROFIL ELEVE'!$K$4="(Tous)",$AF736='PROFIL ELEVE'!$K$4)),1,0)</f>
        <v>0</v>
      </c>
      <c r="AW736">
        <f>N(AW735)+IF(AND($AB736&lt;&gt;"",OR('SUIVI LONGITUDINAL'!$Q$4="(Tous)",$AF736='SUIVI LONGITUDINAL'!$Q$4)),1,0)</f>
        <v>0</v>
      </c>
      <c r="AX736">
        <f t="shared" si="283"/>
        <v>0</v>
      </c>
      <c r="AY736">
        <f t="shared" si="284"/>
        <v>0</v>
      </c>
      <c r="AZ736">
        <f t="shared" si="285"/>
        <v>0</v>
      </c>
      <c r="BA736" t="str">
        <f t="shared" si="286"/>
        <v/>
      </c>
      <c r="BB736" t="str">
        <f t="shared" si="287"/>
        <v/>
      </c>
    </row>
    <row r="737" spans="1:54" ht="14.25" customHeight="1" x14ac:dyDescent="0.3">
      <c r="A737" t="str">
        <f>IF(SAISIE!$F742="","",SAISIE!$B742)</f>
        <v/>
      </c>
      <c r="B737" t="str">
        <f>IF(SAISIE!$F742="","",SAISIE!$C742)</f>
        <v/>
      </c>
      <c r="C737" t="str">
        <f>IF(SAISIE!$F742="","",SAISIE!$D742)</f>
        <v/>
      </c>
      <c r="D737" t="str">
        <f>IF(SAISIE!$E742="","",SAISIE!$E742)</f>
        <v/>
      </c>
      <c r="E737" t="str">
        <f>IF(SAISIE!$F742="","",SAISIE!$F742)</f>
        <v/>
      </c>
      <c r="F737" t="str">
        <f>IF(SAISIE!$G742="","",SAISIE!$G742)</f>
        <v/>
      </c>
      <c r="G737" t="str">
        <f>IF(SAISIE!$H742="","",SAISIE!$H742)</f>
        <v/>
      </c>
      <c r="H737" t="str">
        <f>IF(SAISIE!$I742="","",SAISIE!$I742)</f>
        <v/>
      </c>
      <c r="I737" t="str">
        <f>IF(SAISIE!$J742="","",SAISIE!$J742)</f>
        <v/>
      </c>
      <c r="J737" t="str">
        <f>IF(SAISIE!$K742="","",SAISIE!$K742)</f>
        <v/>
      </c>
      <c r="K737" t="str">
        <f>IF(SAISIE!$L742="","",SAISIE!$L742)</f>
        <v/>
      </c>
      <c r="L737" t="str">
        <f>IF(SAISIE!$M742="","",SAISIE!$M742)</f>
        <v/>
      </c>
      <c r="M737" t="str">
        <f>IF(SAISIE!$N742="","",SAISIE!$N742)</f>
        <v/>
      </c>
      <c r="N737" t="str">
        <f>IF(SAISIE!$O742="","",SAISIE!$O742)</f>
        <v/>
      </c>
      <c r="O737" t="str">
        <f>IF(SAISIE!$P742="","",SAISIE!$P742)</f>
        <v/>
      </c>
      <c r="P737" t="str">
        <f>IF(SAISIE!$Q742="","",SAISIE!$Q742)</f>
        <v/>
      </c>
      <c r="Q737" t="str">
        <f>IF($I737="","",IF($I737&gt;PARAMETRES!$G$29,5,IF($I737&gt;PARAMETRES!$F$29,4,IF($I737&gt;PARAMETRES!$E$29,3,IF($I737&gt;PARAMETRES!$D$29,2,1)))))</f>
        <v/>
      </c>
      <c r="R737" t="str">
        <f>IF($J737="","",IF($J737&gt;PARAMETRES!$G$30,5,IF($J737&gt;PARAMETRES!$F$30,4,IF($J737&gt;PARAMETRES!$E$30,3,IF($J737&gt;PARAMETRES!$D$30,2,1)))))</f>
        <v/>
      </c>
      <c r="S737" t="str">
        <f>IF($K737="","",IF($Z737=2,IF($K737&gt;PARAMETRES!$G$31,5,IF($K737&gt;PARAMETRES!$F$31,4,IF($K737&gt;PARAMETRES!$E$31,3,IF($K737&gt;PARAMETRES!$D$31,2,1)))),IF($K737&gt;PARAMETRES!$G$32,5,IF($K737&gt;PARAMETRES!$F$32,4,IF($K737&gt;PARAMETRES!$E$32,3,IF($K737&gt;PARAMETRES!$D$32,2,1))))))</f>
        <v/>
      </c>
      <c r="T737" t="str">
        <f>IF($L737="","",IF($L737&gt;PARAMETRES!$G$33,5,IF($L737&gt;PARAMETRES!$F$33,4,IF($L737&gt;PARAMETRES!$E$33,3,IF($L737&gt;PARAMETRES!$D$33,2,1)))))</f>
        <v/>
      </c>
      <c r="U737" t="str">
        <f>IF($M737="","",IF($M737&gt;PARAMETRES!$G$34,5,IF($M737&gt;PARAMETRES!$F$34,4,IF($M737&gt;PARAMETRES!$E$34,3,IF($M737&gt;PARAMETRES!$D$34,2,1)))))</f>
        <v/>
      </c>
      <c r="V737" t="str">
        <f>IF($N737="","",IF($N737&gt;PARAMETRES!$G$35,5,IF($N737&gt;PARAMETRES!$F$35,4,IF($N737&gt;PARAMETRES!$E$35,3,IF($N737&gt;PARAMETRES!$D$35,2,1)))))</f>
        <v/>
      </c>
      <c r="W737" t="str">
        <f>IF($O737="","",IF($O737&gt;PARAMETRES!$G$36,5,IF($O737&gt;PARAMETRES!$F$36,4,IF($O737&gt;PARAMETRES!$E$36,3,IF($O737&gt;PARAMETRES!$D$36,2,1)))))</f>
        <v/>
      </c>
      <c r="X737" t="str">
        <f>IF($P737="","",IF($P737&gt;PARAMETRES!$G$37,5,IF($P737&gt;PARAMETRES!$F$37,4,IF($P737&gt;PARAMETRES!$E$37,3,IF($P737&gt;PARAMETRES!$D$37,2,1)))))</f>
        <v/>
      </c>
      <c r="Y737" t="str">
        <f t="shared" si="264"/>
        <v/>
      </c>
      <c r="Z737" t="str">
        <f>IFERROR(VLOOKUP($B737,TABLE_CYCLE,2,0),"")</f>
        <v/>
      </c>
      <c r="AA737" t="str">
        <f t="shared" si="265"/>
        <v/>
      </c>
      <c r="AB737" t="str">
        <f>IF($D737="","",IF(COUNTIF($D$2:$D737,$D737)=1,$D737,""))</f>
        <v/>
      </c>
      <c r="AC737">
        <f t="shared" si="266"/>
        <v>0</v>
      </c>
      <c r="AD737" t="str">
        <f t="shared" si="267"/>
        <v>|0</v>
      </c>
      <c r="AE737" t="str">
        <f t="shared" si="268"/>
        <v/>
      </c>
      <c r="AF737" t="str">
        <f t="shared" si="269"/>
        <v/>
      </c>
      <c r="AG737" t="str">
        <f t="shared" si="270"/>
        <v/>
      </c>
      <c r="AH737" t="str">
        <f t="shared" si="271"/>
        <v/>
      </c>
      <c r="AI737" t="str">
        <f t="shared" si="272"/>
        <v/>
      </c>
      <c r="AJ737" t="str">
        <f t="shared" si="273"/>
        <v/>
      </c>
      <c r="AK737" t="str">
        <f t="shared" si="274"/>
        <v/>
      </c>
      <c r="AL737" t="str">
        <f t="shared" si="275"/>
        <v/>
      </c>
      <c r="AM737" t="str">
        <f t="shared" si="276"/>
        <v/>
      </c>
      <c r="AN737" t="str">
        <f t="shared" si="277"/>
        <v/>
      </c>
      <c r="AO737" t="str">
        <f t="shared" si="278"/>
        <v/>
      </c>
      <c r="AP737">
        <f t="shared" si="279"/>
        <v>1</v>
      </c>
      <c r="AQ737" t="str">
        <f>IF(SAISIE!$F742="","",SAISIE!$Y742)</f>
        <v/>
      </c>
      <c r="AR737" t="str">
        <f>IF(OR(SAISIE!$U$4="",SAISIE!$W$4=""),"",IF(AND($A737=SAISIE!$U$4,$B737=SAISIE!$W$4,$C737="S1"),COUNTIFS($A$2:$A737,SAISIE!$U$4,$B$2:$B737,SAISIE!$W$4,$C$2:$C737,"S1"),""))</f>
        <v/>
      </c>
      <c r="AS737" t="str">
        <f t="shared" si="280"/>
        <v/>
      </c>
      <c r="AT737" t="str">
        <f t="shared" si="281"/>
        <v/>
      </c>
      <c r="AU737" t="str">
        <f t="shared" si="282"/>
        <v/>
      </c>
      <c r="AV737">
        <f>N(AV736)+IF(AND($AB737&lt;&gt;"",OR('PROFIL ELEVE'!$K$4="(Tous)",$AF737='PROFIL ELEVE'!$K$4)),1,0)</f>
        <v>0</v>
      </c>
      <c r="AW737">
        <f>N(AW736)+IF(AND($AB737&lt;&gt;"",OR('SUIVI LONGITUDINAL'!$Q$4="(Tous)",$AF737='SUIVI LONGITUDINAL'!$Q$4)),1,0)</f>
        <v>0</v>
      </c>
      <c r="AX737">
        <f t="shared" si="283"/>
        <v>0</v>
      </c>
      <c r="AY737">
        <f t="shared" si="284"/>
        <v>0</v>
      </c>
      <c r="AZ737">
        <f t="shared" si="285"/>
        <v>0</v>
      </c>
      <c r="BA737" t="str">
        <f t="shared" si="286"/>
        <v/>
      </c>
      <c r="BB737" t="str">
        <f t="shared" si="287"/>
        <v/>
      </c>
    </row>
    <row r="738" spans="1:54" ht="14.25" customHeight="1" x14ac:dyDescent="0.3">
      <c r="A738" t="str">
        <f>IF(SAISIE!$F743="","",SAISIE!$B743)</f>
        <v/>
      </c>
      <c r="B738" t="str">
        <f>IF(SAISIE!$F743="","",SAISIE!$C743)</f>
        <v/>
      </c>
      <c r="C738" t="str">
        <f>IF(SAISIE!$F743="","",SAISIE!$D743)</f>
        <v/>
      </c>
      <c r="D738" t="str">
        <f>IF(SAISIE!$E743="","",SAISIE!$E743)</f>
        <v/>
      </c>
      <c r="E738" t="str">
        <f>IF(SAISIE!$F743="","",SAISIE!$F743)</f>
        <v/>
      </c>
      <c r="F738" t="str">
        <f>IF(SAISIE!$G743="","",SAISIE!$G743)</f>
        <v/>
      </c>
      <c r="G738" t="str">
        <f>IF(SAISIE!$H743="","",SAISIE!$H743)</f>
        <v/>
      </c>
      <c r="H738" t="str">
        <f>IF(SAISIE!$I743="","",SAISIE!$I743)</f>
        <v/>
      </c>
      <c r="I738" t="str">
        <f>IF(SAISIE!$J743="","",SAISIE!$J743)</f>
        <v/>
      </c>
      <c r="J738" t="str">
        <f>IF(SAISIE!$K743="","",SAISIE!$K743)</f>
        <v/>
      </c>
      <c r="K738" t="str">
        <f>IF(SAISIE!$L743="","",SAISIE!$L743)</f>
        <v/>
      </c>
      <c r="L738" t="str">
        <f>IF(SAISIE!$M743="","",SAISIE!$M743)</f>
        <v/>
      </c>
      <c r="M738" t="str">
        <f>IF(SAISIE!$N743="","",SAISIE!$N743)</f>
        <v/>
      </c>
      <c r="N738" t="str">
        <f>IF(SAISIE!$O743="","",SAISIE!$O743)</f>
        <v/>
      </c>
      <c r="O738" t="str">
        <f>IF(SAISIE!$P743="","",SAISIE!$P743)</f>
        <v/>
      </c>
      <c r="P738" t="str">
        <f>IF(SAISIE!$Q743="","",SAISIE!$Q743)</f>
        <v/>
      </c>
      <c r="Q738" t="str">
        <f>IF($I738="","",IF($I738&gt;PARAMETRES!$G$29,5,IF($I738&gt;PARAMETRES!$F$29,4,IF($I738&gt;PARAMETRES!$E$29,3,IF($I738&gt;PARAMETRES!$D$29,2,1)))))</f>
        <v/>
      </c>
      <c r="R738" t="str">
        <f>IF($J738="","",IF($J738&gt;PARAMETRES!$G$30,5,IF($J738&gt;PARAMETRES!$F$30,4,IF($J738&gt;PARAMETRES!$E$30,3,IF($J738&gt;PARAMETRES!$D$30,2,1)))))</f>
        <v/>
      </c>
      <c r="S738" t="str">
        <f>IF($K738="","",IF($Z738=2,IF($K738&gt;PARAMETRES!$G$31,5,IF($K738&gt;PARAMETRES!$F$31,4,IF($K738&gt;PARAMETRES!$E$31,3,IF($K738&gt;PARAMETRES!$D$31,2,1)))),IF($K738&gt;PARAMETRES!$G$32,5,IF($K738&gt;PARAMETRES!$F$32,4,IF($K738&gt;PARAMETRES!$E$32,3,IF($K738&gt;PARAMETRES!$D$32,2,1))))))</f>
        <v/>
      </c>
      <c r="T738" t="str">
        <f>IF($L738="","",IF($L738&gt;PARAMETRES!$G$33,5,IF($L738&gt;PARAMETRES!$F$33,4,IF($L738&gt;PARAMETRES!$E$33,3,IF($L738&gt;PARAMETRES!$D$33,2,1)))))</f>
        <v/>
      </c>
      <c r="U738" t="str">
        <f>IF($M738="","",IF($M738&gt;PARAMETRES!$G$34,5,IF($M738&gt;PARAMETRES!$F$34,4,IF($M738&gt;PARAMETRES!$E$34,3,IF($M738&gt;PARAMETRES!$D$34,2,1)))))</f>
        <v/>
      </c>
      <c r="V738" t="str">
        <f>IF($N738="","",IF($N738&gt;PARAMETRES!$G$35,5,IF($N738&gt;PARAMETRES!$F$35,4,IF($N738&gt;PARAMETRES!$E$35,3,IF($N738&gt;PARAMETRES!$D$35,2,1)))))</f>
        <v/>
      </c>
      <c r="W738" t="str">
        <f>IF($O738="","",IF($O738&gt;PARAMETRES!$G$36,5,IF($O738&gt;PARAMETRES!$F$36,4,IF($O738&gt;PARAMETRES!$E$36,3,IF($O738&gt;PARAMETRES!$D$36,2,1)))))</f>
        <v/>
      </c>
      <c r="X738" t="str">
        <f>IF($P738="","",IF($P738&gt;PARAMETRES!$G$37,5,IF($P738&gt;PARAMETRES!$F$37,4,IF($P738&gt;PARAMETRES!$E$37,3,IF($P738&gt;PARAMETRES!$D$37,2,1)))))</f>
        <v/>
      </c>
      <c r="Y738" t="str">
        <f t="shared" si="264"/>
        <v/>
      </c>
      <c r="Z738" t="str">
        <f>IFERROR(VLOOKUP($B738,TABLE_CYCLE,2,0),"")</f>
        <v/>
      </c>
      <c r="AA738" t="str">
        <f t="shared" si="265"/>
        <v/>
      </c>
      <c r="AB738" t="str">
        <f>IF($D738="","",IF(COUNTIF($D$2:$D738,$D738)=1,$D738,""))</f>
        <v/>
      </c>
      <c r="AC738">
        <f t="shared" si="266"/>
        <v>0</v>
      </c>
      <c r="AD738" t="str">
        <f t="shared" si="267"/>
        <v>|0</v>
      </c>
      <c r="AE738" t="str">
        <f t="shared" si="268"/>
        <v/>
      </c>
      <c r="AF738" t="str">
        <f t="shared" si="269"/>
        <v/>
      </c>
      <c r="AG738" t="str">
        <f t="shared" si="270"/>
        <v/>
      </c>
      <c r="AH738" t="str">
        <f t="shared" si="271"/>
        <v/>
      </c>
      <c r="AI738" t="str">
        <f t="shared" si="272"/>
        <v/>
      </c>
      <c r="AJ738" t="str">
        <f t="shared" si="273"/>
        <v/>
      </c>
      <c r="AK738" t="str">
        <f t="shared" si="274"/>
        <v/>
      </c>
      <c r="AL738" t="str">
        <f t="shared" si="275"/>
        <v/>
      </c>
      <c r="AM738" t="str">
        <f t="shared" si="276"/>
        <v/>
      </c>
      <c r="AN738" t="str">
        <f t="shared" si="277"/>
        <v/>
      </c>
      <c r="AO738" t="str">
        <f t="shared" si="278"/>
        <v/>
      </c>
      <c r="AP738">
        <f t="shared" si="279"/>
        <v>1</v>
      </c>
      <c r="AQ738" t="str">
        <f>IF(SAISIE!$F743="","",SAISIE!$Y743)</f>
        <v/>
      </c>
      <c r="AR738" t="str">
        <f>IF(OR(SAISIE!$U$4="",SAISIE!$W$4=""),"",IF(AND($A738=SAISIE!$U$4,$B738=SAISIE!$W$4,$C738="S1"),COUNTIFS($A$2:$A738,SAISIE!$U$4,$B$2:$B738,SAISIE!$W$4,$C$2:$C738,"S1"),""))</f>
        <v/>
      </c>
      <c r="AS738" t="str">
        <f t="shared" si="280"/>
        <v/>
      </c>
      <c r="AT738" t="str">
        <f t="shared" si="281"/>
        <v/>
      </c>
      <c r="AU738" t="str">
        <f t="shared" si="282"/>
        <v/>
      </c>
      <c r="AV738">
        <f>N(AV737)+IF(AND($AB738&lt;&gt;"",OR('PROFIL ELEVE'!$K$4="(Tous)",$AF738='PROFIL ELEVE'!$K$4)),1,0)</f>
        <v>0</v>
      </c>
      <c r="AW738">
        <f>N(AW737)+IF(AND($AB738&lt;&gt;"",OR('SUIVI LONGITUDINAL'!$Q$4="(Tous)",$AF738='SUIVI LONGITUDINAL'!$Q$4)),1,0)</f>
        <v>0</v>
      </c>
      <c r="AX738">
        <f t="shared" si="283"/>
        <v>0</v>
      </c>
      <c r="AY738">
        <f t="shared" si="284"/>
        <v>0</v>
      </c>
      <c r="AZ738">
        <f t="shared" si="285"/>
        <v>0</v>
      </c>
      <c r="BA738" t="str">
        <f t="shared" si="286"/>
        <v/>
      </c>
      <c r="BB738" t="str">
        <f t="shared" si="287"/>
        <v/>
      </c>
    </row>
    <row r="739" spans="1:54" ht="14.25" customHeight="1" x14ac:dyDescent="0.3">
      <c r="A739" t="str">
        <f>IF(SAISIE!$F744="","",SAISIE!$B744)</f>
        <v/>
      </c>
      <c r="B739" t="str">
        <f>IF(SAISIE!$F744="","",SAISIE!$C744)</f>
        <v/>
      </c>
      <c r="C739" t="str">
        <f>IF(SAISIE!$F744="","",SAISIE!$D744)</f>
        <v/>
      </c>
      <c r="D739" t="str">
        <f>IF(SAISIE!$E744="","",SAISIE!$E744)</f>
        <v/>
      </c>
      <c r="E739" t="str">
        <f>IF(SAISIE!$F744="","",SAISIE!$F744)</f>
        <v/>
      </c>
      <c r="F739" t="str">
        <f>IF(SAISIE!$G744="","",SAISIE!$G744)</f>
        <v/>
      </c>
      <c r="G739" t="str">
        <f>IF(SAISIE!$H744="","",SAISIE!$H744)</f>
        <v/>
      </c>
      <c r="H739" t="str">
        <f>IF(SAISIE!$I744="","",SAISIE!$I744)</f>
        <v/>
      </c>
      <c r="I739" t="str">
        <f>IF(SAISIE!$J744="","",SAISIE!$J744)</f>
        <v/>
      </c>
      <c r="J739" t="str">
        <f>IF(SAISIE!$K744="","",SAISIE!$K744)</f>
        <v/>
      </c>
      <c r="K739" t="str">
        <f>IF(SAISIE!$L744="","",SAISIE!$L744)</f>
        <v/>
      </c>
      <c r="L739" t="str">
        <f>IF(SAISIE!$M744="","",SAISIE!$M744)</f>
        <v/>
      </c>
      <c r="M739" t="str">
        <f>IF(SAISIE!$N744="","",SAISIE!$N744)</f>
        <v/>
      </c>
      <c r="N739" t="str">
        <f>IF(SAISIE!$O744="","",SAISIE!$O744)</f>
        <v/>
      </c>
      <c r="O739" t="str">
        <f>IF(SAISIE!$P744="","",SAISIE!$P744)</f>
        <v/>
      </c>
      <c r="P739" t="str">
        <f>IF(SAISIE!$Q744="","",SAISIE!$Q744)</f>
        <v/>
      </c>
      <c r="Q739" t="str">
        <f>IF($I739="","",IF($I739&gt;PARAMETRES!$G$29,5,IF($I739&gt;PARAMETRES!$F$29,4,IF($I739&gt;PARAMETRES!$E$29,3,IF($I739&gt;PARAMETRES!$D$29,2,1)))))</f>
        <v/>
      </c>
      <c r="R739" t="str">
        <f>IF($J739="","",IF($J739&gt;PARAMETRES!$G$30,5,IF($J739&gt;PARAMETRES!$F$30,4,IF($J739&gt;PARAMETRES!$E$30,3,IF($J739&gt;PARAMETRES!$D$30,2,1)))))</f>
        <v/>
      </c>
      <c r="S739" t="str">
        <f>IF($K739="","",IF($Z739=2,IF($K739&gt;PARAMETRES!$G$31,5,IF($K739&gt;PARAMETRES!$F$31,4,IF($K739&gt;PARAMETRES!$E$31,3,IF($K739&gt;PARAMETRES!$D$31,2,1)))),IF($K739&gt;PARAMETRES!$G$32,5,IF($K739&gt;PARAMETRES!$F$32,4,IF($K739&gt;PARAMETRES!$E$32,3,IF($K739&gt;PARAMETRES!$D$32,2,1))))))</f>
        <v/>
      </c>
      <c r="T739" t="str">
        <f>IF($L739="","",IF($L739&gt;PARAMETRES!$G$33,5,IF($L739&gt;PARAMETRES!$F$33,4,IF($L739&gt;PARAMETRES!$E$33,3,IF($L739&gt;PARAMETRES!$D$33,2,1)))))</f>
        <v/>
      </c>
      <c r="U739" t="str">
        <f>IF($M739="","",IF($M739&gt;PARAMETRES!$G$34,5,IF($M739&gt;PARAMETRES!$F$34,4,IF($M739&gt;PARAMETRES!$E$34,3,IF($M739&gt;PARAMETRES!$D$34,2,1)))))</f>
        <v/>
      </c>
      <c r="V739" t="str">
        <f>IF($N739="","",IF($N739&gt;PARAMETRES!$G$35,5,IF($N739&gt;PARAMETRES!$F$35,4,IF($N739&gt;PARAMETRES!$E$35,3,IF($N739&gt;PARAMETRES!$D$35,2,1)))))</f>
        <v/>
      </c>
      <c r="W739" t="str">
        <f>IF($O739="","",IF($O739&gt;PARAMETRES!$G$36,5,IF($O739&gt;PARAMETRES!$F$36,4,IF($O739&gt;PARAMETRES!$E$36,3,IF($O739&gt;PARAMETRES!$D$36,2,1)))))</f>
        <v/>
      </c>
      <c r="X739" t="str">
        <f>IF($P739="","",IF($P739&gt;PARAMETRES!$G$37,5,IF($P739&gt;PARAMETRES!$F$37,4,IF($P739&gt;PARAMETRES!$E$37,3,IF($P739&gt;PARAMETRES!$D$37,2,1)))))</f>
        <v/>
      </c>
      <c r="Y739" t="str">
        <f t="shared" si="264"/>
        <v/>
      </c>
      <c r="Z739" t="str">
        <f>IFERROR(VLOOKUP($B739,TABLE_CYCLE,2,0),"")</f>
        <v/>
      </c>
      <c r="AA739" t="str">
        <f t="shared" si="265"/>
        <v/>
      </c>
      <c r="AB739" t="str">
        <f>IF($D739="","",IF(COUNTIF($D$2:$D739,$D739)=1,$D739,""))</f>
        <v/>
      </c>
      <c r="AC739">
        <f t="shared" si="266"/>
        <v>0</v>
      </c>
      <c r="AD739" t="str">
        <f t="shared" si="267"/>
        <v>|0</v>
      </c>
      <c r="AE739" t="str">
        <f t="shared" si="268"/>
        <v/>
      </c>
      <c r="AF739" t="str">
        <f t="shared" si="269"/>
        <v/>
      </c>
      <c r="AG739" t="str">
        <f t="shared" si="270"/>
        <v/>
      </c>
      <c r="AH739" t="str">
        <f t="shared" si="271"/>
        <v/>
      </c>
      <c r="AI739" t="str">
        <f t="shared" si="272"/>
        <v/>
      </c>
      <c r="AJ739" t="str">
        <f t="shared" si="273"/>
        <v/>
      </c>
      <c r="AK739" t="str">
        <f t="shared" si="274"/>
        <v/>
      </c>
      <c r="AL739" t="str">
        <f t="shared" si="275"/>
        <v/>
      </c>
      <c r="AM739" t="str">
        <f t="shared" si="276"/>
        <v/>
      </c>
      <c r="AN739" t="str">
        <f t="shared" si="277"/>
        <v/>
      </c>
      <c r="AO739" t="str">
        <f t="shared" si="278"/>
        <v/>
      </c>
      <c r="AP739">
        <f t="shared" si="279"/>
        <v>1</v>
      </c>
      <c r="AQ739" t="str">
        <f>IF(SAISIE!$F744="","",SAISIE!$Y744)</f>
        <v/>
      </c>
      <c r="AR739" t="str">
        <f>IF(OR(SAISIE!$U$4="",SAISIE!$W$4=""),"",IF(AND($A739=SAISIE!$U$4,$B739=SAISIE!$W$4,$C739="S1"),COUNTIFS($A$2:$A739,SAISIE!$U$4,$B$2:$B739,SAISIE!$W$4,$C$2:$C739,"S1"),""))</f>
        <v/>
      </c>
      <c r="AS739" t="str">
        <f t="shared" si="280"/>
        <v/>
      </c>
      <c r="AT739" t="str">
        <f t="shared" si="281"/>
        <v/>
      </c>
      <c r="AU739" t="str">
        <f t="shared" si="282"/>
        <v/>
      </c>
      <c r="AV739">
        <f>N(AV738)+IF(AND($AB739&lt;&gt;"",OR('PROFIL ELEVE'!$K$4="(Tous)",$AF739='PROFIL ELEVE'!$K$4)),1,0)</f>
        <v>0</v>
      </c>
      <c r="AW739">
        <f>N(AW738)+IF(AND($AB739&lt;&gt;"",OR('SUIVI LONGITUDINAL'!$Q$4="(Tous)",$AF739='SUIVI LONGITUDINAL'!$Q$4)),1,0)</f>
        <v>0</v>
      </c>
      <c r="AX739">
        <f t="shared" si="283"/>
        <v>0</v>
      </c>
      <c r="AY739">
        <f t="shared" si="284"/>
        <v>0</v>
      </c>
      <c r="AZ739">
        <f t="shared" si="285"/>
        <v>0</v>
      </c>
      <c r="BA739" t="str">
        <f t="shared" si="286"/>
        <v/>
      </c>
      <c r="BB739" t="str">
        <f t="shared" si="287"/>
        <v/>
      </c>
    </row>
    <row r="740" spans="1:54" ht="14.25" customHeight="1" x14ac:dyDescent="0.3">
      <c r="A740" t="str">
        <f>IF(SAISIE!$F745="","",SAISIE!$B745)</f>
        <v/>
      </c>
      <c r="B740" t="str">
        <f>IF(SAISIE!$F745="","",SAISIE!$C745)</f>
        <v/>
      </c>
      <c r="C740" t="str">
        <f>IF(SAISIE!$F745="","",SAISIE!$D745)</f>
        <v/>
      </c>
      <c r="D740" t="str">
        <f>IF(SAISIE!$E745="","",SAISIE!$E745)</f>
        <v/>
      </c>
      <c r="E740" t="str">
        <f>IF(SAISIE!$F745="","",SAISIE!$F745)</f>
        <v/>
      </c>
      <c r="F740" t="str">
        <f>IF(SAISIE!$G745="","",SAISIE!$G745)</f>
        <v/>
      </c>
      <c r="G740" t="str">
        <f>IF(SAISIE!$H745="","",SAISIE!$H745)</f>
        <v/>
      </c>
      <c r="H740" t="str">
        <f>IF(SAISIE!$I745="","",SAISIE!$I745)</f>
        <v/>
      </c>
      <c r="I740" t="str">
        <f>IF(SAISIE!$J745="","",SAISIE!$J745)</f>
        <v/>
      </c>
      <c r="J740" t="str">
        <f>IF(SAISIE!$K745="","",SAISIE!$K745)</f>
        <v/>
      </c>
      <c r="K740" t="str">
        <f>IF(SAISIE!$L745="","",SAISIE!$L745)</f>
        <v/>
      </c>
      <c r="L740" t="str">
        <f>IF(SAISIE!$M745="","",SAISIE!$M745)</f>
        <v/>
      </c>
      <c r="M740" t="str">
        <f>IF(SAISIE!$N745="","",SAISIE!$N745)</f>
        <v/>
      </c>
      <c r="N740" t="str">
        <f>IF(SAISIE!$O745="","",SAISIE!$O745)</f>
        <v/>
      </c>
      <c r="O740" t="str">
        <f>IF(SAISIE!$P745="","",SAISIE!$P745)</f>
        <v/>
      </c>
      <c r="P740" t="str">
        <f>IF(SAISIE!$Q745="","",SAISIE!$Q745)</f>
        <v/>
      </c>
      <c r="Q740" t="str">
        <f>IF($I740="","",IF($I740&gt;PARAMETRES!$G$29,5,IF($I740&gt;PARAMETRES!$F$29,4,IF($I740&gt;PARAMETRES!$E$29,3,IF($I740&gt;PARAMETRES!$D$29,2,1)))))</f>
        <v/>
      </c>
      <c r="R740" t="str">
        <f>IF($J740="","",IF($J740&gt;PARAMETRES!$G$30,5,IF($J740&gt;PARAMETRES!$F$30,4,IF($J740&gt;PARAMETRES!$E$30,3,IF($J740&gt;PARAMETRES!$D$30,2,1)))))</f>
        <v/>
      </c>
      <c r="S740" t="str">
        <f>IF($K740="","",IF($Z740=2,IF($K740&gt;PARAMETRES!$G$31,5,IF($K740&gt;PARAMETRES!$F$31,4,IF($K740&gt;PARAMETRES!$E$31,3,IF($K740&gt;PARAMETRES!$D$31,2,1)))),IF($K740&gt;PARAMETRES!$G$32,5,IF($K740&gt;PARAMETRES!$F$32,4,IF($K740&gt;PARAMETRES!$E$32,3,IF($K740&gt;PARAMETRES!$D$32,2,1))))))</f>
        <v/>
      </c>
      <c r="T740" t="str">
        <f>IF($L740="","",IF($L740&gt;PARAMETRES!$G$33,5,IF($L740&gt;PARAMETRES!$F$33,4,IF($L740&gt;PARAMETRES!$E$33,3,IF($L740&gt;PARAMETRES!$D$33,2,1)))))</f>
        <v/>
      </c>
      <c r="U740" t="str">
        <f>IF($M740="","",IF($M740&gt;PARAMETRES!$G$34,5,IF($M740&gt;PARAMETRES!$F$34,4,IF($M740&gt;PARAMETRES!$E$34,3,IF($M740&gt;PARAMETRES!$D$34,2,1)))))</f>
        <v/>
      </c>
      <c r="V740" t="str">
        <f>IF($N740="","",IF($N740&gt;PARAMETRES!$G$35,5,IF($N740&gt;PARAMETRES!$F$35,4,IF($N740&gt;PARAMETRES!$E$35,3,IF($N740&gt;PARAMETRES!$D$35,2,1)))))</f>
        <v/>
      </c>
      <c r="W740" t="str">
        <f>IF($O740="","",IF($O740&gt;PARAMETRES!$G$36,5,IF($O740&gt;PARAMETRES!$F$36,4,IF($O740&gt;PARAMETRES!$E$36,3,IF($O740&gt;PARAMETRES!$D$36,2,1)))))</f>
        <v/>
      </c>
      <c r="X740" t="str">
        <f>IF($P740="","",IF($P740&gt;PARAMETRES!$G$37,5,IF($P740&gt;PARAMETRES!$F$37,4,IF($P740&gt;PARAMETRES!$E$37,3,IF($P740&gt;PARAMETRES!$D$37,2,1)))))</f>
        <v/>
      </c>
      <c r="Y740" t="str">
        <f t="shared" si="264"/>
        <v/>
      </c>
      <c r="Z740" t="str">
        <f>IFERROR(VLOOKUP($B740,TABLE_CYCLE,2,0),"")</f>
        <v/>
      </c>
      <c r="AA740" t="str">
        <f t="shared" si="265"/>
        <v/>
      </c>
      <c r="AB740" t="str">
        <f>IF($D740="","",IF(COUNTIF($D$2:$D740,$D740)=1,$D740,""))</f>
        <v/>
      </c>
      <c r="AC740">
        <f t="shared" si="266"/>
        <v>0</v>
      </c>
      <c r="AD740" t="str">
        <f t="shared" si="267"/>
        <v>|0</v>
      </c>
      <c r="AE740" t="str">
        <f t="shared" si="268"/>
        <v/>
      </c>
      <c r="AF740" t="str">
        <f t="shared" si="269"/>
        <v/>
      </c>
      <c r="AG740" t="str">
        <f t="shared" si="270"/>
        <v/>
      </c>
      <c r="AH740" t="str">
        <f t="shared" si="271"/>
        <v/>
      </c>
      <c r="AI740" t="str">
        <f t="shared" si="272"/>
        <v/>
      </c>
      <c r="AJ740" t="str">
        <f t="shared" si="273"/>
        <v/>
      </c>
      <c r="AK740" t="str">
        <f t="shared" si="274"/>
        <v/>
      </c>
      <c r="AL740" t="str">
        <f t="shared" si="275"/>
        <v/>
      </c>
      <c r="AM740" t="str">
        <f t="shared" si="276"/>
        <v/>
      </c>
      <c r="AN740" t="str">
        <f t="shared" si="277"/>
        <v/>
      </c>
      <c r="AO740" t="str">
        <f t="shared" si="278"/>
        <v/>
      </c>
      <c r="AP740">
        <f t="shared" si="279"/>
        <v>1</v>
      </c>
      <c r="AQ740" t="str">
        <f>IF(SAISIE!$F745="","",SAISIE!$Y745)</f>
        <v/>
      </c>
      <c r="AR740" t="str">
        <f>IF(OR(SAISIE!$U$4="",SAISIE!$W$4=""),"",IF(AND($A740=SAISIE!$U$4,$B740=SAISIE!$W$4,$C740="S1"),COUNTIFS($A$2:$A740,SAISIE!$U$4,$B$2:$B740,SAISIE!$W$4,$C$2:$C740,"S1"),""))</f>
        <v/>
      </c>
      <c r="AS740" t="str">
        <f t="shared" si="280"/>
        <v/>
      </c>
      <c r="AT740" t="str">
        <f t="shared" si="281"/>
        <v/>
      </c>
      <c r="AU740" t="str">
        <f t="shared" si="282"/>
        <v/>
      </c>
      <c r="AV740">
        <f>N(AV739)+IF(AND($AB740&lt;&gt;"",OR('PROFIL ELEVE'!$K$4="(Tous)",$AF740='PROFIL ELEVE'!$K$4)),1,0)</f>
        <v>0</v>
      </c>
      <c r="AW740">
        <f>N(AW739)+IF(AND($AB740&lt;&gt;"",OR('SUIVI LONGITUDINAL'!$Q$4="(Tous)",$AF740='SUIVI LONGITUDINAL'!$Q$4)),1,0)</f>
        <v>0</v>
      </c>
      <c r="AX740">
        <f t="shared" si="283"/>
        <v>0</v>
      </c>
      <c r="AY740">
        <f t="shared" si="284"/>
        <v>0</v>
      </c>
      <c r="AZ740">
        <f t="shared" si="285"/>
        <v>0</v>
      </c>
      <c r="BA740" t="str">
        <f t="shared" si="286"/>
        <v/>
      </c>
      <c r="BB740" t="str">
        <f t="shared" si="287"/>
        <v/>
      </c>
    </row>
    <row r="741" spans="1:54" ht="14.25" customHeight="1" x14ac:dyDescent="0.3">
      <c r="A741" t="str">
        <f>IF(SAISIE!$F746="","",SAISIE!$B746)</f>
        <v/>
      </c>
      <c r="B741" t="str">
        <f>IF(SAISIE!$F746="","",SAISIE!$C746)</f>
        <v/>
      </c>
      <c r="C741" t="str">
        <f>IF(SAISIE!$F746="","",SAISIE!$D746)</f>
        <v/>
      </c>
      <c r="D741" t="str">
        <f>IF(SAISIE!$E746="","",SAISIE!$E746)</f>
        <v/>
      </c>
      <c r="E741" t="str">
        <f>IF(SAISIE!$F746="","",SAISIE!$F746)</f>
        <v/>
      </c>
      <c r="F741" t="str">
        <f>IF(SAISIE!$G746="","",SAISIE!$G746)</f>
        <v/>
      </c>
      <c r="G741" t="str">
        <f>IF(SAISIE!$H746="","",SAISIE!$H746)</f>
        <v/>
      </c>
      <c r="H741" t="str">
        <f>IF(SAISIE!$I746="","",SAISIE!$I746)</f>
        <v/>
      </c>
      <c r="I741" t="str">
        <f>IF(SAISIE!$J746="","",SAISIE!$J746)</f>
        <v/>
      </c>
      <c r="J741" t="str">
        <f>IF(SAISIE!$K746="","",SAISIE!$K746)</f>
        <v/>
      </c>
      <c r="K741" t="str">
        <f>IF(SAISIE!$L746="","",SAISIE!$L746)</f>
        <v/>
      </c>
      <c r="L741" t="str">
        <f>IF(SAISIE!$M746="","",SAISIE!$M746)</f>
        <v/>
      </c>
      <c r="M741" t="str">
        <f>IF(SAISIE!$N746="","",SAISIE!$N746)</f>
        <v/>
      </c>
      <c r="N741" t="str">
        <f>IF(SAISIE!$O746="","",SAISIE!$O746)</f>
        <v/>
      </c>
      <c r="O741" t="str">
        <f>IF(SAISIE!$P746="","",SAISIE!$P746)</f>
        <v/>
      </c>
      <c r="P741" t="str">
        <f>IF(SAISIE!$Q746="","",SAISIE!$Q746)</f>
        <v/>
      </c>
      <c r="Q741" t="str">
        <f>IF($I741="","",IF($I741&gt;PARAMETRES!$G$29,5,IF($I741&gt;PARAMETRES!$F$29,4,IF($I741&gt;PARAMETRES!$E$29,3,IF($I741&gt;PARAMETRES!$D$29,2,1)))))</f>
        <v/>
      </c>
      <c r="R741" t="str">
        <f>IF($J741="","",IF($J741&gt;PARAMETRES!$G$30,5,IF($J741&gt;PARAMETRES!$F$30,4,IF($J741&gt;PARAMETRES!$E$30,3,IF($J741&gt;PARAMETRES!$D$30,2,1)))))</f>
        <v/>
      </c>
      <c r="S741" t="str">
        <f>IF($K741="","",IF($Z741=2,IF($K741&gt;PARAMETRES!$G$31,5,IF($K741&gt;PARAMETRES!$F$31,4,IF($K741&gt;PARAMETRES!$E$31,3,IF($K741&gt;PARAMETRES!$D$31,2,1)))),IF($K741&gt;PARAMETRES!$G$32,5,IF($K741&gt;PARAMETRES!$F$32,4,IF($K741&gt;PARAMETRES!$E$32,3,IF($K741&gt;PARAMETRES!$D$32,2,1))))))</f>
        <v/>
      </c>
      <c r="T741" t="str">
        <f>IF($L741="","",IF($L741&gt;PARAMETRES!$G$33,5,IF($L741&gt;PARAMETRES!$F$33,4,IF($L741&gt;PARAMETRES!$E$33,3,IF($L741&gt;PARAMETRES!$D$33,2,1)))))</f>
        <v/>
      </c>
      <c r="U741" t="str">
        <f>IF($M741="","",IF($M741&gt;PARAMETRES!$G$34,5,IF($M741&gt;PARAMETRES!$F$34,4,IF($M741&gt;PARAMETRES!$E$34,3,IF($M741&gt;PARAMETRES!$D$34,2,1)))))</f>
        <v/>
      </c>
      <c r="V741" t="str">
        <f>IF($N741="","",IF($N741&gt;PARAMETRES!$G$35,5,IF($N741&gt;PARAMETRES!$F$35,4,IF($N741&gt;PARAMETRES!$E$35,3,IF($N741&gt;PARAMETRES!$D$35,2,1)))))</f>
        <v/>
      </c>
      <c r="W741" t="str">
        <f>IF($O741="","",IF($O741&gt;PARAMETRES!$G$36,5,IF($O741&gt;PARAMETRES!$F$36,4,IF($O741&gt;PARAMETRES!$E$36,3,IF($O741&gt;PARAMETRES!$D$36,2,1)))))</f>
        <v/>
      </c>
      <c r="X741" t="str">
        <f>IF($P741="","",IF($P741&gt;PARAMETRES!$G$37,5,IF($P741&gt;PARAMETRES!$F$37,4,IF($P741&gt;PARAMETRES!$E$37,3,IF($P741&gt;PARAMETRES!$D$37,2,1)))))</f>
        <v/>
      </c>
      <c r="Y741" t="str">
        <f t="shared" si="264"/>
        <v/>
      </c>
      <c r="Z741" t="str">
        <f>IFERROR(VLOOKUP($B741,TABLE_CYCLE,2,0),"")</f>
        <v/>
      </c>
      <c r="AA741" t="str">
        <f t="shared" si="265"/>
        <v/>
      </c>
      <c r="AB741" t="str">
        <f>IF($D741="","",IF(COUNTIF($D$2:$D741,$D741)=1,$D741,""))</f>
        <v/>
      </c>
      <c r="AC741">
        <f t="shared" si="266"/>
        <v>0</v>
      </c>
      <c r="AD741" t="str">
        <f t="shared" si="267"/>
        <v>|0</v>
      </c>
      <c r="AE741" t="str">
        <f t="shared" si="268"/>
        <v/>
      </c>
      <c r="AF741" t="str">
        <f t="shared" si="269"/>
        <v/>
      </c>
      <c r="AG741" t="str">
        <f t="shared" si="270"/>
        <v/>
      </c>
      <c r="AH741" t="str">
        <f t="shared" si="271"/>
        <v/>
      </c>
      <c r="AI741" t="str">
        <f t="shared" si="272"/>
        <v/>
      </c>
      <c r="AJ741" t="str">
        <f t="shared" si="273"/>
        <v/>
      </c>
      <c r="AK741" t="str">
        <f t="shared" si="274"/>
        <v/>
      </c>
      <c r="AL741" t="str">
        <f t="shared" si="275"/>
        <v/>
      </c>
      <c r="AM741" t="str">
        <f t="shared" si="276"/>
        <v/>
      </c>
      <c r="AN741" t="str">
        <f t="shared" si="277"/>
        <v/>
      </c>
      <c r="AO741" t="str">
        <f t="shared" si="278"/>
        <v/>
      </c>
      <c r="AP741">
        <f t="shared" si="279"/>
        <v>1</v>
      </c>
      <c r="AQ741" t="str">
        <f>IF(SAISIE!$F746="","",SAISIE!$Y746)</f>
        <v/>
      </c>
      <c r="AR741" t="str">
        <f>IF(OR(SAISIE!$U$4="",SAISIE!$W$4=""),"",IF(AND($A741=SAISIE!$U$4,$B741=SAISIE!$W$4,$C741="S1"),COUNTIFS($A$2:$A741,SAISIE!$U$4,$B$2:$B741,SAISIE!$W$4,$C$2:$C741,"S1"),""))</f>
        <v/>
      </c>
      <c r="AS741" t="str">
        <f t="shared" si="280"/>
        <v/>
      </c>
      <c r="AT741" t="str">
        <f t="shared" si="281"/>
        <v/>
      </c>
      <c r="AU741" t="str">
        <f t="shared" si="282"/>
        <v/>
      </c>
      <c r="AV741">
        <f>N(AV740)+IF(AND($AB741&lt;&gt;"",OR('PROFIL ELEVE'!$K$4="(Tous)",$AF741='PROFIL ELEVE'!$K$4)),1,0)</f>
        <v>0</v>
      </c>
      <c r="AW741">
        <f>N(AW740)+IF(AND($AB741&lt;&gt;"",OR('SUIVI LONGITUDINAL'!$Q$4="(Tous)",$AF741='SUIVI LONGITUDINAL'!$Q$4)),1,0)</f>
        <v>0</v>
      </c>
      <c r="AX741">
        <f t="shared" si="283"/>
        <v>0</v>
      </c>
      <c r="AY741">
        <f t="shared" si="284"/>
        <v>0</v>
      </c>
      <c r="AZ741">
        <f t="shared" si="285"/>
        <v>0</v>
      </c>
      <c r="BA741" t="str">
        <f t="shared" si="286"/>
        <v/>
      </c>
      <c r="BB741" t="str">
        <f t="shared" si="287"/>
        <v/>
      </c>
    </row>
    <row r="742" spans="1:54" ht="14.25" customHeight="1" x14ac:dyDescent="0.3">
      <c r="A742" t="str">
        <f>IF(SAISIE!$F747="","",SAISIE!$B747)</f>
        <v/>
      </c>
      <c r="B742" t="str">
        <f>IF(SAISIE!$F747="","",SAISIE!$C747)</f>
        <v/>
      </c>
      <c r="C742" t="str">
        <f>IF(SAISIE!$F747="","",SAISIE!$D747)</f>
        <v/>
      </c>
      <c r="D742" t="str">
        <f>IF(SAISIE!$E747="","",SAISIE!$E747)</f>
        <v/>
      </c>
      <c r="E742" t="str">
        <f>IF(SAISIE!$F747="","",SAISIE!$F747)</f>
        <v/>
      </c>
      <c r="F742" t="str">
        <f>IF(SAISIE!$G747="","",SAISIE!$G747)</f>
        <v/>
      </c>
      <c r="G742" t="str">
        <f>IF(SAISIE!$H747="","",SAISIE!$H747)</f>
        <v/>
      </c>
      <c r="H742" t="str">
        <f>IF(SAISIE!$I747="","",SAISIE!$I747)</f>
        <v/>
      </c>
      <c r="I742" t="str">
        <f>IF(SAISIE!$J747="","",SAISIE!$J747)</f>
        <v/>
      </c>
      <c r="J742" t="str">
        <f>IF(SAISIE!$K747="","",SAISIE!$K747)</f>
        <v/>
      </c>
      <c r="K742" t="str">
        <f>IF(SAISIE!$L747="","",SAISIE!$L747)</f>
        <v/>
      </c>
      <c r="L742" t="str">
        <f>IF(SAISIE!$M747="","",SAISIE!$M747)</f>
        <v/>
      </c>
      <c r="M742" t="str">
        <f>IF(SAISIE!$N747="","",SAISIE!$N747)</f>
        <v/>
      </c>
      <c r="N742" t="str">
        <f>IF(SAISIE!$O747="","",SAISIE!$O747)</f>
        <v/>
      </c>
      <c r="O742" t="str">
        <f>IF(SAISIE!$P747="","",SAISIE!$P747)</f>
        <v/>
      </c>
      <c r="P742" t="str">
        <f>IF(SAISIE!$Q747="","",SAISIE!$Q747)</f>
        <v/>
      </c>
      <c r="Q742" t="str">
        <f>IF($I742="","",IF($I742&gt;PARAMETRES!$G$29,5,IF($I742&gt;PARAMETRES!$F$29,4,IF($I742&gt;PARAMETRES!$E$29,3,IF($I742&gt;PARAMETRES!$D$29,2,1)))))</f>
        <v/>
      </c>
      <c r="R742" t="str">
        <f>IF($J742="","",IF($J742&gt;PARAMETRES!$G$30,5,IF($J742&gt;PARAMETRES!$F$30,4,IF($J742&gt;PARAMETRES!$E$30,3,IF($J742&gt;PARAMETRES!$D$30,2,1)))))</f>
        <v/>
      </c>
      <c r="S742" t="str">
        <f>IF($K742="","",IF($Z742=2,IF($K742&gt;PARAMETRES!$G$31,5,IF($K742&gt;PARAMETRES!$F$31,4,IF($K742&gt;PARAMETRES!$E$31,3,IF($K742&gt;PARAMETRES!$D$31,2,1)))),IF($K742&gt;PARAMETRES!$G$32,5,IF($K742&gt;PARAMETRES!$F$32,4,IF($K742&gt;PARAMETRES!$E$32,3,IF($K742&gt;PARAMETRES!$D$32,2,1))))))</f>
        <v/>
      </c>
      <c r="T742" t="str">
        <f>IF($L742="","",IF($L742&gt;PARAMETRES!$G$33,5,IF($L742&gt;PARAMETRES!$F$33,4,IF($L742&gt;PARAMETRES!$E$33,3,IF($L742&gt;PARAMETRES!$D$33,2,1)))))</f>
        <v/>
      </c>
      <c r="U742" t="str">
        <f>IF($M742="","",IF($M742&gt;PARAMETRES!$G$34,5,IF($M742&gt;PARAMETRES!$F$34,4,IF($M742&gt;PARAMETRES!$E$34,3,IF($M742&gt;PARAMETRES!$D$34,2,1)))))</f>
        <v/>
      </c>
      <c r="V742" t="str">
        <f>IF($N742="","",IF($N742&gt;PARAMETRES!$G$35,5,IF($N742&gt;PARAMETRES!$F$35,4,IF($N742&gt;PARAMETRES!$E$35,3,IF($N742&gt;PARAMETRES!$D$35,2,1)))))</f>
        <v/>
      </c>
      <c r="W742" t="str">
        <f>IF($O742="","",IF($O742&gt;PARAMETRES!$G$36,5,IF($O742&gt;PARAMETRES!$F$36,4,IF($O742&gt;PARAMETRES!$E$36,3,IF($O742&gt;PARAMETRES!$D$36,2,1)))))</f>
        <v/>
      </c>
      <c r="X742" t="str">
        <f>IF($P742="","",IF($P742&gt;PARAMETRES!$G$37,5,IF($P742&gt;PARAMETRES!$F$37,4,IF($P742&gt;PARAMETRES!$E$37,3,IF($P742&gt;PARAMETRES!$D$37,2,1)))))</f>
        <v/>
      </c>
      <c r="Y742" t="str">
        <f t="shared" si="264"/>
        <v/>
      </c>
      <c r="Z742" t="str">
        <f>IFERROR(VLOOKUP($B742,TABLE_CYCLE,2,0),"")</f>
        <v/>
      </c>
      <c r="AA742" t="str">
        <f t="shared" si="265"/>
        <v/>
      </c>
      <c r="AB742" t="str">
        <f>IF($D742="","",IF(COUNTIF($D$2:$D742,$D742)=1,$D742,""))</f>
        <v/>
      </c>
      <c r="AC742">
        <f t="shared" si="266"/>
        <v>0</v>
      </c>
      <c r="AD742" t="str">
        <f t="shared" si="267"/>
        <v>|0</v>
      </c>
      <c r="AE742" t="str">
        <f t="shared" si="268"/>
        <v/>
      </c>
      <c r="AF742" t="str">
        <f t="shared" si="269"/>
        <v/>
      </c>
      <c r="AG742" t="str">
        <f t="shared" si="270"/>
        <v/>
      </c>
      <c r="AH742" t="str">
        <f t="shared" si="271"/>
        <v/>
      </c>
      <c r="AI742" t="str">
        <f t="shared" si="272"/>
        <v/>
      </c>
      <c r="AJ742" t="str">
        <f t="shared" si="273"/>
        <v/>
      </c>
      <c r="AK742" t="str">
        <f t="shared" si="274"/>
        <v/>
      </c>
      <c r="AL742" t="str">
        <f t="shared" si="275"/>
        <v/>
      </c>
      <c r="AM742" t="str">
        <f t="shared" si="276"/>
        <v/>
      </c>
      <c r="AN742" t="str">
        <f t="shared" si="277"/>
        <v/>
      </c>
      <c r="AO742" t="str">
        <f t="shared" si="278"/>
        <v/>
      </c>
      <c r="AP742">
        <f t="shared" si="279"/>
        <v>1</v>
      </c>
      <c r="AQ742" t="str">
        <f>IF(SAISIE!$F747="","",SAISIE!$Y747)</f>
        <v/>
      </c>
      <c r="AR742" t="str">
        <f>IF(OR(SAISIE!$U$4="",SAISIE!$W$4=""),"",IF(AND($A742=SAISIE!$U$4,$B742=SAISIE!$W$4,$C742="S1"),COUNTIFS($A$2:$A742,SAISIE!$U$4,$B$2:$B742,SAISIE!$W$4,$C$2:$C742,"S1"),""))</f>
        <v/>
      </c>
      <c r="AS742" t="str">
        <f t="shared" si="280"/>
        <v/>
      </c>
      <c r="AT742" t="str">
        <f t="shared" si="281"/>
        <v/>
      </c>
      <c r="AU742" t="str">
        <f t="shared" si="282"/>
        <v/>
      </c>
      <c r="AV742">
        <f>N(AV741)+IF(AND($AB742&lt;&gt;"",OR('PROFIL ELEVE'!$K$4="(Tous)",$AF742='PROFIL ELEVE'!$K$4)),1,0)</f>
        <v>0</v>
      </c>
      <c r="AW742">
        <f>N(AW741)+IF(AND($AB742&lt;&gt;"",OR('SUIVI LONGITUDINAL'!$Q$4="(Tous)",$AF742='SUIVI LONGITUDINAL'!$Q$4)),1,0)</f>
        <v>0</v>
      </c>
      <c r="AX742">
        <f t="shared" si="283"/>
        <v>0</v>
      </c>
      <c r="AY742">
        <f t="shared" si="284"/>
        <v>0</v>
      </c>
      <c r="AZ742">
        <f t="shared" si="285"/>
        <v>0</v>
      </c>
      <c r="BA742" t="str">
        <f t="shared" si="286"/>
        <v/>
      </c>
      <c r="BB742" t="str">
        <f t="shared" si="287"/>
        <v/>
      </c>
    </row>
    <row r="743" spans="1:54" ht="14.25" customHeight="1" x14ac:dyDescent="0.3">
      <c r="A743" t="str">
        <f>IF(SAISIE!$F748="","",SAISIE!$B748)</f>
        <v/>
      </c>
      <c r="B743" t="str">
        <f>IF(SAISIE!$F748="","",SAISIE!$C748)</f>
        <v/>
      </c>
      <c r="C743" t="str">
        <f>IF(SAISIE!$F748="","",SAISIE!$D748)</f>
        <v/>
      </c>
      <c r="D743" t="str">
        <f>IF(SAISIE!$E748="","",SAISIE!$E748)</f>
        <v/>
      </c>
      <c r="E743" t="str">
        <f>IF(SAISIE!$F748="","",SAISIE!$F748)</f>
        <v/>
      </c>
      <c r="F743" t="str">
        <f>IF(SAISIE!$G748="","",SAISIE!$G748)</f>
        <v/>
      </c>
      <c r="G743" t="str">
        <f>IF(SAISIE!$H748="","",SAISIE!$H748)</f>
        <v/>
      </c>
      <c r="H743" t="str">
        <f>IF(SAISIE!$I748="","",SAISIE!$I748)</f>
        <v/>
      </c>
      <c r="I743" t="str">
        <f>IF(SAISIE!$J748="","",SAISIE!$J748)</f>
        <v/>
      </c>
      <c r="J743" t="str">
        <f>IF(SAISIE!$K748="","",SAISIE!$K748)</f>
        <v/>
      </c>
      <c r="K743" t="str">
        <f>IF(SAISIE!$L748="","",SAISIE!$L748)</f>
        <v/>
      </c>
      <c r="L743" t="str">
        <f>IF(SAISIE!$M748="","",SAISIE!$M748)</f>
        <v/>
      </c>
      <c r="M743" t="str">
        <f>IF(SAISIE!$N748="","",SAISIE!$N748)</f>
        <v/>
      </c>
      <c r="N743" t="str">
        <f>IF(SAISIE!$O748="","",SAISIE!$O748)</f>
        <v/>
      </c>
      <c r="O743" t="str">
        <f>IF(SAISIE!$P748="","",SAISIE!$P748)</f>
        <v/>
      </c>
      <c r="P743" t="str">
        <f>IF(SAISIE!$Q748="","",SAISIE!$Q748)</f>
        <v/>
      </c>
      <c r="Q743" t="str">
        <f>IF($I743="","",IF($I743&gt;PARAMETRES!$G$29,5,IF($I743&gt;PARAMETRES!$F$29,4,IF($I743&gt;PARAMETRES!$E$29,3,IF($I743&gt;PARAMETRES!$D$29,2,1)))))</f>
        <v/>
      </c>
      <c r="R743" t="str">
        <f>IF($J743="","",IF($J743&gt;PARAMETRES!$G$30,5,IF($J743&gt;PARAMETRES!$F$30,4,IF($J743&gt;PARAMETRES!$E$30,3,IF($J743&gt;PARAMETRES!$D$30,2,1)))))</f>
        <v/>
      </c>
      <c r="S743" t="str">
        <f>IF($K743="","",IF($Z743=2,IF($K743&gt;PARAMETRES!$G$31,5,IF($K743&gt;PARAMETRES!$F$31,4,IF($K743&gt;PARAMETRES!$E$31,3,IF($K743&gt;PARAMETRES!$D$31,2,1)))),IF($K743&gt;PARAMETRES!$G$32,5,IF($K743&gt;PARAMETRES!$F$32,4,IF($K743&gt;PARAMETRES!$E$32,3,IF($K743&gt;PARAMETRES!$D$32,2,1))))))</f>
        <v/>
      </c>
      <c r="T743" t="str">
        <f>IF($L743="","",IF($L743&gt;PARAMETRES!$G$33,5,IF($L743&gt;PARAMETRES!$F$33,4,IF($L743&gt;PARAMETRES!$E$33,3,IF($L743&gt;PARAMETRES!$D$33,2,1)))))</f>
        <v/>
      </c>
      <c r="U743" t="str">
        <f>IF($M743="","",IF($M743&gt;PARAMETRES!$G$34,5,IF($M743&gt;PARAMETRES!$F$34,4,IF($M743&gt;PARAMETRES!$E$34,3,IF($M743&gt;PARAMETRES!$D$34,2,1)))))</f>
        <v/>
      </c>
      <c r="V743" t="str">
        <f>IF($N743="","",IF($N743&gt;PARAMETRES!$G$35,5,IF($N743&gt;PARAMETRES!$F$35,4,IF($N743&gt;PARAMETRES!$E$35,3,IF($N743&gt;PARAMETRES!$D$35,2,1)))))</f>
        <v/>
      </c>
      <c r="W743" t="str">
        <f>IF($O743="","",IF($O743&gt;PARAMETRES!$G$36,5,IF($O743&gt;PARAMETRES!$F$36,4,IF($O743&gt;PARAMETRES!$E$36,3,IF($O743&gt;PARAMETRES!$D$36,2,1)))))</f>
        <v/>
      </c>
      <c r="X743" t="str">
        <f>IF($P743="","",IF($P743&gt;PARAMETRES!$G$37,5,IF($P743&gt;PARAMETRES!$F$37,4,IF($P743&gt;PARAMETRES!$E$37,3,IF($P743&gt;PARAMETRES!$D$37,2,1)))))</f>
        <v/>
      </c>
      <c r="Y743" t="str">
        <f t="shared" si="264"/>
        <v/>
      </c>
      <c r="Z743" t="str">
        <f>IFERROR(VLOOKUP($B743,TABLE_CYCLE,2,0),"")</f>
        <v/>
      </c>
      <c r="AA743" t="str">
        <f t="shared" si="265"/>
        <v/>
      </c>
      <c r="AB743" t="str">
        <f>IF($D743="","",IF(COUNTIF($D$2:$D743,$D743)=1,$D743,""))</f>
        <v/>
      </c>
      <c r="AC743">
        <f t="shared" si="266"/>
        <v>0</v>
      </c>
      <c r="AD743" t="str">
        <f t="shared" si="267"/>
        <v>|0</v>
      </c>
      <c r="AE743" t="str">
        <f t="shared" si="268"/>
        <v/>
      </c>
      <c r="AF743" t="str">
        <f t="shared" si="269"/>
        <v/>
      </c>
      <c r="AG743" t="str">
        <f t="shared" si="270"/>
        <v/>
      </c>
      <c r="AH743" t="str">
        <f t="shared" si="271"/>
        <v/>
      </c>
      <c r="AI743" t="str">
        <f t="shared" si="272"/>
        <v/>
      </c>
      <c r="AJ743" t="str">
        <f t="shared" si="273"/>
        <v/>
      </c>
      <c r="AK743" t="str">
        <f t="shared" si="274"/>
        <v/>
      </c>
      <c r="AL743" t="str">
        <f t="shared" si="275"/>
        <v/>
      </c>
      <c r="AM743" t="str">
        <f t="shared" si="276"/>
        <v/>
      </c>
      <c r="AN743" t="str">
        <f t="shared" si="277"/>
        <v/>
      </c>
      <c r="AO743" t="str">
        <f t="shared" si="278"/>
        <v/>
      </c>
      <c r="AP743">
        <f t="shared" si="279"/>
        <v>1</v>
      </c>
      <c r="AQ743" t="str">
        <f>IF(SAISIE!$F748="","",SAISIE!$Y748)</f>
        <v/>
      </c>
      <c r="AR743" t="str">
        <f>IF(OR(SAISIE!$U$4="",SAISIE!$W$4=""),"",IF(AND($A743=SAISIE!$U$4,$B743=SAISIE!$W$4,$C743="S1"),COUNTIFS($A$2:$A743,SAISIE!$U$4,$B$2:$B743,SAISIE!$W$4,$C$2:$C743,"S1"),""))</f>
        <v/>
      </c>
      <c r="AS743" t="str">
        <f t="shared" si="280"/>
        <v/>
      </c>
      <c r="AT743" t="str">
        <f t="shared" si="281"/>
        <v/>
      </c>
      <c r="AU743" t="str">
        <f t="shared" si="282"/>
        <v/>
      </c>
      <c r="AV743">
        <f>N(AV742)+IF(AND($AB743&lt;&gt;"",OR('PROFIL ELEVE'!$K$4="(Tous)",$AF743='PROFIL ELEVE'!$K$4)),1,0)</f>
        <v>0</v>
      </c>
      <c r="AW743">
        <f>N(AW742)+IF(AND($AB743&lt;&gt;"",OR('SUIVI LONGITUDINAL'!$Q$4="(Tous)",$AF743='SUIVI LONGITUDINAL'!$Q$4)),1,0)</f>
        <v>0</v>
      </c>
      <c r="AX743">
        <f t="shared" si="283"/>
        <v>0</v>
      </c>
      <c r="AY743">
        <f t="shared" si="284"/>
        <v>0</v>
      </c>
      <c r="AZ743">
        <f t="shared" si="285"/>
        <v>0</v>
      </c>
      <c r="BA743" t="str">
        <f t="shared" si="286"/>
        <v/>
      </c>
      <c r="BB743" t="str">
        <f t="shared" si="287"/>
        <v/>
      </c>
    </row>
    <row r="744" spans="1:54" ht="14.25" customHeight="1" x14ac:dyDescent="0.3">
      <c r="A744" t="str">
        <f>IF(SAISIE!$F749="","",SAISIE!$B749)</f>
        <v/>
      </c>
      <c r="B744" t="str">
        <f>IF(SAISIE!$F749="","",SAISIE!$C749)</f>
        <v/>
      </c>
      <c r="C744" t="str">
        <f>IF(SAISIE!$F749="","",SAISIE!$D749)</f>
        <v/>
      </c>
      <c r="D744" t="str">
        <f>IF(SAISIE!$E749="","",SAISIE!$E749)</f>
        <v/>
      </c>
      <c r="E744" t="str">
        <f>IF(SAISIE!$F749="","",SAISIE!$F749)</f>
        <v/>
      </c>
      <c r="F744" t="str">
        <f>IF(SAISIE!$G749="","",SAISIE!$G749)</f>
        <v/>
      </c>
      <c r="G744" t="str">
        <f>IF(SAISIE!$H749="","",SAISIE!$H749)</f>
        <v/>
      </c>
      <c r="H744" t="str">
        <f>IF(SAISIE!$I749="","",SAISIE!$I749)</f>
        <v/>
      </c>
      <c r="I744" t="str">
        <f>IF(SAISIE!$J749="","",SAISIE!$J749)</f>
        <v/>
      </c>
      <c r="J744" t="str">
        <f>IF(SAISIE!$K749="","",SAISIE!$K749)</f>
        <v/>
      </c>
      <c r="K744" t="str">
        <f>IF(SAISIE!$L749="","",SAISIE!$L749)</f>
        <v/>
      </c>
      <c r="L744" t="str">
        <f>IF(SAISIE!$M749="","",SAISIE!$M749)</f>
        <v/>
      </c>
      <c r="M744" t="str">
        <f>IF(SAISIE!$N749="","",SAISIE!$N749)</f>
        <v/>
      </c>
      <c r="N744" t="str">
        <f>IF(SAISIE!$O749="","",SAISIE!$O749)</f>
        <v/>
      </c>
      <c r="O744" t="str">
        <f>IF(SAISIE!$P749="","",SAISIE!$P749)</f>
        <v/>
      </c>
      <c r="P744" t="str">
        <f>IF(SAISIE!$Q749="","",SAISIE!$Q749)</f>
        <v/>
      </c>
      <c r="Q744" t="str">
        <f>IF($I744="","",IF($I744&gt;PARAMETRES!$G$29,5,IF($I744&gt;PARAMETRES!$F$29,4,IF($I744&gt;PARAMETRES!$E$29,3,IF($I744&gt;PARAMETRES!$D$29,2,1)))))</f>
        <v/>
      </c>
      <c r="R744" t="str">
        <f>IF($J744="","",IF($J744&gt;PARAMETRES!$G$30,5,IF($J744&gt;PARAMETRES!$F$30,4,IF($J744&gt;PARAMETRES!$E$30,3,IF($J744&gt;PARAMETRES!$D$30,2,1)))))</f>
        <v/>
      </c>
      <c r="S744" t="str">
        <f>IF($K744="","",IF($Z744=2,IF($K744&gt;PARAMETRES!$G$31,5,IF($K744&gt;PARAMETRES!$F$31,4,IF($K744&gt;PARAMETRES!$E$31,3,IF($K744&gt;PARAMETRES!$D$31,2,1)))),IF($K744&gt;PARAMETRES!$G$32,5,IF($K744&gt;PARAMETRES!$F$32,4,IF($K744&gt;PARAMETRES!$E$32,3,IF($K744&gt;PARAMETRES!$D$32,2,1))))))</f>
        <v/>
      </c>
      <c r="T744" t="str">
        <f>IF($L744="","",IF($L744&gt;PARAMETRES!$G$33,5,IF($L744&gt;PARAMETRES!$F$33,4,IF($L744&gt;PARAMETRES!$E$33,3,IF($L744&gt;PARAMETRES!$D$33,2,1)))))</f>
        <v/>
      </c>
      <c r="U744" t="str">
        <f>IF($M744="","",IF($M744&gt;PARAMETRES!$G$34,5,IF($M744&gt;PARAMETRES!$F$34,4,IF($M744&gt;PARAMETRES!$E$34,3,IF($M744&gt;PARAMETRES!$D$34,2,1)))))</f>
        <v/>
      </c>
      <c r="V744" t="str">
        <f>IF($N744="","",IF($N744&gt;PARAMETRES!$G$35,5,IF($N744&gt;PARAMETRES!$F$35,4,IF($N744&gt;PARAMETRES!$E$35,3,IF($N744&gt;PARAMETRES!$D$35,2,1)))))</f>
        <v/>
      </c>
      <c r="W744" t="str">
        <f>IF($O744="","",IF($O744&gt;PARAMETRES!$G$36,5,IF($O744&gt;PARAMETRES!$F$36,4,IF($O744&gt;PARAMETRES!$E$36,3,IF($O744&gt;PARAMETRES!$D$36,2,1)))))</f>
        <v/>
      </c>
      <c r="X744" t="str">
        <f>IF($P744="","",IF($P744&gt;PARAMETRES!$G$37,5,IF($P744&gt;PARAMETRES!$F$37,4,IF($P744&gt;PARAMETRES!$E$37,3,IF($P744&gt;PARAMETRES!$D$37,2,1)))))</f>
        <v/>
      </c>
      <c r="Y744" t="str">
        <f t="shared" si="264"/>
        <v/>
      </c>
      <c r="Z744" t="str">
        <f>IFERROR(VLOOKUP($B744,TABLE_CYCLE,2,0),"")</f>
        <v/>
      </c>
      <c r="AA744" t="str">
        <f t="shared" si="265"/>
        <v/>
      </c>
      <c r="AB744" t="str">
        <f>IF($D744="","",IF(COUNTIF($D$2:$D744,$D744)=1,$D744,""))</f>
        <v/>
      </c>
      <c r="AC744">
        <f t="shared" si="266"/>
        <v>0</v>
      </c>
      <c r="AD744" t="str">
        <f t="shared" si="267"/>
        <v>|0</v>
      </c>
      <c r="AE744" t="str">
        <f t="shared" si="268"/>
        <v/>
      </c>
      <c r="AF744" t="str">
        <f t="shared" si="269"/>
        <v/>
      </c>
      <c r="AG744" t="str">
        <f t="shared" si="270"/>
        <v/>
      </c>
      <c r="AH744" t="str">
        <f t="shared" si="271"/>
        <v/>
      </c>
      <c r="AI744" t="str">
        <f t="shared" si="272"/>
        <v/>
      </c>
      <c r="AJ744" t="str">
        <f t="shared" si="273"/>
        <v/>
      </c>
      <c r="AK744" t="str">
        <f t="shared" si="274"/>
        <v/>
      </c>
      <c r="AL744" t="str">
        <f t="shared" si="275"/>
        <v/>
      </c>
      <c r="AM744" t="str">
        <f t="shared" si="276"/>
        <v/>
      </c>
      <c r="AN744" t="str">
        <f t="shared" si="277"/>
        <v/>
      </c>
      <c r="AO744" t="str">
        <f t="shared" si="278"/>
        <v/>
      </c>
      <c r="AP744">
        <f t="shared" si="279"/>
        <v>1</v>
      </c>
      <c r="AQ744" t="str">
        <f>IF(SAISIE!$F749="","",SAISIE!$Y749)</f>
        <v/>
      </c>
      <c r="AR744" t="str">
        <f>IF(OR(SAISIE!$U$4="",SAISIE!$W$4=""),"",IF(AND($A744=SAISIE!$U$4,$B744=SAISIE!$W$4,$C744="S1"),COUNTIFS($A$2:$A744,SAISIE!$U$4,$B$2:$B744,SAISIE!$W$4,$C$2:$C744,"S1"),""))</f>
        <v/>
      </c>
      <c r="AS744" t="str">
        <f t="shared" si="280"/>
        <v/>
      </c>
      <c r="AT744" t="str">
        <f t="shared" si="281"/>
        <v/>
      </c>
      <c r="AU744" t="str">
        <f t="shared" si="282"/>
        <v/>
      </c>
      <c r="AV744">
        <f>N(AV743)+IF(AND($AB744&lt;&gt;"",OR('PROFIL ELEVE'!$K$4="(Tous)",$AF744='PROFIL ELEVE'!$K$4)),1,0)</f>
        <v>0</v>
      </c>
      <c r="AW744">
        <f>N(AW743)+IF(AND($AB744&lt;&gt;"",OR('SUIVI LONGITUDINAL'!$Q$4="(Tous)",$AF744='SUIVI LONGITUDINAL'!$Q$4)),1,0)</f>
        <v>0</v>
      </c>
      <c r="AX744">
        <f t="shared" si="283"/>
        <v>0</v>
      </c>
      <c r="AY744">
        <f t="shared" si="284"/>
        <v>0</v>
      </c>
      <c r="AZ744">
        <f t="shared" si="285"/>
        <v>0</v>
      </c>
      <c r="BA744" t="str">
        <f t="shared" si="286"/>
        <v/>
      </c>
      <c r="BB744" t="str">
        <f t="shared" si="287"/>
        <v/>
      </c>
    </row>
    <row r="745" spans="1:54" ht="14.25" customHeight="1" x14ac:dyDescent="0.3">
      <c r="A745" t="str">
        <f>IF(SAISIE!$F750="","",SAISIE!$B750)</f>
        <v/>
      </c>
      <c r="B745" t="str">
        <f>IF(SAISIE!$F750="","",SAISIE!$C750)</f>
        <v/>
      </c>
      <c r="C745" t="str">
        <f>IF(SAISIE!$F750="","",SAISIE!$D750)</f>
        <v/>
      </c>
      <c r="D745" t="str">
        <f>IF(SAISIE!$E750="","",SAISIE!$E750)</f>
        <v/>
      </c>
      <c r="E745" t="str">
        <f>IF(SAISIE!$F750="","",SAISIE!$F750)</f>
        <v/>
      </c>
      <c r="F745" t="str">
        <f>IF(SAISIE!$G750="","",SAISIE!$G750)</f>
        <v/>
      </c>
      <c r="G745" t="str">
        <f>IF(SAISIE!$H750="","",SAISIE!$H750)</f>
        <v/>
      </c>
      <c r="H745" t="str">
        <f>IF(SAISIE!$I750="","",SAISIE!$I750)</f>
        <v/>
      </c>
      <c r="I745" t="str">
        <f>IF(SAISIE!$J750="","",SAISIE!$J750)</f>
        <v/>
      </c>
      <c r="J745" t="str">
        <f>IF(SAISIE!$K750="","",SAISIE!$K750)</f>
        <v/>
      </c>
      <c r="K745" t="str">
        <f>IF(SAISIE!$L750="","",SAISIE!$L750)</f>
        <v/>
      </c>
      <c r="L745" t="str">
        <f>IF(SAISIE!$M750="","",SAISIE!$M750)</f>
        <v/>
      </c>
      <c r="M745" t="str">
        <f>IF(SAISIE!$N750="","",SAISIE!$N750)</f>
        <v/>
      </c>
      <c r="N745" t="str">
        <f>IF(SAISIE!$O750="","",SAISIE!$O750)</f>
        <v/>
      </c>
      <c r="O745" t="str">
        <f>IF(SAISIE!$P750="","",SAISIE!$P750)</f>
        <v/>
      </c>
      <c r="P745" t="str">
        <f>IF(SAISIE!$Q750="","",SAISIE!$Q750)</f>
        <v/>
      </c>
      <c r="Q745" t="str">
        <f>IF($I745="","",IF($I745&gt;PARAMETRES!$G$29,5,IF($I745&gt;PARAMETRES!$F$29,4,IF($I745&gt;PARAMETRES!$E$29,3,IF($I745&gt;PARAMETRES!$D$29,2,1)))))</f>
        <v/>
      </c>
      <c r="R745" t="str">
        <f>IF($J745="","",IF($J745&gt;PARAMETRES!$G$30,5,IF($J745&gt;PARAMETRES!$F$30,4,IF($J745&gt;PARAMETRES!$E$30,3,IF($J745&gt;PARAMETRES!$D$30,2,1)))))</f>
        <v/>
      </c>
      <c r="S745" t="str">
        <f>IF($K745="","",IF($Z745=2,IF($K745&gt;PARAMETRES!$G$31,5,IF($K745&gt;PARAMETRES!$F$31,4,IF($K745&gt;PARAMETRES!$E$31,3,IF($K745&gt;PARAMETRES!$D$31,2,1)))),IF($K745&gt;PARAMETRES!$G$32,5,IF($K745&gt;PARAMETRES!$F$32,4,IF($K745&gt;PARAMETRES!$E$32,3,IF($K745&gt;PARAMETRES!$D$32,2,1))))))</f>
        <v/>
      </c>
      <c r="T745" t="str">
        <f>IF($L745="","",IF($L745&gt;PARAMETRES!$G$33,5,IF($L745&gt;PARAMETRES!$F$33,4,IF($L745&gt;PARAMETRES!$E$33,3,IF($L745&gt;PARAMETRES!$D$33,2,1)))))</f>
        <v/>
      </c>
      <c r="U745" t="str">
        <f>IF($M745="","",IF($M745&gt;PARAMETRES!$G$34,5,IF($M745&gt;PARAMETRES!$F$34,4,IF($M745&gt;PARAMETRES!$E$34,3,IF($M745&gt;PARAMETRES!$D$34,2,1)))))</f>
        <v/>
      </c>
      <c r="V745" t="str">
        <f>IF($N745="","",IF($N745&gt;PARAMETRES!$G$35,5,IF($N745&gt;PARAMETRES!$F$35,4,IF($N745&gt;PARAMETRES!$E$35,3,IF($N745&gt;PARAMETRES!$D$35,2,1)))))</f>
        <v/>
      </c>
      <c r="W745" t="str">
        <f>IF($O745="","",IF($O745&gt;PARAMETRES!$G$36,5,IF($O745&gt;PARAMETRES!$F$36,4,IF($O745&gt;PARAMETRES!$E$36,3,IF($O745&gt;PARAMETRES!$D$36,2,1)))))</f>
        <v/>
      </c>
      <c r="X745" t="str">
        <f>IF($P745="","",IF($P745&gt;PARAMETRES!$G$37,5,IF($P745&gt;PARAMETRES!$F$37,4,IF($P745&gt;PARAMETRES!$E$37,3,IF($P745&gt;PARAMETRES!$D$37,2,1)))))</f>
        <v/>
      </c>
      <c r="Y745" t="str">
        <f t="shared" si="264"/>
        <v/>
      </c>
      <c r="Z745" t="str">
        <f>IFERROR(VLOOKUP($B745,TABLE_CYCLE,2,0),"")</f>
        <v/>
      </c>
      <c r="AA745" t="str">
        <f t="shared" si="265"/>
        <v/>
      </c>
      <c r="AB745" t="str">
        <f>IF($D745="","",IF(COUNTIF($D$2:$D745,$D745)=1,$D745,""))</f>
        <v/>
      </c>
      <c r="AC745">
        <f t="shared" si="266"/>
        <v>0</v>
      </c>
      <c r="AD745" t="str">
        <f t="shared" si="267"/>
        <v>|0</v>
      </c>
      <c r="AE745" t="str">
        <f t="shared" si="268"/>
        <v/>
      </c>
      <c r="AF745" t="str">
        <f t="shared" si="269"/>
        <v/>
      </c>
      <c r="AG745" t="str">
        <f t="shared" si="270"/>
        <v/>
      </c>
      <c r="AH745" t="str">
        <f t="shared" si="271"/>
        <v/>
      </c>
      <c r="AI745" t="str">
        <f t="shared" si="272"/>
        <v/>
      </c>
      <c r="AJ745" t="str">
        <f t="shared" si="273"/>
        <v/>
      </c>
      <c r="AK745" t="str">
        <f t="shared" si="274"/>
        <v/>
      </c>
      <c r="AL745" t="str">
        <f t="shared" si="275"/>
        <v/>
      </c>
      <c r="AM745" t="str">
        <f t="shared" si="276"/>
        <v/>
      </c>
      <c r="AN745" t="str">
        <f t="shared" si="277"/>
        <v/>
      </c>
      <c r="AO745" t="str">
        <f t="shared" si="278"/>
        <v/>
      </c>
      <c r="AP745">
        <f t="shared" si="279"/>
        <v>1</v>
      </c>
      <c r="AQ745" t="str">
        <f>IF(SAISIE!$F750="","",SAISIE!$Y750)</f>
        <v/>
      </c>
      <c r="AR745" t="str">
        <f>IF(OR(SAISIE!$U$4="",SAISIE!$W$4=""),"",IF(AND($A745=SAISIE!$U$4,$B745=SAISIE!$W$4,$C745="S1"),COUNTIFS($A$2:$A745,SAISIE!$U$4,$B$2:$B745,SAISIE!$W$4,$C$2:$C745,"S1"),""))</f>
        <v/>
      </c>
      <c r="AS745" t="str">
        <f t="shared" si="280"/>
        <v/>
      </c>
      <c r="AT745" t="str">
        <f t="shared" si="281"/>
        <v/>
      </c>
      <c r="AU745" t="str">
        <f t="shared" si="282"/>
        <v/>
      </c>
      <c r="AV745">
        <f>N(AV744)+IF(AND($AB745&lt;&gt;"",OR('PROFIL ELEVE'!$K$4="(Tous)",$AF745='PROFIL ELEVE'!$K$4)),1,0)</f>
        <v>0</v>
      </c>
      <c r="AW745">
        <f>N(AW744)+IF(AND($AB745&lt;&gt;"",OR('SUIVI LONGITUDINAL'!$Q$4="(Tous)",$AF745='SUIVI LONGITUDINAL'!$Q$4)),1,0)</f>
        <v>0</v>
      </c>
      <c r="AX745">
        <f t="shared" si="283"/>
        <v>0</v>
      </c>
      <c r="AY745">
        <f t="shared" si="284"/>
        <v>0</v>
      </c>
      <c r="AZ745">
        <f t="shared" si="285"/>
        <v>0</v>
      </c>
      <c r="BA745" t="str">
        <f t="shared" si="286"/>
        <v/>
      </c>
      <c r="BB745" t="str">
        <f t="shared" si="287"/>
        <v/>
      </c>
    </row>
    <row r="746" spans="1:54" ht="14.25" customHeight="1" x14ac:dyDescent="0.3">
      <c r="A746" t="str">
        <f>IF(SAISIE!$F751="","",SAISIE!$B751)</f>
        <v/>
      </c>
      <c r="B746" t="str">
        <f>IF(SAISIE!$F751="","",SAISIE!$C751)</f>
        <v/>
      </c>
      <c r="C746" t="str">
        <f>IF(SAISIE!$F751="","",SAISIE!$D751)</f>
        <v/>
      </c>
      <c r="D746" t="str">
        <f>IF(SAISIE!$E751="","",SAISIE!$E751)</f>
        <v/>
      </c>
      <c r="E746" t="str">
        <f>IF(SAISIE!$F751="","",SAISIE!$F751)</f>
        <v/>
      </c>
      <c r="F746" t="str">
        <f>IF(SAISIE!$G751="","",SAISIE!$G751)</f>
        <v/>
      </c>
      <c r="G746" t="str">
        <f>IF(SAISIE!$H751="","",SAISIE!$H751)</f>
        <v/>
      </c>
      <c r="H746" t="str">
        <f>IF(SAISIE!$I751="","",SAISIE!$I751)</f>
        <v/>
      </c>
      <c r="I746" t="str">
        <f>IF(SAISIE!$J751="","",SAISIE!$J751)</f>
        <v/>
      </c>
      <c r="J746" t="str">
        <f>IF(SAISIE!$K751="","",SAISIE!$K751)</f>
        <v/>
      </c>
      <c r="K746" t="str">
        <f>IF(SAISIE!$L751="","",SAISIE!$L751)</f>
        <v/>
      </c>
      <c r="L746" t="str">
        <f>IF(SAISIE!$M751="","",SAISIE!$M751)</f>
        <v/>
      </c>
      <c r="M746" t="str">
        <f>IF(SAISIE!$N751="","",SAISIE!$N751)</f>
        <v/>
      </c>
      <c r="N746" t="str">
        <f>IF(SAISIE!$O751="","",SAISIE!$O751)</f>
        <v/>
      </c>
      <c r="O746" t="str">
        <f>IF(SAISIE!$P751="","",SAISIE!$P751)</f>
        <v/>
      </c>
      <c r="P746" t="str">
        <f>IF(SAISIE!$Q751="","",SAISIE!$Q751)</f>
        <v/>
      </c>
      <c r="Q746" t="str">
        <f>IF($I746="","",IF($I746&gt;PARAMETRES!$G$29,5,IF($I746&gt;PARAMETRES!$F$29,4,IF($I746&gt;PARAMETRES!$E$29,3,IF($I746&gt;PARAMETRES!$D$29,2,1)))))</f>
        <v/>
      </c>
      <c r="R746" t="str">
        <f>IF($J746="","",IF($J746&gt;PARAMETRES!$G$30,5,IF($J746&gt;PARAMETRES!$F$30,4,IF($J746&gt;PARAMETRES!$E$30,3,IF($J746&gt;PARAMETRES!$D$30,2,1)))))</f>
        <v/>
      </c>
      <c r="S746" t="str">
        <f>IF($K746="","",IF($Z746=2,IF($K746&gt;PARAMETRES!$G$31,5,IF($K746&gt;PARAMETRES!$F$31,4,IF($K746&gt;PARAMETRES!$E$31,3,IF($K746&gt;PARAMETRES!$D$31,2,1)))),IF($K746&gt;PARAMETRES!$G$32,5,IF($K746&gt;PARAMETRES!$F$32,4,IF($K746&gt;PARAMETRES!$E$32,3,IF($K746&gt;PARAMETRES!$D$32,2,1))))))</f>
        <v/>
      </c>
      <c r="T746" t="str">
        <f>IF($L746="","",IF($L746&gt;PARAMETRES!$G$33,5,IF($L746&gt;PARAMETRES!$F$33,4,IF($L746&gt;PARAMETRES!$E$33,3,IF($L746&gt;PARAMETRES!$D$33,2,1)))))</f>
        <v/>
      </c>
      <c r="U746" t="str">
        <f>IF($M746="","",IF($M746&gt;PARAMETRES!$G$34,5,IF($M746&gt;PARAMETRES!$F$34,4,IF($M746&gt;PARAMETRES!$E$34,3,IF($M746&gt;PARAMETRES!$D$34,2,1)))))</f>
        <v/>
      </c>
      <c r="V746" t="str">
        <f>IF($N746="","",IF($N746&gt;PARAMETRES!$G$35,5,IF($N746&gt;PARAMETRES!$F$35,4,IF($N746&gt;PARAMETRES!$E$35,3,IF($N746&gt;PARAMETRES!$D$35,2,1)))))</f>
        <v/>
      </c>
      <c r="W746" t="str">
        <f>IF($O746="","",IF($O746&gt;PARAMETRES!$G$36,5,IF($O746&gt;PARAMETRES!$F$36,4,IF($O746&gt;PARAMETRES!$E$36,3,IF($O746&gt;PARAMETRES!$D$36,2,1)))))</f>
        <v/>
      </c>
      <c r="X746" t="str">
        <f>IF($P746="","",IF($P746&gt;PARAMETRES!$G$37,5,IF($P746&gt;PARAMETRES!$F$37,4,IF($P746&gt;PARAMETRES!$E$37,3,IF($P746&gt;PARAMETRES!$D$37,2,1)))))</f>
        <v/>
      </c>
      <c r="Y746" t="str">
        <f t="shared" si="264"/>
        <v/>
      </c>
      <c r="Z746" t="str">
        <f>IFERROR(VLOOKUP($B746,TABLE_CYCLE,2,0),"")</f>
        <v/>
      </c>
      <c r="AA746" t="str">
        <f t="shared" si="265"/>
        <v/>
      </c>
      <c r="AB746" t="str">
        <f>IF($D746="","",IF(COUNTIF($D$2:$D746,$D746)=1,$D746,""))</f>
        <v/>
      </c>
      <c r="AC746">
        <f t="shared" si="266"/>
        <v>0</v>
      </c>
      <c r="AD746" t="str">
        <f t="shared" si="267"/>
        <v>|0</v>
      </c>
      <c r="AE746" t="str">
        <f t="shared" si="268"/>
        <v/>
      </c>
      <c r="AF746" t="str">
        <f t="shared" si="269"/>
        <v/>
      </c>
      <c r="AG746" t="str">
        <f t="shared" si="270"/>
        <v/>
      </c>
      <c r="AH746" t="str">
        <f t="shared" si="271"/>
        <v/>
      </c>
      <c r="AI746" t="str">
        <f t="shared" si="272"/>
        <v/>
      </c>
      <c r="AJ746" t="str">
        <f t="shared" si="273"/>
        <v/>
      </c>
      <c r="AK746" t="str">
        <f t="shared" si="274"/>
        <v/>
      </c>
      <c r="AL746" t="str">
        <f t="shared" si="275"/>
        <v/>
      </c>
      <c r="AM746" t="str">
        <f t="shared" si="276"/>
        <v/>
      </c>
      <c r="AN746" t="str">
        <f t="shared" si="277"/>
        <v/>
      </c>
      <c r="AO746" t="str">
        <f t="shared" si="278"/>
        <v/>
      </c>
      <c r="AP746">
        <f t="shared" si="279"/>
        <v>1</v>
      </c>
      <c r="AQ746" t="str">
        <f>IF(SAISIE!$F751="","",SAISIE!$Y751)</f>
        <v/>
      </c>
      <c r="AR746" t="str">
        <f>IF(OR(SAISIE!$U$4="",SAISIE!$W$4=""),"",IF(AND($A746=SAISIE!$U$4,$B746=SAISIE!$W$4,$C746="S1"),COUNTIFS($A$2:$A746,SAISIE!$U$4,$B$2:$B746,SAISIE!$W$4,$C$2:$C746,"S1"),""))</f>
        <v/>
      </c>
      <c r="AS746" t="str">
        <f t="shared" si="280"/>
        <v/>
      </c>
      <c r="AT746" t="str">
        <f t="shared" si="281"/>
        <v/>
      </c>
      <c r="AU746" t="str">
        <f t="shared" si="282"/>
        <v/>
      </c>
      <c r="AV746">
        <f>N(AV745)+IF(AND($AB746&lt;&gt;"",OR('PROFIL ELEVE'!$K$4="(Tous)",$AF746='PROFIL ELEVE'!$K$4)),1,0)</f>
        <v>0</v>
      </c>
      <c r="AW746">
        <f>N(AW745)+IF(AND($AB746&lt;&gt;"",OR('SUIVI LONGITUDINAL'!$Q$4="(Tous)",$AF746='SUIVI LONGITUDINAL'!$Q$4)),1,0)</f>
        <v>0</v>
      </c>
      <c r="AX746">
        <f t="shared" si="283"/>
        <v>0</v>
      </c>
      <c r="AY746">
        <f t="shared" si="284"/>
        <v>0</v>
      </c>
      <c r="AZ746">
        <f t="shared" si="285"/>
        <v>0</v>
      </c>
      <c r="BA746" t="str">
        <f t="shared" si="286"/>
        <v/>
      </c>
      <c r="BB746" t="str">
        <f t="shared" si="287"/>
        <v/>
      </c>
    </row>
    <row r="747" spans="1:54" ht="14.25" customHeight="1" x14ac:dyDescent="0.3">
      <c r="A747" t="str">
        <f>IF(SAISIE!$F752="","",SAISIE!$B752)</f>
        <v/>
      </c>
      <c r="B747" t="str">
        <f>IF(SAISIE!$F752="","",SAISIE!$C752)</f>
        <v/>
      </c>
      <c r="C747" t="str">
        <f>IF(SAISIE!$F752="","",SAISIE!$D752)</f>
        <v/>
      </c>
      <c r="D747" t="str">
        <f>IF(SAISIE!$E752="","",SAISIE!$E752)</f>
        <v/>
      </c>
      <c r="E747" t="str">
        <f>IF(SAISIE!$F752="","",SAISIE!$F752)</f>
        <v/>
      </c>
      <c r="F747" t="str">
        <f>IF(SAISIE!$G752="","",SAISIE!$G752)</f>
        <v/>
      </c>
      <c r="G747" t="str">
        <f>IF(SAISIE!$H752="","",SAISIE!$H752)</f>
        <v/>
      </c>
      <c r="H747" t="str">
        <f>IF(SAISIE!$I752="","",SAISIE!$I752)</f>
        <v/>
      </c>
      <c r="I747" t="str">
        <f>IF(SAISIE!$J752="","",SAISIE!$J752)</f>
        <v/>
      </c>
      <c r="J747" t="str">
        <f>IF(SAISIE!$K752="","",SAISIE!$K752)</f>
        <v/>
      </c>
      <c r="K747" t="str">
        <f>IF(SAISIE!$L752="","",SAISIE!$L752)</f>
        <v/>
      </c>
      <c r="L747" t="str">
        <f>IF(SAISIE!$M752="","",SAISIE!$M752)</f>
        <v/>
      </c>
      <c r="M747" t="str">
        <f>IF(SAISIE!$N752="","",SAISIE!$N752)</f>
        <v/>
      </c>
      <c r="N747" t="str">
        <f>IF(SAISIE!$O752="","",SAISIE!$O752)</f>
        <v/>
      </c>
      <c r="O747" t="str">
        <f>IF(SAISIE!$P752="","",SAISIE!$P752)</f>
        <v/>
      </c>
      <c r="P747" t="str">
        <f>IF(SAISIE!$Q752="","",SAISIE!$Q752)</f>
        <v/>
      </c>
      <c r="Q747" t="str">
        <f>IF($I747="","",IF($I747&gt;PARAMETRES!$G$29,5,IF($I747&gt;PARAMETRES!$F$29,4,IF($I747&gt;PARAMETRES!$E$29,3,IF($I747&gt;PARAMETRES!$D$29,2,1)))))</f>
        <v/>
      </c>
      <c r="R747" t="str">
        <f>IF($J747="","",IF($J747&gt;PARAMETRES!$G$30,5,IF($J747&gt;PARAMETRES!$F$30,4,IF($J747&gt;PARAMETRES!$E$30,3,IF($J747&gt;PARAMETRES!$D$30,2,1)))))</f>
        <v/>
      </c>
      <c r="S747" t="str">
        <f>IF($K747="","",IF($Z747=2,IF($K747&gt;PARAMETRES!$G$31,5,IF($K747&gt;PARAMETRES!$F$31,4,IF($K747&gt;PARAMETRES!$E$31,3,IF($K747&gt;PARAMETRES!$D$31,2,1)))),IF($K747&gt;PARAMETRES!$G$32,5,IF($K747&gt;PARAMETRES!$F$32,4,IF($K747&gt;PARAMETRES!$E$32,3,IF($K747&gt;PARAMETRES!$D$32,2,1))))))</f>
        <v/>
      </c>
      <c r="T747" t="str">
        <f>IF($L747="","",IF($L747&gt;PARAMETRES!$G$33,5,IF($L747&gt;PARAMETRES!$F$33,4,IF($L747&gt;PARAMETRES!$E$33,3,IF($L747&gt;PARAMETRES!$D$33,2,1)))))</f>
        <v/>
      </c>
      <c r="U747" t="str">
        <f>IF($M747="","",IF($M747&gt;PARAMETRES!$G$34,5,IF($M747&gt;PARAMETRES!$F$34,4,IF($M747&gt;PARAMETRES!$E$34,3,IF($M747&gt;PARAMETRES!$D$34,2,1)))))</f>
        <v/>
      </c>
      <c r="V747" t="str">
        <f>IF($N747="","",IF($N747&gt;PARAMETRES!$G$35,5,IF($N747&gt;PARAMETRES!$F$35,4,IF($N747&gt;PARAMETRES!$E$35,3,IF($N747&gt;PARAMETRES!$D$35,2,1)))))</f>
        <v/>
      </c>
      <c r="W747" t="str">
        <f>IF($O747="","",IF($O747&gt;PARAMETRES!$G$36,5,IF($O747&gt;PARAMETRES!$F$36,4,IF($O747&gt;PARAMETRES!$E$36,3,IF($O747&gt;PARAMETRES!$D$36,2,1)))))</f>
        <v/>
      </c>
      <c r="X747" t="str">
        <f>IF($P747="","",IF($P747&gt;PARAMETRES!$G$37,5,IF($P747&gt;PARAMETRES!$F$37,4,IF($P747&gt;PARAMETRES!$E$37,3,IF($P747&gt;PARAMETRES!$D$37,2,1)))))</f>
        <v/>
      </c>
      <c r="Y747" t="str">
        <f t="shared" si="264"/>
        <v/>
      </c>
      <c r="Z747" t="str">
        <f>IFERROR(VLOOKUP($B747,TABLE_CYCLE,2,0),"")</f>
        <v/>
      </c>
      <c r="AA747" t="str">
        <f t="shared" si="265"/>
        <v/>
      </c>
      <c r="AB747" t="str">
        <f>IF($D747="","",IF(COUNTIF($D$2:$D747,$D747)=1,$D747,""))</f>
        <v/>
      </c>
      <c r="AC747">
        <f t="shared" si="266"/>
        <v>0</v>
      </c>
      <c r="AD747" t="str">
        <f t="shared" si="267"/>
        <v>|0</v>
      </c>
      <c r="AE747" t="str">
        <f t="shared" si="268"/>
        <v/>
      </c>
      <c r="AF747" t="str">
        <f t="shared" si="269"/>
        <v/>
      </c>
      <c r="AG747" t="str">
        <f t="shared" si="270"/>
        <v/>
      </c>
      <c r="AH747" t="str">
        <f t="shared" si="271"/>
        <v/>
      </c>
      <c r="AI747" t="str">
        <f t="shared" si="272"/>
        <v/>
      </c>
      <c r="AJ747" t="str">
        <f t="shared" si="273"/>
        <v/>
      </c>
      <c r="AK747" t="str">
        <f t="shared" si="274"/>
        <v/>
      </c>
      <c r="AL747" t="str">
        <f t="shared" si="275"/>
        <v/>
      </c>
      <c r="AM747" t="str">
        <f t="shared" si="276"/>
        <v/>
      </c>
      <c r="AN747" t="str">
        <f t="shared" si="277"/>
        <v/>
      </c>
      <c r="AO747" t="str">
        <f t="shared" si="278"/>
        <v/>
      </c>
      <c r="AP747">
        <f t="shared" si="279"/>
        <v>1</v>
      </c>
      <c r="AQ747" t="str">
        <f>IF(SAISIE!$F752="","",SAISIE!$Y752)</f>
        <v/>
      </c>
      <c r="AR747" t="str">
        <f>IF(OR(SAISIE!$U$4="",SAISIE!$W$4=""),"",IF(AND($A747=SAISIE!$U$4,$B747=SAISIE!$W$4,$C747="S1"),COUNTIFS($A$2:$A747,SAISIE!$U$4,$B$2:$B747,SAISIE!$W$4,$C$2:$C747,"S1"),""))</f>
        <v/>
      </c>
      <c r="AS747" t="str">
        <f t="shared" si="280"/>
        <v/>
      </c>
      <c r="AT747" t="str">
        <f t="shared" si="281"/>
        <v/>
      </c>
      <c r="AU747" t="str">
        <f t="shared" si="282"/>
        <v/>
      </c>
      <c r="AV747">
        <f>N(AV746)+IF(AND($AB747&lt;&gt;"",OR('PROFIL ELEVE'!$K$4="(Tous)",$AF747='PROFIL ELEVE'!$K$4)),1,0)</f>
        <v>0</v>
      </c>
      <c r="AW747">
        <f>N(AW746)+IF(AND($AB747&lt;&gt;"",OR('SUIVI LONGITUDINAL'!$Q$4="(Tous)",$AF747='SUIVI LONGITUDINAL'!$Q$4)),1,0)</f>
        <v>0</v>
      </c>
      <c r="AX747">
        <f t="shared" si="283"/>
        <v>0</v>
      </c>
      <c r="AY747">
        <f t="shared" si="284"/>
        <v>0</v>
      </c>
      <c r="AZ747">
        <f t="shared" si="285"/>
        <v>0</v>
      </c>
      <c r="BA747" t="str">
        <f t="shared" si="286"/>
        <v/>
      </c>
      <c r="BB747" t="str">
        <f t="shared" si="287"/>
        <v/>
      </c>
    </row>
    <row r="748" spans="1:54" ht="14.25" customHeight="1" x14ac:dyDescent="0.3">
      <c r="A748" t="str">
        <f>IF(SAISIE!$F753="","",SAISIE!$B753)</f>
        <v/>
      </c>
      <c r="B748" t="str">
        <f>IF(SAISIE!$F753="","",SAISIE!$C753)</f>
        <v/>
      </c>
      <c r="C748" t="str">
        <f>IF(SAISIE!$F753="","",SAISIE!$D753)</f>
        <v/>
      </c>
      <c r="D748" t="str">
        <f>IF(SAISIE!$E753="","",SAISIE!$E753)</f>
        <v/>
      </c>
      <c r="E748" t="str">
        <f>IF(SAISIE!$F753="","",SAISIE!$F753)</f>
        <v/>
      </c>
      <c r="F748" t="str">
        <f>IF(SAISIE!$G753="","",SAISIE!$G753)</f>
        <v/>
      </c>
      <c r="G748" t="str">
        <f>IF(SAISIE!$H753="","",SAISIE!$H753)</f>
        <v/>
      </c>
      <c r="H748" t="str">
        <f>IF(SAISIE!$I753="","",SAISIE!$I753)</f>
        <v/>
      </c>
      <c r="I748" t="str">
        <f>IF(SAISIE!$J753="","",SAISIE!$J753)</f>
        <v/>
      </c>
      <c r="J748" t="str">
        <f>IF(SAISIE!$K753="","",SAISIE!$K753)</f>
        <v/>
      </c>
      <c r="K748" t="str">
        <f>IF(SAISIE!$L753="","",SAISIE!$L753)</f>
        <v/>
      </c>
      <c r="L748" t="str">
        <f>IF(SAISIE!$M753="","",SAISIE!$M753)</f>
        <v/>
      </c>
      <c r="M748" t="str">
        <f>IF(SAISIE!$N753="","",SAISIE!$N753)</f>
        <v/>
      </c>
      <c r="N748" t="str">
        <f>IF(SAISIE!$O753="","",SAISIE!$O753)</f>
        <v/>
      </c>
      <c r="O748" t="str">
        <f>IF(SAISIE!$P753="","",SAISIE!$P753)</f>
        <v/>
      </c>
      <c r="P748" t="str">
        <f>IF(SAISIE!$Q753="","",SAISIE!$Q753)</f>
        <v/>
      </c>
      <c r="Q748" t="str">
        <f>IF($I748="","",IF($I748&gt;PARAMETRES!$G$29,5,IF($I748&gt;PARAMETRES!$F$29,4,IF($I748&gt;PARAMETRES!$E$29,3,IF($I748&gt;PARAMETRES!$D$29,2,1)))))</f>
        <v/>
      </c>
      <c r="R748" t="str">
        <f>IF($J748="","",IF($J748&gt;PARAMETRES!$G$30,5,IF($J748&gt;PARAMETRES!$F$30,4,IF($J748&gt;PARAMETRES!$E$30,3,IF($J748&gt;PARAMETRES!$D$30,2,1)))))</f>
        <v/>
      </c>
      <c r="S748" t="str">
        <f>IF($K748="","",IF($Z748=2,IF($K748&gt;PARAMETRES!$G$31,5,IF($K748&gt;PARAMETRES!$F$31,4,IF($K748&gt;PARAMETRES!$E$31,3,IF($K748&gt;PARAMETRES!$D$31,2,1)))),IF($K748&gt;PARAMETRES!$G$32,5,IF($K748&gt;PARAMETRES!$F$32,4,IF($K748&gt;PARAMETRES!$E$32,3,IF($K748&gt;PARAMETRES!$D$32,2,1))))))</f>
        <v/>
      </c>
      <c r="T748" t="str">
        <f>IF($L748="","",IF($L748&gt;PARAMETRES!$G$33,5,IF($L748&gt;PARAMETRES!$F$33,4,IF($L748&gt;PARAMETRES!$E$33,3,IF($L748&gt;PARAMETRES!$D$33,2,1)))))</f>
        <v/>
      </c>
      <c r="U748" t="str">
        <f>IF($M748="","",IF($M748&gt;PARAMETRES!$G$34,5,IF($M748&gt;PARAMETRES!$F$34,4,IF($M748&gt;PARAMETRES!$E$34,3,IF($M748&gt;PARAMETRES!$D$34,2,1)))))</f>
        <v/>
      </c>
      <c r="V748" t="str">
        <f>IF($N748="","",IF($N748&gt;PARAMETRES!$G$35,5,IF($N748&gt;PARAMETRES!$F$35,4,IF($N748&gt;PARAMETRES!$E$35,3,IF($N748&gt;PARAMETRES!$D$35,2,1)))))</f>
        <v/>
      </c>
      <c r="W748" t="str">
        <f>IF($O748="","",IF($O748&gt;PARAMETRES!$G$36,5,IF($O748&gt;PARAMETRES!$F$36,4,IF($O748&gt;PARAMETRES!$E$36,3,IF($O748&gt;PARAMETRES!$D$36,2,1)))))</f>
        <v/>
      </c>
      <c r="X748" t="str">
        <f>IF($P748="","",IF($P748&gt;PARAMETRES!$G$37,5,IF($P748&gt;PARAMETRES!$F$37,4,IF($P748&gt;PARAMETRES!$E$37,3,IF($P748&gt;PARAMETRES!$D$37,2,1)))))</f>
        <v/>
      </c>
      <c r="Y748" t="str">
        <f t="shared" si="264"/>
        <v/>
      </c>
      <c r="Z748" t="str">
        <f>IFERROR(VLOOKUP($B748,TABLE_CYCLE,2,0),"")</f>
        <v/>
      </c>
      <c r="AA748" t="str">
        <f t="shared" si="265"/>
        <v/>
      </c>
      <c r="AB748" t="str">
        <f>IF($D748="","",IF(COUNTIF($D$2:$D748,$D748)=1,$D748,""))</f>
        <v/>
      </c>
      <c r="AC748">
        <f t="shared" si="266"/>
        <v>0</v>
      </c>
      <c r="AD748" t="str">
        <f t="shared" si="267"/>
        <v>|0</v>
      </c>
      <c r="AE748" t="str">
        <f t="shared" si="268"/>
        <v/>
      </c>
      <c r="AF748" t="str">
        <f t="shared" si="269"/>
        <v/>
      </c>
      <c r="AG748" t="str">
        <f t="shared" si="270"/>
        <v/>
      </c>
      <c r="AH748" t="str">
        <f t="shared" si="271"/>
        <v/>
      </c>
      <c r="AI748" t="str">
        <f t="shared" si="272"/>
        <v/>
      </c>
      <c r="AJ748" t="str">
        <f t="shared" si="273"/>
        <v/>
      </c>
      <c r="AK748" t="str">
        <f t="shared" si="274"/>
        <v/>
      </c>
      <c r="AL748" t="str">
        <f t="shared" si="275"/>
        <v/>
      </c>
      <c r="AM748" t="str">
        <f t="shared" si="276"/>
        <v/>
      </c>
      <c r="AN748" t="str">
        <f t="shared" si="277"/>
        <v/>
      </c>
      <c r="AO748" t="str">
        <f t="shared" si="278"/>
        <v/>
      </c>
      <c r="AP748">
        <f t="shared" si="279"/>
        <v>1</v>
      </c>
      <c r="AQ748" t="str">
        <f>IF(SAISIE!$F753="","",SAISIE!$Y753)</f>
        <v/>
      </c>
      <c r="AR748" t="str">
        <f>IF(OR(SAISIE!$U$4="",SAISIE!$W$4=""),"",IF(AND($A748=SAISIE!$U$4,$B748=SAISIE!$W$4,$C748="S1"),COUNTIFS($A$2:$A748,SAISIE!$U$4,$B$2:$B748,SAISIE!$W$4,$C$2:$C748,"S1"),""))</f>
        <v/>
      </c>
      <c r="AS748" t="str">
        <f t="shared" si="280"/>
        <v/>
      </c>
      <c r="AT748" t="str">
        <f t="shared" si="281"/>
        <v/>
      </c>
      <c r="AU748" t="str">
        <f t="shared" si="282"/>
        <v/>
      </c>
      <c r="AV748">
        <f>N(AV747)+IF(AND($AB748&lt;&gt;"",OR('PROFIL ELEVE'!$K$4="(Tous)",$AF748='PROFIL ELEVE'!$K$4)),1,0)</f>
        <v>0</v>
      </c>
      <c r="AW748">
        <f>N(AW747)+IF(AND($AB748&lt;&gt;"",OR('SUIVI LONGITUDINAL'!$Q$4="(Tous)",$AF748='SUIVI LONGITUDINAL'!$Q$4)),1,0)</f>
        <v>0</v>
      </c>
      <c r="AX748">
        <f t="shared" si="283"/>
        <v>0</v>
      </c>
      <c r="AY748">
        <f t="shared" si="284"/>
        <v>0</v>
      </c>
      <c r="AZ748">
        <f t="shared" si="285"/>
        <v>0</v>
      </c>
      <c r="BA748" t="str">
        <f t="shared" si="286"/>
        <v/>
      </c>
      <c r="BB748" t="str">
        <f t="shared" si="287"/>
        <v/>
      </c>
    </row>
    <row r="749" spans="1:54" ht="14.25" customHeight="1" x14ac:dyDescent="0.3">
      <c r="A749" t="str">
        <f>IF(SAISIE!$F754="","",SAISIE!$B754)</f>
        <v/>
      </c>
      <c r="B749" t="str">
        <f>IF(SAISIE!$F754="","",SAISIE!$C754)</f>
        <v/>
      </c>
      <c r="C749" t="str">
        <f>IF(SAISIE!$F754="","",SAISIE!$D754)</f>
        <v/>
      </c>
      <c r="D749" t="str">
        <f>IF(SAISIE!$E754="","",SAISIE!$E754)</f>
        <v/>
      </c>
      <c r="E749" t="str">
        <f>IF(SAISIE!$F754="","",SAISIE!$F754)</f>
        <v/>
      </c>
      <c r="F749" t="str">
        <f>IF(SAISIE!$G754="","",SAISIE!$G754)</f>
        <v/>
      </c>
      <c r="G749" t="str">
        <f>IF(SAISIE!$H754="","",SAISIE!$H754)</f>
        <v/>
      </c>
      <c r="H749" t="str">
        <f>IF(SAISIE!$I754="","",SAISIE!$I754)</f>
        <v/>
      </c>
      <c r="I749" t="str">
        <f>IF(SAISIE!$J754="","",SAISIE!$J754)</f>
        <v/>
      </c>
      <c r="J749" t="str">
        <f>IF(SAISIE!$K754="","",SAISIE!$K754)</f>
        <v/>
      </c>
      <c r="K749" t="str">
        <f>IF(SAISIE!$L754="","",SAISIE!$L754)</f>
        <v/>
      </c>
      <c r="L749" t="str">
        <f>IF(SAISIE!$M754="","",SAISIE!$M754)</f>
        <v/>
      </c>
      <c r="M749" t="str">
        <f>IF(SAISIE!$N754="","",SAISIE!$N754)</f>
        <v/>
      </c>
      <c r="N749" t="str">
        <f>IF(SAISIE!$O754="","",SAISIE!$O754)</f>
        <v/>
      </c>
      <c r="O749" t="str">
        <f>IF(SAISIE!$P754="","",SAISIE!$P754)</f>
        <v/>
      </c>
      <c r="P749" t="str">
        <f>IF(SAISIE!$Q754="","",SAISIE!$Q754)</f>
        <v/>
      </c>
      <c r="Q749" t="str">
        <f>IF($I749="","",IF($I749&gt;PARAMETRES!$G$29,5,IF($I749&gt;PARAMETRES!$F$29,4,IF($I749&gt;PARAMETRES!$E$29,3,IF($I749&gt;PARAMETRES!$D$29,2,1)))))</f>
        <v/>
      </c>
      <c r="R749" t="str">
        <f>IF($J749="","",IF($J749&gt;PARAMETRES!$G$30,5,IF($J749&gt;PARAMETRES!$F$30,4,IF($J749&gt;PARAMETRES!$E$30,3,IF($J749&gt;PARAMETRES!$D$30,2,1)))))</f>
        <v/>
      </c>
      <c r="S749" t="str">
        <f>IF($K749="","",IF($Z749=2,IF($K749&gt;PARAMETRES!$G$31,5,IF($K749&gt;PARAMETRES!$F$31,4,IF($K749&gt;PARAMETRES!$E$31,3,IF($K749&gt;PARAMETRES!$D$31,2,1)))),IF($K749&gt;PARAMETRES!$G$32,5,IF($K749&gt;PARAMETRES!$F$32,4,IF($K749&gt;PARAMETRES!$E$32,3,IF($K749&gt;PARAMETRES!$D$32,2,1))))))</f>
        <v/>
      </c>
      <c r="T749" t="str">
        <f>IF($L749="","",IF($L749&gt;PARAMETRES!$G$33,5,IF($L749&gt;PARAMETRES!$F$33,4,IF($L749&gt;PARAMETRES!$E$33,3,IF($L749&gt;PARAMETRES!$D$33,2,1)))))</f>
        <v/>
      </c>
      <c r="U749" t="str">
        <f>IF($M749="","",IF($M749&gt;PARAMETRES!$G$34,5,IF($M749&gt;PARAMETRES!$F$34,4,IF($M749&gt;PARAMETRES!$E$34,3,IF($M749&gt;PARAMETRES!$D$34,2,1)))))</f>
        <v/>
      </c>
      <c r="V749" t="str">
        <f>IF($N749="","",IF($N749&gt;PARAMETRES!$G$35,5,IF($N749&gt;PARAMETRES!$F$35,4,IF($N749&gt;PARAMETRES!$E$35,3,IF($N749&gt;PARAMETRES!$D$35,2,1)))))</f>
        <v/>
      </c>
      <c r="W749" t="str">
        <f>IF($O749="","",IF($O749&gt;PARAMETRES!$G$36,5,IF($O749&gt;PARAMETRES!$F$36,4,IF($O749&gt;PARAMETRES!$E$36,3,IF($O749&gt;PARAMETRES!$D$36,2,1)))))</f>
        <v/>
      </c>
      <c r="X749" t="str">
        <f>IF($P749="","",IF($P749&gt;PARAMETRES!$G$37,5,IF($P749&gt;PARAMETRES!$F$37,4,IF($P749&gt;PARAMETRES!$E$37,3,IF($P749&gt;PARAMETRES!$D$37,2,1)))))</f>
        <v/>
      </c>
      <c r="Y749" t="str">
        <f t="shared" si="264"/>
        <v/>
      </c>
      <c r="Z749" t="str">
        <f>IFERROR(VLOOKUP($B749,TABLE_CYCLE,2,0),"")</f>
        <v/>
      </c>
      <c r="AA749" t="str">
        <f t="shared" si="265"/>
        <v/>
      </c>
      <c r="AB749" t="str">
        <f>IF($D749="","",IF(COUNTIF($D$2:$D749,$D749)=1,$D749,""))</f>
        <v/>
      </c>
      <c r="AC749">
        <f t="shared" si="266"/>
        <v>0</v>
      </c>
      <c r="AD749" t="str">
        <f t="shared" si="267"/>
        <v>|0</v>
      </c>
      <c r="AE749" t="str">
        <f t="shared" si="268"/>
        <v/>
      </c>
      <c r="AF749" t="str">
        <f t="shared" si="269"/>
        <v/>
      </c>
      <c r="AG749" t="str">
        <f t="shared" si="270"/>
        <v/>
      </c>
      <c r="AH749" t="str">
        <f t="shared" si="271"/>
        <v/>
      </c>
      <c r="AI749" t="str">
        <f t="shared" si="272"/>
        <v/>
      </c>
      <c r="AJ749" t="str">
        <f t="shared" si="273"/>
        <v/>
      </c>
      <c r="AK749" t="str">
        <f t="shared" si="274"/>
        <v/>
      </c>
      <c r="AL749" t="str">
        <f t="shared" si="275"/>
        <v/>
      </c>
      <c r="AM749" t="str">
        <f t="shared" si="276"/>
        <v/>
      </c>
      <c r="AN749" t="str">
        <f t="shared" si="277"/>
        <v/>
      </c>
      <c r="AO749" t="str">
        <f t="shared" si="278"/>
        <v/>
      </c>
      <c r="AP749">
        <f t="shared" si="279"/>
        <v>1</v>
      </c>
      <c r="AQ749" t="str">
        <f>IF(SAISIE!$F754="","",SAISIE!$Y754)</f>
        <v/>
      </c>
      <c r="AR749" t="str">
        <f>IF(OR(SAISIE!$U$4="",SAISIE!$W$4=""),"",IF(AND($A749=SAISIE!$U$4,$B749=SAISIE!$W$4,$C749="S1"),COUNTIFS($A$2:$A749,SAISIE!$U$4,$B$2:$B749,SAISIE!$W$4,$C$2:$C749,"S1"),""))</f>
        <v/>
      </c>
      <c r="AS749" t="str">
        <f t="shared" si="280"/>
        <v/>
      </c>
      <c r="AT749" t="str">
        <f t="shared" si="281"/>
        <v/>
      </c>
      <c r="AU749" t="str">
        <f t="shared" si="282"/>
        <v/>
      </c>
      <c r="AV749">
        <f>N(AV748)+IF(AND($AB749&lt;&gt;"",OR('PROFIL ELEVE'!$K$4="(Tous)",$AF749='PROFIL ELEVE'!$K$4)),1,0)</f>
        <v>0</v>
      </c>
      <c r="AW749">
        <f>N(AW748)+IF(AND($AB749&lt;&gt;"",OR('SUIVI LONGITUDINAL'!$Q$4="(Tous)",$AF749='SUIVI LONGITUDINAL'!$Q$4)),1,0)</f>
        <v>0</v>
      </c>
      <c r="AX749">
        <f t="shared" si="283"/>
        <v>0</v>
      </c>
      <c r="AY749">
        <f t="shared" si="284"/>
        <v>0</v>
      </c>
      <c r="AZ749">
        <f t="shared" si="285"/>
        <v>0</v>
      </c>
      <c r="BA749" t="str">
        <f t="shared" si="286"/>
        <v/>
      </c>
      <c r="BB749" t="str">
        <f t="shared" si="287"/>
        <v/>
      </c>
    </row>
    <row r="750" spans="1:54" ht="14.25" customHeight="1" x14ac:dyDescent="0.3">
      <c r="A750" t="str">
        <f>IF(SAISIE!$F755="","",SAISIE!$B755)</f>
        <v/>
      </c>
      <c r="B750" t="str">
        <f>IF(SAISIE!$F755="","",SAISIE!$C755)</f>
        <v/>
      </c>
      <c r="C750" t="str">
        <f>IF(SAISIE!$F755="","",SAISIE!$D755)</f>
        <v/>
      </c>
      <c r="D750" t="str">
        <f>IF(SAISIE!$E755="","",SAISIE!$E755)</f>
        <v/>
      </c>
      <c r="E750" t="str">
        <f>IF(SAISIE!$F755="","",SAISIE!$F755)</f>
        <v/>
      </c>
      <c r="F750" t="str">
        <f>IF(SAISIE!$G755="","",SAISIE!$G755)</f>
        <v/>
      </c>
      <c r="G750" t="str">
        <f>IF(SAISIE!$H755="","",SAISIE!$H755)</f>
        <v/>
      </c>
      <c r="H750" t="str">
        <f>IF(SAISIE!$I755="","",SAISIE!$I755)</f>
        <v/>
      </c>
      <c r="I750" t="str">
        <f>IF(SAISIE!$J755="","",SAISIE!$J755)</f>
        <v/>
      </c>
      <c r="J750" t="str">
        <f>IF(SAISIE!$K755="","",SAISIE!$K755)</f>
        <v/>
      </c>
      <c r="K750" t="str">
        <f>IF(SAISIE!$L755="","",SAISIE!$L755)</f>
        <v/>
      </c>
      <c r="L750" t="str">
        <f>IF(SAISIE!$M755="","",SAISIE!$M755)</f>
        <v/>
      </c>
      <c r="M750" t="str">
        <f>IF(SAISIE!$N755="","",SAISIE!$N755)</f>
        <v/>
      </c>
      <c r="N750" t="str">
        <f>IF(SAISIE!$O755="","",SAISIE!$O755)</f>
        <v/>
      </c>
      <c r="O750" t="str">
        <f>IF(SAISIE!$P755="","",SAISIE!$P755)</f>
        <v/>
      </c>
      <c r="P750" t="str">
        <f>IF(SAISIE!$Q755="","",SAISIE!$Q755)</f>
        <v/>
      </c>
      <c r="Q750" t="str">
        <f>IF($I750="","",IF($I750&gt;PARAMETRES!$G$29,5,IF($I750&gt;PARAMETRES!$F$29,4,IF($I750&gt;PARAMETRES!$E$29,3,IF($I750&gt;PARAMETRES!$D$29,2,1)))))</f>
        <v/>
      </c>
      <c r="R750" t="str">
        <f>IF($J750="","",IF($J750&gt;PARAMETRES!$G$30,5,IF($J750&gt;PARAMETRES!$F$30,4,IF($J750&gt;PARAMETRES!$E$30,3,IF($J750&gt;PARAMETRES!$D$30,2,1)))))</f>
        <v/>
      </c>
      <c r="S750" t="str">
        <f>IF($K750="","",IF($Z750=2,IF($K750&gt;PARAMETRES!$G$31,5,IF($K750&gt;PARAMETRES!$F$31,4,IF($K750&gt;PARAMETRES!$E$31,3,IF($K750&gt;PARAMETRES!$D$31,2,1)))),IF($K750&gt;PARAMETRES!$G$32,5,IF($K750&gt;PARAMETRES!$F$32,4,IF($K750&gt;PARAMETRES!$E$32,3,IF($K750&gt;PARAMETRES!$D$32,2,1))))))</f>
        <v/>
      </c>
      <c r="T750" t="str">
        <f>IF($L750="","",IF($L750&gt;PARAMETRES!$G$33,5,IF($L750&gt;PARAMETRES!$F$33,4,IF($L750&gt;PARAMETRES!$E$33,3,IF($L750&gt;PARAMETRES!$D$33,2,1)))))</f>
        <v/>
      </c>
      <c r="U750" t="str">
        <f>IF($M750="","",IF($M750&gt;PARAMETRES!$G$34,5,IF($M750&gt;PARAMETRES!$F$34,4,IF($M750&gt;PARAMETRES!$E$34,3,IF($M750&gt;PARAMETRES!$D$34,2,1)))))</f>
        <v/>
      </c>
      <c r="V750" t="str">
        <f>IF($N750="","",IF($N750&gt;PARAMETRES!$G$35,5,IF($N750&gt;PARAMETRES!$F$35,4,IF($N750&gt;PARAMETRES!$E$35,3,IF($N750&gt;PARAMETRES!$D$35,2,1)))))</f>
        <v/>
      </c>
      <c r="W750" t="str">
        <f>IF($O750="","",IF($O750&gt;PARAMETRES!$G$36,5,IF($O750&gt;PARAMETRES!$F$36,4,IF($O750&gt;PARAMETRES!$E$36,3,IF($O750&gt;PARAMETRES!$D$36,2,1)))))</f>
        <v/>
      </c>
      <c r="X750" t="str">
        <f>IF($P750="","",IF($P750&gt;PARAMETRES!$G$37,5,IF($P750&gt;PARAMETRES!$F$37,4,IF($P750&gt;PARAMETRES!$E$37,3,IF($P750&gt;PARAMETRES!$D$37,2,1)))))</f>
        <v/>
      </c>
      <c r="Y750" t="str">
        <f t="shared" si="264"/>
        <v/>
      </c>
      <c r="Z750" t="str">
        <f>IFERROR(VLOOKUP($B750,TABLE_CYCLE,2,0),"")</f>
        <v/>
      </c>
      <c r="AA750" t="str">
        <f t="shared" si="265"/>
        <v/>
      </c>
      <c r="AB750" t="str">
        <f>IF($D750="","",IF(COUNTIF($D$2:$D750,$D750)=1,$D750,""))</f>
        <v/>
      </c>
      <c r="AC750">
        <f t="shared" si="266"/>
        <v>0</v>
      </c>
      <c r="AD750" t="str">
        <f t="shared" si="267"/>
        <v>|0</v>
      </c>
      <c r="AE750" t="str">
        <f t="shared" si="268"/>
        <v/>
      </c>
      <c r="AF750" t="str">
        <f t="shared" si="269"/>
        <v/>
      </c>
      <c r="AG750" t="str">
        <f t="shared" si="270"/>
        <v/>
      </c>
      <c r="AH750" t="str">
        <f t="shared" si="271"/>
        <v/>
      </c>
      <c r="AI750" t="str">
        <f t="shared" si="272"/>
        <v/>
      </c>
      <c r="AJ750" t="str">
        <f t="shared" si="273"/>
        <v/>
      </c>
      <c r="AK750" t="str">
        <f t="shared" si="274"/>
        <v/>
      </c>
      <c r="AL750" t="str">
        <f t="shared" si="275"/>
        <v/>
      </c>
      <c r="AM750" t="str">
        <f t="shared" si="276"/>
        <v/>
      </c>
      <c r="AN750" t="str">
        <f t="shared" si="277"/>
        <v/>
      </c>
      <c r="AO750" t="str">
        <f t="shared" si="278"/>
        <v/>
      </c>
      <c r="AP750">
        <f t="shared" si="279"/>
        <v>1</v>
      </c>
      <c r="AQ750" t="str">
        <f>IF(SAISIE!$F755="","",SAISIE!$Y755)</f>
        <v/>
      </c>
      <c r="AR750" t="str">
        <f>IF(OR(SAISIE!$U$4="",SAISIE!$W$4=""),"",IF(AND($A750=SAISIE!$U$4,$B750=SAISIE!$W$4,$C750="S1"),COUNTIFS($A$2:$A750,SAISIE!$U$4,$B$2:$B750,SAISIE!$W$4,$C$2:$C750,"S1"),""))</f>
        <v/>
      </c>
      <c r="AS750" t="str">
        <f t="shared" si="280"/>
        <v/>
      </c>
      <c r="AT750" t="str">
        <f t="shared" si="281"/>
        <v/>
      </c>
      <c r="AU750" t="str">
        <f t="shared" si="282"/>
        <v/>
      </c>
      <c r="AV750">
        <f>N(AV749)+IF(AND($AB750&lt;&gt;"",OR('PROFIL ELEVE'!$K$4="(Tous)",$AF750='PROFIL ELEVE'!$K$4)),1,0)</f>
        <v>0</v>
      </c>
      <c r="AW750">
        <f>N(AW749)+IF(AND($AB750&lt;&gt;"",OR('SUIVI LONGITUDINAL'!$Q$4="(Tous)",$AF750='SUIVI LONGITUDINAL'!$Q$4)),1,0)</f>
        <v>0</v>
      </c>
      <c r="AX750">
        <f t="shared" si="283"/>
        <v>0</v>
      </c>
      <c r="AY750">
        <f t="shared" si="284"/>
        <v>0</v>
      </c>
      <c r="AZ750">
        <f t="shared" si="285"/>
        <v>0</v>
      </c>
      <c r="BA750" t="str">
        <f t="shared" si="286"/>
        <v/>
      </c>
      <c r="BB750" t="str">
        <f t="shared" si="287"/>
        <v/>
      </c>
    </row>
    <row r="751" spans="1:54" ht="14.25" customHeight="1" x14ac:dyDescent="0.3">
      <c r="A751" t="str">
        <f>IF(SAISIE!$F756="","",SAISIE!$B756)</f>
        <v/>
      </c>
      <c r="B751" t="str">
        <f>IF(SAISIE!$F756="","",SAISIE!$C756)</f>
        <v/>
      </c>
      <c r="C751" t="str">
        <f>IF(SAISIE!$F756="","",SAISIE!$D756)</f>
        <v/>
      </c>
      <c r="D751" t="str">
        <f>IF(SAISIE!$E756="","",SAISIE!$E756)</f>
        <v/>
      </c>
      <c r="E751" t="str">
        <f>IF(SAISIE!$F756="","",SAISIE!$F756)</f>
        <v/>
      </c>
      <c r="F751" t="str">
        <f>IF(SAISIE!$G756="","",SAISIE!$G756)</f>
        <v/>
      </c>
      <c r="G751" t="str">
        <f>IF(SAISIE!$H756="","",SAISIE!$H756)</f>
        <v/>
      </c>
      <c r="H751" t="str">
        <f>IF(SAISIE!$I756="","",SAISIE!$I756)</f>
        <v/>
      </c>
      <c r="I751" t="str">
        <f>IF(SAISIE!$J756="","",SAISIE!$J756)</f>
        <v/>
      </c>
      <c r="J751" t="str">
        <f>IF(SAISIE!$K756="","",SAISIE!$K756)</f>
        <v/>
      </c>
      <c r="K751" t="str">
        <f>IF(SAISIE!$L756="","",SAISIE!$L756)</f>
        <v/>
      </c>
      <c r="L751" t="str">
        <f>IF(SAISIE!$M756="","",SAISIE!$M756)</f>
        <v/>
      </c>
      <c r="M751" t="str">
        <f>IF(SAISIE!$N756="","",SAISIE!$N756)</f>
        <v/>
      </c>
      <c r="N751" t="str">
        <f>IF(SAISIE!$O756="","",SAISIE!$O756)</f>
        <v/>
      </c>
      <c r="O751" t="str">
        <f>IF(SAISIE!$P756="","",SAISIE!$P756)</f>
        <v/>
      </c>
      <c r="P751" t="str">
        <f>IF(SAISIE!$Q756="","",SAISIE!$Q756)</f>
        <v/>
      </c>
      <c r="Q751" t="str">
        <f>IF($I751="","",IF($I751&gt;PARAMETRES!$G$29,5,IF($I751&gt;PARAMETRES!$F$29,4,IF($I751&gt;PARAMETRES!$E$29,3,IF($I751&gt;PARAMETRES!$D$29,2,1)))))</f>
        <v/>
      </c>
      <c r="R751" t="str">
        <f>IF($J751="","",IF($J751&gt;PARAMETRES!$G$30,5,IF($J751&gt;PARAMETRES!$F$30,4,IF($J751&gt;PARAMETRES!$E$30,3,IF($J751&gt;PARAMETRES!$D$30,2,1)))))</f>
        <v/>
      </c>
      <c r="S751" t="str">
        <f>IF($K751="","",IF($Z751=2,IF($K751&gt;PARAMETRES!$G$31,5,IF($K751&gt;PARAMETRES!$F$31,4,IF($K751&gt;PARAMETRES!$E$31,3,IF($K751&gt;PARAMETRES!$D$31,2,1)))),IF($K751&gt;PARAMETRES!$G$32,5,IF($K751&gt;PARAMETRES!$F$32,4,IF($K751&gt;PARAMETRES!$E$32,3,IF($K751&gt;PARAMETRES!$D$32,2,1))))))</f>
        <v/>
      </c>
      <c r="T751" t="str">
        <f>IF($L751="","",IF($L751&gt;PARAMETRES!$G$33,5,IF($L751&gt;PARAMETRES!$F$33,4,IF($L751&gt;PARAMETRES!$E$33,3,IF($L751&gt;PARAMETRES!$D$33,2,1)))))</f>
        <v/>
      </c>
      <c r="U751" t="str">
        <f>IF($M751="","",IF($M751&gt;PARAMETRES!$G$34,5,IF($M751&gt;PARAMETRES!$F$34,4,IF($M751&gt;PARAMETRES!$E$34,3,IF($M751&gt;PARAMETRES!$D$34,2,1)))))</f>
        <v/>
      </c>
      <c r="V751" t="str">
        <f>IF($N751="","",IF($N751&gt;PARAMETRES!$G$35,5,IF($N751&gt;PARAMETRES!$F$35,4,IF($N751&gt;PARAMETRES!$E$35,3,IF($N751&gt;PARAMETRES!$D$35,2,1)))))</f>
        <v/>
      </c>
      <c r="W751" t="str">
        <f>IF($O751="","",IF($O751&gt;PARAMETRES!$G$36,5,IF($O751&gt;PARAMETRES!$F$36,4,IF($O751&gt;PARAMETRES!$E$36,3,IF($O751&gt;PARAMETRES!$D$36,2,1)))))</f>
        <v/>
      </c>
      <c r="X751" t="str">
        <f>IF($P751="","",IF($P751&gt;PARAMETRES!$G$37,5,IF($P751&gt;PARAMETRES!$F$37,4,IF($P751&gt;PARAMETRES!$E$37,3,IF($P751&gt;PARAMETRES!$D$37,2,1)))))</f>
        <v/>
      </c>
      <c r="Y751" t="str">
        <f t="shared" si="264"/>
        <v/>
      </c>
      <c r="Z751" t="str">
        <f>IFERROR(VLOOKUP($B751,TABLE_CYCLE,2,0),"")</f>
        <v/>
      </c>
      <c r="AA751" t="str">
        <f t="shared" si="265"/>
        <v/>
      </c>
      <c r="AB751" t="str">
        <f>IF($D751="","",IF(COUNTIF($D$2:$D751,$D751)=1,$D751,""))</f>
        <v/>
      </c>
      <c r="AC751">
        <f t="shared" si="266"/>
        <v>0</v>
      </c>
      <c r="AD751" t="str">
        <f t="shared" si="267"/>
        <v>|0</v>
      </c>
      <c r="AE751" t="str">
        <f t="shared" si="268"/>
        <v/>
      </c>
      <c r="AF751" t="str">
        <f t="shared" si="269"/>
        <v/>
      </c>
      <c r="AG751" t="str">
        <f t="shared" si="270"/>
        <v/>
      </c>
      <c r="AH751" t="str">
        <f t="shared" si="271"/>
        <v/>
      </c>
      <c r="AI751" t="str">
        <f t="shared" si="272"/>
        <v/>
      </c>
      <c r="AJ751" t="str">
        <f t="shared" si="273"/>
        <v/>
      </c>
      <c r="AK751" t="str">
        <f t="shared" si="274"/>
        <v/>
      </c>
      <c r="AL751" t="str">
        <f t="shared" si="275"/>
        <v/>
      </c>
      <c r="AM751" t="str">
        <f t="shared" si="276"/>
        <v/>
      </c>
      <c r="AN751" t="str">
        <f t="shared" si="277"/>
        <v/>
      </c>
      <c r="AO751" t="str">
        <f t="shared" si="278"/>
        <v/>
      </c>
      <c r="AP751">
        <f t="shared" si="279"/>
        <v>1</v>
      </c>
      <c r="AQ751" t="str">
        <f>IF(SAISIE!$F756="","",SAISIE!$Y756)</f>
        <v/>
      </c>
      <c r="AR751" t="str">
        <f>IF(OR(SAISIE!$U$4="",SAISIE!$W$4=""),"",IF(AND($A751=SAISIE!$U$4,$B751=SAISIE!$W$4,$C751="S1"),COUNTIFS($A$2:$A751,SAISIE!$U$4,$B$2:$B751,SAISIE!$W$4,$C$2:$C751,"S1"),""))</f>
        <v/>
      </c>
      <c r="AS751" t="str">
        <f t="shared" si="280"/>
        <v/>
      </c>
      <c r="AT751" t="str">
        <f t="shared" si="281"/>
        <v/>
      </c>
      <c r="AU751" t="str">
        <f t="shared" si="282"/>
        <v/>
      </c>
      <c r="AV751">
        <f>N(AV750)+IF(AND($AB751&lt;&gt;"",OR('PROFIL ELEVE'!$K$4="(Tous)",$AF751='PROFIL ELEVE'!$K$4)),1,0)</f>
        <v>0</v>
      </c>
      <c r="AW751">
        <f>N(AW750)+IF(AND($AB751&lt;&gt;"",OR('SUIVI LONGITUDINAL'!$Q$4="(Tous)",$AF751='SUIVI LONGITUDINAL'!$Q$4)),1,0)</f>
        <v>0</v>
      </c>
      <c r="AX751">
        <f t="shared" si="283"/>
        <v>0</v>
      </c>
      <c r="AY751">
        <f t="shared" si="284"/>
        <v>0</v>
      </c>
      <c r="AZ751">
        <f t="shared" si="285"/>
        <v>0</v>
      </c>
      <c r="BA751" t="str">
        <f t="shared" si="286"/>
        <v/>
      </c>
      <c r="BB751" t="str">
        <f t="shared" si="287"/>
        <v/>
      </c>
    </row>
    <row r="752" spans="1:54" ht="14.25" customHeight="1" x14ac:dyDescent="0.3">
      <c r="A752" t="str">
        <f>IF(SAISIE!$F757="","",SAISIE!$B757)</f>
        <v/>
      </c>
      <c r="B752" t="str">
        <f>IF(SAISIE!$F757="","",SAISIE!$C757)</f>
        <v/>
      </c>
      <c r="C752" t="str">
        <f>IF(SAISIE!$F757="","",SAISIE!$D757)</f>
        <v/>
      </c>
      <c r="D752" t="str">
        <f>IF(SAISIE!$E757="","",SAISIE!$E757)</f>
        <v/>
      </c>
      <c r="E752" t="str">
        <f>IF(SAISIE!$F757="","",SAISIE!$F757)</f>
        <v/>
      </c>
      <c r="F752" t="str">
        <f>IF(SAISIE!$G757="","",SAISIE!$G757)</f>
        <v/>
      </c>
      <c r="G752" t="str">
        <f>IF(SAISIE!$H757="","",SAISIE!$H757)</f>
        <v/>
      </c>
      <c r="H752" t="str">
        <f>IF(SAISIE!$I757="","",SAISIE!$I757)</f>
        <v/>
      </c>
      <c r="I752" t="str">
        <f>IF(SAISIE!$J757="","",SAISIE!$J757)</f>
        <v/>
      </c>
      <c r="J752" t="str">
        <f>IF(SAISIE!$K757="","",SAISIE!$K757)</f>
        <v/>
      </c>
      <c r="K752" t="str">
        <f>IF(SAISIE!$L757="","",SAISIE!$L757)</f>
        <v/>
      </c>
      <c r="L752" t="str">
        <f>IF(SAISIE!$M757="","",SAISIE!$M757)</f>
        <v/>
      </c>
      <c r="M752" t="str">
        <f>IF(SAISIE!$N757="","",SAISIE!$N757)</f>
        <v/>
      </c>
      <c r="N752" t="str">
        <f>IF(SAISIE!$O757="","",SAISIE!$O757)</f>
        <v/>
      </c>
      <c r="O752" t="str">
        <f>IF(SAISIE!$P757="","",SAISIE!$P757)</f>
        <v/>
      </c>
      <c r="P752" t="str">
        <f>IF(SAISIE!$Q757="","",SAISIE!$Q757)</f>
        <v/>
      </c>
      <c r="Q752" t="str">
        <f>IF($I752="","",IF($I752&gt;PARAMETRES!$G$29,5,IF($I752&gt;PARAMETRES!$F$29,4,IF($I752&gt;PARAMETRES!$E$29,3,IF($I752&gt;PARAMETRES!$D$29,2,1)))))</f>
        <v/>
      </c>
      <c r="R752" t="str">
        <f>IF($J752="","",IF($J752&gt;PARAMETRES!$G$30,5,IF($J752&gt;PARAMETRES!$F$30,4,IF($J752&gt;PARAMETRES!$E$30,3,IF($J752&gt;PARAMETRES!$D$30,2,1)))))</f>
        <v/>
      </c>
      <c r="S752" t="str">
        <f>IF($K752="","",IF($Z752=2,IF($K752&gt;PARAMETRES!$G$31,5,IF($K752&gt;PARAMETRES!$F$31,4,IF($K752&gt;PARAMETRES!$E$31,3,IF($K752&gt;PARAMETRES!$D$31,2,1)))),IF($K752&gt;PARAMETRES!$G$32,5,IF($K752&gt;PARAMETRES!$F$32,4,IF($K752&gt;PARAMETRES!$E$32,3,IF($K752&gt;PARAMETRES!$D$32,2,1))))))</f>
        <v/>
      </c>
      <c r="T752" t="str">
        <f>IF($L752="","",IF($L752&gt;PARAMETRES!$G$33,5,IF($L752&gt;PARAMETRES!$F$33,4,IF($L752&gt;PARAMETRES!$E$33,3,IF($L752&gt;PARAMETRES!$D$33,2,1)))))</f>
        <v/>
      </c>
      <c r="U752" t="str">
        <f>IF($M752="","",IF($M752&gt;PARAMETRES!$G$34,5,IF($M752&gt;PARAMETRES!$F$34,4,IF($M752&gt;PARAMETRES!$E$34,3,IF($M752&gt;PARAMETRES!$D$34,2,1)))))</f>
        <v/>
      </c>
      <c r="V752" t="str">
        <f>IF($N752="","",IF($N752&gt;PARAMETRES!$G$35,5,IF($N752&gt;PARAMETRES!$F$35,4,IF($N752&gt;PARAMETRES!$E$35,3,IF($N752&gt;PARAMETRES!$D$35,2,1)))))</f>
        <v/>
      </c>
      <c r="W752" t="str">
        <f>IF($O752="","",IF($O752&gt;PARAMETRES!$G$36,5,IF($O752&gt;PARAMETRES!$F$36,4,IF($O752&gt;PARAMETRES!$E$36,3,IF($O752&gt;PARAMETRES!$D$36,2,1)))))</f>
        <v/>
      </c>
      <c r="X752" t="str">
        <f>IF($P752="","",IF($P752&gt;PARAMETRES!$G$37,5,IF($P752&gt;PARAMETRES!$F$37,4,IF($P752&gt;PARAMETRES!$E$37,3,IF($P752&gt;PARAMETRES!$D$37,2,1)))))</f>
        <v/>
      </c>
      <c r="Y752" t="str">
        <f t="shared" si="264"/>
        <v/>
      </c>
      <c r="Z752" t="str">
        <f>IFERROR(VLOOKUP($B752,TABLE_CYCLE,2,0),"")</f>
        <v/>
      </c>
      <c r="AA752" t="str">
        <f t="shared" si="265"/>
        <v/>
      </c>
      <c r="AB752" t="str">
        <f>IF($D752="","",IF(COUNTIF($D$2:$D752,$D752)=1,$D752,""))</f>
        <v/>
      </c>
      <c r="AC752">
        <f t="shared" si="266"/>
        <v>0</v>
      </c>
      <c r="AD752" t="str">
        <f t="shared" si="267"/>
        <v>|0</v>
      </c>
      <c r="AE752" t="str">
        <f t="shared" si="268"/>
        <v/>
      </c>
      <c r="AF752" t="str">
        <f t="shared" si="269"/>
        <v/>
      </c>
      <c r="AG752" t="str">
        <f t="shared" si="270"/>
        <v/>
      </c>
      <c r="AH752" t="str">
        <f t="shared" si="271"/>
        <v/>
      </c>
      <c r="AI752" t="str">
        <f t="shared" si="272"/>
        <v/>
      </c>
      <c r="AJ752" t="str">
        <f t="shared" si="273"/>
        <v/>
      </c>
      <c r="AK752" t="str">
        <f t="shared" si="274"/>
        <v/>
      </c>
      <c r="AL752" t="str">
        <f t="shared" si="275"/>
        <v/>
      </c>
      <c r="AM752" t="str">
        <f t="shared" si="276"/>
        <v/>
      </c>
      <c r="AN752" t="str">
        <f t="shared" si="277"/>
        <v/>
      </c>
      <c r="AO752" t="str">
        <f t="shared" si="278"/>
        <v/>
      </c>
      <c r="AP752">
        <f t="shared" si="279"/>
        <v>1</v>
      </c>
      <c r="AQ752" t="str">
        <f>IF(SAISIE!$F757="","",SAISIE!$Y757)</f>
        <v/>
      </c>
      <c r="AR752" t="str">
        <f>IF(OR(SAISIE!$U$4="",SAISIE!$W$4=""),"",IF(AND($A752=SAISIE!$U$4,$B752=SAISIE!$W$4,$C752="S1"),COUNTIFS($A$2:$A752,SAISIE!$U$4,$B$2:$B752,SAISIE!$W$4,$C$2:$C752,"S1"),""))</f>
        <v/>
      </c>
      <c r="AS752" t="str">
        <f t="shared" si="280"/>
        <v/>
      </c>
      <c r="AT752" t="str">
        <f t="shared" si="281"/>
        <v/>
      </c>
      <c r="AU752" t="str">
        <f t="shared" si="282"/>
        <v/>
      </c>
      <c r="AV752">
        <f>N(AV751)+IF(AND($AB752&lt;&gt;"",OR('PROFIL ELEVE'!$K$4="(Tous)",$AF752='PROFIL ELEVE'!$K$4)),1,0)</f>
        <v>0</v>
      </c>
      <c r="AW752">
        <f>N(AW751)+IF(AND($AB752&lt;&gt;"",OR('SUIVI LONGITUDINAL'!$Q$4="(Tous)",$AF752='SUIVI LONGITUDINAL'!$Q$4)),1,0)</f>
        <v>0</v>
      </c>
      <c r="AX752">
        <f t="shared" si="283"/>
        <v>0</v>
      </c>
      <c r="AY752">
        <f t="shared" si="284"/>
        <v>0</v>
      </c>
      <c r="AZ752">
        <f t="shared" si="285"/>
        <v>0</v>
      </c>
      <c r="BA752" t="str">
        <f t="shared" si="286"/>
        <v/>
      </c>
      <c r="BB752" t="str">
        <f t="shared" si="287"/>
        <v/>
      </c>
    </row>
    <row r="753" spans="1:54" ht="14.25" customHeight="1" x14ac:dyDescent="0.3">
      <c r="A753" t="str">
        <f>IF(SAISIE!$F758="","",SAISIE!$B758)</f>
        <v/>
      </c>
      <c r="B753" t="str">
        <f>IF(SAISIE!$F758="","",SAISIE!$C758)</f>
        <v/>
      </c>
      <c r="C753" t="str">
        <f>IF(SAISIE!$F758="","",SAISIE!$D758)</f>
        <v/>
      </c>
      <c r="D753" t="str">
        <f>IF(SAISIE!$E758="","",SAISIE!$E758)</f>
        <v/>
      </c>
      <c r="E753" t="str">
        <f>IF(SAISIE!$F758="","",SAISIE!$F758)</f>
        <v/>
      </c>
      <c r="F753" t="str">
        <f>IF(SAISIE!$G758="","",SAISIE!$G758)</f>
        <v/>
      </c>
      <c r="G753" t="str">
        <f>IF(SAISIE!$H758="","",SAISIE!$H758)</f>
        <v/>
      </c>
      <c r="H753" t="str">
        <f>IF(SAISIE!$I758="","",SAISIE!$I758)</f>
        <v/>
      </c>
      <c r="I753" t="str">
        <f>IF(SAISIE!$J758="","",SAISIE!$J758)</f>
        <v/>
      </c>
      <c r="J753" t="str">
        <f>IF(SAISIE!$K758="","",SAISIE!$K758)</f>
        <v/>
      </c>
      <c r="K753" t="str">
        <f>IF(SAISIE!$L758="","",SAISIE!$L758)</f>
        <v/>
      </c>
      <c r="L753" t="str">
        <f>IF(SAISIE!$M758="","",SAISIE!$M758)</f>
        <v/>
      </c>
      <c r="M753" t="str">
        <f>IF(SAISIE!$N758="","",SAISIE!$N758)</f>
        <v/>
      </c>
      <c r="N753" t="str">
        <f>IF(SAISIE!$O758="","",SAISIE!$O758)</f>
        <v/>
      </c>
      <c r="O753" t="str">
        <f>IF(SAISIE!$P758="","",SAISIE!$P758)</f>
        <v/>
      </c>
      <c r="P753" t="str">
        <f>IF(SAISIE!$Q758="","",SAISIE!$Q758)</f>
        <v/>
      </c>
      <c r="Q753" t="str">
        <f>IF($I753="","",IF($I753&gt;PARAMETRES!$G$29,5,IF($I753&gt;PARAMETRES!$F$29,4,IF($I753&gt;PARAMETRES!$E$29,3,IF($I753&gt;PARAMETRES!$D$29,2,1)))))</f>
        <v/>
      </c>
      <c r="R753" t="str">
        <f>IF($J753="","",IF($J753&gt;PARAMETRES!$G$30,5,IF($J753&gt;PARAMETRES!$F$30,4,IF($J753&gt;PARAMETRES!$E$30,3,IF($J753&gt;PARAMETRES!$D$30,2,1)))))</f>
        <v/>
      </c>
      <c r="S753" t="str">
        <f>IF($K753="","",IF($Z753=2,IF($K753&gt;PARAMETRES!$G$31,5,IF($K753&gt;PARAMETRES!$F$31,4,IF($K753&gt;PARAMETRES!$E$31,3,IF($K753&gt;PARAMETRES!$D$31,2,1)))),IF($K753&gt;PARAMETRES!$G$32,5,IF($K753&gt;PARAMETRES!$F$32,4,IF($K753&gt;PARAMETRES!$E$32,3,IF($K753&gt;PARAMETRES!$D$32,2,1))))))</f>
        <v/>
      </c>
      <c r="T753" t="str">
        <f>IF($L753="","",IF($L753&gt;PARAMETRES!$G$33,5,IF($L753&gt;PARAMETRES!$F$33,4,IF($L753&gt;PARAMETRES!$E$33,3,IF($L753&gt;PARAMETRES!$D$33,2,1)))))</f>
        <v/>
      </c>
      <c r="U753" t="str">
        <f>IF($M753="","",IF($M753&gt;PARAMETRES!$G$34,5,IF($M753&gt;PARAMETRES!$F$34,4,IF($M753&gt;PARAMETRES!$E$34,3,IF($M753&gt;PARAMETRES!$D$34,2,1)))))</f>
        <v/>
      </c>
      <c r="V753" t="str">
        <f>IF($N753="","",IF($N753&gt;PARAMETRES!$G$35,5,IF($N753&gt;PARAMETRES!$F$35,4,IF($N753&gt;PARAMETRES!$E$35,3,IF($N753&gt;PARAMETRES!$D$35,2,1)))))</f>
        <v/>
      </c>
      <c r="W753" t="str">
        <f>IF($O753="","",IF($O753&gt;PARAMETRES!$G$36,5,IF($O753&gt;PARAMETRES!$F$36,4,IF($O753&gt;PARAMETRES!$E$36,3,IF($O753&gt;PARAMETRES!$D$36,2,1)))))</f>
        <v/>
      </c>
      <c r="X753" t="str">
        <f>IF($P753="","",IF($P753&gt;PARAMETRES!$G$37,5,IF($P753&gt;PARAMETRES!$F$37,4,IF($P753&gt;PARAMETRES!$E$37,3,IF($P753&gt;PARAMETRES!$D$37,2,1)))))</f>
        <v/>
      </c>
      <c r="Y753" t="str">
        <f t="shared" si="264"/>
        <v/>
      </c>
      <c r="Z753" t="str">
        <f>IFERROR(VLOOKUP($B753,TABLE_CYCLE,2,0),"")</f>
        <v/>
      </c>
      <c r="AA753" t="str">
        <f t="shared" si="265"/>
        <v/>
      </c>
      <c r="AB753" t="str">
        <f>IF($D753="","",IF(COUNTIF($D$2:$D753,$D753)=1,$D753,""))</f>
        <v/>
      </c>
      <c r="AC753">
        <f t="shared" si="266"/>
        <v>0</v>
      </c>
      <c r="AD753" t="str">
        <f t="shared" si="267"/>
        <v>|0</v>
      </c>
      <c r="AE753" t="str">
        <f t="shared" si="268"/>
        <v/>
      </c>
      <c r="AF753" t="str">
        <f t="shared" si="269"/>
        <v/>
      </c>
      <c r="AG753" t="str">
        <f t="shared" si="270"/>
        <v/>
      </c>
      <c r="AH753" t="str">
        <f t="shared" si="271"/>
        <v/>
      </c>
      <c r="AI753" t="str">
        <f t="shared" si="272"/>
        <v/>
      </c>
      <c r="AJ753" t="str">
        <f t="shared" si="273"/>
        <v/>
      </c>
      <c r="AK753" t="str">
        <f t="shared" si="274"/>
        <v/>
      </c>
      <c r="AL753" t="str">
        <f t="shared" si="275"/>
        <v/>
      </c>
      <c r="AM753" t="str">
        <f t="shared" si="276"/>
        <v/>
      </c>
      <c r="AN753" t="str">
        <f t="shared" si="277"/>
        <v/>
      </c>
      <c r="AO753" t="str">
        <f t="shared" si="278"/>
        <v/>
      </c>
      <c r="AP753">
        <f t="shared" si="279"/>
        <v>1</v>
      </c>
      <c r="AQ753" t="str">
        <f>IF(SAISIE!$F758="","",SAISIE!$Y758)</f>
        <v/>
      </c>
      <c r="AR753" t="str">
        <f>IF(OR(SAISIE!$U$4="",SAISIE!$W$4=""),"",IF(AND($A753=SAISIE!$U$4,$B753=SAISIE!$W$4,$C753="S1"),COUNTIFS($A$2:$A753,SAISIE!$U$4,$B$2:$B753,SAISIE!$W$4,$C$2:$C753,"S1"),""))</f>
        <v/>
      </c>
      <c r="AS753" t="str">
        <f t="shared" si="280"/>
        <v/>
      </c>
      <c r="AT753" t="str">
        <f t="shared" si="281"/>
        <v/>
      </c>
      <c r="AU753" t="str">
        <f t="shared" si="282"/>
        <v/>
      </c>
      <c r="AV753">
        <f>N(AV752)+IF(AND($AB753&lt;&gt;"",OR('PROFIL ELEVE'!$K$4="(Tous)",$AF753='PROFIL ELEVE'!$K$4)),1,0)</f>
        <v>0</v>
      </c>
      <c r="AW753">
        <f>N(AW752)+IF(AND($AB753&lt;&gt;"",OR('SUIVI LONGITUDINAL'!$Q$4="(Tous)",$AF753='SUIVI LONGITUDINAL'!$Q$4)),1,0)</f>
        <v>0</v>
      </c>
      <c r="AX753">
        <f t="shared" si="283"/>
        <v>0</v>
      </c>
      <c r="AY753">
        <f t="shared" si="284"/>
        <v>0</v>
      </c>
      <c r="AZ753">
        <f t="shared" si="285"/>
        <v>0</v>
      </c>
      <c r="BA753" t="str">
        <f t="shared" si="286"/>
        <v/>
      </c>
      <c r="BB753" t="str">
        <f t="shared" si="287"/>
        <v/>
      </c>
    </row>
    <row r="754" spans="1:54" ht="14.25" customHeight="1" x14ac:dyDescent="0.3">
      <c r="A754" t="str">
        <f>IF(SAISIE!$F759="","",SAISIE!$B759)</f>
        <v/>
      </c>
      <c r="B754" t="str">
        <f>IF(SAISIE!$F759="","",SAISIE!$C759)</f>
        <v/>
      </c>
      <c r="C754" t="str">
        <f>IF(SAISIE!$F759="","",SAISIE!$D759)</f>
        <v/>
      </c>
      <c r="D754" t="str">
        <f>IF(SAISIE!$E759="","",SAISIE!$E759)</f>
        <v/>
      </c>
      <c r="E754" t="str">
        <f>IF(SAISIE!$F759="","",SAISIE!$F759)</f>
        <v/>
      </c>
      <c r="F754" t="str">
        <f>IF(SAISIE!$G759="","",SAISIE!$G759)</f>
        <v/>
      </c>
      <c r="G754" t="str">
        <f>IF(SAISIE!$H759="","",SAISIE!$H759)</f>
        <v/>
      </c>
      <c r="H754" t="str">
        <f>IF(SAISIE!$I759="","",SAISIE!$I759)</f>
        <v/>
      </c>
      <c r="I754" t="str">
        <f>IF(SAISIE!$J759="","",SAISIE!$J759)</f>
        <v/>
      </c>
      <c r="J754" t="str">
        <f>IF(SAISIE!$K759="","",SAISIE!$K759)</f>
        <v/>
      </c>
      <c r="K754" t="str">
        <f>IF(SAISIE!$L759="","",SAISIE!$L759)</f>
        <v/>
      </c>
      <c r="L754" t="str">
        <f>IF(SAISIE!$M759="","",SAISIE!$M759)</f>
        <v/>
      </c>
      <c r="M754" t="str">
        <f>IF(SAISIE!$N759="","",SAISIE!$N759)</f>
        <v/>
      </c>
      <c r="N754" t="str">
        <f>IF(SAISIE!$O759="","",SAISIE!$O759)</f>
        <v/>
      </c>
      <c r="O754" t="str">
        <f>IF(SAISIE!$P759="","",SAISIE!$P759)</f>
        <v/>
      </c>
      <c r="P754" t="str">
        <f>IF(SAISIE!$Q759="","",SAISIE!$Q759)</f>
        <v/>
      </c>
      <c r="Q754" t="str">
        <f>IF($I754="","",IF($I754&gt;PARAMETRES!$G$29,5,IF($I754&gt;PARAMETRES!$F$29,4,IF($I754&gt;PARAMETRES!$E$29,3,IF($I754&gt;PARAMETRES!$D$29,2,1)))))</f>
        <v/>
      </c>
      <c r="R754" t="str">
        <f>IF($J754="","",IF($J754&gt;PARAMETRES!$G$30,5,IF($J754&gt;PARAMETRES!$F$30,4,IF($J754&gt;PARAMETRES!$E$30,3,IF($J754&gt;PARAMETRES!$D$30,2,1)))))</f>
        <v/>
      </c>
      <c r="S754" t="str">
        <f>IF($K754="","",IF($Z754=2,IF($K754&gt;PARAMETRES!$G$31,5,IF($K754&gt;PARAMETRES!$F$31,4,IF($K754&gt;PARAMETRES!$E$31,3,IF($K754&gt;PARAMETRES!$D$31,2,1)))),IF($K754&gt;PARAMETRES!$G$32,5,IF($K754&gt;PARAMETRES!$F$32,4,IF($K754&gt;PARAMETRES!$E$32,3,IF($K754&gt;PARAMETRES!$D$32,2,1))))))</f>
        <v/>
      </c>
      <c r="T754" t="str">
        <f>IF($L754="","",IF($L754&gt;PARAMETRES!$G$33,5,IF($L754&gt;PARAMETRES!$F$33,4,IF($L754&gt;PARAMETRES!$E$33,3,IF($L754&gt;PARAMETRES!$D$33,2,1)))))</f>
        <v/>
      </c>
      <c r="U754" t="str">
        <f>IF($M754="","",IF($M754&gt;PARAMETRES!$G$34,5,IF($M754&gt;PARAMETRES!$F$34,4,IF($M754&gt;PARAMETRES!$E$34,3,IF($M754&gt;PARAMETRES!$D$34,2,1)))))</f>
        <v/>
      </c>
      <c r="V754" t="str">
        <f>IF($N754="","",IF($N754&gt;PARAMETRES!$G$35,5,IF($N754&gt;PARAMETRES!$F$35,4,IF($N754&gt;PARAMETRES!$E$35,3,IF($N754&gt;PARAMETRES!$D$35,2,1)))))</f>
        <v/>
      </c>
      <c r="W754" t="str">
        <f>IF($O754="","",IF($O754&gt;PARAMETRES!$G$36,5,IF($O754&gt;PARAMETRES!$F$36,4,IF($O754&gt;PARAMETRES!$E$36,3,IF($O754&gt;PARAMETRES!$D$36,2,1)))))</f>
        <v/>
      </c>
      <c r="X754" t="str">
        <f>IF($P754="","",IF($P754&gt;PARAMETRES!$G$37,5,IF($P754&gt;PARAMETRES!$F$37,4,IF($P754&gt;PARAMETRES!$E$37,3,IF($P754&gt;PARAMETRES!$D$37,2,1)))))</f>
        <v/>
      </c>
      <c r="Y754" t="str">
        <f t="shared" si="264"/>
        <v/>
      </c>
      <c r="Z754" t="str">
        <f>IFERROR(VLOOKUP($B754,TABLE_CYCLE,2,0),"")</f>
        <v/>
      </c>
      <c r="AA754" t="str">
        <f t="shared" si="265"/>
        <v/>
      </c>
      <c r="AB754" t="str">
        <f>IF($D754="","",IF(COUNTIF($D$2:$D754,$D754)=1,$D754,""))</f>
        <v/>
      </c>
      <c r="AC754">
        <f t="shared" si="266"/>
        <v>0</v>
      </c>
      <c r="AD754" t="str">
        <f t="shared" si="267"/>
        <v>|0</v>
      </c>
      <c r="AE754" t="str">
        <f t="shared" si="268"/>
        <v/>
      </c>
      <c r="AF754" t="str">
        <f t="shared" si="269"/>
        <v/>
      </c>
      <c r="AG754" t="str">
        <f t="shared" si="270"/>
        <v/>
      </c>
      <c r="AH754" t="str">
        <f t="shared" si="271"/>
        <v/>
      </c>
      <c r="AI754" t="str">
        <f t="shared" si="272"/>
        <v/>
      </c>
      <c r="AJ754" t="str">
        <f t="shared" si="273"/>
        <v/>
      </c>
      <c r="AK754" t="str">
        <f t="shared" si="274"/>
        <v/>
      </c>
      <c r="AL754" t="str">
        <f t="shared" si="275"/>
        <v/>
      </c>
      <c r="AM754" t="str">
        <f t="shared" si="276"/>
        <v/>
      </c>
      <c r="AN754" t="str">
        <f t="shared" si="277"/>
        <v/>
      </c>
      <c r="AO754" t="str">
        <f t="shared" si="278"/>
        <v/>
      </c>
      <c r="AP754">
        <f t="shared" si="279"/>
        <v>1</v>
      </c>
      <c r="AQ754" t="str">
        <f>IF(SAISIE!$F759="","",SAISIE!$Y759)</f>
        <v/>
      </c>
      <c r="AR754" t="str">
        <f>IF(OR(SAISIE!$U$4="",SAISIE!$W$4=""),"",IF(AND($A754=SAISIE!$U$4,$B754=SAISIE!$W$4,$C754="S1"),COUNTIFS($A$2:$A754,SAISIE!$U$4,$B$2:$B754,SAISIE!$W$4,$C$2:$C754,"S1"),""))</f>
        <v/>
      </c>
      <c r="AS754" t="str">
        <f t="shared" si="280"/>
        <v/>
      </c>
      <c r="AT754" t="str">
        <f t="shared" si="281"/>
        <v/>
      </c>
      <c r="AU754" t="str">
        <f t="shared" si="282"/>
        <v/>
      </c>
      <c r="AV754">
        <f>N(AV753)+IF(AND($AB754&lt;&gt;"",OR('PROFIL ELEVE'!$K$4="(Tous)",$AF754='PROFIL ELEVE'!$K$4)),1,0)</f>
        <v>0</v>
      </c>
      <c r="AW754">
        <f>N(AW753)+IF(AND($AB754&lt;&gt;"",OR('SUIVI LONGITUDINAL'!$Q$4="(Tous)",$AF754='SUIVI LONGITUDINAL'!$Q$4)),1,0)</f>
        <v>0</v>
      </c>
      <c r="AX754">
        <f t="shared" si="283"/>
        <v>0</v>
      </c>
      <c r="AY754">
        <f t="shared" si="284"/>
        <v>0</v>
      </c>
      <c r="AZ754">
        <f t="shared" si="285"/>
        <v>0</v>
      </c>
      <c r="BA754" t="str">
        <f t="shared" si="286"/>
        <v/>
      </c>
      <c r="BB754" t="str">
        <f t="shared" si="287"/>
        <v/>
      </c>
    </row>
    <row r="755" spans="1:54" ht="14.25" customHeight="1" x14ac:dyDescent="0.3">
      <c r="A755" t="str">
        <f>IF(SAISIE!$F760="","",SAISIE!$B760)</f>
        <v/>
      </c>
      <c r="B755" t="str">
        <f>IF(SAISIE!$F760="","",SAISIE!$C760)</f>
        <v/>
      </c>
      <c r="C755" t="str">
        <f>IF(SAISIE!$F760="","",SAISIE!$D760)</f>
        <v/>
      </c>
      <c r="D755" t="str">
        <f>IF(SAISIE!$E760="","",SAISIE!$E760)</f>
        <v/>
      </c>
      <c r="E755" t="str">
        <f>IF(SAISIE!$F760="","",SAISIE!$F760)</f>
        <v/>
      </c>
      <c r="F755" t="str">
        <f>IF(SAISIE!$G760="","",SAISIE!$G760)</f>
        <v/>
      </c>
      <c r="G755" t="str">
        <f>IF(SAISIE!$H760="","",SAISIE!$H760)</f>
        <v/>
      </c>
      <c r="H755" t="str">
        <f>IF(SAISIE!$I760="","",SAISIE!$I760)</f>
        <v/>
      </c>
      <c r="I755" t="str">
        <f>IF(SAISIE!$J760="","",SAISIE!$J760)</f>
        <v/>
      </c>
      <c r="J755" t="str">
        <f>IF(SAISIE!$K760="","",SAISIE!$K760)</f>
        <v/>
      </c>
      <c r="K755" t="str">
        <f>IF(SAISIE!$L760="","",SAISIE!$L760)</f>
        <v/>
      </c>
      <c r="L755" t="str">
        <f>IF(SAISIE!$M760="","",SAISIE!$M760)</f>
        <v/>
      </c>
      <c r="M755" t="str">
        <f>IF(SAISIE!$N760="","",SAISIE!$N760)</f>
        <v/>
      </c>
      <c r="N755" t="str">
        <f>IF(SAISIE!$O760="","",SAISIE!$O760)</f>
        <v/>
      </c>
      <c r="O755" t="str">
        <f>IF(SAISIE!$P760="","",SAISIE!$P760)</f>
        <v/>
      </c>
      <c r="P755" t="str">
        <f>IF(SAISIE!$Q760="","",SAISIE!$Q760)</f>
        <v/>
      </c>
      <c r="Q755" t="str">
        <f>IF($I755="","",IF($I755&gt;PARAMETRES!$G$29,5,IF($I755&gt;PARAMETRES!$F$29,4,IF($I755&gt;PARAMETRES!$E$29,3,IF($I755&gt;PARAMETRES!$D$29,2,1)))))</f>
        <v/>
      </c>
      <c r="R755" t="str">
        <f>IF($J755="","",IF($J755&gt;PARAMETRES!$G$30,5,IF($J755&gt;PARAMETRES!$F$30,4,IF($J755&gt;PARAMETRES!$E$30,3,IF($J755&gt;PARAMETRES!$D$30,2,1)))))</f>
        <v/>
      </c>
      <c r="S755" t="str">
        <f>IF($K755="","",IF($Z755=2,IF($K755&gt;PARAMETRES!$G$31,5,IF($K755&gt;PARAMETRES!$F$31,4,IF($K755&gt;PARAMETRES!$E$31,3,IF($K755&gt;PARAMETRES!$D$31,2,1)))),IF($K755&gt;PARAMETRES!$G$32,5,IF($K755&gt;PARAMETRES!$F$32,4,IF($K755&gt;PARAMETRES!$E$32,3,IF($K755&gt;PARAMETRES!$D$32,2,1))))))</f>
        <v/>
      </c>
      <c r="T755" t="str">
        <f>IF($L755="","",IF($L755&gt;PARAMETRES!$G$33,5,IF($L755&gt;PARAMETRES!$F$33,4,IF($L755&gt;PARAMETRES!$E$33,3,IF($L755&gt;PARAMETRES!$D$33,2,1)))))</f>
        <v/>
      </c>
      <c r="U755" t="str">
        <f>IF($M755="","",IF($M755&gt;PARAMETRES!$G$34,5,IF($M755&gt;PARAMETRES!$F$34,4,IF($M755&gt;PARAMETRES!$E$34,3,IF($M755&gt;PARAMETRES!$D$34,2,1)))))</f>
        <v/>
      </c>
      <c r="V755" t="str">
        <f>IF($N755="","",IF($N755&gt;PARAMETRES!$G$35,5,IF($N755&gt;PARAMETRES!$F$35,4,IF($N755&gt;PARAMETRES!$E$35,3,IF($N755&gt;PARAMETRES!$D$35,2,1)))))</f>
        <v/>
      </c>
      <c r="W755" t="str">
        <f>IF($O755="","",IF($O755&gt;PARAMETRES!$G$36,5,IF($O755&gt;PARAMETRES!$F$36,4,IF($O755&gt;PARAMETRES!$E$36,3,IF($O755&gt;PARAMETRES!$D$36,2,1)))))</f>
        <v/>
      </c>
      <c r="X755" t="str">
        <f>IF($P755="","",IF($P755&gt;PARAMETRES!$G$37,5,IF($P755&gt;PARAMETRES!$F$37,4,IF($P755&gt;PARAMETRES!$E$37,3,IF($P755&gt;PARAMETRES!$D$37,2,1)))))</f>
        <v/>
      </c>
      <c r="Y755" t="str">
        <f t="shared" si="264"/>
        <v/>
      </c>
      <c r="Z755" t="str">
        <f>IFERROR(VLOOKUP($B755,TABLE_CYCLE,2,0),"")</f>
        <v/>
      </c>
      <c r="AA755" t="str">
        <f t="shared" si="265"/>
        <v/>
      </c>
      <c r="AB755" t="str">
        <f>IF($D755="","",IF(COUNTIF($D$2:$D755,$D755)=1,$D755,""))</f>
        <v/>
      </c>
      <c r="AC755">
        <f t="shared" si="266"/>
        <v>0</v>
      </c>
      <c r="AD755" t="str">
        <f t="shared" si="267"/>
        <v>|0</v>
      </c>
      <c r="AE755" t="str">
        <f t="shared" si="268"/>
        <v/>
      </c>
      <c r="AF755" t="str">
        <f t="shared" si="269"/>
        <v/>
      </c>
      <c r="AG755" t="str">
        <f t="shared" si="270"/>
        <v/>
      </c>
      <c r="AH755" t="str">
        <f t="shared" si="271"/>
        <v/>
      </c>
      <c r="AI755" t="str">
        <f t="shared" si="272"/>
        <v/>
      </c>
      <c r="AJ755" t="str">
        <f t="shared" si="273"/>
        <v/>
      </c>
      <c r="AK755" t="str">
        <f t="shared" si="274"/>
        <v/>
      </c>
      <c r="AL755" t="str">
        <f t="shared" si="275"/>
        <v/>
      </c>
      <c r="AM755" t="str">
        <f t="shared" si="276"/>
        <v/>
      </c>
      <c r="AN755" t="str">
        <f t="shared" si="277"/>
        <v/>
      </c>
      <c r="AO755" t="str">
        <f t="shared" si="278"/>
        <v/>
      </c>
      <c r="AP755">
        <f t="shared" si="279"/>
        <v>1</v>
      </c>
      <c r="AQ755" t="str">
        <f>IF(SAISIE!$F760="","",SAISIE!$Y760)</f>
        <v/>
      </c>
      <c r="AR755" t="str">
        <f>IF(OR(SAISIE!$U$4="",SAISIE!$W$4=""),"",IF(AND($A755=SAISIE!$U$4,$B755=SAISIE!$W$4,$C755="S1"),COUNTIFS($A$2:$A755,SAISIE!$U$4,$B$2:$B755,SAISIE!$W$4,$C$2:$C755,"S1"),""))</f>
        <v/>
      </c>
      <c r="AS755" t="str">
        <f t="shared" si="280"/>
        <v/>
      </c>
      <c r="AT755" t="str">
        <f t="shared" si="281"/>
        <v/>
      </c>
      <c r="AU755" t="str">
        <f t="shared" si="282"/>
        <v/>
      </c>
      <c r="AV755">
        <f>N(AV754)+IF(AND($AB755&lt;&gt;"",OR('PROFIL ELEVE'!$K$4="(Tous)",$AF755='PROFIL ELEVE'!$K$4)),1,0)</f>
        <v>0</v>
      </c>
      <c r="AW755">
        <f>N(AW754)+IF(AND($AB755&lt;&gt;"",OR('SUIVI LONGITUDINAL'!$Q$4="(Tous)",$AF755='SUIVI LONGITUDINAL'!$Q$4)),1,0)</f>
        <v>0</v>
      </c>
      <c r="AX755">
        <f t="shared" si="283"/>
        <v>0</v>
      </c>
      <c r="AY755">
        <f t="shared" si="284"/>
        <v>0</v>
      </c>
      <c r="AZ755">
        <f t="shared" si="285"/>
        <v>0</v>
      </c>
      <c r="BA755" t="str">
        <f t="shared" si="286"/>
        <v/>
      </c>
      <c r="BB755" t="str">
        <f t="shared" si="287"/>
        <v/>
      </c>
    </row>
    <row r="756" spans="1:54" ht="14.25" customHeight="1" x14ac:dyDescent="0.3">
      <c r="A756" t="str">
        <f>IF(SAISIE!$F761="","",SAISIE!$B761)</f>
        <v/>
      </c>
      <c r="B756" t="str">
        <f>IF(SAISIE!$F761="","",SAISIE!$C761)</f>
        <v/>
      </c>
      <c r="C756" t="str">
        <f>IF(SAISIE!$F761="","",SAISIE!$D761)</f>
        <v/>
      </c>
      <c r="D756" t="str">
        <f>IF(SAISIE!$E761="","",SAISIE!$E761)</f>
        <v/>
      </c>
      <c r="E756" t="str">
        <f>IF(SAISIE!$F761="","",SAISIE!$F761)</f>
        <v/>
      </c>
      <c r="F756" t="str">
        <f>IF(SAISIE!$G761="","",SAISIE!$G761)</f>
        <v/>
      </c>
      <c r="G756" t="str">
        <f>IF(SAISIE!$H761="","",SAISIE!$H761)</f>
        <v/>
      </c>
      <c r="H756" t="str">
        <f>IF(SAISIE!$I761="","",SAISIE!$I761)</f>
        <v/>
      </c>
      <c r="I756" t="str">
        <f>IF(SAISIE!$J761="","",SAISIE!$J761)</f>
        <v/>
      </c>
      <c r="J756" t="str">
        <f>IF(SAISIE!$K761="","",SAISIE!$K761)</f>
        <v/>
      </c>
      <c r="K756" t="str">
        <f>IF(SAISIE!$L761="","",SAISIE!$L761)</f>
        <v/>
      </c>
      <c r="L756" t="str">
        <f>IF(SAISIE!$M761="","",SAISIE!$M761)</f>
        <v/>
      </c>
      <c r="M756" t="str">
        <f>IF(SAISIE!$N761="","",SAISIE!$N761)</f>
        <v/>
      </c>
      <c r="N756" t="str">
        <f>IF(SAISIE!$O761="","",SAISIE!$O761)</f>
        <v/>
      </c>
      <c r="O756" t="str">
        <f>IF(SAISIE!$P761="","",SAISIE!$P761)</f>
        <v/>
      </c>
      <c r="P756" t="str">
        <f>IF(SAISIE!$Q761="","",SAISIE!$Q761)</f>
        <v/>
      </c>
      <c r="Q756" t="str">
        <f>IF($I756="","",IF($I756&gt;PARAMETRES!$G$29,5,IF($I756&gt;PARAMETRES!$F$29,4,IF($I756&gt;PARAMETRES!$E$29,3,IF($I756&gt;PARAMETRES!$D$29,2,1)))))</f>
        <v/>
      </c>
      <c r="R756" t="str">
        <f>IF($J756="","",IF($J756&gt;PARAMETRES!$G$30,5,IF($J756&gt;PARAMETRES!$F$30,4,IF($J756&gt;PARAMETRES!$E$30,3,IF($J756&gt;PARAMETRES!$D$30,2,1)))))</f>
        <v/>
      </c>
      <c r="S756" t="str">
        <f>IF($K756="","",IF($Z756=2,IF($K756&gt;PARAMETRES!$G$31,5,IF($K756&gt;PARAMETRES!$F$31,4,IF($K756&gt;PARAMETRES!$E$31,3,IF($K756&gt;PARAMETRES!$D$31,2,1)))),IF($K756&gt;PARAMETRES!$G$32,5,IF($K756&gt;PARAMETRES!$F$32,4,IF($K756&gt;PARAMETRES!$E$32,3,IF($K756&gt;PARAMETRES!$D$32,2,1))))))</f>
        <v/>
      </c>
      <c r="T756" t="str">
        <f>IF($L756="","",IF($L756&gt;PARAMETRES!$G$33,5,IF($L756&gt;PARAMETRES!$F$33,4,IF($L756&gt;PARAMETRES!$E$33,3,IF($L756&gt;PARAMETRES!$D$33,2,1)))))</f>
        <v/>
      </c>
      <c r="U756" t="str">
        <f>IF($M756="","",IF($M756&gt;PARAMETRES!$G$34,5,IF($M756&gt;PARAMETRES!$F$34,4,IF($M756&gt;PARAMETRES!$E$34,3,IF($M756&gt;PARAMETRES!$D$34,2,1)))))</f>
        <v/>
      </c>
      <c r="V756" t="str">
        <f>IF($N756="","",IF($N756&gt;PARAMETRES!$G$35,5,IF($N756&gt;PARAMETRES!$F$35,4,IF($N756&gt;PARAMETRES!$E$35,3,IF($N756&gt;PARAMETRES!$D$35,2,1)))))</f>
        <v/>
      </c>
      <c r="W756" t="str">
        <f>IF($O756="","",IF($O756&gt;PARAMETRES!$G$36,5,IF($O756&gt;PARAMETRES!$F$36,4,IF($O756&gt;PARAMETRES!$E$36,3,IF($O756&gt;PARAMETRES!$D$36,2,1)))))</f>
        <v/>
      </c>
      <c r="X756" t="str">
        <f>IF($P756="","",IF($P756&gt;PARAMETRES!$G$37,5,IF($P756&gt;PARAMETRES!$F$37,4,IF($P756&gt;PARAMETRES!$E$37,3,IF($P756&gt;PARAMETRES!$D$37,2,1)))))</f>
        <v/>
      </c>
      <c r="Y756" t="str">
        <f t="shared" si="264"/>
        <v/>
      </c>
      <c r="Z756" t="str">
        <f>IFERROR(VLOOKUP($B756,TABLE_CYCLE,2,0),"")</f>
        <v/>
      </c>
      <c r="AA756" t="str">
        <f t="shared" si="265"/>
        <v/>
      </c>
      <c r="AB756" t="str">
        <f>IF($D756="","",IF(COUNTIF($D$2:$D756,$D756)=1,$D756,""))</f>
        <v/>
      </c>
      <c r="AC756">
        <f t="shared" si="266"/>
        <v>0</v>
      </c>
      <c r="AD756" t="str">
        <f t="shared" si="267"/>
        <v>|0</v>
      </c>
      <c r="AE756" t="str">
        <f t="shared" si="268"/>
        <v/>
      </c>
      <c r="AF756" t="str">
        <f t="shared" si="269"/>
        <v/>
      </c>
      <c r="AG756" t="str">
        <f t="shared" si="270"/>
        <v/>
      </c>
      <c r="AH756" t="str">
        <f t="shared" si="271"/>
        <v/>
      </c>
      <c r="AI756" t="str">
        <f t="shared" si="272"/>
        <v/>
      </c>
      <c r="AJ756" t="str">
        <f t="shared" si="273"/>
        <v/>
      </c>
      <c r="AK756" t="str">
        <f t="shared" si="274"/>
        <v/>
      </c>
      <c r="AL756" t="str">
        <f t="shared" si="275"/>
        <v/>
      </c>
      <c r="AM756" t="str">
        <f t="shared" si="276"/>
        <v/>
      </c>
      <c r="AN756" t="str">
        <f t="shared" si="277"/>
        <v/>
      </c>
      <c r="AO756" t="str">
        <f t="shared" si="278"/>
        <v/>
      </c>
      <c r="AP756">
        <f t="shared" si="279"/>
        <v>1</v>
      </c>
      <c r="AQ756" t="str">
        <f>IF(SAISIE!$F761="","",SAISIE!$Y761)</f>
        <v/>
      </c>
      <c r="AR756" t="str">
        <f>IF(OR(SAISIE!$U$4="",SAISIE!$W$4=""),"",IF(AND($A756=SAISIE!$U$4,$B756=SAISIE!$W$4,$C756="S1"),COUNTIFS($A$2:$A756,SAISIE!$U$4,$B$2:$B756,SAISIE!$W$4,$C$2:$C756,"S1"),""))</f>
        <v/>
      </c>
      <c r="AS756" t="str">
        <f t="shared" si="280"/>
        <v/>
      </c>
      <c r="AT756" t="str">
        <f t="shared" si="281"/>
        <v/>
      </c>
      <c r="AU756" t="str">
        <f t="shared" si="282"/>
        <v/>
      </c>
      <c r="AV756">
        <f>N(AV755)+IF(AND($AB756&lt;&gt;"",OR('PROFIL ELEVE'!$K$4="(Tous)",$AF756='PROFIL ELEVE'!$K$4)),1,0)</f>
        <v>0</v>
      </c>
      <c r="AW756">
        <f>N(AW755)+IF(AND($AB756&lt;&gt;"",OR('SUIVI LONGITUDINAL'!$Q$4="(Tous)",$AF756='SUIVI LONGITUDINAL'!$Q$4)),1,0)</f>
        <v>0</v>
      </c>
      <c r="AX756">
        <f t="shared" si="283"/>
        <v>0</v>
      </c>
      <c r="AY756">
        <f t="shared" si="284"/>
        <v>0</v>
      </c>
      <c r="AZ756">
        <f t="shared" si="285"/>
        <v>0</v>
      </c>
      <c r="BA756" t="str">
        <f t="shared" si="286"/>
        <v/>
      </c>
      <c r="BB756" t="str">
        <f t="shared" si="287"/>
        <v/>
      </c>
    </row>
    <row r="757" spans="1:54" ht="14.25" customHeight="1" x14ac:dyDescent="0.3">
      <c r="A757" t="str">
        <f>IF(SAISIE!$F762="","",SAISIE!$B762)</f>
        <v/>
      </c>
      <c r="B757" t="str">
        <f>IF(SAISIE!$F762="","",SAISIE!$C762)</f>
        <v/>
      </c>
      <c r="C757" t="str">
        <f>IF(SAISIE!$F762="","",SAISIE!$D762)</f>
        <v/>
      </c>
      <c r="D757" t="str">
        <f>IF(SAISIE!$E762="","",SAISIE!$E762)</f>
        <v/>
      </c>
      <c r="E757" t="str">
        <f>IF(SAISIE!$F762="","",SAISIE!$F762)</f>
        <v/>
      </c>
      <c r="F757" t="str">
        <f>IF(SAISIE!$G762="","",SAISIE!$G762)</f>
        <v/>
      </c>
      <c r="G757" t="str">
        <f>IF(SAISIE!$H762="","",SAISIE!$H762)</f>
        <v/>
      </c>
      <c r="H757" t="str">
        <f>IF(SAISIE!$I762="","",SAISIE!$I762)</f>
        <v/>
      </c>
      <c r="I757" t="str">
        <f>IF(SAISIE!$J762="","",SAISIE!$J762)</f>
        <v/>
      </c>
      <c r="J757" t="str">
        <f>IF(SAISIE!$K762="","",SAISIE!$K762)</f>
        <v/>
      </c>
      <c r="K757" t="str">
        <f>IF(SAISIE!$L762="","",SAISIE!$L762)</f>
        <v/>
      </c>
      <c r="L757" t="str">
        <f>IF(SAISIE!$M762="","",SAISIE!$M762)</f>
        <v/>
      </c>
      <c r="M757" t="str">
        <f>IF(SAISIE!$N762="","",SAISIE!$N762)</f>
        <v/>
      </c>
      <c r="N757" t="str">
        <f>IF(SAISIE!$O762="","",SAISIE!$O762)</f>
        <v/>
      </c>
      <c r="O757" t="str">
        <f>IF(SAISIE!$P762="","",SAISIE!$P762)</f>
        <v/>
      </c>
      <c r="P757" t="str">
        <f>IF(SAISIE!$Q762="","",SAISIE!$Q762)</f>
        <v/>
      </c>
      <c r="Q757" t="str">
        <f>IF($I757="","",IF($I757&gt;PARAMETRES!$G$29,5,IF($I757&gt;PARAMETRES!$F$29,4,IF($I757&gt;PARAMETRES!$E$29,3,IF($I757&gt;PARAMETRES!$D$29,2,1)))))</f>
        <v/>
      </c>
      <c r="R757" t="str">
        <f>IF($J757="","",IF($J757&gt;PARAMETRES!$G$30,5,IF($J757&gt;PARAMETRES!$F$30,4,IF($J757&gt;PARAMETRES!$E$30,3,IF($J757&gt;PARAMETRES!$D$30,2,1)))))</f>
        <v/>
      </c>
      <c r="S757" t="str">
        <f>IF($K757="","",IF($Z757=2,IF($K757&gt;PARAMETRES!$G$31,5,IF($K757&gt;PARAMETRES!$F$31,4,IF($K757&gt;PARAMETRES!$E$31,3,IF($K757&gt;PARAMETRES!$D$31,2,1)))),IF($K757&gt;PARAMETRES!$G$32,5,IF($K757&gt;PARAMETRES!$F$32,4,IF($K757&gt;PARAMETRES!$E$32,3,IF($K757&gt;PARAMETRES!$D$32,2,1))))))</f>
        <v/>
      </c>
      <c r="T757" t="str">
        <f>IF($L757="","",IF($L757&gt;PARAMETRES!$G$33,5,IF($L757&gt;PARAMETRES!$F$33,4,IF($L757&gt;PARAMETRES!$E$33,3,IF($L757&gt;PARAMETRES!$D$33,2,1)))))</f>
        <v/>
      </c>
      <c r="U757" t="str">
        <f>IF($M757="","",IF($M757&gt;PARAMETRES!$G$34,5,IF($M757&gt;PARAMETRES!$F$34,4,IF($M757&gt;PARAMETRES!$E$34,3,IF($M757&gt;PARAMETRES!$D$34,2,1)))))</f>
        <v/>
      </c>
      <c r="V757" t="str">
        <f>IF($N757="","",IF($N757&gt;PARAMETRES!$G$35,5,IF($N757&gt;PARAMETRES!$F$35,4,IF($N757&gt;PARAMETRES!$E$35,3,IF($N757&gt;PARAMETRES!$D$35,2,1)))))</f>
        <v/>
      </c>
      <c r="W757" t="str">
        <f>IF($O757="","",IF($O757&gt;PARAMETRES!$G$36,5,IF($O757&gt;PARAMETRES!$F$36,4,IF($O757&gt;PARAMETRES!$E$36,3,IF($O757&gt;PARAMETRES!$D$36,2,1)))))</f>
        <v/>
      </c>
      <c r="X757" t="str">
        <f>IF($P757="","",IF($P757&gt;PARAMETRES!$G$37,5,IF($P757&gt;PARAMETRES!$F$37,4,IF($P757&gt;PARAMETRES!$E$37,3,IF($P757&gt;PARAMETRES!$D$37,2,1)))))</f>
        <v/>
      </c>
      <c r="Y757" t="str">
        <f t="shared" si="264"/>
        <v/>
      </c>
      <c r="Z757" t="str">
        <f>IFERROR(VLOOKUP($B757,TABLE_CYCLE,2,0),"")</f>
        <v/>
      </c>
      <c r="AA757" t="str">
        <f t="shared" si="265"/>
        <v/>
      </c>
      <c r="AB757" t="str">
        <f>IF($D757="","",IF(COUNTIF($D$2:$D757,$D757)=1,$D757,""))</f>
        <v/>
      </c>
      <c r="AC757">
        <f t="shared" si="266"/>
        <v>0</v>
      </c>
      <c r="AD757" t="str">
        <f t="shared" si="267"/>
        <v>|0</v>
      </c>
      <c r="AE757" t="str">
        <f t="shared" si="268"/>
        <v/>
      </c>
      <c r="AF757" t="str">
        <f t="shared" si="269"/>
        <v/>
      </c>
      <c r="AG757" t="str">
        <f t="shared" si="270"/>
        <v/>
      </c>
      <c r="AH757" t="str">
        <f t="shared" si="271"/>
        <v/>
      </c>
      <c r="AI757" t="str">
        <f t="shared" si="272"/>
        <v/>
      </c>
      <c r="AJ757" t="str">
        <f t="shared" si="273"/>
        <v/>
      </c>
      <c r="AK757" t="str">
        <f t="shared" si="274"/>
        <v/>
      </c>
      <c r="AL757" t="str">
        <f t="shared" si="275"/>
        <v/>
      </c>
      <c r="AM757" t="str">
        <f t="shared" si="276"/>
        <v/>
      </c>
      <c r="AN757" t="str">
        <f t="shared" si="277"/>
        <v/>
      </c>
      <c r="AO757" t="str">
        <f t="shared" si="278"/>
        <v/>
      </c>
      <c r="AP757">
        <f t="shared" si="279"/>
        <v>1</v>
      </c>
      <c r="AQ757" t="str">
        <f>IF(SAISIE!$F762="","",SAISIE!$Y762)</f>
        <v/>
      </c>
      <c r="AR757" t="str">
        <f>IF(OR(SAISIE!$U$4="",SAISIE!$W$4=""),"",IF(AND($A757=SAISIE!$U$4,$B757=SAISIE!$W$4,$C757="S1"),COUNTIFS($A$2:$A757,SAISIE!$U$4,$B$2:$B757,SAISIE!$W$4,$C$2:$C757,"S1"),""))</f>
        <v/>
      </c>
      <c r="AS757" t="str">
        <f t="shared" si="280"/>
        <v/>
      </c>
      <c r="AT757" t="str">
        <f t="shared" si="281"/>
        <v/>
      </c>
      <c r="AU757" t="str">
        <f t="shared" si="282"/>
        <v/>
      </c>
      <c r="AV757">
        <f>N(AV756)+IF(AND($AB757&lt;&gt;"",OR('PROFIL ELEVE'!$K$4="(Tous)",$AF757='PROFIL ELEVE'!$K$4)),1,0)</f>
        <v>0</v>
      </c>
      <c r="AW757">
        <f>N(AW756)+IF(AND($AB757&lt;&gt;"",OR('SUIVI LONGITUDINAL'!$Q$4="(Tous)",$AF757='SUIVI LONGITUDINAL'!$Q$4)),1,0)</f>
        <v>0</v>
      </c>
      <c r="AX757">
        <f t="shared" si="283"/>
        <v>0</v>
      </c>
      <c r="AY757">
        <f t="shared" si="284"/>
        <v>0</v>
      </c>
      <c r="AZ757">
        <f t="shared" si="285"/>
        <v>0</v>
      </c>
      <c r="BA757" t="str">
        <f t="shared" si="286"/>
        <v/>
      </c>
      <c r="BB757" t="str">
        <f t="shared" si="287"/>
        <v/>
      </c>
    </row>
    <row r="758" spans="1:54" ht="14.25" customHeight="1" x14ac:dyDescent="0.3">
      <c r="A758" t="str">
        <f>IF(SAISIE!$F763="","",SAISIE!$B763)</f>
        <v/>
      </c>
      <c r="B758" t="str">
        <f>IF(SAISIE!$F763="","",SAISIE!$C763)</f>
        <v/>
      </c>
      <c r="C758" t="str">
        <f>IF(SAISIE!$F763="","",SAISIE!$D763)</f>
        <v/>
      </c>
      <c r="D758" t="str">
        <f>IF(SAISIE!$E763="","",SAISIE!$E763)</f>
        <v/>
      </c>
      <c r="E758" t="str">
        <f>IF(SAISIE!$F763="","",SAISIE!$F763)</f>
        <v/>
      </c>
      <c r="F758" t="str">
        <f>IF(SAISIE!$G763="","",SAISIE!$G763)</f>
        <v/>
      </c>
      <c r="G758" t="str">
        <f>IF(SAISIE!$H763="","",SAISIE!$H763)</f>
        <v/>
      </c>
      <c r="H758" t="str">
        <f>IF(SAISIE!$I763="","",SAISIE!$I763)</f>
        <v/>
      </c>
      <c r="I758" t="str">
        <f>IF(SAISIE!$J763="","",SAISIE!$J763)</f>
        <v/>
      </c>
      <c r="J758" t="str">
        <f>IF(SAISIE!$K763="","",SAISIE!$K763)</f>
        <v/>
      </c>
      <c r="K758" t="str">
        <f>IF(SAISIE!$L763="","",SAISIE!$L763)</f>
        <v/>
      </c>
      <c r="L758" t="str">
        <f>IF(SAISIE!$M763="","",SAISIE!$M763)</f>
        <v/>
      </c>
      <c r="M758" t="str">
        <f>IF(SAISIE!$N763="","",SAISIE!$N763)</f>
        <v/>
      </c>
      <c r="N758" t="str">
        <f>IF(SAISIE!$O763="","",SAISIE!$O763)</f>
        <v/>
      </c>
      <c r="O758" t="str">
        <f>IF(SAISIE!$P763="","",SAISIE!$P763)</f>
        <v/>
      </c>
      <c r="P758" t="str">
        <f>IF(SAISIE!$Q763="","",SAISIE!$Q763)</f>
        <v/>
      </c>
      <c r="Q758" t="str">
        <f>IF($I758="","",IF($I758&gt;PARAMETRES!$G$29,5,IF($I758&gt;PARAMETRES!$F$29,4,IF($I758&gt;PARAMETRES!$E$29,3,IF($I758&gt;PARAMETRES!$D$29,2,1)))))</f>
        <v/>
      </c>
      <c r="R758" t="str">
        <f>IF($J758="","",IF($J758&gt;PARAMETRES!$G$30,5,IF($J758&gt;PARAMETRES!$F$30,4,IF($J758&gt;PARAMETRES!$E$30,3,IF($J758&gt;PARAMETRES!$D$30,2,1)))))</f>
        <v/>
      </c>
      <c r="S758" t="str">
        <f>IF($K758="","",IF($Z758=2,IF($K758&gt;PARAMETRES!$G$31,5,IF($K758&gt;PARAMETRES!$F$31,4,IF($K758&gt;PARAMETRES!$E$31,3,IF($K758&gt;PARAMETRES!$D$31,2,1)))),IF($K758&gt;PARAMETRES!$G$32,5,IF($K758&gt;PARAMETRES!$F$32,4,IF($K758&gt;PARAMETRES!$E$32,3,IF($K758&gt;PARAMETRES!$D$32,2,1))))))</f>
        <v/>
      </c>
      <c r="T758" t="str">
        <f>IF($L758="","",IF($L758&gt;PARAMETRES!$G$33,5,IF($L758&gt;PARAMETRES!$F$33,4,IF($L758&gt;PARAMETRES!$E$33,3,IF($L758&gt;PARAMETRES!$D$33,2,1)))))</f>
        <v/>
      </c>
      <c r="U758" t="str">
        <f>IF($M758="","",IF($M758&gt;PARAMETRES!$G$34,5,IF($M758&gt;PARAMETRES!$F$34,4,IF($M758&gt;PARAMETRES!$E$34,3,IF($M758&gt;PARAMETRES!$D$34,2,1)))))</f>
        <v/>
      </c>
      <c r="V758" t="str">
        <f>IF($N758="","",IF($N758&gt;PARAMETRES!$G$35,5,IF($N758&gt;PARAMETRES!$F$35,4,IF($N758&gt;PARAMETRES!$E$35,3,IF($N758&gt;PARAMETRES!$D$35,2,1)))))</f>
        <v/>
      </c>
      <c r="W758" t="str">
        <f>IF($O758="","",IF($O758&gt;PARAMETRES!$G$36,5,IF($O758&gt;PARAMETRES!$F$36,4,IF($O758&gt;PARAMETRES!$E$36,3,IF($O758&gt;PARAMETRES!$D$36,2,1)))))</f>
        <v/>
      </c>
      <c r="X758" t="str">
        <f>IF($P758="","",IF($P758&gt;PARAMETRES!$G$37,5,IF($P758&gt;PARAMETRES!$F$37,4,IF($P758&gt;PARAMETRES!$E$37,3,IF($P758&gt;PARAMETRES!$D$37,2,1)))))</f>
        <v/>
      </c>
      <c r="Y758" t="str">
        <f t="shared" si="264"/>
        <v/>
      </c>
      <c r="Z758" t="str">
        <f>IFERROR(VLOOKUP($B758,TABLE_CYCLE,2,0),"")</f>
        <v/>
      </c>
      <c r="AA758" t="str">
        <f t="shared" si="265"/>
        <v/>
      </c>
      <c r="AB758" t="str">
        <f>IF($D758="","",IF(COUNTIF($D$2:$D758,$D758)=1,$D758,""))</f>
        <v/>
      </c>
      <c r="AC758">
        <f t="shared" si="266"/>
        <v>0</v>
      </c>
      <c r="AD758" t="str">
        <f t="shared" si="267"/>
        <v>|0</v>
      </c>
      <c r="AE758" t="str">
        <f t="shared" si="268"/>
        <v/>
      </c>
      <c r="AF758" t="str">
        <f t="shared" si="269"/>
        <v/>
      </c>
      <c r="AG758" t="str">
        <f t="shared" si="270"/>
        <v/>
      </c>
      <c r="AH758" t="str">
        <f t="shared" si="271"/>
        <v/>
      </c>
      <c r="AI758" t="str">
        <f t="shared" si="272"/>
        <v/>
      </c>
      <c r="AJ758" t="str">
        <f t="shared" si="273"/>
        <v/>
      </c>
      <c r="AK758" t="str">
        <f t="shared" si="274"/>
        <v/>
      </c>
      <c r="AL758" t="str">
        <f t="shared" si="275"/>
        <v/>
      </c>
      <c r="AM758" t="str">
        <f t="shared" si="276"/>
        <v/>
      </c>
      <c r="AN758" t="str">
        <f t="shared" si="277"/>
        <v/>
      </c>
      <c r="AO758" t="str">
        <f t="shared" si="278"/>
        <v/>
      </c>
      <c r="AP758">
        <f t="shared" si="279"/>
        <v>1</v>
      </c>
      <c r="AQ758" t="str">
        <f>IF(SAISIE!$F763="","",SAISIE!$Y763)</f>
        <v/>
      </c>
      <c r="AR758" t="str">
        <f>IF(OR(SAISIE!$U$4="",SAISIE!$W$4=""),"",IF(AND($A758=SAISIE!$U$4,$B758=SAISIE!$W$4,$C758="S1"),COUNTIFS($A$2:$A758,SAISIE!$U$4,$B$2:$B758,SAISIE!$W$4,$C$2:$C758,"S1"),""))</f>
        <v/>
      </c>
      <c r="AS758" t="str">
        <f t="shared" si="280"/>
        <v/>
      </c>
      <c r="AT758" t="str">
        <f t="shared" si="281"/>
        <v/>
      </c>
      <c r="AU758" t="str">
        <f t="shared" si="282"/>
        <v/>
      </c>
      <c r="AV758">
        <f>N(AV757)+IF(AND($AB758&lt;&gt;"",OR('PROFIL ELEVE'!$K$4="(Tous)",$AF758='PROFIL ELEVE'!$K$4)),1,0)</f>
        <v>0</v>
      </c>
      <c r="AW758">
        <f>N(AW757)+IF(AND($AB758&lt;&gt;"",OR('SUIVI LONGITUDINAL'!$Q$4="(Tous)",$AF758='SUIVI LONGITUDINAL'!$Q$4)),1,0)</f>
        <v>0</v>
      </c>
      <c r="AX758">
        <f t="shared" si="283"/>
        <v>0</v>
      </c>
      <c r="AY758">
        <f t="shared" si="284"/>
        <v>0</v>
      </c>
      <c r="AZ758">
        <f t="shared" si="285"/>
        <v>0</v>
      </c>
      <c r="BA758" t="str">
        <f t="shared" si="286"/>
        <v/>
      </c>
      <c r="BB758" t="str">
        <f t="shared" si="287"/>
        <v/>
      </c>
    </row>
    <row r="759" spans="1:54" ht="14.25" customHeight="1" x14ac:dyDescent="0.3">
      <c r="A759" t="str">
        <f>IF(SAISIE!$F764="","",SAISIE!$B764)</f>
        <v/>
      </c>
      <c r="B759" t="str">
        <f>IF(SAISIE!$F764="","",SAISIE!$C764)</f>
        <v/>
      </c>
      <c r="C759" t="str">
        <f>IF(SAISIE!$F764="","",SAISIE!$D764)</f>
        <v/>
      </c>
      <c r="D759" t="str">
        <f>IF(SAISIE!$E764="","",SAISIE!$E764)</f>
        <v/>
      </c>
      <c r="E759" t="str">
        <f>IF(SAISIE!$F764="","",SAISIE!$F764)</f>
        <v/>
      </c>
      <c r="F759" t="str">
        <f>IF(SAISIE!$G764="","",SAISIE!$G764)</f>
        <v/>
      </c>
      <c r="G759" t="str">
        <f>IF(SAISIE!$H764="","",SAISIE!$H764)</f>
        <v/>
      </c>
      <c r="H759" t="str">
        <f>IF(SAISIE!$I764="","",SAISIE!$I764)</f>
        <v/>
      </c>
      <c r="I759" t="str">
        <f>IF(SAISIE!$J764="","",SAISIE!$J764)</f>
        <v/>
      </c>
      <c r="J759" t="str">
        <f>IF(SAISIE!$K764="","",SAISIE!$K764)</f>
        <v/>
      </c>
      <c r="K759" t="str">
        <f>IF(SAISIE!$L764="","",SAISIE!$L764)</f>
        <v/>
      </c>
      <c r="L759" t="str">
        <f>IF(SAISIE!$M764="","",SAISIE!$M764)</f>
        <v/>
      </c>
      <c r="M759" t="str">
        <f>IF(SAISIE!$N764="","",SAISIE!$N764)</f>
        <v/>
      </c>
      <c r="N759" t="str">
        <f>IF(SAISIE!$O764="","",SAISIE!$O764)</f>
        <v/>
      </c>
      <c r="O759" t="str">
        <f>IF(SAISIE!$P764="","",SAISIE!$P764)</f>
        <v/>
      </c>
      <c r="P759" t="str">
        <f>IF(SAISIE!$Q764="","",SAISIE!$Q764)</f>
        <v/>
      </c>
      <c r="Q759" t="str">
        <f>IF($I759="","",IF($I759&gt;PARAMETRES!$G$29,5,IF($I759&gt;PARAMETRES!$F$29,4,IF($I759&gt;PARAMETRES!$E$29,3,IF($I759&gt;PARAMETRES!$D$29,2,1)))))</f>
        <v/>
      </c>
      <c r="R759" t="str">
        <f>IF($J759="","",IF($J759&gt;PARAMETRES!$G$30,5,IF($J759&gt;PARAMETRES!$F$30,4,IF($J759&gt;PARAMETRES!$E$30,3,IF($J759&gt;PARAMETRES!$D$30,2,1)))))</f>
        <v/>
      </c>
      <c r="S759" t="str">
        <f>IF($K759="","",IF($Z759=2,IF($K759&gt;PARAMETRES!$G$31,5,IF($K759&gt;PARAMETRES!$F$31,4,IF($K759&gt;PARAMETRES!$E$31,3,IF($K759&gt;PARAMETRES!$D$31,2,1)))),IF($K759&gt;PARAMETRES!$G$32,5,IF($K759&gt;PARAMETRES!$F$32,4,IF($K759&gt;PARAMETRES!$E$32,3,IF($K759&gt;PARAMETRES!$D$32,2,1))))))</f>
        <v/>
      </c>
      <c r="T759" t="str">
        <f>IF($L759="","",IF($L759&gt;PARAMETRES!$G$33,5,IF($L759&gt;PARAMETRES!$F$33,4,IF($L759&gt;PARAMETRES!$E$33,3,IF($L759&gt;PARAMETRES!$D$33,2,1)))))</f>
        <v/>
      </c>
      <c r="U759" t="str">
        <f>IF($M759="","",IF($M759&gt;PARAMETRES!$G$34,5,IF($M759&gt;PARAMETRES!$F$34,4,IF($M759&gt;PARAMETRES!$E$34,3,IF($M759&gt;PARAMETRES!$D$34,2,1)))))</f>
        <v/>
      </c>
      <c r="V759" t="str">
        <f>IF($N759="","",IF($N759&gt;PARAMETRES!$G$35,5,IF($N759&gt;PARAMETRES!$F$35,4,IF($N759&gt;PARAMETRES!$E$35,3,IF($N759&gt;PARAMETRES!$D$35,2,1)))))</f>
        <v/>
      </c>
      <c r="W759" t="str">
        <f>IF($O759="","",IF($O759&gt;PARAMETRES!$G$36,5,IF($O759&gt;PARAMETRES!$F$36,4,IF($O759&gt;PARAMETRES!$E$36,3,IF($O759&gt;PARAMETRES!$D$36,2,1)))))</f>
        <v/>
      </c>
      <c r="X759" t="str">
        <f>IF($P759="","",IF($P759&gt;PARAMETRES!$G$37,5,IF($P759&gt;PARAMETRES!$F$37,4,IF($P759&gt;PARAMETRES!$E$37,3,IF($P759&gt;PARAMETRES!$D$37,2,1)))))</f>
        <v/>
      </c>
      <c r="Y759" t="str">
        <f t="shared" si="264"/>
        <v/>
      </c>
      <c r="Z759" t="str">
        <f>IFERROR(VLOOKUP($B759,TABLE_CYCLE,2,0),"")</f>
        <v/>
      </c>
      <c r="AA759" t="str">
        <f t="shared" si="265"/>
        <v/>
      </c>
      <c r="AB759" t="str">
        <f>IF($D759="","",IF(COUNTIF($D$2:$D759,$D759)=1,$D759,""))</f>
        <v/>
      </c>
      <c r="AC759">
        <f t="shared" si="266"/>
        <v>0</v>
      </c>
      <c r="AD759" t="str">
        <f t="shared" si="267"/>
        <v>|0</v>
      </c>
      <c r="AE759" t="str">
        <f t="shared" si="268"/>
        <v/>
      </c>
      <c r="AF759" t="str">
        <f t="shared" si="269"/>
        <v/>
      </c>
      <c r="AG759" t="str">
        <f t="shared" si="270"/>
        <v/>
      </c>
      <c r="AH759" t="str">
        <f t="shared" si="271"/>
        <v/>
      </c>
      <c r="AI759" t="str">
        <f t="shared" si="272"/>
        <v/>
      </c>
      <c r="AJ759" t="str">
        <f t="shared" si="273"/>
        <v/>
      </c>
      <c r="AK759" t="str">
        <f t="shared" si="274"/>
        <v/>
      </c>
      <c r="AL759" t="str">
        <f t="shared" si="275"/>
        <v/>
      </c>
      <c r="AM759" t="str">
        <f t="shared" si="276"/>
        <v/>
      </c>
      <c r="AN759" t="str">
        <f t="shared" si="277"/>
        <v/>
      </c>
      <c r="AO759" t="str">
        <f t="shared" si="278"/>
        <v/>
      </c>
      <c r="AP759">
        <f t="shared" si="279"/>
        <v>1</v>
      </c>
      <c r="AQ759" t="str">
        <f>IF(SAISIE!$F764="","",SAISIE!$Y764)</f>
        <v/>
      </c>
      <c r="AR759" t="str">
        <f>IF(OR(SAISIE!$U$4="",SAISIE!$W$4=""),"",IF(AND($A759=SAISIE!$U$4,$B759=SAISIE!$W$4,$C759="S1"),COUNTIFS($A$2:$A759,SAISIE!$U$4,$B$2:$B759,SAISIE!$W$4,$C$2:$C759,"S1"),""))</f>
        <v/>
      </c>
      <c r="AS759" t="str">
        <f t="shared" si="280"/>
        <v/>
      </c>
      <c r="AT759" t="str">
        <f t="shared" si="281"/>
        <v/>
      </c>
      <c r="AU759" t="str">
        <f t="shared" si="282"/>
        <v/>
      </c>
      <c r="AV759">
        <f>N(AV758)+IF(AND($AB759&lt;&gt;"",OR('PROFIL ELEVE'!$K$4="(Tous)",$AF759='PROFIL ELEVE'!$K$4)),1,0)</f>
        <v>0</v>
      </c>
      <c r="AW759">
        <f>N(AW758)+IF(AND($AB759&lt;&gt;"",OR('SUIVI LONGITUDINAL'!$Q$4="(Tous)",$AF759='SUIVI LONGITUDINAL'!$Q$4)),1,0)</f>
        <v>0</v>
      </c>
      <c r="AX759">
        <f t="shared" si="283"/>
        <v>0</v>
      </c>
      <c r="AY759">
        <f t="shared" si="284"/>
        <v>0</v>
      </c>
      <c r="AZ759">
        <f t="shared" si="285"/>
        <v>0</v>
      </c>
      <c r="BA759" t="str">
        <f t="shared" si="286"/>
        <v/>
      </c>
      <c r="BB759" t="str">
        <f t="shared" si="287"/>
        <v/>
      </c>
    </row>
    <row r="760" spans="1:54" ht="14.25" customHeight="1" x14ac:dyDescent="0.3">
      <c r="A760" t="str">
        <f>IF(SAISIE!$F765="","",SAISIE!$B765)</f>
        <v/>
      </c>
      <c r="B760" t="str">
        <f>IF(SAISIE!$F765="","",SAISIE!$C765)</f>
        <v/>
      </c>
      <c r="C760" t="str">
        <f>IF(SAISIE!$F765="","",SAISIE!$D765)</f>
        <v/>
      </c>
      <c r="D760" t="str">
        <f>IF(SAISIE!$E765="","",SAISIE!$E765)</f>
        <v/>
      </c>
      <c r="E760" t="str">
        <f>IF(SAISIE!$F765="","",SAISIE!$F765)</f>
        <v/>
      </c>
      <c r="F760" t="str">
        <f>IF(SAISIE!$G765="","",SAISIE!$G765)</f>
        <v/>
      </c>
      <c r="G760" t="str">
        <f>IF(SAISIE!$H765="","",SAISIE!$H765)</f>
        <v/>
      </c>
      <c r="H760" t="str">
        <f>IF(SAISIE!$I765="","",SAISIE!$I765)</f>
        <v/>
      </c>
      <c r="I760" t="str">
        <f>IF(SAISIE!$J765="","",SAISIE!$J765)</f>
        <v/>
      </c>
      <c r="J760" t="str">
        <f>IF(SAISIE!$K765="","",SAISIE!$K765)</f>
        <v/>
      </c>
      <c r="K760" t="str">
        <f>IF(SAISIE!$L765="","",SAISIE!$L765)</f>
        <v/>
      </c>
      <c r="L760" t="str">
        <f>IF(SAISIE!$M765="","",SAISIE!$M765)</f>
        <v/>
      </c>
      <c r="M760" t="str">
        <f>IF(SAISIE!$N765="","",SAISIE!$N765)</f>
        <v/>
      </c>
      <c r="N760" t="str">
        <f>IF(SAISIE!$O765="","",SAISIE!$O765)</f>
        <v/>
      </c>
      <c r="O760" t="str">
        <f>IF(SAISIE!$P765="","",SAISIE!$P765)</f>
        <v/>
      </c>
      <c r="P760" t="str">
        <f>IF(SAISIE!$Q765="","",SAISIE!$Q765)</f>
        <v/>
      </c>
      <c r="Q760" t="str">
        <f>IF($I760="","",IF($I760&gt;PARAMETRES!$G$29,5,IF($I760&gt;PARAMETRES!$F$29,4,IF($I760&gt;PARAMETRES!$E$29,3,IF($I760&gt;PARAMETRES!$D$29,2,1)))))</f>
        <v/>
      </c>
      <c r="R760" t="str">
        <f>IF($J760="","",IF($J760&gt;PARAMETRES!$G$30,5,IF($J760&gt;PARAMETRES!$F$30,4,IF($J760&gt;PARAMETRES!$E$30,3,IF($J760&gt;PARAMETRES!$D$30,2,1)))))</f>
        <v/>
      </c>
      <c r="S760" t="str">
        <f>IF($K760="","",IF($Z760=2,IF($K760&gt;PARAMETRES!$G$31,5,IF($K760&gt;PARAMETRES!$F$31,4,IF($K760&gt;PARAMETRES!$E$31,3,IF($K760&gt;PARAMETRES!$D$31,2,1)))),IF($K760&gt;PARAMETRES!$G$32,5,IF($K760&gt;PARAMETRES!$F$32,4,IF($K760&gt;PARAMETRES!$E$32,3,IF($K760&gt;PARAMETRES!$D$32,2,1))))))</f>
        <v/>
      </c>
      <c r="T760" t="str">
        <f>IF($L760="","",IF($L760&gt;PARAMETRES!$G$33,5,IF($L760&gt;PARAMETRES!$F$33,4,IF($L760&gt;PARAMETRES!$E$33,3,IF($L760&gt;PARAMETRES!$D$33,2,1)))))</f>
        <v/>
      </c>
      <c r="U760" t="str">
        <f>IF($M760="","",IF($M760&gt;PARAMETRES!$G$34,5,IF($M760&gt;PARAMETRES!$F$34,4,IF($M760&gt;PARAMETRES!$E$34,3,IF($M760&gt;PARAMETRES!$D$34,2,1)))))</f>
        <v/>
      </c>
      <c r="V760" t="str">
        <f>IF($N760="","",IF($N760&gt;PARAMETRES!$G$35,5,IF($N760&gt;PARAMETRES!$F$35,4,IF($N760&gt;PARAMETRES!$E$35,3,IF($N760&gt;PARAMETRES!$D$35,2,1)))))</f>
        <v/>
      </c>
      <c r="W760" t="str">
        <f>IF($O760="","",IF($O760&gt;PARAMETRES!$G$36,5,IF($O760&gt;PARAMETRES!$F$36,4,IF($O760&gt;PARAMETRES!$E$36,3,IF($O760&gt;PARAMETRES!$D$36,2,1)))))</f>
        <v/>
      </c>
      <c r="X760" t="str">
        <f>IF($P760="","",IF($P760&gt;PARAMETRES!$G$37,5,IF($P760&gt;PARAMETRES!$F$37,4,IF($P760&gt;PARAMETRES!$E$37,3,IF($P760&gt;PARAMETRES!$D$37,2,1)))))</f>
        <v/>
      </c>
      <c r="Y760" t="str">
        <f t="shared" si="264"/>
        <v/>
      </c>
      <c r="Z760" t="str">
        <f>IFERROR(VLOOKUP($B760,TABLE_CYCLE,2,0),"")</f>
        <v/>
      </c>
      <c r="AA760" t="str">
        <f t="shared" si="265"/>
        <v/>
      </c>
      <c r="AB760" t="str">
        <f>IF($D760="","",IF(COUNTIF($D$2:$D760,$D760)=1,$D760,""))</f>
        <v/>
      </c>
      <c r="AC760">
        <f t="shared" si="266"/>
        <v>0</v>
      </c>
      <c r="AD760" t="str">
        <f t="shared" si="267"/>
        <v>|0</v>
      </c>
      <c r="AE760" t="str">
        <f t="shared" si="268"/>
        <v/>
      </c>
      <c r="AF760" t="str">
        <f t="shared" si="269"/>
        <v/>
      </c>
      <c r="AG760" t="str">
        <f t="shared" si="270"/>
        <v/>
      </c>
      <c r="AH760" t="str">
        <f t="shared" si="271"/>
        <v/>
      </c>
      <c r="AI760" t="str">
        <f t="shared" si="272"/>
        <v/>
      </c>
      <c r="AJ760" t="str">
        <f t="shared" si="273"/>
        <v/>
      </c>
      <c r="AK760" t="str">
        <f t="shared" si="274"/>
        <v/>
      </c>
      <c r="AL760" t="str">
        <f t="shared" si="275"/>
        <v/>
      </c>
      <c r="AM760" t="str">
        <f t="shared" si="276"/>
        <v/>
      </c>
      <c r="AN760" t="str">
        <f t="shared" si="277"/>
        <v/>
      </c>
      <c r="AO760" t="str">
        <f t="shared" si="278"/>
        <v/>
      </c>
      <c r="AP760">
        <f t="shared" si="279"/>
        <v>1</v>
      </c>
      <c r="AQ760" t="str">
        <f>IF(SAISIE!$F765="","",SAISIE!$Y765)</f>
        <v/>
      </c>
      <c r="AR760" t="str">
        <f>IF(OR(SAISIE!$U$4="",SAISIE!$W$4=""),"",IF(AND($A760=SAISIE!$U$4,$B760=SAISIE!$W$4,$C760="S1"),COUNTIFS($A$2:$A760,SAISIE!$U$4,$B$2:$B760,SAISIE!$W$4,$C$2:$C760,"S1"),""))</f>
        <v/>
      </c>
      <c r="AS760" t="str">
        <f t="shared" si="280"/>
        <v/>
      </c>
      <c r="AT760" t="str">
        <f t="shared" si="281"/>
        <v/>
      </c>
      <c r="AU760" t="str">
        <f t="shared" si="282"/>
        <v/>
      </c>
      <c r="AV760">
        <f>N(AV759)+IF(AND($AB760&lt;&gt;"",OR('PROFIL ELEVE'!$K$4="(Tous)",$AF760='PROFIL ELEVE'!$K$4)),1,0)</f>
        <v>0</v>
      </c>
      <c r="AW760">
        <f>N(AW759)+IF(AND($AB760&lt;&gt;"",OR('SUIVI LONGITUDINAL'!$Q$4="(Tous)",$AF760='SUIVI LONGITUDINAL'!$Q$4)),1,0)</f>
        <v>0</v>
      </c>
      <c r="AX760">
        <f t="shared" si="283"/>
        <v>0</v>
      </c>
      <c r="AY760">
        <f t="shared" si="284"/>
        <v>0</v>
      </c>
      <c r="AZ760">
        <f t="shared" si="285"/>
        <v>0</v>
      </c>
      <c r="BA760" t="str">
        <f t="shared" si="286"/>
        <v/>
      </c>
      <c r="BB760" t="str">
        <f t="shared" si="287"/>
        <v/>
      </c>
    </row>
    <row r="761" spans="1:54" ht="14.25" customHeight="1" x14ac:dyDescent="0.3">
      <c r="A761" t="str">
        <f>IF(SAISIE!$F766="","",SAISIE!$B766)</f>
        <v/>
      </c>
      <c r="B761" t="str">
        <f>IF(SAISIE!$F766="","",SAISIE!$C766)</f>
        <v/>
      </c>
      <c r="C761" t="str">
        <f>IF(SAISIE!$F766="","",SAISIE!$D766)</f>
        <v/>
      </c>
      <c r="D761" t="str">
        <f>IF(SAISIE!$E766="","",SAISIE!$E766)</f>
        <v/>
      </c>
      <c r="E761" t="str">
        <f>IF(SAISIE!$F766="","",SAISIE!$F766)</f>
        <v/>
      </c>
      <c r="F761" t="str">
        <f>IF(SAISIE!$G766="","",SAISIE!$G766)</f>
        <v/>
      </c>
      <c r="G761" t="str">
        <f>IF(SAISIE!$H766="","",SAISIE!$H766)</f>
        <v/>
      </c>
      <c r="H761" t="str">
        <f>IF(SAISIE!$I766="","",SAISIE!$I766)</f>
        <v/>
      </c>
      <c r="I761" t="str">
        <f>IF(SAISIE!$J766="","",SAISIE!$J766)</f>
        <v/>
      </c>
      <c r="J761" t="str">
        <f>IF(SAISIE!$K766="","",SAISIE!$K766)</f>
        <v/>
      </c>
      <c r="K761" t="str">
        <f>IF(SAISIE!$L766="","",SAISIE!$L766)</f>
        <v/>
      </c>
      <c r="L761" t="str">
        <f>IF(SAISIE!$M766="","",SAISIE!$M766)</f>
        <v/>
      </c>
      <c r="M761" t="str">
        <f>IF(SAISIE!$N766="","",SAISIE!$N766)</f>
        <v/>
      </c>
      <c r="N761" t="str">
        <f>IF(SAISIE!$O766="","",SAISIE!$O766)</f>
        <v/>
      </c>
      <c r="O761" t="str">
        <f>IF(SAISIE!$P766="","",SAISIE!$P766)</f>
        <v/>
      </c>
      <c r="P761" t="str">
        <f>IF(SAISIE!$Q766="","",SAISIE!$Q766)</f>
        <v/>
      </c>
      <c r="Q761" t="str">
        <f>IF($I761="","",IF($I761&gt;PARAMETRES!$G$29,5,IF($I761&gt;PARAMETRES!$F$29,4,IF($I761&gt;PARAMETRES!$E$29,3,IF($I761&gt;PARAMETRES!$D$29,2,1)))))</f>
        <v/>
      </c>
      <c r="R761" t="str">
        <f>IF($J761="","",IF($J761&gt;PARAMETRES!$G$30,5,IF($J761&gt;PARAMETRES!$F$30,4,IF($J761&gt;PARAMETRES!$E$30,3,IF($J761&gt;PARAMETRES!$D$30,2,1)))))</f>
        <v/>
      </c>
      <c r="S761" t="str">
        <f>IF($K761="","",IF($Z761=2,IF($K761&gt;PARAMETRES!$G$31,5,IF($K761&gt;PARAMETRES!$F$31,4,IF($K761&gt;PARAMETRES!$E$31,3,IF($K761&gt;PARAMETRES!$D$31,2,1)))),IF($K761&gt;PARAMETRES!$G$32,5,IF($K761&gt;PARAMETRES!$F$32,4,IF($K761&gt;PARAMETRES!$E$32,3,IF($K761&gt;PARAMETRES!$D$32,2,1))))))</f>
        <v/>
      </c>
      <c r="T761" t="str">
        <f>IF($L761="","",IF($L761&gt;PARAMETRES!$G$33,5,IF($L761&gt;PARAMETRES!$F$33,4,IF($L761&gt;PARAMETRES!$E$33,3,IF($L761&gt;PARAMETRES!$D$33,2,1)))))</f>
        <v/>
      </c>
      <c r="U761" t="str">
        <f>IF($M761="","",IF($M761&gt;PARAMETRES!$G$34,5,IF($M761&gt;PARAMETRES!$F$34,4,IF($M761&gt;PARAMETRES!$E$34,3,IF($M761&gt;PARAMETRES!$D$34,2,1)))))</f>
        <v/>
      </c>
      <c r="V761" t="str">
        <f>IF($N761="","",IF($N761&gt;PARAMETRES!$G$35,5,IF($N761&gt;PARAMETRES!$F$35,4,IF($N761&gt;PARAMETRES!$E$35,3,IF($N761&gt;PARAMETRES!$D$35,2,1)))))</f>
        <v/>
      </c>
      <c r="W761" t="str">
        <f>IF($O761="","",IF($O761&gt;PARAMETRES!$G$36,5,IF($O761&gt;PARAMETRES!$F$36,4,IF($O761&gt;PARAMETRES!$E$36,3,IF($O761&gt;PARAMETRES!$D$36,2,1)))))</f>
        <v/>
      </c>
      <c r="X761" t="str">
        <f>IF($P761="","",IF($P761&gt;PARAMETRES!$G$37,5,IF($P761&gt;PARAMETRES!$F$37,4,IF($P761&gt;PARAMETRES!$E$37,3,IF($P761&gt;PARAMETRES!$D$37,2,1)))))</f>
        <v/>
      </c>
      <c r="Y761" t="str">
        <f t="shared" si="264"/>
        <v/>
      </c>
      <c r="Z761" t="str">
        <f>IFERROR(VLOOKUP($B761,TABLE_CYCLE,2,0),"")</f>
        <v/>
      </c>
      <c r="AA761" t="str">
        <f t="shared" si="265"/>
        <v/>
      </c>
      <c r="AB761" t="str">
        <f>IF($D761="","",IF(COUNTIF($D$2:$D761,$D761)=1,$D761,""))</f>
        <v/>
      </c>
      <c r="AC761">
        <f t="shared" si="266"/>
        <v>0</v>
      </c>
      <c r="AD761" t="str">
        <f t="shared" si="267"/>
        <v>|0</v>
      </c>
      <c r="AE761" t="str">
        <f t="shared" si="268"/>
        <v/>
      </c>
      <c r="AF761" t="str">
        <f t="shared" si="269"/>
        <v/>
      </c>
      <c r="AG761" t="str">
        <f t="shared" si="270"/>
        <v/>
      </c>
      <c r="AH761" t="str">
        <f t="shared" si="271"/>
        <v/>
      </c>
      <c r="AI761" t="str">
        <f t="shared" si="272"/>
        <v/>
      </c>
      <c r="AJ761" t="str">
        <f t="shared" si="273"/>
        <v/>
      </c>
      <c r="AK761" t="str">
        <f t="shared" si="274"/>
        <v/>
      </c>
      <c r="AL761" t="str">
        <f t="shared" si="275"/>
        <v/>
      </c>
      <c r="AM761" t="str">
        <f t="shared" si="276"/>
        <v/>
      </c>
      <c r="AN761" t="str">
        <f t="shared" si="277"/>
        <v/>
      </c>
      <c r="AO761" t="str">
        <f t="shared" si="278"/>
        <v/>
      </c>
      <c r="AP761">
        <f t="shared" si="279"/>
        <v>1</v>
      </c>
      <c r="AQ761" t="str">
        <f>IF(SAISIE!$F766="","",SAISIE!$Y766)</f>
        <v/>
      </c>
      <c r="AR761" t="str">
        <f>IF(OR(SAISIE!$U$4="",SAISIE!$W$4=""),"",IF(AND($A761=SAISIE!$U$4,$B761=SAISIE!$W$4,$C761="S1"),COUNTIFS($A$2:$A761,SAISIE!$U$4,$B$2:$B761,SAISIE!$W$4,$C$2:$C761,"S1"),""))</f>
        <v/>
      </c>
      <c r="AS761" t="str">
        <f t="shared" si="280"/>
        <v/>
      </c>
      <c r="AT761" t="str">
        <f t="shared" si="281"/>
        <v/>
      </c>
      <c r="AU761" t="str">
        <f t="shared" si="282"/>
        <v/>
      </c>
      <c r="AV761">
        <f>N(AV760)+IF(AND($AB761&lt;&gt;"",OR('PROFIL ELEVE'!$K$4="(Tous)",$AF761='PROFIL ELEVE'!$K$4)),1,0)</f>
        <v>0</v>
      </c>
      <c r="AW761">
        <f>N(AW760)+IF(AND($AB761&lt;&gt;"",OR('SUIVI LONGITUDINAL'!$Q$4="(Tous)",$AF761='SUIVI LONGITUDINAL'!$Q$4)),1,0)</f>
        <v>0</v>
      </c>
      <c r="AX761">
        <f t="shared" si="283"/>
        <v>0</v>
      </c>
      <c r="AY761">
        <f t="shared" si="284"/>
        <v>0</v>
      </c>
      <c r="AZ761">
        <f t="shared" si="285"/>
        <v>0</v>
      </c>
      <c r="BA761" t="str">
        <f t="shared" si="286"/>
        <v/>
      </c>
      <c r="BB761" t="str">
        <f t="shared" si="287"/>
        <v/>
      </c>
    </row>
    <row r="762" spans="1:54" ht="14.25" customHeight="1" x14ac:dyDescent="0.3">
      <c r="A762" t="str">
        <f>IF(SAISIE!$F767="","",SAISIE!$B767)</f>
        <v/>
      </c>
      <c r="B762" t="str">
        <f>IF(SAISIE!$F767="","",SAISIE!$C767)</f>
        <v/>
      </c>
      <c r="C762" t="str">
        <f>IF(SAISIE!$F767="","",SAISIE!$D767)</f>
        <v/>
      </c>
      <c r="D762" t="str">
        <f>IF(SAISIE!$E767="","",SAISIE!$E767)</f>
        <v/>
      </c>
      <c r="E762" t="str">
        <f>IF(SAISIE!$F767="","",SAISIE!$F767)</f>
        <v/>
      </c>
      <c r="F762" t="str">
        <f>IF(SAISIE!$G767="","",SAISIE!$G767)</f>
        <v/>
      </c>
      <c r="G762" t="str">
        <f>IF(SAISIE!$H767="","",SAISIE!$H767)</f>
        <v/>
      </c>
      <c r="H762" t="str">
        <f>IF(SAISIE!$I767="","",SAISIE!$I767)</f>
        <v/>
      </c>
      <c r="I762" t="str">
        <f>IF(SAISIE!$J767="","",SAISIE!$J767)</f>
        <v/>
      </c>
      <c r="J762" t="str">
        <f>IF(SAISIE!$K767="","",SAISIE!$K767)</f>
        <v/>
      </c>
      <c r="K762" t="str">
        <f>IF(SAISIE!$L767="","",SAISIE!$L767)</f>
        <v/>
      </c>
      <c r="L762" t="str">
        <f>IF(SAISIE!$M767="","",SAISIE!$M767)</f>
        <v/>
      </c>
      <c r="M762" t="str">
        <f>IF(SAISIE!$N767="","",SAISIE!$N767)</f>
        <v/>
      </c>
      <c r="N762" t="str">
        <f>IF(SAISIE!$O767="","",SAISIE!$O767)</f>
        <v/>
      </c>
      <c r="O762" t="str">
        <f>IF(SAISIE!$P767="","",SAISIE!$P767)</f>
        <v/>
      </c>
      <c r="P762" t="str">
        <f>IF(SAISIE!$Q767="","",SAISIE!$Q767)</f>
        <v/>
      </c>
      <c r="Q762" t="str">
        <f>IF($I762="","",IF($I762&gt;PARAMETRES!$G$29,5,IF($I762&gt;PARAMETRES!$F$29,4,IF($I762&gt;PARAMETRES!$E$29,3,IF($I762&gt;PARAMETRES!$D$29,2,1)))))</f>
        <v/>
      </c>
      <c r="R762" t="str">
        <f>IF($J762="","",IF($J762&gt;PARAMETRES!$G$30,5,IF($J762&gt;PARAMETRES!$F$30,4,IF($J762&gt;PARAMETRES!$E$30,3,IF($J762&gt;PARAMETRES!$D$30,2,1)))))</f>
        <v/>
      </c>
      <c r="S762" t="str">
        <f>IF($K762="","",IF($Z762=2,IF($K762&gt;PARAMETRES!$G$31,5,IF($K762&gt;PARAMETRES!$F$31,4,IF($K762&gt;PARAMETRES!$E$31,3,IF($K762&gt;PARAMETRES!$D$31,2,1)))),IF($K762&gt;PARAMETRES!$G$32,5,IF($K762&gt;PARAMETRES!$F$32,4,IF($K762&gt;PARAMETRES!$E$32,3,IF($K762&gt;PARAMETRES!$D$32,2,1))))))</f>
        <v/>
      </c>
      <c r="T762" t="str">
        <f>IF($L762="","",IF($L762&gt;PARAMETRES!$G$33,5,IF($L762&gt;PARAMETRES!$F$33,4,IF($L762&gt;PARAMETRES!$E$33,3,IF($L762&gt;PARAMETRES!$D$33,2,1)))))</f>
        <v/>
      </c>
      <c r="U762" t="str">
        <f>IF($M762="","",IF($M762&gt;PARAMETRES!$G$34,5,IF($M762&gt;PARAMETRES!$F$34,4,IF($M762&gt;PARAMETRES!$E$34,3,IF($M762&gt;PARAMETRES!$D$34,2,1)))))</f>
        <v/>
      </c>
      <c r="V762" t="str">
        <f>IF($N762="","",IF($N762&gt;PARAMETRES!$G$35,5,IF($N762&gt;PARAMETRES!$F$35,4,IF($N762&gt;PARAMETRES!$E$35,3,IF($N762&gt;PARAMETRES!$D$35,2,1)))))</f>
        <v/>
      </c>
      <c r="W762" t="str">
        <f>IF($O762="","",IF($O762&gt;PARAMETRES!$G$36,5,IF($O762&gt;PARAMETRES!$F$36,4,IF($O762&gt;PARAMETRES!$E$36,3,IF($O762&gt;PARAMETRES!$D$36,2,1)))))</f>
        <v/>
      </c>
      <c r="X762" t="str">
        <f>IF($P762="","",IF($P762&gt;PARAMETRES!$G$37,5,IF($P762&gt;PARAMETRES!$F$37,4,IF($P762&gt;PARAMETRES!$E$37,3,IF($P762&gt;PARAMETRES!$D$37,2,1)))))</f>
        <v/>
      </c>
      <c r="Y762" t="str">
        <f t="shared" si="264"/>
        <v/>
      </c>
      <c r="Z762" t="str">
        <f>IFERROR(VLOOKUP($B762,TABLE_CYCLE,2,0),"")</f>
        <v/>
      </c>
      <c r="AA762" t="str">
        <f t="shared" si="265"/>
        <v/>
      </c>
      <c r="AB762" t="str">
        <f>IF($D762="","",IF(COUNTIF($D$2:$D762,$D762)=1,$D762,""))</f>
        <v/>
      </c>
      <c r="AC762">
        <f t="shared" si="266"/>
        <v>0</v>
      </c>
      <c r="AD762" t="str">
        <f t="shared" si="267"/>
        <v>|0</v>
      </c>
      <c r="AE762" t="str">
        <f t="shared" si="268"/>
        <v/>
      </c>
      <c r="AF762" t="str">
        <f t="shared" si="269"/>
        <v/>
      </c>
      <c r="AG762" t="str">
        <f t="shared" si="270"/>
        <v/>
      </c>
      <c r="AH762" t="str">
        <f t="shared" si="271"/>
        <v/>
      </c>
      <c r="AI762" t="str">
        <f t="shared" si="272"/>
        <v/>
      </c>
      <c r="AJ762" t="str">
        <f t="shared" si="273"/>
        <v/>
      </c>
      <c r="AK762" t="str">
        <f t="shared" si="274"/>
        <v/>
      </c>
      <c r="AL762" t="str">
        <f t="shared" si="275"/>
        <v/>
      </c>
      <c r="AM762" t="str">
        <f t="shared" si="276"/>
        <v/>
      </c>
      <c r="AN762" t="str">
        <f t="shared" si="277"/>
        <v/>
      </c>
      <c r="AO762" t="str">
        <f t="shared" si="278"/>
        <v/>
      </c>
      <c r="AP762">
        <f t="shared" si="279"/>
        <v>1</v>
      </c>
      <c r="AQ762" t="str">
        <f>IF(SAISIE!$F767="","",SAISIE!$Y767)</f>
        <v/>
      </c>
      <c r="AR762" t="str">
        <f>IF(OR(SAISIE!$U$4="",SAISIE!$W$4=""),"",IF(AND($A762=SAISIE!$U$4,$B762=SAISIE!$W$4,$C762="S1"),COUNTIFS($A$2:$A762,SAISIE!$U$4,$B$2:$B762,SAISIE!$W$4,$C$2:$C762,"S1"),""))</f>
        <v/>
      </c>
      <c r="AS762" t="str">
        <f t="shared" si="280"/>
        <v/>
      </c>
      <c r="AT762" t="str">
        <f t="shared" si="281"/>
        <v/>
      </c>
      <c r="AU762" t="str">
        <f t="shared" si="282"/>
        <v/>
      </c>
      <c r="AV762">
        <f>N(AV761)+IF(AND($AB762&lt;&gt;"",OR('PROFIL ELEVE'!$K$4="(Tous)",$AF762='PROFIL ELEVE'!$K$4)),1,0)</f>
        <v>0</v>
      </c>
      <c r="AW762">
        <f>N(AW761)+IF(AND($AB762&lt;&gt;"",OR('SUIVI LONGITUDINAL'!$Q$4="(Tous)",$AF762='SUIVI LONGITUDINAL'!$Q$4)),1,0)</f>
        <v>0</v>
      </c>
      <c r="AX762">
        <f t="shared" si="283"/>
        <v>0</v>
      </c>
      <c r="AY762">
        <f t="shared" si="284"/>
        <v>0</v>
      </c>
      <c r="AZ762">
        <f t="shared" si="285"/>
        <v>0</v>
      </c>
      <c r="BA762" t="str">
        <f t="shared" si="286"/>
        <v/>
      </c>
      <c r="BB762" t="str">
        <f t="shared" si="287"/>
        <v/>
      </c>
    </row>
    <row r="763" spans="1:54" ht="14.25" customHeight="1" x14ac:dyDescent="0.3">
      <c r="A763" t="str">
        <f>IF(SAISIE!$F768="","",SAISIE!$B768)</f>
        <v/>
      </c>
      <c r="B763" t="str">
        <f>IF(SAISIE!$F768="","",SAISIE!$C768)</f>
        <v/>
      </c>
      <c r="C763" t="str">
        <f>IF(SAISIE!$F768="","",SAISIE!$D768)</f>
        <v/>
      </c>
      <c r="D763" t="str">
        <f>IF(SAISIE!$E768="","",SAISIE!$E768)</f>
        <v/>
      </c>
      <c r="E763" t="str">
        <f>IF(SAISIE!$F768="","",SAISIE!$F768)</f>
        <v/>
      </c>
      <c r="F763" t="str">
        <f>IF(SAISIE!$G768="","",SAISIE!$G768)</f>
        <v/>
      </c>
      <c r="G763" t="str">
        <f>IF(SAISIE!$H768="","",SAISIE!$H768)</f>
        <v/>
      </c>
      <c r="H763" t="str">
        <f>IF(SAISIE!$I768="","",SAISIE!$I768)</f>
        <v/>
      </c>
      <c r="I763" t="str">
        <f>IF(SAISIE!$J768="","",SAISIE!$J768)</f>
        <v/>
      </c>
      <c r="J763" t="str">
        <f>IF(SAISIE!$K768="","",SAISIE!$K768)</f>
        <v/>
      </c>
      <c r="K763" t="str">
        <f>IF(SAISIE!$L768="","",SAISIE!$L768)</f>
        <v/>
      </c>
      <c r="L763" t="str">
        <f>IF(SAISIE!$M768="","",SAISIE!$M768)</f>
        <v/>
      </c>
      <c r="M763" t="str">
        <f>IF(SAISIE!$N768="","",SAISIE!$N768)</f>
        <v/>
      </c>
      <c r="N763" t="str">
        <f>IF(SAISIE!$O768="","",SAISIE!$O768)</f>
        <v/>
      </c>
      <c r="O763" t="str">
        <f>IF(SAISIE!$P768="","",SAISIE!$P768)</f>
        <v/>
      </c>
      <c r="P763" t="str">
        <f>IF(SAISIE!$Q768="","",SAISIE!$Q768)</f>
        <v/>
      </c>
      <c r="Q763" t="str">
        <f>IF($I763="","",IF($I763&gt;PARAMETRES!$G$29,5,IF($I763&gt;PARAMETRES!$F$29,4,IF($I763&gt;PARAMETRES!$E$29,3,IF($I763&gt;PARAMETRES!$D$29,2,1)))))</f>
        <v/>
      </c>
      <c r="R763" t="str">
        <f>IF($J763="","",IF($J763&gt;PARAMETRES!$G$30,5,IF($J763&gt;PARAMETRES!$F$30,4,IF($J763&gt;PARAMETRES!$E$30,3,IF($J763&gt;PARAMETRES!$D$30,2,1)))))</f>
        <v/>
      </c>
      <c r="S763" t="str">
        <f>IF($K763="","",IF($Z763=2,IF($K763&gt;PARAMETRES!$G$31,5,IF($K763&gt;PARAMETRES!$F$31,4,IF($K763&gt;PARAMETRES!$E$31,3,IF($K763&gt;PARAMETRES!$D$31,2,1)))),IF($K763&gt;PARAMETRES!$G$32,5,IF($K763&gt;PARAMETRES!$F$32,4,IF($K763&gt;PARAMETRES!$E$32,3,IF($K763&gt;PARAMETRES!$D$32,2,1))))))</f>
        <v/>
      </c>
      <c r="T763" t="str">
        <f>IF($L763="","",IF($L763&gt;PARAMETRES!$G$33,5,IF($L763&gt;PARAMETRES!$F$33,4,IF($L763&gt;PARAMETRES!$E$33,3,IF($L763&gt;PARAMETRES!$D$33,2,1)))))</f>
        <v/>
      </c>
      <c r="U763" t="str">
        <f>IF($M763="","",IF($M763&gt;PARAMETRES!$G$34,5,IF($M763&gt;PARAMETRES!$F$34,4,IF($M763&gt;PARAMETRES!$E$34,3,IF($M763&gt;PARAMETRES!$D$34,2,1)))))</f>
        <v/>
      </c>
      <c r="V763" t="str">
        <f>IF($N763="","",IF($N763&gt;PARAMETRES!$G$35,5,IF($N763&gt;PARAMETRES!$F$35,4,IF($N763&gt;PARAMETRES!$E$35,3,IF($N763&gt;PARAMETRES!$D$35,2,1)))))</f>
        <v/>
      </c>
      <c r="W763" t="str">
        <f>IF($O763="","",IF($O763&gt;PARAMETRES!$G$36,5,IF($O763&gt;PARAMETRES!$F$36,4,IF($O763&gt;PARAMETRES!$E$36,3,IF($O763&gt;PARAMETRES!$D$36,2,1)))))</f>
        <v/>
      </c>
      <c r="X763" t="str">
        <f>IF($P763="","",IF($P763&gt;PARAMETRES!$G$37,5,IF($P763&gt;PARAMETRES!$F$37,4,IF($P763&gt;PARAMETRES!$E$37,3,IF($P763&gt;PARAMETRES!$D$37,2,1)))))</f>
        <v/>
      </c>
      <c r="Y763" t="str">
        <f t="shared" si="264"/>
        <v/>
      </c>
      <c r="Z763" t="str">
        <f>IFERROR(VLOOKUP($B763,TABLE_CYCLE,2,0),"")</f>
        <v/>
      </c>
      <c r="AA763" t="str">
        <f t="shared" si="265"/>
        <v/>
      </c>
      <c r="AB763" t="str">
        <f>IF($D763="","",IF(COUNTIF($D$2:$D763,$D763)=1,$D763,""))</f>
        <v/>
      </c>
      <c r="AC763">
        <f t="shared" si="266"/>
        <v>0</v>
      </c>
      <c r="AD763" t="str">
        <f t="shared" si="267"/>
        <v>|0</v>
      </c>
      <c r="AE763" t="str">
        <f t="shared" si="268"/>
        <v/>
      </c>
      <c r="AF763" t="str">
        <f t="shared" si="269"/>
        <v/>
      </c>
      <c r="AG763" t="str">
        <f t="shared" si="270"/>
        <v/>
      </c>
      <c r="AH763" t="str">
        <f t="shared" si="271"/>
        <v/>
      </c>
      <c r="AI763" t="str">
        <f t="shared" si="272"/>
        <v/>
      </c>
      <c r="AJ763" t="str">
        <f t="shared" si="273"/>
        <v/>
      </c>
      <c r="AK763" t="str">
        <f t="shared" si="274"/>
        <v/>
      </c>
      <c r="AL763" t="str">
        <f t="shared" si="275"/>
        <v/>
      </c>
      <c r="AM763" t="str">
        <f t="shared" si="276"/>
        <v/>
      </c>
      <c r="AN763" t="str">
        <f t="shared" si="277"/>
        <v/>
      </c>
      <c r="AO763" t="str">
        <f t="shared" si="278"/>
        <v/>
      </c>
      <c r="AP763">
        <f t="shared" si="279"/>
        <v>1</v>
      </c>
      <c r="AQ763" t="str">
        <f>IF(SAISIE!$F768="","",SAISIE!$Y768)</f>
        <v/>
      </c>
      <c r="AR763" t="str">
        <f>IF(OR(SAISIE!$U$4="",SAISIE!$W$4=""),"",IF(AND($A763=SAISIE!$U$4,$B763=SAISIE!$W$4,$C763="S1"),COUNTIFS($A$2:$A763,SAISIE!$U$4,$B$2:$B763,SAISIE!$W$4,$C$2:$C763,"S1"),""))</f>
        <v/>
      </c>
      <c r="AS763" t="str">
        <f t="shared" si="280"/>
        <v/>
      </c>
      <c r="AT763" t="str">
        <f t="shared" si="281"/>
        <v/>
      </c>
      <c r="AU763" t="str">
        <f t="shared" si="282"/>
        <v/>
      </c>
      <c r="AV763">
        <f>N(AV762)+IF(AND($AB763&lt;&gt;"",OR('PROFIL ELEVE'!$K$4="(Tous)",$AF763='PROFIL ELEVE'!$K$4)),1,0)</f>
        <v>0</v>
      </c>
      <c r="AW763">
        <f>N(AW762)+IF(AND($AB763&lt;&gt;"",OR('SUIVI LONGITUDINAL'!$Q$4="(Tous)",$AF763='SUIVI LONGITUDINAL'!$Q$4)),1,0)</f>
        <v>0</v>
      </c>
      <c r="AX763">
        <f t="shared" si="283"/>
        <v>0</v>
      </c>
      <c r="AY763">
        <f t="shared" si="284"/>
        <v>0</v>
      </c>
      <c r="AZ763">
        <f t="shared" si="285"/>
        <v>0</v>
      </c>
      <c r="BA763" t="str">
        <f t="shared" si="286"/>
        <v/>
      </c>
      <c r="BB763" t="str">
        <f t="shared" si="287"/>
        <v/>
      </c>
    </row>
    <row r="764" spans="1:54" ht="14.25" customHeight="1" x14ac:dyDescent="0.3">
      <c r="A764" t="str">
        <f>IF(SAISIE!$F769="","",SAISIE!$B769)</f>
        <v/>
      </c>
      <c r="B764" t="str">
        <f>IF(SAISIE!$F769="","",SAISIE!$C769)</f>
        <v/>
      </c>
      <c r="C764" t="str">
        <f>IF(SAISIE!$F769="","",SAISIE!$D769)</f>
        <v/>
      </c>
      <c r="D764" t="str">
        <f>IF(SAISIE!$E769="","",SAISIE!$E769)</f>
        <v/>
      </c>
      <c r="E764" t="str">
        <f>IF(SAISIE!$F769="","",SAISIE!$F769)</f>
        <v/>
      </c>
      <c r="F764" t="str">
        <f>IF(SAISIE!$G769="","",SAISIE!$G769)</f>
        <v/>
      </c>
      <c r="G764" t="str">
        <f>IF(SAISIE!$H769="","",SAISIE!$H769)</f>
        <v/>
      </c>
      <c r="H764" t="str">
        <f>IF(SAISIE!$I769="","",SAISIE!$I769)</f>
        <v/>
      </c>
      <c r="I764" t="str">
        <f>IF(SAISIE!$J769="","",SAISIE!$J769)</f>
        <v/>
      </c>
      <c r="J764" t="str">
        <f>IF(SAISIE!$K769="","",SAISIE!$K769)</f>
        <v/>
      </c>
      <c r="K764" t="str">
        <f>IF(SAISIE!$L769="","",SAISIE!$L769)</f>
        <v/>
      </c>
      <c r="L764" t="str">
        <f>IF(SAISIE!$M769="","",SAISIE!$M769)</f>
        <v/>
      </c>
      <c r="M764" t="str">
        <f>IF(SAISIE!$N769="","",SAISIE!$N769)</f>
        <v/>
      </c>
      <c r="N764" t="str">
        <f>IF(SAISIE!$O769="","",SAISIE!$O769)</f>
        <v/>
      </c>
      <c r="O764" t="str">
        <f>IF(SAISIE!$P769="","",SAISIE!$P769)</f>
        <v/>
      </c>
      <c r="P764" t="str">
        <f>IF(SAISIE!$Q769="","",SAISIE!$Q769)</f>
        <v/>
      </c>
      <c r="Q764" t="str">
        <f>IF($I764="","",IF($I764&gt;PARAMETRES!$G$29,5,IF($I764&gt;PARAMETRES!$F$29,4,IF($I764&gt;PARAMETRES!$E$29,3,IF($I764&gt;PARAMETRES!$D$29,2,1)))))</f>
        <v/>
      </c>
      <c r="R764" t="str">
        <f>IF($J764="","",IF($J764&gt;PARAMETRES!$G$30,5,IF($J764&gt;PARAMETRES!$F$30,4,IF($J764&gt;PARAMETRES!$E$30,3,IF($J764&gt;PARAMETRES!$D$30,2,1)))))</f>
        <v/>
      </c>
      <c r="S764" t="str">
        <f>IF($K764="","",IF($Z764=2,IF($K764&gt;PARAMETRES!$G$31,5,IF($K764&gt;PARAMETRES!$F$31,4,IF($K764&gt;PARAMETRES!$E$31,3,IF($K764&gt;PARAMETRES!$D$31,2,1)))),IF($K764&gt;PARAMETRES!$G$32,5,IF($K764&gt;PARAMETRES!$F$32,4,IF($K764&gt;PARAMETRES!$E$32,3,IF($K764&gt;PARAMETRES!$D$32,2,1))))))</f>
        <v/>
      </c>
      <c r="T764" t="str">
        <f>IF($L764="","",IF($L764&gt;PARAMETRES!$G$33,5,IF($L764&gt;PARAMETRES!$F$33,4,IF($L764&gt;PARAMETRES!$E$33,3,IF($L764&gt;PARAMETRES!$D$33,2,1)))))</f>
        <v/>
      </c>
      <c r="U764" t="str">
        <f>IF($M764="","",IF($M764&gt;PARAMETRES!$G$34,5,IF($M764&gt;PARAMETRES!$F$34,4,IF($M764&gt;PARAMETRES!$E$34,3,IF($M764&gt;PARAMETRES!$D$34,2,1)))))</f>
        <v/>
      </c>
      <c r="V764" t="str">
        <f>IF($N764="","",IF($N764&gt;PARAMETRES!$G$35,5,IF($N764&gt;PARAMETRES!$F$35,4,IF($N764&gt;PARAMETRES!$E$35,3,IF($N764&gt;PARAMETRES!$D$35,2,1)))))</f>
        <v/>
      </c>
      <c r="W764" t="str">
        <f>IF($O764="","",IF($O764&gt;PARAMETRES!$G$36,5,IF($O764&gt;PARAMETRES!$F$36,4,IF($O764&gt;PARAMETRES!$E$36,3,IF($O764&gt;PARAMETRES!$D$36,2,1)))))</f>
        <v/>
      </c>
      <c r="X764" t="str">
        <f>IF($P764="","",IF($P764&gt;PARAMETRES!$G$37,5,IF($P764&gt;PARAMETRES!$F$37,4,IF($P764&gt;PARAMETRES!$E$37,3,IF($P764&gt;PARAMETRES!$D$37,2,1)))))</f>
        <v/>
      </c>
      <c r="Y764" t="str">
        <f t="shared" si="264"/>
        <v/>
      </c>
      <c r="Z764" t="str">
        <f>IFERROR(VLOOKUP($B764,TABLE_CYCLE,2,0),"")</f>
        <v/>
      </c>
      <c r="AA764" t="str">
        <f t="shared" si="265"/>
        <v/>
      </c>
      <c r="AB764" t="str">
        <f>IF($D764="","",IF(COUNTIF($D$2:$D764,$D764)=1,$D764,""))</f>
        <v/>
      </c>
      <c r="AC764">
        <f t="shared" si="266"/>
        <v>0</v>
      </c>
      <c r="AD764" t="str">
        <f t="shared" si="267"/>
        <v>|0</v>
      </c>
      <c r="AE764" t="str">
        <f t="shared" si="268"/>
        <v/>
      </c>
      <c r="AF764" t="str">
        <f t="shared" si="269"/>
        <v/>
      </c>
      <c r="AG764" t="str">
        <f t="shared" si="270"/>
        <v/>
      </c>
      <c r="AH764" t="str">
        <f t="shared" si="271"/>
        <v/>
      </c>
      <c r="AI764" t="str">
        <f t="shared" si="272"/>
        <v/>
      </c>
      <c r="AJ764" t="str">
        <f t="shared" si="273"/>
        <v/>
      </c>
      <c r="AK764" t="str">
        <f t="shared" si="274"/>
        <v/>
      </c>
      <c r="AL764" t="str">
        <f t="shared" si="275"/>
        <v/>
      </c>
      <c r="AM764" t="str">
        <f t="shared" si="276"/>
        <v/>
      </c>
      <c r="AN764" t="str">
        <f t="shared" si="277"/>
        <v/>
      </c>
      <c r="AO764" t="str">
        <f t="shared" si="278"/>
        <v/>
      </c>
      <c r="AP764">
        <f t="shared" si="279"/>
        <v>1</v>
      </c>
      <c r="AQ764" t="str">
        <f>IF(SAISIE!$F769="","",SAISIE!$Y769)</f>
        <v/>
      </c>
      <c r="AR764" t="str">
        <f>IF(OR(SAISIE!$U$4="",SAISIE!$W$4=""),"",IF(AND($A764=SAISIE!$U$4,$B764=SAISIE!$W$4,$C764="S1"),COUNTIFS($A$2:$A764,SAISIE!$U$4,$B$2:$B764,SAISIE!$W$4,$C$2:$C764,"S1"),""))</f>
        <v/>
      </c>
      <c r="AS764" t="str">
        <f t="shared" si="280"/>
        <v/>
      </c>
      <c r="AT764" t="str">
        <f t="shared" si="281"/>
        <v/>
      </c>
      <c r="AU764" t="str">
        <f t="shared" si="282"/>
        <v/>
      </c>
      <c r="AV764">
        <f>N(AV763)+IF(AND($AB764&lt;&gt;"",OR('PROFIL ELEVE'!$K$4="(Tous)",$AF764='PROFIL ELEVE'!$K$4)),1,0)</f>
        <v>0</v>
      </c>
      <c r="AW764">
        <f>N(AW763)+IF(AND($AB764&lt;&gt;"",OR('SUIVI LONGITUDINAL'!$Q$4="(Tous)",$AF764='SUIVI LONGITUDINAL'!$Q$4)),1,0)</f>
        <v>0</v>
      </c>
      <c r="AX764">
        <f t="shared" si="283"/>
        <v>0</v>
      </c>
      <c r="AY764">
        <f t="shared" si="284"/>
        <v>0</v>
      </c>
      <c r="AZ764">
        <f t="shared" si="285"/>
        <v>0</v>
      </c>
      <c r="BA764" t="str">
        <f t="shared" si="286"/>
        <v/>
      </c>
      <c r="BB764" t="str">
        <f t="shared" si="287"/>
        <v/>
      </c>
    </row>
    <row r="765" spans="1:54" ht="14.25" customHeight="1" x14ac:dyDescent="0.3">
      <c r="A765" t="str">
        <f>IF(SAISIE!$F770="","",SAISIE!$B770)</f>
        <v/>
      </c>
      <c r="B765" t="str">
        <f>IF(SAISIE!$F770="","",SAISIE!$C770)</f>
        <v/>
      </c>
      <c r="C765" t="str">
        <f>IF(SAISIE!$F770="","",SAISIE!$D770)</f>
        <v/>
      </c>
      <c r="D765" t="str">
        <f>IF(SAISIE!$E770="","",SAISIE!$E770)</f>
        <v/>
      </c>
      <c r="E765" t="str">
        <f>IF(SAISIE!$F770="","",SAISIE!$F770)</f>
        <v/>
      </c>
      <c r="F765" t="str">
        <f>IF(SAISIE!$G770="","",SAISIE!$G770)</f>
        <v/>
      </c>
      <c r="G765" t="str">
        <f>IF(SAISIE!$H770="","",SAISIE!$H770)</f>
        <v/>
      </c>
      <c r="H765" t="str">
        <f>IF(SAISIE!$I770="","",SAISIE!$I770)</f>
        <v/>
      </c>
      <c r="I765" t="str">
        <f>IF(SAISIE!$J770="","",SAISIE!$J770)</f>
        <v/>
      </c>
      <c r="J765" t="str">
        <f>IF(SAISIE!$K770="","",SAISIE!$K770)</f>
        <v/>
      </c>
      <c r="K765" t="str">
        <f>IF(SAISIE!$L770="","",SAISIE!$L770)</f>
        <v/>
      </c>
      <c r="L765" t="str">
        <f>IF(SAISIE!$M770="","",SAISIE!$M770)</f>
        <v/>
      </c>
      <c r="M765" t="str">
        <f>IF(SAISIE!$N770="","",SAISIE!$N770)</f>
        <v/>
      </c>
      <c r="N765" t="str">
        <f>IF(SAISIE!$O770="","",SAISIE!$O770)</f>
        <v/>
      </c>
      <c r="O765" t="str">
        <f>IF(SAISIE!$P770="","",SAISIE!$P770)</f>
        <v/>
      </c>
      <c r="P765" t="str">
        <f>IF(SAISIE!$Q770="","",SAISIE!$Q770)</f>
        <v/>
      </c>
      <c r="Q765" t="str">
        <f>IF($I765="","",IF($I765&gt;PARAMETRES!$G$29,5,IF($I765&gt;PARAMETRES!$F$29,4,IF($I765&gt;PARAMETRES!$E$29,3,IF($I765&gt;PARAMETRES!$D$29,2,1)))))</f>
        <v/>
      </c>
      <c r="R765" t="str">
        <f>IF($J765="","",IF($J765&gt;PARAMETRES!$G$30,5,IF($J765&gt;PARAMETRES!$F$30,4,IF($J765&gt;PARAMETRES!$E$30,3,IF($J765&gt;PARAMETRES!$D$30,2,1)))))</f>
        <v/>
      </c>
      <c r="S765" t="str">
        <f>IF($K765="","",IF($Z765=2,IF($K765&gt;PARAMETRES!$G$31,5,IF($K765&gt;PARAMETRES!$F$31,4,IF($K765&gt;PARAMETRES!$E$31,3,IF($K765&gt;PARAMETRES!$D$31,2,1)))),IF($K765&gt;PARAMETRES!$G$32,5,IF($K765&gt;PARAMETRES!$F$32,4,IF($K765&gt;PARAMETRES!$E$32,3,IF($K765&gt;PARAMETRES!$D$32,2,1))))))</f>
        <v/>
      </c>
      <c r="T765" t="str">
        <f>IF($L765="","",IF($L765&gt;PARAMETRES!$G$33,5,IF($L765&gt;PARAMETRES!$F$33,4,IF($L765&gt;PARAMETRES!$E$33,3,IF($L765&gt;PARAMETRES!$D$33,2,1)))))</f>
        <v/>
      </c>
      <c r="U765" t="str">
        <f>IF($M765="","",IF($M765&gt;PARAMETRES!$G$34,5,IF($M765&gt;PARAMETRES!$F$34,4,IF($M765&gt;PARAMETRES!$E$34,3,IF($M765&gt;PARAMETRES!$D$34,2,1)))))</f>
        <v/>
      </c>
      <c r="V765" t="str">
        <f>IF($N765="","",IF($N765&gt;PARAMETRES!$G$35,5,IF($N765&gt;PARAMETRES!$F$35,4,IF($N765&gt;PARAMETRES!$E$35,3,IF($N765&gt;PARAMETRES!$D$35,2,1)))))</f>
        <v/>
      </c>
      <c r="W765" t="str">
        <f>IF($O765="","",IF($O765&gt;PARAMETRES!$G$36,5,IF($O765&gt;PARAMETRES!$F$36,4,IF($O765&gt;PARAMETRES!$E$36,3,IF($O765&gt;PARAMETRES!$D$36,2,1)))))</f>
        <v/>
      </c>
      <c r="X765" t="str">
        <f>IF($P765="","",IF($P765&gt;PARAMETRES!$G$37,5,IF($P765&gt;PARAMETRES!$F$37,4,IF($P765&gt;PARAMETRES!$E$37,3,IF($P765&gt;PARAMETRES!$D$37,2,1)))))</f>
        <v/>
      </c>
      <c r="Y765" t="str">
        <f t="shared" si="264"/>
        <v/>
      </c>
      <c r="Z765" t="str">
        <f>IFERROR(VLOOKUP($B765,TABLE_CYCLE,2,0),"")</f>
        <v/>
      </c>
      <c r="AA765" t="str">
        <f t="shared" si="265"/>
        <v/>
      </c>
      <c r="AB765" t="str">
        <f>IF($D765="","",IF(COUNTIF($D$2:$D765,$D765)=1,$D765,""))</f>
        <v/>
      </c>
      <c r="AC765">
        <f t="shared" si="266"/>
        <v>0</v>
      </c>
      <c r="AD765" t="str">
        <f t="shared" si="267"/>
        <v>|0</v>
      </c>
      <c r="AE765" t="str">
        <f t="shared" si="268"/>
        <v/>
      </c>
      <c r="AF765" t="str">
        <f t="shared" si="269"/>
        <v/>
      </c>
      <c r="AG765" t="str">
        <f t="shared" si="270"/>
        <v/>
      </c>
      <c r="AH765" t="str">
        <f t="shared" si="271"/>
        <v/>
      </c>
      <c r="AI765" t="str">
        <f t="shared" si="272"/>
        <v/>
      </c>
      <c r="AJ765" t="str">
        <f t="shared" si="273"/>
        <v/>
      </c>
      <c r="AK765" t="str">
        <f t="shared" si="274"/>
        <v/>
      </c>
      <c r="AL765" t="str">
        <f t="shared" si="275"/>
        <v/>
      </c>
      <c r="AM765" t="str">
        <f t="shared" si="276"/>
        <v/>
      </c>
      <c r="AN765" t="str">
        <f t="shared" si="277"/>
        <v/>
      </c>
      <c r="AO765" t="str">
        <f t="shared" si="278"/>
        <v/>
      </c>
      <c r="AP765">
        <f t="shared" si="279"/>
        <v>1</v>
      </c>
      <c r="AQ765" t="str">
        <f>IF(SAISIE!$F770="","",SAISIE!$Y770)</f>
        <v/>
      </c>
      <c r="AR765" t="str">
        <f>IF(OR(SAISIE!$U$4="",SAISIE!$W$4=""),"",IF(AND($A765=SAISIE!$U$4,$B765=SAISIE!$W$4,$C765="S1"),COUNTIFS($A$2:$A765,SAISIE!$U$4,$B$2:$B765,SAISIE!$W$4,$C$2:$C765,"S1"),""))</f>
        <v/>
      </c>
      <c r="AS765" t="str">
        <f t="shared" si="280"/>
        <v/>
      </c>
      <c r="AT765" t="str">
        <f t="shared" si="281"/>
        <v/>
      </c>
      <c r="AU765" t="str">
        <f t="shared" si="282"/>
        <v/>
      </c>
      <c r="AV765">
        <f>N(AV764)+IF(AND($AB765&lt;&gt;"",OR('PROFIL ELEVE'!$K$4="(Tous)",$AF765='PROFIL ELEVE'!$K$4)),1,0)</f>
        <v>0</v>
      </c>
      <c r="AW765">
        <f>N(AW764)+IF(AND($AB765&lt;&gt;"",OR('SUIVI LONGITUDINAL'!$Q$4="(Tous)",$AF765='SUIVI LONGITUDINAL'!$Q$4)),1,0)</f>
        <v>0</v>
      </c>
      <c r="AX765">
        <f t="shared" si="283"/>
        <v>0</v>
      </c>
      <c r="AY765">
        <f t="shared" si="284"/>
        <v>0</v>
      </c>
      <c r="AZ765">
        <f t="shared" si="285"/>
        <v>0</v>
      </c>
      <c r="BA765" t="str">
        <f t="shared" si="286"/>
        <v/>
      </c>
      <c r="BB765" t="str">
        <f t="shared" si="287"/>
        <v/>
      </c>
    </row>
    <row r="766" spans="1:54" ht="14.25" customHeight="1" x14ac:dyDescent="0.3">
      <c r="A766" t="str">
        <f>IF(SAISIE!$F771="","",SAISIE!$B771)</f>
        <v/>
      </c>
      <c r="B766" t="str">
        <f>IF(SAISIE!$F771="","",SAISIE!$C771)</f>
        <v/>
      </c>
      <c r="C766" t="str">
        <f>IF(SAISIE!$F771="","",SAISIE!$D771)</f>
        <v/>
      </c>
      <c r="D766" t="str">
        <f>IF(SAISIE!$E771="","",SAISIE!$E771)</f>
        <v/>
      </c>
      <c r="E766" t="str">
        <f>IF(SAISIE!$F771="","",SAISIE!$F771)</f>
        <v/>
      </c>
      <c r="F766" t="str">
        <f>IF(SAISIE!$G771="","",SAISIE!$G771)</f>
        <v/>
      </c>
      <c r="G766" t="str">
        <f>IF(SAISIE!$H771="","",SAISIE!$H771)</f>
        <v/>
      </c>
      <c r="H766" t="str">
        <f>IF(SAISIE!$I771="","",SAISIE!$I771)</f>
        <v/>
      </c>
      <c r="I766" t="str">
        <f>IF(SAISIE!$J771="","",SAISIE!$J771)</f>
        <v/>
      </c>
      <c r="J766" t="str">
        <f>IF(SAISIE!$K771="","",SAISIE!$K771)</f>
        <v/>
      </c>
      <c r="K766" t="str">
        <f>IF(SAISIE!$L771="","",SAISIE!$L771)</f>
        <v/>
      </c>
      <c r="L766" t="str">
        <f>IF(SAISIE!$M771="","",SAISIE!$M771)</f>
        <v/>
      </c>
      <c r="M766" t="str">
        <f>IF(SAISIE!$N771="","",SAISIE!$N771)</f>
        <v/>
      </c>
      <c r="N766" t="str">
        <f>IF(SAISIE!$O771="","",SAISIE!$O771)</f>
        <v/>
      </c>
      <c r="O766" t="str">
        <f>IF(SAISIE!$P771="","",SAISIE!$P771)</f>
        <v/>
      </c>
      <c r="P766" t="str">
        <f>IF(SAISIE!$Q771="","",SAISIE!$Q771)</f>
        <v/>
      </c>
      <c r="Q766" t="str">
        <f>IF($I766="","",IF($I766&gt;PARAMETRES!$G$29,5,IF($I766&gt;PARAMETRES!$F$29,4,IF($I766&gt;PARAMETRES!$E$29,3,IF($I766&gt;PARAMETRES!$D$29,2,1)))))</f>
        <v/>
      </c>
      <c r="R766" t="str">
        <f>IF($J766="","",IF($J766&gt;PARAMETRES!$G$30,5,IF($J766&gt;PARAMETRES!$F$30,4,IF($J766&gt;PARAMETRES!$E$30,3,IF($J766&gt;PARAMETRES!$D$30,2,1)))))</f>
        <v/>
      </c>
      <c r="S766" t="str">
        <f>IF($K766="","",IF($Z766=2,IF($K766&gt;PARAMETRES!$G$31,5,IF($K766&gt;PARAMETRES!$F$31,4,IF($K766&gt;PARAMETRES!$E$31,3,IF($K766&gt;PARAMETRES!$D$31,2,1)))),IF($K766&gt;PARAMETRES!$G$32,5,IF($K766&gt;PARAMETRES!$F$32,4,IF($K766&gt;PARAMETRES!$E$32,3,IF($K766&gt;PARAMETRES!$D$32,2,1))))))</f>
        <v/>
      </c>
      <c r="T766" t="str">
        <f>IF($L766="","",IF($L766&gt;PARAMETRES!$G$33,5,IF($L766&gt;PARAMETRES!$F$33,4,IF($L766&gt;PARAMETRES!$E$33,3,IF($L766&gt;PARAMETRES!$D$33,2,1)))))</f>
        <v/>
      </c>
      <c r="U766" t="str">
        <f>IF($M766="","",IF($M766&gt;PARAMETRES!$G$34,5,IF($M766&gt;PARAMETRES!$F$34,4,IF($M766&gt;PARAMETRES!$E$34,3,IF($M766&gt;PARAMETRES!$D$34,2,1)))))</f>
        <v/>
      </c>
      <c r="V766" t="str">
        <f>IF($N766="","",IF($N766&gt;PARAMETRES!$G$35,5,IF($N766&gt;PARAMETRES!$F$35,4,IF($N766&gt;PARAMETRES!$E$35,3,IF($N766&gt;PARAMETRES!$D$35,2,1)))))</f>
        <v/>
      </c>
      <c r="W766" t="str">
        <f>IF($O766="","",IF($O766&gt;PARAMETRES!$G$36,5,IF($O766&gt;PARAMETRES!$F$36,4,IF($O766&gt;PARAMETRES!$E$36,3,IF($O766&gt;PARAMETRES!$D$36,2,1)))))</f>
        <v/>
      </c>
      <c r="X766" t="str">
        <f>IF($P766="","",IF($P766&gt;PARAMETRES!$G$37,5,IF($P766&gt;PARAMETRES!$F$37,4,IF($P766&gt;PARAMETRES!$E$37,3,IF($P766&gt;PARAMETRES!$D$37,2,1)))))</f>
        <v/>
      </c>
      <c r="Y766" t="str">
        <f t="shared" si="264"/>
        <v/>
      </c>
      <c r="Z766" t="str">
        <f>IFERROR(VLOOKUP($B766,TABLE_CYCLE,2,0),"")</f>
        <v/>
      </c>
      <c r="AA766" t="str">
        <f t="shared" si="265"/>
        <v/>
      </c>
      <c r="AB766" t="str">
        <f>IF($D766="","",IF(COUNTIF($D$2:$D766,$D766)=1,$D766,""))</f>
        <v/>
      </c>
      <c r="AC766">
        <f t="shared" si="266"/>
        <v>0</v>
      </c>
      <c r="AD766" t="str">
        <f t="shared" si="267"/>
        <v>|0</v>
      </c>
      <c r="AE766" t="str">
        <f t="shared" si="268"/>
        <v/>
      </c>
      <c r="AF766" t="str">
        <f t="shared" si="269"/>
        <v/>
      </c>
      <c r="AG766" t="str">
        <f t="shared" si="270"/>
        <v/>
      </c>
      <c r="AH766" t="str">
        <f t="shared" si="271"/>
        <v/>
      </c>
      <c r="AI766" t="str">
        <f t="shared" si="272"/>
        <v/>
      </c>
      <c r="AJ766" t="str">
        <f t="shared" si="273"/>
        <v/>
      </c>
      <c r="AK766" t="str">
        <f t="shared" si="274"/>
        <v/>
      </c>
      <c r="AL766" t="str">
        <f t="shared" si="275"/>
        <v/>
      </c>
      <c r="AM766" t="str">
        <f t="shared" si="276"/>
        <v/>
      </c>
      <c r="AN766" t="str">
        <f t="shared" si="277"/>
        <v/>
      </c>
      <c r="AO766" t="str">
        <f t="shared" si="278"/>
        <v/>
      </c>
      <c r="AP766">
        <f t="shared" si="279"/>
        <v>1</v>
      </c>
      <c r="AQ766" t="str">
        <f>IF(SAISIE!$F771="","",SAISIE!$Y771)</f>
        <v/>
      </c>
      <c r="AR766" t="str">
        <f>IF(OR(SAISIE!$U$4="",SAISIE!$W$4=""),"",IF(AND($A766=SAISIE!$U$4,$B766=SAISIE!$W$4,$C766="S1"),COUNTIFS($A$2:$A766,SAISIE!$U$4,$B$2:$B766,SAISIE!$W$4,$C$2:$C766,"S1"),""))</f>
        <v/>
      </c>
      <c r="AS766" t="str">
        <f t="shared" si="280"/>
        <v/>
      </c>
      <c r="AT766" t="str">
        <f t="shared" si="281"/>
        <v/>
      </c>
      <c r="AU766" t="str">
        <f t="shared" si="282"/>
        <v/>
      </c>
      <c r="AV766">
        <f>N(AV765)+IF(AND($AB766&lt;&gt;"",OR('PROFIL ELEVE'!$K$4="(Tous)",$AF766='PROFIL ELEVE'!$K$4)),1,0)</f>
        <v>0</v>
      </c>
      <c r="AW766">
        <f>N(AW765)+IF(AND($AB766&lt;&gt;"",OR('SUIVI LONGITUDINAL'!$Q$4="(Tous)",$AF766='SUIVI LONGITUDINAL'!$Q$4)),1,0)</f>
        <v>0</v>
      </c>
      <c r="AX766">
        <f t="shared" si="283"/>
        <v>0</v>
      </c>
      <c r="AY766">
        <f t="shared" si="284"/>
        <v>0</v>
      </c>
      <c r="AZ766">
        <f t="shared" si="285"/>
        <v>0</v>
      </c>
      <c r="BA766" t="str">
        <f t="shared" si="286"/>
        <v/>
      </c>
      <c r="BB766" t="str">
        <f t="shared" si="287"/>
        <v/>
      </c>
    </row>
    <row r="767" spans="1:54" ht="14.25" customHeight="1" x14ac:dyDescent="0.3">
      <c r="A767" t="str">
        <f>IF(SAISIE!$F772="","",SAISIE!$B772)</f>
        <v/>
      </c>
      <c r="B767" t="str">
        <f>IF(SAISIE!$F772="","",SAISIE!$C772)</f>
        <v/>
      </c>
      <c r="C767" t="str">
        <f>IF(SAISIE!$F772="","",SAISIE!$D772)</f>
        <v/>
      </c>
      <c r="D767" t="str">
        <f>IF(SAISIE!$E772="","",SAISIE!$E772)</f>
        <v/>
      </c>
      <c r="E767" t="str">
        <f>IF(SAISIE!$F772="","",SAISIE!$F772)</f>
        <v/>
      </c>
      <c r="F767" t="str">
        <f>IF(SAISIE!$G772="","",SAISIE!$G772)</f>
        <v/>
      </c>
      <c r="G767" t="str">
        <f>IF(SAISIE!$H772="","",SAISIE!$H772)</f>
        <v/>
      </c>
      <c r="H767" t="str">
        <f>IF(SAISIE!$I772="","",SAISIE!$I772)</f>
        <v/>
      </c>
      <c r="I767" t="str">
        <f>IF(SAISIE!$J772="","",SAISIE!$J772)</f>
        <v/>
      </c>
      <c r="J767" t="str">
        <f>IF(SAISIE!$K772="","",SAISIE!$K772)</f>
        <v/>
      </c>
      <c r="K767" t="str">
        <f>IF(SAISIE!$L772="","",SAISIE!$L772)</f>
        <v/>
      </c>
      <c r="L767" t="str">
        <f>IF(SAISIE!$M772="","",SAISIE!$M772)</f>
        <v/>
      </c>
      <c r="M767" t="str">
        <f>IF(SAISIE!$N772="","",SAISIE!$N772)</f>
        <v/>
      </c>
      <c r="N767" t="str">
        <f>IF(SAISIE!$O772="","",SAISIE!$O772)</f>
        <v/>
      </c>
      <c r="O767" t="str">
        <f>IF(SAISIE!$P772="","",SAISIE!$P772)</f>
        <v/>
      </c>
      <c r="P767" t="str">
        <f>IF(SAISIE!$Q772="","",SAISIE!$Q772)</f>
        <v/>
      </c>
      <c r="Q767" t="str">
        <f>IF($I767="","",IF($I767&gt;PARAMETRES!$G$29,5,IF($I767&gt;PARAMETRES!$F$29,4,IF($I767&gt;PARAMETRES!$E$29,3,IF($I767&gt;PARAMETRES!$D$29,2,1)))))</f>
        <v/>
      </c>
      <c r="R767" t="str">
        <f>IF($J767="","",IF($J767&gt;PARAMETRES!$G$30,5,IF($J767&gt;PARAMETRES!$F$30,4,IF($J767&gt;PARAMETRES!$E$30,3,IF($J767&gt;PARAMETRES!$D$30,2,1)))))</f>
        <v/>
      </c>
      <c r="S767" t="str">
        <f>IF($K767="","",IF($Z767=2,IF($K767&gt;PARAMETRES!$G$31,5,IF($K767&gt;PARAMETRES!$F$31,4,IF($K767&gt;PARAMETRES!$E$31,3,IF($K767&gt;PARAMETRES!$D$31,2,1)))),IF($K767&gt;PARAMETRES!$G$32,5,IF($K767&gt;PARAMETRES!$F$32,4,IF($K767&gt;PARAMETRES!$E$32,3,IF($K767&gt;PARAMETRES!$D$32,2,1))))))</f>
        <v/>
      </c>
      <c r="T767" t="str">
        <f>IF($L767="","",IF($L767&gt;PARAMETRES!$G$33,5,IF($L767&gt;PARAMETRES!$F$33,4,IF($L767&gt;PARAMETRES!$E$33,3,IF($L767&gt;PARAMETRES!$D$33,2,1)))))</f>
        <v/>
      </c>
      <c r="U767" t="str">
        <f>IF($M767="","",IF($M767&gt;PARAMETRES!$G$34,5,IF($M767&gt;PARAMETRES!$F$34,4,IF($M767&gt;PARAMETRES!$E$34,3,IF($M767&gt;PARAMETRES!$D$34,2,1)))))</f>
        <v/>
      </c>
      <c r="V767" t="str">
        <f>IF($N767="","",IF($N767&gt;PARAMETRES!$G$35,5,IF($N767&gt;PARAMETRES!$F$35,4,IF($N767&gt;PARAMETRES!$E$35,3,IF($N767&gt;PARAMETRES!$D$35,2,1)))))</f>
        <v/>
      </c>
      <c r="W767" t="str">
        <f>IF($O767="","",IF($O767&gt;PARAMETRES!$G$36,5,IF($O767&gt;PARAMETRES!$F$36,4,IF($O767&gt;PARAMETRES!$E$36,3,IF($O767&gt;PARAMETRES!$D$36,2,1)))))</f>
        <v/>
      </c>
      <c r="X767" t="str">
        <f>IF($P767="","",IF($P767&gt;PARAMETRES!$G$37,5,IF($P767&gt;PARAMETRES!$F$37,4,IF($P767&gt;PARAMETRES!$E$37,3,IF($P767&gt;PARAMETRES!$D$37,2,1)))))</f>
        <v/>
      </c>
      <c r="Y767" t="str">
        <f t="shared" si="264"/>
        <v/>
      </c>
      <c r="Z767" t="str">
        <f>IFERROR(VLOOKUP($B767,TABLE_CYCLE,2,0),"")</f>
        <v/>
      </c>
      <c r="AA767" t="str">
        <f t="shared" si="265"/>
        <v/>
      </c>
      <c r="AB767" t="str">
        <f>IF($D767="","",IF(COUNTIF($D$2:$D767,$D767)=1,$D767,""))</f>
        <v/>
      </c>
      <c r="AC767">
        <f t="shared" si="266"/>
        <v>0</v>
      </c>
      <c r="AD767" t="str">
        <f t="shared" si="267"/>
        <v>|0</v>
      </c>
      <c r="AE767" t="str">
        <f t="shared" si="268"/>
        <v/>
      </c>
      <c r="AF767" t="str">
        <f t="shared" si="269"/>
        <v/>
      </c>
      <c r="AG767" t="str">
        <f t="shared" si="270"/>
        <v/>
      </c>
      <c r="AH767" t="str">
        <f t="shared" si="271"/>
        <v/>
      </c>
      <c r="AI767" t="str">
        <f t="shared" si="272"/>
        <v/>
      </c>
      <c r="AJ767" t="str">
        <f t="shared" si="273"/>
        <v/>
      </c>
      <c r="AK767" t="str">
        <f t="shared" si="274"/>
        <v/>
      </c>
      <c r="AL767" t="str">
        <f t="shared" si="275"/>
        <v/>
      </c>
      <c r="AM767" t="str">
        <f t="shared" si="276"/>
        <v/>
      </c>
      <c r="AN767" t="str">
        <f t="shared" si="277"/>
        <v/>
      </c>
      <c r="AO767" t="str">
        <f t="shared" si="278"/>
        <v/>
      </c>
      <c r="AP767">
        <f t="shared" si="279"/>
        <v>1</v>
      </c>
      <c r="AQ767" t="str">
        <f>IF(SAISIE!$F772="","",SAISIE!$Y772)</f>
        <v/>
      </c>
      <c r="AR767" t="str">
        <f>IF(OR(SAISIE!$U$4="",SAISIE!$W$4=""),"",IF(AND($A767=SAISIE!$U$4,$B767=SAISIE!$W$4,$C767="S1"),COUNTIFS($A$2:$A767,SAISIE!$U$4,$B$2:$B767,SAISIE!$W$4,$C$2:$C767,"S1"),""))</f>
        <v/>
      </c>
      <c r="AS767" t="str">
        <f t="shared" si="280"/>
        <v/>
      </c>
      <c r="AT767" t="str">
        <f t="shared" si="281"/>
        <v/>
      </c>
      <c r="AU767" t="str">
        <f t="shared" si="282"/>
        <v/>
      </c>
      <c r="AV767">
        <f>N(AV766)+IF(AND($AB767&lt;&gt;"",OR('PROFIL ELEVE'!$K$4="(Tous)",$AF767='PROFIL ELEVE'!$K$4)),1,0)</f>
        <v>0</v>
      </c>
      <c r="AW767">
        <f>N(AW766)+IF(AND($AB767&lt;&gt;"",OR('SUIVI LONGITUDINAL'!$Q$4="(Tous)",$AF767='SUIVI LONGITUDINAL'!$Q$4)),1,0)</f>
        <v>0</v>
      </c>
      <c r="AX767">
        <f t="shared" si="283"/>
        <v>0</v>
      </c>
      <c r="AY767">
        <f t="shared" si="284"/>
        <v>0</v>
      </c>
      <c r="AZ767">
        <f t="shared" si="285"/>
        <v>0</v>
      </c>
      <c r="BA767" t="str">
        <f t="shared" si="286"/>
        <v/>
      </c>
      <c r="BB767" t="str">
        <f t="shared" si="287"/>
        <v/>
      </c>
    </row>
    <row r="768" spans="1:54" ht="14.25" customHeight="1" x14ac:dyDescent="0.3">
      <c r="A768" t="str">
        <f>IF(SAISIE!$F773="","",SAISIE!$B773)</f>
        <v/>
      </c>
      <c r="B768" t="str">
        <f>IF(SAISIE!$F773="","",SAISIE!$C773)</f>
        <v/>
      </c>
      <c r="C768" t="str">
        <f>IF(SAISIE!$F773="","",SAISIE!$D773)</f>
        <v/>
      </c>
      <c r="D768" t="str">
        <f>IF(SAISIE!$E773="","",SAISIE!$E773)</f>
        <v/>
      </c>
      <c r="E768" t="str">
        <f>IF(SAISIE!$F773="","",SAISIE!$F773)</f>
        <v/>
      </c>
      <c r="F768" t="str">
        <f>IF(SAISIE!$G773="","",SAISIE!$G773)</f>
        <v/>
      </c>
      <c r="G768" t="str">
        <f>IF(SAISIE!$H773="","",SAISIE!$H773)</f>
        <v/>
      </c>
      <c r="H768" t="str">
        <f>IF(SAISIE!$I773="","",SAISIE!$I773)</f>
        <v/>
      </c>
      <c r="I768" t="str">
        <f>IF(SAISIE!$J773="","",SAISIE!$J773)</f>
        <v/>
      </c>
      <c r="J768" t="str">
        <f>IF(SAISIE!$K773="","",SAISIE!$K773)</f>
        <v/>
      </c>
      <c r="K768" t="str">
        <f>IF(SAISIE!$L773="","",SAISIE!$L773)</f>
        <v/>
      </c>
      <c r="L768" t="str">
        <f>IF(SAISIE!$M773="","",SAISIE!$M773)</f>
        <v/>
      </c>
      <c r="M768" t="str">
        <f>IF(SAISIE!$N773="","",SAISIE!$N773)</f>
        <v/>
      </c>
      <c r="N768" t="str">
        <f>IF(SAISIE!$O773="","",SAISIE!$O773)</f>
        <v/>
      </c>
      <c r="O768" t="str">
        <f>IF(SAISIE!$P773="","",SAISIE!$P773)</f>
        <v/>
      </c>
      <c r="P768" t="str">
        <f>IF(SAISIE!$Q773="","",SAISIE!$Q773)</f>
        <v/>
      </c>
      <c r="Q768" t="str">
        <f>IF($I768="","",IF($I768&gt;PARAMETRES!$G$29,5,IF($I768&gt;PARAMETRES!$F$29,4,IF($I768&gt;PARAMETRES!$E$29,3,IF($I768&gt;PARAMETRES!$D$29,2,1)))))</f>
        <v/>
      </c>
      <c r="R768" t="str">
        <f>IF($J768="","",IF($J768&gt;PARAMETRES!$G$30,5,IF($J768&gt;PARAMETRES!$F$30,4,IF($J768&gt;PARAMETRES!$E$30,3,IF($J768&gt;PARAMETRES!$D$30,2,1)))))</f>
        <v/>
      </c>
      <c r="S768" t="str">
        <f>IF($K768="","",IF($Z768=2,IF($K768&gt;PARAMETRES!$G$31,5,IF($K768&gt;PARAMETRES!$F$31,4,IF($K768&gt;PARAMETRES!$E$31,3,IF($K768&gt;PARAMETRES!$D$31,2,1)))),IF($K768&gt;PARAMETRES!$G$32,5,IF($K768&gt;PARAMETRES!$F$32,4,IF($K768&gt;PARAMETRES!$E$32,3,IF($K768&gt;PARAMETRES!$D$32,2,1))))))</f>
        <v/>
      </c>
      <c r="T768" t="str">
        <f>IF($L768="","",IF($L768&gt;PARAMETRES!$G$33,5,IF($L768&gt;PARAMETRES!$F$33,4,IF($L768&gt;PARAMETRES!$E$33,3,IF($L768&gt;PARAMETRES!$D$33,2,1)))))</f>
        <v/>
      </c>
      <c r="U768" t="str">
        <f>IF($M768="","",IF($M768&gt;PARAMETRES!$G$34,5,IF($M768&gt;PARAMETRES!$F$34,4,IF($M768&gt;PARAMETRES!$E$34,3,IF($M768&gt;PARAMETRES!$D$34,2,1)))))</f>
        <v/>
      </c>
      <c r="V768" t="str">
        <f>IF($N768="","",IF($N768&gt;PARAMETRES!$G$35,5,IF($N768&gt;PARAMETRES!$F$35,4,IF($N768&gt;PARAMETRES!$E$35,3,IF($N768&gt;PARAMETRES!$D$35,2,1)))))</f>
        <v/>
      </c>
      <c r="W768" t="str">
        <f>IF($O768="","",IF($O768&gt;PARAMETRES!$G$36,5,IF($O768&gt;PARAMETRES!$F$36,4,IF($O768&gt;PARAMETRES!$E$36,3,IF($O768&gt;PARAMETRES!$D$36,2,1)))))</f>
        <v/>
      </c>
      <c r="X768" t="str">
        <f>IF($P768="","",IF($P768&gt;PARAMETRES!$G$37,5,IF($P768&gt;PARAMETRES!$F$37,4,IF($P768&gt;PARAMETRES!$E$37,3,IF($P768&gt;PARAMETRES!$D$37,2,1)))))</f>
        <v/>
      </c>
      <c r="Y768" t="str">
        <f t="shared" si="264"/>
        <v/>
      </c>
      <c r="Z768" t="str">
        <f>IFERROR(VLOOKUP($B768,TABLE_CYCLE,2,0),"")</f>
        <v/>
      </c>
      <c r="AA768" t="str">
        <f t="shared" si="265"/>
        <v/>
      </c>
      <c r="AB768" t="str">
        <f>IF($D768="","",IF(COUNTIF($D$2:$D768,$D768)=1,$D768,""))</f>
        <v/>
      </c>
      <c r="AC768">
        <f t="shared" si="266"/>
        <v>0</v>
      </c>
      <c r="AD768" t="str">
        <f t="shared" si="267"/>
        <v>|0</v>
      </c>
      <c r="AE768" t="str">
        <f t="shared" si="268"/>
        <v/>
      </c>
      <c r="AF768" t="str">
        <f t="shared" si="269"/>
        <v/>
      </c>
      <c r="AG768" t="str">
        <f t="shared" si="270"/>
        <v/>
      </c>
      <c r="AH768" t="str">
        <f t="shared" si="271"/>
        <v/>
      </c>
      <c r="AI768" t="str">
        <f t="shared" si="272"/>
        <v/>
      </c>
      <c r="AJ768" t="str">
        <f t="shared" si="273"/>
        <v/>
      </c>
      <c r="AK768" t="str">
        <f t="shared" si="274"/>
        <v/>
      </c>
      <c r="AL768" t="str">
        <f t="shared" si="275"/>
        <v/>
      </c>
      <c r="AM768" t="str">
        <f t="shared" si="276"/>
        <v/>
      </c>
      <c r="AN768" t="str">
        <f t="shared" si="277"/>
        <v/>
      </c>
      <c r="AO768" t="str">
        <f t="shared" si="278"/>
        <v/>
      </c>
      <c r="AP768">
        <f t="shared" si="279"/>
        <v>1</v>
      </c>
      <c r="AQ768" t="str">
        <f>IF(SAISIE!$F773="","",SAISIE!$Y773)</f>
        <v/>
      </c>
      <c r="AR768" t="str">
        <f>IF(OR(SAISIE!$U$4="",SAISIE!$W$4=""),"",IF(AND($A768=SAISIE!$U$4,$B768=SAISIE!$W$4,$C768="S1"),COUNTIFS($A$2:$A768,SAISIE!$U$4,$B$2:$B768,SAISIE!$W$4,$C$2:$C768,"S1"),""))</f>
        <v/>
      </c>
      <c r="AS768" t="str">
        <f t="shared" si="280"/>
        <v/>
      </c>
      <c r="AT768" t="str">
        <f t="shared" si="281"/>
        <v/>
      </c>
      <c r="AU768" t="str">
        <f t="shared" si="282"/>
        <v/>
      </c>
      <c r="AV768">
        <f>N(AV767)+IF(AND($AB768&lt;&gt;"",OR('PROFIL ELEVE'!$K$4="(Tous)",$AF768='PROFIL ELEVE'!$K$4)),1,0)</f>
        <v>0</v>
      </c>
      <c r="AW768">
        <f>N(AW767)+IF(AND($AB768&lt;&gt;"",OR('SUIVI LONGITUDINAL'!$Q$4="(Tous)",$AF768='SUIVI LONGITUDINAL'!$Q$4)),1,0)</f>
        <v>0</v>
      </c>
      <c r="AX768">
        <f t="shared" si="283"/>
        <v>0</v>
      </c>
      <c r="AY768">
        <f t="shared" si="284"/>
        <v>0</v>
      </c>
      <c r="AZ768">
        <f t="shared" si="285"/>
        <v>0</v>
      </c>
      <c r="BA768" t="str">
        <f t="shared" si="286"/>
        <v/>
      </c>
      <c r="BB768" t="str">
        <f t="shared" si="287"/>
        <v/>
      </c>
    </row>
    <row r="769" spans="1:54" ht="14.25" customHeight="1" x14ac:dyDescent="0.3">
      <c r="A769" t="str">
        <f>IF(SAISIE!$F774="","",SAISIE!$B774)</f>
        <v/>
      </c>
      <c r="B769" t="str">
        <f>IF(SAISIE!$F774="","",SAISIE!$C774)</f>
        <v/>
      </c>
      <c r="C769" t="str">
        <f>IF(SAISIE!$F774="","",SAISIE!$D774)</f>
        <v/>
      </c>
      <c r="D769" t="str">
        <f>IF(SAISIE!$E774="","",SAISIE!$E774)</f>
        <v/>
      </c>
      <c r="E769" t="str">
        <f>IF(SAISIE!$F774="","",SAISIE!$F774)</f>
        <v/>
      </c>
      <c r="F769" t="str">
        <f>IF(SAISIE!$G774="","",SAISIE!$G774)</f>
        <v/>
      </c>
      <c r="G769" t="str">
        <f>IF(SAISIE!$H774="","",SAISIE!$H774)</f>
        <v/>
      </c>
      <c r="H769" t="str">
        <f>IF(SAISIE!$I774="","",SAISIE!$I774)</f>
        <v/>
      </c>
      <c r="I769" t="str">
        <f>IF(SAISIE!$J774="","",SAISIE!$J774)</f>
        <v/>
      </c>
      <c r="J769" t="str">
        <f>IF(SAISIE!$K774="","",SAISIE!$K774)</f>
        <v/>
      </c>
      <c r="K769" t="str">
        <f>IF(SAISIE!$L774="","",SAISIE!$L774)</f>
        <v/>
      </c>
      <c r="L769" t="str">
        <f>IF(SAISIE!$M774="","",SAISIE!$M774)</f>
        <v/>
      </c>
      <c r="M769" t="str">
        <f>IF(SAISIE!$N774="","",SAISIE!$N774)</f>
        <v/>
      </c>
      <c r="N769" t="str">
        <f>IF(SAISIE!$O774="","",SAISIE!$O774)</f>
        <v/>
      </c>
      <c r="O769" t="str">
        <f>IF(SAISIE!$P774="","",SAISIE!$P774)</f>
        <v/>
      </c>
      <c r="P769" t="str">
        <f>IF(SAISIE!$Q774="","",SAISIE!$Q774)</f>
        <v/>
      </c>
      <c r="Q769" t="str">
        <f>IF($I769="","",IF($I769&gt;PARAMETRES!$G$29,5,IF($I769&gt;PARAMETRES!$F$29,4,IF($I769&gt;PARAMETRES!$E$29,3,IF($I769&gt;PARAMETRES!$D$29,2,1)))))</f>
        <v/>
      </c>
      <c r="R769" t="str">
        <f>IF($J769="","",IF($J769&gt;PARAMETRES!$G$30,5,IF($J769&gt;PARAMETRES!$F$30,4,IF($J769&gt;PARAMETRES!$E$30,3,IF($J769&gt;PARAMETRES!$D$30,2,1)))))</f>
        <v/>
      </c>
      <c r="S769" t="str">
        <f>IF($K769="","",IF($Z769=2,IF($K769&gt;PARAMETRES!$G$31,5,IF($K769&gt;PARAMETRES!$F$31,4,IF($K769&gt;PARAMETRES!$E$31,3,IF($K769&gt;PARAMETRES!$D$31,2,1)))),IF($K769&gt;PARAMETRES!$G$32,5,IF($K769&gt;PARAMETRES!$F$32,4,IF($K769&gt;PARAMETRES!$E$32,3,IF($K769&gt;PARAMETRES!$D$32,2,1))))))</f>
        <v/>
      </c>
      <c r="T769" t="str">
        <f>IF($L769="","",IF($L769&gt;PARAMETRES!$G$33,5,IF($L769&gt;PARAMETRES!$F$33,4,IF($L769&gt;PARAMETRES!$E$33,3,IF($L769&gt;PARAMETRES!$D$33,2,1)))))</f>
        <v/>
      </c>
      <c r="U769" t="str">
        <f>IF($M769="","",IF($M769&gt;PARAMETRES!$G$34,5,IF($M769&gt;PARAMETRES!$F$34,4,IF($M769&gt;PARAMETRES!$E$34,3,IF($M769&gt;PARAMETRES!$D$34,2,1)))))</f>
        <v/>
      </c>
      <c r="V769" t="str">
        <f>IF($N769="","",IF($N769&gt;PARAMETRES!$G$35,5,IF($N769&gt;PARAMETRES!$F$35,4,IF($N769&gt;PARAMETRES!$E$35,3,IF($N769&gt;PARAMETRES!$D$35,2,1)))))</f>
        <v/>
      </c>
      <c r="W769" t="str">
        <f>IF($O769="","",IF($O769&gt;PARAMETRES!$G$36,5,IF($O769&gt;PARAMETRES!$F$36,4,IF($O769&gt;PARAMETRES!$E$36,3,IF($O769&gt;PARAMETRES!$D$36,2,1)))))</f>
        <v/>
      </c>
      <c r="X769" t="str">
        <f>IF($P769="","",IF($P769&gt;PARAMETRES!$G$37,5,IF($P769&gt;PARAMETRES!$F$37,4,IF($P769&gt;PARAMETRES!$E$37,3,IF($P769&gt;PARAMETRES!$D$37,2,1)))))</f>
        <v/>
      </c>
      <c r="Y769" t="str">
        <f t="shared" si="264"/>
        <v/>
      </c>
      <c r="Z769" t="str">
        <f>IFERROR(VLOOKUP($B769,TABLE_CYCLE,2,0),"")</f>
        <v/>
      </c>
      <c r="AA769" t="str">
        <f t="shared" si="265"/>
        <v/>
      </c>
      <c r="AB769" t="str">
        <f>IF($D769="","",IF(COUNTIF($D$2:$D769,$D769)=1,$D769,""))</f>
        <v/>
      </c>
      <c r="AC769">
        <f t="shared" si="266"/>
        <v>0</v>
      </c>
      <c r="AD769" t="str">
        <f t="shared" si="267"/>
        <v>|0</v>
      </c>
      <c r="AE769" t="str">
        <f t="shared" si="268"/>
        <v/>
      </c>
      <c r="AF769" t="str">
        <f t="shared" si="269"/>
        <v/>
      </c>
      <c r="AG769" t="str">
        <f t="shared" si="270"/>
        <v/>
      </c>
      <c r="AH769" t="str">
        <f t="shared" si="271"/>
        <v/>
      </c>
      <c r="AI769" t="str">
        <f t="shared" si="272"/>
        <v/>
      </c>
      <c r="AJ769" t="str">
        <f t="shared" si="273"/>
        <v/>
      </c>
      <c r="AK769" t="str">
        <f t="shared" si="274"/>
        <v/>
      </c>
      <c r="AL769" t="str">
        <f t="shared" si="275"/>
        <v/>
      </c>
      <c r="AM769" t="str">
        <f t="shared" si="276"/>
        <v/>
      </c>
      <c r="AN769" t="str">
        <f t="shared" si="277"/>
        <v/>
      </c>
      <c r="AO769" t="str">
        <f t="shared" si="278"/>
        <v/>
      </c>
      <c r="AP769">
        <f t="shared" si="279"/>
        <v>1</v>
      </c>
      <c r="AQ769" t="str">
        <f>IF(SAISIE!$F774="","",SAISIE!$Y774)</f>
        <v/>
      </c>
      <c r="AR769" t="str">
        <f>IF(OR(SAISIE!$U$4="",SAISIE!$W$4=""),"",IF(AND($A769=SAISIE!$U$4,$B769=SAISIE!$W$4,$C769="S1"),COUNTIFS($A$2:$A769,SAISIE!$U$4,$B$2:$B769,SAISIE!$W$4,$C$2:$C769,"S1"),""))</f>
        <v/>
      </c>
      <c r="AS769" t="str">
        <f t="shared" si="280"/>
        <v/>
      </c>
      <c r="AT769" t="str">
        <f t="shared" si="281"/>
        <v/>
      </c>
      <c r="AU769" t="str">
        <f t="shared" si="282"/>
        <v/>
      </c>
      <c r="AV769">
        <f>N(AV768)+IF(AND($AB769&lt;&gt;"",OR('PROFIL ELEVE'!$K$4="(Tous)",$AF769='PROFIL ELEVE'!$K$4)),1,0)</f>
        <v>0</v>
      </c>
      <c r="AW769">
        <f>N(AW768)+IF(AND($AB769&lt;&gt;"",OR('SUIVI LONGITUDINAL'!$Q$4="(Tous)",$AF769='SUIVI LONGITUDINAL'!$Q$4)),1,0)</f>
        <v>0</v>
      </c>
      <c r="AX769">
        <f t="shared" si="283"/>
        <v>0</v>
      </c>
      <c r="AY769">
        <f t="shared" si="284"/>
        <v>0</v>
      </c>
      <c r="AZ769">
        <f t="shared" si="285"/>
        <v>0</v>
      </c>
      <c r="BA769" t="str">
        <f t="shared" si="286"/>
        <v/>
      </c>
      <c r="BB769" t="str">
        <f t="shared" si="287"/>
        <v/>
      </c>
    </row>
    <row r="770" spans="1:54" ht="14.25" customHeight="1" x14ac:dyDescent="0.3">
      <c r="A770" t="str">
        <f>IF(SAISIE!$F775="","",SAISIE!$B775)</f>
        <v/>
      </c>
      <c r="B770" t="str">
        <f>IF(SAISIE!$F775="","",SAISIE!$C775)</f>
        <v/>
      </c>
      <c r="C770" t="str">
        <f>IF(SAISIE!$F775="","",SAISIE!$D775)</f>
        <v/>
      </c>
      <c r="D770" t="str">
        <f>IF(SAISIE!$E775="","",SAISIE!$E775)</f>
        <v/>
      </c>
      <c r="E770" t="str">
        <f>IF(SAISIE!$F775="","",SAISIE!$F775)</f>
        <v/>
      </c>
      <c r="F770" t="str">
        <f>IF(SAISIE!$G775="","",SAISIE!$G775)</f>
        <v/>
      </c>
      <c r="G770" t="str">
        <f>IF(SAISIE!$H775="","",SAISIE!$H775)</f>
        <v/>
      </c>
      <c r="H770" t="str">
        <f>IF(SAISIE!$I775="","",SAISIE!$I775)</f>
        <v/>
      </c>
      <c r="I770" t="str">
        <f>IF(SAISIE!$J775="","",SAISIE!$J775)</f>
        <v/>
      </c>
      <c r="J770" t="str">
        <f>IF(SAISIE!$K775="","",SAISIE!$K775)</f>
        <v/>
      </c>
      <c r="K770" t="str">
        <f>IF(SAISIE!$L775="","",SAISIE!$L775)</f>
        <v/>
      </c>
      <c r="L770" t="str">
        <f>IF(SAISIE!$M775="","",SAISIE!$M775)</f>
        <v/>
      </c>
      <c r="M770" t="str">
        <f>IF(SAISIE!$N775="","",SAISIE!$N775)</f>
        <v/>
      </c>
      <c r="N770" t="str">
        <f>IF(SAISIE!$O775="","",SAISIE!$O775)</f>
        <v/>
      </c>
      <c r="O770" t="str">
        <f>IF(SAISIE!$P775="","",SAISIE!$P775)</f>
        <v/>
      </c>
      <c r="P770" t="str">
        <f>IF(SAISIE!$Q775="","",SAISIE!$Q775)</f>
        <v/>
      </c>
      <c r="Q770" t="str">
        <f>IF($I770="","",IF($I770&gt;PARAMETRES!$G$29,5,IF($I770&gt;PARAMETRES!$F$29,4,IF($I770&gt;PARAMETRES!$E$29,3,IF($I770&gt;PARAMETRES!$D$29,2,1)))))</f>
        <v/>
      </c>
      <c r="R770" t="str">
        <f>IF($J770="","",IF($J770&gt;PARAMETRES!$G$30,5,IF($J770&gt;PARAMETRES!$F$30,4,IF($J770&gt;PARAMETRES!$E$30,3,IF($J770&gt;PARAMETRES!$D$30,2,1)))))</f>
        <v/>
      </c>
      <c r="S770" t="str">
        <f>IF($K770="","",IF($Z770=2,IF($K770&gt;PARAMETRES!$G$31,5,IF($K770&gt;PARAMETRES!$F$31,4,IF($K770&gt;PARAMETRES!$E$31,3,IF($K770&gt;PARAMETRES!$D$31,2,1)))),IF($K770&gt;PARAMETRES!$G$32,5,IF($K770&gt;PARAMETRES!$F$32,4,IF($K770&gt;PARAMETRES!$E$32,3,IF($K770&gt;PARAMETRES!$D$32,2,1))))))</f>
        <v/>
      </c>
      <c r="T770" t="str">
        <f>IF($L770="","",IF($L770&gt;PARAMETRES!$G$33,5,IF($L770&gt;PARAMETRES!$F$33,4,IF($L770&gt;PARAMETRES!$E$33,3,IF($L770&gt;PARAMETRES!$D$33,2,1)))))</f>
        <v/>
      </c>
      <c r="U770" t="str">
        <f>IF($M770="","",IF($M770&gt;PARAMETRES!$G$34,5,IF($M770&gt;PARAMETRES!$F$34,4,IF($M770&gt;PARAMETRES!$E$34,3,IF($M770&gt;PARAMETRES!$D$34,2,1)))))</f>
        <v/>
      </c>
      <c r="V770" t="str">
        <f>IF($N770="","",IF($N770&gt;PARAMETRES!$G$35,5,IF($N770&gt;PARAMETRES!$F$35,4,IF($N770&gt;PARAMETRES!$E$35,3,IF($N770&gt;PARAMETRES!$D$35,2,1)))))</f>
        <v/>
      </c>
      <c r="W770" t="str">
        <f>IF($O770="","",IF($O770&gt;PARAMETRES!$G$36,5,IF($O770&gt;PARAMETRES!$F$36,4,IF($O770&gt;PARAMETRES!$E$36,3,IF($O770&gt;PARAMETRES!$D$36,2,1)))))</f>
        <v/>
      </c>
      <c r="X770" t="str">
        <f>IF($P770="","",IF($P770&gt;PARAMETRES!$G$37,5,IF($P770&gt;PARAMETRES!$F$37,4,IF($P770&gt;PARAMETRES!$E$37,3,IF($P770&gt;PARAMETRES!$D$37,2,1)))))</f>
        <v/>
      </c>
      <c r="Y770" t="str">
        <f t="shared" ref="Y770:Y833" si="288">IF(COUNT($Q770:$X770)=0,"",AVERAGE($Q770:$X770))</f>
        <v/>
      </c>
      <c r="Z770" t="str">
        <f>IFERROR(VLOOKUP($B770,TABLE_CYCLE,2,0),"")</f>
        <v/>
      </c>
      <c r="AA770" t="str">
        <f t="shared" ref="AA770:AA833" si="289">IF($D770="","",$D770&amp;"|"&amp;$A770&amp;"|"&amp;$C770)</f>
        <v/>
      </c>
      <c r="AB770" t="str">
        <f>IF($D770="","",IF(COUNTIF($D$2:$D770,$D770)=1,$D770,""))</f>
        <v/>
      </c>
      <c r="AC770">
        <f t="shared" ref="AC770:AC833" si="290">IFERROR(MATCH($A770,LISTE_ANNEES,0),0)</f>
        <v>0</v>
      </c>
      <c r="AD770" t="str">
        <f t="shared" ref="AD770:AD833" si="291">$D770&amp;"|"&amp;$AC770</f>
        <v>|0</v>
      </c>
      <c r="AE770" t="str">
        <f t="shared" ref="AE770:AE833" si="292">IF($D770="","",_xlfn.MAXIFS($AC$2:$AC$1201,$D$2:$D$1201,$D770))</f>
        <v/>
      </c>
      <c r="AF770" t="str">
        <f t="shared" ref="AF770:AF833" si="293">IF($AB770="","",IFERROR(INDEX($B$2:$B$1201,MATCH($D770&amp;"|"&amp;$AE770,$AD$2:$AD$1201,0)),""))</f>
        <v/>
      </c>
      <c r="AG770" t="str">
        <f t="shared" ref="AG770:AG833" si="294">IF($C770&lt;&gt;"S1","",IFERROR(MATCH($D770&amp;"|"&amp;$A770&amp;"|S2",$AA$2:$AA$1201,0),""))</f>
        <v/>
      </c>
      <c r="AH770" t="str">
        <f t="shared" ref="AH770:AH833" si="295">IF(OR($AG770="",$Q770=""),"",IF(INDEX($Q$2:$Q$1201,$AG770)="","",IF(INDEX($Q$2:$Q$1201,$AG770)&gt;$Q770,1,IF(INDEX($Q$2:$Q$1201,$AG770)&lt;$Q770,-1,0))))</f>
        <v/>
      </c>
      <c r="AI770" t="str">
        <f t="shared" ref="AI770:AI833" si="296">IF(OR($AG770="",$R770=""),"",IF(INDEX($R$2:$R$1201,$AG770)="","",IF(INDEX($R$2:$R$1201,$AG770)&gt;$R770,1,IF(INDEX($R$2:$R$1201,$AG770)&lt;$R770,-1,0))))</f>
        <v/>
      </c>
      <c r="AJ770" t="str">
        <f t="shared" ref="AJ770:AJ833" si="297">IF(OR($AG770="",$S770=""),"",IF(INDEX($S$2:$S$1201,$AG770)="","",IF(INDEX($S$2:$S$1201,$AG770)&gt;$S770,1,IF(INDEX($S$2:$S$1201,$AG770)&lt;$S770,-1,0))))</f>
        <v/>
      </c>
      <c r="AK770" t="str">
        <f t="shared" ref="AK770:AK833" si="298">IF(OR($AG770="",$T770=""),"",IF(INDEX($T$2:$T$1201,$AG770)="","",IF(INDEX($T$2:$T$1201,$AG770)&gt;$T770,1,IF(INDEX($T$2:$T$1201,$AG770)&lt;$T770,-1,0))))</f>
        <v/>
      </c>
      <c r="AL770" t="str">
        <f t="shared" ref="AL770:AL833" si="299">IF(OR($AG770="",$U770=""),"",IF(INDEX($U$2:$U$1201,$AG770)="","",IF(INDEX($U$2:$U$1201,$AG770)&gt;$U770,1,IF(INDEX($U$2:$U$1201,$AG770)&lt;$U770,-1,0))))</f>
        <v/>
      </c>
      <c r="AM770" t="str">
        <f t="shared" ref="AM770:AM833" si="300">IF(OR($AG770="",$V770=""),"",IF(INDEX($V$2:$V$1201,$AG770)="","",IF(INDEX($V$2:$V$1201,$AG770)&gt;$V770,1,IF(INDEX($V$2:$V$1201,$AG770)&lt;$V770,-1,0))))</f>
        <v/>
      </c>
      <c r="AN770" t="str">
        <f t="shared" ref="AN770:AN833" si="301">IF(OR($AG770="",$W770=""),"",IF(INDEX($W$2:$W$1201,$AG770)="","",IF(INDEX($W$2:$W$1201,$AG770)&gt;$W770,1,IF(INDEX($W$2:$W$1201,$AG770)&lt;$W770,-1,0))))</f>
        <v/>
      </c>
      <c r="AO770" t="str">
        <f t="shared" ref="AO770:AO833" si="302">IF(OR($AG770="",$X770=""),"",IF(INDEX($X$2:$X$1201,$AG770)="","",IF(INDEX($X$2:$X$1201,$AG770)&gt;$X770,1,IF(INDEX($X$2:$X$1201,$AG770)&lt;$X770,-1,0))))</f>
        <v/>
      </c>
      <c r="AP770">
        <f t="shared" ref="AP770:AP833" si="303">IF($D770="",1,COUNTIFS($D$2:$D$1201,$D770,$A$2:$A$1201,$A770))</f>
        <v>1</v>
      </c>
      <c r="AQ770" t="str">
        <f>IF(SAISIE!$F775="","",SAISIE!$Y775)</f>
        <v/>
      </c>
      <c r="AR770" t="str">
        <f>IF(OR(SAISIE!$U$4="",SAISIE!$W$4=""),"",IF(AND($A770=SAISIE!$U$4,$B770=SAISIE!$W$4,$C770="S1"),COUNTIFS($A$2:$A770,SAISIE!$U$4,$B$2:$B770,SAISIE!$W$4,$C$2:$C770,"S1"),""))</f>
        <v/>
      </c>
      <c r="AS770" t="str">
        <f t="shared" ref="AS770:AS833" si="304">IF($D770="","",$A770&amp;"|"&amp;$C770&amp;"|"&amp;$D770)</f>
        <v/>
      </c>
      <c r="AT770" t="str">
        <f t="shared" ref="AT770:AT833" si="305">IF($D770="","",$A770&amp;"|"&amp;$D770&amp;"|"&amp;IF($AQ770="Parti","P","A"))</f>
        <v/>
      </c>
      <c r="AU770" t="str">
        <f t="shared" ref="AU770:AU833" si="306">IF($A770="","",$A770&amp;"|"&amp;$B770&amp;"|"&amp;$C770)</f>
        <v/>
      </c>
      <c r="AV770">
        <f>N(AV769)+IF(AND($AB770&lt;&gt;"",OR('PROFIL ELEVE'!$K$4="(Tous)",$AF770='PROFIL ELEVE'!$K$4)),1,0)</f>
        <v>0</v>
      </c>
      <c r="AW770">
        <f>N(AW769)+IF(AND($AB770&lt;&gt;"",OR('SUIVI LONGITUDINAL'!$Q$4="(Tous)",$AF770='SUIVI LONGITUDINAL'!$Q$4)),1,0)</f>
        <v>0</v>
      </c>
      <c r="AX770">
        <f t="shared" ref="AX770:AX833" si="307">COUNTIF($AH770:$AO770,1)</f>
        <v>0</v>
      </c>
      <c r="AY770">
        <f t="shared" ref="AY770:AY833" si="308">COUNTIF($AH770:$AO770,0)</f>
        <v>0</v>
      </c>
      <c r="AZ770">
        <f t="shared" ref="AZ770:AZ833" si="309">COUNTIF($AH770:$AO770,-1)</f>
        <v>0</v>
      </c>
      <c r="BA770" t="str">
        <f t="shared" ref="BA770:BA833" si="310">IF($E770="","",COUNT($Q770:$X770))</f>
        <v/>
      </c>
      <c r="BB770" t="str">
        <f t="shared" ref="BB770:BB833" si="311">IF($E770="","",IF(COUNT($Q770:$X770)&gt;=IF($Z770=2,5,8),1,0))</f>
        <v/>
      </c>
    </row>
    <row r="771" spans="1:54" ht="14.25" customHeight="1" x14ac:dyDescent="0.3">
      <c r="A771" t="str">
        <f>IF(SAISIE!$F776="","",SAISIE!$B776)</f>
        <v/>
      </c>
      <c r="B771" t="str">
        <f>IF(SAISIE!$F776="","",SAISIE!$C776)</f>
        <v/>
      </c>
      <c r="C771" t="str">
        <f>IF(SAISIE!$F776="","",SAISIE!$D776)</f>
        <v/>
      </c>
      <c r="D771" t="str">
        <f>IF(SAISIE!$E776="","",SAISIE!$E776)</f>
        <v/>
      </c>
      <c r="E771" t="str">
        <f>IF(SAISIE!$F776="","",SAISIE!$F776)</f>
        <v/>
      </c>
      <c r="F771" t="str">
        <f>IF(SAISIE!$G776="","",SAISIE!$G776)</f>
        <v/>
      </c>
      <c r="G771" t="str">
        <f>IF(SAISIE!$H776="","",SAISIE!$H776)</f>
        <v/>
      </c>
      <c r="H771" t="str">
        <f>IF(SAISIE!$I776="","",SAISIE!$I776)</f>
        <v/>
      </c>
      <c r="I771" t="str">
        <f>IF(SAISIE!$J776="","",SAISIE!$J776)</f>
        <v/>
      </c>
      <c r="J771" t="str">
        <f>IF(SAISIE!$K776="","",SAISIE!$K776)</f>
        <v/>
      </c>
      <c r="K771" t="str">
        <f>IF(SAISIE!$L776="","",SAISIE!$L776)</f>
        <v/>
      </c>
      <c r="L771" t="str">
        <f>IF(SAISIE!$M776="","",SAISIE!$M776)</f>
        <v/>
      </c>
      <c r="M771" t="str">
        <f>IF(SAISIE!$N776="","",SAISIE!$N776)</f>
        <v/>
      </c>
      <c r="N771" t="str">
        <f>IF(SAISIE!$O776="","",SAISIE!$O776)</f>
        <v/>
      </c>
      <c r="O771" t="str">
        <f>IF(SAISIE!$P776="","",SAISIE!$P776)</f>
        <v/>
      </c>
      <c r="P771" t="str">
        <f>IF(SAISIE!$Q776="","",SAISIE!$Q776)</f>
        <v/>
      </c>
      <c r="Q771" t="str">
        <f>IF($I771="","",IF($I771&gt;PARAMETRES!$G$29,5,IF($I771&gt;PARAMETRES!$F$29,4,IF($I771&gt;PARAMETRES!$E$29,3,IF($I771&gt;PARAMETRES!$D$29,2,1)))))</f>
        <v/>
      </c>
      <c r="R771" t="str">
        <f>IF($J771="","",IF($J771&gt;PARAMETRES!$G$30,5,IF($J771&gt;PARAMETRES!$F$30,4,IF($J771&gt;PARAMETRES!$E$30,3,IF($J771&gt;PARAMETRES!$D$30,2,1)))))</f>
        <v/>
      </c>
      <c r="S771" t="str">
        <f>IF($K771="","",IF($Z771=2,IF($K771&gt;PARAMETRES!$G$31,5,IF($K771&gt;PARAMETRES!$F$31,4,IF($K771&gt;PARAMETRES!$E$31,3,IF($K771&gt;PARAMETRES!$D$31,2,1)))),IF($K771&gt;PARAMETRES!$G$32,5,IF($K771&gt;PARAMETRES!$F$32,4,IF($K771&gt;PARAMETRES!$E$32,3,IF($K771&gt;PARAMETRES!$D$32,2,1))))))</f>
        <v/>
      </c>
      <c r="T771" t="str">
        <f>IF($L771="","",IF($L771&gt;PARAMETRES!$G$33,5,IF($L771&gt;PARAMETRES!$F$33,4,IF($L771&gt;PARAMETRES!$E$33,3,IF($L771&gt;PARAMETRES!$D$33,2,1)))))</f>
        <v/>
      </c>
      <c r="U771" t="str">
        <f>IF($M771="","",IF($M771&gt;PARAMETRES!$G$34,5,IF($M771&gt;PARAMETRES!$F$34,4,IF($M771&gt;PARAMETRES!$E$34,3,IF($M771&gt;PARAMETRES!$D$34,2,1)))))</f>
        <v/>
      </c>
      <c r="V771" t="str">
        <f>IF($N771="","",IF($N771&gt;PARAMETRES!$G$35,5,IF($N771&gt;PARAMETRES!$F$35,4,IF($N771&gt;PARAMETRES!$E$35,3,IF($N771&gt;PARAMETRES!$D$35,2,1)))))</f>
        <v/>
      </c>
      <c r="W771" t="str">
        <f>IF($O771="","",IF($O771&gt;PARAMETRES!$G$36,5,IF($O771&gt;PARAMETRES!$F$36,4,IF($O771&gt;PARAMETRES!$E$36,3,IF($O771&gt;PARAMETRES!$D$36,2,1)))))</f>
        <v/>
      </c>
      <c r="X771" t="str">
        <f>IF($P771="","",IF($P771&gt;PARAMETRES!$G$37,5,IF($P771&gt;PARAMETRES!$F$37,4,IF($P771&gt;PARAMETRES!$E$37,3,IF($P771&gt;PARAMETRES!$D$37,2,1)))))</f>
        <v/>
      </c>
      <c r="Y771" t="str">
        <f t="shared" si="288"/>
        <v/>
      </c>
      <c r="Z771" t="str">
        <f>IFERROR(VLOOKUP($B771,TABLE_CYCLE,2,0),"")</f>
        <v/>
      </c>
      <c r="AA771" t="str">
        <f t="shared" si="289"/>
        <v/>
      </c>
      <c r="AB771" t="str">
        <f>IF($D771="","",IF(COUNTIF($D$2:$D771,$D771)=1,$D771,""))</f>
        <v/>
      </c>
      <c r="AC771">
        <f t="shared" si="290"/>
        <v>0</v>
      </c>
      <c r="AD771" t="str">
        <f t="shared" si="291"/>
        <v>|0</v>
      </c>
      <c r="AE771" t="str">
        <f t="shared" si="292"/>
        <v/>
      </c>
      <c r="AF771" t="str">
        <f t="shared" si="293"/>
        <v/>
      </c>
      <c r="AG771" t="str">
        <f t="shared" si="294"/>
        <v/>
      </c>
      <c r="AH771" t="str">
        <f t="shared" si="295"/>
        <v/>
      </c>
      <c r="AI771" t="str">
        <f t="shared" si="296"/>
        <v/>
      </c>
      <c r="AJ771" t="str">
        <f t="shared" si="297"/>
        <v/>
      </c>
      <c r="AK771" t="str">
        <f t="shared" si="298"/>
        <v/>
      </c>
      <c r="AL771" t="str">
        <f t="shared" si="299"/>
        <v/>
      </c>
      <c r="AM771" t="str">
        <f t="shared" si="300"/>
        <v/>
      </c>
      <c r="AN771" t="str">
        <f t="shared" si="301"/>
        <v/>
      </c>
      <c r="AO771" t="str">
        <f t="shared" si="302"/>
        <v/>
      </c>
      <c r="AP771">
        <f t="shared" si="303"/>
        <v>1</v>
      </c>
      <c r="AQ771" t="str">
        <f>IF(SAISIE!$F776="","",SAISIE!$Y776)</f>
        <v/>
      </c>
      <c r="AR771" t="str">
        <f>IF(OR(SAISIE!$U$4="",SAISIE!$W$4=""),"",IF(AND($A771=SAISIE!$U$4,$B771=SAISIE!$W$4,$C771="S1"),COUNTIFS($A$2:$A771,SAISIE!$U$4,$B$2:$B771,SAISIE!$W$4,$C$2:$C771,"S1"),""))</f>
        <v/>
      </c>
      <c r="AS771" t="str">
        <f t="shared" si="304"/>
        <v/>
      </c>
      <c r="AT771" t="str">
        <f t="shared" si="305"/>
        <v/>
      </c>
      <c r="AU771" t="str">
        <f t="shared" si="306"/>
        <v/>
      </c>
      <c r="AV771">
        <f>N(AV770)+IF(AND($AB771&lt;&gt;"",OR('PROFIL ELEVE'!$K$4="(Tous)",$AF771='PROFIL ELEVE'!$K$4)),1,0)</f>
        <v>0</v>
      </c>
      <c r="AW771">
        <f>N(AW770)+IF(AND($AB771&lt;&gt;"",OR('SUIVI LONGITUDINAL'!$Q$4="(Tous)",$AF771='SUIVI LONGITUDINAL'!$Q$4)),1,0)</f>
        <v>0</v>
      </c>
      <c r="AX771">
        <f t="shared" si="307"/>
        <v>0</v>
      </c>
      <c r="AY771">
        <f t="shared" si="308"/>
        <v>0</v>
      </c>
      <c r="AZ771">
        <f t="shared" si="309"/>
        <v>0</v>
      </c>
      <c r="BA771" t="str">
        <f t="shared" si="310"/>
        <v/>
      </c>
      <c r="BB771" t="str">
        <f t="shared" si="311"/>
        <v/>
      </c>
    </row>
    <row r="772" spans="1:54" ht="14.25" customHeight="1" x14ac:dyDescent="0.3">
      <c r="A772" t="str">
        <f>IF(SAISIE!$F777="","",SAISIE!$B777)</f>
        <v/>
      </c>
      <c r="B772" t="str">
        <f>IF(SAISIE!$F777="","",SAISIE!$C777)</f>
        <v/>
      </c>
      <c r="C772" t="str">
        <f>IF(SAISIE!$F777="","",SAISIE!$D777)</f>
        <v/>
      </c>
      <c r="D772" t="str">
        <f>IF(SAISIE!$E777="","",SAISIE!$E777)</f>
        <v/>
      </c>
      <c r="E772" t="str">
        <f>IF(SAISIE!$F777="","",SAISIE!$F777)</f>
        <v/>
      </c>
      <c r="F772" t="str">
        <f>IF(SAISIE!$G777="","",SAISIE!$G777)</f>
        <v/>
      </c>
      <c r="G772" t="str">
        <f>IF(SAISIE!$H777="","",SAISIE!$H777)</f>
        <v/>
      </c>
      <c r="H772" t="str">
        <f>IF(SAISIE!$I777="","",SAISIE!$I777)</f>
        <v/>
      </c>
      <c r="I772" t="str">
        <f>IF(SAISIE!$J777="","",SAISIE!$J777)</f>
        <v/>
      </c>
      <c r="J772" t="str">
        <f>IF(SAISIE!$K777="","",SAISIE!$K777)</f>
        <v/>
      </c>
      <c r="K772" t="str">
        <f>IF(SAISIE!$L777="","",SAISIE!$L777)</f>
        <v/>
      </c>
      <c r="L772" t="str">
        <f>IF(SAISIE!$M777="","",SAISIE!$M777)</f>
        <v/>
      </c>
      <c r="M772" t="str">
        <f>IF(SAISIE!$N777="","",SAISIE!$N777)</f>
        <v/>
      </c>
      <c r="N772" t="str">
        <f>IF(SAISIE!$O777="","",SAISIE!$O777)</f>
        <v/>
      </c>
      <c r="O772" t="str">
        <f>IF(SAISIE!$P777="","",SAISIE!$P777)</f>
        <v/>
      </c>
      <c r="P772" t="str">
        <f>IF(SAISIE!$Q777="","",SAISIE!$Q777)</f>
        <v/>
      </c>
      <c r="Q772" t="str">
        <f>IF($I772="","",IF($I772&gt;PARAMETRES!$G$29,5,IF($I772&gt;PARAMETRES!$F$29,4,IF($I772&gt;PARAMETRES!$E$29,3,IF($I772&gt;PARAMETRES!$D$29,2,1)))))</f>
        <v/>
      </c>
      <c r="R772" t="str">
        <f>IF($J772="","",IF($J772&gt;PARAMETRES!$G$30,5,IF($J772&gt;PARAMETRES!$F$30,4,IF($J772&gt;PARAMETRES!$E$30,3,IF($J772&gt;PARAMETRES!$D$30,2,1)))))</f>
        <v/>
      </c>
      <c r="S772" t="str">
        <f>IF($K772="","",IF($Z772=2,IF($K772&gt;PARAMETRES!$G$31,5,IF($K772&gt;PARAMETRES!$F$31,4,IF($K772&gt;PARAMETRES!$E$31,3,IF($K772&gt;PARAMETRES!$D$31,2,1)))),IF($K772&gt;PARAMETRES!$G$32,5,IF($K772&gt;PARAMETRES!$F$32,4,IF($K772&gt;PARAMETRES!$E$32,3,IF($K772&gt;PARAMETRES!$D$32,2,1))))))</f>
        <v/>
      </c>
      <c r="T772" t="str">
        <f>IF($L772="","",IF($L772&gt;PARAMETRES!$G$33,5,IF($L772&gt;PARAMETRES!$F$33,4,IF($L772&gt;PARAMETRES!$E$33,3,IF($L772&gt;PARAMETRES!$D$33,2,1)))))</f>
        <v/>
      </c>
      <c r="U772" t="str">
        <f>IF($M772="","",IF($M772&gt;PARAMETRES!$G$34,5,IF($M772&gt;PARAMETRES!$F$34,4,IF($M772&gt;PARAMETRES!$E$34,3,IF($M772&gt;PARAMETRES!$D$34,2,1)))))</f>
        <v/>
      </c>
      <c r="V772" t="str">
        <f>IF($N772="","",IF($N772&gt;PARAMETRES!$G$35,5,IF($N772&gt;PARAMETRES!$F$35,4,IF($N772&gt;PARAMETRES!$E$35,3,IF($N772&gt;PARAMETRES!$D$35,2,1)))))</f>
        <v/>
      </c>
      <c r="W772" t="str">
        <f>IF($O772="","",IF($O772&gt;PARAMETRES!$G$36,5,IF($O772&gt;PARAMETRES!$F$36,4,IF($O772&gt;PARAMETRES!$E$36,3,IF($O772&gt;PARAMETRES!$D$36,2,1)))))</f>
        <v/>
      </c>
      <c r="X772" t="str">
        <f>IF($P772="","",IF($P772&gt;PARAMETRES!$G$37,5,IF($P772&gt;PARAMETRES!$F$37,4,IF($P772&gt;PARAMETRES!$E$37,3,IF($P772&gt;PARAMETRES!$D$37,2,1)))))</f>
        <v/>
      </c>
      <c r="Y772" t="str">
        <f t="shared" si="288"/>
        <v/>
      </c>
      <c r="Z772" t="str">
        <f>IFERROR(VLOOKUP($B772,TABLE_CYCLE,2,0),"")</f>
        <v/>
      </c>
      <c r="AA772" t="str">
        <f t="shared" si="289"/>
        <v/>
      </c>
      <c r="AB772" t="str">
        <f>IF($D772="","",IF(COUNTIF($D$2:$D772,$D772)=1,$D772,""))</f>
        <v/>
      </c>
      <c r="AC772">
        <f t="shared" si="290"/>
        <v>0</v>
      </c>
      <c r="AD772" t="str">
        <f t="shared" si="291"/>
        <v>|0</v>
      </c>
      <c r="AE772" t="str">
        <f t="shared" si="292"/>
        <v/>
      </c>
      <c r="AF772" t="str">
        <f t="shared" si="293"/>
        <v/>
      </c>
      <c r="AG772" t="str">
        <f t="shared" si="294"/>
        <v/>
      </c>
      <c r="AH772" t="str">
        <f t="shared" si="295"/>
        <v/>
      </c>
      <c r="AI772" t="str">
        <f t="shared" si="296"/>
        <v/>
      </c>
      <c r="AJ772" t="str">
        <f t="shared" si="297"/>
        <v/>
      </c>
      <c r="AK772" t="str">
        <f t="shared" si="298"/>
        <v/>
      </c>
      <c r="AL772" t="str">
        <f t="shared" si="299"/>
        <v/>
      </c>
      <c r="AM772" t="str">
        <f t="shared" si="300"/>
        <v/>
      </c>
      <c r="AN772" t="str">
        <f t="shared" si="301"/>
        <v/>
      </c>
      <c r="AO772" t="str">
        <f t="shared" si="302"/>
        <v/>
      </c>
      <c r="AP772">
        <f t="shared" si="303"/>
        <v>1</v>
      </c>
      <c r="AQ772" t="str">
        <f>IF(SAISIE!$F777="","",SAISIE!$Y777)</f>
        <v/>
      </c>
      <c r="AR772" t="str">
        <f>IF(OR(SAISIE!$U$4="",SAISIE!$W$4=""),"",IF(AND($A772=SAISIE!$U$4,$B772=SAISIE!$W$4,$C772="S1"),COUNTIFS($A$2:$A772,SAISIE!$U$4,$B$2:$B772,SAISIE!$W$4,$C$2:$C772,"S1"),""))</f>
        <v/>
      </c>
      <c r="AS772" t="str">
        <f t="shared" si="304"/>
        <v/>
      </c>
      <c r="AT772" t="str">
        <f t="shared" si="305"/>
        <v/>
      </c>
      <c r="AU772" t="str">
        <f t="shared" si="306"/>
        <v/>
      </c>
      <c r="AV772">
        <f>N(AV771)+IF(AND($AB772&lt;&gt;"",OR('PROFIL ELEVE'!$K$4="(Tous)",$AF772='PROFIL ELEVE'!$K$4)),1,0)</f>
        <v>0</v>
      </c>
      <c r="AW772">
        <f>N(AW771)+IF(AND($AB772&lt;&gt;"",OR('SUIVI LONGITUDINAL'!$Q$4="(Tous)",$AF772='SUIVI LONGITUDINAL'!$Q$4)),1,0)</f>
        <v>0</v>
      </c>
      <c r="AX772">
        <f t="shared" si="307"/>
        <v>0</v>
      </c>
      <c r="AY772">
        <f t="shared" si="308"/>
        <v>0</v>
      </c>
      <c r="AZ772">
        <f t="shared" si="309"/>
        <v>0</v>
      </c>
      <c r="BA772" t="str">
        <f t="shared" si="310"/>
        <v/>
      </c>
      <c r="BB772" t="str">
        <f t="shared" si="311"/>
        <v/>
      </c>
    </row>
    <row r="773" spans="1:54" ht="14.25" customHeight="1" x14ac:dyDescent="0.3">
      <c r="A773" t="str">
        <f>IF(SAISIE!$F778="","",SAISIE!$B778)</f>
        <v/>
      </c>
      <c r="B773" t="str">
        <f>IF(SAISIE!$F778="","",SAISIE!$C778)</f>
        <v/>
      </c>
      <c r="C773" t="str">
        <f>IF(SAISIE!$F778="","",SAISIE!$D778)</f>
        <v/>
      </c>
      <c r="D773" t="str">
        <f>IF(SAISIE!$E778="","",SAISIE!$E778)</f>
        <v/>
      </c>
      <c r="E773" t="str">
        <f>IF(SAISIE!$F778="","",SAISIE!$F778)</f>
        <v/>
      </c>
      <c r="F773" t="str">
        <f>IF(SAISIE!$G778="","",SAISIE!$G778)</f>
        <v/>
      </c>
      <c r="G773" t="str">
        <f>IF(SAISIE!$H778="","",SAISIE!$H778)</f>
        <v/>
      </c>
      <c r="H773" t="str">
        <f>IF(SAISIE!$I778="","",SAISIE!$I778)</f>
        <v/>
      </c>
      <c r="I773" t="str">
        <f>IF(SAISIE!$J778="","",SAISIE!$J778)</f>
        <v/>
      </c>
      <c r="J773" t="str">
        <f>IF(SAISIE!$K778="","",SAISIE!$K778)</f>
        <v/>
      </c>
      <c r="K773" t="str">
        <f>IF(SAISIE!$L778="","",SAISIE!$L778)</f>
        <v/>
      </c>
      <c r="L773" t="str">
        <f>IF(SAISIE!$M778="","",SAISIE!$M778)</f>
        <v/>
      </c>
      <c r="M773" t="str">
        <f>IF(SAISIE!$N778="","",SAISIE!$N778)</f>
        <v/>
      </c>
      <c r="N773" t="str">
        <f>IF(SAISIE!$O778="","",SAISIE!$O778)</f>
        <v/>
      </c>
      <c r="O773" t="str">
        <f>IF(SAISIE!$P778="","",SAISIE!$P778)</f>
        <v/>
      </c>
      <c r="P773" t="str">
        <f>IF(SAISIE!$Q778="","",SAISIE!$Q778)</f>
        <v/>
      </c>
      <c r="Q773" t="str">
        <f>IF($I773="","",IF($I773&gt;PARAMETRES!$G$29,5,IF($I773&gt;PARAMETRES!$F$29,4,IF($I773&gt;PARAMETRES!$E$29,3,IF($I773&gt;PARAMETRES!$D$29,2,1)))))</f>
        <v/>
      </c>
      <c r="R773" t="str">
        <f>IF($J773="","",IF($J773&gt;PARAMETRES!$G$30,5,IF($J773&gt;PARAMETRES!$F$30,4,IF($J773&gt;PARAMETRES!$E$30,3,IF($J773&gt;PARAMETRES!$D$30,2,1)))))</f>
        <v/>
      </c>
      <c r="S773" t="str">
        <f>IF($K773="","",IF($Z773=2,IF($K773&gt;PARAMETRES!$G$31,5,IF($K773&gt;PARAMETRES!$F$31,4,IF($K773&gt;PARAMETRES!$E$31,3,IF($K773&gt;PARAMETRES!$D$31,2,1)))),IF($K773&gt;PARAMETRES!$G$32,5,IF($K773&gt;PARAMETRES!$F$32,4,IF($K773&gt;PARAMETRES!$E$32,3,IF($K773&gt;PARAMETRES!$D$32,2,1))))))</f>
        <v/>
      </c>
      <c r="T773" t="str">
        <f>IF($L773="","",IF($L773&gt;PARAMETRES!$G$33,5,IF($L773&gt;PARAMETRES!$F$33,4,IF($L773&gt;PARAMETRES!$E$33,3,IF($L773&gt;PARAMETRES!$D$33,2,1)))))</f>
        <v/>
      </c>
      <c r="U773" t="str">
        <f>IF($M773="","",IF($M773&gt;PARAMETRES!$G$34,5,IF($M773&gt;PARAMETRES!$F$34,4,IF($M773&gt;PARAMETRES!$E$34,3,IF($M773&gt;PARAMETRES!$D$34,2,1)))))</f>
        <v/>
      </c>
      <c r="V773" t="str">
        <f>IF($N773="","",IF($N773&gt;PARAMETRES!$G$35,5,IF($N773&gt;PARAMETRES!$F$35,4,IF($N773&gt;PARAMETRES!$E$35,3,IF($N773&gt;PARAMETRES!$D$35,2,1)))))</f>
        <v/>
      </c>
      <c r="W773" t="str">
        <f>IF($O773="","",IF($O773&gt;PARAMETRES!$G$36,5,IF($O773&gt;PARAMETRES!$F$36,4,IF($O773&gt;PARAMETRES!$E$36,3,IF($O773&gt;PARAMETRES!$D$36,2,1)))))</f>
        <v/>
      </c>
      <c r="X773" t="str">
        <f>IF($P773="","",IF($P773&gt;PARAMETRES!$G$37,5,IF($P773&gt;PARAMETRES!$F$37,4,IF($P773&gt;PARAMETRES!$E$37,3,IF($P773&gt;PARAMETRES!$D$37,2,1)))))</f>
        <v/>
      </c>
      <c r="Y773" t="str">
        <f t="shared" si="288"/>
        <v/>
      </c>
      <c r="Z773" t="str">
        <f>IFERROR(VLOOKUP($B773,TABLE_CYCLE,2,0),"")</f>
        <v/>
      </c>
      <c r="AA773" t="str">
        <f t="shared" si="289"/>
        <v/>
      </c>
      <c r="AB773" t="str">
        <f>IF($D773="","",IF(COUNTIF($D$2:$D773,$D773)=1,$D773,""))</f>
        <v/>
      </c>
      <c r="AC773">
        <f t="shared" si="290"/>
        <v>0</v>
      </c>
      <c r="AD773" t="str">
        <f t="shared" si="291"/>
        <v>|0</v>
      </c>
      <c r="AE773" t="str">
        <f t="shared" si="292"/>
        <v/>
      </c>
      <c r="AF773" t="str">
        <f t="shared" si="293"/>
        <v/>
      </c>
      <c r="AG773" t="str">
        <f t="shared" si="294"/>
        <v/>
      </c>
      <c r="AH773" t="str">
        <f t="shared" si="295"/>
        <v/>
      </c>
      <c r="AI773" t="str">
        <f t="shared" si="296"/>
        <v/>
      </c>
      <c r="AJ773" t="str">
        <f t="shared" si="297"/>
        <v/>
      </c>
      <c r="AK773" t="str">
        <f t="shared" si="298"/>
        <v/>
      </c>
      <c r="AL773" t="str">
        <f t="shared" si="299"/>
        <v/>
      </c>
      <c r="AM773" t="str">
        <f t="shared" si="300"/>
        <v/>
      </c>
      <c r="AN773" t="str">
        <f t="shared" si="301"/>
        <v/>
      </c>
      <c r="AO773" t="str">
        <f t="shared" si="302"/>
        <v/>
      </c>
      <c r="AP773">
        <f t="shared" si="303"/>
        <v>1</v>
      </c>
      <c r="AQ773" t="str">
        <f>IF(SAISIE!$F778="","",SAISIE!$Y778)</f>
        <v/>
      </c>
      <c r="AR773" t="str">
        <f>IF(OR(SAISIE!$U$4="",SAISIE!$W$4=""),"",IF(AND($A773=SAISIE!$U$4,$B773=SAISIE!$W$4,$C773="S1"),COUNTIFS($A$2:$A773,SAISIE!$U$4,$B$2:$B773,SAISIE!$W$4,$C$2:$C773,"S1"),""))</f>
        <v/>
      </c>
      <c r="AS773" t="str">
        <f t="shared" si="304"/>
        <v/>
      </c>
      <c r="AT773" t="str">
        <f t="shared" si="305"/>
        <v/>
      </c>
      <c r="AU773" t="str">
        <f t="shared" si="306"/>
        <v/>
      </c>
      <c r="AV773">
        <f>N(AV772)+IF(AND($AB773&lt;&gt;"",OR('PROFIL ELEVE'!$K$4="(Tous)",$AF773='PROFIL ELEVE'!$K$4)),1,0)</f>
        <v>0</v>
      </c>
      <c r="AW773">
        <f>N(AW772)+IF(AND($AB773&lt;&gt;"",OR('SUIVI LONGITUDINAL'!$Q$4="(Tous)",$AF773='SUIVI LONGITUDINAL'!$Q$4)),1,0)</f>
        <v>0</v>
      </c>
      <c r="AX773">
        <f t="shared" si="307"/>
        <v>0</v>
      </c>
      <c r="AY773">
        <f t="shared" si="308"/>
        <v>0</v>
      </c>
      <c r="AZ773">
        <f t="shared" si="309"/>
        <v>0</v>
      </c>
      <c r="BA773" t="str">
        <f t="shared" si="310"/>
        <v/>
      </c>
      <c r="BB773" t="str">
        <f t="shared" si="311"/>
        <v/>
      </c>
    </row>
    <row r="774" spans="1:54" ht="14.25" customHeight="1" x14ac:dyDescent="0.3">
      <c r="A774" t="str">
        <f>IF(SAISIE!$F779="","",SAISIE!$B779)</f>
        <v/>
      </c>
      <c r="B774" t="str">
        <f>IF(SAISIE!$F779="","",SAISIE!$C779)</f>
        <v/>
      </c>
      <c r="C774" t="str">
        <f>IF(SAISIE!$F779="","",SAISIE!$D779)</f>
        <v/>
      </c>
      <c r="D774" t="str">
        <f>IF(SAISIE!$E779="","",SAISIE!$E779)</f>
        <v/>
      </c>
      <c r="E774" t="str">
        <f>IF(SAISIE!$F779="","",SAISIE!$F779)</f>
        <v/>
      </c>
      <c r="F774" t="str">
        <f>IF(SAISIE!$G779="","",SAISIE!$G779)</f>
        <v/>
      </c>
      <c r="G774" t="str">
        <f>IF(SAISIE!$H779="","",SAISIE!$H779)</f>
        <v/>
      </c>
      <c r="H774" t="str">
        <f>IF(SAISIE!$I779="","",SAISIE!$I779)</f>
        <v/>
      </c>
      <c r="I774" t="str">
        <f>IF(SAISIE!$J779="","",SAISIE!$J779)</f>
        <v/>
      </c>
      <c r="J774" t="str">
        <f>IF(SAISIE!$K779="","",SAISIE!$K779)</f>
        <v/>
      </c>
      <c r="K774" t="str">
        <f>IF(SAISIE!$L779="","",SAISIE!$L779)</f>
        <v/>
      </c>
      <c r="L774" t="str">
        <f>IF(SAISIE!$M779="","",SAISIE!$M779)</f>
        <v/>
      </c>
      <c r="M774" t="str">
        <f>IF(SAISIE!$N779="","",SAISIE!$N779)</f>
        <v/>
      </c>
      <c r="N774" t="str">
        <f>IF(SAISIE!$O779="","",SAISIE!$O779)</f>
        <v/>
      </c>
      <c r="O774" t="str">
        <f>IF(SAISIE!$P779="","",SAISIE!$P779)</f>
        <v/>
      </c>
      <c r="P774" t="str">
        <f>IF(SAISIE!$Q779="","",SAISIE!$Q779)</f>
        <v/>
      </c>
      <c r="Q774" t="str">
        <f>IF($I774="","",IF($I774&gt;PARAMETRES!$G$29,5,IF($I774&gt;PARAMETRES!$F$29,4,IF($I774&gt;PARAMETRES!$E$29,3,IF($I774&gt;PARAMETRES!$D$29,2,1)))))</f>
        <v/>
      </c>
      <c r="R774" t="str">
        <f>IF($J774="","",IF($J774&gt;PARAMETRES!$G$30,5,IF($J774&gt;PARAMETRES!$F$30,4,IF($J774&gt;PARAMETRES!$E$30,3,IF($J774&gt;PARAMETRES!$D$30,2,1)))))</f>
        <v/>
      </c>
      <c r="S774" t="str">
        <f>IF($K774="","",IF($Z774=2,IF($K774&gt;PARAMETRES!$G$31,5,IF($K774&gt;PARAMETRES!$F$31,4,IF($K774&gt;PARAMETRES!$E$31,3,IF($K774&gt;PARAMETRES!$D$31,2,1)))),IF($K774&gt;PARAMETRES!$G$32,5,IF($K774&gt;PARAMETRES!$F$32,4,IF($K774&gt;PARAMETRES!$E$32,3,IF($K774&gt;PARAMETRES!$D$32,2,1))))))</f>
        <v/>
      </c>
      <c r="T774" t="str">
        <f>IF($L774="","",IF($L774&gt;PARAMETRES!$G$33,5,IF($L774&gt;PARAMETRES!$F$33,4,IF($L774&gt;PARAMETRES!$E$33,3,IF($L774&gt;PARAMETRES!$D$33,2,1)))))</f>
        <v/>
      </c>
      <c r="U774" t="str">
        <f>IF($M774="","",IF($M774&gt;PARAMETRES!$G$34,5,IF($M774&gt;PARAMETRES!$F$34,4,IF($M774&gt;PARAMETRES!$E$34,3,IF($M774&gt;PARAMETRES!$D$34,2,1)))))</f>
        <v/>
      </c>
      <c r="V774" t="str">
        <f>IF($N774="","",IF($N774&gt;PARAMETRES!$G$35,5,IF($N774&gt;PARAMETRES!$F$35,4,IF($N774&gt;PARAMETRES!$E$35,3,IF($N774&gt;PARAMETRES!$D$35,2,1)))))</f>
        <v/>
      </c>
      <c r="W774" t="str">
        <f>IF($O774="","",IF($O774&gt;PARAMETRES!$G$36,5,IF($O774&gt;PARAMETRES!$F$36,4,IF($O774&gt;PARAMETRES!$E$36,3,IF($O774&gt;PARAMETRES!$D$36,2,1)))))</f>
        <v/>
      </c>
      <c r="X774" t="str">
        <f>IF($P774="","",IF($P774&gt;PARAMETRES!$G$37,5,IF($P774&gt;PARAMETRES!$F$37,4,IF($P774&gt;PARAMETRES!$E$37,3,IF($P774&gt;PARAMETRES!$D$37,2,1)))))</f>
        <v/>
      </c>
      <c r="Y774" t="str">
        <f t="shared" si="288"/>
        <v/>
      </c>
      <c r="Z774" t="str">
        <f>IFERROR(VLOOKUP($B774,TABLE_CYCLE,2,0),"")</f>
        <v/>
      </c>
      <c r="AA774" t="str">
        <f t="shared" si="289"/>
        <v/>
      </c>
      <c r="AB774" t="str">
        <f>IF($D774="","",IF(COUNTIF($D$2:$D774,$D774)=1,$D774,""))</f>
        <v/>
      </c>
      <c r="AC774">
        <f t="shared" si="290"/>
        <v>0</v>
      </c>
      <c r="AD774" t="str">
        <f t="shared" si="291"/>
        <v>|0</v>
      </c>
      <c r="AE774" t="str">
        <f t="shared" si="292"/>
        <v/>
      </c>
      <c r="AF774" t="str">
        <f t="shared" si="293"/>
        <v/>
      </c>
      <c r="AG774" t="str">
        <f t="shared" si="294"/>
        <v/>
      </c>
      <c r="AH774" t="str">
        <f t="shared" si="295"/>
        <v/>
      </c>
      <c r="AI774" t="str">
        <f t="shared" si="296"/>
        <v/>
      </c>
      <c r="AJ774" t="str">
        <f t="shared" si="297"/>
        <v/>
      </c>
      <c r="AK774" t="str">
        <f t="shared" si="298"/>
        <v/>
      </c>
      <c r="AL774" t="str">
        <f t="shared" si="299"/>
        <v/>
      </c>
      <c r="AM774" t="str">
        <f t="shared" si="300"/>
        <v/>
      </c>
      <c r="AN774" t="str">
        <f t="shared" si="301"/>
        <v/>
      </c>
      <c r="AO774" t="str">
        <f t="shared" si="302"/>
        <v/>
      </c>
      <c r="AP774">
        <f t="shared" si="303"/>
        <v>1</v>
      </c>
      <c r="AQ774" t="str">
        <f>IF(SAISIE!$F779="","",SAISIE!$Y779)</f>
        <v/>
      </c>
      <c r="AR774" t="str">
        <f>IF(OR(SAISIE!$U$4="",SAISIE!$W$4=""),"",IF(AND($A774=SAISIE!$U$4,$B774=SAISIE!$W$4,$C774="S1"),COUNTIFS($A$2:$A774,SAISIE!$U$4,$B$2:$B774,SAISIE!$W$4,$C$2:$C774,"S1"),""))</f>
        <v/>
      </c>
      <c r="AS774" t="str">
        <f t="shared" si="304"/>
        <v/>
      </c>
      <c r="AT774" t="str">
        <f t="shared" si="305"/>
        <v/>
      </c>
      <c r="AU774" t="str">
        <f t="shared" si="306"/>
        <v/>
      </c>
      <c r="AV774">
        <f>N(AV773)+IF(AND($AB774&lt;&gt;"",OR('PROFIL ELEVE'!$K$4="(Tous)",$AF774='PROFIL ELEVE'!$K$4)),1,0)</f>
        <v>0</v>
      </c>
      <c r="AW774">
        <f>N(AW773)+IF(AND($AB774&lt;&gt;"",OR('SUIVI LONGITUDINAL'!$Q$4="(Tous)",$AF774='SUIVI LONGITUDINAL'!$Q$4)),1,0)</f>
        <v>0</v>
      </c>
      <c r="AX774">
        <f t="shared" si="307"/>
        <v>0</v>
      </c>
      <c r="AY774">
        <f t="shared" si="308"/>
        <v>0</v>
      </c>
      <c r="AZ774">
        <f t="shared" si="309"/>
        <v>0</v>
      </c>
      <c r="BA774" t="str">
        <f t="shared" si="310"/>
        <v/>
      </c>
      <c r="BB774" t="str">
        <f t="shared" si="311"/>
        <v/>
      </c>
    </row>
    <row r="775" spans="1:54" ht="14.25" customHeight="1" x14ac:dyDescent="0.3">
      <c r="A775" t="str">
        <f>IF(SAISIE!$F780="","",SAISIE!$B780)</f>
        <v/>
      </c>
      <c r="B775" t="str">
        <f>IF(SAISIE!$F780="","",SAISIE!$C780)</f>
        <v/>
      </c>
      <c r="C775" t="str">
        <f>IF(SAISIE!$F780="","",SAISIE!$D780)</f>
        <v/>
      </c>
      <c r="D775" t="str">
        <f>IF(SAISIE!$E780="","",SAISIE!$E780)</f>
        <v/>
      </c>
      <c r="E775" t="str">
        <f>IF(SAISIE!$F780="","",SAISIE!$F780)</f>
        <v/>
      </c>
      <c r="F775" t="str">
        <f>IF(SAISIE!$G780="","",SAISIE!$G780)</f>
        <v/>
      </c>
      <c r="G775" t="str">
        <f>IF(SAISIE!$H780="","",SAISIE!$H780)</f>
        <v/>
      </c>
      <c r="H775" t="str">
        <f>IF(SAISIE!$I780="","",SAISIE!$I780)</f>
        <v/>
      </c>
      <c r="I775" t="str">
        <f>IF(SAISIE!$J780="","",SAISIE!$J780)</f>
        <v/>
      </c>
      <c r="J775" t="str">
        <f>IF(SAISIE!$K780="","",SAISIE!$K780)</f>
        <v/>
      </c>
      <c r="K775" t="str">
        <f>IF(SAISIE!$L780="","",SAISIE!$L780)</f>
        <v/>
      </c>
      <c r="L775" t="str">
        <f>IF(SAISIE!$M780="","",SAISIE!$M780)</f>
        <v/>
      </c>
      <c r="M775" t="str">
        <f>IF(SAISIE!$N780="","",SAISIE!$N780)</f>
        <v/>
      </c>
      <c r="N775" t="str">
        <f>IF(SAISIE!$O780="","",SAISIE!$O780)</f>
        <v/>
      </c>
      <c r="O775" t="str">
        <f>IF(SAISIE!$P780="","",SAISIE!$P780)</f>
        <v/>
      </c>
      <c r="P775" t="str">
        <f>IF(SAISIE!$Q780="","",SAISIE!$Q780)</f>
        <v/>
      </c>
      <c r="Q775" t="str">
        <f>IF($I775="","",IF($I775&gt;PARAMETRES!$G$29,5,IF($I775&gt;PARAMETRES!$F$29,4,IF($I775&gt;PARAMETRES!$E$29,3,IF($I775&gt;PARAMETRES!$D$29,2,1)))))</f>
        <v/>
      </c>
      <c r="R775" t="str">
        <f>IF($J775="","",IF($J775&gt;PARAMETRES!$G$30,5,IF($J775&gt;PARAMETRES!$F$30,4,IF($J775&gt;PARAMETRES!$E$30,3,IF($J775&gt;PARAMETRES!$D$30,2,1)))))</f>
        <v/>
      </c>
      <c r="S775" t="str">
        <f>IF($K775="","",IF($Z775=2,IF($K775&gt;PARAMETRES!$G$31,5,IF($K775&gt;PARAMETRES!$F$31,4,IF($K775&gt;PARAMETRES!$E$31,3,IF($K775&gt;PARAMETRES!$D$31,2,1)))),IF($K775&gt;PARAMETRES!$G$32,5,IF($K775&gt;PARAMETRES!$F$32,4,IF($K775&gt;PARAMETRES!$E$32,3,IF($K775&gt;PARAMETRES!$D$32,2,1))))))</f>
        <v/>
      </c>
      <c r="T775" t="str">
        <f>IF($L775="","",IF($L775&gt;PARAMETRES!$G$33,5,IF($L775&gt;PARAMETRES!$F$33,4,IF($L775&gt;PARAMETRES!$E$33,3,IF($L775&gt;PARAMETRES!$D$33,2,1)))))</f>
        <v/>
      </c>
      <c r="U775" t="str">
        <f>IF($M775="","",IF($M775&gt;PARAMETRES!$G$34,5,IF($M775&gt;PARAMETRES!$F$34,4,IF($M775&gt;PARAMETRES!$E$34,3,IF($M775&gt;PARAMETRES!$D$34,2,1)))))</f>
        <v/>
      </c>
      <c r="V775" t="str">
        <f>IF($N775="","",IF($N775&gt;PARAMETRES!$G$35,5,IF($N775&gt;PARAMETRES!$F$35,4,IF($N775&gt;PARAMETRES!$E$35,3,IF($N775&gt;PARAMETRES!$D$35,2,1)))))</f>
        <v/>
      </c>
      <c r="W775" t="str">
        <f>IF($O775="","",IF($O775&gt;PARAMETRES!$G$36,5,IF($O775&gt;PARAMETRES!$F$36,4,IF($O775&gt;PARAMETRES!$E$36,3,IF($O775&gt;PARAMETRES!$D$36,2,1)))))</f>
        <v/>
      </c>
      <c r="X775" t="str">
        <f>IF($P775="","",IF($P775&gt;PARAMETRES!$G$37,5,IF($P775&gt;PARAMETRES!$F$37,4,IF($P775&gt;PARAMETRES!$E$37,3,IF($P775&gt;PARAMETRES!$D$37,2,1)))))</f>
        <v/>
      </c>
      <c r="Y775" t="str">
        <f t="shared" si="288"/>
        <v/>
      </c>
      <c r="Z775" t="str">
        <f>IFERROR(VLOOKUP($B775,TABLE_CYCLE,2,0),"")</f>
        <v/>
      </c>
      <c r="AA775" t="str">
        <f t="shared" si="289"/>
        <v/>
      </c>
      <c r="AB775" t="str">
        <f>IF($D775="","",IF(COUNTIF($D$2:$D775,$D775)=1,$D775,""))</f>
        <v/>
      </c>
      <c r="AC775">
        <f t="shared" si="290"/>
        <v>0</v>
      </c>
      <c r="AD775" t="str">
        <f t="shared" si="291"/>
        <v>|0</v>
      </c>
      <c r="AE775" t="str">
        <f t="shared" si="292"/>
        <v/>
      </c>
      <c r="AF775" t="str">
        <f t="shared" si="293"/>
        <v/>
      </c>
      <c r="AG775" t="str">
        <f t="shared" si="294"/>
        <v/>
      </c>
      <c r="AH775" t="str">
        <f t="shared" si="295"/>
        <v/>
      </c>
      <c r="AI775" t="str">
        <f t="shared" si="296"/>
        <v/>
      </c>
      <c r="AJ775" t="str">
        <f t="shared" si="297"/>
        <v/>
      </c>
      <c r="AK775" t="str">
        <f t="shared" si="298"/>
        <v/>
      </c>
      <c r="AL775" t="str">
        <f t="shared" si="299"/>
        <v/>
      </c>
      <c r="AM775" t="str">
        <f t="shared" si="300"/>
        <v/>
      </c>
      <c r="AN775" t="str">
        <f t="shared" si="301"/>
        <v/>
      </c>
      <c r="AO775" t="str">
        <f t="shared" si="302"/>
        <v/>
      </c>
      <c r="AP775">
        <f t="shared" si="303"/>
        <v>1</v>
      </c>
      <c r="AQ775" t="str">
        <f>IF(SAISIE!$F780="","",SAISIE!$Y780)</f>
        <v/>
      </c>
      <c r="AR775" t="str">
        <f>IF(OR(SAISIE!$U$4="",SAISIE!$W$4=""),"",IF(AND($A775=SAISIE!$U$4,$B775=SAISIE!$W$4,$C775="S1"),COUNTIFS($A$2:$A775,SAISIE!$U$4,$B$2:$B775,SAISIE!$W$4,$C$2:$C775,"S1"),""))</f>
        <v/>
      </c>
      <c r="AS775" t="str">
        <f t="shared" si="304"/>
        <v/>
      </c>
      <c r="AT775" t="str">
        <f t="shared" si="305"/>
        <v/>
      </c>
      <c r="AU775" t="str">
        <f t="shared" si="306"/>
        <v/>
      </c>
      <c r="AV775">
        <f>N(AV774)+IF(AND($AB775&lt;&gt;"",OR('PROFIL ELEVE'!$K$4="(Tous)",$AF775='PROFIL ELEVE'!$K$4)),1,0)</f>
        <v>0</v>
      </c>
      <c r="AW775">
        <f>N(AW774)+IF(AND($AB775&lt;&gt;"",OR('SUIVI LONGITUDINAL'!$Q$4="(Tous)",$AF775='SUIVI LONGITUDINAL'!$Q$4)),1,0)</f>
        <v>0</v>
      </c>
      <c r="AX775">
        <f t="shared" si="307"/>
        <v>0</v>
      </c>
      <c r="AY775">
        <f t="shared" si="308"/>
        <v>0</v>
      </c>
      <c r="AZ775">
        <f t="shared" si="309"/>
        <v>0</v>
      </c>
      <c r="BA775" t="str">
        <f t="shared" si="310"/>
        <v/>
      </c>
      <c r="BB775" t="str">
        <f t="shared" si="311"/>
        <v/>
      </c>
    </row>
    <row r="776" spans="1:54" ht="14.25" customHeight="1" x14ac:dyDescent="0.3">
      <c r="A776" t="str">
        <f>IF(SAISIE!$F781="","",SAISIE!$B781)</f>
        <v/>
      </c>
      <c r="B776" t="str">
        <f>IF(SAISIE!$F781="","",SAISIE!$C781)</f>
        <v/>
      </c>
      <c r="C776" t="str">
        <f>IF(SAISIE!$F781="","",SAISIE!$D781)</f>
        <v/>
      </c>
      <c r="D776" t="str">
        <f>IF(SAISIE!$E781="","",SAISIE!$E781)</f>
        <v/>
      </c>
      <c r="E776" t="str">
        <f>IF(SAISIE!$F781="","",SAISIE!$F781)</f>
        <v/>
      </c>
      <c r="F776" t="str">
        <f>IF(SAISIE!$G781="","",SAISIE!$G781)</f>
        <v/>
      </c>
      <c r="G776" t="str">
        <f>IF(SAISIE!$H781="","",SAISIE!$H781)</f>
        <v/>
      </c>
      <c r="H776" t="str">
        <f>IF(SAISIE!$I781="","",SAISIE!$I781)</f>
        <v/>
      </c>
      <c r="I776" t="str">
        <f>IF(SAISIE!$J781="","",SAISIE!$J781)</f>
        <v/>
      </c>
      <c r="J776" t="str">
        <f>IF(SAISIE!$K781="","",SAISIE!$K781)</f>
        <v/>
      </c>
      <c r="K776" t="str">
        <f>IF(SAISIE!$L781="","",SAISIE!$L781)</f>
        <v/>
      </c>
      <c r="L776" t="str">
        <f>IF(SAISIE!$M781="","",SAISIE!$M781)</f>
        <v/>
      </c>
      <c r="M776" t="str">
        <f>IF(SAISIE!$N781="","",SAISIE!$N781)</f>
        <v/>
      </c>
      <c r="N776" t="str">
        <f>IF(SAISIE!$O781="","",SAISIE!$O781)</f>
        <v/>
      </c>
      <c r="O776" t="str">
        <f>IF(SAISIE!$P781="","",SAISIE!$P781)</f>
        <v/>
      </c>
      <c r="P776" t="str">
        <f>IF(SAISIE!$Q781="","",SAISIE!$Q781)</f>
        <v/>
      </c>
      <c r="Q776" t="str">
        <f>IF($I776="","",IF($I776&gt;PARAMETRES!$G$29,5,IF($I776&gt;PARAMETRES!$F$29,4,IF($I776&gt;PARAMETRES!$E$29,3,IF($I776&gt;PARAMETRES!$D$29,2,1)))))</f>
        <v/>
      </c>
      <c r="R776" t="str">
        <f>IF($J776="","",IF($J776&gt;PARAMETRES!$G$30,5,IF($J776&gt;PARAMETRES!$F$30,4,IF($J776&gt;PARAMETRES!$E$30,3,IF($J776&gt;PARAMETRES!$D$30,2,1)))))</f>
        <v/>
      </c>
      <c r="S776" t="str">
        <f>IF($K776="","",IF($Z776=2,IF($K776&gt;PARAMETRES!$G$31,5,IF($K776&gt;PARAMETRES!$F$31,4,IF($K776&gt;PARAMETRES!$E$31,3,IF($K776&gt;PARAMETRES!$D$31,2,1)))),IF($K776&gt;PARAMETRES!$G$32,5,IF($K776&gt;PARAMETRES!$F$32,4,IF($K776&gt;PARAMETRES!$E$32,3,IF($K776&gt;PARAMETRES!$D$32,2,1))))))</f>
        <v/>
      </c>
      <c r="T776" t="str">
        <f>IF($L776="","",IF($L776&gt;PARAMETRES!$G$33,5,IF($L776&gt;PARAMETRES!$F$33,4,IF($L776&gt;PARAMETRES!$E$33,3,IF($L776&gt;PARAMETRES!$D$33,2,1)))))</f>
        <v/>
      </c>
      <c r="U776" t="str">
        <f>IF($M776="","",IF($M776&gt;PARAMETRES!$G$34,5,IF($M776&gt;PARAMETRES!$F$34,4,IF($M776&gt;PARAMETRES!$E$34,3,IF($M776&gt;PARAMETRES!$D$34,2,1)))))</f>
        <v/>
      </c>
      <c r="V776" t="str">
        <f>IF($N776="","",IF($N776&gt;PARAMETRES!$G$35,5,IF($N776&gt;PARAMETRES!$F$35,4,IF($N776&gt;PARAMETRES!$E$35,3,IF($N776&gt;PARAMETRES!$D$35,2,1)))))</f>
        <v/>
      </c>
      <c r="W776" t="str">
        <f>IF($O776="","",IF($O776&gt;PARAMETRES!$G$36,5,IF($O776&gt;PARAMETRES!$F$36,4,IF($O776&gt;PARAMETRES!$E$36,3,IF($O776&gt;PARAMETRES!$D$36,2,1)))))</f>
        <v/>
      </c>
      <c r="X776" t="str">
        <f>IF($P776="","",IF($P776&gt;PARAMETRES!$G$37,5,IF($P776&gt;PARAMETRES!$F$37,4,IF($P776&gt;PARAMETRES!$E$37,3,IF($P776&gt;PARAMETRES!$D$37,2,1)))))</f>
        <v/>
      </c>
      <c r="Y776" t="str">
        <f t="shared" si="288"/>
        <v/>
      </c>
      <c r="Z776" t="str">
        <f>IFERROR(VLOOKUP($B776,TABLE_CYCLE,2,0),"")</f>
        <v/>
      </c>
      <c r="AA776" t="str">
        <f t="shared" si="289"/>
        <v/>
      </c>
      <c r="AB776" t="str">
        <f>IF($D776="","",IF(COUNTIF($D$2:$D776,$D776)=1,$D776,""))</f>
        <v/>
      </c>
      <c r="AC776">
        <f t="shared" si="290"/>
        <v>0</v>
      </c>
      <c r="AD776" t="str">
        <f t="shared" si="291"/>
        <v>|0</v>
      </c>
      <c r="AE776" t="str">
        <f t="shared" si="292"/>
        <v/>
      </c>
      <c r="AF776" t="str">
        <f t="shared" si="293"/>
        <v/>
      </c>
      <c r="AG776" t="str">
        <f t="shared" si="294"/>
        <v/>
      </c>
      <c r="AH776" t="str">
        <f t="shared" si="295"/>
        <v/>
      </c>
      <c r="AI776" t="str">
        <f t="shared" si="296"/>
        <v/>
      </c>
      <c r="AJ776" t="str">
        <f t="shared" si="297"/>
        <v/>
      </c>
      <c r="AK776" t="str">
        <f t="shared" si="298"/>
        <v/>
      </c>
      <c r="AL776" t="str">
        <f t="shared" si="299"/>
        <v/>
      </c>
      <c r="AM776" t="str">
        <f t="shared" si="300"/>
        <v/>
      </c>
      <c r="AN776" t="str">
        <f t="shared" si="301"/>
        <v/>
      </c>
      <c r="AO776" t="str">
        <f t="shared" si="302"/>
        <v/>
      </c>
      <c r="AP776">
        <f t="shared" si="303"/>
        <v>1</v>
      </c>
      <c r="AQ776" t="str">
        <f>IF(SAISIE!$F781="","",SAISIE!$Y781)</f>
        <v/>
      </c>
      <c r="AR776" t="str">
        <f>IF(OR(SAISIE!$U$4="",SAISIE!$W$4=""),"",IF(AND($A776=SAISIE!$U$4,$B776=SAISIE!$W$4,$C776="S1"),COUNTIFS($A$2:$A776,SAISIE!$U$4,$B$2:$B776,SAISIE!$W$4,$C$2:$C776,"S1"),""))</f>
        <v/>
      </c>
      <c r="AS776" t="str">
        <f t="shared" si="304"/>
        <v/>
      </c>
      <c r="AT776" t="str">
        <f t="shared" si="305"/>
        <v/>
      </c>
      <c r="AU776" t="str">
        <f t="shared" si="306"/>
        <v/>
      </c>
      <c r="AV776">
        <f>N(AV775)+IF(AND($AB776&lt;&gt;"",OR('PROFIL ELEVE'!$K$4="(Tous)",$AF776='PROFIL ELEVE'!$K$4)),1,0)</f>
        <v>0</v>
      </c>
      <c r="AW776">
        <f>N(AW775)+IF(AND($AB776&lt;&gt;"",OR('SUIVI LONGITUDINAL'!$Q$4="(Tous)",$AF776='SUIVI LONGITUDINAL'!$Q$4)),1,0)</f>
        <v>0</v>
      </c>
      <c r="AX776">
        <f t="shared" si="307"/>
        <v>0</v>
      </c>
      <c r="AY776">
        <f t="shared" si="308"/>
        <v>0</v>
      </c>
      <c r="AZ776">
        <f t="shared" si="309"/>
        <v>0</v>
      </c>
      <c r="BA776" t="str">
        <f t="shared" si="310"/>
        <v/>
      </c>
      <c r="BB776" t="str">
        <f t="shared" si="311"/>
        <v/>
      </c>
    </row>
    <row r="777" spans="1:54" ht="14.25" customHeight="1" x14ac:dyDescent="0.3">
      <c r="A777" t="str">
        <f>IF(SAISIE!$F782="","",SAISIE!$B782)</f>
        <v/>
      </c>
      <c r="B777" t="str">
        <f>IF(SAISIE!$F782="","",SAISIE!$C782)</f>
        <v/>
      </c>
      <c r="C777" t="str">
        <f>IF(SAISIE!$F782="","",SAISIE!$D782)</f>
        <v/>
      </c>
      <c r="D777" t="str">
        <f>IF(SAISIE!$E782="","",SAISIE!$E782)</f>
        <v/>
      </c>
      <c r="E777" t="str">
        <f>IF(SAISIE!$F782="","",SAISIE!$F782)</f>
        <v/>
      </c>
      <c r="F777" t="str">
        <f>IF(SAISIE!$G782="","",SAISIE!$G782)</f>
        <v/>
      </c>
      <c r="G777" t="str">
        <f>IF(SAISIE!$H782="","",SAISIE!$H782)</f>
        <v/>
      </c>
      <c r="H777" t="str">
        <f>IF(SAISIE!$I782="","",SAISIE!$I782)</f>
        <v/>
      </c>
      <c r="I777" t="str">
        <f>IF(SAISIE!$J782="","",SAISIE!$J782)</f>
        <v/>
      </c>
      <c r="J777" t="str">
        <f>IF(SAISIE!$K782="","",SAISIE!$K782)</f>
        <v/>
      </c>
      <c r="K777" t="str">
        <f>IF(SAISIE!$L782="","",SAISIE!$L782)</f>
        <v/>
      </c>
      <c r="L777" t="str">
        <f>IF(SAISIE!$M782="","",SAISIE!$M782)</f>
        <v/>
      </c>
      <c r="M777" t="str">
        <f>IF(SAISIE!$N782="","",SAISIE!$N782)</f>
        <v/>
      </c>
      <c r="N777" t="str">
        <f>IF(SAISIE!$O782="","",SAISIE!$O782)</f>
        <v/>
      </c>
      <c r="O777" t="str">
        <f>IF(SAISIE!$P782="","",SAISIE!$P782)</f>
        <v/>
      </c>
      <c r="P777" t="str">
        <f>IF(SAISIE!$Q782="","",SAISIE!$Q782)</f>
        <v/>
      </c>
      <c r="Q777" t="str">
        <f>IF($I777="","",IF($I777&gt;PARAMETRES!$G$29,5,IF($I777&gt;PARAMETRES!$F$29,4,IF($I777&gt;PARAMETRES!$E$29,3,IF($I777&gt;PARAMETRES!$D$29,2,1)))))</f>
        <v/>
      </c>
      <c r="R777" t="str">
        <f>IF($J777="","",IF($J777&gt;PARAMETRES!$G$30,5,IF($J777&gt;PARAMETRES!$F$30,4,IF($J777&gt;PARAMETRES!$E$30,3,IF($J777&gt;PARAMETRES!$D$30,2,1)))))</f>
        <v/>
      </c>
      <c r="S777" t="str">
        <f>IF($K777="","",IF($Z777=2,IF($K777&gt;PARAMETRES!$G$31,5,IF($K777&gt;PARAMETRES!$F$31,4,IF($K777&gt;PARAMETRES!$E$31,3,IF($K777&gt;PARAMETRES!$D$31,2,1)))),IF($K777&gt;PARAMETRES!$G$32,5,IF($K777&gt;PARAMETRES!$F$32,4,IF($K777&gt;PARAMETRES!$E$32,3,IF($K777&gt;PARAMETRES!$D$32,2,1))))))</f>
        <v/>
      </c>
      <c r="T777" t="str">
        <f>IF($L777="","",IF($L777&gt;PARAMETRES!$G$33,5,IF($L777&gt;PARAMETRES!$F$33,4,IF($L777&gt;PARAMETRES!$E$33,3,IF($L777&gt;PARAMETRES!$D$33,2,1)))))</f>
        <v/>
      </c>
      <c r="U777" t="str">
        <f>IF($M777="","",IF($M777&gt;PARAMETRES!$G$34,5,IF($M777&gt;PARAMETRES!$F$34,4,IF($M777&gt;PARAMETRES!$E$34,3,IF($M777&gt;PARAMETRES!$D$34,2,1)))))</f>
        <v/>
      </c>
      <c r="V777" t="str">
        <f>IF($N777="","",IF($N777&gt;PARAMETRES!$G$35,5,IF($N777&gt;PARAMETRES!$F$35,4,IF($N777&gt;PARAMETRES!$E$35,3,IF($N777&gt;PARAMETRES!$D$35,2,1)))))</f>
        <v/>
      </c>
      <c r="W777" t="str">
        <f>IF($O777="","",IF($O777&gt;PARAMETRES!$G$36,5,IF($O777&gt;PARAMETRES!$F$36,4,IF($O777&gt;PARAMETRES!$E$36,3,IF($O777&gt;PARAMETRES!$D$36,2,1)))))</f>
        <v/>
      </c>
      <c r="X777" t="str">
        <f>IF($P777="","",IF($P777&gt;PARAMETRES!$G$37,5,IF($P777&gt;PARAMETRES!$F$37,4,IF($P777&gt;PARAMETRES!$E$37,3,IF($P777&gt;PARAMETRES!$D$37,2,1)))))</f>
        <v/>
      </c>
      <c r="Y777" t="str">
        <f t="shared" si="288"/>
        <v/>
      </c>
      <c r="Z777" t="str">
        <f>IFERROR(VLOOKUP($B777,TABLE_CYCLE,2,0),"")</f>
        <v/>
      </c>
      <c r="AA777" t="str">
        <f t="shared" si="289"/>
        <v/>
      </c>
      <c r="AB777" t="str">
        <f>IF($D777="","",IF(COUNTIF($D$2:$D777,$D777)=1,$D777,""))</f>
        <v/>
      </c>
      <c r="AC777">
        <f t="shared" si="290"/>
        <v>0</v>
      </c>
      <c r="AD777" t="str">
        <f t="shared" si="291"/>
        <v>|0</v>
      </c>
      <c r="AE777" t="str">
        <f t="shared" si="292"/>
        <v/>
      </c>
      <c r="AF777" t="str">
        <f t="shared" si="293"/>
        <v/>
      </c>
      <c r="AG777" t="str">
        <f t="shared" si="294"/>
        <v/>
      </c>
      <c r="AH777" t="str">
        <f t="shared" si="295"/>
        <v/>
      </c>
      <c r="AI777" t="str">
        <f t="shared" si="296"/>
        <v/>
      </c>
      <c r="AJ777" t="str">
        <f t="shared" si="297"/>
        <v/>
      </c>
      <c r="AK777" t="str">
        <f t="shared" si="298"/>
        <v/>
      </c>
      <c r="AL777" t="str">
        <f t="shared" si="299"/>
        <v/>
      </c>
      <c r="AM777" t="str">
        <f t="shared" si="300"/>
        <v/>
      </c>
      <c r="AN777" t="str">
        <f t="shared" si="301"/>
        <v/>
      </c>
      <c r="AO777" t="str">
        <f t="shared" si="302"/>
        <v/>
      </c>
      <c r="AP777">
        <f t="shared" si="303"/>
        <v>1</v>
      </c>
      <c r="AQ777" t="str">
        <f>IF(SAISIE!$F782="","",SAISIE!$Y782)</f>
        <v/>
      </c>
      <c r="AR777" t="str">
        <f>IF(OR(SAISIE!$U$4="",SAISIE!$W$4=""),"",IF(AND($A777=SAISIE!$U$4,$B777=SAISIE!$W$4,$C777="S1"),COUNTIFS($A$2:$A777,SAISIE!$U$4,$B$2:$B777,SAISIE!$W$4,$C$2:$C777,"S1"),""))</f>
        <v/>
      </c>
      <c r="AS777" t="str">
        <f t="shared" si="304"/>
        <v/>
      </c>
      <c r="AT777" t="str">
        <f t="shared" si="305"/>
        <v/>
      </c>
      <c r="AU777" t="str">
        <f t="shared" si="306"/>
        <v/>
      </c>
      <c r="AV777">
        <f>N(AV776)+IF(AND($AB777&lt;&gt;"",OR('PROFIL ELEVE'!$K$4="(Tous)",$AF777='PROFIL ELEVE'!$K$4)),1,0)</f>
        <v>0</v>
      </c>
      <c r="AW777">
        <f>N(AW776)+IF(AND($AB777&lt;&gt;"",OR('SUIVI LONGITUDINAL'!$Q$4="(Tous)",$AF777='SUIVI LONGITUDINAL'!$Q$4)),1,0)</f>
        <v>0</v>
      </c>
      <c r="AX777">
        <f t="shared" si="307"/>
        <v>0</v>
      </c>
      <c r="AY777">
        <f t="shared" si="308"/>
        <v>0</v>
      </c>
      <c r="AZ777">
        <f t="shared" si="309"/>
        <v>0</v>
      </c>
      <c r="BA777" t="str">
        <f t="shared" si="310"/>
        <v/>
      </c>
      <c r="BB777" t="str">
        <f t="shared" si="311"/>
        <v/>
      </c>
    </row>
    <row r="778" spans="1:54" ht="14.25" customHeight="1" x14ac:dyDescent="0.3">
      <c r="A778" t="str">
        <f>IF(SAISIE!$F783="","",SAISIE!$B783)</f>
        <v/>
      </c>
      <c r="B778" t="str">
        <f>IF(SAISIE!$F783="","",SAISIE!$C783)</f>
        <v/>
      </c>
      <c r="C778" t="str">
        <f>IF(SAISIE!$F783="","",SAISIE!$D783)</f>
        <v/>
      </c>
      <c r="D778" t="str">
        <f>IF(SAISIE!$E783="","",SAISIE!$E783)</f>
        <v/>
      </c>
      <c r="E778" t="str">
        <f>IF(SAISIE!$F783="","",SAISIE!$F783)</f>
        <v/>
      </c>
      <c r="F778" t="str">
        <f>IF(SAISIE!$G783="","",SAISIE!$G783)</f>
        <v/>
      </c>
      <c r="G778" t="str">
        <f>IF(SAISIE!$H783="","",SAISIE!$H783)</f>
        <v/>
      </c>
      <c r="H778" t="str">
        <f>IF(SAISIE!$I783="","",SAISIE!$I783)</f>
        <v/>
      </c>
      <c r="I778" t="str">
        <f>IF(SAISIE!$J783="","",SAISIE!$J783)</f>
        <v/>
      </c>
      <c r="J778" t="str">
        <f>IF(SAISIE!$K783="","",SAISIE!$K783)</f>
        <v/>
      </c>
      <c r="K778" t="str">
        <f>IF(SAISIE!$L783="","",SAISIE!$L783)</f>
        <v/>
      </c>
      <c r="L778" t="str">
        <f>IF(SAISIE!$M783="","",SAISIE!$M783)</f>
        <v/>
      </c>
      <c r="M778" t="str">
        <f>IF(SAISIE!$N783="","",SAISIE!$N783)</f>
        <v/>
      </c>
      <c r="N778" t="str">
        <f>IF(SAISIE!$O783="","",SAISIE!$O783)</f>
        <v/>
      </c>
      <c r="O778" t="str">
        <f>IF(SAISIE!$P783="","",SAISIE!$P783)</f>
        <v/>
      </c>
      <c r="P778" t="str">
        <f>IF(SAISIE!$Q783="","",SAISIE!$Q783)</f>
        <v/>
      </c>
      <c r="Q778" t="str">
        <f>IF($I778="","",IF($I778&gt;PARAMETRES!$G$29,5,IF($I778&gt;PARAMETRES!$F$29,4,IF($I778&gt;PARAMETRES!$E$29,3,IF($I778&gt;PARAMETRES!$D$29,2,1)))))</f>
        <v/>
      </c>
      <c r="R778" t="str">
        <f>IF($J778="","",IF($J778&gt;PARAMETRES!$G$30,5,IF($J778&gt;PARAMETRES!$F$30,4,IF($J778&gt;PARAMETRES!$E$30,3,IF($J778&gt;PARAMETRES!$D$30,2,1)))))</f>
        <v/>
      </c>
      <c r="S778" t="str">
        <f>IF($K778="","",IF($Z778=2,IF($K778&gt;PARAMETRES!$G$31,5,IF($K778&gt;PARAMETRES!$F$31,4,IF($K778&gt;PARAMETRES!$E$31,3,IF($K778&gt;PARAMETRES!$D$31,2,1)))),IF($K778&gt;PARAMETRES!$G$32,5,IF($K778&gt;PARAMETRES!$F$32,4,IF($K778&gt;PARAMETRES!$E$32,3,IF($K778&gt;PARAMETRES!$D$32,2,1))))))</f>
        <v/>
      </c>
      <c r="T778" t="str">
        <f>IF($L778="","",IF($L778&gt;PARAMETRES!$G$33,5,IF($L778&gt;PARAMETRES!$F$33,4,IF($L778&gt;PARAMETRES!$E$33,3,IF($L778&gt;PARAMETRES!$D$33,2,1)))))</f>
        <v/>
      </c>
      <c r="U778" t="str">
        <f>IF($M778="","",IF($M778&gt;PARAMETRES!$G$34,5,IF($M778&gt;PARAMETRES!$F$34,4,IF($M778&gt;PARAMETRES!$E$34,3,IF($M778&gt;PARAMETRES!$D$34,2,1)))))</f>
        <v/>
      </c>
      <c r="V778" t="str">
        <f>IF($N778="","",IF($N778&gt;PARAMETRES!$G$35,5,IF($N778&gt;PARAMETRES!$F$35,4,IF($N778&gt;PARAMETRES!$E$35,3,IF($N778&gt;PARAMETRES!$D$35,2,1)))))</f>
        <v/>
      </c>
      <c r="W778" t="str">
        <f>IF($O778="","",IF($O778&gt;PARAMETRES!$G$36,5,IF($O778&gt;PARAMETRES!$F$36,4,IF($O778&gt;PARAMETRES!$E$36,3,IF($O778&gt;PARAMETRES!$D$36,2,1)))))</f>
        <v/>
      </c>
      <c r="X778" t="str">
        <f>IF($P778="","",IF($P778&gt;PARAMETRES!$G$37,5,IF($P778&gt;PARAMETRES!$F$37,4,IF($P778&gt;PARAMETRES!$E$37,3,IF($P778&gt;PARAMETRES!$D$37,2,1)))))</f>
        <v/>
      </c>
      <c r="Y778" t="str">
        <f t="shared" si="288"/>
        <v/>
      </c>
      <c r="Z778" t="str">
        <f>IFERROR(VLOOKUP($B778,TABLE_CYCLE,2,0),"")</f>
        <v/>
      </c>
      <c r="AA778" t="str">
        <f t="shared" si="289"/>
        <v/>
      </c>
      <c r="AB778" t="str">
        <f>IF($D778="","",IF(COUNTIF($D$2:$D778,$D778)=1,$D778,""))</f>
        <v/>
      </c>
      <c r="AC778">
        <f t="shared" si="290"/>
        <v>0</v>
      </c>
      <c r="AD778" t="str">
        <f t="shared" si="291"/>
        <v>|0</v>
      </c>
      <c r="AE778" t="str">
        <f t="shared" si="292"/>
        <v/>
      </c>
      <c r="AF778" t="str">
        <f t="shared" si="293"/>
        <v/>
      </c>
      <c r="AG778" t="str">
        <f t="shared" si="294"/>
        <v/>
      </c>
      <c r="AH778" t="str">
        <f t="shared" si="295"/>
        <v/>
      </c>
      <c r="AI778" t="str">
        <f t="shared" si="296"/>
        <v/>
      </c>
      <c r="AJ778" t="str">
        <f t="shared" si="297"/>
        <v/>
      </c>
      <c r="AK778" t="str">
        <f t="shared" si="298"/>
        <v/>
      </c>
      <c r="AL778" t="str">
        <f t="shared" si="299"/>
        <v/>
      </c>
      <c r="AM778" t="str">
        <f t="shared" si="300"/>
        <v/>
      </c>
      <c r="AN778" t="str">
        <f t="shared" si="301"/>
        <v/>
      </c>
      <c r="AO778" t="str">
        <f t="shared" si="302"/>
        <v/>
      </c>
      <c r="AP778">
        <f t="shared" si="303"/>
        <v>1</v>
      </c>
      <c r="AQ778" t="str">
        <f>IF(SAISIE!$F783="","",SAISIE!$Y783)</f>
        <v/>
      </c>
      <c r="AR778" t="str">
        <f>IF(OR(SAISIE!$U$4="",SAISIE!$W$4=""),"",IF(AND($A778=SAISIE!$U$4,$B778=SAISIE!$W$4,$C778="S1"),COUNTIFS($A$2:$A778,SAISIE!$U$4,$B$2:$B778,SAISIE!$W$4,$C$2:$C778,"S1"),""))</f>
        <v/>
      </c>
      <c r="AS778" t="str">
        <f t="shared" si="304"/>
        <v/>
      </c>
      <c r="AT778" t="str">
        <f t="shared" si="305"/>
        <v/>
      </c>
      <c r="AU778" t="str">
        <f t="shared" si="306"/>
        <v/>
      </c>
      <c r="AV778">
        <f>N(AV777)+IF(AND($AB778&lt;&gt;"",OR('PROFIL ELEVE'!$K$4="(Tous)",$AF778='PROFIL ELEVE'!$K$4)),1,0)</f>
        <v>0</v>
      </c>
      <c r="AW778">
        <f>N(AW777)+IF(AND($AB778&lt;&gt;"",OR('SUIVI LONGITUDINAL'!$Q$4="(Tous)",$AF778='SUIVI LONGITUDINAL'!$Q$4)),1,0)</f>
        <v>0</v>
      </c>
      <c r="AX778">
        <f t="shared" si="307"/>
        <v>0</v>
      </c>
      <c r="AY778">
        <f t="shared" si="308"/>
        <v>0</v>
      </c>
      <c r="AZ778">
        <f t="shared" si="309"/>
        <v>0</v>
      </c>
      <c r="BA778" t="str">
        <f t="shared" si="310"/>
        <v/>
      </c>
      <c r="BB778" t="str">
        <f t="shared" si="311"/>
        <v/>
      </c>
    </row>
    <row r="779" spans="1:54" ht="14.25" customHeight="1" x14ac:dyDescent="0.3">
      <c r="A779" t="str">
        <f>IF(SAISIE!$F784="","",SAISIE!$B784)</f>
        <v/>
      </c>
      <c r="B779" t="str">
        <f>IF(SAISIE!$F784="","",SAISIE!$C784)</f>
        <v/>
      </c>
      <c r="C779" t="str">
        <f>IF(SAISIE!$F784="","",SAISIE!$D784)</f>
        <v/>
      </c>
      <c r="D779" t="str">
        <f>IF(SAISIE!$E784="","",SAISIE!$E784)</f>
        <v/>
      </c>
      <c r="E779" t="str">
        <f>IF(SAISIE!$F784="","",SAISIE!$F784)</f>
        <v/>
      </c>
      <c r="F779" t="str">
        <f>IF(SAISIE!$G784="","",SAISIE!$G784)</f>
        <v/>
      </c>
      <c r="G779" t="str">
        <f>IF(SAISIE!$H784="","",SAISIE!$H784)</f>
        <v/>
      </c>
      <c r="H779" t="str">
        <f>IF(SAISIE!$I784="","",SAISIE!$I784)</f>
        <v/>
      </c>
      <c r="I779" t="str">
        <f>IF(SAISIE!$J784="","",SAISIE!$J784)</f>
        <v/>
      </c>
      <c r="J779" t="str">
        <f>IF(SAISIE!$K784="","",SAISIE!$K784)</f>
        <v/>
      </c>
      <c r="K779" t="str">
        <f>IF(SAISIE!$L784="","",SAISIE!$L784)</f>
        <v/>
      </c>
      <c r="L779" t="str">
        <f>IF(SAISIE!$M784="","",SAISIE!$M784)</f>
        <v/>
      </c>
      <c r="M779" t="str">
        <f>IF(SAISIE!$N784="","",SAISIE!$N784)</f>
        <v/>
      </c>
      <c r="N779" t="str">
        <f>IF(SAISIE!$O784="","",SAISIE!$O784)</f>
        <v/>
      </c>
      <c r="O779" t="str">
        <f>IF(SAISIE!$P784="","",SAISIE!$P784)</f>
        <v/>
      </c>
      <c r="P779" t="str">
        <f>IF(SAISIE!$Q784="","",SAISIE!$Q784)</f>
        <v/>
      </c>
      <c r="Q779" t="str">
        <f>IF($I779="","",IF($I779&gt;PARAMETRES!$G$29,5,IF($I779&gt;PARAMETRES!$F$29,4,IF($I779&gt;PARAMETRES!$E$29,3,IF($I779&gt;PARAMETRES!$D$29,2,1)))))</f>
        <v/>
      </c>
      <c r="R779" t="str">
        <f>IF($J779="","",IF($J779&gt;PARAMETRES!$G$30,5,IF($J779&gt;PARAMETRES!$F$30,4,IF($J779&gt;PARAMETRES!$E$30,3,IF($J779&gt;PARAMETRES!$D$30,2,1)))))</f>
        <v/>
      </c>
      <c r="S779" t="str">
        <f>IF($K779="","",IF($Z779=2,IF($K779&gt;PARAMETRES!$G$31,5,IF($K779&gt;PARAMETRES!$F$31,4,IF($K779&gt;PARAMETRES!$E$31,3,IF($K779&gt;PARAMETRES!$D$31,2,1)))),IF($K779&gt;PARAMETRES!$G$32,5,IF($K779&gt;PARAMETRES!$F$32,4,IF($K779&gt;PARAMETRES!$E$32,3,IF($K779&gt;PARAMETRES!$D$32,2,1))))))</f>
        <v/>
      </c>
      <c r="T779" t="str">
        <f>IF($L779="","",IF($L779&gt;PARAMETRES!$G$33,5,IF($L779&gt;PARAMETRES!$F$33,4,IF($L779&gt;PARAMETRES!$E$33,3,IF($L779&gt;PARAMETRES!$D$33,2,1)))))</f>
        <v/>
      </c>
      <c r="U779" t="str">
        <f>IF($M779="","",IF($M779&gt;PARAMETRES!$G$34,5,IF($M779&gt;PARAMETRES!$F$34,4,IF($M779&gt;PARAMETRES!$E$34,3,IF($M779&gt;PARAMETRES!$D$34,2,1)))))</f>
        <v/>
      </c>
      <c r="V779" t="str">
        <f>IF($N779="","",IF($N779&gt;PARAMETRES!$G$35,5,IF($N779&gt;PARAMETRES!$F$35,4,IF($N779&gt;PARAMETRES!$E$35,3,IF($N779&gt;PARAMETRES!$D$35,2,1)))))</f>
        <v/>
      </c>
      <c r="W779" t="str">
        <f>IF($O779="","",IF($O779&gt;PARAMETRES!$G$36,5,IF($O779&gt;PARAMETRES!$F$36,4,IF($O779&gt;PARAMETRES!$E$36,3,IF($O779&gt;PARAMETRES!$D$36,2,1)))))</f>
        <v/>
      </c>
      <c r="X779" t="str">
        <f>IF($P779="","",IF($P779&gt;PARAMETRES!$G$37,5,IF($P779&gt;PARAMETRES!$F$37,4,IF($P779&gt;PARAMETRES!$E$37,3,IF($P779&gt;PARAMETRES!$D$37,2,1)))))</f>
        <v/>
      </c>
      <c r="Y779" t="str">
        <f t="shared" si="288"/>
        <v/>
      </c>
      <c r="Z779" t="str">
        <f>IFERROR(VLOOKUP($B779,TABLE_CYCLE,2,0),"")</f>
        <v/>
      </c>
      <c r="AA779" t="str">
        <f t="shared" si="289"/>
        <v/>
      </c>
      <c r="AB779" t="str">
        <f>IF($D779="","",IF(COUNTIF($D$2:$D779,$D779)=1,$D779,""))</f>
        <v/>
      </c>
      <c r="AC779">
        <f t="shared" si="290"/>
        <v>0</v>
      </c>
      <c r="AD779" t="str">
        <f t="shared" si="291"/>
        <v>|0</v>
      </c>
      <c r="AE779" t="str">
        <f t="shared" si="292"/>
        <v/>
      </c>
      <c r="AF779" t="str">
        <f t="shared" si="293"/>
        <v/>
      </c>
      <c r="AG779" t="str">
        <f t="shared" si="294"/>
        <v/>
      </c>
      <c r="AH779" t="str">
        <f t="shared" si="295"/>
        <v/>
      </c>
      <c r="AI779" t="str">
        <f t="shared" si="296"/>
        <v/>
      </c>
      <c r="AJ779" t="str">
        <f t="shared" si="297"/>
        <v/>
      </c>
      <c r="AK779" t="str">
        <f t="shared" si="298"/>
        <v/>
      </c>
      <c r="AL779" t="str">
        <f t="shared" si="299"/>
        <v/>
      </c>
      <c r="AM779" t="str">
        <f t="shared" si="300"/>
        <v/>
      </c>
      <c r="AN779" t="str">
        <f t="shared" si="301"/>
        <v/>
      </c>
      <c r="AO779" t="str">
        <f t="shared" si="302"/>
        <v/>
      </c>
      <c r="AP779">
        <f t="shared" si="303"/>
        <v>1</v>
      </c>
      <c r="AQ779" t="str">
        <f>IF(SAISIE!$F784="","",SAISIE!$Y784)</f>
        <v/>
      </c>
      <c r="AR779" t="str">
        <f>IF(OR(SAISIE!$U$4="",SAISIE!$W$4=""),"",IF(AND($A779=SAISIE!$U$4,$B779=SAISIE!$W$4,$C779="S1"),COUNTIFS($A$2:$A779,SAISIE!$U$4,$B$2:$B779,SAISIE!$W$4,$C$2:$C779,"S1"),""))</f>
        <v/>
      </c>
      <c r="AS779" t="str">
        <f t="shared" si="304"/>
        <v/>
      </c>
      <c r="AT779" t="str">
        <f t="shared" si="305"/>
        <v/>
      </c>
      <c r="AU779" t="str">
        <f t="shared" si="306"/>
        <v/>
      </c>
      <c r="AV779">
        <f>N(AV778)+IF(AND($AB779&lt;&gt;"",OR('PROFIL ELEVE'!$K$4="(Tous)",$AF779='PROFIL ELEVE'!$K$4)),1,0)</f>
        <v>0</v>
      </c>
      <c r="AW779">
        <f>N(AW778)+IF(AND($AB779&lt;&gt;"",OR('SUIVI LONGITUDINAL'!$Q$4="(Tous)",$AF779='SUIVI LONGITUDINAL'!$Q$4)),1,0)</f>
        <v>0</v>
      </c>
      <c r="AX779">
        <f t="shared" si="307"/>
        <v>0</v>
      </c>
      <c r="AY779">
        <f t="shared" si="308"/>
        <v>0</v>
      </c>
      <c r="AZ779">
        <f t="shared" si="309"/>
        <v>0</v>
      </c>
      <c r="BA779" t="str">
        <f t="shared" si="310"/>
        <v/>
      </c>
      <c r="BB779" t="str">
        <f t="shared" si="311"/>
        <v/>
      </c>
    </row>
    <row r="780" spans="1:54" ht="14.25" customHeight="1" x14ac:dyDescent="0.3">
      <c r="A780" t="str">
        <f>IF(SAISIE!$F785="","",SAISIE!$B785)</f>
        <v/>
      </c>
      <c r="B780" t="str">
        <f>IF(SAISIE!$F785="","",SAISIE!$C785)</f>
        <v/>
      </c>
      <c r="C780" t="str">
        <f>IF(SAISIE!$F785="","",SAISIE!$D785)</f>
        <v/>
      </c>
      <c r="D780" t="str">
        <f>IF(SAISIE!$E785="","",SAISIE!$E785)</f>
        <v/>
      </c>
      <c r="E780" t="str">
        <f>IF(SAISIE!$F785="","",SAISIE!$F785)</f>
        <v/>
      </c>
      <c r="F780" t="str">
        <f>IF(SAISIE!$G785="","",SAISIE!$G785)</f>
        <v/>
      </c>
      <c r="G780" t="str">
        <f>IF(SAISIE!$H785="","",SAISIE!$H785)</f>
        <v/>
      </c>
      <c r="H780" t="str">
        <f>IF(SAISIE!$I785="","",SAISIE!$I785)</f>
        <v/>
      </c>
      <c r="I780" t="str">
        <f>IF(SAISIE!$J785="","",SAISIE!$J785)</f>
        <v/>
      </c>
      <c r="J780" t="str">
        <f>IF(SAISIE!$K785="","",SAISIE!$K785)</f>
        <v/>
      </c>
      <c r="K780" t="str">
        <f>IF(SAISIE!$L785="","",SAISIE!$L785)</f>
        <v/>
      </c>
      <c r="L780" t="str">
        <f>IF(SAISIE!$M785="","",SAISIE!$M785)</f>
        <v/>
      </c>
      <c r="M780" t="str">
        <f>IF(SAISIE!$N785="","",SAISIE!$N785)</f>
        <v/>
      </c>
      <c r="N780" t="str">
        <f>IF(SAISIE!$O785="","",SAISIE!$O785)</f>
        <v/>
      </c>
      <c r="O780" t="str">
        <f>IF(SAISIE!$P785="","",SAISIE!$P785)</f>
        <v/>
      </c>
      <c r="P780" t="str">
        <f>IF(SAISIE!$Q785="","",SAISIE!$Q785)</f>
        <v/>
      </c>
      <c r="Q780" t="str">
        <f>IF($I780="","",IF($I780&gt;PARAMETRES!$G$29,5,IF($I780&gt;PARAMETRES!$F$29,4,IF($I780&gt;PARAMETRES!$E$29,3,IF($I780&gt;PARAMETRES!$D$29,2,1)))))</f>
        <v/>
      </c>
      <c r="R780" t="str">
        <f>IF($J780="","",IF($J780&gt;PARAMETRES!$G$30,5,IF($J780&gt;PARAMETRES!$F$30,4,IF($J780&gt;PARAMETRES!$E$30,3,IF($J780&gt;PARAMETRES!$D$30,2,1)))))</f>
        <v/>
      </c>
      <c r="S780" t="str">
        <f>IF($K780="","",IF($Z780=2,IF($K780&gt;PARAMETRES!$G$31,5,IF($K780&gt;PARAMETRES!$F$31,4,IF($K780&gt;PARAMETRES!$E$31,3,IF($K780&gt;PARAMETRES!$D$31,2,1)))),IF($K780&gt;PARAMETRES!$G$32,5,IF($K780&gt;PARAMETRES!$F$32,4,IF($K780&gt;PARAMETRES!$E$32,3,IF($K780&gt;PARAMETRES!$D$32,2,1))))))</f>
        <v/>
      </c>
      <c r="T780" t="str">
        <f>IF($L780="","",IF($L780&gt;PARAMETRES!$G$33,5,IF($L780&gt;PARAMETRES!$F$33,4,IF($L780&gt;PARAMETRES!$E$33,3,IF($L780&gt;PARAMETRES!$D$33,2,1)))))</f>
        <v/>
      </c>
      <c r="U780" t="str">
        <f>IF($M780="","",IF($M780&gt;PARAMETRES!$G$34,5,IF($M780&gt;PARAMETRES!$F$34,4,IF($M780&gt;PARAMETRES!$E$34,3,IF($M780&gt;PARAMETRES!$D$34,2,1)))))</f>
        <v/>
      </c>
      <c r="V780" t="str">
        <f>IF($N780="","",IF($N780&gt;PARAMETRES!$G$35,5,IF($N780&gt;PARAMETRES!$F$35,4,IF($N780&gt;PARAMETRES!$E$35,3,IF($N780&gt;PARAMETRES!$D$35,2,1)))))</f>
        <v/>
      </c>
      <c r="W780" t="str">
        <f>IF($O780="","",IF($O780&gt;PARAMETRES!$G$36,5,IF($O780&gt;PARAMETRES!$F$36,4,IF($O780&gt;PARAMETRES!$E$36,3,IF($O780&gt;PARAMETRES!$D$36,2,1)))))</f>
        <v/>
      </c>
      <c r="X780" t="str">
        <f>IF($P780="","",IF($P780&gt;PARAMETRES!$G$37,5,IF($P780&gt;PARAMETRES!$F$37,4,IF($P780&gt;PARAMETRES!$E$37,3,IF($P780&gt;PARAMETRES!$D$37,2,1)))))</f>
        <v/>
      </c>
      <c r="Y780" t="str">
        <f t="shared" si="288"/>
        <v/>
      </c>
      <c r="Z780" t="str">
        <f>IFERROR(VLOOKUP($B780,TABLE_CYCLE,2,0),"")</f>
        <v/>
      </c>
      <c r="AA780" t="str">
        <f t="shared" si="289"/>
        <v/>
      </c>
      <c r="AB780" t="str">
        <f>IF($D780="","",IF(COUNTIF($D$2:$D780,$D780)=1,$D780,""))</f>
        <v/>
      </c>
      <c r="AC780">
        <f t="shared" si="290"/>
        <v>0</v>
      </c>
      <c r="AD780" t="str">
        <f t="shared" si="291"/>
        <v>|0</v>
      </c>
      <c r="AE780" t="str">
        <f t="shared" si="292"/>
        <v/>
      </c>
      <c r="AF780" t="str">
        <f t="shared" si="293"/>
        <v/>
      </c>
      <c r="AG780" t="str">
        <f t="shared" si="294"/>
        <v/>
      </c>
      <c r="AH780" t="str">
        <f t="shared" si="295"/>
        <v/>
      </c>
      <c r="AI780" t="str">
        <f t="shared" si="296"/>
        <v/>
      </c>
      <c r="AJ780" t="str">
        <f t="shared" si="297"/>
        <v/>
      </c>
      <c r="AK780" t="str">
        <f t="shared" si="298"/>
        <v/>
      </c>
      <c r="AL780" t="str">
        <f t="shared" si="299"/>
        <v/>
      </c>
      <c r="AM780" t="str">
        <f t="shared" si="300"/>
        <v/>
      </c>
      <c r="AN780" t="str">
        <f t="shared" si="301"/>
        <v/>
      </c>
      <c r="AO780" t="str">
        <f t="shared" si="302"/>
        <v/>
      </c>
      <c r="AP780">
        <f t="shared" si="303"/>
        <v>1</v>
      </c>
      <c r="AQ780" t="str">
        <f>IF(SAISIE!$F785="","",SAISIE!$Y785)</f>
        <v/>
      </c>
      <c r="AR780" t="str">
        <f>IF(OR(SAISIE!$U$4="",SAISIE!$W$4=""),"",IF(AND($A780=SAISIE!$U$4,$B780=SAISIE!$W$4,$C780="S1"),COUNTIFS($A$2:$A780,SAISIE!$U$4,$B$2:$B780,SAISIE!$W$4,$C$2:$C780,"S1"),""))</f>
        <v/>
      </c>
      <c r="AS780" t="str">
        <f t="shared" si="304"/>
        <v/>
      </c>
      <c r="AT780" t="str">
        <f t="shared" si="305"/>
        <v/>
      </c>
      <c r="AU780" t="str">
        <f t="shared" si="306"/>
        <v/>
      </c>
      <c r="AV780">
        <f>N(AV779)+IF(AND($AB780&lt;&gt;"",OR('PROFIL ELEVE'!$K$4="(Tous)",$AF780='PROFIL ELEVE'!$K$4)),1,0)</f>
        <v>0</v>
      </c>
      <c r="AW780">
        <f>N(AW779)+IF(AND($AB780&lt;&gt;"",OR('SUIVI LONGITUDINAL'!$Q$4="(Tous)",$AF780='SUIVI LONGITUDINAL'!$Q$4)),1,0)</f>
        <v>0</v>
      </c>
      <c r="AX780">
        <f t="shared" si="307"/>
        <v>0</v>
      </c>
      <c r="AY780">
        <f t="shared" si="308"/>
        <v>0</v>
      </c>
      <c r="AZ780">
        <f t="shared" si="309"/>
        <v>0</v>
      </c>
      <c r="BA780" t="str">
        <f t="shared" si="310"/>
        <v/>
      </c>
      <c r="BB780" t="str">
        <f t="shared" si="311"/>
        <v/>
      </c>
    </row>
    <row r="781" spans="1:54" ht="14.25" customHeight="1" x14ac:dyDescent="0.3">
      <c r="A781" t="str">
        <f>IF(SAISIE!$F786="","",SAISIE!$B786)</f>
        <v/>
      </c>
      <c r="B781" t="str">
        <f>IF(SAISIE!$F786="","",SAISIE!$C786)</f>
        <v/>
      </c>
      <c r="C781" t="str">
        <f>IF(SAISIE!$F786="","",SAISIE!$D786)</f>
        <v/>
      </c>
      <c r="D781" t="str">
        <f>IF(SAISIE!$E786="","",SAISIE!$E786)</f>
        <v/>
      </c>
      <c r="E781" t="str">
        <f>IF(SAISIE!$F786="","",SAISIE!$F786)</f>
        <v/>
      </c>
      <c r="F781" t="str">
        <f>IF(SAISIE!$G786="","",SAISIE!$G786)</f>
        <v/>
      </c>
      <c r="G781" t="str">
        <f>IF(SAISIE!$H786="","",SAISIE!$H786)</f>
        <v/>
      </c>
      <c r="H781" t="str">
        <f>IF(SAISIE!$I786="","",SAISIE!$I786)</f>
        <v/>
      </c>
      <c r="I781" t="str">
        <f>IF(SAISIE!$J786="","",SAISIE!$J786)</f>
        <v/>
      </c>
      <c r="J781" t="str">
        <f>IF(SAISIE!$K786="","",SAISIE!$K786)</f>
        <v/>
      </c>
      <c r="K781" t="str">
        <f>IF(SAISIE!$L786="","",SAISIE!$L786)</f>
        <v/>
      </c>
      <c r="L781" t="str">
        <f>IF(SAISIE!$M786="","",SAISIE!$M786)</f>
        <v/>
      </c>
      <c r="M781" t="str">
        <f>IF(SAISIE!$N786="","",SAISIE!$N786)</f>
        <v/>
      </c>
      <c r="N781" t="str">
        <f>IF(SAISIE!$O786="","",SAISIE!$O786)</f>
        <v/>
      </c>
      <c r="O781" t="str">
        <f>IF(SAISIE!$P786="","",SAISIE!$P786)</f>
        <v/>
      </c>
      <c r="P781" t="str">
        <f>IF(SAISIE!$Q786="","",SAISIE!$Q786)</f>
        <v/>
      </c>
      <c r="Q781" t="str">
        <f>IF($I781="","",IF($I781&gt;PARAMETRES!$G$29,5,IF($I781&gt;PARAMETRES!$F$29,4,IF($I781&gt;PARAMETRES!$E$29,3,IF($I781&gt;PARAMETRES!$D$29,2,1)))))</f>
        <v/>
      </c>
      <c r="R781" t="str">
        <f>IF($J781="","",IF($J781&gt;PARAMETRES!$G$30,5,IF($J781&gt;PARAMETRES!$F$30,4,IF($J781&gt;PARAMETRES!$E$30,3,IF($J781&gt;PARAMETRES!$D$30,2,1)))))</f>
        <v/>
      </c>
      <c r="S781" t="str">
        <f>IF($K781="","",IF($Z781=2,IF($K781&gt;PARAMETRES!$G$31,5,IF($K781&gt;PARAMETRES!$F$31,4,IF($K781&gt;PARAMETRES!$E$31,3,IF($K781&gt;PARAMETRES!$D$31,2,1)))),IF($K781&gt;PARAMETRES!$G$32,5,IF($K781&gt;PARAMETRES!$F$32,4,IF($K781&gt;PARAMETRES!$E$32,3,IF($K781&gt;PARAMETRES!$D$32,2,1))))))</f>
        <v/>
      </c>
      <c r="T781" t="str">
        <f>IF($L781="","",IF($L781&gt;PARAMETRES!$G$33,5,IF($L781&gt;PARAMETRES!$F$33,4,IF($L781&gt;PARAMETRES!$E$33,3,IF($L781&gt;PARAMETRES!$D$33,2,1)))))</f>
        <v/>
      </c>
      <c r="U781" t="str">
        <f>IF($M781="","",IF($M781&gt;PARAMETRES!$G$34,5,IF($M781&gt;PARAMETRES!$F$34,4,IF($M781&gt;PARAMETRES!$E$34,3,IF($M781&gt;PARAMETRES!$D$34,2,1)))))</f>
        <v/>
      </c>
      <c r="V781" t="str">
        <f>IF($N781="","",IF($N781&gt;PARAMETRES!$G$35,5,IF($N781&gt;PARAMETRES!$F$35,4,IF($N781&gt;PARAMETRES!$E$35,3,IF($N781&gt;PARAMETRES!$D$35,2,1)))))</f>
        <v/>
      </c>
      <c r="W781" t="str">
        <f>IF($O781="","",IF($O781&gt;PARAMETRES!$G$36,5,IF($O781&gt;PARAMETRES!$F$36,4,IF($O781&gt;PARAMETRES!$E$36,3,IF($O781&gt;PARAMETRES!$D$36,2,1)))))</f>
        <v/>
      </c>
      <c r="X781" t="str">
        <f>IF($P781="","",IF($P781&gt;PARAMETRES!$G$37,5,IF($P781&gt;PARAMETRES!$F$37,4,IF($P781&gt;PARAMETRES!$E$37,3,IF($P781&gt;PARAMETRES!$D$37,2,1)))))</f>
        <v/>
      </c>
      <c r="Y781" t="str">
        <f t="shared" si="288"/>
        <v/>
      </c>
      <c r="Z781" t="str">
        <f>IFERROR(VLOOKUP($B781,TABLE_CYCLE,2,0),"")</f>
        <v/>
      </c>
      <c r="AA781" t="str">
        <f t="shared" si="289"/>
        <v/>
      </c>
      <c r="AB781" t="str">
        <f>IF($D781="","",IF(COUNTIF($D$2:$D781,$D781)=1,$D781,""))</f>
        <v/>
      </c>
      <c r="AC781">
        <f t="shared" si="290"/>
        <v>0</v>
      </c>
      <c r="AD781" t="str">
        <f t="shared" si="291"/>
        <v>|0</v>
      </c>
      <c r="AE781" t="str">
        <f t="shared" si="292"/>
        <v/>
      </c>
      <c r="AF781" t="str">
        <f t="shared" si="293"/>
        <v/>
      </c>
      <c r="AG781" t="str">
        <f t="shared" si="294"/>
        <v/>
      </c>
      <c r="AH781" t="str">
        <f t="shared" si="295"/>
        <v/>
      </c>
      <c r="AI781" t="str">
        <f t="shared" si="296"/>
        <v/>
      </c>
      <c r="AJ781" t="str">
        <f t="shared" si="297"/>
        <v/>
      </c>
      <c r="AK781" t="str">
        <f t="shared" si="298"/>
        <v/>
      </c>
      <c r="AL781" t="str">
        <f t="shared" si="299"/>
        <v/>
      </c>
      <c r="AM781" t="str">
        <f t="shared" si="300"/>
        <v/>
      </c>
      <c r="AN781" t="str">
        <f t="shared" si="301"/>
        <v/>
      </c>
      <c r="AO781" t="str">
        <f t="shared" si="302"/>
        <v/>
      </c>
      <c r="AP781">
        <f t="shared" si="303"/>
        <v>1</v>
      </c>
      <c r="AQ781" t="str">
        <f>IF(SAISIE!$F786="","",SAISIE!$Y786)</f>
        <v/>
      </c>
      <c r="AR781" t="str">
        <f>IF(OR(SAISIE!$U$4="",SAISIE!$W$4=""),"",IF(AND($A781=SAISIE!$U$4,$B781=SAISIE!$W$4,$C781="S1"),COUNTIFS($A$2:$A781,SAISIE!$U$4,$B$2:$B781,SAISIE!$W$4,$C$2:$C781,"S1"),""))</f>
        <v/>
      </c>
      <c r="AS781" t="str">
        <f t="shared" si="304"/>
        <v/>
      </c>
      <c r="AT781" t="str">
        <f t="shared" si="305"/>
        <v/>
      </c>
      <c r="AU781" t="str">
        <f t="shared" si="306"/>
        <v/>
      </c>
      <c r="AV781">
        <f>N(AV780)+IF(AND($AB781&lt;&gt;"",OR('PROFIL ELEVE'!$K$4="(Tous)",$AF781='PROFIL ELEVE'!$K$4)),1,0)</f>
        <v>0</v>
      </c>
      <c r="AW781">
        <f>N(AW780)+IF(AND($AB781&lt;&gt;"",OR('SUIVI LONGITUDINAL'!$Q$4="(Tous)",$AF781='SUIVI LONGITUDINAL'!$Q$4)),1,0)</f>
        <v>0</v>
      </c>
      <c r="AX781">
        <f t="shared" si="307"/>
        <v>0</v>
      </c>
      <c r="AY781">
        <f t="shared" si="308"/>
        <v>0</v>
      </c>
      <c r="AZ781">
        <f t="shared" si="309"/>
        <v>0</v>
      </c>
      <c r="BA781" t="str">
        <f t="shared" si="310"/>
        <v/>
      </c>
      <c r="BB781" t="str">
        <f t="shared" si="311"/>
        <v/>
      </c>
    </row>
    <row r="782" spans="1:54" ht="14.25" customHeight="1" x14ac:dyDescent="0.3">
      <c r="A782" t="str">
        <f>IF(SAISIE!$F787="","",SAISIE!$B787)</f>
        <v/>
      </c>
      <c r="B782" t="str">
        <f>IF(SAISIE!$F787="","",SAISIE!$C787)</f>
        <v/>
      </c>
      <c r="C782" t="str">
        <f>IF(SAISIE!$F787="","",SAISIE!$D787)</f>
        <v/>
      </c>
      <c r="D782" t="str">
        <f>IF(SAISIE!$E787="","",SAISIE!$E787)</f>
        <v/>
      </c>
      <c r="E782" t="str">
        <f>IF(SAISIE!$F787="","",SAISIE!$F787)</f>
        <v/>
      </c>
      <c r="F782" t="str">
        <f>IF(SAISIE!$G787="","",SAISIE!$G787)</f>
        <v/>
      </c>
      <c r="G782" t="str">
        <f>IF(SAISIE!$H787="","",SAISIE!$H787)</f>
        <v/>
      </c>
      <c r="H782" t="str">
        <f>IF(SAISIE!$I787="","",SAISIE!$I787)</f>
        <v/>
      </c>
      <c r="I782" t="str">
        <f>IF(SAISIE!$J787="","",SAISIE!$J787)</f>
        <v/>
      </c>
      <c r="J782" t="str">
        <f>IF(SAISIE!$K787="","",SAISIE!$K787)</f>
        <v/>
      </c>
      <c r="K782" t="str">
        <f>IF(SAISIE!$L787="","",SAISIE!$L787)</f>
        <v/>
      </c>
      <c r="L782" t="str">
        <f>IF(SAISIE!$M787="","",SAISIE!$M787)</f>
        <v/>
      </c>
      <c r="M782" t="str">
        <f>IF(SAISIE!$N787="","",SAISIE!$N787)</f>
        <v/>
      </c>
      <c r="N782" t="str">
        <f>IF(SAISIE!$O787="","",SAISIE!$O787)</f>
        <v/>
      </c>
      <c r="O782" t="str">
        <f>IF(SAISIE!$P787="","",SAISIE!$P787)</f>
        <v/>
      </c>
      <c r="P782" t="str">
        <f>IF(SAISIE!$Q787="","",SAISIE!$Q787)</f>
        <v/>
      </c>
      <c r="Q782" t="str">
        <f>IF($I782="","",IF($I782&gt;PARAMETRES!$G$29,5,IF($I782&gt;PARAMETRES!$F$29,4,IF($I782&gt;PARAMETRES!$E$29,3,IF($I782&gt;PARAMETRES!$D$29,2,1)))))</f>
        <v/>
      </c>
      <c r="R782" t="str">
        <f>IF($J782="","",IF($J782&gt;PARAMETRES!$G$30,5,IF($J782&gt;PARAMETRES!$F$30,4,IF($J782&gt;PARAMETRES!$E$30,3,IF($J782&gt;PARAMETRES!$D$30,2,1)))))</f>
        <v/>
      </c>
      <c r="S782" t="str">
        <f>IF($K782="","",IF($Z782=2,IF($K782&gt;PARAMETRES!$G$31,5,IF($K782&gt;PARAMETRES!$F$31,4,IF($K782&gt;PARAMETRES!$E$31,3,IF($K782&gt;PARAMETRES!$D$31,2,1)))),IF($K782&gt;PARAMETRES!$G$32,5,IF($K782&gt;PARAMETRES!$F$32,4,IF($K782&gt;PARAMETRES!$E$32,3,IF($K782&gt;PARAMETRES!$D$32,2,1))))))</f>
        <v/>
      </c>
      <c r="T782" t="str">
        <f>IF($L782="","",IF($L782&gt;PARAMETRES!$G$33,5,IF($L782&gt;PARAMETRES!$F$33,4,IF($L782&gt;PARAMETRES!$E$33,3,IF($L782&gt;PARAMETRES!$D$33,2,1)))))</f>
        <v/>
      </c>
      <c r="U782" t="str">
        <f>IF($M782="","",IF($M782&gt;PARAMETRES!$G$34,5,IF($M782&gt;PARAMETRES!$F$34,4,IF($M782&gt;PARAMETRES!$E$34,3,IF($M782&gt;PARAMETRES!$D$34,2,1)))))</f>
        <v/>
      </c>
      <c r="V782" t="str">
        <f>IF($N782="","",IF($N782&gt;PARAMETRES!$G$35,5,IF($N782&gt;PARAMETRES!$F$35,4,IF($N782&gt;PARAMETRES!$E$35,3,IF($N782&gt;PARAMETRES!$D$35,2,1)))))</f>
        <v/>
      </c>
      <c r="W782" t="str">
        <f>IF($O782="","",IF($O782&gt;PARAMETRES!$G$36,5,IF($O782&gt;PARAMETRES!$F$36,4,IF($O782&gt;PARAMETRES!$E$36,3,IF($O782&gt;PARAMETRES!$D$36,2,1)))))</f>
        <v/>
      </c>
      <c r="X782" t="str">
        <f>IF($P782="","",IF($P782&gt;PARAMETRES!$G$37,5,IF($P782&gt;PARAMETRES!$F$37,4,IF($P782&gt;PARAMETRES!$E$37,3,IF($P782&gt;PARAMETRES!$D$37,2,1)))))</f>
        <v/>
      </c>
      <c r="Y782" t="str">
        <f t="shared" si="288"/>
        <v/>
      </c>
      <c r="Z782" t="str">
        <f>IFERROR(VLOOKUP($B782,TABLE_CYCLE,2,0),"")</f>
        <v/>
      </c>
      <c r="AA782" t="str">
        <f t="shared" si="289"/>
        <v/>
      </c>
      <c r="AB782" t="str">
        <f>IF($D782="","",IF(COUNTIF($D$2:$D782,$D782)=1,$D782,""))</f>
        <v/>
      </c>
      <c r="AC782">
        <f t="shared" si="290"/>
        <v>0</v>
      </c>
      <c r="AD782" t="str">
        <f t="shared" si="291"/>
        <v>|0</v>
      </c>
      <c r="AE782" t="str">
        <f t="shared" si="292"/>
        <v/>
      </c>
      <c r="AF782" t="str">
        <f t="shared" si="293"/>
        <v/>
      </c>
      <c r="AG782" t="str">
        <f t="shared" si="294"/>
        <v/>
      </c>
      <c r="AH782" t="str">
        <f t="shared" si="295"/>
        <v/>
      </c>
      <c r="AI782" t="str">
        <f t="shared" si="296"/>
        <v/>
      </c>
      <c r="AJ782" t="str">
        <f t="shared" si="297"/>
        <v/>
      </c>
      <c r="AK782" t="str">
        <f t="shared" si="298"/>
        <v/>
      </c>
      <c r="AL782" t="str">
        <f t="shared" si="299"/>
        <v/>
      </c>
      <c r="AM782" t="str">
        <f t="shared" si="300"/>
        <v/>
      </c>
      <c r="AN782" t="str">
        <f t="shared" si="301"/>
        <v/>
      </c>
      <c r="AO782" t="str">
        <f t="shared" si="302"/>
        <v/>
      </c>
      <c r="AP782">
        <f t="shared" si="303"/>
        <v>1</v>
      </c>
      <c r="AQ782" t="str">
        <f>IF(SAISIE!$F787="","",SAISIE!$Y787)</f>
        <v/>
      </c>
      <c r="AR782" t="str">
        <f>IF(OR(SAISIE!$U$4="",SAISIE!$W$4=""),"",IF(AND($A782=SAISIE!$U$4,$B782=SAISIE!$W$4,$C782="S1"),COUNTIFS($A$2:$A782,SAISIE!$U$4,$B$2:$B782,SAISIE!$W$4,$C$2:$C782,"S1"),""))</f>
        <v/>
      </c>
      <c r="AS782" t="str">
        <f t="shared" si="304"/>
        <v/>
      </c>
      <c r="AT782" t="str">
        <f t="shared" si="305"/>
        <v/>
      </c>
      <c r="AU782" t="str">
        <f t="shared" si="306"/>
        <v/>
      </c>
      <c r="AV782">
        <f>N(AV781)+IF(AND($AB782&lt;&gt;"",OR('PROFIL ELEVE'!$K$4="(Tous)",$AF782='PROFIL ELEVE'!$K$4)),1,0)</f>
        <v>0</v>
      </c>
      <c r="AW782">
        <f>N(AW781)+IF(AND($AB782&lt;&gt;"",OR('SUIVI LONGITUDINAL'!$Q$4="(Tous)",$AF782='SUIVI LONGITUDINAL'!$Q$4)),1,0)</f>
        <v>0</v>
      </c>
      <c r="AX782">
        <f t="shared" si="307"/>
        <v>0</v>
      </c>
      <c r="AY782">
        <f t="shared" si="308"/>
        <v>0</v>
      </c>
      <c r="AZ782">
        <f t="shared" si="309"/>
        <v>0</v>
      </c>
      <c r="BA782" t="str">
        <f t="shared" si="310"/>
        <v/>
      </c>
      <c r="BB782" t="str">
        <f t="shared" si="311"/>
        <v/>
      </c>
    </row>
    <row r="783" spans="1:54" ht="14.25" customHeight="1" x14ac:dyDescent="0.3">
      <c r="A783" t="str">
        <f>IF(SAISIE!$F788="","",SAISIE!$B788)</f>
        <v/>
      </c>
      <c r="B783" t="str">
        <f>IF(SAISIE!$F788="","",SAISIE!$C788)</f>
        <v/>
      </c>
      <c r="C783" t="str">
        <f>IF(SAISIE!$F788="","",SAISIE!$D788)</f>
        <v/>
      </c>
      <c r="D783" t="str">
        <f>IF(SAISIE!$E788="","",SAISIE!$E788)</f>
        <v/>
      </c>
      <c r="E783" t="str">
        <f>IF(SAISIE!$F788="","",SAISIE!$F788)</f>
        <v/>
      </c>
      <c r="F783" t="str">
        <f>IF(SAISIE!$G788="","",SAISIE!$G788)</f>
        <v/>
      </c>
      <c r="G783" t="str">
        <f>IF(SAISIE!$H788="","",SAISIE!$H788)</f>
        <v/>
      </c>
      <c r="H783" t="str">
        <f>IF(SAISIE!$I788="","",SAISIE!$I788)</f>
        <v/>
      </c>
      <c r="I783" t="str">
        <f>IF(SAISIE!$J788="","",SAISIE!$J788)</f>
        <v/>
      </c>
      <c r="J783" t="str">
        <f>IF(SAISIE!$K788="","",SAISIE!$K788)</f>
        <v/>
      </c>
      <c r="K783" t="str">
        <f>IF(SAISIE!$L788="","",SAISIE!$L788)</f>
        <v/>
      </c>
      <c r="L783" t="str">
        <f>IF(SAISIE!$M788="","",SAISIE!$M788)</f>
        <v/>
      </c>
      <c r="M783" t="str">
        <f>IF(SAISIE!$N788="","",SAISIE!$N788)</f>
        <v/>
      </c>
      <c r="N783" t="str">
        <f>IF(SAISIE!$O788="","",SAISIE!$O788)</f>
        <v/>
      </c>
      <c r="O783" t="str">
        <f>IF(SAISIE!$P788="","",SAISIE!$P788)</f>
        <v/>
      </c>
      <c r="P783" t="str">
        <f>IF(SAISIE!$Q788="","",SAISIE!$Q788)</f>
        <v/>
      </c>
      <c r="Q783" t="str">
        <f>IF($I783="","",IF($I783&gt;PARAMETRES!$G$29,5,IF($I783&gt;PARAMETRES!$F$29,4,IF($I783&gt;PARAMETRES!$E$29,3,IF($I783&gt;PARAMETRES!$D$29,2,1)))))</f>
        <v/>
      </c>
      <c r="R783" t="str">
        <f>IF($J783="","",IF($J783&gt;PARAMETRES!$G$30,5,IF($J783&gt;PARAMETRES!$F$30,4,IF($J783&gt;PARAMETRES!$E$30,3,IF($J783&gt;PARAMETRES!$D$30,2,1)))))</f>
        <v/>
      </c>
      <c r="S783" t="str">
        <f>IF($K783="","",IF($Z783=2,IF($K783&gt;PARAMETRES!$G$31,5,IF($K783&gt;PARAMETRES!$F$31,4,IF($K783&gt;PARAMETRES!$E$31,3,IF($K783&gt;PARAMETRES!$D$31,2,1)))),IF($K783&gt;PARAMETRES!$G$32,5,IF($K783&gt;PARAMETRES!$F$32,4,IF($K783&gt;PARAMETRES!$E$32,3,IF($K783&gt;PARAMETRES!$D$32,2,1))))))</f>
        <v/>
      </c>
      <c r="T783" t="str">
        <f>IF($L783="","",IF($L783&gt;PARAMETRES!$G$33,5,IF($L783&gt;PARAMETRES!$F$33,4,IF($L783&gt;PARAMETRES!$E$33,3,IF($L783&gt;PARAMETRES!$D$33,2,1)))))</f>
        <v/>
      </c>
      <c r="U783" t="str">
        <f>IF($M783="","",IF($M783&gt;PARAMETRES!$G$34,5,IF($M783&gt;PARAMETRES!$F$34,4,IF($M783&gt;PARAMETRES!$E$34,3,IF($M783&gt;PARAMETRES!$D$34,2,1)))))</f>
        <v/>
      </c>
      <c r="V783" t="str">
        <f>IF($N783="","",IF($N783&gt;PARAMETRES!$G$35,5,IF($N783&gt;PARAMETRES!$F$35,4,IF($N783&gt;PARAMETRES!$E$35,3,IF($N783&gt;PARAMETRES!$D$35,2,1)))))</f>
        <v/>
      </c>
      <c r="W783" t="str">
        <f>IF($O783="","",IF($O783&gt;PARAMETRES!$G$36,5,IF($O783&gt;PARAMETRES!$F$36,4,IF($O783&gt;PARAMETRES!$E$36,3,IF($O783&gt;PARAMETRES!$D$36,2,1)))))</f>
        <v/>
      </c>
      <c r="X783" t="str">
        <f>IF($P783="","",IF($P783&gt;PARAMETRES!$G$37,5,IF($P783&gt;PARAMETRES!$F$37,4,IF($P783&gt;PARAMETRES!$E$37,3,IF($P783&gt;PARAMETRES!$D$37,2,1)))))</f>
        <v/>
      </c>
      <c r="Y783" t="str">
        <f t="shared" si="288"/>
        <v/>
      </c>
      <c r="Z783" t="str">
        <f>IFERROR(VLOOKUP($B783,TABLE_CYCLE,2,0),"")</f>
        <v/>
      </c>
      <c r="AA783" t="str">
        <f t="shared" si="289"/>
        <v/>
      </c>
      <c r="AB783" t="str">
        <f>IF($D783="","",IF(COUNTIF($D$2:$D783,$D783)=1,$D783,""))</f>
        <v/>
      </c>
      <c r="AC783">
        <f t="shared" si="290"/>
        <v>0</v>
      </c>
      <c r="AD783" t="str">
        <f t="shared" si="291"/>
        <v>|0</v>
      </c>
      <c r="AE783" t="str">
        <f t="shared" si="292"/>
        <v/>
      </c>
      <c r="AF783" t="str">
        <f t="shared" si="293"/>
        <v/>
      </c>
      <c r="AG783" t="str">
        <f t="shared" si="294"/>
        <v/>
      </c>
      <c r="AH783" t="str">
        <f t="shared" si="295"/>
        <v/>
      </c>
      <c r="AI783" t="str">
        <f t="shared" si="296"/>
        <v/>
      </c>
      <c r="AJ783" t="str">
        <f t="shared" si="297"/>
        <v/>
      </c>
      <c r="AK783" t="str">
        <f t="shared" si="298"/>
        <v/>
      </c>
      <c r="AL783" t="str">
        <f t="shared" si="299"/>
        <v/>
      </c>
      <c r="AM783" t="str">
        <f t="shared" si="300"/>
        <v/>
      </c>
      <c r="AN783" t="str">
        <f t="shared" si="301"/>
        <v/>
      </c>
      <c r="AO783" t="str">
        <f t="shared" si="302"/>
        <v/>
      </c>
      <c r="AP783">
        <f t="shared" si="303"/>
        <v>1</v>
      </c>
      <c r="AQ783" t="str">
        <f>IF(SAISIE!$F788="","",SAISIE!$Y788)</f>
        <v/>
      </c>
      <c r="AR783" t="str">
        <f>IF(OR(SAISIE!$U$4="",SAISIE!$W$4=""),"",IF(AND($A783=SAISIE!$U$4,$B783=SAISIE!$W$4,$C783="S1"),COUNTIFS($A$2:$A783,SAISIE!$U$4,$B$2:$B783,SAISIE!$W$4,$C$2:$C783,"S1"),""))</f>
        <v/>
      </c>
      <c r="AS783" t="str">
        <f t="shared" si="304"/>
        <v/>
      </c>
      <c r="AT783" t="str">
        <f t="shared" si="305"/>
        <v/>
      </c>
      <c r="AU783" t="str">
        <f t="shared" si="306"/>
        <v/>
      </c>
      <c r="AV783">
        <f>N(AV782)+IF(AND($AB783&lt;&gt;"",OR('PROFIL ELEVE'!$K$4="(Tous)",$AF783='PROFIL ELEVE'!$K$4)),1,0)</f>
        <v>0</v>
      </c>
      <c r="AW783">
        <f>N(AW782)+IF(AND($AB783&lt;&gt;"",OR('SUIVI LONGITUDINAL'!$Q$4="(Tous)",$AF783='SUIVI LONGITUDINAL'!$Q$4)),1,0)</f>
        <v>0</v>
      </c>
      <c r="AX783">
        <f t="shared" si="307"/>
        <v>0</v>
      </c>
      <c r="AY783">
        <f t="shared" si="308"/>
        <v>0</v>
      </c>
      <c r="AZ783">
        <f t="shared" si="309"/>
        <v>0</v>
      </c>
      <c r="BA783" t="str">
        <f t="shared" si="310"/>
        <v/>
      </c>
      <c r="BB783" t="str">
        <f t="shared" si="311"/>
        <v/>
      </c>
    </row>
    <row r="784" spans="1:54" ht="14.25" customHeight="1" x14ac:dyDescent="0.3">
      <c r="A784" t="str">
        <f>IF(SAISIE!$F789="","",SAISIE!$B789)</f>
        <v/>
      </c>
      <c r="B784" t="str">
        <f>IF(SAISIE!$F789="","",SAISIE!$C789)</f>
        <v/>
      </c>
      <c r="C784" t="str">
        <f>IF(SAISIE!$F789="","",SAISIE!$D789)</f>
        <v/>
      </c>
      <c r="D784" t="str">
        <f>IF(SAISIE!$E789="","",SAISIE!$E789)</f>
        <v/>
      </c>
      <c r="E784" t="str">
        <f>IF(SAISIE!$F789="","",SAISIE!$F789)</f>
        <v/>
      </c>
      <c r="F784" t="str">
        <f>IF(SAISIE!$G789="","",SAISIE!$G789)</f>
        <v/>
      </c>
      <c r="G784" t="str">
        <f>IF(SAISIE!$H789="","",SAISIE!$H789)</f>
        <v/>
      </c>
      <c r="H784" t="str">
        <f>IF(SAISIE!$I789="","",SAISIE!$I789)</f>
        <v/>
      </c>
      <c r="I784" t="str">
        <f>IF(SAISIE!$J789="","",SAISIE!$J789)</f>
        <v/>
      </c>
      <c r="J784" t="str">
        <f>IF(SAISIE!$K789="","",SAISIE!$K789)</f>
        <v/>
      </c>
      <c r="K784" t="str">
        <f>IF(SAISIE!$L789="","",SAISIE!$L789)</f>
        <v/>
      </c>
      <c r="L784" t="str">
        <f>IF(SAISIE!$M789="","",SAISIE!$M789)</f>
        <v/>
      </c>
      <c r="M784" t="str">
        <f>IF(SAISIE!$N789="","",SAISIE!$N789)</f>
        <v/>
      </c>
      <c r="N784" t="str">
        <f>IF(SAISIE!$O789="","",SAISIE!$O789)</f>
        <v/>
      </c>
      <c r="O784" t="str">
        <f>IF(SAISIE!$P789="","",SAISIE!$P789)</f>
        <v/>
      </c>
      <c r="P784" t="str">
        <f>IF(SAISIE!$Q789="","",SAISIE!$Q789)</f>
        <v/>
      </c>
      <c r="Q784" t="str">
        <f>IF($I784="","",IF($I784&gt;PARAMETRES!$G$29,5,IF($I784&gt;PARAMETRES!$F$29,4,IF($I784&gt;PARAMETRES!$E$29,3,IF($I784&gt;PARAMETRES!$D$29,2,1)))))</f>
        <v/>
      </c>
      <c r="R784" t="str">
        <f>IF($J784="","",IF($J784&gt;PARAMETRES!$G$30,5,IF($J784&gt;PARAMETRES!$F$30,4,IF($J784&gt;PARAMETRES!$E$30,3,IF($J784&gt;PARAMETRES!$D$30,2,1)))))</f>
        <v/>
      </c>
      <c r="S784" t="str">
        <f>IF($K784="","",IF($Z784=2,IF($K784&gt;PARAMETRES!$G$31,5,IF($K784&gt;PARAMETRES!$F$31,4,IF($K784&gt;PARAMETRES!$E$31,3,IF($K784&gt;PARAMETRES!$D$31,2,1)))),IF($K784&gt;PARAMETRES!$G$32,5,IF($K784&gt;PARAMETRES!$F$32,4,IF($K784&gt;PARAMETRES!$E$32,3,IF($K784&gt;PARAMETRES!$D$32,2,1))))))</f>
        <v/>
      </c>
      <c r="T784" t="str">
        <f>IF($L784="","",IF($L784&gt;PARAMETRES!$G$33,5,IF($L784&gt;PARAMETRES!$F$33,4,IF($L784&gt;PARAMETRES!$E$33,3,IF($L784&gt;PARAMETRES!$D$33,2,1)))))</f>
        <v/>
      </c>
      <c r="U784" t="str">
        <f>IF($M784="","",IF($M784&gt;PARAMETRES!$G$34,5,IF($M784&gt;PARAMETRES!$F$34,4,IF($M784&gt;PARAMETRES!$E$34,3,IF($M784&gt;PARAMETRES!$D$34,2,1)))))</f>
        <v/>
      </c>
      <c r="V784" t="str">
        <f>IF($N784="","",IF($N784&gt;PARAMETRES!$G$35,5,IF($N784&gt;PARAMETRES!$F$35,4,IF($N784&gt;PARAMETRES!$E$35,3,IF($N784&gt;PARAMETRES!$D$35,2,1)))))</f>
        <v/>
      </c>
      <c r="W784" t="str">
        <f>IF($O784="","",IF($O784&gt;PARAMETRES!$G$36,5,IF($O784&gt;PARAMETRES!$F$36,4,IF($O784&gt;PARAMETRES!$E$36,3,IF($O784&gt;PARAMETRES!$D$36,2,1)))))</f>
        <v/>
      </c>
      <c r="X784" t="str">
        <f>IF($P784="","",IF($P784&gt;PARAMETRES!$G$37,5,IF($P784&gt;PARAMETRES!$F$37,4,IF($P784&gt;PARAMETRES!$E$37,3,IF($P784&gt;PARAMETRES!$D$37,2,1)))))</f>
        <v/>
      </c>
      <c r="Y784" t="str">
        <f t="shared" si="288"/>
        <v/>
      </c>
      <c r="Z784" t="str">
        <f>IFERROR(VLOOKUP($B784,TABLE_CYCLE,2,0),"")</f>
        <v/>
      </c>
      <c r="AA784" t="str">
        <f t="shared" si="289"/>
        <v/>
      </c>
      <c r="AB784" t="str">
        <f>IF($D784="","",IF(COUNTIF($D$2:$D784,$D784)=1,$D784,""))</f>
        <v/>
      </c>
      <c r="AC784">
        <f t="shared" si="290"/>
        <v>0</v>
      </c>
      <c r="AD784" t="str">
        <f t="shared" si="291"/>
        <v>|0</v>
      </c>
      <c r="AE784" t="str">
        <f t="shared" si="292"/>
        <v/>
      </c>
      <c r="AF784" t="str">
        <f t="shared" si="293"/>
        <v/>
      </c>
      <c r="AG784" t="str">
        <f t="shared" si="294"/>
        <v/>
      </c>
      <c r="AH784" t="str">
        <f t="shared" si="295"/>
        <v/>
      </c>
      <c r="AI784" t="str">
        <f t="shared" si="296"/>
        <v/>
      </c>
      <c r="AJ784" t="str">
        <f t="shared" si="297"/>
        <v/>
      </c>
      <c r="AK784" t="str">
        <f t="shared" si="298"/>
        <v/>
      </c>
      <c r="AL784" t="str">
        <f t="shared" si="299"/>
        <v/>
      </c>
      <c r="AM784" t="str">
        <f t="shared" si="300"/>
        <v/>
      </c>
      <c r="AN784" t="str">
        <f t="shared" si="301"/>
        <v/>
      </c>
      <c r="AO784" t="str">
        <f t="shared" si="302"/>
        <v/>
      </c>
      <c r="AP784">
        <f t="shared" si="303"/>
        <v>1</v>
      </c>
      <c r="AQ784" t="str">
        <f>IF(SAISIE!$F789="","",SAISIE!$Y789)</f>
        <v/>
      </c>
      <c r="AR784" t="str">
        <f>IF(OR(SAISIE!$U$4="",SAISIE!$W$4=""),"",IF(AND($A784=SAISIE!$U$4,$B784=SAISIE!$W$4,$C784="S1"),COUNTIFS($A$2:$A784,SAISIE!$U$4,$B$2:$B784,SAISIE!$W$4,$C$2:$C784,"S1"),""))</f>
        <v/>
      </c>
      <c r="AS784" t="str">
        <f t="shared" si="304"/>
        <v/>
      </c>
      <c r="AT784" t="str">
        <f t="shared" si="305"/>
        <v/>
      </c>
      <c r="AU784" t="str">
        <f t="shared" si="306"/>
        <v/>
      </c>
      <c r="AV784">
        <f>N(AV783)+IF(AND($AB784&lt;&gt;"",OR('PROFIL ELEVE'!$K$4="(Tous)",$AF784='PROFIL ELEVE'!$K$4)),1,0)</f>
        <v>0</v>
      </c>
      <c r="AW784">
        <f>N(AW783)+IF(AND($AB784&lt;&gt;"",OR('SUIVI LONGITUDINAL'!$Q$4="(Tous)",$AF784='SUIVI LONGITUDINAL'!$Q$4)),1,0)</f>
        <v>0</v>
      </c>
      <c r="AX784">
        <f t="shared" si="307"/>
        <v>0</v>
      </c>
      <c r="AY784">
        <f t="shared" si="308"/>
        <v>0</v>
      </c>
      <c r="AZ784">
        <f t="shared" si="309"/>
        <v>0</v>
      </c>
      <c r="BA784" t="str">
        <f t="shared" si="310"/>
        <v/>
      </c>
      <c r="BB784" t="str">
        <f t="shared" si="311"/>
        <v/>
      </c>
    </row>
    <row r="785" spans="1:54" ht="14.25" customHeight="1" x14ac:dyDescent="0.3">
      <c r="A785" t="str">
        <f>IF(SAISIE!$F790="","",SAISIE!$B790)</f>
        <v/>
      </c>
      <c r="B785" t="str">
        <f>IF(SAISIE!$F790="","",SAISIE!$C790)</f>
        <v/>
      </c>
      <c r="C785" t="str">
        <f>IF(SAISIE!$F790="","",SAISIE!$D790)</f>
        <v/>
      </c>
      <c r="D785" t="str">
        <f>IF(SAISIE!$E790="","",SAISIE!$E790)</f>
        <v/>
      </c>
      <c r="E785" t="str">
        <f>IF(SAISIE!$F790="","",SAISIE!$F790)</f>
        <v/>
      </c>
      <c r="F785" t="str">
        <f>IF(SAISIE!$G790="","",SAISIE!$G790)</f>
        <v/>
      </c>
      <c r="G785" t="str">
        <f>IF(SAISIE!$H790="","",SAISIE!$H790)</f>
        <v/>
      </c>
      <c r="H785" t="str">
        <f>IF(SAISIE!$I790="","",SAISIE!$I790)</f>
        <v/>
      </c>
      <c r="I785" t="str">
        <f>IF(SAISIE!$J790="","",SAISIE!$J790)</f>
        <v/>
      </c>
      <c r="J785" t="str">
        <f>IF(SAISIE!$K790="","",SAISIE!$K790)</f>
        <v/>
      </c>
      <c r="K785" t="str">
        <f>IF(SAISIE!$L790="","",SAISIE!$L790)</f>
        <v/>
      </c>
      <c r="L785" t="str">
        <f>IF(SAISIE!$M790="","",SAISIE!$M790)</f>
        <v/>
      </c>
      <c r="M785" t="str">
        <f>IF(SAISIE!$N790="","",SAISIE!$N790)</f>
        <v/>
      </c>
      <c r="N785" t="str">
        <f>IF(SAISIE!$O790="","",SAISIE!$O790)</f>
        <v/>
      </c>
      <c r="O785" t="str">
        <f>IF(SAISIE!$P790="","",SAISIE!$P790)</f>
        <v/>
      </c>
      <c r="P785" t="str">
        <f>IF(SAISIE!$Q790="","",SAISIE!$Q790)</f>
        <v/>
      </c>
      <c r="Q785" t="str">
        <f>IF($I785="","",IF($I785&gt;PARAMETRES!$G$29,5,IF($I785&gt;PARAMETRES!$F$29,4,IF($I785&gt;PARAMETRES!$E$29,3,IF($I785&gt;PARAMETRES!$D$29,2,1)))))</f>
        <v/>
      </c>
      <c r="R785" t="str">
        <f>IF($J785="","",IF($J785&gt;PARAMETRES!$G$30,5,IF($J785&gt;PARAMETRES!$F$30,4,IF($J785&gt;PARAMETRES!$E$30,3,IF($J785&gt;PARAMETRES!$D$30,2,1)))))</f>
        <v/>
      </c>
      <c r="S785" t="str">
        <f>IF($K785="","",IF($Z785=2,IF($K785&gt;PARAMETRES!$G$31,5,IF($K785&gt;PARAMETRES!$F$31,4,IF($K785&gt;PARAMETRES!$E$31,3,IF($K785&gt;PARAMETRES!$D$31,2,1)))),IF($K785&gt;PARAMETRES!$G$32,5,IF($K785&gt;PARAMETRES!$F$32,4,IF($K785&gt;PARAMETRES!$E$32,3,IF($K785&gt;PARAMETRES!$D$32,2,1))))))</f>
        <v/>
      </c>
      <c r="T785" t="str">
        <f>IF($L785="","",IF($L785&gt;PARAMETRES!$G$33,5,IF($L785&gt;PARAMETRES!$F$33,4,IF($L785&gt;PARAMETRES!$E$33,3,IF($L785&gt;PARAMETRES!$D$33,2,1)))))</f>
        <v/>
      </c>
      <c r="U785" t="str">
        <f>IF($M785="","",IF($M785&gt;PARAMETRES!$G$34,5,IF($M785&gt;PARAMETRES!$F$34,4,IF($M785&gt;PARAMETRES!$E$34,3,IF($M785&gt;PARAMETRES!$D$34,2,1)))))</f>
        <v/>
      </c>
      <c r="V785" t="str">
        <f>IF($N785="","",IF($N785&gt;PARAMETRES!$G$35,5,IF($N785&gt;PARAMETRES!$F$35,4,IF($N785&gt;PARAMETRES!$E$35,3,IF($N785&gt;PARAMETRES!$D$35,2,1)))))</f>
        <v/>
      </c>
      <c r="W785" t="str">
        <f>IF($O785="","",IF($O785&gt;PARAMETRES!$G$36,5,IF($O785&gt;PARAMETRES!$F$36,4,IF($O785&gt;PARAMETRES!$E$36,3,IF($O785&gt;PARAMETRES!$D$36,2,1)))))</f>
        <v/>
      </c>
      <c r="X785" t="str">
        <f>IF($P785="","",IF($P785&gt;PARAMETRES!$G$37,5,IF($P785&gt;PARAMETRES!$F$37,4,IF($P785&gt;PARAMETRES!$E$37,3,IF($P785&gt;PARAMETRES!$D$37,2,1)))))</f>
        <v/>
      </c>
      <c r="Y785" t="str">
        <f t="shared" si="288"/>
        <v/>
      </c>
      <c r="Z785" t="str">
        <f>IFERROR(VLOOKUP($B785,TABLE_CYCLE,2,0),"")</f>
        <v/>
      </c>
      <c r="AA785" t="str">
        <f t="shared" si="289"/>
        <v/>
      </c>
      <c r="AB785" t="str">
        <f>IF($D785="","",IF(COUNTIF($D$2:$D785,$D785)=1,$D785,""))</f>
        <v/>
      </c>
      <c r="AC785">
        <f t="shared" si="290"/>
        <v>0</v>
      </c>
      <c r="AD785" t="str">
        <f t="shared" si="291"/>
        <v>|0</v>
      </c>
      <c r="AE785" t="str">
        <f t="shared" si="292"/>
        <v/>
      </c>
      <c r="AF785" t="str">
        <f t="shared" si="293"/>
        <v/>
      </c>
      <c r="AG785" t="str">
        <f t="shared" si="294"/>
        <v/>
      </c>
      <c r="AH785" t="str">
        <f t="shared" si="295"/>
        <v/>
      </c>
      <c r="AI785" t="str">
        <f t="shared" si="296"/>
        <v/>
      </c>
      <c r="AJ785" t="str">
        <f t="shared" si="297"/>
        <v/>
      </c>
      <c r="AK785" t="str">
        <f t="shared" si="298"/>
        <v/>
      </c>
      <c r="AL785" t="str">
        <f t="shared" si="299"/>
        <v/>
      </c>
      <c r="AM785" t="str">
        <f t="shared" si="300"/>
        <v/>
      </c>
      <c r="AN785" t="str">
        <f t="shared" si="301"/>
        <v/>
      </c>
      <c r="AO785" t="str">
        <f t="shared" si="302"/>
        <v/>
      </c>
      <c r="AP785">
        <f t="shared" si="303"/>
        <v>1</v>
      </c>
      <c r="AQ785" t="str">
        <f>IF(SAISIE!$F790="","",SAISIE!$Y790)</f>
        <v/>
      </c>
      <c r="AR785" t="str">
        <f>IF(OR(SAISIE!$U$4="",SAISIE!$W$4=""),"",IF(AND($A785=SAISIE!$U$4,$B785=SAISIE!$W$4,$C785="S1"),COUNTIFS($A$2:$A785,SAISIE!$U$4,$B$2:$B785,SAISIE!$W$4,$C$2:$C785,"S1"),""))</f>
        <v/>
      </c>
      <c r="AS785" t="str">
        <f t="shared" si="304"/>
        <v/>
      </c>
      <c r="AT785" t="str">
        <f t="shared" si="305"/>
        <v/>
      </c>
      <c r="AU785" t="str">
        <f t="shared" si="306"/>
        <v/>
      </c>
      <c r="AV785">
        <f>N(AV784)+IF(AND($AB785&lt;&gt;"",OR('PROFIL ELEVE'!$K$4="(Tous)",$AF785='PROFIL ELEVE'!$K$4)),1,0)</f>
        <v>0</v>
      </c>
      <c r="AW785">
        <f>N(AW784)+IF(AND($AB785&lt;&gt;"",OR('SUIVI LONGITUDINAL'!$Q$4="(Tous)",$AF785='SUIVI LONGITUDINAL'!$Q$4)),1,0)</f>
        <v>0</v>
      </c>
      <c r="AX785">
        <f t="shared" si="307"/>
        <v>0</v>
      </c>
      <c r="AY785">
        <f t="shared" si="308"/>
        <v>0</v>
      </c>
      <c r="AZ785">
        <f t="shared" si="309"/>
        <v>0</v>
      </c>
      <c r="BA785" t="str">
        <f t="shared" si="310"/>
        <v/>
      </c>
      <c r="BB785" t="str">
        <f t="shared" si="311"/>
        <v/>
      </c>
    </row>
    <row r="786" spans="1:54" ht="14.25" customHeight="1" x14ac:dyDescent="0.3">
      <c r="A786" t="str">
        <f>IF(SAISIE!$F791="","",SAISIE!$B791)</f>
        <v/>
      </c>
      <c r="B786" t="str">
        <f>IF(SAISIE!$F791="","",SAISIE!$C791)</f>
        <v/>
      </c>
      <c r="C786" t="str">
        <f>IF(SAISIE!$F791="","",SAISIE!$D791)</f>
        <v/>
      </c>
      <c r="D786" t="str">
        <f>IF(SAISIE!$E791="","",SAISIE!$E791)</f>
        <v/>
      </c>
      <c r="E786" t="str">
        <f>IF(SAISIE!$F791="","",SAISIE!$F791)</f>
        <v/>
      </c>
      <c r="F786" t="str">
        <f>IF(SAISIE!$G791="","",SAISIE!$G791)</f>
        <v/>
      </c>
      <c r="G786" t="str">
        <f>IF(SAISIE!$H791="","",SAISIE!$H791)</f>
        <v/>
      </c>
      <c r="H786" t="str">
        <f>IF(SAISIE!$I791="","",SAISIE!$I791)</f>
        <v/>
      </c>
      <c r="I786" t="str">
        <f>IF(SAISIE!$J791="","",SAISIE!$J791)</f>
        <v/>
      </c>
      <c r="J786" t="str">
        <f>IF(SAISIE!$K791="","",SAISIE!$K791)</f>
        <v/>
      </c>
      <c r="K786" t="str">
        <f>IF(SAISIE!$L791="","",SAISIE!$L791)</f>
        <v/>
      </c>
      <c r="L786" t="str">
        <f>IF(SAISIE!$M791="","",SAISIE!$M791)</f>
        <v/>
      </c>
      <c r="M786" t="str">
        <f>IF(SAISIE!$N791="","",SAISIE!$N791)</f>
        <v/>
      </c>
      <c r="N786" t="str">
        <f>IF(SAISIE!$O791="","",SAISIE!$O791)</f>
        <v/>
      </c>
      <c r="O786" t="str">
        <f>IF(SAISIE!$P791="","",SAISIE!$P791)</f>
        <v/>
      </c>
      <c r="P786" t="str">
        <f>IF(SAISIE!$Q791="","",SAISIE!$Q791)</f>
        <v/>
      </c>
      <c r="Q786" t="str">
        <f>IF($I786="","",IF($I786&gt;PARAMETRES!$G$29,5,IF($I786&gt;PARAMETRES!$F$29,4,IF($I786&gt;PARAMETRES!$E$29,3,IF($I786&gt;PARAMETRES!$D$29,2,1)))))</f>
        <v/>
      </c>
      <c r="R786" t="str">
        <f>IF($J786="","",IF($J786&gt;PARAMETRES!$G$30,5,IF($J786&gt;PARAMETRES!$F$30,4,IF($J786&gt;PARAMETRES!$E$30,3,IF($J786&gt;PARAMETRES!$D$30,2,1)))))</f>
        <v/>
      </c>
      <c r="S786" t="str">
        <f>IF($K786="","",IF($Z786=2,IF($K786&gt;PARAMETRES!$G$31,5,IF($K786&gt;PARAMETRES!$F$31,4,IF($K786&gt;PARAMETRES!$E$31,3,IF($K786&gt;PARAMETRES!$D$31,2,1)))),IF($K786&gt;PARAMETRES!$G$32,5,IF($K786&gt;PARAMETRES!$F$32,4,IF($K786&gt;PARAMETRES!$E$32,3,IF($K786&gt;PARAMETRES!$D$32,2,1))))))</f>
        <v/>
      </c>
      <c r="T786" t="str">
        <f>IF($L786="","",IF($L786&gt;PARAMETRES!$G$33,5,IF($L786&gt;PARAMETRES!$F$33,4,IF($L786&gt;PARAMETRES!$E$33,3,IF($L786&gt;PARAMETRES!$D$33,2,1)))))</f>
        <v/>
      </c>
      <c r="U786" t="str">
        <f>IF($M786="","",IF($M786&gt;PARAMETRES!$G$34,5,IF($M786&gt;PARAMETRES!$F$34,4,IF($M786&gt;PARAMETRES!$E$34,3,IF($M786&gt;PARAMETRES!$D$34,2,1)))))</f>
        <v/>
      </c>
      <c r="V786" t="str">
        <f>IF($N786="","",IF($N786&gt;PARAMETRES!$G$35,5,IF($N786&gt;PARAMETRES!$F$35,4,IF($N786&gt;PARAMETRES!$E$35,3,IF($N786&gt;PARAMETRES!$D$35,2,1)))))</f>
        <v/>
      </c>
      <c r="W786" t="str">
        <f>IF($O786="","",IF($O786&gt;PARAMETRES!$G$36,5,IF($O786&gt;PARAMETRES!$F$36,4,IF($O786&gt;PARAMETRES!$E$36,3,IF($O786&gt;PARAMETRES!$D$36,2,1)))))</f>
        <v/>
      </c>
      <c r="X786" t="str">
        <f>IF($P786="","",IF($P786&gt;PARAMETRES!$G$37,5,IF($P786&gt;PARAMETRES!$F$37,4,IF($P786&gt;PARAMETRES!$E$37,3,IF($P786&gt;PARAMETRES!$D$37,2,1)))))</f>
        <v/>
      </c>
      <c r="Y786" t="str">
        <f t="shared" si="288"/>
        <v/>
      </c>
      <c r="Z786" t="str">
        <f>IFERROR(VLOOKUP($B786,TABLE_CYCLE,2,0),"")</f>
        <v/>
      </c>
      <c r="AA786" t="str">
        <f t="shared" si="289"/>
        <v/>
      </c>
      <c r="AB786" t="str">
        <f>IF($D786="","",IF(COUNTIF($D$2:$D786,$D786)=1,$D786,""))</f>
        <v/>
      </c>
      <c r="AC786">
        <f t="shared" si="290"/>
        <v>0</v>
      </c>
      <c r="AD786" t="str">
        <f t="shared" si="291"/>
        <v>|0</v>
      </c>
      <c r="AE786" t="str">
        <f t="shared" si="292"/>
        <v/>
      </c>
      <c r="AF786" t="str">
        <f t="shared" si="293"/>
        <v/>
      </c>
      <c r="AG786" t="str">
        <f t="shared" si="294"/>
        <v/>
      </c>
      <c r="AH786" t="str">
        <f t="shared" si="295"/>
        <v/>
      </c>
      <c r="AI786" t="str">
        <f t="shared" si="296"/>
        <v/>
      </c>
      <c r="AJ786" t="str">
        <f t="shared" si="297"/>
        <v/>
      </c>
      <c r="AK786" t="str">
        <f t="shared" si="298"/>
        <v/>
      </c>
      <c r="AL786" t="str">
        <f t="shared" si="299"/>
        <v/>
      </c>
      <c r="AM786" t="str">
        <f t="shared" si="300"/>
        <v/>
      </c>
      <c r="AN786" t="str">
        <f t="shared" si="301"/>
        <v/>
      </c>
      <c r="AO786" t="str">
        <f t="shared" si="302"/>
        <v/>
      </c>
      <c r="AP786">
        <f t="shared" si="303"/>
        <v>1</v>
      </c>
      <c r="AQ786" t="str">
        <f>IF(SAISIE!$F791="","",SAISIE!$Y791)</f>
        <v/>
      </c>
      <c r="AR786" t="str">
        <f>IF(OR(SAISIE!$U$4="",SAISIE!$W$4=""),"",IF(AND($A786=SAISIE!$U$4,$B786=SAISIE!$W$4,$C786="S1"),COUNTIFS($A$2:$A786,SAISIE!$U$4,$B$2:$B786,SAISIE!$W$4,$C$2:$C786,"S1"),""))</f>
        <v/>
      </c>
      <c r="AS786" t="str">
        <f t="shared" si="304"/>
        <v/>
      </c>
      <c r="AT786" t="str">
        <f t="shared" si="305"/>
        <v/>
      </c>
      <c r="AU786" t="str">
        <f t="shared" si="306"/>
        <v/>
      </c>
      <c r="AV786">
        <f>N(AV785)+IF(AND($AB786&lt;&gt;"",OR('PROFIL ELEVE'!$K$4="(Tous)",$AF786='PROFIL ELEVE'!$K$4)),1,0)</f>
        <v>0</v>
      </c>
      <c r="AW786">
        <f>N(AW785)+IF(AND($AB786&lt;&gt;"",OR('SUIVI LONGITUDINAL'!$Q$4="(Tous)",$AF786='SUIVI LONGITUDINAL'!$Q$4)),1,0)</f>
        <v>0</v>
      </c>
      <c r="AX786">
        <f t="shared" si="307"/>
        <v>0</v>
      </c>
      <c r="AY786">
        <f t="shared" si="308"/>
        <v>0</v>
      </c>
      <c r="AZ786">
        <f t="shared" si="309"/>
        <v>0</v>
      </c>
      <c r="BA786" t="str">
        <f t="shared" si="310"/>
        <v/>
      </c>
      <c r="BB786" t="str">
        <f t="shared" si="311"/>
        <v/>
      </c>
    </row>
    <row r="787" spans="1:54" ht="14.25" customHeight="1" x14ac:dyDescent="0.3">
      <c r="A787" t="str">
        <f>IF(SAISIE!$F792="","",SAISIE!$B792)</f>
        <v/>
      </c>
      <c r="B787" t="str">
        <f>IF(SAISIE!$F792="","",SAISIE!$C792)</f>
        <v/>
      </c>
      <c r="C787" t="str">
        <f>IF(SAISIE!$F792="","",SAISIE!$D792)</f>
        <v/>
      </c>
      <c r="D787" t="str">
        <f>IF(SAISIE!$E792="","",SAISIE!$E792)</f>
        <v/>
      </c>
      <c r="E787" t="str">
        <f>IF(SAISIE!$F792="","",SAISIE!$F792)</f>
        <v/>
      </c>
      <c r="F787" t="str">
        <f>IF(SAISIE!$G792="","",SAISIE!$G792)</f>
        <v/>
      </c>
      <c r="G787" t="str">
        <f>IF(SAISIE!$H792="","",SAISIE!$H792)</f>
        <v/>
      </c>
      <c r="H787" t="str">
        <f>IF(SAISIE!$I792="","",SAISIE!$I792)</f>
        <v/>
      </c>
      <c r="I787" t="str">
        <f>IF(SAISIE!$J792="","",SAISIE!$J792)</f>
        <v/>
      </c>
      <c r="J787" t="str">
        <f>IF(SAISIE!$K792="","",SAISIE!$K792)</f>
        <v/>
      </c>
      <c r="K787" t="str">
        <f>IF(SAISIE!$L792="","",SAISIE!$L792)</f>
        <v/>
      </c>
      <c r="L787" t="str">
        <f>IF(SAISIE!$M792="","",SAISIE!$M792)</f>
        <v/>
      </c>
      <c r="M787" t="str">
        <f>IF(SAISIE!$N792="","",SAISIE!$N792)</f>
        <v/>
      </c>
      <c r="N787" t="str">
        <f>IF(SAISIE!$O792="","",SAISIE!$O792)</f>
        <v/>
      </c>
      <c r="O787" t="str">
        <f>IF(SAISIE!$P792="","",SAISIE!$P792)</f>
        <v/>
      </c>
      <c r="P787" t="str">
        <f>IF(SAISIE!$Q792="","",SAISIE!$Q792)</f>
        <v/>
      </c>
      <c r="Q787" t="str">
        <f>IF($I787="","",IF($I787&gt;PARAMETRES!$G$29,5,IF($I787&gt;PARAMETRES!$F$29,4,IF($I787&gt;PARAMETRES!$E$29,3,IF($I787&gt;PARAMETRES!$D$29,2,1)))))</f>
        <v/>
      </c>
      <c r="R787" t="str">
        <f>IF($J787="","",IF($J787&gt;PARAMETRES!$G$30,5,IF($J787&gt;PARAMETRES!$F$30,4,IF($J787&gt;PARAMETRES!$E$30,3,IF($J787&gt;PARAMETRES!$D$30,2,1)))))</f>
        <v/>
      </c>
      <c r="S787" t="str">
        <f>IF($K787="","",IF($Z787=2,IF($K787&gt;PARAMETRES!$G$31,5,IF($K787&gt;PARAMETRES!$F$31,4,IF($K787&gt;PARAMETRES!$E$31,3,IF($K787&gt;PARAMETRES!$D$31,2,1)))),IF($K787&gt;PARAMETRES!$G$32,5,IF($K787&gt;PARAMETRES!$F$32,4,IF($K787&gt;PARAMETRES!$E$32,3,IF($K787&gt;PARAMETRES!$D$32,2,1))))))</f>
        <v/>
      </c>
      <c r="T787" t="str">
        <f>IF($L787="","",IF($L787&gt;PARAMETRES!$G$33,5,IF($L787&gt;PARAMETRES!$F$33,4,IF($L787&gt;PARAMETRES!$E$33,3,IF($L787&gt;PARAMETRES!$D$33,2,1)))))</f>
        <v/>
      </c>
      <c r="U787" t="str">
        <f>IF($M787="","",IF($M787&gt;PARAMETRES!$G$34,5,IF($M787&gt;PARAMETRES!$F$34,4,IF($M787&gt;PARAMETRES!$E$34,3,IF($M787&gt;PARAMETRES!$D$34,2,1)))))</f>
        <v/>
      </c>
      <c r="V787" t="str">
        <f>IF($N787="","",IF($N787&gt;PARAMETRES!$G$35,5,IF($N787&gt;PARAMETRES!$F$35,4,IF($N787&gt;PARAMETRES!$E$35,3,IF($N787&gt;PARAMETRES!$D$35,2,1)))))</f>
        <v/>
      </c>
      <c r="W787" t="str">
        <f>IF($O787="","",IF($O787&gt;PARAMETRES!$G$36,5,IF($O787&gt;PARAMETRES!$F$36,4,IF($O787&gt;PARAMETRES!$E$36,3,IF($O787&gt;PARAMETRES!$D$36,2,1)))))</f>
        <v/>
      </c>
      <c r="X787" t="str">
        <f>IF($P787="","",IF($P787&gt;PARAMETRES!$G$37,5,IF($P787&gt;PARAMETRES!$F$37,4,IF($P787&gt;PARAMETRES!$E$37,3,IF($P787&gt;PARAMETRES!$D$37,2,1)))))</f>
        <v/>
      </c>
      <c r="Y787" t="str">
        <f t="shared" si="288"/>
        <v/>
      </c>
      <c r="Z787" t="str">
        <f>IFERROR(VLOOKUP($B787,TABLE_CYCLE,2,0),"")</f>
        <v/>
      </c>
      <c r="AA787" t="str">
        <f t="shared" si="289"/>
        <v/>
      </c>
      <c r="AB787" t="str">
        <f>IF($D787="","",IF(COUNTIF($D$2:$D787,$D787)=1,$D787,""))</f>
        <v/>
      </c>
      <c r="AC787">
        <f t="shared" si="290"/>
        <v>0</v>
      </c>
      <c r="AD787" t="str">
        <f t="shared" si="291"/>
        <v>|0</v>
      </c>
      <c r="AE787" t="str">
        <f t="shared" si="292"/>
        <v/>
      </c>
      <c r="AF787" t="str">
        <f t="shared" si="293"/>
        <v/>
      </c>
      <c r="AG787" t="str">
        <f t="shared" si="294"/>
        <v/>
      </c>
      <c r="AH787" t="str">
        <f t="shared" si="295"/>
        <v/>
      </c>
      <c r="AI787" t="str">
        <f t="shared" si="296"/>
        <v/>
      </c>
      <c r="AJ787" t="str">
        <f t="shared" si="297"/>
        <v/>
      </c>
      <c r="AK787" t="str">
        <f t="shared" si="298"/>
        <v/>
      </c>
      <c r="AL787" t="str">
        <f t="shared" si="299"/>
        <v/>
      </c>
      <c r="AM787" t="str">
        <f t="shared" si="300"/>
        <v/>
      </c>
      <c r="AN787" t="str">
        <f t="shared" si="301"/>
        <v/>
      </c>
      <c r="AO787" t="str">
        <f t="shared" si="302"/>
        <v/>
      </c>
      <c r="AP787">
        <f t="shared" si="303"/>
        <v>1</v>
      </c>
      <c r="AQ787" t="str">
        <f>IF(SAISIE!$F792="","",SAISIE!$Y792)</f>
        <v/>
      </c>
      <c r="AR787" t="str">
        <f>IF(OR(SAISIE!$U$4="",SAISIE!$W$4=""),"",IF(AND($A787=SAISIE!$U$4,$B787=SAISIE!$W$4,$C787="S1"),COUNTIFS($A$2:$A787,SAISIE!$U$4,$B$2:$B787,SAISIE!$W$4,$C$2:$C787,"S1"),""))</f>
        <v/>
      </c>
      <c r="AS787" t="str">
        <f t="shared" si="304"/>
        <v/>
      </c>
      <c r="AT787" t="str">
        <f t="shared" si="305"/>
        <v/>
      </c>
      <c r="AU787" t="str">
        <f t="shared" si="306"/>
        <v/>
      </c>
      <c r="AV787">
        <f>N(AV786)+IF(AND($AB787&lt;&gt;"",OR('PROFIL ELEVE'!$K$4="(Tous)",$AF787='PROFIL ELEVE'!$K$4)),1,0)</f>
        <v>0</v>
      </c>
      <c r="AW787">
        <f>N(AW786)+IF(AND($AB787&lt;&gt;"",OR('SUIVI LONGITUDINAL'!$Q$4="(Tous)",$AF787='SUIVI LONGITUDINAL'!$Q$4)),1,0)</f>
        <v>0</v>
      </c>
      <c r="AX787">
        <f t="shared" si="307"/>
        <v>0</v>
      </c>
      <c r="AY787">
        <f t="shared" si="308"/>
        <v>0</v>
      </c>
      <c r="AZ787">
        <f t="shared" si="309"/>
        <v>0</v>
      </c>
      <c r="BA787" t="str">
        <f t="shared" si="310"/>
        <v/>
      </c>
      <c r="BB787" t="str">
        <f t="shared" si="311"/>
        <v/>
      </c>
    </row>
    <row r="788" spans="1:54" ht="14.25" customHeight="1" x14ac:dyDescent="0.3">
      <c r="A788" t="str">
        <f>IF(SAISIE!$F793="","",SAISIE!$B793)</f>
        <v/>
      </c>
      <c r="B788" t="str">
        <f>IF(SAISIE!$F793="","",SAISIE!$C793)</f>
        <v/>
      </c>
      <c r="C788" t="str">
        <f>IF(SAISIE!$F793="","",SAISIE!$D793)</f>
        <v/>
      </c>
      <c r="D788" t="str">
        <f>IF(SAISIE!$E793="","",SAISIE!$E793)</f>
        <v/>
      </c>
      <c r="E788" t="str">
        <f>IF(SAISIE!$F793="","",SAISIE!$F793)</f>
        <v/>
      </c>
      <c r="F788" t="str">
        <f>IF(SAISIE!$G793="","",SAISIE!$G793)</f>
        <v/>
      </c>
      <c r="G788" t="str">
        <f>IF(SAISIE!$H793="","",SAISIE!$H793)</f>
        <v/>
      </c>
      <c r="H788" t="str">
        <f>IF(SAISIE!$I793="","",SAISIE!$I793)</f>
        <v/>
      </c>
      <c r="I788" t="str">
        <f>IF(SAISIE!$J793="","",SAISIE!$J793)</f>
        <v/>
      </c>
      <c r="J788" t="str">
        <f>IF(SAISIE!$K793="","",SAISIE!$K793)</f>
        <v/>
      </c>
      <c r="K788" t="str">
        <f>IF(SAISIE!$L793="","",SAISIE!$L793)</f>
        <v/>
      </c>
      <c r="L788" t="str">
        <f>IF(SAISIE!$M793="","",SAISIE!$M793)</f>
        <v/>
      </c>
      <c r="M788" t="str">
        <f>IF(SAISIE!$N793="","",SAISIE!$N793)</f>
        <v/>
      </c>
      <c r="N788" t="str">
        <f>IF(SAISIE!$O793="","",SAISIE!$O793)</f>
        <v/>
      </c>
      <c r="O788" t="str">
        <f>IF(SAISIE!$P793="","",SAISIE!$P793)</f>
        <v/>
      </c>
      <c r="P788" t="str">
        <f>IF(SAISIE!$Q793="","",SAISIE!$Q793)</f>
        <v/>
      </c>
      <c r="Q788" t="str">
        <f>IF($I788="","",IF($I788&gt;PARAMETRES!$G$29,5,IF($I788&gt;PARAMETRES!$F$29,4,IF($I788&gt;PARAMETRES!$E$29,3,IF($I788&gt;PARAMETRES!$D$29,2,1)))))</f>
        <v/>
      </c>
      <c r="R788" t="str">
        <f>IF($J788="","",IF($J788&gt;PARAMETRES!$G$30,5,IF($J788&gt;PARAMETRES!$F$30,4,IF($J788&gt;PARAMETRES!$E$30,3,IF($J788&gt;PARAMETRES!$D$30,2,1)))))</f>
        <v/>
      </c>
      <c r="S788" t="str">
        <f>IF($K788="","",IF($Z788=2,IF($K788&gt;PARAMETRES!$G$31,5,IF($K788&gt;PARAMETRES!$F$31,4,IF($K788&gt;PARAMETRES!$E$31,3,IF($K788&gt;PARAMETRES!$D$31,2,1)))),IF($K788&gt;PARAMETRES!$G$32,5,IF($K788&gt;PARAMETRES!$F$32,4,IF($K788&gt;PARAMETRES!$E$32,3,IF($K788&gt;PARAMETRES!$D$32,2,1))))))</f>
        <v/>
      </c>
      <c r="T788" t="str">
        <f>IF($L788="","",IF($L788&gt;PARAMETRES!$G$33,5,IF($L788&gt;PARAMETRES!$F$33,4,IF($L788&gt;PARAMETRES!$E$33,3,IF($L788&gt;PARAMETRES!$D$33,2,1)))))</f>
        <v/>
      </c>
      <c r="U788" t="str">
        <f>IF($M788="","",IF($M788&gt;PARAMETRES!$G$34,5,IF($M788&gt;PARAMETRES!$F$34,4,IF($M788&gt;PARAMETRES!$E$34,3,IF($M788&gt;PARAMETRES!$D$34,2,1)))))</f>
        <v/>
      </c>
      <c r="V788" t="str">
        <f>IF($N788="","",IF($N788&gt;PARAMETRES!$G$35,5,IF($N788&gt;PARAMETRES!$F$35,4,IF($N788&gt;PARAMETRES!$E$35,3,IF($N788&gt;PARAMETRES!$D$35,2,1)))))</f>
        <v/>
      </c>
      <c r="W788" t="str">
        <f>IF($O788="","",IF($O788&gt;PARAMETRES!$G$36,5,IF($O788&gt;PARAMETRES!$F$36,4,IF($O788&gt;PARAMETRES!$E$36,3,IF($O788&gt;PARAMETRES!$D$36,2,1)))))</f>
        <v/>
      </c>
      <c r="X788" t="str">
        <f>IF($P788="","",IF($P788&gt;PARAMETRES!$G$37,5,IF($P788&gt;PARAMETRES!$F$37,4,IF($P788&gt;PARAMETRES!$E$37,3,IF($P788&gt;PARAMETRES!$D$37,2,1)))))</f>
        <v/>
      </c>
      <c r="Y788" t="str">
        <f t="shared" si="288"/>
        <v/>
      </c>
      <c r="Z788" t="str">
        <f>IFERROR(VLOOKUP($B788,TABLE_CYCLE,2,0),"")</f>
        <v/>
      </c>
      <c r="AA788" t="str">
        <f t="shared" si="289"/>
        <v/>
      </c>
      <c r="AB788" t="str">
        <f>IF($D788="","",IF(COUNTIF($D$2:$D788,$D788)=1,$D788,""))</f>
        <v/>
      </c>
      <c r="AC788">
        <f t="shared" si="290"/>
        <v>0</v>
      </c>
      <c r="AD788" t="str">
        <f t="shared" si="291"/>
        <v>|0</v>
      </c>
      <c r="AE788" t="str">
        <f t="shared" si="292"/>
        <v/>
      </c>
      <c r="AF788" t="str">
        <f t="shared" si="293"/>
        <v/>
      </c>
      <c r="AG788" t="str">
        <f t="shared" si="294"/>
        <v/>
      </c>
      <c r="AH788" t="str">
        <f t="shared" si="295"/>
        <v/>
      </c>
      <c r="AI788" t="str">
        <f t="shared" si="296"/>
        <v/>
      </c>
      <c r="AJ788" t="str">
        <f t="shared" si="297"/>
        <v/>
      </c>
      <c r="AK788" t="str">
        <f t="shared" si="298"/>
        <v/>
      </c>
      <c r="AL788" t="str">
        <f t="shared" si="299"/>
        <v/>
      </c>
      <c r="AM788" t="str">
        <f t="shared" si="300"/>
        <v/>
      </c>
      <c r="AN788" t="str">
        <f t="shared" si="301"/>
        <v/>
      </c>
      <c r="AO788" t="str">
        <f t="shared" si="302"/>
        <v/>
      </c>
      <c r="AP788">
        <f t="shared" si="303"/>
        <v>1</v>
      </c>
      <c r="AQ788" t="str">
        <f>IF(SAISIE!$F793="","",SAISIE!$Y793)</f>
        <v/>
      </c>
      <c r="AR788" t="str">
        <f>IF(OR(SAISIE!$U$4="",SAISIE!$W$4=""),"",IF(AND($A788=SAISIE!$U$4,$B788=SAISIE!$W$4,$C788="S1"),COUNTIFS($A$2:$A788,SAISIE!$U$4,$B$2:$B788,SAISIE!$W$4,$C$2:$C788,"S1"),""))</f>
        <v/>
      </c>
      <c r="AS788" t="str">
        <f t="shared" si="304"/>
        <v/>
      </c>
      <c r="AT788" t="str">
        <f t="shared" si="305"/>
        <v/>
      </c>
      <c r="AU788" t="str">
        <f t="shared" si="306"/>
        <v/>
      </c>
      <c r="AV788">
        <f>N(AV787)+IF(AND($AB788&lt;&gt;"",OR('PROFIL ELEVE'!$K$4="(Tous)",$AF788='PROFIL ELEVE'!$K$4)),1,0)</f>
        <v>0</v>
      </c>
      <c r="AW788">
        <f>N(AW787)+IF(AND($AB788&lt;&gt;"",OR('SUIVI LONGITUDINAL'!$Q$4="(Tous)",$AF788='SUIVI LONGITUDINAL'!$Q$4)),1,0)</f>
        <v>0</v>
      </c>
      <c r="AX788">
        <f t="shared" si="307"/>
        <v>0</v>
      </c>
      <c r="AY788">
        <f t="shared" si="308"/>
        <v>0</v>
      </c>
      <c r="AZ788">
        <f t="shared" si="309"/>
        <v>0</v>
      </c>
      <c r="BA788" t="str">
        <f t="shared" si="310"/>
        <v/>
      </c>
      <c r="BB788" t="str">
        <f t="shared" si="311"/>
        <v/>
      </c>
    </row>
    <row r="789" spans="1:54" ht="14.25" customHeight="1" x14ac:dyDescent="0.3">
      <c r="A789" t="str">
        <f>IF(SAISIE!$F794="","",SAISIE!$B794)</f>
        <v/>
      </c>
      <c r="B789" t="str">
        <f>IF(SAISIE!$F794="","",SAISIE!$C794)</f>
        <v/>
      </c>
      <c r="C789" t="str">
        <f>IF(SAISIE!$F794="","",SAISIE!$D794)</f>
        <v/>
      </c>
      <c r="D789" t="str">
        <f>IF(SAISIE!$E794="","",SAISIE!$E794)</f>
        <v/>
      </c>
      <c r="E789" t="str">
        <f>IF(SAISIE!$F794="","",SAISIE!$F794)</f>
        <v/>
      </c>
      <c r="F789" t="str">
        <f>IF(SAISIE!$G794="","",SAISIE!$G794)</f>
        <v/>
      </c>
      <c r="G789" t="str">
        <f>IF(SAISIE!$H794="","",SAISIE!$H794)</f>
        <v/>
      </c>
      <c r="H789" t="str">
        <f>IF(SAISIE!$I794="","",SAISIE!$I794)</f>
        <v/>
      </c>
      <c r="I789" t="str">
        <f>IF(SAISIE!$J794="","",SAISIE!$J794)</f>
        <v/>
      </c>
      <c r="J789" t="str">
        <f>IF(SAISIE!$K794="","",SAISIE!$K794)</f>
        <v/>
      </c>
      <c r="K789" t="str">
        <f>IF(SAISIE!$L794="","",SAISIE!$L794)</f>
        <v/>
      </c>
      <c r="L789" t="str">
        <f>IF(SAISIE!$M794="","",SAISIE!$M794)</f>
        <v/>
      </c>
      <c r="M789" t="str">
        <f>IF(SAISIE!$N794="","",SAISIE!$N794)</f>
        <v/>
      </c>
      <c r="N789" t="str">
        <f>IF(SAISIE!$O794="","",SAISIE!$O794)</f>
        <v/>
      </c>
      <c r="O789" t="str">
        <f>IF(SAISIE!$P794="","",SAISIE!$P794)</f>
        <v/>
      </c>
      <c r="P789" t="str">
        <f>IF(SAISIE!$Q794="","",SAISIE!$Q794)</f>
        <v/>
      </c>
      <c r="Q789" t="str">
        <f>IF($I789="","",IF($I789&gt;PARAMETRES!$G$29,5,IF($I789&gt;PARAMETRES!$F$29,4,IF($I789&gt;PARAMETRES!$E$29,3,IF($I789&gt;PARAMETRES!$D$29,2,1)))))</f>
        <v/>
      </c>
      <c r="R789" t="str">
        <f>IF($J789="","",IF($J789&gt;PARAMETRES!$G$30,5,IF($J789&gt;PARAMETRES!$F$30,4,IF($J789&gt;PARAMETRES!$E$30,3,IF($J789&gt;PARAMETRES!$D$30,2,1)))))</f>
        <v/>
      </c>
      <c r="S789" t="str">
        <f>IF($K789="","",IF($Z789=2,IF($K789&gt;PARAMETRES!$G$31,5,IF($K789&gt;PARAMETRES!$F$31,4,IF($K789&gt;PARAMETRES!$E$31,3,IF($K789&gt;PARAMETRES!$D$31,2,1)))),IF($K789&gt;PARAMETRES!$G$32,5,IF($K789&gt;PARAMETRES!$F$32,4,IF($K789&gt;PARAMETRES!$E$32,3,IF($K789&gt;PARAMETRES!$D$32,2,1))))))</f>
        <v/>
      </c>
      <c r="T789" t="str">
        <f>IF($L789="","",IF($L789&gt;PARAMETRES!$G$33,5,IF($L789&gt;PARAMETRES!$F$33,4,IF($L789&gt;PARAMETRES!$E$33,3,IF($L789&gt;PARAMETRES!$D$33,2,1)))))</f>
        <v/>
      </c>
      <c r="U789" t="str">
        <f>IF($M789="","",IF($M789&gt;PARAMETRES!$G$34,5,IF($M789&gt;PARAMETRES!$F$34,4,IF($M789&gt;PARAMETRES!$E$34,3,IF($M789&gt;PARAMETRES!$D$34,2,1)))))</f>
        <v/>
      </c>
      <c r="V789" t="str">
        <f>IF($N789="","",IF($N789&gt;PARAMETRES!$G$35,5,IF($N789&gt;PARAMETRES!$F$35,4,IF($N789&gt;PARAMETRES!$E$35,3,IF($N789&gt;PARAMETRES!$D$35,2,1)))))</f>
        <v/>
      </c>
      <c r="W789" t="str">
        <f>IF($O789="","",IF($O789&gt;PARAMETRES!$G$36,5,IF($O789&gt;PARAMETRES!$F$36,4,IF($O789&gt;PARAMETRES!$E$36,3,IF($O789&gt;PARAMETRES!$D$36,2,1)))))</f>
        <v/>
      </c>
      <c r="X789" t="str">
        <f>IF($P789="","",IF($P789&gt;PARAMETRES!$G$37,5,IF($P789&gt;PARAMETRES!$F$37,4,IF($P789&gt;PARAMETRES!$E$37,3,IF($P789&gt;PARAMETRES!$D$37,2,1)))))</f>
        <v/>
      </c>
      <c r="Y789" t="str">
        <f t="shared" si="288"/>
        <v/>
      </c>
      <c r="Z789" t="str">
        <f>IFERROR(VLOOKUP($B789,TABLE_CYCLE,2,0),"")</f>
        <v/>
      </c>
      <c r="AA789" t="str">
        <f t="shared" si="289"/>
        <v/>
      </c>
      <c r="AB789" t="str">
        <f>IF($D789="","",IF(COUNTIF($D$2:$D789,$D789)=1,$D789,""))</f>
        <v/>
      </c>
      <c r="AC789">
        <f t="shared" si="290"/>
        <v>0</v>
      </c>
      <c r="AD789" t="str">
        <f t="shared" si="291"/>
        <v>|0</v>
      </c>
      <c r="AE789" t="str">
        <f t="shared" si="292"/>
        <v/>
      </c>
      <c r="AF789" t="str">
        <f t="shared" si="293"/>
        <v/>
      </c>
      <c r="AG789" t="str">
        <f t="shared" si="294"/>
        <v/>
      </c>
      <c r="AH789" t="str">
        <f t="shared" si="295"/>
        <v/>
      </c>
      <c r="AI789" t="str">
        <f t="shared" si="296"/>
        <v/>
      </c>
      <c r="AJ789" t="str">
        <f t="shared" si="297"/>
        <v/>
      </c>
      <c r="AK789" t="str">
        <f t="shared" si="298"/>
        <v/>
      </c>
      <c r="AL789" t="str">
        <f t="shared" si="299"/>
        <v/>
      </c>
      <c r="AM789" t="str">
        <f t="shared" si="300"/>
        <v/>
      </c>
      <c r="AN789" t="str">
        <f t="shared" si="301"/>
        <v/>
      </c>
      <c r="AO789" t="str">
        <f t="shared" si="302"/>
        <v/>
      </c>
      <c r="AP789">
        <f t="shared" si="303"/>
        <v>1</v>
      </c>
      <c r="AQ789" t="str">
        <f>IF(SAISIE!$F794="","",SAISIE!$Y794)</f>
        <v/>
      </c>
      <c r="AR789" t="str">
        <f>IF(OR(SAISIE!$U$4="",SAISIE!$W$4=""),"",IF(AND($A789=SAISIE!$U$4,$B789=SAISIE!$W$4,$C789="S1"),COUNTIFS($A$2:$A789,SAISIE!$U$4,$B$2:$B789,SAISIE!$W$4,$C$2:$C789,"S1"),""))</f>
        <v/>
      </c>
      <c r="AS789" t="str">
        <f t="shared" si="304"/>
        <v/>
      </c>
      <c r="AT789" t="str">
        <f t="shared" si="305"/>
        <v/>
      </c>
      <c r="AU789" t="str">
        <f t="shared" si="306"/>
        <v/>
      </c>
      <c r="AV789">
        <f>N(AV788)+IF(AND($AB789&lt;&gt;"",OR('PROFIL ELEVE'!$K$4="(Tous)",$AF789='PROFIL ELEVE'!$K$4)),1,0)</f>
        <v>0</v>
      </c>
      <c r="AW789">
        <f>N(AW788)+IF(AND($AB789&lt;&gt;"",OR('SUIVI LONGITUDINAL'!$Q$4="(Tous)",$AF789='SUIVI LONGITUDINAL'!$Q$4)),1,0)</f>
        <v>0</v>
      </c>
      <c r="AX789">
        <f t="shared" si="307"/>
        <v>0</v>
      </c>
      <c r="AY789">
        <f t="shared" si="308"/>
        <v>0</v>
      </c>
      <c r="AZ789">
        <f t="shared" si="309"/>
        <v>0</v>
      </c>
      <c r="BA789" t="str">
        <f t="shared" si="310"/>
        <v/>
      </c>
      <c r="BB789" t="str">
        <f t="shared" si="311"/>
        <v/>
      </c>
    </row>
    <row r="790" spans="1:54" ht="14.25" customHeight="1" x14ac:dyDescent="0.3">
      <c r="A790" t="str">
        <f>IF(SAISIE!$F795="","",SAISIE!$B795)</f>
        <v/>
      </c>
      <c r="B790" t="str">
        <f>IF(SAISIE!$F795="","",SAISIE!$C795)</f>
        <v/>
      </c>
      <c r="C790" t="str">
        <f>IF(SAISIE!$F795="","",SAISIE!$D795)</f>
        <v/>
      </c>
      <c r="D790" t="str">
        <f>IF(SAISIE!$E795="","",SAISIE!$E795)</f>
        <v/>
      </c>
      <c r="E790" t="str">
        <f>IF(SAISIE!$F795="","",SAISIE!$F795)</f>
        <v/>
      </c>
      <c r="F790" t="str">
        <f>IF(SAISIE!$G795="","",SAISIE!$G795)</f>
        <v/>
      </c>
      <c r="G790" t="str">
        <f>IF(SAISIE!$H795="","",SAISIE!$H795)</f>
        <v/>
      </c>
      <c r="H790" t="str">
        <f>IF(SAISIE!$I795="","",SAISIE!$I795)</f>
        <v/>
      </c>
      <c r="I790" t="str">
        <f>IF(SAISIE!$J795="","",SAISIE!$J795)</f>
        <v/>
      </c>
      <c r="J790" t="str">
        <f>IF(SAISIE!$K795="","",SAISIE!$K795)</f>
        <v/>
      </c>
      <c r="K790" t="str">
        <f>IF(SAISIE!$L795="","",SAISIE!$L795)</f>
        <v/>
      </c>
      <c r="L790" t="str">
        <f>IF(SAISIE!$M795="","",SAISIE!$M795)</f>
        <v/>
      </c>
      <c r="M790" t="str">
        <f>IF(SAISIE!$N795="","",SAISIE!$N795)</f>
        <v/>
      </c>
      <c r="N790" t="str">
        <f>IF(SAISIE!$O795="","",SAISIE!$O795)</f>
        <v/>
      </c>
      <c r="O790" t="str">
        <f>IF(SAISIE!$P795="","",SAISIE!$P795)</f>
        <v/>
      </c>
      <c r="P790" t="str">
        <f>IF(SAISIE!$Q795="","",SAISIE!$Q795)</f>
        <v/>
      </c>
      <c r="Q790" t="str">
        <f>IF($I790="","",IF($I790&gt;PARAMETRES!$G$29,5,IF($I790&gt;PARAMETRES!$F$29,4,IF($I790&gt;PARAMETRES!$E$29,3,IF($I790&gt;PARAMETRES!$D$29,2,1)))))</f>
        <v/>
      </c>
      <c r="R790" t="str">
        <f>IF($J790="","",IF($J790&gt;PARAMETRES!$G$30,5,IF($J790&gt;PARAMETRES!$F$30,4,IF($J790&gt;PARAMETRES!$E$30,3,IF($J790&gt;PARAMETRES!$D$30,2,1)))))</f>
        <v/>
      </c>
      <c r="S790" t="str">
        <f>IF($K790="","",IF($Z790=2,IF($K790&gt;PARAMETRES!$G$31,5,IF($K790&gt;PARAMETRES!$F$31,4,IF($K790&gt;PARAMETRES!$E$31,3,IF($K790&gt;PARAMETRES!$D$31,2,1)))),IF($K790&gt;PARAMETRES!$G$32,5,IF($K790&gt;PARAMETRES!$F$32,4,IF($K790&gt;PARAMETRES!$E$32,3,IF($K790&gt;PARAMETRES!$D$32,2,1))))))</f>
        <v/>
      </c>
      <c r="T790" t="str">
        <f>IF($L790="","",IF($L790&gt;PARAMETRES!$G$33,5,IF($L790&gt;PARAMETRES!$F$33,4,IF($L790&gt;PARAMETRES!$E$33,3,IF($L790&gt;PARAMETRES!$D$33,2,1)))))</f>
        <v/>
      </c>
      <c r="U790" t="str">
        <f>IF($M790="","",IF($M790&gt;PARAMETRES!$G$34,5,IF($M790&gt;PARAMETRES!$F$34,4,IF($M790&gt;PARAMETRES!$E$34,3,IF($M790&gt;PARAMETRES!$D$34,2,1)))))</f>
        <v/>
      </c>
      <c r="V790" t="str">
        <f>IF($N790="","",IF($N790&gt;PARAMETRES!$G$35,5,IF($N790&gt;PARAMETRES!$F$35,4,IF($N790&gt;PARAMETRES!$E$35,3,IF($N790&gt;PARAMETRES!$D$35,2,1)))))</f>
        <v/>
      </c>
      <c r="W790" t="str">
        <f>IF($O790="","",IF($O790&gt;PARAMETRES!$G$36,5,IF($O790&gt;PARAMETRES!$F$36,4,IF($O790&gt;PARAMETRES!$E$36,3,IF($O790&gt;PARAMETRES!$D$36,2,1)))))</f>
        <v/>
      </c>
      <c r="X790" t="str">
        <f>IF($P790="","",IF($P790&gt;PARAMETRES!$G$37,5,IF($P790&gt;PARAMETRES!$F$37,4,IF($P790&gt;PARAMETRES!$E$37,3,IF($P790&gt;PARAMETRES!$D$37,2,1)))))</f>
        <v/>
      </c>
      <c r="Y790" t="str">
        <f t="shared" si="288"/>
        <v/>
      </c>
      <c r="Z790" t="str">
        <f>IFERROR(VLOOKUP($B790,TABLE_CYCLE,2,0),"")</f>
        <v/>
      </c>
      <c r="AA790" t="str">
        <f t="shared" si="289"/>
        <v/>
      </c>
      <c r="AB790" t="str">
        <f>IF($D790="","",IF(COUNTIF($D$2:$D790,$D790)=1,$D790,""))</f>
        <v/>
      </c>
      <c r="AC790">
        <f t="shared" si="290"/>
        <v>0</v>
      </c>
      <c r="AD790" t="str">
        <f t="shared" si="291"/>
        <v>|0</v>
      </c>
      <c r="AE790" t="str">
        <f t="shared" si="292"/>
        <v/>
      </c>
      <c r="AF790" t="str">
        <f t="shared" si="293"/>
        <v/>
      </c>
      <c r="AG790" t="str">
        <f t="shared" si="294"/>
        <v/>
      </c>
      <c r="AH790" t="str">
        <f t="shared" si="295"/>
        <v/>
      </c>
      <c r="AI790" t="str">
        <f t="shared" si="296"/>
        <v/>
      </c>
      <c r="AJ790" t="str">
        <f t="shared" si="297"/>
        <v/>
      </c>
      <c r="AK790" t="str">
        <f t="shared" si="298"/>
        <v/>
      </c>
      <c r="AL790" t="str">
        <f t="shared" si="299"/>
        <v/>
      </c>
      <c r="AM790" t="str">
        <f t="shared" si="300"/>
        <v/>
      </c>
      <c r="AN790" t="str">
        <f t="shared" si="301"/>
        <v/>
      </c>
      <c r="AO790" t="str">
        <f t="shared" si="302"/>
        <v/>
      </c>
      <c r="AP790">
        <f t="shared" si="303"/>
        <v>1</v>
      </c>
      <c r="AQ790" t="str">
        <f>IF(SAISIE!$F795="","",SAISIE!$Y795)</f>
        <v/>
      </c>
      <c r="AR790" t="str">
        <f>IF(OR(SAISIE!$U$4="",SAISIE!$W$4=""),"",IF(AND($A790=SAISIE!$U$4,$B790=SAISIE!$W$4,$C790="S1"),COUNTIFS($A$2:$A790,SAISIE!$U$4,$B$2:$B790,SAISIE!$W$4,$C$2:$C790,"S1"),""))</f>
        <v/>
      </c>
      <c r="AS790" t="str">
        <f t="shared" si="304"/>
        <v/>
      </c>
      <c r="AT790" t="str">
        <f t="shared" si="305"/>
        <v/>
      </c>
      <c r="AU790" t="str">
        <f t="shared" si="306"/>
        <v/>
      </c>
      <c r="AV790">
        <f>N(AV789)+IF(AND($AB790&lt;&gt;"",OR('PROFIL ELEVE'!$K$4="(Tous)",$AF790='PROFIL ELEVE'!$K$4)),1,0)</f>
        <v>0</v>
      </c>
      <c r="AW790">
        <f>N(AW789)+IF(AND($AB790&lt;&gt;"",OR('SUIVI LONGITUDINAL'!$Q$4="(Tous)",$AF790='SUIVI LONGITUDINAL'!$Q$4)),1,0)</f>
        <v>0</v>
      </c>
      <c r="AX790">
        <f t="shared" si="307"/>
        <v>0</v>
      </c>
      <c r="AY790">
        <f t="shared" si="308"/>
        <v>0</v>
      </c>
      <c r="AZ790">
        <f t="shared" si="309"/>
        <v>0</v>
      </c>
      <c r="BA790" t="str">
        <f t="shared" si="310"/>
        <v/>
      </c>
      <c r="BB790" t="str">
        <f t="shared" si="311"/>
        <v/>
      </c>
    </row>
    <row r="791" spans="1:54" ht="14.25" customHeight="1" x14ac:dyDescent="0.3">
      <c r="A791" t="str">
        <f>IF(SAISIE!$F796="","",SAISIE!$B796)</f>
        <v/>
      </c>
      <c r="B791" t="str">
        <f>IF(SAISIE!$F796="","",SAISIE!$C796)</f>
        <v/>
      </c>
      <c r="C791" t="str">
        <f>IF(SAISIE!$F796="","",SAISIE!$D796)</f>
        <v/>
      </c>
      <c r="D791" t="str">
        <f>IF(SAISIE!$E796="","",SAISIE!$E796)</f>
        <v/>
      </c>
      <c r="E791" t="str">
        <f>IF(SAISIE!$F796="","",SAISIE!$F796)</f>
        <v/>
      </c>
      <c r="F791" t="str">
        <f>IF(SAISIE!$G796="","",SAISIE!$G796)</f>
        <v/>
      </c>
      <c r="G791" t="str">
        <f>IF(SAISIE!$H796="","",SAISIE!$H796)</f>
        <v/>
      </c>
      <c r="H791" t="str">
        <f>IF(SAISIE!$I796="","",SAISIE!$I796)</f>
        <v/>
      </c>
      <c r="I791" t="str">
        <f>IF(SAISIE!$J796="","",SAISIE!$J796)</f>
        <v/>
      </c>
      <c r="J791" t="str">
        <f>IF(SAISIE!$K796="","",SAISIE!$K796)</f>
        <v/>
      </c>
      <c r="K791" t="str">
        <f>IF(SAISIE!$L796="","",SAISIE!$L796)</f>
        <v/>
      </c>
      <c r="L791" t="str">
        <f>IF(SAISIE!$M796="","",SAISIE!$M796)</f>
        <v/>
      </c>
      <c r="M791" t="str">
        <f>IF(SAISIE!$N796="","",SAISIE!$N796)</f>
        <v/>
      </c>
      <c r="N791" t="str">
        <f>IF(SAISIE!$O796="","",SAISIE!$O796)</f>
        <v/>
      </c>
      <c r="O791" t="str">
        <f>IF(SAISIE!$P796="","",SAISIE!$P796)</f>
        <v/>
      </c>
      <c r="P791" t="str">
        <f>IF(SAISIE!$Q796="","",SAISIE!$Q796)</f>
        <v/>
      </c>
      <c r="Q791" t="str">
        <f>IF($I791="","",IF($I791&gt;PARAMETRES!$G$29,5,IF($I791&gt;PARAMETRES!$F$29,4,IF($I791&gt;PARAMETRES!$E$29,3,IF($I791&gt;PARAMETRES!$D$29,2,1)))))</f>
        <v/>
      </c>
      <c r="R791" t="str">
        <f>IF($J791="","",IF($J791&gt;PARAMETRES!$G$30,5,IF($J791&gt;PARAMETRES!$F$30,4,IF($J791&gt;PARAMETRES!$E$30,3,IF($J791&gt;PARAMETRES!$D$30,2,1)))))</f>
        <v/>
      </c>
      <c r="S791" t="str">
        <f>IF($K791="","",IF($Z791=2,IF($K791&gt;PARAMETRES!$G$31,5,IF($K791&gt;PARAMETRES!$F$31,4,IF($K791&gt;PARAMETRES!$E$31,3,IF($K791&gt;PARAMETRES!$D$31,2,1)))),IF($K791&gt;PARAMETRES!$G$32,5,IF($K791&gt;PARAMETRES!$F$32,4,IF($K791&gt;PARAMETRES!$E$32,3,IF($K791&gt;PARAMETRES!$D$32,2,1))))))</f>
        <v/>
      </c>
      <c r="T791" t="str">
        <f>IF($L791="","",IF($L791&gt;PARAMETRES!$G$33,5,IF($L791&gt;PARAMETRES!$F$33,4,IF($L791&gt;PARAMETRES!$E$33,3,IF($L791&gt;PARAMETRES!$D$33,2,1)))))</f>
        <v/>
      </c>
      <c r="U791" t="str">
        <f>IF($M791="","",IF($M791&gt;PARAMETRES!$G$34,5,IF($M791&gt;PARAMETRES!$F$34,4,IF($M791&gt;PARAMETRES!$E$34,3,IF($M791&gt;PARAMETRES!$D$34,2,1)))))</f>
        <v/>
      </c>
      <c r="V791" t="str">
        <f>IF($N791="","",IF($N791&gt;PARAMETRES!$G$35,5,IF($N791&gt;PARAMETRES!$F$35,4,IF($N791&gt;PARAMETRES!$E$35,3,IF($N791&gt;PARAMETRES!$D$35,2,1)))))</f>
        <v/>
      </c>
      <c r="W791" t="str">
        <f>IF($O791="","",IF($O791&gt;PARAMETRES!$G$36,5,IF($O791&gt;PARAMETRES!$F$36,4,IF($O791&gt;PARAMETRES!$E$36,3,IF($O791&gt;PARAMETRES!$D$36,2,1)))))</f>
        <v/>
      </c>
      <c r="X791" t="str">
        <f>IF($P791="","",IF($P791&gt;PARAMETRES!$G$37,5,IF($P791&gt;PARAMETRES!$F$37,4,IF($P791&gt;PARAMETRES!$E$37,3,IF($P791&gt;PARAMETRES!$D$37,2,1)))))</f>
        <v/>
      </c>
      <c r="Y791" t="str">
        <f t="shared" si="288"/>
        <v/>
      </c>
      <c r="Z791" t="str">
        <f>IFERROR(VLOOKUP($B791,TABLE_CYCLE,2,0),"")</f>
        <v/>
      </c>
      <c r="AA791" t="str">
        <f t="shared" si="289"/>
        <v/>
      </c>
      <c r="AB791" t="str">
        <f>IF($D791="","",IF(COUNTIF($D$2:$D791,$D791)=1,$D791,""))</f>
        <v/>
      </c>
      <c r="AC791">
        <f t="shared" si="290"/>
        <v>0</v>
      </c>
      <c r="AD791" t="str">
        <f t="shared" si="291"/>
        <v>|0</v>
      </c>
      <c r="AE791" t="str">
        <f t="shared" si="292"/>
        <v/>
      </c>
      <c r="AF791" t="str">
        <f t="shared" si="293"/>
        <v/>
      </c>
      <c r="AG791" t="str">
        <f t="shared" si="294"/>
        <v/>
      </c>
      <c r="AH791" t="str">
        <f t="shared" si="295"/>
        <v/>
      </c>
      <c r="AI791" t="str">
        <f t="shared" si="296"/>
        <v/>
      </c>
      <c r="AJ791" t="str">
        <f t="shared" si="297"/>
        <v/>
      </c>
      <c r="AK791" t="str">
        <f t="shared" si="298"/>
        <v/>
      </c>
      <c r="AL791" t="str">
        <f t="shared" si="299"/>
        <v/>
      </c>
      <c r="AM791" t="str">
        <f t="shared" si="300"/>
        <v/>
      </c>
      <c r="AN791" t="str">
        <f t="shared" si="301"/>
        <v/>
      </c>
      <c r="AO791" t="str">
        <f t="shared" si="302"/>
        <v/>
      </c>
      <c r="AP791">
        <f t="shared" si="303"/>
        <v>1</v>
      </c>
      <c r="AQ791" t="str">
        <f>IF(SAISIE!$F796="","",SAISIE!$Y796)</f>
        <v/>
      </c>
      <c r="AR791" t="str">
        <f>IF(OR(SAISIE!$U$4="",SAISIE!$W$4=""),"",IF(AND($A791=SAISIE!$U$4,$B791=SAISIE!$W$4,$C791="S1"),COUNTIFS($A$2:$A791,SAISIE!$U$4,$B$2:$B791,SAISIE!$W$4,$C$2:$C791,"S1"),""))</f>
        <v/>
      </c>
      <c r="AS791" t="str">
        <f t="shared" si="304"/>
        <v/>
      </c>
      <c r="AT791" t="str">
        <f t="shared" si="305"/>
        <v/>
      </c>
      <c r="AU791" t="str">
        <f t="shared" si="306"/>
        <v/>
      </c>
      <c r="AV791">
        <f>N(AV790)+IF(AND($AB791&lt;&gt;"",OR('PROFIL ELEVE'!$K$4="(Tous)",$AF791='PROFIL ELEVE'!$K$4)),1,0)</f>
        <v>0</v>
      </c>
      <c r="AW791">
        <f>N(AW790)+IF(AND($AB791&lt;&gt;"",OR('SUIVI LONGITUDINAL'!$Q$4="(Tous)",$AF791='SUIVI LONGITUDINAL'!$Q$4)),1,0)</f>
        <v>0</v>
      </c>
      <c r="AX791">
        <f t="shared" si="307"/>
        <v>0</v>
      </c>
      <c r="AY791">
        <f t="shared" si="308"/>
        <v>0</v>
      </c>
      <c r="AZ791">
        <f t="shared" si="309"/>
        <v>0</v>
      </c>
      <c r="BA791" t="str">
        <f t="shared" si="310"/>
        <v/>
      </c>
      <c r="BB791" t="str">
        <f t="shared" si="311"/>
        <v/>
      </c>
    </row>
    <row r="792" spans="1:54" ht="14.25" customHeight="1" x14ac:dyDescent="0.3">
      <c r="A792" t="str">
        <f>IF(SAISIE!$F797="","",SAISIE!$B797)</f>
        <v/>
      </c>
      <c r="B792" t="str">
        <f>IF(SAISIE!$F797="","",SAISIE!$C797)</f>
        <v/>
      </c>
      <c r="C792" t="str">
        <f>IF(SAISIE!$F797="","",SAISIE!$D797)</f>
        <v/>
      </c>
      <c r="D792" t="str">
        <f>IF(SAISIE!$E797="","",SAISIE!$E797)</f>
        <v/>
      </c>
      <c r="E792" t="str">
        <f>IF(SAISIE!$F797="","",SAISIE!$F797)</f>
        <v/>
      </c>
      <c r="F792" t="str">
        <f>IF(SAISIE!$G797="","",SAISIE!$G797)</f>
        <v/>
      </c>
      <c r="G792" t="str">
        <f>IF(SAISIE!$H797="","",SAISIE!$H797)</f>
        <v/>
      </c>
      <c r="H792" t="str">
        <f>IF(SAISIE!$I797="","",SAISIE!$I797)</f>
        <v/>
      </c>
      <c r="I792" t="str">
        <f>IF(SAISIE!$J797="","",SAISIE!$J797)</f>
        <v/>
      </c>
      <c r="J792" t="str">
        <f>IF(SAISIE!$K797="","",SAISIE!$K797)</f>
        <v/>
      </c>
      <c r="K792" t="str">
        <f>IF(SAISIE!$L797="","",SAISIE!$L797)</f>
        <v/>
      </c>
      <c r="L792" t="str">
        <f>IF(SAISIE!$M797="","",SAISIE!$M797)</f>
        <v/>
      </c>
      <c r="M792" t="str">
        <f>IF(SAISIE!$N797="","",SAISIE!$N797)</f>
        <v/>
      </c>
      <c r="N792" t="str">
        <f>IF(SAISIE!$O797="","",SAISIE!$O797)</f>
        <v/>
      </c>
      <c r="O792" t="str">
        <f>IF(SAISIE!$P797="","",SAISIE!$P797)</f>
        <v/>
      </c>
      <c r="P792" t="str">
        <f>IF(SAISIE!$Q797="","",SAISIE!$Q797)</f>
        <v/>
      </c>
      <c r="Q792" t="str">
        <f>IF($I792="","",IF($I792&gt;PARAMETRES!$G$29,5,IF($I792&gt;PARAMETRES!$F$29,4,IF($I792&gt;PARAMETRES!$E$29,3,IF($I792&gt;PARAMETRES!$D$29,2,1)))))</f>
        <v/>
      </c>
      <c r="R792" t="str">
        <f>IF($J792="","",IF($J792&gt;PARAMETRES!$G$30,5,IF($J792&gt;PARAMETRES!$F$30,4,IF($J792&gt;PARAMETRES!$E$30,3,IF($J792&gt;PARAMETRES!$D$30,2,1)))))</f>
        <v/>
      </c>
      <c r="S792" t="str">
        <f>IF($K792="","",IF($Z792=2,IF($K792&gt;PARAMETRES!$G$31,5,IF($K792&gt;PARAMETRES!$F$31,4,IF($K792&gt;PARAMETRES!$E$31,3,IF($K792&gt;PARAMETRES!$D$31,2,1)))),IF($K792&gt;PARAMETRES!$G$32,5,IF($K792&gt;PARAMETRES!$F$32,4,IF($K792&gt;PARAMETRES!$E$32,3,IF($K792&gt;PARAMETRES!$D$32,2,1))))))</f>
        <v/>
      </c>
      <c r="T792" t="str">
        <f>IF($L792="","",IF($L792&gt;PARAMETRES!$G$33,5,IF($L792&gt;PARAMETRES!$F$33,4,IF($L792&gt;PARAMETRES!$E$33,3,IF($L792&gt;PARAMETRES!$D$33,2,1)))))</f>
        <v/>
      </c>
      <c r="U792" t="str">
        <f>IF($M792="","",IF($M792&gt;PARAMETRES!$G$34,5,IF($M792&gt;PARAMETRES!$F$34,4,IF($M792&gt;PARAMETRES!$E$34,3,IF($M792&gt;PARAMETRES!$D$34,2,1)))))</f>
        <v/>
      </c>
      <c r="V792" t="str">
        <f>IF($N792="","",IF($N792&gt;PARAMETRES!$G$35,5,IF($N792&gt;PARAMETRES!$F$35,4,IF($N792&gt;PARAMETRES!$E$35,3,IF($N792&gt;PARAMETRES!$D$35,2,1)))))</f>
        <v/>
      </c>
      <c r="W792" t="str">
        <f>IF($O792="","",IF($O792&gt;PARAMETRES!$G$36,5,IF($O792&gt;PARAMETRES!$F$36,4,IF($O792&gt;PARAMETRES!$E$36,3,IF($O792&gt;PARAMETRES!$D$36,2,1)))))</f>
        <v/>
      </c>
      <c r="X792" t="str">
        <f>IF($P792="","",IF($P792&gt;PARAMETRES!$G$37,5,IF($P792&gt;PARAMETRES!$F$37,4,IF($P792&gt;PARAMETRES!$E$37,3,IF($P792&gt;PARAMETRES!$D$37,2,1)))))</f>
        <v/>
      </c>
      <c r="Y792" t="str">
        <f t="shared" si="288"/>
        <v/>
      </c>
      <c r="Z792" t="str">
        <f>IFERROR(VLOOKUP($B792,TABLE_CYCLE,2,0),"")</f>
        <v/>
      </c>
      <c r="AA792" t="str">
        <f t="shared" si="289"/>
        <v/>
      </c>
      <c r="AB792" t="str">
        <f>IF($D792="","",IF(COUNTIF($D$2:$D792,$D792)=1,$D792,""))</f>
        <v/>
      </c>
      <c r="AC792">
        <f t="shared" si="290"/>
        <v>0</v>
      </c>
      <c r="AD792" t="str">
        <f t="shared" si="291"/>
        <v>|0</v>
      </c>
      <c r="AE792" t="str">
        <f t="shared" si="292"/>
        <v/>
      </c>
      <c r="AF792" t="str">
        <f t="shared" si="293"/>
        <v/>
      </c>
      <c r="AG792" t="str">
        <f t="shared" si="294"/>
        <v/>
      </c>
      <c r="AH792" t="str">
        <f t="shared" si="295"/>
        <v/>
      </c>
      <c r="AI792" t="str">
        <f t="shared" si="296"/>
        <v/>
      </c>
      <c r="AJ792" t="str">
        <f t="shared" si="297"/>
        <v/>
      </c>
      <c r="AK792" t="str">
        <f t="shared" si="298"/>
        <v/>
      </c>
      <c r="AL792" t="str">
        <f t="shared" si="299"/>
        <v/>
      </c>
      <c r="AM792" t="str">
        <f t="shared" si="300"/>
        <v/>
      </c>
      <c r="AN792" t="str">
        <f t="shared" si="301"/>
        <v/>
      </c>
      <c r="AO792" t="str">
        <f t="shared" si="302"/>
        <v/>
      </c>
      <c r="AP792">
        <f t="shared" si="303"/>
        <v>1</v>
      </c>
      <c r="AQ792" t="str">
        <f>IF(SAISIE!$F797="","",SAISIE!$Y797)</f>
        <v/>
      </c>
      <c r="AR792" t="str">
        <f>IF(OR(SAISIE!$U$4="",SAISIE!$W$4=""),"",IF(AND($A792=SAISIE!$U$4,$B792=SAISIE!$W$4,$C792="S1"),COUNTIFS($A$2:$A792,SAISIE!$U$4,$B$2:$B792,SAISIE!$W$4,$C$2:$C792,"S1"),""))</f>
        <v/>
      </c>
      <c r="AS792" t="str">
        <f t="shared" si="304"/>
        <v/>
      </c>
      <c r="AT792" t="str">
        <f t="shared" si="305"/>
        <v/>
      </c>
      <c r="AU792" t="str">
        <f t="shared" si="306"/>
        <v/>
      </c>
      <c r="AV792">
        <f>N(AV791)+IF(AND($AB792&lt;&gt;"",OR('PROFIL ELEVE'!$K$4="(Tous)",$AF792='PROFIL ELEVE'!$K$4)),1,0)</f>
        <v>0</v>
      </c>
      <c r="AW792">
        <f>N(AW791)+IF(AND($AB792&lt;&gt;"",OR('SUIVI LONGITUDINAL'!$Q$4="(Tous)",$AF792='SUIVI LONGITUDINAL'!$Q$4)),1,0)</f>
        <v>0</v>
      </c>
      <c r="AX792">
        <f t="shared" si="307"/>
        <v>0</v>
      </c>
      <c r="AY792">
        <f t="shared" si="308"/>
        <v>0</v>
      </c>
      <c r="AZ792">
        <f t="shared" si="309"/>
        <v>0</v>
      </c>
      <c r="BA792" t="str">
        <f t="shared" si="310"/>
        <v/>
      </c>
      <c r="BB792" t="str">
        <f t="shared" si="311"/>
        <v/>
      </c>
    </row>
    <row r="793" spans="1:54" ht="14.25" customHeight="1" x14ac:dyDescent="0.3">
      <c r="A793" t="str">
        <f>IF(SAISIE!$F798="","",SAISIE!$B798)</f>
        <v/>
      </c>
      <c r="B793" t="str">
        <f>IF(SAISIE!$F798="","",SAISIE!$C798)</f>
        <v/>
      </c>
      <c r="C793" t="str">
        <f>IF(SAISIE!$F798="","",SAISIE!$D798)</f>
        <v/>
      </c>
      <c r="D793" t="str">
        <f>IF(SAISIE!$E798="","",SAISIE!$E798)</f>
        <v/>
      </c>
      <c r="E793" t="str">
        <f>IF(SAISIE!$F798="","",SAISIE!$F798)</f>
        <v/>
      </c>
      <c r="F793" t="str">
        <f>IF(SAISIE!$G798="","",SAISIE!$G798)</f>
        <v/>
      </c>
      <c r="G793" t="str">
        <f>IF(SAISIE!$H798="","",SAISIE!$H798)</f>
        <v/>
      </c>
      <c r="H793" t="str">
        <f>IF(SAISIE!$I798="","",SAISIE!$I798)</f>
        <v/>
      </c>
      <c r="I793" t="str">
        <f>IF(SAISIE!$J798="","",SAISIE!$J798)</f>
        <v/>
      </c>
      <c r="J793" t="str">
        <f>IF(SAISIE!$K798="","",SAISIE!$K798)</f>
        <v/>
      </c>
      <c r="K793" t="str">
        <f>IF(SAISIE!$L798="","",SAISIE!$L798)</f>
        <v/>
      </c>
      <c r="L793" t="str">
        <f>IF(SAISIE!$M798="","",SAISIE!$M798)</f>
        <v/>
      </c>
      <c r="M793" t="str">
        <f>IF(SAISIE!$N798="","",SAISIE!$N798)</f>
        <v/>
      </c>
      <c r="N793" t="str">
        <f>IF(SAISIE!$O798="","",SAISIE!$O798)</f>
        <v/>
      </c>
      <c r="O793" t="str">
        <f>IF(SAISIE!$P798="","",SAISIE!$P798)</f>
        <v/>
      </c>
      <c r="P793" t="str">
        <f>IF(SAISIE!$Q798="","",SAISIE!$Q798)</f>
        <v/>
      </c>
      <c r="Q793" t="str">
        <f>IF($I793="","",IF($I793&gt;PARAMETRES!$G$29,5,IF($I793&gt;PARAMETRES!$F$29,4,IF($I793&gt;PARAMETRES!$E$29,3,IF($I793&gt;PARAMETRES!$D$29,2,1)))))</f>
        <v/>
      </c>
      <c r="R793" t="str">
        <f>IF($J793="","",IF($J793&gt;PARAMETRES!$G$30,5,IF($J793&gt;PARAMETRES!$F$30,4,IF($J793&gt;PARAMETRES!$E$30,3,IF($J793&gt;PARAMETRES!$D$30,2,1)))))</f>
        <v/>
      </c>
      <c r="S793" t="str">
        <f>IF($K793="","",IF($Z793=2,IF($K793&gt;PARAMETRES!$G$31,5,IF($K793&gt;PARAMETRES!$F$31,4,IF($K793&gt;PARAMETRES!$E$31,3,IF($K793&gt;PARAMETRES!$D$31,2,1)))),IF($K793&gt;PARAMETRES!$G$32,5,IF($K793&gt;PARAMETRES!$F$32,4,IF($K793&gt;PARAMETRES!$E$32,3,IF($K793&gt;PARAMETRES!$D$32,2,1))))))</f>
        <v/>
      </c>
      <c r="T793" t="str">
        <f>IF($L793="","",IF($L793&gt;PARAMETRES!$G$33,5,IF($L793&gt;PARAMETRES!$F$33,4,IF($L793&gt;PARAMETRES!$E$33,3,IF($L793&gt;PARAMETRES!$D$33,2,1)))))</f>
        <v/>
      </c>
      <c r="U793" t="str">
        <f>IF($M793="","",IF($M793&gt;PARAMETRES!$G$34,5,IF($M793&gt;PARAMETRES!$F$34,4,IF($M793&gt;PARAMETRES!$E$34,3,IF($M793&gt;PARAMETRES!$D$34,2,1)))))</f>
        <v/>
      </c>
      <c r="V793" t="str">
        <f>IF($N793="","",IF($N793&gt;PARAMETRES!$G$35,5,IF($N793&gt;PARAMETRES!$F$35,4,IF($N793&gt;PARAMETRES!$E$35,3,IF($N793&gt;PARAMETRES!$D$35,2,1)))))</f>
        <v/>
      </c>
      <c r="W793" t="str">
        <f>IF($O793="","",IF($O793&gt;PARAMETRES!$G$36,5,IF($O793&gt;PARAMETRES!$F$36,4,IF($O793&gt;PARAMETRES!$E$36,3,IF($O793&gt;PARAMETRES!$D$36,2,1)))))</f>
        <v/>
      </c>
      <c r="X793" t="str">
        <f>IF($P793="","",IF($P793&gt;PARAMETRES!$G$37,5,IF($P793&gt;PARAMETRES!$F$37,4,IF($P793&gt;PARAMETRES!$E$37,3,IF($P793&gt;PARAMETRES!$D$37,2,1)))))</f>
        <v/>
      </c>
      <c r="Y793" t="str">
        <f t="shared" si="288"/>
        <v/>
      </c>
      <c r="Z793" t="str">
        <f>IFERROR(VLOOKUP($B793,TABLE_CYCLE,2,0),"")</f>
        <v/>
      </c>
      <c r="AA793" t="str">
        <f t="shared" si="289"/>
        <v/>
      </c>
      <c r="AB793" t="str">
        <f>IF($D793="","",IF(COUNTIF($D$2:$D793,$D793)=1,$D793,""))</f>
        <v/>
      </c>
      <c r="AC793">
        <f t="shared" si="290"/>
        <v>0</v>
      </c>
      <c r="AD793" t="str">
        <f t="shared" si="291"/>
        <v>|0</v>
      </c>
      <c r="AE793" t="str">
        <f t="shared" si="292"/>
        <v/>
      </c>
      <c r="AF793" t="str">
        <f t="shared" si="293"/>
        <v/>
      </c>
      <c r="AG793" t="str">
        <f t="shared" si="294"/>
        <v/>
      </c>
      <c r="AH793" t="str">
        <f t="shared" si="295"/>
        <v/>
      </c>
      <c r="AI793" t="str">
        <f t="shared" si="296"/>
        <v/>
      </c>
      <c r="AJ793" t="str">
        <f t="shared" si="297"/>
        <v/>
      </c>
      <c r="AK793" t="str">
        <f t="shared" si="298"/>
        <v/>
      </c>
      <c r="AL793" t="str">
        <f t="shared" si="299"/>
        <v/>
      </c>
      <c r="AM793" t="str">
        <f t="shared" si="300"/>
        <v/>
      </c>
      <c r="AN793" t="str">
        <f t="shared" si="301"/>
        <v/>
      </c>
      <c r="AO793" t="str">
        <f t="shared" si="302"/>
        <v/>
      </c>
      <c r="AP793">
        <f t="shared" si="303"/>
        <v>1</v>
      </c>
      <c r="AQ793" t="str">
        <f>IF(SAISIE!$F798="","",SAISIE!$Y798)</f>
        <v/>
      </c>
      <c r="AR793" t="str">
        <f>IF(OR(SAISIE!$U$4="",SAISIE!$W$4=""),"",IF(AND($A793=SAISIE!$U$4,$B793=SAISIE!$W$4,$C793="S1"),COUNTIFS($A$2:$A793,SAISIE!$U$4,$B$2:$B793,SAISIE!$W$4,$C$2:$C793,"S1"),""))</f>
        <v/>
      </c>
      <c r="AS793" t="str">
        <f t="shared" si="304"/>
        <v/>
      </c>
      <c r="AT793" t="str">
        <f t="shared" si="305"/>
        <v/>
      </c>
      <c r="AU793" t="str">
        <f t="shared" si="306"/>
        <v/>
      </c>
      <c r="AV793">
        <f>N(AV792)+IF(AND($AB793&lt;&gt;"",OR('PROFIL ELEVE'!$K$4="(Tous)",$AF793='PROFIL ELEVE'!$K$4)),1,0)</f>
        <v>0</v>
      </c>
      <c r="AW793">
        <f>N(AW792)+IF(AND($AB793&lt;&gt;"",OR('SUIVI LONGITUDINAL'!$Q$4="(Tous)",$AF793='SUIVI LONGITUDINAL'!$Q$4)),1,0)</f>
        <v>0</v>
      </c>
      <c r="AX793">
        <f t="shared" si="307"/>
        <v>0</v>
      </c>
      <c r="AY793">
        <f t="shared" si="308"/>
        <v>0</v>
      </c>
      <c r="AZ793">
        <f t="shared" si="309"/>
        <v>0</v>
      </c>
      <c r="BA793" t="str">
        <f t="shared" si="310"/>
        <v/>
      </c>
      <c r="BB793" t="str">
        <f t="shared" si="311"/>
        <v/>
      </c>
    </row>
    <row r="794" spans="1:54" ht="14.25" customHeight="1" x14ac:dyDescent="0.3">
      <c r="A794" t="str">
        <f>IF(SAISIE!$F799="","",SAISIE!$B799)</f>
        <v/>
      </c>
      <c r="B794" t="str">
        <f>IF(SAISIE!$F799="","",SAISIE!$C799)</f>
        <v/>
      </c>
      <c r="C794" t="str">
        <f>IF(SAISIE!$F799="","",SAISIE!$D799)</f>
        <v/>
      </c>
      <c r="D794" t="str">
        <f>IF(SAISIE!$E799="","",SAISIE!$E799)</f>
        <v/>
      </c>
      <c r="E794" t="str">
        <f>IF(SAISIE!$F799="","",SAISIE!$F799)</f>
        <v/>
      </c>
      <c r="F794" t="str">
        <f>IF(SAISIE!$G799="","",SAISIE!$G799)</f>
        <v/>
      </c>
      <c r="G794" t="str">
        <f>IF(SAISIE!$H799="","",SAISIE!$H799)</f>
        <v/>
      </c>
      <c r="H794" t="str">
        <f>IF(SAISIE!$I799="","",SAISIE!$I799)</f>
        <v/>
      </c>
      <c r="I794" t="str">
        <f>IF(SAISIE!$J799="","",SAISIE!$J799)</f>
        <v/>
      </c>
      <c r="J794" t="str">
        <f>IF(SAISIE!$K799="","",SAISIE!$K799)</f>
        <v/>
      </c>
      <c r="K794" t="str">
        <f>IF(SAISIE!$L799="","",SAISIE!$L799)</f>
        <v/>
      </c>
      <c r="L794" t="str">
        <f>IF(SAISIE!$M799="","",SAISIE!$M799)</f>
        <v/>
      </c>
      <c r="M794" t="str">
        <f>IF(SAISIE!$N799="","",SAISIE!$N799)</f>
        <v/>
      </c>
      <c r="N794" t="str">
        <f>IF(SAISIE!$O799="","",SAISIE!$O799)</f>
        <v/>
      </c>
      <c r="O794" t="str">
        <f>IF(SAISIE!$P799="","",SAISIE!$P799)</f>
        <v/>
      </c>
      <c r="P794" t="str">
        <f>IF(SAISIE!$Q799="","",SAISIE!$Q799)</f>
        <v/>
      </c>
      <c r="Q794" t="str">
        <f>IF($I794="","",IF($I794&gt;PARAMETRES!$G$29,5,IF($I794&gt;PARAMETRES!$F$29,4,IF($I794&gt;PARAMETRES!$E$29,3,IF($I794&gt;PARAMETRES!$D$29,2,1)))))</f>
        <v/>
      </c>
      <c r="R794" t="str">
        <f>IF($J794="","",IF($J794&gt;PARAMETRES!$G$30,5,IF($J794&gt;PARAMETRES!$F$30,4,IF($J794&gt;PARAMETRES!$E$30,3,IF($J794&gt;PARAMETRES!$D$30,2,1)))))</f>
        <v/>
      </c>
      <c r="S794" t="str">
        <f>IF($K794="","",IF($Z794=2,IF($K794&gt;PARAMETRES!$G$31,5,IF($K794&gt;PARAMETRES!$F$31,4,IF($K794&gt;PARAMETRES!$E$31,3,IF($K794&gt;PARAMETRES!$D$31,2,1)))),IF($K794&gt;PARAMETRES!$G$32,5,IF($K794&gt;PARAMETRES!$F$32,4,IF($K794&gt;PARAMETRES!$E$32,3,IF($K794&gt;PARAMETRES!$D$32,2,1))))))</f>
        <v/>
      </c>
      <c r="T794" t="str">
        <f>IF($L794="","",IF($L794&gt;PARAMETRES!$G$33,5,IF($L794&gt;PARAMETRES!$F$33,4,IF($L794&gt;PARAMETRES!$E$33,3,IF($L794&gt;PARAMETRES!$D$33,2,1)))))</f>
        <v/>
      </c>
      <c r="U794" t="str">
        <f>IF($M794="","",IF($M794&gt;PARAMETRES!$G$34,5,IF($M794&gt;PARAMETRES!$F$34,4,IF($M794&gt;PARAMETRES!$E$34,3,IF($M794&gt;PARAMETRES!$D$34,2,1)))))</f>
        <v/>
      </c>
      <c r="V794" t="str">
        <f>IF($N794="","",IF($N794&gt;PARAMETRES!$G$35,5,IF($N794&gt;PARAMETRES!$F$35,4,IF($N794&gt;PARAMETRES!$E$35,3,IF($N794&gt;PARAMETRES!$D$35,2,1)))))</f>
        <v/>
      </c>
      <c r="W794" t="str">
        <f>IF($O794="","",IF($O794&gt;PARAMETRES!$G$36,5,IF($O794&gt;PARAMETRES!$F$36,4,IF($O794&gt;PARAMETRES!$E$36,3,IF($O794&gt;PARAMETRES!$D$36,2,1)))))</f>
        <v/>
      </c>
      <c r="X794" t="str">
        <f>IF($P794="","",IF($P794&gt;PARAMETRES!$G$37,5,IF($P794&gt;PARAMETRES!$F$37,4,IF($P794&gt;PARAMETRES!$E$37,3,IF($P794&gt;PARAMETRES!$D$37,2,1)))))</f>
        <v/>
      </c>
      <c r="Y794" t="str">
        <f t="shared" si="288"/>
        <v/>
      </c>
      <c r="Z794" t="str">
        <f>IFERROR(VLOOKUP($B794,TABLE_CYCLE,2,0),"")</f>
        <v/>
      </c>
      <c r="AA794" t="str">
        <f t="shared" si="289"/>
        <v/>
      </c>
      <c r="AB794" t="str">
        <f>IF($D794="","",IF(COUNTIF($D$2:$D794,$D794)=1,$D794,""))</f>
        <v/>
      </c>
      <c r="AC794">
        <f t="shared" si="290"/>
        <v>0</v>
      </c>
      <c r="AD794" t="str">
        <f t="shared" si="291"/>
        <v>|0</v>
      </c>
      <c r="AE794" t="str">
        <f t="shared" si="292"/>
        <v/>
      </c>
      <c r="AF794" t="str">
        <f t="shared" si="293"/>
        <v/>
      </c>
      <c r="AG794" t="str">
        <f t="shared" si="294"/>
        <v/>
      </c>
      <c r="AH794" t="str">
        <f t="shared" si="295"/>
        <v/>
      </c>
      <c r="AI794" t="str">
        <f t="shared" si="296"/>
        <v/>
      </c>
      <c r="AJ794" t="str">
        <f t="shared" si="297"/>
        <v/>
      </c>
      <c r="AK794" t="str">
        <f t="shared" si="298"/>
        <v/>
      </c>
      <c r="AL794" t="str">
        <f t="shared" si="299"/>
        <v/>
      </c>
      <c r="AM794" t="str">
        <f t="shared" si="300"/>
        <v/>
      </c>
      <c r="AN794" t="str">
        <f t="shared" si="301"/>
        <v/>
      </c>
      <c r="AO794" t="str">
        <f t="shared" si="302"/>
        <v/>
      </c>
      <c r="AP794">
        <f t="shared" si="303"/>
        <v>1</v>
      </c>
      <c r="AQ794" t="str">
        <f>IF(SAISIE!$F799="","",SAISIE!$Y799)</f>
        <v/>
      </c>
      <c r="AR794" t="str">
        <f>IF(OR(SAISIE!$U$4="",SAISIE!$W$4=""),"",IF(AND($A794=SAISIE!$U$4,$B794=SAISIE!$W$4,$C794="S1"),COUNTIFS($A$2:$A794,SAISIE!$U$4,$B$2:$B794,SAISIE!$W$4,$C$2:$C794,"S1"),""))</f>
        <v/>
      </c>
      <c r="AS794" t="str">
        <f t="shared" si="304"/>
        <v/>
      </c>
      <c r="AT794" t="str">
        <f t="shared" si="305"/>
        <v/>
      </c>
      <c r="AU794" t="str">
        <f t="shared" si="306"/>
        <v/>
      </c>
      <c r="AV794">
        <f>N(AV793)+IF(AND($AB794&lt;&gt;"",OR('PROFIL ELEVE'!$K$4="(Tous)",$AF794='PROFIL ELEVE'!$K$4)),1,0)</f>
        <v>0</v>
      </c>
      <c r="AW794">
        <f>N(AW793)+IF(AND($AB794&lt;&gt;"",OR('SUIVI LONGITUDINAL'!$Q$4="(Tous)",$AF794='SUIVI LONGITUDINAL'!$Q$4)),1,0)</f>
        <v>0</v>
      </c>
      <c r="AX794">
        <f t="shared" si="307"/>
        <v>0</v>
      </c>
      <c r="AY794">
        <f t="shared" si="308"/>
        <v>0</v>
      </c>
      <c r="AZ794">
        <f t="shared" si="309"/>
        <v>0</v>
      </c>
      <c r="BA794" t="str">
        <f t="shared" si="310"/>
        <v/>
      </c>
      <c r="BB794" t="str">
        <f t="shared" si="311"/>
        <v/>
      </c>
    </row>
    <row r="795" spans="1:54" ht="14.25" customHeight="1" x14ac:dyDescent="0.3">
      <c r="A795" t="str">
        <f>IF(SAISIE!$F800="","",SAISIE!$B800)</f>
        <v/>
      </c>
      <c r="B795" t="str">
        <f>IF(SAISIE!$F800="","",SAISIE!$C800)</f>
        <v/>
      </c>
      <c r="C795" t="str">
        <f>IF(SAISIE!$F800="","",SAISIE!$D800)</f>
        <v/>
      </c>
      <c r="D795" t="str">
        <f>IF(SAISIE!$E800="","",SAISIE!$E800)</f>
        <v/>
      </c>
      <c r="E795" t="str">
        <f>IF(SAISIE!$F800="","",SAISIE!$F800)</f>
        <v/>
      </c>
      <c r="F795" t="str">
        <f>IF(SAISIE!$G800="","",SAISIE!$G800)</f>
        <v/>
      </c>
      <c r="G795" t="str">
        <f>IF(SAISIE!$H800="","",SAISIE!$H800)</f>
        <v/>
      </c>
      <c r="H795" t="str">
        <f>IF(SAISIE!$I800="","",SAISIE!$I800)</f>
        <v/>
      </c>
      <c r="I795" t="str">
        <f>IF(SAISIE!$J800="","",SAISIE!$J800)</f>
        <v/>
      </c>
      <c r="J795" t="str">
        <f>IF(SAISIE!$K800="","",SAISIE!$K800)</f>
        <v/>
      </c>
      <c r="K795" t="str">
        <f>IF(SAISIE!$L800="","",SAISIE!$L800)</f>
        <v/>
      </c>
      <c r="L795" t="str">
        <f>IF(SAISIE!$M800="","",SAISIE!$M800)</f>
        <v/>
      </c>
      <c r="M795" t="str">
        <f>IF(SAISIE!$N800="","",SAISIE!$N800)</f>
        <v/>
      </c>
      <c r="N795" t="str">
        <f>IF(SAISIE!$O800="","",SAISIE!$O800)</f>
        <v/>
      </c>
      <c r="O795" t="str">
        <f>IF(SAISIE!$P800="","",SAISIE!$P800)</f>
        <v/>
      </c>
      <c r="P795" t="str">
        <f>IF(SAISIE!$Q800="","",SAISIE!$Q800)</f>
        <v/>
      </c>
      <c r="Q795" t="str">
        <f>IF($I795="","",IF($I795&gt;PARAMETRES!$G$29,5,IF($I795&gt;PARAMETRES!$F$29,4,IF($I795&gt;PARAMETRES!$E$29,3,IF($I795&gt;PARAMETRES!$D$29,2,1)))))</f>
        <v/>
      </c>
      <c r="R795" t="str">
        <f>IF($J795="","",IF($J795&gt;PARAMETRES!$G$30,5,IF($J795&gt;PARAMETRES!$F$30,4,IF($J795&gt;PARAMETRES!$E$30,3,IF($J795&gt;PARAMETRES!$D$30,2,1)))))</f>
        <v/>
      </c>
      <c r="S795" t="str">
        <f>IF($K795="","",IF($Z795=2,IF($K795&gt;PARAMETRES!$G$31,5,IF($K795&gt;PARAMETRES!$F$31,4,IF($K795&gt;PARAMETRES!$E$31,3,IF($K795&gt;PARAMETRES!$D$31,2,1)))),IF($K795&gt;PARAMETRES!$G$32,5,IF($K795&gt;PARAMETRES!$F$32,4,IF($K795&gt;PARAMETRES!$E$32,3,IF($K795&gt;PARAMETRES!$D$32,2,1))))))</f>
        <v/>
      </c>
      <c r="T795" t="str">
        <f>IF($L795="","",IF($L795&gt;PARAMETRES!$G$33,5,IF($L795&gt;PARAMETRES!$F$33,4,IF($L795&gt;PARAMETRES!$E$33,3,IF($L795&gt;PARAMETRES!$D$33,2,1)))))</f>
        <v/>
      </c>
      <c r="U795" t="str">
        <f>IF($M795="","",IF($M795&gt;PARAMETRES!$G$34,5,IF($M795&gt;PARAMETRES!$F$34,4,IF($M795&gt;PARAMETRES!$E$34,3,IF($M795&gt;PARAMETRES!$D$34,2,1)))))</f>
        <v/>
      </c>
      <c r="V795" t="str">
        <f>IF($N795="","",IF($N795&gt;PARAMETRES!$G$35,5,IF($N795&gt;PARAMETRES!$F$35,4,IF($N795&gt;PARAMETRES!$E$35,3,IF($N795&gt;PARAMETRES!$D$35,2,1)))))</f>
        <v/>
      </c>
      <c r="W795" t="str">
        <f>IF($O795="","",IF($O795&gt;PARAMETRES!$G$36,5,IF($O795&gt;PARAMETRES!$F$36,4,IF($O795&gt;PARAMETRES!$E$36,3,IF($O795&gt;PARAMETRES!$D$36,2,1)))))</f>
        <v/>
      </c>
      <c r="X795" t="str">
        <f>IF($P795="","",IF($P795&gt;PARAMETRES!$G$37,5,IF($P795&gt;PARAMETRES!$F$37,4,IF($P795&gt;PARAMETRES!$E$37,3,IF($P795&gt;PARAMETRES!$D$37,2,1)))))</f>
        <v/>
      </c>
      <c r="Y795" t="str">
        <f t="shared" si="288"/>
        <v/>
      </c>
      <c r="Z795" t="str">
        <f>IFERROR(VLOOKUP($B795,TABLE_CYCLE,2,0),"")</f>
        <v/>
      </c>
      <c r="AA795" t="str">
        <f t="shared" si="289"/>
        <v/>
      </c>
      <c r="AB795" t="str">
        <f>IF($D795="","",IF(COUNTIF($D$2:$D795,$D795)=1,$D795,""))</f>
        <v/>
      </c>
      <c r="AC795">
        <f t="shared" si="290"/>
        <v>0</v>
      </c>
      <c r="AD795" t="str">
        <f t="shared" si="291"/>
        <v>|0</v>
      </c>
      <c r="AE795" t="str">
        <f t="shared" si="292"/>
        <v/>
      </c>
      <c r="AF795" t="str">
        <f t="shared" si="293"/>
        <v/>
      </c>
      <c r="AG795" t="str">
        <f t="shared" si="294"/>
        <v/>
      </c>
      <c r="AH795" t="str">
        <f t="shared" si="295"/>
        <v/>
      </c>
      <c r="AI795" t="str">
        <f t="shared" si="296"/>
        <v/>
      </c>
      <c r="AJ795" t="str">
        <f t="shared" si="297"/>
        <v/>
      </c>
      <c r="AK795" t="str">
        <f t="shared" si="298"/>
        <v/>
      </c>
      <c r="AL795" t="str">
        <f t="shared" si="299"/>
        <v/>
      </c>
      <c r="AM795" t="str">
        <f t="shared" si="300"/>
        <v/>
      </c>
      <c r="AN795" t="str">
        <f t="shared" si="301"/>
        <v/>
      </c>
      <c r="AO795" t="str">
        <f t="shared" si="302"/>
        <v/>
      </c>
      <c r="AP795">
        <f t="shared" si="303"/>
        <v>1</v>
      </c>
      <c r="AQ795" t="str">
        <f>IF(SAISIE!$F800="","",SAISIE!$Y800)</f>
        <v/>
      </c>
      <c r="AR795" t="str">
        <f>IF(OR(SAISIE!$U$4="",SAISIE!$W$4=""),"",IF(AND($A795=SAISIE!$U$4,$B795=SAISIE!$W$4,$C795="S1"),COUNTIFS($A$2:$A795,SAISIE!$U$4,$B$2:$B795,SAISIE!$W$4,$C$2:$C795,"S1"),""))</f>
        <v/>
      </c>
      <c r="AS795" t="str">
        <f t="shared" si="304"/>
        <v/>
      </c>
      <c r="AT795" t="str">
        <f t="shared" si="305"/>
        <v/>
      </c>
      <c r="AU795" t="str">
        <f t="shared" si="306"/>
        <v/>
      </c>
      <c r="AV795">
        <f>N(AV794)+IF(AND($AB795&lt;&gt;"",OR('PROFIL ELEVE'!$K$4="(Tous)",$AF795='PROFIL ELEVE'!$K$4)),1,0)</f>
        <v>0</v>
      </c>
      <c r="AW795">
        <f>N(AW794)+IF(AND($AB795&lt;&gt;"",OR('SUIVI LONGITUDINAL'!$Q$4="(Tous)",$AF795='SUIVI LONGITUDINAL'!$Q$4)),1,0)</f>
        <v>0</v>
      </c>
      <c r="AX795">
        <f t="shared" si="307"/>
        <v>0</v>
      </c>
      <c r="AY795">
        <f t="shared" si="308"/>
        <v>0</v>
      </c>
      <c r="AZ795">
        <f t="shared" si="309"/>
        <v>0</v>
      </c>
      <c r="BA795" t="str">
        <f t="shared" si="310"/>
        <v/>
      </c>
      <c r="BB795" t="str">
        <f t="shared" si="311"/>
        <v/>
      </c>
    </row>
    <row r="796" spans="1:54" ht="14.25" customHeight="1" x14ac:dyDescent="0.3">
      <c r="A796" t="str">
        <f>IF(SAISIE!$F801="","",SAISIE!$B801)</f>
        <v/>
      </c>
      <c r="B796" t="str">
        <f>IF(SAISIE!$F801="","",SAISIE!$C801)</f>
        <v/>
      </c>
      <c r="C796" t="str">
        <f>IF(SAISIE!$F801="","",SAISIE!$D801)</f>
        <v/>
      </c>
      <c r="D796" t="str">
        <f>IF(SAISIE!$E801="","",SAISIE!$E801)</f>
        <v/>
      </c>
      <c r="E796" t="str">
        <f>IF(SAISIE!$F801="","",SAISIE!$F801)</f>
        <v/>
      </c>
      <c r="F796" t="str">
        <f>IF(SAISIE!$G801="","",SAISIE!$G801)</f>
        <v/>
      </c>
      <c r="G796" t="str">
        <f>IF(SAISIE!$H801="","",SAISIE!$H801)</f>
        <v/>
      </c>
      <c r="H796" t="str">
        <f>IF(SAISIE!$I801="","",SAISIE!$I801)</f>
        <v/>
      </c>
      <c r="I796" t="str">
        <f>IF(SAISIE!$J801="","",SAISIE!$J801)</f>
        <v/>
      </c>
      <c r="J796" t="str">
        <f>IF(SAISIE!$K801="","",SAISIE!$K801)</f>
        <v/>
      </c>
      <c r="K796" t="str">
        <f>IF(SAISIE!$L801="","",SAISIE!$L801)</f>
        <v/>
      </c>
      <c r="L796" t="str">
        <f>IF(SAISIE!$M801="","",SAISIE!$M801)</f>
        <v/>
      </c>
      <c r="M796" t="str">
        <f>IF(SAISIE!$N801="","",SAISIE!$N801)</f>
        <v/>
      </c>
      <c r="N796" t="str">
        <f>IF(SAISIE!$O801="","",SAISIE!$O801)</f>
        <v/>
      </c>
      <c r="O796" t="str">
        <f>IF(SAISIE!$P801="","",SAISIE!$P801)</f>
        <v/>
      </c>
      <c r="P796" t="str">
        <f>IF(SAISIE!$Q801="","",SAISIE!$Q801)</f>
        <v/>
      </c>
      <c r="Q796" t="str">
        <f>IF($I796="","",IF($I796&gt;PARAMETRES!$G$29,5,IF($I796&gt;PARAMETRES!$F$29,4,IF($I796&gt;PARAMETRES!$E$29,3,IF($I796&gt;PARAMETRES!$D$29,2,1)))))</f>
        <v/>
      </c>
      <c r="R796" t="str">
        <f>IF($J796="","",IF($J796&gt;PARAMETRES!$G$30,5,IF($J796&gt;PARAMETRES!$F$30,4,IF($J796&gt;PARAMETRES!$E$30,3,IF($J796&gt;PARAMETRES!$D$30,2,1)))))</f>
        <v/>
      </c>
      <c r="S796" t="str">
        <f>IF($K796="","",IF($Z796=2,IF($K796&gt;PARAMETRES!$G$31,5,IF($K796&gt;PARAMETRES!$F$31,4,IF($K796&gt;PARAMETRES!$E$31,3,IF($K796&gt;PARAMETRES!$D$31,2,1)))),IF($K796&gt;PARAMETRES!$G$32,5,IF($K796&gt;PARAMETRES!$F$32,4,IF($K796&gt;PARAMETRES!$E$32,3,IF($K796&gt;PARAMETRES!$D$32,2,1))))))</f>
        <v/>
      </c>
      <c r="T796" t="str">
        <f>IF($L796="","",IF($L796&gt;PARAMETRES!$G$33,5,IF($L796&gt;PARAMETRES!$F$33,4,IF($L796&gt;PARAMETRES!$E$33,3,IF($L796&gt;PARAMETRES!$D$33,2,1)))))</f>
        <v/>
      </c>
      <c r="U796" t="str">
        <f>IF($M796="","",IF($M796&gt;PARAMETRES!$G$34,5,IF($M796&gt;PARAMETRES!$F$34,4,IF($M796&gt;PARAMETRES!$E$34,3,IF($M796&gt;PARAMETRES!$D$34,2,1)))))</f>
        <v/>
      </c>
      <c r="V796" t="str">
        <f>IF($N796="","",IF($N796&gt;PARAMETRES!$G$35,5,IF($N796&gt;PARAMETRES!$F$35,4,IF($N796&gt;PARAMETRES!$E$35,3,IF($N796&gt;PARAMETRES!$D$35,2,1)))))</f>
        <v/>
      </c>
      <c r="W796" t="str">
        <f>IF($O796="","",IF($O796&gt;PARAMETRES!$G$36,5,IF($O796&gt;PARAMETRES!$F$36,4,IF($O796&gt;PARAMETRES!$E$36,3,IF($O796&gt;PARAMETRES!$D$36,2,1)))))</f>
        <v/>
      </c>
      <c r="X796" t="str">
        <f>IF($P796="","",IF($P796&gt;PARAMETRES!$G$37,5,IF($P796&gt;PARAMETRES!$F$37,4,IF($P796&gt;PARAMETRES!$E$37,3,IF($P796&gt;PARAMETRES!$D$37,2,1)))))</f>
        <v/>
      </c>
      <c r="Y796" t="str">
        <f t="shared" si="288"/>
        <v/>
      </c>
      <c r="Z796" t="str">
        <f>IFERROR(VLOOKUP($B796,TABLE_CYCLE,2,0),"")</f>
        <v/>
      </c>
      <c r="AA796" t="str">
        <f t="shared" si="289"/>
        <v/>
      </c>
      <c r="AB796" t="str">
        <f>IF($D796="","",IF(COUNTIF($D$2:$D796,$D796)=1,$D796,""))</f>
        <v/>
      </c>
      <c r="AC796">
        <f t="shared" si="290"/>
        <v>0</v>
      </c>
      <c r="AD796" t="str">
        <f t="shared" si="291"/>
        <v>|0</v>
      </c>
      <c r="AE796" t="str">
        <f t="shared" si="292"/>
        <v/>
      </c>
      <c r="AF796" t="str">
        <f t="shared" si="293"/>
        <v/>
      </c>
      <c r="AG796" t="str">
        <f t="shared" si="294"/>
        <v/>
      </c>
      <c r="AH796" t="str">
        <f t="shared" si="295"/>
        <v/>
      </c>
      <c r="AI796" t="str">
        <f t="shared" si="296"/>
        <v/>
      </c>
      <c r="AJ796" t="str">
        <f t="shared" si="297"/>
        <v/>
      </c>
      <c r="AK796" t="str">
        <f t="shared" si="298"/>
        <v/>
      </c>
      <c r="AL796" t="str">
        <f t="shared" si="299"/>
        <v/>
      </c>
      <c r="AM796" t="str">
        <f t="shared" si="300"/>
        <v/>
      </c>
      <c r="AN796" t="str">
        <f t="shared" si="301"/>
        <v/>
      </c>
      <c r="AO796" t="str">
        <f t="shared" si="302"/>
        <v/>
      </c>
      <c r="AP796">
        <f t="shared" si="303"/>
        <v>1</v>
      </c>
      <c r="AQ796" t="str">
        <f>IF(SAISIE!$F801="","",SAISIE!$Y801)</f>
        <v/>
      </c>
      <c r="AR796" t="str">
        <f>IF(OR(SAISIE!$U$4="",SAISIE!$W$4=""),"",IF(AND($A796=SAISIE!$U$4,$B796=SAISIE!$W$4,$C796="S1"),COUNTIFS($A$2:$A796,SAISIE!$U$4,$B$2:$B796,SAISIE!$W$4,$C$2:$C796,"S1"),""))</f>
        <v/>
      </c>
      <c r="AS796" t="str">
        <f t="shared" si="304"/>
        <v/>
      </c>
      <c r="AT796" t="str">
        <f t="shared" si="305"/>
        <v/>
      </c>
      <c r="AU796" t="str">
        <f t="shared" si="306"/>
        <v/>
      </c>
      <c r="AV796">
        <f>N(AV795)+IF(AND($AB796&lt;&gt;"",OR('PROFIL ELEVE'!$K$4="(Tous)",$AF796='PROFIL ELEVE'!$K$4)),1,0)</f>
        <v>0</v>
      </c>
      <c r="AW796">
        <f>N(AW795)+IF(AND($AB796&lt;&gt;"",OR('SUIVI LONGITUDINAL'!$Q$4="(Tous)",$AF796='SUIVI LONGITUDINAL'!$Q$4)),1,0)</f>
        <v>0</v>
      </c>
      <c r="AX796">
        <f t="shared" si="307"/>
        <v>0</v>
      </c>
      <c r="AY796">
        <f t="shared" si="308"/>
        <v>0</v>
      </c>
      <c r="AZ796">
        <f t="shared" si="309"/>
        <v>0</v>
      </c>
      <c r="BA796" t="str">
        <f t="shared" si="310"/>
        <v/>
      </c>
      <c r="BB796" t="str">
        <f t="shared" si="311"/>
        <v/>
      </c>
    </row>
    <row r="797" spans="1:54" ht="14.25" customHeight="1" x14ac:dyDescent="0.3">
      <c r="A797" t="str">
        <f>IF(SAISIE!$F802="","",SAISIE!$B802)</f>
        <v/>
      </c>
      <c r="B797" t="str">
        <f>IF(SAISIE!$F802="","",SAISIE!$C802)</f>
        <v/>
      </c>
      <c r="C797" t="str">
        <f>IF(SAISIE!$F802="","",SAISIE!$D802)</f>
        <v/>
      </c>
      <c r="D797" t="str">
        <f>IF(SAISIE!$E802="","",SAISIE!$E802)</f>
        <v/>
      </c>
      <c r="E797" t="str">
        <f>IF(SAISIE!$F802="","",SAISIE!$F802)</f>
        <v/>
      </c>
      <c r="F797" t="str">
        <f>IF(SAISIE!$G802="","",SAISIE!$G802)</f>
        <v/>
      </c>
      <c r="G797" t="str">
        <f>IF(SAISIE!$H802="","",SAISIE!$H802)</f>
        <v/>
      </c>
      <c r="H797" t="str">
        <f>IF(SAISIE!$I802="","",SAISIE!$I802)</f>
        <v/>
      </c>
      <c r="I797" t="str">
        <f>IF(SAISIE!$J802="","",SAISIE!$J802)</f>
        <v/>
      </c>
      <c r="J797" t="str">
        <f>IF(SAISIE!$K802="","",SAISIE!$K802)</f>
        <v/>
      </c>
      <c r="K797" t="str">
        <f>IF(SAISIE!$L802="","",SAISIE!$L802)</f>
        <v/>
      </c>
      <c r="L797" t="str">
        <f>IF(SAISIE!$M802="","",SAISIE!$M802)</f>
        <v/>
      </c>
      <c r="M797" t="str">
        <f>IF(SAISIE!$N802="","",SAISIE!$N802)</f>
        <v/>
      </c>
      <c r="N797" t="str">
        <f>IF(SAISIE!$O802="","",SAISIE!$O802)</f>
        <v/>
      </c>
      <c r="O797" t="str">
        <f>IF(SAISIE!$P802="","",SAISIE!$P802)</f>
        <v/>
      </c>
      <c r="P797" t="str">
        <f>IF(SAISIE!$Q802="","",SAISIE!$Q802)</f>
        <v/>
      </c>
      <c r="Q797" t="str">
        <f>IF($I797="","",IF($I797&gt;PARAMETRES!$G$29,5,IF($I797&gt;PARAMETRES!$F$29,4,IF($I797&gt;PARAMETRES!$E$29,3,IF($I797&gt;PARAMETRES!$D$29,2,1)))))</f>
        <v/>
      </c>
      <c r="R797" t="str">
        <f>IF($J797="","",IF($J797&gt;PARAMETRES!$G$30,5,IF($J797&gt;PARAMETRES!$F$30,4,IF($J797&gt;PARAMETRES!$E$30,3,IF($J797&gt;PARAMETRES!$D$30,2,1)))))</f>
        <v/>
      </c>
      <c r="S797" t="str">
        <f>IF($K797="","",IF($Z797=2,IF($K797&gt;PARAMETRES!$G$31,5,IF($K797&gt;PARAMETRES!$F$31,4,IF($K797&gt;PARAMETRES!$E$31,3,IF($K797&gt;PARAMETRES!$D$31,2,1)))),IF($K797&gt;PARAMETRES!$G$32,5,IF($K797&gt;PARAMETRES!$F$32,4,IF($K797&gt;PARAMETRES!$E$32,3,IF($K797&gt;PARAMETRES!$D$32,2,1))))))</f>
        <v/>
      </c>
      <c r="T797" t="str">
        <f>IF($L797="","",IF($L797&gt;PARAMETRES!$G$33,5,IF($L797&gt;PARAMETRES!$F$33,4,IF($L797&gt;PARAMETRES!$E$33,3,IF($L797&gt;PARAMETRES!$D$33,2,1)))))</f>
        <v/>
      </c>
      <c r="U797" t="str">
        <f>IF($M797="","",IF($M797&gt;PARAMETRES!$G$34,5,IF($M797&gt;PARAMETRES!$F$34,4,IF($M797&gt;PARAMETRES!$E$34,3,IF($M797&gt;PARAMETRES!$D$34,2,1)))))</f>
        <v/>
      </c>
      <c r="V797" t="str">
        <f>IF($N797="","",IF($N797&gt;PARAMETRES!$G$35,5,IF($N797&gt;PARAMETRES!$F$35,4,IF($N797&gt;PARAMETRES!$E$35,3,IF($N797&gt;PARAMETRES!$D$35,2,1)))))</f>
        <v/>
      </c>
      <c r="W797" t="str">
        <f>IF($O797="","",IF($O797&gt;PARAMETRES!$G$36,5,IF($O797&gt;PARAMETRES!$F$36,4,IF($O797&gt;PARAMETRES!$E$36,3,IF($O797&gt;PARAMETRES!$D$36,2,1)))))</f>
        <v/>
      </c>
      <c r="X797" t="str">
        <f>IF($P797="","",IF($P797&gt;PARAMETRES!$G$37,5,IF($P797&gt;PARAMETRES!$F$37,4,IF($P797&gt;PARAMETRES!$E$37,3,IF($P797&gt;PARAMETRES!$D$37,2,1)))))</f>
        <v/>
      </c>
      <c r="Y797" t="str">
        <f t="shared" si="288"/>
        <v/>
      </c>
      <c r="Z797" t="str">
        <f>IFERROR(VLOOKUP($B797,TABLE_CYCLE,2,0),"")</f>
        <v/>
      </c>
      <c r="AA797" t="str">
        <f t="shared" si="289"/>
        <v/>
      </c>
      <c r="AB797" t="str">
        <f>IF($D797="","",IF(COUNTIF($D$2:$D797,$D797)=1,$D797,""))</f>
        <v/>
      </c>
      <c r="AC797">
        <f t="shared" si="290"/>
        <v>0</v>
      </c>
      <c r="AD797" t="str">
        <f t="shared" si="291"/>
        <v>|0</v>
      </c>
      <c r="AE797" t="str">
        <f t="shared" si="292"/>
        <v/>
      </c>
      <c r="AF797" t="str">
        <f t="shared" si="293"/>
        <v/>
      </c>
      <c r="AG797" t="str">
        <f t="shared" si="294"/>
        <v/>
      </c>
      <c r="AH797" t="str">
        <f t="shared" si="295"/>
        <v/>
      </c>
      <c r="AI797" t="str">
        <f t="shared" si="296"/>
        <v/>
      </c>
      <c r="AJ797" t="str">
        <f t="shared" si="297"/>
        <v/>
      </c>
      <c r="AK797" t="str">
        <f t="shared" si="298"/>
        <v/>
      </c>
      <c r="AL797" t="str">
        <f t="shared" si="299"/>
        <v/>
      </c>
      <c r="AM797" t="str">
        <f t="shared" si="300"/>
        <v/>
      </c>
      <c r="AN797" t="str">
        <f t="shared" si="301"/>
        <v/>
      </c>
      <c r="AO797" t="str">
        <f t="shared" si="302"/>
        <v/>
      </c>
      <c r="AP797">
        <f t="shared" si="303"/>
        <v>1</v>
      </c>
      <c r="AQ797" t="str">
        <f>IF(SAISIE!$F802="","",SAISIE!$Y802)</f>
        <v/>
      </c>
      <c r="AR797" t="str">
        <f>IF(OR(SAISIE!$U$4="",SAISIE!$W$4=""),"",IF(AND($A797=SAISIE!$U$4,$B797=SAISIE!$W$4,$C797="S1"),COUNTIFS($A$2:$A797,SAISIE!$U$4,$B$2:$B797,SAISIE!$W$4,$C$2:$C797,"S1"),""))</f>
        <v/>
      </c>
      <c r="AS797" t="str">
        <f t="shared" si="304"/>
        <v/>
      </c>
      <c r="AT797" t="str">
        <f t="shared" si="305"/>
        <v/>
      </c>
      <c r="AU797" t="str">
        <f t="shared" si="306"/>
        <v/>
      </c>
      <c r="AV797">
        <f>N(AV796)+IF(AND($AB797&lt;&gt;"",OR('PROFIL ELEVE'!$K$4="(Tous)",$AF797='PROFIL ELEVE'!$K$4)),1,0)</f>
        <v>0</v>
      </c>
      <c r="AW797">
        <f>N(AW796)+IF(AND($AB797&lt;&gt;"",OR('SUIVI LONGITUDINAL'!$Q$4="(Tous)",$AF797='SUIVI LONGITUDINAL'!$Q$4)),1,0)</f>
        <v>0</v>
      </c>
      <c r="AX797">
        <f t="shared" si="307"/>
        <v>0</v>
      </c>
      <c r="AY797">
        <f t="shared" si="308"/>
        <v>0</v>
      </c>
      <c r="AZ797">
        <f t="shared" si="309"/>
        <v>0</v>
      </c>
      <c r="BA797" t="str">
        <f t="shared" si="310"/>
        <v/>
      </c>
      <c r="BB797" t="str">
        <f t="shared" si="311"/>
        <v/>
      </c>
    </row>
    <row r="798" spans="1:54" ht="14.25" customHeight="1" x14ac:dyDescent="0.3">
      <c r="A798" t="str">
        <f>IF(SAISIE!$F803="","",SAISIE!$B803)</f>
        <v/>
      </c>
      <c r="B798" t="str">
        <f>IF(SAISIE!$F803="","",SAISIE!$C803)</f>
        <v/>
      </c>
      <c r="C798" t="str">
        <f>IF(SAISIE!$F803="","",SAISIE!$D803)</f>
        <v/>
      </c>
      <c r="D798" t="str">
        <f>IF(SAISIE!$E803="","",SAISIE!$E803)</f>
        <v/>
      </c>
      <c r="E798" t="str">
        <f>IF(SAISIE!$F803="","",SAISIE!$F803)</f>
        <v/>
      </c>
      <c r="F798" t="str">
        <f>IF(SAISIE!$G803="","",SAISIE!$G803)</f>
        <v/>
      </c>
      <c r="G798" t="str">
        <f>IF(SAISIE!$H803="","",SAISIE!$H803)</f>
        <v/>
      </c>
      <c r="H798" t="str">
        <f>IF(SAISIE!$I803="","",SAISIE!$I803)</f>
        <v/>
      </c>
      <c r="I798" t="str">
        <f>IF(SAISIE!$J803="","",SAISIE!$J803)</f>
        <v/>
      </c>
      <c r="J798" t="str">
        <f>IF(SAISIE!$K803="","",SAISIE!$K803)</f>
        <v/>
      </c>
      <c r="K798" t="str">
        <f>IF(SAISIE!$L803="","",SAISIE!$L803)</f>
        <v/>
      </c>
      <c r="L798" t="str">
        <f>IF(SAISIE!$M803="","",SAISIE!$M803)</f>
        <v/>
      </c>
      <c r="M798" t="str">
        <f>IF(SAISIE!$N803="","",SAISIE!$N803)</f>
        <v/>
      </c>
      <c r="N798" t="str">
        <f>IF(SAISIE!$O803="","",SAISIE!$O803)</f>
        <v/>
      </c>
      <c r="O798" t="str">
        <f>IF(SAISIE!$P803="","",SAISIE!$P803)</f>
        <v/>
      </c>
      <c r="P798" t="str">
        <f>IF(SAISIE!$Q803="","",SAISIE!$Q803)</f>
        <v/>
      </c>
      <c r="Q798" t="str">
        <f>IF($I798="","",IF($I798&gt;PARAMETRES!$G$29,5,IF($I798&gt;PARAMETRES!$F$29,4,IF($I798&gt;PARAMETRES!$E$29,3,IF($I798&gt;PARAMETRES!$D$29,2,1)))))</f>
        <v/>
      </c>
      <c r="R798" t="str">
        <f>IF($J798="","",IF($J798&gt;PARAMETRES!$G$30,5,IF($J798&gt;PARAMETRES!$F$30,4,IF($J798&gt;PARAMETRES!$E$30,3,IF($J798&gt;PARAMETRES!$D$30,2,1)))))</f>
        <v/>
      </c>
      <c r="S798" t="str">
        <f>IF($K798="","",IF($Z798=2,IF($K798&gt;PARAMETRES!$G$31,5,IF($K798&gt;PARAMETRES!$F$31,4,IF($K798&gt;PARAMETRES!$E$31,3,IF($K798&gt;PARAMETRES!$D$31,2,1)))),IF($K798&gt;PARAMETRES!$G$32,5,IF($K798&gt;PARAMETRES!$F$32,4,IF($K798&gt;PARAMETRES!$E$32,3,IF($K798&gt;PARAMETRES!$D$32,2,1))))))</f>
        <v/>
      </c>
      <c r="T798" t="str">
        <f>IF($L798="","",IF($L798&gt;PARAMETRES!$G$33,5,IF($L798&gt;PARAMETRES!$F$33,4,IF($L798&gt;PARAMETRES!$E$33,3,IF($L798&gt;PARAMETRES!$D$33,2,1)))))</f>
        <v/>
      </c>
      <c r="U798" t="str">
        <f>IF($M798="","",IF($M798&gt;PARAMETRES!$G$34,5,IF($M798&gt;PARAMETRES!$F$34,4,IF($M798&gt;PARAMETRES!$E$34,3,IF($M798&gt;PARAMETRES!$D$34,2,1)))))</f>
        <v/>
      </c>
      <c r="V798" t="str">
        <f>IF($N798="","",IF($N798&gt;PARAMETRES!$G$35,5,IF($N798&gt;PARAMETRES!$F$35,4,IF($N798&gt;PARAMETRES!$E$35,3,IF($N798&gt;PARAMETRES!$D$35,2,1)))))</f>
        <v/>
      </c>
      <c r="W798" t="str">
        <f>IF($O798="","",IF($O798&gt;PARAMETRES!$G$36,5,IF($O798&gt;PARAMETRES!$F$36,4,IF($O798&gt;PARAMETRES!$E$36,3,IF($O798&gt;PARAMETRES!$D$36,2,1)))))</f>
        <v/>
      </c>
      <c r="X798" t="str">
        <f>IF($P798="","",IF($P798&gt;PARAMETRES!$G$37,5,IF($P798&gt;PARAMETRES!$F$37,4,IF($P798&gt;PARAMETRES!$E$37,3,IF($P798&gt;PARAMETRES!$D$37,2,1)))))</f>
        <v/>
      </c>
      <c r="Y798" t="str">
        <f t="shared" si="288"/>
        <v/>
      </c>
      <c r="Z798" t="str">
        <f>IFERROR(VLOOKUP($B798,TABLE_CYCLE,2,0),"")</f>
        <v/>
      </c>
      <c r="AA798" t="str">
        <f t="shared" si="289"/>
        <v/>
      </c>
      <c r="AB798" t="str">
        <f>IF($D798="","",IF(COUNTIF($D$2:$D798,$D798)=1,$D798,""))</f>
        <v/>
      </c>
      <c r="AC798">
        <f t="shared" si="290"/>
        <v>0</v>
      </c>
      <c r="AD798" t="str">
        <f t="shared" si="291"/>
        <v>|0</v>
      </c>
      <c r="AE798" t="str">
        <f t="shared" si="292"/>
        <v/>
      </c>
      <c r="AF798" t="str">
        <f t="shared" si="293"/>
        <v/>
      </c>
      <c r="AG798" t="str">
        <f t="shared" si="294"/>
        <v/>
      </c>
      <c r="AH798" t="str">
        <f t="shared" si="295"/>
        <v/>
      </c>
      <c r="AI798" t="str">
        <f t="shared" si="296"/>
        <v/>
      </c>
      <c r="AJ798" t="str">
        <f t="shared" si="297"/>
        <v/>
      </c>
      <c r="AK798" t="str">
        <f t="shared" si="298"/>
        <v/>
      </c>
      <c r="AL798" t="str">
        <f t="shared" si="299"/>
        <v/>
      </c>
      <c r="AM798" t="str">
        <f t="shared" si="300"/>
        <v/>
      </c>
      <c r="AN798" t="str">
        <f t="shared" si="301"/>
        <v/>
      </c>
      <c r="AO798" t="str">
        <f t="shared" si="302"/>
        <v/>
      </c>
      <c r="AP798">
        <f t="shared" si="303"/>
        <v>1</v>
      </c>
      <c r="AQ798" t="str">
        <f>IF(SAISIE!$F803="","",SAISIE!$Y803)</f>
        <v/>
      </c>
      <c r="AR798" t="str">
        <f>IF(OR(SAISIE!$U$4="",SAISIE!$W$4=""),"",IF(AND($A798=SAISIE!$U$4,$B798=SAISIE!$W$4,$C798="S1"),COUNTIFS($A$2:$A798,SAISIE!$U$4,$B$2:$B798,SAISIE!$W$4,$C$2:$C798,"S1"),""))</f>
        <v/>
      </c>
      <c r="AS798" t="str">
        <f t="shared" si="304"/>
        <v/>
      </c>
      <c r="AT798" t="str">
        <f t="shared" si="305"/>
        <v/>
      </c>
      <c r="AU798" t="str">
        <f t="shared" si="306"/>
        <v/>
      </c>
      <c r="AV798">
        <f>N(AV797)+IF(AND($AB798&lt;&gt;"",OR('PROFIL ELEVE'!$K$4="(Tous)",$AF798='PROFIL ELEVE'!$K$4)),1,0)</f>
        <v>0</v>
      </c>
      <c r="AW798">
        <f>N(AW797)+IF(AND($AB798&lt;&gt;"",OR('SUIVI LONGITUDINAL'!$Q$4="(Tous)",$AF798='SUIVI LONGITUDINAL'!$Q$4)),1,0)</f>
        <v>0</v>
      </c>
      <c r="AX798">
        <f t="shared" si="307"/>
        <v>0</v>
      </c>
      <c r="AY798">
        <f t="shared" si="308"/>
        <v>0</v>
      </c>
      <c r="AZ798">
        <f t="shared" si="309"/>
        <v>0</v>
      </c>
      <c r="BA798" t="str">
        <f t="shared" si="310"/>
        <v/>
      </c>
      <c r="BB798" t="str">
        <f t="shared" si="311"/>
        <v/>
      </c>
    </row>
    <row r="799" spans="1:54" ht="14.25" customHeight="1" x14ac:dyDescent="0.3">
      <c r="A799" t="str">
        <f>IF(SAISIE!$F804="","",SAISIE!$B804)</f>
        <v/>
      </c>
      <c r="B799" t="str">
        <f>IF(SAISIE!$F804="","",SAISIE!$C804)</f>
        <v/>
      </c>
      <c r="C799" t="str">
        <f>IF(SAISIE!$F804="","",SAISIE!$D804)</f>
        <v/>
      </c>
      <c r="D799" t="str">
        <f>IF(SAISIE!$E804="","",SAISIE!$E804)</f>
        <v/>
      </c>
      <c r="E799" t="str">
        <f>IF(SAISIE!$F804="","",SAISIE!$F804)</f>
        <v/>
      </c>
      <c r="F799" t="str">
        <f>IF(SAISIE!$G804="","",SAISIE!$G804)</f>
        <v/>
      </c>
      <c r="G799" t="str">
        <f>IF(SAISIE!$H804="","",SAISIE!$H804)</f>
        <v/>
      </c>
      <c r="H799" t="str">
        <f>IF(SAISIE!$I804="","",SAISIE!$I804)</f>
        <v/>
      </c>
      <c r="I799" t="str">
        <f>IF(SAISIE!$J804="","",SAISIE!$J804)</f>
        <v/>
      </c>
      <c r="J799" t="str">
        <f>IF(SAISIE!$K804="","",SAISIE!$K804)</f>
        <v/>
      </c>
      <c r="K799" t="str">
        <f>IF(SAISIE!$L804="","",SAISIE!$L804)</f>
        <v/>
      </c>
      <c r="L799" t="str">
        <f>IF(SAISIE!$M804="","",SAISIE!$M804)</f>
        <v/>
      </c>
      <c r="M799" t="str">
        <f>IF(SAISIE!$N804="","",SAISIE!$N804)</f>
        <v/>
      </c>
      <c r="N799" t="str">
        <f>IF(SAISIE!$O804="","",SAISIE!$O804)</f>
        <v/>
      </c>
      <c r="O799" t="str">
        <f>IF(SAISIE!$P804="","",SAISIE!$P804)</f>
        <v/>
      </c>
      <c r="P799" t="str">
        <f>IF(SAISIE!$Q804="","",SAISIE!$Q804)</f>
        <v/>
      </c>
      <c r="Q799" t="str">
        <f>IF($I799="","",IF($I799&gt;PARAMETRES!$G$29,5,IF($I799&gt;PARAMETRES!$F$29,4,IF($I799&gt;PARAMETRES!$E$29,3,IF($I799&gt;PARAMETRES!$D$29,2,1)))))</f>
        <v/>
      </c>
      <c r="R799" t="str">
        <f>IF($J799="","",IF($J799&gt;PARAMETRES!$G$30,5,IF($J799&gt;PARAMETRES!$F$30,4,IF($J799&gt;PARAMETRES!$E$30,3,IF($J799&gt;PARAMETRES!$D$30,2,1)))))</f>
        <v/>
      </c>
      <c r="S799" t="str">
        <f>IF($K799="","",IF($Z799=2,IF($K799&gt;PARAMETRES!$G$31,5,IF($K799&gt;PARAMETRES!$F$31,4,IF($K799&gt;PARAMETRES!$E$31,3,IF($K799&gt;PARAMETRES!$D$31,2,1)))),IF($K799&gt;PARAMETRES!$G$32,5,IF($K799&gt;PARAMETRES!$F$32,4,IF($K799&gt;PARAMETRES!$E$32,3,IF($K799&gt;PARAMETRES!$D$32,2,1))))))</f>
        <v/>
      </c>
      <c r="T799" t="str">
        <f>IF($L799="","",IF($L799&gt;PARAMETRES!$G$33,5,IF($L799&gt;PARAMETRES!$F$33,4,IF($L799&gt;PARAMETRES!$E$33,3,IF($L799&gt;PARAMETRES!$D$33,2,1)))))</f>
        <v/>
      </c>
      <c r="U799" t="str">
        <f>IF($M799="","",IF($M799&gt;PARAMETRES!$G$34,5,IF($M799&gt;PARAMETRES!$F$34,4,IF($M799&gt;PARAMETRES!$E$34,3,IF($M799&gt;PARAMETRES!$D$34,2,1)))))</f>
        <v/>
      </c>
      <c r="V799" t="str">
        <f>IF($N799="","",IF($N799&gt;PARAMETRES!$G$35,5,IF($N799&gt;PARAMETRES!$F$35,4,IF($N799&gt;PARAMETRES!$E$35,3,IF($N799&gt;PARAMETRES!$D$35,2,1)))))</f>
        <v/>
      </c>
      <c r="W799" t="str">
        <f>IF($O799="","",IF($O799&gt;PARAMETRES!$G$36,5,IF($O799&gt;PARAMETRES!$F$36,4,IF($O799&gt;PARAMETRES!$E$36,3,IF($O799&gt;PARAMETRES!$D$36,2,1)))))</f>
        <v/>
      </c>
      <c r="X799" t="str">
        <f>IF($P799="","",IF($P799&gt;PARAMETRES!$G$37,5,IF($P799&gt;PARAMETRES!$F$37,4,IF($P799&gt;PARAMETRES!$E$37,3,IF($P799&gt;PARAMETRES!$D$37,2,1)))))</f>
        <v/>
      </c>
      <c r="Y799" t="str">
        <f t="shared" si="288"/>
        <v/>
      </c>
      <c r="Z799" t="str">
        <f>IFERROR(VLOOKUP($B799,TABLE_CYCLE,2,0),"")</f>
        <v/>
      </c>
      <c r="AA799" t="str">
        <f t="shared" si="289"/>
        <v/>
      </c>
      <c r="AB799" t="str">
        <f>IF($D799="","",IF(COUNTIF($D$2:$D799,$D799)=1,$D799,""))</f>
        <v/>
      </c>
      <c r="AC799">
        <f t="shared" si="290"/>
        <v>0</v>
      </c>
      <c r="AD799" t="str">
        <f t="shared" si="291"/>
        <v>|0</v>
      </c>
      <c r="AE799" t="str">
        <f t="shared" si="292"/>
        <v/>
      </c>
      <c r="AF799" t="str">
        <f t="shared" si="293"/>
        <v/>
      </c>
      <c r="AG799" t="str">
        <f t="shared" si="294"/>
        <v/>
      </c>
      <c r="AH799" t="str">
        <f t="shared" si="295"/>
        <v/>
      </c>
      <c r="AI799" t="str">
        <f t="shared" si="296"/>
        <v/>
      </c>
      <c r="AJ799" t="str">
        <f t="shared" si="297"/>
        <v/>
      </c>
      <c r="AK799" t="str">
        <f t="shared" si="298"/>
        <v/>
      </c>
      <c r="AL799" t="str">
        <f t="shared" si="299"/>
        <v/>
      </c>
      <c r="AM799" t="str">
        <f t="shared" si="300"/>
        <v/>
      </c>
      <c r="AN799" t="str">
        <f t="shared" si="301"/>
        <v/>
      </c>
      <c r="AO799" t="str">
        <f t="shared" si="302"/>
        <v/>
      </c>
      <c r="AP799">
        <f t="shared" si="303"/>
        <v>1</v>
      </c>
      <c r="AQ799" t="str">
        <f>IF(SAISIE!$F804="","",SAISIE!$Y804)</f>
        <v/>
      </c>
      <c r="AR799" t="str">
        <f>IF(OR(SAISIE!$U$4="",SAISIE!$W$4=""),"",IF(AND($A799=SAISIE!$U$4,$B799=SAISIE!$W$4,$C799="S1"),COUNTIFS($A$2:$A799,SAISIE!$U$4,$B$2:$B799,SAISIE!$W$4,$C$2:$C799,"S1"),""))</f>
        <v/>
      </c>
      <c r="AS799" t="str">
        <f t="shared" si="304"/>
        <v/>
      </c>
      <c r="AT799" t="str">
        <f t="shared" si="305"/>
        <v/>
      </c>
      <c r="AU799" t="str">
        <f t="shared" si="306"/>
        <v/>
      </c>
      <c r="AV799">
        <f>N(AV798)+IF(AND($AB799&lt;&gt;"",OR('PROFIL ELEVE'!$K$4="(Tous)",$AF799='PROFIL ELEVE'!$K$4)),1,0)</f>
        <v>0</v>
      </c>
      <c r="AW799">
        <f>N(AW798)+IF(AND($AB799&lt;&gt;"",OR('SUIVI LONGITUDINAL'!$Q$4="(Tous)",$AF799='SUIVI LONGITUDINAL'!$Q$4)),1,0)</f>
        <v>0</v>
      </c>
      <c r="AX799">
        <f t="shared" si="307"/>
        <v>0</v>
      </c>
      <c r="AY799">
        <f t="shared" si="308"/>
        <v>0</v>
      </c>
      <c r="AZ799">
        <f t="shared" si="309"/>
        <v>0</v>
      </c>
      <c r="BA799" t="str">
        <f t="shared" si="310"/>
        <v/>
      </c>
      <c r="BB799" t="str">
        <f t="shared" si="311"/>
        <v/>
      </c>
    </row>
    <row r="800" spans="1:54" ht="14.25" customHeight="1" x14ac:dyDescent="0.3">
      <c r="A800" t="str">
        <f>IF(SAISIE!$F805="","",SAISIE!$B805)</f>
        <v/>
      </c>
      <c r="B800" t="str">
        <f>IF(SAISIE!$F805="","",SAISIE!$C805)</f>
        <v/>
      </c>
      <c r="C800" t="str">
        <f>IF(SAISIE!$F805="","",SAISIE!$D805)</f>
        <v/>
      </c>
      <c r="D800" t="str">
        <f>IF(SAISIE!$E805="","",SAISIE!$E805)</f>
        <v/>
      </c>
      <c r="E800" t="str">
        <f>IF(SAISIE!$F805="","",SAISIE!$F805)</f>
        <v/>
      </c>
      <c r="F800" t="str">
        <f>IF(SAISIE!$G805="","",SAISIE!$G805)</f>
        <v/>
      </c>
      <c r="G800" t="str">
        <f>IF(SAISIE!$H805="","",SAISIE!$H805)</f>
        <v/>
      </c>
      <c r="H800" t="str">
        <f>IF(SAISIE!$I805="","",SAISIE!$I805)</f>
        <v/>
      </c>
      <c r="I800" t="str">
        <f>IF(SAISIE!$J805="","",SAISIE!$J805)</f>
        <v/>
      </c>
      <c r="J800" t="str">
        <f>IF(SAISIE!$K805="","",SAISIE!$K805)</f>
        <v/>
      </c>
      <c r="K800" t="str">
        <f>IF(SAISIE!$L805="","",SAISIE!$L805)</f>
        <v/>
      </c>
      <c r="L800" t="str">
        <f>IF(SAISIE!$M805="","",SAISIE!$M805)</f>
        <v/>
      </c>
      <c r="M800" t="str">
        <f>IF(SAISIE!$N805="","",SAISIE!$N805)</f>
        <v/>
      </c>
      <c r="N800" t="str">
        <f>IF(SAISIE!$O805="","",SAISIE!$O805)</f>
        <v/>
      </c>
      <c r="O800" t="str">
        <f>IF(SAISIE!$P805="","",SAISIE!$P805)</f>
        <v/>
      </c>
      <c r="P800" t="str">
        <f>IF(SAISIE!$Q805="","",SAISIE!$Q805)</f>
        <v/>
      </c>
      <c r="Q800" t="str">
        <f>IF($I800="","",IF($I800&gt;PARAMETRES!$G$29,5,IF($I800&gt;PARAMETRES!$F$29,4,IF($I800&gt;PARAMETRES!$E$29,3,IF($I800&gt;PARAMETRES!$D$29,2,1)))))</f>
        <v/>
      </c>
      <c r="R800" t="str">
        <f>IF($J800="","",IF($J800&gt;PARAMETRES!$G$30,5,IF($J800&gt;PARAMETRES!$F$30,4,IF($J800&gt;PARAMETRES!$E$30,3,IF($J800&gt;PARAMETRES!$D$30,2,1)))))</f>
        <v/>
      </c>
      <c r="S800" t="str">
        <f>IF($K800="","",IF($Z800=2,IF($K800&gt;PARAMETRES!$G$31,5,IF($K800&gt;PARAMETRES!$F$31,4,IF($K800&gt;PARAMETRES!$E$31,3,IF($K800&gt;PARAMETRES!$D$31,2,1)))),IF($K800&gt;PARAMETRES!$G$32,5,IF($K800&gt;PARAMETRES!$F$32,4,IF($K800&gt;PARAMETRES!$E$32,3,IF($K800&gt;PARAMETRES!$D$32,2,1))))))</f>
        <v/>
      </c>
      <c r="T800" t="str">
        <f>IF($L800="","",IF($L800&gt;PARAMETRES!$G$33,5,IF($L800&gt;PARAMETRES!$F$33,4,IF($L800&gt;PARAMETRES!$E$33,3,IF($L800&gt;PARAMETRES!$D$33,2,1)))))</f>
        <v/>
      </c>
      <c r="U800" t="str">
        <f>IF($M800="","",IF($M800&gt;PARAMETRES!$G$34,5,IF($M800&gt;PARAMETRES!$F$34,4,IF($M800&gt;PARAMETRES!$E$34,3,IF($M800&gt;PARAMETRES!$D$34,2,1)))))</f>
        <v/>
      </c>
      <c r="V800" t="str">
        <f>IF($N800="","",IF($N800&gt;PARAMETRES!$G$35,5,IF($N800&gt;PARAMETRES!$F$35,4,IF($N800&gt;PARAMETRES!$E$35,3,IF($N800&gt;PARAMETRES!$D$35,2,1)))))</f>
        <v/>
      </c>
      <c r="W800" t="str">
        <f>IF($O800="","",IF($O800&gt;PARAMETRES!$G$36,5,IF($O800&gt;PARAMETRES!$F$36,4,IF($O800&gt;PARAMETRES!$E$36,3,IF($O800&gt;PARAMETRES!$D$36,2,1)))))</f>
        <v/>
      </c>
      <c r="X800" t="str">
        <f>IF($P800="","",IF($P800&gt;PARAMETRES!$G$37,5,IF($P800&gt;PARAMETRES!$F$37,4,IF($P800&gt;PARAMETRES!$E$37,3,IF($P800&gt;PARAMETRES!$D$37,2,1)))))</f>
        <v/>
      </c>
      <c r="Y800" t="str">
        <f t="shared" si="288"/>
        <v/>
      </c>
      <c r="Z800" t="str">
        <f>IFERROR(VLOOKUP($B800,TABLE_CYCLE,2,0),"")</f>
        <v/>
      </c>
      <c r="AA800" t="str">
        <f t="shared" si="289"/>
        <v/>
      </c>
      <c r="AB800" t="str">
        <f>IF($D800="","",IF(COUNTIF($D$2:$D800,$D800)=1,$D800,""))</f>
        <v/>
      </c>
      <c r="AC800">
        <f t="shared" si="290"/>
        <v>0</v>
      </c>
      <c r="AD800" t="str">
        <f t="shared" si="291"/>
        <v>|0</v>
      </c>
      <c r="AE800" t="str">
        <f t="shared" si="292"/>
        <v/>
      </c>
      <c r="AF800" t="str">
        <f t="shared" si="293"/>
        <v/>
      </c>
      <c r="AG800" t="str">
        <f t="shared" si="294"/>
        <v/>
      </c>
      <c r="AH800" t="str">
        <f t="shared" si="295"/>
        <v/>
      </c>
      <c r="AI800" t="str">
        <f t="shared" si="296"/>
        <v/>
      </c>
      <c r="AJ800" t="str">
        <f t="shared" si="297"/>
        <v/>
      </c>
      <c r="AK800" t="str">
        <f t="shared" si="298"/>
        <v/>
      </c>
      <c r="AL800" t="str">
        <f t="shared" si="299"/>
        <v/>
      </c>
      <c r="AM800" t="str">
        <f t="shared" si="300"/>
        <v/>
      </c>
      <c r="AN800" t="str">
        <f t="shared" si="301"/>
        <v/>
      </c>
      <c r="AO800" t="str">
        <f t="shared" si="302"/>
        <v/>
      </c>
      <c r="AP800">
        <f t="shared" si="303"/>
        <v>1</v>
      </c>
      <c r="AQ800" t="str">
        <f>IF(SAISIE!$F805="","",SAISIE!$Y805)</f>
        <v/>
      </c>
      <c r="AR800" t="str">
        <f>IF(OR(SAISIE!$U$4="",SAISIE!$W$4=""),"",IF(AND($A800=SAISIE!$U$4,$B800=SAISIE!$W$4,$C800="S1"),COUNTIFS($A$2:$A800,SAISIE!$U$4,$B$2:$B800,SAISIE!$W$4,$C$2:$C800,"S1"),""))</f>
        <v/>
      </c>
      <c r="AS800" t="str">
        <f t="shared" si="304"/>
        <v/>
      </c>
      <c r="AT800" t="str">
        <f t="shared" si="305"/>
        <v/>
      </c>
      <c r="AU800" t="str">
        <f t="shared" si="306"/>
        <v/>
      </c>
      <c r="AV800">
        <f>N(AV799)+IF(AND($AB800&lt;&gt;"",OR('PROFIL ELEVE'!$K$4="(Tous)",$AF800='PROFIL ELEVE'!$K$4)),1,0)</f>
        <v>0</v>
      </c>
      <c r="AW800">
        <f>N(AW799)+IF(AND($AB800&lt;&gt;"",OR('SUIVI LONGITUDINAL'!$Q$4="(Tous)",$AF800='SUIVI LONGITUDINAL'!$Q$4)),1,0)</f>
        <v>0</v>
      </c>
      <c r="AX800">
        <f t="shared" si="307"/>
        <v>0</v>
      </c>
      <c r="AY800">
        <f t="shared" si="308"/>
        <v>0</v>
      </c>
      <c r="AZ800">
        <f t="shared" si="309"/>
        <v>0</v>
      </c>
      <c r="BA800" t="str">
        <f t="shared" si="310"/>
        <v/>
      </c>
      <c r="BB800" t="str">
        <f t="shared" si="311"/>
        <v/>
      </c>
    </row>
    <row r="801" spans="1:54" ht="14.25" customHeight="1" x14ac:dyDescent="0.3">
      <c r="A801" t="str">
        <f>IF(SAISIE!$F806="","",SAISIE!$B806)</f>
        <v/>
      </c>
      <c r="B801" t="str">
        <f>IF(SAISIE!$F806="","",SAISIE!$C806)</f>
        <v/>
      </c>
      <c r="C801" t="str">
        <f>IF(SAISIE!$F806="","",SAISIE!$D806)</f>
        <v/>
      </c>
      <c r="D801" t="str">
        <f>IF(SAISIE!$E806="","",SAISIE!$E806)</f>
        <v/>
      </c>
      <c r="E801" t="str">
        <f>IF(SAISIE!$F806="","",SAISIE!$F806)</f>
        <v/>
      </c>
      <c r="F801" t="str">
        <f>IF(SAISIE!$G806="","",SAISIE!$G806)</f>
        <v/>
      </c>
      <c r="G801" t="str">
        <f>IF(SAISIE!$H806="","",SAISIE!$H806)</f>
        <v/>
      </c>
      <c r="H801" t="str">
        <f>IF(SAISIE!$I806="","",SAISIE!$I806)</f>
        <v/>
      </c>
      <c r="I801" t="str">
        <f>IF(SAISIE!$J806="","",SAISIE!$J806)</f>
        <v/>
      </c>
      <c r="J801" t="str">
        <f>IF(SAISIE!$K806="","",SAISIE!$K806)</f>
        <v/>
      </c>
      <c r="K801" t="str">
        <f>IF(SAISIE!$L806="","",SAISIE!$L806)</f>
        <v/>
      </c>
      <c r="L801" t="str">
        <f>IF(SAISIE!$M806="","",SAISIE!$M806)</f>
        <v/>
      </c>
      <c r="M801" t="str">
        <f>IF(SAISIE!$N806="","",SAISIE!$N806)</f>
        <v/>
      </c>
      <c r="N801" t="str">
        <f>IF(SAISIE!$O806="","",SAISIE!$O806)</f>
        <v/>
      </c>
      <c r="O801" t="str">
        <f>IF(SAISIE!$P806="","",SAISIE!$P806)</f>
        <v/>
      </c>
      <c r="P801" t="str">
        <f>IF(SAISIE!$Q806="","",SAISIE!$Q806)</f>
        <v/>
      </c>
      <c r="Q801" t="str">
        <f>IF($I801="","",IF($I801&gt;PARAMETRES!$G$29,5,IF($I801&gt;PARAMETRES!$F$29,4,IF($I801&gt;PARAMETRES!$E$29,3,IF($I801&gt;PARAMETRES!$D$29,2,1)))))</f>
        <v/>
      </c>
      <c r="R801" t="str">
        <f>IF($J801="","",IF($J801&gt;PARAMETRES!$G$30,5,IF($J801&gt;PARAMETRES!$F$30,4,IF($J801&gt;PARAMETRES!$E$30,3,IF($J801&gt;PARAMETRES!$D$30,2,1)))))</f>
        <v/>
      </c>
      <c r="S801" t="str">
        <f>IF($K801="","",IF($Z801=2,IF($K801&gt;PARAMETRES!$G$31,5,IF($K801&gt;PARAMETRES!$F$31,4,IF($K801&gt;PARAMETRES!$E$31,3,IF($K801&gt;PARAMETRES!$D$31,2,1)))),IF($K801&gt;PARAMETRES!$G$32,5,IF($K801&gt;PARAMETRES!$F$32,4,IF($K801&gt;PARAMETRES!$E$32,3,IF($K801&gt;PARAMETRES!$D$32,2,1))))))</f>
        <v/>
      </c>
      <c r="T801" t="str">
        <f>IF($L801="","",IF($L801&gt;PARAMETRES!$G$33,5,IF($L801&gt;PARAMETRES!$F$33,4,IF($L801&gt;PARAMETRES!$E$33,3,IF($L801&gt;PARAMETRES!$D$33,2,1)))))</f>
        <v/>
      </c>
      <c r="U801" t="str">
        <f>IF($M801="","",IF($M801&gt;PARAMETRES!$G$34,5,IF($M801&gt;PARAMETRES!$F$34,4,IF($M801&gt;PARAMETRES!$E$34,3,IF($M801&gt;PARAMETRES!$D$34,2,1)))))</f>
        <v/>
      </c>
      <c r="V801" t="str">
        <f>IF($N801="","",IF($N801&gt;PARAMETRES!$G$35,5,IF($N801&gt;PARAMETRES!$F$35,4,IF($N801&gt;PARAMETRES!$E$35,3,IF($N801&gt;PARAMETRES!$D$35,2,1)))))</f>
        <v/>
      </c>
      <c r="W801" t="str">
        <f>IF($O801="","",IF($O801&gt;PARAMETRES!$G$36,5,IF($O801&gt;PARAMETRES!$F$36,4,IF($O801&gt;PARAMETRES!$E$36,3,IF($O801&gt;PARAMETRES!$D$36,2,1)))))</f>
        <v/>
      </c>
      <c r="X801" t="str">
        <f>IF($P801="","",IF($P801&gt;PARAMETRES!$G$37,5,IF($P801&gt;PARAMETRES!$F$37,4,IF($P801&gt;PARAMETRES!$E$37,3,IF($P801&gt;PARAMETRES!$D$37,2,1)))))</f>
        <v/>
      </c>
      <c r="Y801" t="str">
        <f t="shared" si="288"/>
        <v/>
      </c>
      <c r="Z801" t="str">
        <f>IFERROR(VLOOKUP($B801,TABLE_CYCLE,2,0),"")</f>
        <v/>
      </c>
      <c r="AA801" t="str">
        <f t="shared" si="289"/>
        <v/>
      </c>
      <c r="AB801" t="str">
        <f>IF($D801="","",IF(COUNTIF($D$2:$D801,$D801)=1,$D801,""))</f>
        <v/>
      </c>
      <c r="AC801">
        <f t="shared" si="290"/>
        <v>0</v>
      </c>
      <c r="AD801" t="str">
        <f t="shared" si="291"/>
        <v>|0</v>
      </c>
      <c r="AE801" t="str">
        <f t="shared" si="292"/>
        <v/>
      </c>
      <c r="AF801" t="str">
        <f t="shared" si="293"/>
        <v/>
      </c>
      <c r="AG801" t="str">
        <f t="shared" si="294"/>
        <v/>
      </c>
      <c r="AH801" t="str">
        <f t="shared" si="295"/>
        <v/>
      </c>
      <c r="AI801" t="str">
        <f t="shared" si="296"/>
        <v/>
      </c>
      <c r="AJ801" t="str">
        <f t="shared" si="297"/>
        <v/>
      </c>
      <c r="AK801" t="str">
        <f t="shared" si="298"/>
        <v/>
      </c>
      <c r="AL801" t="str">
        <f t="shared" si="299"/>
        <v/>
      </c>
      <c r="AM801" t="str">
        <f t="shared" si="300"/>
        <v/>
      </c>
      <c r="AN801" t="str">
        <f t="shared" si="301"/>
        <v/>
      </c>
      <c r="AO801" t="str">
        <f t="shared" si="302"/>
        <v/>
      </c>
      <c r="AP801">
        <f t="shared" si="303"/>
        <v>1</v>
      </c>
      <c r="AQ801" t="str">
        <f>IF(SAISIE!$F806="","",SAISIE!$Y806)</f>
        <v/>
      </c>
      <c r="AR801" t="str">
        <f>IF(OR(SAISIE!$U$4="",SAISIE!$W$4=""),"",IF(AND($A801=SAISIE!$U$4,$B801=SAISIE!$W$4,$C801="S1"),COUNTIFS($A$2:$A801,SAISIE!$U$4,$B$2:$B801,SAISIE!$W$4,$C$2:$C801,"S1"),""))</f>
        <v/>
      </c>
      <c r="AS801" t="str">
        <f t="shared" si="304"/>
        <v/>
      </c>
      <c r="AT801" t="str">
        <f t="shared" si="305"/>
        <v/>
      </c>
      <c r="AU801" t="str">
        <f t="shared" si="306"/>
        <v/>
      </c>
      <c r="AV801">
        <f>N(AV800)+IF(AND($AB801&lt;&gt;"",OR('PROFIL ELEVE'!$K$4="(Tous)",$AF801='PROFIL ELEVE'!$K$4)),1,0)</f>
        <v>0</v>
      </c>
      <c r="AW801">
        <f>N(AW800)+IF(AND($AB801&lt;&gt;"",OR('SUIVI LONGITUDINAL'!$Q$4="(Tous)",$AF801='SUIVI LONGITUDINAL'!$Q$4)),1,0)</f>
        <v>0</v>
      </c>
      <c r="AX801">
        <f t="shared" si="307"/>
        <v>0</v>
      </c>
      <c r="AY801">
        <f t="shared" si="308"/>
        <v>0</v>
      </c>
      <c r="AZ801">
        <f t="shared" si="309"/>
        <v>0</v>
      </c>
      <c r="BA801" t="str">
        <f t="shared" si="310"/>
        <v/>
      </c>
      <c r="BB801" t="str">
        <f t="shared" si="311"/>
        <v/>
      </c>
    </row>
    <row r="802" spans="1:54" ht="14.25" customHeight="1" x14ac:dyDescent="0.3">
      <c r="A802" t="str">
        <f>IF(SAISIE!$F807="","",SAISIE!$B807)</f>
        <v/>
      </c>
      <c r="B802" t="str">
        <f>IF(SAISIE!$F807="","",SAISIE!$C807)</f>
        <v/>
      </c>
      <c r="C802" t="str">
        <f>IF(SAISIE!$F807="","",SAISIE!$D807)</f>
        <v/>
      </c>
      <c r="D802" t="str">
        <f>IF(SAISIE!$E807="","",SAISIE!$E807)</f>
        <v/>
      </c>
      <c r="E802" t="str">
        <f>IF(SAISIE!$F807="","",SAISIE!$F807)</f>
        <v/>
      </c>
      <c r="F802" t="str">
        <f>IF(SAISIE!$G807="","",SAISIE!$G807)</f>
        <v/>
      </c>
      <c r="G802" t="str">
        <f>IF(SAISIE!$H807="","",SAISIE!$H807)</f>
        <v/>
      </c>
      <c r="H802" t="str">
        <f>IF(SAISIE!$I807="","",SAISIE!$I807)</f>
        <v/>
      </c>
      <c r="I802" t="str">
        <f>IF(SAISIE!$J807="","",SAISIE!$J807)</f>
        <v/>
      </c>
      <c r="J802" t="str">
        <f>IF(SAISIE!$K807="","",SAISIE!$K807)</f>
        <v/>
      </c>
      <c r="K802" t="str">
        <f>IF(SAISIE!$L807="","",SAISIE!$L807)</f>
        <v/>
      </c>
      <c r="L802" t="str">
        <f>IF(SAISIE!$M807="","",SAISIE!$M807)</f>
        <v/>
      </c>
      <c r="M802" t="str">
        <f>IF(SAISIE!$N807="","",SAISIE!$N807)</f>
        <v/>
      </c>
      <c r="N802" t="str">
        <f>IF(SAISIE!$O807="","",SAISIE!$O807)</f>
        <v/>
      </c>
      <c r="O802" t="str">
        <f>IF(SAISIE!$P807="","",SAISIE!$P807)</f>
        <v/>
      </c>
      <c r="P802" t="str">
        <f>IF(SAISIE!$Q807="","",SAISIE!$Q807)</f>
        <v/>
      </c>
      <c r="Q802" t="str">
        <f>IF($I802="","",IF($I802&gt;PARAMETRES!$G$29,5,IF($I802&gt;PARAMETRES!$F$29,4,IF($I802&gt;PARAMETRES!$E$29,3,IF($I802&gt;PARAMETRES!$D$29,2,1)))))</f>
        <v/>
      </c>
      <c r="R802" t="str">
        <f>IF($J802="","",IF($J802&gt;PARAMETRES!$G$30,5,IF($J802&gt;PARAMETRES!$F$30,4,IF($J802&gt;PARAMETRES!$E$30,3,IF($J802&gt;PARAMETRES!$D$30,2,1)))))</f>
        <v/>
      </c>
      <c r="S802" t="str">
        <f>IF($K802="","",IF($Z802=2,IF($K802&gt;PARAMETRES!$G$31,5,IF($K802&gt;PARAMETRES!$F$31,4,IF($K802&gt;PARAMETRES!$E$31,3,IF($K802&gt;PARAMETRES!$D$31,2,1)))),IF($K802&gt;PARAMETRES!$G$32,5,IF($K802&gt;PARAMETRES!$F$32,4,IF($K802&gt;PARAMETRES!$E$32,3,IF($K802&gt;PARAMETRES!$D$32,2,1))))))</f>
        <v/>
      </c>
      <c r="T802" t="str">
        <f>IF($L802="","",IF($L802&gt;PARAMETRES!$G$33,5,IF($L802&gt;PARAMETRES!$F$33,4,IF($L802&gt;PARAMETRES!$E$33,3,IF($L802&gt;PARAMETRES!$D$33,2,1)))))</f>
        <v/>
      </c>
      <c r="U802" t="str">
        <f>IF($M802="","",IF($M802&gt;PARAMETRES!$G$34,5,IF($M802&gt;PARAMETRES!$F$34,4,IF($M802&gt;PARAMETRES!$E$34,3,IF($M802&gt;PARAMETRES!$D$34,2,1)))))</f>
        <v/>
      </c>
      <c r="V802" t="str">
        <f>IF($N802="","",IF($N802&gt;PARAMETRES!$G$35,5,IF($N802&gt;PARAMETRES!$F$35,4,IF($N802&gt;PARAMETRES!$E$35,3,IF($N802&gt;PARAMETRES!$D$35,2,1)))))</f>
        <v/>
      </c>
      <c r="W802" t="str">
        <f>IF($O802="","",IF($O802&gt;PARAMETRES!$G$36,5,IF($O802&gt;PARAMETRES!$F$36,4,IF($O802&gt;PARAMETRES!$E$36,3,IF($O802&gt;PARAMETRES!$D$36,2,1)))))</f>
        <v/>
      </c>
      <c r="X802" t="str">
        <f>IF($P802="","",IF($P802&gt;PARAMETRES!$G$37,5,IF($P802&gt;PARAMETRES!$F$37,4,IF($P802&gt;PARAMETRES!$E$37,3,IF($P802&gt;PARAMETRES!$D$37,2,1)))))</f>
        <v/>
      </c>
      <c r="Y802" t="str">
        <f t="shared" si="288"/>
        <v/>
      </c>
      <c r="Z802" t="str">
        <f>IFERROR(VLOOKUP($B802,TABLE_CYCLE,2,0),"")</f>
        <v/>
      </c>
      <c r="AA802" t="str">
        <f t="shared" si="289"/>
        <v/>
      </c>
      <c r="AB802" t="str">
        <f>IF($D802="","",IF(COUNTIF($D$2:$D802,$D802)=1,$D802,""))</f>
        <v/>
      </c>
      <c r="AC802">
        <f t="shared" si="290"/>
        <v>0</v>
      </c>
      <c r="AD802" t="str">
        <f t="shared" si="291"/>
        <v>|0</v>
      </c>
      <c r="AE802" t="str">
        <f t="shared" si="292"/>
        <v/>
      </c>
      <c r="AF802" t="str">
        <f t="shared" si="293"/>
        <v/>
      </c>
      <c r="AG802" t="str">
        <f t="shared" si="294"/>
        <v/>
      </c>
      <c r="AH802" t="str">
        <f t="shared" si="295"/>
        <v/>
      </c>
      <c r="AI802" t="str">
        <f t="shared" si="296"/>
        <v/>
      </c>
      <c r="AJ802" t="str">
        <f t="shared" si="297"/>
        <v/>
      </c>
      <c r="AK802" t="str">
        <f t="shared" si="298"/>
        <v/>
      </c>
      <c r="AL802" t="str">
        <f t="shared" si="299"/>
        <v/>
      </c>
      <c r="AM802" t="str">
        <f t="shared" si="300"/>
        <v/>
      </c>
      <c r="AN802" t="str">
        <f t="shared" si="301"/>
        <v/>
      </c>
      <c r="AO802" t="str">
        <f t="shared" si="302"/>
        <v/>
      </c>
      <c r="AP802">
        <f t="shared" si="303"/>
        <v>1</v>
      </c>
      <c r="AQ802" t="str">
        <f>IF(SAISIE!$F807="","",SAISIE!$Y807)</f>
        <v/>
      </c>
      <c r="AR802" t="str">
        <f>IF(OR(SAISIE!$U$4="",SAISIE!$W$4=""),"",IF(AND($A802=SAISIE!$U$4,$B802=SAISIE!$W$4,$C802="S1"),COUNTIFS($A$2:$A802,SAISIE!$U$4,$B$2:$B802,SAISIE!$W$4,$C$2:$C802,"S1"),""))</f>
        <v/>
      </c>
      <c r="AS802" t="str">
        <f t="shared" si="304"/>
        <v/>
      </c>
      <c r="AT802" t="str">
        <f t="shared" si="305"/>
        <v/>
      </c>
      <c r="AU802" t="str">
        <f t="shared" si="306"/>
        <v/>
      </c>
      <c r="AV802">
        <f>N(AV801)+IF(AND($AB802&lt;&gt;"",OR('PROFIL ELEVE'!$K$4="(Tous)",$AF802='PROFIL ELEVE'!$K$4)),1,0)</f>
        <v>0</v>
      </c>
      <c r="AW802">
        <f>N(AW801)+IF(AND($AB802&lt;&gt;"",OR('SUIVI LONGITUDINAL'!$Q$4="(Tous)",$AF802='SUIVI LONGITUDINAL'!$Q$4)),1,0)</f>
        <v>0</v>
      </c>
      <c r="AX802">
        <f t="shared" si="307"/>
        <v>0</v>
      </c>
      <c r="AY802">
        <f t="shared" si="308"/>
        <v>0</v>
      </c>
      <c r="AZ802">
        <f t="shared" si="309"/>
        <v>0</v>
      </c>
      <c r="BA802" t="str">
        <f t="shared" si="310"/>
        <v/>
      </c>
      <c r="BB802" t="str">
        <f t="shared" si="311"/>
        <v/>
      </c>
    </row>
    <row r="803" spans="1:54" ht="14.25" customHeight="1" x14ac:dyDescent="0.3">
      <c r="A803" t="str">
        <f>IF(SAISIE!$F808="","",SAISIE!$B808)</f>
        <v/>
      </c>
      <c r="B803" t="str">
        <f>IF(SAISIE!$F808="","",SAISIE!$C808)</f>
        <v/>
      </c>
      <c r="C803" t="str">
        <f>IF(SAISIE!$F808="","",SAISIE!$D808)</f>
        <v/>
      </c>
      <c r="D803" t="str">
        <f>IF(SAISIE!$E808="","",SAISIE!$E808)</f>
        <v/>
      </c>
      <c r="E803" t="str">
        <f>IF(SAISIE!$F808="","",SAISIE!$F808)</f>
        <v/>
      </c>
      <c r="F803" t="str">
        <f>IF(SAISIE!$G808="","",SAISIE!$G808)</f>
        <v/>
      </c>
      <c r="G803" t="str">
        <f>IF(SAISIE!$H808="","",SAISIE!$H808)</f>
        <v/>
      </c>
      <c r="H803" t="str">
        <f>IF(SAISIE!$I808="","",SAISIE!$I808)</f>
        <v/>
      </c>
      <c r="I803" t="str">
        <f>IF(SAISIE!$J808="","",SAISIE!$J808)</f>
        <v/>
      </c>
      <c r="J803" t="str">
        <f>IF(SAISIE!$K808="","",SAISIE!$K808)</f>
        <v/>
      </c>
      <c r="K803" t="str">
        <f>IF(SAISIE!$L808="","",SAISIE!$L808)</f>
        <v/>
      </c>
      <c r="L803" t="str">
        <f>IF(SAISIE!$M808="","",SAISIE!$M808)</f>
        <v/>
      </c>
      <c r="M803" t="str">
        <f>IF(SAISIE!$N808="","",SAISIE!$N808)</f>
        <v/>
      </c>
      <c r="N803" t="str">
        <f>IF(SAISIE!$O808="","",SAISIE!$O808)</f>
        <v/>
      </c>
      <c r="O803" t="str">
        <f>IF(SAISIE!$P808="","",SAISIE!$P808)</f>
        <v/>
      </c>
      <c r="P803" t="str">
        <f>IF(SAISIE!$Q808="","",SAISIE!$Q808)</f>
        <v/>
      </c>
      <c r="Q803" t="str">
        <f>IF($I803="","",IF($I803&gt;PARAMETRES!$G$29,5,IF($I803&gt;PARAMETRES!$F$29,4,IF($I803&gt;PARAMETRES!$E$29,3,IF($I803&gt;PARAMETRES!$D$29,2,1)))))</f>
        <v/>
      </c>
      <c r="R803" t="str">
        <f>IF($J803="","",IF($J803&gt;PARAMETRES!$G$30,5,IF($J803&gt;PARAMETRES!$F$30,4,IF($J803&gt;PARAMETRES!$E$30,3,IF($J803&gt;PARAMETRES!$D$30,2,1)))))</f>
        <v/>
      </c>
      <c r="S803" t="str">
        <f>IF($K803="","",IF($Z803=2,IF($K803&gt;PARAMETRES!$G$31,5,IF($K803&gt;PARAMETRES!$F$31,4,IF($K803&gt;PARAMETRES!$E$31,3,IF($K803&gt;PARAMETRES!$D$31,2,1)))),IF($K803&gt;PARAMETRES!$G$32,5,IF($K803&gt;PARAMETRES!$F$32,4,IF($K803&gt;PARAMETRES!$E$32,3,IF($K803&gt;PARAMETRES!$D$32,2,1))))))</f>
        <v/>
      </c>
      <c r="T803" t="str">
        <f>IF($L803="","",IF($L803&gt;PARAMETRES!$G$33,5,IF($L803&gt;PARAMETRES!$F$33,4,IF($L803&gt;PARAMETRES!$E$33,3,IF($L803&gt;PARAMETRES!$D$33,2,1)))))</f>
        <v/>
      </c>
      <c r="U803" t="str">
        <f>IF($M803="","",IF($M803&gt;PARAMETRES!$G$34,5,IF($M803&gt;PARAMETRES!$F$34,4,IF($M803&gt;PARAMETRES!$E$34,3,IF($M803&gt;PARAMETRES!$D$34,2,1)))))</f>
        <v/>
      </c>
      <c r="V803" t="str">
        <f>IF($N803="","",IF($N803&gt;PARAMETRES!$G$35,5,IF($N803&gt;PARAMETRES!$F$35,4,IF($N803&gt;PARAMETRES!$E$35,3,IF($N803&gt;PARAMETRES!$D$35,2,1)))))</f>
        <v/>
      </c>
      <c r="W803" t="str">
        <f>IF($O803="","",IF($O803&gt;PARAMETRES!$G$36,5,IF($O803&gt;PARAMETRES!$F$36,4,IF($O803&gt;PARAMETRES!$E$36,3,IF($O803&gt;PARAMETRES!$D$36,2,1)))))</f>
        <v/>
      </c>
      <c r="X803" t="str">
        <f>IF($P803="","",IF($P803&gt;PARAMETRES!$G$37,5,IF($P803&gt;PARAMETRES!$F$37,4,IF($P803&gt;PARAMETRES!$E$37,3,IF($P803&gt;PARAMETRES!$D$37,2,1)))))</f>
        <v/>
      </c>
      <c r="Y803" t="str">
        <f t="shared" si="288"/>
        <v/>
      </c>
      <c r="Z803" t="str">
        <f>IFERROR(VLOOKUP($B803,TABLE_CYCLE,2,0),"")</f>
        <v/>
      </c>
      <c r="AA803" t="str">
        <f t="shared" si="289"/>
        <v/>
      </c>
      <c r="AB803" t="str">
        <f>IF($D803="","",IF(COUNTIF($D$2:$D803,$D803)=1,$D803,""))</f>
        <v/>
      </c>
      <c r="AC803">
        <f t="shared" si="290"/>
        <v>0</v>
      </c>
      <c r="AD803" t="str">
        <f t="shared" si="291"/>
        <v>|0</v>
      </c>
      <c r="AE803" t="str">
        <f t="shared" si="292"/>
        <v/>
      </c>
      <c r="AF803" t="str">
        <f t="shared" si="293"/>
        <v/>
      </c>
      <c r="AG803" t="str">
        <f t="shared" si="294"/>
        <v/>
      </c>
      <c r="AH803" t="str">
        <f t="shared" si="295"/>
        <v/>
      </c>
      <c r="AI803" t="str">
        <f t="shared" si="296"/>
        <v/>
      </c>
      <c r="AJ803" t="str">
        <f t="shared" si="297"/>
        <v/>
      </c>
      <c r="AK803" t="str">
        <f t="shared" si="298"/>
        <v/>
      </c>
      <c r="AL803" t="str">
        <f t="shared" si="299"/>
        <v/>
      </c>
      <c r="AM803" t="str">
        <f t="shared" si="300"/>
        <v/>
      </c>
      <c r="AN803" t="str">
        <f t="shared" si="301"/>
        <v/>
      </c>
      <c r="AO803" t="str">
        <f t="shared" si="302"/>
        <v/>
      </c>
      <c r="AP803">
        <f t="shared" si="303"/>
        <v>1</v>
      </c>
      <c r="AQ803" t="str">
        <f>IF(SAISIE!$F808="","",SAISIE!$Y808)</f>
        <v/>
      </c>
      <c r="AR803" t="str">
        <f>IF(OR(SAISIE!$U$4="",SAISIE!$W$4=""),"",IF(AND($A803=SAISIE!$U$4,$B803=SAISIE!$W$4,$C803="S1"),COUNTIFS($A$2:$A803,SAISIE!$U$4,$B$2:$B803,SAISIE!$W$4,$C$2:$C803,"S1"),""))</f>
        <v/>
      </c>
      <c r="AS803" t="str">
        <f t="shared" si="304"/>
        <v/>
      </c>
      <c r="AT803" t="str">
        <f t="shared" si="305"/>
        <v/>
      </c>
      <c r="AU803" t="str">
        <f t="shared" si="306"/>
        <v/>
      </c>
      <c r="AV803">
        <f>N(AV802)+IF(AND($AB803&lt;&gt;"",OR('PROFIL ELEVE'!$K$4="(Tous)",$AF803='PROFIL ELEVE'!$K$4)),1,0)</f>
        <v>0</v>
      </c>
      <c r="AW803">
        <f>N(AW802)+IF(AND($AB803&lt;&gt;"",OR('SUIVI LONGITUDINAL'!$Q$4="(Tous)",$AF803='SUIVI LONGITUDINAL'!$Q$4)),1,0)</f>
        <v>0</v>
      </c>
      <c r="AX803">
        <f t="shared" si="307"/>
        <v>0</v>
      </c>
      <c r="AY803">
        <f t="shared" si="308"/>
        <v>0</v>
      </c>
      <c r="AZ803">
        <f t="shared" si="309"/>
        <v>0</v>
      </c>
      <c r="BA803" t="str">
        <f t="shared" si="310"/>
        <v/>
      </c>
      <c r="BB803" t="str">
        <f t="shared" si="311"/>
        <v/>
      </c>
    </row>
    <row r="804" spans="1:54" ht="14.25" customHeight="1" x14ac:dyDescent="0.3">
      <c r="A804" t="str">
        <f>IF(SAISIE!$F809="","",SAISIE!$B809)</f>
        <v/>
      </c>
      <c r="B804" t="str">
        <f>IF(SAISIE!$F809="","",SAISIE!$C809)</f>
        <v/>
      </c>
      <c r="C804" t="str">
        <f>IF(SAISIE!$F809="","",SAISIE!$D809)</f>
        <v/>
      </c>
      <c r="D804" t="str">
        <f>IF(SAISIE!$E809="","",SAISIE!$E809)</f>
        <v/>
      </c>
      <c r="E804" t="str">
        <f>IF(SAISIE!$F809="","",SAISIE!$F809)</f>
        <v/>
      </c>
      <c r="F804" t="str">
        <f>IF(SAISIE!$G809="","",SAISIE!$G809)</f>
        <v/>
      </c>
      <c r="G804" t="str">
        <f>IF(SAISIE!$H809="","",SAISIE!$H809)</f>
        <v/>
      </c>
      <c r="H804" t="str">
        <f>IF(SAISIE!$I809="","",SAISIE!$I809)</f>
        <v/>
      </c>
      <c r="I804" t="str">
        <f>IF(SAISIE!$J809="","",SAISIE!$J809)</f>
        <v/>
      </c>
      <c r="J804" t="str">
        <f>IF(SAISIE!$K809="","",SAISIE!$K809)</f>
        <v/>
      </c>
      <c r="K804" t="str">
        <f>IF(SAISIE!$L809="","",SAISIE!$L809)</f>
        <v/>
      </c>
      <c r="L804" t="str">
        <f>IF(SAISIE!$M809="","",SAISIE!$M809)</f>
        <v/>
      </c>
      <c r="M804" t="str">
        <f>IF(SAISIE!$N809="","",SAISIE!$N809)</f>
        <v/>
      </c>
      <c r="N804" t="str">
        <f>IF(SAISIE!$O809="","",SAISIE!$O809)</f>
        <v/>
      </c>
      <c r="O804" t="str">
        <f>IF(SAISIE!$P809="","",SAISIE!$P809)</f>
        <v/>
      </c>
      <c r="P804" t="str">
        <f>IF(SAISIE!$Q809="","",SAISIE!$Q809)</f>
        <v/>
      </c>
      <c r="Q804" t="str">
        <f>IF($I804="","",IF($I804&gt;PARAMETRES!$G$29,5,IF($I804&gt;PARAMETRES!$F$29,4,IF($I804&gt;PARAMETRES!$E$29,3,IF($I804&gt;PARAMETRES!$D$29,2,1)))))</f>
        <v/>
      </c>
      <c r="R804" t="str">
        <f>IF($J804="","",IF($J804&gt;PARAMETRES!$G$30,5,IF($J804&gt;PARAMETRES!$F$30,4,IF($J804&gt;PARAMETRES!$E$30,3,IF($J804&gt;PARAMETRES!$D$30,2,1)))))</f>
        <v/>
      </c>
      <c r="S804" t="str">
        <f>IF($K804="","",IF($Z804=2,IF($K804&gt;PARAMETRES!$G$31,5,IF($K804&gt;PARAMETRES!$F$31,4,IF($K804&gt;PARAMETRES!$E$31,3,IF($K804&gt;PARAMETRES!$D$31,2,1)))),IF($K804&gt;PARAMETRES!$G$32,5,IF($K804&gt;PARAMETRES!$F$32,4,IF($K804&gt;PARAMETRES!$E$32,3,IF($K804&gt;PARAMETRES!$D$32,2,1))))))</f>
        <v/>
      </c>
      <c r="T804" t="str">
        <f>IF($L804="","",IF($L804&gt;PARAMETRES!$G$33,5,IF($L804&gt;PARAMETRES!$F$33,4,IF($L804&gt;PARAMETRES!$E$33,3,IF($L804&gt;PARAMETRES!$D$33,2,1)))))</f>
        <v/>
      </c>
      <c r="U804" t="str">
        <f>IF($M804="","",IF($M804&gt;PARAMETRES!$G$34,5,IF($M804&gt;PARAMETRES!$F$34,4,IF($M804&gt;PARAMETRES!$E$34,3,IF($M804&gt;PARAMETRES!$D$34,2,1)))))</f>
        <v/>
      </c>
      <c r="V804" t="str">
        <f>IF($N804="","",IF($N804&gt;PARAMETRES!$G$35,5,IF($N804&gt;PARAMETRES!$F$35,4,IF($N804&gt;PARAMETRES!$E$35,3,IF($N804&gt;PARAMETRES!$D$35,2,1)))))</f>
        <v/>
      </c>
      <c r="W804" t="str">
        <f>IF($O804="","",IF($O804&gt;PARAMETRES!$G$36,5,IF($O804&gt;PARAMETRES!$F$36,4,IF($O804&gt;PARAMETRES!$E$36,3,IF($O804&gt;PARAMETRES!$D$36,2,1)))))</f>
        <v/>
      </c>
      <c r="X804" t="str">
        <f>IF($P804="","",IF($P804&gt;PARAMETRES!$G$37,5,IF($P804&gt;PARAMETRES!$F$37,4,IF($P804&gt;PARAMETRES!$E$37,3,IF($P804&gt;PARAMETRES!$D$37,2,1)))))</f>
        <v/>
      </c>
      <c r="Y804" t="str">
        <f t="shared" si="288"/>
        <v/>
      </c>
      <c r="Z804" t="str">
        <f>IFERROR(VLOOKUP($B804,TABLE_CYCLE,2,0),"")</f>
        <v/>
      </c>
      <c r="AA804" t="str">
        <f t="shared" si="289"/>
        <v/>
      </c>
      <c r="AB804" t="str">
        <f>IF($D804="","",IF(COUNTIF($D$2:$D804,$D804)=1,$D804,""))</f>
        <v/>
      </c>
      <c r="AC804">
        <f t="shared" si="290"/>
        <v>0</v>
      </c>
      <c r="AD804" t="str">
        <f t="shared" si="291"/>
        <v>|0</v>
      </c>
      <c r="AE804" t="str">
        <f t="shared" si="292"/>
        <v/>
      </c>
      <c r="AF804" t="str">
        <f t="shared" si="293"/>
        <v/>
      </c>
      <c r="AG804" t="str">
        <f t="shared" si="294"/>
        <v/>
      </c>
      <c r="AH804" t="str">
        <f t="shared" si="295"/>
        <v/>
      </c>
      <c r="AI804" t="str">
        <f t="shared" si="296"/>
        <v/>
      </c>
      <c r="AJ804" t="str">
        <f t="shared" si="297"/>
        <v/>
      </c>
      <c r="AK804" t="str">
        <f t="shared" si="298"/>
        <v/>
      </c>
      <c r="AL804" t="str">
        <f t="shared" si="299"/>
        <v/>
      </c>
      <c r="AM804" t="str">
        <f t="shared" si="300"/>
        <v/>
      </c>
      <c r="AN804" t="str">
        <f t="shared" si="301"/>
        <v/>
      </c>
      <c r="AO804" t="str">
        <f t="shared" si="302"/>
        <v/>
      </c>
      <c r="AP804">
        <f t="shared" si="303"/>
        <v>1</v>
      </c>
      <c r="AQ804" t="str">
        <f>IF(SAISIE!$F809="","",SAISIE!$Y809)</f>
        <v/>
      </c>
      <c r="AR804" t="str">
        <f>IF(OR(SAISIE!$U$4="",SAISIE!$W$4=""),"",IF(AND($A804=SAISIE!$U$4,$B804=SAISIE!$W$4,$C804="S1"),COUNTIFS($A$2:$A804,SAISIE!$U$4,$B$2:$B804,SAISIE!$W$4,$C$2:$C804,"S1"),""))</f>
        <v/>
      </c>
      <c r="AS804" t="str">
        <f t="shared" si="304"/>
        <v/>
      </c>
      <c r="AT804" t="str">
        <f t="shared" si="305"/>
        <v/>
      </c>
      <c r="AU804" t="str">
        <f t="shared" si="306"/>
        <v/>
      </c>
      <c r="AV804">
        <f>N(AV803)+IF(AND($AB804&lt;&gt;"",OR('PROFIL ELEVE'!$K$4="(Tous)",$AF804='PROFIL ELEVE'!$K$4)),1,0)</f>
        <v>0</v>
      </c>
      <c r="AW804">
        <f>N(AW803)+IF(AND($AB804&lt;&gt;"",OR('SUIVI LONGITUDINAL'!$Q$4="(Tous)",$AF804='SUIVI LONGITUDINAL'!$Q$4)),1,0)</f>
        <v>0</v>
      </c>
      <c r="AX804">
        <f t="shared" si="307"/>
        <v>0</v>
      </c>
      <c r="AY804">
        <f t="shared" si="308"/>
        <v>0</v>
      </c>
      <c r="AZ804">
        <f t="shared" si="309"/>
        <v>0</v>
      </c>
      <c r="BA804" t="str">
        <f t="shared" si="310"/>
        <v/>
      </c>
      <c r="BB804" t="str">
        <f t="shared" si="311"/>
        <v/>
      </c>
    </row>
    <row r="805" spans="1:54" ht="14.25" customHeight="1" x14ac:dyDescent="0.3">
      <c r="A805" t="str">
        <f>IF(SAISIE!$F810="","",SAISIE!$B810)</f>
        <v/>
      </c>
      <c r="B805" t="str">
        <f>IF(SAISIE!$F810="","",SAISIE!$C810)</f>
        <v/>
      </c>
      <c r="C805" t="str">
        <f>IF(SAISIE!$F810="","",SAISIE!$D810)</f>
        <v/>
      </c>
      <c r="D805" t="str">
        <f>IF(SAISIE!$E810="","",SAISIE!$E810)</f>
        <v/>
      </c>
      <c r="E805" t="str">
        <f>IF(SAISIE!$F810="","",SAISIE!$F810)</f>
        <v/>
      </c>
      <c r="F805" t="str">
        <f>IF(SAISIE!$G810="","",SAISIE!$G810)</f>
        <v/>
      </c>
      <c r="G805" t="str">
        <f>IF(SAISIE!$H810="","",SAISIE!$H810)</f>
        <v/>
      </c>
      <c r="H805" t="str">
        <f>IF(SAISIE!$I810="","",SAISIE!$I810)</f>
        <v/>
      </c>
      <c r="I805" t="str">
        <f>IF(SAISIE!$J810="","",SAISIE!$J810)</f>
        <v/>
      </c>
      <c r="J805" t="str">
        <f>IF(SAISIE!$K810="","",SAISIE!$K810)</f>
        <v/>
      </c>
      <c r="K805" t="str">
        <f>IF(SAISIE!$L810="","",SAISIE!$L810)</f>
        <v/>
      </c>
      <c r="L805" t="str">
        <f>IF(SAISIE!$M810="","",SAISIE!$M810)</f>
        <v/>
      </c>
      <c r="M805" t="str">
        <f>IF(SAISIE!$N810="","",SAISIE!$N810)</f>
        <v/>
      </c>
      <c r="N805" t="str">
        <f>IF(SAISIE!$O810="","",SAISIE!$O810)</f>
        <v/>
      </c>
      <c r="O805" t="str">
        <f>IF(SAISIE!$P810="","",SAISIE!$P810)</f>
        <v/>
      </c>
      <c r="P805" t="str">
        <f>IF(SAISIE!$Q810="","",SAISIE!$Q810)</f>
        <v/>
      </c>
      <c r="Q805" t="str">
        <f>IF($I805="","",IF($I805&gt;PARAMETRES!$G$29,5,IF($I805&gt;PARAMETRES!$F$29,4,IF($I805&gt;PARAMETRES!$E$29,3,IF($I805&gt;PARAMETRES!$D$29,2,1)))))</f>
        <v/>
      </c>
      <c r="R805" t="str">
        <f>IF($J805="","",IF($J805&gt;PARAMETRES!$G$30,5,IF($J805&gt;PARAMETRES!$F$30,4,IF($J805&gt;PARAMETRES!$E$30,3,IF($J805&gt;PARAMETRES!$D$30,2,1)))))</f>
        <v/>
      </c>
      <c r="S805" t="str">
        <f>IF($K805="","",IF($Z805=2,IF($K805&gt;PARAMETRES!$G$31,5,IF($K805&gt;PARAMETRES!$F$31,4,IF($K805&gt;PARAMETRES!$E$31,3,IF($K805&gt;PARAMETRES!$D$31,2,1)))),IF($K805&gt;PARAMETRES!$G$32,5,IF($K805&gt;PARAMETRES!$F$32,4,IF($K805&gt;PARAMETRES!$E$32,3,IF($K805&gt;PARAMETRES!$D$32,2,1))))))</f>
        <v/>
      </c>
      <c r="T805" t="str">
        <f>IF($L805="","",IF($L805&gt;PARAMETRES!$G$33,5,IF($L805&gt;PARAMETRES!$F$33,4,IF($L805&gt;PARAMETRES!$E$33,3,IF($L805&gt;PARAMETRES!$D$33,2,1)))))</f>
        <v/>
      </c>
      <c r="U805" t="str">
        <f>IF($M805="","",IF($M805&gt;PARAMETRES!$G$34,5,IF($M805&gt;PARAMETRES!$F$34,4,IF($M805&gt;PARAMETRES!$E$34,3,IF($M805&gt;PARAMETRES!$D$34,2,1)))))</f>
        <v/>
      </c>
      <c r="V805" t="str">
        <f>IF($N805="","",IF($N805&gt;PARAMETRES!$G$35,5,IF($N805&gt;PARAMETRES!$F$35,4,IF($N805&gt;PARAMETRES!$E$35,3,IF($N805&gt;PARAMETRES!$D$35,2,1)))))</f>
        <v/>
      </c>
      <c r="W805" t="str">
        <f>IF($O805="","",IF($O805&gt;PARAMETRES!$G$36,5,IF($O805&gt;PARAMETRES!$F$36,4,IF($O805&gt;PARAMETRES!$E$36,3,IF($O805&gt;PARAMETRES!$D$36,2,1)))))</f>
        <v/>
      </c>
      <c r="X805" t="str">
        <f>IF($P805="","",IF($P805&gt;PARAMETRES!$G$37,5,IF($P805&gt;PARAMETRES!$F$37,4,IF($P805&gt;PARAMETRES!$E$37,3,IF($P805&gt;PARAMETRES!$D$37,2,1)))))</f>
        <v/>
      </c>
      <c r="Y805" t="str">
        <f t="shared" si="288"/>
        <v/>
      </c>
      <c r="Z805" t="str">
        <f>IFERROR(VLOOKUP($B805,TABLE_CYCLE,2,0),"")</f>
        <v/>
      </c>
      <c r="AA805" t="str">
        <f t="shared" si="289"/>
        <v/>
      </c>
      <c r="AB805" t="str">
        <f>IF($D805="","",IF(COUNTIF($D$2:$D805,$D805)=1,$D805,""))</f>
        <v/>
      </c>
      <c r="AC805">
        <f t="shared" si="290"/>
        <v>0</v>
      </c>
      <c r="AD805" t="str">
        <f t="shared" si="291"/>
        <v>|0</v>
      </c>
      <c r="AE805" t="str">
        <f t="shared" si="292"/>
        <v/>
      </c>
      <c r="AF805" t="str">
        <f t="shared" si="293"/>
        <v/>
      </c>
      <c r="AG805" t="str">
        <f t="shared" si="294"/>
        <v/>
      </c>
      <c r="AH805" t="str">
        <f t="shared" si="295"/>
        <v/>
      </c>
      <c r="AI805" t="str">
        <f t="shared" si="296"/>
        <v/>
      </c>
      <c r="AJ805" t="str">
        <f t="shared" si="297"/>
        <v/>
      </c>
      <c r="AK805" t="str">
        <f t="shared" si="298"/>
        <v/>
      </c>
      <c r="AL805" t="str">
        <f t="shared" si="299"/>
        <v/>
      </c>
      <c r="AM805" t="str">
        <f t="shared" si="300"/>
        <v/>
      </c>
      <c r="AN805" t="str">
        <f t="shared" si="301"/>
        <v/>
      </c>
      <c r="AO805" t="str">
        <f t="shared" si="302"/>
        <v/>
      </c>
      <c r="AP805">
        <f t="shared" si="303"/>
        <v>1</v>
      </c>
      <c r="AQ805" t="str">
        <f>IF(SAISIE!$F810="","",SAISIE!$Y810)</f>
        <v/>
      </c>
      <c r="AR805" t="str">
        <f>IF(OR(SAISIE!$U$4="",SAISIE!$W$4=""),"",IF(AND($A805=SAISIE!$U$4,$B805=SAISIE!$W$4,$C805="S1"),COUNTIFS($A$2:$A805,SAISIE!$U$4,$B$2:$B805,SAISIE!$W$4,$C$2:$C805,"S1"),""))</f>
        <v/>
      </c>
      <c r="AS805" t="str">
        <f t="shared" si="304"/>
        <v/>
      </c>
      <c r="AT805" t="str">
        <f t="shared" si="305"/>
        <v/>
      </c>
      <c r="AU805" t="str">
        <f t="shared" si="306"/>
        <v/>
      </c>
      <c r="AV805">
        <f>N(AV804)+IF(AND($AB805&lt;&gt;"",OR('PROFIL ELEVE'!$K$4="(Tous)",$AF805='PROFIL ELEVE'!$K$4)),1,0)</f>
        <v>0</v>
      </c>
      <c r="AW805">
        <f>N(AW804)+IF(AND($AB805&lt;&gt;"",OR('SUIVI LONGITUDINAL'!$Q$4="(Tous)",$AF805='SUIVI LONGITUDINAL'!$Q$4)),1,0)</f>
        <v>0</v>
      </c>
      <c r="AX805">
        <f t="shared" si="307"/>
        <v>0</v>
      </c>
      <c r="AY805">
        <f t="shared" si="308"/>
        <v>0</v>
      </c>
      <c r="AZ805">
        <f t="shared" si="309"/>
        <v>0</v>
      </c>
      <c r="BA805" t="str">
        <f t="shared" si="310"/>
        <v/>
      </c>
      <c r="BB805" t="str">
        <f t="shared" si="311"/>
        <v/>
      </c>
    </row>
    <row r="806" spans="1:54" ht="14.25" customHeight="1" x14ac:dyDescent="0.3">
      <c r="A806" t="str">
        <f>IF(SAISIE!$F811="","",SAISIE!$B811)</f>
        <v/>
      </c>
      <c r="B806" t="str">
        <f>IF(SAISIE!$F811="","",SAISIE!$C811)</f>
        <v/>
      </c>
      <c r="C806" t="str">
        <f>IF(SAISIE!$F811="","",SAISIE!$D811)</f>
        <v/>
      </c>
      <c r="D806" t="str">
        <f>IF(SAISIE!$E811="","",SAISIE!$E811)</f>
        <v/>
      </c>
      <c r="E806" t="str">
        <f>IF(SAISIE!$F811="","",SAISIE!$F811)</f>
        <v/>
      </c>
      <c r="F806" t="str">
        <f>IF(SAISIE!$G811="","",SAISIE!$G811)</f>
        <v/>
      </c>
      <c r="G806" t="str">
        <f>IF(SAISIE!$H811="","",SAISIE!$H811)</f>
        <v/>
      </c>
      <c r="H806" t="str">
        <f>IF(SAISIE!$I811="","",SAISIE!$I811)</f>
        <v/>
      </c>
      <c r="I806" t="str">
        <f>IF(SAISIE!$J811="","",SAISIE!$J811)</f>
        <v/>
      </c>
      <c r="J806" t="str">
        <f>IF(SAISIE!$K811="","",SAISIE!$K811)</f>
        <v/>
      </c>
      <c r="K806" t="str">
        <f>IF(SAISIE!$L811="","",SAISIE!$L811)</f>
        <v/>
      </c>
      <c r="L806" t="str">
        <f>IF(SAISIE!$M811="","",SAISIE!$M811)</f>
        <v/>
      </c>
      <c r="M806" t="str">
        <f>IF(SAISIE!$N811="","",SAISIE!$N811)</f>
        <v/>
      </c>
      <c r="N806" t="str">
        <f>IF(SAISIE!$O811="","",SAISIE!$O811)</f>
        <v/>
      </c>
      <c r="O806" t="str">
        <f>IF(SAISIE!$P811="","",SAISIE!$P811)</f>
        <v/>
      </c>
      <c r="P806" t="str">
        <f>IF(SAISIE!$Q811="","",SAISIE!$Q811)</f>
        <v/>
      </c>
      <c r="Q806" t="str">
        <f>IF($I806="","",IF($I806&gt;PARAMETRES!$G$29,5,IF($I806&gt;PARAMETRES!$F$29,4,IF($I806&gt;PARAMETRES!$E$29,3,IF($I806&gt;PARAMETRES!$D$29,2,1)))))</f>
        <v/>
      </c>
      <c r="R806" t="str">
        <f>IF($J806="","",IF($J806&gt;PARAMETRES!$G$30,5,IF($J806&gt;PARAMETRES!$F$30,4,IF($J806&gt;PARAMETRES!$E$30,3,IF($J806&gt;PARAMETRES!$D$30,2,1)))))</f>
        <v/>
      </c>
      <c r="S806" t="str">
        <f>IF($K806="","",IF($Z806=2,IF($K806&gt;PARAMETRES!$G$31,5,IF($K806&gt;PARAMETRES!$F$31,4,IF($K806&gt;PARAMETRES!$E$31,3,IF($K806&gt;PARAMETRES!$D$31,2,1)))),IF($K806&gt;PARAMETRES!$G$32,5,IF($K806&gt;PARAMETRES!$F$32,4,IF($K806&gt;PARAMETRES!$E$32,3,IF($K806&gt;PARAMETRES!$D$32,2,1))))))</f>
        <v/>
      </c>
      <c r="T806" t="str">
        <f>IF($L806="","",IF($L806&gt;PARAMETRES!$G$33,5,IF($L806&gt;PARAMETRES!$F$33,4,IF($L806&gt;PARAMETRES!$E$33,3,IF($L806&gt;PARAMETRES!$D$33,2,1)))))</f>
        <v/>
      </c>
      <c r="U806" t="str">
        <f>IF($M806="","",IF($M806&gt;PARAMETRES!$G$34,5,IF($M806&gt;PARAMETRES!$F$34,4,IF($M806&gt;PARAMETRES!$E$34,3,IF($M806&gt;PARAMETRES!$D$34,2,1)))))</f>
        <v/>
      </c>
      <c r="V806" t="str">
        <f>IF($N806="","",IF($N806&gt;PARAMETRES!$G$35,5,IF($N806&gt;PARAMETRES!$F$35,4,IF($N806&gt;PARAMETRES!$E$35,3,IF($N806&gt;PARAMETRES!$D$35,2,1)))))</f>
        <v/>
      </c>
      <c r="W806" t="str">
        <f>IF($O806="","",IF($O806&gt;PARAMETRES!$G$36,5,IF($O806&gt;PARAMETRES!$F$36,4,IF($O806&gt;PARAMETRES!$E$36,3,IF($O806&gt;PARAMETRES!$D$36,2,1)))))</f>
        <v/>
      </c>
      <c r="X806" t="str">
        <f>IF($P806="","",IF($P806&gt;PARAMETRES!$G$37,5,IF($P806&gt;PARAMETRES!$F$37,4,IF($P806&gt;PARAMETRES!$E$37,3,IF($P806&gt;PARAMETRES!$D$37,2,1)))))</f>
        <v/>
      </c>
      <c r="Y806" t="str">
        <f t="shared" si="288"/>
        <v/>
      </c>
      <c r="Z806" t="str">
        <f>IFERROR(VLOOKUP($B806,TABLE_CYCLE,2,0),"")</f>
        <v/>
      </c>
      <c r="AA806" t="str">
        <f t="shared" si="289"/>
        <v/>
      </c>
      <c r="AB806" t="str">
        <f>IF($D806="","",IF(COUNTIF($D$2:$D806,$D806)=1,$D806,""))</f>
        <v/>
      </c>
      <c r="AC806">
        <f t="shared" si="290"/>
        <v>0</v>
      </c>
      <c r="AD806" t="str">
        <f t="shared" si="291"/>
        <v>|0</v>
      </c>
      <c r="AE806" t="str">
        <f t="shared" si="292"/>
        <v/>
      </c>
      <c r="AF806" t="str">
        <f t="shared" si="293"/>
        <v/>
      </c>
      <c r="AG806" t="str">
        <f t="shared" si="294"/>
        <v/>
      </c>
      <c r="AH806" t="str">
        <f t="shared" si="295"/>
        <v/>
      </c>
      <c r="AI806" t="str">
        <f t="shared" si="296"/>
        <v/>
      </c>
      <c r="AJ806" t="str">
        <f t="shared" si="297"/>
        <v/>
      </c>
      <c r="AK806" t="str">
        <f t="shared" si="298"/>
        <v/>
      </c>
      <c r="AL806" t="str">
        <f t="shared" si="299"/>
        <v/>
      </c>
      <c r="AM806" t="str">
        <f t="shared" si="300"/>
        <v/>
      </c>
      <c r="AN806" t="str">
        <f t="shared" si="301"/>
        <v/>
      </c>
      <c r="AO806" t="str">
        <f t="shared" si="302"/>
        <v/>
      </c>
      <c r="AP806">
        <f t="shared" si="303"/>
        <v>1</v>
      </c>
      <c r="AQ806" t="str">
        <f>IF(SAISIE!$F811="","",SAISIE!$Y811)</f>
        <v/>
      </c>
      <c r="AR806" t="str">
        <f>IF(OR(SAISIE!$U$4="",SAISIE!$W$4=""),"",IF(AND($A806=SAISIE!$U$4,$B806=SAISIE!$W$4,$C806="S1"),COUNTIFS($A$2:$A806,SAISIE!$U$4,$B$2:$B806,SAISIE!$W$4,$C$2:$C806,"S1"),""))</f>
        <v/>
      </c>
      <c r="AS806" t="str">
        <f t="shared" si="304"/>
        <v/>
      </c>
      <c r="AT806" t="str">
        <f t="shared" si="305"/>
        <v/>
      </c>
      <c r="AU806" t="str">
        <f t="shared" si="306"/>
        <v/>
      </c>
      <c r="AV806">
        <f>N(AV805)+IF(AND($AB806&lt;&gt;"",OR('PROFIL ELEVE'!$K$4="(Tous)",$AF806='PROFIL ELEVE'!$K$4)),1,0)</f>
        <v>0</v>
      </c>
      <c r="AW806">
        <f>N(AW805)+IF(AND($AB806&lt;&gt;"",OR('SUIVI LONGITUDINAL'!$Q$4="(Tous)",$AF806='SUIVI LONGITUDINAL'!$Q$4)),1,0)</f>
        <v>0</v>
      </c>
      <c r="AX806">
        <f t="shared" si="307"/>
        <v>0</v>
      </c>
      <c r="AY806">
        <f t="shared" si="308"/>
        <v>0</v>
      </c>
      <c r="AZ806">
        <f t="shared" si="309"/>
        <v>0</v>
      </c>
      <c r="BA806" t="str">
        <f t="shared" si="310"/>
        <v/>
      </c>
      <c r="BB806" t="str">
        <f t="shared" si="311"/>
        <v/>
      </c>
    </row>
    <row r="807" spans="1:54" ht="14.25" customHeight="1" x14ac:dyDescent="0.3">
      <c r="A807" t="str">
        <f>IF(SAISIE!$F812="","",SAISIE!$B812)</f>
        <v/>
      </c>
      <c r="B807" t="str">
        <f>IF(SAISIE!$F812="","",SAISIE!$C812)</f>
        <v/>
      </c>
      <c r="C807" t="str">
        <f>IF(SAISIE!$F812="","",SAISIE!$D812)</f>
        <v/>
      </c>
      <c r="D807" t="str">
        <f>IF(SAISIE!$E812="","",SAISIE!$E812)</f>
        <v/>
      </c>
      <c r="E807" t="str">
        <f>IF(SAISIE!$F812="","",SAISIE!$F812)</f>
        <v/>
      </c>
      <c r="F807" t="str">
        <f>IF(SAISIE!$G812="","",SAISIE!$G812)</f>
        <v/>
      </c>
      <c r="G807" t="str">
        <f>IF(SAISIE!$H812="","",SAISIE!$H812)</f>
        <v/>
      </c>
      <c r="H807" t="str">
        <f>IF(SAISIE!$I812="","",SAISIE!$I812)</f>
        <v/>
      </c>
      <c r="I807" t="str">
        <f>IF(SAISIE!$J812="","",SAISIE!$J812)</f>
        <v/>
      </c>
      <c r="J807" t="str">
        <f>IF(SAISIE!$K812="","",SAISIE!$K812)</f>
        <v/>
      </c>
      <c r="K807" t="str">
        <f>IF(SAISIE!$L812="","",SAISIE!$L812)</f>
        <v/>
      </c>
      <c r="L807" t="str">
        <f>IF(SAISIE!$M812="","",SAISIE!$M812)</f>
        <v/>
      </c>
      <c r="M807" t="str">
        <f>IF(SAISIE!$N812="","",SAISIE!$N812)</f>
        <v/>
      </c>
      <c r="N807" t="str">
        <f>IF(SAISIE!$O812="","",SAISIE!$O812)</f>
        <v/>
      </c>
      <c r="O807" t="str">
        <f>IF(SAISIE!$P812="","",SAISIE!$P812)</f>
        <v/>
      </c>
      <c r="P807" t="str">
        <f>IF(SAISIE!$Q812="","",SAISIE!$Q812)</f>
        <v/>
      </c>
      <c r="Q807" t="str">
        <f>IF($I807="","",IF($I807&gt;PARAMETRES!$G$29,5,IF($I807&gt;PARAMETRES!$F$29,4,IF($I807&gt;PARAMETRES!$E$29,3,IF($I807&gt;PARAMETRES!$D$29,2,1)))))</f>
        <v/>
      </c>
      <c r="R807" t="str">
        <f>IF($J807="","",IF($J807&gt;PARAMETRES!$G$30,5,IF($J807&gt;PARAMETRES!$F$30,4,IF($J807&gt;PARAMETRES!$E$30,3,IF($J807&gt;PARAMETRES!$D$30,2,1)))))</f>
        <v/>
      </c>
      <c r="S807" t="str">
        <f>IF($K807="","",IF($Z807=2,IF($K807&gt;PARAMETRES!$G$31,5,IF($K807&gt;PARAMETRES!$F$31,4,IF($K807&gt;PARAMETRES!$E$31,3,IF($K807&gt;PARAMETRES!$D$31,2,1)))),IF($K807&gt;PARAMETRES!$G$32,5,IF($K807&gt;PARAMETRES!$F$32,4,IF($K807&gt;PARAMETRES!$E$32,3,IF($K807&gt;PARAMETRES!$D$32,2,1))))))</f>
        <v/>
      </c>
      <c r="T807" t="str">
        <f>IF($L807="","",IF($L807&gt;PARAMETRES!$G$33,5,IF($L807&gt;PARAMETRES!$F$33,4,IF($L807&gt;PARAMETRES!$E$33,3,IF($L807&gt;PARAMETRES!$D$33,2,1)))))</f>
        <v/>
      </c>
      <c r="U807" t="str">
        <f>IF($M807="","",IF($M807&gt;PARAMETRES!$G$34,5,IF($M807&gt;PARAMETRES!$F$34,4,IF($M807&gt;PARAMETRES!$E$34,3,IF($M807&gt;PARAMETRES!$D$34,2,1)))))</f>
        <v/>
      </c>
      <c r="V807" t="str">
        <f>IF($N807="","",IF($N807&gt;PARAMETRES!$G$35,5,IF($N807&gt;PARAMETRES!$F$35,4,IF($N807&gt;PARAMETRES!$E$35,3,IF($N807&gt;PARAMETRES!$D$35,2,1)))))</f>
        <v/>
      </c>
      <c r="W807" t="str">
        <f>IF($O807="","",IF($O807&gt;PARAMETRES!$G$36,5,IF($O807&gt;PARAMETRES!$F$36,4,IF($O807&gt;PARAMETRES!$E$36,3,IF($O807&gt;PARAMETRES!$D$36,2,1)))))</f>
        <v/>
      </c>
      <c r="X807" t="str">
        <f>IF($P807="","",IF($P807&gt;PARAMETRES!$G$37,5,IF($P807&gt;PARAMETRES!$F$37,4,IF($P807&gt;PARAMETRES!$E$37,3,IF($P807&gt;PARAMETRES!$D$37,2,1)))))</f>
        <v/>
      </c>
      <c r="Y807" t="str">
        <f t="shared" si="288"/>
        <v/>
      </c>
      <c r="Z807" t="str">
        <f>IFERROR(VLOOKUP($B807,TABLE_CYCLE,2,0),"")</f>
        <v/>
      </c>
      <c r="AA807" t="str">
        <f t="shared" si="289"/>
        <v/>
      </c>
      <c r="AB807" t="str">
        <f>IF($D807="","",IF(COUNTIF($D$2:$D807,$D807)=1,$D807,""))</f>
        <v/>
      </c>
      <c r="AC807">
        <f t="shared" si="290"/>
        <v>0</v>
      </c>
      <c r="AD807" t="str">
        <f t="shared" si="291"/>
        <v>|0</v>
      </c>
      <c r="AE807" t="str">
        <f t="shared" si="292"/>
        <v/>
      </c>
      <c r="AF807" t="str">
        <f t="shared" si="293"/>
        <v/>
      </c>
      <c r="AG807" t="str">
        <f t="shared" si="294"/>
        <v/>
      </c>
      <c r="AH807" t="str">
        <f t="shared" si="295"/>
        <v/>
      </c>
      <c r="AI807" t="str">
        <f t="shared" si="296"/>
        <v/>
      </c>
      <c r="AJ807" t="str">
        <f t="shared" si="297"/>
        <v/>
      </c>
      <c r="AK807" t="str">
        <f t="shared" si="298"/>
        <v/>
      </c>
      <c r="AL807" t="str">
        <f t="shared" si="299"/>
        <v/>
      </c>
      <c r="AM807" t="str">
        <f t="shared" si="300"/>
        <v/>
      </c>
      <c r="AN807" t="str">
        <f t="shared" si="301"/>
        <v/>
      </c>
      <c r="AO807" t="str">
        <f t="shared" si="302"/>
        <v/>
      </c>
      <c r="AP807">
        <f t="shared" si="303"/>
        <v>1</v>
      </c>
      <c r="AQ807" t="str">
        <f>IF(SAISIE!$F812="","",SAISIE!$Y812)</f>
        <v/>
      </c>
      <c r="AR807" t="str">
        <f>IF(OR(SAISIE!$U$4="",SAISIE!$W$4=""),"",IF(AND($A807=SAISIE!$U$4,$B807=SAISIE!$W$4,$C807="S1"),COUNTIFS($A$2:$A807,SAISIE!$U$4,$B$2:$B807,SAISIE!$W$4,$C$2:$C807,"S1"),""))</f>
        <v/>
      </c>
      <c r="AS807" t="str">
        <f t="shared" si="304"/>
        <v/>
      </c>
      <c r="AT807" t="str">
        <f t="shared" si="305"/>
        <v/>
      </c>
      <c r="AU807" t="str">
        <f t="shared" si="306"/>
        <v/>
      </c>
      <c r="AV807">
        <f>N(AV806)+IF(AND($AB807&lt;&gt;"",OR('PROFIL ELEVE'!$K$4="(Tous)",$AF807='PROFIL ELEVE'!$K$4)),1,0)</f>
        <v>0</v>
      </c>
      <c r="AW807">
        <f>N(AW806)+IF(AND($AB807&lt;&gt;"",OR('SUIVI LONGITUDINAL'!$Q$4="(Tous)",$AF807='SUIVI LONGITUDINAL'!$Q$4)),1,0)</f>
        <v>0</v>
      </c>
      <c r="AX807">
        <f t="shared" si="307"/>
        <v>0</v>
      </c>
      <c r="AY807">
        <f t="shared" si="308"/>
        <v>0</v>
      </c>
      <c r="AZ807">
        <f t="shared" si="309"/>
        <v>0</v>
      </c>
      <c r="BA807" t="str">
        <f t="shared" si="310"/>
        <v/>
      </c>
      <c r="BB807" t="str">
        <f t="shared" si="311"/>
        <v/>
      </c>
    </row>
    <row r="808" spans="1:54" ht="14.25" customHeight="1" x14ac:dyDescent="0.3">
      <c r="A808" t="str">
        <f>IF(SAISIE!$F813="","",SAISIE!$B813)</f>
        <v/>
      </c>
      <c r="B808" t="str">
        <f>IF(SAISIE!$F813="","",SAISIE!$C813)</f>
        <v/>
      </c>
      <c r="C808" t="str">
        <f>IF(SAISIE!$F813="","",SAISIE!$D813)</f>
        <v/>
      </c>
      <c r="D808" t="str">
        <f>IF(SAISIE!$E813="","",SAISIE!$E813)</f>
        <v/>
      </c>
      <c r="E808" t="str">
        <f>IF(SAISIE!$F813="","",SAISIE!$F813)</f>
        <v/>
      </c>
      <c r="F808" t="str">
        <f>IF(SAISIE!$G813="","",SAISIE!$G813)</f>
        <v/>
      </c>
      <c r="G808" t="str">
        <f>IF(SAISIE!$H813="","",SAISIE!$H813)</f>
        <v/>
      </c>
      <c r="H808" t="str">
        <f>IF(SAISIE!$I813="","",SAISIE!$I813)</f>
        <v/>
      </c>
      <c r="I808" t="str">
        <f>IF(SAISIE!$J813="","",SAISIE!$J813)</f>
        <v/>
      </c>
      <c r="J808" t="str">
        <f>IF(SAISIE!$K813="","",SAISIE!$K813)</f>
        <v/>
      </c>
      <c r="K808" t="str">
        <f>IF(SAISIE!$L813="","",SAISIE!$L813)</f>
        <v/>
      </c>
      <c r="L808" t="str">
        <f>IF(SAISIE!$M813="","",SAISIE!$M813)</f>
        <v/>
      </c>
      <c r="M808" t="str">
        <f>IF(SAISIE!$N813="","",SAISIE!$N813)</f>
        <v/>
      </c>
      <c r="N808" t="str">
        <f>IF(SAISIE!$O813="","",SAISIE!$O813)</f>
        <v/>
      </c>
      <c r="O808" t="str">
        <f>IF(SAISIE!$P813="","",SAISIE!$P813)</f>
        <v/>
      </c>
      <c r="P808" t="str">
        <f>IF(SAISIE!$Q813="","",SAISIE!$Q813)</f>
        <v/>
      </c>
      <c r="Q808" t="str">
        <f>IF($I808="","",IF($I808&gt;PARAMETRES!$G$29,5,IF($I808&gt;PARAMETRES!$F$29,4,IF($I808&gt;PARAMETRES!$E$29,3,IF($I808&gt;PARAMETRES!$D$29,2,1)))))</f>
        <v/>
      </c>
      <c r="R808" t="str">
        <f>IF($J808="","",IF($J808&gt;PARAMETRES!$G$30,5,IF($J808&gt;PARAMETRES!$F$30,4,IF($J808&gt;PARAMETRES!$E$30,3,IF($J808&gt;PARAMETRES!$D$30,2,1)))))</f>
        <v/>
      </c>
      <c r="S808" t="str">
        <f>IF($K808="","",IF($Z808=2,IF($K808&gt;PARAMETRES!$G$31,5,IF($K808&gt;PARAMETRES!$F$31,4,IF($K808&gt;PARAMETRES!$E$31,3,IF($K808&gt;PARAMETRES!$D$31,2,1)))),IF($K808&gt;PARAMETRES!$G$32,5,IF($K808&gt;PARAMETRES!$F$32,4,IF($K808&gt;PARAMETRES!$E$32,3,IF($K808&gt;PARAMETRES!$D$32,2,1))))))</f>
        <v/>
      </c>
      <c r="T808" t="str">
        <f>IF($L808="","",IF($L808&gt;PARAMETRES!$G$33,5,IF($L808&gt;PARAMETRES!$F$33,4,IF($L808&gt;PARAMETRES!$E$33,3,IF($L808&gt;PARAMETRES!$D$33,2,1)))))</f>
        <v/>
      </c>
      <c r="U808" t="str">
        <f>IF($M808="","",IF($M808&gt;PARAMETRES!$G$34,5,IF($M808&gt;PARAMETRES!$F$34,4,IF($M808&gt;PARAMETRES!$E$34,3,IF($M808&gt;PARAMETRES!$D$34,2,1)))))</f>
        <v/>
      </c>
      <c r="V808" t="str">
        <f>IF($N808="","",IF($N808&gt;PARAMETRES!$G$35,5,IF($N808&gt;PARAMETRES!$F$35,4,IF($N808&gt;PARAMETRES!$E$35,3,IF($N808&gt;PARAMETRES!$D$35,2,1)))))</f>
        <v/>
      </c>
      <c r="W808" t="str">
        <f>IF($O808="","",IF($O808&gt;PARAMETRES!$G$36,5,IF($O808&gt;PARAMETRES!$F$36,4,IF($O808&gt;PARAMETRES!$E$36,3,IF($O808&gt;PARAMETRES!$D$36,2,1)))))</f>
        <v/>
      </c>
      <c r="X808" t="str">
        <f>IF($P808="","",IF($P808&gt;PARAMETRES!$G$37,5,IF($P808&gt;PARAMETRES!$F$37,4,IF($P808&gt;PARAMETRES!$E$37,3,IF($P808&gt;PARAMETRES!$D$37,2,1)))))</f>
        <v/>
      </c>
      <c r="Y808" t="str">
        <f t="shared" si="288"/>
        <v/>
      </c>
      <c r="Z808" t="str">
        <f>IFERROR(VLOOKUP($B808,TABLE_CYCLE,2,0),"")</f>
        <v/>
      </c>
      <c r="AA808" t="str">
        <f t="shared" si="289"/>
        <v/>
      </c>
      <c r="AB808" t="str">
        <f>IF($D808="","",IF(COUNTIF($D$2:$D808,$D808)=1,$D808,""))</f>
        <v/>
      </c>
      <c r="AC808">
        <f t="shared" si="290"/>
        <v>0</v>
      </c>
      <c r="AD808" t="str">
        <f t="shared" si="291"/>
        <v>|0</v>
      </c>
      <c r="AE808" t="str">
        <f t="shared" si="292"/>
        <v/>
      </c>
      <c r="AF808" t="str">
        <f t="shared" si="293"/>
        <v/>
      </c>
      <c r="AG808" t="str">
        <f t="shared" si="294"/>
        <v/>
      </c>
      <c r="AH808" t="str">
        <f t="shared" si="295"/>
        <v/>
      </c>
      <c r="AI808" t="str">
        <f t="shared" si="296"/>
        <v/>
      </c>
      <c r="AJ808" t="str">
        <f t="shared" si="297"/>
        <v/>
      </c>
      <c r="AK808" t="str">
        <f t="shared" si="298"/>
        <v/>
      </c>
      <c r="AL808" t="str">
        <f t="shared" si="299"/>
        <v/>
      </c>
      <c r="AM808" t="str">
        <f t="shared" si="300"/>
        <v/>
      </c>
      <c r="AN808" t="str">
        <f t="shared" si="301"/>
        <v/>
      </c>
      <c r="AO808" t="str">
        <f t="shared" si="302"/>
        <v/>
      </c>
      <c r="AP808">
        <f t="shared" si="303"/>
        <v>1</v>
      </c>
      <c r="AQ808" t="str">
        <f>IF(SAISIE!$F813="","",SAISIE!$Y813)</f>
        <v/>
      </c>
      <c r="AR808" t="str">
        <f>IF(OR(SAISIE!$U$4="",SAISIE!$W$4=""),"",IF(AND($A808=SAISIE!$U$4,$B808=SAISIE!$W$4,$C808="S1"),COUNTIFS($A$2:$A808,SAISIE!$U$4,$B$2:$B808,SAISIE!$W$4,$C$2:$C808,"S1"),""))</f>
        <v/>
      </c>
      <c r="AS808" t="str">
        <f t="shared" si="304"/>
        <v/>
      </c>
      <c r="AT808" t="str">
        <f t="shared" si="305"/>
        <v/>
      </c>
      <c r="AU808" t="str">
        <f t="shared" si="306"/>
        <v/>
      </c>
      <c r="AV808">
        <f>N(AV807)+IF(AND($AB808&lt;&gt;"",OR('PROFIL ELEVE'!$K$4="(Tous)",$AF808='PROFIL ELEVE'!$K$4)),1,0)</f>
        <v>0</v>
      </c>
      <c r="AW808">
        <f>N(AW807)+IF(AND($AB808&lt;&gt;"",OR('SUIVI LONGITUDINAL'!$Q$4="(Tous)",$AF808='SUIVI LONGITUDINAL'!$Q$4)),1,0)</f>
        <v>0</v>
      </c>
      <c r="AX808">
        <f t="shared" si="307"/>
        <v>0</v>
      </c>
      <c r="AY808">
        <f t="shared" si="308"/>
        <v>0</v>
      </c>
      <c r="AZ808">
        <f t="shared" si="309"/>
        <v>0</v>
      </c>
      <c r="BA808" t="str">
        <f t="shared" si="310"/>
        <v/>
      </c>
      <c r="BB808" t="str">
        <f t="shared" si="311"/>
        <v/>
      </c>
    </row>
    <row r="809" spans="1:54" ht="14.25" customHeight="1" x14ac:dyDescent="0.3">
      <c r="A809" t="str">
        <f>IF(SAISIE!$F814="","",SAISIE!$B814)</f>
        <v/>
      </c>
      <c r="B809" t="str">
        <f>IF(SAISIE!$F814="","",SAISIE!$C814)</f>
        <v/>
      </c>
      <c r="C809" t="str">
        <f>IF(SAISIE!$F814="","",SAISIE!$D814)</f>
        <v/>
      </c>
      <c r="D809" t="str">
        <f>IF(SAISIE!$E814="","",SAISIE!$E814)</f>
        <v/>
      </c>
      <c r="E809" t="str">
        <f>IF(SAISIE!$F814="","",SAISIE!$F814)</f>
        <v/>
      </c>
      <c r="F809" t="str">
        <f>IF(SAISIE!$G814="","",SAISIE!$G814)</f>
        <v/>
      </c>
      <c r="G809" t="str">
        <f>IF(SAISIE!$H814="","",SAISIE!$H814)</f>
        <v/>
      </c>
      <c r="H809" t="str">
        <f>IF(SAISIE!$I814="","",SAISIE!$I814)</f>
        <v/>
      </c>
      <c r="I809" t="str">
        <f>IF(SAISIE!$J814="","",SAISIE!$J814)</f>
        <v/>
      </c>
      <c r="J809" t="str">
        <f>IF(SAISIE!$K814="","",SAISIE!$K814)</f>
        <v/>
      </c>
      <c r="K809" t="str">
        <f>IF(SAISIE!$L814="","",SAISIE!$L814)</f>
        <v/>
      </c>
      <c r="L809" t="str">
        <f>IF(SAISIE!$M814="","",SAISIE!$M814)</f>
        <v/>
      </c>
      <c r="M809" t="str">
        <f>IF(SAISIE!$N814="","",SAISIE!$N814)</f>
        <v/>
      </c>
      <c r="N809" t="str">
        <f>IF(SAISIE!$O814="","",SAISIE!$O814)</f>
        <v/>
      </c>
      <c r="O809" t="str">
        <f>IF(SAISIE!$P814="","",SAISIE!$P814)</f>
        <v/>
      </c>
      <c r="P809" t="str">
        <f>IF(SAISIE!$Q814="","",SAISIE!$Q814)</f>
        <v/>
      </c>
      <c r="Q809" t="str">
        <f>IF($I809="","",IF($I809&gt;PARAMETRES!$G$29,5,IF($I809&gt;PARAMETRES!$F$29,4,IF($I809&gt;PARAMETRES!$E$29,3,IF($I809&gt;PARAMETRES!$D$29,2,1)))))</f>
        <v/>
      </c>
      <c r="R809" t="str">
        <f>IF($J809="","",IF($J809&gt;PARAMETRES!$G$30,5,IF($J809&gt;PARAMETRES!$F$30,4,IF($J809&gt;PARAMETRES!$E$30,3,IF($J809&gt;PARAMETRES!$D$30,2,1)))))</f>
        <v/>
      </c>
      <c r="S809" t="str">
        <f>IF($K809="","",IF($Z809=2,IF($K809&gt;PARAMETRES!$G$31,5,IF($K809&gt;PARAMETRES!$F$31,4,IF($K809&gt;PARAMETRES!$E$31,3,IF($K809&gt;PARAMETRES!$D$31,2,1)))),IF($K809&gt;PARAMETRES!$G$32,5,IF($K809&gt;PARAMETRES!$F$32,4,IF($K809&gt;PARAMETRES!$E$32,3,IF($K809&gt;PARAMETRES!$D$32,2,1))))))</f>
        <v/>
      </c>
      <c r="T809" t="str">
        <f>IF($L809="","",IF($L809&gt;PARAMETRES!$G$33,5,IF($L809&gt;PARAMETRES!$F$33,4,IF($L809&gt;PARAMETRES!$E$33,3,IF($L809&gt;PARAMETRES!$D$33,2,1)))))</f>
        <v/>
      </c>
      <c r="U809" t="str">
        <f>IF($M809="","",IF($M809&gt;PARAMETRES!$G$34,5,IF($M809&gt;PARAMETRES!$F$34,4,IF($M809&gt;PARAMETRES!$E$34,3,IF($M809&gt;PARAMETRES!$D$34,2,1)))))</f>
        <v/>
      </c>
      <c r="V809" t="str">
        <f>IF($N809="","",IF($N809&gt;PARAMETRES!$G$35,5,IF($N809&gt;PARAMETRES!$F$35,4,IF($N809&gt;PARAMETRES!$E$35,3,IF($N809&gt;PARAMETRES!$D$35,2,1)))))</f>
        <v/>
      </c>
      <c r="W809" t="str">
        <f>IF($O809="","",IF($O809&gt;PARAMETRES!$G$36,5,IF($O809&gt;PARAMETRES!$F$36,4,IF($O809&gt;PARAMETRES!$E$36,3,IF($O809&gt;PARAMETRES!$D$36,2,1)))))</f>
        <v/>
      </c>
      <c r="X809" t="str">
        <f>IF($P809="","",IF($P809&gt;PARAMETRES!$G$37,5,IF($P809&gt;PARAMETRES!$F$37,4,IF($P809&gt;PARAMETRES!$E$37,3,IF($P809&gt;PARAMETRES!$D$37,2,1)))))</f>
        <v/>
      </c>
      <c r="Y809" t="str">
        <f t="shared" si="288"/>
        <v/>
      </c>
      <c r="Z809" t="str">
        <f>IFERROR(VLOOKUP($B809,TABLE_CYCLE,2,0),"")</f>
        <v/>
      </c>
      <c r="AA809" t="str">
        <f t="shared" si="289"/>
        <v/>
      </c>
      <c r="AB809" t="str">
        <f>IF($D809="","",IF(COUNTIF($D$2:$D809,$D809)=1,$D809,""))</f>
        <v/>
      </c>
      <c r="AC809">
        <f t="shared" si="290"/>
        <v>0</v>
      </c>
      <c r="AD809" t="str">
        <f t="shared" si="291"/>
        <v>|0</v>
      </c>
      <c r="AE809" t="str">
        <f t="shared" si="292"/>
        <v/>
      </c>
      <c r="AF809" t="str">
        <f t="shared" si="293"/>
        <v/>
      </c>
      <c r="AG809" t="str">
        <f t="shared" si="294"/>
        <v/>
      </c>
      <c r="AH809" t="str">
        <f t="shared" si="295"/>
        <v/>
      </c>
      <c r="AI809" t="str">
        <f t="shared" si="296"/>
        <v/>
      </c>
      <c r="AJ809" t="str">
        <f t="shared" si="297"/>
        <v/>
      </c>
      <c r="AK809" t="str">
        <f t="shared" si="298"/>
        <v/>
      </c>
      <c r="AL809" t="str">
        <f t="shared" si="299"/>
        <v/>
      </c>
      <c r="AM809" t="str">
        <f t="shared" si="300"/>
        <v/>
      </c>
      <c r="AN809" t="str">
        <f t="shared" si="301"/>
        <v/>
      </c>
      <c r="AO809" t="str">
        <f t="shared" si="302"/>
        <v/>
      </c>
      <c r="AP809">
        <f t="shared" si="303"/>
        <v>1</v>
      </c>
      <c r="AQ809" t="str">
        <f>IF(SAISIE!$F814="","",SAISIE!$Y814)</f>
        <v/>
      </c>
      <c r="AR809" t="str">
        <f>IF(OR(SAISIE!$U$4="",SAISIE!$W$4=""),"",IF(AND($A809=SAISIE!$U$4,$B809=SAISIE!$W$4,$C809="S1"),COUNTIFS($A$2:$A809,SAISIE!$U$4,$B$2:$B809,SAISIE!$W$4,$C$2:$C809,"S1"),""))</f>
        <v/>
      </c>
      <c r="AS809" t="str">
        <f t="shared" si="304"/>
        <v/>
      </c>
      <c r="AT809" t="str">
        <f t="shared" si="305"/>
        <v/>
      </c>
      <c r="AU809" t="str">
        <f t="shared" si="306"/>
        <v/>
      </c>
      <c r="AV809">
        <f>N(AV808)+IF(AND($AB809&lt;&gt;"",OR('PROFIL ELEVE'!$K$4="(Tous)",$AF809='PROFIL ELEVE'!$K$4)),1,0)</f>
        <v>0</v>
      </c>
      <c r="AW809">
        <f>N(AW808)+IF(AND($AB809&lt;&gt;"",OR('SUIVI LONGITUDINAL'!$Q$4="(Tous)",$AF809='SUIVI LONGITUDINAL'!$Q$4)),1,0)</f>
        <v>0</v>
      </c>
      <c r="AX809">
        <f t="shared" si="307"/>
        <v>0</v>
      </c>
      <c r="AY809">
        <f t="shared" si="308"/>
        <v>0</v>
      </c>
      <c r="AZ809">
        <f t="shared" si="309"/>
        <v>0</v>
      </c>
      <c r="BA809" t="str">
        <f t="shared" si="310"/>
        <v/>
      </c>
      <c r="BB809" t="str">
        <f t="shared" si="311"/>
        <v/>
      </c>
    </row>
    <row r="810" spans="1:54" ht="14.25" customHeight="1" x14ac:dyDescent="0.3">
      <c r="A810" t="str">
        <f>IF(SAISIE!$F815="","",SAISIE!$B815)</f>
        <v/>
      </c>
      <c r="B810" t="str">
        <f>IF(SAISIE!$F815="","",SAISIE!$C815)</f>
        <v/>
      </c>
      <c r="C810" t="str">
        <f>IF(SAISIE!$F815="","",SAISIE!$D815)</f>
        <v/>
      </c>
      <c r="D810" t="str">
        <f>IF(SAISIE!$E815="","",SAISIE!$E815)</f>
        <v/>
      </c>
      <c r="E810" t="str">
        <f>IF(SAISIE!$F815="","",SAISIE!$F815)</f>
        <v/>
      </c>
      <c r="F810" t="str">
        <f>IF(SAISIE!$G815="","",SAISIE!$G815)</f>
        <v/>
      </c>
      <c r="G810" t="str">
        <f>IF(SAISIE!$H815="","",SAISIE!$H815)</f>
        <v/>
      </c>
      <c r="H810" t="str">
        <f>IF(SAISIE!$I815="","",SAISIE!$I815)</f>
        <v/>
      </c>
      <c r="I810" t="str">
        <f>IF(SAISIE!$J815="","",SAISIE!$J815)</f>
        <v/>
      </c>
      <c r="J810" t="str">
        <f>IF(SAISIE!$K815="","",SAISIE!$K815)</f>
        <v/>
      </c>
      <c r="K810" t="str">
        <f>IF(SAISIE!$L815="","",SAISIE!$L815)</f>
        <v/>
      </c>
      <c r="L810" t="str">
        <f>IF(SAISIE!$M815="","",SAISIE!$M815)</f>
        <v/>
      </c>
      <c r="M810" t="str">
        <f>IF(SAISIE!$N815="","",SAISIE!$N815)</f>
        <v/>
      </c>
      <c r="N810" t="str">
        <f>IF(SAISIE!$O815="","",SAISIE!$O815)</f>
        <v/>
      </c>
      <c r="O810" t="str">
        <f>IF(SAISIE!$P815="","",SAISIE!$P815)</f>
        <v/>
      </c>
      <c r="P810" t="str">
        <f>IF(SAISIE!$Q815="","",SAISIE!$Q815)</f>
        <v/>
      </c>
      <c r="Q810" t="str">
        <f>IF($I810="","",IF($I810&gt;PARAMETRES!$G$29,5,IF($I810&gt;PARAMETRES!$F$29,4,IF($I810&gt;PARAMETRES!$E$29,3,IF($I810&gt;PARAMETRES!$D$29,2,1)))))</f>
        <v/>
      </c>
      <c r="R810" t="str">
        <f>IF($J810="","",IF($J810&gt;PARAMETRES!$G$30,5,IF($J810&gt;PARAMETRES!$F$30,4,IF($J810&gt;PARAMETRES!$E$30,3,IF($J810&gt;PARAMETRES!$D$30,2,1)))))</f>
        <v/>
      </c>
      <c r="S810" t="str">
        <f>IF($K810="","",IF($Z810=2,IF($K810&gt;PARAMETRES!$G$31,5,IF($K810&gt;PARAMETRES!$F$31,4,IF($K810&gt;PARAMETRES!$E$31,3,IF($K810&gt;PARAMETRES!$D$31,2,1)))),IF($K810&gt;PARAMETRES!$G$32,5,IF($K810&gt;PARAMETRES!$F$32,4,IF($K810&gt;PARAMETRES!$E$32,3,IF($K810&gt;PARAMETRES!$D$32,2,1))))))</f>
        <v/>
      </c>
      <c r="T810" t="str">
        <f>IF($L810="","",IF($L810&gt;PARAMETRES!$G$33,5,IF($L810&gt;PARAMETRES!$F$33,4,IF($L810&gt;PARAMETRES!$E$33,3,IF($L810&gt;PARAMETRES!$D$33,2,1)))))</f>
        <v/>
      </c>
      <c r="U810" t="str">
        <f>IF($M810="","",IF($M810&gt;PARAMETRES!$G$34,5,IF($M810&gt;PARAMETRES!$F$34,4,IF($M810&gt;PARAMETRES!$E$34,3,IF($M810&gt;PARAMETRES!$D$34,2,1)))))</f>
        <v/>
      </c>
      <c r="V810" t="str">
        <f>IF($N810="","",IF($N810&gt;PARAMETRES!$G$35,5,IF($N810&gt;PARAMETRES!$F$35,4,IF($N810&gt;PARAMETRES!$E$35,3,IF($N810&gt;PARAMETRES!$D$35,2,1)))))</f>
        <v/>
      </c>
      <c r="W810" t="str">
        <f>IF($O810="","",IF($O810&gt;PARAMETRES!$G$36,5,IF($O810&gt;PARAMETRES!$F$36,4,IF($O810&gt;PARAMETRES!$E$36,3,IF($O810&gt;PARAMETRES!$D$36,2,1)))))</f>
        <v/>
      </c>
      <c r="X810" t="str">
        <f>IF($P810="","",IF($P810&gt;PARAMETRES!$G$37,5,IF($P810&gt;PARAMETRES!$F$37,4,IF($P810&gt;PARAMETRES!$E$37,3,IF($P810&gt;PARAMETRES!$D$37,2,1)))))</f>
        <v/>
      </c>
      <c r="Y810" t="str">
        <f t="shared" si="288"/>
        <v/>
      </c>
      <c r="Z810" t="str">
        <f>IFERROR(VLOOKUP($B810,TABLE_CYCLE,2,0),"")</f>
        <v/>
      </c>
      <c r="AA810" t="str">
        <f t="shared" si="289"/>
        <v/>
      </c>
      <c r="AB810" t="str">
        <f>IF($D810="","",IF(COUNTIF($D$2:$D810,$D810)=1,$D810,""))</f>
        <v/>
      </c>
      <c r="AC810">
        <f t="shared" si="290"/>
        <v>0</v>
      </c>
      <c r="AD810" t="str">
        <f t="shared" si="291"/>
        <v>|0</v>
      </c>
      <c r="AE810" t="str">
        <f t="shared" si="292"/>
        <v/>
      </c>
      <c r="AF810" t="str">
        <f t="shared" si="293"/>
        <v/>
      </c>
      <c r="AG810" t="str">
        <f t="shared" si="294"/>
        <v/>
      </c>
      <c r="AH810" t="str">
        <f t="shared" si="295"/>
        <v/>
      </c>
      <c r="AI810" t="str">
        <f t="shared" si="296"/>
        <v/>
      </c>
      <c r="AJ810" t="str">
        <f t="shared" si="297"/>
        <v/>
      </c>
      <c r="AK810" t="str">
        <f t="shared" si="298"/>
        <v/>
      </c>
      <c r="AL810" t="str">
        <f t="shared" si="299"/>
        <v/>
      </c>
      <c r="AM810" t="str">
        <f t="shared" si="300"/>
        <v/>
      </c>
      <c r="AN810" t="str">
        <f t="shared" si="301"/>
        <v/>
      </c>
      <c r="AO810" t="str">
        <f t="shared" si="302"/>
        <v/>
      </c>
      <c r="AP810">
        <f t="shared" si="303"/>
        <v>1</v>
      </c>
      <c r="AQ810" t="str">
        <f>IF(SAISIE!$F815="","",SAISIE!$Y815)</f>
        <v/>
      </c>
      <c r="AR810" t="str">
        <f>IF(OR(SAISIE!$U$4="",SAISIE!$W$4=""),"",IF(AND($A810=SAISIE!$U$4,$B810=SAISIE!$W$4,$C810="S1"),COUNTIFS($A$2:$A810,SAISIE!$U$4,$B$2:$B810,SAISIE!$W$4,$C$2:$C810,"S1"),""))</f>
        <v/>
      </c>
      <c r="AS810" t="str">
        <f t="shared" si="304"/>
        <v/>
      </c>
      <c r="AT810" t="str">
        <f t="shared" si="305"/>
        <v/>
      </c>
      <c r="AU810" t="str">
        <f t="shared" si="306"/>
        <v/>
      </c>
      <c r="AV810">
        <f>N(AV809)+IF(AND($AB810&lt;&gt;"",OR('PROFIL ELEVE'!$K$4="(Tous)",$AF810='PROFIL ELEVE'!$K$4)),1,0)</f>
        <v>0</v>
      </c>
      <c r="AW810">
        <f>N(AW809)+IF(AND($AB810&lt;&gt;"",OR('SUIVI LONGITUDINAL'!$Q$4="(Tous)",$AF810='SUIVI LONGITUDINAL'!$Q$4)),1,0)</f>
        <v>0</v>
      </c>
      <c r="AX810">
        <f t="shared" si="307"/>
        <v>0</v>
      </c>
      <c r="AY810">
        <f t="shared" si="308"/>
        <v>0</v>
      </c>
      <c r="AZ810">
        <f t="shared" si="309"/>
        <v>0</v>
      </c>
      <c r="BA810" t="str">
        <f t="shared" si="310"/>
        <v/>
      </c>
      <c r="BB810" t="str">
        <f t="shared" si="311"/>
        <v/>
      </c>
    </row>
    <row r="811" spans="1:54" ht="14.25" customHeight="1" x14ac:dyDescent="0.3">
      <c r="A811" t="str">
        <f>IF(SAISIE!$F816="","",SAISIE!$B816)</f>
        <v/>
      </c>
      <c r="B811" t="str">
        <f>IF(SAISIE!$F816="","",SAISIE!$C816)</f>
        <v/>
      </c>
      <c r="C811" t="str">
        <f>IF(SAISIE!$F816="","",SAISIE!$D816)</f>
        <v/>
      </c>
      <c r="D811" t="str">
        <f>IF(SAISIE!$E816="","",SAISIE!$E816)</f>
        <v/>
      </c>
      <c r="E811" t="str">
        <f>IF(SAISIE!$F816="","",SAISIE!$F816)</f>
        <v/>
      </c>
      <c r="F811" t="str">
        <f>IF(SAISIE!$G816="","",SAISIE!$G816)</f>
        <v/>
      </c>
      <c r="G811" t="str">
        <f>IF(SAISIE!$H816="","",SAISIE!$H816)</f>
        <v/>
      </c>
      <c r="H811" t="str">
        <f>IF(SAISIE!$I816="","",SAISIE!$I816)</f>
        <v/>
      </c>
      <c r="I811" t="str">
        <f>IF(SAISIE!$J816="","",SAISIE!$J816)</f>
        <v/>
      </c>
      <c r="J811" t="str">
        <f>IF(SAISIE!$K816="","",SAISIE!$K816)</f>
        <v/>
      </c>
      <c r="K811" t="str">
        <f>IF(SAISIE!$L816="","",SAISIE!$L816)</f>
        <v/>
      </c>
      <c r="L811" t="str">
        <f>IF(SAISIE!$M816="","",SAISIE!$M816)</f>
        <v/>
      </c>
      <c r="M811" t="str">
        <f>IF(SAISIE!$N816="","",SAISIE!$N816)</f>
        <v/>
      </c>
      <c r="N811" t="str">
        <f>IF(SAISIE!$O816="","",SAISIE!$O816)</f>
        <v/>
      </c>
      <c r="O811" t="str">
        <f>IF(SAISIE!$P816="","",SAISIE!$P816)</f>
        <v/>
      </c>
      <c r="P811" t="str">
        <f>IF(SAISIE!$Q816="","",SAISIE!$Q816)</f>
        <v/>
      </c>
      <c r="Q811" t="str">
        <f>IF($I811="","",IF($I811&gt;PARAMETRES!$G$29,5,IF($I811&gt;PARAMETRES!$F$29,4,IF($I811&gt;PARAMETRES!$E$29,3,IF($I811&gt;PARAMETRES!$D$29,2,1)))))</f>
        <v/>
      </c>
      <c r="R811" t="str">
        <f>IF($J811="","",IF($J811&gt;PARAMETRES!$G$30,5,IF($J811&gt;PARAMETRES!$F$30,4,IF($J811&gt;PARAMETRES!$E$30,3,IF($J811&gt;PARAMETRES!$D$30,2,1)))))</f>
        <v/>
      </c>
      <c r="S811" t="str">
        <f>IF($K811="","",IF($Z811=2,IF($K811&gt;PARAMETRES!$G$31,5,IF($K811&gt;PARAMETRES!$F$31,4,IF($K811&gt;PARAMETRES!$E$31,3,IF($K811&gt;PARAMETRES!$D$31,2,1)))),IF($K811&gt;PARAMETRES!$G$32,5,IF($K811&gt;PARAMETRES!$F$32,4,IF($K811&gt;PARAMETRES!$E$32,3,IF($K811&gt;PARAMETRES!$D$32,2,1))))))</f>
        <v/>
      </c>
      <c r="T811" t="str">
        <f>IF($L811="","",IF($L811&gt;PARAMETRES!$G$33,5,IF($L811&gt;PARAMETRES!$F$33,4,IF($L811&gt;PARAMETRES!$E$33,3,IF($L811&gt;PARAMETRES!$D$33,2,1)))))</f>
        <v/>
      </c>
      <c r="U811" t="str">
        <f>IF($M811="","",IF($M811&gt;PARAMETRES!$G$34,5,IF($M811&gt;PARAMETRES!$F$34,4,IF($M811&gt;PARAMETRES!$E$34,3,IF($M811&gt;PARAMETRES!$D$34,2,1)))))</f>
        <v/>
      </c>
      <c r="V811" t="str">
        <f>IF($N811="","",IF($N811&gt;PARAMETRES!$G$35,5,IF($N811&gt;PARAMETRES!$F$35,4,IF($N811&gt;PARAMETRES!$E$35,3,IF($N811&gt;PARAMETRES!$D$35,2,1)))))</f>
        <v/>
      </c>
      <c r="W811" t="str">
        <f>IF($O811="","",IF($O811&gt;PARAMETRES!$G$36,5,IF($O811&gt;PARAMETRES!$F$36,4,IF($O811&gt;PARAMETRES!$E$36,3,IF($O811&gt;PARAMETRES!$D$36,2,1)))))</f>
        <v/>
      </c>
      <c r="X811" t="str">
        <f>IF($P811="","",IF($P811&gt;PARAMETRES!$G$37,5,IF($P811&gt;PARAMETRES!$F$37,4,IF($P811&gt;PARAMETRES!$E$37,3,IF($P811&gt;PARAMETRES!$D$37,2,1)))))</f>
        <v/>
      </c>
      <c r="Y811" t="str">
        <f t="shared" si="288"/>
        <v/>
      </c>
      <c r="Z811" t="str">
        <f>IFERROR(VLOOKUP($B811,TABLE_CYCLE,2,0),"")</f>
        <v/>
      </c>
      <c r="AA811" t="str">
        <f t="shared" si="289"/>
        <v/>
      </c>
      <c r="AB811" t="str">
        <f>IF($D811="","",IF(COUNTIF($D$2:$D811,$D811)=1,$D811,""))</f>
        <v/>
      </c>
      <c r="AC811">
        <f t="shared" si="290"/>
        <v>0</v>
      </c>
      <c r="AD811" t="str">
        <f t="shared" si="291"/>
        <v>|0</v>
      </c>
      <c r="AE811" t="str">
        <f t="shared" si="292"/>
        <v/>
      </c>
      <c r="AF811" t="str">
        <f t="shared" si="293"/>
        <v/>
      </c>
      <c r="AG811" t="str">
        <f t="shared" si="294"/>
        <v/>
      </c>
      <c r="AH811" t="str">
        <f t="shared" si="295"/>
        <v/>
      </c>
      <c r="AI811" t="str">
        <f t="shared" si="296"/>
        <v/>
      </c>
      <c r="AJ811" t="str">
        <f t="shared" si="297"/>
        <v/>
      </c>
      <c r="AK811" t="str">
        <f t="shared" si="298"/>
        <v/>
      </c>
      <c r="AL811" t="str">
        <f t="shared" si="299"/>
        <v/>
      </c>
      <c r="AM811" t="str">
        <f t="shared" si="300"/>
        <v/>
      </c>
      <c r="AN811" t="str">
        <f t="shared" si="301"/>
        <v/>
      </c>
      <c r="AO811" t="str">
        <f t="shared" si="302"/>
        <v/>
      </c>
      <c r="AP811">
        <f t="shared" si="303"/>
        <v>1</v>
      </c>
      <c r="AQ811" t="str">
        <f>IF(SAISIE!$F816="","",SAISIE!$Y816)</f>
        <v/>
      </c>
      <c r="AR811" t="str">
        <f>IF(OR(SAISIE!$U$4="",SAISIE!$W$4=""),"",IF(AND($A811=SAISIE!$U$4,$B811=SAISIE!$W$4,$C811="S1"),COUNTIFS($A$2:$A811,SAISIE!$U$4,$B$2:$B811,SAISIE!$W$4,$C$2:$C811,"S1"),""))</f>
        <v/>
      </c>
      <c r="AS811" t="str">
        <f t="shared" si="304"/>
        <v/>
      </c>
      <c r="AT811" t="str">
        <f t="shared" si="305"/>
        <v/>
      </c>
      <c r="AU811" t="str">
        <f t="shared" si="306"/>
        <v/>
      </c>
      <c r="AV811">
        <f>N(AV810)+IF(AND($AB811&lt;&gt;"",OR('PROFIL ELEVE'!$K$4="(Tous)",$AF811='PROFIL ELEVE'!$K$4)),1,0)</f>
        <v>0</v>
      </c>
      <c r="AW811">
        <f>N(AW810)+IF(AND($AB811&lt;&gt;"",OR('SUIVI LONGITUDINAL'!$Q$4="(Tous)",$AF811='SUIVI LONGITUDINAL'!$Q$4)),1,0)</f>
        <v>0</v>
      </c>
      <c r="AX811">
        <f t="shared" si="307"/>
        <v>0</v>
      </c>
      <c r="AY811">
        <f t="shared" si="308"/>
        <v>0</v>
      </c>
      <c r="AZ811">
        <f t="shared" si="309"/>
        <v>0</v>
      </c>
      <c r="BA811" t="str">
        <f t="shared" si="310"/>
        <v/>
      </c>
      <c r="BB811" t="str">
        <f t="shared" si="311"/>
        <v/>
      </c>
    </row>
    <row r="812" spans="1:54" ht="14.25" customHeight="1" x14ac:dyDescent="0.3">
      <c r="A812" t="str">
        <f>IF(SAISIE!$F817="","",SAISIE!$B817)</f>
        <v/>
      </c>
      <c r="B812" t="str">
        <f>IF(SAISIE!$F817="","",SAISIE!$C817)</f>
        <v/>
      </c>
      <c r="C812" t="str">
        <f>IF(SAISIE!$F817="","",SAISIE!$D817)</f>
        <v/>
      </c>
      <c r="D812" t="str">
        <f>IF(SAISIE!$E817="","",SAISIE!$E817)</f>
        <v/>
      </c>
      <c r="E812" t="str">
        <f>IF(SAISIE!$F817="","",SAISIE!$F817)</f>
        <v/>
      </c>
      <c r="F812" t="str">
        <f>IF(SAISIE!$G817="","",SAISIE!$G817)</f>
        <v/>
      </c>
      <c r="G812" t="str">
        <f>IF(SAISIE!$H817="","",SAISIE!$H817)</f>
        <v/>
      </c>
      <c r="H812" t="str">
        <f>IF(SAISIE!$I817="","",SAISIE!$I817)</f>
        <v/>
      </c>
      <c r="I812" t="str">
        <f>IF(SAISIE!$J817="","",SAISIE!$J817)</f>
        <v/>
      </c>
      <c r="J812" t="str">
        <f>IF(SAISIE!$K817="","",SAISIE!$K817)</f>
        <v/>
      </c>
      <c r="K812" t="str">
        <f>IF(SAISIE!$L817="","",SAISIE!$L817)</f>
        <v/>
      </c>
      <c r="L812" t="str">
        <f>IF(SAISIE!$M817="","",SAISIE!$M817)</f>
        <v/>
      </c>
      <c r="M812" t="str">
        <f>IF(SAISIE!$N817="","",SAISIE!$N817)</f>
        <v/>
      </c>
      <c r="N812" t="str">
        <f>IF(SAISIE!$O817="","",SAISIE!$O817)</f>
        <v/>
      </c>
      <c r="O812" t="str">
        <f>IF(SAISIE!$P817="","",SAISIE!$P817)</f>
        <v/>
      </c>
      <c r="P812" t="str">
        <f>IF(SAISIE!$Q817="","",SAISIE!$Q817)</f>
        <v/>
      </c>
      <c r="Q812" t="str">
        <f>IF($I812="","",IF($I812&gt;PARAMETRES!$G$29,5,IF($I812&gt;PARAMETRES!$F$29,4,IF($I812&gt;PARAMETRES!$E$29,3,IF($I812&gt;PARAMETRES!$D$29,2,1)))))</f>
        <v/>
      </c>
      <c r="R812" t="str">
        <f>IF($J812="","",IF($J812&gt;PARAMETRES!$G$30,5,IF($J812&gt;PARAMETRES!$F$30,4,IF($J812&gt;PARAMETRES!$E$30,3,IF($J812&gt;PARAMETRES!$D$30,2,1)))))</f>
        <v/>
      </c>
      <c r="S812" t="str">
        <f>IF($K812="","",IF($Z812=2,IF($K812&gt;PARAMETRES!$G$31,5,IF($K812&gt;PARAMETRES!$F$31,4,IF($K812&gt;PARAMETRES!$E$31,3,IF($K812&gt;PARAMETRES!$D$31,2,1)))),IF($K812&gt;PARAMETRES!$G$32,5,IF($K812&gt;PARAMETRES!$F$32,4,IF($K812&gt;PARAMETRES!$E$32,3,IF($K812&gt;PARAMETRES!$D$32,2,1))))))</f>
        <v/>
      </c>
      <c r="T812" t="str">
        <f>IF($L812="","",IF($L812&gt;PARAMETRES!$G$33,5,IF($L812&gt;PARAMETRES!$F$33,4,IF($L812&gt;PARAMETRES!$E$33,3,IF($L812&gt;PARAMETRES!$D$33,2,1)))))</f>
        <v/>
      </c>
      <c r="U812" t="str">
        <f>IF($M812="","",IF($M812&gt;PARAMETRES!$G$34,5,IF($M812&gt;PARAMETRES!$F$34,4,IF($M812&gt;PARAMETRES!$E$34,3,IF($M812&gt;PARAMETRES!$D$34,2,1)))))</f>
        <v/>
      </c>
      <c r="V812" t="str">
        <f>IF($N812="","",IF($N812&gt;PARAMETRES!$G$35,5,IF($N812&gt;PARAMETRES!$F$35,4,IF($N812&gt;PARAMETRES!$E$35,3,IF($N812&gt;PARAMETRES!$D$35,2,1)))))</f>
        <v/>
      </c>
      <c r="W812" t="str">
        <f>IF($O812="","",IF($O812&gt;PARAMETRES!$G$36,5,IF($O812&gt;PARAMETRES!$F$36,4,IF($O812&gt;PARAMETRES!$E$36,3,IF($O812&gt;PARAMETRES!$D$36,2,1)))))</f>
        <v/>
      </c>
      <c r="X812" t="str">
        <f>IF($P812="","",IF($P812&gt;PARAMETRES!$G$37,5,IF($P812&gt;PARAMETRES!$F$37,4,IF($P812&gt;PARAMETRES!$E$37,3,IF($P812&gt;PARAMETRES!$D$37,2,1)))))</f>
        <v/>
      </c>
      <c r="Y812" t="str">
        <f t="shared" si="288"/>
        <v/>
      </c>
      <c r="Z812" t="str">
        <f>IFERROR(VLOOKUP($B812,TABLE_CYCLE,2,0),"")</f>
        <v/>
      </c>
      <c r="AA812" t="str">
        <f t="shared" si="289"/>
        <v/>
      </c>
      <c r="AB812" t="str">
        <f>IF($D812="","",IF(COUNTIF($D$2:$D812,$D812)=1,$D812,""))</f>
        <v/>
      </c>
      <c r="AC812">
        <f t="shared" si="290"/>
        <v>0</v>
      </c>
      <c r="AD812" t="str">
        <f t="shared" si="291"/>
        <v>|0</v>
      </c>
      <c r="AE812" t="str">
        <f t="shared" si="292"/>
        <v/>
      </c>
      <c r="AF812" t="str">
        <f t="shared" si="293"/>
        <v/>
      </c>
      <c r="AG812" t="str">
        <f t="shared" si="294"/>
        <v/>
      </c>
      <c r="AH812" t="str">
        <f t="shared" si="295"/>
        <v/>
      </c>
      <c r="AI812" t="str">
        <f t="shared" si="296"/>
        <v/>
      </c>
      <c r="AJ812" t="str">
        <f t="shared" si="297"/>
        <v/>
      </c>
      <c r="AK812" t="str">
        <f t="shared" si="298"/>
        <v/>
      </c>
      <c r="AL812" t="str">
        <f t="shared" si="299"/>
        <v/>
      </c>
      <c r="AM812" t="str">
        <f t="shared" si="300"/>
        <v/>
      </c>
      <c r="AN812" t="str">
        <f t="shared" si="301"/>
        <v/>
      </c>
      <c r="AO812" t="str">
        <f t="shared" si="302"/>
        <v/>
      </c>
      <c r="AP812">
        <f t="shared" si="303"/>
        <v>1</v>
      </c>
      <c r="AQ812" t="str">
        <f>IF(SAISIE!$F817="","",SAISIE!$Y817)</f>
        <v/>
      </c>
      <c r="AR812" t="str">
        <f>IF(OR(SAISIE!$U$4="",SAISIE!$W$4=""),"",IF(AND($A812=SAISIE!$U$4,$B812=SAISIE!$W$4,$C812="S1"),COUNTIFS($A$2:$A812,SAISIE!$U$4,$B$2:$B812,SAISIE!$W$4,$C$2:$C812,"S1"),""))</f>
        <v/>
      </c>
      <c r="AS812" t="str">
        <f t="shared" si="304"/>
        <v/>
      </c>
      <c r="AT812" t="str">
        <f t="shared" si="305"/>
        <v/>
      </c>
      <c r="AU812" t="str">
        <f t="shared" si="306"/>
        <v/>
      </c>
      <c r="AV812">
        <f>N(AV811)+IF(AND($AB812&lt;&gt;"",OR('PROFIL ELEVE'!$K$4="(Tous)",$AF812='PROFIL ELEVE'!$K$4)),1,0)</f>
        <v>0</v>
      </c>
      <c r="AW812">
        <f>N(AW811)+IF(AND($AB812&lt;&gt;"",OR('SUIVI LONGITUDINAL'!$Q$4="(Tous)",$AF812='SUIVI LONGITUDINAL'!$Q$4)),1,0)</f>
        <v>0</v>
      </c>
      <c r="AX812">
        <f t="shared" si="307"/>
        <v>0</v>
      </c>
      <c r="AY812">
        <f t="shared" si="308"/>
        <v>0</v>
      </c>
      <c r="AZ812">
        <f t="shared" si="309"/>
        <v>0</v>
      </c>
      <c r="BA812" t="str">
        <f t="shared" si="310"/>
        <v/>
      </c>
      <c r="BB812" t="str">
        <f t="shared" si="311"/>
        <v/>
      </c>
    </row>
    <row r="813" spans="1:54" ht="14.25" customHeight="1" x14ac:dyDescent="0.3">
      <c r="A813" t="str">
        <f>IF(SAISIE!$F818="","",SAISIE!$B818)</f>
        <v/>
      </c>
      <c r="B813" t="str">
        <f>IF(SAISIE!$F818="","",SAISIE!$C818)</f>
        <v/>
      </c>
      <c r="C813" t="str">
        <f>IF(SAISIE!$F818="","",SAISIE!$D818)</f>
        <v/>
      </c>
      <c r="D813" t="str">
        <f>IF(SAISIE!$E818="","",SAISIE!$E818)</f>
        <v/>
      </c>
      <c r="E813" t="str">
        <f>IF(SAISIE!$F818="","",SAISIE!$F818)</f>
        <v/>
      </c>
      <c r="F813" t="str">
        <f>IF(SAISIE!$G818="","",SAISIE!$G818)</f>
        <v/>
      </c>
      <c r="G813" t="str">
        <f>IF(SAISIE!$H818="","",SAISIE!$H818)</f>
        <v/>
      </c>
      <c r="H813" t="str">
        <f>IF(SAISIE!$I818="","",SAISIE!$I818)</f>
        <v/>
      </c>
      <c r="I813" t="str">
        <f>IF(SAISIE!$J818="","",SAISIE!$J818)</f>
        <v/>
      </c>
      <c r="J813" t="str">
        <f>IF(SAISIE!$K818="","",SAISIE!$K818)</f>
        <v/>
      </c>
      <c r="K813" t="str">
        <f>IF(SAISIE!$L818="","",SAISIE!$L818)</f>
        <v/>
      </c>
      <c r="L813" t="str">
        <f>IF(SAISIE!$M818="","",SAISIE!$M818)</f>
        <v/>
      </c>
      <c r="M813" t="str">
        <f>IF(SAISIE!$N818="","",SAISIE!$N818)</f>
        <v/>
      </c>
      <c r="N813" t="str">
        <f>IF(SAISIE!$O818="","",SAISIE!$O818)</f>
        <v/>
      </c>
      <c r="O813" t="str">
        <f>IF(SAISIE!$P818="","",SAISIE!$P818)</f>
        <v/>
      </c>
      <c r="P813" t="str">
        <f>IF(SAISIE!$Q818="","",SAISIE!$Q818)</f>
        <v/>
      </c>
      <c r="Q813" t="str">
        <f>IF($I813="","",IF($I813&gt;PARAMETRES!$G$29,5,IF($I813&gt;PARAMETRES!$F$29,4,IF($I813&gt;PARAMETRES!$E$29,3,IF($I813&gt;PARAMETRES!$D$29,2,1)))))</f>
        <v/>
      </c>
      <c r="R813" t="str">
        <f>IF($J813="","",IF($J813&gt;PARAMETRES!$G$30,5,IF($J813&gt;PARAMETRES!$F$30,4,IF($J813&gt;PARAMETRES!$E$30,3,IF($J813&gt;PARAMETRES!$D$30,2,1)))))</f>
        <v/>
      </c>
      <c r="S813" t="str">
        <f>IF($K813="","",IF($Z813=2,IF($K813&gt;PARAMETRES!$G$31,5,IF($K813&gt;PARAMETRES!$F$31,4,IF($K813&gt;PARAMETRES!$E$31,3,IF($K813&gt;PARAMETRES!$D$31,2,1)))),IF($K813&gt;PARAMETRES!$G$32,5,IF($K813&gt;PARAMETRES!$F$32,4,IF($K813&gt;PARAMETRES!$E$32,3,IF($K813&gt;PARAMETRES!$D$32,2,1))))))</f>
        <v/>
      </c>
      <c r="T813" t="str">
        <f>IF($L813="","",IF($L813&gt;PARAMETRES!$G$33,5,IF($L813&gt;PARAMETRES!$F$33,4,IF($L813&gt;PARAMETRES!$E$33,3,IF($L813&gt;PARAMETRES!$D$33,2,1)))))</f>
        <v/>
      </c>
      <c r="U813" t="str">
        <f>IF($M813="","",IF($M813&gt;PARAMETRES!$G$34,5,IF($M813&gt;PARAMETRES!$F$34,4,IF($M813&gt;PARAMETRES!$E$34,3,IF($M813&gt;PARAMETRES!$D$34,2,1)))))</f>
        <v/>
      </c>
      <c r="V813" t="str">
        <f>IF($N813="","",IF($N813&gt;PARAMETRES!$G$35,5,IF($N813&gt;PARAMETRES!$F$35,4,IF($N813&gt;PARAMETRES!$E$35,3,IF($N813&gt;PARAMETRES!$D$35,2,1)))))</f>
        <v/>
      </c>
      <c r="W813" t="str">
        <f>IF($O813="","",IF($O813&gt;PARAMETRES!$G$36,5,IF($O813&gt;PARAMETRES!$F$36,4,IF($O813&gt;PARAMETRES!$E$36,3,IF($O813&gt;PARAMETRES!$D$36,2,1)))))</f>
        <v/>
      </c>
      <c r="X813" t="str">
        <f>IF($P813="","",IF($P813&gt;PARAMETRES!$G$37,5,IF($P813&gt;PARAMETRES!$F$37,4,IF($P813&gt;PARAMETRES!$E$37,3,IF($P813&gt;PARAMETRES!$D$37,2,1)))))</f>
        <v/>
      </c>
      <c r="Y813" t="str">
        <f t="shared" si="288"/>
        <v/>
      </c>
      <c r="Z813" t="str">
        <f>IFERROR(VLOOKUP($B813,TABLE_CYCLE,2,0),"")</f>
        <v/>
      </c>
      <c r="AA813" t="str">
        <f t="shared" si="289"/>
        <v/>
      </c>
      <c r="AB813" t="str">
        <f>IF($D813="","",IF(COUNTIF($D$2:$D813,$D813)=1,$D813,""))</f>
        <v/>
      </c>
      <c r="AC813">
        <f t="shared" si="290"/>
        <v>0</v>
      </c>
      <c r="AD813" t="str">
        <f t="shared" si="291"/>
        <v>|0</v>
      </c>
      <c r="AE813" t="str">
        <f t="shared" si="292"/>
        <v/>
      </c>
      <c r="AF813" t="str">
        <f t="shared" si="293"/>
        <v/>
      </c>
      <c r="AG813" t="str">
        <f t="shared" si="294"/>
        <v/>
      </c>
      <c r="AH813" t="str">
        <f t="shared" si="295"/>
        <v/>
      </c>
      <c r="AI813" t="str">
        <f t="shared" si="296"/>
        <v/>
      </c>
      <c r="AJ813" t="str">
        <f t="shared" si="297"/>
        <v/>
      </c>
      <c r="AK813" t="str">
        <f t="shared" si="298"/>
        <v/>
      </c>
      <c r="AL813" t="str">
        <f t="shared" si="299"/>
        <v/>
      </c>
      <c r="AM813" t="str">
        <f t="shared" si="300"/>
        <v/>
      </c>
      <c r="AN813" t="str">
        <f t="shared" si="301"/>
        <v/>
      </c>
      <c r="AO813" t="str">
        <f t="shared" si="302"/>
        <v/>
      </c>
      <c r="AP813">
        <f t="shared" si="303"/>
        <v>1</v>
      </c>
      <c r="AQ813" t="str">
        <f>IF(SAISIE!$F818="","",SAISIE!$Y818)</f>
        <v/>
      </c>
      <c r="AR813" t="str">
        <f>IF(OR(SAISIE!$U$4="",SAISIE!$W$4=""),"",IF(AND($A813=SAISIE!$U$4,$B813=SAISIE!$W$4,$C813="S1"),COUNTIFS($A$2:$A813,SAISIE!$U$4,$B$2:$B813,SAISIE!$W$4,$C$2:$C813,"S1"),""))</f>
        <v/>
      </c>
      <c r="AS813" t="str">
        <f t="shared" si="304"/>
        <v/>
      </c>
      <c r="AT813" t="str">
        <f t="shared" si="305"/>
        <v/>
      </c>
      <c r="AU813" t="str">
        <f t="shared" si="306"/>
        <v/>
      </c>
      <c r="AV813">
        <f>N(AV812)+IF(AND($AB813&lt;&gt;"",OR('PROFIL ELEVE'!$K$4="(Tous)",$AF813='PROFIL ELEVE'!$K$4)),1,0)</f>
        <v>0</v>
      </c>
      <c r="AW813">
        <f>N(AW812)+IF(AND($AB813&lt;&gt;"",OR('SUIVI LONGITUDINAL'!$Q$4="(Tous)",$AF813='SUIVI LONGITUDINAL'!$Q$4)),1,0)</f>
        <v>0</v>
      </c>
      <c r="AX813">
        <f t="shared" si="307"/>
        <v>0</v>
      </c>
      <c r="AY813">
        <f t="shared" si="308"/>
        <v>0</v>
      </c>
      <c r="AZ813">
        <f t="shared" si="309"/>
        <v>0</v>
      </c>
      <c r="BA813" t="str">
        <f t="shared" si="310"/>
        <v/>
      </c>
      <c r="BB813" t="str">
        <f t="shared" si="311"/>
        <v/>
      </c>
    </row>
    <row r="814" spans="1:54" ht="14.25" customHeight="1" x14ac:dyDescent="0.3">
      <c r="A814" t="str">
        <f>IF(SAISIE!$F819="","",SAISIE!$B819)</f>
        <v/>
      </c>
      <c r="B814" t="str">
        <f>IF(SAISIE!$F819="","",SAISIE!$C819)</f>
        <v/>
      </c>
      <c r="C814" t="str">
        <f>IF(SAISIE!$F819="","",SAISIE!$D819)</f>
        <v/>
      </c>
      <c r="D814" t="str">
        <f>IF(SAISIE!$E819="","",SAISIE!$E819)</f>
        <v/>
      </c>
      <c r="E814" t="str">
        <f>IF(SAISIE!$F819="","",SAISIE!$F819)</f>
        <v/>
      </c>
      <c r="F814" t="str">
        <f>IF(SAISIE!$G819="","",SAISIE!$G819)</f>
        <v/>
      </c>
      <c r="G814" t="str">
        <f>IF(SAISIE!$H819="","",SAISIE!$H819)</f>
        <v/>
      </c>
      <c r="H814" t="str">
        <f>IF(SAISIE!$I819="","",SAISIE!$I819)</f>
        <v/>
      </c>
      <c r="I814" t="str">
        <f>IF(SAISIE!$J819="","",SAISIE!$J819)</f>
        <v/>
      </c>
      <c r="J814" t="str">
        <f>IF(SAISIE!$K819="","",SAISIE!$K819)</f>
        <v/>
      </c>
      <c r="K814" t="str">
        <f>IF(SAISIE!$L819="","",SAISIE!$L819)</f>
        <v/>
      </c>
      <c r="L814" t="str">
        <f>IF(SAISIE!$M819="","",SAISIE!$M819)</f>
        <v/>
      </c>
      <c r="M814" t="str">
        <f>IF(SAISIE!$N819="","",SAISIE!$N819)</f>
        <v/>
      </c>
      <c r="N814" t="str">
        <f>IF(SAISIE!$O819="","",SAISIE!$O819)</f>
        <v/>
      </c>
      <c r="O814" t="str">
        <f>IF(SAISIE!$P819="","",SAISIE!$P819)</f>
        <v/>
      </c>
      <c r="P814" t="str">
        <f>IF(SAISIE!$Q819="","",SAISIE!$Q819)</f>
        <v/>
      </c>
      <c r="Q814" t="str">
        <f>IF($I814="","",IF($I814&gt;PARAMETRES!$G$29,5,IF($I814&gt;PARAMETRES!$F$29,4,IF($I814&gt;PARAMETRES!$E$29,3,IF($I814&gt;PARAMETRES!$D$29,2,1)))))</f>
        <v/>
      </c>
      <c r="R814" t="str">
        <f>IF($J814="","",IF($J814&gt;PARAMETRES!$G$30,5,IF($J814&gt;PARAMETRES!$F$30,4,IF($J814&gt;PARAMETRES!$E$30,3,IF($J814&gt;PARAMETRES!$D$30,2,1)))))</f>
        <v/>
      </c>
      <c r="S814" t="str">
        <f>IF($K814="","",IF($Z814=2,IF($K814&gt;PARAMETRES!$G$31,5,IF($K814&gt;PARAMETRES!$F$31,4,IF($K814&gt;PARAMETRES!$E$31,3,IF($K814&gt;PARAMETRES!$D$31,2,1)))),IF($K814&gt;PARAMETRES!$G$32,5,IF($K814&gt;PARAMETRES!$F$32,4,IF($K814&gt;PARAMETRES!$E$32,3,IF($K814&gt;PARAMETRES!$D$32,2,1))))))</f>
        <v/>
      </c>
      <c r="T814" t="str">
        <f>IF($L814="","",IF($L814&gt;PARAMETRES!$G$33,5,IF($L814&gt;PARAMETRES!$F$33,4,IF($L814&gt;PARAMETRES!$E$33,3,IF($L814&gt;PARAMETRES!$D$33,2,1)))))</f>
        <v/>
      </c>
      <c r="U814" t="str">
        <f>IF($M814="","",IF($M814&gt;PARAMETRES!$G$34,5,IF($M814&gt;PARAMETRES!$F$34,4,IF($M814&gt;PARAMETRES!$E$34,3,IF($M814&gt;PARAMETRES!$D$34,2,1)))))</f>
        <v/>
      </c>
      <c r="V814" t="str">
        <f>IF($N814="","",IF($N814&gt;PARAMETRES!$G$35,5,IF($N814&gt;PARAMETRES!$F$35,4,IF($N814&gt;PARAMETRES!$E$35,3,IF($N814&gt;PARAMETRES!$D$35,2,1)))))</f>
        <v/>
      </c>
      <c r="W814" t="str">
        <f>IF($O814="","",IF($O814&gt;PARAMETRES!$G$36,5,IF($O814&gt;PARAMETRES!$F$36,4,IF($O814&gt;PARAMETRES!$E$36,3,IF($O814&gt;PARAMETRES!$D$36,2,1)))))</f>
        <v/>
      </c>
      <c r="X814" t="str">
        <f>IF($P814="","",IF($P814&gt;PARAMETRES!$G$37,5,IF($P814&gt;PARAMETRES!$F$37,4,IF($P814&gt;PARAMETRES!$E$37,3,IF($P814&gt;PARAMETRES!$D$37,2,1)))))</f>
        <v/>
      </c>
      <c r="Y814" t="str">
        <f t="shared" si="288"/>
        <v/>
      </c>
      <c r="Z814" t="str">
        <f>IFERROR(VLOOKUP($B814,TABLE_CYCLE,2,0),"")</f>
        <v/>
      </c>
      <c r="AA814" t="str">
        <f t="shared" si="289"/>
        <v/>
      </c>
      <c r="AB814" t="str">
        <f>IF($D814="","",IF(COUNTIF($D$2:$D814,$D814)=1,$D814,""))</f>
        <v/>
      </c>
      <c r="AC814">
        <f t="shared" si="290"/>
        <v>0</v>
      </c>
      <c r="AD814" t="str">
        <f t="shared" si="291"/>
        <v>|0</v>
      </c>
      <c r="AE814" t="str">
        <f t="shared" si="292"/>
        <v/>
      </c>
      <c r="AF814" t="str">
        <f t="shared" si="293"/>
        <v/>
      </c>
      <c r="AG814" t="str">
        <f t="shared" si="294"/>
        <v/>
      </c>
      <c r="AH814" t="str">
        <f t="shared" si="295"/>
        <v/>
      </c>
      <c r="AI814" t="str">
        <f t="shared" si="296"/>
        <v/>
      </c>
      <c r="AJ814" t="str">
        <f t="shared" si="297"/>
        <v/>
      </c>
      <c r="AK814" t="str">
        <f t="shared" si="298"/>
        <v/>
      </c>
      <c r="AL814" t="str">
        <f t="shared" si="299"/>
        <v/>
      </c>
      <c r="AM814" t="str">
        <f t="shared" si="300"/>
        <v/>
      </c>
      <c r="AN814" t="str">
        <f t="shared" si="301"/>
        <v/>
      </c>
      <c r="AO814" t="str">
        <f t="shared" si="302"/>
        <v/>
      </c>
      <c r="AP814">
        <f t="shared" si="303"/>
        <v>1</v>
      </c>
      <c r="AQ814" t="str">
        <f>IF(SAISIE!$F819="","",SAISIE!$Y819)</f>
        <v/>
      </c>
      <c r="AR814" t="str">
        <f>IF(OR(SAISIE!$U$4="",SAISIE!$W$4=""),"",IF(AND($A814=SAISIE!$U$4,$B814=SAISIE!$W$4,$C814="S1"),COUNTIFS($A$2:$A814,SAISIE!$U$4,$B$2:$B814,SAISIE!$W$4,$C$2:$C814,"S1"),""))</f>
        <v/>
      </c>
      <c r="AS814" t="str">
        <f t="shared" si="304"/>
        <v/>
      </c>
      <c r="AT814" t="str">
        <f t="shared" si="305"/>
        <v/>
      </c>
      <c r="AU814" t="str">
        <f t="shared" si="306"/>
        <v/>
      </c>
      <c r="AV814">
        <f>N(AV813)+IF(AND($AB814&lt;&gt;"",OR('PROFIL ELEVE'!$K$4="(Tous)",$AF814='PROFIL ELEVE'!$K$4)),1,0)</f>
        <v>0</v>
      </c>
      <c r="AW814">
        <f>N(AW813)+IF(AND($AB814&lt;&gt;"",OR('SUIVI LONGITUDINAL'!$Q$4="(Tous)",$AF814='SUIVI LONGITUDINAL'!$Q$4)),1,0)</f>
        <v>0</v>
      </c>
      <c r="AX814">
        <f t="shared" si="307"/>
        <v>0</v>
      </c>
      <c r="AY814">
        <f t="shared" si="308"/>
        <v>0</v>
      </c>
      <c r="AZ814">
        <f t="shared" si="309"/>
        <v>0</v>
      </c>
      <c r="BA814" t="str">
        <f t="shared" si="310"/>
        <v/>
      </c>
      <c r="BB814" t="str">
        <f t="shared" si="311"/>
        <v/>
      </c>
    </row>
    <row r="815" spans="1:54" ht="14.25" customHeight="1" x14ac:dyDescent="0.3">
      <c r="A815" t="str">
        <f>IF(SAISIE!$F820="","",SAISIE!$B820)</f>
        <v/>
      </c>
      <c r="B815" t="str">
        <f>IF(SAISIE!$F820="","",SAISIE!$C820)</f>
        <v/>
      </c>
      <c r="C815" t="str">
        <f>IF(SAISIE!$F820="","",SAISIE!$D820)</f>
        <v/>
      </c>
      <c r="D815" t="str">
        <f>IF(SAISIE!$E820="","",SAISIE!$E820)</f>
        <v/>
      </c>
      <c r="E815" t="str">
        <f>IF(SAISIE!$F820="","",SAISIE!$F820)</f>
        <v/>
      </c>
      <c r="F815" t="str">
        <f>IF(SAISIE!$G820="","",SAISIE!$G820)</f>
        <v/>
      </c>
      <c r="G815" t="str">
        <f>IF(SAISIE!$H820="","",SAISIE!$H820)</f>
        <v/>
      </c>
      <c r="H815" t="str">
        <f>IF(SAISIE!$I820="","",SAISIE!$I820)</f>
        <v/>
      </c>
      <c r="I815" t="str">
        <f>IF(SAISIE!$J820="","",SAISIE!$J820)</f>
        <v/>
      </c>
      <c r="J815" t="str">
        <f>IF(SAISIE!$K820="","",SAISIE!$K820)</f>
        <v/>
      </c>
      <c r="K815" t="str">
        <f>IF(SAISIE!$L820="","",SAISIE!$L820)</f>
        <v/>
      </c>
      <c r="L815" t="str">
        <f>IF(SAISIE!$M820="","",SAISIE!$M820)</f>
        <v/>
      </c>
      <c r="M815" t="str">
        <f>IF(SAISIE!$N820="","",SAISIE!$N820)</f>
        <v/>
      </c>
      <c r="N815" t="str">
        <f>IF(SAISIE!$O820="","",SAISIE!$O820)</f>
        <v/>
      </c>
      <c r="O815" t="str">
        <f>IF(SAISIE!$P820="","",SAISIE!$P820)</f>
        <v/>
      </c>
      <c r="P815" t="str">
        <f>IF(SAISIE!$Q820="","",SAISIE!$Q820)</f>
        <v/>
      </c>
      <c r="Q815" t="str">
        <f>IF($I815="","",IF($I815&gt;PARAMETRES!$G$29,5,IF($I815&gt;PARAMETRES!$F$29,4,IF($I815&gt;PARAMETRES!$E$29,3,IF($I815&gt;PARAMETRES!$D$29,2,1)))))</f>
        <v/>
      </c>
      <c r="R815" t="str">
        <f>IF($J815="","",IF($J815&gt;PARAMETRES!$G$30,5,IF($J815&gt;PARAMETRES!$F$30,4,IF($J815&gt;PARAMETRES!$E$30,3,IF($J815&gt;PARAMETRES!$D$30,2,1)))))</f>
        <v/>
      </c>
      <c r="S815" t="str">
        <f>IF($K815="","",IF($Z815=2,IF($K815&gt;PARAMETRES!$G$31,5,IF($K815&gt;PARAMETRES!$F$31,4,IF($K815&gt;PARAMETRES!$E$31,3,IF($K815&gt;PARAMETRES!$D$31,2,1)))),IF($K815&gt;PARAMETRES!$G$32,5,IF($K815&gt;PARAMETRES!$F$32,4,IF($K815&gt;PARAMETRES!$E$32,3,IF($K815&gt;PARAMETRES!$D$32,2,1))))))</f>
        <v/>
      </c>
      <c r="T815" t="str">
        <f>IF($L815="","",IF($L815&gt;PARAMETRES!$G$33,5,IF($L815&gt;PARAMETRES!$F$33,4,IF($L815&gt;PARAMETRES!$E$33,3,IF($L815&gt;PARAMETRES!$D$33,2,1)))))</f>
        <v/>
      </c>
      <c r="U815" t="str">
        <f>IF($M815="","",IF($M815&gt;PARAMETRES!$G$34,5,IF($M815&gt;PARAMETRES!$F$34,4,IF($M815&gt;PARAMETRES!$E$34,3,IF($M815&gt;PARAMETRES!$D$34,2,1)))))</f>
        <v/>
      </c>
      <c r="V815" t="str">
        <f>IF($N815="","",IF($N815&gt;PARAMETRES!$G$35,5,IF($N815&gt;PARAMETRES!$F$35,4,IF($N815&gt;PARAMETRES!$E$35,3,IF($N815&gt;PARAMETRES!$D$35,2,1)))))</f>
        <v/>
      </c>
      <c r="W815" t="str">
        <f>IF($O815="","",IF($O815&gt;PARAMETRES!$G$36,5,IF($O815&gt;PARAMETRES!$F$36,4,IF($O815&gt;PARAMETRES!$E$36,3,IF($O815&gt;PARAMETRES!$D$36,2,1)))))</f>
        <v/>
      </c>
      <c r="X815" t="str">
        <f>IF($P815="","",IF($P815&gt;PARAMETRES!$G$37,5,IF($P815&gt;PARAMETRES!$F$37,4,IF($P815&gt;PARAMETRES!$E$37,3,IF($P815&gt;PARAMETRES!$D$37,2,1)))))</f>
        <v/>
      </c>
      <c r="Y815" t="str">
        <f t="shared" si="288"/>
        <v/>
      </c>
      <c r="Z815" t="str">
        <f>IFERROR(VLOOKUP($B815,TABLE_CYCLE,2,0),"")</f>
        <v/>
      </c>
      <c r="AA815" t="str">
        <f t="shared" si="289"/>
        <v/>
      </c>
      <c r="AB815" t="str">
        <f>IF($D815="","",IF(COUNTIF($D$2:$D815,$D815)=1,$D815,""))</f>
        <v/>
      </c>
      <c r="AC815">
        <f t="shared" si="290"/>
        <v>0</v>
      </c>
      <c r="AD815" t="str">
        <f t="shared" si="291"/>
        <v>|0</v>
      </c>
      <c r="AE815" t="str">
        <f t="shared" si="292"/>
        <v/>
      </c>
      <c r="AF815" t="str">
        <f t="shared" si="293"/>
        <v/>
      </c>
      <c r="AG815" t="str">
        <f t="shared" si="294"/>
        <v/>
      </c>
      <c r="AH815" t="str">
        <f t="shared" si="295"/>
        <v/>
      </c>
      <c r="AI815" t="str">
        <f t="shared" si="296"/>
        <v/>
      </c>
      <c r="AJ815" t="str">
        <f t="shared" si="297"/>
        <v/>
      </c>
      <c r="AK815" t="str">
        <f t="shared" si="298"/>
        <v/>
      </c>
      <c r="AL815" t="str">
        <f t="shared" si="299"/>
        <v/>
      </c>
      <c r="AM815" t="str">
        <f t="shared" si="300"/>
        <v/>
      </c>
      <c r="AN815" t="str">
        <f t="shared" si="301"/>
        <v/>
      </c>
      <c r="AO815" t="str">
        <f t="shared" si="302"/>
        <v/>
      </c>
      <c r="AP815">
        <f t="shared" si="303"/>
        <v>1</v>
      </c>
      <c r="AQ815" t="str">
        <f>IF(SAISIE!$F820="","",SAISIE!$Y820)</f>
        <v/>
      </c>
      <c r="AR815" t="str">
        <f>IF(OR(SAISIE!$U$4="",SAISIE!$W$4=""),"",IF(AND($A815=SAISIE!$U$4,$B815=SAISIE!$W$4,$C815="S1"),COUNTIFS($A$2:$A815,SAISIE!$U$4,$B$2:$B815,SAISIE!$W$4,$C$2:$C815,"S1"),""))</f>
        <v/>
      </c>
      <c r="AS815" t="str">
        <f t="shared" si="304"/>
        <v/>
      </c>
      <c r="AT815" t="str">
        <f t="shared" si="305"/>
        <v/>
      </c>
      <c r="AU815" t="str">
        <f t="shared" si="306"/>
        <v/>
      </c>
      <c r="AV815">
        <f>N(AV814)+IF(AND($AB815&lt;&gt;"",OR('PROFIL ELEVE'!$K$4="(Tous)",$AF815='PROFIL ELEVE'!$K$4)),1,0)</f>
        <v>0</v>
      </c>
      <c r="AW815">
        <f>N(AW814)+IF(AND($AB815&lt;&gt;"",OR('SUIVI LONGITUDINAL'!$Q$4="(Tous)",$AF815='SUIVI LONGITUDINAL'!$Q$4)),1,0)</f>
        <v>0</v>
      </c>
      <c r="AX815">
        <f t="shared" si="307"/>
        <v>0</v>
      </c>
      <c r="AY815">
        <f t="shared" si="308"/>
        <v>0</v>
      </c>
      <c r="AZ815">
        <f t="shared" si="309"/>
        <v>0</v>
      </c>
      <c r="BA815" t="str">
        <f t="shared" si="310"/>
        <v/>
      </c>
      <c r="BB815" t="str">
        <f t="shared" si="311"/>
        <v/>
      </c>
    </row>
    <row r="816" spans="1:54" ht="14.25" customHeight="1" x14ac:dyDescent="0.3">
      <c r="A816" t="str">
        <f>IF(SAISIE!$F821="","",SAISIE!$B821)</f>
        <v/>
      </c>
      <c r="B816" t="str">
        <f>IF(SAISIE!$F821="","",SAISIE!$C821)</f>
        <v/>
      </c>
      <c r="C816" t="str">
        <f>IF(SAISIE!$F821="","",SAISIE!$D821)</f>
        <v/>
      </c>
      <c r="D816" t="str">
        <f>IF(SAISIE!$E821="","",SAISIE!$E821)</f>
        <v/>
      </c>
      <c r="E816" t="str">
        <f>IF(SAISIE!$F821="","",SAISIE!$F821)</f>
        <v/>
      </c>
      <c r="F816" t="str">
        <f>IF(SAISIE!$G821="","",SAISIE!$G821)</f>
        <v/>
      </c>
      <c r="G816" t="str">
        <f>IF(SAISIE!$H821="","",SAISIE!$H821)</f>
        <v/>
      </c>
      <c r="H816" t="str">
        <f>IF(SAISIE!$I821="","",SAISIE!$I821)</f>
        <v/>
      </c>
      <c r="I816" t="str">
        <f>IF(SAISIE!$J821="","",SAISIE!$J821)</f>
        <v/>
      </c>
      <c r="J816" t="str">
        <f>IF(SAISIE!$K821="","",SAISIE!$K821)</f>
        <v/>
      </c>
      <c r="K816" t="str">
        <f>IF(SAISIE!$L821="","",SAISIE!$L821)</f>
        <v/>
      </c>
      <c r="L816" t="str">
        <f>IF(SAISIE!$M821="","",SAISIE!$M821)</f>
        <v/>
      </c>
      <c r="M816" t="str">
        <f>IF(SAISIE!$N821="","",SAISIE!$N821)</f>
        <v/>
      </c>
      <c r="N816" t="str">
        <f>IF(SAISIE!$O821="","",SAISIE!$O821)</f>
        <v/>
      </c>
      <c r="O816" t="str">
        <f>IF(SAISIE!$P821="","",SAISIE!$P821)</f>
        <v/>
      </c>
      <c r="P816" t="str">
        <f>IF(SAISIE!$Q821="","",SAISIE!$Q821)</f>
        <v/>
      </c>
      <c r="Q816" t="str">
        <f>IF($I816="","",IF($I816&gt;PARAMETRES!$G$29,5,IF($I816&gt;PARAMETRES!$F$29,4,IF($I816&gt;PARAMETRES!$E$29,3,IF($I816&gt;PARAMETRES!$D$29,2,1)))))</f>
        <v/>
      </c>
      <c r="R816" t="str">
        <f>IF($J816="","",IF($J816&gt;PARAMETRES!$G$30,5,IF($J816&gt;PARAMETRES!$F$30,4,IF($J816&gt;PARAMETRES!$E$30,3,IF($J816&gt;PARAMETRES!$D$30,2,1)))))</f>
        <v/>
      </c>
      <c r="S816" t="str">
        <f>IF($K816="","",IF($Z816=2,IF($K816&gt;PARAMETRES!$G$31,5,IF($K816&gt;PARAMETRES!$F$31,4,IF($K816&gt;PARAMETRES!$E$31,3,IF($K816&gt;PARAMETRES!$D$31,2,1)))),IF($K816&gt;PARAMETRES!$G$32,5,IF($K816&gt;PARAMETRES!$F$32,4,IF($K816&gt;PARAMETRES!$E$32,3,IF($K816&gt;PARAMETRES!$D$32,2,1))))))</f>
        <v/>
      </c>
      <c r="T816" t="str">
        <f>IF($L816="","",IF($L816&gt;PARAMETRES!$G$33,5,IF($L816&gt;PARAMETRES!$F$33,4,IF($L816&gt;PARAMETRES!$E$33,3,IF($L816&gt;PARAMETRES!$D$33,2,1)))))</f>
        <v/>
      </c>
      <c r="U816" t="str">
        <f>IF($M816="","",IF($M816&gt;PARAMETRES!$G$34,5,IF($M816&gt;PARAMETRES!$F$34,4,IF($M816&gt;PARAMETRES!$E$34,3,IF($M816&gt;PARAMETRES!$D$34,2,1)))))</f>
        <v/>
      </c>
      <c r="V816" t="str">
        <f>IF($N816="","",IF($N816&gt;PARAMETRES!$G$35,5,IF($N816&gt;PARAMETRES!$F$35,4,IF($N816&gt;PARAMETRES!$E$35,3,IF($N816&gt;PARAMETRES!$D$35,2,1)))))</f>
        <v/>
      </c>
      <c r="W816" t="str">
        <f>IF($O816="","",IF($O816&gt;PARAMETRES!$G$36,5,IF($O816&gt;PARAMETRES!$F$36,4,IF($O816&gt;PARAMETRES!$E$36,3,IF($O816&gt;PARAMETRES!$D$36,2,1)))))</f>
        <v/>
      </c>
      <c r="X816" t="str">
        <f>IF($P816="","",IF($P816&gt;PARAMETRES!$G$37,5,IF($P816&gt;PARAMETRES!$F$37,4,IF($P816&gt;PARAMETRES!$E$37,3,IF($P816&gt;PARAMETRES!$D$37,2,1)))))</f>
        <v/>
      </c>
      <c r="Y816" t="str">
        <f t="shared" si="288"/>
        <v/>
      </c>
      <c r="Z816" t="str">
        <f>IFERROR(VLOOKUP($B816,TABLE_CYCLE,2,0),"")</f>
        <v/>
      </c>
      <c r="AA816" t="str">
        <f t="shared" si="289"/>
        <v/>
      </c>
      <c r="AB816" t="str">
        <f>IF($D816="","",IF(COUNTIF($D$2:$D816,$D816)=1,$D816,""))</f>
        <v/>
      </c>
      <c r="AC816">
        <f t="shared" si="290"/>
        <v>0</v>
      </c>
      <c r="AD816" t="str">
        <f t="shared" si="291"/>
        <v>|0</v>
      </c>
      <c r="AE816" t="str">
        <f t="shared" si="292"/>
        <v/>
      </c>
      <c r="AF816" t="str">
        <f t="shared" si="293"/>
        <v/>
      </c>
      <c r="AG816" t="str">
        <f t="shared" si="294"/>
        <v/>
      </c>
      <c r="AH816" t="str">
        <f t="shared" si="295"/>
        <v/>
      </c>
      <c r="AI816" t="str">
        <f t="shared" si="296"/>
        <v/>
      </c>
      <c r="AJ816" t="str">
        <f t="shared" si="297"/>
        <v/>
      </c>
      <c r="AK816" t="str">
        <f t="shared" si="298"/>
        <v/>
      </c>
      <c r="AL816" t="str">
        <f t="shared" si="299"/>
        <v/>
      </c>
      <c r="AM816" t="str">
        <f t="shared" si="300"/>
        <v/>
      </c>
      <c r="AN816" t="str">
        <f t="shared" si="301"/>
        <v/>
      </c>
      <c r="AO816" t="str">
        <f t="shared" si="302"/>
        <v/>
      </c>
      <c r="AP816">
        <f t="shared" si="303"/>
        <v>1</v>
      </c>
      <c r="AQ816" t="str">
        <f>IF(SAISIE!$F821="","",SAISIE!$Y821)</f>
        <v/>
      </c>
      <c r="AR816" t="str">
        <f>IF(OR(SAISIE!$U$4="",SAISIE!$W$4=""),"",IF(AND($A816=SAISIE!$U$4,$B816=SAISIE!$W$4,$C816="S1"),COUNTIFS($A$2:$A816,SAISIE!$U$4,$B$2:$B816,SAISIE!$W$4,$C$2:$C816,"S1"),""))</f>
        <v/>
      </c>
      <c r="AS816" t="str">
        <f t="shared" si="304"/>
        <v/>
      </c>
      <c r="AT816" t="str">
        <f t="shared" si="305"/>
        <v/>
      </c>
      <c r="AU816" t="str">
        <f t="shared" si="306"/>
        <v/>
      </c>
      <c r="AV816">
        <f>N(AV815)+IF(AND($AB816&lt;&gt;"",OR('PROFIL ELEVE'!$K$4="(Tous)",$AF816='PROFIL ELEVE'!$K$4)),1,0)</f>
        <v>0</v>
      </c>
      <c r="AW816">
        <f>N(AW815)+IF(AND($AB816&lt;&gt;"",OR('SUIVI LONGITUDINAL'!$Q$4="(Tous)",$AF816='SUIVI LONGITUDINAL'!$Q$4)),1,0)</f>
        <v>0</v>
      </c>
      <c r="AX816">
        <f t="shared" si="307"/>
        <v>0</v>
      </c>
      <c r="AY816">
        <f t="shared" si="308"/>
        <v>0</v>
      </c>
      <c r="AZ816">
        <f t="shared" si="309"/>
        <v>0</v>
      </c>
      <c r="BA816" t="str">
        <f t="shared" si="310"/>
        <v/>
      </c>
      <c r="BB816" t="str">
        <f t="shared" si="311"/>
        <v/>
      </c>
    </row>
    <row r="817" spans="1:54" ht="14.25" customHeight="1" x14ac:dyDescent="0.3">
      <c r="A817" t="str">
        <f>IF(SAISIE!$F822="","",SAISIE!$B822)</f>
        <v/>
      </c>
      <c r="B817" t="str">
        <f>IF(SAISIE!$F822="","",SAISIE!$C822)</f>
        <v/>
      </c>
      <c r="C817" t="str">
        <f>IF(SAISIE!$F822="","",SAISIE!$D822)</f>
        <v/>
      </c>
      <c r="D817" t="str">
        <f>IF(SAISIE!$E822="","",SAISIE!$E822)</f>
        <v/>
      </c>
      <c r="E817" t="str">
        <f>IF(SAISIE!$F822="","",SAISIE!$F822)</f>
        <v/>
      </c>
      <c r="F817" t="str">
        <f>IF(SAISIE!$G822="","",SAISIE!$G822)</f>
        <v/>
      </c>
      <c r="G817" t="str">
        <f>IF(SAISIE!$H822="","",SAISIE!$H822)</f>
        <v/>
      </c>
      <c r="H817" t="str">
        <f>IF(SAISIE!$I822="","",SAISIE!$I822)</f>
        <v/>
      </c>
      <c r="I817" t="str">
        <f>IF(SAISIE!$J822="","",SAISIE!$J822)</f>
        <v/>
      </c>
      <c r="J817" t="str">
        <f>IF(SAISIE!$K822="","",SAISIE!$K822)</f>
        <v/>
      </c>
      <c r="K817" t="str">
        <f>IF(SAISIE!$L822="","",SAISIE!$L822)</f>
        <v/>
      </c>
      <c r="L817" t="str">
        <f>IF(SAISIE!$M822="","",SAISIE!$M822)</f>
        <v/>
      </c>
      <c r="M817" t="str">
        <f>IF(SAISIE!$N822="","",SAISIE!$N822)</f>
        <v/>
      </c>
      <c r="N817" t="str">
        <f>IF(SAISIE!$O822="","",SAISIE!$O822)</f>
        <v/>
      </c>
      <c r="O817" t="str">
        <f>IF(SAISIE!$P822="","",SAISIE!$P822)</f>
        <v/>
      </c>
      <c r="P817" t="str">
        <f>IF(SAISIE!$Q822="","",SAISIE!$Q822)</f>
        <v/>
      </c>
      <c r="Q817" t="str">
        <f>IF($I817="","",IF($I817&gt;PARAMETRES!$G$29,5,IF($I817&gt;PARAMETRES!$F$29,4,IF($I817&gt;PARAMETRES!$E$29,3,IF($I817&gt;PARAMETRES!$D$29,2,1)))))</f>
        <v/>
      </c>
      <c r="R817" t="str">
        <f>IF($J817="","",IF($J817&gt;PARAMETRES!$G$30,5,IF($J817&gt;PARAMETRES!$F$30,4,IF($J817&gt;PARAMETRES!$E$30,3,IF($J817&gt;PARAMETRES!$D$30,2,1)))))</f>
        <v/>
      </c>
      <c r="S817" t="str">
        <f>IF($K817="","",IF($Z817=2,IF($K817&gt;PARAMETRES!$G$31,5,IF($K817&gt;PARAMETRES!$F$31,4,IF($K817&gt;PARAMETRES!$E$31,3,IF($K817&gt;PARAMETRES!$D$31,2,1)))),IF($K817&gt;PARAMETRES!$G$32,5,IF($K817&gt;PARAMETRES!$F$32,4,IF($K817&gt;PARAMETRES!$E$32,3,IF($K817&gt;PARAMETRES!$D$32,2,1))))))</f>
        <v/>
      </c>
      <c r="T817" t="str">
        <f>IF($L817="","",IF($L817&gt;PARAMETRES!$G$33,5,IF($L817&gt;PARAMETRES!$F$33,4,IF($L817&gt;PARAMETRES!$E$33,3,IF($L817&gt;PARAMETRES!$D$33,2,1)))))</f>
        <v/>
      </c>
      <c r="U817" t="str">
        <f>IF($M817="","",IF($M817&gt;PARAMETRES!$G$34,5,IF($M817&gt;PARAMETRES!$F$34,4,IF($M817&gt;PARAMETRES!$E$34,3,IF($M817&gt;PARAMETRES!$D$34,2,1)))))</f>
        <v/>
      </c>
      <c r="V817" t="str">
        <f>IF($N817="","",IF($N817&gt;PARAMETRES!$G$35,5,IF($N817&gt;PARAMETRES!$F$35,4,IF($N817&gt;PARAMETRES!$E$35,3,IF($N817&gt;PARAMETRES!$D$35,2,1)))))</f>
        <v/>
      </c>
      <c r="W817" t="str">
        <f>IF($O817="","",IF($O817&gt;PARAMETRES!$G$36,5,IF($O817&gt;PARAMETRES!$F$36,4,IF($O817&gt;PARAMETRES!$E$36,3,IF($O817&gt;PARAMETRES!$D$36,2,1)))))</f>
        <v/>
      </c>
      <c r="X817" t="str">
        <f>IF($P817="","",IF($P817&gt;PARAMETRES!$G$37,5,IF($P817&gt;PARAMETRES!$F$37,4,IF($P817&gt;PARAMETRES!$E$37,3,IF($P817&gt;PARAMETRES!$D$37,2,1)))))</f>
        <v/>
      </c>
      <c r="Y817" t="str">
        <f t="shared" si="288"/>
        <v/>
      </c>
      <c r="Z817" t="str">
        <f>IFERROR(VLOOKUP($B817,TABLE_CYCLE,2,0),"")</f>
        <v/>
      </c>
      <c r="AA817" t="str">
        <f t="shared" si="289"/>
        <v/>
      </c>
      <c r="AB817" t="str">
        <f>IF($D817="","",IF(COUNTIF($D$2:$D817,$D817)=1,$D817,""))</f>
        <v/>
      </c>
      <c r="AC817">
        <f t="shared" si="290"/>
        <v>0</v>
      </c>
      <c r="AD817" t="str">
        <f t="shared" si="291"/>
        <v>|0</v>
      </c>
      <c r="AE817" t="str">
        <f t="shared" si="292"/>
        <v/>
      </c>
      <c r="AF817" t="str">
        <f t="shared" si="293"/>
        <v/>
      </c>
      <c r="AG817" t="str">
        <f t="shared" si="294"/>
        <v/>
      </c>
      <c r="AH817" t="str">
        <f t="shared" si="295"/>
        <v/>
      </c>
      <c r="AI817" t="str">
        <f t="shared" si="296"/>
        <v/>
      </c>
      <c r="AJ817" t="str">
        <f t="shared" si="297"/>
        <v/>
      </c>
      <c r="AK817" t="str">
        <f t="shared" si="298"/>
        <v/>
      </c>
      <c r="AL817" t="str">
        <f t="shared" si="299"/>
        <v/>
      </c>
      <c r="AM817" t="str">
        <f t="shared" si="300"/>
        <v/>
      </c>
      <c r="AN817" t="str">
        <f t="shared" si="301"/>
        <v/>
      </c>
      <c r="AO817" t="str">
        <f t="shared" si="302"/>
        <v/>
      </c>
      <c r="AP817">
        <f t="shared" si="303"/>
        <v>1</v>
      </c>
      <c r="AQ817" t="str">
        <f>IF(SAISIE!$F822="","",SAISIE!$Y822)</f>
        <v/>
      </c>
      <c r="AR817" t="str">
        <f>IF(OR(SAISIE!$U$4="",SAISIE!$W$4=""),"",IF(AND($A817=SAISIE!$U$4,$B817=SAISIE!$W$4,$C817="S1"),COUNTIFS($A$2:$A817,SAISIE!$U$4,$B$2:$B817,SAISIE!$W$4,$C$2:$C817,"S1"),""))</f>
        <v/>
      </c>
      <c r="AS817" t="str">
        <f t="shared" si="304"/>
        <v/>
      </c>
      <c r="AT817" t="str">
        <f t="shared" si="305"/>
        <v/>
      </c>
      <c r="AU817" t="str">
        <f t="shared" si="306"/>
        <v/>
      </c>
      <c r="AV817">
        <f>N(AV816)+IF(AND($AB817&lt;&gt;"",OR('PROFIL ELEVE'!$K$4="(Tous)",$AF817='PROFIL ELEVE'!$K$4)),1,0)</f>
        <v>0</v>
      </c>
      <c r="AW817">
        <f>N(AW816)+IF(AND($AB817&lt;&gt;"",OR('SUIVI LONGITUDINAL'!$Q$4="(Tous)",$AF817='SUIVI LONGITUDINAL'!$Q$4)),1,0)</f>
        <v>0</v>
      </c>
      <c r="AX817">
        <f t="shared" si="307"/>
        <v>0</v>
      </c>
      <c r="AY817">
        <f t="shared" si="308"/>
        <v>0</v>
      </c>
      <c r="AZ817">
        <f t="shared" si="309"/>
        <v>0</v>
      </c>
      <c r="BA817" t="str">
        <f t="shared" si="310"/>
        <v/>
      </c>
      <c r="BB817" t="str">
        <f t="shared" si="311"/>
        <v/>
      </c>
    </row>
    <row r="818" spans="1:54" ht="14.25" customHeight="1" x14ac:dyDescent="0.3">
      <c r="A818" t="str">
        <f>IF(SAISIE!$F823="","",SAISIE!$B823)</f>
        <v/>
      </c>
      <c r="B818" t="str">
        <f>IF(SAISIE!$F823="","",SAISIE!$C823)</f>
        <v/>
      </c>
      <c r="C818" t="str">
        <f>IF(SAISIE!$F823="","",SAISIE!$D823)</f>
        <v/>
      </c>
      <c r="D818" t="str">
        <f>IF(SAISIE!$E823="","",SAISIE!$E823)</f>
        <v/>
      </c>
      <c r="E818" t="str">
        <f>IF(SAISIE!$F823="","",SAISIE!$F823)</f>
        <v/>
      </c>
      <c r="F818" t="str">
        <f>IF(SAISIE!$G823="","",SAISIE!$G823)</f>
        <v/>
      </c>
      <c r="G818" t="str">
        <f>IF(SAISIE!$H823="","",SAISIE!$H823)</f>
        <v/>
      </c>
      <c r="H818" t="str">
        <f>IF(SAISIE!$I823="","",SAISIE!$I823)</f>
        <v/>
      </c>
      <c r="I818" t="str">
        <f>IF(SAISIE!$J823="","",SAISIE!$J823)</f>
        <v/>
      </c>
      <c r="J818" t="str">
        <f>IF(SAISIE!$K823="","",SAISIE!$K823)</f>
        <v/>
      </c>
      <c r="K818" t="str">
        <f>IF(SAISIE!$L823="","",SAISIE!$L823)</f>
        <v/>
      </c>
      <c r="L818" t="str">
        <f>IF(SAISIE!$M823="","",SAISIE!$M823)</f>
        <v/>
      </c>
      <c r="M818" t="str">
        <f>IF(SAISIE!$N823="","",SAISIE!$N823)</f>
        <v/>
      </c>
      <c r="N818" t="str">
        <f>IF(SAISIE!$O823="","",SAISIE!$O823)</f>
        <v/>
      </c>
      <c r="O818" t="str">
        <f>IF(SAISIE!$P823="","",SAISIE!$P823)</f>
        <v/>
      </c>
      <c r="P818" t="str">
        <f>IF(SAISIE!$Q823="","",SAISIE!$Q823)</f>
        <v/>
      </c>
      <c r="Q818" t="str">
        <f>IF($I818="","",IF($I818&gt;PARAMETRES!$G$29,5,IF($I818&gt;PARAMETRES!$F$29,4,IF($I818&gt;PARAMETRES!$E$29,3,IF($I818&gt;PARAMETRES!$D$29,2,1)))))</f>
        <v/>
      </c>
      <c r="R818" t="str">
        <f>IF($J818="","",IF($J818&gt;PARAMETRES!$G$30,5,IF($J818&gt;PARAMETRES!$F$30,4,IF($J818&gt;PARAMETRES!$E$30,3,IF($J818&gt;PARAMETRES!$D$30,2,1)))))</f>
        <v/>
      </c>
      <c r="S818" t="str">
        <f>IF($K818="","",IF($Z818=2,IF($K818&gt;PARAMETRES!$G$31,5,IF($K818&gt;PARAMETRES!$F$31,4,IF($K818&gt;PARAMETRES!$E$31,3,IF($K818&gt;PARAMETRES!$D$31,2,1)))),IF($K818&gt;PARAMETRES!$G$32,5,IF($K818&gt;PARAMETRES!$F$32,4,IF($K818&gt;PARAMETRES!$E$32,3,IF($K818&gt;PARAMETRES!$D$32,2,1))))))</f>
        <v/>
      </c>
      <c r="T818" t="str">
        <f>IF($L818="","",IF($L818&gt;PARAMETRES!$G$33,5,IF($L818&gt;PARAMETRES!$F$33,4,IF($L818&gt;PARAMETRES!$E$33,3,IF($L818&gt;PARAMETRES!$D$33,2,1)))))</f>
        <v/>
      </c>
      <c r="U818" t="str">
        <f>IF($M818="","",IF($M818&gt;PARAMETRES!$G$34,5,IF($M818&gt;PARAMETRES!$F$34,4,IF($M818&gt;PARAMETRES!$E$34,3,IF($M818&gt;PARAMETRES!$D$34,2,1)))))</f>
        <v/>
      </c>
      <c r="V818" t="str">
        <f>IF($N818="","",IF($N818&gt;PARAMETRES!$G$35,5,IF($N818&gt;PARAMETRES!$F$35,4,IF($N818&gt;PARAMETRES!$E$35,3,IF($N818&gt;PARAMETRES!$D$35,2,1)))))</f>
        <v/>
      </c>
      <c r="W818" t="str">
        <f>IF($O818="","",IF($O818&gt;PARAMETRES!$G$36,5,IF($O818&gt;PARAMETRES!$F$36,4,IF($O818&gt;PARAMETRES!$E$36,3,IF($O818&gt;PARAMETRES!$D$36,2,1)))))</f>
        <v/>
      </c>
      <c r="X818" t="str">
        <f>IF($P818="","",IF($P818&gt;PARAMETRES!$G$37,5,IF($P818&gt;PARAMETRES!$F$37,4,IF($P818&gt;PARAMETRES!$E$37,3,IF($P818&gt;PARAMETRES!$D$37,2,1)))))</f>
        <v/>
      </c>
      <c r="Y818" t="str">
        <f t="shared" si="288"/>
        <v/>
      </c>
      <c r="Z818" t="str">
        <f>IFERROR(VLOOKUP($B818,TABLE_CYCLE,2,0),"")</f>
        <v/>
      </c>
      <c r="AA818" t="str">
        <f t="shared" si="289"/>
        <v/>
      </c>
      <c r="AB818" t="str">
        <f>IF($D818="","",IF(COUNTIF($D$2:$D818,$D818)=1,$D818,""))</f>
        <v/>
      </c>
      <c r="AC818">
        <f t="shared" si="290"/>
        <v>0</v>
      </c>
      <c r="AD818" t="str">
        <f t="shared" si="291"/>
        <v>|0</v>
      </c>
      <c r="AE818" t="str">
        <f t="shared" si="292"/>
        <v/>
      </c>
      <c r="AF818" t="str">
        <f t="shared" si="293"/>
        <v/>
      </c>
      <c r="AG818" t="str">
        <f t="shared" si="294"/>
        <v/>
      </c>
      <c r="AH818" t="str">
        <f t="shared" si="295"/>
        <v/>
      </c>
      <c r="AI818" t="str">
        <f t="shared" si="296"/>
        <v/>
      </c>
      <c r="AJ818" t="str">
        <f t="shared" si="297"/>
        <v/>
      </c>
      <c r="AK818" t="str">
        <f t="shared" si="298"/>
        <v/>
      </c>
      <c r="AL818" t="str">
        <f t="shared" si="299"/>
        <v/>
      </c>
      <c r="AM818" t="str">
        <f t="shared" si="300"/>
        <v/>
      </c>
      <c r="AN818" t="str">
        <f t="shared" si="301"/>
        <v/>
      </c>
      <c r="AO818" t="str">
        <f t="shared" si="302"/>
        <v/>
      </c>
      <c r="AP818">
        <f t="shared" si="303"/>
        <v>1</v>
      </c>
      <c r="AQ818" t="str">
        <f>IF(SAISIE!$F823="","",SAISIE!$Y823)</f>
        <v/>
      </c>
      <c r="AR818" t="str">
        <f>IF(OR(SAISIE!$U$4="",SAISIE!$W$4=""),"",IF(AND($A818=SAISIE!$U$4,$B818=SAISIE!$W$4,$C818="S1"),COUNTIFS($A$2:$A818,SAISIE!$U$4,$B$2:$B818,SAISIE!$W$4,$C$2:$C818,"S1"),""))</f>
        <v/>
      </c>
      <c r="AS818" t="str">
        <f t="shared" si="304"/>
        <v/>
      </c>
      <c r="AT818" t="str">
        <f t="shared" si="305"/>
        <v/>
      </c>
      <c r="AU818" t="str">
        <f t="shared" si="306"/>
        <v/>
      </c>
      <c r="AV818">
        <f>N(AV817)+IF(AND($AB818&lt;&gt;"",OR('PROFIL ELEVE'!$K$4="(Tous)",$AF818='PROFIL ELEVE'!$K$4)),1,0)</f>
        <v>0</v>
      </c>
      <c r="AW818">
        <f>N(AW817)+IF(AND($AB818&lt;&gt;"",OR('SUIVI LONGITUDINAL'!$Q$4="(Tous)",$AF818='SUIVI LONGITUDINAL'!$Q$4)),1,0)</f>
        <v>0</v>
      </c>
      <c r="AX818">
        <f t="shared" si="307"/>
        <v>0</v>
      </c>
      <c r="AY818">
        <f t="shared" si="308"/>
        <v>0</v>
      </c>
      <c r="AZ818">
        <f t="shared" si="309"/>
        <v>0</v>
      </c>
      <c r="BA818" t="str">
        <f t="shared" si="310"/>
        <v/>
      </c>
      <c r="BB818" t="str">
        <f t="shared" si="311"/>
        <v/>
      </c>
    </row>
    <row r="819" spans="1:54" ht="14.25" customHeight="1" x14ac:dyDescent="0.3">
      <c r="A819" t="str">
        <f>IF(SAISIE!$F824="","",SAISIE!$B824)</f>
        <v/>
      </c>
      <c r="B819" t="str">
        <f>IF(SAISIE!$F824="","",SAISIE!$C824)</f>
        <v/>
      </c>
      <c r="C819" t="str">
        <f>IF(SAISIE!$F824="","",SAISIE!$D824)</f>
        <v/>
      </c>
      <c r="D819" t="str">
        <f>IF(SAISIE!$E824="","",SAISIE!$E824)</f>
        <v/>
      </c>
      <c r="E819" t="str">
        <f>IF(SAISIE!$F824="","",SAISIE!$F824)</f>
        <v/>
      </c>
      <c r="F819" t="str">
        <f>IF(SAISIE!$G824="","",SAISIE!$G824)</f>
        <v/>
      </c>
      <c r="G819" t="str">
        <f>IF(SAISIE!$H824="","",SAISIE!$H824)</f>
        <v/>
      </c>
      <c r="H819" t="str">
        <f>IF(SAISIE!$I824="","",SAISIE!$I824)</f>
        <v/>
      </c>
      <c r="I819" t="str">
        <f>IF(SAISIE!$J824="","",SAISIE!$J824)</f>
        <v/>
      </c>
      <c r="J819" t="str">
        <f>IF(SAISIE!$K824="","",SAISIE!$K824)</f>
        <v/>
      </c>
      <c r="K819" t="str">
        <f>IF(SAISIE!$L824="","",SAISIE!$L824)</f>
        <v/>
      </c>
      <c r="L819" t="str">
        <f>IF(SAISIE!$M824="","",SAISIE!$M824)</f>
        <v/>
      </c>
      <c r="M819" t="str">
        <f>IF(SAISIE!$N824="","",SAISIE!$N824)</f>
        <v/>
      </c>
      <c r="N819" t="str">
        <f>IF(SAISIE!$O824="","",SAISIE!$O824)</f>
        <v/>
      </c>
      <c r="O819" t="str">
        <f>IF(SAISIE!$P824="","",SAISIE!$P824)</f>
        <v/>
      </c>
      <c r="P819" t="str">
        <f>IF(SAISIE!$Q824="","",SAISIE!$Q824)</f>
        <v/>
      </c>
      <c r="Q819" t="str">
        <f>IF($I819="","",IF($I819&gt;PARAMETRES!$G$29,5,IF($I819&gt;PARAMETRES!$F$29,4,IF($I819&gt;PARAMETRES!$E$29,3,IF($I819&gt;PARAMETRES!$D$29,2,1)))))</f>
        <v/>
      </c>
      <c r="R819" t="str">
        <f>IF($J819="","",IF($J819&gt;PARAMETRES!$G$30,5,IF($J819&gt;PARAMETRES!$F$30,4,IF($J819&gt;PARAMETRES!$E$30,3,IF($J819&gt;PARAMETRES!$D$30,2,1)))))</f>
        <v/>
      </c>
      <c r="S819" t="str">
        <f>IF($K819="","",IF($Z819=2,IF($K819&gt;PARAMETRES!$G$31,5,IF($K819&gt;PARAMETRES!$F$31,4,IF($K819&gt;PARAMETRES!$E$31,3,IF($K819&gt;PARAMETRES!$D$31,2,1)))),IF($K819&gt;PARAMETRES!$G$32,5,IF($K819&gt;PARAMETRES!$F$32,4,IF($K819&gt;PARAMETRES!$E$32,3,IF($K819&gt;PARAMETRES!$D$32,2,1))))))</f>
        <v/>
      </c>
      <c r="T819" t="str">
        <f>IF($L819="","",IF($L819&gt;PARAMETRES!$G$33,5,IF($L819&gt;PARAMETRES!$F$33,4,IF($L819&gt;PARAMETRES!$E$33,3,IF($L819&gt;PARAMETRES!$D$33,2,1)))))</f>
        <v/>
      </c>
      <c r="U819" t="str">
        <f>IF($M819="","",IF($M819&gt;PARAMETRES!$G$34,5,IF($M819&gt;PARAMETRES!$F$34,4,IF($M819&gt;PARAMETRES!$E$34,3,IF($M819&gt;PARAMETRES!$D$34,2,1)))))</f>
        <v/>
      </c>
      <c r="V819" t="str">
        <f>IF($N819="","",IF($N819&gt;PARAMETRES!$G$35,5,IF($N819&gt;PARAMETRES!$F$35,4,IF($N819&gt;PARAMETRES!$E$35,3,IF($N819&gt;PARAMETRES!$D$35,2,1)))))</f>
        <v/>
      </c>
      <c r="W819" t="str">
        <f>IF($O819="","",IF($O819&gt;PARAMETRES!$G$36,5,IF($O819&gt;PARAMETRES!$F$36,4,IF($O819&gt;PARAMETRES!$E$36,3,IF($O819&gt;PARAMETRES!$D$36,2,1)))))</f>
        <v/>
      </c>
      <c r="X819" t="str">
        <f>IF($P819="","",IF($P819&gt;PARAMETRES!$G$37,5,IF($P819&gt;PARAMETRES!$F$37,4,IF($P819&gt;PARAMETRES!$E$37,3,IF($P819&gt;PARAMETRES!$D$37,2,1)))))</f>
        <v/>
      </c>
      <c r="Y819" t="str">
        <f t="shared" si="288"/>
        <v/>
      </c>
      <c r="Z819" t="str">
        <f>IFERROR(VLOOKUP($B819,TABLE_CYCLE,2,0),"")</f>
        <v/>
      </c>
      <c r="AA819" t="str">
        <f t="shared" si="289"/>
        <v/>
      </c>
      <c r="AB819" t="str">
        <f>IF($D819="","",IF(COUNTIF($D$2:$D819,$D819)=1,$D819,""))</f>
        <v/>
      </c>
      <c r="AC819">
        <f t="shared" si="290"/>
        <v>0</v>
      </c>
      <c r="AD819" t="str">
        <f t="shared" si="291"/>
        <v>|0</v>
      </c>
      <c r="AE819" t="str">
        <f t="shared" si="292"/>
        <v/>
      </c>
      <c r="AF819" t="str">
        <f t="shared" si="293"/>
        <v/>
      </c>
      <c r="AG819" t="str">
        <f t="shared" si="294"/>
        <v/>
      </c>
      <c r="AH819" t="str">
        <f t="shared" si="295"/>
        <v/>
      </c>
      <c r="AI819" t="str">
        <f t="shared" si="296"/>
        <v/>
      </c>
      <c r="AJ819" t="str">
        <f t="shared" si="297"/>
        <v/>
      </c>
      <c r="AK819" t="str">
        <f t="shared" si="298"/>
        <v/>
      </c>
      <c r="AL819" t="str">
        <f t="shared" si="299"/>
        <v/>
      </c>
      <c r="AM819" t="str">
        <f t="shared" si="300"/>
        <v/>
      </c>
      <c r="AN819" t="str">
        <f t="shared" si="301"/>
        <v/>
      </c>
      <c r="AO819" t="str">
        <f t="shared" si="302"/>
        <v/>
      </c>
      <c r="AP819">
        <f t="shared" si="303"/>
        <v>1</v>
      </c>
      <c r="AQ819" t="str">
        <f>IF(SAISIE!$F824="","",SAISIE!$Y824)</f>
        <v/>
      </c>
      <c r="AR819" t="str">
        <f>IF(OR(SAISIE!$U$4="",SAISIE!$W$4=""),"",IF(AND($A819=SAISIE!$U$4,$B819=SAISIE!$W$4,$C819="S1"),COUNTIFS($A$2:$A819,SAISIE!$U$4,$B$2:$B819,SAISIE!$W$4,$C$2:$C819,"S1"),""))</f>
        <v/>
      </c>
      <c r="AS819" t="str">
        <f t="shared" si="304"/>
        <v/>
      </c>
      <c r="AT819" t="str">
        <f t="shared" si="305"/>
        <v/>
      </c>
      <c r="AU819" t="str">
        <f t="shared" si="306"/>
        <v/>
      </c>
      <c r="AV819">
        <f>N(AV818)+IF(AND($AB819&lt;&gt;"",OR('PROFIL ELEVE'!$K$4="(Tous)",$AF819='PROFIL ELEVE'!$K$4)),1,0)</f>
        <v>0</v>
      </c>
      <c r="AW819">
        <f>N(AW818)+IF(AND($AB819&lt;&gt;"",OR('SUIVI LONGITUDINAL'!$Q$4="(Tous)",$AF819='SUIVI LONGITUDINAL'!$Q$4)),1,0)</f>
        <v>0</v>
      </c>
      <c r="AX819">
        <f t="shared" si="307"/>
        <v>0</v>
      </c>
      <c r="AY819">
        <f t="shared" si="308"/>
        <v>0</v>
      </c>
      <c r="AZ819">
        <f t="shared" si="309"/>
        <v>0</v>
      </c>
      <c r="BA819" t="str">
        <f t="shared" si="310"/>
        <v/>
      </c>
      <c r="BB819" t="str">
        <f t="shared" si="311"/>
        <v/>
      </c>
    </row>
    <row r="820" spans="1:54" ht="14.25" customHeight="1" x14ac:dyDescent="0.3">
      <c r="A820" t="str">
        <f>IF(SAISIE!$F825="","",SAISIE!$B825)</f>
        <v/>
      </c>
      <c r="B820" t="str">
        <f>IF(SAISIE!$F825="","",SAISIE!$C825)</f>
        <v/>
      </c>
      <c r="C820" t="str">
        <f>IF(SAISIE!$F825="","",SAISIE!$D825)</f>
        <v/>
      </c>
      <c r="D820" t="str">
        <f>IF(SAISIE!$E825="","",SAISIE!$E825)</f>
        <v/>
      </c>
      <c r="E820" t="str">
        <f>IF(SAISIE!$F825="","",SAISIE!$F825)</f>
        <v/>
      </c>
      <c r="F820" t="str">
        <f>IF(SAISIE!$G825="","",SAISIE!$G825)</f>
        <v/>
      </c>
      <c r="G820" t="str">
        <f>IF(SAISIE!$H825="","",SAISIE!$H825)</f>
        <v/>
      </c>
      <c r="H820" t="str">
        <f>IF(SAISIE!$I825="","",SAISIE!$I825)</f>
        <v/>
      </c>
      <c r="I820" t="str">
        <f>IF(SAISIE!$J825="","",SAISIE!$J825)</f>
        <v/>
      </c>
      <c r="J820" t="str">
        <f>IF(SAISIE!$K825="","",SAISIE!$K825)</f>
        <v/>
      </c>
      <c r="K820" t="str">
        <f>IF(SAISIE!$L825="","",SAISIE!$L825)</f>
        <v/>
      </c>
      <c r="L820" t="str">
        <f>IF(SAISIE!$M825="","",SAISIE!$M825)</f>
        <v/>
      </c>
      <c r="M820" t="str">
        <f>IF(SAISIE!$N825="","",SAISIE!$N825)</f>
        <v/>
      </c>
      <c r="N820" t="str">
        <f>IF(SAISIE!$O825="","",SAISIE!$O825)</f>
        <v/>
      </c>
      <c r="O820" t="str">
        <f>IF(SAISIE!$P825="","",SAISIE!$P825)</f>
        <v/>
      </c>
      <c r="P820" t="str">
        <f>IF(SAISIE!$Q825="","",SAISIE!$Q825)</f>
        <v/>
      </c>
      <c r="Q820" t="str">
        <f>IF($I820="","",IF($I820&gt;PARAMETRES!$G$29,5,IF($I820&gt;PARAMETRES!$F$29,4,IF($I820&gt;PARAMETRES!$E$29,3,IF($I820&gt;PARAMETRES!$D$29,2,1)))))</f>
        <v/>
      </c>
      <c r="R820" t="str">
        <f>IF($J820="","",IF($J820&gt;PARAMETRES!$G$30,5,IF($J820&gt;PARAMETRES!$F$30,4,IF($J820&gt;PARAMETRES!$E$30,3,IF($J820&gt;PARAMETRES!$D$30,2,1)))))</f>
        <v/>
      </c>
      <c r="S820" t="str">
        <f>IF($K820="","",IF($Z820=2,IF($K820&gt;PARAMETRES!$G$31,5,IF($K820&gt;PARAMETRES!$F$31,4,IF($K820&gt;PARAMETRES!$E$31,3,IF($K820&gt;PARAMETRES!$D$31,2,1)))),IF($K820&gt;PARAMETRES!$G$32,5,IF($K820&gt;PARAMETRES!$F$32,4,IF($K820&gt;PARAMETRES!$E$32,3,IF($K820&gt;PARAMETRES!$D$32,2,1))))))</f>
        <v/>
      </c>
      <c r="T820" t="str">
        <f>IF($L820="","",IF($L820&gt;PARAMETRES!$G$33,5,IF($L820&gt;PARAMETRES!$F$33,4,IF($L820&gt;PARAMETRES!$E$33,3,IF($L820&gt;PARAMETRES!$D$33,2,1)))))</f>
        <v/>
      </c>
      <c r="U820" t="str">
        <f>IF($M820="","",IF($M820&gt;PARAMETRES!$G$34,5,IF($M820&gt;PARAMETRES!$F$34,4,IF($M820&gt;PARAMETRES!$E$34,3,IF($M820&gt;PARAMETRES!$D$34,2,1)))))</f>
        <v/>
      </c>
      <c r="V820" t="str">
        <f>IF($N820="","",IF($N820&gt;PARAMETRES!$G$35,5,IF($N820&gt;PARAMETRES!$F$35,4,IF($N820&gt;PARAMETRES!$E$35,3,IF($N820&gt;PARAMETRES!$D$35,2,1)))))</f>
        <v/>
      </c>
      <c r="W820" t="str">
        <f>IF($O820="","",IF($O820&gt;PARAMETRES!$G$36,5,IF($O820&gt;PARAMETRES!$F$36,4,IF($O820&gt;PARAMETRES!$E$36,3,IF($O820&gt;PARAMETRES!$D$36,2,1)))))</f>
        <v/>
      </c>
      <c r="X820" t="str">
        <f>IF($P820="","",IF($P820&gt;PARAMETRES!$G$37,5,IF($P820&gt;PARAMETRES!$F$37,4,IF($P820&gt;PARAMETRES!$E$37,3,IF($P820&gt;PARAMETRES!$D$37,2,1)))))</f>
        <v/>
      </c>
      <c r="Y820" t="str">
        <f t="shared" si="288"/>
        <v/>
      </c>
      <c r="Z820" t="str">
        <f>IFERROR(VLOOKUP($B820,TABLE_CYCLE,2,0),"")</f>
        <v/>
      </c>
      <c r="AA820" t="str">
        <f t="shared" si="289"/>
        <v/>
      </c>
      <c r="AB820" t="str">
        <f>IF($D820="","",IF(COUNTIF($D$2:$D820,$D820)=1,$D820,""))</f>
        <v/>
      </c>
      <c r="AC820">
        <f t="shared" si="290"/>
        <v>0</v>
      </c>
      <c r="AD820" t="str">
        <f t="shared" si="291"/>
        <v>|0</v>
      </c>
      <c r="AE820" t="str">
        <f t="shared" si="292"/>
        <v/>
      </c>
      <c r="AF820" t="str">
        <f t="shared" si="293"/>
        <v/>
      </c>
      <c r="AG820" t="str">
        <f t="shared" si="294"/>
        <v/>
      </c>
      <c r="AH820" t="str">
        <f t="shared" si="295"/>
        <v/>
      </c>
      <c r="AI820" t="str">
        <f t="shared" si="296"/>
        <v/>
      </c>
      <c r="AJ820" t="str">
        <f t="shared" si="297"/>
        <v/>
      </c>
      <c r="AK820" t="str">
        <f t="shared" si="298"/>
        <v/>
      </c>
      <c r="AL820" t="str">
        <f t="shared" si="299"/>
        <v/>
      </c>
      <c r="AM820" t="str">
        <f t="shared" si="300"/>
        <v/>
      </c>
      <c r="AN820" t="str">
        <f t="shared" si="301"/>
        <v/>
      </c>
      <c r="AO820" t="str">
        <f t="shared" si="302"/>
        <v/>
      </c>
      <c r="AP820">
        <f t="shared" si="303"/>
        <v>1</v>
      </c>
      <c r="AQ820" t="str">
        <f>IF(SAISIE!$F825="","",SAISIE!$Y825)</f>
        <v/>
      </c>
      <c r="AR820" t="str">
        <f>IF(OR(SAISIE!$U$4="",SAISIE!$W$4=""),"",IF(AND($A820=SAISIE!$U$4,$B820=SAISIE!$W$4,$C820="S1"),COUNTIFS($A$2:$A820,SAISIE!$U$4,$B$2:$B820,SAISIE!$W$4,$C$2:$C820,"S1"),""))</f>
        <v/>
      </c>
      <c r="AS820" t="str">
        <f t="shared" si="304"/>
        <v/>
      </c>
      <c r="AT820" t="str">
        <f t="shared" si="305"/>
        <v/>
      </c>
      <c r="AU820" t="str">
        <f t="shared" si="306"/>
        <v/>
      </c>
      <c r="AV820">
        <f>N(AV819)+IF(AND($AB820&lt;&gt;"",OR('PROFIL ELEVE'!$K$4="(Tous)",$AF820='PROFIL ELEVE'!$K$4)),1,0)</f>
        <v>0</v>
      </c>
      <c r="AW820">
        <f>N(AW819)+IF(AND($AB820&lt;&gt;"",OR('SUIVI LONGITUDINAL'!$Q$4="(Tous)",$AF820='SUIVI LONGITUDINAL'!$Q$4)),1,0)</f>
        <v>0</v>
      </c>
      <c r="AX820">
        <f t="shared" si="307"/>
        <v>0</v>
      </c>
      <c r="AY820">
        <f t="shared" si="308"/>
        <v>0</v>
      </c>
      <c r="AZ820">
        <f t="shared" si="309"/>
        <v>0</v>
      </c>
      <c r="BA820" t="str">
        <f t="shared" si="310"/>
        <v/>
      </c>
      <c r="BB820" t="str">
        <f t="shared" si="311"/>
        <v/>
      </c>
    </row>
    <row r="821" spans="1:54" ht="14.25" customHeight="1" x14ac:dyDescent="0.3">
      <c r="A821" t="str">
        <f>IF(SAISIE!$F826="","",SAISIE!$B826)</f>
        <v/>
      </c>
      <c r="B821" t="str">
        <f>IF(SAISIE!$F826="","",SAISIE!$C826)</f>
        <v/>
      </c>
      <c r="C821" t="str">
        <f>IF(SAISIE!$F826="","",SAISIE!$D826)</f>
        <v/>
      </c>
      <c r="D821" t="str">
        <f>IF(SAISIE!$E826="","",SAISIE!$E826)</f>
        <v/>
      </c>
      <c r="E821" t="str">
        <f>IF(SAISIE!$F826="","",SAISIE!$F826)</f>
        <v/>
      </c>
      <c r="F821" t="str">
        <f>IF(SAISIE!$G826="","",SAISIE!$G826)</f>
        <v/>
      </c>
      <c r="G821" t="str">
        <f>IF(SAISIE!$H826="","",SAISIE!$H826)</f>
        <v/>
      </c>
      <c r="H821" t="str">
        <f>IF(SAISIE!$I826="","",SAISIE!$I826)</f>
        <v/>
      </c>
      <c r="I821" t="str">
        <f>IF(SAISIE!$J826="","",SAISIE!$J826)</f>
        <v/>
      </c>
      <c r="J821" t="str">
        <f>IF(SAISIE!$K826="","",SAISIE!$K826)</f>
        <v/>
      </c>
      <c r="K821" t="str">
        <f>IF(SAISIE!$L826="","",SAISIE!$L826)</f>
        <v/>
      </c>
      <c r="L821" t="str">
        <f>IF(SAISIE!$M826="","",SAISIE!$M826)</f>
        <v/>
      </c>
      <c r="M821" t="str">
        <f>IF(SAISIE!$N826="","",SAISIE!$N826)</f>
        <v/>
      </c>
      <c r="N821" t="str">
        <f>IF(SAISIE!$O826="","",SAISIE!$O826)</f>
        <v/>
      </c>
      <c r="O821" t="str">
        <f>IF(SAISIE!$P826="","",SAISIE!$P826)</f>
        <v/>
      </c>
      <c r="P821" t="str">
        <f>IF(SAISIE!$Q826="","",SAISIE!$Q826)</f>
        <v/>
      </c>
      <c r="Q821" t="str">
        <f>IF($I821="","",IF($I821&gt;PARAMETRES!$G$29,5,IF($I821&gt;PARAMETRES!$F$29,4,IF($I821&gt;PARAMETRES!$E$29,3,IF($I821&gt;PARAMETRES!$D$29,2,1)))))</f>
        <v/>
      </c>
      <c r="R821" t="str">
        <f>IF($J821="","",IF($J821&gt;PARAMETRES!$G$30,5,IF($J821&gt;PARAMETRES!$F$30,4,IF($J821&gt;PARAMETRES!$E$30,3,IF($J821&gt;PARAMETRES!$D$30,2,1)))))</f>
        <v/>
      </c>
      <c r="S821" t="str">
        <f>IF($K821="","",IF($Z821=2,IF($K821&gt;PARAMETRES!$G$31,5,IF($K821&gt;PARAMETRES!$F$31,4,IF($K821&gt;PARAMETRES!$E$31,3,IF($K821&gt;PARAMETRES!$D$31,2,1)))),IF($K821&gt;PARAMETRES!$G$32,5,IF($K821&gt;PARAMETRES!$F$32,4,IF($K821&gt;PARAMETRES!$E$32,3,IF($K821&gt;PARAMETRES!$D$32,2,1))))))</f>
        <v/>
      </c>
      <c r="T821" t="str">
        <f>IF($L821="","",IF($L821&gt;PARAMETRES!$G$33,5,IF($L821&gt;PARAMETRES!$F$33,4,IF($L821&gt;PARAMETRES!$E$33,3,IF($L821&gt;PARAMETRES!$D$33,2,1)))))</f>
        <v/>
      </c>
      <c r="U821" t="str">
        <f>IF($M821="","",IF($M821&gt;PARAMETRES!$G$34,5,IF($M821&gt;PARAMETRES!$F$34,4,IF($M821&gt;PARAMETRES!$E$34,3,IF($M821&gt;PARAMETRES!$D$34,2,1)))))</f>
        <v/>
      </c>
      <c r="V821" t="str">
        <f>IF($N821="","",IF($N821&gt;PARAMETRES!$G$35,5,IF($N821&gt;PARAMETRES!$F$35,4,IF($N821&gt;PARAMETRES!$E$35,3,IF($N821&gt;PARAMETRES!$D$35,2,1)))))</f>
        <v/>
      </c>
      <c r="W821" t="str">
        <f>IF($O821="","",IF($O821&gt;PARAMETRES!$G$36,5,IF($O821&gt;PARAMETRES!$F$36,4,IF($O821&gt;PARAMETRES!$E$36,3,IF($O821&gt;PARAMETRES!$D$36,2,1)))))</f>
        <v/>
      </c>
      <c r="X821" t="str">
        <f>IF($P821="","",IF($P821&gt;PARAMETRES!$G$37,5,IF($P821&gt;PARAMETRES!$F$37,4,IF($P821&gt;PARAMETRES!$E$37,3,IF($P821&gt;PARAMETRES!$D$37,2,1)))))</f>
        <v/>
      </c>
      <c r="Y821" t="str">
        <f t="shared" si="288"/>
        <v/>
      </c>
      <c r="Z821" t="str">
        <f>IFERROR(VLOOKUP($B821,TABLE_CYCLE,2,0),"")</f>
        <v/>
      </c>
      <c r="AA821" t="str">
        <f t="shared" si="289"/>
        <v/>
      </c>
      <c r="AB821" t="str">
        <f>IF($D821="","",IF(COUNTIF($D$2:$D821,$D821)=1,$D821,""))</f>
        <v/>
      </c>
      <c r="AC821">
        <f t="shared" si="290"/>
        <v>0</v>
      </c>
      <c r="AD821" t="str">
        <f t="shared" si="291"/>
        <v>|0</v>
      </c>
      <c r="AE821" t="str">
        <f t="shared" si="292"/>
        <v/>
      </c>
      <c r="AF821" t="str">
        <f t="shared" si="293"/>
        <v/>
      </c>
      <c r="AG821" t="str">
        <f t="shared" si="294"/>
        <v/>
      </c>
      <c r="AH821" t="str">
        <f t="shared" si="295"/>
        <v/>
      </c>
      <c r="AI821" t="str">
        <f t="shared" si="296"/>
        <v/>
      </c>
      <c r="AJ821" t="str">
        <f t="shared" si="297"/>
        <v/>
      </c>
      <c r="AK821" t="str">
        <f t="shared" si="298"/>
        <v/>
      </c>
      <c r="AL821" t="str">
        <f t="shared" si="299"/>
        <v/>
      </c>
      <c r="AM821" t="str">
        <f t="shared" si="300"/>
        <v/>
      </c>
      <c r="AN821" t="str">
        <f t="shared" si="301"/>
        <v/>
      </c>
      <c r="AO821" t="str">
        <f t="shared" si="302"/>
        <v/>
      </c>
      <c r="AP821">
        <f t="shared" si="303"/>
        <v>1</v>
      </c>
      <c r="AQ821" t="str">
        <f>IF(SAISIE!$F826="","",SAISIE!$Y826)</f>
        <v/>
      </c>
      <c r="AR821" t="str">
        <f>IF(OR(SAISIE!$U$4="",SAISIE!$W$4=""),"",IF(AND($A821=SAISIE!$U$4,$B821=SAISIE!$W$4,$C821="S1"),COUNTIFS($A$2:$A821,SAISIE!$U$4,$B$2:$B821,SAISIE!$W$4,$C$2:$C821,"S1"),""))</f>
        <v/>
      </c>
      <c r="AS821" t="str">
        <f t="shared" si="304"/>
        <v/>
      </c>
      <c r="AT821" t="str">
        <f t="shared" si="305"/>
        <v/>
      </c>
      <c r="AU821" t="str">
        <f t="shared" si="306"/>
        <v/>
      </c>
      <c r="AV821">
        <f>N(AV820)+IF(AND($AB821&lt;&gt;"",OR('PROFIL ELEVE'!$K$4="(Tous)",$AF821='PROFIL ELEVE'!$K$4)),1,0)</f>
        <v>0</v>
      </c>
      <c r="AW821">
        <f>N(AW820)+IF(AND($AB821&lt;&gt;"",OR('SUIVI LONGITUDINAL'!$Q$4="(Tous)",$AF821='SUIVI LONGITUDINAL'!$Q$4)),1,0)</f>
        <v>0</v>
      </c>
      <c r="AX821">
        <f t="shared" si="307"/>
        <v>0</v>
      </c>
      <c r="AY821">
        <f t="shared" si="308"/>
        <v>0</v>
      </c>
      <c r="AZ821">
        <f t="shared" si="309"/>
        <v>0</v>
      </c>
      <c r="BA821" t="str">
        <f t="shared" si="310"/>
        <v/>
      </c>
      <c r="BB821" t="str">
        <f t="shared" si="311"/>
        <v/>
      </c>
    </row>
    <row r="822" spans="1:54" ht="14.25" customHeight="1" x14ac:dyDescent="0.3">
      <c r="A822" t="str">
        <f>IF(SAISIE!$F827="","",SAISIE!$B827)</f>
        <v/>
      </c>
      <c r="B822" t="str">
        <f>IF(SAISIE!$F827="","",SAISIE!$C827)</f>
        <v/>
      </c>
      <c r="C822" t="str">
        <f>IF(SAISIE!$F827="","",SAISIE!$D827)</f>
        <v/>
      </c>
      <c r="D822" t="str">
        <f>IF(SAISIE!$E827="","",SAISIE!$E827)</f>
        <v/>
      </c>
      <c r="E822" t="str">
        <f>IF(SAISIE!$F827="","",SAISIE!$F827)</f>
        <v/>
      </c>
      <c r="F822" t="str">
        <f>IF(SAISIE!$G827="","",SAISIE!$G827)</f>
        <v/>
      </c>
      <c r="G822" t="str">
        <f>IF(SAISIE!$H827="","",SAISIE!$H827)</f>
        <v/>
      </c>
      <c r="H822" t="str">
        <f>IF(SAISIE!$I827="","",SAISIE!$I827)</f>
        <v/>
      </c>
      <c r="I822" t="str">
        <f>IF(SAISIE!$J827="","",SAISIE!$J827)</f>
        <v/>
      </c>
      <c r="J822" t="str">
        <f>IF(SAISIE!$K827="","",SAISIE!$K827)</f>
        <v/>
      </c>
      <c r="K822" t="str">
        <f>IF(SAISIE!$L827="","",SAISIE!$L827)</f>
        <v/>
      </c>
      <c r="L822" t="str">
        <f>IF(SAISIE!$M827="","",SAISIE!$M827)</f>
        <v/>
      </c>
      <c r="M822" t="str">
        <f>IF(SAISIE!$N827="","",SAISIE!$N827)</f>
        <v/>
      </c>
      <c r="N822" t="str">
        <f>IF(SAISIE!$O827="","",SAISIE!$O827)</f>
        <v/>
      </c>
      <c r="O822" t="str">
        <f>IF(SAISIE!$P827="","",SAISIE!$P827)</f>
        <v/>
      </c>
      <c r="P822" t="str">
        <f>IF(SAISIE!$Q827="","",SAISIE!$Q827)</f>
        <v/>
      </c>
      <c r="Q822" t="str">
        <f>IF($I822="","",IF($I822&gt;PARAMETRES!$G$29,5,IF($I822&gt;PARAMETRES!$F$29,4,IF($I822&gt;PARAMETRES!$E$29,3,IF($I822&gt;PARAMETRES!$D$29,2,1)))))</f>
        <v/>
      </c>
      <c r="R822" t="str">
        <f>IF($J822="","",IF($J822&gt;PARAMETRES!$G$30,5,IF($J822&gt;PARAMETRES!$F$30,4,IF($J822&gt;PARAMETRES!$E$30,3,IF($J822&gt;PARAMETRES!$D$30,2,1)))))</f>
        <v/>
      </c>
      <c r="S822" t="str">
        <f>IF($K822="","",IF($Z822=2,IF($K822&gt;PARAMETRES!$G$31,5,IF($K822&gt;PARAMETRES!$F$31,4,IF($K822&gt;PARAMETRES!$E$31,3,IF($K822&gt;PARAMETRES!$D$31,2,1)))),IF($K822&gt;PARAMETRES!$G$32,5,IF($K822&gt;PARAMETRES!$F$32,4,IF($K822&gt;PARAMETRES!$E$32,3,IF($K822&gt;PARAMETRES!$D$32,2,1))))))</f>
        <v/>
      </c>
      <c r="T822" t="str">
        <f>IF($L822="","",IF($L822&gt;PARAMETRES!$G$33,5,IF($L822&gt;PARAMETRES!$F$33,4,IF($L822&gt;PARAMETRES!$E$33,3,IF($L822&gt;PARAMETRES!$D$33,2,1)))))</f>
        <v/>
      </c>
      <c r="U822" t="str">
        <f>IF($M822="","",IF($M822&gt;PARAMETRES!$G$34,5,IF($M822&gt;PARAMETRES!$F$34,4,IF($M822&gt;PARAMETRES!$E$34,3,IF($M822&gt;PARAMETRES!$D$34,2,1)))))</f>
        <v/>
      </c>
      <c r="V822" t="str">
        <f>IF($N822="","",IF($N822&gt;PARAMETRES!$G$35,5,IF($N822&gt;PARAMETRES!$F$35,4,IF($N822&gt;PARAMETRES!$E$35,3,IF($N822&gt;PARAMETRES!$D$35,2,1)))))</f>
        <v/>
      </c>
      <c r="W822" t="str">
        <f>IF($O822="","",IF($O822&gt;PARAMETRES!$G$36,5,IF($O822&gt;PARAMETRES!$F$36,4,IF($O822&gt;PARAMETRES!$E$36,3,IF($O822&gt;PARAMETRES!$D$36,2,1)))))</f>
        <v/>
      </c>
      <c r="X822" t="str">
        <f>IF($P822="","",IF($P822&gt;PARAMETRES!$G$37,5,IF($P822&gt;PARAMETRES!$F$37,4,IF($P822&gt;PARAMETRES!$E$37,3,IF($P822&gt;PARAMETRES!$D$37,2,1)))))</f>
        <v/>
      </c>
      <c r="Y822" t="str">
        <f t="shared" si="288"/>
        <v/>
      </c>
      <c r="Z822" t="str">
        <f>IFERROR(VLOOKUP($B822,TABLE_CYCLE,2,0),"")</f>
        <v/>
      </c>
      <c r="AA822" t="str">
        <f t="shared" si="289"/>
        <v/>
      </c>
      <c r="AB822" t="str">
        <f>IF($D822="","",IF(COUNTIF($D$2:$D822,$D822)=1,$D822,""))</f>
        <v/>
      </c>
      <c r="AC822">
        <f t="shared" si="290"/>
        <v>0</v>
      </c>
      <c r="AD822" t="str">
        <f t="shared" si="291"/>
        <v>|0</v>
      </c>
      <c r="AE822" t="str">
        <f t="shared" si="292"/>
        <v/>
      </c>
      <c r="AF822" t="str">
        <f t="shared" si="293"/>
        <v/>
      </c>
      <c r="AG822" t="str">
        <f t="shared" si="294"/>
        <v/>
      </c>
      <c r="AH822" t="str">
        <f t="shared" si="295"/>
        <v/>
      </c>
      <c r="AI822" t="str">
        <f t="shared" si="296"/>
        <v/>
      </c>
      <c r="AJ822" t="str">
        <f t="shared" si="297"/>
        <v/>
      </c>
      <c r="AK822" t="str">
        <f t="shared" si="298"/>
        <v/>
      </c>
      <c r="AL822" t="str">
        <f t="shared" si="299"/>
        <v/>
      </c>
      <c r="AM822" t="str">
        <f t="shared" si="300"/>
        <v/>
      </c>
      <c r="AN822" t="str">
        <f t="shared" si="301"/>
        <v/>
      </c>
      <c r="AO822" t="str">
        <f t="shared" si="302"/>
        <v/>
      </c>
      <c r="AP822">
        <f t="shared" si="303"/>
        <v>1</v>
      </c>
      <c r="AQ822" t="str">
        <f>IF(SAISIE!$F827="","",SAISIE!$Y827)</f>
        <v/>
      </c>
      <c r="AR822" t="str">
        <f>IF(OR(SAISIE!$U$4="",SAISIE!$W$4=""),"",IF(AND($A822=SAISIE!$U$4,$B822=SAISIE!$W$4,$C822="S1"),COUNTIFS($A$2:$A822,SAISIE!$U$4,$B$2:$B822,SAISIE!$W$4,$C$2:$C822,"S1"),""))</f>
        <v/>
      </c>
      <c r="AS822" t="str">
        <f t="shared" si="304"/>
        <v/>
      </c>
      <c r="AT822" t="str">
        <f t="shared" si="305"/>
        <v/>
      </c>
      <c r="AU822" t="str">
        <f t="shared" si="306"/>
        <v/>
      </c>
      <c r="AV822">
        <f>N(AV821)+IF(AND($AB822&lt;&gt;"",OR('PROFIL ELEVE'!$K$4="(Tous)",$AF822='PROFIL ELEVE'!$K$4)),1,0)</f>
        <v>0</v>
      </c>
      <c r="AW822">
        <f>N(AW821)+IF(AND($AB822&lt;&gt;"",OR('SUIVI LONGITUDINAL'!$Q$4="(Tous)",$AF822='SUIVI LONGITUDINAL'!$Q$4)),1,0)</f>
        <v>0</v>
      </c>
      <c r="AX822">
        <f t="shared" si="307"/>
        <v>0</v>
      </c>
      <c r="AY822">
        <f t="shared" si="308"/>
        <v>0</v>
      </c>
      <c r="AZ822">
        <f t="shared" si="309"/>
        <v>0</v>
      </c>
      <c r="BA822" t="str">
        <f t="shared" si="310"/>
        <v/>
      </c>
      <c r="BB822" t="str">
        <f t="shared" si="311"/>
        <v/>
      </c>
    </row>
    <row r="823" spans="1:54" ht="14.25" customHeight="1" x14ac:dyDescent="0.3">
      <c r="A823" t="str">
        <f>IF(SAISIE!$F828="","",SAISIE!$B828)</f>
        <v/>
      </c>
      <c r="B823" t="str">
        <f>IF(SAISIE!$F828="","",SAISIE!$C828)</f>
        <v/>
      </c>
      <c r="C823" t="str">
        <f>IF(SAISIE!$F828="","",SAISIE!$D828)</f>
        <v/>
      </c>
      <c r="D823" t="str">
        <f>IF(SAISIE!$E828="","",SAISIE!$E828)</f>
        <v/>
      </c>
      <c r="E823" t="str">
        <f>IF(SAISIE!$F828="","",SAISIE!$F828)</f>
        <v/>
      </c>
      <c r="F823" t="str">
        <f>IF(SAISIE!$G828="","",SAISIE!$G828)</f>
        <v/>
      </c>
      <c r="G823" t="str">
        <f>IF(SAISIE!$H828="","",SAISIE!$H828)</f>
        <v/>
      </c>
      <c r="H823" t="str">
        <f>IF(SAISIE!$I828="","",SAISIE!$I828)</f>
        <v/>
      </c>
      <c r="I823" t="str">
        <f>IF(SAISIE!$J828="","",SAISIE!$J828)</f>
        <v/>
      </c>
      <c r="J823" t="str">
        <f>IF(SAISIE!$K828="","",SAISIE!$K828)</f>
        <v/>
      </c>
      <c r="K823" t="str">
        <f>IF(SAISIE!$L828="","",SAISIE!$L828)</f>
        <v/>
      </c>
      <c r="L823" t="str">
        <f>IF(SAISIE!$M828="","",SAISIE!$M828)</f>
        <v/>
      </c>
      <c r="M823" t="str">
        <f>IF(SAISIE!$N828="","",SAISIE!$N828)</f>
        <v/>
      </c>
      <c r="N823" t="str">
        <f>IF(SAISIE!$O828="","",SAISIE!$O828)</f>
        <v/>
      </c>
      <c r="O823" t="str">
        <f>IF(SAISIE!$P828="","",SAISIE!$P828)</f>
        <v/>
      </c>
      <c r="P823" t="str">
        <f>IF(SAISIE!$Q828="","",SAISIE!$Q828)</f>
        <v/>
      </c>
      <c r="Q823" t="str">
        <f>IF($I823="","",IF($I823&gt;PARAMETRES!$G$29,5,IF($I823&gt;PARAMETRES!$F$29,4,IF($I823&gt;PARAMETRES!$E$29,3,IF($I823&gt;PARAMETRES!$D$29,2,1)))))</f>
        <v/>
      </c>
      <c r="R823" t="str">
        <f>IF($J823="","",IF($J823&gt;PARAMETRES!$G$30,5,IF($J823&gt;PARAMETRES!$F$30,4,IF($J823&gt;PARAMETRES!$E$30,3,IF($J823&gt;PARAMETRES!$D$30,2,1)))))</f>
        <v/>
      </c>
      <c r="S823" t="str">
        <f>IF($K823="","",IF($Z823=2,IF($K823&gt;PARAMETRES!$G$31,5,IF($K823&gt;PARAMETRES!$F$31,4,IF($K823&gt;PARAMETRES!$E$31,3,IF($K823&gt;PARAMETRES!$D$31,2,1)))),IF($K823&gt;PARAMETRES!$G$32,5,IF($K823&gt;PARAMETRES!$F$32,4,IF($K823&gt;PARAMETRES!$E$32,3,IF($K823&gt;PARAMETRES!$D$32,2,1))))))</f>
        <v/>
      </c>
      <c r="T823" t="str">
        <f>IF($L823="","",IF($L823&gt;PARAMETRES!$G$33,5,IF($L823&gt;PARAMETRES!$F$33,4,IF($L823&gt;PARAMETRES!$E$33,3,IF($L823&gt;PARAMETRES!$D$33,2,1)))))</f>
        <v/>
      </c>
      <c r="U823" t="str">
        <f>IF($M823="","",IF($M823&gt;PARAMETRES!$G$34,5,IF($M823&gt;PARAMETRES!$F$34,4,IF($M823&gt;PARAMETRES!$E$34,3,IF($M823&gt;PARAMETRES!$D$34,2,1)))))</f>
        <v/>
      </c>
      <c r="V823" t="str">
        <f>IF($N823="","",IF($N823&gt;PARAMETRES!$G$35,5,IF($N823&gt;PARAMETRES!$F$35,4,IF($N823&gt;PARAMETRES!$E$35,3,IF($N823&gt;PARAMETRES!$D$35,2,1)))))</f>
        <v/>
      </c>
      <c r="W823" t="str">
        <f>IF($O823="","",IF($O823&gt;PARAMETRES!$G$36,5,IF($O823&gt;PARAMETRES!$F$36,4,IF($O823&gt;PARAMETRES!$E$36,3,IF($O823&gt;PARAMETRES!$D$36,2,1)))))</f>
        <v/>
      </c>
      <c r="X823" t="str">
        <f>IF($P823="","",IF($P823&gt;PARAMETRES!$G$37,5,IF($P823&gt;PARAMETRES!$F$37,4,IF($P823&gt;PARAMETRES!$E$37,3,IF($P823&gt;PARAMETRES!$D$37,2,1)))))</f>
        <v/>
      </c>
      <c r="Y823" t="str">
        <f t="shared" si="288"/>
        <v/>
      </c>
      <c r="Z823" t="str">
        <f>IFERROR(VLOOKUP($B823,TABLE_CYCLE,2,0),"")</f>
        <v/>
      </c>
      <c r="AA823" t="str">
        <f t="shared" si="289"/>
        <v/>
      </c>
      <c r="AB823" t="str">
        <f>IF($D823="","",IF(COUNTIF($D$2:$D823,$D823)=1,$D823,""))</f>
        <v/>
      </c>
      <c r="AC823">
        <f t="shared" si="290"/>
        <v>0</v>
      </c>
      <c r="AD823" t="str">
        <f t="shared" si="291"/>
        <v>|0</v>
      </c>
      <c r="AE823" t="str">
        <f t="shared" si="292"/>
        <v/>
      </c>
      <c r="AF823" t="str">
        <f t="shared" si="293"/>
        <v/>
      </c>
      <c r="AG823" t="str">
        <f t="shared" si="294"/>
        <v/>
      </c>
      <c r="AH823" t="str">
        <f t="shared" si="295"/>
        <v/>
      </c>
      <c r="AI823" t="str">
        <f t="shared" si="296"/>
        <v/>
      </c>
      <c r="AJ823" t="str">
        <f t="shared" si="297"/>
        <v/>
      </c>
      <c r="AK823" t="str">
        <f t="shared" si="298"/>
        <v/>
      </c>
      <c r="AL823" t="str">
        <f t="shared" si="299"/>
        <v/>
      </c>
      <c r="AM823" t="str">
        <f t="shared" si="300"/>
        <v/>
      </c>
      <c r="AN823" t="str">
        <f t="shared" si="301"/>
        <v/>
      </c>
      <c r="AO823" t="str">
        <f t="shared" si="302"/>
        <v/>
      </c>
      <c r="AP823">
        <f t="shared" si="303"/>
        <v>1</v>
      </c>
      <c r="AQ823" t="str">
        <f>IF(SAISIE!$F828="","",SAISIE!$Y828)</f>
        <v/>
      </c>
      <c r="AR823" t="str">
        <f>IF(OR(SAISIE!$U$4="",SAISIE!$W$4=""),"",IF(AND($A823=SAISIE!$U$4,$B823=SAISIE!$W$4,$C823="S1"),COUNTIFS($A$2:$A823,SAISIE!$U$4,$B$2:$B823,SAISIE!$W$4,$C$2:$C823,"S1"),""))</f>
        <v/>
      </c>
      <c r="AS823" t="str">
        <f t="shared" si="304"/>
        <v/>
      </c>
      <c r="AT823" t="str">
        <f t="shared" si="305"/>
        <v/>
      </c>
      <c r="AU823" t="str">
        <f t="shared" si="306"/>
        <v/>
      </c>
      <c r="AV823">
        <f>N(AV822)+IF(AND($AB823&lt;&gt;"",OR('PROFIL ELEVE'!$K$4="(Tous)",$AF823='PROFIL ELEVE'!$K$4)),1,0)</f>
        <v>0</v>
      </c>
      <c r="AW823">
        <f>N(AW822)+IF(AND($AB823&lt;&gt;"",OR('SUIVI LONGITUDINAL'!$Q$4="(Tous)",$AF823='SUIVI LONGITUDINAL'!$Q$4)),1,0)</f>
        <v>0</v>
      </c>
      <c r="AX823">
        <f t="shared" si="307"/>
        <v>0</v>
      </c>
      <c r="AY823">
        <f t="shared" si="308"/>
        <v>0</v>
      </c>
      <c r="AZ823">
        <f t="shared" si="309"/>
        <v>0</v>
      </c>
      <c r="BA823" t="str">
        <f t="shared" si="310"/>
        <v/>
      </c>
      <c r="BB823" t="str">
        <f t="shared" si="311"/>
        <v/>
      </c>
    </row>
    <row r="824" spans="1:54" ht="14.25" customHeight="1" x14ac:dyDescent="0.3">
      <c r="A824" t="str">
        <f>IF(SAISIE!$F829="","",SAISIE!$B829)</f>
        <v/>
      </c>
      <c r="B824" t="str">
        <f>IF(SAISIE!$F829="","",SAISIE!$C829)</f>
        <v/>
      </c>
      <c r="C824" t="str">
        <f>IF(SAISIE!$F829="","",SAISIE!$D829)</f>
        <v/>
      </c>
      <c r="D824" t="str">
        <f>IF(SAISIE!$E829="","",SAISIE!$E829)</f>
        <v/>
      </c>
      <c r="E824" t="str">
        <f>IF(SAISIE!$F829="","",SAISIE!$F829)</f>
        <v/>
      </c>
      <c r="F824" t="str">
        <f>IF(SAISIE!$G829="","",SAISIE!$G829)</f>
        <v/>
      </c>
      <c r="G824" t="str">
        <f>IF(SAISIE!$H829="","",SAISIE!$H829)</f>
        <v/>
      </c>
      <c r="H824" t="str">
        <f>IF(SAISIE!$I829="","",SAISIE!$I829)</f>
        <v/>
      </c>
      <c r="I824" t="str">
        <f>IF(SAISIE!$J829="","",SAISIE!$J829)</f>
        <v/>
      </c>
      <c r="J824" t="str">
        <f>IF(SAISIE!$K829="","",SAISIE!$K829)</f>
        <v/>
      </c>
      <c r="K824" t="str">
        <f>IF(SAISIE!$L829="","",SAISIE!$L829)</f>
        <v/>
      </c>
      <c r="L824" t="str">
        <f>IF(SAISIE!$M829="","",SAISIE!$M829)</f>
        <v/>
      </c>
      <c r="M824" t="str">
        <f>IF(SAISIE!$N829="","",SAISIE!$N829)</f>
        <v/>
      </c>
      <c r="N824" t="str">
        <f>IF(SAISIE!$O829="","",SAISIE!$O829)</f>
        <v/>
      </c>
      <c r="O824" t="str">
        <f>IF(SAISIE!$P829="","",SAISIE!$P829)</f>
        <v/>
      </c>
      <c r="P824" t="str">
        <f>IF(SAISIE!$Q829="","",SAISIE!$Q829)</f>
        <v/>
      </c>
      <c r="Q824" t="str">
        <f>IF($I824="","",IF($I824&gt;PARAMETRES!$G$29,5,IF($I824&gt;PARAMETRES!$F$29,4,IF($I824&gt;PARAMETRES!$E$29,3,IF($I824&gt;PARAMETRES!$D$29,2,1)))))</f>
        <v/>
      </c>
      <c r="R824" t="str">
        <f>IF($J824="","",IF($J824&gt;PARAMETRES!$G$30,5,IF($J824&gt;PARAMETRES!$F$30,4,IF($J824&gt;PARAMETRES!$E$30,3,IF($J824&gt;PARAMETRES!$D$30,2,1)))))</f>
        <v/>
      </c>
      <c r="S824" t="str">
        <f>IF($K824="","",IF($Z824=2,IF($K824&gt;PARAMETRES!$G$31,5,IF($K824&gt;PARAMETRES!$F$31,4,IF($K824&gt;PARAMETRES!$E$31,3,IF($K824&gt;PARAMETRES!$D$31,2,1)))),IF($K824&gt;PARAMETRES!$G$32,5,IF($K824&gt;PARAMETRES!$F$32,4,IF($K824&gt;PARAMETRES!$E$32,3,IF($K824&gt;PARAMETRES!$D$32,2,1))))))</f>
        <v/>
      </c>
      <c r="T824" t="str">
        <f>IF($L824="","",IF($L824&gt;PARAMETRES!$G$33,5,IF($L824&gt;PARAMETRES!$F$33,4,IF($L824&gt;PARAMETRES!$E$33,3,IF($L824&gt;PARAMETRES!$D$33,2,1)))))</f>
        <v/>
      </c>
      <c r="U824" t="str">
        <f>IF($M824="","",IF($M824&gt;PARAMETRES!$G$34,5,IF($M824&gt;PARAMETRES!$F$34,4,IF($M824&gt;PARAMETRES!$E$34,3,IF($M824&gt;PARAMETRES!$D$34,2,1)))))</f>
        <v/>
      </c>
      <c r="V824" t="str">
        <f>IF($N824="","",IF($N824&gt;PARAMETRES!$G$35,5,IF($N824&gt;PARAMETRES!$F$35,4,IF($N824&gt;PARAMETRES!$E$35,3,IF($N824&gt;PARAMETRES!$D$35,2,1)))))</f>
        <v/>
      </c>
      <c r="W824" t="str">
        <f>IF($O824="","",IF($O824&gt;PARAMETRES!$G$36,5,IF($O824&gt;PARAMETRES!$F$36,4,IF($O824&gt;PARAMETRES!$E$36,3,IF($O824&gt;PARAMETRES!$D$36,2,1)))))</f>
        <v/>
      </c>
      <c r="X824" t="str">
        <f>IF($P824="","",IF($P824&gt;PARAMETRES!$G$37,5,IF($P824&gt;PARAMETRES!$F$37,4,IF($P824&gt;PARAMETRES!$E$37,3,IF($P824&gt;PARAMETRES!$D$37,2,1)))))</f>
        <v/>
      </c>
      <c r="Y824" t="str">
        <f t="shared" si="288"/>
        <v/>
      </c>
      <c r="Z824" t="str">
        <f>IFERROR(VLOOKUP($B824,TABLE_CYCLE,2,0),"")</f>
        <v/>
      </c>
      <c r="AA824" t="str">
        <f t="shared" si="289"/>
        <v/>
      </c>
      <c r="AB824" t="str">
        <f>IF($D824="","",IF(COUNTIF($D$2:$D824,$D824)=1,$D824,""))</f>
        <v/>
      </c>
      <c r="AC824">
        <f t="shared" si="290"/>
        <v>0</v>
      </c>
      <c r="AD824" t="str">
        <f t="shared" si="291"/>
        <v>|0</v>
      </c>
      <c r="AE824" t="str">
        <f t="shared" si="292"/>
        <v/>
      </c>
      <c r="AF824" t="str">
        <f t="shared" si="293"/>
        <v/>
      </c>
      <c r="AG824" t="str">
        <f t="shared" si="294"/>
        <v/>
      </c>
      <c r="AH824" t="str">
        <f t="shared" si="295"/>
        <v/>
      </c>
      <c r="AI824" t="str">
        <f t="shared" si="296"/>
        <v/>
      </c>
      <c r="AJ824" t="str">
        <f t="shared" si="297"/>
        <v/>
      </c>
      <c r="AK824" t="str">
        <f t="shared" si="298"/>
        <v/>
      </c>
      <c r="AL824" t="str">
        <f t="shared" si="299"/>
        <v/>
      </c>
      <c r="AM824" t="str">
        <f t="shared" si="300"/>
        <v/>
      </c>
      <c r="AN824" t="str">
        <f t="shared" si="301"/>
        <v/>
      </c>
      <c r="AO824" t="str">
        <f t="shared" si="302"/>
        <v/>
      </c>
      <c r="AP824">
        <f t="shared" si="303"/>
        <v>1</v>
      </c>
      <c r="AQ824" t="str">
        <f>IF(SAISIE!$F829="","",SAISIE!$Y829)</f>
        <v/>
      </c>
      <c r="AR824" t="str">
        <f>IF(OR(SAISIE!$U$4="",SAISIE!$W$4=""),"",IF(AND($A824=SAISIE!$U$4,$B824=SAISIE!$W$4,$C824="S1"),COUNTIFS($A$2:$A824,SAISIE!$U$4,$B$2:$B824,SAISIE!$W$4,$C$2:$C824,"S1"),""))</f>
        <v/>
      </c>
      <c r="AS824" t="str">
        <f t="shared" si="304"/>
        <v/>
      </c>
      <c r="AT824" t="str">
        <f t="shared" si="305"/>
        <v/>
      </c>
      <c r="AU824" t="str">
        <f t="shared" si="306"/>
        <v/>
      </c>
      <c r="AV824">
        <f>N(AV823)+IF(AND($AB824&lt;&gt;"",OR('PROFIL ELEVE'!$K$4="(Tous)",$AF824='PROFIL ELEVE'!$K$4)),1,0)</f>
        <v>0</v>
      </c>
      <c r="AW824">
        <f>N(AW823)+IF(AND($AB824&lt;&gt;"",OR('SUIVI LONGITUDINAL'!$Q$4="(Tous)",$AF824='SUIVI LONGITUDINAL'!$Q$4)),1,0)</f>
        <v>0</v>
      </c>
      <c r="AX824">
        <f t="shared" si="307"/>
        <v>0</v>
      </c>
      <c r="AY824">
        <f t="shared" si="308"/>
        <v>0</v>
      </c>
      <c r="AZ824">
        <f t="shared" si="309"/>
        <v>0</v>
      </c>
      <c r="BA824" t="str">
        <f t="shared" si="310"/>
        <v/>
      </c>
      <c r="BB824" t="str">
        <f t="shared" si="311"/>
        <v/>
      </c>
    </row>
    <row r="825" spans="1:54" ht="14.25" customHeight="1" x14ac:dyDescent="0.3">
      <c r="A825" t="str">
        <f>IF(SAISIE!$F830="","",SAISIE!$B830)</f>
        <v/>
      </c>
      <c r="B825" t="str">
        <f>IF(SAISIE!$F830="","",SAISIE!$C830)</f>
        <v/>
      </c>
      <c r="C825" t="str">
        <f>IF(SAISIE!$F830="","",SAISIE!$D830)</f>
        <v/>
      </c>
      <c r="D825" t="str">
        <f>IF(SAISIE!$E830="","",SAISIE!$E830)</f>
        <v/>
      </c>
      <c r="E825" t="str">
        <f>IF(SAISIE!$F830="","",SAISIE!$F830)</f>
        <v/>
      </c>
      <c r="F825" t="str">
        <f>IF(SAISIE!$G830="","",SAISIE!$G830)</f>
        <v/>
      </c>
      <c r="G825" t="str">
        <f>IF(SAISIE!$H830="","",SAISIE!$H830)</f>
        <v/>
      </c>
      <c r="H825" t="str">
        <f>IF(SAISIE!$I830="","",SAISIE!$I830)</f>
        <v/>
      </c>
      <c r="I825" t="str">
        <f>IF(SAISIE!$J830="","",SAISIE!$J830)</f>
        <v/>
      </c>
      <c r="J825" t="str">
        <f>IF(SAISIE!$K830="","",SAISIE!$K830)</f>
        <v/>
      </c>
      <c r="K825" t="str">
        <f>IF(SAISIE!$L830="","",SAISIE!$L830)</f>
        <v/>
      </c>
      <c r="L825" t="str">
        <f>IF(SAISIE!$M830="","",SAISIE!$M830)</f>
        <v/>
      </c>
      <c r="M825" t="str">
        <f>IF(SAISIE!$N830="","",SAISIE!$N830)</f>
        <v/>
      </c>
      <c r="N825" t="str">
        <f>IF(SAISIE!$O830="","",SAISIE!$O830)</f>
        <v/>
      </c>
      <c r="O825" t="str">
        <f>IF(SAISIE!$P830="","",SAISIE!$P830)</f>
        <v/>
      </c>
      <c r="P825" t="str">
        <f>IF(SAISIE!$Q830="","",SAISIE!$Q830)</f>
        <v/>
      </c>
      <c r="Q825" t="str">
        <f>IF($I825="","",IF($I825&gt;PARAMETRES!$G$29,5,IF($I825&gt;PARAMETRES!$F$29,4,IF($I825&gt;PARAMETRES!$E$29,3,IF($I825&gt;PARAMETRES!$D$29,2,1)))))</f>
        <v/>
      </c>
      <c r="R825" t="str">
        <f>IF($J825="","",IF($J825&gt;PARAMETRES!$G$30,5,IF($J825&gt;PARAMETRES!$F$30,4,IF($J825&gt;PARAMETRES!$E$30,3,IF($J825&gt;PARAMETRES!$D$30,2,1)))))</f>
        <v/>
      </c>
      <c r="S825" t="str">
        <f>IF($K825="","",IF($Z825=2,IF($K825&gt;PARAMETRES!$G$31,5,IF($K825&gt;PARAMETRES!$F$31,4,IF($K825&gt;PARAMETRES!$E$31,3,IF($K825&gt;PARAMETRES!$D$31,2,1)))),IF($K825&gt;PARAMETRES!$G$32,5,IF($K825&gt;PARAMETRES!$F$32,4,IF($K825&gt;PARAMETRES!$E$32,3,IF($K825&gt;PARAMETRES!$D$32,2,1))))))</f>
        <v/>
      </c>
      <c r="T825" t="str">
        <f>IF($L825="","",IF($L825&gt;PARAMETRES!$G$33,5,IF($L825&gt;PARAMETRES!$F$33,4,IF($L825&gt;PARAMETRES!$E$33,3,IF($L825&gt;PARAMETRES!$D$33,2,1)))))</f>
        <v/>
      </c>
      <c r="U825" t="str">
        <f>IF($M825="","",IF($M825&gt;PARAMETRES!$G$34,5,IF($M825&gt;PARAMETRES!$F$34,4,IF($M825&gt;PARAMETRES!$E$34,3,IF($M825&gt;PARAMETRES!$D$34,2,1)))))</f>
        <v/>
      </c>
      <c r="V825" t="str">
        <f>IF($N825="","",IF($N825&gt;PARAMETRES!$G$35,5,IF($N825&gt;PARAMETRES!$F$35,4,IF($N825&gt;PARAMETRES!$E$35,3,IF($N825&gt;PARAMETRES!$D$35,2,1)))))</f>
        <v/>
      </c>
      <c r="W825" t="str">
        <f>IF($O825="","",IF($O825&gt;PARAMETRES!$G$36,5,IF($O825&gt;PARAMETRES!$F$36,4,IF($O825&gt;PARAMETRES!$E$36,3,IF($O825&gt;PARAMETRES!$D$36,2,1)))))</f>
        <v/>
      </c>
      <c r="X825" t="str">
        <f>IF($P825="","",IF($P825&gt;PARAMETRES!$G$37,5,IF($P825&gt;PARAMETRES!$F$37,4,IF($P825&gt;PARAMETRES!$E$37,3,IF($P825&gt;PARAMETRES!$D$37,2,1)))))</f>
        <v/>
      </c>
      <c r="Y825" t="str">
        <f t="shared" si="288"/>
        <v/>
      </c>
      <c r="Z825" t="str">
        <f>IFERROR(VLOOKUP($B825,TABLE_CYCLE,2,0),"")</f>
        <v/>
      </c>
      <c r="AA825" t="str">
        <f t="shared" si="289"/>
        <v/>
      </c>
      <c r="AB825" t="str">
        <f>IF($D825="","",IF(COUNTIF($D$2:$D825,$D825)=1,$D825,""))</f>
        <v/>
      </c>
      <c r="AC825">
        <f t="shared" si="290"/>
        <v>0</v>
      </c>
      <c r="AD825" t="str">
        <f t="shared" si="291"/>
        <v>|0</v>
      </c>
      <c r="AE825" t="str">
        <f t="shared" si="292"/>
        <v/>
      </c>
      <c r="AF825" t="str">
        <f t="shared" si="293"/>
        <v/>
      </c>
      <c r="AG825" t="str">
        <f t="shared" si="294"/>
        <v/>
      </c>
      <c r="AH825" t="str">
        <f t="shared" si="295"/>
        <v/>
      </c>
      <c r="AI825" t="str">
        <f t="shared" si="296"/>
        <v/>
      </c>
      <c r="AJ825" t="str">
        <f t="shared" si="297"/>
        <v/>
      </c>
      <c r="AK825" t="str">
        <f t="shared" si="298"/>
        <v/>
      </c>
      <c r="AL825" t="str">
        <f t="shared" si="299"/>
        <v/>
      </c>
      <c r="AM825" t="str">
        <f t="shared" si="300"/>
        <v/>
      </c>
      <c r="AN825" t="str">
        <f t="shared" si="301"/>
        <v/>
      </c>
      <c r="AO825" t="str">
        <f t="shared" si="302"/>
        <v/>
      </c>
      <c r="AP825">
        <f t="shared" si="303"/>
        <v>1</v>
      </c>
      <c r="AQ825" t="str">
        <f>IF(SAISIE!$F830="","",SAISIE!$Y830)</f>
        <v/>
      </c>
      <c r="AR825" t="str">
        <f>IF(OR(SAISIE!$U$4="",SAISIE!$W$4=""),"",IF(AND($A825=SAISIE!$U$4,$B825=SAISIE!$W$4,$C825="S1"),COUNTIFS($A$2:$A825,SAISIE!$U$4,$B$2:$B825,SAISIE!$W$4,$C$2:$C825,"S1"),""))</f>
        <v/>
      </c>
      <c r="AS825" t="str">
        <f t="shared" si="304"/>
        <v/>
      </c>
      <c r="AT825" t="str">
        <f t="shared" si="305"/>
        <v/>
      </c>
      <c r="AU825" t="str">
        <f t="shared" si="306"/>
        <v/>
      </c>
      <c r="AV825">
        <f>N(AV824)+IF(AND($AB825&lt;&gt;"",OR('PROFIL ELEVE'!$K$4="(Tous)",$AF825='PROFIL ELEVE'!$K$4)),1,0)</f>
        <v>0</v>
      </c>
      <c r="AW825">
        <f>N(AW824)+IF(AND($AB825&lt;&gt;"",OR('SUIVI LONGITUDINAL'!$Q$4="(Tous)",$AF825='SUIVI LONGITUDINAL'!$Q$4)),1,0)</f>
        <v>0</v>
      </c>
      <c r="AX825">
        <f t="shared" si="307"/>
        <v>0</v>
      </c>
      <c r="AY825">
        <f t="shared" si="308"/>
        <v>0</v>
      </c>
      <c r="AZ825">
        <f t="shared" si="309"/>
        <v>0</v>
      </c>
      <c r="BA825" t="str">
        <f t="shared" si="310"/>
        <v/>
      </c>
      <c r="BB825" t="str">
        <f t="shared" si="311"/>
        <v/>
      </c>
    </row>
    <row r="826" spans="1:54" ht="14.25" customHeight="1" x14ac:dyDescent="0.3">
      <c r="A826" t="str">
        <f>IF(SAISIE!$F831="","",SAISIE!$B831)</f>
        <v/>
      </c>
      <c r="B826" t="str">
        <f>IF(SAISIE!$F831="","",SAISIE!$C831)</f>
        <v/>
      </c>
      <c r="C826" t="str">
        <f>IF(SAISIE!$F831="","",SAISIE!$D831)</f>
        <v/>
      </c>
      <c r="D826" t="str">
        <f>IF(SAISIE!$E831="","",SAISIE!$E831)</f>
        <v/>
      </c>
      <c r="E826" t="str">
        <f>IF(SAISIE!$F831="","",SAISIE!$F831)</f>
        <v/>
      </c>
      <c r="F826" t="str">
        <f>IF(SAISIE!$G831="","",SAISIE!$G831)</f>
        <v/>
      </c>
      <c r="G826" t="str">
        <f>IF(SAISIE!$H831="","",SAISIE!$H831)</f>
        <v/>
      </c>
      <c r="H826" t="str">
        <f>IF(SAISIE!$I831="","",SAISIE!$I831)</f>
        <v/>
      </c>
      <c r="I826" t="str">
        <f>IF(SAISIE!$J831="","",SAISIE!$J831)</f>
        <v/>
      </c>
      <c r="J826" t="str">
        <f>IF(SAISIE!$K831="","",SAISIE!$K831)</f>
        <v/>
      </c>
      <c r="K826" t="str">
        <f>IF(SAISIE!$L831="","",SAISIE!$L831)</f>
        <v/>
      </c>
      <c r="L826" t="str">
        <f>IF(SAISIE!$M831="","",SAISIE!$M831)</f>
        <v/>
      </c>
      <c r="M826" t="str">
        <f>IF(SAISIE!$N831="","",SAISIE!$N831)</f>
        <v/>
      </c>
      <c r="N826" t="str">
        <f>IF(SAISIE!$O831="","",SAISIE!$O831)</f>
        <v/>
      </c>
      <c r="O826" t="str">
        <f>IF(SAISIE!$P831="","",SAISIE!$P831)</f>
        <v/>
      </c>
      <c r="P826" t="str">
        <f>IF(SAISIE!$Q831="","",SAISIE!$Q831)</f>
        <v/>
      </c>
      <c r="Q826" t="str">
        <f>IF($I826="","",IF($I826&gt;PARAMETRES!$G$29,5,IF($I826&gt;PARAMETRES!$F$29,4,IF($I826&gt;PARAMETRES!$E$29,3,IF($I826&gt;PARAMETRES!$D$29,2,1)))))</f>
        <v/>
      </c>
      <c r="R826" t="str">
        <f>IF($J826="","",IF($J826&gt;PARAMETRES!$G$30,5,IF($J826&gt;PARAMETRES!$F$30,4,IF($J826&gt;PARAMETRES!$E$30,3,IF($J826&gt;PARAMETRES!$D$30,2,1)))))</f>
        <v/>
      </c>
      <c r="S826" t="str">
        <f>IF($K826="","",IF($Z826=2,IF($K826&gt;PARAMETRES!$G$31,5,IF($K826&gt;PARAMETRES!$F$31,4,IF($K826&gt;PARAMETRES!$E$31,3,IF($K826&gt;PARAMETRES!$D$31,2,1)))),IF($K826&gt;PARAMETRES!$G$32,5,IF($K826&gt;PARAMETRES!$F$32,4,IF($K826&gt;PARAMETRES!$E$32,3,IF($K826&gt;PARAMETRES!$D$32,2,1))))))</f>
        <v/>
      </c>
      <c r="T826" t="str">
        <f>IF($L826="","",IF($L826&gt;PARAMETRES!$G$33,5,IF($L826&gt;PARAMETRES!$F$33,4,IF($L826&gt;PARAMETRES!$E$33,3,IF($L826&gt;PARAMETRES!$D$33,2,1)))))</f>
        <v/>
      </c>
      <c r="U826" t="str">
        <f>IF($M826="","",IF($M826&gt;PARAMETRES!$G$34,5,IF($M826&gt;PARAMETRES!$F$34,4,IF($M826&gt;PARAMETRES!$E$34,3,IF($M826&gt;PARAMETRES!$D$34,2,1)))))</f>
        <v/>
      </c>
      <c r="V826" t="str">
        <f>IF($N826="","",IF($N826&gt;PARAMETRES!$G$35,5,IF($N826&gt;PARAMETRES!$F$35,4,IF($N826&gt;PARAMETRES!$E$35,3,IF($N826&gt;PARAMETRES!$D$35,2,1)))))</f>
        <v/>
      </c>
      <c r="W826" t="str">
        <f>IF($O826="","",IF($O826&gt;PARAMETRES!$G$36,5,IF($O826&gt;PARAMETRES!$F$36,4,IF($O826&gt;PARAMETRES!$E$36,3,IF($O826&gt;PARAMETRES!$D$36,2,1)))))</f>
        <v/>
      </c>
      <c r="X826" t="str">
        <f>IF($P826="","",IF($P826&gt;PARAMETRES!$G$37,5,IF($P826&gt;PARAMETRES!$F$37,4,IF($P826&gt;PARAMETRES!$E$37,3,IF($P826&gt;PARAMETRES!$D$37,2,1)))))</f>
        <v/>
      </c>
      <c r="Y826" t="str">
        <f t="shared" si="288"/>
        <v/>
      </c>
      <c r="Z826" t="str">
        <f>IFERROR(VLOOKUP($B826,TABLE_CYCLE,2,0),"")</f>
        <v/>
      </c>
      <c r="AA826" t="str">
        <f t="shared" si="289"/>
        <v/>
      </c>
      <c r="AB826" t="str">
        <f>IF($D826="","",IF(COUNTIF($D$2:$D826,$D826)=1,$D826,""))</f>
        <v/>
      </c>
      <c r="AC826">
        <f t="shared" si="290"/>
        <v>0</v>
      </c>
      <c r="AD826" t="str">
        <f t="shared" si="291"/>
        <v>|0</v>
      </c>
      <c r="AE826" t="str">
        <f t="shared" si="292"/>
        <v/>
      </c>
      <c r="AF826" t="str">
        <f t="shared" si="293"/>
        <v/>
      </c>
      <c r="AG826" t="str">
        <f t="shared" si="294"/>
        <v/>
      </c>
      <c r="AH826" t="str">
        <f t="shared" si="295"/>
        <v/>
      </c>
      <c r="AI826" t="str">
        <f t="shared" si="296"/>
        <v/>
      </c>
      <c r="AJ826" t="str">
        <f t="shared" si="297"/>
        <v/>
      </c>
      <c r="AK826" t="str">
        <f t="shared" si="298"/>
        <v/>
      </c>
      <c r="AL826" t="str">
        <f t="shared" si="299"/>
        <v/>
      </c>
      <c r="AM826" t="str">
        <f t="shared" si="300"/>
        <v/>
      </c>
      <c r="AN826" t="str">
        <f t="shared" si="301"/>
        <v/>
      </c>
      <c r="AO826" t="str">
        <f t="shared" si="302"/>
        <v/>
      </c>
      <c r="AP826">
        <f t="shared" si="303"/>
        <v>1</v>
      </c>
      <c r="AQ826" t="str">
        <f>IF(SAISIE!$F831="","",SAISIE!$Y831)</f>
        <v/>
      </c>
      <c r="AR826" t="str">
        <f>IF(OR(SAISIE!$U$4="",SAISIE!$W$4=""),"",IF(AND($A826=SAISIE!$U$4,$B826=SAISIE!$W$4,$C826="S1"),COUNTIFS($A$2:$A826,SAISIE!$U$4,$B$2:$B826,SAISIE!$W$4,$C$2:$C826,"S1"),""))</f>
        <v/>
      </c>
      <c r="AS826" t="str">
        <f t="shared" si="304"/>
        <v/>
      </c>
      <c r="AT826" t="str">
        <f t="shared" si="305"/>
        <v/>
      </c>
      <c r="AU826" t="str">
        <f t="shared" si="306"/>
        <v/>
      </c>
      <c r="AV826">
        <f>N(AV825)+IF(AND($AB826&lt;&gt;"",OR('PROFIL ELEVE'!$K$4="(Tous)",$AF826='PROFIL ELEVE'!$K$4)),1,0)</f>
        <v>0</v>
      </c>
      <c r="AW826">
        <f>N(AW825)+IF(AND($AB826&lt;&gt;"",OR('SUIVI LONGITUDINAL'!$Q$4="(Tous)",$AF826='SUIVI LONGITUDINAL'!$Q$4)),1,0)</f>
        <v>0</v>
      </c>
      <c r="AX826">
        <f t="shared" si="307"/>
        <v>0</v>
      </c>
      <c r="AY826">
        <f t="shared" si="308"/>
        <v>0</v>
      </c>
      <c r="AZ826">
        <f t="shared" si="309"/>
        <v>0</v>
      </c>
      <c r="BA826" t="str">
        <f t="shared" si="310"/>
        <v/>
      </c>
      <c r="BB826" t="str">
        <f t="shared" si="311"/>
        <v/>
      </c>
    </row>
    <row r="827" spans="1:54" ht="14.25" customHeight="1" x14ac:dyDescent="0.3">
      <c r="A827" t="str">
        <f>IF(SAISIE!$F832="","",SAISIE!$B832)</f>
        <v/>
      </c>
      <c r="B827" t="str">
        <f>IF(SAISIE!$F832="","",SAISIE!$C832)</f>
        <v/>
      </c>
      <c r="C827" t="str">
        <f>IF(SAISIE!$F832="","",SAISIE!$D832)</f>
        <v/>
      </c>
      <c r="D827" t="str">
        <f>IF(SAISIE!$E832="","",SAISIE!$E832)</f>
        <v/>
      </c>
      <c r="E827" t="str">
        <f>IF(SAISIE!$F832="","",SAISIE!$F832)</f>
        <v/>
      </c>
      <c r="F827" t="str">
        <f>IF(SAISIE!$G832="","",SAISIE!$G832)</f>
        <v/>
      </c>
      <c r="G827" t="str">
        <f>IF(SAISIE!$H832="","",SAISIE!$H832)</f>
        <v/>
      </c>
      <c r="H827" t="str">
        <f>IF(SAISIE!$I832="","",SAISIE!$I832)</f>
        <v/>
      </c>
      <c r="I827" t="str">
        <f>IF(SAISIE!$J832="","",SAISIE!$J832)</f>
        <v/>
      </c>
      <c r="J827" t="str">
        <f>IF(SAISIE!$K832="","",SAISIE!$K832)</f>
        <v/>
      </c>
      <c r="K827" t="str">
        <f>IF(SAISIE!$L832="","",SAISIE!$L832)</f>
        <v/>
      </c>
      <c r="L827" t="str">
        <f>IF(SAISIE!$M832="","",SAISIE!$M832)</f>
        <v/>
      </c>
      <c r="M827" t="str">
        <f>IF(SAISIE!$N832="","",SAISIE!$N832)</f>
        <v/>
      </c>
      <c r="N827" t="str">
        <f>IF(SAISIE!$O832="","",SAISIE!$O832)</f>
        <v/>
      </c>
      <c r="O827" t="str">
        <f>IF(SAISIE!$P832="","",SAISIE!$P832)</f>
        <v/>
      </c>
      <c r="P827" t="str">
        <f>IF(SAISIE!$Q832="","",SAISIE!$Q832)</f>
        <v/>
      </c>
      <c r="Q827" t="str">
        <f>IF($I827="","",IF($I827&gt;PARAMETRES!$G$29,5,IF($I827&gt;PARAMETRES!$F$29,4,IF($I827&gt;PARAMETRES!$E$29,3,IF($I827&gt;PARAMETRES!$D$29,2,1)))))</f>
        <v/>
      </c>
      <c r="R827" t="str">
        <f>IF($J827="","",IF($J827&gt;PARAMETRES!$G$30,5,IF($J827&gt;PARAMETRES!$F$30,4,IF($J827&gt;PARAMETRES!$E$30,3,IF($J827&gt;PARAMETRES!$D$30,2,1)))))</f>
        <v/>
      </c>
      <c r="S827" t="str">
        <f>IF($K827="","",IF($Z827=2,IF($K827&gt;PARAMETRES!$G$31,5,IF($K827&gt;PARAMETRES!$F$31,4,IF($K827&gt;PARAMETRES!$E$31,3,IF($K827&gt;PARAMETRES!$D$31,2,1)))),IF($K827&gt;PARAMETRES!$G$32,5,IF($K827&gt;PARAMETRES!$F$32,4,IF($K827&gt;PARAMETRES!$E$32,3,IF($K827&gt;PARAMETRES!$D$32,2,1))))))</f>
        <v/>
      </c>
      <c r="T827" t="str">
        <f>IF($L827="","",IF($L827&gt;PARAMETRES!$G$33,5,IF($L827&gt;PARAMETRES!$F$33,4,IF($L827&gt;PARAMETRES!$E$33,3,IF($L827&gt;PARAMETRES!$D$33,2,1)))))</f>
        <v/>
      </c>
      <c r="U827" t="str">
        <f>IF($M827="","",IF($M827&gt;PARAMETRES!$G$34,5,IF($M827&gt;PARAMETRES!$F$34,4,IF($M827&gt;PARAMETRES!$E$34,3,IF($M827&gt;PARAMETRES!$D$34,2,1)))))</f>
        <v/>
      </c>
      <c r="V827" t="str">
        <f>IF($N827="","",IF($N827&gt;PARAMETRES!$G$35,5,IF($N827&gt;PARAMETRES!$F$35,4,IF($N827&gt;PARAMETRES!$E$35,3,IF($N827&gt;PARAMETRES!$D$35,2,1)))))</f>
        <v/>
      </c>
      <c r="W827" t="str">
        <f>IF($O827="","",IF($O827&gt;PARAMETRES!$G$36,5,IF($O827&gt;PARAMETRES!$F$36,4,IF($O827&gt;PARAMETRES!$E$36,3,IF($O827&gt;PARAMETRES!$D$36,2,1)))))</f>
        <v/>
      </c>
      <c r="X827" t="str">
        <f>IF($P827="","",IF($P827&gt;PARAMETRES!$G$37,5,IF($P827&gt;PARAMETRES!$F$37,4,IF($P827&gt;PARAMETRES!$E$37,3,IF($P827&gt;PARAMETRES!$D$37,2,1)))))</f>
        <v/>
      </c>
      <c r="Y827" t="str">
        <f t="shared" si="288"/>
        <v/>
      </c>
      <c r="Z827" t="str">
        <f>IFERROR(VLOOKUP($B827,TABLE_CYCLE,2,0),"")</f>
        <v/>
      </c>
      <c r="AA827" t="str">
        <f t="shared" si="289"/>
        <v/>
      </c>
      <c r="AB827" t="str">
        <f>IF($D827="","",IF(COUNTIF($D$2:$D827,$D827)=1,$D827,""))</f>
        <v/>
      </c>
      <c r="AC827">
        <f t="shared" si="290"/>
        <v>0</v>
      </c>
      <c r="AD827" t="str">
        <f t="shared" si="291"/>
        <v>|0</v>
      </c>
      <c r="AE827" t="str">
        <f t="shared" si="292"/>
        <v/>
      </c>
      <c r="AF827" t="str">
        <f t="shared" si="293"/>
        <v/>
      </c>
      <c r="AG827" t="str">
        <f t="shared" si="294"/>
        <v/>
      </c>
      <c r="AH827" t="str">
        <f t="shared" si="295"/>
        <v/>
      </c>
      <c r="AI827" t="str">
        <f t="shared" si="296"/>
        <v/>
      </c>
      <c r="AJ827" t="str">
        <f t="shared" si="297"/>
        <v/>
      </c>
      <c r="AK827" t="str">
        <f t="shared" si="298"/>
        <v/>
      </c>
      <c r="AL827" t="str">
        <f t="shared" si="299"/>
        <v/>
      </c>
      <c r="AM827" t="str">
        <f t="shared" si="300"/>
        <v/>
      </c>
      <c r="AN827" t="str">
        <f t="shared" si="301"/>
        <v/>
      </c>
      <c r="AO827" t="str">
        <f t="shared" si="302"/>
        <v/>
      </c>
      <c r="AP827">
        <f t="shared" si="303"/>
        <v>1</v>
      </c>
      <c r="AQ827" t="str">
        <f>IF(SAISIE!$F832="","",SAISIE!$Y832)</f>
        <v/>
      </c>
      <c r="AR827" t="str">
        <f>IF(OR(SAISIE!$U$4="",SAISIE!$W$4=""),"",IF(AND($A827=SAISIE!$U$4,$B827=SAISIE!$W$4,$C827="S1"),COUNTIFS($A$2:$A827,SAISIE!$U$4,$B$2:$B827,SAISIE!$W$4,$C$2:$C827,"S1"),""))</f>
        <v/>
      </c>
      <c r="AS827" t="str">
        <f t="shared" si="304"/>
        <v/>
      </c>
      <c r="AT827" t="str">
        <f t="shared" si="305"/>
        <v/>
      </c>
      <c r="AU827" t="str">
        <f t="shared" si="306"/>
        <v/>
      </c>
      <c r="AV827">
        <f>N(AV826)+IF(AND($AB827&lt;&gt;"",OR('PROFIL ELEVE'!$K$4="(Tous)",$AF827='PROFIL ELEVE'!$K$4)),1,0)</f>
        <v>0</v>
      </c>
      <c r="AW827">
        <f>N(AW826)+IF(AND($AB827&lt;&gt;"",OR('SUIVI LONGITUDINAL'!$Q$4="(Tous)",$AF827='SUIVI LONGITUDINAL'!$Q$4)),1,0)</f>
        <v>0</v>
      </c>
      <c r="AX827">
        <f t="shared" si="307"/>
        <v>0</v>
      </c>
      <c r="AY827">
        <f t="shared" si="308"/>
        <v>0</v>
      </c>
      <c r="AZ827">
        <f t="shared" si="309"/>
        <v>0</v>
      </c>
      <c r="BA827" t="str">
        <f t="shared" si="310"/>
        <v/>
      </c>
      <c r="BB827" t="str">
        <f t="shared" si="311"/>
        <v/>
      </c>
    </row>
    <row r="828" spans="1:54" ht="14.25" customHeight="1" x14ac:dyDescent="0.3">
      <c r="A828" t="str">
        <f>IF(SAISIE!$F833="","",SAISIE!$B833)</f>
        <v/>
      </c>
      <c r="B828" t="str">
        <f>IF(SAISIE!$F833="","",SAISIE!$C833)</f>
        <v/>
      </c>
      <c r="C828" t="str">
        <f>IF(SAISIE!$F833="","",SAISIE!$D833)</f>
        <v/>
      </c>
      <c r="D828" t="str">
        <f>IF(SAISIE!$E833="","",SAISIE!$E833)</f>
        <v/>
      </c>
      <c r="E828" t="str">
        <f>IF(SAISIE!$F833="","",SAISIE!$F833)</f>
        <v/>
      </c>
      <c r="F828" t="str">
        <f>IF(SAISIE!$G833="","",SAISIE!$G833)</f>
        <v/>
      </c>
      <c r="G828" t="str">
        <f>IF(SAISIE!$H833="","",SAISIE!$H833)</f>
        <v/>
      </c>
      <c r="H828" t="str">
        <f>IF(SAISIE!$I833="","",SAISIE!$I833)</f>
        <v/>
      </c>
      <c r="I828" t="str">
        <f>IF(SAISIE!$J833="","",SAISIE!$J833)</f>
        <v/>
      </c>
      <c r="J828" t="str">
        <f>IF(SAISIE!$K833="","",SAISIE!$K833)</f>
        <v/>
      </c>
      <c r="K828" t="str">
        <f>IF(SAISIE!$L833="","",SAISIE!$L833)</f>
        <v/>
      </c>
      <c r="L828" t="str">
        <f>IF(SAISIE!$M833="","",SAISIE!$M833)</f>
        <v/>
      </c>
      <c r="M828" t="str">
        <f>IF(SAISIE!$N833="","",SAISIE!$N833)</f>
        <v/>
      </c>
      <c r="N828" t="str">
        <f>IF(SAISIE!$O833="","",SAISIE!$O833)</f>
        <v/>
      </c>
      <c r="O828" t="str">
        <f>IF(SAISIE!$P833="","",SAISIE!$P833)</f>
        <v/>
      </c>
      <c r="P828" t="str">
        <f>IF(SAISIE!$Q833="","",SAISIE!$Q833)</f>
        <v/>
      </c>
      <c r="Q828" t="str">
        <f>IF($I828="","",IF($I828&gt;PARAMETRES!$G$29,5,IF($I828&gt;PARAMETRES!$F$29,4,IF($I828&gt;PARAMETRES!$E$29,3,IF($I828&gt;PARAMETRES!$D$29,2,1)))))</f>
        <v/>
      </c>
      <c r="R828" t="str">
        <f>IF($J828="","",IF($J828&gt;PARAMETRES!$G$30,5,IF($J828&gt;PARAMETRES!$F$30,4,IF($J828&gt;PARAMETRES!$E$30,3,IF($J828&gt;PARAMETRES!$D$30,2,1)))))</f>
        <v/>
      </c>
      <c r="S828" t="str">
        <f>IF($K828="","",IF($Z828=2,IF($K828&gt;PARAMETRES!$G$31,5,IF($K828&gt;PARAMETRES!$F$31,4,IF($K828&gt;PARAMETRES!$E$31,3,IF($K828&gt;PARAMETRES!$D$31,2,1)))),IF($K828&gt;PARAMETRES!$G$32,5,IF($K828&gt;PARAMETRES!$F$32,4,IF($K828&gt;PARAMETRES!$E$32,3,IF($K828&gt;PARAMETRES!$D$32,2,1))))))</f>
        <v/>
      </c>
      <c r="T828" t="str">
        <f>IF($L828="","",IF($L828&gt;PARAMETRES!$G$33,5,IF($L828&gt;PARAMETRES!$F$33,4,IF($L828&gt;PARAMETRES!$E$33,3,IF($L828&gt;PARAMETRES!$D$33,2,1)))))</f>
        <v/>
      </c>
      <c r="U828" t="str">
        <f>IF($M828="","",IF($M828&gt;PARAMETRES!$G$34,5,IF($M828&gt;PARAMETRES!$F$34,4,IF($M828&gt;PARAMETRES!$E$34,3,IF($M828&gt;PARAMETRES!$D$34,2,1)))))</f>
        <v/>
      </c>
      <c r="V828" t="str">
        <f>IF($N828="","",IF($N828&gt;PARAMETRES!$G$35,5,IF($N828&gt;PARAMETRES!$F$35,4,IF($N828&gt;PARAMETRES!$E$35,3,IF($N828&gt;PARAMETRES!$D$35,2,1)))))</f>
        <v/>
      </c>
      <c r="W828" t="str">
        <f>IF($O828="","",IF($O828&gt;PARAMETRES!$G$36,5,IF($O828&gt;PARAMETRES!$F$36,4,IF($O828&gt;PARAMETRES!$E$36,3,IF($O828&gt;PARAMETRES!$D$36,2,1)))))</f>
        <v/>
      </c>
      <c r="X828" t="str">
        <f>IF($P828="","",IF($P828&gt;PARAMETRES!$G$37,5,IF($P828&gt;PARAMETRES!$F$37,4,IF($P828&gt;PARAMETRES!$E$37,3,IF($P828&gt;PARAMETRES!$D$37,2,1)))))</f>
        <v/>
      </c>
      <c r="Y828" t="str">
        <f t="shared" si="288"/>
        <v/>
      </c>
      <c r="Z828" t="str">
        <f>IFERROR(VLOOKUP($B828,TABLE_CYCLE,2,0),"")</f>
        <v/>
      </c>
      <c r="AA828" t="str">
        <f t="shared" si="289"/>
        <v/>
      </c>
      <c r="AB828" t="str">
        <f>IF($D828="","",IF(COUNTIF($D$2:$D828,$D828)=1,$D828,""))</f>
        <v/>
      </c>
      <c r="AC828">
        <f t="shared" si="290"/>
        <v>0</v>
      </c>
      <c r="AD828" t="str">
        <f t="shared" si="291"/>
        <v>|0</v>
      </c>
      <c r="AE828" t="str">
        <f t="shared" si="292"/>
        <v/>
      </c>
      <c r="AF828" t="str">
        <f t="shared" si="293"/>
        <v/>
      </c>
      <c r="AG828" t="str">
        <f t="shared" si="294"/>
        <v/>
      </c>
      <c r="AH828" t="str">
        <f t="shared" si="295"/>
        <v/>
      </c>
      <c r="AI828" t="str">
        <f t="shared" si="296"/>
        <v/>
      </c>
      <c r="AJ828" t="str">
        <f t="shared" si="297"/>
        <v/>
      </c>
      <c r="AK828" t="str">
        <f t="shared" si="298"/>
        <v/>
      </c>
      <c r="AL828" t="str">
        <f t="shared" si="299"/>
        <v/>
      </c>
      <c r="AM828" t="str">
        <f t="shared" si="300"/>
        <v/>
      </c>
      <c r="AN828" t="str">
        <f t="shared" si="301"/>
        <v/>
      </c>
      <c r="AO828" t="str">
        <f t="shared" si="302"/>
        <v/>
      </c>
      <c r="AP828">
        <f t="shared" si="303"/>
        <v>1</v>
      </c>
      <c r="AQ828" t="str">
        <f>IF(SAISIE!$F833="","",SAISIE!$Y833)</f>
        <v/>
      </c>
      <c r="AR828" t="str">
        <f>IF(OR(SAISIE!$U$4="",SAISIE!$W$4=""),"",IF(AND($A828=SAISIE!$U$4,$B828=SAISIE!$W$4,$C828="S1"),COUNTIFS($A$2:$A828,SAISIE!$U$4,$B$2:$B828,SAISIE!$W$4,$C$2:$C828,"S1"),""))</f>
        <v/>
      </c>
      <c r="AS828" t="str">
        <f t="shared" si="304"/>
        <v/>
      </c>
      <c r="AT828" t="str">
        <f t="shared" si="305"/>
        <v/>
      </c>
      <c r="AU828" t="str">
        <f t="shared" si="306"/>
        <v/>
      </c>
      <c r="AV828">
        <f>N(AV827)+IF(AND($AB828&lt;&gt;"",OR('PROFIL ELEVE'!$K$4="(Tous)",$AF828='PROFIL ELEVE'!$K$4)),1,0)</f>
        <v>0</v>
      </c>
      <c r="AW828">
        <f>N(AW827)+IF(AND($AB828&lt;&gt;"",OR('SUIVI LONGITUDINAL'!$Q$4="(Tous)",$AF828='SUIVI LONGITUDINAL'!$Q$4)),1,0)</f>
        <v>0</v>
      </c>
      <c r="AX828">
        <f t="shared" si="307"/>
        <v>0</v>
      </c>
      <c r="AY828">
        <f t="shared" si="308"/>
        <v>0</v>
      </c>
      <c r="AZ828">
        <f t="shared" si="309"/>
        <v>0</v>
      </c>
      <c r="BA828" t="str">
        <f t="shared" si="310"/>
        <v/>
      </c>
      <c r="BB828" t="str">
        <f t="shared" si="311"/>
        <v/>
      </c>
    </row>
    <row r="829" spans="1:54" ht="14.25" customHeight="1" x14ac:dyDescent="0.3">
      <c r="A829" t="str">
        <f>IF(SAISIE!$F834="","",SAISIE!$B834)</f>
        <v/>
      </c>
      <c r="B829" t="str">
        <f>IF(SAISIE!$F834="","",SAISIE!$C834)</f>
        <v/>
      </c>
      <c r="C829" t="str">
        <f>IF(SAISIE!$F834="","",SAISIE!$D834)</f>
        <v/>
      </c>
      <c r="D829" t="str">
        <f>IF(SAISIE!$E834="","",SAISIE!$E834)</f>
        <v/>
      </c>
      <c r="E829" t="str">
        <f>IF(SAISIE!$F834="","",SAISIE!$F834)</f>
        <v/>
      </c>
      <c r="F829" t="str">
        <f>IF(SAISIE!$G834="","",SAISIE!$G834)</f>
        <v/>
      </c>
      <c r="G829" t="str">
        <f>IF(SAISIE!$H834="","",SAISIE!$H834)</f>
        <v/>
      </c>
      <c r="H829" t="str">
        <f>IF(SAISIE!$I834="","",SAISIE!$I834)</f>
        <v/>
      </c>
      <c r="I829" t="str">
        <f>IF(SAISIE!$J834="","",SAISIE!$J834)</f>
        <v/>
      </c>
      <c r="J829" t="str">
        <f>IF(SAISIE!$K834="","",SAISIE!$K834)</f>
        <v/>
      </c>
      <c r="K829" t="str">
        <f>IF(SAISIE!$L834="","",SAISIE!$L834)</f>
        <v/>
      </c>
      <c r="L829" t="str">
        <f>IF(SAISIE!$M834="","",SAISIE!$M834)</f>
        <v/>
      </c>
      <c r="M829" t="str">
        <f>IF(SAISIE!$N834="","",SAISIE!$N834)</f>
        <v/>
      </c>
      <c r="N829" t="str">
        <f>IF(SAISIE!$O834="","",SAISIE!$O834)</f>
        <v/>
      </c>
      <c r="O829" t="str">
        <f>IF(SAISIE!$P834="","",SAISIE!$P834)</f>
        <v/>
      </c>
      <c r="P829" t="str">
        <f>IF(SAISIE!$Q834="","",SAISIE!$Q834)</f>
        <v/>
      </c>
      <c r="Q829" t="str">
        <f>IF($I829="","",IF($I829&gt;PARAMETRES!$G$29,5,IF($I829&gt;PARAMETRES!$F$29,4,IF($I829&gt;PARAMETRES!$E$29,3,IF($I829&gt;PARAMETRES!$D$29,2,1)))))</f>
        <v/>
      </c>
      <c r="R829" t="str">
        <f>IF($J829="","",IF($J829&gt;PARAMETRES!$G$30,5,IF($J829&gt;PARAMETRES!$F$30,4,IF($J829&gt;PARAMETRES!$E$30,3,IF($J829&gt;PARAMETRES!$D$30,2,1)))))</f>
        <v/>
      </c>
      <c r="S829" t="str">
        <f>IF($K829="","",IF($Z829=2,IF($K829&gt;PARAMETRES!$G$31,5,IF($K829&gt;PARAMETRES!$F$31,4,IF($K829&gt;PARAMETRES!$E$31,3,IF($K829&gt;PARAMETRES!$D$31,2,1)))),IF($K829&gt;PARAMETRES!$G$32,5,IF($K829&gt;PARAMETRES!$F$32,4,IF($K829&gt;PARAMETRES!$E$32,3,IF($K829&gt;PARAMETRES!$D$32,2,1))))))</f>
        <v/>
      </c>
      <c r="T829" t="str">
        <f>IF($L829="","",IF($L829&gt;PARAMETRES!$G$33,5,IF($L829&gt;PARAMETRES!$F$33,4,IF($L829&gt;PARAMETRES!$E$33,3,IF($L829&gt;PARAMETRES!$D$33,2,1)))))</f>
        <v/>
      </c>
      <c r="U829" t="str">
        <f>IF($M829="","",IF($M829&gt;PARAMETRES!$G$34,5,IF($M829&gt;PARAMETRES!$F$34,4,IF($M829&gt;PARAMETRES!$E$34,3,IF($M829&gt;PARAMETRES!$D$34,2,1)))))</f>
        <v/>
      </c>
      <c r="V829" t="str">
        <f>IF($N829="","",IF($N829&gt;PARAMETRES!$G$35,5,IF($N829&gt;PARAMETRES!$F$35,4,IF($N829&gt;PARAMETRES!$E$35,3,IF($N829&gt;PARAMETRES!$D$35,2,1)))))</f>
        <v/>
      </c>
      <c r="W829" t="str">
        <f>IF($O829="","",IF($O829&gt;PARAMETRES!$G$36,5,IF($O829&gt;PARAMETRES!$F$36,4,IF($O829&gt;PARAMETRES!$E$36,3,IF($O829&gt;PARAMETRES!$D$36,2,1)))))</f>
        <v/>
      </c>
      <c r="X829" t="str">
        <f>IF($P829="","",IF($P829&gt;PARAMETRES!$G$37,5,IF($P829&gt;PARAMETRES!$F$37,4,IF($P829&gt;PARAMETRES!$E$37,3,IF($P829&gt;PARAMETRES!$D$37,2,1)))))</f>
        <v/>
      </c>
      <c r="Y829" t="str">
        <f t="shared" si="288"/>
        <v/>
      </c>
      <c r="Z829" t="str">
        <f>IFERROR(VLOOKUP($B829,TABLE_CYCLE,2,0),"")</f>
        <v/>
      </c>
      <c r="AA829" t="str">
        <f t="shared" si="289"/>
        <v/>
      </c>
      <c r="AB829" t="str">
        <f>IF($D829="","",IF(COUNTIF($D$2:$D829,$D829)=1,$D829,""))</f>
        <v/>
      </c>
      <c r="AC829">
        <f t="shared" si="290"/>
        <v>0</v>
      </c>
      <c r="AD829" t="str">
        <f t="shared" si="291"/>
        <v>|0</v>
      </c>
      <c r="AE829" t="str">
        <f t="shared" si="292"/>
        <v/>
      </c>
      <c r="AF829" t="str">
        <f t="shared" si="293"/>
        <v/>
      </c>
      <c r="AG829" t="str">
        <f t="shared" si="294"/>
        <v/>
      </c>
      <c r="AH829" t="str">
        <f t="shared" si="295"/>
        <v/>
      </c>
      <c r="AI829" t="str">
        <f t="shared" si="296"/>
        <v/>
      </c>
      <c r="AJ829" t="str">
        <f t="shared" si="297"/>
        <v/>
      </c>
      <c r="AK829" t="str">
        <f t="shared" si="298"/>
        <v/>
      </c>
      <c r="AL829" t="str">
        <f t="shared" si="299"/>
        <v/>
      </c>
      <c r="AM829" t="str">
        <f t="shared" si="300"/>
        <v/>
      </c>
      <c r="AN829" t="str">
        <f t="shared" si="301"/>
        <v/>
      </c>
      <c r="AO829" t="str">
        <f t="shared" si="302"/>
        <v/>
      </c>
      <c r="AP829">
        <f t="shared" si="303"/>
        <v>1</v>
      </c>
      <c r="AQ829" t="str">
        <f>IF(SAISIE!$F834="","",SAISIE!$Y834)</f>
        <v/>
      </c>
      <c r="AR829" t="str">
        <f>IF(OR(SAISIE!$U$4="",SAISIE!$W$4=""),"",IF(AND($A829=SAISIE!$U$4,$B829=SAISIE!$W$4,$C829="S1"),COUNTIFS($A$2:$A829,SAISIE!$U$4,$B$2:$B829,SAISIE!$W$4,$C$2:$C829,"S1"),""))</f>
        <v/>
      </c>
      <c r="AS829" t="str">
        <f t="shared" si="304"/>
        <v/>
      </c>
      <c r="AT829" t="str">
        <f t="shared" si="305"/>
        <v/>
      </c>
      <c r="AU829" t="str">
        <f t="shared" si="306"/>
        <v/>
      </c>
      <c r="AV829">
        <f>N(AV828)+IF(AND($AB829&lt;&gt;"",OR('PROFIL ELEVE'!$K$4="(Tous)",$AF829='PROFIL ELEVE'!$K$4)),1,0)</f>
        <v>0</v>
      </c>
      <c r="AW829">
        <f>N(AW828)+IF(AND($AB829&lt;&gt;"",OR('SUIVI LONGITUDINAL'!$Q$4="(Tous)",$AF829='SUIVI LONGITUDINAL'!$Q$4)),1,0)</f>
        <v>0</v>
      </c>
      <c r="AX829">
        <f t="shared" si="307"/>
        <v>0</v>
      </c>
      <c r="AY829">
        <f t="shared" si="308"/>
        <v>0</v>
      </c>
      <c r="AZ829">
        <f t="shared" si="309"/>
        <v>0</v>
      </c>
      <c r="BA829" t="str">
        <f t="shared" si="310"/>
        <v/>
      </c>
      <c r="BB829" t="str">
        <f t="shared" si="311"/>
        <v/>
      </c>
    </row>
    <row r="830" spans="1:54" ht="14.25" customHeight="1" x14ac:dyDescent="0.3">
      <c r="A830" t="str">
        <f>IF(SAISIE!$F835="","",SAISIE!$B835)</f>
        <v/>
      </c>
      <c r="B830" t="str">
        <f>IF(SAISIE!$F835="","",SAISIE!$C835)</f>
        <v/>
      </c>
      <c r="C830" t="str">
        <f>IF(SAISIE!$F835="","",SAISIE!$D835)</f>
        <v/>
      </c>
      <c r="D830" t="str">
        <f>IF(SAISIE!$E835="","",SAISIE!$E835)</f>
        <v/>
      </c>
      <c r="E830" t="str">
        <f>IF(SAISIE!$F835="","",SAISIE!$F835)</f>
        <v/>
      </c>
      <c r="F830" t="str">
        <f>IF(SAISIE!$G835="","",SAISIE!$G835)</f>
        <v/>
      </c>
      <c r="G830" t="str">
        <f>IF(SAISIE!$H835="","",SAISIE!$H835)</f>
        <v/>
      </c>
      <c r="H830" t="str">
        <f>IF(SAISIE!$I835="","",SAISIE!$I835)</f>
        <v/>
      </c>
      <c r="I830" t="str">
        <f>IF(SAISIE!$J835="","",SAISIE!$J835)</f>
        <v/>
      </c>
      <c r="J830" t="str">
        <f>IF(SAISIE!$K835="","",SAISIE!$K835)</f>
        <v/>
      </c>
      <c r="K830" t="str">
        <f>IF(SAISIE!$L835="","",SAISIE!$L835)</f>
        <v/>
      </c>
      <c r="L830" t="str">
        <f>IF(SAISIE!$M835="","",SAISIE!$M835)</f>
        <v/>
      </c>
      <c r="M830" t="str">
        <f>IF(SAISIE!$N835="","",SAISIE!$N835)</f>
        <v/>
      </c>
      <c r="N830" t="str">
        <f>IF(SAISIE!$O835="","",SAISIE!$O835)</f>
        <v/>
      </c>
      <c r="O830" t="str">
        <f>IF(SAISIE!$P835="","",SAISIE!$P835)</f>
        <v/>
      </c>
      <c r="P830" t="str">
        <f>IF(SAISIE!$Q835="","",SAISIE!$Q835)</f>
        <v/>
      </c>
      <c r="Q830" t="str">
        <f>IF($I830="","",IF($I830&gt;PARAMETRES!$G$29,5,IF($I830&gt;PARAMETRES!$F$29,4,IF($I830&gt;PARAMETRES!$E$29,3,IF($I830&gt;PARAMETRES!$D$29,2,1)))))</f>
        <v/>
      </c>
      <c r="R830" t="str">
        <f>IF($J830="","",IF($J830&gt;PARAMETRES!$G$30,5,IF($J830&gt;PARAMETRES!$F$30,4,IF($J830&gt;PARAMETRES!$E$30,3,IF($J830&gt;PARAMETRES!$D$30,2,1)))))</f>
        <v/>
      </c>
      <c r="S830" t="str">
        <f>IF($K830="","",IF($Z830=2,IF($K830&gt;PARAMETRES!$G$31,5,IF($K830&gt;PARAMETRES!$F$31,4,IF($K830&gt;PARAMETRES!$E$31,3,IF($K830&gt;PARAMETRES!$D$31,2,1)))),IF($K830&gt;PARAMETRES!$G$32,5,IF($K830&gt;PARAMETRES!$F$32,4,IF($K830&gt;PARAMETRES!$E$32,3,IF($K830&gt;PARAMETRES!$D$32,2,1))))))</f>
        <v/>
      </c>
      <c r="T830" t="str">
        <f>IF($L830="","",IF($L830&gt;PARAMETRES!$G$33,5,IF($L830&gt;PARAMETRES!$F$33,4,IF($L830&gt;PARAMETRES!$E$33,3,IF($L830&gt;PARAMETRES!$D$33,2,1)))))</f>
        <v/>
      </c>
      <c r="U830" t="str">
        <f>IF($M830="","",IF($M830&gt;PARAMETRES!$G$34,5,IF($M830&gt;PARAMETRES!$F$34,4,IF($M830&gt;PARAMETRES!$E$34,3,IF($M830&gt;PARAMETRES!$D$34,2,1)))))</f>
        <v/>
      </c>
      <c r="V830" t="str">
        <f>IF($N830="","",IF($N830&gt;PARAMETRES!$G$35,5,IF($N830&gt;PARAMETRES!$F$35,4,IF($N830&gt;PARAMETRES!$E$35,3,IF($N830&gt;PARAMETRES!$D$35,2,1)))))</f>
        <v/>
      </c>
      <c r="W830" t="str">
        <f>IF($O830="","",IF($O830&gt;PARAMETRES!$G$36,5,IF($O830&gt;PARAMETRES!$F$36,4,IF($O830&gt;PARAMETRES!$E$36,3,IF($O830&gt;PARAMETRES!$D$36,2,1)))))</f>
        <v/>
      </c>
      <c r="X830" t="str">
        <f>IF($P830="","",IF($P830&gt;PARAMETRES!$G$37,5,IF($P830&gt;PARAMETRES!$F$37,4,IF($P830&gt;PARAMETRES!$E$37,3,IF($P830&gt;PARAMETRES!$D$37,2,1)))))</f>
        <v/>
      </c>
      <c r="Y830" t="str">
        <f t="shared" si="288"/>
        <v/>
      </c>
      <c r="Z830" t="str">
        <f>IFERROR(VLOOKUP($B830,TABLE_CYCLE,2,0),"")</f>
        <v/>
      </c>
      <c r="AA830" t="str">
        <f t="shared" si="289"/>
        <v/>
      </c>
      <c r="AB830" t="str">
        <f>IF($D830="","",IF(COUNTIF($D$2:$D830,$D830)=1,$D830,""))</f>
        <v/>
      </c>
      <c r="AC830">
        <f t="shared" si="290"/>
        <v>0</v>
      </c>
      <c r="AD830" t="str">
        <f t="shared" si="291"/>
        <v>|0</v>
      </c>
      <c r="AE830" t="str">
        <f t="shared" si="292"/>
        <v/>
      </c>
      <c r="AF830" t="str">
        <f t="shared" si="293"/>
        <v/>
      </c>
      <c r="AG830" t="str">
        <f t="shared" si="294"/>
        <v/>
      </c>
      <c r="AH830" t="str">
        <f t="shared" si="295"/>
        <v/>
      </c>
      <c r="AI830" t="str">
        <f t="shared" si="296"/>
        <v/>
      </c>
      <c r="AJ830" t="str">
        <f t="shared" si="297"/>
        <v/>
      </c>
      <c r="AK830" t="str">
        <f t="shared" si="298"/>
        <v/>
      </c>
      <c r="AL830" t="str">
        <f t="shared" si="299"/>
        <v/>
      </c>
      <c r="AM830" t="str">
        <f t="shared" si="300"/>
        <v/>
      </c>
      <c r="AN830" t="str">
        <f t="shared" si="301"/>
        <v/>
      </c>
      <c r="AO830" t="str">
        <f t="shared" si="302"/>
        <v/>
      </c>
      <c r="AP830">
        <f t="shared" si="303"/>
        <v>1</v>
      </c>
      <c r="AQ830" t="str">
        <f>IF(SAISIE!$F835="","",SAISIE!$Y835)</f>
        <v/>
      </c>
      <c r="AR830" t="str">
        <f>IF(OR(SAISIE!$U$4="",SAISIE!$W$4=""),"",IF(AND($A830=SAISIE!$U$4,$B830=SAISIE!$W$4,$C830="S1"),COUNTIFS($A$2:$A830,SAISIE!$U$4,$B$2:$B830,SAISIE!$W$4,$C$2:$C830,"S1"),""))</f>
        <v/>
      </c>
      <c r="AS830" t="str">
        <f t="shared" si="304"/>
        <v/>
      </c>
      <c r="AT830" t="str">
        <f t="shared" si="305"/>
        <v/>
      </c>
      <c r="AU830" t="str">
        <f t="shared" si="306"/>
        <v/>
      </c>
      <c r="AV830">
        <f>N(AV829)+IF(AND($AB830&lt;&gt;"",OR('PROFIL ELEVE'!$K$4="(Tous)",$AF830='PROFIL ELEVE'!$K$4)),1,0)</f>
        <v>0</v>
      </c>
      <c r="AW830">
        <f>N(AW829)+IF(AND($AB830&lt;&gt;"",OR('SUIVI LONGITUDINAL'!$Q$4="(Tous)",$AF830='SUIVI LONGITUDINAL'!$Q$4)),1,0)</f>
        <v>0</v>
      </c>
      <c r="AX830">
        <f t="shared" si="307"/>
        <v>0</v>
      </c>
      <c r="AY830">
        <f t="shared" si="308"/>
        <v>0</v>
      </c>
      <c r="AZ830">
        <f t="shared" si="309"/>
        <v>0</v>
      </c>
      <c r="BA830" t="str">
        <f t="shared" si="310"/>
        <v/>
      </c>
      <c r="BB830" t="str">
        <f t="shared" si="311"/>
        <v/>
      </c>
    </row>
    <row r="831" spans="1:54" ht="14.25" customHeight="1" x14ac:dyDescent="0.3">
      <c r="A831" t="str">
        <f>IF(SAISIE!$F836="","",SAISIE!$B836)</f>
        <v/>
      </c>
      <c r="B831" t="str">
        <f>IF(SAISIE!$F836="","",SAISIE!$C836)</f>
        <v/>
      </c>
      <c r="C831" t="str">
        <f>IF(SAISIE!$F836="","",SAISIE!$D836)</f>
        <v/>
      </c>
      <c r="D831" t="str">
        <f>IF(SAISIE!$E836="","",SAISIE!$E836)</f>
        <v/>
      </c>
      <c r="E831" t="str">
        <f>IF(SAISIE!$F836="","",SAISIE!$F836)</f>
        <v/>
      </c>
      <c r="F831" t="str">
        <f>IF(SAISIE!$G836="","",SAISIE!$G836)</f>
        <v/>
      </c>
      <c r="G831" t="str">
        <f>IF(SAISIE!$H836="","",SAISIE!$H836)</f>
        <v/>
      </c>
      <c r="H831" t="str">
        <f>IF(SAISIE!$I836="","",SAISIE!$I836)</f>
        <v/>
      </c>
      <c r="I831" t="str">
        <f>IF(SAISIE!$J836="","",SAISIE!$J836)</f>
        <v/>
      </c>
      <c r="J831" t="str">
        <f>IF(SAISIE!$K836="","",SAISIE!$K836)</f>
        <v/>
      </c>
      <c r="K831" t="str">
        <f>IF(SAISIE!$L836="","",SAISIE!$L836)</f>
        <v/>
      </c>
      <c r="L831" t="str">
        <f>IF(SAISIE!$M836="","",SAISIE!$M836)</f>
        <v/>
      </c>
      <c r="M831" t="str">
        <f>IF(SAISIE!$N836="","",SAISIE!$N836)</f>
        <v/>
      </c>
      <c r="N831" t="str">
        <f>IF(SAISIE!$O836="","",SAISIE!$O836)</f>
        <v/>
      </c>
      <c r="O831" t="str">
        <f>IF(SAISIE!$P836="","",SAISIE!$P836)</f>
        <v/>
      </c>
      <c r="P831" t="str">
        <f>IF(SAISIE!$Q836="","",SAISIE!$Q836)</f>
        <v/>
      </c>
      <c r="Q831" t="str">
        <f>IF($I831="","",IF($I831&gt;PARAMETRES!$G$29,5,IF($I831&gt;PARAMETRES!$F$29,4,IF($I831&gt;PARAMETRES!$E$29,3,IF($I831&gt;PARAMETRES!$D$29,2,1)))))</f>
        <v/>
      </c>
      <c r="R831" t="str">
        <f>IF($J831="","",IF($J831&gt;PARAMETRES!$G$30,5,IF($J831&gt;PARAMETRES!$F$30,4,IF($J831&gt;PARAMETRES!$E$30,3,IF($J831&gt;PARAMETRES!$D$30,2,1)))))</f>
        <v/>
      </c>
      <c r="S831" t="str">
        <f>IF($K831="","",IF($Z831=2,IF($K831&gt;PARAMETRES!$G$31,5,IF($K831&gt;PARAMETRES!$F$31,4,IF($K831&gt;PARAMETRES!$E$31,3,IF($K831&gt;PARAMETRES!$D$31,2,1)))),IF($K831&gt;PARAMETRES!$G$32,5,IF($K831&gt;PARAMETRES!$F$32,4,IF($K831&gt;PARAMETRES!$E$32,3,IF($K831&gt;PARAMETRES!$D$32,2,1))))))</f>
        <v/>
      </c>
      <c r="T831" t="str">
        <f>IF($L831="","",IF($L831&gt;PARAMETRES!$G$33,5,IF($L831&gt;PARAMETRES!$F$33,4,IF($L831&gt;PARAMETRES!$E$33,3,IF($L831&gt;PARAMETRES!$D$33,2,1)))))</f>
        <v/>
      </c>
      <c r="U831" t="str">
        <f>IF($M831="","",IF($M831&gt;PARAMETRES!$G$34,5,IF($M831&gt;PARAMETRES!$F$34,4,IF($M831&gt;PARAMETRES!$E$34,3,IF($M831&gt;PARAMETRES!$D$34,2,1)))))</f>
        <v/>
      </c>
      <c r="V831" t="str">
        <f>IF($N831="","",IF($N831&gt;PARAMETRES!$G$35,5,IF($N831&gt;PARAMETRES!$F$35,4,IF($N831&gt;PARAMETRES!$E$35,3,IF($N831&gt;PARAMETRES!$D$35,2,1)))))</f>
        <v/>
      </c>
      <c r="W831" t="str">
        <f>IF($O831="","",IF($O831&gt;PARAMETRES!$G$36,5,IF($O831&gt;PARAMETRES!$F$36,4,IF($O831&gt;PARAMETRES!$E$36,3,IF($O831&gt;PARAMETRES!$D$36,2,1)))))</f>
        <v/>
      </c>
      <c r="X831" t="str">
        <f>IF($P831="","",IF($P831&gt;PARAMETRES!$G$37,5,IF($P831&gt;PARAMETRES!$F$37,4,IF($P831&gt;PARAMETRES!$E$37,3,IF($P831&gt;PARAMETRES!$D$37,2,1)))))</f>
        <v/>
      </c>
      <c r="Y831" t="str">
        <f t="shared" si="288"/>
        <v/>
      </c>
      <c r="Z831" t="str">
        <f>IFERROR(VLOOKUP($B831,TABLE_CYCLE,2,0),"")</f>
        <v/>
      </c>
      <c r="AA831" t="str">
        <f t="shared" si="289"/>
        <v/>
      </c>
      <c r="AB831" t="str">
        <f>IF($D831="","",IF(COUNTIF($D$2:$D831,$D831)=1,$D831,""))</f>
        <v/>
      </c>
      <c r="AC831">
        <f t="shared" si="290"/>
        <v>0</v>
      </c>
      <c r="AD831" t="str">
        <f t="shared" si="291"/>
        <v>|0</v>
      </c>
      <c r="AE831" t="str">
        <f t="shared" si="292"/>
        <v/>
      </c>
      <c r="AF831" t="str">
        <f t="shared" si="293"/>
        <v/>
      </c>
      <c r="AG831" t="str">
        <f t="shared" si="294"/>
        <v/>
      </c>
      <c r="AH831" t="str">
        <f t="shared" si="295"/>
        <v/>
      </c>
      <c r="AI831" t="str">
        <f t="shared" si="296"/>
        <v/>
      </c>
      <c r="AJ831" t="str">
        <f t="shared" si="297"/>
        <v/>
      </c>
      <c r="AK831" t="str">
        <f t="shared" si="298"/>
        <v/>
      </c>
      <c r="AL831" t="str">
        <f t="shared" si="299"/>
        <v/>
      </c>
      <c r="AM831" t="str">
        <f t="shared" si="300"/>
        <v/>
      </c>
      <c r="AN831" t="str">
        <f t="shared" si="301"/>
        <v/>
      </c>
      <c r="AO831" t="str">
        <f t="shared" si="302"/>
        <v/>
      </c>
      <c r="AP831">
        <f t="shared" si="303"/>
        <v>1</v>
      </c>
      <c r="AQ831" t="str">
        <f>IF(SAISIE!$F836="","",SAISIE!$Y836)</f>
        <v/>
      </c>
      <c r="AR831" t="str">
        <f>IF(OR(SAISIE!$U$4="",SAISIE!$W$4=""),"",IF(AND($A831=SAISIE!$U$4,$B831=SAISIE!$W$4,$C831="S1"),COUNTIFS($A$2:$A831,SAISIE!$U$4,$B$2:$B831,SAISIE!$W$4,$C$2:$C831,"S1"),""))</f>
        <v/>
      </c>
      <c r="AS831" t="str">
        <f t="shared" si="304"/>
        <v/>
      </c>
      <c r="AT831" t="str">
        <f t="shared" si="305"/>
        <v/>
      </c>
      <c r="AU831" t="str">
        <f t="shared" si="306"/>
        <v/>
      </c>
      <c r="AV831">
        <f>N(AV830)+IF(AND($AB831&lt;&gt;"",OR('PROFIL ELEVE'!$K$4="(Tous)",$AF831='PROFIL ELEVE'!$K$4)),1,0)</f>
        <v>0</v>
      </c>
      <c r="AW831">
        <f>N(AW830)+IF(AND($AB831&lt;&gt;"",OR('SUIVI LONGITUDINAL'!$Q$4="(Tous)",$AF831='SUIVI LONGITUDINAL'!$Q$4)),1,0)</f>
        <v>0</v>
      </c>
      <c r="AX831">
        <f t="shared" si="307"/>
        <v>0</v>
      </c>
      <c r="AY831">
        <f t="shared" si="308"/>
        <v>0</v>
      </c>
      <c r="AZ831">
        <f t="shared" si="309"/>
        <v>0</v>
      </c>
      <c r="BA831" t="str">
        <f t="shared" si="310"/>
        <v/>
      </c>
      <c r="BB831" t="str">
        <f t="shared" si="311"/>
        <v/>
      </c>
    </row>
    <row r="832" spans="1:54" ht="14.25" customHeight="1" x14ac:dyDescent="0.3">
      <c r="A832" t="str">
        <f>IF(SAISIE!$F837="","",SAISIE!$B837)</f>
        <v/>
      </c>
      <c r="B832" t="str">
        <f>IF(SAISIE!$F837="","",SAISIE!$C837)</f>
        <v/>
      </c>
      <c r="C832" t="str">
        <f>IF(SAISIE!$F837="","",SAISIE!$D837)</f>
        <v/>
      </c>
      <c r="D832" t="str">
        <f>IF(SAISIE!$E837="","",SAISIE!$E837)</f>
        <v/>
      </c>
      <c r="E832" t="str">
        <f>IF(SAISIE!$F837="","",SAISIE!$F837)</f>
        <v/>
      </c>
      <c r="F832" t="str">
        <f>IF(SAISIE!$G837="","",SAISIE!$G837)</f>
        <v/>
      </c>
      <c r="G832" t="str">
        <f>IF(SAISIE!$H837="","",SAISIE!$H837)</f>
        <v/>
      </c>
      <c r="H832" t="str">
        <f>IF(SAISIE!$I837="","",SAISIE!$I837)</f>
        <v/>
      </c>
      <c r="I832" t="str">
        <f>IF(SAISIE!$J837="","",SAISIE!$J837)</f>
        <v/>
      </c>
      <c r="J832" t="str">
        <f>IF(SAISIE!$K837="","",SAISIE!$K837)</f>
        <v/>
      </c>
      <c r="K832" t="str">
        <f>IF(SAISIE!$L837="","",SAISIE!$L837)</f>
        <v/>
      </c>
      <c r="L832" t="str">
        <f>IF(SAISIE!$M837="","",SAISIE!$M837)</f>
        <v/>
      </c>
      <c r="M832" t="str">
        <f>IF(SAISIE!$N837="","",SAISIE!$N837)</f>
        <v/>
      </c>
      <c r="N832" t="str">
        <f>IF(SAISIE!$O837="","",SAISIE!$O837)</f>
        <v/>
      </c>
      <c r="O832" t="str">
        <f>IF(SAISIE!$P837="","",SAISIE!$P837)</f>
        <v/>
      </c>
      <c r="P832" t="str">
        <f>IF(SAISIE!$Q837="","",SAISIE!$Q837)</f>
        <v/>
      </c>
      <c r="Q832" t="str">
        <f>IF($I832="","",IF($I832&gt;PARAMETRES!$G$29,5,IF($I832&gt;PARAMETRES!$F$29,4,IF($I832&gt;PARAMETRES!$E$29,3,IF($I832&gt;PARAMETRES!$D$29,2,1)))))</f>
        <v/>
      </c>
      <c r="R832" t="str">
        <f>IF($J832="","",IF($J832&gt;PARAMETRES!$G$30,5,IF($J832&gt;PARAMETRES!$F$30,4,IF($J832&gt;PARAMETRES!$E$30,3,IF($J832&gt;PARAMETRES!$D$30,2,1)))))</f>
        <v/>
      </c>
      <c r="S832" t="str">
        <f>IF($K832="","",IF($Z832=2,IF($K832&gt;PARAMETRES!$G$31,5,IF($K832&gt;PARAMETRES!$F$31,4,IF($K832&gt;PARAMETRES!$E$31,3,IF($K832&gt;PARAMETRES!$D$31,2,1)))),IF($K832&gt;PARAMETRES!$G$32,5,IF($K832&gt;PARAMETRES!$F$32,4,IF($K832&gt;PARAMETRES!$E$32,3,IF($K832&gt;PARAMETRES!$D$32,2,1))))))</f>
        <v/>
      </c>
      <c r="T832" t="str">
        <f>IF($L832="","",IF($L832&gt;PARAMETRES!$G$33,5,IF($L832&gt;PARAMETRES!$F$33,4,IF($L832&gt;PARAMETRES!$E$33,3,IF($L832&gt;PARAMETRES!$D$33,2,1)))))</f>
        <v/>
      </c>
      <c r="U832" t="str">
        <f>IF($M832="","",IF($M832&gt;PARAMETRES!$G$34,5,IF($M832&gt;PARAMETRES!$F$34,4,IF($M832&gt;PARAMETRES!$E$34,3,IF($M832&gt;PARAMETRES!$D$34,2,1)))))</f>
        <v/>
      </c>
      <c r="V832" t="str">
        <f>IF($N832="","",IF($N832&gt;PARAMETRES!$G$35,5,IF($N832&gt;PARAMETRES!$F$35,4,IF($N832&gt;PARAMETRES!$E$35,3,IF($N832&gt;PARAMETRES!$D$35,2,1)))))</f>
        <v/>
      </c>
      <c r="W832" t="str">
        <f>IF($O832="","",IF($O832&gt;PARAMETRES!$G$36,5,IF($O832&gt;PARAMETRES!$F$36,4,IF($O832&gt;PARAMETRES!$E$36,3,IF($O832&gt;PARAMETRES!$D$36,2,1)))))</f>
        <v/>
      </c>
      <c r="X832" t="str">
        <f>IF($P832="","",IF($P832&gt;PARAMETRES!$G$37,5,IF($P832&gt;PARAMETRES!$F$37,4,IF($P832&gt;PARAMETRES!$E$37,3,IF($P832&gt;PARAMETRES!$D$37,2,1)))))</f>
        <v/>
      </c>
      <c r="Y832" t="str">
        <f t="shared" si="288"/>
        <v/>
      </c>
      <c r="Z832" t="str">
        <f>IFERROR(VLOOKUP($B832,TABLE_CYCLE,2,0),"")</f>
        <v/>
      </c>
      <c r="AA832" t="str">
        <f t="shared" si="289"/>
        <v/>
      </c>
      <c r="AB832" t="str">
        <f>IF($D832="","",IF(COUNTIF($D$2:$D832,$D832)=1,$D832,""))</f>
        <v/>
      </c>
      <c r="AC832">
        <f t="shared" si="290"/>
        <v>0</v>
      </c>
      <c r="AD832" t="str">
        <f t="shared" si="291"/>
        <v>|0</v>
      </c>
      <c r="AE832" t="str">
        <f t="shared" si="292"/>
        <v/>
      </c>
      <c r="AF832" t="str">
        <f t="shared" si="293"/>
        <v/>
      </c>
      <c r="AG832" t="str">
        <f t="shared" si="294"/>
        <v/>
      </c>
      <c r="AH832" t="str">
        <f t="shared" si="295"/>
        <v/>
      </c>
      <c r="AI832" t="str">
        <f t="shared" si="296"/>
        <v/>
      </c>
      <c r="AJ832" t="str">
        <f t="shared" si="297"/>
        <v/>
      </c>
      <c r="AK832" t="str">
        <f t="shared" si="298"/>
        <v/>
      </c>
      <c r="AL832" t="str">
        <f t="shared" si="299"/>
        <v/>
      </c>
      <c r="AM832" t="str">
        <f t="shared" si="300"/>
        <v/>
      </c>
      <c r="AN832" t="str">
        <f t="shared" si="301"/>
        <v/>
      </c>
      <c r="AO832" t="str">
        <f t="shared" si="302"/>
        <v/>
      </c>
      <c r="AP832">
        <f t="shared" si="303"/>
        <v>1</v>
      </c>
      <c r="AQ832" t="str">
        <f>IF(SAISIE!$F837="","",SAISIE!$Y837)</f>
        <v/>
      </c>
      <c r="AR832" t="str">
        <f>IF(OR(SAISIE!$U$4="",SAISIE!$W$4=""),"",IF(AND($A832=SAISIE!$U$4,$B832=SAISIE!$W$4,$C832="S1"),COUNTIFS($A$2:$A832,SAISIE!$U$4,$B$2:$B832,SAISIE!$W$4,$C$2:$C832,"S1"),""))</f>
        <v/>
      </c>
      <c r="AS832" t="str">
        <f t="shared" si="304"/>
        <v/>
      </c>
      <c r="AT832" t="str">
        <f t="shared" si="305"/>
        <v/>
      </c>
      <c r="AU832" t="str">
        <f t="shared" si="306"/>
        <v/>
      </c>
      <c r="AV832">
        <f>N(AV831)+IF(AND($AB832&lt;&gt;"",OR('PROFIL ELEVE'!$K$4="(Tous)",$AF832='PROFIL ELEVE'!$K$4)),1,0)</f>
        <v>0</v>
      </c>
      <c r="AW832">
        <f>N(AW831)+IF(AND($AB832&lt;&gt;"",OR('SUIVI LONGITUDINAL'!$Q$4="(Tous)",$AF832='SUIVI LONGITUDINAL'!$Q$4)),1,0)</f>
        <v>0</v>
      </c>
      <c r="AX832">
        <f t="shared" si="307"/>
        <v>0</v>
      </c>
      <c r="AY832">
        <f t="shared" si="308"/>
        <v>0</v>
      </c>
      <c r="AZ832">
        <f t="shared" si="309"/>
        <v>0</v>
      </c>
      <c r="BA832" t="str">
        <f t="shared" si="310"/>
        <v/>
      </c>
      <c r="BB832" t="str">
        <f t="shared" si="311"/>
        <v/>
      </c>
    </row>
    <row r="833" spans="1:54" ht="14.25" customHeight="1" x14ac:dyDescent="0.3">
      <c r="A833" t="str">
        <f>IF(SAISIE!$F838="","",SAISIE!$B838)</f>
        <v/>
      </c>
      <c r="B833" t="str">
        <f>IF(SAISIE!$F838="","",SAISIE!$C838)</f>
        <v/>
      </c>
      <c r="C833" t="str">
        <f>IF(SAISIE!$F838="","",SAISIE!$D838)</f>
        <v/>
      </c>
      <c r="D833" t="str">
        <f>IF(SAISIE!$E838="","",SAISIE!$E838)</f>
        <v/>
      </c>
      <c r="E833" t="str">
        <f>IF(SAISIE!$F838="","",SAISIE!$F838)</f>
        <v/>
      </c>
      <c r="F833" t="str">
        <f>IF(SAISIE!$G838="","",SAISIE!$G838)</f>
        <v/>
      </c>
      <c r="G833" t="str">
        <f>IF(SAISIE!$H838="","",SAISIE!$H838)</f>
        <v/>
      </c>
      <c r="H833" t="str">
        <f>IF(SAISIE!$I838="","",SAISIE!$I838)</f>
        <v/>
      </c>
      <c r="I833" t="str">
        <f>IF(SAISIE!$J838="","",SAISIE!$J838)</f>
        <v/>
      </c>
      <c r="J833" t="str">
        <f>IF(SAISIE!$K838="","",SAISIE!$K838)</f>
        <v/>
      </c>
      <c r="K833" t="str">
        <f>IF(SAISIE!$L838="","",SAISIE!$L838)</f>
        <v/>
      </c>
      <c r="L833" t="str">
        <f>IF(SAISIE!$M838="","",SAISIE!$M838)</f>
        <v/>
      </c>
      <c r="M833" t="str">
        <f>IF(SAISIE!$N838="","",SAISIE!$N838)</f>
        <v/>
      </c>
      <c r="N833" t="str">
        <f>IF(SAISIE!$O838="","",SAISIE!$O838)</f>
        <v/>
      </c>
      <c r="O833" t="str">
        <f>IF(SAISIE!$P838="","",SAISIE!$P838)</f>
        <v/>
      </c>
      <c r="P833" t="str">
        <f>IF(SAISIE!$Q838="","",SAISIE!$Q838)</f>
        <v/>
      </c>
      <c r="Q833" t="str">
        <f>IF($I833="","",IF($I833&gt;PARAMETRES!$G$29,5,IF($I833&gt;PARAMETRES!$F$29,4,IF($I833&gt;PARAMETRES!$E$29,3,IF($I833&gt;PARAMETRES!$D$29,2,1)))))</f>
        <v/>
      </c>
      <c r="R833" t="str">
        <f>IF($J833="","",IF($J833&gt;PARAMETRES!$G$30,5,IF($J833&gt;PARAMETRES!$F$30,4,IF($J833&gt;PARAMETRES!$E$30,3,IF($J833&gt;PARAMETRES!$D$30,2,1)))))</f>
        <v/>
      </c>
      <c r="S833" t="str">
        <f>IF($K833="","",IF($Z833=2,IF($K833&gt;PARAMETRES!$G$31,5,IF($K833&gt;PARAMETRES!$F$31,4,IF($K833&gt;PARAMETRES!$E$31,3,IF($K833&gt;PARAMETRES!$D$31,2,1)))),IF($K833&gt;PARAMETRES!$G$32,5,IF($K833&gt;PARAMETRES!$F$32,4,IF($K833&gt;PARAMETRES!$E$32,3,IF($K833&gt;PARAMETRES!$D$32,2,1))))))</f>
        <v/>
      </c>
      <c r="T833" t="str">
        <f>IF($L833="","",IF($L833&gt;PARAMETRES!$G$33,5,IF($L833&gt;PARAMETRES!$F$33,4,IF($L833&gt;PARAMETRES!$E$33,3,IF($L833&gt;PARAMETRES!$D$33,2,1)))))</f>
        <v/>
      </c>
      <c r="U833" t="str">
        <f>IF($M833="","",IF($M833&gt;PARAMETRES!$G$34,5,IF($M833&gt;PARAMETRES!$F$34,4,IF($M833&gt;PARAMETRES!$E$34,3,IF($M833&gt;PARAMETRES!$D$34,2,1)))))</f>
        <v/>
      </c>
      <c r="V833" t="str">
        <f>IF($N833="","",IF($N833&gt;PARAMETRES!$G$35,5,IF($N833&gt;PARAMETRES!$F$35,4,IF($N833&gt;PARAMETRES!$E$35,3,IF($N833&gt;PARAMETRES!$D$35,2,1)))))</f>
        <v/>
      </c>
      <c r="W833" t="str">
        <f>IF($O833="","",IF($O833&gt;PARAMETRES!$G$36,5,IF($O833&gt;PARAMETRES!$F$36,4,IF($O833&gt;PARAMETRES!$E$36,3,IF($O833&gt;PARAMETRES!$D$36,2,1)))))</f>
        <v/>
      </c>
      <c r="X833" t="str">
        <f>IF($P833="","",IF($P833&gt;PARAMETRES!$G$37,5,IF($P833&gt;PARAMETRES!$F$37,4,IF($P833&gt;PARAMETRES!$E$37,3,IF($P833&gt;PARAMETRES!$D$37,2,1)))))</f>
        <v/>
      </c>
      <c r="Y833" t="str">
        <f t="shared" si="288"/>
        <v/>
      </c>
      <c r="Z833" t="str">
        <f>IFERROR(VLOOKUP($B833,TABLE_CYCLE,2,0),"")</f>
        <v/>
      </c>
      <c r="AA833" t="str">
        <f t="shared" si="289"/>
        <v/>
      </c>
      <c r="AB833" t="str">
        <f>IF($D833="","",IF(COUNTIF($D$2:$D833,$D833)=1,$D833,""))</f>
        <v/>
      </c>
      <c r="AC833">
        <f t="shared" si="290"/>
        <v>0</v>
      </c>
      <c r="AD833" t="str">
        <f t="shared" si="291"/>
        <v>|0</v>
      </c>
      <c r="AE833" t="str">
        <f t="shared" si="292"/>
        <v/>
      </c>
      <c r="AF833" t="str">
        <f t="shared" si="293"/>
        <v/>
      </c>
      <c r="AG833" t="str">
        <f t="shared" si="294"/>
        <v/>
      </c>
      <c r="AH833" t="str">
        <f t="shared" si="295"/>
        <v/>
      </c>
      <c r="AI833" t="str">
        <f t="shared" si="296"/>
        <v/>
      </c>
      <c r="AJ833" t="str">
        <f t="shared" si="297"/>
        <v/>
      </c>
      <c r="AK833" t="str">
        <f t="shared" si="298"/>
        <v/>
      </c>
      <c r="AL833" t="str">
        <f t="shared" si="299"/>
        <v/>
      </c>
      <c r="AM833" t="str">
        <f t="shared" si="300"/>
        <v/>
      </c>
      <c r="AN833" t="str">
        <f t="shared" si="301"/>
        <v/>
      </c>
      <c r="AO833" t="str">
        <f t="shared" si="302"/>
        <v/>
      </c>
      <c r="AP833">
        <f t="shared" si="303"/>
        <v>1</v>
      </c>
      <c r="AQ833" t="str">
        <f>IF(SAISIE!$F838="","",SAISIE!$Y838)</f>
        <v/>
      </c>
      <c r="AR833" t="str">
        <f>IF(OR(SAISIE!$U$4="",SAISIE!$W$4=""),"",IF(AND($A833=SAISIE!$U$4,$B833=SAISIE!$W$4,$C833="S1"),COUNTIFS($A$2:$A833,SAISIE!$U$4,$B$2:$B833,SAISIE!$W$4,$C$2:$C833,"S1"),""))</f>
        <v/>
      </c>
      <c r="AS833" t="str">
        <f t="shared" si="304"/>
        <v/>
      </c>
      <c r="AT833" t="str">
        <f t="shared" si="305"/>
        <v/>
      </c>
      <c r="AU833" t="str">
        <f t="shared" si="306"/>
        <v/>
      </c>
      <c r="AV833">
        <f>N(AV832)+IF(AND($AB833&lt;&gt;"",OR('PROFIL ELEVE'!$K$4="(Tous)",$AF833='PROFIL ELEVE'!$K$4)),1,0)</f>
        <v>0</v>
      </c>
      <c r="AW833">
        <f>N(AW832)+IF(AND($AB833&lt;&gt;"",OR('SUIVI LONGITUDINAL'!$Q$4="(Tous)",$AF833='SUIVI LONGITUDINAL'!$Q$4)),1,0)</f>
        <v>0</v>
      </c>
      <c r="AX833">
        <f t="shared" si="307"/>
        <v>0</v>
      </c>
      <c r="AY833">
        <f t="shared" si="308"/>
        <v>0</v>
      </c>
      <c r="AZ833">
        <f t="shared" si="309"/>
        <v>0</v>
      </c>
      <c r="BA833" t="str">
        <f t="shared" si="310"/>
        <v/>
      </c>
      <c r="BB833" t="str">
        <f t="shared" si="311"/>
        <v/>
      </c>
    </row>
    <row r="834" spans="1:54" ht="14.25" customHeight="1" x14ac:dyDescent="0.3">
      <c r="A834" t="str">
        <f>IF(SAISIE!$F839="","",SAISIE!$B839)</f>
        <v/>
      </c>
      <c r="B834" t="str">
        <f>IF(SAISIE!$F839="","",SAISIE!$C839)</f>
        <v/>
      </c>
      <c r="C834" t="str">
        <f>IF(SAISIE!$F839="","",SAISIE!$D839)</f>
        <v/>
      </c>
      <c r="D834" t="str">
        <f>IF(SAISIE!$E839="","",SAISIE!$E839)</f>
        <v/>
      </c>
      <c r="E834" t="str">
        <f>IF(SAISIE!$F839="","",SAISIE!$F839)</f>
        <v/>
      </c>
      <c r="F834" t="str">
        <f>IF(SAISIE!$G839="","",SAISIE!$G839)</f>
        <v/>
      </c>
      <c r="G834" t="str">
        <f>IF(SAISIE!$H839="","",SAISIE!$H839)</f>
        <v/>
      </c>
      <c r="H834" t="str">
        <f>IF(SAISIE!$I839="","",SAISIE!$I839)</f>
        <v/>
      </c>
      <c r="I834" t="str">
        <f>IF(SAISIE!$J839="","",SAISIE!$J839)</f>
        <v/>
      </c>
      <c r="J834" t="str">
        <f>IF(SAISIE!$K839="","",SAISIE!$K839)</f>
        <v/>
      </c>
      <c r="K834" t="str">
        <f>IF(SAISIE!$L839="","",SAISIE!$L839)</f>
        <v/>
      </c>
      <c r="L834" t="str">
        <f>IF(SAISIE!$M839="","",SAISIE!$M839)</f>
        <v/>
      </c>
      <c r="M834" t="str">
        <f>IF(SAISIE!$N839="","",SAISIE!$N839)</f>
        <v/>
      </c>
      <c r="N834" t="str">
        <f>IF(SAISIE!$O839="","",SAISIE!$O839)</f>
        <v/>
      </c>
      <c r="O834" t="str">
        <f>IF(SAISIE!$P839="","",SAISIE!$P839)</f>
        <v/>
      </c>
      <c r="P834" t="str">
        <f>IF(SAISIE!$Q839="","",SAISIE!$Q839)</f>
        <v/>
      </c>
      <c r="Q834" t="str">
        <f>IF($I834="","",IF($I834&gt;PARAMETRES!$G$29,5,IF($I834&gt;PARAMETRES!$F$29,4,IF($I834&gt;PARAMETRES!$E$29,3,IF($I834&gt;PARAMETRES!$D$29,2,1)))))</f>
        <v/>
      </c>
      <c r="R834" t="str">
        <f>IF($J834="","",IF($J834&gt;PARAMETRES!$G$30,5,IF($J834&gt;PARAMETRES!$F$30,4,IF($J834&gt;PARAMETRES!$E$30,3,IF($J834&gt;PARAMETRES!$D$30,2,1)))))</f>
        <v/>
      </c>
      <c r="S834" t="str">
        <f>IF($K834="","",IF($Z834=2,IF($K834&gt;PARAMETRES!$G$31,5,IF($K834&gt;PARAMETRES!$F$31,4,IF($K834&gt;PARAMETRES!$E$31,3,IF($K834&gt;PARAMETRES!$D$31,2,1)))),IF($K834&gt;PARAMETRES!$G$32,5,IF($K834&gt;PARAMETRES!$F$32,4,IF($K834&gt;PARAMETRES!$E$32,3,IF($K834&gt;PARAMETRES!$D$32,2,1))))))</f>
        <v/>
      </c>
      <c r="T834" t="str">
        <f>IF($L834="","",IF($L834&gt;PARAMETRES!$G$33,5,IF($L834&gt;PARAMETRES!$F$33,4,IF($L834&gt;PARAMETRES!$E$33,3,IF($L834&gt;PARAMETRES!$D$33,2,1)))))</f>
        <v/>
      </c>
      <c r="U834" t="str">
        <f>IF($M834="","",IF($M834&gt;PARAMETRES!$G$34,5,IF($M834&gt;PARAMETRES!$F$34,4,IF($M834&gt;PARAMETRES!$E$34,3,IF($M834&gt;PARAMETRES!$D$34,2,1)))))</f>
        <v/>
      </c>
      <c r="V834" t="str">
        <f>IF($N834="","",IF($N834&gt;PARAMETRES!$G$35,5,IF($N834&gt;PARAMETRES!$F$35,4,IF($N834&gt;PARAMETRES!$E$35,3,IF($N834&gt;PARAMETRES!$D$35,2,1)))))</f>
        <v/>
      </c>
      <c r="W834" t="str">
        <f>IF($O834="","",IF($O834&gt;PARAMETRES!$G$36,5,IF($O834&gt;PARAMETRES!$F$36,4,IF($O834&gt;PARAMETRES!$E$36,3,IF($O834&gt;PARAMETRES!$D$36,2,1)))))</f>
        <v/>
      </c>
      <c r="X834" t="str">
        <f>IF($P834="","",IF($P834&gt;PARAMETRES!$G$37,5,IF($P834&gt;PARAMETRES!$F$37,4,IF($P834&gt;PARAMETRES!$E$37,3,IF($P834&gt;PARAMETRES!$D$37,2,1)))))</f>
        <v/>
      </c>
      <c r="Y834" t="str">
        <f t="shared" ref="Y834:Y897" si="312">IF(COUNT($Q834:$X834)=0,"",AVERAGE($Q834:$X834))</f>
        <v/>
      </c>
      <c r="Z834" t="str">
        <f>IFERROR(VLOOKUP($B834,TABLE_CYCLE,2,0),"")</f>
        <v/>
      </c>
      <c r="AA834" t="str">
        <f t="shared" ref="AA834:AA897" si="313">IF($D834="","",$D834&amp;"|"&amp;$A834&amp;"|"&amp;$C834)</f>
        <v/>
      </c>
      <c r="AB834" t="str">
        <f>IF($D834="","",IF(COUNTIF($D$2:$D834,$D834)=1,$D834,""))</f>
        <v/>
      </c>
      <c r="AC834">
        <f t="shared" ref="AC834:AC897" si="314">IFERROR(MATCH($A834,LISTE_ANNEES,0),0)</f>
        <v>0</v>
      </c>
      <c r="AD834" t="str">
        <f t="shared" ref="AD834:AD897" si="315">$D834&amp;"|"&amp;$AC834</f>
        <v>|0</v>
      </c>
      <c r="AE834" t="str">
        <f t="shared" ref="AE834:AE897" si="316">IF($D834="","",_xlfn.MAXIFS($AC$2:$AC$1201,$D$2:$D$1201,$D834))</f>
        <v/>
      </c>
      <c r="AF834" t="str">
        <f t="shared" ref="AF834:AF897" si="317">IF($AB834="","",IFERROR(INDEX($B$2:$B$1201,MATCH($D834&amp;"|"&amp;$AE834,$AD$2:$AD$1201,0)),""))</f>
        <v/>
      </c>
      <c r="AG834" t="str">
        <f t="shared" ref="AG834:AG897" si="318">IF($C834&lt;&gt;"S1","",IFERROR(MATCH($D834&amp;"|"&amp;$A834&amp;"|S2",$AA$2:$AA$1201,0),""))</f>
        <v/>
      </c>
      <c r="AH834" t="str">
        <f t="shared" ref="AH834:AH897" si="319">IF(OR($AG834="",$Q834=""),"",IF(INDEX($Q$2:$Q$1201,$AG834)="","",IF(INDEX($Q$2:$Q$1201,$AG834)&gt;$Q834,1,IF(INDEX($Q$2:$Q$1201,$AG834)&lt;$Q834,-1,0))))</f>
        <v/>
      </c>
      <c r="AI834" t="str">
        <f t="shared" ref="AI834:AI897" si="320">IF(OR($AG834="",$R834=""),"",IF(INDEX($R$2:$R$1201,$AG834)="","",IF(INDEX($R$2:$R$1201,$AG834)&gt;$R834,1,IF(INDEX($R$2:$R$1201,$AG834)&lt;$R834,-1,0))))</f>
        <v/>
      </c>
      <c r="AJ834" t="str">
        <f t="shared" ref="AJ834:AJ897" si="321">IF(OR($AG834="",$S834=""),"",IF(INDEX($S$2:$S$1201,$AG834)="","",IF(INDEX($S$2:$S$1201,$AG834)&gt;$S834,1,IF(INDEX($S$2:$S$1201,$AG834)&lt;$S834,-1,0))))</f>
        <v/>
      </c>
      <c r="AK834" t="str">
        <f t="shared" ref="AK834:AK897" si="322">IF(OR($AG834="",$T834=""),"",IF(INDEX($T$2:$T$1201,$AG834)="","",IF(INDEX($T$2:$T$1201,$AG834)&gt;$T834,1,IF(INDEX($T$2:$T$1201,$AG834)&lt;$T834,-1,0))))</f>
        <v/>
      </c>
      <c r="AL834" t="str">
        <f t="shared" ref="AL834:AL897" si="323">IF(OR($AG834="",$U834=""),"",IF(INDEX($U$2:$U$1201,$AG834)="","",IF(INDEX($U$2:$U$1201,$AG834)&gt;$U834,1,IF(INDEX($U$2:$U$1201,$AG834)&lt;$U834,-1,0))))</f>
        <v/>
      </c>
      <c r="AM834" t="str">
        <f t="shared" ref="AM834:AM897" si="324">IF(OR($AG834="",$V834=""),"",IF(INDEX($V$2:$V$1201,$AG834)="","",IF(INDEX($V$2:$V$1201,$AG834)&gt;$V834,1,IF(INDEX($V$2:$V$1201,$AG834)&lt;$V834,-1,0))))</f>
        <v/>
      </c>
      <c r="AN834" t="str">
        <f t="shared" ref="AN834:AN897" si="325">IF(OR($AG834="",$W834=""),"",IF(INDEX($W$2:$W$1201,$AG834)="","",IF(INDEX($W$2:$W$1201,$AG834)&gt;$W834,1,IF(INDEX($W$2:$W$1201,$AG834)&lt;$W834,-1,0))))</f>
        <v/>
      </c>
      <c r="AO834" t="str">
        <f t="shared" ref="AO834:AO897" si="326">IF(OR($AG834="",$X834=""),"",IF(INDEX($X$2:$X$1201,$AG834)="","",IF(INDEX($X$2:$X$1201,$AG834)&gt;$X834,1,IF(INDEX($X$2:$X$1201,$AG834)&lt;$X834,-1,0))))</f>
        <v/>
      </c>
      <c r="AP834">
        <f t="shared" ref="AP834:AP897" si="327">IF($D834="",1,COUNTIFS($D$2:$D$1201,$D834,$A$2:$A$1201,$A834))</f>
        <v>1</v>
      </c>
      <c r="AQ834" t="str">
        <f>IF(SAISIE!$F839="","",SAISIE!$Y839)</f>
        <v/>
      </c>
      <c r="AR834" t="str">
        <f>IF(OR(SAISIE!$U$4="",SAISIE!$W$4=""),"",IF(AND($A834=SAISIE!$U$4,$B834=SAISIE!$W$4,$C834="S1"),COUNTIFS($A$2:$A834,SAISIE!$U$4,$B$2:$B834,SAISIE!$W$4,$C$2:$C834,"S1"),""))</f>
        <v/>
      </c>
      <c r="AS834" t="str">
        <f t="shared" ref="AS834:AS897" si="328">IF($D834="","",$A834&amp;"|"&amp;$C834&amp;"|"&amp;$D834)</f>
        <v/>
      </c>
      <c r="AT834" t="str">
        <f t="shared" ref="AT834:AT897" si="329">IF($D834="","",$A834&amp;"|"&amp;$D834&amp;"|"&amp;IF($AQ834="Parti","P","A"))</f>
        <v/>
      </c>
      <c r="AU834" t="str">
        <f t="shared" ref="AU834:AU897" si="330">IF($A834="","",$A834&amp;"|"&amp;$B834&amp;"|"&amp;$C834)</f>
        <v/>
      </c>
      <c r="AV834">
        <f>N(AV833)+IF(AND($AB834&lt;&gt;"",OR('PROFIL ELEVE'!$K$4="(Tous)",$AF834='PROFIL ELEVE'!$K$4)),1,0)</f>
        <v>0</v>
      </c>
      <c r="AW834">
        <f>N(AW833)+IF(AND($AB834&lt;&gt;"",OR('SUIVI LONGITUDINAL'!$Q$4="(Tous)",$AF834='SUIVI LONGITUDINAL'!$Q$4)),1,0)</f>
        <v>0</v>
      </c>
      <c r="AX834">
        <f t="shared" ref="AX834:AX897" si="331">COUNTIF($AH834:$AO834,1)</f>
        <v>0</v>
      </c>
      <c r="AY834">
        <f t="shared" ref="AY834:AY897" si="332">COUNTIF($AH834:$AO834,0)</f>
        <v>0</v>
      </c>
      <c r="AZ834">
        <f t="shared" ref="AZ834:AZ897" si="333">COUNTIF($AH834:$AO834,-1)</f>
        <v>0</v>
      </c>
      <c r="BA834" t="str">
        <f t="shared" ref="BA834:BA897" si="334">IF($E834="","",COUNT($Q834:$X834))</f>
        <v/>
      </c>
      <c r="BB834" t="str">
        <f t="shared" ref="BB834:BB897" si="335">IF($E834="","",IF(COUNT($Q834:$X834)&gt;=IF($Z834=2,5,8),1,0))</f>
        <v/>
      </c>
    </row>
    <row r="835" spans="1:54" ht="14.25" customHeight="1" x14ac:dyDescent="0.3">
      <c r="A835" t="str">
        <f>IF(SAISIE!$F840="","",SAISIE!$B840)</f>
        <v/>
      </c>
      <c r="B835" t="str">
        <f>IF(SAISIE!$F840="","",SAISIE!$C840)</f>
        <v/>
      </c>
      <c r="C835" t="str">
        <f>IF(SAISIE!$F840="","",SAISIE!$D840)</f>
        <v/>
      </c>
      <c r="D835" t="str">
        <f>IF(SAISIE!$E840="","",SAISIE!$E840)</f>
        <v/>
      </c>
      <c r="E835" t="str">
        <f>IF(SAISIE!$F840="","",SAISIE!$F840)</f>
        <v/>
      </c>
      <c r="F835" t="str">
        <f>IF(SAISIE!$G840="","",SAISIE!$G840)</f>
        <v/>
      </c>
      <c r="G835" t="str">
        <f>IF(SAISIE!$H840="","",SAISIE!$H840)</f>
        <v/>
      </c>
      <c r="H835" t="str">
        <f>IF(SAISIE!$I840="","",SAISIE!$I840)</f>
        <v/>
      </c>
      <c r="I835" t="str">
        <f>IF(SAISIE!$J840="","",SAISIE!$J840)</f>
        <v/>
      </c>
      <c r="J835" t="str">
        <f>IF(SAISIE!$K840="","",SAISIE!$K840)</f>
        <v/>
      </c>
      <c r="K835" t="str">
        <f>IF(SAISIE!$L840="","",SAISIE!$L840)</f>
        <v/>
      </c>
      <c r="L835" t="str">
        <f>IF(SAISIE!$M840="","",SAISIE!$M840)</f>
        <v/>
      </c>
      <c r="M835" t="str">
        <f>IF(SAISIE!$N840="","",SAISIE!$N840)</f>
        <v/>
      </c>
      <c r="N835" t="str">
        <f>IF(SAISIE!$O840="","",SAISIE!$O840)</f>
        <v/>
      </c>
      <c r="O835" t="str">
        <f>IF(SAISIE!$P840="","",SAISIE!$P840)</f>
        <v/>
      </c>
      <c r="P835" t="str">
        <f>IF(SAISIE!$Q840="","",SAISIE!$Q840)</f>
        <v/>
      </c>
      <c r="Q835" t="str">
        <f>IF($I835="","",IF($I835&gt;PARAMETRES!$G$29,5,IF($I835&gt;PARAMETRES!$F$29,4,IF($I835&gt;PARAMETRES!$E$29,3,IF($I835&gt;PARAMETRES!$D$29,2,1)))))</f>
        <v/>
      </c>
      <c r="R835" t="str">
        <f>IF($J835="","",IF($J835&gt;PARAMETRES!$G$30,5,IF($J835&gt;PARAMETRES!$F$30,4,IF($J835&gt;PARAMETRES!$E$30,3,IF($J835&gt;PARAMETRES!$D$30,2,1)))))</f>
        <v/>
      </c>
      <c r="S835" t="str">
        <f>IF($K835="","",IF($Z835=2,IF($K835&gt;PARAMETRES!$G$31,5,IF($K835&gt;PARAMETRES!$F$31,4,IF($K835&gt;PARAMETRES!$E$31,3,IF($K835&gt;PARAMETRES!$D$31,2,1)))),IF($K835&gt;PARAMETRES!$G$32,5,IF($K835&gt;PARAMETRES!$F$32,4,IF($K835&gt;PARAMETRES!$E$32,3,IF($K835&gt;PARAMETRES!$D$32,2,1))))))</f>
        <v/>
      </c>
      <c r="T835" t="str">
        <f>IF($L835="","",IF($L835&gt;PARAMETRES!$G$33,5,IF($L835&gt;PARAMETRES!$F$33,4,IF($L835&gt;PARAMETRES!$E$33,3,IF($L835&gt;PARAMETRES!$D$33,2,1)))))</f>
        <v/>
      </c>
      <c r="U835" t="str">
        <f>IF($M835="","",IF($M835&gt;PARAMETRES!$G$34,5,IF($M835&gt;PARAMETRES!$F$34,4,IF($M835&gt;PARAMETRES!$E$34,3,IF($M835&gt;PARAMETRES!$D$34,2,1)))))</f>
        <v/>
      </c>
      <c r="V835" t="str">
        <f>IF($N835="","",IF($N835&gt;PARAMETRES!$G$35,5,IF($N835&gt;PARAMETRES!$F$35,4,IF($N835&gt;PARAMETRES!$E$35,3,IF($N835&gt;PARAMETRES!$D$35,2,1)))))</f>
        <v/>
      </c>
      <c r="W835" t="str">
        <f>IF($O835="","",IF($O835&gt;PARAMETRES!$G$36,5,IF($O835&gt;PARAMETRES!$F$36,4,IF($O835&gt;PARAMETRES!$E$36,3,IF($O835&gt;PARAMETRES!$D$36,2,1)))))</f>
        <v/>
      </c>
      <c r="X835" t="str">
        <f>IF($P835="","",IF($P835&gt;PARAMETRES!$G$37,5,IF($P835&gt;PARAMETRES!$F$37,4,IF($P835&gt;PARAMETRES!$E$37,3,IF($P835&gt;PARAMETRES!$D$37,2,1)))))</f>
        <v/>
      </c>
      <c r="Y835" t="str">
        <f t="shared" si="312"/>
        <v/>
      </c>
      <c r="Z835" t="str">
        <f>IFERROR(VLOOKUP($B835,TABLE_CYCLE,2,0),"")</f>
        <v/>
      </c>
      <c r="AA835" t="str">
        <f t="shared" si="313"/>
        <v/>
      </c>
      <c r="AB835" t="str">
        <f>IF($D835="","",IF(COUNTIF($D$2:$D835,$D835)=1,$D835,""))</f>
        <v/>
      </c>
      <c r="AC835">
        <f t="shared" si="314"/>
        <v>0</v>
      </c>
      <c r="AD835" t="str">
        <f t="shared" si="315"/>
        <v>|0</v>
      </c>
      <c r="AE835" t="str">
        <f t="shared" si="316"/>
        <v/>
      </c>
      <c r="AF835" t="str">
        <f t="shared" si="317"/>
        <v/>
      </c>
      <c r="AG835" t="str">
        <f t="shared" si="318"/>
        <v/>
      </c>
      <c r="AH835" t="str">
        <f t="shared" si="319"/>
        <v/>
      </c>
      <c r="AI835" t="str">
        <f t="shared" si="320"/>
        <v/>
      </c>
      <c r="AJ835" t="str">
        <f t="shared" si="321"/>
        <v/>
      </c>
      <c r="AK835" t="str">
        <f t="shared" si="322"/>
        <v/>
      </c>
      <c r="AL835" t="str">
        <f t="shared" si="323"/>
        <v/>
      </c>
      <c r="AM835" t="str">
        <f t="shared" si="324"/>
        <v/>
      </c>
      <c r="AN835" t="str">
        <f t="shared" si="325"/>
        <v/>
      </c>
      <c r="AO835" t="str">
        <f t="shared" si="326"/>
        <v/>
      </c>
      <c r="AP835">
        <f t="shared" si="327"/>
        <v>1</v>
      </c>
      <c r="AQ835" t="str">
        <f>IF(SAISIE!$F840="","",SAISIE!$Y840)</f>
        <v/>
      </c>
      <c r="AR835" t="str">
        <f>IF(OR(SAISIE!$U$4="",SAISIE!$W$4=""),"",IF(AND($A835=SAISIE!$U$4,$B835=SAISIE!$W$4,$C835="S1"),COUNTIFS($A$2:$A835,SAISIE!$U$4,$B$2:$B835,SAISIE!$W$4,$C$2:$C835,"S1"),""))</f>
        <v/>
      </c>
      <c r="AS835" t="str">
        <f t="shared" si="328"/>
        <v/>
      </c>
      <c r="AT835" t="str">
        <f t="shared" si="329"/>
        <v/>
      </c>
      <c r="AU835" t="str">
        <f t="shared" si="330"/>
        <v/>
      </c>
      <c r="AV835">
        <f>N(AV834)+IF(AND($AB835&lt;&gt;"",OR('PROFIL ELEVE'!$K$4="(Tous)",$AF835='PROFIL ELEVE'!$K$4)),1,0)</f>
        <v>0</v>
      </c>
      <c r="AW835">
        <f>N(AW834)+IF(AND($AB835&lt;&gt;"",OR('SUIVI LONGITUDINAL'!$Q$4="(Tous)",$AF835='SUIVI LONGITUDINAL'!$Q$4)),1,0)</f>
        <v>0</v>
      </c>
      <c r="AX835">
        <f t="shared" si="331"/>
        <v>0</v>
      </c>
      <c r="AY835">
        <f t="shared" si="332"/>
        <v>0</v>
      </c>
      <c r="AZ835">
        <f t="shared" si="333"/>
        <v>0</v>
      </c>
      <c r="BA835" t="str">
        <f t="shared" si="334"/>
        <v/>
      </c>
      <c r="BB835" t="str">
        <f t="shared" si="335"/>
        <v/>
      </c>
    </row>
    <row r="836" spans="1:54" ht="14.25" customHeight="1" x14ac:dyDescent="0.3">
      <c r="A836" t="str">
        <f>IF(SAISIE!$F841="","",SAISIE!$B841)</f>
        <v/>
      </c>
      <c r="B836" t="str">
        <f>IF(SAISIE!$F841="","",SAISIE!$C841)</f>
        <v/>
      </c>
      <c r="C836" t="str">
        <f>IF(SAISIE!$F841="","",SAISIE!$D841)</f>
        <v/>
      </c>
      <c r="D836" t="str">
        <f>IF(SAISIE!$E841="","",SAISIE!$E841)</f>
        <v/>
      </c>
      <c r="E836" t="str">
        <f>IF(SAISIE!$F841="","",SAISIE!$F841)</f>
        <v/>
      </c>
      <c r="F836" t="str">
        <f>IF(SAISIE!$G841="","",SAISIE!$G841)</f>
        <v/>
      </c>
      <c r="G836" t="str">
        <f>IF(SAISIE!$H841="","",SAISIE!$H841)</f>
        <v/>
      </c>
      <c r="H836" t="str">
        <f>IF(SAISIE!$I841="","",SAISIE!$I841)</f>
        <v/>
      </c>
      <c r="I836" t="str">
        <f>IF(SAISIE!$J841="","",SAISIE!$J841)</f>
        <v/>
      </c>
      <c r="J836" t="str">
        <f>IF(SAISIE!$K841="","",SAISIE!$K841)</f>
        <v/>
      </c>
      <c r="K836" t="str">
        <f>IF(SAISIE!$L841="","",SAISIE!$L841)</f>
        <v/>
      </c>
      <c r="L836" t="str">
        <f>IF(SAISIE!$M841="","",SAISIE!$M841)</f>
        <v/>
      </c>
      <c r="M836" t="str">
        <f>IF(SAISIE!$N841="","",SAISIE!$N841)</f>
        <v/>
      </c>
      <c r="N836" t="str">
        <f>IF(SAISIE!$O841="","",SAISIE!$O841)</f>
        <v/>
      </c>
      <c r="O836" t="str">
        <f>IF(SAISIE!$P841="","",SAISIE!$P841)</f>
        <v/>
      </c>
      <c r="P836" t="str">
        <f>IF(SAISIE!$Q841="","",SAISIE!$Q841)</f>
        <v/>
      </c>
      <c r="Q836" t="str">
        <f>IF($I836="","",IF($I836&gt;PARAMETRES!$G$29,5,IF($I836&gt;PARAMETRES!$F$29,4,IF($I836&gt;PARAMETRES!$E$29,3,IF($I836&gt;PARAMETRES!$D$29,2,1)))))</f>
        <v/>
      </c>
      <c r="R836" t="str">
        <f>IF($J836="","",IF($J836&gt;PARAMETRES!$G$30,5,IF($J836&gt;PARAMETRES!$F$30,4,IF($J836&gt;PARAMETRES!$E$30,3,IF($J836&gt;PARAMETRES!$D$30,2,1)))))</f>
        <v/>
      </c>
      <c r="S836" t="str">
        <f>IF($K836="","",IF($Z836=2,IF($K836&gt;PARAMETRES!$G$31,5,IF($K836&gt;PARAMETRES!$F$31,4,IF($K836&gt;PARAMETRES!$E$31,3,IF($K836&gt;PARAMETRES!$D$31,2,1)))),IF($K836&gt;PARAMETRES!$G$32,5,IF($K836&gt;PARAMETRES!$F$32,4,IF($K836&gt;PARAMETRES!$E$32,3,IF($K836&gt;PARAMETRES!$D$32,2,1))))))</f>
        <v/>
      </c>
      <c r="T836" t="str">
        <f>IF($L836="","",IF($L836&gt;PARAMETRES!$G$33,5,IF($L836&gt;PARAMETRES!$F$33,4,IF($L836&gt;PARAMETRES!$E$33,3,IF($L836&gt;PARAMETRES!$D$33,2,1)))))</f>
        <v/>
      </c>
      <c r="U836" t="str">
        <f>IF($M836="","",IF($M836&gt;PARAMETRES!$G$34,5,IF($M836&gt;PARAMETRES!$F$34,4,IF($M836&gt;PARAMETRES!$E$34,3,IF($M836&gt;PARAMETRES!$D$34,2,1)))))</f>
        <v/>
      </c>
      <c r="V836" t="str">
        <f>IF($N836="","",IF($N836&gt;PARAMETRES!$G$35,5,IF($N836&gt;PARAMETRES!$F$35,4,IF($N836&gt;PARAMETRES!$E$35,3,IF($N836&gt;PARAMETRES!$D$35,2,1)))))</f>
        <v/>
      </c>
      <c r="W836" t="str">
        <f>IF($O836="","",IF($O836&gt;PARAMETRES!$G$36,5,IF($O836&gt;PARAMETRES!$F$36,4,IF($O836&gt;PARAMETRES!$E$36,3,IF($O836&gt;PARAMETRES!$D$36,2,1)))))</f>
        <v/>
      </c>
      <c r="X836" t="str">
        <f>IF($P836="","",IF($P836&gt;PARAMETRES!$G$37,5,IF($P836&gt;PARAMETRES!$F$37,4,IF($P836&gt;PARAMETRES!$E$37,3,IF($P836&gt;PARAMETRES!$D$37,2,1)))))</f>
        <v/>
      </c>
      <c r="Y836" t="str">
        <f t="shared" si="312"/>
        <v/>
      </c>
      <c r="Z836" t="str">
        <f>IFERROR(VLOOKUP($B836,TABLE_CYCLE,2,0),"")</f>
        <v/>
      </c>
      <c r="AA836" t="str">
        <f t="shared" si="313"/>
        <v/>
      </c>
      <c r="AB836" t="str">
        <f>IF($D836="","",IF(COUNTIF($D$2:$D836,$D836)=1,$D836,""))</f>
        <v/>
      </c>
      <c r="AC836">
        <f t="shared" si="314"/>
        <v>0</v>
      </c>
      <c r="AD836" t="str">
        <f t="shared" si="315"/>
        <v>|0</v>
      </c>
      <c r="AE836" t="str">
        <f t="shared" si="316"/>
        <v/>
      </c>
      <c r="AF836" t="str">
        <f t="shared" si="317"/>
        <v/>
      </c>
      <c r="AG836" t="str">
        <f t="shared" si="318"/>
        <v/>
      </c>
      <c r="AH836" t="str">
        <f t="shared" si="319"/>
        <v/>
      </c>
      <c r="AI836" t="str">
        <f t="shared" si="320"/>
        <v/>
      </c>
      <c r="AJ836" t="str">
        <f t="shared" si="321"/>
        <v/>
      </c>
      <c r="AK836" t="str">
        <f t="shared" si="322"/>
        <v/>
      </c>
      <c r="AL836" t="str">
        <f t="shared" si="323"/>
        <v/>
      </c>
      <c r="AM836" t="str">
        <f t="shared" si="324"/>
        <v/>
      </c>
      <c r="AN836" t="str">
        <f t="shared" si="325"/>
        <v/>
      </c>
      <c r="AO836" t="str">
        <f t="shared" si="326"/>
        <v/>
      </c>
      <c r="AP836">
        <f t="shared" si="327"/>
        <v>1</v>
      </c>
      <c r="AQ836" t="str">
        <f>IF(SAISIE!$F841="","",SAISIE!$Y841)</f>
        <v/>
      </c>
      <c r="AR836" t="str">
        <f>IF(OR(SAISIE!$U$4="",SAISIE!$W$4=""),"",IF(AND($A836=SAISIE!$U$4,$B836=SAISIE!$W$4,$C836="S1"),COUNTIFS($A$2:$A836,SAISIE!$U$4,$B$2:$B836,SAISIE!$W$4,$C$2:$C836,"S1"),""))</f>
        <v/>
      </c>
      <c r="AS836" t="str">
        <f t="shared" si="328"/>
        <v/>
      </c>
      <c r="AT836" t="str">
        <f t="shared" si="329"/>
        <v/>
      </c>
      <c r="AU836" t="str">
        <f t="shared" si="330"/>
        <v/>
      </c>
      <c r="AV836">
        <f>N(AV835)+IF(AND($AB836&lt;&gt;"",OR('PROFIL ELEVE'!$K$4="(Tous)",$AF836='PROFIL ELEVE'!$K$4)),1,0)</f>
        <v>0</v>
      </c>
      <c r="AW836">
        <f>N(AW835)+IF(AND($AB836&lt;&gt;"",OR('SUIVI LONGITUDINAL'!$Q$4="(Tous)",$AF836='SUIVI LONGITUDINAL'!$Q$4)),1,0)</f>
        <v>0</v>
      </c>
      <c r="AX836">
        <f t="shared" si="331"/>
        <v>0</v>
      </c>
      <c r="AY836">
        <f t="shared" si="332"/>
        <v>0</v>
      </c>
      <c r="AZ836">
        <f t="shared" si="333"/>
        <v>0</v>
      </c>
      <c r="BA836" t="str">
        <f t="shared" si="334"/>
        <v/>
      </c>
      <c r="BB836" t="str">
        <f t="shared" si="335"/>
        <v/>
      </c>
    </row>
    <row r="837" spans="1:54" ht="14.25" customHeight="1" x14ac:dyDescent="0.3">
      <c r="A837" t="str">
        <f>IF(SAISIE!$F842="","",SAISIE!$B842)</f>
        <v/>
      </c>
      <c r="B837" t="str">
        <f>IF(SAISIE!$F842="","",SAISIE!$C842)</f>
        <v/>
      </c>
      <c r="C837" t="str">
        <f>IF(SAISIE!$F842="","",SAISIE!$D842)</f>
        <v/>
      </c>
      <c r="D837" t="str">
        <f>IF(SAISIE!$E842="","",SAISIE!$E842)</f>
        <v/>
      </c>
      <c r="E837" t="str">
        <f>IF(SAISIE!$F842="","",SAISIE!$F842)</f>
        <v/>
      </c>
      <c r="F837" t="str">
        <f>IF(SAISIE!$G842="","",SAISIE!$G842)</f>
        <v/>
      </c>
      <c r="G837" t="str">
        <f>IF(SAISIE!$H842="","",SAISIE!$H842)</f>
        <v/>
      </c>
      <c r="H837" t="str">
        <f>IF(SAISIE!$I842="","",SAISIE!$I842)</f>
        <v/>
      </c>
      <c r="I837" t="str">
        <f>IF(SAISIE!$J842="","",SAISIE!$J842)</f>
        <v/>
      </c>
      <c r="J837" t="str">
        <f>IF(SAISIE!$K842="","",SAISIE!$K842)</f>
        <v/>
      </c>
      <c r="K837" t="str">
        <f>IF(SAISIE!$L842="","",SAISIE!$L842)</f>
        <v/>
      </c>
      <c r="L837" t="str">
        <f>IF(SAISIE!$M842="","",SAISIE!$M842)</f>
        <v/>
      </c>
      <c r="M837" t="str">
        <f>IF(SAISIE!$N842="","",SAISIE!$N842)</f>
        <v/>
      </c>
      <c r="N837" t="str">
        <f>IF(SAISIE!$O842="","",SAISIE!$O842)</f>
        <v/>
      </c>
      <c r="O837" t="str">
        <f>IF(SAISIE!$P842="","",SAISIE!$P842)</f>
        <v/>
      </c>
      <c r="P837" t="str">
        <f>IF(SAISIE!$Q842="","",SAISIE!$Q842)</f>
        <v/>
      </c>
      <c r="Q837" t="str">
        <f>IF($I837="","",IF($I837&gt;PARAMETRES!$G$29,5,IF($I837&gt;PARAMETRES!$F$29,4,IF($I837&gt;PARAMETRES!$E$29,3,IF($I837&gt;PARAMETRES!$D$29,2,1)))))</f>
        <v/>
      </c>
      <c r="R837" t="str">
        <f>IF($J837="","",IF($J837&gt;PARAMETRES!$G$30,5,IF($J837&gt;PARAMETRES!$F$30,4,IF($J837&gt;PARAMETRES!$E$30,3,IF($J837&gt;PARAMETRES!$D$30,2,1)))))</f>
        <v/>
      </c>
      <c r="S837" t="str">
        <f>IF($K837="","",IF($Z837=2,IF($K837&gt;PARAMETRES!$G$31,5,IF($K837&gt;PARAMETRES!$F$31,4,IF($K837&gt;PARAMETRES!$E$31,3,IF($K837&gt;PARAMETRES!$D$31,2,1)))),IF($K837&gt;PARAMETRES!$G$32,5,IF($K837&gt;PARAMETRES!$F$32,4,IF($K837&gt;PARAMETRES!$E$32,3,IF($K837&gt;PARAMETRES!$D$32,2,1))))))</f>
        <v/>
      </c>
      <c r="T837" t="str">
        <f>IF($L837="","",IF($L837&gt;PARAMETRES!$G$33,5,IF($L837&gt;PARAMETRES!$F$33,4,IF($L837&gt;PARAMETRES!$E$33,3,IF($L837&gt;PARAMETRES!$D$33,2,1)))))</f>
        <v/>
      </c>
      <c r="U837" t="str">
        <f>IF($M837="","",IF($M837&gt;PARAMETRES!$G$34,5,IF($M837&gt;PARAMETRES!$F$34,4,IF($M837&gt;PARAMETRES!$E$34,3,IF($M837&gt;PARAMETRES!$D$34,2,1)))))</f>
        <v/>
      </c>
      <c r="V837" t="str">
        <f>IF($N837="","",IF($N837&gt;PARAMETRES!$G$35,5,IF($N837&gt;PARAMETRES!$F$35,4,IF($N837&gt;PARAMETRES!$E$35,3,IF($N837&gt;PARAMETRES!$D$35,2,1)))))</f>
        <v/>
      </c>
      <c r="W837" t="str">
        <f>IF($O837="","",IF($O837&gt;PARAMETRES!$G$36,5,IF($O837&gt;PARAMETRES!$F$36,4,IF($O837&gt;PARAMETRES!$E$36,3,IF($O837&gt;PARAMETRES!$D$36,2,1)))))</f>
        <v/>
      </c>
      <c r="X837" t="str">
        <f>IF($P837="","",IF($P837&gt;PARAMETRES!$G$37,5,IF($P837&gt;PARAMETRES!$F$37,4,IF($P837&gt;PARAMETRES!$E$37,3,IF($P837&gt;PARAMETRES!$D$37,2,1)))))</f>
        <v/>
      </c>
      <c r="Y837" t="str">
        <f t="shared" si="312"/>
        <v/>
      </c>
      <c r="Z837" t="str">
        <f>IFERROR(VLOOKUP($B837,TABLE_CYCLE,2,0),"")</f>
        <v/>
      </c>
      <c r="AA837" t="str">
        <f t="shared" si="313"/>
        <v/>
      </c>
      <c r="AB837" t="str">
        <f>IF($D837="","",IF(COUNTIF($D$2:$D837,$D837)=1,$D837,""))</f>
        <v/>
      </c>
      <c r="AC837">
        <f t="shared" si="314"/>
        <v>0</v>
      </c>
      <c r="AD837" t="str">
        <f t="shared" si="315"/>
        <v>|0</v>
      </c>
      <c r="AE837" t="str">
        <f t="shared" si="316"/>
        <v/>
      </c>
      <c r="AF837" t="str">
        <f t="shared" si="317"/>
        <v/>
      </c>
      <c r="AG837" t="str">
        <f t="shared" si="318"/>
        <v/>
      </c>
      <c r="AH837" t="str">
        <f t="shared" si="319"/>
        <v/>
      </c>
      <c r="AI837" t="str">
        <f t="shared" si="320"/>
        <v/>
      </c>
      <c r="AJ837" t="str">
        <f t="shared" si="321"/>
        <v/>
      </c>
      <c r="AK837" t="str">
        <f t="shared" si="322"/>
        <v/>
      </c>
      <c r="AL837" t="str">
        <f t="shared" si="323"/>
        <v/>
      </c>
      <c r="AM837" t="str">
        <f t="shared" si="324"/>
        <v/>
      </c>
      <c r="AN837" t="str">
        <f t="shared" si="325"/>
        <v/>
      </c>
      <c r="AO837" t="str">
        <f t="shared" si="326"/>
        <v/>
      </c>
      <c r="AP837">
        <f t="shared" si="327"/>
        <v>1</v>
      </c>
      <c r="AQ837" t="str">
        <f>IF(SAISIE!$F842="","",SAISIE!$Y842)</f>
        <v/>
      </c>
      <c r="AR837" t="str">
        <f>IF(OR(SAISIE!$U$4="",SAISIE!$W$4=""),"",IF(AND($A837=SAISIE!$U$4,$B837=SAISIE!$W$4,$C837="S1"),COUNTIFS($A$2:$A837,SAISIE!$U$4,$B$2:$B837,SAISIE!$W$4,$C$2:$C837,"S1"),""))</f>
        <v/>
      </c>
      <c r="AS837" t="str">
        <f t="shared" si="328"/>
        <v/>
      </c>
      <c r="AT837" t="str">
        <f t="shared" si="329"/>
        <v/>
      </c>
      <c r="AU837" t="str">
        <f t="shared" si="330"/>
        <v/>
      </c>
      <c r="AV837">
        <f>N(AV836)+IF(AND($AB837&lt;&gt;"",OR('PROFIL ELEVE'!$K$4="(Tous)",$AF837='PROFIL ELEVE'!$K$4)),1,0)</f>
        <v>0</v>
      </c>
      <c r="AW837">
        <f>N(AW836)+IF(AND($AB837&lt;&gt;"",OR('SUIVI LONGITUDINAL'!$Q$4="(Tous)",$AF837='SUIVI LONGITUDINAL'!$Q$4)),1,0)</f>
        <v>0</v>
      </c>
      <c r="AX837">
        <f t="shared" si="331"/>
        <v>0</v>
      </c>
      <c r="AY837">
        <f t="shared" si="332"/>
        <v>0</v>
      </c>
      <c r="AZ837">
        <f t="shared" si="333"/>
        <v>0</v>
      </c>
      <c r="BA837" t="str">
        <f t="shared" si="334"/>
        <v/>
      </c>
      <c r="BB837" t="str">
        <f t="shared" si="335"/>
        <v/>
      </c>
    </row>
    <row r="838" spans="1:54" ht="14.25" customHeight="1" x14ac:dyDescent="0.3">
      <c r="A838" t="str">
        <f>IF(SAISIE!$F843="","",SAISIE!$B843)</f>
        <v/>
      </c>
      <c r="B838" t="str">
        <f>IF(SAISIE!$F843="","",SAISIE!$C843)</f>
        <v/>
      </c>
      <c r="C838" t="str">
        <f>IF(SAISIE!$F843="","",SAISIE!$D843)</f>
        <v/>
      </c>
      <c r="D838" t="str">
        <f>IF(SAISIE!$E843="","",SAISIE!$E843)</f>
        <v/>
      </c>
      <c r="E838" t="str">
        <f>IF(SAISIE!$F843="","",SAISIE!$F843)</f>
        <v/>
      </c>
      <c r="F838" t="str">
        <f>IF(SAISIE!$G843="","",SAISIE!$G843)</f>
        <v/>
      </c>
      <c r="G838" t="str">
        <f>IF(SAISIE!$H843="","",SAISIE!$H843)</f>
        <v/>
      </c>
      <c r="H838" t="str">
        <f>IF(SAISIE!$I843="","",SAISIE!$I843)</f>
        <v/>
      </c>
      <c r="I838" t="str">
        <f>IF(SAISIE!$J843="","",SAISIE!$J843)</f>
        <v/>
      </c>
      <c r="J838" t="str">
        <f>IF(SAISIE!$K843="","",SAISIE!$K843)</f>
        <v/>
      </c>
      <c r="K838" t="str">
        <f>IF(SAISIE!$L843="","",SAISIE!$L843)</f>
        <v/>
      </c>
      <c r="L838" t="str">
        <f>IF(SAISIE!$M843="","",SAISIE!$M843)</f>
        <v/>
      </c>
      <c r="M838" t="str">
        <f>IF(SAISIE!$N843="","",SAISIE!$N843)</f>
        <v/>
      </c>
      <c r="N838" t="str">
        <f>IF(SAISIE!$O843="","",SAISIE!$O843)</f>
        <v/>
      </c>
      <c r="O838" t="str">
        <f>IF(SAISIE!$P843="","",SAISIE!$P843)</f>
        <v/>
      </c>
      <c r="P838" t="str">
        <f>IF(SAISIE!$Q843="","",SAISIE!$Q843)</f>
        <v/>
      </c>
      <c r="Q838" t="str">
        <f>IF($I838="","",IF($I838&gt;PARAMETRES!$G$29,5,IF($I838&gt;PARAMETRES!$F$29,4,IF($I838&gt;PARAMETRES!$E$29,3,IF($I838&gt;PARAMETRES!$D$29,2,1)))))</f>
        <v/>
      </c>
      <c r="R838" t="str">
        <f>IF($J838="","",IF($J838&gt;PARAMETRES!$G$30,5,IF($J838&gt;PARAMETRES!$F$30,4,IF($J838&gt;PARAMETRES!$E$30,3,IF($J838&gt;PARAMETRES!$D$30,2,1)))))</f>
        <v/>
      </c>
      <c r="S838" t="str">
        <f>IF($K838="","",IF($Z838=2,IF($K838&gt;PARAMETRES!$G$31,5,IF($K838&gt;PARAMETRES!$F$31,4,IF($K838&gt;PARAMETRES!$E$31,3,IF($K838&gt;PARAMETRES!$D$31,2,1)))),IF($K838&gt;PARAMETRES!$G$32,5,IF($K838&gt;PARAMETRES!$F$32,4,IF($K838&gt;PARAMETRES!$E$32,3,IF($K838&gt;PARAMETRES!$D$32,2,1))))))</f>
        <v/>
      </c>
      <c r="T838" t="str">
        <f>IF($L838="","",IF($L838&gt;PARAMETRES!$G$33,5,IF($L838&gt;PARAMETRES!$F$33,4,IF($L838&gt;PARAMETRES!$E$33,3,IF($L838&gt;PARAMETRES!$D$33,2,1)))))</f>
        <v/>
      </c>
      <c r="U838" t="str">
        <f>IF($M838="","",IF($M838&gt;PARAMETRES!$G$34,5,IF($M838&gt;PARAMETRES!$F$34,4,IF($M838&gt;PARAMETRES!$E$34,3,IF($M838&gt;PARAMETRES!$D$34,2,1)))))</f>
        <v/>
      </c>
      <c r="V838" t="str">
        <f>IF($N838="","",IF($N838&gt;PARAMETRES!$G$35,5,IF($N838&gt;PARAMETRES!$F$35,4,IF($N838&gt;PARAMETRES!$E$35,3,IF($N838&gt;PARAMETRES!$D$35,2,1)))))</f>
        <v/>
      </c>
      <c r="W838" t="str">
        <f>IF($O838="","",IF($O838&gt;PARAMETRES!$G$36,5,IF($O838&gt;PARAMETRES!$F$36,4,IF($O838&gt;PARAMETRES!$E$36,3,IF($O838&gt;PARAMETRES!$D$36,2,1)))))</f>
        <v/>
      </c>
      <c r="X838" t="str">
        <f>IF($P838="","",IF($P838&gt;PARAMETRES!$G$37,5,IF($P838&gt;PARAMETRES!$F$37,4,IF($P838&gt;PARAMETRES!$E$37,3,IF($P838&gt;PARAMETRES!$D$37,2,1)))))</f>
        <v/>
      </c>
      <c r="Y838" t="str">
        <f t="shared" si="312"/>
        <v/>
      </c>
      <c r="Z838" t="str">
        <f>IFERROR(VLOOKUP($B838,TABLE_CYCLE,2,0),"")</f>
        <v/>
      </c>
      <c r="AA838" t="str">
        <f t="shared" si="313"/>
        <v/>
      </c>
      <c r="AB838" t="str">
        <f>IF($D838="","",IF(COUNTIF($D$2:$D838,$D838)=1,$D838,""))</f>
        <v/>
      </c>
      <c r="AC838">
        <f t="shared" si="314"/>
        <v>0</v>
      </c>
      <c r="AD838" t="str">
        <f t="shared" si="315"/>
        <v>|0</v>
      </c>
      <c r="AE838" t="str">
        <f t="shared" si="316"/>
        <v/>
      </c>
      <c r="AF838" t="str">
        <f t="shared" si="317"/>
        <v/>
      </c>
      <c r="AG838" t="str">
        <f t="shared" si="318"/>
        <v/>
      </c>
      <c r="AH838" t="str">
        <f t="shared" si="319"/>
        <v/>
      </c>
      <c r="AI838" t="str">
        <f t="shared" si="320"/>
        <v/>
      </c>
      <c r="AJ838" t="str">
        <f t="shared" si="321"/>
        <v/>
      </c>
      <c r="AK838" t="str">
        <f t="shared" si="322"/>
        <v/>
      </c>
      <c r="AL838" t="str">
        <f t="shared" si="323"/>
        <v/>
      </c>
      <c r="AM838" t="str">
        <f t="shared" si="324"/>
        <v/>
      </c>
      <c r="AN838" t="str">
        <f t="shared" si="325"/>
        <v/>
      </c>
      <c r="AO838" t="str">
        <f t="shared" si="326"/>
        <v/>
      </c>
      <c r="AP838">
        <f t="shared" si="327"/>
        <v>1</v>
      </c>
      <c r="AQ838" t="str">
        <f>IF(SAISIE!$F843="","",SAISIE!$Y843)</f>
        <v/>
      </c>
      <c r="AR838" t="str">
        <f>IF(OR(SAISIE!$U$4="",SAISIE!$W$4=""),"",IF(AND($A838=SAISIE!$U$4,$B838=SAISIE!$W$4,$C838="S1"),COUNTIFS($A$2:$A838,SAISIE!$U$4,$B$2:$B838,SAISIE!$W$4,$C$2:$C838,"S1"),""))</f>
        <v/>
      </c>
      <c r="AS838" t="str">
        <f t="shared" si="328"/>
        <v/>
      </c>
      <c r="AT838" t="str">
        <f t="shared" si="329"/>
        <v/>
      </c>
      <c r="AU838" t="str">
        <f t="shared" si="330"/>
        <v/>
      </c>
      <c r="AV838">
        <f>N(AV837)+IF(AND($AB838&lt;&gt;"",OR('PROFIL ELEVE'!$K$4="(Tous)",$AF838='PROFIL ELEVE'!$K$4)),1,0)</f>
        <v>0</v>
      </c>
      <c r="AW838">
        <f>N(AW837)+IF(AND($AB838&lt;&gt;"",OR('SUIVI LONGITUDINAL'!$Q$4="(Tous)",$AF838='SUIVI LONGITUDINAL'!$Q$4)),1,0)</f>
        <v>0</v>
      </c>
      <c r="AX838">
        <f t="shared" si="331"/>
        <v>0</v>
      </c>
      <c r="AY838">
        <f t="shared" si="332"/>
        <v>0</v>
      </c>
      <c r="AZ838">
        <f t="shared" si="333"/>
        <v>0</v>
      </c>
      <c r="BA838" t="str">
        <f t="shared" si="334"/>
        <v/>
      </c>
      <c r="BB838" t="str">
        <f t="shared" si="335"/>
        <v/>
      </c>
    </row>
    <row r="839" spans="1:54" ht="14.25" customHeight="1" x14ac:dyDescent="0.3">
      <c r="A839" t="str">
        <f>IF(SAISIE!$F844="","",SAISIE!$B844)</f>
        <v/>
      </c>
      <c r="B839" t="str">
        <f>IF(SAISIE!$F844="","",SAISIE!$C844)</f>
        <v/>
      </c>
      <c r="C839" t="str">
        <f>IF(SAISIE!$F844="","",SAISIE!$D844)</f>
        <v/>
      </c>
      <c r="D839" t="str">
        <f>IF(SAISIE!$E844="","",SAISIE!$E844)</f>
        <v/>
      </c>
      <c r="E839" t="str">
        <f>IF(SAISIE!$F844="","",SAISIE!$F844)</f>
        <v/>
      </c>
      <c r="F839" t="str">
        <f>IF(SAISIE!$G844="","",SAISIE!$G844)</f>
        <v/>
      </c>
      <c r="G839" t="str">
        <f>IF(SAISIE!$H844="","",SAISIE!$H844)</f>
        <v/>
      </c>
      <c r="H839" t="str">
        <f>IF(SAISIE!$I844="","",SAISIE!$I844)</f>
        <v/>
      </c>
      <c r="I839" t="str">
        <f>IF(SAISIE!$J844="","",SAISIE!$J844)</f>
        <v/>
      </c>
      <c r="J839" t="str">
        <f>IF(SAISIE!$K844="","",SAISIE!$K844)</f>
        <v/>
      </c>
      <c r="K839" t="str">
        <f>IF(SAISIE!$L844="","",SAISIE!$L844)</f>
        <v/>
      </c>
      <c r="L839" t="str">
        <f>IF(SAISIE!$M844="","",SAISIE!$M844)</f>
        <v/>
      </c>
      <c r="M839" t="str">
        <f>IF(SAISIE!$N844="","",SAISIE!$N844)</f>
        <v/>
      </c>
      <c r="N839" t="str">
        <f>IF(SAISIE!$O844="","",SAISIE!$O844)</f>
        <v/>
      </c>
      <c r="O839" t="str">
        <f>IF(SAISIE!$P844="","",SAISIE!$P844)</f>
        <v/>
      </c>
      <c r="P839" t="str">
        <f>IF(SAISIE!$Q844="","",SAISIE!$Q844)</f>
        <v/>
      </c>
      <c r="Q839" t="str">
        <f>IF($I839="","",IF($I839&gt;PARAMETRES!$G$29,5,IF($I839&gt;PARAMETRES!$F$29,4,IF($I839&gt;PARAMETRES!$E$29,3,IF($I839&gt;PARAMETRES!$D$29,2,1)))))</f>
        <v/>
      </c>
      <c r="R839" t="str">
        <f>IF($J839="","",IF($J839&gt;PARAMETRES!$G$30,5,IF($J839&gt;PARAMETRES!$F$30,4,IF($J839&gt;PARAMETRES!$E$30,3,IF($J839&gt;PARAMETRES!$D$30,2,1)))))</f>
        <v/>
      </c>
      <c r="S839" t="str">
        <f>IF($K839="","",IF($Z839=2,IF($K839&gt;PARAMETRES!$G$31,5,IF($K839&gt;PARAMETRES!$F$31,4,IF($K839&gt;PARAMETRES!$E$31,3,IF($K839&gt;PARAMETRES!$D$31,2,1)))),IF($K839&gt;PARAMETRES!$G$32,5,IF($K839&gt;PARAMETRES!$F$32,4,IF($K839&gt;PARAMETRES!$E$32,3,IF($K839&gt;PARAMETRES!$D$32,2,1))))))</f>
        <v/>
      </c>
      <c r="T839" t="str">
        <f>IF($L839="","",IF($L839&gt;PARAMETRES!$G$33,5,IF($L839&gt;PARAMETRES!$F$33,4,IF($L839&gt;PARAMETRES!$E$33,3,IF($L839&gt;PARAMETRES!$D$33,2,1)))))</f>
        <v/>
      </c>
      <c r="U839" t="str">
        <f>IF($M839="","",IF($M839&gt;PARAMETRES!$G$34,5,IF($M839&gt;PARAMETRES!$F$34,4,IF($M839&gt;PARAMETRES!$E$34,3,IF($M839&gt;PARAMETRES!$D$34,2,1)))))</f>
        <v/>
      </c>
      <c r="V839" t="str">
        <f>IF($N839="","",IF($N839&gt;PARAMETRES!$G$35,5,IF($N839&gt;PARAMETRES!$F$35,4,IF($N839&gt;PARAMETRES!$E$35,3,IF($N839&gt;PARAMETRES!$D$35,2,1)))))</f>
        <v/>
      </c>
      <c r="W839" t="str">
        <f>IF($O839="","",IF($O839&gt;PARAMETRES!$G$36,5,IF($O839&gt;PARAMETRES!$F$36,4,IF($O839&gt;PARAMETRES!$E$36,3,IF($O839&gt;PARAMETRES!$D$36,2,1)))))</f>
        <v/>
      </c>
      <c r="X839" t="str">
        <f>IF($P839="","",IF($P839&gt;PARAMETRES!$G$37,5,IF($P839&gt;PARAMETRES!$F$37,4,IF($P839&gt;PARAMETRES!$E$37,3,IF($P839&gt;PARAMETRES!$D$37,2,1)))))</f>
        <v/>
      </c>
      <c r="Y839" t="str">
        <f t="shared" si="312"/>
        <v/>
      </c>
      <c r="Z839" t="str">
        <f>IFERROR(VLOOKUP($B839,TABLE_CYCLE,2,0),"")</f>
        <v/>
      </c>
      <c r="AA839" t="str">
        <f t="shared" si="313"/>
        <v/>
      </c>
      <c r="AB839" t="str">
        <f>IF($D839="","",IF(COUNTIF($D$2:$D839,$D839)=1,$D839,""))</f>
        <v/>
      </c>
      <c r="AC839">
        <f t="shared" si="314"/>
        <v>0</v>
      </c>
      <c r="AD839" t="str">
        <f t="shared" si="315"/>
        <v>|0</v>
      </c>
      <c r="AE839" t="str">
        <f t="shared" si="316"/>
        <v/>
      </c>
      <c r="AF839" t="str">
        <f t="shared" si="317"/>
        <v/>
      </c>
      <c r="AG839" t="str">
        <f t="shared" si="318"/>
        <v/>
      </c>
      <c r="AH839" t="str">
        <f t="shared" si="319"/>
        <v/>
      </c>
      <c r="AI839" t="str">
        <f t="shared" si="320"/>
        <v/>
      </c>
      <c r="AJ839" t="str">
        <f t="shared" si="321"/>
        <v/>
      </c>
      <c r="AK839" t="str">
        <f t="shared" si="322"/>
        <v/>
      </c>
      <c r="AL839" t="str">
        <f t="shared" si="323"/>
        <v/>
      </c>
      <c r="AM839" t="str">
        <f t="shared" si="324"/>
        <v/>
      </c>
      <c r="AN839" t="str">
        <f t="shared" si="325"/>
        <v/>
      </c>
      <c r="AO839" t="str">
        <f t="shared" si="326"/>
        <v/>
      </c>
      <c r="AP839">
        <f t="shared" si="327"/>
        <v>1</v>
      </c>
      <c r="AQ839" t="str">
        <f>IF(SAISIE!$F844="","",SAISIE!$Y844)</f>
        <v/>
      </c>
      <c r="AR839" t="str">
        <f>IF(OR(SAISIE!$U$4="",SAISIE!$W$4=""),"",IF(AND($A839=SAISIE!$U$4,$B839=SAISIE!$W$4,$C839="S1"),COUNTIFS($A$2:$A839,SAISIE!$U$4,$B$2:$B839,SAISIE!$W$4,$C$2:$C839,"S1"),""))</f>
        <v/>
      </c>
      <c r="AS839" t="str">
        <f t="shared" si="328"/>
        <v/>
      </c>
      <c r="AT839" t="str">
        <f t="shared" si="329"/>
        <v/>
      </c>
      <c r="AU839" t="str">
        <f t="shared" si="330"/>
        <v/>
      </c>
      <c r="AV839">
        <f>N(AV838)+IF(AND($AB839&lt;&gt;"",OR('PROFIL ELEVE'!$K$4="(Tous)",$AF839='PROFIL ELEVE'!$K$4)),1,0)</f>
        <v>0</v>
      </c>
      <c r="AW839">
        <f>N(AW838)+IF(AND($AB839&lt;&gt;"",OR('SUIVI LONGITUDINAL'!$Q$4="(Tous)",$AF839='SUIVI LONGITUDINAL'!$Q$4)),1,0)</f>
        <v>0</v>
      </c>
      <c r="AX839">
        <f t="shared" si="331"/>
        <v>0</v>
      </c>
      <c r="AY839">
        <f t="shared" si="332"/>
        <v>0</v>
      </c>
      <c r="AZ839">
        <f t="shared" si="333"/>
        <v>0</v>
      </c>
      <c r="BA839" t="str">
        <f t="shared" si="334"/>
        <v/>
      </c>
      <c r="BB839" t="str">
        <f t="shared" si="335"/>
        <v/>
      </c>
    </row>
    <row r="840" spans="1:54" ht="14.25" customHeight="1" x14ac:dyDescent="0.3">
      <c r="A840" t="str">
        <f>IF(SAISIE!$F845="","",SAISIE!$B845)</f>
        <v/>
      </c>
      <c r="B840" t="str">
        <f>IF(SAISIE!$F845="","",SAISIE!$C845)</f>
        <v/>
      </c>
      <c r="C840" t="str">
        <f>IF(SAISIE!$F845="","",SAISIE!$D845)</f>
        <v/>
      </c>
      <c r="D840" t="str">
        <f>IF(SAISIE!$E845="","",SAISIE!$E845)</f>
        <v/>
      </c>
      <c r="E840" t="str">
        <f>IF(SAISIE!$F845="","",SAISIE!$F845)</f>
        <v/>
      </c>
      <c r="F840" t="str">
        <f>IF(SAISIE!$G845="","",SAISIE!$G845)</f>
        <v/>
      </c>
      <c r="G840" t="str">
        <f>IF(SAISIE!$H845="","",SAISIE!$H845)</f>
        <v/>
      </c>
      <c r="H840" t="str">
        <f>IF(SAISIE!$I845="","",SAISIE!$I845)</f>
        <v/>
      </c>
      <c r="I840" t="str">
        <f>IF(SAISIE!$J845="","",SAISIE!$J845)</f>
        <v/>
      </c>
      <c r="J840" t="str">
        <f>IF(SAISIE!$K845="","",SAISIE!$K845)</f>
        <v/>
      </c>
      <c r="K840" t="str">
        <f>IF(SAISIE!$L845="","",SAISIE!$L845)</f>
        <v/>
      </c>
      <c r="L840" t="str">
        <f>IF(SAISIE!$M845="","",SAISIE!$M845)</f>
        <v/>
      </c>
      <c r="M840" t="str">
        <f>IF(SAISIE!$N845="","",SAISIE!$N845)</f>
        <v/>
      </c>
      <c r="N840" t="str">
        <f>IF(SAISIE!$O845="","",SAISIE!$O845)</f>
        <v/>
      </c>
      <c r="O840" t="str">
        <f>IF(SAISIE!$P845="","",SAISIE!$P845)</f>
        <v/>
      </c>
      <c r="P840" t="str">
        <f>IF(SAISIE!$Q845="","",SAISIE!$Q845)</f>
        <v/>
      </c>
      <c r="Q840" t="str">
        <f>IF($I840="","",IF($I840&gt;PARAMETRES!$G$29,5,IF($I840&gt;PARAMETRES!$F$29,4,IF($I840&gt;PARAMETRES!$E$29,3,IF($I840&gt;PARAMETRES!$D$29,2,1)))))</f>
        <v/>
      </c>
      <c r="R840" t="str">
        <f>IF($J840="","",IF($J840&gt;PARAMETRES!$G$30,5,IF($J840&gt;PARAMETRES!$F$30,4,IF($J840&gt;PARAMETRES!$E$30,3,IF($J840&gt;PARAMETRES!$D$30,2,1)))))</f>
        <v/>
      </c>
      <c r="S840" t="str">
        <f>IF($K840="","",IF($Z840=2,IF($K840&gt;PARAMETRES!$G$31,5,IF($K840&gt;PARAMETRES!$F$31,4,IF($K840&gt;PARAMETRES!$E$31,3,IF($K840&gt;PARAMETRES!$D$31,2,1)))),IF($K840&gt;PARAMETRES!$G$32,5,IF($K840&gt;PARAMETRES!$F$32,4,IF($K840&gt;PARAMETRES!$E$32,3,IF($K840&gt;PARAMETRES!$D$32,2,1))))))</f>
        <v/>
      </c>
      <c r="T840" t="str">
        <f>IF($L840="","",IF($L840&gt;PARAMETRES!$G$33,5,IF($L840&gt;PARAMETRES!$F$33,4,IF($L840&gt;PARAMETRES!$E$33,3,IF($L840&gt;PARAMETRES!$D$33,2,1)))))</f>
        <v/>
      </c>
      <c r="U840" t="str">
        <f>IF($M840="","",IF($M840&gt;PARAMETRES!$G$34,5,IF($M840&gt;PARAMETRES!$F$34,4,IF($M840&gt;PARAMETRES!$E$34,3,IF($M840&gt;PARAMETRES!$D$34,2,1)))))</f>
        <v/>
      </c>
      <c r="V840" t="str">
        <f>IF($N840="","",IF($N840&gt;PARAMETRES!$G$35,5,IF($N840&gt;PARAMETRES!$F$35,4,IF($N840&gt;PARAMETRES!$E$35,3,IF($N840&gt;PARAMETRES!$D$35,2,1)))))</f>
        <v/>
      </c>
      <c r="W840" t="str">
        <f>IF($O840="","",IF($O840&gt;PARAMETRES!$G$36,5,IF($O840&gt;PARAMETRES!$F$36,4,IF($O840&gt;PARAMETRES!$E$36,3,IF($O840&gt;PARAMETRES!$D$36,2,1)))))</f>
        <v/>
      </c>
      <c r="X840" t="str">
        <f>IF($P840="","",IF($P840&gt;PARAMETRES!$G$37,5,IF($P840&gt;PARAMETRES!$F$37,4,IF($P840&gt;PARAMETRES!$E$37,3,IF($P840&gt;PARAMETRES!$D$37,2,1)))))</f>
        <v/>
      </c>
      <c r="Y840" t="str">
        <f t="shared" si="312"/>
        <v/>
      </c>
      <c r="Z840" t="str">
        <f>IFERROR(VLOOKUP($B840,TABLE_CYCLE,2,0),"")</f>
        <v/>
      </c>
      <c r="AA840" t="str">
        <f t="shared" si="313"/>
        <v/>
      </c>
      <c r="AB840" t="str">
        <f>IF($D840="","",IF(COUNTIF($D$2:$D840,$D840)=1,$D840,""))</f>
        <v/>
      </c>
      <c r="AC840">
        <f t="shared" si="314"/>
        <v>0</v>
      </c>
      <c r="AD840" t="str">
        <f t="shared" si="315"/>
        <v>|0</v>
      </c>
      <c r="AE840" t="str">
        <f t="shared" si="316"/>
        <v/>
      </c>
      <c r="AF840" t="str">
        <f t="shared" si="317"/>
        <v/>
      </c>
      <c r="AG840" t="str">
        <f t="shared" si="318"/>
        <v/>
      </c>
      <c r="AH840" t="str">
        <f t="shared" si="319"/>
        <v/>
      </c>
      <c r="AI840" t="str">
        <f t="shared" si="320"/>
        <v/>
      </c>
      <c r="AJ840" t="str">
        <f t="shared" si="321"/>
        <v/>
      </c>
      <c r="AK840" t="str">
        <f t="shared" si="322"/>
        <v/>
      </c>
      <c r="AL840" t="str">
        <f t="shared" si="323"/>
        <v/>
      </c>
      <c r="AM840" t="str">
        <f t="shared" si="324"/>
        <v/>
      </c>
      <c r="AN840" t="str">
        <f t="shared" si="325"/>
        <v/>
      </c>
      <c r="AO840" t="str">
        <f t="shared" si="326"/>
        <v/>
      </c>
      <c r="AP840">
        <f t="shared" si="327"/>
        <v>1</v>
      </c>
      <c r="AQ840" t="str">
        <f>IF(SAISIE!$F845="","",SAISIE!$Y845)</f>
        <v/>
      </c>
      <c r="AR840" t="str">
        <f>IF(OR(SAISIE!$U$4="",SAISIE!$W$4=""),"",IF(AND($A840=SAISIE!$U$4,$B840=SAISIE!$W$4,$C840="S1"),COUNTIFS($A$2:$A840,SAISIE!$U$4,$B$2:$B840,SAISIE!$W$4,$C$2:$C840,"S1"),""))</f>
        <v/>
      </c>
      <c r="AS840" t="str">
        <f t="shared" si="328"/>
        <v/>
      </c>
      <c r="AT840" t="str">
        <f t="shared" si="329"/>
        <v/>
      </c>
      <c r="AU840" t="str">
        <f t="shared" si="330"/>
        <v/>
      </c>
      <c r="AV840">
        <f>N(AV839)+IF(AND($AB840&lt;&gt;"",OR('PROFIL ELEVE'!$K$4="(Tous)",$AF840='PROFIL ELEVE'!$K$4)),1,0)</f>
        <v>0</v>
      </c>
      <c r="AW840">
        <f>N(AW839)+IF(AND($AB840&lt;&gt;"",OR('SUIVI LONGITUDINAL'!$Q$4="(Tous)",$AF840='SUIVI LONGITUDINAL'!$Q$4)),1,0)</f>
        <v>0</v>
      </c>
      <c r="AX840">
        <f t="shared" si="331"/>
        <v>0</v>
      </c>
      <c r="AY840">
        <f t="shared" si="332"/>
        <v>0</v>
      </c>
      <c r="AZ840">
        <f t="shared" si="333"/>
        <v>0</v>
      </c>
      <c r="BA840" t="str">
        <f t="shared" si="334"/>
        <v/>
      </c>
      <c r="BB840" t="str">
        <f t="shared" si="335"/>
        <v/>
      </c>
    </row>
    <row r="841" spans="1:54" ht="14.25" customHeight="1" x14ac:dyDescent="0.3">
      <c r="A841" t="str">
        <f>IF(SAISIE!$F846="","",SAISIE!$B846)</f>
        <v/>
      </c>
      <c r="B841" t="str">
        <f>IF(SAISIE!$F846="","",SAISIE!$C846)</f>
        <v/>
      </c>
      <c r="C841" t="str">
        <f>IF(SAISIE!$F846="","",SAISIE!$D846)</f>
        <v/>
      </c>
      <c r="D841" t="str">
        <f>IF(SAISIE!$E846="","",SAISIE!$E846)</f>
        <v/>
      </c>
      <c r="E841" t="str">
        <f>IF(SAISIE!$F846="","",SAISIE!$F846)</f>
        <v/>
      </c>
      <c r="F841" t="str">
        <f>IF(SAISIE!$G846="","",SAISIE!$G846)</f>
        <v/>
      </c>
      <c r="G841" t="str">
        <f>IF(SAISIE!$H846="","",SAISIE!$H846)</f>
        <v/>
      </c>
      <c r="H841" t="str">
        <f>IF(SAISIE!$I846="","",SAISIE!$I846)</f>
        <v/>
      </c>
      <c r="I841" t="str">
        <f>IF(SAISIE!$J846="","",SAISIE!$J846)</f>
        <v/>
      </c>
      <c r="J841" t="str">
        <f>IF(SAISIE!$K846="","",SAISIE!$K846)</f>
        <v/>
      </c>
      <c r="K841" t="str">
        <f>IF(SAISIE!$L846="","",SAISIE!$L846)</f>
        <v/>
      </c>
      <c r="L841" t="str">
        <f>IF(SAISIE!$M846="","",SAISIE!$M846)</f>
        <v/>
      </c>
      <c r="M841" t="str">
        <f>IF(SAISIE!$N846="","",SAISIE!$N846)</f>
        <v/>
      </c>
      <c r="N841" t="str">
        <f>IF(SAISIE!$O846="","",SAISIE!$O846)</f>
        <v/>
      </c>
      <c r="O841" t="str">
        <f>IF(SAISIE!$P846="","",SAISIE!$P846)</f>
        <v/>
      </c>
      <c r="P841" t="str">
        <f>IF(SAISIE!$Q846="","",SAISIE!$Q846)</f>
        <v/>
      </c>
      <c r="Q841" t="str">
        <f>IF($I841="","",IF($I841&gt;PARAMETRES!$G$29,5,IF($I841&gt;PARAMETRES!$F$29,4,IF($I841&gt;PARAMETRES!$E$29,3,IF($I841&gt;PARAMETRES!$D$29,2,1)))))</f>
        <v/>
      </c>
      <c r="R841" t="str">
        <f>IF($J841="","",IF($J841&gt;PARAMETRES!$G$30,5,IF($J841&gt;PARAMETRES!$F$30,4,IF($J841&gt;PARAMETRES!$E$30,3,IF($J841&gt;PARAMETRES!$D$30,2,1)))))</f>
        <v/>
      </c>
      <c r="S841" t="str">
        <f>IF($K841="","",IF($Z841=2,IF($K841&gt;PARAMETRES!$G$31,5,IF($K841&gt;PARAMETRES!$F$31,4,IF($K841&gt;PARAMETRES!$E$31,3,IF($K841&gt;PARAMETRES!$D$31,2,1)))),IF($K841&gt;PARAMETRES!$G$32,5,IF($K841&gt;PARAMETRES!$F$32,4,IF($K841&gt;PARAMETRES!$E$32,3,IF($K841&gt;PARAMETRES!$D$32,2,1))))))</f>
        <v/>
      </c>
      <c r="T841" t="str">
        <f>IF($L841="","",IF($L841&gt;PARAMETRES!$G$33,5,IF($L841&gt;PARAMETRES!$F$33,4,IF($L841&gt;PARAMETRES!$E$33,3,IF($L841&gt;PARAMETRES!$D$33,2,1)))))</f>
        <v/>
      </c>
      <c r="U841" t="str">
        <f>IF($M841="","",IF($M841&gt;PARAMETRES!$G$34,5,IF($M841&gt;PARAMETRES!$F$34,4,IF($M841&gt;PARAMETRES!$E$34,3,IF($M841&gt;PARAMETRES!$D$34,2,1)))))</f>
        <v/>
      </c>
      <c r="V841" t="str">
        <f>IF($N841="","",IF($N841&gt;PARAMETRES!$G$35,5,IF($N841&gt;PARAMETRES!$F$35,4,IF($N841&gt;PARAMETRES!$E$35,3,IF($N841&gt;PARAMETRES!$D$35,2,1)))))</f>
        <v/>
      </c>
      <c r="W841" t="str">
        <f>IF($O841="","",IF($O841&gt;PARAMETRES!$G$36,5,IF($O841&gt;PARAMETRES!$F$36,4,IF($O841&gt;PARAMETRES!$E$36,3,IF($O841&gt;PARAMETRES!$D$36,2,1)))))</f>
        <v/>
      </c>
      <c r="X841" t="str">
        <f>IF($P841="","",IF($P841&gt;PARAMETRES!$G$37,5,IF($P841&gt;PARAMETRES!$F$37,4,IF($P841&gt;PARAMETRES!$E$37,3,IF($P841&gt;PARAMETRES!$D$37,2,1)))))</f>
        <v/>
      </c>
      <c r="Y841" t="str">
        <f t="shared" si="312"/>
        <v/>
      </c>
      <c r="Z841" t="str">
        <f>IFERROR(VLOOKUP($B841,TABLE_CYCLE,2,0),"")</f>
        <v/>
      </c>
      <c r="AA841" t="str">
        <f t="shared" si="313"/>
        <v/>
      </c>
      <c r="AB841" t="str">
        <f>IF($D841="","",IF(COUNTIF($D$2:$D841,$D841)=1,$D841,""))</f>
        <v/>
      </c>
      <c r="AC841">
        <f t="shared" si="314"/>
        <v>0</v>
      </c>
      <c r="AD841" t="str">
        <f t="shared" si="315"/>
        <v>|0</v>
      </c>
      <c r="AE841" t="str">
        <f t="shared" si="316"/>
        <v/>
      </c>
      <c r="AF841" t="str">
        <f t="shared" si="317"/>
        <v/>
      </c>
      <c r="AG841" t="str">
        <f t="shared" si="318"/>
        <v/>
      </c>
      <c r="AH841" t="str">
        <f t="shared" si="319"/>
        <v/>
      </c>
      <c r="AI841" t="str">
        <f t="shared" si="320"/>
        <v/>
      </c>
      <c r="AJ841" t="str">
        <f t="shared" si="321"/>
        <v/>
      </c>
      <c r="AK841" t="str">
        <f t="shared" si="322"/>
        <v/>
      </c>
      <c r="AL841" t="str">
        <f t="shared" si="323"/>
        <v/>
      </c>
      <c r="AM841" t="str">
        <f t="shared" si="324"/>
        <v/>
      </c>
      <c r="AN841" t="str">
        <f t="shared" si="325"/>
        <v/>
      </c>
      <c r="AO841" t="str">
        <f t="shared" si="326"/>
        <v/>
      </c>
      <c r="AP841">
        <f t="shared" si="327"/>
        <v>1</v>
      </c>
      <c r="AQ841" t="str">
        <f>IF(SAISIE!$F846="","",SAISIE!$Y846)</f>
        <v/>
      </c>
      <c r="AR841" t="str">
        <f>IF(OR(SAISIE!$U$4="",SAISIE!$W$4=""),"",IF(AND($A841=SAISIE!$U$4,$B841=SAISIE!$W$4,$C841="S1"),COUNTIFS($A$2:$A841,SAISIE!$U$4,$B$2:$B841,SAISIE!$W$4,$C$2:$C841,"S1"),""))</f>
        <v/>
      </c>
      <c r="AS841" t="str">
        <f t="shared" si="328"/>
        <v/>
      </c>
      <c r="AT841" t="str">
        <f t="shared" si="329"/>
        <v/>
      </c>
      <c r="AU841" t="str">
        <f t="shared" si="330"/>
        <v/>
      </c>
      <c r="AV841">
        <f>N(AV840)+IF(AND($AB841&lt;&gt;"",OR('PROFIL ELEVE'!$K$4="(Tous)",$AF841='PROFIL ELEVE'!$K$4)),1,0)</f>
        <v>0</v>
      </c>
      <c r="AW841">
        <f>N(AW840)+IF(AND($AB841&lt;&gt;"",OR('SUIVI LONGITUDINAL'!$Q$4="(Tous)",$AF841='SUIVI LONGITUDINAL'!$Q$4)),1,0)</f>
        <v>0</v>
      </c>
      <c r="AX841">
        <f t="shared" si="331"/>
        <v>0</v>
      </c>
      <c r="AY841">
        <f t="shared" si="332"/>
        <v>0</v>
      </c>
      <c r="AZ841">
        <f t="shared" si="333"/>
        <v>0</v>
      </c>
      <c r="BA841" t="str">
        <f t="shared" si="334"/>
        <v/>
      </c>
      <c r="BB841" t="str">
        <f t="shared" si="335"/>
        <v/>
      </c>
    </row>
    <row r="842" spans="1:54" ht="14.25" customHeight="1" x14ac:dyDescent="0.3">
      <c r="A842" t="str">
        <f>IF(SAISIE!$F847="","",SAISIE!$B847)</f>
        <v/>
      </c>
      <c r="B842" t="str">
        <f>IF(SAISIE!$F847="","",SAISIE!$C847)</f>
        <v/>
      </c>
      <c r="C842" t="str">
        <f>IF(SAISIE!$F847="","",SAISIE!$D847)</f>
        <v/>
      </c>
      <c r="D842" t="str">
        <f>IF(SAISIE!$E847="","",SAISIE!$E847)</f>
        <v/>
      </c>
      <c r="E842" t="str">
        <f>IF(SAISIE!$F847="","",SAISIE!$F847)</f>
        <v/>
      </c>
      <c r="F842" t="str">
        <f>IF(SAISIE!$G847="","",SAISIE!$G847)</f>
        <v/>
      </c>
      <c r="G842" t="str">
        <f>IF(SAISIE!$H847="","",SAISIE!$H847)</f>
        <v/>
      </c>
      <c r="H842" t="str">
        <f>IF(SAISIE!$I847="","",SAISIE!$I847)</f>
        <v/>
      </c>
      <c r="I842" t="str">
        <f>IF(SAISIE!$J847="","",SAISIE!$J847)</f>
        <v/>
      </c>
      <c r="J842" t="str">
        <f>IF(SAISIE!$K847="","",SAISIE!$K847)</f>
        <v/>
      </c>
      <c r="K842" t="str">
        <f>IF(SAISIE!$L847="","",SAISIE!$L847)</f>
        <v/>
      </c>
      <c r="L842" t="str">
        <f>IF(SAISIE!$M847="","",SAISIE!$M847)</f>
        <v/>
      </c>
      <c r="M842" t="str">
        <f>IF(SAISIE!$N847="","",SAISIE!$N847)</f>
        <v/>
      </c>
      <c r="N842" t="str">
        <f>IF(SAISIE!$O847="","",SAISIE!$O847)</f>
        <v/>
      </c>
      <c r="O842" t="str">
        <f>IF(SAISIE!$P847="","",SAISIE!$P847)</f>
        <v/>
      </c>
      <c r="P842" t="str">
        <f>IF(SAISIE!$Q847="","",SAISIE!$Q847)</f>
        <v/>
      </c>
      <c r="Q842" t="str">
        <f>IF($I842="","",IF($I842&gt;PARAMETRES!$G$29,5,IF($I842&gt;PARAMETRES!$F$29,4,IF($I842&gt;PARAMETRES!$E$29,3,IF($I842&gt;PARAMETRES!$D$29,2,1)))))</f>
        <v/>
      </c>
      <c r="R842" t="str">
        <f>IF($J842="","",IF($J842&gt;PARAMETRES!$G$30,5,IF($J842&gt;PARAMETRES!$F$30,4,IF($J842&gt;PARAMETRES!$E$30,3,IF($J842&gt;PARAMETRES!$D$30,2,1)))))</f>
        <v/>
      </c>
      <c r="S842" t="str">
        <f>IF($K842="","",IF($Z842=2,IF($K842&gt;PARAMETRES!$G$31,5,IF($K842&gt;PARAMETRES!$F$31,4,IF($K842&gt;PARAMETRES!$E$31,3,IF($K842&gt;PARAMETRES!$D$31,2,1)))),IF($K842&gt;PARAMETRES!$G$32,5,IF($K842&gt;PARAMETRES!$F$32,4,IF($K842&gt;PARAMETRES!$E$32,3,IF($K842&gt;PARAMETRES!$D$32,2,1))))))</f>
        <v/>
      </c>
      <c r="T842" t="str">
        <f>IF($L842="","",IF($L842&gt;PARAMETRES!$G$33,5,IF($L842&gt;PARAMETRES!$F$33,4,IF($L842&gt;PARAMETRES!$E$33,3,IF($L842&gt;PARAMETRES!$D$33,2,1)))))</f>
        <v/>
      </c>
      <c r="U842" t="str">
        <f>IF($M842="","",IF($M842&gt;PARAMETRES!$G$34,5,IF($M842&gt;PARAMETRES!$F$34,4,IF($M842&gt;PARAMETRES!$E$34,3,IF($M842&gt;PARAMETRES!$D$34,2,1)))))</f>
        <v/>
      </c>
      <c r="V842" t="str">
        <f>IF($N842="","",IF($N842&gt;PARAMETRES!$G$35,5,IF($N842&gt;PARAMETRES!$F$35,4,IF($N842&gt;PARAMETRES!$E$35,3,IF($N842&gt;PARAMETRES!$D$35,2,1)))))</f>
        <v/>
      </c>
      <c r="W842" t="str">
        <f>IF($O842="","",IF($O842&gt;PARAMETRES!$G$36,5,IF($O842&gt;PARAMETRES!$F$36,4,IF($O842&gt;PARAMETRES!$E$36,3,IF($O842&gt;PARAMETRES!$D$36,2,1)))))</f>
        <v/>
      </c>
      <c r="X842" t="str">
        <f>IF($P842="","",IF($P842&gt;PARAMETRES!$G$37,5,IF($P842&gt;PARAMETRES!$F$37,4,IF($P842&gt;PARAMETRES!$E$37,3,IF($P842&gt;PARAMETRES!$D$37,2,1)))))</f>
        <v/>
      </c>
      <c r="Y842" t="str">
        <f t="shared" si="312"/>
        <v/>
      </c>
      <c r="Z842" t="str">
        <f>IFERROR(VLOOKUP($B842,TABLE_CYCLE,2,0),"")</f>
        <v/>
      </c>
      <c r="AA842" t="str">
        <f t="shared" si="313"/>
        <v/>
      </c>
      <c r="AB842" t="str">
        <f>IF($D842="","",IF(COUNTIF($D$2:$D842,$D842)=1,$D842,""))</f>
        <v/>
      </c>
      <c r="AC842">
        <f t="shared" si="314"/>
        <v>0</v>
      </c>
      <c r="AD842" t="str">
        <f t="shared" si="315"/>
        <v>|0</v>
      </c>
      <c r="AE842" t="str">
        <f t="shared" si="316"/>
        <v/>
      </c>
      <c r="AF842" t="str">
        <f t="shared" si="317"/>
        <v/>
      </c>
      <c r="AG842" t="str">
        <f t="shared" si="318"/>
        <v/>
      </c>
      <c r="AH842" t="str">
        <f t="shared" si="319"/>
        <v/>
      </c>
      <c r="AI842" t="str">
        <f t="shared" si="320"/>
        <v/>
      </c>
      <c r="AJ842" t="str">
        <f t="shared" si="321"/>
        <v/>
      </c>
      <c r="AK842" t="str">
        <f t="shared" si="322"/>
        <v/>
      </c>
      <c r="AL842" t="str">
        <f t="shared" si="323"/>
        <v/>
      </c>
      <c r="AM842" t="str">
        <f t="shared" si="324"/>
        <v/>
      </c>
      <c r="AN842" t="str">
        <f t="shared" si="325"/>
        <v/>
      </c>
      <c r="AO842" t="str">
        <f t="shared" si="326"/>
        <v/>
      </c>
      <c r="AP842">
        <f t="shared" si="327"/>
        <v>1</v>
      </c>
      <c r="AQ842" t="str">
        <f>IF(SAISIE!$F847="","",SAISIE!$Y847)</f>
        <v/>
      </c>
      <c r="AR842" t="str">
        <f>IF(OR(SAISIE!$U$4="",SAISIE!$W$4=""),"",IF(AND($A842=SAISIE!$U$4,$B842=SAISIE!$W$4,$C842="S1"),COUNTIFS($A$2:$A842,SAISIE!$U$4,$B$2:$B842,SAISIE!$W$4,$C$2:$C842,"S1"),""))</f>
        <v/>
      </c>
      <c r="AS842" t="str">
        <f t="shared" si="328"/>
        <v/>
      </c>
      <c r="AT842" t="str">
        <f t="shared" si="329"/>
        <v/>
      </c>
      <c r="AU842" t="str">
        <f t="shared" si="330"/>
        <v/>
      </c>
      <c r="AV842">
        <f>N(AV841)+IF(AND($AB842&lt;&gt;"",OR('PROFIL ELEVE'!$K$4="(Tous)",$AF842='PROFIL ELEVE'!$K$4)),1,0)</f>
        <v>0</v>
      </c>
      <c r="AW842">
        <f>N(AW841)+IF(AND($AB842&lt;&gt;"",OR('SUIVI LONGITUDINAL'!$Q$4="(Tous)",$AF842='SUIVI LONGITUDINAL'!$Q$4)),1,0)</f>
        <v>0</v>
      </c>
      <c r="AX842">
        <f t="shared" si="331"/>
        <v>0</v>
      </c>
      <c r="AY842">
        <f t="shared" si="332"/>
        <v>0</v>
      </c>
      <c r="AZ842">
        <f t="shared" si="333"/>
        <v>0</v>
      </c>
      <c r="BA842" t="str">
        <f t="shared" si="334"/>
        <v/>
      </c>
      <c r="BB842" t="str">
        <f t="shared" si="335"/>
        <v/>
      </c>
    </row>
    <row r="843" spans="1:54" ht="14.25" customHeight="1" x14ac:dyDescent="0.3">
      <c r="A843" t="str">
        <f>IF(SAISIE!$F848="","",SAISIE!$B848)</f>
        <v/>
      </c>
      <c r="B843" t="str">
        <f>IF(SAISIE!$F848="","",SAISIE!$C848)</f>
        <v/>
      </c>
      <c r="C843" t="str">
        <f>IF(SAISIE!$F848="","",SAISIE!$D848)</f>
        <v/>
      </c>
      <c r="D843" t="str">
        <f>IF(SAISIE!$E848="","",SAISIE!$E848)</f>
        <v/>
      </c>
      <c r="E843" t="str">
        <f>IF(SAISIE!$F848="","",SAISIE!$F848)</f>
        <v/>
      </c>
      <c r="F843" t="str">
        <f>IF(SAISIE!$G848="","",SAISIE!$G848)</f>
        <v/>
      </c>
      <c r="G843" t="str">
        <f>IF(SAISIE!$H848="","",SAISIE!$H848)</f>
        <v/>
      </c>
      <c r="H843" t="str">
        <f>IF(SAISIE!$I848="","",SAISIE!$I848)</f>
        <v/>
      </c>
      <c r="I843" t="str">
        <f>IF(SAISIE!$J848="","",SAISIE!$J848)</f>
        <v/>
      </c>
      <c r="J843" t="str">
        <f>IF(SAISIE!$K848="","",SAISIE!$K848)</f>
        <v/>
      </c>
      <c r="K843" t="str">
        <f>IF(SAISIE!$L848="","",SAISIE!$L848)</f>
        <v/>
      </c>
      <c r="L843" t="str">
        <f>IF(SAISIE!$M848="","",SAISIE!$M848)</f>
        <v/>
      </c>
      <c r="M843" t="str">
        <f>IF(SAISIE!$N848="","",SAISIE!$N848)</f>
        <v/>
      </c>
      <c r="N843" t="str">
        <f>IF(SAISIE!$O848="","",SAISIE!$O848)</f>
        <v/>
      </c>
      <c r="O843" t="str">
        <f>IF(SAISIE!$P848="","",SAISIE!$P848)</f>
        <v/>
      </c>
      <c r="P843" t="str">
        <f>IF(SAISIE!$Q848="","",SAISIE!$Q848)</f>
        <v/>
      </c>
      <c r="Q843" t="str">
        <f>IF($I843="","",IF($I843&gt;PARAMETRES!$G$29,5,IF($I843&gt;PARAMETRES!$F$29,4,IF($I843&gt;PARAMETRES!$E$29,3,IF($I843&gt;PARAMETRES!$D$29,2,1)))))</f>
        <v/>
      </c>
      <c r="R843" t="str">
        <f>IF($J843="","",IF($J843&gt;PARAMETRES!$G$30,5,IF($J843&gt;PARAMETRES!$F$30,4,IF($J843&gt;PARAMETRES!$E$30,3,IF($J843&gt;PARAMETRES!$D$30,2,1)))))</f>
        <v/>
      </c>
      <c r="S843" t="str">
        <f>IF($K843="","",IF($Z843=2,IF($K843&gt;PARAMETRES!$G$31,5,IF($K843&gt;PARAMETRES!$F$31,4,IF($K843&gt;PARAMETRES!$E$31,3,IF($K843&gt;PARAMETRES!$D$31,2,1)))),IF($K843&gt;PARAMETRES!$G$32,5,IF($K843&gt;PARAMETRES!$F$32,4,IF($K843&gt;PARAMETRES!$E$32,3,IF($K843&gt;PARAMETRES!$D$32,2,1))))))</f>
        <v/>
      </c>
      <c r="T843" t="str">
        <f>IF($L843="","",IF($L843&gt;PARAMETRES!$G$33,5,IF($L843&gt;PARAMETRES!$F$33,4,IF($L843&gt;PARAMETRES!$E$33,3,IF($L843&gt;PARAMETRES!$D$33,2,1)))))</f>
        <v/>
      </c>
      <c r="U843" t="str">
        <f>IF($M843="","",IF($M843&gt;PARAMETRES!$G$34,5,IF($M843&gt;PARAMETRES!$F$34,4,IF($M843&gt;PARAMETRES!$E$34,3,IF($M843&gt;PARAMETRES!$D$34,2,1)))))</f>
        <v/>
      </c>
      <c r="V843" t="str">
        <f>IF($N843="","",IF($N843&gt;PARAMETRES!$G$35,5,IF($N843&gt;PARAMETRES!$F$35,4,IF($N843&gt;PARAMETRES!$E$35,3,IF($N843&gt;PARAMETRES!$D$35,2,1)))))</f>
        <v/>
      </c>
      <c r="W843" t="str">
        <f>IF($O843="","",IF($O843&gt;PARAMETRES!$G$36,5,IF($O843&gt;PARAMETRES!$F$36,4,IF($O843&gt;PARAMETRES!$E$36,3,IF($O843&gt;PARAMETRES!$D$36,2,1)))))</f>
        <v/>
      </c>
      <c r="X843" t="str">
        <f>IF($P843="","",IF($P843&gt;PARAMETRES!$G$37,5,IF($P843&gt;PARAMETRES!$F$37,4,IF($P843&gt;PARAMETRES!$E$37,3,IF($P843&gt;PARAMETRES!$D$37,2,1)))))</f>
        <v/>
      </c>
      <c r="Y843" t="str">
        <f t="shared" si="312"/>
        <v/>
      </c>
      <c r="Z843" t="str">
        <f>IFERROR(VLOOKUP($B843,TABLE_CYCLE,2,0),"")</f>
        <v/>
      </c>
      <c r="AA843" t="str">
        <f t="shared" si="313"/>
        <v/>
      </c>
      <c r="AB843" t="str">
        <f>IF($D843="","",IF(COUNTIF($D$2:$D843,$D843)=1,$D843,""))</f>
        <v/>
      </c>
      <c r="AC843">
        <f t="shared" si="314"/>
        <v>0</v>
      </c>
      <c r="AD843" t="str">
        <f t="shared" si="315"/>
        <v>|0</v>
      </c>
      <c r="AE843" t="str">
        <f t="shared" si="316"/>
        <v/>
      </c>
      <c r="AF843" t="str">
        <f t="shared" si="317"/>
        <v/>
      </c>
      <c r="AG843" t="str">
        <f t="shared" si="318"/>
        <v/>
      </c>
      <c r="AH843" t="str">
        <f t="shared" si="319"/>
        <v/>
      </c>
      <c r="AI843" t="str">
        <f t="shared" si="320"/>
        <v/>
      </c>
      <c r="AJ843" t="str">
        <f t="shared" si="321"/>
        <v/>
      </c>
      <c r="AK843" t="str">
        <f t="shared" si="322"/>
        <v/>
      </c>
      <c r="AL843" t="str">
        <f t="shared" si="323"/>
        <v/>
      </c>
      <c r="AM843" t="str">
        <f t="shared" si="324"/>
        <v/>
      </c>
      <c r="AN843" t="str">
        <f t="shared" si="325"/>
        <v/>
      </c>
      <c r="AO843" t="str">
        <f t="shared" si="326"/>
        <v/>
      </c>
      <c r="AP843">
        <f t="shared" si="327"/>
        <v>1</v>
      </c>
      <c r="AQ843" t="str">
        <f>IF(SAISIE!$F848="","",SAISIE!$Y848)</f>
        <v/>
      </c>
      <c r="AR843" t="str">
        <f>IF(OR(SAISIE!$U$4="",SAISIE!$W$4=""),"",IF(AND($A843=SAISIE!$U$4,$B843=SAISIE!$W$4,$C843="S1"),COUNTIFS($A$2:$A843,SAISIE!$U$4,$B$2:$B843,SAISIE!$W$4,$C$2:$C843,"S1"),""))</f>
        <v/>
      </c>
      <c r="AS843" t="str">
        <f t="shared" si="328"/>
        <v/>
      </c>
      <c r="AT843" t="str">
        <f t="shared" si="329"/>
        <v/>
      </c>
      <c r="AU843" t="str">
        <f t="shared" si="330"/>
        <v/>
      </c>
      <c r="AV843">
        <f>N(AV842)+IF(AND($AB843&lt;&gt;"",OR('PROFIL ELEVE'!$K$4="(Tous)",$AF843='PROFIL ELEVE'!$K$4)),1,0)</f>
        <v>0</v>
      </c>
      <c r="AW843">
        <f>N(AW842)+IF(AND($AB843&lt;&gt;"",OR('SUIVI LONGITUDINAL'!$Q$4="(Tous)",$AF843='SUIVI LONGITUDINAL'!$Q$4)),1,0)</f>
        <v>0</v>
      </c>
      <c r="AX843">
        <f t="shared" si="331"/>
        <v>0</v>
      </c>
      <c r="AY843">
        <f t="shared" si="332"/>
        <v>0</v>
      </c>
      <c r="AZ843">
        <f t="shared" si="333"/>
        <v>0</v>
      </c>
      <c r="BA843" t="str">
        <f t="shared" si="334"/>
        <v/>
      </c>
      <c r="BB843" t="str">
        <f t="shared" si="335"/>
        <v/>
      </c>
    </row>
    <row r="844" spans="1:54" ht="14.25" customHeight="1" x14ac:dyDescent="0.3">
      <c r="A844" t="str">
        <f>IF(SAISIE!$F849="","",SAISIE!$B849)</f>
        <v/>
      </c>
      <c r="B844" t="str">
        <f>IF(SAISIE!$F849="","",SAISIE!$C849)</f>
        <v/>
      </c>
      <c r="C844" t="str">
        <f>IF(SAISIE!$F849="","",SAISIE!$D849)</f>
        <v/>
      </c>
      <c r="D844" t="str">
        <f>IF(SAISIE!$E849="","",SAISIE!$E849)</f>
        <v/>
      </c>
      <c r="E844" t="str">
        <f>IF(SAISIE!$F849="","",SAISIE!$F849)</f>
        <v/>
      </c>
      <c r="F844" t="str">
        <f>IF(SAISIE!$G849="","",SAISIE!$G849)</f>
        <v/>
      </c>
      <c r="G844" t="str">
        <f>IF(SAISIE!$H849="","",SAISIE!$H849)</f>
        <v/>
      </c>
      <c r="H844" t="str">
        <f>IF(SAISIE!$I849="","",SAISIE!$I849)</f>
        <v/>
      </c>
      <c r="I844" t="str">
        <f>IF(SAISIE!$J849="","",SAISIE!$J849)</f>
        <v/>
      </c>
      <c r="J844" t="str">
        <f>IF(SAISIE!$K849="","",SAISIE!$K849)</f>
        <v/>
      </c>
      <c r="K844" t="str">
        <f>IF(SAISIE!$L849="","",SAISIE!$L849)</f>
        <v/>
      </c>
      <c r="L844" t="str">
        <f>IF(SAISIE!$M849="","",SAISIE!$M849)</f>
        <v/>
      </c>
      <c r="M844" t="str">
        <f>IF(SAISIE!$N849="","",SAISIE!$N849)</f>
        <v/>
      </c>
      <c r="N844" t="str">
        <f>IF(SAISIE!$O849="","",SAISIE!$O849)</f>
        <v/>
      </c>
      <c r="O844" t="str">
        <f>IF(SAISIE!$P849="","",SAISIE!$P849)</f>
        <v/>
      </c>
      <c r="P844" t="str">
        <f>IF(SAISIE!$Q849="","",SAISIE!$Q849)</f>
        <v/>
      </c>
      <c r="Q844" t="str">
        <f>IF($I844="","",IF($I844&gt;PARAMETRES!$G$29,5,IF($I844&gt;PARAMETRES!$F$29,4,IF($I844&gt;PARAMETRES!$E$29,3,IF($I844&gt;PARAMETRES!$D$29,2,1)))))</f>
        <v/>
      </c>
      <c r="R844" t="str">
        <f>IF($J844="","",IF($J844&gt;PARAMETRES!$G$30,5,IF($J844&gt;PARAMETRES!$F$30,4,IF($J844&gt;PARAMETRES!$E$30,3,IF($J844&gt;PARAMETRES!$D$30,2,1)))))</f>
        <v/>
      </c>
      <c r="S844" t="str">
        <f>IF($K844="","",IF($Z844=2,IF($K844&gt;PARAMETRES!$G$31,5,IF($K844&gt;PARAMETRES!$F$31,4,IF($K844&gt;PARAMETRES!$E$31,3,IF($K844&gt;PARAMETRES!$D$31,2,1)))),IF($K844&gt;PARAMETRES!$G$32,5,IF($K844&gt;PARAMETRES!$F$32,4,IF($K844&gt;PARAMETRES!$E$32,3,IF($K844&gt;PARAMETRES!$D$32,2,1))))))</f>
        <v/>
      </c>
      <c r="T844" t="str">
        <f>IF($L844="","",IF($L844&gt;PARAMETRES!$G$33,5,IF($L844&gt;PARAMETRES!$F$33,4,IF($L844&gt;PARAMETRES!$E$33,3,IF($L844&gt;PARAMETRES!$D$33,2,1)))))</f>
        <v/>
      </c>
      <c r="U844" t="str">
        <f>IF($M844="","",IF($M844&gt;PARAMETRES!$G$34,5,IF($M844&gt;PARAMETRES!$F$34,4,IF($M844&gt;PARAMETRES!$E$34,3,IF($M844&gt;PARAMETRES!$D$34,2,1)))))</f>
        <v/>
      </c>
      <c r="V844" t="str">
        <f>IF($N844="","",IF($N844&gt;PARAMETRES!$G$35,5,IF($N844&gt;PARAMETRES!$F$35,4,IF($N844&gt;PARAMETRES!$E$35,3,IF($N844&gt;PARAMETRES!$D$35,2,1)))))</f>
        <v/>
      </c>
      <c r="W844" t="str">
        <f>IF($O844="","",IF($O844&gt;PARAMETRES!$G$36,5,IF($O844&gt;PARAMETRES!$F$36,4,IF($O844&gt;PARAMETRES!$E$36,3,IF($O844&gt;PARAMETRES!$D$36,2,1)))))</f>
        <v/>
      </c>
      <c r="X844" t="str">
        <f>IF($P844="","",IF($P844&gt;PARAMETRES!$G$37,5,IF($P844&gt;PARAMETRES!$F$37,4,IF($P844&gt;PARAMETRES!$E$37,3,IF($P844&gt;PARAMETRES!$D$37,2,1)))))</f>
        <v/>
      </c>
      <c r="Y844" t="str">
        <f t="shared" si="312"/>
        <v/>
      </c>
      <c r="Z844" t="str">
        <f>IFERROR(VLOOKUP($B844,TABLE_CYCLE,2,0),"")</f>
        <v/>
      </c>
      <c r="AA844" t="str">
        <f t="shared" si="313"/>
        <v/>
      </c>
      <c r="AB844" t="str">
        <f>IF($D844="","",IF(COUNTIF($D$2:$D844,$D844)=1,$D844,""))</f>
        <v/>
      </c>
      <c r="AC844">
        <f t="shared" si="314"/>
        <v>0</v>
      </c>
      <c r="AD844" t="str">
        <f t="shared" si="315"/>
        <v>|0</v>
      </c>
      <c r="AE844" t="str">
        <f t="shared" si="316"/>
        <v/>
      </c>
      <c r="AF844" t="str">
        <f t="shared" si="317"/>
        <v/>
      </c>
      <c r="AG844" t="str">
        <f t="shared" si="318"/>
        <v/>
      </c>
      <c r="AH844" t="str">
        <f t="shared" si="319"/>
        <v/>
      </c>
      <c r="AI844" t="str">
        <f t="shared" si="320"/>
        <v/>
      </c>
      <c r="AJ844" t="str">
        <f t="shared" si="321"/>
        <v/>
      </c>
      <c r="AK844" t="str">
        <f t="shared" si="322"/>
        <v/>
      </c>
      <c r="AL844" t="str">
        <f t="shared" si="323"/>
        <v/>
      </c>
      <c r="AM844" t="str">
        <f t="shared" si="324"/>
        <v/>
      </c>
      <c r="AN844" t="str">
        <f t="shared" si="325"/>
        <v/>
      </c>
      <c r="AO844" t="str">
        <f t="shared" si="326"/>
        <v/>
      </c>
      <c r="AP844">
        <f t="shared" si="327"/>
        <v>1</v>
      </c>
      <c r="AQ844" t="str">
        <f>IF(SAISIE!$F849="","",SAISIE!$Y849)</f>
        <v/>
      </c>
      <c r="AR844" t="str">
        <f>IF(OR(SAISIE!$U$4="",SAISIE!$W$4=""),"",IF(AND($A844=SAISIE!$U$4,$B844=SAISIE!$W$4,$C844="S1"),COUNTIFS($A$2:$A844,SAISIE!$U$4,$B$2:$B844,SAISIE!$W$4,$C$2:$C844,"S1"),""))</f>
        <v/>
      </c>
      <c r="AS844" t="str">
        <f t="shared" si="328"/>
        <v/>
      </c>
      <c r="AT844" t="str">
        <f t="shared" si="329"/>
        <v/>
      </c>
      <c r="AU844" t="str">
        <f t="shared" si="330"/>
        <v/>
      </c>
      <c r="AV844">
        <f>N(AV843)+IF(AND($AB844&lt;&gt;"",OR('PROFIL ELEVE'!$K$4="(Tous)",$AF844='PROFIL ELEVE'!$K$4)),1,0)</f>
        <v>0</v>
      </c>
      <c r="AW844">
        <f>N(AW843)+IF(AND($AB844&lt;&gt;"",OR('SUIVI LONGITUDINAL'!$Q$4="(Tous)",$AF844='SUIVI LONGITUDINAL'!$Q$4)),1,0)</f>
        <v>0</v>
      </c>
      <c r="AX844">
        <f t="shared" si="331"/>
        <v>0</v>
      </c>
      <c r="AY844">
        <f t="shared" si="332"/>
        <v>0</v>
      </c>
      <c r="AZ844">
        <f t="shared" si="333"/>
        <v>0</v>
      </c>
      <c r="BA844" t="str">
        <f t="shared" si="334"/>
        <v/>
      </c>
      <c r="BB844" t="str">
        <f t="shared" si="335"/>
        <v/>
      </c>
    </row>
    <row r="845" spans="1:54" ht="14.25" customHeight="1" x14ac:dyDescent="0.3">
      <c r="A845" t="str">
        <f>IF(SAISIE!$F850="","",SAISIE!$B850)</f>
        <v/>
      </c>
      <c r="B845" t="str">
        <f>IF(SAISIE!$F850="","",SAISIE!$C850)</f>
        <v/>
      </c>
      <c r="C845" t="str">
        <f>IF(SAISIE!$F850="","",SAISIE!$D850)</f>
        <v/>
      </c>
      <c r="D845" t="str">
        <f>IF(SAISIE!$E850="","",SAISIE!$E850)</f>
        <v/>
      </c>
      <c r="E845" t="str">
        <f>IF(SAISIE!$F850="","",SAISIE!$F850)</f>
        <v/>
      </c>
      <c r="F845" t="str">
        <f>IF(SAISIE!$G850="","",SAISIE!$G850)</f>
        <v/>
      </c>
      <c r="G845" t="str">
        <f>IF(SAISIE!$H850="","",SAISIE!$H850)</f>
        <v/>
      </c>
      <c r="H845" t="str">
        <f>IF(SAISIE!$I850="","",SAISIE!$I850)</f>
        <v/>
      </c>
      <c r="I845" t="str">
        <f>IF(SAISIE!$J850="","",SAISIE!$J850)</f>
        <v/>
      </c>
      <c r="J845" t="str">
        <f>IF(SAISIE!$K850="","",SAISIE!$K850)</f>
        <v/>
      </c>
      <c r="K845" t="str">
        <f>IF(SAISIE!$L850="","",SAISIE!$L850)</f>
        <v/>
      </c>
      <c r="L845" t="str">
        <f>IF(SAISIE!$M850="","",SAISIE!$M850)</f>
        <v/>
      </c>
      <c r="M845" t="str">
        <f>IF(SAISIE!$N850="","",SAISIE!$N850)</f>
        <v/>
      </c>
      <c r="N845" t="str">
        <f>IF(SAISIE!$O850="","",SAISIE!$O850)</f>
        <v/>
      </c>
      <c r="O845" t="str">
        <f>IF(SAISIE!$P850="","",SAISIE!$P850)</f>
        <v/>
      </c>
      <c r="P845" t="str">
        <f>IF(SAISIE!$Q850="","",SAISIE!$Q850)</f>
        <v/>
      </c>
      <c r="Q845" t="str">
        <f>IF($I845="","",IF($I845&gt;PARAMETRES!$G$29,5,IF($I845&gt;PARAMETRES!$F$29,4,IF($I845&gt;PARAMETRES!$E$29,3,IF($I845&gt;PARAMETRES!$D$29,2,1)))))</f>
        <v/>
      </c>
      <c r="R845" t="str">
        <f>IF($J845="","",IF($J845&gt;PARAMETRES!$G$30,5,IF($J845&gt;PARAMETRES!$F$30,4,IF($J845&gt;PARAMETRES!$E$30,3,IF($J845&gt;PARAMETRES!$D$30,2,1)))))</f>
        <v/>
      </c>
      <c r="S845" t="str">
        <f>IF($K845="","",IF($Z845=2,IF($K845&gt;PARAMETRES!$G$31,5,IF($K845&gt;PARAMETRES!$F$31,4,IF($K845&gt;PARAMETRES!$E$31,3,IF($K845&gt;PARAMETRES!$D$31,2,1)))),IF($K845&gt;PARAMETRES!$G$32,5,IF($K845&gt;PARAMETRES!$F$32,4,IF($K845&gt;PARAMETRES!$E$32,3,IF($K845&gt;PARAMETRES!$D$32,2,1))))))</f>
        <v/>
      </c>
      <c r="T845" t="str">
        <f>IF($L845="","",IF($L845&gt;PARAMETRES!$G$33,5,IF($L845&gt;PARAMETRES!$F$33,4,IF($L845&gt;PARAMETRES!$E$33,3,IF($L845&gt;PARAMETRES!$D$33,2,1)))))</f>
        <v/>
      </c>
      <c r="U845" t="str">
        <f>IF($M845="","",IF($M845&gt;PARAMETRES!$G$34,5,IF($M845&gt;PARAMETRES!$F$34,4,IF($M845&gt;PARAMETRES!$E$34,3,IF($M845&gt;PARAMETRES!$D$34,2,1)))))</f>
        <v/>
      </c>
      <c r="V845" t="str">
        <f>IF($N845="","",IF($N845&gt;PARAMETRES!$G$35,5,IF($N845&gt;PARAMETRES!$F$35,4,IF($N845&gt;PARAMETRES!$E$35,3,IF($N845&gt;PARAMETRES!$D$35,2,1)))))</f>
        <v/>
      </c>
      <c r="W845" t="str">
        <f>IF($O845="","",IF($O845&gt;PARAMETRES!$G$36,5,IF($O845&gt;PARAMETRES!$F$36,4,IF($O845&gt;PARAMETRES!$E$36,3,IF($O845&gt;PARAMETRES!$D$36,2,1)))))</f>
        <v/>
      </c>
      <c r="X845" t="str">
        <f>IF($P845="","",IF($P845&gt;PARAMETRES!$G$37,5,IF($P845&gt;PARAMETRES!$F$37,4,IF($P845&gt;PARAMETRES!$E$37,3,IF($P845&gt;PARAMETRES!$D$37,2,1)))))</f>
        <v/>
      </c>
      <c r="Y845" t="str">
        <f t="shared" si="312"/>
        <v/>
      </c>
      <c r="Z845" t="str">
        <f>IFERROR(VLOOKUP($B845,TABLE_CYCLE,2,0),"")</f>
        <v/>
      </c>
      <c r="AA845" t="str">
        <f t="shared" si="313"/>
        <v/>
      </c>
      <c r="AB845" t="str">
        <f>IF($D845="","",IF(COUNTIF($D$2:$D845,$D845)=1,$D845,""))</f>
        <v/>
      </c>
      <c r="AC845">
        <f t="shared" si="314"/>
        <v>0</v>
      </c>
      <c r="AD845" t="str">
        <f t="shared" si="315"/>
        <v>|0</v>
      </c>
      <c r="AE845" t="str">
        <f t="shared" si="316"/>
        <v/>
      </c>
      <c r="AF845" t="str">
        <f t="shared" si="317"/>
        <v/>
      </c>
      <c r="AG845" t="str">
        <f t="shared" si="318"/>
        <v/>
      </c>
      <c r="AH845" t="str">
        <f t="shared" si="319"/>
        <v/>
      </c>
      <c r="AI845" t="str">
        <f t="shared" si="320"/>
        <v/>
      </c>
      <c r="AJ845" t="str">
        <f t="shared" si="321"/>
        <v/>
      </c>
      <c r="AK845" t="str">
        <f t="shared" si="322"/>
        <v/>
      </c>
      <c r="AL845" t="str">
        <f t="shared" si="323"/>
        <v/>
      </c>
      <c r="AM845" t="str">
        <f t="shared" si="324"/>
        <v/>
      </c>
      <c r="AN845" t="str">
        <f t="shared" si="325"/>
        <v/>
      </c>
      <c r="AO845" t="str">
        <f t="shared" si="326"/>
        <v/>
      </c>
      <c r="AP845">
        <f t="shared" si="327"/>
        <v>1</v>
      </c>
      <c r="AQ845" t="str">
        <f>IF(SAISIE!$F850="","",SAISIE!$Y850)</f>
        <v/>
      </c>
      <c r="AR845" t="str">
        <f>IF(OR(SAISIE!$U$4="",SAISIE!$W$4=""),"",IF(AND($A845=SAISIE!$U$4,$B845=SAISIE!$W$4,$C845="S1"),COUNTIFS($A$2:$A845,SAISIE!$U$4,$B$2:$B845,SAISIE!$W$4,$C$2:$C845,"S1"),""))</f>
        <v/>
      </c>
      <c r="AS845" t="str">
        <f t="shared" si="328"/>
        <v/>
      </c>
      <c r="AT845" t="str">
        <f t="shared" si="329"/>
        <v/>
      </c>
      <c r="AU845" t="str">
        <f t="shared" si="330"/>
        <v/>
      </c>
      <c r="AV845">
        <f>N(AV844)+IF(AND($AB845&lt;&gt;"",OR('PROFIL ELEVE'!$K$4="(Tous)",$AF845='PROFIL ELEVE'!$K$4)),1,0)</f>
        <v>0</v>
      </c>
      <c r="AW845">
        <f>N(AW844)+IF(AND($AB845&lt;&gt;"",OR('SUIVI LONGITUDINAL'!$Q$4="(Tous)",$AF845='SUIVI LONGITUDINAL'!$Q$4)),1,0)</f>
        <v>0</v>
      </c>
      <c r="AX845">
        <f t="shared" si="331"/>
        <v>0</v>
      </c>
      <c r="AY845">
        <f t="shared" si="332"/>
        <v>0</v>
      </c>
      <c r="AZ845">
        <f t="shared" si="333"/>
        <v>0</v>
      </c>
      <c r="BA845" t="str">
        <f t="shared" si="334"/>
        <v/>
      </c>
      <c r="BB845" t="str">
        <f t="shared" si="335"/>
        <v/>
      </c>
    </row>
    <row r="846" spans="1:54" ht="14.25" customHeight="1" x14ac:dyDescent="0.3">
      <c r="A846" t="str">
        <f>IF(SAISIE!$F851="","",SAISIE!$B851)</f>
        <v/>
      </c>
      <c r="B846" t="str">
        <f>IF(SAISIE!$F851="","",SAISIE!$C851)</f>
        <v/>
      </c>
      <c r="C846" t="str">
        <f>IF(SAISIE!$F851="","",SAISIE!$D851)</f>
        <v/>
      </c>
      <c r="D846" t="str">
        <f>IF(SAISIE!$E851="","",SAISIE!$E851)</f>
        <v/>
      </c>
      <c r="E846" t="str">
        <f>IF(SAISIE!$F851="","",SAISIE!$F851)</f>
        <v/>
      </c>
      <c r="F846" t="str">
        <f>IF(SAISIE!$G851="","",SAISIE!$G851)</f>
        <v/>
      </c>
      <c r="G846" t="str">
        <f>IF(SAISIE!$H851="","",SAISIE!$H851)</f>
        <v/>
      </c>
      <c r="H846" t="str">
        <f>IF(SAISIE!$I851="","",SAISIE!$I851)</f>
        <v/>
      </c>
      <c r="I846" t="str">
        <f>IF(SAISIE!$J851="","",SAISIE!$J851)</f>
        <v/>
      </c>
      <c r="J846" t="str">
        <f>IF(SAISIE!$K851="","",SAISIE!$K851)</f>
        <v/>
      </c>
      <c r="K846" t="str">
        <f>IF(SAISIE!$L851="","",SAISIE!$L851)</f>
        <v/>
      </c>
      <c r="L846" t="str">
        <f>IF(SAISIE!$M851="","",SAISIE!$M851)</f>
        <v/>
      </c>
      <c r="M846" t="str">
        <f>IF(SAISIE!$N851="","",SAISIE!$N851)</f>
        <v/>
      </c>
      <c r="N846" t="str">
        <f>IF(SAISIE!$O851="","",SAISIE!$O851)</f>
        <v/>
      </c>
      <c r="O846" t="str">
        <f>IF(SAISIE!$P851="","",SAISIE!$P851)</f>
        <v/>
      </c>
      <c r="P846" t="str">
        <f>IF(SAISIE!$Q851="","",SAISIE!$Q851)</f>
        <v/>
      </c>
      <c r="Q846" t="str">
        <f>IF($I846="","",IF($I846&gt;PARAMETRES!$G$29,5,IF($I846&gt;PARAMETRES!$F$29,4,IF($I846&gt;PARAMETRES!$E$29,3,IF($I846&gt;PARAMETRES!$D$29,2,1)))))</f>
        <v/>
      </c>
      <c r="R846" t="str">
        <f>IF($J846="","",IF($J846&gt;PARAMETRES!$G$30,5,IF($J846&gt;PARAMETRES!$F$30,4,IF($J846&gt;PARAMETRES!$E$30,3,IF($J846&gt;PARAMETRES!$D$30,2,1)))))</f>
        <v/>
      </c>
      <c r="S846" t="str">
        <f>IF($K846="","",IF($Z846=2,IF($K846&gt;PARAMETRES!$G$31,5,IF($K846&gt;PARAMETRES!$F$31,4,IF($K846&gt;PARAMETRES!$E$31,3,IF($K846&gt;PARAMETRES!$D$31,2,1)))),IF($K846&gt;PARAMETRES!$G$32,5,IF($K846&gt;PARAMETRES!$F$32,4,IF($K846&gt;PARAMETRES!$E$32,3,IF($K846&gt;PARAMETRES!$D$32,2,1))))))</f>
        <v/>
      </c>
      <c r="T846" t="str">
        <f>IF($L846="","",IF($L846&gt;PARAMETRES!$G$33,5,IF($L846&gt;PARAMETRES!$F$33,4,IF($L846&gt;PARAMETRES!$E$33,3,IF($L846&gt;PARAMETRES!$D$33,2,1)))))</f>
        <v/>
      </c>
      <c r="U846" t="str">
        <f>IF($M846="","",IF($M846&gt;PARAMETRES!$G$34,5,IF($M846&gt;PARAMETRES!$F$34,4,IF($M846&gt;PARAMETRES!$E$34,3,IF($M846&gt;PARAMETRES!$D$34,2,1)))))</f>
        <v/>
      </c>
      <c r="V846" t="str">
        <f>IF($N846="","",IF($N846&gt;PARAMETRES!$G$35,5,IF($N846&gt;PARAMETRES!$F$35,4,IF($N846&gt;PARAMETRES!$E$35,3,IF($N846&gt;PARAMETRES!$D$35,2,1)))))</f>
        <v/>
      </c>
      <c r="W846" t="str">
        <f>IF($O846="","",IF($O846&gt;PARAMETRES!$G$36,5,IF($O846&gt;PARAMETRES!$F$36,4,IF($O846&gt;PARAMETRES!$E$36,3,IF($O846&gt;PARAMETRES!$D$36,2,1)))))</f>
        <v/>
      </c>
      <c r="X846" t="str">
        <f>IF($P846="","",IF($P846&gt;PARAMETRES!$G$37,5,IF($P846&gt;PARAMETRES!$F$37,4,IF($P846&gt;PARAMETRES!$E$37,3,IF($P846&gt;PARAMETRES!$D$37,2,1)))))</f>
        <v/>
      </c>
      <c r="Y846" t="str">
        <f t="shared" si="312"/>
        <v/>
      </c>
      <c r="Z846" t="str">
        <f>IFERROR(VLOOKUP($B846,TABLE_CYCLE,2,0),"")</f>
        <v/>
      </c>
      <c r="AA846" t="str">
        <f t="shared" si="313"/>
        <v/>
      </c>
      <c r="AB846" t="str">
        <f>IF($D846="","",IF(COUNTIF($D$2:$D846,$D846)=1,$D846,""))</f>
        <v/>
      </c>
      <c r="AC846">
        <f t="shared" si="314"/>
        <v>0</v>
      </c>
      <c r="AD846" t="str">
        <f t="shared" si="315"/>
        <v>|0</v>
      </c>
      <c r="AE846" t="str">
        <f t="shared" si="316"/>
        <v/>
      </c>
      <c r="AF846" t="str">
        <f t="shared" si="317"/>
        <v/>
      </c>
      <c r="AG846" t="str">
        <f t="shared" si="318"/>
        <v/>
      </c>
      <c r="AH846" t="str">
        <f t="shared" si="319"/>
        <v/>
      </c>
      <c r="AI846" t="str">
        <f t="shared" si="320"/>
        <v/>
      </c>
      <c r="AJ846" t="str">
        <f t="shared" si="321"/>
        <v/>
      </c>
      <c r="AK846" t="str">
        <f t="shared" si="322"/>
        <v/>
      </c>
      <c r="AL846" t="str">
        <f t="shared" si="323"/>
        <v/>
      </c>
      <c r="AM846" t="str">
        <f t="shared" si="324"/>
        <v/>
      </c>
      <c r="AN846" t="str">
        <f t="shared" si="325"/>
        <v/>
      </c>
      <c r="AO846" t="str">
        <f t="shared" si="326"/>
        <v/>
      </c>
      <c r="AP846">
        <f t="shared" si="327"/>
        <v>1</v>
      </c>
      <c r="AQ846" t="str">
        <f>IF(SAISIE!$F851="","",SAISIE!$Y851)</f>
        <v/>
      </c>
      <c r="AR846" t="str">
        <f>IF(OR(SAISIE!$U$4="",SAISIE!$W$4=""),"",IF(AND($A846=SAISIE!$U$4,$B846=SAISIE!$W$4,$C846="S1"),COUNTIFS($A$2:$A846,SAISIE!$U$4,$B$2:$B846,SAISIE!$W$4,$C$2:$C846,"S1"),""))</f>
        <v/>
      </c>
      <c r="AS846" t="str">
        <f t="shared" si="328"/>
        <v/>
      </c>
      <c r="AT846" t="str">
        <f t="shared" si="329"/>
        <v/>
      </c>
      <c r="AU846" t="str">
        <f t="shared" si="330"/>
        <v/>
      </c>
      <c r="AV846">
        <f>N(AV845)+IF(AND($AB846&lt;&gt;"",OR('PROFIL ELEVE'!$K$4="(Tous)",$AF846='PROFIL ELEVE'!$K$4)),1,0)</f>
        <v>0</v>
      </c>
      <c r="AW846">
        <f>N(AW845)+IF(AND($AB846&lt;&gt;"",OR('SUIVI LONGITUDINAL'!$Q$4="(Tous)",$AF846='SUIVI LONGITUDINAL'!$Q$4)),1,0)</f>
        <v>0</v>
      </c>
      <c r="AX846">
        <f t="shared" si="331"/>
        <v>0</v>
      </c>
      <c r="AY846">
        <f t="shared" si="332"/>
        <v>0</v>
      </c>
      <c r="AZ846">
        <f t="shared" si="333"/>
        <v>0</v>
      </c>
      <c r="BA846" t="str">
        <f t="shared" si="334"/>
        <v/>
      </c>
      <c r="BB846" t="str">
        <f t="shared" si="335"/>
        <v/>
      </c>
    </row>
    <row r="847" spans="1:54" ht="14.25" customHeight="1" x14ac:dyDescent="0.3">
      <c r="A847" t="str">
        <f>IF(SAISIE!$F852="","",SAISIE!$B852)</f>
        <v/>
      </c>
      <c r="B847" t="str">
        <f>IF(SAISIE!$F852="","",SAISIE!$C852)</f>
        <v/>
      </c>
      <c r="C847" t="str">
        <f>IF(SAISIE!$F852="","",SAISIE!$D852)</f>
        <v/>
      </c>
      <c r="D847" t="str">
        <f>IF(SAISIE!$E852="","",SAISIE!$E852)</f>
        <v/>
      </c>
      <c r="E847" t="str">
        <f>IF(SAISIE!$F852="","",SAISIE!$F852)</f>
        <v/>
      </c>
      <c r="F847" t="str">
        <f>IF(SAISIE!$G852="","",SAISIE!$G852)</f>
        <v/>
      </c>
      <c r="G847" t="str">
        <f>IF(SAISIE!$H852="","",SAISIE!$H852)</f>
        <v/>
      </c>
      <c r="H847" t="str">
        <f>IF(SAISIE!$I852="","",SAISIE!$I852)</f>
        <v/>
      </c>
      <c r="I847" t="str">
        <f>IF(SAISIE!$J852="","",SAISIE!$J852)</f>
        <v/>
      </c>
      <c r="J847" t="str">
        <f>IF(SAISIE!$K852="","",SAISIE!$K852)</f>
        <v/>
      </c>
      <c r="K847" t="str">
        <f>IF(SAISIE!$L852="","",SAISIE!$L852)</f>
        <v/>
      </c>
      <c r="L847" t="str">
        <f>IF(SAISIE!$M852="","",SAISIE!$M852)</f>
        <v/>
      </c>
      <c r="M847" t="str">
        <f>IF(SAISIE!$N852="","",SAISIE!$N852)</f>
        <v/>
      </c>
      <c r="N847" t="str">
        <f>IF(SAISIE!$O852="","",SAISIE!$O852)</f>
        <v/>
      </c>
      <c r="O847" t="str">
        <f>IF(SAISIE!$P852="","",SAISIE!$P852)</f>
        <v/>
      </c>
      <c r="P847" t="str">
        <f>IF(SAISIE!$Q852="","",SAISIE!$Q852)</f>
        <v/>
      </c>
      <c r="Q847" t="str">
        <f>IF($I847="","",IF($I847&gt;PARAMETRES!$G$29,5,IF($I847&gt;PARAMETRES!$F$29,4,IF($I847&gt;PARAMETRES!$E$29,3,IF($I847&gt;PARAMETRES!$D$29,2,1)))))</f>
        <v/>
      </c>
      <c r="R847" t="str">
        <f>IF($J847="","",IF($J847&gt;PARAMETRES!$G$30,5,IF($J847&gt;PARAMETRES!$F$30,4,IF($J847&gt;PARAMETRES!$E$30,3,IF($J847&gt;PARAMETRES!$D$30,2,1)))))</f>
        <v/>
      </c>
      <c r="S847" t="str">
        <f>IF($K847="","",IF($Z847=2,IF($K847&gt;PARAMETRES!$G$31,5,IF($K847&gt;PARAMETRES!$F$31,4,IF($K847&gt;PARAMETRES!$E$31,3,IF($K847&gt;PARAMETRES!$D$31,2,1)))),IF($K847&gt;PARAMETRES!$G$32,5,IF($K847&gt;PARAMETRES!$F$32,4,IF($K847&gt;PARAMETRES!$E$32,3,IF($K847&gt;PARAMETRES!$D$32,2,1))))))</f>
        <v/>
      </c>
      <c r="T847" t="str">
        <f>IF($L847="","",IF($L847&gt;PARAMETRES!$G$33,5,IF($L847&gt;PARAMETRES!$F$33,4,IF($L847&gt;PARAMETRES!$E$33,3,IF($L847&gt;PARAMETRES!$D$33,2,1)))))</f>
        <v/>
      </c>
      <c r="U847" t="str">
        <f>IF($M847="","",IF($M847&gt;PARAMETRES!$G$34,5,IF($M847&gt;PARAMETRES!$F$34,4,IF($M847&gt;PARAMETRES!$E$34,3,IF($M847&gt;PARAMETRES!$D$34,2,1)))))</f>
        <v/>
      </c>
      <c r="V847" t="str">
        <f>IF($N847="","",IF($N847&gt;PARAMETRES!$G$35,5,IF($N847&gt;PARAMETRES!$F$35,4,IF($N847&gt;PARAMETRES!$E$35,3,IF($N847&gt;PARAMETRES!$D$35,2,1)))))</f>
        <v/>
      </c>
      <c r="W847" t="str">
        <f>IF($O847="","",IF($O847&gt;PARAMETRES!$G$36,5,IF($O847&gt;PARAMETRES!$F$36,4,IF($O847&gt;PARAMETRES!$E$36,3,IF($O847&gt;PARAMETRES!$D$36,2,1)))))</f>
        <v/>
      </c>
      <c r="X847" t="str">
        <f>IF($P847="","",IF($P847&gt;PARAMETRES!$G$37,5,IF($P847&gt;PARAMETRES!$F$37,4,IF($P847&gt;PARAMETRES!$E$37,3,IF($P847&gt;PARAMETRES!$D$37,2,1)))))</f>
        <v/>
      </c>
      <c r="Y847" t="str">
        <f t="shared" si="312"/>
        <v/>
      </c>
      <c r="Z847" t="str">
        <f>IFERROR(VLOOKUP($B847,TABLE_CYCLE,2,0),"")</f>
        <v/>
      </c>
      <c r="AA847" t="str">
        <f t="shared" si="313"/>
        <v/>
      </c>
      <c r="AB847" t="str">
        <f>IF($D847="","",IF(COUNTIF($D$2:$D847,$D847)=1,$D847,""))</f>
        <v/>
      </c>
      <c r="AC847">
        <f t="shared" si="314"/>
        <v>0</v>
      </c>
      <c r="AD847" t="str">
        <f t="shared" si="315"/>
        <v>|0</v>
      </c>
      <c r="AE847" t="str">
        <f t="shared" si="316"/>
        <v/>
      </c>
      <c r="AF847" t="str">
        <f t="shared" si="317"/>
        <v/>
      </c>
      <c r="AG847" t="str">
        <f t="shared" si="318"/>
        <v/>
      </c>
      <c r="AH847" t="str">
        <f t="shared" si="319"/>
        <v/>
      </c>
      <c r="AI847" t="str">
        <f t="shared" si="320"/>
        <v/>
      </c>
      <c r="AJ847" t="str">
        <f t="shared" si="321"/>
        <v/>
      </c>
      <c r="AK847" t="str">
        <f t="shared" si="322"/>
        <v/>
      </c>
      <c r="AL847" t="str">
        <f t="shared" si="323"/>
        <v/>
      </c>
      <c r="AM847" t="str">
        <f t="shared" si="324"/>
        <v/>
      </c>
      <c r="AN847" t="str">
        <f t="shared" si="325"/>
        <v/>
      </c>
      <c r="AO847" t="str">
        <f t="shared" si="326"/>
        <v/>
      </c>
      <c r="AP847">
        <f t="shared" si="327"/>
        <v>1</v>
      </c>
      <c r="AQ847" t="str">
        <f>IF(SAISIE!$F852="","",SAISIE!$Y852)</f>
        <v/>
      </c>
      <c r="AR847" t="str">
        <f>IF(OR(SAISIE!$U$4="",SAISIE!$W$4=""),"",IF(AND($A847=SAISIE!$U$4,$B847=SAISIE!$W$4,$C847="S1"),COUNTIFS($A$2:$A847,SAISIE!$U$4,$B$2:$B847,SAISIE!$W$4,$C$2:$C847,"S1"),""))</f>
        <v/>
      </c>
      <c r="AS847" t="str">
        <f t="shared" si="328"/>
        <v/>
      </c>
      <c r="AT847" t="str">
        <f t="shared" si="329"/>
        <v/>
      </c>
      <c r="AU847" t="str">
        <f t="shared" si="330"/>
        <v/>
      </c>
      <c r="AV847">
        <f>N(AV846)+IF(AND($AB847&lt;&gt;"",OR('PROFIL ELEVE'!$K$4="(Tous)",$AF847='PROFIL ELEVE'!$K$4)),1,0)</f>
        <v>0</v>
      </c>
      <c r="AW847">
        <f>N(AW846)+IF(AND($AB847&lt;&gt;"",OR('SUIVI LONGITUDINAL'!$Q$4="(Tous)",$AF847='SUIVI LONGITUDINAL'!$Q$4)),1,0)</f>
        <v>0</v>
      </c>
      <c r="AX847">
        <f t="shared" si="331"/>
        <v>0</v>
      </c>
      <c r="AY847">
        <f t="shared" si="332"/>
        <v>0</v>
      </c>
      <c r="AZ847">
        <f t="shared" si="333"/>
        <v>0</v>
      </c>
      <c r="BA847" t="str">
        <f t="shared" si="334"/>
        <v/>
      </c>
      <c r="BB847" t="str">
        <f t="shared" si="335"/>
        <v/>
      </c>
    </row>
    <row r="848" spans="1:54" ht="14.25" customHeight="1" x14ac:dyDescent="0.3">
      <c r="A848" t="str">
        <f>IF(SAISIE!$F853="","",SAISIE!$B853)</f>
        <v/>
      </c>
      <c r="B848" t="str">
        <f>IF(SAISIE!$F853="","",SAISIE!$C853)</f>
        <v/>
      </c>
      <c r="C848" t="str">
        <f>IF(SAISIE!$F853="","",SAISIE!$D853)</f>
        <v/>
      </c>
      <c r="D848" t="str">
        <f>IF(SAISIE!$E853="","",SAISIE!$E853)</f>
        <v/>
      </c>
      <c r="E848" t="str">
        <f>IF(SAISIE!$F853="","",SAISIE!$F853)</f>
        <v/>
      </c>
      <c r="F848" t="str">
        <f>IF(SAISIE!$G853="","",SAISIE!$G853)</f>
        <v/>
      </c>
      <c r="G848" t="str">
        <f>IF(SAISIE!$H853="","",SAISIE!$H853)</f>
        <v/>
      </c>
      <c r="H848" t="str">
        <f>IF(SAISIE!$I853="","",SAISIE!$I853)</f>
        <v/>
      </c>
      <c r="I848" t="str">
        <f>IF(SAISIE!$J853="","",SAISIE!$J853)</f>
        <v/>
      </c>
      <c r="J848" t="str">
        <f>IF(SAISIE!$K853="","",SAISIE!$K853)</f>
        <v/>
      </c>
      <c r="K848" t="str">
        <f>IF(SAISIE!$L853="","",SAISIE!$L853)</f>
        <v/>
      </c>
      <c r="L848" t="str">
        <f>IF(SAISIE!$M853="","",SAISIE!$M853)</f>
        <v/>
      </c>
      <c r="M848" t="str">
        <f>IF(SAISIE!$N853="","",SAISIE!$N853)</f>
        <v/>
      </c>
      <c r="N848" t="str">
        <f>IF(SAISIE!$O853="","",SAISIE!$O853)</f>
        <v/>
      </c>
      <c r="O848" t="str">
        <f>IF(SAISIE!$P853="","",SAISIE!$P853)</f>
        <v/>
      </c>
      <c r="P848" t="str">
        <f>IF(SAISIE!$Q853="","",SAISIE!$Q853)</f>
        <v/>
      </c>
      <c r="Q848" t="str">
        <f>IF($I848="","",IF($I848&gt;PARAMETRES!$G$29,5,IF($I848&gt;PARAMETRES!$F$29,4,IF($I848&gt;PARAMETRES!$E$29,3,IF($I848&gt;PARAMETRES!$D$29,2,1)))))</f>
        <v/>
      </c>
      <c r="R848" t="str">
        <f>IF($J848="","",IF($J848&gt;PARAMETRES!$G$30,5,IF($J848&gt;PARAMETRES!$F$30,4,IF($J848&gt;PARAMETRES!$E$30,3,IF($J848&gt;PARAMETRES!$D$30,2,1)))))</f>
        <v/>
      </c>
      <c r="S848" t="str">
        <f>IF($K848="","",IF($Z848=2,IF($K848&gt;PARAMETRES!$G$31,5,IF($K848&gt;PARAMETRES!$F$31,4,IF($K848&gt;PARAMETRES!$E$31,3,IF($K848&gt;PARAMETRES!$D$31,2,1)))),IF($K848&gt;PARAMETRES!$G$32,5,IF($K848&gt;PARAMETRES!$F$32,4,IF($K848&gt;PARAMETRES!$E$32,3,IF($K848&gt;PARAMETRES!$D$32,2,1))))))</f>
        <v/>
      </c>
      <c r="T848" t="str">
        <f>IF($L848="","",IF($L848&gt;PARAMETRES!$G$33,5,IF($L848&gt;PARAMETRES!$F$33,4,IF($L848&gt;PARAMETRES!$E$33,3,IF($L848&gt;PARAMETRES!$D$33,2,1)))))</f>
        <v/>
      </c>
      <c r="U848" t="str">
        <f>IF($M848="","",IF($M848&gt;PARAMETRES!$G$34,5,IF($M848&gt;PARAMETRES!$F$34,4,IF($M848&gt;PARAMETRES!$E$34,3,IF($M848&gt;PARAMETRES!$D$34,2,1)))))</f>
        <v/>
      </c>
      <c r="V848" t="str">
        <f>IF($N848="","",IF($N848&gt;PARAMETRES!$G$35,5,IF($N848&gt;PARAMETRES!$F$35,4,IF($N848&gt;PARAMETRES!$E$35,3,IF($N848&gt;PARAMETRES!$D$35,2,1)))))</f>
        <v/>
      </c>
      <c r="W848" t="str">
        <f>IF($O848="","",IF($O848&gt;PARAMETRES!$G$36,5,IF($O848&gt;PARAMETRES!$F$36,4,IF($O848&gt;PARAMETRES!$E$36,3,IF($O848&gt;PARAMETRES!$D$36,2,1)))))</f>
        <v/>
      </c>
      <c r="X848" t="str">
        <f>IF($P848="","",IF($P848&gt;PARAMETRES!$G$37,5,IF($P848&gt;PARAMETRES!$F$37,4,IF($P848&gt;PARAMETRES!$E$37,3,IF($P848&gt;PARAMETRES!$D$37,2,1)))))</f>
        <v/>
      </c>
      <c r="Y848" t="str">
        <f t="shared" si="312"/>
        <v/>
      </c>
      <c r="Z848" t="str">
        <f>IFERROR(VLOOKUP($B848,TABLE_CYCLE,2,0),"")</f>
        <v/>
      </c>
      <c r="AA848" t="str">
        <f t="shared" si="313"/>
        <v/>
      </c>
      <c r="AB848" t="str">
        <f>IF($D848="","",IF(COUNTIF($D$2:$D848,$D848)=1,$D848,""))</f>
        <v/>
      </c>
      <c r="AC848">
        <f t="shared" si="314"/>
        <v>0</v>
      </c>
      <c r="AD848" t="str">
        <f t="shared" si="315"/>
        <v>|0</v>
      </c>
      <c r="AE848" t="str">
        <f t="shared" si="316"/>
        <v/>
      </c>
      <c r="AF848" t="str">
        <f t="shared" si="317"/>
        <v/>
      </c>
      <c r="AG848" t="str">
        <f t="shared" si="318"/>
        <v/>
      </c>
      <c r="AH848" t="str">
        <f t="shared" si="319"/>
        <v/>
      </c>
      <c r="AI848" t="str">
        <f t="shared" si="320"/>
        <v/>
      </c>
      <c r="AJ848" t="str">
        <f t="shared" si="321"/>
        <v/>
      </c>
      <c r="AK848" t="str">
        <f t="shared" si="322"/>
        <v/>
      </c>
      <c r="AL848" t="str">
        <f t="shared" si="323"/>
        <v/>
      </c>
      <c r="AM848" t="str">
        <f t="shared" si="324"/>
        <v/>
      </c>
      <c r="AN848" t="str">
        <f t="shared" si="325"/>
        <v/>
      </c>
      <c r="AO848" t="str">
        <f t="shared" si="326"/>
        <v/>
      </c>
      <c r="AP848">
        <f t="shared" si="327"/>
        <v>1</v>
      </c>
      <c r="AQ848" t="str">
        <f>IF(SAISIE!$F853="","",SAISIE!$Y853)</f>
        <v/>
      </c>
      <c r="AR848" t="str">
        <f>IF(OR(SAISIE!$U$4="",SAISIE!$W$4=""),"",IF(AND($A848=SAISIE!$U$4,$B848=SAISIE!$W$4,$C848="S1"),COUNTIFS($A$2:$A848,SAISIE!$U$4,$B$2:$B848,SAISIE!$W$4,$C$2:$C848,"S1"),""))</f>
        <v/>
      </c>
      <c r="AS848" t="str">
        <f t="shared" si="328"/>
        <v/>
      </c>
      <c r="AT848" t="str">
        <f t="shared" si="329"/>
        <v/>
      </c>
      <c r="AU848" t="str">
        <f t="shared" si="330"/>
        <v/>
      </c>
      <c r="AV848">
        <f>N(AV847)+IF(AND($AB848&lt;&gt;"",OR('PROFIL ELEVE'!$K$4="(Tous)",$AF848='PROFIL ELEVE'!$K$4)),1,0)</f>
        <v>0</v>
      </c>
      <c r="AW848">
        <f>N(AW847)+IF(AND($AB848&lt;&gt;"",OR('SUIVI LONGITUDINAL'!$Q$4="(Tous)",$AF848='SUIVI LONGITUDINAL'!$Q$4)),1,0)</f>
        <v>0</v>
      </c>
      <c r="AX848">
        <f t="shared" si="331"/>
        <v>0</v>
      </c>
      <c r="AY848">
        <f t="shared" si="332"/>
        <v>0</v>
      </c>
      <c r="AZ848">
        <f t="shared" si="333"/>
        <v>0</v>
      </c>
      <c r="BA848" t="str">
        <f t="shared" si="334"/>
        <v/>
      </c>
      <c r="BB848" t="str">
        <f t="shared" si="335"/>
        <v/>
      </c>
    </row>
    <row r="849" spans="1:54" ht="14.25" customHeight="1" x14ac:dyDescent="0.3">
      <c r="A849" t="str">
        <f>IF(SAISIE!$F854="","",SAISIE!$B854)</f>
        <v/>
      </c>
      <c r="B849" t="str">
        <f>IF(SAISIE!$F854="","",SAISIE!$C854)</f>
        <v/>
      </c>
      <c r="C849" t="str">
        <f>IF(SAISIE!$F854="","",SAISIE!$D854)</f>
        <v/>
      </c>
      <c r="D849" t="str">
        <f>IF(SAISIE!$E854="","",SAISIE!$E854)</f>
        <v/>
      </c>
      <c r="E849" t="str">
        <f>IF(SAISIE!$F854="","",SAISIE!$F854)</f>
        <v/>
      </c>
      <c r="F849" t="str">
        <f>IF(SAISIE!$G854="","",SAISIE!$G854)</f>
        <v/>
      </c>
      <c r="G849" t="str">
        <f>IF(SAISIE!$H854="","",SAISIE!$H854)</f>
        <v/>
      </c>
      <c r="H849" t="str">
        <f>IF(SAISIE!$I854="","",SAISIE!$I854)</f>
        <v/>
      </c>
      <c r="I849" t="str">
        <f>IF(SAISIE!$J854="","",SAISIE!$J854)</f>
        <v/>
      </c>
      <c r="J849" t="str">
        <f>IF(SAISIE!$K854="","",SAISIE!$K854)</f>
        <v/>
      </c>
      <c r="K849" t="str">
        <f>IF(SAISIE!$L854="","",SAISIE!$L854)</f>
        <v/>
      </c>
      <c r="L849" t="str">
        <f>IF(SAISIE!$M854="","",SAISIE!$M854)</f>
        <v/>
      </c>
      <c r="M849" t="str">
        <f>IF(SAISIE!$N854="","",SAISIE!$N854)</f>
        <v/>
      </c>
      <c r="N849" t="str">
        <f>IF(SAISIE!$O854="","",SAISIE!$O854)</f>
        <v/>
      </c>
      <c r="O849" t="str">
        <f>IF(SAISIE!$P854="","",SAISIE!$P854)</f>
        <v/>
      </c>
      <c r="P849" t="str">
        <f>IF(SAISIE!$Q854="","",SAISIE!$Q854)</f>
        <v/>
      </c>
      <c r="Q849" t="str">
        <f>IF($I849="","",IF($I849&gt;PARAMETRES!$G$29,5,IF($I849&gt;PARAMETRES!$F$29,4,IF($I849&gt;PARAMETRES!$E$29,3,IF($I849&gt;PARAMETRES!$D$29,2,1)))))</f>
        <v/>
      </c>
      <c r="R849" t="str">
        <f>IF($J849="","",IF($J849&gt;PARAMETRES!$G$30,5,IF($J849&gt;PARAMETRES!$F$30,4,IF($J849&gt;PARAMETRES!$E$30,3,IF($J849&gt;PARAMETRES!$D$30,2,1)))))</f>
        <v/>
      </c>
      <c r="S849" t="str">
        <f>IF($K849="","",IF($Z849=2,IF($K849&gt;PARAMETRES!$G$31,5,IF($K849&gt;PARAMETRES!$F$31,4,IF($K849&gt;PARAMETRES!$E$31,3,IF($K849&gt;PARAMETRES!$D$31,2,1)))),IF($K849&gt;PARAMETRES!$G$32,5,IF($K849&gt;PARAMETRES!$F$32,4,IF($K849&gt;PARAMETRES!$E$32,3,IF($K849&gt;PARAMETRES!$D$32,2,1))))))</f>
        <v/>
      </c>
      <c r="T849" t="str">
        <f>IF($L849="","",IF($L849&gt;PARAMETRES!$G$33,5,IF($L849&gt;PARAMETRES!$F$33,4,IF($L849&gt;PARAMETRES!$E$33,3,IF($L849&gt;PARAMETRES!$D$33,2,1)))))</f>
        <v/>
      </c>
      <c r="U849" t="str">
        <f>IF($M849="","",IF($M849&gt;PARAMETRES!$G$34,5,IF($M849&gt;PARAMETRES!$F$34,4,IF($M849&gt;PARAMETRES!$E$34,3,IF($M849&gt;PARAMETRES!$D$34,2,1)))))</f>
        <v/>
      </c>
      <c r="V849" t="str">
        <f>IF($N849="","",IF($N849&gt;PARAMETRES!$G$35,5,IF($N849&gt;PARAMETRES!$F$35,4,IF($N849&gt;PARAMETRES!$E$35,3,IF($N849&gt;PARAMETRES!$D$35,2,1)))))</f>
        <v/>
      </c>
      <c r="W849" t="str">
        <f>IF($O849="","",IF($O849&gt;PARAMETRES!$G$36,5,IF($O849&gt;PARAMETRES!$F$36,4,IF($O849&gt;PARAMETRES!$E$36,3,IF($O849&gt;PARAMETRES!$D$36,2,1)))))</f>
        <v/>
      </c>
      <c r="X849" t="str">
        <f>IF($P849="","",IF($P849&gt;PARAMETRES!$G$37,5,IF($P849&gt;PARAMETRES!$F$37,4,IF($P849&gt;PARAMETRES!$E$37,3,IF($P849&gt;PARAMETRES!$D$37,2,1)))))</f>
        <v/>
      </c>
      <c r="Y849" t="str">
        <f t="shared" si="312"/>
        <v/>
      </c>
      <c r="Z849" t="str">
        <f>IFERROR(VLOOKUP($B849,TABLE_CYCLE,2,0),"")</f>
        <v/>
      </c>
      <c r="AA849" t="str">
        <f t="shared" si="313"/>
        <v/>
      </c>
      <c r="AB849" t="str">
        <f>IF($D849="","",IF(COUNTIF($D$2:$D849,$D849)=1,$D849,""))</f>
        <v/>
      </c>
      <c r="AC849">
        <f t="shared" si="314"/>
        <v>0</v>
      </c>
      <c r="AD849" t="str">
        <f t="shared" si="315"/>
        <v>|0</v>
      </c>
      <c r="AE849" t="str">
        <f t="shared" si="316"/>
        <v/>
      </c>
      <c r="AF849" t="str">
        <f t="shared" si="317"/>
        <v/>
      </c>
      <c r="AG849" t="str">
        <f t="shared" si="318"/>
        <v/>
      </c>
      <c r="AH849" t="str">
        <f t="shared" si="319"/>
        <v/>
      </c>
      <c r="AI849" t="str">
        <f t="shared" si="320"/>
        <v/>
      </c>
      <c r="AJ849" t="str">
        <f t="shared" si="321"/>
        <v/>
      </c>
      <c r="AK849" t="str">
        <f t="shared" si="322"/>
        <v/>
      </c>
      <c r="AL849" t="str">
        <f t="shared" si="323"/>
        <v/>
      </c>
      <c r="AM849" t="str">
        <f t="shared" si="324"/>
        <v/>
      </c>
      <c r="AN849" t="str">
        <f t="shared" si="325"/>
        <v/>
      </c>
      <c r="AO849" t="str">
        <f t="shared" si="326"/>
        <v/>
      </c>
      <c r="AP849">
        <f t="shared" si="327"/>
        <v>1</v>
      </c>
      <c r="AQ849" t="str">
        <f>IF(SAISIE!$F854="","",SAISIE!$Y854)</f>
        <v/>
      </c>
      <c r="AR849" t="str">
        <f>IF(OR(SAISIE!$U$4="",SAISIE!$W$4=""),"",IF(AND($A849=SAISIE!$U$4,$B849=SAISIE!$W$4,$C849="S1"),COUNTIFS($A$2:$A849,SAISIE!$U$4,$B$2:$B849,SAISIE!$W$4,$C$2:$C849,"S1"),""))</f>
        <v/>
      </c>
      <c r="AS849" t="str">
        <f t="shared" si="328"/>
        <v/>
      </c>
      <c r="AT849" t="str">
        <f t="shared" si="329"/>
        <v/>
      </c>
      <c r="AU849" t="str">
        <f t="shared" si="330"/>
        <v/>
      </c>
      <c r="AV849">
        <f>N(AV848)+IF(AND($AB849&lt;&gt;"",OR('PROFIL ELEVE'!$K$4="(Tous)",$AF849='PROFIL ELEVE'!$K$4)),1,0)</f>
        <v>0</v>
      </c>
      <c r="AW849">
        <f>N(AW848)+IF(AND($AB849&lt;&gt;"",OR('SUIVI LONGITUDINAL'!$Q$4="(Tous)",$AF849='SUIVI LONGITUDINAL'!$Q$4)),1,0)</f>
        <v>0</v>
      </c>
      <c r="AX849">
        <f t="shared" si="331"/>
        <v>0</v>
      </c>
      <c r="AY849">
        <f t="shared" si="332"/>
        <v>0</v>
      </c>
      <c r="AZ849">
        <f t="shared" si="333"/>
        <v>0</v>
      </c>
      <c r="BA849" t="str">
        <f t="shared" si="334"/>
        <v/>
      </c>
      <c r="BB849" t="str">
        <f t="shared" si="335"/>
        <v/>
      </c>
    </row>
    <row r="850" spans="1:54" ht="14.25" customHeight="1" x14ac:dyDescent="0.3">
      <c r="A850" t="str">
        <f>IF(SAISIE!$F855="","",SAISIE!$B855)</f>
        <v/>
      </c>
      <c r="B850" t="str">
        <f>IF(SAISIE!$F855="","",SAISIE!$C855)</f>
        <v/>
      </c>
      <c r="C850" t="str">
        <f>IF(SAISIE!$F855="","",SAISIE!$D855)</f>
        <v/>
      </c>
      <c r="D850" t="str">
        <f>IF(SAISIE!$E855="","",SAISIE!$E855)</f>
        <v/>
      </c>
      <c r="E850" t="str">
        <f>IF(SAISIE!$F855="","",SAISIE!$F855)</f>
        <v/>
      </c>
      <c r="F850" t="str">
        <f>IF(SAISIE!$G855="","",SAISIE!$G855)</f>
        <v/>
      </c>
      <c r="G850" t="str">
        <f>IF(SAISIE!$H855="","",SAISIE!$H855)</f>
        <v/>
      </c>
      <c r="H850" t="str">
        <f>IF(SAISIE!$I855="","",SAISIE!$I855)</f>
        <v/>
      </c>
      <c r="I850" t="str">
        <f>IF(SAISIE!$J855="","",SAISIE!$J855)</f>
        <v/>
      </c>
      <c r="J850" t="str">
        <f>IF(SAISIE!$K855="","",SAISIE!$K855)</f>
        <v/>
      </c>
      <c r="K850" t="str">
        <f>IF(SAISIE!$L855="","",SAISIE!$L855)</f>
        <v/>
      </c>
      <c r="L850" t="str">
        <f>IF(SAISIE!$M855="","",SAISIE!$M855)</f>
        <v/>
      </c>
      <c r="M850" t="str">
        <f>IF(SAISIE!$N855="","",SAISIE!$N855)</f>
        <v/>
      </c>
      <c r="N850" t="str">
        <f>IF(SAISIE!$O855="","",SAISIE!$O855)</f>
        <v/>
      </c>
      <c r="O850" t="str">
        <f>IF(SAISIE!$P855="","",SAISIE!$P855)</f>
        <v/>
      </c>
      <c r="P850" t="str">
        <f>IF(SAISIE!$Q855="","",SAISIE!$Q855)</f>
        <v/>
      </c>
      <c r="Q850" t="str">
        <f>IF($I850="","",IF($I850&gt;PARAMETRES!$G$29,5,IF($I850&gt;PARAMETRES!$F$29,4,IF($I850&gt;PARAMETRES!$E$29,3,IF($I850&gt;PARAMETRES!$D$29,2,1)))))</f>
        <v/>
      </c>
      <c r="R850" t="str">
        <f>IF($J850="","",IF($J850&gt;PARAMETRES!$G$30,5,IF($J850&gt;PARAMETRES!$F$30,4,IF($J850&gt;PARAMETRES!$E$30,3,IF($J850&gt;PARAMETRES!$D$30,2,1)))))</f>
        <v/>
      </c>
      <c r="S850" t="str">
        <f>IF($K850="","",IF($Z850=2,IF($K850&gt;PARAMETRES!$G$31,5,IF($K850&gt;PARAMETRES!$F$31,4,IF($K850&gt;PARAMETRES!$E$31,3,IF($K850&gt;PARAMETRES!$D$31,2,1)))),IF($K850&gt;PARAMETRES!$G$32,5,IF($K850&gt;PARAMETRES!$F$32,4,IF($K850&gt;PARAMETRES!$E$32,3,IF($K850&gt;PARAMETRES!$D$32,2,1))))))</f>
        <v/>
      </c>
      <c r="T850" t="str">
        <f>IF($L850="","",IF($L850&gt;PARAMETRES!$G$33,5,IF($L850&gt;PARAMETRES!$F$33,4,IF($L850&gt;PARAMETRES!$E$33,3,IF($L850&gt;PARAMETRES!$D$33,2,1)))))</f>
        <v/>
      </c>
      <c r="U850" t="str">
        <f>IF($M850="","",IF($M850&gt;PARAMETRES!$G$34,5,IF($M850&gt;PARAMETRES!$F$34,4,IF($M850&gt;PARAMETRES!$E$34,3,IF($M850&gt;PARAMETRES!$D$34,2,1)))))</f>
        <v/>
      </c>
      <c r="V850" t="str">
        <f>IF($N850="","",IF($N850&gt;PARAMETRES!$G$35,5,IF($N850&gt;PARAMETRES!$F$35,4,IF($N850&gt;PARAMETRES!$E$35,3,IF($N850&gt;PARAMETRES!$D$35,2,1)))))</f>
        <v/>
      </c>
      <c r="W850" t="str">
        <f>IF($O850="","",IF($O850&gt;PARAMETRES!$G$36,5,IF($O850&gt;PARAMETRES!$F$36,4,IF($O850&gt;PARAMETRES!$E$36,3,IF($O850&gt;PARAMETRES!$D$36,2,1)))))</f>
        <v/>
      </c>
      <c r="X850" t="str">
        <f>IF($P850="","",IF($P850&gt;PARAMETRES!$G$37,5,IF($P850&gt;PARAMETRES!$F$37,4,IF($P850&gt;PARAMETRES!$E$37,3,IF($P850&gt;PARAMETRES!$D$37,2,1)))))</f>
        <v/>
      </c>
      <c r="Y850" t="str">
        <f t="shared" si="312"/>
        <v/>
      </c>
      <c r="Z850" t="str">
        <f>IFERROR(VLOOKUP($B850,TABLE_CYCLE,2,0),"")</f>
        <v/>
      </c>
      <c r="AA850" t="str">
        <f t="shared" si="313"/>
        <v/>
      </c>
      <c r="AB850" t="str">
        <f>IF($D850="","",IF(COUNTIF($D$2:$D850,$D850)=1,$D850,""))</f>
        <v/>
      </c>
      <c r="AC850">
        <f t="shared" si="314"/>
        <v>0</v>
      </c>
      <c r="AD850" t="str">
        <f t="shared" si="315"/>
        <v>|0</v>
      </c>
      <c r="AE850" t="str">
        <f t="shared" si="316"/>
        <v/>
      </c>
      <c r="AF850" t="str">
        <f t="shared" si="317"/>
        <v/>
      </c>
      <c r="AG850" t="str">
        <f t="shared" si="318"/>
        <v/>
      </c>
      <c r="AH850" t="str">
        <f t="shared" si="319"/>
        <v/>
      </c>
      <c r="AI850" t="str">
        <f t="shared" si="320"/>
        <v/>
      </c>
      <c r="AJ850" t="str">
        <f t="shared" si="321"/>
        <v/>
      </c>
      <c r="AK850" t="str">
        <f t="shared" si="322"/>
        <v/>
      </c>
      <c r="AL850" t="str">
        <f t="shared" si="323"/>
        <v/>
      </c>
      <c r="AM850" t="str">
        <f t="shared" si="324"/>
        <v/>
      </c>
      <c r="AN850" t="str">
        <f t="shared" si="325"/>
        <v/>
      </c>
      <c r="AO850" t="str">
        <f t="shared" si="326"/>
        <v/>
      </c>
      <c r="AP850">
        <f t="shared" si="327"/>
        <v>1</v>
      </c>
      <c r="AQ850" t="str">
        <f>IF(SAISIE!$F855="","",SAISIE!$Y855)</f>
        <v/>
      </c>
      <c r="AR850" t="str">
        <f>IF(OR(SAISIE!$U$4="",SAISIE!$W$4=""),"",IF(AND($A850=SAISIE!$U$4,$B850=SAISIE!$W$4,$C850="S1"),COUNTIFS($A$2:$A850,SAISIE!$U$4,$B$2:$B850,SAISIE!$W$4,$C$2:$C850,"S1"),""))</f>
        <v/>
      </c>
      <c r="AS850" t="str">
        <f t="shared" si="328"/>
        <v/>
      </c>
      <c r="AT850" t="str">
        <f t="shared" si="329"/>
        <v/>
      </c>
      <c r="AU850" t="str">
        <f t="shared" si="330"/>
        <v/>
      </c>
      <c r="AV850">
        <f>N(AV849)+IF(AND($AB850&lt;&gt;"",OR('PROFIL ELEVE'!$K$4="(Tous)",$AF850='PROFIL ELEVE'!$K$4)),1,0)</f>
        <v>0</v>
      </c>
      <c r="AW850">
        <f>N(AW849)+IF(AND($AB850&lt;&gt;"",OR('SUIVI LONGITUDINAL'!$Q$4="(Tous)",$AF850='SUIVI LONGITUDINAL'!$Q$4)),1,0)</f>
        <v>0</v>
      </c>
      <c r="AX850">
        <f t="shared" si="331"/>
        <v>0</v>
      </c>
      <c r="AY850">
        <f t="shared" si="332"/>
        <v>0</v>
      </c>
      <c r="AZ850">
        <f t="shared" si="333"/>
        <v>0</v>
      </c>
      <c r="BA850" t="str">
        <f t="shared" si="334"/>
        <v/>
      </c>
      <c r="BB850" t="str">
        <f t="shared" si="335"/>
        <v/>
      </c>
    </row>
    <row r="851" spans="1:54" ht="14.25" customHeight="1" x14ac:dyDescent="0.3">
      <c r="A851" t="str">
        <f>IF(SAISIE!$F856="","",SAISIE!$B856)</f>
        <v/>
      </c>
      <c r="B851" t="str">
        <f>IF(SAISIE!$F856="","",SAISIE!$C856)</f>
        <v/>
      </c>
      <c r="C851" t="str">
        <f>IF(SAISIE!$F856="","",SAISIE!$D856)</f>
        <v/>
      </c>
      <c r="D851" t="str">
        <f>IF(SAISIE!$E856="","",SAISIE!$E856)</f>
        <v/>
      </c>
      <c r="E851" t="str">
        <f>IF(SAISIE!$F856="","",SAISIE!$F856)</f>
        <v/>
      </c>
      <c r="F851" t="str">
        <f>IF(SAISIE!$G856="","",SAISIE!$G856)</f>
        <v/>
      </c>
      <c r="G851" t="str">
        <f>IF(SAISIE!$H856="","",SAISIE!$H856)</f>
        <v/>
      </c>
      <c r="H851" t="str">
        <f>IF(SAISIE!$I856="","",SAISIE!$I856)</f>
        <v/>
      </c>
      <c r="I851" t="str">
        <f>IF(SAISIE!$J856="","",SAISIE!$J856)</f>
        <v/>
      </c>
      <c r="J851" t="str">
        <f>IF(SAISIE!$K856="","",SAISIE!$K856)</f>
        <v/>
      </c>
      <c r="K851" t="str">
        <f>IF(SAISIE!$L856="","",SAISIE!$L856)</f>
        <v/>
      </c>
      <c r="L851" t="str">
        <f>IF(SAISIE!$M856="","",SAISIE!$M856)</f>
        <v/>
      </c>
      <c r="M851" t="str">
        <f>IF(SAISIE!$N856="","",SAISIE!$N856)</f>
        <v/>
      </c>
      <c r="N851" t="str">
        <f>IF(SAISIE!$O856="","",SAISIE!$O856)</f>
        <v/>
      </c>
      <c r="O851" t="str">
        <f>IF(SAISIE!$P856="","",SAISIE!$P856)</f>
        <v/>
      </c>
      <c r="P851" t="str">
        <f>IF(SAISIE!$Q856="","",SAISIE!$Q856)</f>
        <v/>
      </c>
      <c r="Q851" t="str">
        <f>IF($I851="","",IF($I851&gt;PARAMETRES!$G$29,5,IF($I851&gt;PARAMETRES!$F$29,4,IF($I851&gt;PARAMETRES!$E$29,3,IF($I851&gt;PARAMETRES!$D$29,2,1)))))</f>
        <v/>
      </c>
      <c r="R851" t="str">
        <f>IF($J851="","",IF($J851&gt;PARAMETRES!$G$30,5,IF($J851&gt;PARAMETRES!$F$30,4,IF($J851&gt;PARAMETRES!$E$30,3,IF($J851&gt;PARAMETRES!$D$30,2,1)))))</f>
        <v/>
      </c>
      <c r="S851" t="str">
        <f>IF($K851="","",IF($Z851=2,IF($K851&gt;PARAMETRES!$G$31,5,IF($K851&gt;PARAMETRES!$F$31,4,IF($K851&gt;PARAMETRES!$E$31,3,IF($K851&gt;PARAMETRES!$D$31,2,1)))),IF($K851&gt;PARAMETRES!$G$32,5,IF($K851&gt;PARAMETRES!$F$32,4,IF($K851&gt;PARAMETRES!$E$32,3,IF($K851&gt;PARAMETRES!$D$32,2,1))))))</f>
        <v/>
      </c>
      <c r="T851" t="str">
        <f>IF($L851="","",IF($L851&gt;PARAMETRES!$G$33,5,IF($L851&gt;PARAMETRES!$F$33,4,IF($L851&gt;PARAMETRES!$E$33,3,IF($L851&gt;PARAMETRES!$D$33,2,1)))))</f>
        <v/>
      </c>
      <c r="U851" t="str">
        <f>IF($M851="","",IF($M851&gt;PARAMETRES!$G$34,5,IF($M851&gt;PARAMETRES!$F$34,4,IF($M851&gt;PARAMETRES!$E$34,3,IF($M851&gt;PARAMETRES!$D$34,2,1)))))</f>
        <v/>
      </c>
      <c r="V851" t="str">
        <f>IF($N851="","",IF($N851&gt;PARAMETRES!$G$35,5,IF($N851&gt;PARAMETRES!$F$35,4,IF($N851&gt;PARAMETRES!$E$35,3,IF($N851&gt;PARAMETRES!$D$35,2,1)))))</f>
        <v/>
      </c>
      <c r="W851" t="str">
        <f>IF($O851="","",IF($O851&gt;PARAMETRES!$G$36,5,IF($O851&gt;PARAMETRES!$F$36,4,IF($O851&gt;PARAMETRES!$E$36,3,IF($O851&gt;PARAMETRES!$D$36,2,1)))))</f>
        <v/>
      </c>
      <c r="X851" t="str">
        <f>IF($P851="","",IF($P851&gt;PARAMETRES!$G$37,5,IF($P851&gt;PARAMETRES!$F$37,4,IF($P851&gt;PARAMETRES!$E$37,3,IF($P851&gt;PARAMETRES!$D$37,2,1)))))</f>
        <v/>
      </c>
      <c r="Y851" t="str">
        <f t="shared" si="312"/>
        <v/>
      </c>
      <c r="Z851" t="str">
        <f>IFERROR(VLOOKUP($B851,TABLE_CYCLE,2,0),"")</f>
        <v/>
      </c>
      <c r="AA851" t="str">
        <f t="shared" si="313"/>
        <v/>
      </c>
      <c r="AB851" t="str">
        <f>IF($D851="","",IF(COUNTIF($D$2:$D851,$D851)=1,$D851,""))</f>
        <v/>
      </c>
      <c r="AC851">
        <f t="shared" si="314"/>
        <v>0</v>
      </c>
      <c r="AD851" t="str">
        <f t="shared" si="315"/>
        <v>|0</v>
      </c>
      <c r="AE851" t="str">
        <f t="shared" si="316"/>
        <v/>
      </c>
      <c r="AF851" t="str">
        <f t="shared" si="317"/>
        <v/>
      </c>
      <c r="AG851" t="str">
        <f t="shared" si="318"/>
        <v/>
      </c>
      <c r="AH851" t="str">
        <f t="shared" si="319"/>
        <v/>
      </c>
      <c r="AI851" t="str">
        <f t="shared" si="320"/>
        <v/>
      </c>
      <c r="AJ851" t="str">
        <f t="shared" si="321"/>
        <v/>
      </c>
      <c r="AK851" t="str">
        <f t="shared" si="322"/>
        <v/>
      </c>
      <c r="AL851" t="str">
        <f t="shared" si="323"/>
        <v/>
      </c>
      <c r="AM851" t="str">
        <f t="shared" si="324"/>
        <v/>
      </c>
      <c r="AN851" t="str">
        <f t="shared" si="325"/>
        <v/>
      </c>
      <c r="AO851" t="str">
        <f t="shared" si="326"/>
        <v/>
      </c>
      <c r="AP851">
        <f t="shared" si="327"/>
        <v>1</v>
      </c>
      <c r="AQ851" t="str">
        <f>IF(SAISIE!$F856="","",SAISIE!$Y856)</f>
        <v/>
      </c>
      <c r="AR851" t="str">
        <f>IF(OR(SAISIE!$U$4="",SAISIE!$W$4=""),"",IF(AND($A851=SAISIE!$U$4,$B851=SAISIE!$W$4,$C851="S1"),COUNTIFS($A$2:$A851,SAISIE!$U$4,$B$2:$B851,SAISIE!$W$4,$C$2:$C851,"S1"),""))</f>
        <v/>
      </c>
      <c r="AS851" t="str">
        <f t="shared" si="328"/>
        <v/>
      </c>
      <c r="AT851" t="str">
        <f t="shared" si="329"/>
        <v/>
      </c>
      <c r="AU851" t="str">
        <f t="shared" si="330"/>
        <v/>
      </c>
      <c r="AV851">
        <f>N(AV850)+IF(AND($AB851&lt;&gt;"",OR('PROFIL ELEVE'!$K$4="(Tous)",$AF851='PROFIL ELEVE'!$K$4)),1,0)</f>
        <v>0</v>
      </c>
      <c r="AW851">
        <f>N(AW850)+IF(AND($AB851&lt;&gt;"",OR('SUIVI LONGITUDINAL'!$Q$4="(Tous)",$AF851='SUIVI LONGITUDINAL'!$Q$4)),1,0)</f>
        <v>0</v>
      </c>
      <c r="AX851">
        <f t="shared" si="331"/>
        <v>0</v>
      </c>
      <c r="AY851">
        <f t="shared" si="332"/>
        <v>0</v>
      </c>
      <c r="AZ851">
        <f t="shared" si="333"/>
        <v>0</v>
      </c>
      <c r="BA851" t="str">
        <f t="shared" si="334"/>
        <v/>
      </c>
      <c r="BB851" t="str">
        <f t="shared" si="335"/>
        <v/>
      </c>
    </row>
    <row r="852" spans="1:54" ht="14.25" customHeight="1" x14ac:dyDescent="0.3">
      <c r="A852" t="str">
        <f>IF(SAISIE!$F857="","",SAISIE!$B857)</f>
        <v/>
      </c>
      <c r="B852" t="str">
        <f>IF(SAISIE!$F857="","",SAISIE!$C857)</f>
        <v/>
      </c>
      <c r="C852" t="str">
        <f>IF(SAISIE!$F857="","",SAISIE!$D857)</f>
        <v/>
      </c>
      <c r="D852" t="str">
        <f>IF(SAISIE!$E857="","",SAISIE!$E857)</f>
        <v/>
      </c>
      <c r="E852" t="str">
        <f>IF(SAISIE!$F857="","",SAISIE!$F857)</f>
        <v/>
      </c>
      <c r="F852" t="str">
        <f>IF(SAISIE!$G857="","",SAISIE!$G857)</f>
        <v/>
      </c>
      <c r="G852" t="str">
        <f>IF(SAISIE!$H857="","",SAISIE!$H857)</f>
        <v/>
      </c>
      <c r="H852" t="str">
        <f>IF(SAISIE!$I857="","",SAISIE!$I857)</f>
        <v/>
      </c>
      <c r="I852" t="str">
        <f>IF(SAISIE!$J857="","",SAISIE!$J857)</f>
        <v/>
      </c>
      <c r="J852" t="str">
        <f>IF(SAISIE!$K857="","",SAISIE!$K857)</f>
        <v/>
      </c>
      <c r="K852" t="str">
        <f>IF(SAISIE!$L857="","",SAISIE!$L857)</f>
        <v/>
      </c>
      <c r="L852" t="str">
        <f>IF(SAISIE!$M857="","",SAISIE!$M857)</f>
        <v/>
      </c>
      <c r="M852" t="str">
        <f>IF(SAISIE!$N857="","",SAISIE!$N857)</f>
        <v/>
      </c>
      <c r="N852" t="str">
        <f>IF(SAISIE!$O857="","",SAISIE!$O857)</f>
        <v/>
      </c>
      <c r="O852" t="str">
        <f>IF(SAISIE!$P857="","",SAISIE!$P857)</f>
        <v/>
      </c>
      <c r="P852" t="str">
        <f>IF(SAISIE!$Q857="","",SAISIE!$Q857)</f>
        <v/>
      </c>
      <c r="Q852" t="str">
        <f>IF($I852="","",IF($I852&gt;PARAMETRES!$G$29,5,IF($I852&gt;PARAMETRES!$F$29,4,IF($I852&gt;PARAMETRES!$E$29,3,IF($I852&gt;PARAMETRES!$D$29,2,1)))))</f>
        <v/>
      </c>
      <c r="R852" t="str">
        <f>IF($J852="","",IF($J852&gt;PARAMETRES!$G$30,5,IF($J852&gt;PARAMETRES!$F$30,4,IF($J852&gt;PARAMETRES!$E$30,3,IF($J852&gt;PARAMETRES!$D$30,2,1)))))</f>
        <v/>
      </c>
      <c r="S852" t="str">
        <f>IF($K852="","",IF($Z852=2,IF($K852&gt;PARAMETRES!$G$31,5,IF($K852&gt;PARAMETRES!$F$31,4,IF($K852&gt;PARAMETRES!$E$31,3,IF($K852&gt;PARAMETRES!$D$31,2,1)))),IF($K852&gt;PARAMETRES!$G$32,5,IF($K852&gt;PARAMETRES!$F$32,4,IF($K852&gt;PARAMETRES!$E$32,3,IF($K852&gt;PARAMETRES!$D$32,2,1))))))</f>
        <v/>
      </c>
      <c r="T852" t="str">
        <f>IF($L852="","",IF($L852&gt;PARAMETRES!$G$33,5,IF($L852&gt;PARAMETRES!$F$33,4,IF($L852&gt;PARAMETRES!$E$33,3,IF($L852&gt;PARAMETRES!$D$33,2,1)))))</f>
        <v/>
      </c>
      <c r="U852" t="str">
        <f>IF($M852="","",IF($M852&gt;PARAMETRES!$G$34,5,IF($M852&gt;PARAMETRES!$F$34,4,IF($M852&gt;PARAMETRES!$E$34,3,IF($M852&gt;PARAMETRES!$D$34,2,1)))))</f>
        <v/>
      </c>
      <c r="V852" t="str">
        <f>IF($N852="","",IF($N852&gt;PARAMETRES!$G$35,5,IF($N852&gt;PARAMETRES!$F$35,4,IF($N852&gt;PARAMETRES!$E$35,3,IF($N852&gt;PARAMETRES!$D$35,2,1)))))</f>
        <v/>
      </c>
      <c r="W852" t="str">
        <f>IF($O852="","",IF($O852&gt;PARAMETRES!$G$36,5,IF($O852&gt;PARAMETRES!$F$36,4,IF($O852&gt;PARAMETRES!$E$36,3,IF($O852&gt;PARAMETRES!$D$36,2,1)))))</f>
        <v/>
      </c>
      <c r="X852" t="str">
        <f>IF($P852="","",IF($P852&gt;PARAMETRES!$G$37,5,IF($P852&gt;PARAMETRES!$F$37,4,IF($P852&gt;PARAMETRES!$E$37,3,IF($P852&gt;PARAMETRES!$D$37,2,1)))))</f>
        <v/>
      </c>
      <c r="Y852" t="str">
        <f t="shared" si="312"/>
        <v/>
      </c>
      <c r="Z852" t="str">
        <f>IFERROR(VLOOKUP($B852,TABLE_CYCLE,2,0),"")</f>
        <v/>
      </c>
      <c r="AA852" t="str">
        <f t="shared" si="313"/>
        <v/>
      </c>
      <c r="AB852" t="str">
        <f>IF($D852="","",IF(COUNTIF($D$2:$D852,$D852)=1,$D852,""))</f>
        <v/>
      </c>
      <c r="AC852">
        <f t="shared" si="314"/>
        <v>0</v>
      </c>
      <c r="AD852" t="str">
        <f t="shared" si="315"/>
        <v>|0</v>
      </c>
      <c r="AE852" t="str">
        <f t="shared" si="316"/>
        <v/>
      </c>
      <c r="AF852" t="str">
        <f t="shared" si="317"/>
        <v/>
      </c>
      <c r="AG852" t="str">
        <f t="shared" si="318"/>
        <v/>
      </c>
      <c r="AH852" t="str">
        <f t="shared" si="319"/>
        <v/>
      </c>
      <c r="AI852" t="str">
        <f t="shared" si="320"/>
        <v/>
      </c>
      <c r="AJ852" t="str">
        <f t="shared" si="321"/>
        <v/>
      </c>
      <c r="AK852" t="str">
        <f t="shared" si="322"/>
        <v/>
      </c>
      <c r="AL852" t="str">
        <f t="shared" si="323"/>
        <v/>
      </c>
      <c r="AM852" t="str">
        <f t="shared" si="324"/>
        <v/>
      </c>
      <c r="AN852" t="str">
        <f t="shared" si="325"/>
        <v/>
      </c>
      <c r="AO852" t="str">
        <f t="shared" si="326"/>
        <v/>
      </c>
      <c r="AP852">
        <f t="shared" si="327"/>
        <v>1</v>
      </c>
      <c r="AQ852" t="str">
        <f>IF(SAISIE!$F857="","",SAISIE!$Y857)</f>
        <v/>
      </c>
      <c r="AR852" t="str">
        <f>IF(OR(SAISIE!$U$4="",SAISIE!$W$4=""),"",IF(AND($A852=SAISIE!$U$4,$B852=SAISIE!$W$4,$C852="S1"),COUNTIFS($A$2:$A852,SAISIE!$U$4,$B$2:$B852,SAISIE!$W$4,$C$2:$C852,"S1"),""))</f>
        <v/>
      </c>
      <c r="AS852" t="str">
        <f t="shared" si="328"/>
        <v/>
      </c>
      <c r="AT852" t="str">
        <f t="shared" si="329"/>
        <v/>
      </c>
      <c r="AU852" t="str">
        <f t="shared" si="330"/>
        <v/>
      </c>
      <c r="AV852">
        <f>N(AV851)+IF(AND($AB852&lt;&gt;"",OR('PROFIL ELEVE'!$K$4="(Tous)",$AF852='PROFIL ELEVE'!$K$4)),1,0)</f>
        <v>0</v>
      </c>
      <c r="AW852">
        <f>N(AW851)+IF(AND($AB852&lt;&gt;"",OR('SUIVI LONGITUDINAL'!$Q$4="(Tous)",$AF852='SUIVI LONGITUDINAL'!$Q$4)),1,0)</f>
        <v>0</v>
      </c>
      <c r="AX852">
        <f t="shared" si="331"/>
        <v>0</v>
      </c>
      <c r="AY852">
        <f t="shared" si="332"/>
        <v>0</v>
      </c>
      <c r="AZ852">
        <f t="shared" si="333"/>
        <v>0</v>
      </c>
      <c r="BA852" t="str">
        <f t="shared" si="334"/>
        <v/>
      </c>
      <c r="BB852" t="str">
        <f t="shared" si="335"/>
        <v/>
      </c>
    </row>
    <row r="853" spans="1:54" ht="14.25" customHeight="1" x14ac:dyDescent="0.3">
      <c r="A853" t="str">
        <f>IF(SAISIE!$F858="","",SAISIE!$B858)</f>
        <v/>
      </c>
      <c r="B853" t="str">
        <f>IF(SAISIE!$F858="","",SAISIE!$C858)</f>
        <v/>
      </c>
      <c r="C853" t="str">
        <f>IF(SAISIE!$F858="","",SAISIE!$D858)</f>
        <v/>
      </c>
      <c r="D853" t="str">
        <f>IF(SAISIE!$E858="","",SAISIE!$E858)</f>
        <v/>
      </c>
      <c r="E853" t="str">
        <f>IF(SAISIE!$F858="","",SAISIE!$F858)</f>
        <v/>
      </c>
      <c r="F853" t="str">
        <f>IF(SAISIE!$G858="","",SAISIE!$G858)</f>
        <v/>
      </c>
      <c r="G853" t="str">
        <f>IF(SAISIE!$H858="","",SAISIE!$H858)</f>
        <v/>
      </c>
      <c r="H853" t="str">
        <f>IF(SAISIE!$I858="","",SAISIE!$I858)</f>
        <v/>
      </c>
      <c r="I853" t="str">
        <f>IF(SAISIE!$J858="","",SAISIE!$J858)</f>
        <v/>
      </c>
      <c r="J853" t="str">
        <f>IF(SAISIE!$K858="","",SAISIE!$K858)</f>
        <v/>
      </c>
      <c r="K853" t="str">
        <f>IF(SAISIE!$L858="","",SAISIE!$L858)</f>
        <v/>
      </c>
      <c r="L853" t="str">
        <f>IF(SAISIE!$M858="","",SAISIE!$M858)</f>
        <v/>
      </c>
      <c r="M853" t="str">
        <f>IF(SAISIE!$N858="","",SAISIE!$N858)</f>
        <v/>
      </c>
      <c r="N853" t="str">
        <f>IF(SAISIE!$O858="","",SAISIE!$O858)</f>
        <v/>
      </c>
      <c r="O853" t="str">
        <f>IF(SAISIE!$P858="","",SAISIE!$P858)</f>
        <v/>
      </c>
      <c r="P853" t="str">
        <f>IF(SAISIE!$Q858="","",SAISIE!$Q858)</f>
        <v/>
      </c>
      <c r="Q853" t="str">
        <f>IF($I853="","",IF($I853&gt;PARAMETRES!$G$29,5,IF($I853&gt;PARAMETRES!$F$29,4,IF($I853&gt;PARAMETRES!$E$29,3,IF($I853&gt;PARAMETRES!$D$29,2,1)))))</f>
        <v/>
      </c>
      <c r="R853" t="str">
        <f>IF($J853="","",IF($J853&gt;PARAMETRES!$G$30,5,IF($J853&gt;PARAMETRES!$F$30,4,IF($J853&gt;PARAMETRES!$E$30,3,IF($J853&gt;PARAMETRES!$D$30,2,1)))))</f>
        <v/>
      </c>
      <c r="S853" t="str">
        <f>IF($K853="","",IF($Z853=2,IF($K853&gt;PARAMETRES!$G$31,5,IF($K853&gt;PARAMETRES!$F$31,4,IF($K853&gt;PARAMETRES!$E$31,3,IF($K853&gt;PARAMETRES!$D$31,2,1)))),IF($K853&gt;PARAMETRES!$G$32,5,IF($K853&gt;PARAMETRES!$F$32,4,IF($K853&gt;PARAMETRES!$E$32,3,IF($K853&gt;PARAMETRES!$D$32,2,1))))))</f>
        <v/>
      </c>
      <c r="T853" t="str">
        <f>IF($L853="","",IF($L853&gt;PARAMETRES!$G$33,5,IF($L853&gt;PARAMETRES!$F$33,4,IF($L853&gt;PARAMETRES!$E$33,3,IF($L853&gt;PARAMETRES!$D$33,2,1)))))</f>
        <v/>
      </c>
      <c r="U853" t="str">
        <f>IF($M853="","",IF($M853&gt;PARAMETRES!$G$34,5,IF($M853&gt;PARAMETRES!$F$34,4,IF($M853&gt;PARAMETRES!$E$34,3,IF($M853&gt;PARAMETRES!$D$34,2,1)))))</f>
        <v/>
      </c>
      <c r="V853" t="str">
        <f>IF($N853="","",IF($N853&gt;PARAMETRES!$G$35,5,IF($N853&gt;PARAMETRES!$F$35,4,IF($N853&gt;PARAMETRES!$E$35,3,IF($N853&gt;PARAMETRES!$D$35,2,1)))))</f>
        <v/>
      </c>
      <c r="W853" t="str">
        <f>IF($O853="","",IF($O853&gt;PARAMETRES!$G$36,5,IF($O853&gt;PARAMETRES!$F$36,4,IF($O853&gt;PARAMETRES!$E$36,3,IF($O853&gt;PARAMETRES!$D$36,2,1)))))</f>
        <v/>
      </c>
      <c r="X853" t="str">
        <f>IF($P853="","",IF($P853&gt;PARAMETRES!$G$37,5,IF($P853&gt;PARAMETRES!$F$37,4,IF($P853&gt;PARAMETRES!$E$37,3,IF($P853&gt;PARAMETRES!$D$37,2,1)))))</f>
        <v/>
      </c>
      <c r="Y853" t="str">
        <f t="shared" si="312"/>
        <v/>
      </c>
      <c r="Z853" t="str">
        <f>IFERROR(VLOOKUP($B853,TABLE_CYCLE,2,0),"")</f>
        <v/>
      </c>
      <c r="AA853" t="str">
        <f t="shared" si="313"/>
        <v/>
      </c>
      <c r="AB853" t="str">
        <f>IF($D853="","",IF(COUNTIF($D$2:$D853,$D853)=1,$D853,""))</f>
        <v/>
      </c>
      <c r="AC853">
        <f t="shared" si="314"/>
        <v>0</v>
      </c>
      <c r="AD853" t="str">
        <f t="shared" si="315"/>
        <v>|0</v>
      </c>
      <c r="AE853" t="str">
        <f t="shared" si="316"/>
        <v/>
      </c>
      <c r="AF853" t="str">
        <f t="shared" si="317"/>
        <v/>
      </c>
      <c r="AG853" t="str">
        <f t="shared" si="318"/>
        <v/>
      </c>
      <c r="AH853" t="str">
        <f t="shared" si="319"/>
        <v/>
      </c>
      <c r="AI853" t="str">
        <f t="shared" si="320"/>
        <v/>
      </c>
      <c r="AJ853" t="str">
        <f t="shared" si="321"/>
        <v/>
      </c>
      <c r="AK853" t="str">
        <f t="shared" si="322"/>
        <v/>
      </c>
      <c r="AL853" t="str">
        <f t="shared" si="323"/>
        <v/>
      </c>
      <c r="AM853" t="str">
        <f t="shared" si="324"/>
        <v/>
      </c>
      <c r="AN853" t="str">
        <f t="shared" si="325"/>
        <v/>
      </c>
      <c r="AO853" t="str">
        <f t="shared" si="326"/>
        <v/>
      </c>
      <c r="AP853">
        <f t="shared" si="327"/>
        <v>1</v>
      </c>
      <c r="AQ853" t="str">
        <f>IF(SAISIE!$F858="","",SAISIE!$Y858)</f>
        <v/>
      </c>
      <c r="AR853" t="str">
        <f>IF(OR(SAISIE!$U$4="",SAISIE!$W$4=""),"",IF(AND($A853=SAISIE!$U$4,$B853=SAISIE!$W$4,$C853="S1"),COUNTIFS($A$2:$A853,SAISIE!$U$4,$B$2:$B853,SAISIE!$W$4,$C$2:$C853,"S1"),""))</f>
        <v/>
      </c>
      <c r="AS853" t="str">
        <f t="shared" si="328"/>
        <v/>
      </c>
      <c r="AT853" t="str">
        <f t="shared" si="329"/>
        <v/>
      </c>
      <c r="AU853" t="str">
        <f t="shared" si="330"/>
        <v/>
      </c>
      <c r="AV853">
        <f>N(AV852)+IF(AND($AB853&lt;&gt;"",OR('PROFIL ELEVE'!$K$4="(Tous)",$AF853='PROFIL ELEVE'!$K$4)),1,0)</f>
        <v>0</v>
      </c>
      <c r="AW853">
        <f>N(AW852)+IF(AND($AB853&lt;&gt;"",OR('SUIVI LONGITUDINAL'!$Q$4="(Tous)",$AF853='SUIVI LONGITUDINAL'!$Q$4)),1,0)</f>
        <v>0</v>
      </c>
      <c r="AX853">
        <f t="shared" si="331"/>
        <v>0</v>
      </c>
      <c r="AY853">
        <f t="shared" si="332"/>
        <v>0</v>
      </c>
      <c r="AZ853">
        <f t="shared" si="333"/>
        <v>0</v>
      </c>
      <c r="BA853" t="str">
        <f t="shared" si="334"/>
        <v/>
      </c>
      <c r="BB853" t="str">
        <f t="shared" si="335"/>
        <v/>
      </c>
    </row>
    <row r="854" spans="1:54" ht="14.25" customHeight="1" x14ac:dyDescent="0.3">
      <c r="A854" t="str">
        <f>IF(SAISIE!$F859="","",SAISIE!$B859)</f>
        <v/>
      </c>
      <c r="B854" t="str">
        <f>IF(SAISIE!$F859="","",SAISIE!$C859)</f>
        <v/>
      </c>
      <c r="C854" t="str">
        <f>IF(SAISIE!$F859="","",SAISIE!$D859)</f>
        <v/>
      </c>
      <c r="D854" t="str">
        <f>IF(SAISIE!$E859="","",SAISIE!$E859)</f>
        <v/>
      </c>
      <c r="E854" t="str">
        <f>IF(SAISIE!$F859="","",SAISIE!$F859)</f>
        <v/>
      </c>
      <c r="F854" t="str">
        <f>IF(SAISIE!$G859="","",SAISIE!$G859)</f>
        <v/>
      </c>
      <c r="G854" t="str">
        <f>IF(SAISIE!$H859="","",SAISIE!$H859)</f>
        <v/>
      </c>
      <c r="H854" t="str">
        <f>IF(SAISIE!$I859="","",SAISIE!$I859)</f>
        <v/>
      </c>
      <c r="I854" t="str">
        <f>IF(SAISIE!$J859="","",SAISIE!$J859)</f>
        <v/>
      </c>
      <c r="J854" t="str">
        <f>IF(SAISIE!$K859="","",SAISIE!$K859)</f>
        <v/>
      </c>
      <c r="K854" t="str">
        <f>IF(SAISIE!$L859="","",SAISIE!$L859)</f>
        <v/>
      </c>
      <c r="L854" t="str">
        <f>IF(SAISIE!$M859="","",SAISIE!$M859)</f>
        <v/>
      </c>
      <c r="M854" t="str">
        <f>IF(SAISIE!$N859="","",SAISIE!$N859)</f>
        <v/>
      </c>
      <c r="N854" t="str">
        <f>IF(SAISIE!$O859="","",SAISIE!$O859)</f>
        <v/>
      </c>
      <c r="O854" t="str">
        <f>IF(SAISIE!$P859="","",SAISIE!$P859)</f>
        <v/>
      </c>
      <c r="P854" t="str">
        <f>IF(SAISIE!$Q859="","",SAISIE!$Q859)</f>
        <v/>
      </c>
      <c r="Q854" t="str">
        <f>IF($I854="","",IF($I854&gt;PARAMETRES!$G$29,5,IF($I854&gt;PARAMETRES!$F$29,4,IF($I854&gt;PARAMETRES!$E$29,3,IF($I854&gt;PARAMETRES!$D$29,2,1)))))</f>
        <v/>
      </c>
      <c r="R854" t="str">
        <f>IF($J854="","",IF($J854&gt;PARAMETRES!$G$30,5,IF($J854&gt;PARAMETRES!$F$30,4,IF($J854&gt;PARAMETRES!$E$30,3,IF($J854&gt;PARAMETRES!$D$30,2,1)))))</f>
        <v/>
      </c>
      <c r="S854" t="str">
        <f>IF($K854="","",IF($Z854=2,IF($K854&gt;PARAMETRES!$G$31,5,IF($K854&gt;PARAMETRES!$F$31,4,IF($K854&gt;PARAMETRES!$E$31,3,IF($K854&gt;PARAMETRES!$D$31,2,1)))),IF($K854&gt;PARAMETRES!$G$32,5,IF($K854&gt;PARAMETRES!$F$32,4,IF($K854&gt;PARAMETRES!$E$32,3,IF($K854&gt;PARAMETRES!$D$32,2,1))))))</f>
        <v/>
      </c>
      <c r="T854" t="str">
        <f>IF($L854="","",IF($L854&gt;PARAMETRES!$G$33,5,IF($L854&gt;PARAMETRES!$F$33,4,IF($L854&gt;PARAMETRES!$E$33,3,IF($L854&gt;PARAMETRES!$D$33,2,1)))))</f>
        <v/>
      </c>
      <c r="U854" t="str">
        <f>IF($M854="","",IF($M854&gt;PARAMETRES!$G$34,5,IF($M854&gt;PARAMETRES!$F$34,4,IF($M854&gt;PARAMETRES!$E$34,3,IF($M854&gt;PARAMETRES!$D$34,2,1)))))</f>
        <v/>
      </c>
      <c r="V854" t="str">
        <f>IF($N854="","",IF($N854&gt;PARAMETRES!$G$35,5,IF($N854&gt;PARAMETRES!$F$35,4,IF($N854&gt;PARAMETRES!$E$35,3,IF($N854&gt;PARAMETRES!$D$35,2,1)))))</f>
        <v/>
      </c>
      <c r="W854" t="str">
        <f>IF($O854="","",IF($O854&gt;PARAMETRES!$G$36,5,IF($O854&gt;PARAMETRES!$F$36,4,IF($O854&gt;PARAMETRES!$E$36,3,IF($O854&gt;PARAMETRES!$D$36,2,1)))))</f>
        <v/>
      </c>
      <c r="X854" t="str">
        <f>IF($P854="","",IF($P854&gt;PARAMETRES!$G$37,5,IF($P854&gt;PARAMETRES!$F$37,4,IF($P854&gt;PARAMETRES!$E$37,3,IF($P854&gt;PARAMETRES!$D$37,2,1)))))</f>
        <v/>
      </c>
      <c r="Y854" t="str">
        <f t="shared" si="312"/>
        <v/>
      </c>
      <c r="Z854" t="str">
        <f>IFERROR(VLOOKUP($B854,TABLE_CYCLE,2,0),"")</f>
        <v/>
      </c>
      <c r="AA854" t="str">
        <f t="shared" si="313"/>
        <v/>
      </c>
      <c r="AB854" t="str">
        <f>IF($D854="","",IF(COUNTIF($D$2:$D854,$D854)=1,$D854,""))</f>
        <v/>
      </c>
      <c r="AC854">
        <f t="shared" si="314"/>
        <v>0</v>
      </c>
      <c r="AD854" t="str">
        <f t="shared" si="315"/>
        <v>|0</v>
      </c>
      <c r="AE854" t="str">
        <f t="shared" si="316"/>
        <v/>
      </c>
      <c r="AF854" t="str">
        <f t="shared" si="317"/>
        <v/>
      </c>
      <c r="AG854" t="str">
        <f t="shared" si="318"/>
        <v/>
      </c>
      <c r="AH854" t="str">
        <f t="shared" si="319"/>
        <v/>
      </c>
      <c r="AI854" t="str">
        <f t="shared" si="320"/>
        <v/>
      </c>
      <c r="AJ854" t="str">
        <f t="shared" si="321"/>
        <v/>
      </c>
      <c r="AK854" t="str">
        <f t="shared" si="322"/>
        <v/>
      </c>
      <c r="AL854" t="str">
        <f t="shared" si="323"/>
        <v/>
      </c>
      <c r="AM854" t="str">
        <f t="shared" si="324"/>
        <v/>
      </c>
      <c r="AN854" t="str">
        <f t="shared" si="325"/>
        <v/>
      </c>
      <c r="AO854" t="str">
        <f t="shared" si="326"/>
        <v/>
      </c>
      <c r="AP854">
        <f t="shared" si="327"/>
        <v>1</v>
      </c>
      <c r="AQ854" t="str">
        <f>IF(SAISIE!$F859="","",SAISIE!$Y859)</f>
        <v/>
      </c>
      <c r="AR854" t="str">
        <f>IF(OR(SAISIE!$U$4="",SAISIE!$W$4=""),"",IF(AND($A854=SAISIE!$U$4,$B854=SAISIE!$W$4,$C854="S1"),COUNTIFS($A$2:$A854,SAISIE!$U$4,$B$2:$B854,SAISIE!$W$4,$C$2:$C854,"S1"),""))</f>
        <v/>
      </c>
      <c r="AS854" t="str">
        <f t="shared" si="328"/>
        <v/>
      </c>
      <c r="AT854" t="str">
        <f t="shared" si="329"/>
        <v/>
      </c>
      <c r="AU854" t="str">
        <f t="shared" si="330"/>
        <v/>
      </c>
      <c r="AV854">
        <f>N(AV853)+IF(AND($AB854&lt;&gt;"",OR('PROFIL ELEVE'!$K$4="(Tous)",$AF854='PROFIL ELEVE'!$K$4)),1,0)</f>
        <v>0</v>
      </c>
      <c r="AW854">
        <f>N(AW853)+IF(AND($AB854&lt;&gt;"",OR('SUIVI LONGITUDINAL'!$Q$4="(Tous)",$AF854='SUIVI LONGITUDINAL'!$Q$4)),1,0)</f>
        <v>0</v>
      </c>
      <c r="AX854">
        <f t="shared" si="331"/>
        <v>0</v>
      </c>
      <c r="AY854">
        <f t="shared" si="332"/>
        <v>0</v>
      </c>
      <c r="AZ854">
        <f t="shared" si="333"/>
        <v>0</v>
      </c>
      <c r="BA854" t="str">
        <f t="shared" si="334"/>
        <v/>
      </c>
      <c r="BB854" t="str">
        <f t="shared" si="335"/>
        <v/>
      </c>
    </row>
    <row r="855" spans="1:54" ht="14.25" customHeight="1" x14ac:dyDescent="0.3">
      <c r="A855" t="str">
        <f>IF(SAISIE!$F860="","",SAISIE!$B860)</f>
        <v/>
      </c>
      <c r="B855" t="str">
        <f>IF(SAISIE!$F860="","",SAISIE!$C860)</f>
        <v/>
      </c>
      <c r="C855" t="str">
        <f>IF(SAISIE!$F860="","",SAISIE!$D860)</f>
        <v/>
      </c>
      <c r="D855" t="str">
        <f>IF(SAISIE!$E860="","",SAISIE!$E860)</f>
        <v/>
      </c>
      <c r="E855" t="str">
        <f>IF(SAISIE!$F860="","",SAISIE!$F860)</f>
        <v/>
      </c>
      <c r="F855" t="str">
        <f>IF(SAISIE!$G860="","",SAISIE!$G860)</f>
        <v/>
      </c>
      <c r="G855" t="str">
        <f>IF(SAISIE!$H860="","",SAISIE!$H860)</f>
        <v/>
      </c>
      <c r="H855" t="str">
        <f>IF(SAISIE!$I860="","",SAISIE!$I860)</f>
        <v/>
      </c>
      <c r="I855" t="str">
        <f>IF(SAISIE!$J860="","",SAISIE!$J860)</f>
        <v/>
      </c>
      <c r="J855" t="str">
        <f>IF(SAISIE!$K860="","",SAISIE!$K860)</f>
        <v/>
      </c>
      <c r="K855" t="str">
        <f>IF(SAISIE!$L860="","",SAISIE!$L860)</f>
        <v/>
      </c>
      <c r="L855" t="str">
        <f>IF(SAISIE!$M860="","",SAISIE!$M860)</f>
        <v/>
      </c>
      <c r="M855" t="str">
        <f>IF(SAISIE!$N860="","",SAISIE!$N860)</f>
        <v/>
      </c>
      <c r="N855" t="str">
        <f>IF(SAISIE!$O860="","",SAISIE!$O860)</f>
        <v/>
      </c>
      <c r="O855" t="str">
        <f>IF(SAISIE!$P860="","",SAISIE!$P860)</f>
        <v/>
      </c>
      <c r="P855" t="str">
        <f>IF(SAISIE!$Q860="","",SAISIE!$Q860)</f>
        <v/>
      </c>
      <c r="Q855" t="str">
        <f>IF($I855="","",IF($I855&gt;PARAMETRES!$G$29,5,IF($I855&gt;PARAMETRES!$F$29,4,IF($I855&gt;PARAMETRES!$E$29,3,IF($I855&gt;PARAMETRES!$D$29,2,1)))))</f>
        <v/>
      </c>
      <c r="R855" t="str">
        <f>IF($J855="","",IF($J855&gt;PARAMETRES!$G$30,5,IF($J855&gt;PARAMETRES!$F$30,4,IF($J855&gt;PARAMETRES!$E$30,3,IF($J855&gt;PARAMETRES!$D$30,2,1)))))</f>
        <v/>
      </c>
      <c r="S855" t="str">
        <f>IF($K855="","",IF($Z855=2,IF($K855&gt;PARAMETRES!$G$31,5,IF($K855&gt;PARAMETRES!$F$31,4,IF($K855&gt;PARAMETRES!$E$31,3,IF($K855&gt;PARAMETRES!$D$31,2,1)))),IF($K855&gt;PARAMETRES!$G$32,5,IF($K855&gt;PARAMETRES!$F$32,4,IF($K855&gt;PARAMETRES!$E$32,3,IF($K855&gt;PARAMETRES!$D$32,2,1))))))</f>
        <v/>
      </c>
      <c r="T855" t="str">
        <f>IF($L855="","",IF($L855&gt;PARAMETRES!$G$33,5,IF($L855&gt;PARAMETRES!$F$33,4,IF($L855&gt;PARAMETRES!$E$33,3,IF($L855&gt;PARAMETRES!$D$33,2,1)))))</f>
        <v/>
      </c>
      <c r="U855" t="str">
        <f>IF($M855="","",IF($M855&gt;PARAMETRES!$G$34,5,IF($M855&gt;PARAMETRES!$F$34,4,IF($M855&gt;PARAMETRES!$E$34,3,IF($M855&gt;PARAMETRES!$D$34,2,1)))))</f>
        <v/>
      </c>
      <c r="V855" t="str">
        <f>IF($N855="","",IF($N855&gt;PARAMETRES!$G$35,5,IF($N855&gt;PARAMETRES!$F$35,4,IF($N855&gt;PARAMETRES!$E$35,3,IF($N855&gt;PARAMETRES!$D$35,2,1)))))</f>
        <v/>
      </c>
      <c r="W855" t="str">
        <f>IF($O855="","",IF($O855&gt;PARAMETRES!$G$36,5,IF($O855&gt;PARAMETRES!$F$36,4,IF($O855&gt;PARAMETRES!$E$36,3,IF($O855&gt;PARAMETRES!$D$36,2,1)))))</f>
        <v/>
      </c>
      <c r="X855" t="str">
        <f>IF($P855="","",IF($P855&gt;PARAMETRES!$G$37,5,IF($P855&gt;PARAMETRES!$F$37,4,IF($P855&gt;PARAMETRES!$E$37,3,IF($P855&gt;PARAMETRES!$D$37,2,1)))))</f>
        <v/>
      </c>
      <c r="Y855" t="str">
        <f t="shared" si="312"/>
        <v/>
      </c>
      <c r="Z855" t="str">
        <f>IFERROR(VLOOKUP($B855,TABLE_CYCLE,2,0),"")</f>
        <v/>
      </c>
      <c r="AA855" t="str">
        <f t="shared" si="313"/>
        <v/>
      </c>
      <c r="AB855" t="str">
        <f>IF($D855="","",IF(COUNTIF($D$2:$D855,$D855)=1,$D855,""))</f>
        <v/>
      </c>
      <c r="AC855">
        <f t="shared" si="314"/>
        <v>0</v>
      </c>
      <c r="AD855" t="str">
        <f t="shared" si="315"/>
        <v>|0</v>
      </c>
      <c r="AE855" t="str">
        <f t="shared" si="316"/>
        <v/>
      </c>
      <c r="AF855" t="str">
        <f t="shared" si="317"/>
        <v/>
      </c>
      <c r="AG855" t="str">
        <f t="shared" si="318"/>
        <v/>
      </c>
      <c r="AH855" t="str">
        <f t="shared" si="319"/>
        <v/>
      </c>
      <c r="AI855" t="str">
        <f t="shared" si="320"/>
        <v/>
      </c>
      <c r="AJ855" t="str">
        <f t="shared" si="321"/>
        <v/>
      </c>
      <c r="AK855" t="str">
        <f t="shared" si="322"/>
        <v/>
      </c>
      <c r="AL855" t="str">
        <f t="shared" si="323"/>
        <v/>
      </c>
      <c r="AM855" t="str">
        <f t="shared" si="324"/>
        <v/>
      </c>
      <c r="AN855" t="str">
        <f t="shared" si="325"/>
        <v/>
      </c>
      <c r="AO855" t="str">
        <f t="shared" si="326"/>
        <v/>
      </c>
      <c r="AP855">
        <f t="shared" si="327"/>
        <v>1</v>
      </c>
      <c r="AQ855" t="str">
        <f>IF(SAISIE!$F860="","",SAISIE!$Y860)</f>
        <v/>
      </c>
      <c r="AR855" t="str">
        <f>IF(OR(SAISIE!$U$4="",SAISIE!$W$4=""),"",IF(AND($A855=SAISIE!$U$4,$B855=SAISIE!$W$4,$C855="S1"),COUNTIFS($A$2:$A855,SAISIE!$U$4,$B$2:$B855,SAISIE!$W$4,$C$2:$C855,"S1"),""))</f>
        <v/>
      </c>
      <c r="AS855" t="str">
        <f t="shared" si="328"/>
        <v/>
      </c>
      <c r="AT855" t="str">
        <f t="shared" si="329"/>
        <v/>
      </c>
      <c r="AU855" t="str">
        <f t="shared" si="330"/>
        <v/>
      </c>
      <c r="AV855">
        <f>N(AV854)+IF(AND($AB855&lt;&gt;"",OR('PROFIL ELEVE'!$K$4="(Tous)",$AF855='PROFIL ELEVE'!$K$4)),1,0)</f>
        <v>0</v>
      </c>
      <c r="AW855">
        <f>N(AW854)+IF(AND($AB855&lt;&gt;"",OR('SUIVI LONGITUDINAL'!$Q$4="(Tous)",$AF855='SUIVI LONGITUDINAL'!$Q$4)),1,0)</f>
        <v>0</v>
      </c>
      <c r="AX855">
        <f t="shared" si="331"/>
        <v>0</v>
      </c>
      <c r="AY855">
        <f t="shared" si="332"/>
        <v>0</v>
      </c>
      <c r="AZ855">
        <f t="shared" si="333"/>
        <v>0</v>
      </c>
      <c r="BA855" t="str">
        <f t="shared" si="334"/>
        <v/>
      </c>
      <c r="BB855" t="str">
        <f t="shared" si="335"/>
        <v/>
      </c>
    </row>
    <row r="856" spans="1:54" ht="14.25" customHeight="1" x14ac:dyDescent="0.3">
      <c r="A856" t="str">
        <f>IF(SAISIE!$F861="","",SAISIE!$B861)</f>
        <v/>
      </c>
      <c r="B856" t="str">
        <f>IF(SAISIE!$F861="","",SAISIE!$C861)</f>
        <v/>
      </c>
      <c r="C856" t="str">
        <f>IF(SAISIE!$F861="","",SAISIE!$D861)</f>
        <v/>
      </c>
      <c r="D856" t="str">
        <f>IF(SAISIE!$E861="","",SAISIE!$E861)</f>
        <v/>
      </c>
      <c r="E856" t="str">
        <f>IF(SAISIE!$F861="","",SAISIE!$F861)</f>
        <v/>
      </c>
      <c r="F856" t="str">
        <f>IF(SAISIE!$G861="","",SAISIE!$G861)</f>
        <v/>
      </c>
      <c r="G856" t="str">
        <f>IF(SAISIE!$H861="","",SAISIE!$H861)</f>
        <v/>
      </c>
      <c r="H856" t="str">
        <f>IF(SAISIE!$I861="","",SAISIE!$I861)</f>
        <v/>
      </c>
      <c r="I856" t="str">
        <f>IF(SAISIE!$J861="","",SAISIE!$J861)</f>
        <v/>
      </c>
      <c r="J856" t="str">
        <f>IF(SAISIE!$K861="","",SAISIE!$K861)</f>
        <v/>
      </c>
      <c r="K856" t="str">
        <f>IF(SAISIE!$L861="","",SAISIE!$L861)</f>
        <v/>
      </c>
      <c r="L856" t="str">
        <f>IF(SAISIE!$M861="","",SAISIE!$M861)</f>
        <v/>
      </c>
      <c r="M856" t="str">
        <f>IF(SAISIE!$N861="","",SAISIE!$N861)</f>
        <v/>
      </c>
      <c r="N856" t="str">
        <f>IF(SAISIE!$O861="","",SAISIE!$O861)</f>
        <v/>
      </c>
      <c r="O856" t="str">
        <f>IF(SAISIE!$P861="","",SAISIE!$P861)</f>
        <v/>
      </c>
      <c r="P856" t="str">
        <f>IF(SAISIE!$Q861="","",SAISIE!$Q861)</f>
        <v/>
      </c>
      <c r="Q856" t="str">
        <f>IF($I856="","",IF($I856&gt;PARAMETRES!$G$29,5,IF($I856&gt;PARAMETRES!$F$29,4,IF($I856&gt;PARAMETRES!$E$29,3,IF($I856&gt;PARAMETRES!$D$29,2,1)))))</f>
        <v/>
      </c>
      <c r="R856" t="str">
        <f>IF($J856="","",IF($J856&gt;PARAMETRES!$G$30,5,IF($J856&gt;PARAMETRES!$F$30,4,IF($J856&gt;PARAMETRES!$E$30,3,IF($J856&gt;PARAMETRES!$D$30,2,1)))))</f>
        <v/>
      </c>
      <c r="S856" t="str">
        <f>IF($K856="","",IF($Z856=2,IF($K856&gt;PARAMETRES!$G$31,5,IF($K856&gt;PARAMETRES!$F$31,4,IF($K856&gt;PARAMETRES!$E$31,3,IF($K856&gt;PARAMETRES!$D$31,2,1)))),IF($K856&gt;PARAMETRES!$G$32,5,IF($K856&gt;PARAMETRES!$F$32,4,IF($K856&gt;PARAMETRES!$E$32,3,IF($K856&gt;PARAMETRES!$D$32,2,1))))))</f>
        <v/>
      </c>
      <c r="T856" t="str">
        <f>IF($L856="","",IF($L856&gt;PARAMETRES!$G$33,5,IF($L856&gt;PARAMETRES!$F$33,4,IF($L856&gt;PARAMETRES!$E$33,3,IF($L856&gt;PARAMETRES!$D$33,2,1)))))</f>
        <v/>
      </c>
      <c r="U856" t="str">
        <f>IF($M856="","",IF($M856&gt;PARAMETRES!$G$34,5,IF($M856&gt;PARAMETRES!$F$34,4,IF($M856&gt;PARAMETRES!$E$34,3,IF($M856&gt;PARAMETRES!$D$34,2,1)))))</f>
        <v/>
      </c>
      <c r="V856" t="str">
        <f>IF($N856="","",IF($N856&gt;PARAMETRES!$G$35,5,IF($N856&gt;PARAMETRES!$F$35,4,IF($N856&gt;PARAMETRES!$E$35,3,IF($N856&gt;PARAMETRES!$D$35,2,1)))))</f>
        <v/>
      </c>
      <c r="W856" t="str">
        <f>IF($O856="","",IF($O856&gt;PARAMETRES!$G$36,5,IF($O856&gt;PARAMETRES!$F$36,4,IF($O856&gt;PARAMETRES!$E$36,3,IF($O856&gt;PARAMETRES!$D$36,2,1)))))</f>
        <v/>
      </c>
      <c r="X856" t="str">
        <f>IF($P856="","",IF($P856&gt;PARAMETRES!$G$37,5,IF($P856&gt;PARAMETRES!$F$37,4,IF($P856&gt;PARAMETRES!$E$37,3,IF($P856&gt;PARAMETRES!$D$37,2,1)))))</f>
        <v/>
      </c>
      <c r="Y856" t="str">
        <f t="shared" si="312"/>
        <v/>
      </c>
      <c r="Z856" t="str">
        <f>IFERROR(VLOOKUP($B856,TABLE_CYCLE,2,0),"")</f>
        <v/>
      </c>
      <c r="AA856" t="str">
        <f t="shared" si="313"/>
        <v/>
      </c>
      <c r="AB856" t="str">
        <f>IF($D856="","",IF(COUNTIF($D$2:$D856,$D856)=1,$D856,""))</f>
        <v/>
      </c>
      <c r="AC856">
        <f t="shared" si="314"/>
        <v>0</v>
      </c>
      <c r="AD856" t="str">
        <f t="shared" si="315"/>
        <v>|0</v>
      </c>
      <c r="AE856" t="str">
        <f t="shared" si="316"/>
        <v/>
      </c>
      <c r="AF856" t="str">
        <f t="shared" si="317"/>
        <v/>
      </c>
      <c r="AG856" t="str">
        <f t="shared" si="318"/>
        <v/>
      </c>
      <c r="AH856" t="str">
        <f t="shared" si="319"/>
        <v/>
      </c>
      <c r="AI856" t="str">
        <f t="shared" si="320"/>
        <v/>
      </c>
      <c r="AJ856" t="str">
        <f t="shared" si="321"/>
        <v/>
      </c>
      <c r="AK856" t="str">
        <f t="shared" si="322"/>
        <v/>
      </c>
      <c r="AL856" t="str">
        <f t="shared" si="323"/>
        <v/>
      </c>
      <c r="AM856" t="str">
        <f t="shared" si="324"/>
        <v/>
      </c>
      <c r="AN856" t="str">
        <f t="shared" si="325"/>
        <v/>
      </c>
      <c r="AO856" t="str">
        <f t="shared" si="326"/>
        <v/>
      </c>
      <c r="AP856">
        <f t="shared" si="327"/>
        <v>1</v>
      </c>
      <c r="AQ856" t="str">
        <f>IF(SAISIE!$F861="","",SAISIE!$Y861)</f>
        <v/>
      </c>
      <c r="AR856" t="str">
        <f>IF(OR(SAISIE!$U$4="",SAISIE!$W$4=""),"",IF(AND($A856=SAISIE!$U$4,$B856=SAISIE!$W$4,$C856="S1"),COUNTIFS($A$2:$A856,SAISIE!$U$4,$B$2:$B856,SAISIE!$W$4,$C$2:$C856,"S1"),""))</f>
        <v/>
      </c>
      <c r="AS856" t="str">
        <f t="shared" si="328"/>
        <v/>
      </c>
      <c r="AT856" t="str">
        <f t="shared" si="329"/>
        <v/>
      </c>
      <c r="AU856" t="str">
        <f t="shared" si="330"/>
        <v/>
      </c>
      <c r="AV856">
        <f>N(AV855)+IF(AND($AB856&lt;&gt;"",OR('PROFIL ELEVE'!$K$4="(Tous)",$AF856='PROFIL ELEVE'!$K$4)),1,0)</f>
        <v>0</v>
      </c>
      <c r="AW856">
        <f>N(AW855)+IF(AND($AB856&lt;&gt;"",OR('SUIVI LONGITUDINAL'!$Q$4="(Tous)",$AF856='SUIVI LONGITUDINAL'!$Q$4)),1,0)</f>
        <v>0</v>
      </c>
      <c r="AX856">
        <f t="shared" si="331"/>
        <v>0</v>
      </c>
      <c r="AY856">
        <f t="shared" si="332"/>
        <v>0</v>
      </c>
      <c r="AZ856">
        <f t="shared" si="333"/>
        <v>0</v>
      </c>
      <c r="BA856" t="str">
        <f t="shared" si="334"/>
        <v/>
      </c>
      <c r="BB856" t="str">
        <f t="shared" si="335"/>
        <v/>
      </c>
    </row>
    <row r="857" spans="1:54" ht="14.25" customHeight="1" x14ac:dyDescent="0.3">
      <c r="A857" t="str">
        <f>IF(SAISIE!$F862="","",SAISIE!$B862)</f>
        <v/>
      </c>
      <c r="B857" t="str">
        <f>IF(SAISIE!$F862="","",SAISIE!$C862)</f>
        <v/>
      </c>
      <c r="C857" t="str">
        <f>IF(SAISIE!$F862="","",SAISIE!$D862)</f>
        <v/>
      </c>
      <c r="D857" t="str">
        <f>IF(SAISIE!$E862="","",SAISIE!$E862)</f>
        <v/>
      </c>
      <c r="E857" t="str">
        <f>IF(SAISIE!$F862="","",SAISIE!$F862)</f>
        <v/>
      </c>
      <c r="F857" t="str">
        <f>IF(SAISIE!$G862="","",SAISIE!$G862)</f>
        <v/>
      </c>
      <c r="G857" t="str">
        <f>IF(SAISIE!$H862="","",SAISIE!$H862)</f>
        <v/>
      </c>
      <c r="H857" t="str">
        <f>IF(SAISIE!$I862="","",SAISIE!$I862)</f>
        <v/>
      </c>
      <c r="I857" t="str">
        <f>IF(SAISIE!$J862="","",SAISIE!$J862)</f>
        <v/>
      </c>
      <c r="J857" t="str">
        <f>IF(SAISIE!$K862="","",SAISIE!$K862)</f>
        <v/>
      </c>
      <c r="K857" t="str">
        <f>IF(SAISIE!$L862="","",SAISIE!$L862)</f>
        <v/>
      </c>
      <c r="L857" t="str">
        <f>IF(SAISIE!$M862="","",SAISIE!$M862)</f>
        <v/>
      </c>
      <c r="M857" t="str">
        <f>IF(SAISIE!$N862="","",SAISIE!$N862)</f>
        <v/>
      </c>
      <c r="N857" t="str">
        <f>IF(SAISIE!$O862="","",SAISIE!$O862)</f>
        <v/>
      </c>
      <c r="O857" t="str">
        <f>IF(SAISIE!$P862="","",SAISIE!$P862)</f>
        <v/>
      </c>
      <c r="P857" t="str">
        <f>IF(SAISIE!$Q862="","",SAISIE!$Q862)</f>
        <v/>
      </c>
      <c r="Q857" t="str">
        <f>IF($I857="","",IF($I857&gt;PARAMETRES!$G$29,5,IF($I857&gt;PARAMETRES!$F$29,4,IF($I857&gt;PARAMETRES!$E$29,3,IF($I857&gt;PARAMETRES!$D$29,2,1)))))</f>
        <v/>
      </c>
      <c r="R857" t="str">
        <f>IF($J857="","",IF($J857&gt;PARAMETRES!$G$30,5,IF($J857&gt;PARAMETRES!$F$30,4,IF($J857&gt;PARAMETRES!$E$30,3,IF($J857&gt;PARAMETRES!$D$30,2,1)))))</f>
        <v/>
      </c>
      <c r="S857" t="str">
        <f>IF($K857="","",IF($Z857=2,IF($K857&gt;PARAMETRES!$G$31,5,IF($K857&gt;PARAMETRES!$F$31,4,IF($K857&gt;PARAMETRES!$E$31,3,IF($K857&gt;PARAMETRES!$D$31,2,1)))),IF($K857&gt;PARAMETRES!$G$32,5,IF($K857&gt;PARAMETRES!$F$32,4,IF($K857&gt;PARAMETRES!$E$32,3,IF($K857&gt;PARAMETRES!$D$32,2,1))))))</f>
        <v/>
      </c>
      <c r="T857" t="str">
        <f>IF($L857="","",IF($L857&gt;PARAMETRES!$G$33,5,IF($L857&gt;PARAMETRES!$F$33,4,IF($L857&gt;PARAMETRES!$E$33,3,IF($L857&gt;PARAMETRES!$D$33,2,1)))))</f>
        <v/>
      </c>
      <c r="U857" t="str">
        <f>IF($M857="","",IF($M857&gt;PARAMETRES!$G$34,5,IF($M857&gt;PARAMETRES!$F$34,4,IF($M857&gt;PARAMETRES!$E$34,3,IF($M857&gt;PARAMETRES!$D$34,2,1)))))</f>
        <v/>
      </c>
      <c r="V857" t="str">
        <f>IF($N857="","",IF($N857&gt;PARAMETRES!$G$35,5,IF($N857&gt;PARAMETRES!$F$35,4,IF($N857&gt;PARAMETRES!$E$35,3,IF($N857&gt;PARAMETRES!$D$35,2,1)))))</f>
        <v/>
      </c>
      <c r="W857" t="str">
        <f>IF($O857="","",IF($O857&gt;PARAMETRES!$G$36,5,IF($O857&gt;PARAMETRES!$F$36,4,IF($O857&gt;PARAMETRES!$E$36,3,IF($O857&gt;PARAMETRES!$D$36,2,1)))))</f>
        <v/>
      </c>
      <c r="X857" t="str">
        <f>IF($P857="","",IF($P857&gt;PARAMETRES!$G$37,5,IF($P857&gt;PARAMETRES!$F$37,4,IF($P857&gt;PARAMETRES!$E$37,3,IF($P857&gt;PARAMETRES!$D$37,2,1)))))</f>
        <v/>
      </c>
      <c r="Y857" t="str">
        <f t="shared" si="312"/>
        <v/>
      </c>
      <c r="Z857" t="str">
        <f>IFERROR(VLOOKUP($B857,TABLE_CYCLE,2,0),"")</f>
        <v/>
      </c>
      <c r="AA857" t="str">
        <f t="shared" si="313"/>
        <v/>
      </c>
      <c r="AB857" t="str">
        <f>IF($D857="","",IF(COUNTIF($D$2:$D857,$D857)=1,$D857,""))</f>
        <v/>
      </c>
      <c r="AC857">
        <f t="shared" si="314"/>
        <v>0</v>
      </c>
      <c r="AD857" t="str">
        <f t="shared" si="315"/>
        <v>|0</v>
      </c>
      <c r="AE857" t="str">
        <f t="shared" si="316"/>
        <v/>
      </c>
      <c r="AF857" t="str">
        <f t="shared" si="317"/>
        <v/>
      </c>
      <c r="AG857" t="str">
        <f t="shared" si="318"/>
        <v/>
      </c>
      <c r="AH857" t="str">
        <f t="shared" si="319"/>
        <v/>
      </c>
      <c r="AI857" t="str">
        <f t="shared" si="320"/>
        <v/>
      </c>
      <c r="AJ857" t="str">
        <f t="shared" si="321"/>
        <v/>
      </c>
      <c r="AK857" t="str">
        <f t="shared" si="322"/>
        <v/>
      </c>
      <c r="AL857" t="str">
        <f t="shared" si="323"/>
        <v/>
      </c>
      <c r="AM857" t="str">
        <f t="shared" si="324"/>
        <v/>
      </c>
      <c r="AN857" t="str">
        <f t="shared" si="325"/>
        <v/>
      </c>
      <c r="AO857" t="str">
        <f t="shared" si="326"/>
        <v/>
      </c>
      <c r="AP857">
        <f t="shared" si="327"/>
        <v>1</v>
      </c>
      <c r="AQ857" t="str">
        <f>IF(SAISIE!$F862="","",SAISIE!$Y862)</f>
        <v/>
      </c>
      <c r="AR857" t="str">
        <f>IF(OR(SAISIE!$U$4="",SAISIE!$W$4=""),"",IF(AND($A857=SAISIE!$U$4,$B857=SAISIE!$W$4,$C857="S1"),COUNTIFS($A$2:$A857,SAISIE!$U$4,$B$2:$B857,SAISIE!$W$4,$C$2:$C857,"S1"),""))</f>
        <v/>
      </c>
      <c r="AS857" t="str">
        <f t="shared" si="328"/>
        <v/>
      </c>
      <c r="AT857" t="str">
        <f t="shared" si="329"/>
        <v/>
      </c>
      <c r="AU857" t="str">
        <f t="shared" si="330"/>
        <v/>
      </c>
      <c r="AV857">
        <f>N(AV856)+IF(AND($AB857&lt;&gt;"",OR('PROFIL ELEVE'!$K$4="(Tous)",$AF857='PROFIL ELEVE'!$K$4)),1,0)</f>
        <v>0</v>
      </c>
      <c r="AW857">
        <f>N(AW856)+IF(AND($AB857&lt;&gt;"",OR('SUIVI LONGITUDINAL'!$Q$4="(Tous)",$AF857='SUIVI LONGITUDINAL'!$Q$4)),1,0)</f>
        <v>0</v>
      </c>
      <c r="AX857">
        <f t="shared" si="331"/>
        <v>0</v>
      </c>
      <c r="AY857">
        <f t="shared" si="332"/>
        <v>0</v>
      </c>
      <c r="AZ857">
        <f t="shared" si="333"/>
        <v>0</v>
      </c>
      <c r="BA857" t="str">
        <f t="shared" si="334"/>
        <v/>
      </c>
      <c r="BB857" t="str">
        <f t="shared" si="335"/>
        <v/>
      </c>
    </row>
    <row r="858" spans="1:54" ht="14.25" customHeight="1" x14ac:dyDescent="0.3">
      <c r="A858" t="str">
        <f>IF(SAISIE!$F863="","",SAISIE!$B863)</f>
        <v/>
      </c>
      <c r="B858" t="str">
        <f>IF(SAISIE!$F863="","",SAISIE!$C863)</f>
        <v/>
      </c>
      <c r="C858" t="str">
        <f>IF(SAISIE!$F863="","",SAISIE!$D863)</f>
        <v/>
      </c>
      <c r="D858" t="str">
        <f>IF(SAISIE!$E863="","",SAISIE!$E863)</f>
        <v/>
      </c>
      <c r="E858" t="str">
        <f>IF(SAISIE!$F863="","",SAISIE!$F863)</f>
        <v/>
      </c>
      <c r="F858" t="str">
        <f>IF(SAISIE!$G863="","",SAISIE!$G863)</f>
        <v/>
      </c>
      <c r="G858" t="str">
        <f>IF(SAISIE!$H863="","",SAISIE!$H863)</f>
        <v/>
      </c>
      <c r="H858" t="str">
        <f>IF(SAISIE!$I863="","",SAISIE!$I863)</f>
        <v/>
      </c>
      <c r="I858" t="str">
        <f>IF(SAISIE!$J863="","",SAISIE!$J863)</f>
        <v/>
      </c>
      <c r="J858" t="str">
        <f>IF(SAISIE!$K863="","",SAISIE!$K863)</f>
        <v/>
      </c>
      <c r="K858" t="str">
        <f>IF(SAISIE!$L863="","",SAISIE!$L863)</f>
        <v/>
      </c>
      <c r="L858" t="str">
        <f>IF(SAISIE!$M863="","",SAISIE!$M863)</f>
        <v/>
      </c>
      <c r="M858" t="str">
        <f>IF(SAISIE!$N863="","",SAISIE!$N863)</f>
        <v/>
      </c>
      <c r="N858" t="str">
        <f>IF(SAISIE!$O863="","",SAISIE!$O863)</f>
        <v/>
      </c>
      <c r="O858" t="str">
        <f>IF(SAISIE!$P863="","",SAISIE!$P863)</f>
        <v/>
      </c>
      <c r="P858" t="str">
        <f>IF(SAISIE!$Q863="","",SAISIE!$Q863)</f>
        <v/>
      </c>
      <c r="Q858" t="str">
        <f>IF($I858="","",IF($I858&gt;PARAMETRES!$G$29,5,IF($I858&gt;PARAMETRES!$F$29,4,IF($I858&gt;PARAMETRES!$E$29,3,IF($I858&gt;PARAMETRES!$D$29,2,1)))))</f>
        <v/>
      </c>
      <c r="R858" t="str">
        <f>IF($J858="","",IF($J858&gt;PARAMETRES!$G$30,5,IF($J858&gt;PARAMETRES!$F$30,4,IF($J858&gt;PARAMETRES!$E$30,3,IF($J858&gt;PARAMETRES!$D$30,2,1)))))</f>
        <v/>
      </c>
      <c r="S858" t="str">
        <f>IF($K858="","",IF($Z858=2,IF($K858&gt;PARAMETRES!$G$31,5,IF($K858&gt;PARAMETRES!$F$31,4,IF($K858&gt;PARAMETRES!$E$31,3,IF($K858&gt;PARAMETRES!$D$31,2,1)))),IF($K858&gt;PARAMETRES!$G$32,5,IF($K858&gt;PARAMETRES!$F$32,4,IF($K858&gt;PARAMETRES!$E$32,3,IF($K858&gt;PARAMETRES!$D$32,2,1))))))</f>
        <v/>
      </c>
      <c r="T858" t="str">
        <f>IF($L858="","",IF($L858&gt;PARAMETRES!$G$33,5,IF($L858&gt;PARAMETRES!$F$33,4,IF($L858&gt;PARAMETRES!$E$33,3,IF($L858&gt;PARAMETRES!$D$33,2,1)))))</f>
        <v/>
      </c>
      <c r="U858" t="str">
        <f>IF($M858="","",IF($M858&gt;PARAMETRES!$G$34,5,IF($M858&gt;PARAMETRES!$F$34,4,IF($M858&gt;PARAMETRES!$E$34,3,IF($M858&gt;PARAMETRES!$D$34,2,1)))))</f>
        <v/>
      </c>
      <c r="V858" t="str">
        <f>IF($N858="","",IF($N858&gt;PARAMETRES!$G$35,5,IF($N858&gt;PARAMETRES!$F$35,4,IF($N858&gt;PARAMETRES!$E$35,3,IF($N858&gt;PARAMETRES!$D$35,2,1)))))</f>
        <v/>
      </c>
      <c r="W858" t="str">
        <f>IF($O858="","",IF($O858&gt;PARAMETRES!$G$36,5,IF($O858&gt;PARAMETRES!$F$36,4,IF($O858&gt;PARAMETRES!$E$36,3,IF($O858&gt;PARAMETRES!$D$36,2,1)))))</f>
        <v/>
      </c>
      <c r="X858" t="str">
        <f>IF($P858="","",IF($P858&gt;PARAMETRES!$G$37,5,IF($P858&gt;PARAMETRES!$F$37,4,IF($P858&gt;PARAMETRES!$E$37,3,IF($P858&gt;PARAMETRES!$D$37,2,1)))))</f>
        <v/>
      </c>
      <c r="Y858" t="str">
        <f t="shared" si="312"/>
        <v/>
      </c>
      <c r="Z858" t="str">
        <f>IFERROR(VLOOKUP($B858,TABLE_CYCLE,2,0),"")</f>
        <v/>
      </c>
      <c r="AA858" t="str">
        <f t="shared" si="313"/>
        <v/>
      </c>
      <c r="AB858" t="str">
        <f>IF($D858="","",IF(COUNTIF($D$2:$D858,$D858)=1,$D858,""))</f>
        <v/>
      </c>
      <c r="AC858">
        <f t="shared" si="314"/>
        <v>0</v>
      </c>
      <c r="AD858" t="str">
        <f t="shared" si="315"/>
        <v>|0</v>
      </c>
      <c r="AE858" t="str">
        <f t="shared" si="316"/>
        <v/>
      </c>
      <c r="AF858" t="str">
        <f t="shared" si="317"/>
        <v/>
      </c>
      <c r="AG858" t="str">
        <f t="shared" si="318"/>
        <v/>
      </c>
      <c r="AH858" t="str">
        <f t="shared" si="319"/>
        <v/>
      </c>
      <c r="AI858" t="str">
        <f t="shared" si="320"/>
        <v/>
      </c>
      <c r="AJ858" t="str">
        <f t="shared" si="321"/>
        <v/>
      </c>
      <c r="AK858" t="str">
        <f t="shared" si="322"/>
        <v/>
      </c>
      <c r="AL858" t="str">
        <f t="shared" si="323"/>
        <v/>
      </c>
      <c r="AM858" t="str">
        <f t="shared" si="324"/>
        <v/>
      </c>
      <c r="AN858" t="str">
        <f t="shared" si="325"/>
        <v/>
      </c>
      <c r="AO858" t="str">
        <f t="shared" si="326"/>
        <v/>
      </c>
      <c r="AP858">
        <f t="shared" si="327"/>
        <v>1</v>
      </c>
      <c r="AQ858" t="str">
        <f>IF(SAISIE!$F863="","",SAISIE!$Y863)</f>
        <v/>
      </c>
      <c r="AR858" t="str">
        <f>IF(OR(SAISIE!$U$4="",SAISIE!$W$4=""),"",IF(AND($A858=SAISIE!$U$4,$B858=SAISIE!$W$4,$C858="S1"),COUNTIFS($A$2:$A858,SAISIE!$U$4,$B$2:$B858,SAISIE!$W$4,$C$2:$C858,"S1"),""))</f>
        <v/>
      </c>
      <c r="AS858" t="str">
        <f t="shared" si="328"/>
        <v/>
      </c>
      <c r="AT858" t="str">
        <f t="shared" si="329"/>
        <v/>
      </c>
      <c r="AU858" t="str">
        <f t="shared" si="330"/>
        <v/>
      </c>
      <c r="AV858">
        <f>N(AV857)+IF(AND($AB858&lt;&gt;"",OR('PROFIL ELEVE'!$K$4="(Tous)",$AF858='PROFIL ELEVE'!$K$4)),1,0)</f>
        <v>0</v>
      </c>
      <c r="AW858">
        <f>N(AW857)+IF(AND($AB858&lt;&gt;"",OR('SUIVI LONGITUDINAL'!$Q$4="(Tous)",$AF858='SUIVI LONGITUDINAL'!$Q$4)),1,0)</f>
        <v>0</v>
      </c>
      <c r="AX858">
        <f t="shared" si="331"/>
        <v>0</v>
      </c>
      <c r="AY858">
        <f t="shared" si="332"/>
        <v>0</v>
      </c>
      <c r="AZ858">
        <f t="shared" si="333"/>
        <v>0</v>
      </c>
      <c r="BA858" t="str">
        <f t="shared" si="334"/>
        <v/>
      </c>
      <c r="BB858" t="str">
        <f t="shared" si="335"/>
        <v/>
      </c>
    </row>
    <row r="859" spans="1:54" ht="14.25" customHeight="1" x14ac:dyDescent="0.3">
      <c r="A859" t="str">
        <f>IF(SAISIE!$F864="","",SAISIE!$B864)</f>
        <v/>
      </c>
      <c r="B859" t="str">
        <f>IF(SAISIE!$F864="","",SAISIE!$C864)</f>
        <v/>
      </c>
      <c r="C859" t="str">
        <f>IF(SAISIE!$F864="","",SAISIE!$D864)</f>
        <v/>
      </c>
      <c r="D859" t="str">
        <f>IF(SAISIE!$E864="","",SAISIE!$E864)</f>
        <v/>
      </c>
      <c r="E859" t="str">
        <f>IF(SAISIE!$F864="","",SAISIE!$F864)</f>
        <v/>
      </c>
      <c r="F859" t="str">
        <f>IF(SAISIE!$G864="","",SAISIE!$G864)</f>
        <v/>
      </c>
      <c r="G859" t="str">
        <f>IF(SAISIE!$H864="","",SAISIE!$H864)</f>
        <v/>
      </c>
      <c r="H859" t="str">
        <f>IF(SAISIE!$I864="","",SAISIE!$I864)</f>
        <v/>
      </c>
      <c r="I859" t="str">
        <f>IF(SAISIE!$J864="","",SAISIE!$J864)</f>
        <v/>
      </c>
      <c r="J859" t="str">
        <f>IF(SAISIE!$K864="","",SAISIE!$K864)</f>
        <v/>
      </c>
      <c r="K859" t="str">
        <f>IF(SAISIE!$L864="","",SAISIE!$L864)</f>
        <v/>
      </c>
      <c r="L859" t="str">
        <f>IF(SAISIE!$M864="","",SAISIE!$M864)</f>
        <v/>
      </c>
      <c r="M859" t="str">
        <f>IF(SAISIE!$N864="","",SAISIE!$N864)</f>
        <v/>
      </c>
      <c r="N859" t="str">
        <f>IF(SAISIE!$O864="","",SAISIE!$O864)</f>
        <v/>
      </c>
      <c r="O859" t="str">
        <f>IF(SAISIE!$P864="","",SAISIE!$P864)</f>
        <v/>
      </c>
      <c r="P859" t="str">
        <f>IF(SAISIE!$Q864="","",SAISIE!$Q864)</f>
        <v/>
      </c>
      <c r="Q859" t="str">
        <f>IF($I859="","",IF($I859&gt;PARAMETRES!$G$29,5,IF($I859&gt;PARAMETRES!$F$29,4,IF($I859&gt;PARAMETRES!$E$29,3,IF($I859&gt;PARAMETRES!$D$29,2,1)))))</f>
        <v/>
      </c>
      <c r="R859" t="str">
        <f>IF($J859="","",IF($J859&gt;PARAMETRES!$G$30,5,IF($J859&gt;PARAMETRES!$F$30,4,IF($J859&gt;PARAMETRES!$E$30,3,IF($J859&gt;PARAMETRES!$D$30,2,1)))))</f>
        <v/>
      </c>
      <c r="S859" t="str">
        <f>IF($K859="","",IF($Z859=2,IF($K859&gt;PARAMETRES!$G$31,5,IF($K859&gt;PARAMETRES!$F$31,4,IF($K859&gt;PARAMETRES!$E$31,3,IF($K859&gt;PARAMETRES!$D$31,2,1)))),IF($K859&gt;PARAMETRES!$G$32,5,IF($K859&gt;PARAMETRES!$F$32,4,IF($K859&gt;PARAMETRES!$E$32,3,IF($K859&gt;PARAMETRES!$D$32,2,1))))))</f>
        <v/>
      </c>
      <c r="T859" t="str">
        <f>IF($L859="","",IF($L859&gt;PARAMETRES!$G$33,5,IF($L859&gt;PARAMETRES!$F$33,4,IF($L859&gt;PARAMETRES!$E$33,3,IF($L859&gt;PARAMETRES!$D$33,2,1)))))</f>
        <v/>
      </c>
      <c r="U859" t="str">
        <f>IF($M859="","",IF($M859&gt;PARAMETRES!$G$34,5,IF($M859&gt;PARAMETRES!$F$34,4,IF($M859&gt;PARAMETRES!$E$34,3,IF($M859&gt;PARAMETRES!$D$34,2,1)))))</f>
        <v/>
      </c>
      <c r="V859" t="str">
        <f>IF($N859="","",IF($N859&gt;PARAMETRES!$G$35,5,IF($N859&gt;PARAMETRES!$F$35,4,IF($N859&gt;PARAMETRES!$E$35,3,IF($N859&gt;PARAMETRES!$D$35,2,1)))))</f>
        <v/>
      </c>
      <c r="W859" t="str">
        <f>IF($O859="","",IF($O859&gt;PARAMETRES!$G$36,5,IF($O859&gt;PARAMETRES!$F$36,4,IF($O859&gt;PARAMETRES!$E$36,3,IF($O859&gt;PARAMETRES!$D$36,2,1)))))</f>
        <v/>
      </c>
      <c r="X859" t="str">
        <f>IF($P859="","",IF($P859&gt;PARAMETRES!$G$37,5,IF($P859&gt;PARAMETRES!$F$37,4,IF($P859&gt;PARAMETRES!$E$37,3,IF($P859&gt;PARAMETRES!$D$37,2,1)))))</f>
        <v/>
      </c>
      <c r="Y859" t="str">
        <f t="shared" si="312"/>
        <v/>
      </c>
      <c r="Z859" t="str">
        <f>IFERROR(VLOOKUP($B859,TABLE_CYCLE,2,0),"")</f>
        <v/>
      </c>
      <c r="AA859" t="str">
        <f t="shared" si="313"/>
        <v/>
      </c>
      <c r="AB859" t="str">
        <f>IF($D859="","",IF(COUNTIF($D$2:$D859,$D859)=1,$D859,""))</f>
        <v/>
      </c>
      <c r="AC859">
        <f t="shared" si="314"/>
        <v>0</v>
      </c>
      <c r="AD859" t="str">
        <f t="shared" si="315"/>
        <v>|0</v>
      </c>
      <c r="AE859" t="str">
        <f t="shared" si="316"/>
        <v/>
      </c>
      <c r="AF859" t="str">
        <f t="shared" si="317"/>
        <v/>
      </c>
      <c r="AG859" t="str">
        <f t="shared" si="318"/>
        <v/>
      </c>
      <c r="AH859" t="str">
        <f t="shared" si="319"/>
        <v/>
      </c>
      <c r="AI859" t="str">
        <f t="shared" si="320"/>
        <v/>
      </c>
      <c r="AJ859" t="str">
        <f t="shared" si="321"/>
        <v/>
      </c>
      <c r="AK859" t="str">
        <f t="shared" si="322"/>
        <v/>
      </c>
      <c r="AL859" t="str">
        <f t="shared" si="323"/>
        <v/>
      </c>
      <c r="AM859" t="str">
        <f t="shared" si="324"/>
        <v/>
      </c>
      <c r="AN859" t="str">
        <f t="shared" si="325"/>
        <v/>
      </c>
      <c r="AO859" t="str">
        <f t="shared" si="326"/>
        <v/>
      </c>
      <c r="AP859">
        <f t="shared" si="327"/>
        <v>1</v>
      </c>
      <c r="AQ859" t="str">
        <f>IF(SAISIE!$F864="","",SAISIE!$Y864)</f>
        <v/>
      </c>
      <c r="AR859" t="str">
        <f>IF(OR(SAISIE!$U$4="",SAISIE!$W$4=""),"",IF(AND($A859=SAISIE!$U$4,$B859=SAISIE!$W$4,$C859="S1"),COUNTIFS($A$2:$A859,SAISIE!$U$4,$B$2:$B859,SAISIE!$W$4,$C$2:$C859,"S1"),""))</f>
        <v/>
      </c>
      <c r="AS859" t="str">
        <f t="shared" si="328"/>
        <v/>
      </c>
      <c r="AT859" t="str">
        <f t="shared" si="329"/>
        <v/>
      </c>
      <c r="AU859" t="str">
        <f t="shared" si="330"/>
        <v/>
      </c>
      <c r="AV859">
        <f>N(AV858)+IF(AND($AB859&lt;&gt;"",OR('PROFIL ELEVE'!$K$4="(Tous)",$AF859='PROFIL ELEVE'!$K$4)),1,0)</f>
        <v>0</v>
      </c>
      <c r="AW859">
        <f>N(AW858)+IF(AND($AB859&lt;&gt;"",OR('SUIVI LONGITUDINAL'!$Q$4="(Tous)",$AF859='SUIVI LONGITUDINAL'!$Q$4)),1,0)</f>
        <v>0</v>
      </c>
      <c r="AX859">
        <f t="shared" si="331"/>
        <v>0</v>
      </c>
      <c r="AY859">
        <f t="shared" si="332"/>
        <v>0</v>
      </c>
      <c r="AZ859">
        <f t="shared" si="333"/>
        <v>0</v>
      </c>
      <c r="BA859" t="str">
        <f t="shared" si="334"/>
        <v/>
      </c>
      <c r="BB859" t="str">
        <f t="shared" si="335"/>
        <v/>
      </c>
    </row>
    <row r="860" spans="1:54" ht="14.25" customHeight="1" x14ac:dyDescent="0.3">
      <c r="A860" t="str">
        <f>IF(SAISIE!$F865="","",SAISIE!$B865)</f>
        <v/>
      </c>
      <c r="B860" t="str">
        <f>IF(SAISIE!$F865="","",SAISIE!$C865)</f>
        <v/>
      </c>
      <c r="C860" t="str">
        <f>IF(SAISIE!$F865="","",SAISIE!$D865)</f>
        <v/>
      </c>
      <c r="D860" t="str">
        <f>IF(SAISIE!$E865="","",SAISIE!$E865)</f>
        <v/>
      </c>
      <c r="E860" t="str">
        <f>IF(SAISIE!$F865="","",SAISIE!$F865)</f>
        <v/>
      </c>
      <c r="F860" t="str">
        <f>IF(SAISIE!$G865="","",SAISIE!$G865)</f>
        <v/>
      </c>
      <c r="G860" t="str">
        <f>IF(SAISIE!$H865="","",SAISIE!$H865)</f>
        <v/>
      </c>
      <c r="H860" t="str">
        <f>IF(SAISIE!$I865="","",SAISIE!$I865)</f>
        <v/>
      </c>
      <c r="I860" t="str">
        <f>IF(SAISIE!$J865="","",SAISIE!$J865)</f>
        <v/>
      </c>
      <c r="J860" t="str">
        <f>IF(SAISIE!$K865="","",SAISIE!$K865)</f>
        <v/>
      </c>
      <c r="K860" t="str">
        <f>IF(SAISIE!$L865="","",SAISIE!$L865)</f>
        <v/>
      </c>
      <c r="L860" t="str">
        <f>IF(SAISIE!$M865="","",SAISIE!$M865)</f>
        <v/>
      </c>
      <c r="M860" t="str">
        <f>IF(SAISIE!$N865="","",SAISIE!$N865)</f>
        <v/>
      </c>
      <c r="N860" t="str">
        <f>IF(SAISIE!$O865="","",SAISIE!$O865)</f>
        <v/>
      </c>
      <c r="O860" t="str">
        <f>IF(SAISIE!$P865="","",SAISIE!$P865)</f>
        <v/>
      </c>
      <c r="P860" t="str">
        <f>IF(SAISIE!$Q865="","",SAISIE!$Q865)</f>
        <v/>
      </c>
      <c r="Q860" t="str">
        <f>IF($I860="","",IF($I860&gt;PARAMETRES!$G$29,5,IF($I860&gt;PARAMETRES!$F$29,4,IF($I860&gt;PARAMETRES!$E$29,3,IF($I860&gt;PARAMETRES!$D$29,2,1)))))</f>
        <v/>
      </c>
      <c r="R860" t="str">
        <f>IF($J860="","",IF($J860&gt;PARAMETRES!$G$30,5,IF($J860&gt;PARAMETRES!$F$30,4,IF($J860&gt;PARAMETRES!$E$30,3,IF($J860&gt;PARAMETRES!$D$30,2,1)))))</f>
        <v/>
      </c>
      <c r="S860" t="str">
        <f>IF($K860="","",IF($Z860=2,IF($K860&gt;PARAMETRES!$G$31,5,IF($K860&gt;PARAMETRES!$F$31,4,IF($K860&gt;PARAMETRES!$E$31,3,IF($K860&gt;PARAMETRES!$D$31,2,1)))),IF($K860&gt;PARAMETRES!$G$32,5,IF($K860&gt;PARAMETRES!$F$32,4,IF($K860&gt;PARAMETRES!$E$32,3,IF($K860&gt;PARAMETRES!$D$32,2,1))))))</f>
        <v/>
      </c>
      <c r="T860" t="str">
        <f>IF($L860="","",IF($L860&gt;PARAMETRES!$G$33,5,IF($L860&gt;PARAMETRES!$F$33,4,IF($L860&gt;PARAMETRES!$E$33,3,IF($L860&gt;PARAMETRES!$D$33,2,1)))))</f>
        <v/>
      </c>
      <c r="U860" t="str">
        <f>IF($M860="","",IF($M860&gt;PARAMETRES!$G$34,5,IF($M860&gt;PARAMETRES!$F$34,4,IF($M860&gt;PARAMETRES!$E$34,3,IF($M860&gt;PARAMETRES!$D$34,2,1)))))</f>
        <v/>
      </c>
      <c r="V860" t="str">
        <f>IF($N860="","",IF($N860&gt;PARAMETRES!$G$35,5,IF($N860&gt;PARAMETRES!$F$35,4,IF($N860&gt;PARAMETRES!$E$35,3,IF($N860&gt;PARAMETRES!$D$35,2,1)))))</f>
        <v/>
      </c>
      <c r="W860" t="str">
        <f>IF($O860="","",IF($O860&gt;PARAMETRES!$G$36,5,IF($O860&gt;PARAMETRES!$F$36,4,IF($O860&gt;PARAMETRES!$E$36,3,IF($O860&gt;PARAMETRES!$D$36,2,1)))))</f>
        <v/>
      </c>
      <c r="X860" t="str">
        <f>IF($P860="","",IF($P860&gt;PARAMETRES!$G$37,5,IF($P860&gt;PARAMETRES!$F$37,4,IF($P860&gt;PARAMETRES!$E$37,3,IF($P860&gt;PARAMETRES!$D$37,2,1)))))</f>
        <v/>
      </c>
      <c r="Y860" t="str">
        <f t="shared" si="312"/>
        <v/>
      </c>
      <c r="Z860" t="str">
        <f>IFERROR(VLOOKUP($B860,TABLE_CYCLE,2,0),"")</f>
        <v/>
      </c>
      <c r="AA860" t="str">
        <f t="shared" si="313"/>
        <v/>
      </c>
      <c r="AB860" t="str">
        <f>IF($D860="","",IF(COUNTIF($D$2:$D860,$D860)=1,$D860,""))</f>
        <v/>
      </c>
      <c r="AC860">
        <f t="shared" si="314"/>
        <v>0</v>
      </c>
      <c r="AD860" t="str">
        <f t="shared" si="315"/>
        <v>|0</v>
      </c>
      <c r="AE860" t="str">
        <f t="shared" si="316"/>
        <v/>
      </c>
      <c r="AF860" t="str">
        <f t="shared" si="317"/>
        <v/>
      </c>
      <c r="AG860" t="str">
        <f t="shared" si="318"/>
        <v/>
      </c>
      <c r="AH860" t="str">
        <f t="shared" si="319"/>
        <v/>
      </c>
      <c r="AI860" t="str">
        <f t="shared" si="320"/>
        <v/>
      </c>
      <c r="AJ860" t="str">
        <f t="shared" si="321"/>
        <v/>
      </c>
      <c r="AK860" t="str">
        <f t="shared" si="322"/>
        <v/>
      </c>
      <c r="AL860" t="str">
        <f t="shared" si="323"/>
        <v/>
      </c>
      <c r="AM860" t="str">
        <f t="shared" si="324"/>
        <v/>
      </c>
      <c r="AN860" t="str">
        <f t="shared" si="325"/>
        <v/>
      </c>
      <c r="AO860" t="str">
        <f t="shared" si="326"/>
        <v/>
      </c>
      <c r="AP860">
        <f t="shared" si="327"/>
        <v>1</v>
      </c>
      <c r="AQ860" t="str">
        <f>IF(SAISIE!$F865="","",SAISIE!$Y865)</f>
        <v/>
      </c>
      <c r="AR860" t="str">
        <f>IF(OR(SAISIE!$U$4="",SAISIE!$W$4=""),"",IF(AND($A860=SAISIE!$U$4,$B860=SAISIE!$W$4,$C860="S1"),COUNTIFS($A$2:$A860,SAISIE!$U$4,$B$2:$B860,SAISIE!$W$4,$C$2:$C860,"S1"),""))</f>
        <v/>
      </c>
      <c r="AS860" t="str">
        <f t="shared" si="328"/>
        <v/>
      </c>
      <c r="AT860" t="str">
        <f t="shared" si="329"/>
        <v/>
      </c>
      <c r="AU860" t="str">
        <f t="shared" si="330"/>
        <v/>
      </c>
      <c r="AV860">
        <f>N(AV859)+IF(AND($AB860&lt;&gt;"",OR('PROFIL ELEVE'!$K$4="(Tous)",$AF860='PROFIL ELEVE'!$K$4)),1,0)</f>
        <v>0</v>
      </c>
      <c r="AW860">
        <f>N(AW859)+IF(AND($AB860&lt;&gt;"",OR('SUIVI LONGITUDINAL'!$Q$4="(Tous)",$AF860='SUIVI LONGITUDINAL'!$Q$4)),1,0)</f>
        <v>0</v>
      </c>
      <c r="AX860">
        <f t="shared" si="331"/>
        <v>0</v>
      </c>
      <c r="AY860">
        <f t="shared" si="332"/>
        <v>0</v>
      </c>
      <c r="AZ860">
        <f t="shared" si="333"/>
        <v>0</v>
      </c>
      <c r="BA860" t="str">
        <f t="shared" si="334"/>
        <v/>
      </c>
      <c r="BB860" t="str">
        <f t="shared" si="335"/>
        <v/>
      </c>
    </row>
    <row r="861" spans="1:54" ht="14.25" customHeight="1" x14ac:dyDescent="0.3">
      <c r="A861" t="str">
        <f>IF(SAISIE!$F866="","",SAISIE!$B866)</f>
        <v/>
      </c>
      <c r="B861" t="str">
        <f>IF(SAISIE!$F866="","",SAISIE!$C866)</f>
        <v/>
      </c>
      <c r="C861" t="str">
        <f>IF(SAISIE!$F866="","",SAISIE!$D866)</f>
        <v/>
      </c>
      <c r="D861" t="str">
        <f>IF(SAISIE!$E866="","",SAISIE!$E866)</f>
        <v/>
      </c>
      <c r="E861" t="str">
        <f>IF(SAISIE!$F866="","",SAISIE!$F866)</f>
        <v/>
      </c>
      <c r="F861" t="str">
        <f>IF(SAISIE!$G866="","",SAISIE!$G866)</f>
        <v/>
      </c>
      <c r="G861" t="str">
        <f>IF(SAISIE!$H866="","",SAISIE!$H866)</f>
        <v/>
      </c>
      <c r="H861" t="str">
        <f>IF(SAISIE!$I866="","",SAISIE!$I866)</f>
        <v/>
      </c>
      <c r="I861" t="str">
        <f>IF(SAISIE!$J866="","",SAISIE!$J866)</f>
        <v/>
      </c>
      <c r="J861" t="str">
        <f>IF(SAISIE!$K866="","",SAISIE!$K866)</f>
        <v/>
      </c>
      <c r="K861" t="str">
        <f>IF(SAISIE!$L866="","",SAISIE!$L866)</f>
        <v/>
      </c>
      <c r="L861" t="str">
        <f>IF(SAISIE!$M866="","",SAISIE!$M866)</f>
        <v/>
      </c>
      <c r="M861" t="str">
        <f>IF(SAISIE!$N866="","",SAISIE!$N866)</f>
        <v/>
      </c>
      <c r="N861" t="str">
        <f>IF(SAISIE!$O866="","",SAISIE!$O866)</f>
        <v/>
      </c>
      <c r="O861" t="str">
        <f>IF(SAISIE!$P866="","",SAISIE!$P866)</f>
        <v/>
      </c>
      <c r="P861" t="str">
        <f>IF(SAISIE!$Q866="","",SAISIE!$Q866)</f>
        <v/>
      </c>
      <c r="Q861" t="str">
        <f>IF($I861="","",IF($I861&gt;PARAMETRES!$G$29,5,IF($I861&gt;PARAMETRES!$F$29,4,IF($I861&gt;PARAMETRES!$E$29,3,IF($I861&gt;PARAMETRES!$D$29,2,1)))))</f>
        <v/>
      </c>
      <c r="R861" t="str">
        <f>IF($J861="","",IF($J861&gt;PARAMETRES!$G$30,5,IF($J861&gt;PARAMETRES!$F$30,4,IF($J861&gt;PARAMETRES!$E$30,3,IF($J861&gt;PARAMETRES!$D$30,2,1)))))</f>
        <v/>
      </c>
      <c r="S861" t="str">
        <f>IF($K861="","",IF($Z861=2,IF($K861&gt;PARAMETRES!$G$31,5,IF($K861&gt;PARAMETRES!$F$31,4,IF($K861&gt;PARAMETRES!$E$31,3,IF($K861&gt;PARAMETRES!$D$31,2,1)))),IF($K861&gt;PARAMETRES!$G$32,5,IF($K861&gt;PARAMETRES!$F$32,4,IF($K861&gt;PARAMETRES!$E$32,3,IF($K861&gt;PARAMETRES!$D$32,2,1))))))</f>
        <v/>
      </c>
      <c r="T861" t="str">
        <f>IF($L861="","",IF($L861&gt;PARAMETRES!$G$33,5,IF($L861&gt;PARAMETRES!$F$33,4,IF($L861&gt;PARAMETRES!$E$33,3,IF($L861&gt;PARAMETRES!$D$33,2,1)))))</f>
        <v/>
      </c>
      <c r="U861" t="str">
        <f>IF($M861="","",IF($M861&gt;PARAMETRES!$G$34,5,IF($M861&gt;PARAMETRES!$F$34,4,IF($M861&gt;PARAMETRES!$E$34,3,IF($M861&gt;PARAMETRES!$D$34,2,1)))))</f>
        <v/>
      </c>
      <c r="V861" t="str">
        <f>IF($N861="","",IF($N861&gt;PARAMETRES!$G$35,5,IF($N861&gt;PARAMETRES!$F$35,4,IF($N861&gt;PARAMETRES!$E$35,3,IF($N861&gt;PARAMETRES!$D$35,2,1)))))</f>
        <v/>
      </c>
      <c r="W861" t="str">
        <f>IF($O861="","",IF($O861&gt;PARAMETRES!$G$36,5,IF($O861&gt;PARAMETRES!$F$36,4,IF($O861&gt;PARAMETRES!$E$36,3,IF($O861&gt;PARAMETRES!$D$36,2,1)))))</f>
        <v/>
      </c>
      <c r="X861" t="str">
        <f>IF($P861="","",IF($P861&gt;PARAMETRES!$G$37,5,IF($P861&gt;PARAMETRES!$F$37,4,IF($P861&gt;PARAMETRES!$E$37,3,IF($P861&gt;PARAMETRES!$D$37,2,1)))))</f>
        <v/>
      </c>
      <c r="Y861" t="str">
        <f t="shared" si="312"/>
        <v/>
      </c>
      <c r="Z861" t="str">
        <f>IFERROR(VLOOKUP($B861,TABLE_CYCLE,2,0),"")</f>
        <v/>
      </c>
      <c r="AA861" t="str">
        <f t="shared" si="313"/>
        <v/>
      </c>
      <c r="AB861" t="str">
        <f>IF($D861="","",IF(COUNTIF($D$2:$D861,$D861)=1,$D861,""))</f>
        <v/>
      </c>
      <c r="AC861">
        <f t="shared" si="314"/>
        <v>0</v>
      </c>
      <c r="AD861" t="str">
        <f t="shared" si="315"/>
        <v>|0</v>
      </c>
      <c r="AE861" t="str">
        <f t="shared" si="316"/>
        <v/>
      </c>
      <c r="AF861" t="str">
        <f t="shared" si="317"/>
        <v/>
      </c>
      <c r="AG861" t="str">
        <f t="shared" si="318"/>
        <v/>
      </c>
      <c r="AH861" t="str">
        <f t="shared" si="319"/>
        <v/>
      </c>
      <c r="AI861" t="str">
        <f t="shared" si="320"/>
        <v/>
      </c>
      <c r="AJ861" t="str">
        <f t="shared" si="321"/>
        <v/>
      </c>
      <c r="AK861" t="str">
        <f t="shared" si="322"/>
        <v/>
      </c>
      <c r="AL861" t="str">
        <f t="shared" si="323"/>
        <v/>
      </c>
      <c r="AM861" t="str">
        <f t="shared" si="324"/>
        <v/>
      </c>
      <c r="AN861" t="str">
        <f t="shared" si="325"/>
        <v/>
      </c>
      <c r="AO861" t="str">
        <f t="shared" si="326"/>
        <v/>
      </c>
      <c r="AP861">
        <f t="shared" si="327"/>
        <v>1</v>
      </c>
      <c r="AQ861" t="str">
        <f>IF(SAISIE!$F866="","",SAISIE!$Y866)</f>
        <v/>
      </c>
      <c r="AR861" t="str">
        <f>IF(OR(SAISIE!$U$4="",SAISIE!$W$4=""),"",IF(AND($A861=SAISIE!$U$4,$B861=SAISIE!$W$4,$C861="S1"),COUNTIFS($A$2:$A861,SAISIE!$U$4,$B$2:$B861,SAISIE!$W$4,$C$2:$C861,"S1"),""))</f>
        <v/>
      </c>
      <c r="AS861" t="str">
        <f t="shared" si="328"/>
        <v/>
      </c>
      <c r="AT861" t="str">
        <f t="shared" si="329"/>
        <v/>
      </c>
      <c r="AU861" t="str">
        <f t="shared" si="330"/>
        <v/>
      </c>
      <c r="AV861">
        <f>N(AV860)+IF(AND($AB861&lt;&gt;"",OR('PROFIL ELEVE'!$K$4="(Tous)",$AF861='PROFIL ELEVE'!$K$4)),1,0)</f>
        <v>0</v>
      </c>
      <c r="AW861">
        <f>N(AW860)+IF(AND($AB861&lt;&gt;"",OR('SUIVI LONGITUDINAL'!$Q$4="(Tous)",$AF861='SUIVI LONGITUDINAL'!$Q$4)),1,0)</f>
        <v>0</v>
      </c>
      <c r="AX861">
        <f t="shared" si="331"/>
        <v>0</v>
      </c>
      <c r="AY861">
        <f t="shared" si="332"/>
        <v>0</v>
      </c>
      <c r="AZ861">
        <f t="shared" si="333"/>
        <v>0</v>
      </c>
      <c r="BA861" t="str">
        <f t="shared" si="334"/>
        <v/>
      </c>
      <c r="BB861" t="str">
        <f t="shared" si="335"/>
        <v/>
      </c>
    </row>
    <row r="862" spans="1:54" ht="14.25" customHeight="1" x14ac:dyDescent="0.3">
      <c r="A862" t="str">
        <f>IF(SAISIE!$F867="","",SAISIE!$B867)</f>
        <v/>
      </c>
      <c r="B862" t="str">
        <f>IF(SAISIE!$F867="","",SAISIE!$C867)</f>
        <v/>
      </c>
      <c r="C862" t="str">
        <f>IF(SAISIE!$F867="","",SAISIE!$D867)</f>
        <v/>
      </c>
      <c r="D862" t="str">
        <f>IF(SAISIE!$E867="","",SAISIE!$E867)</f>
        <v/>
      </c>
      <c r="E862" t="str">
        <f>IF(SAISIE!$F867="","",SAISIE!$F867)</f>
        <v/>
      </c>
      <c r="F862" t="str">
        <f>IF(SAISIE!$G867="","",SAISIE!$G867)</f>
        <v/>
      </c>
      <c r="G862" t="str">
        <f>IF(SAISIE!$H867="","",SAISIE!$H867)</f>
        <v/>
      </c>
      <c r="H862" t="str">
        <f>IF(SAISIE!$I867="","",SAISIE!$I867)</f>
        <v/>
      </c>
      <c r="I862" t="str">
        <f>IF(SAISIE!$J867="","",SAISIE!$J867)</f>
        <v/>
      </c>
      <c r="J862" t="str">
        <f>IF(SAISIE!$K867="","",SAISIE!$K867)</f>
        <v/>
      </c>
      <c r="K862" t="str">
        <f>IF(SAISIE!$L867="","",SAISIE!$L867)</f>
        <v/>
      </c>
      <c r="L862" t="str">
        <f>IF(SAISIE!$M867="","",SAISIE!$M867)</f>
        <v/>
      </c>
      <c r="M862" t="str">
        <f>IF(SAISIE!$N867="","",SAISIE!$N867)</f>
        <v/>
      </c>
      <c r="N862" t="str">
        <f>IF(SAISIE!$O867="","",SAISIE!$O867)</f>
        <v/>
      </c>
      <c r="O862" t="str">
        <f>IF(SAISIE!$P867="","",SAISIE!$P867)</f>
        <v/>
      </c>
      <c r="P862" t="str">
        <f>IF(SAISIE!$Q867="","",SAISIE!$Q867)</f>
        <v/>
      </c>
      <c r="Q862" t="str">
        <f>IF($I862="","",IF($I862&gt;PARAMETRES!$G$29,5,IF($I862&gt;PARAMETRES!$F$29,4,IF($I862&gt;PARAMETRES!$E$29,3,IF($I862&gt;PARAMETRES!$D$29,2,1)))))</f>
        <v/>
      </c>
      <c r="R862" t="str">
        <f>IF($J862="","",IF($J862&gt;PARAMETRES!$G$30,5,IF($J862&gt;PARAMETRES!$F$30,4,IF($J862&gt;PARAMETRES!$E$30,3,IF($J862&gt;PARAMETRES!$D$30,2,1)))))</f>
        <v/>
      </c>
      <c r="S862" t="str">
        <f>IF($K862="","",IF($Z862=2,IF($K862&gt;PARAMETRES!$G$31,5,IF($K862&gt;PARAMETRES!$F$31,4,IF($K862&gt;PARAMETRES!$E$31,3,IF($K862&gt;PARAMETRES!$D$31,2,1)))),IF($K862&gt;PARAMETRES!$G$32,5,IF($K862&gt;PARAMETRES!$F$32,4,IF($K862&gt;PARAMETRES!$E$32,3,IF($K862&gt;PARAMETRES!$D$32,2,1))))))</f>
        <v/>
      </c>
      <c r="T862" t="str">
        <f>IF($L862="","",IF($L862&gt;PARAMETRES!$G$33,5,IF($L862&gt;PARAMETRES!$F$33,4,IF($L862&gt;PARAMETRES!$E$33,3,IF($L862&gt;PARAMETRES!$D$33,2,1)))))</f>
        <v/>
      </c>
      <c r="U862" t="str">
        <f>IF($M862="","",IF($M862&gt;PARAMETRES!$G$34,5,IF($M862&gt;PARAMETRES!$F$34,4,IF($M862&gt;PARAMETRES!$E$34,3,IF($M862&gt;PARAMETRES!$D$34,2,1)))))</f>
        <v/>
      </c>
      <c r="V862" t="str">
        <f>IF($N862="","",IF($N862&gt;PARAMETRES!$G$35,5,IF($N862&gt;PARAMETRES!$F$35,4,IF($N862&gt;PARAMETRES!$E$35,3,IF($N862&gt;PARAMETRES!$D$35,2,1)))))</f>
        <v/>
      </c>
      <c r="W862" t="str">
        <f>IF($O862="","",IF($O862&gt;PARAMETRES!$G$36,5,IF($O862&gt;PARAMETRES!$F$36,4,IF($O862&gt;PARAMETRES!$E$36,3,IF($O862&gt;PARAMETRES!$D$36,2,1)))))</f>
        <v/>
      </c>
      <c r="X862" t="str">
        <f>IF($P862="","",IF($P862&gt;PARAMETRES!$G$37,5,IF($P862&gt;PARAMETRES!$F$37,4,IF($P862&gt;PARAMETRES!$E$37,3,IF($P862&gt;PARAMETRES!$D$37,2,1)))))</f>
        <v/>
      </c>
      <c r="Y862" t="str">
        <f t="shared" si="312"/>
        <v/>
      </c>
      <c r="Z862" t="str">
        <f>IFERROR(VLOOKUP($B862,TABLE_CYCLE,2,0),"")</f>
        <v/>
      </c>
      <c r="AA862" t="str">
        <f t="shared" si="313"/>
        <v/>
      </c>
      <c r="AB862" t="str">
        <f>IF($D862="","",IF(COUNTIF($D$2:$D862,$D862)=1,$D862,""))</f>
        <v/>
      </c>
      <c r="AC862">
        <f t="shared" si="314"/>
        <v>0</v>
      </c>
      <c r="AD862" t="str">
        <f t="shared" si="315"/>
        <v>|0</v>
      </c>
      <c r="AE862" t="str">
        <f t="shared" si="316"/>
        <v/>
      </c>
      <c r="AF862" t="str">
        <f t="shared" si="317"/>
        <v/>
      </c>
      <c r="AG862" t="str">
        <f t="shared" si="318"/>
        <v/>
      </c>
      <c r="AH862" t="str">
        <f t="shared" si="319"/>
        <v/>
      </c>
      <c r="AI862" t="str">
        <f t="shared" si="320"/>
        <v/>
      </c>
      <c r="AJ862" t="str">
        <f t="shared" si="321"/>
        <v/>
      </c>
      <c r="AK862" t="str">
        <f t="shared" si="322"/>
        <v/>
      </c>
      <c r="AL862" t="str">
        <f t="shared" si="323"/>
        <v/>
      </c>
      <c r="AM862" t="str">
        <f t="shared" si="324"/>
        <v/>
      </c>
      <c r="AN862" t="str">
        <f t="shared" si="325"/>
        <v/>
      </c>
      <c r="AO862" t="str">
        <f t="shared" si="326"/>
        <v/>
      </c>
      <c r="AP862">
        <f t="shared" si="327"/>
        <v>1</v>
      </c>
      <c r="AQ862" t="str">
        <f>IF(SAISIE!$F867="","",SAISIE!$Y867)</f>
        <v/>
      </c>
      <c r="AR862" t="str">
        <f>IF(OR(SAISIE!$U$4="",SAISIE!$W$4=""),"",IF(AND($A862=SAISIE!$U$4,$B862=SAISIE!$W$4,$C862="S1"),COUNTIFS($A$2:$A862,SAISIE!$U$4,$B$2:$B862,SAISIE!$W$4,$C$2:$C862,"S1"),""))</f>
        <v/>
      </c>
      <c r="AS862" t="str">
        <f t="shared" si="328"/>
        <v/>
      </c>
      <c r="AT862" t="str">
        <f t="shared" si="329"/>
        <v/>
      </c>
      <c r="AU862" t="str">
        <f t="shared" si="330"/>
        <v/>
      </c>
      <c r="AV862">
        <f>N(AV861)+IF(AND($AB862&lt;&gt;"",OR('PROFIL ELEVE'!$K$4="(Tous)",$AF862='PROFIL ELEVE'!$K$4)),1,0)</f>
        <v>0</v>
      </c>
      <c r="AW862">
        <f>N(AW861)+IF(AND($AB862&lt;&gt;"",OR('SUIVI LONGITUDINAL'!$Q$4="(Tous)",$AF862='SUIVI LONGITUDINAL'!$Q$4)),1,0)</f>
        <v>0</v>
      </c>
      <c r="AX862">
        <f t="shared" si="331"/>
        <v>0</v>
      </c>
      <c r="AY862">
        <f t="shared" si="332"/>
        <v>0</v>
      </c>
      <c r="AZ862">
        <f t="shared" si="333"/>
        <v>0</v>
      </c>
      <c r="BA862" t="str">
        <f t="shared" si="334"/>
        <v/>
      </c>
      <c r="BB862" t="str">
        <f t="shared" si="335"/>
        <v/>
      </c>
    </row>
    <row r="863" spans="1:54" ht="14.25" customHeight="1" x14ac:dyDescent="0.3">
      <c r="A863" t="str">
        <f>IF(SAISIE!$F868="","",SAISIE!$B868)</f>
        <v/>
      </c>
      <c r="B863" t="str">
        <f>IF(SAISIE!$F868="","",SAISIE!$C868)</f>
        <v/>
      </c>
      <c r="C863" t="str">
        <f>IF(SAISIE!$F868="","",SAISIE!$D868)</f>
        <v/>
      </c>
      <c r="D863" t="str">
        <f>IF(SAISIE!$E868="","",SAISIE!$E868)</f>
        <v/>
      </c>
      <c r="E863" t="str">
        <f>IF(SAISIE!$F868="","",SAISIE!$F868)</f>
        <v/>
      </c>
      <c r="F863" t="str">
        <f>IF(SAISIE!$G868="","",SAISIE!$G868)</f>
        <v/>
      </c>
      <c r="G863" t="str">
        <f>IF(SAISIE!$H868="","",SAISIE!$H868)</f>
        <v/>
      </c>
      <c r="H863" t="str">
        <f>IF(SAISIE!$I868="","",SAISIE!$I868)</f>
        <v/>
      </c>
      <c r="I863" t="str">
        <f>IF(SAISIE!$J868="","",SAISIE!$J868)</f>
        <v/>
      </c>
      <c r="J863" t="str">
        <f>IF(SAISIE!$K868="","",SAISIE!$K868)</f>
        <v/>
      </c>
      <c r="K863" t="str">
        <f>IF(SAISIE!$L868="","",SAISIE!$L868)</f>
        <v/>
      </c>
      <c r="L863" t="str">
        <f>IF(SAISIE!$M868="","",SAISIE!$M868)</f>
        <v/>
      </c>
      <c r="M863" t="str">
        <f>IF(SAISIE!$N868="","",SAISIE!$N868)</f>
        <v/>
      </c>
      <c r="N863" t="str">
        <f>IF(SAISIE!$O868="","",SAISIE!$O868)</f>
        <v/>
      </c>
      <c r="O863" t="str">
        <f>IF(SAISIE!$P868="","",SAISIE!$P868)</f>
        <v/>
      </c>
      <c r="P863" t="str">
        <f>IF(SAISIE!$Q868="","",SAISIE!$Q868)</f>
        <v/>
      </c>
      <c r="Q863" t="str">
        <f>IF($I863="","",IF($I863&gt;PARAMETRES!$G$29,5,IF($I863&gt;PARAMETRES!$F$29,4,IF($I863&gt;PARAMETRES!$E$29,3,IF($I863&gt;PARAMETRES!$D$29,2,1)))))</f>
        <v/>
      </c>
      <c r="R863" t="str">
        <f>IF($J863="","",IF($J863&gt;PARAMETRES!$G$30,5,IF($J863&gt;PARAMETRES!$F$30,4,IF($J863&gt;PARAMETRES!$E$30,3,IF($J863&gt;PARAMETRES!$D$30,2,1)))))</f>
        <v/>
      </c>
      <c r="S863" t="str">
        <f>IF($K863="","",IF($Z863=2,IF($K863&gt;PARAMETRES!$G$31,5,IF($K863&gt;PARAMETRES!$F$31,4,IF($K863&gt;PARAMETRES!$E$31,3,IF($K863&gt;PARAMETRES!$D$31,2,1)))),IF($K863&gt;PARAMETRES!$G$32,5,IF($K863&gt;PARAMETRES!$F$32,4,IF($K863&gt;PARAMETRES!$E$32,3,IF($K863&gt;PARAMETRES!$D$32,2,1))))))</f>
        <v/>
      </c>
      <c r="T863" t="str">
        <f>IF($L863="","",IF($L863&gt;PARAMETRES!$G$33,5,IF($L863&gt;PARAMETRES!$F$33,4,IF($L863&gt;PARAMETRES!$E$33,3,IF($L863&gt;PARAMETRES!$D$33,2,1)))))</f>
        <v/>
      </c>
      <c r="U863" t="str">
        <f>IF($M863="","",IF($M863&gt;PARAMETRES!$G$34,5,IF($M863&gt;PARAMETRES!$F$34,4,IF($M863&gt;PARAMETRES!$E$34,3,IF($M863&gt;PARAMETRES!$D$34,2,1)))))</f>
        <v/>
      </c>
      <c r="V863" t="str">
        <f>IF($N863="","",IF($N863&gt;PARAMETRES!$G$35,5,IF($N863&gt;PARAMETRES!$F$35,4,IF($N863&gt;PARAMETRES!$E$35,3,IF($N863&gt;PARAMETRES!$D$35,2,1)))))</f>
        <v/>
      </c>
      <c r="W863" t="str">
        <f>IF($O863="","",IF($O863&gt;PARAMETRES!$G$36,5,IF($O863&gt;PARAMETRES!$F$36,4,IF($O863&gt;PARAMETRES!$E$36,3,IF($O863&gt;PARAMETRES!$D$36,2,1)))))</f>
        <v/>
      </c>
      <c r="X863" t="str">
        <f>IF($P863="","",IF($P863&gt;PARAMETRES!$G$37,5,IF($P863&gt;PARAMETRES!$F$37,4,IF($P863&gt;PARAMETRES!$E$37,3,IF($P863&gt;PARAMETRES!$D$37,2,1)))))</f>
        <v/>
      </c>
      <c r="Y863" t="str">
        <f t="shared" si="312"/>
        <v/>
      </c>
      <c r="Z863" t="str">
        <f>IFERROR(VLOOKUP($B863,TABLE_CYCLE,2,0),"")</f>
        <v/>
      </c>
      <c r="AA863" t="str">
        <f t="shared" si="313"/>
        <v/>
      </c>
      <c r="AB863" t="str">
        <f>IF($D863="","",IF(COUNTIF($D$2:$D863,$D863)=1,$D863,""))</f>
        <v/>
      </c>
      <c r="AC863">
        <f t="shared" si="314"/>
        <v>0</v>
      </c>
      <c r="AD863" t="str">
        <f t="shared" si="315"/>
        <v>|0</v>
      </c>
      <c r="AE863" t="str">
        <f t="shared" si="316"/>
        <v/>
      </c>
      <c r="AF863" t="str">
        <f t="shared" si="317"/>
        <v/>
      </c>
      <c r="AG863" t="str">
        <f t="shared" si="318"/>
        <v/>
      </c>
      <c r="AH863" t="str">
        <f t="shared" si="319"/>
        <v/>
      </c>
      <c r="AI863" t="str">
        <f t="shared" si="320"/>
        <v/>
      </c>
      <c r="AJ863" t="str">
        <f t="shared" si="321"/>
        <v/>
      </c>
      <c r="AK863" t="str">
        <f t="shared" si="322"/>
        <v/>
      </c>
      <c r="AL863" t="str">
        <f t="shared" si="323"/>
        <v/>
      </c>
      <c r="AM863" t="str">
        <f t="shared" si="324"/>
        <v/>
      </c>
      <c r="AN863" t="str">
        <f t="shared" si="325"/>
        <v/>
      </c>
      <c r="AO863" t="str">
        <f t="shared" si="326"/>
        <v/>
      </c>
      <c r="AP863">
        <f t="shared" si="327"/>
        <v>1</v>
      </c>
      <c r="AQ863" t="str">
        <f>IF(SAISIE!$F868="","",SAISIE!$Y868)</f>
        <v/>
      </c>
      <c r="AR863" t="str">
        <f>IF(OR(SAISIE!$U$4="",SAISIE!$W$4=""),"",IF(AND($A863=SAISIE!$U$4,$B863=SAISIE!$W$4,$C863="S1"),COUNTIFS($A$2:$A863,SAISIE!$U$4,$B$2:$B863,SAISIE!$W$4,$C$2:$C863,"S1"),""))</f>
        <v/>
      </c>
      <c r="AS863" t="str">
        <f t="shared" si="328"/>
        <v/>
      </c>
      <c r="AT863" t="str">
        <f t="shared" si="329"/>
        <v/>
      </c>
      <c r="AU863" t="str">
        <f t="shared" si="330"/>
        <v/>
      </c>
      <c r="AV863">
        <f>N(AV862)+IF(AND($AB863&lt;&gt;"",OR('PROFIL ELEVE'!$K$4="(Tous)",$AF863='PROFIL ELEVE'!$K$4)),1,0)</f>
        <v>0</v>
      </c>
      <c r="AW863">
        <f>N(AW862)+IF(AND($AB863&lt;&gt;"",OR('SUIVI LONGITUDINAL'!$Q$4="(Tous)",$AF863='SUIVI LONGITUDINAL'!$Q$4)),1,0)</f>
        <v>0</v>
      </c>
      <c r="AX863">
        <f t="shared" si="331"/>
        <v>0</v>
      </c>
      <c r="AY863">
        <f t="shared" si="332"/>
        <v>0</v>
      </c>
      <c r="AZ863">
        <f t="shared" si="333"/>
        <v>0</v>
      </c>
      <c r="BA863" t="str">
        <f t="shared" si="334"/>
        <v/>
      </c>
      <c r="BB863" t="str">
        <f t="shared" si="335"/>
        <v/>
      </c>
    </row>
    <row r="864" spans="1:54" ht="14.25" customHeight="1" x14ac:dyDescent="0.3">
      <c r="A864" t="str">
        <f>IF(SAISIE!$F869="","",SAISIE!$B869)</f>
        <v/>
      </c>
      <c r="B864" t="str">
        <f>IF(SAISIE!$F869="","",SAISIE!$C869)</f>
        <v/>
      </c>
      <c r="C864" t="str">
        <f>IF(SAISIE!$F869="","",SAISIE!$D869)</f>
        <v/>
      </c>
      <c r="D864" t="str">
        <f>IF(SAISIE!$E869="","",SAISIE!$E869)</f>
        <v/>
      </c>
      <c r="E864" t="str">
        <f>IF(SAISIE!$F869="","",SAISIE!$F869)</f>
        <v/>
      </c>
      <c r="F864" t="str">
        <f>IF(SAISIE!$G869="","",SAISIE!$G869)</f>
        <v/>
      </c>
      <c r="G864" t="str">
        <f>IF(SAISIE!$H869="","",SAISIE!$H869)</f>
        <v/>
      </c>
      <c r="H864" t="str">
        <f>IF(SAISIE!$I869="","",SAISIE!$I869)</f>
        <v/>
      </c>
      <c r="I864" t="str">
        <f>IF(SAISIE!$J869="","",SAISIE!$J869)</f>
        <v/>
      </c>
      <c r="J864" t="str">
        <f>IF(SAISIE!$K869="","",SAISIE!$K869)</f>
        <v/>
      </c>
      <c r="K864" t="str">
        <f>IF(SAISIE!$L869="","",SAISIE!$L869)</f>
        <v/>
      </c>
      <c r="L864" t="str">
        <f>IF(SAISIE!$M869="","",SAISIE!$M869)</f>
        <v/>
      </c>
      <c r="M864" t="str">
        <f>IF(SAISIE!$N869="","",SAISIE!$N869)</f>
        <v/>
      </c>
      <c r="N864" t="str">
        <f>IF(SAISIE!$O869="","",SAISIE!$O869)</f>
        <v/>
      </c>
      <c r="O864" t="str">
        <f>IF(SAISIE!$P869="","",SAISIE!$P869)</f>
        <v/>
      </c>
      <c r="P864" t="str">
        <f>IF(SAISIE!$Q869="","",SAISIE!$Q869)</f>
        <v/>
      </c>
      <c r="Q864" t="str">
        <f>IF($I864="","",IF($I864&gt;PARAMETRES!$G$29,5,IF($I864&gt;PARAMETRES!$F$29,4,IF($I864&gt;PARAMETRES!$E$29,3,IF($I864&gt;PARAMETRES!$D$29,2,1)))))</f>
        <v/>
      </c>
      <c r="R864" t="str">
        <f>IF($J864="","",IF($J864&gt;PARAMETRES!$G$30,5,IF($J864&gt;PARAMETRES!$F$30,4,IF($J864&gt;PARAMETRES!$E$30,3,IF($J864&gt;PARAMETRES!$D$30,2,1)))))</f>
        <v/>
      </c>
      <c r="S864" t="str">
        <f>IF($K864="","",IF($Z864=2,IF($K864&gt;PARAMETRES!$G$31,5,IF($K864&gt;PARAMETRES!$F$31,4,IF($K864&gt;PARAMETRES!$E$31,3,IF($K864&gt;PARAMETRES!$D$31,2,1)))),IF($K864&gt;PARAMETRES!$G$32,5,IF($K864&gt;PARAMETRES!$F$32,4,IF($K864&gt;PARAMETRES!$E$32,3,IF($K864&gt;PARAMETRES!$D$32,2,1))))))</f>
        <v/>
      </c>
      <c r="T864" t="str">
        <f>IF($L864="","",IF($L864&gt;PARAMETRES!$G$33,5,IF($L864&gt;PARAMETRES!$F$33,4,IF($L864&gt;PARAMETRES!$E$33,3,IF($L864&gt;PARAMETRES!$D$33,2,1)))))</f>
        <v/>
      </c>
      <c r="U864" t="str">
        <f>IF($M864="","",IF($M864&gt;PARAMETRES!$G$34,5,IF($M864&gt;PARAMETRES!$F$34,4,IF($M864&gt;PARAMETRES!$E$34,3,IF($M864&gt;PARAMETRES!$D$34,2,1)))))</f>
        <v/>
      </c>
      <c r="V864" t="str">
        <f>IF($N864="","",IF($N864&gt;PARAMETRES!$G$35,5,IF($N864&gt;PARAMETRES!$F$35,4,IF($N864&gt;PARAMETRES!$E$35,3,IF($N864&gt;PARAMETRES!$D$35,2,1)))))</f>
        <v/>
      </c>
      <c r="W864" t="str">
        <f>IF($O864="","",IF($O864&gt;PARAMETRES!$G$36,5,IF($O864&gt;PARAMETRES!$F$36,4,IF($O864&gt;PARAMETRES!$E$36,3,IF($O864&gt;PARAMETRES!$D$36,2,1)))))</f>
        <v/>
      </c>
      <c r="X864" t="str">
        <f>IF($P864="","",IF($P864&gt;PARAMETRES!$G$37,5,IF($P864&gt;PARAMETRES!$F$37,4,IF($P864&gt;PARAMETRES!$E$37,3,IF($P864&gt;PARAMETRES!$D$37,2,1)))))</f>
        <v/>
      </c>
      <c r="Y864" t="str">
        <f t="shared" si="312"/>
        <v/>
      </c>
      <c r="Z864" t="str">
        <f>IFERROR(VLOOKUP($B864,TABLE_CYCLE,2,0),"")</f>
        <v/>
      </c>
      <c r="AA864" t="str">
        <f t="shared" si="313"/>
        <v/>
      </c>
      <c r="AB864" t="str">
        <f>IF($D864="","",IF(COUNTIF($D$2:$D864,$D864)=1,$D864,""))</f>
        <v/>
      </c>
      <c r="AC864">
        <f t="shared" si="314"/>
        <v>0</v>
      </c>
      <c r="AD864" t="str">
        <f t="shared" si="315"/>
        <v>|0</v>
      </c>
      <c r="AE864" t="str">
        <f t="shared" si="316"/>
        <v/>
      </c>
      <c r="AF864" t="str">
        <f t="shared" si="317"/>
        <v/>
      </c>
      <c r="AG864" t="str">
        <f t="shared" si="318"/>
        <v/>
      </c>
      <c r="AH864" t="str">
        <f t="shared" si="319"/>
        <v/>
      </c>
      <c r="AI864" t="str">
        <f t="shared" si="320"/>
        <v/>
      </c>
      <c r="AJ864" t="str">
        <f t="shared" si="321"/>
        <v/>
      </c>
      <c r="AK864" t="str">
        <f t="shared" si="322"/>
        <v/>
      </c>
      <c r="AL864" t="str">
        <f t="shared" si="323"/>
        <v/>
      </c>
      <c r="AM864" t="str">
        <f t="shared" si="324"/>
        <v/>
      </c>
      <c r="AN864" t="str">
        <f t="shared" si="325"/>
        <v/>
      </c>
      <c r="AO864" t="str">
        <f t="shared" si="326"/>
        <v/>
      </c>
      <c r="AP864">
        <f t="shared" si="327"/>
        <v>1</v>
      </c>
      <c r="AQ864" t="str">
        <f>IF(SAISIE!$F869="","",SAISIE!$Y869)</f>
        <v/>
      </c>
      <c r="AR864" t="str">
        <f>IF(OR(SAISIE!$U$4="",SAISIE!$W$4=""),"",IF(AND($A864=SAISIE!$U$4,$B864=SAISIE!$W$4,$C864="S1"),COUNTIFS($A$2:$A864,SAISIE!$U$4,$B$2:$B864,SAISIE!$W$4,$C$2:$C864,"S1"),""))</f>
        <v/>
      </c>
      <c r="AS864" t="str">
        <f t="shared" si="328"/>
        <v/>
      </c>
      <c r="AT864" t="str">
        <f t="shared" si="329"/>
        <v/>
      </c>
      <c r="AU864" t="str">
        <f t="shared" si="330"/>
        <v/>
      </c>
      <c r="AV864">
        <f>N(AV863)+IF(AND($AB864&lt;&gt;"",OR('PROFIL ELEVE'!$K$4="(Tous)",$AF864='PROFIL ELEVE'!$K$4)),1,0)</f>
        <v>0</v>
      </c>
      <c r="AW864">
        <f>N(AW863)+IF(AND($AB864&lt;&gt;"",OR('SUIVI LONGITUDINAL'!$Q$4="(Tous)",$AF864='SUIVI LONGITUDINAL'!$Q$4)),1,0)</f>
        <v>0</v>
      </c>
      <c r="AX864">
        <f t="shared" si="331"/>
        <v>0</v>
      </c>
      <c r="AY864">
        <f t="shared" si="332"/>
        <v>0</v>
      </c>
      <c r="AZ864">
        <f t="shared" si="333"/>
        <v>0</v>
      </c>
      <c r="BA864" t="str">
        <f t="shared" si="334"/>
        <v/>
      </c>
      <c r="BB864" t="str">
        <f t="shared" si="335"/>
        <v/>
      </c>
    </row>
    <row r="865" spans="1:54" ht="14.25" customHeight="1" x14ac:dyDescent="0.3">
      <c r="A865" t="str">
        <f>IF(SAISIE!$F870="","",SAISIE!$B870)</f>
        <v/>
      </c>
      <c r="B865" t="str">
        <f>IF(SAISIE!$F870="","",SAISIE!$C870)</f>
        <v/>
      </c>
      <c r="C865" t="str">
        <f>IF(SAISIE!$F870="","",SAISIE!$D870)</f>
        <v/>
      </c>
      <c r="D865" t="str">
        <f>IF(SAISIE!$E870="","",SAISIE!$E870)</f>
        <v/>
      </c>
      <c r="E865" t="str">
        <f>IF(SAISIE!$F870="","",SAISIE!$F870)</f>
        <v/>
      </c>
      <c r="F865" t="str">
        <f>IF(SAISIE!$G870="","",SAISIE!$G870)</f>
        <v/>
      </c>
      <c r="G865" t="str">
        <f>IF(SAISIE!$H870="","",SAISIE!$H870)</f>
        <v/>
      </c>
      <c r="H865" t="str">
        <f>IF(SAISIE!$I870="","",SAISIE!$I870)</f>
        <v/>
      </c>
      <c r="I865" t="str">
        <f>IF(SAISIE!$J870="","",SAISIE!$J870)</f>
        <v/>
      </c>
      <c r="J865" t="str">
        <f>IF(SAISIE!$K870="","",SAISIE!$K870)</f>
        <v/>
      </c>
      <c r="K865" t="str">
        <f>IF(SAISIE!$L870="","",SAISIE!$L870)</f>
        <v/>
      </c>
      <c r="L865" t="str">
        <f>IF(SAISIE!$M870="","",SAISIE!$M870)</f>
        <v/>
      </c>
      <c r="M865" t="str">
        <f>IF(SAISIE!$N870="","",SAISIE!$N870)</f>
        <v/>
      </c>
      <c r="N865" t="str">
        <f>IF(SAISIE!$O870="","",SAISIE!$O870)</f>
        <v/>
      </c>
      <c r="O865" t="str">
        <f>IF(SAISIE!$P870="","",SAISIE!$P870)</f>
        <v/>
      </c>
      <c r="P865" t="str">
        <f>IF(SAISIE!$Q870="","",SAISIE!$Q870)</f>
        <v/>
      </c>
      <c r="Q865" t="str">
        <f>IF($I865="","",IF($I865&gt;PARAMETRES!$G$29,5,IF($I865&gt;PARAMETRES!$F$29,4,IF($I865&gt;PARAMETRES!$E$29,3,IF($I865&gt;PARAMETRES!$D$29,2,1)))))</f>
        <v/>
      </c>
      <c r="R865" t="str">
        <f>IF($J865="","",IF($J865&gt;PARAMETRES!$G$30,5,IF($J865&gt;PARAMETRES!$F$30,4,IF($J865&gt;PARAMETRES!$E$30,3,IF($J865&gt;PARAMETRES!$D$30,2,1)))))</f>
        <v/>
      </c>
      <c r="S865" t="str">
        <f>IF($K865="","",IF($Z865=2,IF($K865&gt;PARAMETRES!$G$31,5,IF($K865&gt;PARAMETRES!$F$31,4,IF($K865&gt;PARAMETRES!$E$31,3,IF($K865&gt;PARAMETRES!$D$31,2,1)))),IF($K865&gt;PARAMETRES!$G$32,5,IF($K865&gt;PARAMETRES!$F$32,4,IF($K865&gt;PARAMETRES!$E$32,3,IF($K865&gt;PARAMETRES!$D$32,2,1))))))</f>
        <v/>
      </c>
      <c r="T865" t="str">
        <f>IF($L865="","",IF($L865&gt;PARAMETRES!$G$33,5,IF($L865&gt;PARAMETRES!$F$33,4,IF($L865&gt;PARAMETRES!$E$33,3,IF($L865&gt;PARAMETRES!$D$33,2,1)))))</f>
        <v/>
      </c>
      <c r="U865" t="str">
        <f>IF($M865="","",IF($M865&gt;PARAMETRES!$G$34,5,IF($M865&gt;PARAMETRES!$F$34,4,IF($M865&gt;PARAMETRES!$E$34,3,IF($M865&gt;PARAMETRES!$D$34,2,1)))))</f>
        <v/>
      </c>
      <c r="V865" t="str">
        <f>IF($N865="","",IF($N865&gt;PARAMETRES!$G$35,5,IF($N865&gt;PARAMETRES!$F$35,4,IF($N865&gt;PARAMETRES!$E$35,3,IF($N865&gt;PARAMETRES!$D$35,2,1)))))</f>
        <v/>
      </c>
      <c r="W865" t="str">
        <f>IF($O865="","",IF($O865&gt;PARAMETRES!$G$36,5,IF($O865&gt;PARAMETRES!$F$36,4,IF($O865&gt;PARAMETRES!$E$36,3,IF($O865&gt;PARAMETRES!$D$36,2,1)))))</f>
        <v/>
      </c>
      <c r="X865" t="str">
        <f>IF($P865="","",IF($P865&gt;PARAMETRES!$G$37,5,IF($P865&gt;PARAMETRES!$F$37,4,IF($P865&gt;PARAMETRES!$E$37,3,IF($P865&gt;PARAMETRES!$D$37,2,1)))))</f>
        <v/>
      </c>
      <c r="Y865" t="str">
        <f t="shared" si="312"/>
        <v/>
      </c>
      <c r="Z865" t="str">
        <f>IFERROR(VLOOKUP($B865,TABLE_CYCLE,2,0),"")</f>
        <v/>
      </c>
      <c r="AA865" t="str">
        <f t="shared" si="313"/>
        <v/>
      </c>
      <c r="AB865" t="str">
        <f>IF($D865="","",IF(COUNTIF($D$2:$D865,$D865)=1,$D865,""))</f>
        <v/>
      </c>
      <c r="AC865">
        <f t="shared" si="314"/>
        <v>0</v>
      </c>
      <c r="AD865" t="str">
        <f t="shared" si="315"/>
        <v>|0</v>
      </c>
      <c r="AE865" t="str">
        <f t="shared" si="316"/>
        <v/>
      </c>
      <c r="AF865" t="str">
        <f t="shared" si="317"/>
        <v/>
      </c>
      <c r="AG865" t="str">
        <f t="shared" si="318"/>
        <v/>
      </c>
      <c r="AH865" t="str">
        <f t="shared" si="319"/>
        <v/>
      </c>
      <c r="AI865" t="str">
        <f t="shared" si="320"/>
        <v/>
      </c>
      <c r="AJ865" t="str">
        <f t="shared" si="321"/>
        <v/>
      </c>
      <c r="AK865" t="str">
        <f t="shared" si="322"/>
        <v/>
      </c>
      <c r="AL865" t="str">
        <f t="shared" si="323"/>
        <v/>
      </c>
      <c r="AM865" t="str">
        <f t="shared" si="324"/>
        <v/>
      </c>
      <c r="AN865" t="str">
        <f t="shared" si="325"/>
        <v/>
      </c>
      <c r="AO865" t="str">
        <f t="shared" si="326"/>
        <v/>
      </c>
      <c r="AP865">
        <f t="shared" si="327"/>
        <v>1</v>
      </c>
      <c r="AQ865" t="str">
        <f>IF(SAISIE!$F870="","",SAISIE!$Y870)</f>
        <v/>
      </c>
      <c r="AR865" t="str">
        <f>IF(OR(SAISIE!$U$4="",SAISIE!$W$4=""),"",IF(AND($A865=SAISIE!$U$4,$B865=SAISIE!$W$4,$C865="S1"),COUNTIFS($A$2:$A865,SAISIE!$U$4,$B$2:$B865,SAISIE!$W$4,$C$2:$C865,"S1"),""))</f>
        <v/>
      </c>
      <c r="AS865" t="str">
        <f t="shared" si="328"/>
        <v/>
      </c>
      <c r="AT865" t="str">
        <f t="shared" si="329"/>
        <v/>
      </c>
      <c r="AU865" t="str">
        <f t="shared" si="330"/>
        <v/>
      </c>
      <c r="AV865">
        <f>N(AV864)+IF(AND($AB865&lt;&gt;"",OR('PROFIL ELEVE'!$K$4="(Tous)",$AF865='PROFIL ELEVE'!$K$4)),1,0)</f>
        <v>0</v>
      </c>
      <c r="AW865">
        <f>N(AW864)+IF(AND($AB865&lt;&gt;"",OR('SUIVI LONGITUDINAL'!$Q$4="(Tous)",$AF865='SUIVI LONGITUDINAL'!$Q$4)),1,0)</f>
        <v>0</v>
      </c>
      <c r="AX865">
        <f t="shared" si="331"/>
        <v>0</v>
      </c>
      <c r="AY865">
        <f t="shared" si="332"/>
        <v>0</v>
      </c>
      <c r="AZ865">
        <f t="shared" si="333"/>
        <v>0</v>
      </c>
      <c r="BA865" t="str">
        <f t="shared" si="334"/>
        <v/>
      </c>
      <c r="BB865" t="str">
        <f t="shared" si="335"/>
        <v/>
      </c>
    </row>
    <row r="866" spans="1:54" ht="14.25" customHeight="1" x14ac:dyDescent="0.3">
      <c r="A866" t="str">
        <f>IF(SAISIE!$F871="","",SAISIE!$B871)</f>
        <v/>
      </c>
      <c r="B866" t="str">
        <f>IF(SAISIE!$F871="","",SAISIE!$C871)</f>
        <v/>
      </c>
      <c r="C866" t="str">
        <f>IF(SAISIE!$F871="","",SAISIE!$D871)</f>
        <v/>
      </c>
      <c r="D866" t="str">
        <f>IF(SAISIE!$E871="","",SAISIE!$E871)</f>
        <v/>
      </c>
      <c r="E866" t="str">
        <f>IF(SAISIE!$F871="","",SAISIE!$F871)</f>
        <v/>
      </c>
      <c r="F866" t="str">
        <f>IF(SAISIE!$G871="","",SAISIE!$G871)</f>
        <v/>
      </c>
      <c r="G866" t="str">
        <f>IF(SAISIE!$H871="","",SAISIE!$H871)</f>
        <v/>
      </c>
      <c r="H866" t="str">
        <f>IF(SAISIE!$I871="","",SAISIE!$I871)</f>
        <v/>
      </c>
      <c r="I866" t="str">
        <f>IF(SAISIE!$J871="","",SAISIE!$J871)</f>
        <v/>
      </c>
      <c r="J866" t="str">
        <f>IF(SAISIE!$K871="","",SAISIE!$K871)</f>
        <v/>
      </c>
      <c r="K866" t="str">
        <f>IF(SAISIE!$L871="","",SAISIE!$L871)</f>
        <v/>
      </c>
      <c r="L866" t="str">
        <f>IF(SAISIE!$M871="","",SAISIE!$M871)</f>
        <v/>
      </c>
      <c r="M866" t="str">
        <f>IF(SAISIE!$N871="","",SAISIE!$N871)</f>
        <v/>
      </c>
      <c r="N866" t="str">
        <f>IF(SAISIE!$O871="","",SAISIE!$O871)</f>
        <v/>
      </c>
      <c r="O866" t="str">
        <f>IF(SAISIE!$P871="","",SAISIE!$P871)</f>
        <v/>
      </c>
      <c r="P866" t="str">
        <f>IF(SAISIE!$Q871="","",SAISIE!$Q871)</f>
        <v/>
      </c>
      <c r="Q866" t="str">
        <f>IF($I866="","",IF($I866&gt;PARAMETRES!$G$29,5,IF($I866&gt;PARAMETRES!$F$29,4,IF($I866&gt;PARAMETRES!$E$29,3,IF($I866&gt;PARAMETRES!$D$29,2,1)))))</f>
        <v/>
      </c>
      <c r="R866" t="str">
        <f>IF($J866="","",IF($J866&gt;PARAMETRES!$G$30,5,IF($J866&gt;PARAMETRES!$F$30,4,IF($J866&gt;PARAMETRES!$E$30,3,IF($J866&gt;PARAMETRES!$D$30,2,1)))))</f>
        <v/>
      </c>
      <c r="S866" t="str">
        <f>IF($K866="","",IF($Z866=2,IF($K866&gt;PARAMETRES!$G$31,5,IF($K866&gt;PARAMETRES!$F$31,4,IF($K866&gt;PARAMETRES!$E$31,3,IF($K866&gt;PARAMETRES!$D$31,2,1)))),IF($K866&gt;PARAMETRES!$G$32,5,IF($K866&gt;PARAMETRES!$F$32,4,IF($K866&gt;PARAMETRES!$E$32,3,IF($K866&gt;PARAMETRES!$D$32,2,1))))))</f>
        <v/>
      </c>
      <c r="T866" t="str">
        <f>IF($L866="","",IF($L866&gt;PARAMETRES!$G$33,5,IF($L866&gt;PARAMETRES!$F$33,4,IF($L866&gt;PARAMETRES!$E$33,3,IF($L866&gt;PARAMETRES!$D$33,2,1)))))</f>
        <v/>
      </c>
      <c r="U866" t="str">
        <f>IF($M866="","",IF($M866&gt;PARAMETRES!$G$34,5,IF($M866&gt;PARAMETRES!$F$34,4,IF($M866&gt;PARAMETRES!$E$34,3,IF($M866&gt;PARAMETRES!$D$34,2,1)))))</f>
        <v/>
      </c>
      <c r="V866" t="str">
        <f>IF($N866="","",IF($N866&gt;PARAMETRES!$G$35,5,IF($N866&gt;PARAMETRES!$F$35,4,IF($N866&gt;PARAMETRES!$E$35,3,IF($N866&gt;PARAMETRES!$D$35,2,1)))))</f>
        <v/>
      </c>
      <c r="W866" t="str">
        <f>IF($O866="","",IF($O866&gt;PARAMETRES!$G$36,5,IF($O866&gt;PARAMETRES!$F$36,4,IF($O866&gt;PARAMETRES!$E$36,3,IF($O866&gt;PARAMETRES!$D$36,2,1)))))</f>
        <v/>
      </c>
      <c r="X866" t="str">
        <f>IF($P866="","",IF($P866&gt;PARAMETRES!$G$37,5,IF($P866&gt;PARAMETRES!$F$37,4,IF($P866&gt;PARAMETRES!$E$37,3,IF($P866&gt;PARAMETRES!$D$37,2,1)))))</f>
        <v/>
      </c>
      <c r="Y866" t="str">
        <f t="shared" si="312"/>
        <v/>
      </c>
      <c r="Z866" t="str">
        <f>IFERROR(VLOOKUP($B866,TABLE_CYCLE,2,0),"")</f>
        <v/>
      </c>
      <c r="AA866" t="str">
        <f t="shared" si="313"/>
        <v/>
      </c>
      <c r="AB866" t="str">
        <f>IF($D866="","",IF(COUNTIF($D$2:$D866,$D866)=1,$D866,""))</f>
        <v/>
      </c>
      <c r="AC866">
        <f t="shared" si="314"/>
        <v>0</v>
      </c>
      <c r="AD866" t="str">
        <f t="shared" si="315"/>
        <v>|0</v>
      </c>
      <c r="AE866" t="str">
        <f t="shared" si="316"/>
        <v/>
      </c>
      <c r="AF866" t="str">
        <f t="shared" si="317"/>
        <v/>
      </c>
      <c r="AG866" t="str">
        <f t="shared" si="318"/>
        <v/>
      </c>
      <c r="AH866" t="str">
        <f t="shared" si="319"/>
        <v/>
      </c>
      <c r="AI866" t="str">
        <f t="shared" si="320"/>
        <v/>
      </c>
      <c r="AJ866" t="str">
        <f t="shared" si="321"/>
        <v/>
      </c>
      <c r="AK866" t="str">
        <f t="shared" si="322"/>
        <v/>
      </c>
      <c r="AL866" t="str">
        <f t="shared" si="323"/>
        <v/>
      </c>
      <c r="AM866" t="str">
        <f t="shared" si="324"/>
        <v/>
      </c>
      <c r="AN866" t="str">
        <f t="shared" si="325"/>
        <v/>
      </c>
      <c r="AO866" t="str">
        <f t="shared" si="326"/>
        <v/>
      </c>
      <c r="AP866">
        <f t="shared" si="327"/>
        <v>1</v>
      </c>
      <c r="AQ866" t="str">
        <f>IF(SAISIE!$F871="","",SAISIE!$Y871)</f>
        <v/>
      </c>
      <c r="AR866" t="str">
        <f>IF(OR(SAISIE!$U$4="",SAISIE!$W$4=""),"",IF(AND($A866=SAISIE!$U$4,$B866=SAISIE!$W$4,$C866="S1"),COUNTIFS($A$2:$A866,SAISIE!$U$4,$B$2:$B866,SAISIE!$W$4,$C$2:$C866,"S1"),""))</f>
        <v/>
      </c>
      <c r="AS866" t="str">
        <f t="shared" si="328"/>
        <v/>
      </c>
      <c r="AT866" t="str">
        <f t="shared" si="329"/>
        <v/>
      </c>
      <c r="AU866" t="str">
        <f t="shared" si="330"/>
        <v/>
      </c>
      <c r="AV866">
        <f>N(AV865)+IF(AND($AB866&lt;&gt;"",OR('PROFIL ELEVE'!$K$4="(Tous)",$AF866='PROFIL ELEVE'!$K$4)),1,0)</f>
        <v>0</v>
      </c>
      <c r="AW866">
        <f>N(AW865)+IF(AND($AB866&lt;&gt;"",OR('SUIVI LONGITUDINAL'!$Q$4="(Tous)",$AF866='SUIVI LONGITUDINAL'!$Q$4)),1,0)</f>
        <v>0</v>
      </c>
      <c r="AX866">
        <f t="shared" si="331"/>
        <v>0</v>
      </c>
      <c r="AY866">
        <f t="shared" si="332"/>
        <v>0</v>
      </c>
      <c r="AZ866">
        <f t="shared" si="333"/>
        <v>0</v>
      </c>
      <c r="BA866" t="str">
        <f t="shared" si="334"/>
        <v/>
      </c>
      <c r="BB866" t="str">
        <f t="shared" si="335"/>
        <v/>
      </c>
    </row>
    <row r="867" spans="1:54" ht="14.25" customHeight="1" x14ac:dyDescent="0.3">
      <c r="A867" t="str">
        <f>IF(SAISIE!$F872="","",SAISIE!$B872)</f>
        <v/>
      </c>
      <c r="B867" t="str">
        <f>IF(SAISIE!$F872="","",SAISIE!$C872)</f>
        <v/>
      </c>
      <c r="C867" t="str">
        <f>IF(SAISIE!$F872="","",SAISIE!$D872)</f>
        <v/>
      </c>
      <c r="D867" t="str">
        <f>IF(SAISIE!$E872="","",SAISIE!$E872)</f>
        <v/>
      </c>
      <c r="E867" t="str">
        <f>IF(SAISIE!$F872="","",SAISIE!$F872)</f>
        <v/>
      </c>
      <c r="F867" t="str">
        <f>IF(SAISIE!$G872="","",SAISIE!$G872)</f>
        <v/>
      </c>
      <c r="G867" t="str">
        <f>IF(SAISIE!$H872="","",SAISIE!$H872)</f>
        <v/>
      </c>
      <c r="H867" t="str">
        <f>IF(SAISIE!$I872="","",SAISIE!$I872)</f>
        <v/>
      </c>
      <c r="I867" t="str">
        <f>IF(SAISIE!$J872="","",SAISIE!$J872)</f>
        <v/>
      </c>
      <c r="J867" t="str">
        <f>IF(SAISIE!$K872="","",SAISIE!$K872)</f>
        <v/>
      </c>
      <c r="K867" t="str">
        <f>IF(SAISIE!$L872="","",SAISIE!$L872)</f>
        <v/>
      </c>
      <c r="L867" t="str">
        <f>IF(SAISIE!$M872="","",SAISIE!$M872)</f>
        <v/>
      </c>
      <c r="M867" t="str">
        <f>IF(SAISIE!$N872="","",SAISIE!$N872)</f>
        <v/>
      </c>
      <c r="N867" t="str">
        <f>IF(SAISIE!$O872="","",SAISIE!$O872)</f>
        <v/>
      </c>
      <c r="O867" t="str">
        <f>IF(SAISIE!$P872="","",SAISIE!$P872)</f>
        <v/>
      </c>
      <c r="P867" t="str">
        <f>IF(SAISIE!$Q872="","",SAISIE!$Q872)</f>
        <v/>
      </c>
      <c r="Q867" t="str">
        <f>IF($I867="","",IF($I867&gt;PARAMETRES!$G$29,5,IF($I867&gt;PARAMETRES!$F$29,4,IF($I867&gt;PARAMETRES!$E$29,3,IF($I867&gt;PARAMETRES!$D$29,2,1)))))</f>
        <v/>
      </c>
      <c r="R867" t="str">
        <f>IF($J867="","",IF($J867&gt;PARAMETRES!$G$30,5,IF($J867&gt;PARAMETRES!$F$30,4,IF($J867&gt;PARAMETRES!$E$30,3,IF($J867&gt;PARAMETRES!$D$30,2,1)))))</f>
        <v/>
      </c>
      <c r="S867" t="str">
        <f>IF($K867="","",IF($Z867=2,IF($K867&gt;PARAMETRES!$G$31,5,IF($K867&gt;PARAMETRES!$F$31,4,IF($K867&gt;PARAMETRES!$E$31,3,IF($K867&gt;PARAMETRES!$D$31,2,1)))),IF($K867&gt;PARAMETRES!$G$32,5,IF($K867&gt;PARAMETRES!$F$32,4,IF($K867&gt;PARAMETRES!$E$32,3,IF($K867&gt;PARAMETRES!$D$32,2,1))))))</f>
        <v/>
      </c>
      <c r="T867" t="str">
        <f>IF($L867="","",IF($L867&gt;PARAMETRES!$G$33,5,IF($L867&gt;PARAMETRES!$F$33,4,IF($L867&gt;PARAMETRES!$E$33,3,IF($L867&gt;PARAMETRES!$D$33,2,1)))))</f>
        <v/>
      </c>
      <c r="U867" t="str">
        <f>IF($M867="","",IF($M867&gt;PARAMETRES!$G$34,5,IF($M867&gt;PARAMETRES!$F$34,4,IF($M867&gt;PARAMETRES!$E$34,3,IF($M867&gt;PARAMETRES!$D$34,2,1)))))</f>
        <v/>
      </c>
      <c r="V867" t="str">
        <f>IF($N867="","",IF($N867&gt;PARAMETRES!$G$35,5,IF($N867&gt;PARAMETRES!$F$35,4,IF($N867&gt;PARAMETRES!$E$35,3,IF($N867&gt;PARAMETRES!$D$35,2,1)))))</f>
        <v/>
      </c>
      <c r="W867" t="str">
        <f>IF($O867="","",IF($O867&gt;PARAMETRES!$G$36,5,IF($O867&gt;PARAMETRES!$F$36,4,IF($O867&gt;PARAMETRES!$E$36,3,IF($O867&gt;PARAMETRES!$D$36,2,1)))))</f>
        <v/>
      </c>
      <c r="X867" t="str">
        <f>IF($P867="","",IF($P867&gt;PARAMETRES!$G$37,5,IF($P867&gt;PARAMETRES!$F$37,4,IF($P867&gt;PARAMETRES!$E$37,3,IF($P867&gt;PARAMETRES!$D$37,2,1)))))</f>
        <v/>
      </c>
      <c r="Y867" t="str">
        <f t="shared" si="312"/>
        <v/>
      </c>
      <c r="Z867" t="str">
        <f>IFERROR(VLOOKUP($B867,TABLE_CYCLE,2,0),"")</f>
        <v/>
      </c>
      <c r="AA867" t="str">
        <f t="shared" si="313"/>
        <v/>
      </c>
      <c r="AB867" t="str">
        <f>IF($D867="","",IF(COUNTIF($D$2:$D867,$D867)=1,$D867,""))</f>
        <v/>
      </c>
      <c r="AC867">
        <f t="shared" si="314"/>
        <v>0</v>
      </c>
      <c r="AD867" t="str">
        <f t="shared" si="315"/>
        <v>|0</v>
      </c>
      <c r="AE867" t="str">
        <f t="shared" si="316"/>
        <v/>
      </c>
      <c r="AF867" t="str">
        <f t="shared" si="317"/>
        <v/>
      </c>
      <c r="AG867" t="str">
        <f t="shared" si="318"/>
        <v/>
      </c>
      <c r="AH867" t="str">
        <f t="shared" si="319"/>
        <v/>
      </c>
      <c r="AI867" t="str">
        <f t="shared" si="320"/>
        <v/>
      </c>
      <c r="AJ867" t="str">
        <f t="shared" si="321"/>
        <v/>
      </c>
      <c r="AK867" t="str">
        <f t="shared" si="322"/>
        <v/>
      </c>
      <c r="AL867" t="str">
        <f t="shared" si="323"/>
        <v/>
      </c>
      <c r="AM867" t="str">
        <f t="shared" si="324"/>
        <v/>
      </c>
      <c r="AN867" t="str">
        <f t="shared" si="325"/>
        <v/>
      </c>
      <c r="AO867" t="str">
        <f t="shared" si="326"/>
        <v/>
      </c>
      <c r="AP867">
        <f t="shared" si="327"/>
        <v>1</v>
      </c>
      <c r="AQ867" t="str">
        <f>IF(SAISIE!$F872="","",SAISIE!$Y872)</f>
        <v/>
      </c>
      <c r="AR867" t="str">
        <f>IF(OR(SAISIE!$U$4="",SAISIE!$W$4=""),"",IF(AND($A867=SAISIE!$U$4,$B867=SAISIE!$W$4,$C867="S1"),COUNTIFS($A$2:$A867,SAISIE!$U$4,$B$2:$B867,SAISIE!$W$4,$C$2:$C867,"S1"),""))</f>
        <v/>
      </c>
      <c r="AS867" t="str">
        <f t="shared" si="328"/>
        <v/>
      </c>
      <c r="AT867" t="str">
        <f t="shared" si="329"/>
        <v/>
      </c>
      <c r="AU867" t="str">
        <f t="shared" si="330"/>
        <v/>
      </c>
      <c r="AV867">
        <f>N(AV866)+IF(AND($AB867&lt;&gt;"",OR('PROFIL ELEVE'!$K$4="(Tous)",$AF867='PROFIL ELEVE'!$K$4)),1,0)</f>
        <v>0</v>
      </c>
      <c r="AW867">
        <f>N(AW866)+IF(AND($AB867&lt;&gt;"",OR('SUIVI LONGITUDINAL'!$Q$4="(Tous)",$AF867='SUIVI LONGITUDINAL'!$Q$4)),1,0)</f>
        <v>0</v>
      </c>
      <c r="AX867">
        <f t="shared" si="331"/>
        <v>0</v>
      </c>
      <c r="AY867">
        <f t="shared" si="332"/>
        <v>0</v>
      </c>
      <c r="AZ867">
        <f t="shared" si="333"/>
        <v>0</v>
      </c>
      <c r="BA867" t="str">
        <f t="shared" si="334"/>
        <v/>
      </c>
      <c r="BB867" t="str">
        <f t="shared" si="335"/>
        <v/>
      </c>
    </row>
    <row r="868" spans="1:54" ht="14.25" customHeight="1" x14ac:dyDescent="0.3">
      <c r="A868" t="str">
        <f>IF(SAISIE!$F873="","",SAISIE!$B873)</f>
        <v/>
      </c>
      <c r="B868" t="str">
        <f>IF(SAISIE!$F873="","",SAISIE!$C873)</f>
        <v/>
      </c>
      <c r="C868" t="str">
        <f>IF(SAISIE!$F873="","",SAISIE!$D873)</f>
        <v/>
      </c>
      <c r="D868" t="str">
        <f>IF(SAISIE!$E873="","",SAISIE!$E873)</f>
        <v/>
      </c>
      <c r="E868" t="str">
        <f>IF(SAISIE!$F873="","",SAISIE!$F873)</f>
        <v/>
      </c>
      <c r="F868" t="str">
        <f>IF(SAISIE!$G873="","",SAISIE!$G873)</f>
        <v/>
      </c>
      <c r="G868" t="str">
        <f>IF(SAISIE!$H873="","",SAISIE!$H873)</f>
        <v/>
      </c>
      <c r="H868" t="str">
        <f>IF(SAISIE!$I873="","",SAISIE!$I873)</f>
        <v/>
      </c>
      <c r="I868" t="str">
        <f>IF(SAISIE!$J873="","",SAISIE!$J873)</f>
        <v/>
      </c>
      <c r="J868" t="str">
        <f>IF(SAISIE!$K873="","",SAISIE!$K873)</f>
        <v/>
      </c>
      <c r="K868" t="str">
        <f>IF(SAISIE!$L873="","",SAISIE!$L873)</f>
        <v/>
      </c>
      <c r="L868" t="str">
        <f>IF(SAISIE!$M873="","",SAISIE!$M873)</f>
        <v/>
      </c>
      <c r="M868" t="str">
        <f>IF(SAISIE!$N873="","",SAISIE!$N873)</f>
        <v/>
      </c>
      <c r="N868" t="str">
        <f>IF(SAISIE!$O873="","",SAISIE!$O873)</f>
        <v/>
      </c>
      <c r="O868" t="str">
        <f>IF(SAISIE!$P873="","",SAISIE!$P873)</f>
        <v/>
      </c>
      <c r="P868" t="str">
        <f>IF(SAISIE!$Q873="","",SAISIE!$Q873)</f>
        <v/>
      </c>
      <c r="Q868" t="str">
        <f>IF($I868="","",IF($I868&gt;PARAMETRES!$G$29,5,IF($I868&gt;PARAMETRES!$F$29,4,IF($I868&gt;PARAMETRES!$E$29,3,IF($I868&gt;PARAMETRES!$D$29,2,1)))))</f>
        <v/>
      </c>
      <c r="R868" t="str">
        <f>IF($J868="","",IF($J868&gt;PARAMETRES!$G$30,5,IF($J868&gt;PARAMETRES!$F$30,4,IF($J868&gt;PARAMETRES!$E$30,3,IF($J868&gt;PARAMETRES!$D$30,2,1)))))</f>
        <v/>
      </c>
      <c r="S868" t="str">
        <f>IF($K868="","",IF($Z868=2,IF($K868&gt;PARAMETRES!$G$31,5,IF($K868&gt;PARAMETRES!$F$31,4,IF($K868&gt;PARAMETRES!$E$31,3,IF($K868&gt;PARAMETRES!$D$31,2,1)))),IF($K868&gt;PARAMETRES!$G$32,5,IF($K868&gt;PARAMETRES!$F$32,4,IF($K868&gt;PARAMETRES!$E$32,3,IF($K868&gt;PARAMETRES!$D$32,2,1))))))</f>
        <v/>
      </c>
      <c r="T868" t="str">
        <f>IF($L868="","",IF($L868&gt;PARAMETRES!$G$33,5,IF($L868&gt;PARAMETRES!$F$33,4,IF($L868&gt;PARAMETRES!$E$33,3,IF($L868&gt;PARAMETRES!$D$33,2,1)))))</f>
        <v/>
      </c>
      <c r="U868" t="str">
        <f>IF($M868="","",IF($M868&gt;PARAMETRES!$G$34,5,IF($M868&gt;PARAMETRES!$F$34,4,IF($M868&gt;PARAMETRES!$E$34,3,IF($M868&gt;PARAMETRES!$D$34,2,1)))))</f>
        <v/>
      </c>
      <c r="V868" t="str">
        <f>IF($N868="","",IF($N868&gt;PARAMETRES!$G$35,5,IF($N868&gt;PARAMETRES!$F$35,4,IF($N868&gt;PARAMETRES!$E$35,3,IF($N868&gt;PARAMETRES!$D$35,2,1)))))</f>
        <v/>
      </c>
      <c r="W868" t="str">
        <f>IF($O868="","",IF($O868&gt;PARAMETRES!$G$36,5,IF($O868&gt;PARAMETRES!$F$36,4,IF($O868&gt;PARAMETRES!$E$36,3,IF($O868&gt;PARAMETRES!$D$36,2,1)))))</f>
        <v/>
      </c>
      <c r="X868" t="str">
        <f>IF($P868="","",IF($P868&gt;PARAMETRES!$G$37,5,IF($P868&gt;PARAMETRES!$F$37,4,IF($P868&gt;PARAMETRES!$E$37,3,IF($P868&gt;PARAMETRES!$D$37,2,1)))))</f>
        <v/>
      </c>
      <c r="Y868" t="str">
        <f t="shared" si="312"/>
        <v/>
      </c>
      <c r="Z868" t="str">
        <f>IFERROR(VLOOKUP($B868,TABLE_CYCLE,2,0),"")</f>
        <v/>
      </c>
      <c r="AA868" t="str">
        <f t="shared" si="313"/>
        <v/>
      </c>
      <c r="AB868" t="str">
        <f>IF($D868="","",IF(COUNTIF($D$2:$D868,$D868)=1,$D868,""))</f>
        <v/>
      </c>
      <c r="AC868">
        <f t="shared" si="314"/>
        <v>0</v>
      </c>
      <c r="AD868" t="str">
        <f t="shared" si="315"/>
        <v>|0</v>
      </c>
      <c r="AE868" t="str">
        <f t="shared" si="316"/>
        <v/>
      </c>
      <c r="AF868" t="str">
        <f t="shared" si="317"/>
        <v/>
      </c>
      <c r="AG868" t="str">
        <f t="shared" si="318"/>
        <v/>
      </c>
      <c r="AH868" t="str">
        <f t="shared" si="319"/>
        <v/>
      </c>
      <c r="AI868" t="str">
        <f t="shared" si="320"/>
        <v/>
      </c>
      <c r="AJ868" t="str">
        <f t="shared" si="321"/>
        <v/>
      </c>
      <c r="AK868" t="str">
        <f t="shared" si="322"/>
        <v/>
      </c>
      <c r="AL868" t="str">
        <f t="shared" si="323"/>
        <v/>
      </c>
      <c r="AM868" t="str">
        <f t="shared" si="324"/>
        <v/>
      </c>
      <c r="AN868" t="str">
        <f t="shared" si="325"/>
        <v/>
      </c>
      <c r="AO868" t="str">
        <f t="shared" si="326"/>
        <v/>
      </c>
      <c r="AP868">
        <f t="shared" si="327"/>
        <v>1</v>
      </c>
      <c r="AQ868" t="str">
        <f>IF(SAISIE!$F873="","",SAISIE!$Y873)</f>
        <v/>
      </c>
      <c r="AR868" t="str">
        <f>IF(OR(SAISIE!$U$4="",SAISIE!$W$4=""),"",IF(AND($A868=SAISIE!$U$4,$B868=SAISIE!$W$4,$C868="S1"),COUNTIFS($A$2:$A868,SAISIE!$U$4,$B$2:$B868,SAISIE!$W$4,$C$2:$C868,"S1"),""))</f>
        <v/>
      </c>
      <c r="AS868" t="str">
        <f t="shared" si="328"/>
        <v/>
      </c>
      <c r="AT868" t="str">
        <f t="shared" si="329"/>
        <v/>
      </c>
      <c r="AU868" t="str">
        <f t="shared" si="330"/>
        <v/>
      </c>
      <c r="AV868">
        <f>N(AV867)+IF(AND($AB868&lt;&gt;"",OR('PROFIL ELEVE'!$K$4="(Tous)",$AF868='PROFIL ELEVE'!$K$4)),1,0)</f>
        <v>0</v>
      </c>
      <c r="AW868">
        <f>N(AW867)+IF(AND($AB868&lt;&gt;"",OR('SUIVI LONGITUDINAL'!$Q$4="(Tous)",$AF868='SUIVI LONGITUDINAL'!$Q$4)),1,0)</f>
        <v>0</v>
      </c>
      <c r="AX868">
        <f t="shared" si="331"/>
        <v>0</v>
      </c>
      <c r="AY868">
        <f t="shared" si="332"/>
        <v>0</v>
      </c>
      <c r="AZ868">
        <f t="shared" si="333"/>
        <v>0</v>
      </c>
      <c r="BA868" t="str">
        <f t="shared" si="334"/>
        <v/>
      </c>
      <c r="BB868" t="str">
        <f t="shared" si="335"/>
        <v/>
      </c>
    </row>
    <row r="869" spans="1:54" ht="14.25" customHeight="1" x14ac:dyDescent="0.3">
      <c r="A869" t="str">
        <f>IF(SAISIE!$F874="","",SAISIE!$B874)</f>
        <v/>
      </c>
      <c r="B869" t="str">
        <f>IF(SAISIE!$F874="","",SAISIE!$C874)</f>
        <v/>
      </c>
      <c r="C869" t="str">
        <f>IF(SAISIE!$F874="","",SAISIE!$D874)</f>
        <v/>
      </c>
      <c r="D869" t="str">
        <f>IF(SAISIE!$E874="","",SAISIE!$E874)</f>
        <v/>
      </c>
      <c r="E869" t="str">
        <f>IF(SAISIE!$F874="","",SAISIE!$F874)</f>
        <v/>
      </c>
      <c r="F869" t="str">
        <f>IF(SAISIE!$G874="","",SAISIE!$G874)</f>
        <v/>
      </c>
      <c r="G869" t="str">
        <f>IF(SAISIE!$H874="","",SAISIE!$H874)</f>
        <v/>
      </c>
      <c r="H869" t="str">
        <f>IF(SAISIE!$I874="","",SAISIE!$I874)</f>
        <v/>
      </c>
      <c r="I869" t="str">
        <f>IF(SAISIE!$J874="","",SAISIE!$J874)</f>
        <v/>
      </c>
      <c r="J869" t="str">
        <f>IF(SAISIE!$K874="","",SAISIE!$K874)</f>
        <v/>
      </c>
      <c r="K869" t="str">
        <f>IF(SAISIE!$L874="","",SAISIE!$L874)</f>
        <v/>
      </c>
      <c r="L869" t="str">
        <f>IF(SAISIE!$M874="","",SAISIE!$M874)</f>
        <v/>
      </c>
      <c r="M869" t="str">
        <f>IF(SAISIE!$N874="","",SAISIE!$N874)</f>
        <v/>
      </c>
      <c r="N869" t="str">
        <f>IF(SAISIE!$O874="","",SAISIE!$O874)</f>
        <v/>
      </c>
      <c r="O869" t="str">
        <f>IF(SAISIE!$P874="","",SAISIE!$P874)</f>
        <v/>
      </c>
      <c r="P869" t="str">
        <f>IF(SAISIE!$Q874="","",SAISIE!$Q874)</f>
        <v/>
      </c>
      <c r="Q869" t="str">
        <f>IF($I869="","",IF($I869&gt;PARAMETRES!$G$29,5,IF($I869&gt;PARAMETRES!$F$29,4,IF($I869&gt;PARAMETRES!$E$29,3,IF($I869&gt;PARAMETRES!$D$29,2,1)))))</f>
        <v/>
      </c>
      <c r="R869" t="str">
        <f>IF($J869="","",IF($J869&gt;PARAMETRES!$G$30,5,IF($J869&gt;PARAMETRES!$F$30,4,IF($J869&gt;PARAMETRES!$E$30,3,IF($J869&gt;PARAMETRES!$D$30,2,1)))))</f>
        <v/>
      </c>
      <c r="S869" t="str">
        <f>IF($K869="","",IF($Z869=2,IF($K869&gt;PARAMETRES!$G$31,5,IF($K869&gt;PARAMETRES!$F$31,4,IF($K869&gt;PARAMETRES!$E$31,3,IF($K869&gt;PARAMETRES!$D$31,2,1)))),IF($K869&gt;PARAMETRES!$G$32,5,IF($K869&gt;PARAMETRES!$F$32,4,IF($K869&gt;PARAMETRES!$E$32,3,IF($K869&gt;PARAMETRES!$D$32,2,1))))))</f>
        <v/>
      </c>
      <c r="T869" t="str">
        <f>IF($L869="","",IF($L869&gt;PARAMETRES!$G$33,5,IF($L869&gt;PARAMETRES!$F$33,4,IF($L869&gt;PARAMETRES!$E$33,3,IF($L869&gt;PARAMETRES!$D$33,2,1)))))</f>
        <v/>
      </c>
      <c r="U869" t="str">
        <f>IF($M869="","",IF($M869&gt;PARAMETRES!$G$34,5,IF($M869&gt;PARAMETRES!$F$34,4,IF($M869&gt;PARAMETRES!$E$34,3,IF($M869&gt;PARAMETRES!$D$34,2,1)))))</f>
        <v/>
      </c>
      <c r="V869" t="str">
        <f>IF($N869="","",IF($N869&gt;PARAMETRES!$G$35,5,IF($N869&gt;PARAMETRES!$F$35,4,IF($N869&gt;PARAMETRES!$E$35,3,IF($N869&gt;PARAMETRES!$D$35,2,1)))))</f>
        <v/>
      </c>
      <c r="W869" t="str">
        <f>IF($O869="","",IF($O869&gt;PARAMETRES!$G$36,5,IF($O869&gt;PARAMETRES!$F$36,4,IF($O869&gt;PARAMETRES!$E$36,3,IF($O869&gt;PARAMETRES!$D$36,2,1)))))</f>
        <v/>
      </c>
      <c r="X869" t="str">
        <f>IF($P869="","",IF($P869&gt;PARAMETRES!$G$37,5,IF($P869&gt;PARAMETRES!$F$37,4,IF($P869&gt;PARAMETRES!$E$37,3,IF($P869&gt;PARAMETRES!$D$37,2,1)))))</f>
        <v/>
      </c>
      <c r="Y869" t="str">
        <f t="shared" si="312"/>
        <v/>
      </c>
      <c r="Z869" t="str">
        <f>IFERROR(VLOOKUP($B869,TABLE_CYCLE,2,0),"")</f>
        <v/>
      </c>
      <c r="AA869" t="str">
        <f t="shared" si="313"/>
        <v/>
      </c>
      <c r="AB869" t="str">
        <f>IF($D869="","",IF(COUNTIF($D$2:$D869,$D869)=1,$D869,""))</f>
        <v/>
      </c>
      <c r="AC869">
        <f t="shared" si="314"/>
        <v>0</v>
      </c>
      <c r="AD869" t="str">
        <f t="shared" si="315"/>
        <v>|0</v>
      </c>
      <c r="AE869" t="str">
        <f t="shared" si="316"/>
        <v/>
      </c>
      <c r="AF869" t="str">
        <f t="shared" si="317"/>
        <v/>
      </c>
      <c r="AG869" t="str">
        <f t="shared" si="318"/>
        <v/>
      </c>
      <c r="AH869" t="str">
        <f t="shared" si="319"/>
        <v/>
      </c>
      <c r="AI869" t="str">
        <f t="shared" si="320"/>
        <v/>
      </c>
      <c r="AJ869" t="str">
        <f t="shared" si="321"/>
        <v/>
      </c>
      <c r="AK869" t="str">
        <f t="shared" si="322"/>
        <v/>
      </c>
      <c r="AL869" t="str">
        <f t="shared" si="323"/>
        <v/>
      </c>
      <c r="AM869" t="str">
        <f t="shared" si="324"/>
        <v/>
      </c>
      <c r="AN869" t="str">
        <f t="shared" si="325"/>
        <v/>
      </c>
      <c r="AO869" t="str">
        <f t="shared" si="326"/>
        <v/>
      </c>
      <c r="AP869">
        <f t="shared" si="327"/>
        <v>1</v>
      </c>
      <c r="AQ869" t="str">
        <f>IF(SAISIE!$F874="","",SAISIE!$Y874)</f>
        <v/>
      </c>
      <c r="AR869" t="str">
        <f>IF(OR(SAISIE!$U$4="",SAISIE!$W$4=""),"",IF(AND($A869=SAISIE!$U$4,$B869=SAISIE!$W$4,$C869="S1"),COUNTIFS($A$2:$A869,SAISIE!$U$4,$B$2:$B869,SAISIE!$W$4,$C$2:$C869,"S1"),""))</f>
        <v/>
      </c>
      <c r="AS869" t="str">
        <f t="shared" si="328"/>
        <v/>
      </c>
      <c r="AT869" t="str">
        <f t="shared" si="329"/>
        <v/>
      </c>
      <c r="AU869" t="str">
        <f t="shared" si="330"/>
        <v/>
      </c>
      <c r="AV869">
        <f>N(AV868)+IF(AND($AB869&lt;&gt;"",OR('PROFIL ELEVE'!$K$4="(Tous)",$AF869='PROFIL ELEVE'!$K$4)),1,0)</f>
        <v>0</v>
      </c>
      <c r="AW869">
        <f>N(AW868)+IF(AND($AB869&lt;&gt;"",OR('SUIVI LONGITUDINAL'!$Q$4="(Tous)",$AF869='SUIVI LONGITUDINAL'!$Q$4)),1,0)</f>
        <v>0</v>
      </c>
      <c r="AX869">
        <f t="shared" si="331"/>
        <v>0</v>
      </c>
      <c r="AY869">
        <f t="shared" si="332"/>
        <v>0</v>
      </c>
      <c r="AZ869">
        <f t="shared" si="333"/>
        <v>0</v>
      </c>
      <c r="BA869" t="str">
        <f t="shared" si="334"/>
        <v/>
      </c>
      <c r="BB869" t="str">
        <f t="shared" si="335"/>
        <v/>
      </c>
    </row>
    <row r="870" spans="1:54" ht="14.25" customHeight="1" x14ac:dyDescent="0.3">
      <c r="A870" t="str">
        <f>IF(SAISIE!$F875="","",SAISIE!$B875)</f>
        <v/>
      </c>
      <c r="B870" t="str">
        <f>IF(SAISIE!$F875="","",SAISIE!$C875)</f>
        <v/>
      </c>
      <c r="C870" t="str">
        <f>IF(SAISIE!$F875="","",SAISIE!$D875)</f>
        <v/>
      </c>
      <c r="D870" t="str">
        <f>IF(SAISIE!$E875="","",SAISIE!$E875)</f>
        <v/>
      </c>
      <c r="E870" t="str">
        <f>IF(SAISIE!$F875="","",SAISIE!$F875)</f>
        <v/>
      </c>
      <c r="F870" t="str">
        <f>IF(SAISIE!$G875="","",SAISIE!$G875)</f>
        <v/>
      </c>
      <c r="G870" t="str">
        <f>IF(SAISIE!$H875="","",SAISIE!$H875)</f>
        <v/>
      </c>
      <c r="H870" t="str">
        <f>IF(SAISIE!$I875="","",SAISIE!$I875)</f>
        <v/>
      </c>
      <c r="I870" t="str">
        <f>IF(SAISIE!$J875="","",SAISIE!$J875)</f>
        <v/>
      </c>
      <c r="J870" t="str">
        <f>IF(SAISIE!$K875="","",SAISIE!$K875)</f>
        <v/>
      </c>
      <c r="K870" t="str">
        <f>IF(SAISIE!$L875="","",SAISIE!$L875)</f>
        <v/>
      </c>
      <c r="L870" t="str">
        <f>IF(SAISIE!$M875="","",SAISIE!$M875)</f>
        <v/>
      </c>
      <c r="M870" t="str">
        <f>IF(SAISIE!$N875="","",SAISIE!$N875)</f>
        <v/>
      </c>
      <c r="N870" t="str">
        <f>IF(SAISIE!$O875="","",SAISIE!$O875)</f>
        <v/>
      </c>
      <c r="O870" t="str">
        <f>IF(SAISIE!$P875="","",SAISIE!$P875)</f>
        <v/>
      </c>
      <c r="P870" t="str">
        <f>IF(SAISIE!$Q875="","",SAISIE!$Q875)</f>
        <v/>
      </c>
      <c r="Q870" t="str">
        <f>IF($I870="","",IF($I870&gt;PARAMETRES!$G$29,5,IF($I870&gt;PARAMETRES!$F$29,4,IF($I870&gt;PARAMETRES!$E$29,3,IF($I870&gt;PARAMETRES!$D$29,2,1)))))</f>
        <v/>
      </c>
      <c r="R870" t="str">
        <f>IF($J870="","",IF($J870&gt;PARAMETRES!$G$30,5,IF($J870&gt;PARAMETRES!$F$30,4,IF($J870&gt;PARAMETRES!$E$30,3,IF($J870&gt;PARAMETRES!$D$30,2,1)))))</f>
        <v/>
      </c>
      <c r="S870" t="str">
        <f>IF($K870="","",IF($Z870=2,IF($K870&gt;PARAMETRES!$G$31,5,IF($K870&gt;PARAMETRES!$F$31,4,IF($K870&gt;PARAMETRES!$E$31,3,IF($K870&gt;PARAMETRES!$D$31,2,1)))),IF($K870&gt;PARAMETRES!$G$32,5,IF($K870&gt;PARAMETRES!$F$32,4,IF($K870&gt;PARAMETRES!$E$32,3,IF($K870&gt;PARAMETRES!$D$32,2,1))))))</f>
        <v/>
      </c>
      <c r="T870" t="str">
        <f>IF($L870="","",IF($L870&gt;PARAMETRES!$G$33,5,IF($L870&gt;PARAMETRES!$F$33,4,IF($L870&gt;PARAMETRES!$E$33,3,IF($L870&gt;PARAMETRES!$D$33,2,1)))))</f>
        <v/>
      </c>
      <c r="U870" t="str">
        <f>IF($M870="","",IF($M870&gt;PARAMETRES!$G$34,5,IF($M870&gt;PARAMETRES!$F$34,4,IF($M870&gt;PARAMETRES!$E$34,3,IF($M870&gt;PARAMETRES!$D$34,2,1)))))</f>
        <v/>
      </c>
      <c r="V870" t="str">
        <f>IF($N870="","",IF($N870&gt;PARAMETRES!$G$35,5,IF($N870&gt;PARAMETRES!$F$35,4,IF($N870&gt;PARAMETRES!$E$35,3,IF($N870&gt;PARAMETRES!$D$35,2,1)))))</f>
        <v/>
      </c>
      <c r="W870" t="str">
        <f>IF($O870="","",IF($O870&gt;PARAMETRES!$G$36,5,IF($O870&gt;PARAMETRES!$F$36,4,IF($O870&gt;PARAMETRES!$E$36,3,IF($O870&gt;PARAMETRES!$D$36,2,1)))))</f>
        <v/>
      </c>
      <c r="X870" t="str">
        <f>IF($P870="","",IF($P870&gt;PARAMETRES!$G$37,5,IF($P870&gt;PARAMETRES!$F$37,4,IF($P870&gt;PARAMETRES!$E$37,3,IF($P870&gt;PARAMETRES!$D$37,2,1)))))</f>
        <v/>
      </c>
      <c r="Y870" t="str">
        <f t="shared" si="312"/>
        <v/>
      </c>
      <c r="Z870" t="str">
        <f>IFERROR(VLOOKUP($B870,TABLE_CYCLE,2,0),"")</f>
        <v/>
      </c>
      <c r="AA870" t="str">
        <f t="shared" si="313"/>
        <v/>
      </c>
      <c r="AB870" t="str">
        <f>IF($D870="","",IF(COUNTIF($D$2:$D870,$D870)=1,$D870,""))</f>
        <v/>
      </c>
      <c r="AC870">
        <f t="shared" si="314"/>
        <v>0</v>
      </c>
      <c r="AD870" t="str">
        <f t="shared" si="315"/>
        <v>|0</v>
      </c>
      <c r="AE870" t="str">
        <f t="shared" si="316"/>
        <v/>
      </c>
      <c r="AF870" t="str">
        <f t="shared" si="317"/>
        <v/>
      </c>
      <c r="AG870" t="str">
        <f t="shared" si="318"/>
        <v/>
      </c>
      <c r="AH870" t="str">
        <f t="shared" si="319"/>
        <v/>
      </c>
      <c r="AI870" t="str">
        <f t="shared" si="320"/>
        <v/>
      </c>
      <c r="AJ870" t="str">
        <f t="shared" si="321"/>
        <v/>
      </c>
      <c r="AK870" t="str">
        <f t="shared" si="322"/>
        <v/>
      </c>
      <c r="AL870" t="str">
        <f t="shared" si="323"/>
        <v/>
      </c>
      <c r="AM870" t="str">
        <f t="shared" si="324"/>
        <v/>
      </c>
      <c r="AN870" t="str">
        <f t="shared" si="325"/>
        <v/>
      </c>
      <c r="AO870" t="str">
        <f t="shared" si="326"/>
        <v/>
      </c>
      <c r="AP870">
        <f t="shared" si="327"/>
        <v>1</v>
      </c>
      <c r="AQ870" t="str">
        <f>IF(SAISIE!$F875="","",SAISIE!$Y875)</f>
        <v/>
      </c>
      <c r="AR870" t="str">
        <f>IF(OR(SAISIE!$U$4="",SAISIE!$W$4=""),"",IF(AND($A870=SAISIE!$U$4,$B870=SAISIE!$W$4,$C870="S1"),COUNTIFS($A$2:$A870,SAISIE!$U$4,$B$2:$B870,SAISIE!$W$4,$C$2:$C870,"S1"),""))</f>
        <v/>
      </c>
      <c r="AS870" t="str">
        <f t="shared" si="328"/>
        <v/>
      </c>
      <c r="AT870" t="str">
        <f t="shared" si="329"/>
        <v/>
      </c>
      <c r="AU870" t="str">
        <f t="shared" si="330"/>
        <v/>
      </c>
      <c r="AV870">
        <f>N(AV869)+IF(AND($AB870&lt;&gt;"",OR('PROFIL ELEVE'!$K$4="(Tous)",$AF870='PROFIL ELEVE'!$K$4)),1,0)</f>
        <v>0</v>
      </c>
      <c r="AW870">
        <f>N(AW869)+IF(AND($AB870&lt;&gt;"",OR('SUIVI LONGITUDINAL'!$Q$4="(Tous)",$AF870='SUIVI LONGITUDINAL'!$Q$4)),1,0)</f>
        <v>0</v>
      </c>
      <c r="AX870">
        <f t="shared" si="331"/>
        <v>0</v>
      </c>
      <c r="AY870">
        <f t="shared" si="332"/>
        <v>0</v>
      </c>
      <c r="AZ870">
        <f t="shared" si="333"/>
        <v>0</v>
      </c>
      <c r="BA870" t="str">
        <f t="shared" si="334"/>
        <v/>
      </c>
      <c r="BB870" t="str">
        <f t="shared" si="335"/>
        <v/>
      </c>
    </row>
    <row r="871" spans="1:54" ht="14.25" customHeight="1" x14ac:dyDescent="0.3">
      <c r="A871" t="str">
        <f>IF(SAISIE!$F876="","",SAISIE!$B876)</f>
        <v/>
      </c>
      <c r="B871" t="str">
        <f>IF(SAISIE!$F876="","",SAISIE!$C876)</f>
        <v/>
      </c>
      <c r="C871" t="str">
        <f>IF(SAISIE!$F876="","",SAISIE!$D876)</f>
        <v/>
      </c>
      <c r="D871" t="str">
        <f>IF(SAISIE!$E876="","",SAISIE!$E876)</f>
        <v/>
      </c>
      <c r="E871" t="str">
        <f>IF(SAISIE!$F876="","",SAISIE!$F876)</f>
        <v/>
      </c>
      <c r="F871" t="str">
        <f>IF(SAISIE!$G876="","",SAISIE!$G876)</f>
        <v/>
      </c>
      <c r="G871" t="str">
        <f>IF(SAISIE!$H876="","",SAISIE!$H876)</f>
        <v/>
      </c>
      <c r="H871" t="str">
        <f>IF(SAISIE!$I876="","",SAISIE!$I876)</f>
        <v/>
      </c>
      <c r="I871" t="str">
        <f>IF(SAISIE!$J876="","",SAISIE!$J876)</f>
        <v/>
      </c>
      <c r="J871" t="str">
        <f>IF(SAISIE!$K876="","",SAISIE!$K876)</f>
        <v/>
      </c>
      <c r="K871" t="str">
        <f>IF(SAISIE!$L876="","",SAISIE!$L876)</f>
        <v/>
      </c>
      <c r="L871" t="str">
        <f>IF(SAISIE!$M876="","",SAISIE!$M876)</f>
        <v/>
      </c>
      <c r="M871" t="str">
        <f>IF(SAISIE!$N876="","",SAISIE!$N876)</f>
        <v/>
      </c>
      <c r="N871" t="str">
        <f>IF(SAISIE!$O876="","",SAISIE!$O876)</f>
        <v/>
      </c>
      <c r="O871" t="str">
        <f>IF(SAISIE!$P876="","",SAISIE!$P876)</f>
        <v/>
      </c>
      <c r="P871" t="str">
        <f>IF(SAISIE!$Q876="","",SAISIE!$Q876)</f>
        <v/>
      </c>
      <c r="Q871" t="str">
        <f>IF($I871="","",IF($I871&gt;PARAMETRES!$G$29,5,IF($I871&gt;PARAMETRES!$F$29,4,IF($I871&gt;PARAMETRES!$E$29,3,IF($I871&gt;PARAMETRES!$D$29,2,1)))))</f>
        <v/>
      </c>
      <c r="R871" t="str">
        <f>IF($J871="","",IF($J871&gt;PARAMETRES!$G$30,5,IF($J871&gt;PARAMETRES!$F$30,4,IF($J871&gt;PARAMETRES!$E$30,3,IF($J871&gt;PARAMETRES!$D$30,2,1)))))</f>
        <v/>
      </c>
      <c r="S871" t="str">
        <f>IF($K871="","",IF($Z871=2,IF($K871&gt;PARAMETRES!$G$31,5,IF($K871&gt;PARAMETRES!$F$31,4,IF($K871&gt;PARAMETRES!$E$31,3,IF($K871&gt;PARAMETRES!$D$31,2,1)))),IF($K871&gt;PARAMETRES!$G$32,5,IF($K871&gt;PARAMETRES!$F$32,4,IF($K871&gt;PARAMETRES!$E$32,3,IF($K871&gt;PARAMETRES!$D$32,2,1))))))</f>
        <v/>
      </c>
      <c r="T871" t="str">
        <f>IF($L871="","",IF($L871&gt;PARAMETRES!$G$33,5,IF($L871&gt;PARAMETRES!$F$33,4,IF($L871&gt;PARAMETRES!$E$33,3,IF($L871&gt;PARAMETRES!$D$33,2,1)))))</f>
        <v/>
      </c>
      <c r="U871" t="str">
        <f>IF($M871="","",IF($M871&gt;PARAMETRES!$G$34,5,IF($M871&gt;PARAMETRES!$F$34,4,IF($M871&gt;PARAMETRES!$E$34,3,IF($M871&gt;PARAMETRES!$D$34,2,1)))))</f>
        <v/>
      </c>
      <c r="V871" t="str">
        <f>IF($N871="","",IF($N871&gt;PARAMETRES!$G$35,5,IF($N871&gt;PARAMETRES!$F$35,4,IF($N871&gt;PARAMETRES!$E$35,3,IF($N871&gt;PARAMETRES!$D$35,2,1)))))</f>
        <v/>
      </c>
      <c r="W871" t="str">
        <f>IF($O871="","",IF($O871&gt;PARAMETRES!$G$36,5,IF($O871&gt;PARAMETRES!$F$36,4,IF($O871&gt;PARAMETRES!$E$36,3,IF($O871&gt;PARAMETRES!$D$36,2,1)))))</f>
        <v/>
      </c>
      <c r="X871" t="str">
        <f>IF($P871="","",IF($P871&gt;PARAMETRES!$G$37,5,IF($P871&gt;PARAMETRES!$F$37,4,IF($P871&gt;PARAMETRES!$E$37,3,IF($P871&gt;PARAMETRES!$D$37,2,1)))))</f>
        <v/>
      </c>
      <c r="Y871" t="str">
        <f t="shared" si="312"/>
        <v/>
      </c>
      <c r="Z871" t="str">
        <f>IFERROR(VLOOKUP($B871,TABLE_CYCLE,2,0),"")</f>
        <v/>
      </c>
      <c r="AA871" t="str">
        <f t="shared" si="313"/>
        <v/>
      </c>
      <c r="AB871" t="str">
        <f>IF($D871="","",IF(COUNTIF($D$2:$D871,$D871)=1,$D871,""))</f>
        <v/>
      </c>
      <c r="AC871">
        <f t="shared" si="314"/>
        <v>0</v>
      </c>
      <c r="AD871" t="str">
        <f t="shared" si="315"/>
        <v>|0</v>
      </c>
      <c r="AE871" t="str">
        <f t="shared" si="316"/>
        <v/>
      </c>
      <c r="AF871" t="str">
        <f t="shared" si="317"/>
        <v/>
      </c>
      <c r="AG871" t="str">
        <f t="shared" si="318"/>
        <v/>
      </c>
      <c r="AH871" t="str">
        <f t="shared" si="319"/>
        <v/>
      </c>
      <c r="AI871" t="str">
        <f t="shared" si="320"/>
        <v/>
      </c>
      <c r="AJ871" t="str">
        <f t="shared" si="321"/>
        <v/>
      </c>
      <c r="AK871" t="str">
        <f t="shared" si="322"/>
        <v/>
      </c>
      <c r="AL871" t="str">
        <f t="shared" si="323"/>
        <v/>
      </c>
      <c r="AM871" t="str">
        <f t="shared" si="324"/>
        <v/>
      </c>
      <c r="AN871" t="str">
        <f t="shared" si="325"/>
        <v/>
      </c>
      <c r="AO871" t="str">
        <f t="shared" si="326"/>
        <v/>
      </c>
      <c r="AP871">
        <f t="shared" si="327"/>
        <v>1</v>
      </c>
      <c r="AQ871" t="str">
        <f>IF(SAISIE!$F876="","",SAISIE!$Y876)</f>
        <v/>
      </c>
      <c r="AR871" t="str">
        <f>IF(OR(SAISIE!$U$4="",SAISIE!$W$4=""),"",IF(AND($A871=SAISIE!$U$4,$B871=SAISIE!$W$4,$C871="S1"),COUNTIFS($A$2:$A871,SAISIE!$U$4,$B$2:$B871,SAISIE!$W$4,$C$2:$C871,"S1"),""))</f>
        <v/>
      </c>
      <c r="AS871" t="str">
        <f t="shared" si="328"/>
        <v/>
      </c>
      <c r="AT871" t="str">
        <f t="shared" si="329"/>
        <v/>
      </c>
      <c r="AU871" t="str">
        <f t="shared" si="330"/>
        <v/>
      </c>
      <c r="AV871">
        <f>N(AV870)+IF(AND($AB871&lt;&gt;"",OR('PROFIL ELEVE'!$K$4="(Tous)",$AF871='PROFIL ELEVE'!$K$4)),1,0)</f>
        <v>0</v>
      </c>
      <c r="AW871">
        <f>N(AW870)+IF(AND($AB871&lt;&gt;"",OR('SUIVI LONGITUDINAL'!$Q$4="(Tous)",$AF871='SUIVI LONGITUDINAL'!$Q$4)),1,0)</f>
        <v>0</v>
      </c>
      <c r="AX871">
        <f t="shared" si="331"/>
        <v>0</v>
      </c>
      <c r="AY871">
        <f t="shared" si="332"/>
        <v>0</v>
      </c>
      <c r="AZ871">
        <f t="shared" si="333"/>
        <v>0</v>
      </c>
      <c r="BA871" t="str">
        <f t="shared" si="334"/>
        <v/>
      </c>
      <c r="BB871" t="str">
        <f t="shared" si="335"/>
        <v/>
      </c>
    </row>
    <row r="872" spans="1:54" ht="14.25" customHeight="1" x14ac:dyDescent="0.3">
      <c r="A872" t="str">
        <f>IF(SAISIE!$F877="","",SAISIE!$B877)</f>
        <v/>
      </c>
      <c r="B872" t="str">
        <f>IF(SAISIE!$F877="","",SAISIE!$C877)</f>
        <v/>
      </c>
      <c r="C872" t="str">
        <f>IF(SAISIE!$F877="","",SAISIE!$D877)</f>
        <v/>
      </c>
      <c r="D872" t="str">
        <f>IF(SAISIE!$E877="","",SAISIE!$E877)</f>
        <v/>
      </c>
      <c r="E872" t="str">
        <f>IF(SAISIE!$F877="","",SAISIE!$F877)</f>
        <v/>
      </c>
      <c r="F872" t="str">
        <f>IF(SAISIE!$G877="","",SAISIE!$G877)</f>
        <v/>
      </c>
      <c r="G872" t="str">
        <f>IF(SAISIE!$H877="","",SAISIE!$H877)</f>
        <v/>
      </c>
      <c r="H872" t="str">
        <f>IF(SAISIE!$I877="","",SAISIE!$I877)</f>
        <v/>
      </c>
      <c r="I872" t="str">
        <f>IF(SAISIE!$J877="","",SAISIE!$J877)</f>
        <v/>
      </c>
      <c r="J872" t="str">
        <f>IF(SAISIE!$K877="","",SAISIE!$K877)</f>
        <v/>
      </c>
      <c r="K872" t="str">
        <f>IF(SAISIE!$L877="","",SAISIE!$L877)</f>
        <v/>
      </c>
      <c r="L872" t="str">
        <f>IF(SAISIE!$M877="","",SAISIE!$M877)</f>
        <v/>
      </c>
      <c r="M872" t="str">
        <f>IF(SAISIE!$N877="","",SAISIE!$N877)</f>
        <v/>
      </c>
      <c r="N872" t="str">
        <f>IF(SAISIE!$O877="","",SAISIE!$O877)</f>
        <v/>
      </c>
      <c r="O872" t="str">
        <f>IF(SAISIE!$P877="","",SAISIE!$P877)</f>
        <v/>
      </c>
      <c r="P872" t="str">
        <f>IF(SAISIE!$Q877="","",SAISIE!$Q877)</f>
        <v/>
      </c>
      <c r="Q872" t="str">
        <f>IF($I872="","",IF($I872&gt;PARAMETRES!$G$29,5,IF($I872&gt;PARAMETRES!$F$29,4,IF($I872&gt;PARAMETRES!$E$29,3,IF($I872&gt;PARAMETRES!$D$29,2,1)))))</f>
        <v/>
      </c>
      <c r="R872" t="str">
        <f>IF($J872="","",IF($J872&gt;PARAMETRES!$G$30,5,IF($J872&gt;PARAMETRES!$F$30,4,IF($J872&gt;PARAMETRES!$E$30,3,IF($J872&gt;PARAMETRES!$D$30,2,1)))))</f>
        <v/>
      </c>
      <c r="S872" t="str">
        <f>IF($K872="","",IF($Z872=2,IF($K872&gt;PARAMETRES!$G$31,5,IF($K872&gt;PARAMETRES!$F$31,4,IF($K872&gt;PARAMETRES!$E$31,3,IF($K872&gt;PARAMETRES!$D$31,2,1)))),IF($K872&gt;PARAMETRES!$G$32,5,IF($K872&gt;PARAMETRES!$F$32,4,IF($K872&gt;PARAMETRES!$E$32,3,IF($K872&gt;PARAMETRES!$D$32,2,1))))))</f>
        <v/>
      </c>
      <c r="T872" t="str">
        <f>IF($L872="","",IF($L872&gt;PARAMETRES!$G$33,5,IF($L872&gt;PARAMETRES!$F$33,4,IF($L872&gt;PARAMETRES!$E$33,3,IF($L872&gt;PARAMETRES!$D$33,2,1)))))</f>
        <v/>
      </c>
      <c r="U872" t="str">
        <f>IF($M872="","",IF($M872&gt;PARAMETRES!$G$34,5,IF($M872&gt;PARAMETRES!$F$34,4,IF($M872&gt;PARAMETRES!$E$34,3,IF($M872&gt;PARAMETRES!$D$34,2,1)))))</f>
        <v/>
      </c>
      <c r="V872" t="str">
        <f>IF($N872="","",IF($N872&gt;PARAMETRES!$G$35,5,IF($N872&gt;PARAMETRES!$F$35,4,IF($N872&gt;PARAMETRES!$E$35,3,IF($N872&gt;PARAMETRES!$D$35,2,1)))))</f>
        <v/>
      </c>
      <c r="W872" t="str">
        <f>IF($O872="","",IF($O872&gt;PARAMETRES!$G$36,5,IF($O872&gt;PARAMETRES!$F$36,4,IF($O872&gt;PARAMETRES!$E$36,3,IF($O872&gt;PARAMETRES!$D$36,2,1)))))</f>
        <v/>
      </c>
      <c r="X872" t="str">
        <f>IF($P872="","",IF($P872&gt;PARAMETRES!$G$37,5,IF($P872&gt;PARAMETRES!$F$37,4,IF($P872&gt;PARAMETRES!$E$37,3,IF($P872&gt;PARAMETRES!$D$37,2,1)))))</f>
        <v/>
      </c>
      <c r="Y872" t="str">
        <f t="shared" si="312"/>
        <v/>
      </c>
      <c r="Z872" t="str">
        <f>IFERROR(VLOOKUP($B872,TABLE_CYCLE,2,0),"")</f>
        <v/>
      </c>
      <c r="AA872" t="str">
        <f t="shared" si="313"/>
        <v/>
      </c>
      <c r="AB872" t="str">
        <f>IF($D872="","",IF(COUNTIF($D$2:$D872,$D872)=1,$D872,""))</f>
        <v/>
      </c>
      <c r="AC872">
        <f t="shared" si="314"/>
        <v>0</v>
      </c>
      <c r="AD872" t="str">
        <f t="shared" si="315"/>
        <v>|0</v>
      </c>
      <c r="AE872" t="str">
        <f t="shared" si="316"/>
        <v/>
      </c>
      <c r="AF872" t="str">
        <f t="shared" si="317"/>
        <v/>
      </c>
      <c r="AG872" t="str">
        <f t="shared" si="318"/>
        <v/>
      </c>
      <c r="AH872" t="str">
        <f t="shared" si="319"/>
        <v/>
      </c>
      <c r="AI872" t="str">
        <f t="shared" si="320"/>
        <v/>
      </c>
      <c r="AJ872" t="str">
        <f t="shared" si="321"/>
        <v/>
      </c>
      <c r="AK872" t="str">
        <f t="shared" si="322"/>
        <v/>
      </c>
      <c r="AL872" t="str">
        <f t="shared" si="323"/>
        <v/>
      </c>
      <c r="AM872" t="str">
        <f t="shared" si="324"/>
        <v/>
      </c>
      <c r="AN872" t="str">
        <f t="shared" si="325"/>
        <v/>
      </c>
      <c r="AO872" t="str">
        <f t="shared" si="326"/>
        <v/>
      </c>
      <c r="AP872">
        <f t="shared" si="327"/>
        <v>1</v>
      </c>
      <c r="AQ872" t="str">
        <f>IF(SAISIE!$F877="","",SAISIE!$Y877)</f>
        <v/>
      </c>
      <c r="AR872" t="str">
        <f>IF(OR(SAISIE!$U$4="",SAISIE!$W$4=""),"",IF(AND($A872=SAISIE!$U$4,$B872=SAISIE!$W$4,$C872="S1"),COUNTIFS($A$2:$A872,SAISIE!$U$4,$B$2:$B872,SAISIE!$W$4,$C$2:$C872,"S1"),""))</f>
        <v/>
      </c>
      <c r="AS872" t="str">
        <f t="shared" si="328"/>
        <v/>
      </c>
      <c r="AT872" t="str">
        <f t="shared" si="329"/>
        <v/>
      </c>
      <c r="AU872" t="str">
        <f t="shared" si="330"/>
        <v/>
      </c>
      <c r="AV872">
        <f>N(AV871)+IF(AND($AB872&lt;&gt;"",OR('PROFIL ELEVE'!$K$4="(Tous)",$AF872='PROFIL ELEVE'!$K$4)),1,0)</f>
        <v>0</v>
      </c>
      <c r="AW872">
        <f>N(AW871)+IF(AND($AB872&lt;&gt;"",OR('SUIVI LONGITUDINAL'!$Q$4="(Tous)",$AF872='SUIVI LONGITUDINAL'!$Q$4)),1,0)</f>
        <v>0</v>
      </c>
      <c r="AX872">
        <f t="shared" si="331"/>
        <v>0</v>
      </c>
      <c r="AY872">
        <f t="shared" si="332"/>
        <v>0</v>
      </c>
      <c r="AZ872">
        <f t="shared" si="333"/>
        <v>0</v>
      </c>
      <c r="BA872" t="str">
        <f t="shared" si="334"/>
        <v/>
      </c>
      <c r="BB872" t="str">
        <f t="shared" si="335"/>
        <v/>
      </c>
    </row>
    <row r="873" spans="1:54" ht="14.25" customHeight="1" x14ac:dyDescent="0.3">
      <c r="A873" t="str">
        <f>IF(SAISIE!$F878="","",SAISIE!$B878)</f>
        <v/>
      </c>
      <c r="B873" t="str">
        <f>IF(SAISIE!$F878="","",SAISIE!$C878)</f>
        <v/>
      </c>
      <c r="C873" t="str">
        <f>IF(SAISIE!$F878="","",SAISIE!$D878)</f>
        <v/>
      </c>
      <c r="D873" t="str">
        <f>IF(SAISIE!$E878="","",SAISIE!$E878)</f>
        <v/>
      </c>
      <c r="E873" t="str">
        <f>IF(SAISIE!$F878="","",SAISIE!$F878)</f>
        <v/>
      </c>
      <c r="F873" t="str">
        <f>IF(SAISIE!$G878="","",SAISIE!$G878)</f>
        <v/>
      </c>
      <c r="G873" t="str">
        <f>IF(SAISIE!$H878="","",SAISIE!$H878)</f>
        <v/>
      </c>
      <c r="H873" t="str">
        <f>IF(SAISIE!$I878="","",SAISIE!$I878)</f>
        <v/>
      </c>
      <c r="I873" t="str">
        <f>IF(SAISIE!$J878="","",SAISIE!$J878)</f>
        <v/>
      </c>
      <c r="J873" t="str">
        <f>IF(SAISIE!$K878="","",SAISIE!$K878)</f>
        <v/>
      </c>
      <c r="K873" t="str">
        <f>IF(SAISIE!$L878="","",SAISIE!$L878)</f>
        <v/>
      </c>
      <c r="L873" t="str">
        <f>IF(SAISIE!$M878="","",SAISIE!$M878)</f>
        <v/>
      </c>
      <c r="M873" t="str">
        <f>IF(SAISIE!$N878="","",SAISIE!$N878)</f>
        <v/>
      </c>
      <c r="N873" t="str">
        <f>IF(SAISIE!$O878="","",SAISIE!$O878)</f>
        <v/>
      </c>
      <c r="O873" t="str">
        <f>IF(SAISIE!$P878="","",SAISIE!$P878)</f>
        <v/>
      </c>
      <c r="P873" t="str">
        <f>IF(SAISIE!$Q878="","",SAISIE!$Q878)</f>
        <v/>
      </c>
      <c r="Q873" t="str">
        <f>IF($I873="","",IF($I873&gt;PARAMETRES!$G$29,5,IF($I873&gt;PARAMETRES!$F$29,4,IF($I873&gt;PARAMETRES!$E$29,3,IF($I873&gt;PARAMETRES!$D$29,2,1)))))</f>
        <v/>
      </c>
      <c r="R873" t="str">
        <f>IF($J873="","",IF($J873&gt;PARAMETRES!$G$30,5,IF($J873&gt;PARAMETRES!$F$30,4,IF($J873&gt;PARAMETRES!$E$30,3,IF($J873&gt;PARAMETRES!$D$30,2,1)))))</f>
        <v/>
      </c>
      <c r="S873" t="str">
        <f>IF($K873="","",IF($Z873=2,IF($K873&gt;PARAMETRES!$G$31,5,IF($K873&gt;PARAMETRES!$F$31,4,IF($K873&gt;PARAMETRES!$E$31,3,IF($K873&gt;PARAMETRES!$D$31,2,1)))),IF($K873&gt;PARAMETRES!$G$32,5,IF($K873&gt;PARAMETRES!$F$32,4,IF($K873&gt;PARAMETRES!$E$32,3,IF($K873&gt;PARAMETRES!$D$32,2,1))))))</f>
        <v/>
      </c>
      <c r="T873" t="str">
        <f>IF($L873="","",IF($L873&gt;PARAMETRES!$G$33,5,IF($L873&gt;PARAMETRES!$F$33,4,IF($L873&gt;PARAMETRES!$E$33,3,IF($L873&gt;PARAMETRES!$D$33,2,1)))))</f>
        <v/>
      </c>
      <c r="U873" t="str">
        <f>IF($M873="","",IF($M873&gt;PARAMETRES!$G$34,5,IF($M873&gt;PARAMETRES!$F$34,4,IF($M873&gt;PARAMETRES!$E$34,3,IF($M873&gt;PARAMETRES!$D$34,2,1)))))</f>
        <v/>
      </c>
      <c r="V873" t="str">
        <f>IF($N873="","",IF($N873&gt;PARAMETRES!$G$35,5,IF($N873&gt;PARAMETRES!$F$35,4,IF($N873&gt;PARAMETRES!$E$35,3,IF($N873&gt;PARAMETRES!$D$35,2,1)))))</f>
        <v/>
      </c>
      <c r="W873" t="str">
        <f>IF($O873="","",IF($O873&gt;PARAMETRES!$G$36,5,IF($O873&gt;PARAMETRES!$F$36,4,IF($O873&gt;PARAMETRES!$E$36,3,IF($O873&gt;PARAMETRES!$D$36,2,1)))))</f>
        <v/>
      </c>
      <c r="X873" t="str">
        <f>IF($P873="","",IF($P873&gt;PARAMETRES!$G$37,5,IF($P873&gt;PARAMETRES!$F$37,4,IF($P873&gt;PARAMETRES!$E$37,3,IF($P873&gt;PARAMETRES!$D$37,2,1)))))</f>
        <v/>
      </c>
      <c r="Y873" t="str">
        <f t="shared" si="312"/>
        <v/>
      </c>
      <c r="Z873" t="str">
        <f>IFERROR(VLOOKUP($B873,TABLE_CYCLE,2,0),"")</f>
        <v/>
      </c>
      <c r="AA873" t="str">
        <f t="shared" si="313"/>
        <v/>
      </c>
      <c r="AB873" t="str">
        <f>IF($D873="","",IF(COUNTIF($D$2:$D873,$D873)=1,$D873,""))</f>
        <v/>
      </c>
      <c r="AC873">
        <f t="shared" si="314"/>
        <v>0</v>
      </c>
      <c r="AD873" t="str">
        <f t="shared" si="315"/>
        <v>|0</v>
      </c>
      <c r="AE873" t="str">
        <f t="shared" si="316"/>
        <v/>
      </c>
      <c r="AF873" t="str">
        <f t="shared" si="317"/>
        <v/>
      </c>
      <c r="AG873" t="str">
        <f t="shared" si="318"/>
        <v/>
      </c>
      <c r="AH873" t="str">
        <f t="shared" si="319"/>
        <v/>
      </c>
      <c r="AI873" t="str">
        <f t="shared" si="320"/>
        <v/>
      </c>
      <c r="AJ873" t="str">
        <f t="shared" si="321"/>
        <v/>
      </c>
      <c r="AK873" t="str">
        <f t="shared" si="322"/>
        <v/>
      </c>
      <c r="AL873" t="str">
        <f t="shared" si="323"/>
        <v/>
      </c>
      <c r="AM873" t="str">
        <f t="shared" si="324"/>
        <v/>
      </c>
      <c r="AN873" t="str">
        <f t="shared" si="325"/>
        <v/>
      </c>
      <c r="AO873" t="str">
        <f t="shared" si="326"/>
        <v/>
      </c>
      <c r="AP873">
        <f t="shared" si="327"/>
        <v>1</v>
      </c>
      <c r="AQ873" t="str">
        <f>IF(SAISIE!$F878="","",SAISIE!$Y878)</f>
        <v/>
      </c>
      <c r="AR873" t="str">
        <f>IF(OR(SAISIE!$U$4="",SAISIE!$W$4=""),"",IF(AND($A873=SAISIE!$U$4,$B873=SAISIE!$W$4,$C873="S1"),COUNTIFS($A$2:$A873,SAISIE!$U$4,$B$2:$B873,SAISIE!$W$4,$C$2:$C873,"S1"),""))</f>
        <v/>
      </c>
      <c r="AS873" t="str">
        <f t="shared" si="328"/>
        <v/>
      </c>
      <c r="AT873" t="str">
        <f t="shared" si="329"/>
        <v/>
      </c>
      <c r="AU873" t="str">
        <f t="shared" si="330"/>
        <v/>
      </c>
      <c r="AV873">
        <f>N(AV872)+IF(AND($AB873&lt;&gt;"",OR('PROFIL ELEVE'!$K$4="(Tous)",$AF873='PROFIL ELEVE'!$K$4)),1,0)</f>
        <v>0</v>
      </c>
      <c r="AW873">
        <f>N(AW872)+IF(AND($AB873&lt;&gt;"",OR('SUIVI LONGITUDINAL'!$Q$4="(Tous)",$AF873='SUIVI LONGITUDINAL'!$Q$4)),1,0)</f>
        <v>0</v>
      </c>
      <c r="AX873">
        <f t="shared" si="331"/>
        <v>0</v>
      </c>
      <c r="AY873">
        <f t="shared" si="332"/>
        <v>0</v>
      </c>
      <c r="AZ873">
        <f t="shared" si="333"/>
        <v>0</v>
      </c>
      <c r="BA873" t="str">
        <f t="shared" si="334"/>
        <v/>
      </c>
      <c r="BB873" t="str">
        <f t="shared" si="335"/>
        <v/>
      </c>
    </row>
    <row r="874" spans="1:54" ht="14.25" customHeight="1" x14ac:dyDescent="0.3">
      <c r="A874" t="str">
        <f>IF(SAISIE!$F879="","",SAISIE!$B879)</f>
        <v/>
      </c>
      <c r="B874" t="str">
        <f>IF(SAISIE!$F879="","",SAISIE!$C879)</f>
        <v/>
      </c>
      <c r="C874" t="str">
        <f>IF(SAISIE!$F879="","",SAISIE!$D879)</f>
        <v/>
      </c>
      <c r="D874" t="str">
        <f>IF(SAISIE!$E879="","",SAISIE!$E879)</f>
        <v/>
      </c>
      <c r="E874" t="str">
        <f>IF(SAISIE!$F879="","",SAISIE!$F879)</f>
        <v/>
      </c>
      <c r="F874" t="str">
        <f>IF(SAISIE!$G879="","",SAISIE!$G879)</f>
        <v/>
      </c>
      <c r="G874" t="str">
        <f>IF(SAISIE!$H879="","",SAISIE!$H879)</f>
        <v/>
      </c>
      <c r="H874" t="str">
        <f>IF(SAISIE!$I879="","",SAISIE!$I879)</f>
        <v/>
      </c>
      <c r="I874" t="str">
        <f>IF(SAISIE!$J879="","",SAISIE!$J879)</f>
        <v/>
      </c>
      <c r="J874" t="str">
        <f>IF(SAISIE!$K879="","",SAISIE!$K879)</f>
        <v/>
      </c>
      <c r="K874" t="str">
        <f>IF(SAISIE!$L879="","",SAISIE!$L879)</f>
        <v/>
      </c>
      <c r="L874" t="str">
        <f>IF(SAISIE!$M879="","",SAISIE!$M879)</f>
        <v/>
      </c>
      <c r="M874" t="str">
        <f>IF(SAISIE!$N879="","",SAISIE!$N879)</f>
        <v/>
      </c>
      <c r="N874" t="str">
        <f>IF(SAISIE!$O879="","",SAISIE!$O879)</f>
        <v/>
      </c>
      <c r="O874" t="str">
        <f>IF(SAISIE!$P879="","",SAISIE!$P879)</f>
        <v/>
      </c>
      <c r="P874" t="str">
        <f>IF(SAISIE!$Q879="","",SAISIE!$Q879)</f>
        <v/>
      </c>
      <c r="Q874" t="str">
        <f>IF($I874="","",IF($I874&gt;PARAMETRES!$G$29,5,IF($I874&gt;PARAMETRES!$F$29,4,IF($I874&gt;PARAMETRES!$E$29,3,IF($I874&gt;PARAMETRES!$D$29,2,1)))))</f>
        <v/>
      </c>
      <c r="R874" t="str">
        <f>IF($J874="","",IF($J874&gt;PARAMETRES!$G$30,5,IF($J874&gt;PARAMETRES!$F$30,4,IF($J874&gt;PARAMETRES!$E$30,3,IF($J874&gt;PARAMETRES!$D$30,2,1)))))</f>
        <v/>
      </c>
      <c r="S874" t="str">
        <f>IF($K874="","",IF($Z874=2,IF($K874&gt;PARAMETRES!$G$31,5,IF($K874&gt;PARAMETRES!$F$31,4,IF($K874&gt;PARAMETRES!$E$31,3,IF($K874&gt;PARAMETRES!$D$31,2,1)))),IF($K874&gt;PARAMETRES!$G$32,5,IF($K874&gt;PARAMETRES!$F$32,4,IF($K874&gt;PARAMETRES!$E$32,3,IF($K874&gt;PARAMETRES!$D$32,2,1))))))</f>
        <v/>
      </c>
      <c r="T874" t="str">
        <f>IF($L874="","",IF($L874&gt;PARAMETRES!$G$33,5,IF($L874&gt;PARAMETRES!$F$33,4,IF($L874&gt;PARAMETRES!$E$33,3,IF($L874&gt;PARAMETRES!$D$33,2,1)))))</f>
        <v/>
      </c>
      <c r="U874" t="str">
        <f>IF($M874="","",IF($M874&gt;PARAMETRES!$G$34,5,IF($M874&gt;PARAMETRES!$F$34,4,IF($M874&gt;PARAMETRES!$E$34,3,IF($M874&gt;PARAMETRES!$D$34,2,1)))))</f>
        <v/>
      </c>
      <c r="V874" t="str">
        <f>IF($N874="","",IF($N874&gt;PARAMETRES!$G$35,5,IF($N874&gt;PARAMETRES!$F$35,4,IF($N874&gt;PARAMETRES!$E$35,3,IF($N874&gt;PARAMETRES!$D$35,2,1)))))</f>
        <v/>
      </c>
      <c r="W874" t="str">
        <f>IF($O874="","",IF($O874&gt;PARAMETRES!$G$36,5,IF($O874&gt;PARAMETRES!$F$36,4,IF($O874&gt;PARAMETRES!$E$36,3,IF($O874&gt;PARAMETRES!$D$36,2,1)))))</f>
        <v/>
      </c>
      <c r="X874" t="str">
        <f>IF($P874="","",IF($P874&gt;PARAMETRES!$G$37,5,IF($P874&gt;PARAMETRES!$F$37,4,IF($P874&gt;PARAMETRES!$E$37,3,IF($P874&gt;PARAMETRES!$D$37,2,1)))))</f>
        <v/>
      </c>
      <c r="Y874" t="str">
        <f t="shared" si="312"/>
        <v/>
      </c>
      <c r="Z874" t="str">
        <f>IFERROR(VLOOKUP($B874,TABLE_CYCLE,2,0),"")</f>
        <v/>
      </c>
      <c r="AA874" t="str">
        <f t="shared" si="313"/>
        <v/>
      </c>
      <c r="AB874" t="str">
        <f>IF($D874="","",IF(COUNTIF($D$2:$D874,$D874)=1,$D874,""))</f>
        <v/>
      </c>
      <c r="AC874">
        <f t="shared" si="314"/>
        <v>0</v>
      </c>
      <c r="AD874" t="str">
        <f t="shared" si="315"/>
        <v>|0</v>
      </c>
      <c r="AE874" t="str">
        <f t="shared" si="316"/>
        <v/>
      </c>
      <c r="AF874" t="str">
        <f t="shared" si="317"/>
        <v/>
      </c>
      <c r="AG874" t="str">
        <f t="shared" si="318"/>
        <v/>
      </c>
      <c r="AH874" t="str">
        <f t="shared" si="319"/>
        <v/>
      </c>
      <c r="AI874" t="str">
        <f t="shared" si="320"/>
        <v/>
      </c>
      <c r="AJ874" t="str">
        <f t="shared" si="321"/>
        <v/>
      </c>
      <c r="AK874" t="str">
        <f t="shared" si="322"/>
        <v/>
      </c>
      <c r="AL874" t="str">
        <f t="shared" si="323"/>
        <v/>
      </c>
      <c r="AM874" t="str">
        <f t="shared" si="324"/>
        <v/>
      </c>
      <c r="AN874" t="str">
        <f t="shared" si="325"/>
        <v/>
      </c>
      <c r="AO874" t="str">
        <f t="shared" si="326"/>
        <v/>
      </c>
      <c r="AP874">
        <f t="shared" si="327"/>
        <v>1</v>
      </c>
      <c r="AQ874" t="str">
        <f>IF(SAISIE!$F879="","",SAISIE!$Y879)</f>
        <v/>
      </c>
      <c r="AR874" t="str">
        <f>IF(OR(SAISIE!$U$4="",SAISIE!$W$4=""),"",IF(AND($A874=SAISIE!$U$4,$B874=SAISIE!$W$4,$C874="S1"),COUNTIFS($A$2:$A874,SAISIE!$U$4,$B$2:$B874,SAISIE!$W$4,$C$2:$C874,"S1"),""))</f>
        <v/>
      </c>
      <c r="AS874" t="str">
        <f t="shared" si="328"/>
        <v/>
      </c>
      <c r="AT874" t="str">
        <f t="shared" si="329"/>
        <v/>
      </c>
      <c r="AU874" t="str">
        <f t="shared" si="330"/>
        <v/>
      </c>
      <c r="AV874">
        <f>N(AV873)+IF(AND($AB874&lt;&gt;"",OR('PROFIL ELEVE'!$K$4="(Tous)",$AF874='PROFIL ELEVE'!$K$4)),1,0)</f>
        <v>0</v>
      </c>
      <c r="AW874">
        <f>N(AW873)+IF(AND($AB874&lt;&gt;"",OR('SUIVI LONGITUDINAL'!$Q$4="(Tous)",$AF874='SUIVI LONGITUDINAL'!$Q$4)),1,0)</f>
        <v>0</v>
      </c>
      <c r="AX874">
        <f t="shared" si="331"/>
        <v>0</v>
      </c>
      <c r="AY874">
        <f t="shared" si="332"/>
        <v>0</v>
      </c>
      <c r="AZ874">
        <f t="shared" si="333"/>
        <v>0</v>
      </c>
      <c r="BA874" t="str">
        <f t="shared" si="334"/>
        <v/>
      </c>
      <c r="BB874" t="str">
        <f t="shared" si="335"/>
        <v/>
      </c>
    </row>
    <row r="875" spans="1:54" ht="14.25" customHeight="1" x14ac:dyDescent="0.3">
      <c r="A875" t="str">
        <f>IF(SAISIE!$F880="","",SAISIE!$B880)</f>
        <v/>
      </c>
      <c r="B875" t="str">
        <f>IF(SAISIE!$F880="","",SAISIE!$C880)</f>
        <v/>
      </c>
      <c r="C875" t="str">
        <f>IF(SAISIE!$F880="","",SAISIE!$D880)</f>
        <v/>
      </c>
      <c r="D875" t="str">
        <f>IF(SAISIE!$E880="","",SAISIE!$E880)</f>
        <v/>
      </c>
      <c r="E875" t="str">
        <f>IF(SAISIE!$F880="","",SAISIE!$F880)</f>
        <v/>
      </c>
      <c r="F875" t="str">
        <f>IF(SAISIE!$G880="","",SAISIE!$G880)</f>
        <v/>
      </c>
      <c r="G875" t="str">
        <f>IF(SAISIE!$H880="","",SAISIE!$H880)</f>
        <v/>
      </c>
      <c r="H875" t="str">
        <f>IF(SAISIE!$I880="","",SAISIE!$I880)</f>
        <v/>
      </c>
      <c r="I875" t="str">
        <f>IF(SAISIE!$J880="","",SAISIE!$J880)</f>
        <v/>
      </c>
      <c r="J875" t="str">
        <f>IF(SAISIE!$K880="","",SAISIE!$K880)</f>
        <v/>
      </c>
      <c r="K875" t="str">
        <f>IF(SAISIE!$L880="","",SAISIE!$L880)</f>
        <v/>
      </c>
      <c r="L875" t="str">
        <f>IF(SAISIE!$M880="","",SAISIE!$M880)</f>
        <v/>
      </c>
      <c r="M875" t="str">
        <f>IF(SAISIE!$N880="","",SAISIE!$N880)</f>
        <v/>
      </c>
      <c r="N875" t="str">
        <f>IF(SAISIE!$O880="","",SAISIE!$O880)</f>
        <v/>
      </c>
      <c r="O875" t="str">
        <f>IF(SAISIE!$P880="","",SAISIE!$P880)</f>
        <v/>
      </c>
      <c r="P875" t="str">
        <f>IF(SAISIE!$Q880="","",SAISIE!$Q880)</f>
        <v/>
      </c>
      <c r="Q875" t="str">
        <f>IF($I875="","",IF($I875&gt;PARAMETRES!$G$29,5,IF($I875&gt;PARAMETRES!$F$29,4,IF($I875&gt;PARAMETRES!$E$29,3,IF($I875&gt;PARAMETRES!$D$29,2,1)))))</f>
        <v/>
      </c>
      <c r="R875" t="str">
        <f>IF($J875="","",IF($J875&gt;PARAMETRES!$G$30,5,IF($J875&gt;PARAMETRES!$F$30,4,IF($J875&gt;PARAMETRES!$E$30,3,IF($J875&gt;PARAMETRES!$D$30,2,1)))))</f>
        <v/>
      </c>
      <c r="S875" t="str">
        <f>IF($K875="","",IF($Z875=2,IF($K875&gt;PARAMETRES!$G$31,5,IF($K875&gt;PARAMETRES!$F$31,4,IF($K875&gt;PARAMETRES!$E$31,3,IF($K875&gt;PARAMETRES!$D$31,2,1)))),IF($K875&gt;PARAMETRES!$G$32,5,IF($K875&gt;PARAMETRES!$F$32,4,IF($K875&gt;PARAMETRES!$E$32,3,IF($K875&gt;PARAMETRES!$D$32,2,1))))))</f>
        <v/>
      </c>
      <c r="T875" t="str">
        <f>IF($L875="","",IF($L875&gt;PARAMETRES!$G$33,5,IF($L875&gt;PARAMETRES!$F$33,4,IF($L875&gt;PARAMETRES!$E$33,3,IF($L875&gt;PARAMETRES!$D$33,2,1)))))</f>
        <v/>
      </c>
      <c r="U875" t="str">
        <f>IF($M875="","",IF($M875&gt;PARAMETRES!$G$34,5,IF($M875&gt;PARAMETRES!$F$34,4,IF($M875&gt;PARAMETRES!$E$34,3,IF($M875&gt;PARAMETRES!$D$34,2,1)))))</f>
        <v/>
      </c>
      <c r="V875" t="str">
        <f>IF($N875="","",IF($N875&gt;PARAMETRES!$G$35,5,IF($N875&gt;PARAMETRES!$F$35,4,IF($N875&gt;PARAMETRES!$E$35,3,IF($N875&gt;PARAMETRES!$D$35,2,1)))))</f>
        <v/>
      </c>
      <c r="W875" t="str">
        <f>IF($O875="","",IF($O875&gt;PARAMETRES!$G$36,5,IF($O875&gt;PARAMETRES!$F$36,4,IF($O875&gt;PARAMETRES!$E$36,3,IF($O875&gt;PARAMETRES!$D$36,2,1)))))</f>
        <v/>
      </c>
      <c r="X875" t="str">
        <f>IF($P875="","",IF($P875&gt;PARAMETRES!$G$37,5,IF($P875&gt;PARAMETRES!$F$37,4,IF($P875&gt;PARAMETRES!$E$37,3,IF($P875&gt;PARAMETRES!$D$37,2,1)))))</f>
        <v/>
      </c>
      <c r="Y875" t="str">
        <f t="shared" si="312"/>
        <v/>
      </c>
      <c r="Z875" t="str">
        <f>IFERROR(VLOOKUP($B875,TABLE_CYCLE,2,0),"")</f>
        <v/>
      </c>
      <c r="AA875" t="str">
        <f t="shared" si="313"/>
        <v/>
      </c>
      <c r="AB875" t="str">
        <f>IF($D875="","",IF(COUNTIF($D$2:$D875,$D875)=1,$D875,""))</f>
        <v/>
      </c>
      <c r="AC875">
        <f t="shared" si="314"/>
        <v>0</v>
      </c>
      <c r="AD875" t="str">
        <f t="shared" si="315"/>
        <v>|0</v>
      </c>
      <c r="AE875" t="str">
        <f t="shared" si="316"/>
        <v/>
      </c>
      <c r="AF875" t="str">
        <f t="shared" si="317"/>
        <v/>
      </c>
      <c r="AG875" t="str">
        <f t="shared" si="318"/>
        <v/>
      </c>
      <c r="AH875" t="str">
        <f t="shared" si="319"/>
        <v/>
      </c>
      <c r="AI875" t="str">
        <f t="shared" si="320"/>
        <v/>
      </c>
      <c r="AJ875" t="str">
        <f t="shared" si="321"/>
        <v/>
      </c>
      <c r="AK875" t="str">
        <f t="shared" si="322"/>
        <v/>
      </c>
      <c r="AL875" t="str">
        <f t="shared" si="323"/>
        <v/>
      </c>
      <c r="AM875" t="str">
        <f t="shared" si="324"/>
        <v/>
      </c>
      <c r="AN875" t="str">
        <f t="shared" si="325"/>
        <v/>
      </c>
      <c r="AO875" t="str">
        <f t="shared" si="326"/>
        <v/>
      </c>
      <c r="AP875">
        <f t="shared" si="327"/>
        <v>1</v>
      </c>
      <c r="AQ875" t="str">
        <f>IF(SAISIE!$F880="","",SAISIE!$Y880)</f>
        <v/>
      </c>
      <c r="AR875" t="str">
        <f>IF(OR(SAISIE!$U$4="",SAISIE!$W$4=""),"",IF(AND($A875=SAISIE!$U$4,$B875=SAISIE!$W$4,$C875="S1"),COUNTIFS($A$2:$A875,SAISIE!$U$4,$B$2:$B875,SAISIE!$W$4,$C$2:$C875,"S1"),""))</f>
        <v/>
      </c>
      <c r="AS875" t="str">
        <f t="shared" si="328"/>
        <v/>
      </c>
      <c r="AT875" t="str">
        <f t="shared" si="329"/>
        <v/>
      </c>
      <c r="AU875" t="str">
        <f t="shared" si="330"/>
        <v/>
      </c>
      <c r="AV875">
        <f>N(AV874)+IF(AND($AB875&lt;&gt;"",OR('PROFIL ELEVE'!$K$4="(Tous)",$AF875='PROFIL ELEVE'!$K$4)),1,0)</f>
        <v>0</v>
      </c>
      <c r="AW875">
        <f>N(AW874)+IF(AND($AB875&lt;&gt;"",OR('SUIVI LONGITUDINAL'!$Q$4="(Tous)",$AF875='SUIVI LONGITUDINAL'!$Q$4)),1,0)</f>
        <v>0</v>
      </c>
      <c r="AX875">
        <f t="shared" si="331"/>
        <v>0</v>
      </c>
      <c r="AY875">
        <f t="shared" si="332"/>
        <v>0</v>
      </c>
      <c r="AZ875">
        <f t="shared" si="333"/>
        <v>0</v>
      </c>
      <c r="BA875" t="str">
        <f t="shared" si="334"/>
        <v/>
      </c>
      <c r="BB875" t="str">
        <f t="shared" si="335"/>
        <v/>
      </c>
    </row>
    <row r="876" spans="1:54" ht="14.25" customHeight="1" x14ac:dyDescent="0.3">
      <c r="A876" t="str">
        <f>IF(SAISIE!$F881="","",SAISIE!$B881)</f>
        <v/>
      </c>
      <c r="B876" t="str">
        <f>IF(SAISIE!$F881="","",SAISIE!$C881)</f>
        <v/>
      </c>
      <c r="C876" t="str">
        <f>IF(SAISIE!$F881="","",SAISIE!$D881)</f>
        <v/>
      </c>
      <c r="D876" t="str">
        <f>IF(SAISIE!$E881="","",SAISIE!$E881)</f>
        <v/>
      </c>
      <c r="E876" t="str">
        <f>IF(SAISIE!$F881="","",SAISIE!$F881)</f>
        <v/>
      </c>
      <c r="F876" t="str">
        <f>IF(SAISIE!$G881="","",SAISIE!$G881)</f>
        <v/>
      </c>
      <c r="G876" t="str">
        <f>IF(SAISIE!$H881="","",SAISIE!$H881)</f>
        <v/>
      </c>
      <c r="H876" t="str">
        <f>IF(SAISIE!$I881="","",SAISIE!$I881)</f>
        <v/>
      </c>
      <c r="I876" t="str">
        <f>IF(SAISIE!$J881="","",SAISIE!$J881)</f>
        <v/>
      </c>
      <c r="J876" t="str">
        <f>IF(SAISIE!$K881="","",SAISIE!$K881)</f>
        <v/>
      </c>
      <c r="K876" t="str">
        <f>IF(SAISIE!$L881="","",SAISIE!$L881)</f>
        <v/>
      </c>
      <c r="L876" t="str">
        <f>IF(SAISIE!$M881="","",SAISIE!$M881)</f>
        <v/>
      </c>
      <c r="M876" t="str">
        <f>IF(SAISIE!$N881="","",SAISIE!$N881)</f>
        <v/>
      </c>
      <c r="N876" t="str">
        <f>IF(SAISIE!$O881="","",SAISIE!$O881)</f>
        <v/>
      </c>
      <c r="O876" t="str">
        <f>IF(SAISIE!$P881="","",SAISIE!$P881)</f>
        <v/>
      </c>
      <c r="P876" t="str">
        <f>IF(SAISIE!$Q881="","",SAISIE!$Q881)</f>
        <v/>
      </c>
      <c r="Q876" t="str">
        <f>IF($I876="","",IF($I876&gt;PARAMETRES!$G$29,5,IF($I876&gt;PARAMETRES!$F$29,4,IF($I876&gt;PARAMETRES!$E$29,3,IF($I876&gt;PARAMETRES!$D$29,2,1)))))</f>
        <v/>
      </c>
      <c r="R876" t="str">
        <f>IF($J876="","",IF($J876&gt;PARAMETRES!$G$30,5,IF($J876&gt;PARAMETRES!$F$30,4,IF($J876&gt;PARAMETRES!$E$30,3,IF($J876&gt;PARAMETRES!$D$30,2,1)))))</f>
        <v/>
      </c>
      <c r="S876" t="str">
        <f>IF($K876="","",IF($Z876=2,IF($K876&gt;PARAMETRES!$G$31,5,IF($K876&gt;PARAMETRES!$F$31,4,IF($K876&gt;PARAMETRES!$E$31,3,IF($K876&gt;PARAMETRES!$D$31,2,1)))),IF($K876&gt;PARAMETRES!$G$32,5,IF($K876&gt;PARAMETRES!$F$32,4,IF($K876&gt;PARAMETRES!$E$32,3,IF($K876&gt;PARAMETRES!$D$32,2,1))))))</f>
        <v/>
      </c>
      <c r="T876" t="str">
        <f>IF($L876="","",IF($L876&gt;PARAMETRES!$G$33,5,IF($L876&gt;PARAMETRES!$F$33,4,IF($L876&gt;PARAMETRES!$E$33,3,IF($L876&gt;PARAMETRES!$D$33,2,1)))))</f>
        <v/>
      </c>
      <c r="U876" t="str">
        <f>IF($M876="","",IF($M876&gt;PARAMETRES!$G$34,5,IF($M876&gt;PARAMETRES!$F$34,4,IF($M876&gt;PARAMETRES!$E$34,3,IF($M876&gt;PARAMETRES!$D$34,2,1)))))</f>
        <v/>
      </c>
      <c r="V876" t="str">
        <f>IF($N876="","",IF($N876&gt;PARAMETRES!$G$35,5,IF($N876&gt;PARAMETRES!$F$35,4,IF($N876&gt;PARAMETRES!$E$35,3,IF($N876&gt;PARAMETRES!$D$35,2,1)))))</f>
        <v/>
      </c>
      <c r="W876" t="str">
        <f>IF($O876="","",IF($O876&gt;PARAMETRES!$G$36,5,IF($O876&gt;PARAMETRES!$F$36,4,IF($O876&gt;PARAMETRES!$E$36,3,IF($O876&gt;PARAMETRES!$D$36,2,1)))))</f>
        <v/>
      </c>
      <c r="X876" t="str">
        <f>IF($P876="","",IF($P876&gt;PARAMETRES!$G$37,5,IF($P876&gt;PARAMETRES!$F$37,4,IF($P876&gt;PARAMETRES!$E$37,3,IF($P876&gt;PARAMETRES!$D$37,2,1)))))</f>
        <v/>
      </c>
      <c r="Y876" t="str">
        <f t="shared" si="312"/>
        <v/>
      </c>
      <c r="Z876" t="str">
        <f>IFERROR(VLOOKUP($B876,TABLE_CYCLE,2,0),"")</f>
        <v/>
      </c>
      <c r="AA876" t="str">
        <f t="shared" si="313"/>
        <v/>
      </c>
      <c r="AB876" t="str">
        <f>IF($D876="","",IF(COUNTIF($D$2:$D876,$D876)=1,$D876,""))</f>
        <v/>
      </c>
      <c r="AC876">
        <f t="shared" si="314"/>
        <v>0</v>
      </c>
      <c r="AD876" t="str">
        <f t="shared" si="315"/>
        <v>|0</v>
      </c>
      <c r="AE876" t="str">
        <f t="shared" si="316"/>
        <v/>
      </c>
      <c r="AF876" t="str">
        <f t="shared" si="317"/>
        <v/>
      </c>
      <c r="AG876" t="str">
        <f t="shared" si="318"/>
        <v/>
      </c>
      <c r="AH876" t="str">
        <f t="shared" si="319"/>
        <v/>
      </c>
      <c r="AI876" t="str">
        <f t="shared" si="320"/>
        <v/>
      </c>
      <c r="AJ876" t="str">
        <f t="shared" si="321"/>
        <v/>
      </c>
      <c r="AK876" t="str">
        <f t="shared" si="322"/>
        <v/>
      </c>
      <c r="AL876" t="str">
        <f t="shared" si="323"/>
        <v/>
      </c>
      <c r="AM876" t="str">
        <f t="shared" si="324"/>
        <v/>
      </c>
      <c r="AN876" t="str">
        <f t="shared" si="325"/>
        <v/>
      </c>
      <c r="AO876" t="str">
        <f t="shared" si="326"/>
        <v/>
      </c>
      <c r="AP876">
        <f t="shared" si="327"/>
        <v>1</v>
      </c>
      <c r="AQ876" t="str">
        <f>IF(SAISIE!$F881="","",SAISIE!$Y881)</f>
        <v/>
      </c>
      <c r="AR876" t="str">
        <f>IF(OR(SAISIE!$U$4="",SAISIE!$W$4=""),"",IF(AND($A876=SAISIE!$U$4,$B876=SAISIE!$W$4,$C876="S1"),COUNTIFS($A$2:$A876,SAISIE!$U$4,$B$2:$B876,SAISIE!$W$4,$C$2:$C876,"S1"),""))</f>
        <v/>
      </c>
      <c r="AS876" t="str">
        <f t="shared" si="328"/>
        <v/>
      </c>
      <c r="AT876" t="str">
        <f t="shared" si="329"/>
        <v/>
      </c>
      <c r="AU876" t="str">
        <f t="shared" si="330"/>
        <v/>
      </c>
      <c r="AV876">
        <f>N(AV875)+IF(AND($AB876&lt;&gt;"",OR('PROFIL ELEVE'!$K$4="(Tous)",$AF876='PROFIL ELEVE'!$K$4)),1,0)</f>
        <v>0</v>
      </c>
      <c r="AW876">
        <f>N(AW875)+IF(AND($AB876&lt;&gt;"",OR('SUIVI LONGITUDINAL'!$Q$4="(Tous)",$AF876='SUIVI LONGITUDINAL'!$Q$4)),1,0)</f>
        <v>0</v>
      </c>
      <c r="AX876">
        <f t="shared" si="331"/>
        <v>0</v>
      </c>
      <c r="AY876">
        <f t="shared" si="332"/>
        <v>0</v>
      </c>
      <c r="AZ876">
        <f t="shared" si="333"/>
        <v>0</v>
      </c>
      <c r="BA876" t="str">
        <f t="shared" si="334"/>
        <v/>
      </c>
      <c r="BB876" t="str">
        <f t="shared" si="335"/>
        <v/>
      </c>
    </row>
    <row r="877" spans="1:54" ht="14.25" customHeight="1" x14ac:dyDescent="0.3">
      <c r="A877" t="str">
        <f>IF(SAISIE!$F882="","",SAISIE!$B882)</f>
        <v/>
      </c>
      <c r="B877" t="str">
        <f>IF(SAISIE!$F882="","",SAISIE!$C882)</f>
        <v/>
      </c>
      <c r="C877" t="str">
        <f>IF(SAISIE!$F882="","",SAISIE!$D882)</f>
        <v/>
      </c>
      <c r="D877" t="str">
        <f>IF(SAISIE!$E882="","",SAISIE!$E882)</f>
        <v/>
      </c>
      <c r="E877" t="str">
        <f>IF(SAISIE!$F882="","",SAISIE!$F882)</f>
        <v/>
      </c>
      <c r="F877" t="str">
        <f>IF(SAISIE!$G882="","",SAISIE!$G882)</f>
        <v/>
      </c>
      <c r="G877" t="str">
        <f>IF(SAISIE!$H882="","",SAISIE!$H882)</f>
        <v/>
      </c>
      <c r="H877" t="str">
        <f>IF(SAISIE!$I882="","",SAISIE!$I882)</f>
        <v/>
      </c>
      <c r="I877" t="str">
        <f>IF(SAISIE!$J882="","",SAISIE!$J882)</f>
        <v/>
      </c>
      <c r="J877" t="str">
        <f>IF(SAISIE!$K882="","",SAISIE!$K882)</f>
        <v/>
      </c>
      <c r="K877" t="str">
        <f>IF(SAISIE!$L882="","",SAISIE!$L882)</f>
        <v/>
      </c>
      <c r="L877" t="str">
        <f>IF(SAISIE!$M882="","",SAISIE!$M882)</f>
        <v/>
      </c>
      <c r="M877" t="str">
        <f>IF(SAISIE!$N882="","",SAISIE!$N882)</f>
        <v/>
      </c>
      <c r="N877" t="str">
        <f>IF(SAISIE!$O882="","",SAISIE!$O882)</f>
        <v/>
      </c>
      <c r="O877" t="str">
        <f>IF(SAISIE!$P882="","",SAISIE!$P882)</f>
        <v/>
      </c>
      <c r="P877" t="str">
        <f>IF(SAISIE!$Q882="","",SAISIE!$Q882)</f>
        <v/>
      </c>
      <c r="Q877" t="str">
        <f>IF($I877="","",IF($I877&gt;PARAMETRES!$G$29,5,IF($I877&gt;PARAMETRES!$F$29,4,IF($I877&gt;PARAMETRES!$E$29,3,IF($I877&gt;PARAMETRES!$D$29,2,1)))))</f>
        <v/>
      </c>
      <c r="R877" t="str">
        <f>IF($J877="","",IF($J877&gt;PARAMETRES!$G$30,5,IF($J877&gt;PARAMETRES!$F$30,4,IF($J877&gt;PARAMETRES!$E$30,3,IF($J877&gt;PARAMETRES!$D$30,2,1)))))</f>
        <v/>
      </c>
      <c r="S877" t="str">
        <f>IF($K877="","",IF($Z877=2,IF($K877&gt;PARAMETRES!$G$31,5,IF($K877&gt;PARAMETRES!$F$31,4,IF($K877&gt;PARAMETRES!$E$31,3,IF($K877&gt;PARAMETRES!$D$31,2,1)))),IF($K877&gt;PARAMETRES!$G$32,5,IF($K877&gt;PARAMETRES!$F$32,4,IF($K877&gt;PARAMETRES!$E$32,3,IF($K877&gt;PARAMETRES!$D$32,2,1))))))</f>
        <v/>
      </c>
      <c r="T877" t="str">
        <f>IF($L877="","",IF($L877&gt;PARAMETRES!$G$33,5,IF($L877&gt;PARAMETRES!$F$33,4,IF($L877&gt;PARAMETRES!$E$33,3,IF($L877&gt;PARAMETRES!$D$33,2,1)))))</f>
        <v/>
      </c>
      <c r="U877" t="str">
        <f>IF($M877="","",IF($M877&gt;PARAMETRES!$G$34,5,IF($M877&gt;PARAMETRES!$F$34,4,IF($M877&gt;PARAMETRES!$E$34,3,IF($M877&gt;PARAMETRES!$D$34,2,1)))))</f>
        <v/>
      </c>
      <c r="V877" t="str">
        <f>IF($N877="","",IF($N877&gt;PARAMETRES!$G$35,5,IF($N877&gt;PARAMETRES!$F$35,4,IF($N877&gt;PARAMETRES!$E$35,3,IF($N877&gt;PARAMETRES!$D$35,2,1)))))</f>
        <v/>
      </c>
      <c r="W877" t="str">
        <f>IF($O877="","",IF($O877&gt;PARAMETRES!$G$36,5,IF($O877&gt;PARAMETRES!$F$36,4,IF($O877&gt;PARAMETRES!$E$36,3,IF($O877&gt;PARAMETRES!$D$36,2,1)))))</f>
        <v/>
      </c>
      <c r="X877" t="str">
        <f>IF($P877="","",IF($P877&gt;PARAMETRES!$G$37,5,IF($P877&gt;PARAMETRES!$F$37,4,IF($P877&gt;PARAMETRES!$E$37,3,IF($P877&gt;PARAMETRES!$D$37,2,1)))))</f>
        <v/>
      </c>
      <c r="Y877" t="str">
        <f t="shared" si="312"/>
        <v/>
      </c>
      <c r="Z877" t="str">
        <f>IFERROR(VLOOKUP($B877,TABLE_CYCLE,2,0),"")</f>
        <v/>
      </c>
      <c r="AA877" t="str">
        <f t="shared" si="313"/>
        <v/>
      </c>
      <c r="AB877" t="str">
        <f>IF($D877="","",IF(COUNTIF($D$2:$D877,$D877)=1,$D877,""))</f>
        <v/>
      </c>
      <c r="AC877">
        <f t="shared" si="314"/>
        <v>0</v>
      </c>
      <c r="AD877" t="str">
        <f t="shared" si="315"/>
        <v>|0</v>
      </c>
      <c r="AE877" t="str">
        <f t="shared" si="316"/>
        <v/>
      </c>
      <c r="AF877" t="str">
        <f t="shared" si="317"/>
        <v/>
      </c>
      <c r="AG877" t="str">
        <f t="shared" si="318"/>
        <v/>
      </c>
      <c r="AH877" t="str">
        <f t="shared" si="319"/>
        <v/>
      </c>
      <c r="AI877" t="str">
        <f t="shared" si="320"/>
        <v/>
      </c>
      <c r="AJ877" t="str">
        <f t="shared" si="321"/>
        <v/>
      </c>
      <c r="AK877" t="str">
        <f t="shared" si="322"/>
        <v/>
      </c>
      <c r="AL877" t="str">
        <f t="shared" si="323"/>
        <v/>
      </c>
      <c r="AM877" t="str">
        <f t="shared" si="324"/>
        <v/>
      </c>
      <c r="AN877" t="str">
        <f t="shared" si="325"/>
        <v/>
      </c>
      <c r="AO877" t="str">
        <f t="shared" si="326"/>
        <v/>
      </c>
      <c r="AP877">
        <f t="shared" si="327"/>
        <v>1</v>
      </c>
      <c r="AQ877" t="str">
        <f>IF(SAISIE!$F882="","",SAISIE!$Y882)</f>
        <v/>
      </c>
      <c r="AR877" t="str">
        <f>IF(OR(SAISIE!$U$4="",SAISIE!$W$4=""),"",IF(AND($A877=SAISIE!$U$4,$B877=SAISIE!$W$4,$C877="S1"),COUNTIFS($A$2:$A877,SAISIE!$U$4,$B$2:$B877,SAISIE!$W$4,$C$2:$C877,"S1"),""))</f>
        <v/>
      </c>
      <c r="AS877" t="str">
        <f t="shared" si="328"/>
        <v/>
      </c>
      <c r="AT877" t="str">
        <f t="shared" si="329"/>
        <v/>
      </c>
      <c r="AU877" t="str">
        <f t="shared" si="330"/>
        <v/>
      </c>
      <c r="AV877">
        <f>N(AV876)+IF(AND($AB877&lt;&gt;"",OR('PROFIL ELEVE'!$K$4="(Tous)",$AF877='PROFIL ELEVE'!$K$4)),1,0)</f>
        <v>0</v>
      </c>
      <c r="AW877">
        <f>N(AW876)+IF(AND($AB877&lt;&gt;"",OR('SUIVI LONGITUDINAL'!$Q$4="(Tous)",$AF877='SUIVI LONGITUDINAL'!$Q$4)),1,0)</f>
        <v>0</v>
      </c>
      <c r="AX877">
        <f t="shared" si="331"/>
        <v>0</v>
      </c>
      <c r="AY877">
        <f t="shared" si="332"/>
        <v>0</v>
      </c>
      <c r="AZ877">
        <f t="shared" si="333"/>
        <v>0</v>
      </c>
      <c r="BA877" t="str">
        <f t="shared" si="334"/>
        <v/>
      </c>
      <c r="BB877" t="str">
        <f t="shared" si="335"/>
        <v/>
      </c>
    </row>
    <row r="878" spans="1:54" ht="14.25" customHeight="1" x14ac:dyDescent="0.3">
      <c r="A878" t="str">
        <f>IF(SAISIE!$F883="","",SAISIE!$B883)</f>
        <v/>
      </c>
      <c r="B878" t="str">
        <f>IF(SAISIE!$F883="","",SAISIE!$C883)</f>
        <v/>
      </c>
      <c r="C878" t="str">
        <f>IF(SAISIE!$F883="","",SAISIE!$D883)</f>
        <v/>
      </c>
      <c r="D878" t="str">
        <f>IF(SAISIE!$E883="","",SAISIE!$E883)</f>
        <v/>
      </c>
      <c r="E878" t="str">
        <f>IF(SAISIE!$F883="","",SAISIE!$F883)</f>
        <v/>
      </c>
      <c r="F878" t="str">
        <f>IF(SAISIE!$G883="","",SAISIE!$G883)</f>
        <v/>
      </c>
      <c r="G878" t="str">
        <f>IF(SAISIE!$H883="","",SAISIE!$H883)</f>
        <v/>
      </c>
      <c r="H878" t="str">
        <f>IF(SAISIE!$I883="","",SAISIE!$I883)</f>
        <v/>
      </c>
      <c r="I878" t="str">
        <f>IF(SAISIE!$J883="","",SAISIE!$J883)</f>
        <v/>
      </c>
      <c r="J878" t="str">
        <f>IF(SAISIE!$K883="","",SAISIE!$K883)</f>
        <v/>
      </c>
      <c r="K878" t="str">
        <f>IF(SAISIE!$L883="","",SAISIE!$L883)</f>
        <v/>
      </c>
      <c r="L878" t="str">
        <f>IF(SAISIE!$M883="","",SAISIE!$M883)</f>
        <v/>
      </c>
      <c r="M878" t="str">
        <f>IF(SAISIE!$N883="","",SAISIE!$N883)</f>
        <v/>
      </c>
      <c r="N878" t="str">
        <f>IF(SAISIE!$O883="","",SAISIE!$O883)</f>
        <v/>
      </c>
      <c r="O878" t="str">
        <f>IF(SAISIE!$P883="","",SAISIE!$P883)</f>
        <v/>
      </c>
      <c r="P878" t="str">
        <f>IF(SAISIE!$Q883="","",SAISIE!$Q883)</f>
        <v/>
      </c>
      <c r="Q878" t="str">
        <f>IF($I878="","",IF($I878&gt;PARAMETRES!$G$29,5,IF($I878&gt;PARAMETRES!$F$29,4,IF($I878&gt;PARAMETRES!$E$29,3,IF($I878&gt;PARAMETRES!$D$29,2,1)))))</f>
        <v/>
      </c>
      <c r="R878" t="str">
        <f>IF($J878="","",IF($J878&gt;PARAMETRES!$G$30,5,IF($J878&gt;PARAMETRES!$F$30,4,IF($J878&gt;PARAMETRES!$E$30,3,IF($J878&gt;PARAMETRES!$D$30,2,1)))))</f>
        <v/>
      </c>
      <c r="S878" t="str">
        <f>IF($K878="","",IF($Z878=2,IF($K878&gt;PARAMETRES!$G$31,5,IF($K878&gt;PARAMETRES!$F$31,4,IF($K878&gt;PARAMETRES!$E$31,3,IF($K878&gt;PARAMETRES!$D$31,2,1)))),IF($K878&gt;PARAMETRES!$G$32,5,IF($K878&gt;PARAMETRES!$F$32,4,IF($K878&gt;PARAMETRES!$E$32,3,IF($K878&gt;PARAMETRES!$D$32,2,1))))))</f>
        <v/>
      </c>
      <c r="T878" t="str">
        <f>IF($L878="","",IF($L878&gt;PARAMETRES!$G$33,5,IF($L878&gt;PARAMETRES!$F$33,4,IF($L878&gt;PARAMETRES!$E$33,3,IF($L878&gt;PARAMETRES!$D$33,2,1)))))</f>
        <v/>
      </c>
      <c r="U878" t="str">
        <f>IF($M878="","",IF($M878&gt;PARAMETRES!$G$34,5,IF($M878&gt;PARAMETRES!$F$34,4,IF($M878&gt;PARAMETRES!$E$34,3,IF($M878&gt;PARAMETRES!$D$34,2,1)))))</f>
        <v/>
      </c>
      <c r="V878" t="str">
        <f>IF($N878="","",IF($N878&gt;PARAMETRES!$G$35,5,IF($N878&gt;PARAMETRES!$F$35,4,IF($N878&gt;PARAMETRES!$E$35,3,IF($N878&gt;PARAMETRES!$D$35,2,1)))))</f>
        <v/>
      </c>
      <c r="W878" t="str">
        <f>IF($O878="","",IF($O878&gt;PARAMETRES!$G$36,5,IF($O878&gt;PARAMETRES!$F$36,4,IF($O878&gt;PARAMETRES!$E$36,3,IF($O878&gt;PARAMETRES!$D$36,2,1)))))</f>
        <v/>
      </c>
      <c r="X878" t="str">
        <f>IF($P878="","",IF($P878&gt;PARAMETRES!$G$37,5,IF($P878&gt;PARAMETRES!$F$37,4,IF($P878&gt;PARAMETRES!$E$37,3,IF($P878&gt;PARAMETRES!$D$37,2,1)))))</f>
        <v/>
      </c>
      <c r="Y878" t="str">
        <f t="shared" si="312"/>
        <v/>
      </c>
      <c r="Z878" t="str">
        <f>IFERROR(VLOOKUP($B878,TABLE_CYCLE,2,0),"")</f>
        <v/>
      </c>
      <c r="AA878" t="str">
        <f t="shared" si="313"/>
        <v/>
      </c>
      <c r="AB878" t="str">
        <f>IF($D878="","",IF(COUNTIF($D$2:$D878,$D878)=1,$D878,""))</f>
        <v/>
      </c>
      <c r="AC878">
        <f t="shared" si="314"/>
        <v>0</v>
      </c>
      <c r="AD878" t="str">
        <f t="shared" si="315"/>
        <v>|0</v>
      </c>
      <c r="AE878" t="str">
        <f t="shared" si="316"/>
        <v/>
      </c>
      <c r="AF878" t="str">
        <f t="shared" si="317"/>
        <v/>
      </c>
      <c r="AG878" t="str">
        <f t="shared" si="318"/>
        <v/>
      </c>
      <c r="AH878" t="str">
        <f t="shared" si="319"/>
        <v/>
      </c>
      <c r="AI878" t="str">
        <f t="shared" si="320"/>
        <v/>
      </c>
      <c r="AJ878" t="str">
        <f t="shared" si="321"/>
        <v/>
      </c>
      <c r="AK878" t="str">
        <f t="shared" si="322"/>
        <v/>
      </c>
      <c r="AL878" t="str">
        <f t="shared" si="323"/>
        <v/>
      </c>
      <c r="AM878" t="str">
        <f t="shared" si="324"/>
        <v/>
      </c>
      <c r="AN878" t="str">
        <f t="shared" si="325"/>
        <v/>
      </c>
      <c r="AO878" t="str">
        <f t="shared" si="326"/>
        <v/>
      </c>
      <c r="AP878">
        <f t="shared" si="327"/>
        <v>1</v>
      </c>
      <c r="AQ878" t="str">
        <f>IF(SAISIE!$F883="","",SAISIE!$Y883)</f>
        <v/>
      </c>
      <c r="AR878" t="str">
        <f>IF(OR(SAISIE!$U$4="",SAISIE!$W$4=""),"",IF(AND($A878=SAISIE!$U$4,$B878=SAISIE!$W$4,$C878="S1"),COUNTIFS($A$2:$A878,SAISIE!$U$4,$B$2:$B878,SAISIE!$W$4,$C$2:$C878,"S1"),""))</f>
        <v/>
      </c>
      <c r="AS878" t="str">
        <f t="shared" si="328"/>
        <v/>
      </c>
      <c r="AT878" t="str">
        <f t="shared" si="329"/>
        <v/>
      </c>
      <c r="AU878" t="str">
        <f t="shared" si="330"/>
        <v/>
      </c>
      <c r="AV878">
        <f>N(AV877)+IF(AND($AB878&lt;&gt;"",OR('PROFIL ELEVE'!$K$4="(Tous)",$AF878='PROFIL ELEVE'!$K$4)),1,0)</f>
        <v>0</v>
      </c>
      <c r="AW878">
        <f>N(AW877)+IF(AND($AB878&lt;&gt;"",OR('SUIVI LONGITUDINAL'!$Q$4="(Tous)",$AF878='SUIVI LONGITUDINAL'!$Q$4)),1,0)</f>
        <v>0</v>
      </c>
      <c r="AX878">
        <f t="shared" si="331"/>
        <v>0</v>
      </c>
      <c r="AY878">
        <f t="shared" si="332"/>
        <v>0</v>
      </c>
      <c r="AZ878">
        <f t="shared" si="333"/>
        <v>0</v>
      </c>
      <c r="BA878" t="str">
        <f t="shared" si="334"/>
        <v/>
      </c>
      <c r="BB878" t="str">
        <f t="shared" si="335"/>
        <v/>
      </c>
    </row>
    <row r="879" spans="1:54" ht="14.25" customHeight="1" x14ac:dyDescent="0.3">
      <c r="A879" t="str">
        <f>IF(SAISIE!$F884="","",SAISIE!$B884)</f>
        <v/>
      </c>
      <c r="B879" t="str">
        <f>IF(SAISIE!$F884="","",SAISIE!$C884)</f>
        <v/>
      </c>
      <c r="C879" t="str">
        <f>IF(SAISIE!$F884="","",SAISIE!$D884)</f>
        <v/>
      </c>
      <c r="D879" t="str">
        <f>IF(SAISIE!$E884="","",SAISIE!$E884)</f>
        <v/>
      </c>
      <c r="E879" t="str">
        <f>IF(SAISIE!$F884="","",SAISIE!$F884)</f>
        <v/>
      </c>
      <c r="F879" t="str">
        <f>IF(SAISIE!$G884="","",SAISIE!$G884)</f>
        <v/>
      </c>
      <c r="G879" t="str">
        <f>IF(SAISIE!$H884="","",SAISIE!$H884)</f>
        <v/>
      </c>
      <c r="H879" t="str">
        <f>IF(SAISIE!$I884="","",SAISIE!$I884)</f>
        <v/>
      </c>
      <c r="I879" t="str">
        <f>IF(SAISIE!$J884="","",SAISIE!$J884)</f>
        <v/>
      </c>
      <c r="J879" t="str">
        <f>IF(SAISIE!$K884="","",SAISIE!$K884)</f>
        <v/>
      </c>
      <c r="K879" t="str">
        <f>IF(SAISIE!$L884="","",SAISIE!$L884)</f>
        <v/>
      </c>
      <c r="L879" t="str">
        <f>IF(SAISIE!$M884="","",SAISIE!$M884)</f>
        <v/>
      </c>
      <c r="M879" t="str">
        <f>IF(SAISIE!$N884="","",SAISIE!$N884)</f>
        <v/>
      </c>
      <c r="N879" t="str">
        <f>IF(SAISIE!$O884="","",SAISIE!$O884)</f>
        <v/>
      </c>
      <c r="O879" t="str">
        <f>IF(SAISIE!$P884="","",SAISIE!$P884)</f>
        <v/>
      </c>
      <c r="P879" t="str">
        <f>IF(SAISIE!$Q884="","",SAISIE!$Q884)</f>
        <v/>
      </c>
      <c r="Q879" t="str">
        <f>IF($I879="","",IF($I879&gt;PARAMETRES!$G$29,5,IF($I879&gt;PARAMETRES!$F$29,4,IF($I879&gt;PARAMETRES!$E$29,3,IF($I879&gt;PARAMETRES!$D$29,2,1)))))</f>
        <v/>
      </c>
      <c r="R879" t="str">
        <f>IF($J879="","",IF($J879&gt;PARAMETRES!$G$30,5,IF($J879&gt;PARAMETRES!$F$30,4,IF($J879&gt;PARAMETRES!$E$30,3,IF($J879&gt;PARAMETRES!$D$30,2,1)))))</f>
        <v/>
      </c>
      <c r="S879" t="str">
        <f>IF($K879="","",IF($Z879=2,IF($K879&gt;PARAMETRES!$G$31,5,IF($K879&gt;PARAMETRES!$F$31,4,IF($K879&gt;PARAMETRES!$E$31,3,IF($K879&gt;PARAMETRES!$D$31,2,1)))),IF($K879&gt;PARAMETRES!$G$32,5,IF($K879&gt;PARAMETRES!$F$32,4,IF($K879&gt;PARAMETRES!$E$32,3,IF($K879&gt;PARAMETRES!$D$32,2,1))))))</f>
        <v/>
      </c>
      <c r="T879" t="str">
        <f>IF($L879="","",IF($L879&gt;PARAMETRES!$G$33,5,IF($L879&gt;PARAMETRES!$F$33,4,IF($L879&gt;PARAMETRES!$E$33,3,IF($L879&gt;PARAMETRES!$D$33,2,1)))))</f>
        <v/>
      </c>
      <c r="U879" t="str">
        <f>IF($M879="","",IF($M879&gt;PARAMETRES!$G$34,5,IF($M879&gt;PARAMETRES!$F$34,4,IF($M879&gt;PARAMETRES!$E$34,3,IF($M879&gt;PARAMETRES!$D$34,2,1)))))</f>
        <v/>
      </c>
      <c r="V879" t="str">
        <f>IF($N879="","",IF($N879&gt;PARAMETRES!$G$35,5,IF($N879&gt;PARAMETRES!$F$35,4,IF($N879&gt;PARAMETRES!$E$35,3,IF($N879&gt;PARAMETRES!$D$35,2,1)))))</f>
        <v/>
      </c>
      <c r="W879" t="str">
        <f>IF($O879="","",IF($O879&gt;PARAMETRES!$G$36,5,IF($O879&gt;PARAMETRES!$F$36,4,IF($O879&gt;PARAMETRES!$E$36,3,IF($O879&gt;PARAMETRES!$D$36,2,1)))))</f>
        <v/>
      </c>
      <c r="X879" t="str">
        <f>IF($P879="","",IF($P879&gt;PARAMETRES!$G$37,5,IF($P879&gt;PARAMETRES!$F$37,4,IF($P879&gt;PARAMETRES!$E$37,3,IF($P879&gt;PARAMETRES!$D$37,2,1)))))</f>
        <v/>
      </c>
      <c r="Y879" t="str">
        <f t="shared" si="312"/>
        <v/>
      </c>
      <c r="Z879" t="str">
        <f>IFERROR(VLOOKUP($B879,TABLE_CYCLE,2,0),"")</f>
        <v/>
      </c>
      <c r="AA879" t="str">
        <f t="shared" si="313"/>
        <v/>
      </c>
      <c r="AB879" t="str">
        <f>IF($D879="","",IF(COUNTIF($D$2:$D879,$D879)=1,$D879,""))</f>
        <v/>
      </c>
      <c r="AC879">
        <f t="shared" si="314"/>
        <v>0</v>
      </c>
      <c r="AD879" t="str">
        <f t="shared" si="315"/>
        <v>|0</v>
      </c>
      <c r="AE879" t="str">
        <f t="shared" si="316"/>
        <v/>
      </c>
      <c r="AF879" t="str">
        <f t="shared" si="317"/>
        <v/>
      </c>
      <c r="AG879" t="str">
        <f t="shared" si="318"/>
        <v/>
      </c>
      <c r="AH879" t="str">
        <f t="shared" si="319"/>
        <v/>
      </c>
      <c r="AI879" t="str">
        <f t="shared" si="320"/>
        <v/>
      </c>
      <c r="AJ879" t="str">
        <f t="shared" si="321"/>
        <v/>
      </c>
      <c r="AK879" t="str">
        <f t="shared" si="322"/>
        <v/>
      </c>
      <c r="AL879" t="str">
        <f t="shared" si="323"/>
        <v/>
      </c>
      <c r="AM879" t="str">
        <f t="shared" si="324"/>
        <v/>
      </c>
      <c r="AN879" t="str">
        <f t="shared" si="325"/>
        <v/>
      </c>
      <c r="AO879" t="str">
        <f t="shared" si="326"/>
        <v/>
      </c>
      <c r="AP879">
        <f t="shared" si="327"/>
        <v>1</v>
      </c>
      <c r="AQ879" t="str">
        <f>IF(SAISIE!$F884="","",SAISIE!$Y884)</f>
        <v/>
      </c>
      <c r="AR879" t="str">
        <f>IF(OR(SAISIE!$U$4="",SAISIE!$W$4=""),"",IF(AND($A879=SAISIE!$U$4,$B879=SAISIE!$W$4,$C879="S1"),COUNTIFS($A$2:$A879,SAISIE!$U$4,$B$2:$B879,SAISIE!$W$4,$C$2:$C879,"S1"),""))</f>
        <v/>
      </c>
      <c r="AS879" t="str">
        <f t="shared" si="328"/>
        <v/>
      </c>
      <c r="AT879" t="str">
        <f t="shared" si="329"/>
        <v/>
      </c>
      <c r="AU879" t="str">
        <f t="shared" si="330"/>
        <v/>
      </c>
      <c r="AV879">
        <f>N(AV878)+IF(AND($AB879&lt;&gt;"",OR('PROFIL ELEVE'!$K$4="(Tous)",$AF879='PROFIL ELEVE'!$K$4)),1,0)</f>
        <v>0</v>
      </c>
      <c r="AW879">
        <f>N(AW878)+IF(AND($AB879&lt;&gt;"",OR('SUIVI LONGITUDINAL'!$Q$4="(Tous)",$AF879='SUIVI LONGITUDINAL'!$Q$4)),1,0)</f>
        <v>0</v>
      </c>
      <c r="AX879">
        <f t="shared" si="331"/>
        <v>0</v>
      </c>
      <c r="AY879">
        <f t="shared" si="332"/>
        <v>0</v>
      </c>
      <c r="AZ879">
        <f t="shared" si="333"/>
        <v>0</v>
      </c>
      <c r="BA879" t="str">
        <f t="shared" si="334"/>
        <v/>
      </c>
      <c r="BB879" t="str">
        <f t="shared" si="335"/>
        <v/>
      </c>
    </row>
    <row r="880" spans="1:54" ht="14.25" customHeight="1" x14ac:dyDescent="0.3">
      <c r="A880" t="str">
        <f>IF(SAISIE!$F885="","",SAISIE!$B885)</f>
        <v/>
      </c>
      <c r="B880" t="str">
        <f>IF(SAISIE!$F885="","",SAISIE!$C885)</f>
        <v/>
      </c>
      <c r="C880" t="str">
        <f>IF(SAISIE!$F885="","",SAISIE!$D885)</f>
        <v/>
      </c>
      <c r="D880" t="str">
        <f>IF(SAISIE!$E885="","",SAISIE!$E885)</f>
        <v/>
      </c>
      <c r="E880" t="str">
        <f>IF(SAISIE!$F885="","",SAISIE!$F885)</f>
        <v/>
      </c>
      <c r="F880" t="str">
        <f>IF(SAISIE!$G885="","",SAISIE!$G885)</f>
        <v/>
      </c>
      <c r="G880" t="str">
        <f>IF(SAISIE!$H885="","",SAISIE!$H885)</f>
        <v/>
      </c>
      <c r="H880" t="str">
        <f>IF(SAISIE!$I885="","",SAISIE!$I885)</f>
        <v/>
      </c>
      <c r="I880" t="str">
        <f>IF(SAISIE!$J885="","",SAISIE!$J885)</f>
        <v/>
      </c>
      <c r="J880" t="str">
        <f>IF(SAISIE!$K885="","",SAISIE!$K885)</f>
        <v/>
      </c>
      <c r="K880" t="str">
        <f>IF(SAISIE!$L885="","",SAISIE!$L885)</f>
        <v/>
      </c>
      <c r="L880" t="str">
        <f>IF(SAISIE!$M885="","",SAISIE!$M885)</f>
        <v/>
      </c>
      <c r="M880" t="str">
        <f>IF(SAISIE!$N885="","",SAISIE!$N885)</f>
        <v/>
      </c>
      <c r="N880" t="str">
        <f>IF(SAISIE!$O885="","",SAISIE!$O885)</f>
        <v/>
      </c>
      <c r="O880" t="str">
        <f>IF(SAISIE!$P885="","",SAISIE!$P885)</f>
        <v/>
      </c>
      <c r="P880" t="str">
        <f>IF(SAISIE!$Q885="","",SAISIE!$Q885)</f>
        <v/>
      </c>
      <c r="Q880" t="str">
        <f>IF($I880="","",IF($I880&gt;PARAMETRES!$G$29,5,IF($I880&gt;PARAMETRES!$F$29,4,IF($I880&gt;PARAMETRES!$E$29,3,IF($I880&gt;PARAMETRES!$D$29,2,1)))))</f>
        <v/>
      </c>
      <c r="R880" t="str">
        <f>IF($J880="","",IF($J880&gt;PARAMETRES!$G$30,5,IF($J880&gt;PARAMETRES!$F$30,4,IF($J880&gt;PARAMETRES!$E$30,3,IF($J880&gt;PARAMETRES!$D$30,2,1)))))</f>
        <v/>
      </c>
      <c r="S880" t="str">
        <f>IF($K880="","",IF($Z880=2,IF($K880&gt;PARAMETRES!$G$31,5,IF($K880&gt;PARAMETRES!$F$31,4,IF($K880&gt;PARAMETRES!$E$31,3,IF($K880&gt;PARAMETRES!$D$31,2,1)))),IF($K880&gt;PARAMETRES!$G$32,5,IF($K880&gt;PARAMETRES!$F$32,4,IF($K880&gt;PARAMETRES!$E$32,3,IF($K880&gt;PARAMETRES!$D$32,2,1))))))</f>
        <v/>
      </c>
      <c r="T880" t="str">
        <f>IF($L880="","",IF($L880&gt;PARAMETRES!$G$33,5,IF($L880&gt;PARAMETRES!$F$33,4,IF($L880&gt;PARAMETRES!$E$33,3,IF($L880&gt;PARAMETRES!$D$33,2,1)))))</f>
        <v/>
      </c>
      <c r="U880" t="str">
        <f>IF($M880="","",IF($M880&gt;PARAMETRES!$G$34,5,IF($M880&gt;PARAMETRES!$F$34,4,IF($M880&gt;PARAMETRES!$E$34,3,IF($M880&gt;PARAMETRES!$D$34,2,1)))))</f>
        <v/>
      </c>
      <c r="V880" t="str">
        <f>IF($N880="","",IF($N880&gt;PARAMETRES!$G$35,5,IF($N880&gt;PARAMETRES!$F$35,4,IF($N880&gt;PARAMETRES!$E$35,3,IF($N880&gt;PARAMETRES!$D$35,2,1)))))</f>
        <v/>
      </c>
      <c r="W880" t="str">
        <f>IF($O880="","",IF($O880&gt;PARAMETRES!$G$36,5,IF($O880&gt;PARAMETRES!$F$36,4,IF($O880&gt;PARAMETRES!$E$36,3,IF($O880&gt;PARAMETRES!$D$36,2,1)))))</f>
        <v/>
      </c>
      <c r="X880" t="str">
        <f>IF($P880="","",IF($P880&gt;PARAMETRES!$G$37,5,IF($P880&gt;PARAMETRES!$F$37,4,IF($P880&gt;PARAMETRES!$E$37,3,IF($P880&gt;PARAMETRES!$D$37,2,1)))))</f>
        <v/>
      </c>
      <c r="Y880" t="str">
        <f t="shared" si="312"/>
        <v/>
      </c>
      <c r="Z880" t="str">
        <f>IFERROR(VLOOKUP($B880,TABLE_CYCLE,2,0),"")</f>
        <v/>
      </c>
      <c r="AA880" t="str">
        <f t="shared" si="313"/>
        <v/>
      </c>
      <c r="AB880" t="str">
        <f>IF($D880="","",IF(COUNTIF($D$2:$D880,$D880)=1,$D880,""))</f>
        <v/>
      </c>
      <c r="AC880">
        <f t="shared" si="314"/>
        <v>0</v>
      </c>
      <c r="AD880" t="str">
        <f t="shared" si="315"/>
        <v>|0</v>
      </c>
      <c r="AE880" t="str">
        <f t="shared" si="316"/>
        <v/>
      </c>
      <c r="AF880" t="str">
        <f t="shared" si="317"/>
        <v/>
      </c>
      <c r="AG880" t="str">
        <f t="shared" si="318"/>
        <v/>
      </c>
      <c r="AH880" t="str">
        <f t="shared" si="319"/>
        <v/>
      </c>
      <c r="AI880" t="str">
        <f t="shared" si="320"/>
        <v/>
      </c>
      <c r="AJ880" t="str">
        <f t="shared" si="321"/>
        <v/>
      </c>
      <c r="AK880" t="str">
        <f t="shared" si="322"/>
        <v/>
      </c>
      <c r="AL880" t="str">
        <f t="shared" si="323"/>
        <v/>
      </c>
      <c r="AM880" t="str">
        <f t="shared" si="324"/>
        <v/>
      </c>
      <c r="AN880" t="str">
        <f t="shared" si="325"/>
        <v/>
      </c>
      <c r="AO880" t="str">
        <f t="shared" si="326"/>
        <v/>
      </c>
      <c r="AP880">
        <f t="shared" si="327"/>
        <v>1</v>
      </c>
      <c r="AQ880" t="str">
        <f>IF(SAISIE!$F885="","",SAISIE!$Y885)</f>
        <v/>
      </c>
      <c r="AR880" t="str">
        <f>IF(OR(SAISIE!$U$4="",SAISIE!$W$4=""),"",IF(AND($A880=SAISIE!$U$4,$B880=SAISIE!$W$4,$C880="S1"),COUNTIFS($A$2:$A880,SAISIE!$U$4,$B$2:$B880,SAISIE!$W$4,$C$2:$C880,"S1"),""))</f>
        <v/>
      </c>
      <c r="AS880" t="str">
        <f t="shared" si="328"/>
        <v/>
      </c>
      <c r="AT880" t="str">
        <f t="shared" si="329"/>
        <v/>
      </c>
      <c r="AU880" t="str">
        <f t="shared" si="330"/>
        <v/>
      </c>
      <c r="AV880">
        <f>N(AV879)+IF(AND($AB880&lt;&gt;"",OR('PROFIL ELEVE'!$K$4="(Tous)",$AF880='PROFIL ELEVE'!$K$4)),1,0)</f>
        <v>0</v>
      </c>
      <c r="AW880">
        <f>N(AW879)+IF(AND($AB880&lt;&gt;"",OR('SUIVI LONGITUDINAL'!$Q$4="(Tous)",$AF880='SUIVI LONGITUDINAL'!$Q$4)),1,0)</f>
        <v>0</v>
      </c>
      <c r="AX880">
        <f t="shared" si="331"/>
        <v>0</v>
      </c>
      <c r="AY880">
        <f t="shared" si="332"/>
        <v>0</v>
      </c>
      <c r="AZ880">
        <f t="shared" si="333"/>
        <v>0</v>
      </c>
      <c r="BA880" t="str">
        <f t="shared" si="334"/>
        <v/>
      </c>
      <c r="BB880" t="str">
        <f t="shared" si="335"/>
        <v/>
      </c>
    </row>
    <row r="881" spans="1:54" ht="14.25" customHeight="1" x14ac:dyDescent="0.3">
      <c r="A881" t="str">
        <f>IF(SAISIE!$F886="","",SAISIE!$B886)</f>
        <v/>
      </c>
      <c r="B881" t="str">
        <f>IF(SAISIE!$F886="","",SAISIE!$C886)</f>
        <v/>
      </c>
      <c r="C881" t="str">
        <f>IF(SAISIE!$F886="","",SAISIE!$D886)</f>
        <v/>
      </c>
      <c r="D881" t="str">
        <f>IF(SAISIE!$E886="","",SAISIE!$E886)</f>
        <v/>
      </c>
      <c r="E881" t="str">
        <f>IF(SAISIE!$F886="","",SAISIE!$F886)</f>
        <v/>
      </c>
      <c r="F881" t="str">
        <f>IF(SAISIE!$G886="","",SAISIE!$G886)</f>
        <v/>
      </c>
      <c r="G881" t="str">
        <f>IF(SAISIE!$H886="","",SAISIE!$H886)</f>
        <v/>
      </c>
      <c r="H881" t="str">
        <f>IF(SAISIE!$I886="","",SAISIE!$I886)</f>
        <v/>
      </c>
      <c r="I881" t="str">
        <f>IF(SAISIE!$J886="","",SAISIE!$J886)</f>
        <v/>
      </c>
      <c r="J881" t="str">
        <f>IF(SAISIE!$K886="","",SAISIE!$K886)</f>
        <v/>
      </c>
      <c r="K881" t="str">
        <f>IF(SAISIE!$L886="","",SAISIE!$L886)</f>
        <v/>
      </c>
      <c r="L881" t="str">
        <f>IF(SAISIE!$M886="","",SAISIE!$M886)</f>
        <v/>
      </c>
      <c r="M881" t="str">
        <f>IF(SAISIE!$N886="","",SAISIE!$N886)</f>
        <v/>
      </c>
      <c r="N881" t="str">
        <f>IF(SAISIE!$O886="","",SAISIE!$O886)</f>
        <v/>
      </c>
      <c r="O881" t="str">
        <f>IF(SAISIE!$P886="","",SAISIE!$P886)</f>
        <v/>
      </c>
      <c r="P881" t="str">
        <f>IF(SAISIE!$Q886="","",SAISIE!$Q886)</f>
        <v/>
      </c>
      <c r="Q881" t="str">
        <f>IF($I881="","",IF($I881&gt;PARAMETRES!$G$29,5,IF($I881&gt;PARAMETRES!$F$29,4,IF($I881&gt;PARAMETRES!$E$29,3,IF($I881&gt;PARAMETRES!$D$29,2,1)))))</f>
        <v/>
      </c>
      <c r="R881" t="str">
        <f>IF($J881="","",IF($J881&gt;PARAMETRES!$G$30,5,IF($J881&gt;PARAMETRES!$F$30,4,IF($J881&gt;PARAMETRES!$E$30,3,IF($J881&gt;PARAMETRES!$D$30,2,1)))))</f>
        <v/>
      </c>
      <c r="S881" t="str">
        <f>IF($K881="","",IF($Z881=2,IF($K881&gt;PARAMETRES!$G$31,5,IF($K881&gt;PARAMETRES!$F$31,4,IF($K881&gt;PARAMETRES!$E$31,3,IF($K881&gt;PARAMETRES!$D$31,2,1)))),IF($K881&gt;PARAMETRES!$G$32,5,IF($K881&gt;PARAMETRES!$F$32,4,IF($K881&gt;PARAMETRES!$E$32,3,IF($K881&gt;PARAMETRES!$D$32,2,1))))))</f>
        <v/>
      </c>
      <c r="T881" t="str">
        <f>IF($L881="","",IF($L881&gt;PARAMETRES!$G$33,5,IF($L881&gt;PARAMETRES!$F$33,4,IF($L881&gt;PARAMETRES!$E$33,3,IF($L881&gt;PARAMETRES!$D$33,2,1)))))</f>
        <v/>
      </c>
      <c r="U881" t="str">
        <f>IF($M881="","",IF($M881&gt;PARAMETRES!$G$34,5,IF($M881&gt;PARAMETRES!$F$34,4,IF($M881&gt;PARAMETRES!$E$34,3,IF($M881&gt;PARAMETRES!$D$34,2,1)))))</f>
        <v/>
      </c>
      <c r="V881" t="str">
        <f>IF($N881="","",IF($N881&gt;PARAMETRES!$G$35,5,IF($N881&gt;PARAMETRES!$F$35,4,IF($N881&gt;PARAMETRES!$E$35,3,IF($N881&gt;PARAMETRES!$D$35,2,1)))))</f>
        <v/>
      </c>
      <c r="W881" t="str">
        <f>IF($O881="","",IF($O881&gt;PARAMETRES!$G$36,5,IF($O881&gt;PARAMETRES!$F$36,4,IF($O881&gt;PARAMETRES!$E$36,3,IF($O881&gt;PARAMETRES!$D$36,2,1)))))</f>
        <v/>
      </c>
      <c r="X881" t="str">
        <f>IF($P881="","",IF($P881&gt;PARAMETRES!$G$37,5,IF($P881&gt;PARAMETRES!$F$37,4,IF($P881&gt;PARAMETRES!$E$37,3,IF($P881&gt;PARAMETRES!$D$37,2,1)))))</f>
        <v/>
      </c>
      <c r="Y881" t="str">
        <f t="shared" si="312"/>
        <v/>
      </c>
      <c r="Z881" t="str">
        <f>IFERROR(VLOOKUP($B881,TABLE_CYCLE,2,0),"")</f>
        <v/>
      </c>
      <c r="AA881" t="str">
        <f t="shared" si="313"/>
        <v/>
      </c>
      <c r="AB881" t="str">
        <f>IF($D881="","",IF(COUNTIF($D$2:$D881,$D881)=1,$D881,""))</f>
        <v/>
      </c>
      <c r="AC881">
        <f t="shared" si="314"/>
        <v>0</v>
      </c>
      <c r="AD881" t="str">
        <f t="shared" si="315"/>
        <v>|0</v>
      </c>
      <c r="AE881" t="str">
        <f t="shared" si="316"/>
        <v/>
      </c>
      <c r="AF881" t="str">
        <f t="shared" si="317"/>
        <v/>
      </c>
      <c r="AG881" t="str">
        <f t="shared" si="318"/>
        <v/>
      </c>
      <c r="AH881" t="str">
        <f t="shared" si="319"/>
        <v/>
      </c>
      <c r="AI881" t="str">
        <f t="shared" si="320"/>
        <v/>
      </c>
      <c r="AJ881" t="str">
        <f t="shared" si="321"/>
        <v/>
      </c>
      <c r="AK881" t="str">
        <f t="shared" si="322"/>
        <v/>
      </c>
      <c r="AL881" t="str">
        <f t="shared" si="323"/>
        <v/>
      </c>
      <c r="AM881" t="str">
        <f t="shared" si="324"/>
        <v/>
      </c>
      <c r="AN881" t="str">
        <f t="shared" si="325"/>
        <v/>
      </c>
      <c r="AO881" t="str">
        <f t="shared" si="326"/>
        <v/>
      </c>
      <c r="AP881">
        <f t="shared" si="327"/>
        <v>1</v>
      </c>
      <c r="AQ881" t="str">
        <f>IF(SAISIE!$F886="","",SAISIE!$Y886)</f>
        <v/>
      </c>
      <c r="AR881" t="str">
        <f>IF(OR(SAISIE!$U$4="",SAISIE!$W$4=""),"",IF(AND($A881=SAISIE!$U$4,$B881=SAISIE!$W$4,$C881="S1"),COUNTIFS($A$2:$A881,SAISIE!$U$4,$B$2:$B881,SAISIE!$W$4,$C$2:$C881,"S1"),""))</f>
        <v/>
      </c>
      <c r="AS881" t="str">
        <f t="shared" si="328"/>
        <v/>
      </c>
      <c r="AT881" t="str">
        <f t="shared" si="329"/>
        <v/>
      </c>
      <c r="AU881" t="str">
        <f t="shared" si="330"/>
        <v/>
      </c>
      <c r="AV881">
        <f>N(AV880)+IF(AND($AB881&lt;&gt;"",OR('PROFIL ELEVE'!$K$4="(Tous)",$AF881='PROFIL ELEVE'!$K$4)),1,0)</f>
        <v>0</v>
      </c>
      <c r="AW881">
        <f>N(AW880)+IF(AND($AB881&lt;&gt;"",OR('SUIVI LONGITUDINAL'!$Q$4="(Tous)",$AF881='SUIVI LONGITUDINAL'!$Q$4)),1,0)</f>
        <v>0</v>
      </c>
      <c r="AX881">
        <f t="shared" si="331"/>
        <v>0</v>
      </c>
      <c r="AY881">
        <f t="shared" si="332"/>
        <v>0</v>
      </c>
      <c r="AZ881">
        <f t="shared" si="333"/>
        <v>0</v>
      </c>
      <c r="BA881" t="str">
        <f t="shared" si="334"/>
        <v/>
      </c>
      <c r="BB881" t="str">
        <f t="shared" si="335"/>
        <v/>
      </c>
    </row>
    <row r="882" spans="1:54" ht="14.25" customHeight="1" x14ac:dyDescent="0.3">
      <c r="A882" t="str">
        <f>IF(SAISIE!$F887="","",SAISIE!$B887)</f>
        <v/>
      </c>
      <c r="B882" t="str">
        <f>IF(SAISIE!$F887="","",SAISIE!$C887)</f>
        <v/>
      </c>
      <c r="C882" t="str">
        <f>IF(SAISIE!$F887="","",SAISIE!$D887)</f>
        <v/>
      </c>
      <c r="D882" t="str">
        <f>IF(SAISIE!$E887="","",SAISIE!$E887)</f>
        <v/>
      </c>
      <c r="E882" t="str">
        <f>IF(SAISIE!$F887="","",SAISIE!$F887)</f>
        <v/>
      </c>
      <c r="F882" t="str">
        <f>IF(SAISIE!$G887="","",SAISIE!$G887)</f>
        <v/>
      </c>
      <c r="G882" t="str">
        <f>IF(SAISIE!$H887="","",SAISIE!$H887)</f>
        <v/>
      </c>
      <c r="H882" t="str">
        <f>IF(SAISIE!$I887="","",SAISIE!$I887)</f>
        <v/>
      </c>
      <c r="I882" t="str">
        <f>IF(SAISIE!$J887="","",SAISIE!$J887)</f>
        <v/>
      </c>
      <c r="J882" t="str">
        <f>IF(SAISIE!$K887="","",SAISIE!$K887)</f>
        <v/>
      </c>
      <c r="K882" t="str">
        <f>IF(SAISIE!$L887="","",SAISIE!$L887)</f>
        <v/>
      </c>
      <c r="L882" t="str">
        <f>IF(SAISIE!$M887="","",SAISIE!$M887)</f>
        <v/>
      </c>
      <c r="M882" t="str">
        <f>IF(SAISIE!$N887="","",SAISIE!$N887)</f>
        <v/>
      </c>
      <c r="N882" t="str">
        <f>IF(SAISIE!$O887="","",SAISIE!$O887)</f>
        <v/>
      </c>
      <c r="O882" t="str">
        <f>IF(SAISIE!$P887="","",SAISIE!$P887)</f>
        <v/>
      </c>
      <c r="P882" t="str">
        <f>IF(SAISIE!$Q887="","",SAISIE!$Q887)</f>
        <v/>
      </c>
      <c r="Q882" t="str">
        <f>IF($I882="","",IF($I882&gt;PARAMETRES!$G$29,5,IF($I882&gt;PARAMETRES!$F$29,4,IF($I882&gt;PARAMETRES!$E$29,3,IF($I882&gt;PARAMETRES!$D$29,2,1)))))</f>
        <v/>
      </c>
      <c r="R882" t="str">
        <f>IF($J882="","",IF($J882&gt;PARAMETRES!$G$30,5,IF($J882&gt;PARAMETRES!$F$30,4,IF($J882&gt;PARAMETRES!$E$30,3,IF($J882&gt;PARAMETRES!$D$30,2,1)))))</f>
        <v/>
      </c>
      <c r="S882" t="str">
        <f>IF($K882="","",IF($Z882=2,IF($K882&gt;PARAMETRES!$G$31,5,IF($K882&gt;PARAMETRES!$F$31,4,IF($K882&gt;PARAMETRES!$E$31,3,IF($K882&gt;PARAMETRES!$D$31,2,1)))),IF($K882&gt;PARAMETRES!$G$32,5,IF($K882&gt;PARAMETRES!$F$32,4,IF($K882&gt;PARAMETRES!$E$32,3,IF($K882&gt;PARAMETRES!$D$32,2,1))))))</f>
        <v/>
      </c>
      <c r="T882" t="str">
        <f>IF($L882="","",IF($L882&gt;PARAMETRES!$G$33,5,IF($L882&gt;PARAMETRES!$F$33,4,IF($L882&gt;PARAMETRES!$E$33,3,IF($L882&gt;PARAMETRES!$D$33,2,1)))))</f>
        <v/>
      </c>
      <c r="U882" t="str">
        <f>IF($M882="","",IF($M882&gt;PARAMETRES!$G$34,5,IF($M882&gt;PARAMETRES!$F$34,4,IF($M882&gt;PARAMETRES!$E$34,3,IF($M882&gt;PARAMETRES!$D$34,2,1)))))</f>
        <v/>
      </c>
      <c r="V882" t="str">
        <f>IF($N882="","",IF($N882&gt;PARAMETRES!$G$35,5,IF($N882&gt;PARAMETRES!$F$35,4,IF($N882&gt;PARAMETRES!$E$35,3,IF($N882&gt;PARAMETRES!$D$35,2,1)))))</f>
        <v/>
      </c>
      <c r="W882" t="str">
        <f>IF($O882="","",IF($O882&gt;PARAMETRES!$G$36,5,IF($O882&gt;PARAMETRES!$F$36,4,IF($O882&gt;PARAMETRES!$E$36,3,IF($O882&gt;PARAMETRES!$D$36,2,1)))))</f>
        <v/>
      </c>
      <c r="X882" t="str">
        <f>IF($P882="","",IF($P882&gt;PARAMETRES!$G$37,5,IF($P882&gt;PARAMETRES!$F$37,4,IF($P882&gt;PARAMETRES!$E$37,3,IF($P882&gt;PARAMETRES!$D$37,2,1)))))</f>
        <v/>
      </c>
      <c r="Y882" t="str">
        <f t="shared" si="312"/>
        <v/>
      </c>
      <c r="Z882" t="str">
        <f>IFERROR(VLOOKUP($B882,TABLE_CYCLE,2,0),"")</f>
        <v/>
      </c>
      <c r="AA882" t="str">
        <f t="shared" si="313"/>
        <v/>
      </c>
      <c r="AB882" t="str">
        <f>IF($D882="","",IF(COUNTIF($D$2:$D882,$D882)=1,$D882,""))</f>
        <v/>
      </c>
      <c r="AC882">
        <f t="shared" si="314"/>
        <v>0</v>
      </c>
      <c r="AD882" t="str">
        <f t="shared" si="315"/>
        <v>|0</v>
      </c>
      <c r="AE882" t="str">
        <f t="shared" si="316"/>
        <v/>
      </c>
      <c r="AF882" t="str">
        <f t="shared" si="317"/>
        <v/>
      </c>
      <c r="AG882" t="str">
        <f t="shared" si="318"/>
        <v/>
      </c>
      <c r="AH882" t="str">
        <f t="shared" si="319"/>
        <v/>
      </c>
      <c r="AI882" t="str">
        <f t="shared" si="320"/>
        <v/>
      </c>
      <c r="AJ882" t="str">
        <f t="shared" si="321"/>
        <v/>
      </c>
      <c r="AK882" t="str">
        <f t="shared" si="322"/>
        <v/>
      </c>
      <c r="AL882" t="str">
        <f t="shared" si="323"/>
        <v/>
      </c>
      <c r="AM882" t="str">
        <f t="shared" si="324"/>
        <v/>
      </c>
      <c r="AN882" t="str">
        <f t="shared" si="325"/>
        <v/>
      </c>
      <c r="AO882" t="str">
        <f t="shared" si="326"/>
        <v/>
      </c>
      <c r="AP882">
        <f t="shared" si="327"/>
        <v>1</v>
      </c>
      <c r="AQ882" t="str">
        <f>IF(SAISIE!$F887="","",SAISIE!$Y887)</f>
        <v/>
      </c>
      <c r="AR882" t="str">
        <f>IF(OR(SAISIE!$U$4="",SAISIE!$W$4=""),"",IF(AND($A882=SAISIE!$U$4,$B882=SAISIE!$W$4,$C882="S1"),COUNTIFS($A$2:$A882,SAISIE!$U$4,$B$2:$B882,SAISIE!$W$4,$C$2:$C882,"S1"),""))</f>
        <v/>
      </c>
      <c r="AS882" t="str">
        <f t="shared" si="328"/>
        <v/>
      </c>
      <c r="AT882" t="str">
        <f t="shared" si="329"/>
        <v/>
      </c>
      <c r="AU882" t="str">
        <f t="shared" si="330"/>
        <v/>
      </c>
      <c r="AV882">
        <f>N(AV881)+IF(AND($AB882&lt;&gt;"",OR('PROFIL ELEVE'!$K$4="(Tous)",$AF882='PROFIL ELEVE'!$K$4)),1,0)</f>
        <v>0</v>
      </c>
      <c r="AW882">
        <f>N(AW881)+IF(AND($AB882&lt;&gt;"",OR('SUIVI LONGITUDINAL'!$Q$4="(Tous)",$AF882='SUIVI LONGITUDINAL'!$Q$4)),1,0)</f>
        <v>0</v>
      </c>
      <c r="AX882">
        <f t="shared" si="331"/>
        <v>0</v>
      </c>
      <c r="AY882">
        <f t="shared" si="332"/>
        <v>0</v>
      </c>
      <c r="AZ882">
        <f t="shared" si="333"/>
        <v>0</v>
      </c>
      <c r="BA882" t="str">
        <f t="shared" si="334"/>
        <v/>
      </c>
      <c r="BB882" t="str">
        <f t="shared" si="335"/>
        <v/>
      </c>
    </row>
    <row r="883" spans="1:54" ht="14.25" customHeight="1" x14ac:dyDescent="0.3">
      <c r="A883" t="str">
        <f>IF(SAISIE!$F888="","",SAISIE!$B888)</f>
        <v/>
      </c>
      <c r="B883" t="str">
        <f>IF(SAISIE!$F888="","",SAISIE!$C888)</f>
        <v/>
      </c>
      <c r="C883" t="str">
        <f>IF(SAISIE!$F888="","",SAISIE!$D888)</f>
        <v/>
      </c>
      <c r="D883" t="str">
        <f>IF(SAISIE!$E888="","",SAISIE!$E888)</f>
        <v/>
      </c>
      <c r="E883" t="str">
        <f>IF(SAISIE!$F888="","",SAISIE!$F888)</f>
        <v/>
      </c>
      <c r="F883" t="str">
        <f>IF(SAISIE!$G888="","",SAISIE!$G888)</f>
        <v/>
      </c>
      <c r="G883" t="str">
        <f>IF(SAISIE!$H888="","",SAISIE!$H888)</f>
        <v/>
      </c>
      <c r="H883" t="str">
        <f>IF(SAISIE!$I888="","",SAISIE!$I888)</f>
        <v/>
      </c>
      <c r="I883" t="str">
        <f>IF(SAISIE!$J888="","",SAISIE!$J888)</f>
        <v/>
      </c>
      <c r="J883" t="str">
        <f>IF(SAISIE!$K888="","",SAISIE!$K888)</f>
        <v/>
      </c>
      <c r="K883" t="str">
        <f>IF(SAISIE!$L888="","",SAISIE!$L888)</f>
        <v/>
      </c>
      <c r="L883" t="str">
        <f>IF(SAISIE!$M888="","",SAISIE!$M888)</f>
        <v/>
      </c>
      <c r="M883" t="str">
        <f>IF(SAISIE!$N888="","",SAISIE!$N888)</f>
        <v/>
      </c>
      <c r="N883" t="str">
        <f>IF(SAISIE!$O888="","",SAISIE!$O888)</f>
        <v/>
      </c>
      <c r="O883" t="str">
        <f>IF(SAISIE!$P888="","",SAISIE!$P888)</f>
        <v/>
      </c>
      <c r="P883" t="str">
        <f>IF(SAISIE!$Q888="","",SAISIE!$Q888)</f>
        <v/>
      </c>
      <c r="Q883" t="str">
        <f>IF($I883="","",IF($I883&gt;PARAMETRES!$G$29,5,IF($I883&gt;PARAMETRES!$F$29,4,IF($I883&gt;PARAMETRES!$E$29,3,IF($I883&gt;PARAMETRES!$D$29,2,1)))))</f>
        <v/>
      </c>
      <c r="R883" t="str">
        <f>IF($J883="","",IF($J883&gt;PARAMETRES!$G$30,5,IF($J883&gt;PARAMETRES!$F$30,4,IF($J883&gt;PARAMETRES!$E$30,3,IF($J883&gt;PARAMETRES!$D$30,2,1)))))</f>
        <v/>
      </c>
      <c r="S883" t="str">
        <f>IF($K883="","",IF($Z883=2,IF($K883&gt;PARAMETRES!$G$31,5,IF($K883&gt;PARAMETRES!$F$31,4,IF($K883&gt;PARAMETRES!$E$31,3,IF($K883&gt;PARAMETRES!$D$31,2,1)))),IF($K883&gt;PARAMETRES!$G$32,5,IF($K883&gt;PARAMETRES!$F$32,4,IF($K883&gt;PARAMETRES!$E$32,3,IF($K883&gt;PARAMETRES!$D$32,2,1))))))</f>
        <v/>
      </c>
      <c r="T883" t="str">
        <f>IF($L883="","",IF($L883&gt;PARAMETRES!$G$33,5,IF($L883&gt;PARAMETRES!$F$33,4,IF($L883&gt;PARAMETRES!$E$33,3,IF($L883&gt;PARAMETRES!$D$33,2,1)))))</f>
        <v/>
      </c>
      <c r="U883" t="str">
        <f>IF($M883="","",IF($M883&gt;PARAMETRES!$G$34,5,IF($M883&gt;PARAMETRES!$F$34,4,IF($M883&gt;PARAMETRES!$E$34,3,IF($M883&gt;PARAMETRES!$D$34,2,1)))))</f>
        <v/>
      </c>
      <c r="V883" t="str">
        <f>IF($N883="","",IF($N883&gt;PARAMETRES!$G$35,5,IF($N883&gt;PARAMETRES!$F$35,4,IF($N883&gt;PARAMETRES!$E$35,3,IF($N883&gt;PARAMETRES!$D$35,2,1)))))</f>
        <v/>
      </c>
      <c r="W883" t="str">
        <f>IF($O883="","",IF($O883&gt;PARAMETRES!$G$36,5,IF($O883&gt;PARAMETRES!$F$36,4,IF($O883&gt;PARAMETRES!$E$36,3,IF($O883&gt;PARAMETRES!$D$36,2,1)))))</f>
        <v/>
      </c>
      <c r="X883" t="str">
        <f>IF($P883="","",IF($P883&gt;PARAMETRES!$G$37,5,IF($P883&gt;PARAMETRES!$F$37,4,IF($P883&gt;PARAMETRES!$E$37,3,IF($P883&gt;PARAMETRES!$D$37,2,1)))))</f>
        <v/>
      </c>
      <c r="Y883" t="str">
        <f t="shared" si="312"/>
        <v/>
      </c>
      <c r="Z883" t="str">
        <f>IFERROR(VLOOKUP($B883,TABLE_CYCLE,2,0),"")</f>
        <v/>
      </c>
      <c r="AA883" t="str">
        <f t="shared" si="313"/>
        <v/>
      </c>
      <c r="AB883" t="str">
        <f>IF($D883="","",IF(COUNTIF($D$2:$D883,$D883)=1,$D883,""))</f>
        <v/>
      </c>
      <c r="AC883">
        <f t="shared" si="314"/>
        <v>0</v>
      </c>
      <c r="AD883" t="str">
        <f t="shared" si="315"/>
        <v>|0</v>
      </c>
      <c r="AE883" t="str">
        <f t="shared" si="316"/>
        <v/>
      </c>
      <c r="AF883" t="str">
        <f t="shared" si="317"/>
        <v/>
      </c>
      <c r="AG883" t="str">
        <f t="shared" si="318"/>
        <v/>
      </c>
      <c r="AH883" t="str">
        <f t="shared" si="319"/>
        <v/>
      </c>
      <c r="AI883" t="str">
        <f t="shared" si="320"/>
        <v/>
      </c>
      <c r="AJ883" t="str">
        <f t="shared" si="321"/>
        <v/>
      </c>
      <c r="AK883" t="str">
        <f t="shared" si="322"/>
        <v/>
      </c>
      <c r="AL883" t="str">
        <f t="shared" si="323"/>
        <v/>
      </c>
      <c r="AM883" t="str">
        <f t="shared" si="324"/>
        <v/>
      </c>
      <c r="AN883" t="str">
        <f t="shared" si="325"/>
        <v/>
      </c>
      <c r="AO883" t="str">
        <f t="shared" si="326"/>
        <v/>
      </c>
      <c r="AP883">
        <f t="shared" si="327"/>
        <v>1</v>
      </c>
      <c r="AQ883" t="str">
        <f>IF(SAISIE!$F888="","",SAISIE!$Y888)</f>
        <v/>
      </c>
      <c r="AR883" t="str">
        <f>IF(OR(SAISIE!$U$4="",SAISIE!$W$4=""),"",IF(AND($A883=SAISIE!$U$4,$B883=SAISIE!$W$4,$C883="S1"),COUNTIFS($A$2:$A883,SAISIE!$U$4,$B$2:$B883,SAISIE!$W$4,$C$2:$C883,"S1"),""))</f>
        <v/>
      </c>
      <c r="AS883" t="str">
        <f t="shared" si="328"/>
        <v/>
      </c>
      <c r="AT883" t="str">
        <f t="shared" si="329"/>
        <v/>
      </c>
      <c r="AU883" t="str">
        <f t="shared" si="330"/>
        <v/>
      </c>
      <c r="AV883">
        <f>N(AV882)+IF(AND($AB883&lt;&gt;"",OR('PROFIL ELEVE'!$K$4="(Tous)",$AF883='PROFIL ELEVE'!$K$4)),1,0)</f>
        <v>0</v>
      </c>
      <c r="AW883">
        <f>N(AW882)+IF(AND($AB883&lt;&gt;"",OR('SUIVI LONGITUDINAL'!$Q$4="(Tous)",$AF883='SUIVI LONGITUDINAL'!$Q$4)),1,0)</f>
        <v>0</v>
      </c>
      <c r="AX883">
        <f t="shared" si="331"/>
        <v>0</v>
      </c>
      <c r="AY883">
        <f t="shared" si="332"/>
        <v>0</v>
      </c>
      <c r="AZ883">
        <f t="shared" si="333"/>
        <v>0</v>
      </c>
      <c r="BA883" t="str">
        <f t="shared" si="334"/>
        <v/>
      </c>
      <c r="BB883" t="str">
        <f t="shared" si="335"/>
        <v/>
      </c>
    </row>
    <row r="884" spans="1:54" ht="14.25" customHeight="1" x14ac:dyDescent="0.3">
      <c r="A884" t="str">
        <f>IF(SAISIE!$F889="","",SAISIE!$B889)</f>
        <v/>
      </c>
      <c r="B884" t="str">
        <f>IF(SAISIE!$F889="","",SAISIE!$C889)</f>
        <v/>
      </c>
      <c r="C884" t="str">
        <f>IF(SAISIE!$F889="","",SAISIE!$D889)</f>
        <v/>
      </c>
      <c r="D884" t="str">
        <f>IF(SAISIE!$E889="","",SAISIE!$E889)</f>
        <v/>
      </c>
      <c r="E884" t="str">
        <f>IF(SAISIE!$F889="","",SAISIE!$F889)</f>
        <v/>
      </c>
      <c r="F884" t="str">
        <f>IF(SAISIE!$G889="","",SAISIE!$G889)</f>
        <v/>
      </c>
      <c r="G884" t="str">
        <f>IF(SAISIE!$H889="","",SAISIE!$H889)</f>
        <v/>
      </c>
      <c r="H884" t="str">
        <f>IF(SAISIE!$I889="","",SAISIE!$I889)</f>
        <v/>
      </c>
      <c r="I884" t="str">
        <f>IF(SAISIE!$J889="","",SAISIE!$J889)</f>
        <v/>
      </c>
      <c r="J884" t="str">
        <f>IF(SAISIE!$K889="","",SAISIE!$K889)</f>
        <v/>
      </c>
      <c r="K884" t="str">
        <f>IF(SAISIE!$L889="","",SAISIE!$L889)</f>
        <v/>
      </c>
      <c r="L884" t="str">
        <f>IF(SAISIE!$M889="","",SAISIE!$M889)</f>
        <v/>
      </c>
      <c r="M884" t="str">
        <f>IF(SAISIE!$N889="","",SAISIE!$N889)</f>
        <v/>
      </c>
      <c r="N884" t="str">
        <f>IF(SAISIE!$O889="","",SAISIE!$O889)</f>
        <v/>
      </c>
      <c r="O884" t="str">
        <f>IF(SAISIE!$P889="","",SAISIE!$P889)</f>
        <v/>
      </c>
      <c r="P884" t="str">
        <f>IF(SAISIE!$Q889="","",SAISIE!$Q889)</f>
        <v/>
      </c>
      <c r="Q884" t="str">
        <f>IF($I884="","",IF($I884&gt;PARAMETRES!$G$29,5,IF($I884&gt;PARAMETRES!$F$29,4,IF($I884&gt;PARAMETRES!$E$29,3,IF($I884&gt;PARAMETRES!$D$29,2,1)))))</f>
        <v/>
      </c>
      <c r="R884" t="str">
        <f>IF($J884="","",IF($J884&gt;PARAMETRES!$G$30,5,IF($J884&gt;PARAMETRES!$F$30,4,IF($J884&gt;PARAMETRES!$E$30,3,IF($J884&gt;PARAMETRES!$D$30,2,1)))))</f>
        <v/>
      </c>
      <c r="S884" t="str">
        <f>IF($K884="","",IF($Z884=2,IF($K884&gt;PARAMETRES!$G$31,5,IF($K884&gt;PARAMETRES!$F$31,4,IF($K884&gt;PARAMETRES!$E$31,3,IF($K884&gt;PARAMETRES!$D$31,2,1)))),IF($K884&gt;PARAMETRES!$G$32,5,IF($K884&gt;PARAMETRES!$F$32,4,IF($K884&gt;PARAMETRES!$E$32,3,IF($K884&gt;PARAMETRES!$D$32,2,1))))))</f>
        <v/>
      </c>
      <c r="T884" t="str">
        <f>IF($L884="","",IF($L884&gt;PARAMETRES!$G$33,5,IF($L884&gt;PARAMETRES!$F$33,4,IF($L884&gt;PARAMETRES!$E$33,3,IF($L884&gt;PARAMETRES!$D$33,2,1)))))</f>
        <v/>
      </c>
      <c r="U884" t="str">
        <f>IF($M884="","",IF($M884&gt;PARAMETRES!$G$34,5,IF($M884&gt;PARAMETRES!$F$34,4,IF($M884&gt;PARAMETRES!$E$34,3,IF($M884&gt;PARAMETRES!$D$34,2,1)))))</f>
        <v/>
      </c>
      <c r="V884" t="str">
        <f>IF($N884="","",IF($N884&gt;PARAMETRES!$G$35,5,IF($N884&gt;PARAMETRES!$F$35,4,IF($N884&gt;PARAMETRES!$E$35,3,IF($N884&gt;PARAMETRES!$D$35,2,1)))))</f>
        <v/>
      </c>
      <c r="W884" t="str">
        <f>IF($O884="","",IF($O884&gt;PARAMETRES!$G$36,5,IF($O884&gt;PARAMETRES!$F$36,4,IF($O884&gt;PARAMETRES!$E$36,3,IF($O884&gt;PARAMETRES!$D$36,2,1)))))</f>
        <v/>
      </c>
      <c r="X884" t="str">
        <f>IF($P884="","",IF($P884&gt;PARAMETRES!$G$37,5,IF($P884&gt;PARAMETRES!$F$37,4,IF($P884&gt;PARAMETRES!$E$37,3,IF($P884&gt;PARAMETRES!$D$37,2,1)))))</f>
        <v/>
      </c>
      <c r="Y884" t="str">
        <f t="shared" si="312"/>
        <v/>
      </c>
      <c r="Z884" t="str">
        <f>IFERROR(VLOOKUP($B884,TABLE_CYCLE,2,0),"")</f>
        <v/>
      </c>
      <c r="AA884" t="str">
        <f t="shared" si="313"/>
        <v/>
      </c>
      <c r="AB884" t="str">
        <f>IF($D884="","",IF(COUNTIF($D$2:$D884,$D884)=1,$D884,""))</f>
        <v/>
      </c>
      <c r="AC884">
        <f t="shared" si="314"/>
        <v>0</v>
      </c>
      <c r="AD884" t="str">
        <f t="shared" si="315"/>
        <v>|0</v>
      </c>
      <c r="AE884" t="str">
        <f t="shared" si="316"/>
        <v/>
      </c>
      <c r="AF884" t="str">
        <f t="shared" si="317"/>
        <v/>
      </c>
      <c r="AG884" t="str">
        <f t="shared" si="318"/>
        <v/>
      </c>
      <c r="AH884" t="str">
        <f t="shared" si="319"/>
        <v/>
      </c>
      <c r="AI884" t="str">
        <f t="shared" si="320"/>
        <v/>
      </c>
      <c r="AJ884" t="str">
        <f t="shared" si="321"/>
        <v/>
      </c>
      <c r="AK884" t="str">
        <f t="shared" si="322"/>
        <v/>
      </c>
      <c r="AL884" t="str">
        <f t="shared" si="323"/>
        <v/>
      </c>
      <c r="AM884" t="str">
        <f t="shared" si="324"/>
        <v/>
      </c>
      <c r="AN884" t="str">
        <f t="shared" si="325"/>
        <v/>
      </c>
      <c r="AO884" t="str">
        <f t="shared" si="326"/>
        <v/>
      </c>
      <c r="AP884">
        <f t="shared" si="327"/>
        <v>1</v>
      </c>
      <c r="AQ884" t="str">
        <f>IF(SAISIE!$F889="","",SAISIE!$Y889)</f>
        <v/>
      </c>
      <c r="AR884" t="str">
        <f>IF(OR(SAISIE!$U$4="",SAISIE!$W$4=""),"",IF(AND($A884=SAISIE!$U$4,$B884=SAISIE!$W$4,$C884="S1"),COUNTIFS($A$2:$A884,SAISIE!$U$4,$B$2:$B884,SAISIE!$W$4,$C$2:$C884,"S1"),""))</f>
        <v/>
      </c>
      <c r="AS884" t="str">
        <f t="shared" si="328"/>
        <v/>
      </c>
      <c r="AT884" t="str">
        <f t="shared" si="329"/>
        <v/>
      </c>
      <c r="AU884" t="str">
        <f t="shared" si="330"/>
        <v/>
      </c>
      <c r="AV884">
        <f>N(AV883)+IF(AND($AB884&lt;&gt;"",OR('PROFIL ELEVE'!$K$4="(Tous)",$AF884='PROFIL ELEVE'!$K$4)),1,0)</f>
        <v>0</v>
      </c>
      <c r="AW884">
        <f>N(AW883)+IF(AND($AB884&lt;&gt;"",OR('SUIVI LONGITUDINAL'!$Q$4="(Tous)",$AF884='SUIVI LONGITUDINAL'!$Q$4)),1,0)</f>
        <v>0</v>
      </c>
      <c r="AX884">
        <f t="shared" si="331"/>
        <v>0</v>
      </c>
      <c r="AY884">
        <f t="shared" si="332"/>
        <v>0</v>
      </c>
      <c r="AZ884">
        <f t="shared" si="333"/>
        <v>0</v>
      </c>
      <c r="BA884" t="str">
        <f t="shared" si="334"/>
        <v/>
      </c>
      <c r="BB884" t="str">
        <f t="shared" si="335"/>
        <v/>
      </c>
    </row>
    <row r="885" spans="1:54" ht="14.25" customHeight="1" x14ac:dyDescent="0.3">
      <c r="A885" t="str">
        <f>IF(SAISIE!$F890="","",SAISIE!$B890)</f>
        <v/>
      </c>
      <c r="B885" t="str">
        <f>IF(SAISIE!$F890="","",SAISIE!$C890)</f>
        <v/>
      </c>
      <c r="C885" t="str">
        <f>IF(SAISIE!$F890="","",SAISIE!$D890)</f>
        <v/>
      </c>
      <c r="D885" t="str">
        <f>IF(SAISIE!$E890="","",SAISIE!$E890)</f>
        <v/>
      </c>
      <c r="E885" t="str">
        <f>IF(SAISIE!$F890="","",SAISIE!$F890)</f>
        <v/>
      </c>
      <c r="F885" t="str">
        <f>IF(SAISIE!$G890="","",SAISIE!$G890)</f>
        <v/>
      </c>
      <c r="G885" t="str">
        <f>IF(SAISIE!$H890="","",SAISIE!$H890)</f>
        <v/>
      </c>
      <c r="H885" t="str">
        <f>IF(SAISIE!$I890="","",SAISIE!$I890)</f>
        <v/>
      </c>
      <c r="I885" t="str">
        <f>IF(SAISIE!$J890="","",SAISIE!$J890)</f>
        <v/>
      </c>
      <c r="J885" t="str">
        <f>IF(SAISIE!$K890="","",SAISIE!$K890)</f>
        <v/>
      </c>
      <c r="K885" t="str">
        <f>IF(SAISIE!$L890="","",SAISIE!$L890)</f>
        <v/>
      </c>
      <c r="L885" t="str">
        <f>IF(SAISIE!$M890="","",SAISIE!$M890)</f>
        <v/>
      </c>
      <c r="M885" t="str">
        <f>IF(SAISIE!$N890="","",SAISIE!$N890)</f>
        <v/>
      </c>
      <c r="N885" t="str">
        <f>IF(SAISIE!$O890="","",SAISIE!$O890)</f>
        <v/>
      </c>
      <c r="O885" t="str">
        <f>IF(SAISIE!$P890="","",SAISIE!$P890)</f>
        <v/>
      </c>
      <c r="P885" t="str">
        <f>IF(SAISIE!$Q890="","",SAISIE!$Q890)</f>
        <v/>
      </c>
      <c r="Q885" t="str">
        <f>IF($I885="","",IF($I885&gt;PARAMETRES!$G$29,5,IF($I885&gt;PARAMETRES!$F$29,4,IF($I885&gt;PARAMETRES!$E$29,3,IF($I885&gt;PARAMETRES!$D$29,2,1)))))</f>
        <v/>
      </c>
      <c r="R885" t="str">
        <f>IF($J885="","",IF($J885&gt;PARAMETRES!$G$30,5,IF($J885&gt;PARAMETRES!$F$30,4,IF($J885&gt;PARAMETRES!$E$30,3,IF($J885&gt;PARAMETRES!$D$30,2,1)))))</f>
        <v/>
      </c>
      <c r="S885" t="str">
        <f>IF($K885="","",IF($Z885=2,IF($K885&gt;PARAMETRES!$G$31,5,IF($K885&gt;PARAMETRES!$F$31,4,IF($K885&gt;PARAMETRES!$E$31,3,IF($K885&gt;PARAMETRES!$D$31,2,1)))),IF($K885&gt;PARAMETRES!$G$32,5,IF($K885&gt;PARAMETRES!$F$32,4,IF($K885&gt;PARAMETRES!$E$32,3,IF($K885&gt;PARAMETRES!$D$32,2,1))))))</f>
        <v/>
      </c>
      <c r="T885" t="str">
        <f>IF($L885="","",IF($L885&gt;PARAMETRES!$G$33,5,IF($L885&gt;PARAMETRES!$F$33,4,IF($L885&gt;PARAMETRES!$E$33,3,IF($L885&gt;PARAMETRES!$D$33,2,1)))))</f>
        <v/>
      </c>
      <c r="U885" t="str">
        <f>IF($M885="","",IF($M885&gt;PARAMETRES!$G$34,5,IF($M885&gt;PARAMETRES!$F$34,4,IF($M885&gt;PARAMETRES!$E$34,3,IF($M885&gt;PARAMETRES!$D$34,2,1)))))</f>
        <v/>
      </c>
      <c r="V885" t="str">
        <f>IF($N885="","",IF($N885&gt;PARAMETRES!$G$35,5,IF($N885&gt;PARAMETRES!$F$35,4,IF($N885&gt;PARAMETRES!$E$35,3,IF($N885&gt;PARAMETRES!$D$35,2,1)))))</f>
        <v/>
      </c>
      <c r="W885" t="str">
        <f>IF($O885="","",IF($O885&gt;PARAMETRES!$G$36,5,IF($O885&gt;PARAMETRES!$F$36,4,IF($O885&gt;PARAMETRES!$E$36,3,IF($O885&gt;PARAMETRES!$D$36,2,1)))))</f>
        <v/>
      </c>
      <c r="X885" t="str">
        <f>IF($P885="","",IF($P885&gt;PARAMETRES!$G$37,5,IF($P885&gt;PARAMETRES!$F$37,4,IF($P885&gt;PARAMETRES!$E$37,3,IF($P885&gt;PARAMETRES!$D$37,2,1)))))</f>
        <v/>
      </c>
      <c r="Y885" t="str">
        <f t="shared" si="312"/>
        <v/>
      </c>
      <c r="Z885" t="str">
        <f>IFERROR(VLOOKUP($B885,TABLE_CYCLE,2,0),"")</f>
        <v/>
      </c>
      <c r="AA885" t="str">
        <f t="shared" si="313"/>
        <v/>
      </c>
      <c r="AB885" t="str">
        <f>IF($D885="","",IF(COUNTIF($D$2:$D885,$D885)=1,$D885,""))</f>
        <v/>
      </c>
      <c r="AC885">
        <f t="shared" si="314"/>
        <v>0</v>
      </c>
      <c r="AD885" t="str">
        <f t="shared" si="315"/>
        <v>|0</v>
      </c>
      <c r="AE885" t="str">
        <f t="shared" si="316"/>
        <v/>
      </c>
      <c r="AF885" t="str">
        <f t="shared" si="317"/>
        <v/>
      </c>
      <c r="AG885" t="str">
        <f t="shared" si="318"/>
        <v/>
      </c>
      <c r="AH885" t="str">
        <f t="shared" si="319"/>
        <v/>
      </c>
      <c r="AI885" t="str">
        <f t="shared" si="320"/>
        <v/>
      </c>
      <c r="AJ885" t="str">
        <f t="shared" si="321"/>
        <v/>
      </c>
      <c r="AK885" t="str">
        <f t="shared" si="322"/>
        <v/>
      </c>
      <c r="AL885" t="str">
        <f t="shared" si="323"/>
        <v/>
      </c>
      <c r="AM885" t="str">
        <f t="shared" si="324"/>
        <v/>
      </c>
      <c r="AN885" t="str">
        <f t="shared" si="325"/>
        <v/>
      </c>
      <c r="AO885" t="str">
        <f t="shared" si="326"/>
        <v/>
      </c>
      <c r="AP885">
        <f t="shared" si="327"/>
        <v>1</v>
      </c>
      <c r="AQ885" t="str">
        <f>IF(SAISIE!$F890="","",SAISIE!$Y890)</f>
        <v/>
      </c>
      <c r="AR885" t="str">
        <f>IF(OR(SAISIE!$U$4="",SAISIE!$W$4=""),"",IF(AND($A885=SAISIE!$U$4,$B885=SAISIE!$W$4,$C885="S1"),COUNTIFS($A$2:$A885,SAISIE!$U$4,$B$2:$B885,SAISIE!$W$4,$C$2:$C885,"S1"),""))</f>
        <v/>
      </c>
      <c r="AS885" t="str">
        <f t="shared" si="328"/>
        <v/>
      </c>
      <c r="AT885" t="str">
        <f t="shared" si="329"/>
        <v/>
      </c>
      <c r="AU885" t="str">
        <f t="shared" si="330"/>
        <v/>
      </c>
      <c r="AV885">
        <f>N(AV884)+IF(AND($AB885&lt;&gt;"",OR('PROFIL ELEVE'!$K$4="(Tous)",$AF885='PROFIL ELEVE'!$K$4)),1,0)</f>
        <v>0</v>
      </c>
      <c r="AW885">
        <f>N(AW884)+IF(AND($AB885&lt;&gt;"",OR('SUIVI LONGITUDINAL'!$Q$4="(Tous)",$AF885='SUIVI LONGITUDINAL'!$Q$4)),1,0)</f>
        <v>0</v>
      </c>
      <c r="AX885">
        <f t="shared" si="331"/>
        <v>0</v>
      </c>
      <c r="AY885">
        <f t="shared" si="332"/>
        <v>0</v>
      </c>
      <c r="AZ885">
        <f t="shared" si="333"/>
        <v>0</v>
      </c>
      <c r="BA885" t="str">
        <f t="shared" si="334"/>
        <v/>
      </c>
      <c r="BB885" t="str">
        <f t="shared" si="335"/>
        <v/>
      </c>
    </row>
    <row r="886" spans="1:54" ht="14.25" customHeight="1" x14ac:dyDescent="0.3">
      <c r="A886" t="str">
        <f>IF(SAISIE!$F891="","",SAISIE!$B891)</f>
        <v/>
      </c>
      <c r="B886" t="str">
        <f>IF(SAISIE!$F891="","",SAISIE!$C891)</f>
        <v/>
      </c>
      <c r="C886" t="str">
        <f>IF(SAISIE!$F891="","",SAISIE!$D891)</f>
        <v/>
      </c>
      <c r="D886" t="str">
        <f>IF(SAISIE!$E891="","",SAISIE!$E891)</f>
        <v/>
      </c>
      <c r="E886" t="str">
        <f>IF(SAISIE!$F891="","",SAISIE!$F891)</f>
        <v/>
      </c>
      <c r="F886" t="str">
        <f>IF(SAISIE!$G891="","",SAISIE!$G891)</f>
        <v/>
      </c>
      <c r="G886" t="str">
        <f>IF(SAISIE!$H891="","",SAISIE!$H891)</f>
        <v/>
      </c>
      <c r="H886" t="str">
        <f>IF(SAISIE!$I891="","",SAISIE!$I891)</f>
        <v/>
      </c>
      <c r="I886" t="str">
        <f>IF(SAISIE!$J891="","",SAISIE!$J891)</f>
        <v/>
      </c>
      <c r="J886" t="str">
        <f>IF(SAISIE!$K891="","",SAISIE!$K891)</f>
        <v/>
      </c>
      <c r="K886" t="str">
        <f>IF(SAISIE!$L891="","",SAISIE!$L891)</f>
        <v/>
      </c>
      <c r="L886" t="str">
        <f>IF(SAISIE!$M891="","",SAISIE!$M891)</f>
        <v/>
      </c>
      <c r="M886" t="str">
        <f>IF(SAISIE!$N891="","",SAISIE!$N891)</f>
        <v/>
      </c>
      <c r="N886" t="str">
        <f>IF(SAISIE!$O891="","",SAISIE!$O891)</f>
        <v/>
      </c>
      <c r="O886" t="str">
        <f>IF(SAISIE!$P891="","",SAISIE!$P891)</f>
        <v/>
      </c>
      <c r="P886" t="str">
        <f>IF(SAISIE!$Q891="","",SAISIE!$Q891)</f>
        <v/>
      </c>
      <c r="Q886" t="str">
        <f>IF($I886="","",IF($I886&gt;PARAMETRES!$G$29,5,IF($I886&gt;PARAMETRES!$F$29,4,IF($I886&gt;PARAMETRES!$E$29,3,IF($I886&gt;PARAMETRES!$D$29,2,1)))))</f>
        <v/>
      </c>
      <c r="R886" t="str">
        <f>IF($J886="","",IF($J886&gt;PARAMETRES!$G$30,5,IF($J886&gt;PARAMETRES!$F$30,4,IF($J886&gt;PARAMETRES!$E$30,3,IF($J886&gt;PARAMETRES!$D$30,2,1)))))</f>
        <v/>
      </c>
      <c r="S886" t="str">
        <f>IF($K886="","",IF($Z886=2,IF($K886&gt;PARAMETRES!$G$31,5,IF($K886&gt;PARAMETRES!$F$31,4,IF($K886&gt;PARAMETRES!$E$31,3,IF($K886&gt;PARAMETRES!$D$31,2,1)))),IF($K886&gt;PARAMETRES!$G$32,5,IF($K886&gt;PARAMETRES!$F$32,4,IF($K886&gt;PARAMETRES!$E$32,3,IF($K886&gt;PARAMETRES!$D$32,2,1))))))</f>
        <v/>
      </c>
      <c r="T886" t="str">
        <f>IF($L886="","",IF($L886&gt;PARAMETRES!$G$33,5,IF($L886&gt;PARAMETRES!$F$33,4,IF($L886&gt;PARAMETRES!$E$33,3,IF($L886&gt;PARAMETRES!$D$33,2,1)))))</f>
        <v/>
      </c>
      <c r="U886" t="str">
        <f>IF($M886="","",IF($M886&gt;PARAMETRES!$G$34,5,IF($M886&gt;PARAMETRES!$F$34,4,IF($M886&gt;PARAMETRES!$E$34,3,IF($M886&gt;PARAMETRES!$D$34,2,1)))))</f>
        <v/>
      </c>
      <c r="V886" t="str">
        <f>IF($N886="","",IF($N886&gt;PARAMETRES!$G$35,5,IF($N886&gt;PARAMETRES!$F$35,4,IF($N886&gt;PARAMETRES!$E$35,3,IF($N886&gt;PARAMETRES!$D$35,2,1)))))</f>
        <v/>
      </c>
      <c r="W886" t="str">
        <f>IF($O886="","",IF($O886&gt;PARAMETRES!$G$36,5,IF($O886&gt;PARAMETRES!$F$36,4,IF($O886&gt;PARAMETRES!$E$36,3,IF($O886&gt;PARAMETRES!$D$36,2,1)))))</f>
        <v/>
      </c>
      <c r="X886" t="str">
        <f>IF($P886="","",IF($P886&gt;PARAMETRES!$G$37,5,IF($P886&gt;PARAMETRES!$F$37,4,IF($P886&gt;PARAMETRES!$E$37,3,IF($P886&gt;PARAMETRES!$D$37,2,1)))))</f>
        <v/>
      </c>
      <c r="Y886" t="str">
        <f t="shared" si="312"/>
        <v/>
      </c>
      <c r="Z886" t="str">
        <f>IFERROR(VLOOKUP($B886,TABLE_CYCLE,2,0),"")</f>
        <v/>
      </c>
      <c r="AA886" t="str">
        <f t="shared" si="313"/>
        <v/>
      </c>
      <c r="AB886" t="str">
        <f>IF($D886="","",IF(COUNTIF($D$2:$D886,$D886)=1,$D886,""))</f>
        <v/>
      </c>
      <c r="AC886">
        <f t="shared" si="314"/>
        <v>0</v>
      </c>
      <c r="AD886" t="str">
        <f t="shared" si="315"/>
        <v>|0</v>
      </c>
      <c r="AE886" t="str">
        <f t="shared" si="316"/>
        <v/>
      </c>
      <c r="AF886" t="str">
        <f t="shared" si="317"/>
        <v/>
      </c>
      <c r="AG886" t="str">
        <f t="shared" si="318"/>
        <v/>
      </c>
      <c r="AH886" t="str">
        <f t="shared" si="319"/>
        <v/>
      </c>
      <c r="AI886" t="str">
        <f t="shared" si="320"/>
        <v/>
      </c>
      <c r="AJ886" t="str">
        <f t="shared" si="321"/>
        <v/>
      </c>
      <c r="AK886" t="str">
        <f t="shared" si="322"/>
        <v/>
      </c>
      <c r="AL886" t="str">
        <f t="shared" si="323"/>
        <v/>
      </c>
      <c r="AM886" t="str">
        <f t="shared" si="324"/>
        <v/>
      </c>
      <c r="AN886" t="str">
        <f t="shared" si="325"/>
        <v/>
      </c>
      <c r="AO886" t="str">
        <f t="shared" si="326"/>
        <v/>
      </c>
      <c r="AP886">
        <f t="shared" si="327"/>
        <v>1</v>
      </c>
      <c r="AQ886" t="str">
        <f>IF(SAISIE!$F891="","",SAISIE!$Y891)</f>
        <v/>
      </c>
      <c r="AR886" t="str">
        <f>IF(OR(SAISIE!$U$4="",SAISIE!$W$4=""),"",IF(AND($A886=SAISIE!$U$4,$B886=SAISIE!$W$4,$C886="S1"),COUNTIFS($A$2:$A886,SAISIE!$U$4,$B$2:$B886,SAISIE!$W$4,$C$2:$C886,"S1"),""))</f>
        <v/>
      </c>
      <c r="AS886" t="str">
        <f t="shared" si="328"/>
        <v/>
      </c>
      <c r="AT886" t="str">
        <f t="shared" si="329"/>
        <v/>
      </c>
      <c r="AU886" t="str">
        <f t="shared" si="330"/>
        <v/>
      </c>
      <c r="AV886">
        <f>N(AV885)+IF(AND($AB886&lt;&gt;"",OR('PROFIL ELEVE'!$K$4="(Tous)",$AF886='PROFIL ELEVE'!$K$4)),1,0)</f>
        <v>0</v>
      </c>
      <c r="AW886">
        <f>N(AW885)+IF(AND($AB886&lt;&gt;"",OR('SUIVI LONGITUDINAL'!$Q$4="(Tous)",$AF886='SUIVI LONGITUDINAL'!$Q$4)),1,0)</f>
        <v>0</v>
      </c>
      <c r="AX886">
        <f t="shared" si="331"/>
        <v>0</v>
      </c>
      <c r="AY886">
        <f t="shared" si="332"/>
        <v>0</v>
      </c>
      <c r="AZ886">
        <f t="shared" si="333"/>
        <v>0</v>
      </c>
      <c r="BA886" t="str">
        <f t="shared" si="334"/>
        <v/>
      </c>
      <c r="BB886" t="str">
        <f t="shared" si="335"/>
        <v/>
      </c>
    </row>
    <row r="887" spans="1:54" ht="14.25" customHeight="1" x14ac:dyDescent="0.3">
      <c r="A887" t="str">
        <f>IF(SAISIE!$F892="","",SAISIE!$B892)</f>
        <v/>
      </c>
      <c r="B887" t="str">
        <f>IF(SAISIE!$F892="","",SAISIE!$C892)</f>
        <v/>
      </c>
      <c r="C887" t="str">
        <f>IF(SAISIE!$F892="","",SAISIE!$D892)</f>
        <v/>
      </c>
      <c r="D887" t="str">
        <f>IF(SAISIE!$E892="","",SAISIE!$E892)</f>
        <v/>
      </c>
      <c r="E887" t="str">
        <f>IF(SAISIE!$F892="","",SAISIE!$F892)</f>
        <v/>
      </c>
      <c r="F887" t="str">
        <f>IF(SAISIE!$G892="","",SAISIE!$G892)</f>
        <v/>
      </c>
      <c r="G887" t="str">
        <f>IF(SAISIE!$H892="","",SAISIE!$H892)</f>
        <v/>
      </c>
      <c r="H887" t="str">
        <f>IF(SAISIE!$I892="","",SAISIE!$I892)</f>
        <v/>
      </c>
      <c r="I887" t="str">
        <f>IF(SAISIE!$J892="","",SAISIE!$J892)</f>
        <v/>
      </c>
      <c r="J887" t="str">
        <f>IF(SAISIE!$K892="","",SAISIE!$K892)</f>
        <v/>
      </c>
      <c r="K887" t="str">
        <f>IF(SAISIE!$L892="","",SAISIE!$L892)</f>
        <v/>
      </c>
      <c r="L887" t="str">
        <f>IF(SAISIE!$M892="","",SAISIE!$M892)</f>
        <v/>
      </c>
      <c r="M887" t="str">
        <f>IF(SAISIE!$N892="","",SAISIE!$N892)</f>
        <v/>
      </c>
      <c r="N887" t="str">
        <f>IF(SAISIE!$O892="","",SAISIE!$O892)</f>
        <v/>
      </c>
      <c r="O887" t="str">
        <f>IF(SAISIE!$P892="","",SAISIE!$P892)</f>
        <v/>
      </c>
      <c r="P887" t="str">
        <f>IF(SAISIE!$Q892="","",SAISIE!$Q892)</f>
        <v/>
      </c>
      <c r="Q887" t="str">
        <f>IF($I887="","",IF($I887&gt;PARAMETRES!$G$29,5,IF($I887&gt;PARAMETRES!$F$29,4,IF($I887&gt;PARAMETRES!$E$29,3,IF($I887&gt;PARAMETRES!$D$29,2,1)))))</f>
        <v/>
      </c>
      <c r="R887" t="str">
        <f>IF($J887="","",IF($J887&gt;PARAMETRES!$G$30,5,IF($J887&gt;PARAMETRES!$F$30,4,IF($J887&gt;PARAMETRES!$E$30,3,IF($J887&gt;PARAMETRES!$D$30,2,1)))))</f>
        <v/>
      </c>
      <c r="S887" t="str">
        <f>IF($K887="","",IF($Z887=2,IF($K887&gt;PARAMETRES!$G$31,5,IF($K887&gt;PARAMETRES!$F$31,4,IF($K887&gt;PARAMETRES!$E$31,3,IF($K887&gt;PARAMETRES!$D$31,2,1)))),IF($K887&gt;PARAMETRES!$G$32,5,IF($K887&gt;PARAMETRES!$F$32,4,IF($K887&gt;PARAMETRES!$E$32,3,IF($K887&gt;PARAMETRES!$D$32,2,1))))))</f>
        <v/>
      </c>
      <c r="T887" t="str">
        <f>IF($L887="","",IF($L887&gt;PARAMETRES!$G$33,5,IF($L887&gt;PARAMETRES!$F$33,4,IF($L887&gt;PARAMETRES!$E$33,3,IF($L887&gt;PARAMETRES!$D$33,2,1)))))</f>
        <v/>
      </c>
      <c r="U887" t="str">
        <f>IF($M887="","",IF($M887&gt;PARAMETRES!$G$34,5,IF($M887&gt;PARAMETRES!$F$34,4,IF($M887&gt;PARAMETRES!$E$34,3,IF($M887&gt;PARAMETRES!$D$34,2,1)))))</f>
        <v/>
      </c>
      <c r="V887" t="str">
        <f>IF($N887="","",IF($N887&gt;PARAMETRES!$G$35,5,IF($N887&gt;PARAMETRES!$F$35,4,IF($N887&gt;PARAMETRES!$E$35,3,IF($N887&gt;PARAMETRES!$D$35,2,1)))))</f>
        <v/>
      </c>
      <c r="W887" t="str">
        <f>IF($O887="","",IF($O887&gt;PARAMETRES!$G$36,5,IF($O887&gt;PARAMETRES!$F$36,4,IF($O887&gt;PARAMETRES!$E$36,3,IF($O887&gt;PARAMETRES!$D$36,2,1)))))</f>
        <v/>
      </c>
      <c r="X887" t="str">
        <f>IF($P887="","",IF($P887&gt;PARAMETRES!$G$37,5,IF($P887&gt;PARAMETRES!$F$37,4,IF($P887&gt;PARAMETRES!$E$37,3,IF($P887&gt;PARAMETRES!$D$37,2,1)))))</f>
        <v/>
      </c>
      <c r="Y887" t="str">
        <f t="shared" si="312"/>
        <v/>
      </c>
      <c r="Z887" t="str">
        <f>IFERROR(VLOOKUP($B887,TABLE_CYCLE,2,0),"")</f>
        <v/>
      </c>
      <c r="AA887" t="str">
        <f t="shared" si="313"/>
        <v/>
      </c>
      <c r="AB887" t="str">
        <f>IF($D887="","",IF(COUNTIF($D$2:$D887,$D887)=1,$D887,""))</f>
        <v/>
      </c>
      <c r="AC887">
        <f t="shared" si="314"/>
        <v>0</v>
      </c>
      <c r="AD887" t="str">
        <f t="shared" si="315"/>
        <v>|0</v>
      </c>
      <c r="AE887" t="str">
        <f t="shared" si="316"/>
        <v/>
      </c>
      <c r="AF887" t="str">
        <f t="shared" si="317"/>
        <v/>
      </c>
      <c r="AG887" t="str">
        <f t="shared" si="318"/>
        <v/>
      </c>
      <c r="AH887" t="str">
        <f t="shared" si="319"/>
        <v/>
      </c>
      <c r="AI887" t="str">
        <f t="shared" si="320"/>
        <v/>
      </c>
      <c r="AJ887" t="str">
        <f t="shared" si="321"/>
        <v/>
      </c>
      <c r="AK887" t="str">
        <f t="shared" si="322"/>
        <v/>
      </c>
      <c r="AL887" t="str">
        <f t="shared" si="323"/>
        <v/>
      </c>
      <c r="AM887" t="str">
        <f t="shared" si="324"/>
        <v/>
      </c>
      <c r="AN887" t="str">
        <f t="shared" si="325"/>
        <v/>
      </c>
      <c r="AO887" t="str">
        <f t="shared" si="326"/>
        <v/>
      </c>
      <c r="AP887">
        <f t="shared" si="327"/>
        <v>1</v>
      </c>
      <c r="AQ887" t="str">
        <f>IF(SAISIE!$F892="","",SAISIE!$Y892)</f>
        <v/>
      </c>
      <c r="AR887" t="str">
        <f>IF(OR(SAISIE!$U$4="",SAISIE!$W$4=""),"",IF(AND($A887=SAISIE!$U$4,$B887=SAISIE!$W$4,$C887="S1"),COUNTIFS($A$2:$A887,SAISIE!$U$4,$B$2:$B887,SAISIE!$W$4,$C$2:$C887,"S1"),""))</f>
        <v/>
      </c>
      <c r="AS887" t="str">
        <f t="shared" si="328"/>
        <v/>
      </c>
      <c r="AT887" t="str">
        <f t="shared" si="329"/>
        <v/>
      </c>
      <c r="AU887" t="str">
        <f t="shared" si="330"/>
        <v/>
      </c>
      <c r="AV887">
        <f>N(AV886)+IF(AND($AB887&lt;&gt;"",OR('PROFIL ELEVE'!$K$4="(Tous)",$AF887='PROFIL ELEVE'!$K$4)),1,0)</f>
        <v>0</v>
      </c>
      <c r="AW887">
        <f>N(AW886)+IF(AND($AB887&lt;&gt;"",OR('SUIVI LONGITUDINAL'!$Q$4="(Tous)",$AF887='SUIVI LONGITUDINAL'!$Q$4)),1,0)</f>
        <v>0</v>
      </c>
      <c r="AX887">
        <f t="shared" si="331"/>
        <v>0</v>
      </c>
      <c r="AY887">
        <f t="shared" si="332"/>
        <v>0</v>
      </c>
      <c r="AZ887">
        <f t="shared" si="333"/>
        <v>0</v>
      </c>
      <c r="BA887" t="str">
        <f t="shared" si="334"/>
        <v/>
      </c>
      <c r="BB887" t="str">
        <f t="shared" si="335"/>
        <v/>
      </c>
    </row>
    <row r="888" spans="1:54" ht="14.25" customHeight="1" x14ac:dyDescent="0.3">
      <c r="A888" t="str">
        <f>IF(SAISIE!$F893="","",SAISIE!$B893)</f>
        <v/>
      </c>
      <c r="B888" t="str">
        <f>IF(SAISIE!$F893="","",SAISIE!$C893)</f>
        <v/>
      </c>
      <c r="C888" t="str">
        <f>IF(SAISIE!$F893="","",SAISIE!$D893)</f>
        <v/>
      </c>
      <c r="D888" t="str">
        <f>IF(SAISIE!$E893="","",SAISIE!$E893)</f>
        <v/>
      </c>
      <c r="E888" t="str">
        <f>IF(SAISIE!$F893="","",SAISIE!$F893)</f>
        <v/>
      </c>
      <c r="F888" t="str">
        <f>IF(SAISIE!$G893="","",SAISIE!$G893)</f>
        <v/>
      </c>
      <c r="G888" t="str">
        <f>IF(SAISIE!$H893="","",SAISIE!$H893)</f>
        <v/>
      </c>
      <c r="H888" t="str">
        <f>IF(SAISIE!$I893="","",SAISIE!$I893)</f>
        <v/>
      </c>
      <c r="I888" t="str">
        <f>IF(SAISIE!$J893="","",SAISIE!$J893)</f>
        <v/>
      </c>
      <c r="J888" t="str">
        <f>IF(SAISIE!$K893="","",SAISIE!$K893)</f>
        <v/>
      </c>
      <c r="K888" t="str">
        <f>IF(SAISIE!$L893="","",SAISIE!$L893)</f>
        <v/>
      </c>
      <c r="L888" t="str">
        <f>IF(SAISIE!$M893="","",SAISIE!$M893)</f>
        <v/>
      </c>
      <c r="M888" t="str">
        <f>IF(SAISIE!$N893="","",SAISIE!$N893)</f>
        <v/>
      </c>
      <c r="N888" t="str">
        <f>IF(SAISIE!$O893="","",SAISIE!$O893)</f>
        <v/>
      </c>
      <c r="O888" t="str">
        <f>IF(SAISIE!$P893="","",SAISIE!$P893)</f>
        <v/>
      </c>
      <c r="P888" t="str">
        <f>IF(SAISIE!$Q893="","",SAISIE!$Q893)</f>
        <v/>
      </c>
      <c r="Q888" t="str">
        <f>IF($I888="","",IF($I888&gt;PARAMETRES!$G$29,5,IF($I888&gt;PARAMETRES!$F$29,4,IF($I888&gt;PARAMETRES!$E$29,3,IF($I888&gt;PARAMETRES!$D$29,2,1)))))</f>
        <v/>
      </c>
      <c r="R888" t="str">
        <f>IF($J888="","",IF($J888&gt;PARAMETRES!$G$30,5,IF($J888&gt;PARAMETRES!$F$30,4,IF($J888&gt;PARAMETRES!$E$30,3,IF($J888&gt;PARAMETRES!$D$30,2,1)))))</f>
        <v/>
      </c>
      <c r="S888" t="str">
        <f>IF($K888="","",IF($Z888=2,IF($K888&gt;PARAMETRES!$G$31,5,IF($K888&gt;PARAMETRES!$F$31,4,IF($K888&gt;PARAMETRES!$E$31,3,IF($K888&gt;PARAMETRES!$D$31,2,1)))),IF($K888&gt;PARAMETRES!$G$32,5,IF($K888&gt;PARAMETRES!$F$32,4,IF($K888&gt;PARAMETRES!$E$32,3,IF($K888&gt;PARAMETRES!$D$32,2,1))))))</f>
        <v/>
      </c>
      <c r="T888" t="str">
        <f>IF($L888="","",IF($L888&gt;PARAMETRES!$G$33,5,IF($L888&gt;PARAMETRES!$F$33,4,IF($L888&gt;PARAMETRES!$E$33,3,IF($L888&gt;PARAMETRES!$D$33,2,1)))))</f>
        <v/>
      </c>
      <c r="U888" t="str">
        <f>IF($M888="","",IF($M888&gt;PARAMETRES!$G$34,5,IF($M888&gt;PARAMETRES!$F$34,4,IF($M888&gt;PARAMETRES!$E$34,3,IF($M888&gt;PARAMETRES!$D$34,2,1)))))</f>
        <v/>
      </c>
      <c r="V888" t="str">
        <f>IF($N888="","",IF($N888&gt;PARAMETRES!$G$35,5,IF($N888&gt;PARAMETRES!$F$35,4,IF($N888&gt;PARAMETRES!$E$35,3,IF($N888&gt;PARAMETRES!$D$35,2,1)))))</f>
        <v/>
      </c>
      <c r="W888" t="str">
        <f>IF($O888="","",IF($O888&gt;PARAMETRES!$G$36,5,IF($O888&gt;PARAMETRES!$F$36,4,IF($O888&gt;PARAMETRES!$E$36,3,IF($O888&gt;PARAMETRES!$D$36,2,1)))))</f>
        <v/>
      </c>
      <c r="X888" t="str">
        <f>IF($P888="","",IF($P888&gt;PARAMETRES!$G$37,5,IF($P888&gt;PARAMETRES!$F$37,4,IF($P888&gt;PARAMETRES!$E$37,3,IF($P888&gt;PARAMETRES!$D$37,2,1)))))</f>
        <v/>
      </c>
      <c r="Y888" t="str">
        <f t="shared" si="312"/>
        <v/>
      </c>
      <c r="Z888" t="str">
        <f>IFERROR(VLOOKUP($B888,TABLE_CYCLE,2,0),"")</f>
        <v/>
      </c>
      <c r="AA888" t="str">
        <f t="shared" si="313"/>
        <v/>
      </c>
      <c r="AB888" t="str">
        <f>IF($D888="","",IF(COUNTIF($D$2:$D888,$D888)=1,$D888,""))</f>
        <v/>
      </c>
      <c r="AC888">
        <f t="shared" si="314"/>
        <v>0</v>
      </c>
      <c r="AD888" t="str">
        <f t="shared" si="315"/>
        <v>|0</v>
      </c>
      <c r="AE888" t="str">
        <f t="shared" si="316"/>
        <v/>
      </c>
      <c r="AF888" t="str">
        <f t="shared" si="317"/>
        <v/>
      </c>
      <c r="AG888" t="str">
        <f t="shared" si="318"/>
        <v/>
      </c>
      <c r="AH888" t="str">
        <f t="shared" si="319"/>
        <v/>
      </c>
      <c r="AI888" t="str">
        <f t="shared" si="320"/>
        <v/>
      </c>
      <c r="AJ888" t="str">
        <f t="shared" si="321"/>
        <v/>
      </c>
      <c r="AK888" t="str">
        <f t="shared" si="322"/>
        <v/>
      </c>
      <c r="AL888" t="str">
        <f t="shared" si="323"/>
        <v/>
      </c>
      <c r="AM888" t="str">
        <f t="shared" si="324"/>
        <v/>
      </c>
      <c r="AN888" t="str">
        <f t="shared" si="325"/>
        <v/>
      </c>
      <c r="AO888" t="str">
        <f t="shared" si="326"/>
        <v/>
      </c>
      <c r="AP888">
        <f t="shared" si="327"/>
        <v>1</v>
      </c>
      <c r="AQ888" t="str">
        <f>IF(SAISIE!$F893="","",SAISIE!$Y893)</f>
        <v/>
      </c>
      <c r="AR888" t="str">
        <f>IF(OR(SAISIE!$U$4="",SAISIE!$W$4=""),"",IF(AND($A888=SAISIE!$U$4,$B888=SAISIE!$W$4,$C888="S1"),COUNTIFS($A$2:$A888,SAISIE!$U$4,$B$2:$B888,SAISIE!$W$4,$C$2:$C888,"S1"),""))</f>
        <v/>
      </c>
      <c r="AS888" t="str">
        <f t="shared" si="328"/>
        <v/>
      </c>
      <c r="AT888" t="str">
        <f t="shared" si="329"/>
        <v/>
      </c>
      <c r="AU888" t="str">
        <f t="shared" si="330"/>
        <v/>
      </c>
      <c r="AV888">
        <f>N(AV887)+IF(AND($AB888&lt;&gt;"",OR('PROFIL ELEVE'!$K$4="(Tous)",$AF888='PROFIL ELEVE'!$K$4)),1,0)</f>
        <v>0</v>
      </c>
      <c r="AW888">
        <f>N(AW887)+IF(AND($AB888&lt;&gt;"",OR('SUIVI LONGITUDINAL'!$Q$4="(Tous)",$AF888='SUIVI LONGITUDINAL'!$Q$4)),1,0)</f>
        <v>0</v>
      </c>
      <c r="AX888">
        <f t="shared" si="331"/>
        <v>0</v>
      </c>
      <c r="AY888">
        <f t="shared" si="332"/>
        <v>0</v>
      </c>
      <c r="AZ888">
        <f t="shared" si="333"/>
        <v>0</v>
      </c>
      <c r="BA888" t="str">
        <f t="shared" si="334"/>
        <v/>
      </c>
      <c r="BB888" t="str">
        <f t="shared" si="335"/>
        <v/>
      </c>
    </row>
    <row r="889" spans="1:54" ht="14.25" customHeight="1" x14ac:dyDescent="0.3">
      <c r="A889" t="str">
        <f>IF(SAISIE!$F894="","",SAISIE!$B894)</f>
        <v/>
      </c>
      <c r="B889" t="str">
        <f>IF(SAISIE!$F894="","",SAISIE!$C894)</f>
        <v/>
      </c>
      <c r="C889" t="str">
        <f>IF(SAISIE!$F894="","",SAISIE!$D894)</f>
        <v/>
      </c>
      <c r="D889" t="str">
        <f>IF(SAISIE!$E894="","",SAISIE!$E894)</f>
        <v/>
      </c>
      <c r="E889" t="str">
        <f>IF(SAISIE!$F894="","",SAISIE!$F894)</f>
        <v/>
      </c>
      <c r="F889" t="str">
        <f>IF(SAISIE!$G894="","",SAISIE!$G894)</f>
        <v/>
      </c>
      <c r="G889" t="str">
        <f>IF(SAISIE!$H894="","",SAISIE!$H894)</f>
        <v/>
      </c>
      <c r="H889" t="str">
        <f>IF(SAISIE!$I894="","",SAISIE!$I894)</f>
        <v/>
      </c>
      <c r="I889" t="str">
        <f>IF(SAISIE!$J894="","",SAISIE!$J894)</f>
        <v/>
      </c>
      <c r="J889" t="str">
        <f>IF(SAISIE!$K894="","",SAISIE!$K894)</f>
        <v/>
      </c>
      <c r="K889" t="str">
        <f>IF(SAISIE!$L894="","",SAISIE!$L894)</f>
        <v/>
      </c>
      <c r="L889" t="str">
        <f>IF(SAISIE!$M894="","",SAISIE!$M894)</f>
        <v/>
      </c>
      <c r="M889" t="str">
        <f>IF(SAISIE!$N894="","",SAISIE!$N894)</f>
        <v/>
      </c>
      <c r="N889" t="str">
        <f>IF(SAISIE!$O894="","",SAISIE!$O894)</f>
        <v/>
      </c>
      <c r="O889" t="str">
        <f>IF(SAISIE!$P894="","",SAISIE!$P894)</f>
        <v/>
      </c>
      <c r="P889" t="str">
        <f>IF(SAISIE!$Q894="","",SAISIE!$Q894)</f>
        <v/>
      </c>
      <c r="Q889" t="str">
        <f>IF($I889="","",IF($I889&gt;PARAMETRES!$G$29,5,IF($I889&gt;PARAMETRES!$F$29,4,IF($I889&gt;PARAMETRES!$E$29,3,IF($I889&gt;PARAMETRES!$D$29,2,1)))))</f>
        <v/>
      </c>
      <c r="R889" t="str">
        <f>IF($J889="","",IF($J889&gt;PARAMETRES!$G$30,5,IF($J889&gt;PARAMETRES!$F$30,4,IF($J889&gt;PARAMETRES!$E$30,3,IF($J889&gt;PARAMETRES!$D$30,2,1)))))</f>
        <v/>
      </c>
      <c r="S889" t="str">
        <f>IF($K889="","",IF($Z889=2,IF($K889&gt;PARAMETRES!$G$31,5,IF($K889&gt;PARAMETRES!$F$31,4,IF($K889&gt;PARAMETRES!$E$31,3,IF($K889&gt;PARAMETRES!$D$31,2,1)))),IF($K889&gt;PARAMETRES!$G$32,5,IF($K889&gt;PARAMETRES!$F$32,4,IF($K889&gt;PARAMETRES!$E$32,3,IF($K889&gt;PARAMETRES!$D$32,2,1))))))</f>
        <v/>
      </c>
      <c r="T889" t="str">
        <f>IF($L889="","",IF($L889&gt;PARAMETRES!$G$33,5,IF($L889&gt;PARAMETRES!$F$33,4,IF($L889&gt;PARAMETRES!$E$33,3,IF($L889&gt;PARAMETRES!$D$33,2,1)))))</f>
        <v/>
      </c>
      <c r="U889" t="str">
        <f>IF($M889="","",IF($M889&gt;PARAMETRES!$G$34,5,IF($M889&gt;PARAMETRES!$F$34,4,IF($M889&gt;PARAMETRES!$E$34,3,IF($M889&gt;PARAMETRES!$D$34,2,1)))))</f>
        <v/>
      </c>
      <c r="V889" t="str">
        <f>IF($N889="","",IF($N889&gt;PARAMETRES!$G$35,5,IF($N889&gt;PARAMETRES!$F$35,4,IF($N889&gt;PARAMETRES!$E$35,3,IF($N889&gt;PARAMETRES!$D$35,2,1)))))</f>
        <v/>
      </c>
      <c r="W889" t="str">
        <f>IF($O889="","",IF($O889&gt;PARAMETRES!$G$36,5,IF($O889&gt;PARAMETRES!$F$36,4,IF($O889&gt;PARAMETRES!$E$36,3,IF($O889&gt;PARAMETRES!$D$36,2,1)))))</f>
        <v/>
      </c>
      <c r="X889" t="str">
        <f>IF($P889="","",IF($P889&gt;PARAMETRES!$G$37,5,IF($P889&gt;PARAMETRES!$F$37,4,IF($P889&gt;PARAMETRES!$E$37,3,IF($P889&gt;PARAMETRES!$D$37,2,1)))))</f>
        <v/>
      </c>
      <c r="Y889" t="str">
        <f t="shared" si="312"/>
        <v/>
      </c>
      <c r="Z889" t="str">
        <f>IFERROR(VLOOKUP($B889,TABLE_CYCLE,2,0),"")</f>
        <v/>
      </c>
      <c r="AA889" t="str">
        <f t="shared" si="313"/>
        <v/>
      </c>
      <c r="AB889" t="str">
        <f>IF($D889="","",IF(COUNTIF($D$2:$D889,$D889)=1,$D889,""))</f>
        <v/>
      </c>
      <c r="AC889">
        <f t="shared" si="314"/>
        <v>0</v>
      </c>
      <c r="AD889" t="str">
        <f t="shared" si="315"/>
        <v>|0</v>
      </c>
      <c r="AE889" t="str">
        <f t="shared" si="316"/>
        <v/>
      </c>
      <c r="AF889" t="str">
        <f t="shared" si="317"/>
        <v/>
      </c>
      <c r="AG889" t="str">
        <f t="shared" si="318"/>
        <v/>
      </c>
      <c r="AH889" t="str">
        <f t="shared" si="319"/>
        <v/>
      </c>
      <c r="AI889" t="str">
        <f t="shared" si="320"/>
        <v/>
      </c>
      <c r="AJ889" t="str">
        <f t="shared" si="321"/>
        <v/>
      </c>
      <c r="AK889" t="str">
        <f t="shared" si="322"/>
        <v/>
      </c>
      <c r="AL889" t="str">
        <f t="shared" si="323"/>
        <v/>
      </c>
      <c r="AM889" t="str">
        <f t="shared" si="324"/>
        <v/>
      </c>
      <c r="AN889" t="str">
        <f t="shared" si="325"/>
        <v/>
      </c>
      <c r="AO889" t="str">
        <f t="shared" si="326"/>
        <v/>
      </c>
      <c r="AP889">
        <f t="shared" si="327"/>
        <v>1</v>
      </c>
      <c r="AQ889" t="str">
        <f>IF(SAISIE!$F894="","",SAISIE!$Y894)</f>
        <v/>
      </c>
      <c r="AR889" t="str">
        <f>IF(OR(SAISIE!$U$4="",SAISIE!$W$4=""),"",IF(AND($A889=SAISIE!$U$4,$B889=SAISIE!$W$4,$C889="S1"),COUNTIFS($A$2:$A889,SAISIE!$U$4,$B$2:$B889,SAISIE!$W$4,$C$2:$C889,"S1"),""))</f>
        <v/>
      </c>
      <c r="AS889" t="str">
        <f t="shared" si="328"/>
        <v/>
      </c>
      <c r="AT889" t="str">
        <f t="shared" si="329"/>
        <v/>
      </c>
      <c r="AU889" t="str">
        <f t="shared" si="330"/>
        <v/>
      </c>
      <c r="AV889">
        <f>N(AV888)+IF(AND($AB889&lt;&gt;"",OR('PROFIL ELEVE'!$K$4="(Tous)",$AF889='PROFIL ELEVE'!$K$4)),1,0)</f>
        <v>0</v>
      </c>
      <c r="AW889">
        <f>N(AW888)+IF(AND($AB889&lt;&gt;"",OR('SUIVI LONGITUDINAL'!$Q$4="(Tous)",$AF889='SUIVI LONGITUDINAL'!$Q$4)),1,0)</f>
        <v>0</v>
      </c>
      <c r="AX889">
        <f t="shared" si="331"/>
        <v>0</v>
      </c>
      <c r="AY889">
        <f t="shared" si="332"/>
        <v>0</v>
      </c>
      <c r="AZ889">
        <f t="shared" si="333"/>
        <v>0</v>
      </c>
      <c r="BA889" t="str">
        <f t="shared" si="334"/>
        <v/>
      </c>
      <c r="BB889" t="str">
        <f t="shared" si="335"/>
        <v/>
      </c>
    </row>
    <row r="890" spans="1:54" ht="14.25" customHeight="1" x14ac:dyDescent="0.3">
      <c r="A890" t="str">
        <f>IF(SAISIE!$F895="","",SAISIE!$B895)</f>
        <v/>
      </c>
      <c r="B890" t="str">
        <f>IF(SAISIE!$F895="","",SAISIE!$C895)</f>
        <v/>
      </c>
      <c r="C890" t="str">
        <f>IF(SAISIE!$F895="","",SAISIE!$D895)</f>
        <v/>
      </c>
      <c r="D890" t="str">
        <f>IF(SAISIE!$E895="","",SAISIE!$E895)</f>
        <v/>
      </c>
      <c r="E890" t="str">
        <f>IF(SAISIE!$F895="","",SAISIE!$F895)</f>
        <v/>
      </c>
      <c r="F890" t="str">
        <f>IF(SAISIE!$G895="","",SAISIE!$G895)</f>
        <v/>
      </c>
      <c r="G890" t="str">
        <f>IF(SAISIE!$H895="","",SAISIE!$H895)</f>
        <v/>
      </c>
      <c r="H890" t="str">
        <f>IF(SAISIE!$I895="","",SAISIE!$I895)</f>
        <v/>
      </c>
      <c r="I890" t="str">
        <f>IF(SAISIE!$J895="","",SAISIE!$J895)</f>
        <v/>
      </c>
      <c r="J890" t="str">
        <f>IF(SAISIE!$K895="","",SAISIE!$K895)</f>
        <v/>
      </c>
      <c r="K890" t="str">
        <f>IF(SAISIE!$L895="","",SAISIE!$L895)</f>
        <v/>
      </c>
      <c r="L890" t="str">
        <f>IF(SAISIE!$M895="","",SAISIE!$M895)</f>
        <v/>
      </c>
      <c r="M890" t="str">
        <f>IF(SAISIE!$N895="","",SAISIE!$N895)</f>
        <v/>
      </c>
      <c r="N890" t="str">
        <f>IF(SAISIE!$O895="","",SAISIE!$O895)</f>
        <v/>
      </c>
      <c r="O890" t="str">
        <f>IF(SAISIE!$P895="","",SAISIE!$P895)</f>
        <v/>
      </c>
      <c r="P890" t="str">
        <f>IF(SAISIE!$Q895="","",SAISIE!$Q895)</f>
        <v/>
      </c>
      <c r="Q890" t="str">
        <f>IF($I890="","",IF($I890&gt;PARAMETRES!$G$29,5,IF($I890&gt;PARAMETRES!$F$29,4,IF($I890&gt;PARAMETRES!$E$29,3,IF($I890&gt;PARAMETRES!$D$29,2,1)))))</f>
        <v/>
      </c>
      <c r="R890" t="str">
        <f>IF($J890="","",IF($J890&gt;PARAMETRES!$G$30,5,IF($J890&gt;PARAMETRES!$F$30,4,IF($J890&gt;PARAMETRES!$E$30,3,IF($J890&gt;PARAMETRES!$D$30,2,1)))))</f>
        <v/>
      </c>
      <c r="S890" t="str">
        <f>IF($K890="","",IF($Z890=2,IF($K890&gt;PARAMETRES!$G$31,5,IF($K890&gt;PARAMETRES!$F$31,4,IF($K890&gt;PARAMETRES!$E$31,3,IF($K890&gt;PARAMETRES!$D$31,2,1)))),IF($K890&gt;PARAMETRES!$G$32,5,IF($K890&gt;PARAMETRES!$F$32,4,IF($K890&gt;PARAMETRES!$E$32,3,IF($K890&gt;PARAMETRES!$D$32,2,1))))))</f>
        <v/>
      </c>
      <c r="T890" t="str">
        <f>IF($L890="","",IF($L890&gt;PARAMETRES!$G$33,5,IF($L890&gt;PARAMETRES!$F$33,4,IF($L890&gt;PARAMETRES!$E$33,3,IF($L890&gt;PARAMETRES!$D$33,2,1)))))</f>
        <v/>
      </c>
      <c r="U890" t="str">
        <f>IF($M890="","",IF($M890&gt;PARAMETRES!$G$34,5,IF($M890&gt;PARAMETRES!$F$34,4,IF($M890&gt;PARAMETRES!$E$34,3,IF($M890&gt;PARAMETRES!$D$34,2,1)))))</f>
        <v/>
      </c>
      <c r="V890" t="str">
        <f>IF($N890="","",IF($N890&gt;PARAMETRES!$G$35,5,IF($N890&gt;PARAMETRES!$F$35,4,IF($N890&gt;PARAMETRES!$E$35,3,IF($N890&gt;PARAMETRES!$D$35,2,1)))))</f>
        <v/>
      </c>
      <c r="W890" t="str">
        <f>IF($O890="","",IF($O890&gt;PARAMETRES!$G$36,5,IF($O890&gt;PARAMETRES!$F$36,4,IF($O890&gt;PARAMETRES!$E$36,3,IF($O890&gt;PARAMETRES!$D$36,2,1)))))</f>
        <v/>
      </c>
      <c r="X890" t="str">
        <f>IF($P890="","",IF($P890&gt;PARAMETRES!$G$37,5,IF($P890&gt;PARAMETRES!$F$37,4,IF($P890&gt;PARAMETRES!$E$37,3,IF($P890&gt;PARAMETRES!$D$37,2,1)))))</f>
        <v/>
      </c>
      <c r="Y890" t="str">
        <f t="shared" si="312"/>
        <v/>
      </c>
      <c r="Z890" t="str">
        <f>IFERROR(VLOOKUP($B890,TABLE_CYCLE,2,0),"")</f>
        <v/>
      </c>
      <c r="AA890" t="str">
        <f t="shared" si="313"/>
        <v/>
      </c>
      <c r="AB890" t="str">
        <f>IF($D890="","",IF(COUNTIF($D$2:$D890,$D890)=1,$D890,""))</f>
        <v/>
      </c>
      <c r="AC890">
        <f t="shared" si="314"/>
        <v>0</v>
      </c>
      <c r="AD890" t="str">
        <f t="shared" si="315"/>
        <v>|0</v>
      </c>
      <c r="AE890" t="str">
        <f t="shared" si="316"/>
        <v/>
      </c>
      <c r="AF890" t="str">
        <f t="shared" si="317"/>
        <v/>
      </c>
      <c r="AG890" t="str">
        <f t="shared" si="318"/>
        <v/>
      </c>
      <c r="AH890" t="str">
        <f t="shared" si="319"/>
        <v/>
      </c>
      <c r="AI890" t="str">
        <f t="shared" si="320"/>
        <v/>
      </c>
      <c r="AJ890" t="str">
        <f t="shared" si="321"/>
        <v/>
      </c>
      <c r="AK890" t="str">
        <f t="shared" si="322"/>
        <v/>
      </c>
      <c r="AL890" t="str">
        <f t="shared" si="323"/>
        <v/>
      </c>
      <c r="AM890" t="str">
        <f t="shared" si="324"/>
        <v/>
      </c>
      <c r="AN890" t="str">
        <f t="shared" si="325"/>
        <v/>
      </c>
      <c r="AO890" t="str">
        <f t="shared" si="326"/>
        <v/>
      </c>
      <c r="AP890">
        <f t="shared" si="327"/>
        <v>1</v>
      </c>
      <c r="AQ890" t="str">
        <f>IF(SAISIE!$F895="","",SAISIE!$Y895)</f>
        <v/>
      </c>
      <c r="AR890" t="str">
        <f>IF(OR(SAISIE!$U$4="",SAISIE!$W$4=""),"",IF(AND($A890=SAISIE!$U$4,$B890=SAISIE!$W$4,$C890="S1"),COUNTIFS($A$2:$A890,SAISIE!$U$4,$B$2:$B890,SAISIE!$W$4,$C$2:$C890,"S1"),""))</f>
        <v/>
      </c>
      <c r="AS890" t="str">
        <f t="shared" si="328"/>
        <v/>
      </c>
      <c r="AT890" t="str">
        <f t="shared" si="329"/>
        <v/>
      </c>
      <c r="AU890" t="str">
        <f t="shared" si="330"/>
        <v/>
      </c>
      <c r="AV890">
        <f>N(AV889)+IF(AND($AB890&lt;&gt;"",OR('PROFIL ELEVE'!$K$4="(Tous)",$AF890='PROFIL ELEVE'!$K$4)),1,0)</f>
        <v>0</v>
      </c>
      <c r="AW890">
        <f>N(AW889)+IF(AND($AB890&lt;&gt;"",OR('SUIVI LONGITUDINAL'!$Q$4="(Tous)",$AF890='SUIVI LONGITUDINAL'!$Q$4)),1,0)</f>
        <v>0</v>
      </c>
      <c r="AX890">
        <f t="shared" si="331"/>
        <v>0</v>
      </c>
      <c r="AY890">
        <f t="shared" si="332"/>
        <v>0</v>
      </c>
      <c r="AZ890">
        <f t="shared" si="333"/>
        <v>0</v>
      </c>
      <c r="BA890" t="str">
        <f t="shared" si="334"/>
        <v/>
      </c>
      <c r="BB890" t="str">
        <f t="shared" si="335"/>
        <v/>
      </c>
    </row>
    <row r="891" spans="1:54" ht="14.25" customHeight="1" x14ac:dyDescent="0.3">
      <c r="A891" t="str">
        <f>IF(SAISIE!$F896="","",SAISIE!$B896)</f>
        <v/>
      </c>
      <c r="B891" t="str">
        <f>IF(SAISIE!$F896="","",SAISIE!$C896)</f>
        <v/>
      </c>
      <c r="C891" t="str">
        <f>IF(SAISIE!$F896="","",SAISIE!$D896)</f>
        <v/>
      </c>
      <c r="D891" t="str">
        <f>IF(SAISIE!$E896="","",SAISIE!$E896)</f>
        <v/>
      </c>
      <c r="E891" t="str">
        <f>IF(SAISIE!$F896="","",SAISIE!$F896)</f>
        <v/>
      </c>
      <c r="F891" t="str">
        <f>IF(SAISIE!$G896="","",SAISIE!$G896)</f>
        <v/>
      </c>
      <c r="G891" t="str">
        <f>IF(SAISIE!$H896="","",SAISIE!$H896)</f>
        <v/>
      </c>
      <c r="H891" t="str">
        <f>IF(SAISIE!$I896="","",SAISIE!$I896)</f>
        <v/>
      </c>
      <c r="I891" t="str">
        <f>IF(SAISIE!$J896="","",SAISIE!$J896)</f>
        <v/>
      </c>
      <c r="J891" t="str">
        <f>IF(SAISIE!$K896="","",SAISIE!$K896)</f>
        <v/>
      </c>
      <c r="K891" t="str">
        <f>IF(SAISIE!$L896="","",SAISIE!$L896)</f>
        <v/>
      </c>
      <c r="L891" t="str">
        <f>IF(SAISIE!$M896="","",SAISIE!$M896)</f>
        <v/>
      </c>
      <c r="M891" t="str">
        <f>IF(SAISIE!$N896="","",SAISIE!$N896)</f>
        <v/>
      </c>
      <c r="N891" t="str">
        <f>IF(SAISIE!$O896="","",SAISIE!$O896)</f>
        <v/>
      </c>
      <c r="O891" t="str">
        <f>IF(SAISIE!$P896="","",SAISIE!$P896)</f>
        <v/>
      </c>
      <c r="P891" t="str">
        <f>IF(SAISIE!$Q896="","",SAISIE!$Q896)</f>
        <v/>
      </c>
      <c r="Q891" t="str">
        <f>IF($I891="","",IF($I891&gt;PARAMETRES!$G$29,5,IF($I891&gt;PARAMETRES!$F$29,4,IF($I891&gt;PARAMETRES!$E$29,3,IF($I891&gt;PARAMETRES!$D$29,2,1)))))</f>
        <v/>
      </c>
      <c r="R891" t="str">
        <f>IF($J891="","",IF($J891&gt;PARAMETRES!$G$30,5,IF($J891&gt;PARAMETRES!$F$30,4,IF($J891&gt;PARAMETRES!$E$30,3,IF($J891&gt;PARAMETRES!$D$30,2,1)))))</f>
        <v/>
      </c>
      <c r="S891" t="str">
        <f>IF($K891="","",IF($Z891=2,IF($K891&gt;PARAMETRES!$G$31,5,IF($K891&gt;PARAMETRES!$F$31,4,IF($K891&gt;PARAMETRES!$E$31,3,IF($K891&gt;PARAMETRES!$D$31,2,1)))),IF($K891&gt;PARAMETRES!$G$32,5,IF($K891&gt;PARAMETRES!$F$32,4,IF($K891&gt;PARAMETRES!$E$32,3,IF($K891&gt;PARAMETRES!$D$32,2,1))))))</f>
        <v/>
      </c>
      <c r="T891" t="str">
        <f>IF($L891="","",IF($L891&gt;PARAMETRES!$G$33,5,IF($L891&gt;PARAMETRES!$F$33,4,IF($L891&gt;PARAMETRES!$E$33,3,IF($L891&gt;PARAMETRES!$D$33,2,1)))))</f>
        <v/>
      </c>
      <c r="U891" t="str">
        <f>IF($M891="","",IF($M891&gt;PARAMETRES!$G$34,5,IF($M891&gt;PARAMETRES!$F$34,4,IF($M891&gt;PARAMETRES!$E$34,3,IF($M891&gt;PARAMETRES!$D$34,2,1)))))</f>
        <v/>
      </c>
      <c r="V891" t="str">
        <f>IF($N891="","",IF($N891&gt;PARAMETRES!$G$35,5,IF($N891&gt;PARAMETRES!$F$35,4,IF($N891&gt;PARAMETRES!$E$35,3,IF($N891&gt;PARAMETRES!$D$35,2,1)))))</f>
        <v/>
      </c>
      <c r="W891" t="str">
        <f>IF($O891="","",IF($O891&gt;PARAMETRES!$G$36,5,IF($O891&gt;PARAMETRES!$F$36,4,IF($O891&gt;PARAMETRES!$E$36,3,IF($O891&gt;PARAMETRES!$D$36,2,1)))))</f>
        <v/>
      </c>
      <c r="X891" t="str">
        <f>IF($P891="","",IF($P891&gt;PARAMETRES!$G$37,5,IF($P891&gt;PARAMETRES!$F$37,4,IF($P891&gt;PARAMETRES!$E$37,3,IF($P891&gt;PARAMETRES!$D$37,2,1)))))</f>
        <v/>
      </c>
      <c r="Y891" t="str">
        <f t="shared" si="312"/>
        <v/>
      </c>
      <c r="Z891" t="str">
        <f>IFERROR(VLOOKUP($B891,TABLE_CYCLE,2,0),"")</f>
        <v/>
      </c>
      <c r="AA891" t="str">
        <f t="shared" si="313"/>
        <v/>
      </c>
      <c r="AB891" t="str">
        <f>IF($D891="","",IF(COUNTIF($D$2:$D891,$D891)=1,$D891,""))</f>
        <v/>
      </c>
      <c r="AC891">
        <f t="shared" si="314"/>
        <v>0</v>
      </c>
      <c r="AD891" t="str">
        <f t="shared" si="315"/>
        <v>|0</v>
      </c>
      <c r="AE891" t="str">
        <f t="shared" si="316"/>
        <v/>
      </c>
      <c r="AF891" t="str">
        <f t="shared" si="317"/>
        <v/>
      </c>
      <c r="AG891" t="str">
        <f t="shared" si="318"/>
        <v/>
      </c>
      <c r="AH891" t="str">
        <f t="shared" si="319"/>
        <v/>
      </c>
      <c r="AI891" t="str">
        <f t="shared" si="320"/>
        <v/>
      </c>
      <c r="AJ891" t="str">
        <f t="shared" si="321"/>
        <v/>
      </c>
      <c r="AK891" t="str">
        <f t="shared" si="322"/>
        <v/>
      </c>
      <c r="AL891" t="str">
        <f t="shared" si="323"/>
        <v/>
      </c>
      <c r="AM891" t="str">
        <f t="shared" si="324"/>
        <v/>
      </c>
      <c r="AN891" t="str">
        <f t="shared" si="325"/>
        <v/>
      </c>
      <c r="AO891" t="str">
        <f t="shared" si="326"/>
        <v/>
      </c>
      <c r="AP891">
        <f t="shared" si="327"/>
        <v>1</v>
      </c>
      <c r="AQ891" t="str">
        <f>IF(SAISIE!$F896="","",SAISIE!$Y896)</f>
        <v/>
      </c>
      <c r="AR891" t="str">
        <f>IF(OR(SAISIE!$U$4="",SAISIE!$W$4=""),"",IF(AND($A891=SAISIE!$U$4,$B891=SAISIE!$W$4,$C891="S1"),COUNTIFS($A$2:$A891,SAISIE!$U$4,$B$2:$B891,SAISIE!$W$4,$C$2:$C891,"S1"),""))</f>
        <v/>
      </c>
      <c r="AS891" t="str">
        <f t="shared" si="328"/>
        <v/>
      </c>
      <c r="AT891" t="str">
        <f t="shared" si="329"/>
        <v/>
      </c>
      <c r="AU891" t="str">
        <f t="shared" si="330"/>
        <v/>
      </c>
      <c r="AV891">
        <f>N(AV890)+IF(AND($AB891&lt;&gt;"",OR('PROFIL ELEVE'!$K$4="(Tous)",$AF891='PROFIL ELEVE'!$K$4)),1,0)</f>
        <v>0</v>
      </c>
      <c r="AW891">
        <f>N(AW890)+IF(AND($AB891&lt;&gt;"",OR('SUIVI LONGITUDINAL'!$Q$4="(Tous)",$AF891='SUIVI LONGITUDINAL'!$Q$4)),1,0)</f>
        <v>0</v>
      </c>
      <c r="AX891">
        <f t="shared" si="331"/>
        <v>0</v>
      </c>
      <c r="AY891">
        <f t="shared" si="332"/>
        <v>0</v>
      </c>
      <c r="AZ891">
        <f t="shared" si="333"/>
        <v>0</v>
      </c>
      <c r="BA891" t="str">
        <f t="shared" si="334"/>
        <v/>
      </c>
      <c r="BB891" t="str">
        <f t="shared" si="335"/>
        <v/>
      </c>
    </row>
    <row r="892" spans="1:54" ht="14.25" customHeight="1" x14ac:dyDescent="0.3">
      <c r="A892" t="str">
        <f>IF(SAISIE!$F897="","",SAISIE!$B897)</f>
        <v/>
      </c>
      <c r="B892" t="str">
        <f>IF(SAISIE!$F897="","",SAISIE!$C897)</f>
        <v/>
      </c>
      <c r="C892" t="str">
        <f>IF(SAISIE!$F897="","",SAISIE!$D897)</f>
        <v/>
      </c>
      <c r="D892" t="str">
        <f>IF(SAISIE!$E897="","",SAISIE!$E897)</f>
        <v/>
      </c>
      <c r="E892" t="str">
        <f>IF(SAISIE!$F897="","",SAISIE!$F897)</f>
        <v/>
      </c>
      <c r="F892" t="str">
        <f>IF(SAISIE!$G897="","",SAISIE!$G897)</f>
        <v/>
      </c>
      <c r="G892" t="str">
        <f>IF(SAISIE!$H897="","",SAISIE!$H897)</f>
        <v/>
      </c>
      <c r="H892" t="str">
        <f>IF(SAISIE!$I897="","",SAISIE!$I897)</f>
        <v/>
      </c>
      <c r="I892" t="str">
        <f>IF(SAISIE!$J897="","",SAISIE!$J897)</f>
        <v/>
      </c>
      <c r="J892" t="str">
        <f>IF(SAISIE!$K897="","",SAISIE!$K897)</f>
        <v/>
      </c>
      <c r="K892" t="str">
        <f>IF(SAISIE!$L897="","",SAISIE!$L897)</f>
        <v/>
      </c>
      <c r="L892" t="str">
        <f>IF(SAISIE!$M897="","",SAISIE!$M897)</f>
        <v/>
      </c>
      <c r="M892" t="str">
        <f>IF(SAISIE!$N897="","",SAISIE!$N897)</f>
        <v/>
      </c>
      <c r="N892" t="str">
        <f>IF(SAISIE!$O897="","",SAISIE!$O897)</f>
        <v/>
      </c>
      <c r="O892" t="str">
        <f>IF(SAISIE!$P897="","",SAISIE!$P897)</f>
        <v/>
      </c>
      <c r="P892" t="str">
        <f>IF(SAISIE!$Q897="","",SAISIE!$Q897)</f>
        <v/>
      </c>
      <c r="Q892" t="str">
        <f>IF($I892="","",IF($I892&gt;PARAMETRES!$G$29,5,IF($I892&gt;PARAMETRES!$F$29,4,IF($I892&gt;PARAMETRES!$E$29,3,IF($I892&gt;PARAMETRES!$D$29,2,1)))))</f>
        <v/>
      </c>
      <c r="R892" t="str">
        <f>IF($J892="","",IF($J892&gt;PARAMETRES!$G$30,5,IF($J892&gt;PARAMETRES!$F$30,4,IF($J892&gt;PARAMETRES!$E$30,3,IF($J892&gt;PARAMETRES!$D$30,2,1)))))</f>
        <v/>
      </c>
      <c r="S892" t="str">
        <f>IF($K892="","",IF($Z892=2,IF($K892&gt;PARAMETRES!$G$31,5,IF($K892&gt;PARAMETRES!$F$31,4,IF($K892&gt;PARAMETRES!$E$31,3,IF($K892&gt;PARAMETRES!$D$31,2,1)))),IF($K892&gt;PARAMETRES!$G$32,5,IF($K892&gt;PARAMETRES!$F$32,4,IF($K892&gt;PARAMETRES!$E$32,3,IF($K892&gt;PARAMETRES!$D$32,2,1))))))</f>
        <v/>
      </c>
      <c r="T892" t="str">
        <f>IF($L892="","",IF($L892&gt;PARAMETRES!$G$33,5,IF($L892&gt;PARAMETRES!$F$33,4,IF($L892&gt;PARAMETRES!$E$33,3,IF($L892&gt;PARAMETRES!$D$33,2,1)))))</f>
        <v/>
      </c>
      <c r="U892" t="str">
        <f>IF($M892="","",IF($M892&gt;PARAMETRES!$G$34,5,IF($M892&gt;PARAMETRES!$F$34,4,IF($M892&gt;PARAMETRES!$E$34,3,IF($M892&gt;PARAMETRES!$D$34,2,1)))))</f>
        <v/>
      </c>
      <c r="V892" t="str">
        <f>IF($N892="","",IF($N892&gt;PARAMETRES!$G$35,5,IF($N892&gt;PARAMETRES!$F$35,4,IF($N892&gt;PARAMETRES!$E$35,3,IF($N892&gt;PARAMETRES!$D$35,2,1)))))</f>
        <v/>
      </c>
      <c r="W892" t="str">
        <f>IF($O892="","",IF($O892&gt;PARAMETRES!$G$36,5,IF($O892&gt;PARAMETRES!$F$36,4,IF($O892&gt;PARAMETRES!$E$36,3,IF($O892&gt;PARAMETRES!$D$36,2,1)))))</f>
        <v/>
      </c>
      <c r="X892" t="str">
        <f>IF($P892="","",IF($P892&gt;PARAMETRES!$G$37,5,IF($P892&gt;PARAMETRES!$F$37,4,IF($P892&gt;PARAMETRES!$E$37,3,IF($P892&gt;PARAMETRES!$D$37,2,1)))))</f>
        <v/>
      </c>
      <c r="Y892" t="str">
        <f t="shared" si="312"/>
        <v/>
      </c>
      <c r="Z892" t="str">
        <f>IFERROR(VLOOKUP($B892,TABLE_CYCLE,2,0),"")</f>
        <v/>
      </c>
      <c r="AA892" t="str">
        <f t="shared" si="313"/>
        <v/>
      </c>
      <c r="AB892" t="str">
        <f>IF($D892="","",IF(COUNTIF($D$2:$D892,$D892)=1,$D892,""))</f>
        <v/>
      </c>
      <c r="AC892">
        <f t="shared" si="314"/>
        <v>0</v>
      </c>
      <c r="AD892" t="str">
        <f t="shared" si="315"/>
        <v>|0</v>
      </c>
      <c r="AE892" t="str">
        <f t="shared" si="316"/>
        <v/>
      </c>
      <c r="AF892" t="str">
        <f t="shared" si="317"/>
        <v/>
      </c>
      <c r="AG892" t="str">
        <f t="shared" si="318"/>
        <v/>
      </c>
      <c r="AH892" t="str">
        <f t="shared" si="319"/>
        <v/>
      </c>
      <c r="AI892" t="str">
        <f t="shared" si="320"/>
        <v/>
      </c>
      <c r="AJ892" t="str">
        <f t="shared" si="321"/>
        <v/>
      </c>
      <c r="AK892" t="str">
        <f t="shared" si="322"/>
        <v/>
      </c>
      <c r="AL892" t="str">
        <f t="shared" si="323"/>
        <v/>
      </c>
      <c r="AM892" t="str">
        <f t="shared" si="324"/>
        <v/>
      </c>
      <c r="AN892" t="str">
        <f t="shared" si="325"/>
        <v/>
      </c>
      <c r="AO892" t="str">
        <f t="shared" si="326"/>
        <v/>
      </c>
      <c r="AP892">
        <f t="shared" si="327"/>
        <v>1</v>
      </c>
      <c r="AQ892" t="str">
        <f>IF(SAISIE!$F897="","",SAISIE!$Y897)</f>
        <v/>
      </c>
      <c r="AR892" t="str">
        <f>IF(OR(SAISIE!$U$4="",SAISIE!$W$4=""),"",IF(AND($A892=SAISIE!$U$4,$B892=SAISIE!$W$4,$C892="S1"),COUNTIFS($A$2:$A892,SAISIE!$U$4,$B$2:$B892,SAISIE!$W$4,$C$2:$C892,"S1"),""))</f>
        <v/>
      </c>
      <c r="AS892" t="str">
        <f t="shared" si="328"/>
        <v/>
      </c>
      <c r="AT892" t="str">
        <f t="shared" si="329"/>
        <v/>
      </c>
      <c r="AU892" t="str">
        <f t="shared" si="330"/>
        <v/>
      </c>
      <c r="AV892">
        <f>N(AV891)+IF(AND($AB892&lt;&gt;"",OR('PROFIL ELEVE'!$K$4="(Tous)",$AF892='PROFIL ELEVE'!$K$4)),1,0)</f>
        <v>0</v>
      </c>
      <c r="AW892">
        <f>N(AW891)+IF(AND($AB892&lt;&gt;"",OR('SUIVI LONGITUDINAL'!$Q$4="(Tous)",$AF892='SUIVI LONGITUDINAL'!$Q$4)),1,0)</f>
        <v>0</v>
      </c>
      <c r="AX892">
        <f t="shared" si="331"/>
        <v>0</v>
      </c>
      <c r="AY892">
        <f t="shared" si="332"/>
        <v>0</v>
      </c>
      <c r="AZ892">
        <f t="shared" si="333"/>
        <v>0</v>
      </c>
      <c r="BA892" t="str">
        <f t="shared" si="334"/>
        <v/>
      </c>
      <c r="BB892" t="str">
        <f t="shared" si="335"/>
        <v/>
      </c>
    </row>
    <row r="893" spans="1:54" ht="14.25" customHeight="1" x14ac:dyDescent="0.3">
      <c r="A893" t="str">
        <f>IF(SAISIE!$F898="","",SAISIE!$B898)</f>
        <v/>
      </c>
      <c r="B893" t="str">
        <f>IF(SAISIE!$F898="","",SAISIE!$C898)</f>
        <v/>
      </c>
      <c r="C893" t="str">
        <f>IF(SAISIE!$F898="","",SAISIE!$D898)</f>
        <v/>
      </c>
      <c r="D893" t="str">
        <f>IF(SAISIE!$E898="","",SAISIE!$E898)</f>
        <v/>
      </c>
      <c r="E893" t="str">
        <f>IF(SAISIE!$F898="","",SAISIE!$F898)</f>
        <v/>
      </c>
      <c r="F893" t="str">
        <f>IF(SAISIE!$G898="","",SAISIE!$G898)</f>
        <v/>
      </c>
      <c r="G893" t="str">
        <f>IF(SAISIE!$H898="","",SAISIE!$H898)</f>
        <v/>
      </c>
      <c r="H893" t="str">
        <f>IF(SAISIE!$I898="","",SAISIE!$I898)</f>
        <v/>
      </c>
      <c r="I893" t="str">
        <f>IF(SAISIE!$J898="","",SAISIE!$J898)</f>
        <v/>
      </c>
      <c r="J893" t="str">
        <f>IF(SAISIE!$K898="","",SAISIE!$K898)</f>
        <v/>
      </c>
      <c r="K893" t="str">
        <f>IF(SAISIE!$L898="","",SAISIE!$L898)</f>
        <v/>
      </c>
      <c r="L893" t="str">
        <f>IF(SAISIE!$M898="","",SAISIE!$M898)</f>
        <v/>
      </c>
      <c r="M893" t="str">
        <f>IF(SAISIE!$N898="","",SAISIE!$N898)</f>
        <v/>
      </c>
      <c r="N893" t="str">
        <f>IF(SAISIE!$O898="","",SAISIE!$O898)</f>
        <v/>
      </c>
      <c r="O893" t="str">
        <f>IF(SAISIE!$P898="","",SAISIE!$P898)</f>
        <v/>
      </c>
      <c r="P893" t="str">
        <f>IF(SAISIE!$Q898="","",SAISIE!$Q898)</f>
        <v/>
      </c>
      <c r="Q893" t="str">
        <f>IF($I893="","",IF($I893&gt;PARAMETRES!$G$29,5,IF($I893&gt;PARAMETRES!$F$29,4,IF($I893&gt;PARAMETRES!$E$29,3,IF($I893&gt;PARAMETRES!$D$29,2,1)))))</f>
        <v/>
      </c>
      <c r="R893" t="str">
        <f>IF($J893="","",IF($J893&gt;PARAMETRES!$G$30,5,IF($J893&gt;PARAMETRES!$F$30,4,IF($J893&gt;PARAMETRES!$E$30,3,IF($J893&gt;PARAMETRES!$D$30,2,1)))))</f>
        <v/>
      </c>
      <c r="S893" t="str">
        <f>IF($K893="","",IF($Z893=2,IF($K893&gt;PARAMETRES!$G$31,5,IF($K893&gt;PARAMETRES!$F$31,4,IF($K893&gt;PARAMETRES!$E$31,3,IF($K893&gt;PARAMETRES!$D$31,2,1)))),IF($K893&gt;PARAMETRES!$G$32,5,IF($K893&gt;PARAMETRES!$F$32,4,IF($K893&gt;PARAMETRES!$E$32,3,IF($K893&gt;PARAMETRES!$D$32,2,1))))))</f>
        <v/>
      </c>
      <c r="T893" t="str">
        <f>IF($L893="","",IF($L893&gt;PARAMETRES!$G$33,5,IF($L893&gt;PARAMETRES!$F$33,4,IF($L893&gt;PARAMETRES!$E$33,3,IF($L893&gt;PARAMETRES!$D$33,2,1)))))</f>
        <v/>
      </c>
      <c r="U893" t="str">
        <f>IF($M893="","",IF($M893&gt;PARAMETRES!$G$34,5,IF($M893&gt;PARAMETRES!$F$34,4,IF($M893&gt;PARAMETRES!$E$34,3,IF($M893&gt;PARAMETRES!$D$34,2,1)))))</f>
        <v/>
      </c>
      <c r="V893" t="str">
        <f>IF($N893="","",IF($N893&gt;PARAMETRES!$G$35,5,IF($N893&gt;PARAMETRES!$F$35,4,IF($N893&gt;PARAMETRES!$E$35,3,IF($N893&gt;PARAMETRES!$D$35,2,1)))))</f>
        <v/>
      </c>
      <c r="W893" t="str">
        <f>IF($O893="","",IF($O893&gt;PARAMETRES!$G$36,5,IF($O893&gt;PARAMETRES!$F$36,4,IF($O893&gt;PARAMETRES!$E$36,3,IF($O893&gt;PARAMETRES!$D$36,2,1)))))</f>
        <v/>
      </c>
      <c r="X893" t="str">
        <f>IF($P893="","",IF($P893&gt;PARAMETRES!$G$37,5,IF($P893&gt;PARAMETRES!$F$37,4,IF($P893&gt;PARAMETRES!$E$37,3,IF($P893&gt;PARAMETRES!$D$37,2,1)))))</f>
        <v/>
      </c>
      <c r="Y893" t="str">
        <f t="shared" si="312"/>
        <v/>
      </c>
      <c r="Z893" t="str">
        <f>IFERROR(VLOOKUP($B893,TABLE_CYCLE,2,0),"")</f>
        <v/>
      </c>
      <c r="AA893" t="str">
        <f t="shared" si="313"/>
        <v/>
      </c>
      <c r="AB893" t="str">
        <f>IF($D893="","",IF(COUNTIF($D$2:$D893,$D893)=1,$D893,""))</f>
        <v/>
      </c>
      <c r="AC893">
        <f t="shared" si="314"/>
        <v>0</v>
      </c>
      <c r="AD893" t="str">
        <f t="shared" si="315"/>
        <v>|0</v>
      </c>
      <c r="AE893" t="str">
        <f t="shared" si="316"/>
        <v/>
      </c>
      <c r="AF893" t="str">
        <f t="shared" si="317"/>
        <v/>
      </c>
      <c r="AG893" t="str">
        <f t="shared" si="318"/>
        <v/>
      </c>
      <c r="AH893" t="str">
        <f t="shared" si="319"/>
        <v/>
      </c>
      <c r="AI893" t="str">
        <f t="shared" si="320"/>
        <v/>
      </c>
      <c r="AJ893" t="str">
        <f t="shared" si="321"/>
        <v/>
      </c>
      <c r="AK893" t="str">
        <f t="shared" si="322"/>
        <v/>
      </c>
      <c r="AL893" t="str">
        <f t="shared" si="323"/>
        <v/>
      </c>
      <c r="AM893" t="str">
        <f t="shared" si="324"/>
        <v/>
      </c>
      <c r="AN893" t="str">
        <f t="shared" si="325"/>
        <v/>
      </c>
      <c r="AO893" t="str">
        <f t="shared" si="326"/>
        <v/>
      </c>
      <c r="AP893">
        <f t="shared" si="327"/>
        <v>1</v>
      </c>
      <c r="AQ893" t="str">
        <f>IF(SAISIE!$F898="","",SAISIE!$Y898)</f>
        <v/>
      </c>
      <c r="AR893" t="str">
        <f>IF(OR(SAISIE!$U$4="",SAISIE!$W$4=""),"",IF(AND($A893=SAISIE!$U$4,$B893=SAISIE!$W$4,$C893="S1"),COUNTIFS($A$2:$A893,SAISIE!$U$4,$B$2:$B893,SAISIE!$W$4,$C$2:$C893,"S1"),""))</f>
        <v/>
      </c>
      <c r="AS893" t="str">
        <f t="shared" si="328"/>
        <v/>
      </c>
      <c r="AT893" t="str">
        <f t="shared" si="329"/>
        <v/>
      </c>
      <c r="AU893" t="str">
        <f t="shared" si="330"/>
        <v/>
      </c>
      <c r="AV893">
        <f>N(AV892)+IF(AND($AB893&lt;&gt;"",OR('PROFIL ELEVE'!$K$4="(Tous)",$AF893='PROFIL ELEVE'!$K$4)),1,0)</f>
        <v>0</v>
      </c>
      <c r="AW893">
        <f>N(AW892)+IF(AND($AB893&lt;&gt;"",OR('SUIVI LONGITUDINAL'!$Q$4="(Tous)",$AF893='SUIVI LONGITUDINAL'!$Q$4)),1,0)</f>
        <v>0</v>
      </c>
      <c r="AX893">
        <f t="shared" si="331"/>
        <v>0</v>
      </c>
      <c r="AY893">
        <f t="shared" si="332"/>
        <v>0</v>
      </c>
      <c r="AZ893">
        <f t="shared" si="333"/>
        <v>0</v>
      </c>
      <c r="BA893" t="str">
        <f t="shared" si="334"/>
        <v/>
      </c>
      <c r="BB893" t="str">
        <f t="shared" si="335"/>
        <v/>
      </c>
    </row>
    <row r="894" spans="1:54" ht="14.25" customHeight="1" x14ac:dyDescent="0.3">
      <c r="A894" t="str">
        <f>IF(SAISIE!$F899="","",SAISIE!$B899)</f>
        <v/>
      </c>
      <c r="B894" t="str">
        <f>IF(SAISIE!$F899="","",SAISIE!$C899)</f>
        <v/>
      </c>
      <c r="C894" t="str">
        <f>IF(SAISIE!$F899="","",SAISIE!$D899)</f>
        <v/>
      </c>
      <c r="D894" t="str">
        <f>IF(SAISIE!$E899="","",SAISIE!$E899)</f>
        <v/>
      </c>
      <c r="E894" t="str">
        <f>IF(SAISIE!$F899="","",SAISIE!$F899)</f>
        <v/>
      </c>
      <c r="F894" t="str">
        <f>IF(SAISIE!$G899="","",SAISIE!$G899)</f>
        <v/>
      </c>
      <c r="G894" t="str">
        <f>IF(SAISIE!$H899="","",SAISIE!$H899)</f>
        <v/>
      </c>
      <c r="H894" t="str">
        <f>IF(SAISIE!$I899="","",SAISIE!$I899)</f>
        <v/>
      </c>
      <c r="I894" t="str">
        <f>IF(SAISIE!$J899="","",SAISIE!$J899)</f>
        <v/>
      </c>
      <c r="J894" t="str">
        <f>IF(SAISIE!$K899="","",SAISIE!$K899)</f>
        <v/>
      </c>
      <c r="K894" t="str">
        <f>IF(SAISIE!$L899="","",SAISIE!$L899)</f>
        <v/>
      </c>
      <c r="L894" t="str">
        <f>IF(SAISIE!$M899="","",SAISIE!$M899)</f>
        <v/>
      </c>
      <c r="M894" t="str">
        <f>IF(SAISIE!$N899="","",SAISIE!$N899)</f>
        <v/>
      </c>
      <c r="N894" t="str">
        <f>IF(SAISIE!$O899="","",SAISIE!$O899)</f>
        <v/>
      </c>
      <c r="O894" t="str">
        <f>IF(SAISIE!$P899="","",SAISIE!$P899)</f>
        <v/>
      </c>
      <c r="P894" t="str">
        <f>IF(SAISIE!$Q899="","",SAISIE!$Q899)</f>
        <v/>
      </c>
      <c r="Q894" t="str">
        <f>IF($I894="","",IF($I894&gt;PARAMETRES!$G$29,5,IF($I894&gt;PARAMETRES!$F$29,4,IF($I894&gt;PARAMETRES!$E$29,3,IF($I894&gt;PARAMETRES!$D$29,2,1)))))</f>
        <v/>
      </c>
      <c r="R894" t="str">
        <f>IF($J894="","",IF($J894&gt;PARAMETRES!$G$30,5,IF($J894&gt;PARAMETRES!$F$30,4,IF($J894&gt;PARAMETRES!$E$30,3,IF($J894&gt;PARAMETRES!$D$30,2,1)))))</f>
        <v/>
      </c>
      <c r="S894" t="str">
        <f>IF($K894="","",IF($Z894=2,IF($K894&gt;PARAMETRES!$G$31,5,IF($K894&gt;PARAMETRES!$F$31,4,IF($K894&gt;PARAMETRES!$E$31,3,IF($K894&gt;PARAMETRES!$D$31,2,1)))),IF($K894&gt;PARAMETRES!$G$32,5,IF($K894&gt;PARAMETRES!$F$32,4,IF($K894&gt;PARAMETRES!$E$32,3,IF($K894&gt;PARAMETRES!$D$32,2,1))))))</f>
        <v/>
      </c>
      <c r="T894" t="str">
        <f>IF($L894="","",IF($L894&gt;PARAMETRES!$G$33,5,IF($L894&gt;PARAMETRES!$F$33,4,IF($L894&gt;PARAMETRES!$E$33,3,IF($L894&gt;PARAMETRES!$D$33,2,1)))))</f>
        <v/>
      </c>
      <c r="U894" t="str">
        <f>IF($M894="","",IF($M894&gt;PARAMETRES!$G$34,5,IF($M894&gt;PARAMETRES!$F$34,4,IF($M894&gt;PARAMETRES!$E$34,3,IF($M894&gt;PARAMETRES!$D$34,2,1)))))</f>
        <v/>
      </c>
      <c r="V894" t="str">
        <f>IF($N894="","",IF($N894&gt;PARAMETRES!$G$35,5,IF($N894&gt;PARAMETRES!$F$35,4,IF($N894&gt;PARAMETRES!$E$35,3,IF($N894&gt;PARAMETRES!$D$35,2,1)))))</f>
        <v/>
      </c>
      <c r="W894" t="str">
        <f>IF($O894="","",IF($O894&gt;PARAMETRES!$G$36,5,IF($O894&gt;PARAMETRES!$F$36,4,IF($O894&gt;PARAMETRES!$E$36,3,IF($O894&gt;PARAMETRES!$D$36,2,1)))))</f>
        <v/>
      </c>
      <c r="X894" t="str">
        <f>IF($P894="","",IF($P894&gt;PARAMETRES!$G$37,5,IF($P894&gt;PARAMETRES!$F$37,4,IF($P894&gt;PARAMETRES!$E$37,3,IF($P894&gt;PARAMETRES!$D$37,2,1)))))</f>
        <v/>
      </c>
      <c r="Y894" t="str">
        <f t="shared" si="312"/>
        <v/>
      </c>
      <c r="Z894" t="str">
        <f>IFERROR(VLOOKUP($B894,TABLE_CYCLE,2,0),"")</f>
        <v/>
      </c>
      <c r="AA894" t="str">
        <f t="shared" si="313"/>
        <v/>
      </c>
      <c r="AB894" t="str">
        <f>IF($D894="","",IF(COUNTIF($D$2:$D894,$D894)=1,$D894,""))</f>
        <v/>
      </c>
      <c r="AC894">
        <f t="shared" si="314"/>
        <v>0</v>
      </c>
      <c r="AD894" t="str">
        <f t="shared" si="315"/>
        <v>|0</v>
      </c>
      <c r="AE894" t="str">
        <f t="shared" si="316"/>
        <v/>
      </c>
      <c r="AF894" t="str">
        <f t="shared" si="317"/>
        <v/>
      </c>
      <c r="AG894" t="str">
        <f t="shared" si="318"/>
        <v/>
      </c>
      <c r="AH894" t="str">
        <f t="shared" si="319"/>
        <v/>
      </c>
      <c r="AI894" t="str">
        <f t="shared" si="320"/>
        <v/>
      </c>
      <c r="AJ894" t="str">
        <f t="shared" si="321"/>
        <v/>
      </c>
      <c r="AK894" t="str">
        <f t="shared" si="322"/>
        <v/>
      </c>
      <c r="AL894" t="str">
        <f t="shared" si="323"/>
        <v/>
      </c>
      <c r="AM894" t="str">
        <f t="shared" si="324"/>
        <v/>
      </c>
      <c r="AN894" t="str">
        <f t="shared" si="325"/>
        <v/>
      </c>
      <c r="AO894" t="str">
        <f t="shared" si="326"/>
        <v/>
      </c>
      <c r="AP894">
        <f t="shared" si="327"/>
        <v>1</v>
      </c>
      <c r="AQ894" t="str">
        <f>IF(SAISIE!$F899="","",SAISIE!$Y899)</f>
        <v/>
      </c>
      <c r="AR894" t="str">
        <f>IF(OR(SAISIE!$U$4="",SAISIE!$W$4=""),"",IF(AND($A894=SAISIE!$U$4,$B894=SAISIE!$W$4,$C894="S1"),COUNTIFS($A$2:$A894,SAISIE!$U$4,$B$2:$B894,SAISIE!$W$4,$C$2:$C894,"S1"),""))</f>
        <v/>
      </c>
      <c r="AS894" t="str">
        <f t="shared" si="328"/>
        <v/>
      </c>
      <c r="AT894" t="str">
        <f t="shared" si="329"/>
        <v/>
      </c>
      <c r="AU894" t="str">
        <f t="shared" si="330"/>
        <v/>
      </c>
      <c r="AV894">
        <f>N(AV893)+IF(AND($AB894&lt;&gt;"",OR('PROFIL ELEVE'!$K$4="(Tous)",$AF894='PROFIL ELEVE'!$K$4)),1,0)</f>
        <v>0</v>
      </c>
      <c r="AW894">
        <f>N(AW893)+IF(AND($AB894&lt;&gt;"",OR('SUIVI LONGITUDINAL'!$Q$4="(Tous)",$AF894='SUIVI LONGITUDINAL'!$Q$4)),1,0)</f>
        <v>0</v>
      </c>
      <c r="AX894">
        <f t="shared" si="331"/>
        <v>0</v>
      </c>
      <c r="AY894">
        <f t="shared" si="332"/>
        <v>0</v>
      </c>
      <c r="AZ894">
        <f t="shared" si="333"/>
        <v>0</v>
      </c>
      <c r="BA894" t="str">
        <f t="shared" si="334"/>
        <v/>
      </c>
      <c r="BB894" t="str">
        <f t="shared" si="335"/>
        <v/>
      </c>
    </row>
    <row r="895" spans="1:54" ht="14.25" customHeight="1" x14ac:dyDescent="0.3">
      <c r="A895" t="str">
        <f>IF(SAISIE!$F900="","",SAISIE!$B900)</f>
        <v/>
      </c>
      <c r="B895" t="str">
        <f>IF(SAISIE!$F900="","",SAISIE!$C900)</f>
        <v/>
      </c>
      <c r="C895" t="str">
        <f>IF(SAISIE!$F900="","",SAISIE!$D900)</f>
        <v/>
      </c>
      <c r="D895" t="str">
        <f>IF(SAISIE!$E900="","",SAISIE!$E900)</f>
        <v/>
      </c>
      <c r="E895" t="str">
        <f>IF(SAISIE!$F900="","",SAISIE!$F900)</f>
        <v/>
      </c>
      <c r="F895" t="str">
        <f>IF(SAISIE!$G900="","",SAISIE!$G900)</f>
        <v/>
      </c>
      <c r="G895" t="str">
        <f>IF(SAISIE!$H900="","",SAISIE!$H900)</f>
        <v/>
      </c>
      <c r="H895" t="str">
        <f>IF(SAISIE!$I900="","",SAISIE!$I900)</f>
        <v/>
      </c>
      <c r="I895" t="str">
        <f>IF(SAISIE!$J900="","",SAISIE!$J900)</f>
        <v/>
      </c>
      <c r="J895" t="str">
        <f>IF(SAISIE!$K900="","",SAISIE!$K900)</f>
        <v/>
      </c>
      <c r="K895" t="str">
        <f>IF(SAISIE!$L900="","",SAISIE!$L900)</f>
        <v/>
      </c>
      <c r="L895" t="str">
        <f>IF(SAISIE!$M900="","",SAISIE!$M900)</f>
        <v/>
      </c>
      <c r="M895" t="str">
        <f>IF(SAISIE!$N900="","",SAISIE!$N900)</f>
        <v/>
      </c>
      <c r="N895" t="str">
        <f>IF(SAISIE!$O900="","",SAISIE!$O900)</f>
        <v/>
      </c>
      <c r="O895" t="str">
        <f>IF(SAISIE!$P900="","",SAISIE!$P900)</f>
        <v/>
      </c>
      <c r="P895" t="str">
        <f>IF(SAISIE!$Q900="","",SAISIE!$Q900)</f>
        <v/>
      </c>
      <c r="Q895" t="str">
        <f>IF($I895="","",IF($I895&gt;PARAMETRES!$G$29,5,IF($I895&gt;PARAMETRES!$F$29,4,IF($I895&gt;PARAMETRES!$E$29,3,IF($I895&gt;PARAMETRES!$D$29,2,1)))))</f>
        <v/>
      </c>
      <c r="R895" t="str">
        <f>IF($J895="","",IF($J895&gt;PARAMETRES!$G$30,5,IF($J895&gt;PARAMETRES!$F$30,4,IF($J895&gt;PARAMETRES!$E$30,3,IF($J895&gt;PARAMETRES!$D$30,2,1)))))</f>
        <v/>
      </c>
      <c r="S895" t="str">
        <f>IF($K895="","",IF($Z895=2,IF($K895&gt;PARAMETRES!$G$31,5,IF($K895&gt;PARAMETRES!$F$31,4,IF($K895&gt;PARAMETRES!$E$31,3,IF($K895&gt;PARAMETRES!$D$31,2,1)))),IF($K895&gt;PARAMETRES!$G$32,5,IF($K895&gt;PARAMETRES!$F$32,4,IF($K895&gt;PARAMETRES!$E$32,3,IF($K895&gt;PARAMETRES!$D$32,2,1))))))</f>
        <v/>
      </c>
      <c r="T895" t="str">
        <f>IF($L895="","",IF($L895&gt;PARAMETRES!$G$33,5,IF($L895&gt;PARAMETRES!$F$33,4,IF($L895&gt;PARAMETRES!$E$33,3,IF($L895&gt;PARAMETRES!$D$33,2,1)))))</f>
        <v/>
      </c>
      <c r="U895" t="str">
        <f>IF($M895="","",IF($M895&gt;PARAMETRES!$G$34,5,IF($M895&gt;PARAMETRES!$F$34,4,IF($M895&gt;PARAMETRES!$E$34,3,IF($M895&gt;PARAMETRES!$D$34,2,1)))))</f>
        <v/>
      </c>
      <c r="V895" t="str">
        <f>IF($N895="","",IF($N895&gt;PARAMETRES!$G$35,5,IF($N895&gt;PARAMETRES!$F$35,4,IF($N895&gt;PARAMETRES!$E$35,3,IF($N895&gt;PARAMETRES!$D$35,2,1)))))</f>
        <v/>
      </c>
      <c r="W895" t="str">
        <f>IF($O895="","",IF($O895&gt;PARAMETRES!$G$36,5,IF($O895&gt;PARAMETRES!$F$36,4,IF($O895&gt;PARAMETRES!$E$36,3,IF($O895&gt;PARAMETRES!$D$36,2,1)))))</f>
        <v/>
      </c>
      <c r="X895" t="str">
        <f>IF($P895="","",IF($P895&gt;PARAMETRES!$G$37,5,IF($P895&gt;PARAMETRES!$F$37,4,IF($P895&gt;PARAMETRES!$E$37,3,IF($P895&gt;PARAMETRES!$D$37,2,1)))))</f>
        <v/>
      </c>
      <c r="Y895" t="str">
        <f t="shared" si="312"/>
        <v/>
      </c>
      <c r="Z895" t="str">
        <f>IFERROR(VLOOKUP($B895,TABLE_CYCLE,2,0),"")</f>
        <v/>
      </c>
      <c r="AA895" t="str">
        <f t="shared" si="313"/>
        <v/>
      </c>
      <c r="AB895" t="str">
        <f>IF($D895="","",IF(COUNTIF($D$2:$D895,$D895)=1,$D895,""))</f>
        <v/>
      </c>
      <c r="AC895">
        <f t="shared" si="314"/>
        <v>0</v>
      </c>
      <c r="AD895" t="str">
        <f t="shared" si="315"/>
        <v>|0</v>
      </c>
      <c r="AE895" t="str">
        <f t="shared" si="316"/>
        <v/>
      </c>
      <c r="AF895" t="str">
        <f t="shared" si="317"/>
        <v/>
      </c>
      <c r="AG895" t="str">
        <f t="shared" si="318"/>
        <v/>
      </c>
      <c r="AH895" t="str">
        <f t="shared" si="319"/>
        <v/>
      </c>
      <c r="AI895" t="str">
        <f t="shared" si="320"/>
        <v/>
      </c>
      <c r="AJ895" t="str">
        <f t="shared" si="321"/>
        <v/>
      </c>
      <c r="AK895" t="str">
        <f t="shared" si="322"/>
        <v/>
      </c>
      <c r="AL895" t="str">
        <f t="shared" si="323"/>
        <v/>
      </c>
      <c r="AM895" t="str">
        <f t="shared" si="324"/>
        <v/>
      </c>
      <c r="AN895" t="str">
        <f t="shared" si="325"/>
        <v/>
      </c>
      <c r="AO895" t="str">
        <f t="shared" si="326"/>
        <v/>
      </c>
      <c r="AP895">
        <f t="shared" si="327"/>
        <v>1</v>
      </c>
      <c r="AQ895" t="str">
        <f>IF(SAISIE!$F900="","",SAISIE!$Y900)</f>
        <v/>
      </c>
      <c r="AR895" t="str">
        <f>IF(OR(SAISIE!$U$4="",SAISIE!$W$4=""),"",IF(AND($A895=SAISIE!$U$4,$B895=SAISIE!$W$4,$C895="S1"),COUNTIFS($A$2:$A895,SAISIE!$U$4,$B$2:$B895,SAISIE!$W$4,$C$2:$C895,"S1"),""))</f>
        <v/>
      </c>
      <c r="AS895" t="str">
        <f t="shared" si="328"/>
        <v/>
      </c>
      <c r="AT895" t="str">
        <f t="shared" si="329"/>
        <v/>
      </c>
      <c r="AU895" t="str">
        <f t="shared" si="330"/>
        <v/>
      </c>
      <c r="AV895">
        <f>N(AV894)+IF(AND($AB895&lt;&gt;"",OR('PROFIL ELEVE'!$K$4="(Tous)",$AF895='PROFIL ELEVE'!$K$4)),1,0)</f>
        <v>0</v>
      </c>
      <c r="AW895">
        <f>N(AW894)+IF(AND($AB895&lt;&gt;"",OR('SUIVI LONGITUDINAL'!$Q$4="(Tous)",$AF895='SUIVI LONGITUDINAL'!$Q$4)),1,0)</f>
        <v>0</v>
      </c>
      <c r="AX895">
        <f t="shared" si="331"/>
        <v>0</v>
      </c>
      <c r="AY895">
        <f t="shared" si="332"/>
        <v>0</v>
      </c>
      <c r="AZ895">
        <f t="shared" si="333"/>
        <v>0</v>
      </c>
      <c r="BA895" t="str">
        <f t="shared" si="334"/>
        <v/>
      </c>
      <c r="BB895" t="str">
        <f t="shared" si="335"/>
        <v/>
      </c>
    </row>
    <row r="896" spans="1:54" ht="14.25" customHeight="1" x14ac:dyDescent="0.3">
      <c r="A896" t="str">
        <f>IF(SAISIE!$F901="","",SAISIE!$B901)</f>
        <v/>
      </c>
      <c r="B896" t="str">
        <f>IF(SAISIE!$F901="","",SAISIE!$C901)</f>
        <v/>
      </c>
      <c r="C896" t="str">
        <f>IF(SAISIE!$F901="","",SAISIE!$D901)</f>
        <v/>
      </c>
      <c r="D896" t="str">
        <f>IF(SAISIE!$E901="","",SAISIE!$E901)</f>
        <v/>
      </c>
      <c r="E896" t="str">
        <f>IF(SAISIE!$F901="","",SAISIE!$F901)</f>
        <v/>
      </c>
      <c r="F896" t="str">
        <f>IF(SAISIE!$G901="","",SAISIE!$G901)</f>
        <v/>
      </c>
      <c r="G896" t="str">
        <f>IF(SAISIE!$H901="","",SAISIE!$H901)</f>
        <v/>
      </c>
      <c r="H896" t="str">
        <f>IF(SAISIE!$I901="","",SAISIE!$I901)</f>
        <v/>
      </c>
      <c r="I896" t="str">
        <f>IF(SAISIE!$J901="","",SAISIE!$J901)</f>
        <v/>
      </c>
      <c r="J896" t="str">
        <f>IF(SAISIE!$K901="","",SAISIE!$K901)</f>
        <v/>
      </c>
      <c r="K896" t="str">
        <f>IF(SAISIE!$L901="","",SAISIE!$L901)</f>
        <v/>
      </c>
      <c r="L896" t="str">
        <f>IF(SAISIE!$M901="","",SAISIE!$M901)</f>
        <v/>
      </c>
      <c r="M896" t="str">
        <f>IF(SAISIE!$N901="","",SAISIE!$N901)</f>
        <v/>
      </c>
      <c r="N896" t="str">
        <f>IF(SAISIE!$O901="","",SAISIE!$O901)</f>
        <v/>
      </c>
      <c r="O896" t="str">
        <f>IF(SAISIE!$P901="","",SAISIE!$P901)</f>
        <v/>
      </c>
      <c r="P896" t="str">
        <f>IF(SAISIE!$Q901="","",SAISIE!$Q901)</f>
        <v/>
      </c>
      <c r="Q896" t="str">
        <f>IF($I896="","",IF($I896&gt;PARAMETRES!$G$29,5,IF($I896&gt;PARAMETRES!$F$29,4,IF($I896&gt;PARAMETRES!$E$29,3,IF($I896&gt;PARAMETRES!$D$29,2,1)))))</f>
        <v/>
      </c>
      <c r="R896" t="str">
        <f>IF($J896="","",IF($J896&gt;PARAMETRES!$G$30,5,IF($J896&gt;PARAMETRES!$F$30,4,IF($J896&gt;PARAMETRES!$E$30,3,IF($J896&gt;PARAMETRES!$D$30,2,1)))))</f>
        <v/>
      </c>
      <c r="S896" t="str">
        <f>IF($K896="","",IF($Z896=2,IF($K896&gt;PARAMETRES!$G$31,5,IF($K896&gt;PARAMETRES!$F$31,4,IF($K896&gt;PARAMETRES!$E$31,3,IF($K896&gt;PARAMETRES!$D$31,2,1)))),IF($K896&gt;PARAMETRES!$G$32,5,IF($K896&gt;PARAMETRES!$F$32,4,IF($K896&gt;PARAMETRES!$E$32,3,IF($K896&gt;PARAMETRES!$D$32,2,1))))))</f>
        <v/>
      </c>
      <c r="T896" t="str">
        <f>IF($L896="","",IF($L896&gt;PARAMETRES!$G$33,5,IF($L896&gt;PARAMETRES!$F$33,4,IF($L896&gt;PARAMETRES!$E$33,3,IF($L896&gt;PARAMETRES!$D$33,2,1)))))</f>
        <v/>
      </c>
      <c r="U896" t="str">
        <f>IF($M896="","",IF($M896&gt;PARAMETRES!$G$34,5,IF($M896&gt;PARAMETRES!$F$34,4,IF($M896&gt;PARAMETRES!$E$34,3,IF($M896&gt;PARAMETRES!$D$34,2,1)))))</f>
        <v/>
      </c>
      <c r="V896" t="str">
        <f>IF($N896="","",IF($N896&gt;PARAMETRES!$G$35,5,IF($N896&gt;PARAMETRES!$F$35,4,IF($N896&gt;PARAMETRES!$E$35,3,IF($N896&gt;PARAMETRES!$D$35,2,1)))))</f>
        <v/>
      </c>
      <c r="W896" t="str">
        <f>IF($O896="","",IF($O896&gt;PARAMETRES!$G$36,5,IF($O896&gt;PARAMETRES!$F$36,4,IF($O896&gt;PARAMETRES!$E$36,3,IF($O896&gt;PARAMETRES!$D$36,2,1)))))</f>
        <v/>
      </c>
      <c r="X896" t="str">
        <f>IF($P896="","",IF($P896&gt;PARAMETRES!$G$37,5,IF($P896&gt;PARAMETRES!$F$37,4,IF($P896&gt;PARAMETRES!$E$37,3,IF($P896&gt;PARAMETRES!$D$37,2,1)))))</f>
        <v/>
      </c>
      <c r="Y896" t="str">
        <f t="shared" si="312"/>
        <v/>
      </c>
      <c r="Z896" t="str">
        <f>IFERROR(VLOOKUP($B896,TABLE_CYCLE,2,0),"")</f>
        <v/>
      </c>
      <c r="AA896" t="str">
        <f t="shared" si="313"/>
        <v/>
      </c>
      <c r="AB896" t="str">
        <f>IF($D896="","",IF(COUNTIF($D$2:$D896,$D896)=1,$D896,""))</f>
        <v/>
      </c>
      <c r="AC896">
        <f t="shared" si="314"/>
        <v>0</v>
      </c>
      <c r="AD896" t="str">
        <f t="shared" si="315"/>
        <v>|0</v>
      </c>
      <c r="AE896" t="str">
        <f t="shared" si="316"/>
        <v/>
      </c>
      <c r="AF896" t="str">
        <f t="shared" si="317"/>
        <v/>
      </c>
      <c r="AG896" t="str">
        <f t="shared" si="318"/>
        <v/>
      </c>
      <c r="AH896" t="str">
        <f t="shared" si="319"/>
        <v/>
      </c>
      <c r="AI896" t="str">
        <f t="shared" si="320"/>
        <v/>
      </c>
      <c r="AJ896" t="str">
        <f t="shared" si="321"/>
        <v/>
      </c>
      <c r="AK896" t="str">
        <f t="shared" si="322"/>
        <v/>
      </c>
      <c r="AL896" t="str">
        <f t="shared" si="323"/>
        <v/>
      </c>
      <c r="AM896" t="str">
        <f t="shared" si="324"/>
        <v/>
      </c>
      <c r="AN896" t="str">
        <f t="shared" si="325"/>
        <v/>
      </c>
      <c r="AO896" t="str">
        <f t="shared" si="326"/>
        <v/>
      </c>
      <c r="AP896">
        <f t="shared" si="327"/>
        <v>1</v>
      </c>
      <c r="AQ896" t="str">
        <f>IF(SAISIE!$F901="","",SAISIE!$Y901)</f>
        <v/>
      </c>
      <c r="AR896" t="str">
        <f>IF(OR(SAISIE!$U$4="",SAISIE!$W$4=""),"",IF(AND($A896=SAISIE!$U$4,$B896=SAISIE!$W$4,$C896="S1"),COUNTIFS($A$2:$A896,SAISIE!$U$4,$B$2:$B896,SAISIE!$W$4,$C$2:$C896,"S1"),""))</f>
        <v/>
      </c>
      <c r="AS896" t="str">
        <f t="shared" si="328"/>
        <v/>
      </c>
      <c r="AT896" t="str">
        <f t="shared" si="329"/>
        <v/>
      </c>
      <c r="AU896" t="str">
        <f t="shared" si="330"/>
        <v/>
      </c>
      <c r="AV896">
        <f>N(AV895)+IF(AND($AB896&lt;&gt;"",OR('PROFIL ELEVE'!$K$4="(Tous)",$AF896='PROFIL ELEVE'!$K$4)),1,0)</f>
        <v>0</v>
      </c>
      <c r="AW896">
        <f>N(AW895)+IF(AND($AB896&lt;&gt;"",OR('SUIVI LONGITUDINAL'!$Q$4="(Tous)",$AF896='SUIVI LONGITUDINAL'!$Q$4)),1,0)</f>
        <v>0</v>
      </c>
      <c r="AX896">
        <f t="shared" si="331"/>
        <v>0</v>
      </c>
      <c r="AY896">
        <f t="shared" si="332"/>
        <v>0</v>
      </c>
      <c r="AZ896">
        <f t="shared" si="333"/>
        <v>0</v>
      </c>
      <c r="BA896" t="str">
        <f t="shared" si="334"/>
        <v/>
      </c>
      <c r="BB896" t="str">
        <f t="shared" si="335"/>
        <v/>
      </c>
    </row>
    <row r="897" spans="1:54" ht="14.25" customHeight="1" x14ac:dyDescent="0.3">
      <c r="A897" t="str">
        <f>IF(SAISIE!$F902="","",SAISIE!$B902)</f>
        <v/>
      </c>
      <c r="B897" t="str">
        <f>IF(SAISIE!$F902="","",SAISIE!$C902)</f>
        <v/>
      </c>
      <c r="C897" t="str">
        <f>IF(SAISIE!$F902="","",SAISIE!$D902)</f>
        <v/>
      </c>
      <c r="D897" t="str">
        <f>IF(SAISIE!$E902="","",SAISIE!$E902)</f>
        <v/>
      </c>
      <c r="E897" t="str">
        <f>IF(SAISIE!$F902="","",SAISIE!$F902)</f>
        <v/>
      </c>
      <c r="F897" t="str">
        <f>IF(SAISIE!$G902="","",SAISIE!$G902)</f>
        <v/>
      </c>
      <c r="G897" t="str">
        <f>IF(SAISIE!$H902="","",SAISIE!$H902)</f>
        <v/>
      </c>
      <c r="H897" t="str">
        <f>IF(SAISIE!$I902="","",SAISIE!$I902)</f>
        <v/>
      </c>
      <c r="I897" t="str">
        <f>IF(SAISIE!$J902="","",SAISIE!$J902)</f>
        <v/>
      </c>
      <c r="J897" t="str">
        <f>IF(SAISIE!$K902="","",SAISIE!$K902)</f>
        <v/>
      </c>
      <c r="K897" t="str">
        <f>IF(SAISIE!$L902="","",SAISIE!$L902)</f>
        <v/>
      </c>
      <c r="L897" t="str">
        <f>IF(SAISIE!$M902="","",SAISIE!$M902)</f>
        <v/>
      </c>
      <c r="M897" t="str">
        <f>IF(SAISIE!$N902="","",SAISIE!$N902)</f>
        <v/>
      </c>
      <c r="N897" t="str">
        <f>IF(SAISIE!$O902="","",SAISIE!$O902)</f>
        <v/>
      </c>
      <c r="O897" t="str">
        <f>IF(SAISIE!$P902="","",SAISIE!$P902)</f>
        <v/>
      </c>
      <c r="P897" t="str">
        <f>IF(SAISIE!$Q902="","",SAISIE!$Q902)</f>
        <v/>
      </c>
      <c r="Q897" t="str">
        <f>IF($I897="","",IF($I897&gt;PARAMETRES!$G$29,5,IF($I897&gt;PARAMETRES!$F$29,4,IF($I897&gt;PARAMETRES!$E$29,3,IF($I897&gt;PARAMETRES!$D$29,2,1)))))</f>
        <v/>
      </c>
      <c r="R897" t="str">
        <f>IF($J897="","",IF($J897&gt;PARAMETRES!$G$30,5,IF($J897&gt;PARAMETRES!$F$30,4,IF($J897&gt;PARAMETRES!$E$30,3,IF($J897&gt;PARAMETRES!$D$30,2,1)))))</f>
        <v/>
      </c>
      <c r="S897" t="str">
        <f>IF($K897="","",IF($Z897=2,IF($K897&gt;PARAMETRES!$G$31,5,IF($K897&gt;PARAMETRES!$F$31,4,IF($K897&gt;PARAMETRES!$E$31,3,IF($K897&gt;PARAMETRES!$D$31,2,1)))),IF($K897&gt;PARAMETRES!$G$32,5,IF($K897&gt;PARAMETRES!$F$32,4,IF($K897&gt;PARAMETRES!$E$32,3,IF($K897&gt;PARAMETRES!$D$32,2,1))))))</f>
        <v/>
      </c>
      <c r="T897" t="str">
        <f>IF($L897="","",IF($L897&gt;PARAMETRES!$G$33,5,IF($L897&gt;PARAMETRES!$F$33,4,IF($L897&gt;PARAMETRES!$E$33,3,IF($L897&gt;PARAMETRES!$D$33,2,1)))))</f>
        <v/>
      </c>
      <c r="U897" t="str">
        <f>IF($M897="","",IF($M897&gt;PARAMETRES!$G$34,5,IF($M897&gt;PARAMETRES!$F$34,4,IF($M897&gt;PARAMETRES!$E$34,3,IF($M897&gt;PARAMETRES!$D$34,2,1)))))</f>
        <v/>
      </c>
      <c r="V897" t="str">
        <f>IF($N897="","",IF($N897&gt;PARAMETRES!$G$35,5,IF($N897&gt;PARAMETRES!$F$35,4,IF($N897&gt;PARAMETRES!$E$35,3,IF($N897&gt;PARAMETRES!$D$35,2,1)))))</f>
        <v/>
      </c>
      <c r="W897" t="str">
        <f>IF($O897="","",IF($O897&gt;PARAMETRES!$G$36,5,IF($O897&gt;PARAMETRES!$F$36,4,IF($O897&gt;PARAMETRES!$E$36,3,IF($O897&gt;PARAMETRES!$D$36,2,1)))))</f>
        <v/>
      </c>
      <c r="X897" t="str">
        <f>IF($P897="","",IF($P897&gt;PARAMETRES!$G$37,5,IF($P897&gt;PARAMETRES!$F$37,4,IF($P897&gt;PARAMETRES!$E$37,3,IF($P897&gt;PARAMETRES!$D$37,2,1)))))</f>
        <v/>
      </c>
      <c r="Y897" t="str">
        <f t="shared" si="312"/>
        <v/>
      </c>
      <c r="Z897" t="str">
        <f>IFERROR(VLOOKUP($B897,TABLE_CYCLE,2,0),"")</f>
        <v/>
      </c>
      <c r="AA897" t="str">
        <f t="shared" si="313"/>
        <v/>
      </c>
      <c r="AB897" t="str">
        <f>IF($D897="","",IF(COUNTIF($D$2:$D897,$D897)=1,$D897,""))</f>
        <v/>
      </c>
      <c r="AC897">
        <f t="shared" si="314"/>
        <v>0</v>
      </c>
      <c r="AD897" t="str">
        <f t="shared" si="315"/>
        <v>|0</v>
      </c>
      <c r="AE897" t="str">
        <f t="shared" si="316"/>
        <v/>
      </c>
      <c r="AF897" t="str">
        <f t="shared" si="317"/>
        <v/>
      </c>
      <c r="AG897" t="str">
        <f t="shared" si="318"/>
        <v/>
      </c>
      <c r="AH897" t="str">
        <f t="shared" si="319"/>
        <v/>
      </c>
      <c r="AI897" t="str">
        <f t="shared" si="320"/>
        <v/>
      </c>
      <c r="AJ897" t="str">
        <f t="shared" si="321"/>
        <v/>
      </c>
      <c r="AK897" t="str">
        <f t="shared" si="322"/>
        <v/>
      </c>
      <c r="AL897" t="str">
        <f t="shared" si="323"/>
        <v/>
      </c>
      <c r="AM897" t="str">
        <f t="shared" si="324"/>
        <v/>
      </c>
      <c r="AN897" t="str">
        <f t="shared" si="325"/>
        <v/>
      </c>
      <c r="AO897" t="str">
        <f t="shared" si="326"/>
        <v/>
      </c>
      <c r="AP897">
        <f t="shared" si="327"/>
        <v>1</v>
      </c>
      <c r="AQ897" t="str">
        <f>IF(SAISIE!$F902="","",SAISIE!$Y902)</f>
        <v/>
      </c>
      <c r="AR897" t="str">
        <f>IF(OR(SAISIE!$U$4="",SAISIE!$W$4=""),"",IF(AND($A897=SAISIE!$U$4,$B897=SAISIE!$W$4,$C897="S1"),COUNTIFS($A$2:$A897,SAISIE!$U$4,$B$2:$B897,SAISIE!$W$4,$C$2:$C897,"S1"),""))</f>
        <v/>
      </c>
      <c r="AS897" t="str">
        <f t="shared" si="328"/>
        <v/>
      </c>
      <c r="AT897" t="str">
        <f t="shared" si="329"/>
        <v/>
      </c>
      <c r="AU897" t="str">
        <f t="shared" si="330"/>
        <v/>
      </c>
      <c r="AV897">
        <f>N(AV896)+IF(AND($AB897&lt;&gt;"",OR('PROFIL ELEVE'!$K$4="(Tous)",$AF897='PROFIL ELEVE'!$K$4)),1,0)</f>
        <v>0</v>
      </c>
      <c r="AW897">
        <f>N(AW896)+IF(AND($AB897&lt;&gt;"",OR('SUIVI LONGITUDINAL'!$Q$4="(Tous)",$AF897='SUIVI LONGITUDINAL'!$Q$4)),1,0)</f>
        <v>0</v>
      </c>
      <c r="AX897">
        <f t="shared" si="331"/>
        <v>0</v>
      </c>
      <c r="AY897">
        <f t="shared" si="332"/>
        <v>0</v>
      </c>
      <c r="AZ897">
        <f t="shared" si="333"/>
        <v>0</v>
      </c>
      <c r="BA897" t="str">
        <f t="shared" si="334"/>
        <v/>
      </c>
      <c r="BB897" t="str">
        <f t="shared" si="335"/>
        <v/>
      </c>
    </row>
    <row r="898" spans="1:54" ht="14.25" customHeight="1" x14ac:dyDescent="0.3">
      <c r="A898" t="str">
        <f>IF(SAISIE!$F903="","",SAISIE!$B903)</f>
        <v/>
      </c>
      <c r="B898" t="str">
        <f>IF(SAISIE!$F903="","",SAISIE!$C903)</f>
        <v/>
      </c>
      <c r="C898" t="str">
        <f>IF(SAISIE!$F903="","",SAISIE!$D903)</f>
        <v/>
      </c>
      <c r="D898" t="str">
        <f>IF(SAISIE!$E903="","",SAISIE!$E903)</f>
        <v/>
      </c>
      <c r="E898" t="str">
        <f>IF(SAISIE!$F903="","",SAISIE!$F903)</f>
        <v/>
      </c>
      <c r="F898" t="str">
        <f>IF(SAISIE!$G903="","",SAISIE!$G903)</f>
        <v/>
      </c>
      <c r="G898" t="str">
        <f>IF(SAISIE!$H903="","",SAISIE!$H903)</f>
        <v/>
      </c>
      <c r="H898" t="str">
        <f>IF(SAISIE!$I903="","",SAISIE!$I903)</f>
        <v/>
      </c>
      <c r="I898" t="str">
        <f>IF(SAISIE!$J903="","",SAISIE!$J903)</f>
        <v/>
      </c>
      <c r="J898" t="str">
        <f>IF(SAISIE!$K903="","",SAISIE!$K903)</f>
        <v/>
      </c>
      <c r="K898" t="str">
        <f>IF(SAISIE!$L903="","",SAISIE!$L903)</f>
        <v/>
      </c>
      <c r="L898" t="str">
        <f>IF(SAISIE!$M903="","",SAISIE!$M903)</f>
        <v/>
      </c>
      <c r="M898" t="str">
        <f>IF(SAISIE!$N903="","",SAISIE!$N903)</f>
        <v/>
      </c>
      <c r="N898" t="str">
        <f>IF(SAISIE!$O903="","",SAISIE!$O903)</f>
        <v/>
      </c>
      <c r="O898" t="str">
        <f>IF(SAISIE!$P903="","",SAISIE!$P903)</f>
        <v/>
      </c>
      <c r="P898" t="str">
        <f>IF(SAISIE!$Q903="","",SAISIE!$Q903)</f>
        <v/>
      </c>
      <c r="Q898" t="str">
        <f>IF($I898="","",IF($I898&gt;PARAMETRES!$G$29,5,IF($I898&gt;PARAMETRES!$F$29,4,IF($I898&gt;PARAMETRES!$E$29,3,IF($I898&gt;PARAMETRES!$D$29,2,1)))))</f>
        <v/>
      </c>
      <c r="R898" t="str">
        <f>IF($J898="","",IF($J898&gt;PARAMETRES!$G$30,5,IF($J898&gt;PARAMETRES!$F$30,4,IF($J898&gt;PARAMETRES!$E$30,3,IF($J898&gt;PARAMETRES!$D$30,2,1)))))</f>
        <v/>
      </c>
      <c r="S898" t="str">
        <f>IF($K898="","",IF($Z898=2,IF($K898&gt;PARAMETRES!$G$31,5,IF($K898&gt;PARAMETRES!$F$31,4,IF($K898&gt;PARAMETRES!$E$31,3,IF($K898&gt;PARAMETRES!$D$31,2,1)))),IF($K898&gt;PARAMETRES!$G$32,5,IF($K898&gt;PARAMETRES!$F$32,4,IF($K898&gt;PARAMETRES!$E$32,3,IF($K898&gt;PARAMETRES!$D$32,2,1))))))</f>
        <v/>
      </c>
      <c r="T898" t="str">
        <f>IF($L898="","",IF($L898&gt;PARAMETRES!$G$33,5,IF($L898&gt;PARAMETRES!$F$33,4,IF($L898&gt;PARAMETRES!$E$33,3,IF($L898&gt;PARAMETRES!$D$33,2,1)))))</f>
        <v/>
      </c>
      <c r="U898" t="str">
        <f>IF($M898="","",IF($M898&gt;PARAMETRES!$G$34,5,IF($M898&gt;PARAMETRES!$F$34,4,IF($M898&gt;PARAMETRES!$E$34,3,IF($M898&gt;PARAMETRES!$D$34,2,1)))))</f>
        <v/>
      </c>
      <c r="V898" t="str">
        <f>IF($N898="","",IF($N898&gt;PARAMETRES!$G$35,5,IF($N898&gt;PARAMETRES!$F$35,4,IF($N898&gt;PARAMETRES!$E$35,3,IF($N898&gt;PARAMETRES!$D$35,2,1)))))</f>
        <v/>
      </c>
      <c r="W898" t="str">
        <f>IF($O898="","",IF($O898&gt;PARAMETRES!$G$36,5,IF($O898&gt;PARAMETRES!$F$36,4,IF($O898&gt;PARAMETRES!$E$36,3,IF($O898&gt;PARAMETRES!$D$36,2,1)))))</f>
        <v/>
      </c>
      <c r="X898" t="str">
        <f>IF($P898="","",IF($P898&gt;PARAMETRES!$G$37,5,IF($P898&gt;PARAMETRES!$F$37,4,IF($P898&gt;PARAMETRES!$E$37,3,IF($P898&gt;PARAMETRES!$D$37,2,1)))))</f>
        <v/>
      </c>
      <c r="Y898" t="str">
        <f t="shared" ref="Y898:Y961" si="336">IF(COUNT($Q898:$X898)=0,"",AVERAGE($Q898:$X898))</f>
        <v/>
      </c>
      <c r="Z898" t="str">
        <f>IFERROR(VLOOKUP($B898,TABLE_CYCLE,2,0),"")</f>
        <v/>
      </c>
      <c r="AA898" t="str">
        <f t="shared" ref="AA898:AA961" si="337">IF($D898="","",$D898&amp;"|"&amp;$A898&amp;"|"&amp;$C898)</f>
        <v/>
      </c>
      <c r="AB898" t="str">
        <f>IF($D898="","",IF(COUNTIF($D$2:$D898,$D898)=1,$D898,""))</f>
        <v/>
      </c>
      <c r="AC898">
        <f t="shared" ref="AC898:AC961" si="338">IFERROR(MATCH($A898,LISTE_ANNEES,0),0)</f>
        <v>0</v>
      </c>
      <c r="AD898" t="str">
        <f t="shared" ref="AD898:AD961" si="339">$D898&amp;"|"&amp;$AC898</f>
        <v>|0</v>
      </c>
      <c r="AE898" t="str">
        <f t="shared" ref="AE898:AE961" si="340">IF($D898="","",_xlfn.MAXIFS($AC$2:$AC$1201,$D$2:$D$1201,$D898))</f>
        <v/>
      </c>
      <c r="AF898" t="str">
        <f t="shared" ref="AF898:AF961" si="341">IF($AB898="","",IFERROR(INDEX($B$2:$B$1201,MATCH($D898&amp;"|"&amp;$AE898,$AD$2:$AD$1201,0)),""))</f>
        <v/>
      </c>
      <c r="AG898" t="str">
        <f t="shared" ref="AG898:AG961" si="342">IF($C898&lt;&gt;"S1","",IFERROR(MATCH($D898&amp;"|"&amp;$A898&amp;"|S2",$AA$2:$AA$1201,0),""))</f>
        <v/>
      </c>
      <c r="AH898" t="str">
        <f t="shared" ref="AH898:AH961" si="343">IF(OR($AG898="",$Q898=""),"",IF(INDEX($Q$2:$Q$1201,$AG898)="","",IF(INDEX($Q$2:$Q$1201,$AG898)&gt;$Q898,1,IF(INDEX($Q$2:$Q$1201,$AG898)&lt;$Q898,-1,0))))</f>
        <v/>
      </c>
      <c r="AI898" t="str">
        <f t="shared" ref="AI898:AI961" si="344">IF(OR($AG898="",$R898=""),"",IF(INDEX($R$2:$R$1201,$AG898)="","",IF(INDEX($R$2:$R$1201,$AG898)&gt;$R898,1,IF(INDEX($R$2:$R$1201,$AG898)&lt;$R898,-1,0))))</f>
        <v/>
      </c>
      <c r="AJ898" t="str">
        <f t="shared" ref="AJ898:AJ961" si="345">IF(OR($AG898="",$S898=""),"",IF(INDEX($S$2:$S$1201,$AG898)="","",IF(INDEX($S$2:$S$1201,$AG898)&gt;$S898,1,IF(INDEX($S$2:$S$1201,$AG898)&lt;$S898,-1,0))))</f>
        <v/>
      </c>
      <c r="AK898" t="str">
        <f t="shared" ref="AK898:AK961" si="346">IF(OR($AG898="",$T898=""),"",IF(INDEX($T$2:$T$1201,$AG898)="","",IF(INDEX($T$2:$T$1201,$AG898)&gt;$T898,1,IF(INDEX($T$2:$T$1201,$AG898)&lt;$T898,-1,0))))</f>
        <v/>
      </c>
      <c r="AL898" t="str">
        <f t="shared" ref="AL898:AL961" si="347">IF(OR($AG898="",$U898=""),"",IF(INDEX($U$2:$U$1201,$AG898)="","",IF(INDEX($U$2:$U$1201,$AG898)&gt;$U898,1,IF(INDEX($U$2:$U$1201,$AG898)&lt;$U898,-1,0))))</f>
        <v/>
      </c>
      <c r="AM898" t="str">
        <f t="shared" ref="AM898:AM961" si="348">IF(OR($AG898="",$V898=""),"",IF(INDEX($V$2:$V$1201,$AG898)="","",IF(INDEX($V$2:$V$1201,$AG898)&gt;$V898,1,IF(INDEX($V$2:$V$1201,$AG898)&lt;$V898,-1,0))))</f>
        <v/>
      </c>
      <c r="AN898" t="str">
        <f t="shared" ref="AN898:AN961" si="349">IF(OR($AG898="",$W898=""),"",IF(INDEX($W$2:$W$1201,$AG898)="","",IF(INDEX($W$2:$W$1201,$AG898)&gt;$W898,1,IF(INDEX($W$2:$W$1201,$AG898)&lt;$W898,-1,0))))</f>
        <v/>
      </c>
      <c r="AO898" t="str">
        <f t="shared" ref="AO898:AO961" si="350">IF(OR($AG898="",$X898=""),"",IF(INDEX($X$2:$X$1201,$AG898)="","",IF(INDEX($X$2:$X$1201,$AG898)&gt;$X898,1,IF(INDEX($X$2:$X$1201,$AG898)&lt;$X898,-1,0))))</f>
        <v/>
      </c>
      <c r="AP898">
        <f t="shared" ref="AP898:AP961" si="351">IF($D898="",1,COUNTIFS($D$2:$D$1201,$D898,$A$2:$A$1201,$A898))</f>
        <v>1</v>
      </c>
      <c r="AQ898" t="str">
        <f>IF(SAISIE!$F903="","",SAISIE!$Y903)</f>
        <v/>
      </c>
      <c r="AR898" t="str">
        <f>IF(OR(SAISIE!$U$4="",SAISIE!$W$4=""),"",IF(AND($A898=SAISIE!$U$4,$B898=SAISIE!$W$4,$C898="S1"),COUNTIFS($A$2:$A898,SAISIE!$U$4,$B$2:$B898,SAISIE!$W$4,$C$2:$C898,"S1"),""))</f>
        <v/>
      </c>
      <c r="AS898" t="str">
        <f t="shared" ref="AS898:AS961" si="352">IF($D898="","",$A898&amp;"|"&amp;$C898&amp;"|"&amp;$D898)</f>
        <v/>
      </c>
      <c r="AT898" t="str">
        <f t="shared" ref="AT898:AT961" si="353">IF($D898="","",$A898&amp;"|"&amp;$D898&amp;"|"&amp;IF($AQ898="Parti","P","A"))</f>
        <v/>
      </c>
      <c r="AU898" t="str">
        <f t="shared" ref="AU898:AU961" si="354">IF($A898="","",$A898&amp;"|"&amp;$B898&amp;"|"&amp;$C898)</f>
        <v/>
      </c>
      <c r="AV898">
        <f>N(AV897)+IF(AND($AB898&lt;&gt;"",OR('PROFIL ELEVE'!$K$4="(Tous)",$AF898='PROFIL ELEVE'!$K$4)),1,0)</f>
        <v>0</v>
      </c>
      <c r="AW898">
        <f>N(AW897)+IF(AND($AB898&lt;&gt;"",OR('SUIVI LONGITUDINAL'!$Q$4="(Tous)",$AF898='SUIVI LONGITUDINAL'!$Q$4)),1,0)</f>
        <v>0</v>
      </c>
      <c r="AX898">
        <f t="shared" ref="AX898:AX961" si="355">COUNTIF($AH898:$AO898,1)</f>
        <v>0</v>
      </c>
      <c r="AY898">
        <f t="shared" ref="AY898:AY961" si="356">COUNTIF($AH898:$AO898,0)</f>
        <v>0</v>
      </c>
      <c r="AZ898">
        <f t="shared" ref="AZ898:AZ961" si="357">COUNTIF($AH898:$AO898,-1)</f>
        <v>0</v>
      </c>
      <c r="BA898" t="str">
        <f t="shared" ref="BA898:BA961" si="358">IF($E898="","",COUNT($Q898:$X898))</f>
        <v/>
      </c>
      <c r="BB898" t="str">
        <f t="shared" ref="BB898:BB961" si="359">IF($E898="","",IF(COUNT($Q898:$X898)&gt;=IF($Z898=2,5,8),1,0))</f>
        <v/>
      </c>
    </row>
    <row r="899" spans="1:54" ht="14.25" customHeight="1" x14ac:dyDescent="0.3">
      <c r="A899" t="str">
        <f>IF(SAISIE!$F904="","",SAISIE!$B904)</f>
        <v/>
      </c>
      <c r="B899" t="str">
        <f>IF(SAISIE!$F904="","",SAISIE!$C904)</f>
        <v/>
      </c>
      <c r="C899" t="str">
        <f>IF(SAISIE!$F904="","",SAISIE!$D904)</f>
        <v/>
      </c>
      <c r="D899" t="str">
        <f>IF(SAISIE!$E904="","",SAISIE!$E904)</f>
        <v/>
      </c>
      <c r="E899" t="str">
        <f>IF(SAISIE!$F904="","",SAISIE!$F904)</f>
        <v/>
      </c>
      <c r="F899" t="str">
        <f>IF(SAISIE!$G904="","",SAISIE!$G904)</f>
        <v/>
      </c>
      <c r="G899" t="str">
        <f>IF(SAISIE!$H904="","",SAISIE!$H904)</f>
        <v/>
      </c>
      <c r="H899" t="str">
        <f>IF(SAISIE!$I904="","",SAISIE!$I904)</f>
        <v/>
      </c>
      <c r="I899" t="str">
        <f>IF(SAISIE!$J904="","",SAISIE!$J904)</f>
        <v/>
      </c>
      <c r="J899" t="str">
        <f>IF(SAISIE!$K904="","",SAISIE!$K904)</f>
        <v/>
      </c>
      <c r="K899" t="str">
        <f>IF(SAISIE!$L904="","",SAISIE!$L904)</f>
        <v/>
      </c>
      <c r="L899" t="str">
        <f>IF(SAISIE!$M904="","",SAISIE!$M904)</f>
        <v/>
      </c>
      <c r="M899" t="str">
        <f>IF(SAISIE!$N904="","",SAISIE!$N904)</f>
        <v/>
      </c>
      <c r="N899" t="str">
        <f>IF(SAISIE!$O904="","",SAISIE!$O904)</f>
        <v/>
      </c>
      <c r="O899" t="str">
        <f>IF(SAISIE!$P904="","",SAISIE!$P904)</f>
        <v/>
      </c>
      <c r="P899" t="str">
        <f>IF(SAISIE!$Q904="","",SAISIE!$Q904)</f>
        <v/>
      </c>
      <c r="Q899" t="str">
        <f>IF($I899="","",IF($I899&gt;PARAMETRES!$G$29,5,IF($I899&gt;PARAMETRES!$F$29,4,IF($I899&gt;PARAMETRES!$E$29,3,IF($I899&gt;PARAMETRES!$D$29,2,1)))))</f>
        <v/>
      </c>
      <c r="R899" t="str">
        <f>IF($J899="","",IF($J899&gt;PARAMETRES!$G$30,5,IF($J899&gt;PARAMETRES!$F$30,4,IF($J899&gt;PARAMETRES!$E$30,3,IF($J899&gt;PARAMETRES!$D$30,2,1)))))</f>
        <v/>
      </c>
      <c r="S899" t="str">
        <f>IF($K899="","",IF($Z899=2,IF($K899&gt;PARAMETRES!$G$31,5,IF($K899&gt;PARAMETRES!$F$31,4,IF($K899&gt;PARAMETRES!$E$31,3,IF($K899&gt;PARAMETRES!$D$31,2,1)))),IF($K899&gt;PARAMETRES!$G$32,5,IF($K899&gt;PARAMETRES!$F$32,4,IF($K899&gt;PARAMETRES!$E$32,3,IF($K899&gt;PARAMETRES!$D$32,2,1))))))</f>
        <v/>
      </c>
      <c r="T899" t="str">
        <f>IF($L899="","",IF($L899&gt;PARAMETRES!$G$33,5,IF($L899&gt;PARAMETRES!$F$33,4,IF($L899&gt;PARAMETRES!$E$33,3,IF($L899&gt;PARAMETRES!$D$33,2,1)))))</f>
        <v/>
      </c>
      <c r="U899" t="str">
        <f>IF($M899="","",IF($M899&gt;PARAMETRES!$G$34,5,IF($M899&gt;PARAMETRES!$F$34,4,IF($M899&gt;PARAMETRES!$E$34,3,IF($M899&gt;PARAMETRES!$D$34,2,1)))))</f>
        <v/>
      </c>
      <c r="V899" t="str">
        <f>IF($N899="","",IF($N899&gt;PARAMETRES!$G$35,5,IF($N899&gt;PARAMETRES!$F$35,4,IF($N899&gt;PARAMETRES!$E$35,3,IF($N899&gt;PARAMETRES!$D$35,2,1)))))</f>
        <v/>
      </c>
      <c r="W899" t="str">
        <f>IF($O899="","",IF($O899&gt;PARAMETRES!$G$36,5,IF($O899&gt;PARAMETRES!$F$36,4,IF($O899&gt;PARAMETRES!$E$36,3,IF($O899&gt;PARAMETRES!$D$36,2,1)))))</f>
        <v/>
      </c>
      <c r="X899" t="str">
        <f>IF($P899="","",IF($P899&gt;PARAMETRES!$G$37,5,IF($P899&gt;PARAMETRES!$F$37,4,IF($P899&gt;PARAMETRES!$E$37,3,IF($P899&gt;PARAMETRES!$D$37,2,1)))))</f>
        <v/>
      </c>
      <c r="Y899" t="str">
        <f t="shared" si="336"/>
        <v/>
      </c>
      <c r="Z899" t="str">
        <f>IFERROR(VLOOKUP($B899,TABLE_CYCLE,2,0),"")</f>
        <v/>
      </c>
      <c r="AA899" t="str">
        <f t="shared" si="337"/>
        <v/>
      </c>
      <c r="AB899" t="str">
        <f>IF($D899="","",IF(COUNTIF($D$2:$D899,$D899)=1,$D899,""))</f>
        <v/>
      </c>
      <c r="AC899">
        <f t="shared" si="338"/>
        <v>0</v>
      </c>
      <c r="AD899" t="str">
        <f t="shared" si="339"/>
        <v>|0</v>
      </c>
      <c r="AE899" t="str">
        <f t="shared" si="340"/>
        <v/>
      </c>
      <c r="AF899" t="str">
        <f t="shared" si="341"/>
        <v/>
      </c>
      <c r="AG899" t="str">
        <f t="shared" si="342"/>
        <v/>
      </c>
      <c r="AH899" t="str">
        <f t="shared" si="343"/>
        <v/>
      </c>
      <c r="AI899" t="str">
        <f t="shared" si="344"/>
        <v/>
      </c>
      <c r="AJ899" t="str">
        <f t="shared" si="345"/>
        <v/>
      </c>
      <c r="AK899" t="str">
        <f t="shared" si="346"/>
        <v/>
      </c>
      <c r="AL899" t="str">
        <f t="shared" si="347"/>
        <v/>
      </c>
      <c r="AM899" t="str">
        <f t="shared" si="348"/>
        <v/>
      </c>
      <c r="AN899" t="str">
        <f t="shared" si="349"/>
        <v/>
      </c>
      <c r="AO899" t="str">
        <f t="shared" si="350"/>
        <v/>
      </c>
      <c r="AP899">
        <f t="shared" si="351"/>
        <v>1</v>
      </c>
      <c r="AQ899" t="str">
        <f>IF(SAISIE!$F904="","",SAISIE!$Y904)</f>
        <v/>
      </c>
      <c r="AR899" t="str">
        <f>IF(OR(SAISIE!$U$4="",SAISIE!$W$4=""),"",IF(AND($A899=SAISIE!$U$4,$B899=SAISIE!$W$4,$C899="S1"),COUNTIFS($A$2:$A899,SAISIE!$U$4,$B$2:$B899,SAISIE!$W$4,$C$2:$C899,"S1"),""))</f>
        <v/>
      </c>
      <c r="AS899" t="str">
        <f t="shared" si="352"/>
        <v/>
      </c>
      <c r="AT899" t="str">
        <f t="shared" si="353"/>
        <v/>
      </c>
      <c r="AU899" t="str">
        <f t="shared" si="354"/>
        <v/>
      </c>
      <c r="AV899">
        <f>N(AV898)+IF(AND($AB899&lt;&gt;"",OR('PROFIL ELEVE'!$K$4="(Tous)",$AF899='PROFIL ELEVE'!$K$4)),1,0)</f>
        <v>0</v>
      </c>
      <c r="AW899">
        <f>N(AW898)+IF(AND($AB899&lt;&gt;"",OR('SUIVI LONGITUDINAL'!$Q$4="(Tous)",$AF899='SUIVI LONGITUDINAL'!$Q$4)),1,0)</f>
        <v>0</v>
      </c>
      <c r="AX899">
        <f t="shared" si="355"/>
        <v>0</v>
      </c>
      <c r="AY899">
        <f t="shared" si="356"/>
        <v>0</v>
      </c>
      <c r="AZ899">
        <f t="shared" si="357"/>
        <v>0</v>
      </c>
      <c r="BA899" t="str">
        <f t="shared" si="358"/>
        <v/>
      </c>
      <c r="BB899" t="str">
        <f t="shared" si="359"/>
        <v/>
      </c>
    </row>
    <row r="900" spans="1:54" ht="14.25" customHeight="1" x14ac:dyDescent="0.3">
      <c r="A900" t="str">
        <f>IF(SAISIE!$F905="","",SAISIE!$B905)</f>
        <v/>
      </c>
      <c r="B900" t="str">
        <f>IF(SAISIE!$F905="","",SAISIE!$C905)</f>
        <v/>
      </c>
      <c r="C900" t="str">
        <f>IF(SAISIE!$F905="","",SAISIE!$D905)</f>
        <v/>
      </c>
      <c r="D900" t="str">
        <f>IF(SAISIE!$E905="","",SAISIE!$E905)</f>
        <v/>
      </c>
      <c r="E900" t="str">
        <f>IF(SAISIE!$F905="","",SAISIE!$F905)</f>
        <v/>
      </c>
      <c r="F900" t="str">
        <f>IF(SAISIE!$G905="","",SAISIE!$G905)</f>
        <v/>
      </c>
      <c r="G900" t="str">
        <f>IF(SAISIE!$H905="","",SAISIE!$H905)</f>
        <v/>
      </c>
      <c r="H900" t="str">
        <f>IF(SAISIE!$I905="","",SAISIE!$I905)</f>
        <v/>
      </c>
      <c r="I900" t="str">
        <f>IF(SAISIE!$J905="","",SAISIE!$J905)</f>
        <v/>
      </c>
      <c r="J900" t="str">
        <f>IF(SAISIE!$K905="","",SAISIE!$K905)</f>
        <v/>
      </c>
      <c r="K900" t="str">
        <f>IF(SAISIE!$L905="","",SAISIE!$L905)</f>
        <v/>
      </c>
      <c r="L900" t="str">
        <f>IF(SAISIE!$M905="","",SAISIE!$M905)</f>
        <v/>
      </c>
      <c r="M900" t="str">
        <f>IF(SAISIE!$N905="","",SAISIE!$N905)</f>
        <v/>
      </c>
      <c r="N900" t="str">
        <f>IF(SAISIE!$O905="","",SAISIE!$O905)</f>
        <v/>
      </c>
      <c r="O900" t="str">
        <f>IF(SAISIE!$P905="","",SAISIE!$P905)</f>
        <v/>
      </c>
      <c r="P900" t="str">
        <f>IF(SAISIE!$Q905="","",SAISIE!$Q905)</f>
        <v/>
      </c>
      <c r="Q900" t="str">
        <f>IF($I900="","",IF($I900&gt;PARAMETRES!$G$29,5,IF($I900&gt;PARAMETRES!$F$29,4,IF($I900&gt;PARAMETRES!$E$29,3,IF($I900&gt;PARAMETRES!$D$29,2,1)))))</f>
        <v/>
      </c>
      <c r="R900" t="str">
        <f>IF($J900="","",IF($J900&gt;PARAMETRES!$G$30,5,IF($J900&gt;PARAMETRES!$F$30,4,IF($J900&gt;PARAMETRES!$E$30,3,IF($J900&gt;PARAMETRES!$D$30,2,1)))))</f>
        <v/>
      </c>
      <c r="S900" t="str">
        <f>IF($K900="","",IF($Z900=2,IF($K900&gt;PARAMETRES!$G$31,5,IF($K900&gt;PARAMETRES!$F$31,4,IF($K900&gt;PARAMETRES!$E$31,3,IF($K900&gt;PARAMETRES!$D$31,2,1)))),IF($K900&gt;PARAMETRES!$G$32,5,IF($K900&gt;PARAMETRES!$F$32,4,IF($K900&gt;PARAMETRES!$E$32,3,IF($K900&gt;PARAMETRES!$D$32,2,1))))))</f>
        <v/>
      </c>
      <c r="T900" t="str">
        <f>IF($L900="","",IF($L900&gt;PARAMETRES!$G$33,5,IF($L900&gt;PARAMETRES!$F$33,4,IF($L900&gt;PARAMETRES!$E$33,3,IF($L900&gt;PARAMETRES!$D$33,2,1)))))</f>
        <v/>
      </c>
      <c r="U900" t="str">
        <f>IF($M900="","",IF($M900&gt;PARAMETRES!$G$34,5,IF($M900&gt;PARAMETRES!$F$34,4,IF($M900&gt;PARAMETRES!$E$34,3,IF($M900&gt;PARAMETRES!$D$34,2,1)))))</f>
        <v/>
      </c>
      <c r="V900" t="str">
        <f>IF($N900="","",IF($N900&gt;PARAMETRES!$G$35,5,IF($N900&gt;PARAMETRES!$F$35,4,IF($N900&gt;PARAMETRES!$E$35,3,IF($N900&gt;PARAMETRES!$D$35,2,1)))))</f>
        <v/>
      </c>
      <c r="W900" t="str">
        <f>IF($O900="","",IF($O900&gt;PARAMETRES!$G$36,5,IF($O900&gt;PARAMETRES!$F$36,4,IF($O900&gt;PARAMETRES!$E$36,3,IF($O900&gt;PARAMETRES!$D$36,2,1)))))</f>
        <v/>
      </c>
      <c r="X900" t="str">
        <f>IF($P900="","",IF($P900&gt;PARAMETRES!$G$37,5,IF($P900&gt;PARAMETRES!$F$37,4,IF($P900&gt;PARAMETRES!$E$37,3,IF($P900&gt;PARAMETRES!$D$37,2,1)))))</f>
        <v/>
      </c>
      <c r="Y900" t="str">
        <f t="shared" si="336"/>
        <v/>
      </c>
      <c r="Z900" t="str">
        <f>IFERROR(VLOOKUP($B900,TABLE_CYCLE,2,0),"")</f>
        <v/>
      </c>
      <c r="AA900" t="str">
        <f t="shared" si="337"/>
        <v/>
      </c>
      <c r="AB900" t="str">
        <f>IF($D900="","",IF(COUNTIF($D$2:$D900,$D900)=1,$D900,""))</f>
        <v/>
      </c>
      <c r="AC900">
        <f t="shared" si="338"/>
        <v>0</v>
      </c>
      <c r="AD900" t="str">
        <f t="shared" si="339"/>
        <v>|0</v>
      </c>
      <c r="AE900" t="str">
        <f t="shared" si="340"/>
        <v/>
      </c>
      <c r="AF900" t="str">
        <f t="shared" si="341"/>
        <v/>
      </c>
      <c r="AG900" t="str">
        <f t="shared" si="342"/>
        <v/>
      </c>
      <c r="AH900" t="str">
        <f t="shared" si="343"/>
        <v/>
      </c>
      <c r="AI900" t="str">
        <f t="shared" si="344"/>
        <v/>
      </c>
      <c r="AJ900" t="str">
        <f t="shared" si="345"/>
        <v/>
      </c>
      <c r="AK900" t="str">
        <f t="shared" si="346"/>
        <v/>
      </c>
      <c r="AL900" t="str">
        <f t="shared" si="347"/>
        <v/>
      </c>
      <c r="AM900" t="str">
        <f t="shared" si="348"/>
        <v/>
      </c>
      <c r="AN900" t="str">
        <f t="shared" si="349"/>
        <v/>
      </c>
      <c r="AO900" t="str">
        <f t="shared" si="350"/>
        <v/>
      </c>
      <c r="AP900">
        <f t="shared" si="351"/>
        <v>1</v>
      </c>
      <c r="AQ900" t="str">
        <f>IF(SAISIE!$F905="","",SAISIE!$Y905)</f>
        <v/>
      </c>
      <c r="AR900" t="str">
        <f>IF(OR(SAISIE!$U$4="",SAISIE!$W$4=""),"",IF(AND($A900=SAISIE!$U$4,$B900=SAISIE!$W$4,$C900="S1"),COUNTIFS($A$2:$A900,SAISIE!$U$4,$B$2:$B900,SAISIE!$W$4,$C$2:$C900,"S1"),""))</f>
        <v/>
      </c>
      <c r="AS900" t="str">
        <f t="shared" si="352"/>
        <v/>
      </c>
      <c r="AT900" t="str">
        <f t="shared" si="353"/>
        <v/>
      </c>
      <c r="AU900" t="str">
        <f t="shared" si="354"/>
        <v/>
      </c>
      <c r="AV900">
        <f>N(AV899)+IF(AND($AB900&lt;&gt;"",OR('PROFIL ELEVE'!$K$4="(Tous)",$AF900='PROFIL ELEVE'!$K$4)),1,0)</f>
        <v>0</v>
      </c>
      <c r="AW900">
        <f>N(AW899)+IF(AND($AB900&lt;&gt;"",OR('SUIVI LONGITUDINAL'!$Q$4="(Tous)",$AF900='SUIVI LONGITUDINAL'!$Q$4)),1,0)</f>
        <v>0</v>
      </c>
      <c r="AX900">
        <f t="shared" si="355"/>
        <v>0</v>
      </c>
      <c r="AY900">
        <f t="shared" si="356"/>
        <v>0</v>
      </c>
      <c r="AZ900">
        <f t="shared" si="357"/>
        <v>0</v>
      </c>
      <c r="BA900" t="str">
        <f t="shared" si="358"/>
        <v/>
      </c>
      <c r="BB900" t="str">
        <f t="shared" si="359"/>
        <v/>
      </c>
    </row>
    <row r="901" spans="1:54" ht="14.25" customHeight="1" x14ac:dyDescent="0.3">
      <c r="A901" t="str">
        <f>IF(SAISIE!$F906="","",SAISIE!$B906)</f>
        <v/>
      </c>
      <c r="B901" t="str">
        <f>IF(SAISIE!$F906="","",SAISIE!$C906)</f>
        <v/>
      </c>
      <c r="C901" t="str">
        <f>IF(SAISIE!$F906="","",SAISIE!$D906)</f>
        <v/>
      </c>
      <c r="D901" t="str">
        <f>IF(SAISIE!$E906="","",SAISIE!$E906)</f>
        <v/>
      </c>
      <c r="E901" t="str">
        <f>IF(SAISIE!$F906="","",SAISIE!$F906)</f>
        <v/>
      </c>
      <c r="F901" t="str">
        <f>IF(SAISIE!$G906="","",SAISIE!$G906)</f>
        <v/>
      </c>
      <c r="G901" t="str">
        <f>IF(SAISIE!$H906="","",SAISIE!$H906)</f>
        <v/>
      </c>
      <c r="H901" t="str">
        <f>IF(SAISIE!$I906="","",SAISIE!$I906)</f>
        <v/>
      </c>
      <c r="I901" t="str">
        <f>IF(SAISIE!$J906="","",SAISIE!$J906)</f>
        <v/>
      </c>
      <c r="J901" t="str">
        <f>IF(SAISIE!$K906="","",SAISIE!$K906)</f>
        <v/>
      </c>
      <c r="K901" t="str">
        <f>IF(SAISIE!$L906="","",SAISIE!$L906)</f>
        <v/>
      </c>
      <c r="L901" t="str">
        <f>IF(SAISIE!$M906="","",SAISIE!$M906)</f>
        <v/>
      </c>
      <c r="M901" t="str">
        <f>IF(SAISIE!$N906="","",SAISIE!$N906)</f>
        <v/>
      </c>
      <c r="N901" t="str">
        <f>IF(SAISIE!$O906="","",SAISIE!$O906)</f>
        <v/>
      </c>
      <c r="O901" t="str">
        <f>IF(SAISIE!$P906="","",SAISIE!$P906)</f>
        <v/>
      </c>
      <c r="P901" t="str">
        <f>IF(SAISIE!$Q906="","",SAISIE!$Q906)</f>
        <v/>
      </c>
      <c r="Q901" t="str">
        <f>IF($I901="","",IF($I901&gt;PARAMETRES!$G$29,5,IF($I901&gt;PARAMETRES!$F$29,4,IF($I901&gt;PARAMETRES!$E$29,3,IF($I901&gt;PARAMETRES!$D$29,2,1)))))</f>
        <v/>
      </c>
      <c r="R901" t="str">
        <f>IF($J901="","",IF($J901&gt;PARAMETRES!$G$30,5,IF($J901&gt;PARAMETRES!$F$30,4,IF($J901&gt;PARAMETRES!$E$30,3,IF($J901&gt;PARAMETRES!$D$30,2,1)))))</f>
        <v/>
      </c>
      <c r="S901" t="str">
        <f>IF($K901="","",IF($Z901=2,IF($K901&gt;PARAMETRES!$G$31,5,IF($K901&gt;PARAMETRES!$F$31,4,IF($K901&gt;PARAMETRES!$E$31,3,IF($K901&gt;PARAMETRES!$D$31,2,1)))),IF($K901&gt;PARAMETRES!$G$32,5,IF($K901&gt;PARAMETRES!$F$32,4,IF($K901&gt;PARAMETRES!$E$32,3,IF($K901&gt;PARAMETRES!$D$32,2,1))))))</f>
        <v/>
      </c>
      <c r="T901" t="str">
        <f>IF($L901="","",IF($L901&gt;PARAMETRES!$G$33,5,IF($L901&gt;PARAMETRES!$F$33,4,IF($L901&gt;PARAMETRES!$E$33,3,IF($L901&gt;PARAMETRES!$D$33,2,1)))))</f>
        <v/>
      </c>
      <c r="U901" t="str">
        <f>IF($M901="","",IF($M901&gt;PARAMETRES!$G$34,5,IF($M901&gt;PARAMETRES!$F$34,4,IF($M901&gt;PARAMETRES!$E$34,3,IF($M901&gt;PARAMETRES!$D$34,2,1)))))</f>
        <v/>
      </c>
      <c r="V901" t="str">
        <f>IF($N901="","",IF($N901&gt;PARAMETRES!$G$35,5,IF($N901&gt;PARAMETRES!$F$35,4,IF($N901&gt;PARAMETRES!$E$35,3,IF($N901&gt;PARAMETRES!$D$35,2,1)))))</f>
        <v/>
      </c>
      <c r="W901" t="str">
        <f>IF($O901="","",IF($O901&gt;PARAMETRES!$G$36,5,IF($O901&gt;PARAMETRES!$F$36,4,IF($O901&gt;PARAMETRES!$E$36,3,IF($O901&gt;PARAMETRES!$D$36,2,1)))))</f>
        <v/>
      </c>
      <c r="X901" t="str">
        <f>IF($P901="","",IF($P901&gt;PARAMETRES!$G$37,5,IF($P901&gt;PARAMETRES!$F$37,4,IF($P901&gt;PARAMETRES!$E$37,3,IF($P901&gt;PARAMETRES!$D$37,2,1)))))</f>
        <v/>
      </c>
      <c r="Y901" t="str">
        <f t="shared" si="336"/>
        <v/>
      </c>
      <c r="Z901" t="str">
        <f>IFERROR(VLOOKUP($B901,TABLE_CYCLE,2,0),"")</f>
        <v/>
      </c>
      <c r="AA901" t="str">
        <f t="shared" si="337"/>
        <v/>
      </c>
      <c r="AB901" t="str">
        <f>IF($D901="","",IF(COUNTIF($D$2:$D901,$D901)=1,$D901,""))</f>
        <v/>
      </c>
      <c r="AC901">
        <f t="shared" si="338"/>
        <v>0</v>
      </c>
      <c r="AD901" t="str">
        <f t="shared" si="339"/>
        <v>|0</v>
      </c>
      <c r="AE901" t="str">
        <f t="shared" si="340"/>
        <v/>
      </c>
      <c r="AF901" t="str">
        <f t="shared" si="341"/>
        <v/>
      </c>
      <c r="AG901" t="str">
        <f t="shared" si="342"/>
        <v/>
      </c>
      <c r="AH901" t="str">
        <f t="shared" si="343"/>
        <v/>
      </c>
      <c r="AI901" t="str">
        <f t="shared" si="344"/>
        <v/>
      </c>
      <c r="AJ901" t="str">
        <f t="shared" si="345"/>
        <v/>
      </c>
      <c r="AK901" t="str">
        <f t="shared" si="346"/>
        <v/>
      </c>
      <c r="AL901" t="str">
        <f t="shared" si="347"/>
        <v/>
      </c>
      <c r="AM901" t="str">
        <f t="shared" si="348"/>
        <v/>
      </c>
      <c r="AN901" t="str">
        <f t="shared" si="349"/>
        <v/>
      </c>
      <c r="AO901" t="str">
        <f t="shared" si="350"/>
        <v/>
      </c>
      <c r="AP901">
        <f t="shared" si="351"/>
        <v>1</v>
      </c>
      <c r="AQ901" t="str">
        <f>IF(SAISIE!$F906="","",SAISIE!$Y906)</f>
        <v/>
      </c>
      <c r="AR901" t="str">
        <f>IF(OR(SAISIE!$U$4="",SAISIE!$W$4=""),"",IF(AND($A901=SAISIE!$U$4,$B901=SAISIE!$W$4,$C901="S1"),COUNTIFS($A$2:$A901,SAISIE!$U$4,$B$2:$B901,SAISIE!$W$4,$C$2:$C901,"S1"),""))</f>
        <v/>
      </c>
      <c r="AS901" t="str">
        <f t="shared" si="352"/>
        <v/>
      </c>
      <c r="AT901" t="str">
        <f t="shared" si="353"/>
        <v/>
      </c>
      <c r="AU901" t="str">
        <f t="shared" si="354"/>
        <v/>
      </c>
      <c r="AV901">
        <f>N(AV900)+IF(AND($AB901&lt;&gt;"",OR('PROFIL ELEVE'!$K$4="(Tous)",$AF901='PROFIL ELEVE'!$K$4)),1,0)</f>
        <v>0</v>
      </c>
      <c r="AW901">
        <f>N(AW900)+IF(AND($AB901&lt;&gt;"",OR('SUIVI LONGITUDINAL'!$Q$4="(Tous)",$AF901='SUIVI LONGITUDINAL'!$Q$4)),1,0)</f>
        <v>0</v>
      </c>
      <c r="AX901">
        <f t="shared" si="355"/>
        <v>0</v>
      </c>
      <c r="AY901">
        <f t="shared" si="356"/>
        <v>0</v>
      </c>
      <c r="AZ901">
        <f t="shared" si="357"/>
        <v>0</v>
      </c>
      <c r="BA901" t="str">
        <f t="shared" si="358"/>
        <v/>
      </c>
      <c r="BB901" t="str">
        <f t="shared" si="359"/>
        <v/>
      </c>
    </row>
    <row r="902" spans="1:54" ht="14.25" customHeight="1" x14ac:dyDescent="0.3">
      <c r="A902" t="str">
        <f>IF(SAISIE!$F907="","",SAISIE!$B907)</f>
        <v/>
      </c>
      <c r="B902" t="str">
        <f>IF(SAISIE!$F907="","",SAISIE!$C907)</f>
        <v/>
      </c>
      <c r="C902" t="str">
        <f>IF(SAISIE!$F907="","",SAISIE!$D907)</f>
        <v/>
      </c>
      <c r="D902" t="str">
        <f>IF(SAISIE!$E907="","",SAISIE!$E907)</f>
        <v/>
      </c>
      <c r="E902" t="str">
        <f>IF(SAISIE!$F907="","",SAISIE!$F907)</f>
        <v/>
      </c>
      <c r="F902" t="str">
        <f>IF(SAISIE!$G907="","",SAISIE!$G907)</f>
        <v/>
      </c>
      <c r="G902" t="str">
        <f>IF(SAISIE!$H907="","",SAISIE!$H907)</f>
        <v/>
      </c>
      <c r="H902" t="str">
        <f>IF(SAISIE!$I907="","",SAISIE!$I907)</f>
        <v/>
      </c>
      <c r="I902" t="str">
        <f>IF(SAISIE!$J907="","",SAISIE!$J907)</f>
        <v/>
      </c>
      <c r="J902" t="str">
        <f>IF(SAISIE!$K907="","",SAISIE!$K907)</f>
        <v/>
      </c>
      <c r="K902" t="str">
        <f>IF(SAISIE!$L907="","",SAISIE!$L907)</f>
        <v/>
      </c>
      <c r="L902" t="str">
        <f>IF(SAISIE!$M907="","",SAISIE!$M907)</f>
        <v/>
      </c>
      <c r="M902" t="str">
        <f>IF(SAISIE!$N907="","",SAISIE!$N907)</f>
        <v/>
      </c>
      <c r="N902" t="str">
        <f>IF(SAISIE!$O907="","",SAISIE!$O907)</f>
        <v/>
      </c>
      <c r="O902" t="str">
        <f>IF(SAISIE!$P907="","",SAISIE!$P907)</f>
        <v/>
      </c>
      <c r="P902" t="str">
        <f>IF(SAISIE!$Q907="","",SAISIE!$Q907)</f>
        <v/>
      </c>
      <c r="Q902" t="str">
        <f>IF($I902="","",IF($I902&gt;PARAMETRES!$G$29,5,IF($I902&gt;PARAMETRES!$F$29,4,IF($I902&gt;PARAMETRES!$E$29,3,IF($I902&gt;PARAMETRES!$D$29,2,1)))))</f>
        <v/>
      </c>
      <c r="R902" t="str">
        <f>IF($J902="","",IF($J902&gt;PARAMETRES!$G$30,5,IF($J902&gt;PARAMETRES!$F$30,4,IF($J902&gt;PARAMETRES!$E$30,3,IF($J902&gt;PARAMETRES!$D$30,2,1)))))</f>
        <v/>
      </c>
      <c r="S902" t="str">
        <f>IF($K902="","",IF($Z902=2,IF($K902&gt;PARAMETRES!$G$31,5,IF($K902&gt;PARAMETRES!$F$31,4,IF($K902&gt;PARAMETRES!$E$31,3,IF($K902&gt;PARAMETRES!$D$31,2,1)))),IF($K902&gt;PARAMETRES!$G$32,5,IF($K902&gt;PARAMETRES!$F$32,4,IF($K902&gt;PARAMETRES!$E$32,3,IF($K902&gt;PARAMETRES!$D$32,2,1))))))</f>
        <v/>
      </c>
      <c r="T902" t="str">
        <f>IF($L902="","",IF($L902&gt;PARAMETRES!$G$33,5,IF($L902&gt;PARAMETRES!$F$33,4,IF($L902&gt;PARAMETRES!$E$33,3,IF($L902&gt;PARAMETRES!$D$33,2,1)))))</f>
        <v/>
      </c>
      <c r="U902" t="str">
        <f>IF($M902="","",IF($M902&gt;PARAMETRES!$G$34,5,IF($M902&gt;PARAMETRES!$F$34,4,IF($M902&gt;PARAMETRES!$E$34,3,IF($M902&gt;PARAMETRES!$D$34,2,1)))))</f>
        <v/>
      </c>
      <c r="V902" t="str">
        <f>IF($N902="","",IF($N902&gt;PARAMETRES!$G$35,5,IF($N902&gt;PARAMETRES!$F$35,4,IF($N902&gt;PARAMETRES!$E$35,3,IF($N902&gt;PARAMETRES!$D$35,2,1)))))</f>
        <v/>
      </c>
      <c r="W902" t="str">
        <f>IF($O902="","",IF($O902&gt;PARAMETRES!$G$36,5,IF($O902&gt;PARAMETRES!$F$36,4,IF($O902&gt;PARAMETRES!$E$36,3,IF($O902&gt;PARAMETRES!$D$36,2,1)))))</f>
        <v/>
      </c>
      <c r="X902" t="str">
        <f>IF($P902="","",IF($P902&gt;PARAMETRES!$G$37,5,IF($P902&gt;PARAMETRES!$F$37,4,IF($P902&gt;PARAMETRES!$E$37,3,IF($P902&gt;PARAMETRES!$D$37,2,1)))))</f>
        <v/>
      </c>
      <c r="Y902" t="str">
        <f t="shared" si="336"/>
        <v/>
      </c>
      <c r="Z902" t="str">
        <f>IFERROR(VLOOKUP($B902,TABLE_CYCLE,2,0),"")</f>
        <v/>
      </c>
      <c r="AA902" t="str">
        <f t="shared" si="337"/>
        <v/>
      </c>
      <c r="AB902" t="str">
        <f>IF($D902="","",IF(COUNTIF($D$2:$D902,$D902)=1,$D902,""))</f>
        <v/>
      </c>
      <c r="AC902">
        <f t="shared" si="338"/>
        <v>0</v>
      </c>
      <c r="AD902" t="str">
        <f t="shared" si="339"/>
        <v>|0</v>
      </c>
      <c r="AE902" t="str">
        <f t="shared" si="340"/>
        <v/>
      </c>
      <c r="AF902" t="str">
        <f t="shared" si="341"/>
        <v/>
      </c>
      <c r="AG902" t="str">
        <f t="shared" si="342"/>
        <v/>
      </c>
      <c r="AH902" t="str">
        <f t="shared" si="343"/>
        <v/>
      </c>
      <c r="AI902" t="str">
        <f t="shared" si="344"/>
        <v/>
      </c>
      <c r="AJ902" t="str">
        <f t="shared" si="345"/>
        <v/>
      </c>
      <c r="AK902" t="str">
        <f t="shared" si="346"/>
        <v/>
      </c>
      <c r="AL902" t="str">
        <f t="shared" si="347"/>
        <v/>
      </c>
      <c r="AM902" t="str">
        <f t="shared" si="348"/>
        <v/>
      </c>
      <c r="AN902" t="str">
        <f t="shared" si="349"/>
        <v/>
      </c>
      <c r="AO902" t="str">
        <f t="shared" si="350"/>
        <v/>
      </c>
      <c r="AP902">
        <f t="shared" si="351"/>
        <v>1</v>
      </c>
      <c r="AQ902" t="str">
        <f>IF(SAISIE!$F907="","",SAISIE!$Y907)</f>
        <v/>
      </c>
      <c r="AR902" t="str">
        <f>IF(OR(SAISIE!$U$4="",SAISIE!$W$4=""),"",IF(AND($A902=SAISIE!$U$4,$B902=SAISIE!$W$4,$C902="S1"),COUNTIFS($A$2:$A902,SAISIE!$U$4,$B$2:$B902,SAISIE!$W$4,$C$2:$C902,"S1"),""))</f>
        <v/>
      </c>
      <c r="AS902" t="str">
        <f t="shared" si="352"/>
        <v/>
      </c>
      <c r="AT902" t="str">
        <f t="shared" si="353"/>
        <v/>
      </c>
      <c r="AU902" t="str">
        <f t="shared" si="354"/>
        <v/>
      </c>
      <c r="AV902">
        <f>N(AV901)+IF(AND($AB902&lt;&gt;"",OR('PROFIL ELEVE'!$K$4="(Tous)",$AF902='PROFIL ELEVE'!$K$4)),1,0)</f>
        <v>0</v>
      </c>
      <c r="AW902">
        <f>N(AW901)+IF(AND($AB902&lt;&gt;"",OR('SUIVI LONGITUDINAL'!$Q$4="(Tous)",$AF902='SUIVI LONGITUDINAL'!$Q$4)),1,0)</f>
        <v>0</v>
      </c>
      <c r="AX902">
        <f t="shared" si="355"/>
        <v>0</v>
      </c>
      <c r="AY902">
        <f t="shared" si="356"/>
        <v>0</v>
      </c>
      <c r="AZ902">
        <f t="shared" si="357"/>
        <v>0</v>
      </c>
      <c r="BA902" t="str">
        <f t="shared" si="358"/>
        <v/>
      </c>
      <c r="BB902" t="str">
        <f t="shared" si="359"/>
        <v/>
      </c>
    </row>
    <row r="903" spans="1:54" ht="14.25" customHeight="1" x14ac:dyDescent="0.3">
      <c r="A903" t="str">
        <f>IF(SAISIE!$F908="","",SAISIE!$B908)</f>
        <v/>
      </c>
      <c r="B903" t="str">
        <f>IF(SAISIE!$F908="","",SAISIE!$C908)</f>
        <v/>
      </c>
      <c r="C903" t="str">
        <f>IF(SAISIE!$F908="","",SAISIE!$D908)</f>
        <v/>
      </c>
      <c r="D903" t="str">
        <f>IF(SAISIE!$E908="","",SAISIE!$E908)</f>
        <v/>
      </c>
      <c r="E903" t="str">
        <f>IF(SAISIE!$F908="","",SAISIE!$F908)</f>
        <v/>
      </c>
      <c r="F903" t="str">
        <f>IF(SAISIE!$G908="","",SAISIE!$G908)</f>
        <v/>
      </c>
      <c r="G903" t="str">
        <f>IF(SAISIE!$H908="","",SAISIE!$H908)</f>
        <v/>
      </c>
      <c r="H903" t="str">
        <f>IF(SAISIE!$I908="","",SAISIE!$I908)</f>
        <v/>
      </c>
      <c r="I903" t="str">
        <f>IF(SAISIE!$J908="","",SAISIE!$J908)</f>
        <v/>
      </c>
      <c r="J903" t="str">
        <f>IF(SAISIE!$K908="","",SAISIE!$K908)</f>
        <v/>
      </c>
      <c r="K903" t="str">
        <f>IF(SAISIE!$L908="","",SAISIE!$L908)</f>
        <v/>
      </c>
      <c r="L903" t="str">
        <f>IF(SAISIE!$M908="","",SAISIE!$M908)</f>
        <v/>
      </c>
      <c r="M903" t="str">
        <f>IF(SAISIE!$N908="","",SAISIE!$N908)</f>
        <v/>
      </c>
      <c r="N903" t="str">
        <f>IF(SAISIE!$O908="","",SAISIE!$O908)</f>
        <v/>
      </c>
      <c r="O903" t="str">
        <f>IF(SAISIE!$P908="","",SAISIE!$P908)</f>
        <v/>
      </c>
      <c r="P903" t="str">
        <f>IF(SAISIE!$Q908="","",SAISIE!$Q908)</f>
        <v/>
      </c>
      <c r="Q903" t="str">
        <f>IF($I903="","",IF($I903&gt;PARAMETRES!$G$29,5,IF($I903&gt;PARAMETRES!$F$29,4,IF($I903&gt;PARAMETRES!$E$29,3,IF($I903&gt;PARAMETRES!$D$29,2,1)))))</f>
        <v/>
      </c>
      <c r="R903" t="str">
        <f>IF($J903="","",IF($J903&gt;PARAMETRES!$G$30,5,IF($J903&gt;PARAMETRES!$F$30,4,IF($J903&gt;PARAMETRES!$E$30,3,IF($J903&gt;PARAMETRES!$D$30,2,1)))))</f>
        <v/>
      </c>
      <c r="S903" t="str">
        <f>IF($K903="","",IF($Z903=2,IF($K903&gt;PARAMETRES!$G$31,5,IF($K903&gt;PARAMETRES!$F$31,4,IF($K903&gt;PARAMETRES!$E$31,3,IF($K903&gt;PARAMETRES!$D$31,2,1)))),IF($K903&gt;PARAMETRES!$G$32,5,IF($K903&gt;PARAMETRES!$F$32,4,IF($K903&gt;PARAMETRES!$E$32,3,IF($K903&gt;PARAMETRES!$D$32,2,1))))))</f>
        <v/>
      </c>
      <c r="T903" t="str">
        <f>IF($L903="","",IF($L903&gt;PARAMETRES!$G$33,5,IF($L903&gt;PARAMETRES!$F$33,4,IF($L903&gt;PARAMETRES!$E$33,3,IF($L903&gt;PARAMETRES!$D$33,2,1)))))</f>
        <v/>
      </c>
      <c r="U903" t="str">
        <f>IF($M903="","",IF($M903&gt;PARAMETRES!$G$34,5,IF($M903&gt;PARAMETRES!$F$34,4,IF($M903&gt;PARAMETRES!$E$34,3,IF($M903&gt;PARAMETRES!$D$34,2,1)))))</f>
        <v/>
      </c>
      <c r="V903" t="str">
        <f>IF($N903="","",IF($N903&gt;PARAMETRES!$G$35,5,IF($N903&gt;PARAMETRES!$F$35,4,IF($N903&gt;PARAMETRES!$E$35,3,IF($N903&gt;PARAMETRES!$D$35,2,1)))))</f>
        <v/>
      </c>
      <c r="W903" t="str">
        <f>IF($O903="","",IF($O903&gt;PARAMETRES!$G$36,5,IF($O903&gt;PARAMETRES!$F$36,4,IF($O903&gt;PARAMETRES!$E$36,3,IF($O903&gt;PARAMETRES!$D$36,2,1)))))</f>
        <v/>
      </c>
      <c r="X903" t="str">
        <f>IF($P903="","",IF($P903&gt;PARAMETRES!$G$37,5,IF($P903&gt;PARAMETRES!$F$37,4,IF($P903&gt;PARAMETRES!$E$37,3,IF($P903&gt;PARAMETRES!$D$37,2,1)))))</f>
        <v/>
      </c>
      <c r="Y903" t="str">
        <f t="shared" si="336"/>
        <v/>
      </c>
      <c r="Z903" t="str">
        <f>IFERROR(VLOOKUP($B903,TABLE_CYCLE,2,0),"")</f>
        <v/>
      </c>
      <c r="AA903" t="str">
        <f t="shared" si="337"/>
        <v/>
      </c>
      <c r="AB903" t="str">
        <f>IF($D903="","",IF(COUNTIF($D$2:$D903,$D903)=1,$D903,""))</f>
        <v/>
      </c>
      <c r="AC903">
        <f t="shared" si="338"/>
        <v>0</v>
      </c>
      <c r="AD903" t="str">
        <f t="shared" si="339"/>
        <v>|0</v>
      </c>
      <c r="AE903" t="str">
        <f t="shared" si="340"/>
        <v/>
      </c>
      <c r="AF903" t="str">
        <f t="shared" si="341"/>
        <v/>
      </c>
      <c r="AG903" t="str">
        <f t="shared" si="342"/>
        <v/>
      </c>
      <c r="AH903" t="str">
        <f t="shared" si="343"/>
        <v/>
      </c>
      <c r="AI903" t="str">
        <f t="shared" si="344"/>
        <v/>
      </c>
      <c r="AJ903" t="str">
        <f t="shared" si="345"/>
        <v/>
      </c>
      <c r="AK903" t="str">
        <f t="shared" si="346"/>
        <v/>
      </c>
      <c r="AL903" t="str">
        <f t="shared" si="347"/>
        <v/>
      </c>
      <c r="AM903" t="str">
        <f t="shared" si="348"/>
        <v/>
      </c>
      <c r="AN903" t="str">
        <f t="shared" si="349"/>
        <v/>
      </c>
      <c r="AO903" t="str">
        <f t="shared" si="350"/>
        <v/>
      </c>
      <c r="AP903">
        <f t="shared" si="351"/>
        <v>1</v>
      </c>
      <c r="AQ903" t="str">
        <f>IF(SAISIE!$F908="","",SAISIE!$Y908)</f>
        <v/>
      </c>
      <c r="AR903" t="str">
        <f>IF(OR(SAISIE!$U$4="",SAISIE!$W$4=""),"",IF(AND($A903=SAISIE!$U$4,$B903=SAISIE!$W$4,$C903="S1"),COUNTIFS($A$2:$A903,SAISIE!$U$4,$B$2:$B903,SAISIE!$W$4,$C$2:$C903,"S1"),""))</f>
        <v/>
      </c>
      <c r="AS903" t="str">
        <f t="shared" si="352"/>
        <v/>
      </c>
      <c r="AT903" t="str">
        <f t="shared" si="353"/>
        <v/>
      </c>
      <c r="AU903" t="str">
        <f t="shared" si="354"/>
        <v/>
      </c>
      <c r="AV903">
        <f>N(AV902)+IF(AND($AB903&lt;&gt;"",OR('PROFIL ELEVE'!$K$4="(Tous)",$AF903='PROFIL ELEVE'!$K$4)),1,0)</f>
        <v>0</v>
      </c>
      <c r="AW903">
        <f>N(AW902)+IF(AND($AB903&lt;&gt;"",OR('SUIVI LONGITUDINAL'!$Q$4="(Tous)",$AF903='SUIVI LONGITUDINAL'!$Q$4)),1,0)</f>
        <v>0</v>
      </c>
      <c r="AX903">
        <f t="shared" si="355"/>
        <v>0</v>
      </c>
      <c r="AY903">
        <f t="shared" si="356"/>
        <v>0</v>
      </c>
      <c r="AZ903">
        <f t="shared" si="357"/>
        <v>0</v>
      </c>
      <c r="BA903" t="str">
        <f t="shared" si="358"/>
        <v/>
      </c>
      <c r="BB903" t="str">
        <f t="shared" si="359"/>
        <v/>
      </c>
    </row>
    <row r="904" spans="1:54" ht="14.25" customHeight="1" x14ac:dyDescent="0.3">
      <c r="A904" t="str">
        <f>IF(SAISIE!$F909="","",SAISIE!$B909)</f>
        <v/>
      </c>
      <c r="B904" t="str">
        <f>IF(SAISIE!$F909="","",SAISIE!$C909)</f>
        <v/>
      </c>
      <c r="C904" t="str">
        <f>IF(SAISIE!$F909="","",SAISIE!$D909)</f>
        <v/>
      </c>
      <c r="D904" t="str">
        <f>IF(SAISIE!$E909="","",SAISIE!$E909)</f>
        <v/>
      </c>
      <c r="E904" t="str">
        <f>IF(SAISIE!$F909="","",SAISIE!$F909)</f>
        <v/>
      </c>
      <c r="F904" t="str">
        <f>IF(SAISIE!$G909="","",SAISIE!$G909)</f>
        <v/>
      </c>
      <c r="G904" t="str">
        <f>IF(SAISIE!$H909="","",SAISIE!$H909)</f>
        <v/>
      </c>
      <c r="H904" t="str">
        <f>IF(SAISIE!$I909="","",SAISIE!$I909)</f>
        <v/>
      </c>
      <c r="I904" t="str">
        <f>IF(SAISIE!$J909="","",SAISIE!$J909)</f>
        <v/>
      </c>
      <c r="J904" t="str">
        <f>IF(SAISIE!$K909="","",SAISIE!$K909)</f>
        <v/>
      </c>
      <c r="K904" t="str">
        <f>IF(SAISIE!$L909="","",SAISIE!$L909)</f>
        <v/>
      </c>
      <c r="L904" t="str">
        <f>IF(SAISIE!$M909="","",SAISIE!$M909)</f>
        <v/>
      </c>
      <c r="M904" t="str">
        <f>IF(SAISIE!$N909="","",SAISIE!$N909)</f>
        <v/>
      </c>
      <c r="N904" t="str">
        <f>IF(SAISIE!$O909="","",SAISIE!$O909)</f>
        <v/>
      </c>
      <c r="O904" t="str">
        <f>IF(SAISIE!$P909="","",SAISIE!$P909)</f>
        <v/>
      </c>
      <c r="P904" t="str">
        <f>IF(SAISIE!$Q909="","",SAISIE!$Q909)</f>
        <v/>
      </c>
      <c r="Q904" t="str">
        <f>IF($I904="","",IF($I904&gt;PARAMETRES!$G$29,5,IF($I904&gt;PARAMETRES!$F$29,4,IF($I904&gt;PARAMETRES!$E$29,3,IF($I904&gt;PARAMETRES!$D$29,2,1)))))</f>
        <v/>
      </c>
      <c r="R904" t="str">
        <f>IF($J904="","",IF($J904&gt;PARAMETRES!$G$30,5,IF($J904&gt;PARAMETRES!$F$30,4,IF($J904&gt;PARAMETRES!$E$30,3,IF($J904&gt;PARAMETRES!$D$30,2,1)))))</f>
        <v/>
      </c>
      <c r="S904" t="str">
        <f>IF($K904="","",IF($Z904=2,IF($K904&gt;PARAMETRES!$G$31,5,IF($K904&gt;PARAMETRES!$F$31,4,IF($K904&gt;PARAMETRES!$E$31,3,IF($K904&gt;PARAMETRES!$D$31,2,1)))),IF($K904&gt;PARAMETRES!$G$32,5,IF($K904&gt;PARAMETRES!$F$32,4,IF($K904&gt;PARAMETRES!$E$32,3,IF($K904&gt;PARAMETRES!$D$32,2,1))))))</f>
        <v/>
      </c>
      <c r="T904" t="str">
        <f>IF($L904="","",IF($L904&gt;PARAMETRES!$G$33,5,IF($L904&gt;PARAMETRES!$F$33,4,IF($L904&gt;PARAMETRES!$E$33,3,IF($L904&gt;PARAMETRES!$D$33,2,1)))))</f>
        <v/>
      </c>
      <c r="U904" t="str">
        <f>IF($M904="","",IF($M904&gt;PARAMETRES!$G$34,5,IF($M904&gt;PARAMETRES!$F$34,4,IF($M904&gt;PARAMETRES!$E$34,3,IF($M904&gt;PARAMETRES!$D$34,2,1)))))</f>
        <v/>
      </c>
      <c r="V904" t="str">
        <f>IF($N904="","",IF($N904&gt;PARAMETRES!$G$35,5,IF($N904&gt;PARAMETRES!$F$35,4,IF($N904&gt;PARAMETRES!$E$35,3,IF($N904&gt;PARAMETRES!$D$35,2,1)))))</f>
        <v/>
      </c>
      <c r="W904" t="str">
        <f>IF($O904="","",IF($O904&gt;PARAMETRES!$G$36,5,IF($O904&gt;PARAMETRES!$F$36,4,IF($O904&gt;PARAMETRES!$E$36,3,IF($O904&gt;PARAMETRES!$D$36,2,1)))))</f>
        <v/>
      </c>
      <c r="X904" t="str">
        <f>IF($P904="","",IF($P904&gt;PARAMETRES!$G$37,5,IF($P904&gt;PARAMETRES!$F$37,4,IF($P904&gt;PARAMETRES!$E$37,3,IF($P904&gt;PARAMETRES!$D$37,2,1)))))</f>
        <v/>
      </c>
      <c r="Y904" t="str">
        <f t="shared" si="336"/>
        <v/>
      </c>
      <c r="Z904" t="str">
        <f>IFERROR(VLOOKUP($B904,TABLE_CYCLE,2,0),"")</f>
        <v/>
      </c>
      <c r="AA904" t="str">
        <f t="shared" si="337"/>
        <v/>
      </c>
      <c r="AB904" t="str">
        <f>IF($D904="","",IF(COUNTIF($D$2:$D904,$D904)=1,$D904,""))</f>
        <v/>
      </c>
      <c r="AC904">
        <f t="shared" si="338"/>
        <v>0</v>
      </c>
      <c r="AD904" t="str">
        <f t="shared" si="339"/>
        <v>|0</v>
      </c>
      <c r="AE904" t="str">
        <f t="shared" si="340"/>
        <v/>
      </c>
      <c r="AF904" t="str">
        <f t="shared" si="341"/>
        <v/>
      </c>
      <c r="AG904" t="str">
        <f t="shared" si="342"/>
        <v/>
      </c>
      <c r="AH904" t="str">
        <f t="shared" si="343"/>
        <v/>
      </c>
      <c r="AI904" t="str">
        <f t="shared" si="344"/>
        <v/>
      </c>
      <c r="AJ904" t="str">
        <f t="shared" si="345"/>
        <v/>
      </c>
      <c r="AK904" t="str">
        <f t="shared" si="346"/>
        <v/>
      </c>
      <c r="AL904" t="str">
        <f t="shared" si="347"/>
        <v/>
      </c>
      <c r="AM904" t="str">
        <f t="shared" si="348"/>
        <v/>
      </c>
      <c r="AN904" t="str">
        <f t="shared" si="349"/>
        <v/>
      </c>
      <c r="AO904" t="str">
        <f t="shared" si="350"/>
        <v/>
      </c>
      <c r="AP904">
        <f t="shared" si="351"/>
        <v>1</v>
      </c>
      <c r="AQ904" t="str">
        <f>IF(SAISIE!$F909="","",SAISIE!$Y909)</f>
        <v/>
      </c>
      <c r="AR904" t="str">
        <f>IF(OR(SAISIE!$U$4="",SAISIE!$W$4=""),"",IF(AND($A904=SAISIE!$U$4,$B904=SAISIE!$W$4,$C904="S1"),COUNTIFS($A$2:$A904,SAISIE!$U$4,$B$2:$B904,SAISIE!$W$4,$C$2:$C904,"S1"),""))</f>
        <v/>
      </c>
      <c r="AS904" t="str">
        <f t="shared" si="352"/>
        <v/>
      </c>
      <c r="AT904" t="str">
        <f t="shared" si="353"/>
        <v/>
      </c>
      <c r="AU904" t="str">
        <f t="shared" si="354"/>
        <v/>
      </c>
      <c r="AV904">
        <f>N(AV903)+IF(AND($AB904&lt;&gt;"",OR('PROFIL ELEVE'!$K$4="(Tous)",$AF904='PROFIL ELEVE'!$K$4)),1,0)</f>
        <v>0</v>
      </c>
      <c r="AW904">
        <f>N(AW903)+IF(AND($AB904&lt;&gt;"",OR('SUIVI LONGITUDINAL'!$Q$4="(Tous)",$AF904='SUIVI LONGITUDINAL'!$Q$4)),1,0)</f>
        <v>0</v>
      </c>
      <c r="AX904">
        <f t="shared" si="355"/>
        <v>0</v>
      </c>
      <c r="AY904">
        <f t="shared" si="356"/>
        <v>0</v>
      </c>
      <c r="AZ904">
        <f t="shared" si="357"/>
        <v>0</v>
      </c>
      <c r="BA904" t="str">
        <f t="shared" si="358"/>
        <v/>
      </c>
      <c r="BB904" t="str">
        <f t="shared" si="359"/>
        <v/>
      </c>
    </row>
    <row r="905" spans="1:54" ht="14.25" customHeight="1" x14ac:dyDescent="0.3">
      <c r="A905" t="str">
        <f>IF(SAISIE!$F910="","",SAISIE!$B910)</f>
        <v/>
      </c>
      <c r="B905" t="str">
        <f>IF(SAISIE!$F910="","",SAISIE!$C910)</f>
        <v/>
      </c>
      <c r="C905" t="str">
        <f>IF(SAISIE!$F910="","",SAISIE!$D910)</f>
        <v/>
      </c>
      <c r="D905" t="str">
        <f>IF(SAISIE!$E910="","",SAISIE!$E910)</f>
        <v/>
      </c>
      <c r="E905" t="str">
        <f>IF(SAISIE!$F910="","",SAISIE!$F910)</f>
        <v/>
      </c>
      <c r="F905" t="str">
        <f>IF(SAISIE!$G910="","",SAISIE!$G910)</f>
        <v/>
      </c>
      <c r="G905" t="str">
        <f>IF(SAISIE!$H910="","",SAISIE!$H910)</f>
        <v/>
      </c>
      <c r="H905" t="str">
        <f>IF(SAISIE!$I910="","",SAISIE!$I910)</f>
        <v/>
      </c>
      <c r="I905" t="str">
        <f>IF(SAISIE!$J910="","",SAISIE!$J910)</f>
        <v/>
      </c>
      <c r="J905" t="str">
        <f>IF(SAISIE!$K910="","",SAISIE!$K910)</f>
        <v/>
      </c>
      <c r="K905" t="str">
        <f>IF(SAISIE!$L910="","",SAISIE!$L910)</f>
        <v/>
      </c>
      <c r="L905" t="str">
        <f>IF(SAISIE!$M910="","",SAISIE!$M910)</f>
        <v/>
      </c>
      <c r="M905" t="str">
        <f>IF(SAISIE!$N910="","",SAISIE!$N910)</f>
        <v/>
      </c>
      <c r="N905" t="str">
        <f>IF(SAISIE!$O910="","",SAISIE!$O910)</f>
        <v/>
      </c>
      <c r="O905" t="str">
        <f>IF(SAISIE!$P910="","",SAISIE!$P910)</f>
        <v/>
      </c>
      <c r="P905" t="str">
        <f>IF(SAISIE!$Q910="","",SAISIE!$Q910)</f>
        <v/>
      </c>
      <c r="Q905" t="str">
        <f>IF($I905="","",IF($I905&gt;PARAMETRES!$G$29,5,IF($I905&gt;PARAMETRES!$F$29,4,IF($I905&gt;PARAMETRES!$E$29,3,IF($I905&gt;PARAMETRES!$D$29,2,1)))))</f>
        <v/>
      </c>
      <c r="R905" t="str">
        <f>IF($J905="","",IF($J905&gt;PARAMETRES!$G$30,5,IF($J905&gt;PARAMETRES!$F$30,4,IF($J905&gt;PARAMETRES!$E$30,3,IF($J905&gt;PARAMETRES!$D$30,2,1)))))</f>
        <v/>
      </c>
      <c r="S905" t="str">
        <f>IF($K905="","",IF($Z905=2,IF($K905&gt;PARAMETRES!$G$31,5,IF($K905&gt;PARAMETRES!$F$31,4,IF($K905&gt;PARAMETRES!$E$31,3,IF($K905&gt;PARAMETRES!$D$31,2,1)))),IF($K905&gt;PARAMETRES!$G$32,5,IF($K905&gt;PARAMETRES!$F$32,4,IF($K905&gt;PARAMETRES!$E$32,3,IF($K905&gt;PARAMETRES!$D$32,2,1))))))</f>
        <v/>
      </c>
      <c r="T905" t="str">
        <f>IF($L905="","",IF($L905&gt;PARAMETRES!$G$33,5,IF($L905&gt;PARAMETRES!$F$33,4,IF($L905&gt;PARAMETRES!$E$33,3,IF($L905&gt;PARAMETRES!$D$33,2,1)))))</f>
        <v/>
      </c>
      <c r="U905" t="str">
        <f>IF($M905="","",IF($M905&gt;PARAMETRES!$G$34,5,IF($M905&gt;PARAMETRES!$F$34,4,IF($M905&gt;PARAMETRES!$E$34,3,IF($M905&gt;PARAMETRES!$D$34,2,1)))))</f>
        <v/>
      </c>
      <c r="V905" t="str">
        <f>IF($N905="","",IF($N905&gt;PARAMETRES!$G$35,5,IF($N905&gt;PARAMETRES!$F$35,4,IF($N905&gt;PARAMETRES!$E$35,3,IF($N905&gt;PARAMETRES!$D$35,2,1)))))</f>
        <v/>
      </c>
      <c r="W905" t="str">
        <f>IF($O905="","",IF($O905&gt;PARAMETRES!$G$36,5,IF($O905&gt;PARAMETRES!$F$36,4,IF($O905&gt;PARAMETRES!$E$36,3,IF($O905&gt;PARAMETRES!$D$36,2,1)))))</f>
        <v/>
      </c>
      <c r="X905" t="str">
        <f>IF($P905="","",IF($P905&gt;PARAMETRES!$G$37,5,IF($P905&gt;PARAMETRES!$F$37,4,IF($P905&gt;PARAMETRES!$E$37,3,IF($P905&gt;PARAMETRES!$D$37,2,1)))))</f>
        <v/>
      </c>
      <c r="Y905" t="str">
        <f t="shared" si="336"/>
        <v/>
      </c>
      <c r="Z905" t="str">
        <f>IFERROR(VLOOKUP($B905,TABLE_CYCLE,2,0),"")</f>
        <v/>
      </c>
      <c r="AA905" t="str">
        <f t="shared" si="337"/>
        <v/>
      </c>
      <c r="AB905" t="str">
        <f>IF($D905="","",IF(COUNTIF($D$2:$D905,$D905)=1,$D905,""))</f>
        <v/>
      </c>
      <c r="AC905">
        <f t="shared" si="338"/>
        <v>0</v>
      </c>
      <c r="AD905" t="str">
        <f t="shared" si="339"/>
        <v>|0</v>
      </c>
      <c r="AE905" t="str">
        <f t="shared" si="340"/>
        <v/>
      </c>
      <c r="AF905" t="str">
        <f t="shared" si="341"/>
        <v/>
      </c>
      <c r="AG905" t="str">
        <f t="shared" si="342"/>
        <v/>
      </c>
      <c r="AH905" t="str">
        <f t="shared" si="343"/>
        <v/>
      </c>
      <c r="AI905" t="str">
        <f t="shared" si="344"/>
        <v/>
      </c>
      <c r="AJ905" t="str">
        <f t="shared" si="345"/>
        <v/>
      </c>
      <c r="AK905" t="str">
        <f t="shared" si="346"/>
        <v/>
      </c>
      <c r="AL905" t="str">
        <f t="shared" si="347"/>
        <v/>
      </c>
      <c r="AM905" t="str">
        <f t="shared" si="348"/>
        <v/>
      </c>
      <c r="AN905" t="str">
        <f t="shared" si="349"/>
        <v/>
      </c>
      <c r="AO905" t="str">
        <f t="shared" si="350"/>
        <v/>
      </c>
      <c r="AP905">
        <f t="shared" si="351"/>
        <v>1</v>
      </c>
      <c r="AQ905" t="str">
        <f>IF(SAISIE!$F910="","",SAISIE!$Y910)</f>
        <v/>
      </c>
      <c r="AR905" t="str">
        <f>IF(OR(SAISIE!$U$4="",SAISIE!$W$4=""),"",IF(AND($A905=SAISIE!$U$4,$B905=SAISIE!$W$4,$C905="S1"),COUNTIFS($A$2:$A905,SAISIE!$U$4,$B$2:$B905,SAISIE!$W$4,$C$2:$C905,"S1"),""))</f>
        <v/>
      </c>
      <c r="AS905" t="str">
        <f t="shared" si="352"/>
        <v/>
      </c>
      <c r="AT905" t="str">
        <f t="shared" si="353"/>
        <v/>
      </c>
      <c r="AU905" t="str">
        <f t="shared" si="354"/>
        <v/>
      </c>
      <c r="AV905">
        <f>N(AV904)+IF(AND($AB905&lt;&gt;"",OR('PROFIL ELEVE'!$K$4="(Tous)",$AF905='PROFIL ELEVE'!$K$4)),1,0)</f>
        <v>0</v>
      </c>
      <c r="AW905">
        <f>N(AW904)+IF(AND($AB905&lt;&gt;"",OR('SUIVI LONGITUDINAL'!$Q$4="(Tous)",$AF905='SUIVI LONGITUDINAL'!$Q$4)),1,0)</f>
        <v>0</v>
      </c>
      <c r="AX905">
        <f t="shared" si="355"/>
        <v>0</v>
      </c>
      <c r="AY905">
        <f t="shared" si="356"/>
        <v>0</v>
      </c>
      <c r="AZ905">
        <f t="shared" si="357"/>
        <v>0</v>
      </c>
      <c r="BA905" t="str">
        <f t="shared" si="358"/>
        <v/>
      </c>
      <c r="BB905" t="str">
        <f t="shared" si="359"/>
        <v/>
      </c>
    </row>
    <row r="906" spans="1:54" ht="14.25" customHeight="1" x14ac:dyDescent="0.3">
      <c r="A906" t="str">
        <f>IF(SAISIE!$F911="","",SAISIE!$B911)</f>
        <v/>
      </c>
      <c r="B906" t="str">
        <f>IF(SAISIE!$F911="","",SAISIE!$C911)</f>
        <v/>
      </c>
      <c r="C906" t="str">
        <f>IF(SAISIE!$F911="","",SAISIE!$D911)</f>
        <v/>
      </c>
      <c r="D906" t="str">
        <f>IF(SAISIE!$E911="","",SAISIE!$E911)</f>
        <v/>
      </c>
      <c r="E906" t="str">
        <f>IF(SAISIE!$F911="","",SAISIE!$F911)</f>
        <v/>
      </c>
      <c r="F906" t="str">
        <f>IF(SAISIE!$G911="","",SAISIE!$G911)</f>
        <v/>
      </c>
      <c r="G906" t="str">
        <f>IF(SAISIE!$H911="","",SAISIE!$H911)</f>
        <v/>
      </c>
      <c r="H906" t="str">
        <f>IF(SAISIE!$I911="","",SAISIE!$I911)</f>
        <v/>
      </c>
      <c r="I906" t="str">
        <f>IF(SAISIE!$J911="","",SAISIE!$J911)</f>
        <v/>
      </c>
      <c r="J906" t="str">
        <f>IF(SAISIE!$K911="","",SAISIE!$K911)</f>
        <v/>
      </c>
      <c r="K906" t="str">
        <f>IF(SAISIE!$L911="","",SAISIE!$L911)</f>
        <v/>
      </c>
      <c r="L906" t="str">
        <f>IF(SAISIE!$M911="","",SAISIE!$M911)</f>
        <v/>
      </c>
      <c r="M906" t="str">
        <f>IF(SAISIE!$N911="","",SAISIE!$N911)</f>
        <v/>
      </c>
      <c r="N906" t="str">
        <f>IF(SAISIE!$O911="","",SAISIE!$O911)</f>
        <v/>
      </c>
      <c r="O906" t="str">
        <f>IF(SAISIE!$P911="","",SAISIE!$P911)</f>
        <v/>
      </c>
      <c r="P906" t="str">
        <f>IF(SAISIE!$Q911="","",SAISIE!$Q911)</f>
        <v/>
      </c>
      <c r="Q906" t="str">
        <f>IF($I906="","",IF($I906&gt;PARAMETRES!$G$29,5,IF($I906&gt;PARAMETRES!$F$29,4,IF($I906&gt;PARAMETRES!$E$29,3,IF($I906&gt;PARAMETRES!$D$29,2,1)))))</f>
        <v/>
      </c>
      <c r="R906" t="str">
        <f>IF($J906="","",IF($J906&gt;PARAMETRES!$G$30,5,IF($J906&gt;PARAMETRES!$F$30,4,IF($J906&gt;PARAMETRES!$E$30,3,IF($J906&gt;PARAMETRES!$D$30,2,1)))))</f>
        <v/>
      </c>
      <c r="S906" t="str">
        <f>IF($K906="","",IF($Z906=2,IF($K906&gt;PARAMETRES!$G$31,5,IF($K906&gt;PARAMETRES!$F$31,4,IF($K906&gt;PARAMETRES!$E$31,3,IF($K906&gt;PARAMETRES!$D$31,2,1)))),IF($K906&gt;PARAMETRES!$G$32,5,IF($K906&gt;PARAMETRES!$F$32,4,IF($K906&gt;PARAMETRES!$E$32,3,IF($K906&gt;PARAMETRES!$D$32,2,1))))))</f>
        <v/>
      </c>
      <c r="T906" t="str">
        <f>IF($L906="","",IF($L906&gt;PARAMETRES!$G$33,5,IF($L906&gt;PARAMETRES!$F$33,4,IF($L906&gt;PARAMETRES!$E$33,3,IF($L906&gt;PARAMETRES!$D$33,2,1)))))</f>
        <v/>
      </c>
      <c r="U906" t="str">
        <f>IF($M906="","",IF($M906&gt;PARAMETRES!$G$34,5,IF($M906&gt;PARAMETRES!$F$34,4,IF($M906&gt;PARAMETRES!$E$34,3,IF($M906&gt;PARAMETRES!$D$34,2,1)))))</f>
        <v/>
      </c>
      <c r="V906" t="str">
        <f>IF($N906="","",IF($N906&gt;PARAMETRES!$G$35,5,IF($N906&gt;PARAMETRES!$F$35,4,IF($N906&gt;PARAMETRES!$E$35,3,IF($N906&gt;PARAMETRES!$D$35,2,1)))))</f>
        <v/>
      </c>
      <c r="W906" t="str">
        <f>IF($O906="","",IF($O906&gt;PARAMETRES!$G$36,5,IF($O906&gt;PARAMETRES!$F$36,4,IF($O906&gt;PARAMETRES!$E$36,3,IF($O906&gt;PARAMETRES!$D$36,2,1)))))</f>
        <v/>
      </c>
      <c r="X906" t="str">
        <f>IF($P906="","",IF($P906&gt;PARAMETRES!$G$37,5,IF($P906&gt;PARAMETRES!$F$37,4,IF($P906&gt;PARAMETRES!$E$37,3,IF($P906&gt;PARAMETRES!$D$37,2,1)))))</f>
        <v/>
      </c>
      <c r="Y906" t="str">
        <f t="shared" si="336"/>
        <v/>
      </c>
      <c r="Z906" t="str">
        <f>IFERROR(VLOOKUP($B906,TABLE_CYCLE,2,0),"")</f>
        <v/>
      </c>
      <c r="AA906" t="str">
        <f t="shared" si="337"/>
        <v/>
      </c>
      <c r="AB906" t="str">
        <f>IF($D906="","",IF(COUNTIF($D$2:$D906,$D906)=1,$D906,""))</f>
        <v/>
      </c>
      <c r="AC906">
        <f t="shared" si="338"/>
        <v>0</v>
      </c>
      <c r="AD906" t="str">
        <f t="shared" si="339"/>
        <v>|0</v>
      </c>
      <c r="AE906" t="str">
        <f t="shared" si="340"/>
        <v/>
      </c>
      <c r="AF906" t="str">
        <f t="shared" si="341"/>
        <v/>
      </c>
      <c r="AG906" t="str">
        <f t="shared" si="342"/>
        <v/>
      </c>
      <c r="AH906" t="str">
        <f t="shared" si="343"/>
        <v/>
      </c>
      <c r="AI906" t="str">
        <f t="shared" si="344"/>
        <v/>
      </c>
      <c r="AJ906" t="str">
        <f t="shared" si="345"/>
        <v/>
      </c>
      <c r="AK906" t="str">
        <f t="shared" si="346"/>
        <v/>
      </c>
      <c r="AL906" t="str">
        <f t="shared" si="347"/>
        <v/>
      </c>
      <c r="AM906" t="str">
        <f t="shared" si="348"/>
        <v/>
      </c>
      <c r="AN906" t="str">
        <f t="shared" si="349"/>
        <v/>
      </c>
      <c r="AO906" t="str">
        <f t="shared" si="350"/>
        <v/>
      </c>
      <c r="AP906">
        <f t="shared" si="351"/>
        <v>1</v>
      </c>
      <c r="AQ906" t="str">
        <f>IF(SAISIE!$F911="","",SAISIE!$Y911)</f>
        <v/>
      </c>
      <c r="AR906" t="str">
        <f>IF(OR(SAISIE!$U$4="",SAISIE!$W$4=""),"",IF(AND($A906=SAISIE!$U$4,$B906=SAISIE!$W$4,$C906="S1"),COUNTIFS($A$2:$A906,SAISIE!$U$4,$B$2:$B906,SAISIE!$W$4,$C$2:$C906,"S1"),""))</f>
        <v/>
      </c>
      <c r="AS906" t="str">
        <f t="shared" si="352"/>
        <v/>
      </c>
      <c r="AT906" t="str">
        <f t="shared" si="353"/>
        <v/>
      </c>
      <c r="AU906" t="str">
        <f t="shared" si="354"/>
        <v/>
      </c>
      <c r="AV906">
        <f>N(AV905)+IF(AND($AB906&lt;&gt;"",OR('PROFIL ELEVE'!$K$4="(Tous)",$AF906='PROFIL ELEVE'!$K$4)),1,0)</f>
        <v>0</v>
      </c>
      <c r="AW906">
        <f>N(AW905)+IF(AND($AB906&lt;&gt;"",OR('SUIVI LONGITUDINAL'!$Q$4="(Tous)",$AF906='SUIVI LONGITUDINAL'!$Q$4)),1,0)</f>
        <v>0</v>
      </c>
      <c r="AX906">
        <f t="shared" si="355"/>
        <v>0</v>
      </c>
      <c r="AY906">
        <f t="shared" si="356"/>
        <v>0</v>
      </c>
      <c r="AZ906">
        <f t="shared" si="357"/>
        <v>0</v>
      </c>
      <c r="BA906" t="str">
        <f t="shared" si="358"/>
        <v/>
      </c>
      <c r="BB906" t="str">
        <f t="shared" si="359"/>
        <v/>
      </c>
    </row>
    <row r="907" spans="1:54" ht="14.25" customHeight="1" x14ac:dyDescent="0.3">
      <c r="A907" t="str">
        <f>IF(SAISIE!$F912="","",SAISIE!$B912)</f>
        <v/>
      </c>
      <c r="B907" t="str">
        <f>IF(SAISIE!$F912="","",SAISIE!$C912)</f>
        <v/>
      </c>
      <c r="C907" t="str">
        <f>IF(SAISIE!$F912="","",SAISIE!$D912)</f>
        <v/>
      </c>
      <c r="D907" t="str">
        <f>IF(SAISIE!$E912="","",SAISIE!$E912)</f>
        <v/>
      </c>
      <c r="E907" t="str">
        <f>IF(SAISIE!$F912="","",SAISIE!$F912)</f>
        <v/>
      </c>
      <c r="F907" t="str">
        <f>IF(SAISIE!$G912="","",SAISIE!$G912)</f>
        <v/>
      </c>
      <c r="G907" t="str">
        <f>IF(SAISIE!$H912="","",SAISIE!$H912)</f>
        <v/>
      </c>
      <c r="H907" t="str">
        <f>IF(SAISIE!$I912="","",SAISIE!$I912)</f>
        <v/>
      </c>
      <c r="I907" t="str">
        <f>IF(SAISIE!$J912="","",SAISIE!$J912)</f>
        <v/>
      </c>
      <c r="J907" t="str">
        <f>IF(SAISIE!$K912="","",SAISIE!$K912)</f>
        <v/>
      </c>
      <c r="K907" t="str">
        <f>IF(SAISIE!$L912="","",SAISIE!$L912)</f>
        <v/>
      </c>
      <c r="L907" t="str">
        <f>IF(SAISIE!$M912="","",SAISIE!$M912)</f>
        <v/>
      </c>
      <c r="M907" t="str">
        <f>IF(SAISIE!$N912="","",SAISIE!$N912)</f>
        <v/>
      </c>
      <c r="N907" t="str">
        <f>IF(SAISIE!$O912="","",SAISIE!$O912)</f>
        <v/>
      </c>
      <c r="O907" t="str">
        <f>IF(SAISIE!$P912="","",SAISIE!$P912)</f>
        <v/>
      </c>
      <c r="P907" t="str">
        <f>IF(SAISIE!$Q912="","",SAISIE!$Q912)</f>
        <v/>
      </c>
      <c r="Q907" t="str">
        <f>IF($I907="","",IF($I907&gt;PARAMETRES!$G$29,5,IF($I907&gt;PARAMETRES!$F$29,4,IF($I907&gt;PARAMETRES!$E$29,3,IF($I907&gt;PARAMETRES!$D$29,2,1)))))</f>
        <v/>
      </c>
      <c r="R907" t="str">
        <f>IF($J907="","",IF($J907&gt;PARAMETRES!$G$30,5,IF($J907&gt;PARAMETRES!$F$30,4,IF($J907&gt;PARAMETRES!$E$30,3,IF($J907&gt;PARAMETRES!$D$30,2,1)))))</f>
        <v/>
      </c>
      <c r="S907" t="str">
        <f>IF($K907="","",IF($Z907=2,IF($K907&gt;PARAMETRES!$G$31,5,IF($K907&gt;PARAMETRES!$F$31,4,IF($K907&gt;PARAMETRES!$E$31,3,IF($K907&gt;PARAMETRES!$D$31,2,1)))),IF($K907&gt;PARAMETRES!$G$32,5,IF($K907&gt;PARAMETRES!$F$32,4,IF($K907&gt;PARAMETRES!$E$32,3,IF($K907&gt;PARAMETRES!$D$32,2,1))))))</f>
        <v/>
      </c>
      <c r="T907" t="str">
        <f>IF($L907="","",IF($L907&gt;PARAMETRES!$G$33,5,IF($L907&gt;PARAMETRES!$F$33,4,IF($L907&gt;PARAMETRES!$E$33,3,IF($L907&gt;PARAMETRES!$D$33,2,1)))))</f>
        <v/>
      </c>
      <c r="U907" t="str">
        <f>IF($M907="","",IF($M907&gt;PARAMETRES!$G$34,5,IF($M907&gt;PARAMETRES!$F$34,4,IF($M907&gt;PARAMETRES!$E$34,3,IF($M907&gt;PARAMETRES!$D$34,2,1)))))</f>
        <v/>
      </c>
      <c r="V907" t="str">
        <f>IF($N907="","",IF($N907&gt;PARAMETRES!$G$35,5,IF($N907&gt;PARAMETRES!$F$35,4,IF($N907&gt;PARAMETRES!$E$35,3,IF($N907&gt;PARAMETRES!$D$35,2,1)))))</f>
        <v/>
      </c>
      <c r="W907" t="str">
        <f>IF($O907="","",IF($O907&gt;PARAMETRES!$G$36,5,IF($O907&gt;PARAMETRES!$F$36,4,IF($O907&gt;PARAMETRES!$E$36,3,IF($O907&gt;PARAMETRES!$D$36,2,1)))))</f>
        <v/>
      </c>
      <c r="X907" t="str">
        <f>IF($P907="","",IF($P907&gt;PARAMETRES!$G$37,5,IF($P907&gt;PARAMETRES!$F$37,4,IF($P907&gt;PARAMETRES!$E$37,3,IF($P907&gt;PARAMETRES!$D$37,2,1)))))</f>
        <v/>
      </c>
      <c r="Y907" t="str">
        <f t="shared" si="336"/>
        <v/>
      </c>
      <c r="Z907" t="str">
        <f>IFERROR(VLOOKUP($B907,TABLE_CYCLE,2,0),"")</f>
        <v/>
      </c>
      <c r="AA907" t="str">
        <f t="shared" si="337"/>
        <v/>
      </c>
      <c r="AB907" t="str">
        <f>IF($D907="","",IF(COUNTIF($D$2:$D907,$D907)=1,$D907,""))</f>
        <v/>
      </c>
      <c r="AC907">
        <f t="shared" si="338"/>
        <v>0</v>
      </c>
      <c r="AD907" t="str">
        <f t="shared" si="339"/>
        <v>|0</v>
      </c>
      <c r="AE907" t="str">
        <f t="shared" si="340"/>
        <v/>
      </c>
      <c r="AF907" t="str">
        <f t="shared" si="341"/>
        <v/>
      </c>
      <c r="AG907" t="str">
        <f t="shared" si="342"/>
        <v/>
      </c>
      <c r="AH907" t="str">
        <f t="shared" si="343"/>
        <v/>
      </c>
      <c r="AI907" t="str">
        <f t="shared" si="344"/>
        <v/>
      </c>
      <c r="AJ907" t="str">
        <f t="shared" si="345"/>
        <v/>
      </c>
      <c r="AK907" t="str">
        <f t="shared" si="346"/>
        <v/>
      </c>
      <c r="AL907" t="str">
        <f t="shared" si="347"/>
        <v/>
      </c>
      <c r="AM907" t="str">
        <f t="shared" si="348"/>
        <v/>
      </c>
      <c r="AN907" t="str">
        <f t="shared" si="349"/>
        <v/>
      </c>
      <c r="AO907" t="str">
        <f t="shared" si="350"/>
        <v/>
      </c>
      <c r="AP907">
        <f t="shared" si="351"/>
        <v>1</v>
      </c>
      <c r="AQ907" t="str">
        <f>IF(SAISIE!$F912="","",SAISIE!$Y912)</f>
        <v/>
      </c>
      <c r="AR907" t="str">
        <f>IF(OR(SAISIE!$U$4="",SAISIE!$W$4=""),"",IF(AND($A907=SAISIE!$U$4,$B907=SAISIE!$W$4,$C907="S1"),COUNTIFS($A$2:$A907,SAISIE!$U$4,$B$2:$B907,SAISIE!$W$4,$C$2:$C907,"S1"),""))</f>
        <v/>
      </c>
      <c r="AS907" t="str">
        <f t="shared" si="352"/>
        <v/>
      </c>
      <c r="AT907" t="str">
        <f t="shared" si="353"/>
        <v/>
      </c>
      <c r="AU907" t="str">
        <f t="shared" si="354"/>
        <v/>
      </c>
      <c r="AV907">
        <f>N(AV906)+IF(AND($AB907&lt;&gt;"",OR('PROFIL ELEVE'!$K$4="(Tous)",$AF907='PROFIL ELEVE'!$K$4)),1,0)</f>
        <v>0</v>
      </c>
      <c r="AW907">
        <f>N(AW906)+IF(AND($AB907&lt;&gt;"",OR('SUIVI LONGITUDINAL'!$Q$4="(Tous)",$AF907='SUIVI LONGITUDINAL'!$Q$4)),1,0)</f>
        <v>0</v>
      </c>
      <c r="AX907">
        <f t="shared" si="355"/>
        <v>0</v>
      </c>
      <c r="AY907">
        <f t="shared" si="356"/>
        <v>0</v>
      </c>
      <c r="AZ907">
        <f t="shared" si="357"/>
        <v>0</v>
      </c>
      <c r="BA907" t="str">
        <f t="shared" si="358"/>
        <v/>
      </c>
      <c r="BB907" t="str">
        <f t="shared" si="359"/>
        <v/>
      </c>
    </row>
    <row r="908" spans="1:54" ht="14.25" customHeight="1" x14ac:dyDescent="0.3">
      <c r="A908" t="str">
        <f>IF(SAISIE!$F913="","",SAISIE!$B913)</f>
        <v/>
      </c>
      <c r="B908" t="str">
        <f>IF(SAISIE!$F913="","",SAISIE!$C913)</f>
        <v/>
      </c>
      <c r="C908" t="str">
        <f>IF(SAISIE!$F913="","",SAISIE!$D913)</f>
        <v/>
      </c>
      <c r="D908" t="str">
        <f>IF(SAISIE!$E913="","",SAISIE!$E913)</f>
        <v/>
      </c>
      <c r="E908" t="str">
        <f>IF(SAISIE!$F913="","",SAISIE!$F913)</f>
        <v/>
      </c>
      <c r="F908" t="str">
        <f>IF(SAISIE!$G913="","",SAISIE!$G913)</f>
        <v/>
      </c>
      <c r="G908" t="str">
        <f>IF(SAISIE!$H913="","",SAISIE!$H913)</f>
        <v/>
      </c>
      <c r="H908" t="str">
        <f>IF(SAISIE!$I913="","",SAISIE!$I913)</f>
        <v/>
      </c>
      <c r="I908" t="str">
        <f>IF(SAISIE!$J913="","",SAISIE!$J913)</f>
        <v/>
      </c>
      <c r="J908" t="str">
        <f>IF(SAISIE!$K913="","",SAISIE!$K913)</f>
        <v/>
      </c>
      <c r="K908" t="str">
        <f>IF(SAISIE!$L913="","",SAISIE!$L913)</f>
        <v/>
      </c>
      <c r="L908" t="str">
        <f>IF(SAISIE!$M913="","",SAISIE!$M913)</f>
        <v/>
      </c>
      <c r="M908" t="str">
        <f>IF(SAISIE!$N913="","",SAISIE!$N913)</f>
        <v/>
      </c>
      <c r="N908" t="str">
        <f>IF(SAISIE!$O913="","",SAISIE!$O913)</f>
        <v/>
      </c>
      <c r="O908" t="str">
        <f>IF(SAISIE!$P913="","",SAISIE!$P913)</f>
        <v/>
      </c>
      <c r="P908" t="str">
        <f>IF(SAISIE!$Q913="","",SAISIE!$Q913)</f>
        <v/>
      </c>
      <c r="Q908" t="str">
        <f>IF($I908="","",IF($I908&gt;PARAMETRES!$G$29,5,IF($I908&gt;PARAMETRES!$F$29,4,IF($I908&gt;PARAMETRES!$E$29,3,IF($I908&gt;PARAMETRES!$D$29,2,1)))))</f>
        <v/>
      </c>
      <c r="R908" t="str">
        <f>IF($J908="","",IF($J908&gt;PARAMETRES!$G$30,5,IF($J908&gt;PARAMETRES!$F$30,4,IF($J908&gt;PARAMETRES!$E$30,3,IF($J908&gt;PARAMETRES!$D$30,2,1)))))</f>
        <v/>
      </c>
      <c r="S908" t="str">
        <f>IF($K908="","",IF($Z908=2,IF($K908&gt;PARAMETRES!$G$31,5,IF($K908&gt;PARAMETRES!$F$31,4,IF($K908&gt;PARAMETRES!$E$31,3,IF($K908&gt;PARAMETRES!$D$31,2,1)))),IF($K908&gt;PARAMETRES!$G$32,5,IF($K908&gt;PARAMETRES!$F$32,4,IF($K908&gt;PARAMETRES!$E$32,3,IF($K908&gt;PARAMETRES!$D$32,2,1))))))</f>
        <v/>
      </c>
      <c r="T908" t="str">
        <f>IF($L908="","",IF($L908&gt;PARAMETRES!$G$33,5,IF($L908&gt;PARAMETRES!$F$33,4,IF($L908&gt;PARAMETRES!$E$33,3,IF($L908&gt;PARAMETRES!$D$33,2,1)))))</f>
        <v/>
      </c>
      <c r="U908" t="str">
        <f>IF($M908="","",IF($M908&gt;PARAMETRES!$G$34,5,IF($M908&gt;PARAMETRES!$F$34,4,IF($M908&gt;PARAMETRES!$E$34,3,IF($M908&gt;PARAMETRES!$D$34,2,1)))))</f>
        <v/>
      </c>
      <c r="V908" t="str">
        <f>IF($N908="","",IF($N908&gt;PARAMETRES!$G$35,5,IF($N908&gt;PARAMETRES!$F$35,4,IF($N908&gt;PARAMETRES!$E$35,3,IF($N908&gt;PARAMETRES!$D$35,2,1)))))</f>
        <v/>
      </c>
      <c r="W908" t="str">
        <f>IF($O908="","",IF($O908&gt;PARAMETRES!$G$36,5,IF($O908&gt;PARAMETRES!$F$36,4,IF($O908&gt;PARAMETRES!$E$36,3,IF($O908&gt;PARAMETRES!$D$36,2,1)))))</f>
        <v/>
      </c>
      <c r="X908" t="str">
        <f>IF($P908="","",IF($P908&gt;PARAMETRES!$G$37,5,IF($P908&gt;PARAMETRES!$F$37,4,IF($P908&gt;PARAMETRES!$E$37,3,IF($P908&gt;PARAMETRES!$D$37,2,1)))))</f>
        <v/>
      </c>
      <c r="Y908" t="str">
        <f t="shared" si="336"/>
        <v/>
      </c>
      <c r="Z908" t="str">
        <f>IFERROR(VLOOKUP($B908,TABLE_CYCLE,2,0),"")</f>
        <v/>
      </c>
      <c r="AA908" t="str">
        <f t="shared" si="337"/>
        <v/>
      </c>
      <c r="AB908" t="str">
        <f>IF($D908="","",IF(COUNTIF($D$2:$D908,$D908)=1,$D908,""))</f>
        <v/>
      </c>
      <c r="AC908">
        <f t="shared" si="338"/>
        <v>0</v>
      </c>
      <c r="AD908" t="str">
        <f t="shared" si="339"/>
        <v>|0</v>
      </c>
      <c r="AE908" t="str">
        <f t="shared" si="340"/>
        <v/>
      </c>
      <c r="AF908" t="str">
        <f t="shared" si="341"/>
        <v/>
      </c>
      <c r="AG908" t="str">
        <f t="shared" si="342"/>
        <v/>
      </c>
      <c r="AH908" t="str">
        <f t="shared" si="343"/>
        <v/>
      </c>
      <c r="AI908" t="str">
        <f t="shared" si="344"/>
        <v/>
      </c>
      <c r="AJ908" t="str">
        <f t="shared" si="345"/>
        <v/>
      </c>
      <c r="AK908" t="str">
        <f t="shared" si="346"/>
        <v/>
      </c>
      <c r="AL908" t="str">
        <f t="shared" si="347"/>
        <v/>
      </c>
      <c r="AM908" t="str">
        <f t="shared" si="348"/>
        <v/>
      </c>
      <c r="AN908" t="str">
        <f t="shared" si="349"/>
        <v/>
      </c>
      <c r="AO908" t="str">
        <f t="shared" si="350"/>
        <v/>
      </c>
      <c r="AP908">
        <f t="shared" si="351"/>
        <v>1</v>
      </c>
      <c r="AQ908" t="str">
        <f>IF(SAISIE!$F913="","",SAISIE!$Y913)</f>
        <v/>
      </c>
      <c r="AR908" t="str">
        <f>IF(OR(SAISIE!$U$4="",SAISIE!$W$4=""),"",IF(AND($A908=SAISIE!$U$4,$B908=SAISIE!$W$4,$C908="S1"),COUNTIFS($A$2:$A908,SAISIE!$U$4,$B$2:$B908,SAISIE!$W$4,$C$2:$C908,"S1"),""))</f>
        <v/>
      </c>
      <c r="AS908" t="str">
        <f t="shared" si="352"/>
        <v/>
      </c>
      <c r="AT908" t="str">
        <f t="shared" si="353"/>
        <v/>
      </c>
      <c r="AU908" t="str">
        <f t="shared" si="354"/>
        <v/>
      </c>
      <c r="AV908">
        <f>N(AV907)+IF(AND($AB908&lt;&gt;"",OR('PROFIL ELEVE'!$K$4="(Tous)",$AF908='PROFIL ELEVE'!$K$4)),1,0)</f>
        <v>0</v>
      </c>
      <c r="AW908">
        <f>N(AW907)+IF(AND($AB908&lt;&gt;"",OR('SUIVI LONGITUDINAL'!$Q$4="(Tous)",$AF908='SUIVI LONGITUDINAL'!$Q$4)),1,0)</f>
        <v>0</v>
      </c>
      <c r="AX908">
        <f t="shared" si="355"/>
        <v>0</v>
      </c>
      <c r="AY908">
        <f t="shared" si="356"/>
        <v>0</v>
      </c>
      <c r="AZ908">
        <f t="shared" si="357"/>
        <v>0</v>
      </c>
      <c r="BA908" t="str">
        <f t="shared" si="358"/>
        <v/>
      </c>
      <c r="BB908" t="str">
        <f t="shared" si="359"/>
        <v/>
      </c>
    </row>
    <row r="909" spans="1:54" ht="14.25" customHeight="1" x14ac:dyDescent="0.3">
      <c r="A909" t="str">
        <f>IF(SAISIE!$F914="","",SAISIE!$B914)</f>
        <v/>
      </c>
      <c r="B909" t="str">
        <f>IF(SAISIE!$F914="","",SAISIE!$C914)</f>
        <v/>
      </c>
      <c r="C909" t="str">
        <f>IF(SAISIE!$F914="","",SAISIE!$D914)</f>
        <v/>
      </c>
      <c r="D909" t="str">
        <f>IF(SAISIE!$E914="","",SAISIE!$E914)</f>
        <v/>
      </c>
      <c r="E909" t="str">
        <f>IF(SAISIE!$F914="","",SAISIE!$F914)</f>
        <v/>
      </c>
      <c r="F909" t="str">
        <f>IF(SAISIE!$G914="","",SAISIE!$G914)</f>
        <v/>
      </c>
      <c r="G909" t="str">
        <f>IF(SAISIE!$H914="","",SAISIE!$H914)</f>
        <v/>
      </c>
      <c r="H909" t="str">
        <f>IF(SAISIE!$I914="","",SAISIE!$I914)</f>
        <v/>
      </c>
      <c r="I909" t="str">
        <f>IF(SAISIE!$J914="","",SAISIE!$J914)</f>
        <v/>
      </c>
      <c r="J909" t="str">
        <f>IF(SAISIE!$K914="","",SAISIE!$K914)</f>
        <v/>
      </c>
      <c r="K909" t="str">
        <f>IF(SAISIE!$L914="","",SAISIE!$L914)</f>
        <v/>
      </c>
      <c r="L909" t="str">
        <f>IF(SAISIE!$M914="","",SAISIE!$M914)</f>
        <v/>
      </c>
      <c r="M909" t="str">
        <f>IF(SAISIE!$N914="","",SAISIE!$N914)</f>
        <v/>
      </c>
      <c r="N909" t="str">
        <f>IF(SAISIE!$O914="","",SAISIE!$O914)</f>
        <v/>
      </c>
      <c r="O909" t="str">
        <f>IF(SAISIE!$P914="","",SAISIE!$P914)</f>
        <v/>
      </c>
      <c r="P909" t="str">
        <f>IF(SAISIE!$Q914="","",SAISIE!$Q914)</f>
        <v/>
      </c>
      <c r="Q909" t="str">
        <f>IF($I909="","",IF($I909&gt;PARAMETRES!$G$29,5,IF($I909&gt;PARAMETRES!$F$29,4,IF($I909&gt;PARAMETRES!$E$29,3,IF($I909&gt;PARAMETRES!$D$29,2,1)))))</f>
        <v/>
      </c>
      <c r="R909" t="str">
        <f>IF($J909="","",IF($J909&gt;PARAMETRES!$G$30,5,IF($J909&gt;PARAMETRES!$F$30,4,IF($J909&gt;PARAMETRES!$E$30,3,IF($J909&gt;PARAMETRES!$D$30,2,1)))))</f>
        <v/>
      </c>
      <c r="S909" t="str">
        <f>IF($K909="","",IF($Z909=2,IF($K909&gt;PARAMETRES!$G$31,5,IF($K909&gt;PARAMETRES!$F$31,4,IF($K909&gt;PARAMETRES!$E$31,3,IF($K909&gt;PARAMETRES!$D$31,2,1)))),IF($K909&gt;PARAMETRES!$G$32,5,IF($K909&gt;PARAMETRES!$F$32,4,IF($K909&gt;PARAMETRES!$E$32,3,IF($K909&gt;PARAMETRES!$D$32,2,1))))))</f>
        <v/>
      </c>
      <c r="T909" t="str">
        <f>IF($L909="","",IF($L909&gt;PARAMETRES!$G$33,5,IF($L909&gt;PARAMETRES!$F$33,4,IF($L909&gt;PARAMETRES!$E$33,3,IF($L909&gt;PARAMETRES!$D$33,2,1)))))</f>
        <v/>
      </c>
      <c r="U909" t="str">
        <f>IF($M909="","",IF($M909&gt;PARAMETRES!$G$34,5,IF($M909&gt;PARAMETRES!$F$34,4,IF($M909&gt;PARAMETRES!$E$34,3,IF($M909&gt;PARAMETRES!$D$34,2,1)))))</f>
        <v/>
      </c>
      <c r="V909" t="str">
        <f>IF($N909="","",IF($N909&gt;PARAMETRES!$G$35,5,IF($N909&gt;PARAMETRES!$F$35,4,IF($N909&gt;PARAMETRES!$E$35,3,IF($N909&gt;PARAMETRES!$D$35,2,1)))))</f>
        <v/>
      </c>
      <c r="W909" t="str">
        <f>IF($O909="","",IF($O909&gt;PARAMETRES!$G$36,5,IF($O909&gt;PARAMETRES!$F$36,4,IF($O909&gt;PARAMETRES!$E$36,3,IF($O909&gt;PARAMETRES!$D$36,2,1)))))</f>
        <v/>
      </c>
      <c r="X909" t="str">
        <f>IF($P909="","",IF($P909&gt;PARAMETRES!$G$37,5,IF($P909&gt;PARAMETRES!$F$37,4,IF($P909&gt;PARAMETRES!$E$37,3,IF($P909&gt;PARAMETRES!$D$37,2,1)))))</f>
        <v/>
      </c>
      <c r="Y909" t="str">
        <f t="shared" si="336"/>
        <v/>
      </c>
      <c r="Z909" t="str">
        <f>IFERROR(VLOOKUP($B909,TABLE_CYCLE,2,0),"")</f>
        <v/>
      </c>
      <c r="AA909" t="str">
        <f t="shared" si="337"/>
        <v/>
      </c>
      <c r="AB909" t="str">
        <f>IF($D909="","",IF(COUNTIF($D$2:$D909,$D909)=1,$D909,""))</f>
        <v/>
      </c>
      <c r="AC909">
        <f t="shared" si="338"/>
        <v>0</v>
      </c>
      <c r="AD909" t="str">
        <f t="shared" si="339"/>
        <v>|0</v>
      </c>
      <c r="AE909" t="str">
        <f t="shared" si="340"/>
        <v/>
      </c>
      <c r="AF909" t="str">
        <f t="shared" si="341"/>
        <v/>
      </c>
      <c r="AG909" t="str">
        <f t="shared" si="342"/>
        <v/>
      </c>
      <c r="AH909" t="str">
        <f t="shared" si="343"/>
        <v/>
      </c>
      <c r="AI909" t="str">
        <f t="shared" si="344"/>
        <v/>
      </c>
      <c r="AJ909" t="str">
        <f t="shared" si="345"/>
        <v/>
      </c>
      <c r="AK909" t="str">
        <f t="shared" si="346"/>
        <v/>
      </c>
      <c r="AL909" t="str">
        <f t="shared" si="347"/>
        <v/>
      </c>
      <c r="AM909" t="str">
        <f t="shared" si="348"/>
        <v/>
      </c>
      <c r="AN909" t="str">
        <f t="shared" si="349"/>
        <v/>
      </c>
      <c r="AO909" t="str">
        <f t="shared" si="350"/>
        <v/>
      </c>
      <c r="AP909">
        <f t="shared" si="351"/>
        <v>1</v>
      </c>
      <c r="AQ909" t="str">
        <f>IF(SAISIE!$F914="","",SAISIE!$Y914)</f>
        <v/>
      </c>
      <c r="AR909" t="str">
        <f>IF(OR(SAISIE!$U$4="",SAISIE!$W$4=""),"",IF(AND($A909=SAISIE!$U$4,$B909=SAISIE!$W$4,$C909="S1"),COUNTIFS($A$2:$A909,SAISIE!$U$4,$B$2:$B909,SAISIE!$W$4,$C$2:$C909,"S1"),""))</f>
        <v/>
      </c>
      <c r="AS909" t="str">
        <f t="shared" si="352"/>
        <v/>
      </c>
      <c r="AT909" t="str">
        <f t="shared" si="353"/>
        <v/>
      </c>
      <c r="AU909" t="str">
        <f t="shared" si="354"/>
        <v/>
      </c>
      <c r="AV909">
        <f>N(AV908)+IF(AND($AB909&lt;&gt;"",OR('PROFIL ELEVE'!$K$4="(Tous)",$AF909='PROFIL ELEVE'!$K$4)),1,0)</f>
        <v>0</v>
      </c>
      <c r="AW909">
        <f>N(AW908)+IF(AND($AB909&lt;&gt;"",OR('SUIVI LONGITUDINAL'!$Q$4="(Tous)",$AF909='SUIVI LONGITUDINAL'!$Q$4)),1,0)</f>
        <v>0</v>
      </c>
      <c r="AX909">
        <f t="shared" si="355"/>
        <v>0</v>
      </c>
      <c r="AY909">
        <f t="shared" si="356"/>
        <v>0</v>
      </c>
      <c r="AZ909">
        <f t="shared" si="357"/>
        <v>0</v>
      </c>
      <c r="BA909" t="str">
        <f t="shared" si="358"/>
        <v/>
      </c>
      <c r="BB909" t="str">
        <f t="shared" si="359"/>
        <v/>
      </c>
    </row>
    <row r="910" spans="1:54" ht="14.25" customHeight="1" x14ac:dyDescent="0.3">
      <c r="A910" t="str">
        <f>IF(SAISIE!$F915="","",SAISIE!$B915)</f>
        <v/>
      </c>
      <c r="B910" t="str">
        <f>IF(SAISIE!$F915="","",SAISIE!$C915)</f>
        <v/>
      </c>
      <c r="C910" t="str">
        <f>IF(SAISIE!$F915="","",SAISIE!$D915)</f>
        <v/>
      </c>
      <c r="D910" t="str">
        <f>IF(SAISIE!$E915="","",SAISIE!$E915)</f>
        <v/>
      </c>
      <c r="E910" t="str">
        <f>IF(SAISIE!$F915="","",SAISIE!$F915)</f>
        <v/>
      </c>
      <c r="F910" t="str">
        <f>IF(SAISIE!$G915="","",SAISIE!$G915)</f>
        <v/>
      </c>
      <c r="G910" t="str">
        <f>IF(SAISIE!$H915="","",SAISIE!$H915)</f>
        <v/>
      </c>
      <c r="H910" t="str">
        <f>IF(SAISIE!$I915="","",SAISIE!$I915)</f>
        <v/>
      </c>
      <c r="I910" t="str">
        <f>IF(SAISIE!$J915="","",SAISIE!$J915)</f>
        <v/>
      </c>
      <c r="J910" t="str">
        <f>IF(SAISIE!$K915="","",SAISIE!$K915)</f>
        <v/>
      </c>
      <c r="K910" t="str">
        <f>IF(SAISIE!$L915="","",SAISIE!$L915)</f>
        <v/>
      </c>
      <c r="L910" t="str">
        <f>IF(SAISIE!$M915="","",SAISIE!$M915)</f>
        <v/>
      </c>
      <c r="M910" t="str">
        <f>IF(SAISIE!$N915="","",SAISIE!$N915)</f>
        <v/>
      </c>
      <c r="N910" t="str">
        <f>IF(SAISIE!$O915="","",SAISIE!$O915)</f>
        <v/>
      </c>
      <c r="O910" t="str">
        <f>IF(SAISIE!$P915="","",SAISIE!$P915)</f>
        <v/>
      </c>
      <c r="P910" t="str">
        <f>IF(SAISIE!$Q915="","",SAISIE!$Q915)</f>
        <v/>
      </c>
      <c r="Q910" t="str">
        <f>IF($I910="","",IF($I910&gt;PARAMETRES!$G$29,5,IF($I910&gt;PARAMETRES!$F$29,4,IF($I910&gt;PARAMETRES!$E$29,3,IF($I910&gt;PARAMETRES!$D$29,2,1)))))</f>
        <v/>
      </c>
      <c r="R910" t="str">
        <f>IF($J910="","",IF($J910&gt;PARAMETRES!$G$30,5,IF($J910&gt;PARAMETRES!$F$30,4,IF($J910&gt;PARAMETRES!$E$30,3,IF($J910&gt;PARAMETRES!$D$30,2,1)))))</f>
        <v/>
      </c>
      <c r="S910" t="str">
        <f>IF($K910="","",IF($Z910=2,IF($K910&gt;PARAMETRES!$G$31,5,IF($K910&gt;PARAMETRES!$F$31,4,IF($K910&gt;PARAMETRES!$E$31,3,IF($K910&gt;PARAMETRES!$D$31,2,1)))),IF($K910&gt;PARAMETRES!$G$32,5,IF($K910&gt;PARAMETRES!$F$32,4,IF($K910&gt;PARAMETRES!$E$32,3,IF($K910&gt;PARAMETRES!$D$32,2,1))))))</f>
        <v/>
      </c>
      <c r="T910" t="str">
        <f>IF($L910="","",IF($L910&gt;PARAMETRES!$G$33,5,IF($L910&gt;PARAMETRES!$F$33,4,IF($L910&gt;PARAMETRES!$E$33,3,IF($L910&gt;PARAMETRES!$D$33,2,1)))))</f>
        <v/>
      </c>
      <c r="U910" t="str">
        <f>IF($M910="","",IF($M910&gt;PARAMETRES!$G$34,5,IF($M910&gt;PARAMETRES!$F$34,4,IF($M910&gt;PARAMETRES!$E$34,3,IF($M910&gt;PARAMETRES!$D$34,2,1)))))</f>
        <v/>
      </c>
      <c r="V910" t="str">
        <f>IF($N910="","",IF($N910&gt;PARAMETRES!$G$35,5,IF($N910&gt;PARAMETRES!$F$35,4,IF($N910&gt;PARAMETRES!$E$35,3,IF($N910&gt;PARAMETRES!$D$35,2,1)))))</f>
        <v/>
      </c>
      <c r="W910" t="str">
        <f>IF($O910="","",IF($O910&gt;PARAMETRES!$G$36,5,IF($O910&gt;PARAMETRES!$F$36,4,IF($O910&gt;PARAMETRES!$E$36,3,IF($O910&gt;PARAMETRES!$D$36,2,1)))))</f>
        <v/>
      </c>
      <c r="X910" t="str">
        <f>IF($P910="","",IF($P910&gt;PARAMETRES!$G$37,5,IF($P910&gt;PARAMETRES!$F$37,4,IF($P910&gt;PARAMETRES!$E$37,3,IF($P910&gt;PARAMETRES!$D$37,2,1)))))</f>
        <v/>
      </c>
      <c r="Y910" t="str">
        <f t="shared" si="336"/>
        <v/>
      </c>
      <c r="Z910" t="str">
        <f>IFERROR(VLOOKUP($B910,TABLE_CYCLE,2,0),"")</f>
        <v/>
      </c>
      <c r="AA910" t="str">
        <f t="shared" si="337"/>
        <v/>
      </c>
      <c r="AB910" t="str">
        <f>IF($D910="","",IF(COUNTIF($D$2:$D910,$D910)=1,$D910,""))</f>
        <v/>
      </c>
      <c r="AC910">
        <f t="shared" si="338"/>
        <v>0</v>
      </c>
      <c r="AD910" t="str">
        <f t="shared" si="339"/>
        <v>|0</v>
      </c>
      <c r="AE910" t="str">
        <f t="shared" si="340"/>
        <v/>
      </c>
      <c r="AF910" t="str">
        <f t="shared" si="341"/>
        <v/>
      </c>
      <c r="AG910" t="str">
        <f t="shared" si="342"/>
        <v/>
      </c>
      <c r="AH910" t="str">
        <f t="shared" si="343"/>
        <v/>
      </c>
      <c r="AI910" t="str">
        <f t="shared" si="344"/>
        <v/>
      </c>
      <c r="AJ910" t="str">
        <f t="shared" si="345"/>
        <v/>
      </c>
      <c r="AK910" t="str">
        <f t="shared" si="346"/>
        <v/>
      </c>
      <c r="AL910" t="str">
        <f t="shared" si="347"/>
        <v/>
      </c>
      <c r="AM910" t="str">
        <f t="shared" si="348"/>
        <v/>
      </c>
      <c r="AN910" t="str">
        <f t="shared" si="349"/>
        <v/>
      </c>
      <c r="AO910" t="str">
        <f t="shared" si="350"/>
        <v/>
      </c>
      <c r="AP910">
        <f t="shared" si="351"/>
        <v>1</v>
      </c>
      <c r="AQ910" t="str">
        <f>IF(SAISIE!$F915="","",SAISIE!$Y915)</f>
        <v/>
      </c>
      <c r="AR910" t="str">
        <f>IF(OR(SAISIE!$U$4="",SAISIE!$W$4=""),"",IF(AND($A910=SAISIE!$U$4,$B910=SAISIE!$W$4,$C910="S1"),COUNTIFS($A$2:$A910,SAISIE!$U$4,$B$2:$B910,SAISIE!$W$4,$C$2:$C910,"S1"),""))</f>
        <v/>
      </c>
      <c r="AS910" t="str">
        <f t="shared" si="352"/>
        <v/>
      </c>
      <c r="AT910" t="str">
        <f t="shared" si="353"/>
        <v/>
      </c>
      <c r="AU910" t="str">
        <f t="shared" si="354"/>
        <v/>
      </c>
      <c r="AV910">
        <f>N(AV909)+IF(AND($AB910&lt;&gt;"",OR('PROFIL ELEVE'!$K$4="(Tous)",$AF910='PROFIL ELEVE'!$K$4)),1,0)</f>
        <v>0</v>
      </c>
      <c r="AW910">
        <f>N(AW909)+IF(AND($AB910&lt;&gt;"",OR('SUIVI LONGITUDINAL'!$Q$4="(Tous)",$AF910='SUIVI LONGITUDINAL'!$Q$4)),1,0)</f>
        <v>0</v>
      </c>
      <c r="AX910">
        <f t="shared" si="355"/>
        <v>0</v>
      </c>
      <c r="AY910">
        <f t="shared" si="356"/>
        <v>0</v>
      </c>
      <c r="AZ910">
        <f t="shared" si="357"/>
        <v>0</v>
      </c>
      <c r="BA910" t="str">
        <f t="shared" si="358"/>
        <v/>
      </c>
      <c r="BB910" t="str">
        <f t="shared" si="359"/>
        <v/>
      </c>
    </row>
    <row r="911" spans="1:54" ht="14.25" customHeight="1" x14ac:dyDescent="0.3">
      <c r="A911" t="str">
        <f>IF(SAISIE!$F916="","",SAISIE!$B916)</f>
        <v/>
      </c>
      <c r="B911" t="str">
        <f>IF(SAISIE!$F916="","",SAISIE!$C916)</f>
        <v/>
      </c>
      <c r="C911" t="str">
        <f>IF(SAISIE!$F916="","",SAISIE!$D916)</f>
        <v/>
      </c>
      <c r="D911" t="str">
        <f>IF(SAISIE!$E916="","",SAISIE!$E916)</f>
        <v/>
      </c>
      <c r="E911" t="str">
        <f>IF(SAISIE!$F916="","",SAISIE!$F916)</f>
        <v/>
      </c>
      <c r="F911" t="str">
        <f>IF(SAISIE!$G916="","",SAISIE!$G916)</f>
        <v/>
      </c>
      <c r="G911" t="str">
        <f>IF(SAISIE!$H916="","",SAISIE!$H916)</f>
        <v/>
      </c>
      <c r="H911" t="str">
        <f>IF(SAISIE!$I916="","",SAISIE!$I916)</f>
        <v/>
      </c>
      <c r="I911" t="str">
        <f>IF(SAISIE!$J916="","",SAISIE!$J916)</f>
        <v/>
      </c>
      <c r="J911" t="str">
        <f>IF(SAISIE!$K916="","",SAISIE!$K916)</f>
        <v/>
      </c>
      <c r="K911" t="str">
        <f>IF(SAISIE!$L916="","",SAISIE!$L916)</f>
        <v/>
      </c>
      <c r="L911" t="str">
        <f>IF(SAISIE!$M916="","",SAISIE!$M916)</f>
        <v/>
      </c>
      <c r="M911" t="str">
        <f>IF(SAISIE!$N916="","",SAISIE!$N916)</f>
        <v/>
      </c>
      <c r="N911" t="str">
        <f>IF(SAISIE!$O916="","",SAISIE!$O916)</f>
        <v/>
      </c>
      <c r="O911" t="str">
        <f>IF(SAISIE!$P916="","",SAISIE!$P916)</f>
        <v/>
      </c>
      <c r="P911" t="str">
        <f>IF(SAISIE!$Q916="","",SAISIE!$Q916)</f>
        <v/>
      </c>
      <c r="Q911" t="str">
        <f>IF($I911="","",IF($I911&gt;PARAMETRES!$G$29,5,IF($I911&gt;PARAMETRES!$F$29,4,IF($I911&gt;PARAMETRES!$E$29,3,IF($I911&gt;PARAMETRES!$D$29,2,1)))))</f>
        <v/>
      </c>
      <c r="R911" t="str">
        <f>IF($J911="","",IF($J911&gt;PARAMETRES!$G$30,5,IF($J911&gt;PARAMETRES!$F$30,4,IF($J911&gt;PARAMETRES!$E$30,3,IF($J911&gt;PARAMETRES!$D$30,2,1)))))</f>
        <v/>
      </c>
      <c r="S911" t="str">
        <f>IF($K911="","",IF($Z911=2,IF($K911&gt;PARAMETRES!$G$31,5,IF($K911&gt;PARAMETRES!$F$31,4,IF($K911&gt;PARAMETRES!$E$31,3,IF($K911&gt;PARAMETRES!$D$31,2,1)))),IF($K911&gt;PARAMETRES!$G$32,5,IF($K911&gt;PARAMETRES!$F$32,4,IF($K911&gt;PARAMETRES!$E$32,3,IF($K911&gt;PARAMETRES!$D$32,2,1))))))</f>
        <v/>
      </c>
      <c r="T911" t="str">
        <f>IF($L911="","",IF($L911&gt;PARAMETRES!$G$33,5,IF($L911&gt;PARAMETRES!$F$33,4,IF($L911&gt;PARAMETRES!$E$33,3,IF($L911&gt;PARAMETRES!$D$33,2,1)))))</f>
        <v/>
      </c>
      <c r="U911" t="str">
        <f>IF($M911="","",IF($M911&gt;PARAMETRES!$G$34,5,IF($M911&gt;PARAMETRES!$F$34,4,IF($M911&gt;PARAMETRES!$E$34,3,IF($M911&gt;PARAMETRES!$D$34,2,1)))))</f>
        <v/>
      </c>
      <c r="V911" t="str">
        <f>IF($N911="","",IF($N911&gt;PARAMETRES!$G$35,5,IF($N911&gt;PARAMETRES!$F$35,4,IF($N911&gt;PARAMETRES!$E$35,3,IF($N911&gt;PARAMETRES!$D$35,2,1)))))</f>
        <v/>
      </c>
      <c r="W911" t="str">
        <f>IF($O911="","",IF($O911&gt;PARAMETRES!$G$36,5,IF($O911&gt;PARAMETRES!$F$36,4,IF($O911&gt;PARAMETRES!$E$36,3,IF($O911&gt;PARAMETRES!$D$36,2,1)))))</f>
        <v/>
      </c>
      <c r="X911" t="str">
        <f>IF($P911="","",IF($P911&gt;PARAMETRES!$G$37,5,IF($P911&gt;PARAMETRES!$F$37,4,IF($P911&gt;PARAMETRES!$E$37,3,IF($P911&gt;PARAMETRES!$D$37,2,1)))))</f>
        <v/>
      </c>
      <c r="Y911" t="str">
        <f t="shared" si="336"/>
        <v/>
      </c>
      <c r="Z911" t="str">
        <f>IFERROR(VLOOKUP($B911,TABLE_CYCLE,2,0),"")</f>
        <v/>
      </c>
      <c r="AA911" t="str">
        <f t="shared" si="337"/>
        <v/>
      </c>
      <c r="AB911" t="str">
        <f>IF($D911="","",IF(COUNTIF($D$2:$D911,$D911)=1,$D911,""))</f>
        <v/>
      </c>
      <c r="AC911">
        <f t="shared" si="338"/>
        <v>0</v>
      </c>
      <c r="AD911" t="str">
        <f t="shared" si="339"/>
        <v>|0</v>
      </c>
      <c r="AE911" t="str">
        <f t="shared" si="340"/>
        <v/>
      </c>
      <c r="AF911" t="str">
        <f t="shared" si="341"/>
        <v/>
      </c>
      <c r="AG911" t="str">
        <f t="shared" si="342"/>
        <v/>
      </c>
      <c r="AH911" t="str">
        <f t="shared" si="343"/>
        <v/>
      </c>
      <c r="AI911" t="str">
        <f t="shared" si="344"/>
        <v/>
      </c>
      <c r="AJ911" t="str">
        <f t="shared" si="345"/>
        <v/>
      </c>
      <c r="AK911" t="str">
        <f t="shared" si="346"/>
        <v/>
      </c>
      <c r="AL911" t="str">
        <f t="shared" si="347"/>
        <v/>
      </c>
      <c r="AM911" t="str">
        <f t="shared" si="348"/>
        <v/>
      </c>
      <c r="AN911" t="str">
        <f t="shared" si="349"/>
        <v/>
      </c>
      <c r="AO911" t="str">
        <f t="shared" si="350"/>
        <v/>
      </c>
      <c r="AP911">
        <f t="shared" si="351"/>
        <v>1</v>
      </c>
      <c r="AQ911" t="str">
        <f>IF(SAISIE!$F916="","",SAISIE!$Y916)</f>
        <v/>
      </c>
      <c r="AR911" t="str">
        <f>IF(OR(SAISIE!$U$4="",SAISIE!$W$4=""),"",IF(AND($A911=SAISIE!$U$4,$B911=SAISIE!$W$4,$C911="S1"),COUNTIFS($A$2:$A911,SAISIE!$U$4,$B$2:$B911,SAISIE!$W$4,$C$2:$C911,"S1"),""))</f>
        <v/>
      </c>
      <c r="AS911" t="str">
        <f t="shared" si="352"/>
        <v/>
      </c>
      <c r="AT911" t="str">
        <f t="shared" si="353"/>
        <v/>
      </c>
      <c r="AU911" t="str">
        <f t="shared" si="354"/>
        <v/>
      </c>
      <c r="AV911">
        <f>N(AV910)+IF(AND($AB911&lt;&gt;"",OR('PROFIL ELEVE'!$K$4="(Tous)",$AF911='PROFIL ELEVE'!$K$4)),1,0)</f>
        <v>0</v>
      </c>
      <c r="AW911">
        <f>N(AW910)+IF(AND($AB911&lt;&gt;"",OR('SUIVI LONGITUDINAL'!$Q$4="(Tous)",$AF911='SUIVI LONGITUDINAL'!$Q$4)),1,0)</f>
        <v>0</v>
      </c>
      <c r="AX911">
        <f t="shared" si="355"/>
        <v>0</v>
      </c>
      <c r="AY911">
        <f t="shared" si="356"/>
        <v>0</v>
      </c>
      <c r="AZ911">
        <f t="shared" si="357"/>
        <v>0</v>
      </c>
      <c r="BA911" t="str">
        <f t="shared" si="358"/>
        <v/>
      </c>
      <c r="BB911" t="str">
        <f t="shared" si="359"/>
        <v/>
      </c>
    </row>
    <row r="912" spans="1:54" ht="14.25" customHeight="1" x14ac:dyDescent="0.3">
      <c r="A912" t="str">
        <f>IF(SAISIE!$F917="","",SAISIE!$B917)</f>
        <v/>
      </c>
      <c r="B912" t="str">
        <f>IF(SAISIE!$F917="","",SAISIE!$C917)</f>
        <v/>
      </c>
      <c r="C912" t="str">
        <f>IF(SAISIE!$F917="","",SAISIE!$D917)</f>
        <v/>
      </c>
      <c r="D912" t="str">
        <f>IF(SAISIE!$E917="","",SAISIE!$E917)</f>
        <v/>
      </c>
      <c r="E912" t="str">
        <f>IF(SAISIE!$F917="","",SAISIE!$F917)</f>
        <v/>
      </c>
      <c r="F912" t="str">
        <f>IF(SAISIE!$G917="","",SAISIE!$G917)</f>
        <v/>
      </c>
      <c r="G912" t="str">
        <f>IF(SAISIE!$H917="","",SAISIE!$H917)</f>
        <v/>
      </c>
      <c r="H912" t="str">
        <f>IF(SAISIE!$I917="","",SAISIE!$I917)</f>
        <v/>
      </c>
      <c r="I912" t="str">
        <f>IF(SAISIE!$J917="","",SAISIE!$J917)</f>
        <v/>
      </c>
      <c r="J912" t="str">
        <f>IF(SAISIE!$K917="","",SAISIE!$K917)</f>
        <v/>
      </c>
      <c r="K912" t="str">
        <f>IF(SAISIE!$L917="","",SAISIE!$L917)</f>
        <v/>
      </c>
      <c r="L912" t="str">
        <f>IF(SAISIE!$M917="","",SAISIE!$M917)</f>
        <v/>
      </c>
      <c r="M912" t="str">
        <f>IF(SAISIE!$N917="","",SAISIE!$N917)</f>
        <v/>
      </c>
      <c r="N912" t="str">
        <f>IF(SAISIE!$O917="","",SAISIE!$O917)</f>
        <v/>
      </c>
      <c r="O912" t="str">
        <f>IF(SAISIE!$P917="","",SAISIE!$P917)</f>
        <v/>
      </c>
      <c r="P912" t="str">
        <f>IF(SAISIE!$Q917="","",SAISIE!$Q917)</f>
        <v/>
      </c>
      <c r="Q912" t="str">
        <f>IF($I912="","",IF($I912&gt;PARAMETRES!$G$29,5,IF($I912&gt;PARAMETRES!$F$29,4,IF($I912&gt;PARAMETRES!$E$29,3,IF($I912&gt;PARAMETRES!$D$29,2,1)))))</f>
        <v/>
      </c>
      <c r="R912" t="str">
        <f>IF($J912="","",IF($J912&gt;PARAMETRES!$G$30,5,IF($J912&gt;PARAMETRES!$F$30,4,IF($J912&gt;PARAMETRES!$E$30,3,IF($J912&gt;PARAMETRES!$D$30,2,1)))))</f>
        <v/>
      </c>
      <c r="S912" t="str">
        <f>IF($K912="","",IF($Z912=2,IF($K912&gt;PARAMETRES!$G$31,5,IF($K912&gt;PARAMETRES!$F$31,4,IF($K912&gt;PARAMETRES!$E$31,3,IF($K912&gt;PARAMETRES!$D$31,2,1)))),IF($K912&gt;PARAMETRES!$G$32,5,IF($K912&gt;PARAMETRES!$F$32,4,IF($K912&gt;PARAMETRES!$E$32,3,IF($K912&gt;PARAMETRES!$D$32,2,1))))))</f>
        <v/>
      </c>
      <c r="T912" t="str">
        <f>IF($L912="","",IF($L912&gt;PARAMETRES!$G$33,5,IF($L912&gt;PARAMETRES!$F$33,4,IF($L912&gt;PARAMETRES!$E$33,3,IF($L912&gt;PARAMETRES!$D$33,2,1)))))</f>
        <v/>
      </c>
      <c r="U912" t="str">
        <f>IF($M912="","",IF($M912&gt;PARAMETRES!$G$34,5,IF($M912&gt;PARAMETRES!$F$34,4,IF($M912&gt;PARAMETRES!$E$34,3,IF($M912&gt;PARAMETRES!$D$34,2,1)))))</f>
        <v/>
      </c>
      <c r="V912" t="str">
        <f>IF($N912="","",IF($N912&gt;PARAMETRES!$G$35,5,IF($N912&gt;PARAMETRES!$F$35,4,IF($N912&gt;PARAMETRES!$E$35,3,IF($N912&gt;PARAMETRES!$D$35,2,1)))))</f>
        <v/>
      </c>
      <c r="W912" t="str">
        <f>IF($O912="","",IF($O912&gt;PARAMETRES!$G$36,5,IF($O912&gt;PARAMETRES!$F$36,4,IF($O912&gt;PARAMETRES!$E$36,3,IF($O912&gt;PARAMETRES!$D$36,2,1)))))</f>
        <v/>
      </c>
      <c r="X912" t="str">
        <f>IF($P912="","",IF($P912&gt;PARAMETRES!$G$37,5,IF($P912&gt;PARAMETRES!$F$37,4,IF($P912&gt;PARAMETRES!$E$37,3,IF($P912&gt;PARAMETRES!$D$37,2,1)))))</f>
        <v/>
      </c>
      <c r="Y912" t="str">
        <f t="shared" si="336"/>
        <v/>
      </c>
      <c r="Z912" t="str">
        <f>IFERROR(VLOOKUP($B912,TABLE_CYCLE,2,0),"")</f>
        <v/>
      </c>
      <c r="AA912" t="str">
        <f t="shared" si="337"/>
        <v/>
      </c>
      <c r="AB912" t="str">
        <f>IF($D912="","",IF(COUNTIF($D$2:$D912,$D912)=1,$D912,""))</f>
        <v/>
      </c>
      <c r="AC912">
        <f t="shared" si="338"/>
        <v>0</v>
      </c>
      <c r="AD912" t="str">
        <f t="shared" si="339"/>
        <v>|0</v>
      </c>
      <c r="AE912" t="str">
        <f t="shared" si="340"/>
        <v/>
      </c>
      <c r="AF912" t="str">
        <f t="shared" si="341"/>
        <v/>
      </c>
      <c r="AG912" t="str">
        <f t="shared" si="342"/>
        <v/>
      </c>
      <c r="AH912" t="str">
        <f t="shared" si="343"/>
        <v/>
      </c>
      <c r="AI912" t="str">
        <f t="shared" si="344"/>
        <v/>
      </c>
      <c r="AJ912" t="str">
        <f t="shared" si="345"/>
        <v/>
      </c>
      <c r="AK912" t="str">
        <f t="shared" si="346"/>
        <v/>
      </c>
      <c r="AL912" t="str">
        <f t="shared" si="347"/>
        <v/>
      </c>
      <c r="AM912" t="str">
        <f t="shared" si="348"/>
        <v/>
      </c>
      <c r="AN912" t="str">
        <f t="shared" si="349"/>
        <v/>
      </c>
      <c r="AO912" t="str">
        <f t="shared" si="350"/>
        <v/>
      </c>
      <c r="AP912">
        <f t="shared" si="351"/>
        <v>1</v>
      </c>
      <c r="AQ912" t="str">
        <f>IF(SAISIE!$F917="","",SAISIE!$Y917)</f>
        <v/>
      </c>
      <c r="AR912" t="str">
        <f>IF(OR(SAISIE!$U$4="",SAISIE!$W$4=""),"",IF(AND($A912=SAISIE!$U$4,$B912=SAISIE!$W$4,$C912="S1"),COUNTIFS($A$2:$A912,SAISIE!$U$4,$B$2:$B912,SAISIE!$W$4,$C$2:$C912,"S1"),""))</f>
        <v/>
      </c>
      <c r="AS912" t="str">
        <f t="shared" si="352"/>
        <v/>
      </c>
      <c r="AT912" t="str">
        <f t="shared" si="353"/>
        <v/>
      </c>
      <c r="AU912" t="str">
        <f t="shared" si="354"/>
        <v/>
      </c>
      <c r="AV912">
        <f>N(AV911)+IF(AND($AB912&lt;&gt;"",OR('PROFIL ELEVE'!$K$4="(Tous)",$AF912='PROFIL ELEVE'!$K$4)),1,0)</f>
        <v>0</v>
      </c>
      <c r="AW912">
        <f>N(AW911)+IF(AND($AB912&lt;&gt;"",OR('SUIVI LONGITUDINAL'!$Q$4="(Tous)",$AF912='SUIVI LONGITUDINAL'!$Q$4)),1,0)</f>
        <v>0</v>
      </c>
      <c r="AX912">
        <f t="shared" si="355"/>
        <v>0</v>
      </c>
      <c r="AY912">
        <f t="shared" si="356"/>
        <v>0</v>
      </c>
      <c r="AZ912">
        <f t="shared" si="357"/>
        <v>0</v>
      </c>
      <c r="BA912" t="str">
        <f t="shared" si="358"/>
        <v/>
      </c>
      <c r="BB912" t="str">
        <f t="shared" si="359"/>
        <v/>
      </c>
    </row>
    <row r="913" spans="1:54" ht="14.25" customHeight="1" x14ac:dyDescent="0.3">
      <c r="A913" t="str">
        <f>IF(SAISIE!$F918="","",SAISIE!$B918)</f>
        <v/>
      </c>
      <c r="B913" t="str">
        <f>IF(SAISIE!$F918="","",SAISIE!$C918)</f>
        <v/>
      </c>
      <c r="C913" t="str">
        <f>IF(SAISIE!$F918="","",SAISIE!$D918)</f>
        <v/>
      </c>
      <c r="D913" t="str">
        <f>IF(SAISIE!$E918="","",SAISIE!$E918)</f>
        <v/>
      </c>
      <c r="E913" t="str">
        <f>IF(SAISIE!$F918="","",SAISIE!$F918)</f>
        <v/>
      </c>
      <c r="F913" t="str">
        <f>IF(SAISIE!$G918="","",SAISIE!$G918)</f>
        <v/>
      </c>
      <c r="G913" t="str">
        <f>IF(SAISIE!$H918="","",SAISIE!$H918)</f>
        <v/>
      </c>
      <c r="H913" t="str">
        <f>IF(SAISIE!$I918="","",SAISIE!$I918)</f>
        <v/>
      </c>
      <c r="I913" t="str">
        <f>IF(SAISIE!$J918="","",SAISIE!$J918)</f>
        <v/>
      </c>
      <c r="J913" t="str">
        <f>IF(SAISIE!$K918="","",SAISIE!$K918)</f>
        <v/>
      </c>
      <c r="K913" t="str">
        <f>IF(SAISIE!$L918="","",SAISIE!$L918)</f>
        <v/>
      </c>
      <c r="L913" t="str">
        <f>IF(SAISIE!$M918="","",SAISIE!$M918)</f>
        <v/>
      </c>
      <c r="M913" t="str">
        <f>IF(SAISIE!$N918="","",SAISIE!$N918)</f>
        <v/>
      </c>
      <c r="N913" t="str">
        <f>IF(SAISIE!$O918="","",SAISIE!$O918)</f>
        <v/>
      </c>
      <c r="O913" t="str">
        <f>IF(SAISIE!$P918="","",SAISIE!$P918)</f>
        <v/>
      </c>
      <c r="P913" t="str">
        <f>IF(SAISIE!$Q918="","",SAISIE!$Q918)</f>
        <v/>
      </c>
      <c r="Q913" t="str">
        <f>IF($I913="","",IF($I913&gt;PARAMETRES!$G$29,5,IF($I913&gt;PARAMETRES!$F$29,4,IF($I913&gt;PARAMETRES!$E$29,3,IF($I913&gt;PARAMETRES!$D$29,2,1)))))</f>
        <v/>
      </c>
      <c r="R913" t="str">
        <f>IF($J913="","",IF($J913&gt;PARAMETRES!$G$30,5,IF($J913&gt;PARAMETRES!$F$30,4,IF($J913&gt;PARAMETRES!$E$30,3,IF($J913&gt;PARAMETRES!$D$30,2,1)))))</f>
        <v/>
      </c>
      <c r="S913" t="str">
        <f>IF($K913="","",IF($Z913=2,IF($K913&gt;PARAMETRES!$G$31,5,IF($K913&gt;PARAMETRES!$F$31,4,IF($K913&gt;PARAMETRES!$E$31,3,IF($K913&gt;PARAMETRES!$D$31,2,1)))),IF($K913&gt;PARAMETRES!$G$32,5,IF($K913&gt;PARAMETRES!$F$32,4,IF($K913&gt;PARAMETRES!$E$32,3,IF($K913&gt;PARAMETRES!$D$32,2,1))))))</f>
        <v/>
      </c>
      <c r="T913" t="str">
        <f>IF($L913="","",IF($L913&gt;PARAMETRES!$G$33,5,IF($L913&gt;PARAMETRES!$F$33,4,IF($L913&gt;PARAMETRES!$E$33,3,IF($L913&gt;PARAMETRES!$D$33,2,1)))))</f>
        <v/>
      </c>
      <c r="U913" t="str">
        <f>IF($M913="","",IF($M913&gt;PARAMETRES!$G$34,5,IF($M913&gt;PARAMETRES!$F$34,4,IF($M913&gt;PARAMETRES!$E$34,3,IF($M913&gt;PARAMETRES!$D$34,2,1)))))</f>
        <v/>
      </c>
      <c r="V913" t="str">
        <f>IF($N913="","",IF($N913&gt;PARAMETRES!$G$35,5,IF($N913&gt;PARAMETRES!$F$35,4,IF($N913&gt;PARAMETRES!$E$35,3,IF($N913&gt;PARAMETRES!$D$35,2,1)))))</f>
        <v/>
      </c>
      <c r="W913" t="str">
        <f>IF($O913="","",IF($O913&gt;PARAMETRES!$G$36,5,IF($O913&gt;PARAMETRES!$F$36,4,IF($O913&gt;PARAMETRES!$E$36,3,IF($O913&gt;PARAMETRES!$D$36,2,1)))))</f>
        <v/>
      </c>
      <c r="X913" t="str">
        <f>IF($P913="","",IF($P913&gt;PARAMETRES!$G$37,5,IF($P913&gt;PARAMETRES!$F$37,4,IF($P913&gt;PARAMETRES!$E$37,3,IF($P913&gt;PARAMETRES!$D$37,2,1)))))</f>
        <v/>
      </c>
      <c r="Y913" t="str">
        <f t="shared" si="336"/>
        <v/>
      </c>
      <c r="Z913" t="str">
        <f>IFERROR(VLOOKUP($B913,TABLE_CYCLE,2,0),"")</f>
        <v/>
      </c>
      <c r="AA913" t="str">
        <f t="shared" si="337"/>
        <v/>
      </c>
      <c r="AB913" t="str">
        <f>IF($D913="","",IF(COUNTIF($D$2:$D913,$D913)=1,$D913,""))</f>
        <v/>
      </c>
      <c r="AC913">
        <f t="shared" si="338"/>
        <v>0</v>
      </c>
      <c r="AD913" t="str">
        <f t="shared" si="339"/>
        <v>|0</v>
      </c>
      <c r="AE913" t="str">
        <f t="shared" si="340"/>
        <v/>
      </c>
      <c r="AF913" t="str">
        <f t="shared" si="341"/>
        <v/>
      </c>
      <c r="AG913" t="str">
        <f t="shared" si="342"/>
        <v/>
      </c>
      <c r="AH913" t="str">
        <f t="shared" si="343"/>
        <v/>
      </c>
      <c r="AI913" t="str">
        <f t="shared" si="344"/>
        <v/>
      </c>
      <c r="AJ913" t="str">
        <f t="shared" si="345"/>
        <v/>
      </c>
      <c r="AK913" t="str">
        <f t="shared" si="346"/>
        <v/>
      </c>
      <c r="AL913" t="str">
        <f t="shared" si="347"/>
        <v/>
      </c>
      <c r="AM913" t="str">
        <f t="shared" si="348"/>
        <v/>
      </c>
      <c r="AN913" t="str">
        <f t="shared" si="349"/>
        <v/>
      </c>
      <c r="AO913" t="str">
        <f t="shared" si="350"/>
        <v/>
      </c>
      <c r="AP913">
        <f t="shared" si="351"/>
        <v>1</v>
      </c>
      <c r="AQ913" t="str">
        <f>IF(SAISIE!$F918="","",SAISIE!$Y918)</f>
        <v/>
      </c>
      <c r="AR913" t="str">
        <f>IF(OR(SAISIE!$U$4="",SAISIE!$W$4=""),"",IF(AND($A913=SAISIE!$U$4,$B913=SAISIE!$W$4,$C913="S1"),COUNTIFS($A$2:$A913,SAISIE!$U$4,$B$2:$B913,SAISIE!$W$4,$C$2:$C913,"S1"),""))</f>
        <v/>
      </c>
      <c r="AS913" t="str">
        <f t="shared" si="352"/>
        <v/>
      </c>
      <c r="AT913" t="str">
        <f t="shared" si="353"/>
        <v/>
      </c>
      <c r="AU913" t="str">
        <f t="shared" si="354"/>
        <v/>
      </c>
      <c r="AV913">
        <f>N(AV912)+IF(AND($AB913&lt;&gt;"",OR('PROFIL ELEVE'!$K$4="(Tous)",$AF913='PROFIL ELEVE'!$K$4)),1,0)</f>
        <v>0</v>
      </c>
      <c r="AW913">
        <f>N(AW912)+IF(AND($AB913&lt;&gt;"",OR('SUIVI LONGITUDINAL'!$Q$4="(Tous)",$AF913='SUIVI LONGITUDINAL'!$Q$4)),1,0)</f>
        <v>0</v>
      </c>
      <c r="AX913">
        <f t="shared" si="355"/>
        <v>0</v>
      </c>
      <c r="AY913">
        <f t="shared" si="356"/>
        <v>0</v>
      </c>
      <c r="AZ913">
        <f t="shared" si="357"/>
        <v>0</v>
      </c>
      <c r="BA913" t="str">
        <f t="shared" si="358"/>
        <v/>
      </c>
      <c r="BB913" t="str">
        <f t="shared" si="359"/>
        <v/>
      </c>
    </row>
    <row r="914" spans="1:54" ht="14.25" customHeight="1" x14ac:dyDescent="0.3">
      <c r="A914" t="str">
        <f>IF(SAISIE!$F919="","",SAISIE!$B919)</f>
        <v/>
      </c>
      <c r="B914" t="str">
        <f>IF(SAISIE!$F919="","",SAISIE!$C919)</f>
        <v/>
      </c>
      <c r="C914" t="str">
        <f>IF(SAISIE!$F919="","",SAISIE!$D919)</f>
        <v/>
      </c>
      <c r="D914" t="str">
        <f>IF(SAISIE!$E919="","",SAISIE!$E919)</f>
        <v/>
      </c>
      <c r="E914" t="str">
        <f>IF(SAISIE!$F919="","",SAISIE!$F919)</f>
        <v/>
      </c>
      <c r="F914" t="str">
        <f>IF(SAISIE!$G919="","",SAISIE!$G919)</f>
        <v/>
      </c>
      <c r="G914" t="str">
        <f>IF(SAISIE!$H919="","",SAISIE!$H919)</f>
        <v/>
      </c>
      <c r="H914" t="str">
        <f>IF(SAISIE!$I919="","",SAISIE!$I919)</f>
        <v/>
      </c>
      <c r="I914" t="str">
        <f>IF(SAISIE!$J919="","",SAISIE!$J919)</f>
        <v/>
      </c>
      <c r="J914" t="str">
        <f>IF(SAISIE!$K919="","",SAISIE!$K919)</f>
        <v/>
      </c>
      <c r="K914" t="str">
        <f>IF(SAISIE!$L919="","",SAISIE!$L919)</f>
        <v/>
      </c>
      <c r="L914" t="str">
        <f>IF(SAISIE!$M919="","",SAISIE!$M919)</f>
        <v/>
      </c>
      <c r="M914" t="str">
        <f>IF(SAISIE!$N919="","",SAISIE!$N919)</f>
        <v/>
      </c>
      <c r="N914" t="str">
        <f>IF(SAISIE!$O919="","",SAISIE!$O919)</f>
        <v/>
      </c>
      <c r="O914" t="str">
        <f>IF(SAISIE!$P919="","",SAISIE!$P919)</f>
        <v/>
      </c>
      <c r="P914" t="str">
        <f>IF(SAISIE!$Q919="","",SAISIE!$Q919)</f>
        <v/>
      </c>
      <c r="Q914" t="str">
        <f>IF($I914="","",IF($I914&gt;PARAMETRES!$G$29,5,IF($I914&gt;PARAMETRES!$F$29,4,IF($I914&gt;PARAMETRES!$E$29,3,IF($I914&gt;PARAMETRES!$D$29,2,1)))))</f>
        <v/>
      </c>
      <c r="R914" t="str">
        <f>IF($J914="","",IF($J914&gt;PARAMETRES!$G$30,5,IF($J914&gt;PARAMETRES!$F$30,4,IF($J914&gt;PARAMETRES!$E$30,3,IF($J914&gt;PARAMETRES!$D$30,2,1)))))</f>
        <v/>
      </c>
      <c r="S914" t="str">
        <f>IF($K914="","",IF($Z914=2,IF($K914&gt;PARAMETRES!$G$31,5,IF($K914&gt;PARAMETRES!$F$31,4,IF($K914&gt;PARAMETRES!$E$31,3,IF($K914&gt;PARAMETRES!$D$31,2,1)))),IF($K914&gt;PARAMETRES!$G$32,5,IF($K914&gt;PARAMETRES!$F$32,4,IF($K914&gt;PARAMETRES!$E$32,3,IF($K914&gt;PARAMETRES!$D$32,2,1))))))</f>
        <v/>
      </c>
      <c r="T914" t="str">
        <f>IF($L914="","",IF($L914&gt;PARAMETRES!$G$33,5,IF($L914&gt;PARAMETRES!$F$33,4,IF($L914&gt;PARAMETRES!$E$33,3,IF($L914&gt;PARAMETRES!$D$33,2,1)))))</f>
        <v/>
      </c>
      <c r="U914" t="str">
        <f>IF($M914="","",IF($M914&gt;PARAMETRES!$G$34,5,IF($M914&gt;PARAMETRES!$F$34,4,IF($M914&gt;PARAMETRES!$E$34,3,IF($M914&gt;PARAMETRES!$D$34,2,1)))))</f>
        <v/>
      </c>
      <c r="V914" t="str">
        <f>IF($N914="","",IF($N914&gt;PARAMETRES!$G$35,5,IF($N914&gt;PARAMETRES!$F$35,4,IF($N914&gt;PARAMETRES!$E$35,3,IF($N914&gt;PARAMETRES!$D$35,2,1)))))</f>
        <v/>
      </c>
      <c r="W914" t="str">
        <f>IF($O914="","",IF($O914&gt;PARAMETRES!$G$36,5,IF($O914&gt;PARAMETRES!$F$36,4,IF($O914&gt;PARAMETRES!$E$36,3,IF($O914&gt;PARAMETRES!$D$36,2,1)))))</f>
        <v/>
      </c>
      <c r="X914" t="str">
        <f>IF($P914="","",IF($P914&gt;PARAMETRES!$G$37,5,IF($P914&gt;PARAMETRES!$F$37,4,IF($P914&gt;PARAMETRES!$E$37,3,IF($P914&gt;PARAMETRES!$D$37,2,1)))))</f>
        <v/>
      </c>
      <c r="Y914" t="str">
        <f t="shared" si="336"/>
        <v/>
      </c>
      <c r="Z914" t="str">
        <f>IFERROR(VLOOKUP($B914,TABLE_CYCLE,2,0),"")</f>
        <v/>
      </c>
      <c r="AA914" t="str">
        <f t="shared" si="337"/>
        <v/>
      </c>
      <c r="AB914" t="str">
        <f>IF($D914="","",IF(COUNTIF($D$2:$D914,$D914)=1,$D914,""))</f>
        <v/>
      </c>
      <c r="AC914">
        <f t="shared" si="338"/>
        <v>0</v>
      </c>
      <c r="AD914" t="str">
        <f t="shared" si="339"/>
        <v>|0</v>
      </c>
      <c r="AE914" t="str">
        <f t="shared" si="340"/>
        <v/>
      </c>
      <c r="AF914" t="str">
        <f t="shared" si="341"/>
        <v/>
      </c>
      <c r="AG914" t="str">
        <f t="shared" si="342"/>
        <v/>
      </c>
      <c r="AH914" t="str">
        <f t="shared" si="343"/>
        <v/>
      </c>
      <c r="AI914" t="str">
        <f t="shared" si="344"/>
        <v/>
      </c>
      <c r="AJ914" t="str">
        <f t="shared" si="345"/>
        <v/>
      </c>
      <c r="AK914" t="str">
        <f t="shared" si="346"/>
        <v/>
      </c>
      <c r="AL914" t="str">
        <f t="shared" si="347"/>
        <v/>
      </c>
      <c r="AM914" t="str">
        <f t="shared" si="348"/>
        <v/>
      </c>
      <c r="AN914" t="str">
        <f t="shared" si="349"/>
        <v/>
      </c>
      <c r="AO914" t="str">
        <f t="shared" si="350"/>
        <v/>
      </c>
      <c r="AP914">
        <f t="shared" si="351"/>
        <v>1</v>
      </c>
      <c r="AQ914" t="str">
        <f>IF(SAISIE!$F919="","",SAISIE!$Y919)</f>
        <v/>
      </c>
      <c r="AR914" t="str">
        <f>IF(OR(SAISIE!$U$4="",SAISIE!$W$4=""),"",IF(AND($A914=SAISIE!$U$4,$B914=SAISIE!$W$4,$C914="S1"),COUNTIFS($A$2:$A914,SAISIE!$U$4,$B$2:$B914,SAISIE!$W$4,$C$2:$C914,"S1"),""))</f>
        <v/>
      </c>
      <c r="AS914" t="str">
        <f t="shared" si="352"/>
        <v/>
      </c>
      <c r="AT914" t="str">
        <f t="shared" si="353"/>
        <v/>
      </c>
      <c r="AU914" t="str">
        <f t="shared" si="354"/>
        <v/>
      </c>
      <c r="AV914">
        <f>N(AV913)+IF(AND($AB914&lt;&gt;"",OR('PROFIL ELEVE'!$K$4="(Tous)",$AF914='PROFIL ELEVE'!$K$4)),1,0)</f>
        <v>0</v>
      </c>
      <c r="AW914">
        <f>N(AW913)+IF(AND($AB914&lt;&gt;"",OR('SUIVI LONGITUDINAL'!$Q$4="(Tous)",$AF914='SUIVI LONGITUDINAL'!$Q$4)),1,0)</f>
        <v>0</v>
      </c>
      <c r="AX914">
        <f t="shared" si="355"/>
        <v>0</v>
      </c>
      <c r="AY914">
        <f t="shared" si="356"/>
        <v>0</v>
      </c>
      <c r="AZ914">
        <f t="shared" si="357"/>
        <v>0</v>
      </c>
      <c r="BA914" t="str">
        <f t="shared" si="358"/>
        <v/>
      </c>
      <c r="BB914" t="str">
        <f t="shared" si="359"/>
        <v/>
      </c>
    </row>
    <row r="915" spans="1:54" ht="14.25" customHeight="1" x14ac:dyDescent="0.3">
      <c r="A915" t="str">
        <f>IF(SAISIE!$F920="","",SAISIE!$B920)</f>
        <v/>
      </c>
      <c r="B915" t="str">
        <f>IF(SAISIE!$F920="","",SAISIE!$C920)</f>
        <v/>
      </c>
      <c r="C915" t="str">
        <f>IF(SAISIE!$F920="","",SAISIE!$D920)</f>
        <v/>
      </c>
      <c r="D915" t="str">
        <f>IF(SAISIE!$E920="","",SAISIE!$E920)</f>
        <v/>
      </c>
      <c r="E915" t="str">
        <f>IF(SAISIE!$F920="","",SAISIE!$F920)</f>
        <v/>
      </c>
      <c r="F915" t="str">
        <f>IF(SAISIE!$G920="","",SAISIE!$G920)</f>
        <v/>
      </c>
      <c r="G915" t="str">
        <f>IF(SAISIE!$H920="","",SAISIE!$H920)</f>
        <v/>
      </c>
      <c r="H915" t="str">
        <f>IF(SAISIE!$I920="","",SAISIE!$I920)</f>
        <v/>
      </c>
      <c r="I915" t="str">
        <f>IF(SAISIE!$J920="","",SAISIE!$J920)</f>
        <v/>
      </c>
      <c r="J915" t="str">
        <f>IF(SAISIE!$K920="","",SAISIE!$K920)</f>
        <v/>
      </c>
      <c r="K915" t="str">
        <f>IF(SAISIE!$L920="","",SAISIE!$L920)</f>
        <v/>
      </c>
      <c r="L915" t="str">
        <f>IF(SAISIE!$M920="","",SAISIE!$M920)</f>
        <v/>
      </c>
      <c r="M915" t="str">
        <f>IF(SAISIE!$N920="","",SAISIE!$N920)</f>
        <v/>
      </c>
      <c r="N915" t="str">
        <f>IF(SAISIE!$O920="","",SAISIE!$O920)</f>
        <v/>
      </c>
      <c r="O915" t="str">
        <f>IF(SAISIE!$P920="","",SAISIE!$P920)</f>
        <v/>
      </c>
      <c r="P915" t="str">
        <f>IF(SAISIE!$Q920="","",SAISIE!$Q920)</f>
        <v/>
      </c>
      <c r="Q915" t="str">
        <f>IF($I915="","",IF($I915&gt;PARAMETRES!$G$29,5,IF($I915&gt;PARAMETRES!$F$29,4,IF($I915&gt;PARAMETRES!$E$29,3,IF($I915&gt;PARAMETRES!$D$29,2,1)))))</f>
        <v/>
      </c>
      <c r="R915" t="str">
        <f>IF($J915="","",IF($J915&gt;PARAMETRES!$G$30,5,IF($J915&gt;PARAMETRES!$F$30,4,IF($J915&gt;PARAMETRES!$E$30,3,IF($J915&gt;PARAMETRES!$D$30,2,1)))))</f>
        <v/>
      </c>
      <c r="S915" t="str">
        <f>IF($K915="","",IF($Z915=2,IF($K915&gt;PARAMETRES!$G$31,5,IF($K915&gt;PARAMETRES!$F$31,4,IF($K915&gt;PARAMETRES!$E$31,3,IF($K915&gt;PARAMETRES!$D$31,2,1)))),IF($K915&gt;PARAMETRES!$G$32,5,IF($K915&gt;PARAMETRES!$F$32,4,IF($K915&gt;PARAMETRES!$E$32,3,IF($K915&gt;PARAMETRES!$D$32,2,1))))))</f>
        <v/>
      </c>
      <c r="T915" t="str">
        <f>IF($L915="","",IF($L915&gt;PARAMETRES!$G$33,5,IF($L915&gt;PARAMETRES!$F$33,4,IF($L915&gt;PARAMETRES!$E$33,3,IF($L915&gt;PARAMETRES!$D$33,2,1)))))</f>
        <v/>
      </c>
      <c r="U915" t="str">
        <f>IF($M915="","",IF($M915&gt;PARAMETRES!$G$34,5,IF($M915&gt;PARAMETRES!$F$34,4,IF($M915&gt;PARAMETRES!$E$34,3,IF($M915&gt;PARAMETRES!$D$34,2,1)))))</f>
        <v/>
      </c>
      <c r="V915" t="str">
        <f>IF($N915="","",IF($N915&gt;PARAMETRES!$G$35,5,IF($N915&gt;PARAMETRES!$F$35,4,IF($N915&gt;PARAMETRES!$E$35,3,IF($N915&gt;PARAMETRES!$D$35,2,1)))))</f>
        <v/>
      </c>
      <c r="W915" t="str">
        <f>IF($O915="","",IF($O915&gt;PARAMETRES!$G$36,5,IF($O915&gt;PARAMETRES!$F$36,4,IF($O915&gt;PARAMETRES!$E$36,3,IF($O915&gt;PARAMETRES!$D$36,2,1)))))</f>
        <v/>
      </c>
      <c r="X915" t="str">
        <f>IF($P915="","",IF($P915&gt;PARAMETRES!$G$37,5,IF($P915&gt;PARAMETRES!$F$37,4,IF($P915&gt;PARAMETRES!$E$37,3,IF($P915&gt;PARAMETRES!$D$37,2,1)))))</f>
        <v/>
      </c>
      <c r="Y915" t="str">
        <f t="shared" si="336"/>
        <v/>
      </c>
      <c r="Z915" t="str">
        <f>IFERROR(VLOOKUP($B915,TABLE_CYCLE,2,0),"")</f>
        <v/>
      </c>
      <c r="AA915" t="str">
        <f t="shared" si="337"/>
        <v/>
      </c>
      <c r="AB915" t="str">
        <f>IF($D915="","",IF(COUNTIF($D$2:$D915,$D915)=1,$D915,""))</f>
        <v/>
      </c>
      <c r="AC915">
        <f t="shared" si="338"/>
        <v>0</v>
      </c>
      <c r="AD915" t="str">
        <f t="shared" si="339"/>
        <v>|0</v>
      </c>
      <c r="AE915" t="str">
        <f t="shared" si="340"/>
        <v/>
      </c>
      <c r="AF915" t="str">
        <f t="shared" si="341"/>
        <v/>
      </c>
      <c r="AG915" t="str">
        <f t="shared" si="342"/>
        <v/>
      </c>
      <c r="AH915" t="str">
        <f t="shared" si="343"/>
        <v/>
      </c>
      <c r="AI915" t="str">
        <f t="shared" si="344"/>
        <v/>
      </c>
      <c r="AJ915" t="str">
        <f t="shared" si="345"/>
        <v/>
      </c>
      <c r="AK915" t="str">
        <f t="shared" si="346"/>
        <v/>
      </c>
      <c r="AL915" t="str">
        <f t="shared" si="347"/>
        <v/>
      </c>
      <c r="AM915" t="str">
        <f t="shared" si="348"/>
        <v/>
      </c>
      <c r="AN915" t="str">
        <f t="shared" si="349"/>
        <v/>
      </c>
      <c r="AO915" t="str">
        <f t="shared" si="350"/>
        <v/>
      </c>
      <c r="AP915">
        <f t="shared" si="351"/>
        <v>1</v>
      </c>
      <c r="AQ915" t="str">
        <f>IF(SAISIE!$F920="","",SAISIE!$Y920)</f>
        <v/>
      </c>
      <c r="AR915" t="str">
        <f>IF(OR(SAISIE!$U$4="",SAISIE!$W$4=""),"",IF(AND($A915=SAISIE!$U$4,$B915=SAISIE!$W$4,$C915="S1"),COUNTIFS($A$2:$A915,SAISIE!$U$4,$B$2:$B915,SAISIE!$W$4,$C$2:$C915,"S1"),""))</f>
        <v/>
      </c>
      <c r="AS915" t="str">
        <f t="shared" si="352"/>
        <v/>
      </c>
      <c r="AT915" t="str">
        <f t="shared" si="353"/>
        <v/>
      </c>
      <c r="AU915" t="str">
        <f t="shared" si="354"/>
        <v/>
      </c>
      <c r="AV915">
        <f>N(AV914)+IF(AND($AB915&lt;&gt;"",OR('PROFIL ELEVE'!$K$4="(Tous)",$AF915='PROFIL ELEVE'!$K$4)),1,0)</f>
        <v>0</v>
      </c>
      <c r="AW915">
        <f>N(AW914)+IF(AND($AB915&lt;&gt;"",OR('SUIVI LONGITUDINAL'!$Q$4="(Tous)",$AF915='SUIVI LONGITUDINAL'!$Q$4)),1,0)</f>
        <v>0</v>
      </c>
      <c r="AX915">
        <f t="shared" si="355"/>
        <v>0</v>
      </c>
      <c r="AY915">
        <f t="shared" si="356"/>
        <v>0</v>
      </c>
      <c r="AZ915">
        <f t="shared" si="357"/>
        <v>0</v>
      </c>
      <c r="BA915" t="str">
        <f t="shared" si="358"/>
        <v/>
      </c>
      <c r="BB915" t="str">
        <f t="shared" si="359"/>
        <v/>
      </c>
    </row>
    <row r="916" spans="1:54" ht="14.25" customHeight="1" x14ac:dyDescent="0.3">
      <c r="A916" t="str">
        <f>IF(SAISIE!$F921="","",SAISIE!$B921)</f>
        <v/>
      </c>
      <c r="B916" t="str">
        <f>IF(SAISIE!$F921="","",SAISIE!$C921)</f>
        <v/>
      </c>
      <c r="C916" t="str">
        <f>IF(SAISIE!$F921="","",SAISIE!$D921)</f>
        <v/>
      </c>
      <c r="D916" t="str">
        <f>IF(SAISIE!$E921="","",SAISIE!$E921)</f>
        <v/>
      </c>
      <c r="E916" t="str">
        <f>IF(SAISIE!$F921="","",SAISIE!$F921)</f>
        <v/>
      </c>
      <c r="F916" t="str">
        <f>IF(SAISIE!$G921="","",SAISIE!$G921)</f>
        <v/>
      </c>
      <c r="G916" t="str">
        <f>IF(SAISIE!$H921="","",SAISIE!$H921)</f>
        <v/>
      </c>
      <c r="H916" t="str">
        <f>IF(SAISIE!$I921="","",SAISIE!$I921)</f>
        <v/>
      </c>
      <c r="I916" t="str">
        <f>IF(SAISIE!$J921="","",SAISIE!$J921)</f>
        <v/>
      </c>
      <c r="J916" t="str">
        <f>IF(SAISIE!$K921="","",SAISIE!$K921)</f>
        <v/>
      </c>
      <c r="K916" t="str">
        <f>IF(SAISIE!$L921="","",SAISIE!$L921)</f>
        <v/>
      </c>
      <c r="L916" t="str">
        <f>IF(SAISIE!$M921="","",SAISIE!$M921)</f>
        <v/>
      </c>
      <c r="M916" t="str">
        <f>IF(SAISIE!$N921="","",SAISIE!$N921)</f>
        <v/>
      </c>
      <c r="N916" t="str">
        <f>IF(SAISIE!$O921="","",SAISIE!$O921)</f>
        <v/>
      </c>
      <c r="O916" t="str">
        <f>IF(SAISIE!$P921="","",SAISIE!$P921)</f>
        <v/>
      </c>
      <c r="P916" t="str">
        <f>IF(SAISIE!$Q921="","",SAISIE!$Q921)</f>
        <v/>
      </c>
      <c r="Q916" t="str">
        <f>IF($I916="","",IF($I916&gt;PARAMETRES!$G$29,5,IF($I916&gt;PARAMETRES!$F$29,4,IF($I916&gt;PARAMETRES!$E$29,3,IF($I916&gt;PARAMETRES!$D$29,2,1)))))</f>
        <v/>
      </c>
      <c r="R916" t="str">
        <f>IF($J916="","",IF($J916&gt;PARAMETRES!$G$30,5,IF($J916&gt;PARAMETRES!$F$30,4,IF($J916&gt;PARAMETRES!$E$30,3,IF($J916&gt;PARAMETRES!$D$30,2,1)))))</f>
        <v/>
      </c>
      <c r="S916" t="str">
        <f>IF($K916="","",IF($Z916=2,IF($K916&gt;PARAMETRES!$G$31,5,IF($K916&gt;PARAMETRES!$F$31,4,IF($K916&gt;PARAMETRES!$E$31,3,IF($K916&gt;PARAMETRES!$D$31,2,1)))),IF($K916&gt;PARAMETRES!$G$32,5,IF($K916&gt;PARAMETRES!$F$32,4,IF($K916&gt;PARAMETRES!$E$32,3,IF($K916&gt;PARAMETRES!$D$32,2,1))))))</f>
        <v/>
      </c>
      <c r="T916" t="str">
        <f>IF($L916="","",IF($L916&gt;PARAMETRES!$G$33,5,IF($L916&gt;PARAMETRES!$F$33,4,IF($L916&gt;PARAMETRES!$E$33,3,IF($L916&gt;PARAMETRES!$D$33,2,1)))))</f>
        <v/>
      </c>
      <c r="U916" t="str">
        <f>IF($M916="","",IF($M916&gt;PARAMETRES!$G$34,5,IF($M916&gt;PARAMETRES!$F$34,4,IF($M916&gt;PARAMETRES!$E$34,3,IF($M916&gt;PARAMETRES!$D$34,2,1)))))</f>
        <v/>
      </c>
      <c r="V916" t="str">
        <f>IF($N916="","",IF($N916&gt;PARAMETRES!$G$35,5,IF($N916&gt;PARAMETRES!$F$35,4,IF($N916&gt;PARAMETRES!$E$35,3,IF($N916&gt;PARAMETRES!$D$35,2,1)))))</f>
        <v/>
      </c>
      <c r="W916" t="str">
        <f>IF($O916="","",IF($O916&gt;PARAMETRES!$G$36,5,IF($O916&gt;PARAMETRES!$F$36,4,IF($O916&gt;PARAMETRES!$E$36,3,IF($O916&gt;PARAMETRES!$D$36,2,1)))))</f>
        <v/>
      </c>
      <c r="X916" t="str">
        <f>IF($P916="","",IF($P916&gt;PARAMETRES!$G$37,5,IF($P916&gt;PARAMETRES!$F$37,4,IF($P916&gt;PARAMETRES!$E$37,3,IF($P916&gt;PARAMETRES!$D$37,2,1)))))</f>
        <v/>
      </c>
      <c r="Y916" t="str">
        <f t="shared" si="336"/>
        <v/>
      </c>
      <c r="Z916" t="str">
        <f>IFERROR(VLOOKUP($B916,TABLE_CYCLE,2,0),"")</f>
        <v/>
      </c>
      <c r="AA916" t="str">
        <f t="shared" si="337"/>
        <v/>
      </c>
      <c r="AB916" t="str">
        <f>IF($D916="","",IF(COUNTIF($D$2:$D916,$D916)=1,$D916,""))</f>
        <v/>
      </c>
      <c r="AC916">
        <f t="shared" si="338"/>
        <v>0</v>
      </c>
      <c r="AD916" t="str">
        <f t="shared" si="339"/>
        <v>|0</v>
      </c>
      <c r="AE916" t="str">
        <f t="shared" si="340"/>
        <v/>
      </c>
      <c r="AF916" t="str">
        <f t="shared" si="341"/>
        <v/>
      </c>
      <c r="AG916" t="str">
        <f t="shared" si="342"/>
        <v/>
      </c>
      <c r="AH916" t="str">
        <f t="shared" si="343"/>
        <v/>
      </c>
      <c r="AI916" t="str">
        <f t="shared" si="344"/>
        <v/>
      </c>
      <c r="AJ916" t="str">
        <f t="shared" si="345"/>
        <v/>
      </c>
      <c r="AK916" t="str">
        <f t="shared" si="346"/>
        <v/>
      </c>
      <c r="AL916" t="str">
        <f t="shared" si="347"/>
        <v/>
      </c>
      <c r="AM916" t="str">
        <f t="shared" si="348"/>
        <v/>
      </c>
      <c r="AN916" t="str">
        <f t="shared" si="349"/>
        <v/>
      </c>
      <c r="AO916" t="str">
        <f t="shared" si="350"/>
        <v/>
      </c>
      <c r="AP916">
        <f t="shared" si="351"/>
        <v>1</v>
      </c>
      <c r="AQ916" t="str">
        <f>IF(SAISIE!$F921="","",SAISIE!$Y921)</f>
        <v/>
      </c>
      <c r="AR916" t="str">
        <f>IF(OR(SAISIE!$U$4="",SAISIE!$W$4=""),"",IF(AND($A916=SAISIE!$U$4,$B916=SAISIE!$W$4,$C916="S1"),COUNTIFS($A$2:$A916,SAISIE!$U$4,$B$2:$B916,SAISIE!$W$4,$C$2:$C916,"S1"),""))</f>
        <v/>
      </c>
      <c r="AS916" t="str">
        <f t="shared" si="352"/>
        <v/>
      </c>
      <c r="AT916" t="str">
        <f t="shared" si="353"/>
        <v/>
      </c>
      <c r="AU916" t="str">
        <f t="shared" si="354"/>
        <v/>
      </c>
      <c r="AV916">
        <f>N(AV915)+IF(AND($AB916&lt;&gt;"",OR('PROFIL ELEVE'!$K$4="(Tous)",$AF916='PROFIL ELEVE'!$K$4)),1,0)</f>
        <v>0</v>
      </c>
      <c r="AW916">
        <f>N(AW915)+IF(AND($AB916&lt;&gt;"",OR('SUIVI LONGITUDINAL'!$Q$4="(Tous)",$AF916='SUIVI LONGITUDINAL'!$Q$4)),1,0)</f>
        <v>0</v>
      </c>
      <c r="AX916">
        <f t="shared" si="355"/>
        <v>0</v>
      </c>
      <c r="AY916">
        <f t="shared" si="356"/>
        <v>0</v>
      </c>
      <c r="AZ916">
        <f t="shared" si="357"/>
        <v>0</v>
      </c>
      <c r="BA916" t="str">
        <f t="shared" si="358"/>
        <v/>
      </c>
      <c r="BB916" t="str">
        <f t="shared" si="359"/>
        <v/>
      </c>
    </row>
    <row r="917" spans="1:54" ht="14.25" customHeight="1" x14ac:dyDescent="0.3">
      <c r="A917" t="str">
        <f>IF(SAISIE!$F922="","",SAISIE!$B922)</f>
        <v/>
      </c>
      <c r="B917" t="str">
        <f>IF(SAISIE!$F922="","",SAISIE!$C922)</f>
        <v/>
      </c>
      <c r="C917" t="str">
        <f>IF(SAISIE!$F922="","",SAISIE!$D922)</f>
        <v/>
      </c>
      <c r="D917" t="str">
        <f>IF(SAISIE!$E922="","",SAISIE!$E922)</f>
        <v/>
      </c>
      <c r="E917" t="str">
        <f>IF(SAISIE!$F922="","",SAISIE!$F922)</f>
        <v/>
      </c>
      <c r="F917" t="str">
        <f>IF(SAISIE!$G922="","",SAISIE!$G922)</f>
        <v/>
      </c>
      <c r="G917" t="str">
        <f>IF(SAISIE!$H922="","",SAISIE!$H922)</f>
        <v/>
      </c>
      <c r="H917" t="str">
        <f>IF(SAISIE!$I922="","",SAISIE!$I922)</f>
        <v/>
      </c>
      <c r="I917" t="str">
        <f>IF(SAISIE!$J922="","",SAISIE!$J922)</f>
        <v/>
      </c>
      <c r="J917" t="str">
        <f>IF(SAISIE!$K922="","",SAISIE!$K922)</f>
        <v/>
      </c>
      <c r="K917" t="str">
        <f>IF(SAISIE!$L922="","",SAISIE!$L922)</f>
        <v/>
      </c>
      <c r="L917" t="str">
        <f>IF(SAISIE!$M922="","",SAISIE!$M922)</f>
        <v/>
      </c>
      <c r="M917" t="str">
        <f>IF(SAISIE!$N922="","",SAISIE!$N922)</f>
        <v/>
      </c>
      <c r="N917" t="str">
        <f>IF(SAISIE!$O922="","",SAISIE!$O922)</f>
        <v/>
      </c>
      <c r="O917" t="str">
        <f>IF(SAISIE!$P922="","",SAISIE!$P922)</f>
        <v/>
      </c>
      <c r="P917" t="str">
        <f>IF(SAISIE!$Q922="","",SAISIE!$Q922)</f>
        <v/>
      </c>
      <c r="Q917" t="str">
        <f>IF($I917="","",IF($I917&gt;PARAMETRES!$G$29,5,IF($I917&gt;PARAMETRES!$F$29,4,IF($I917&gt;PARAMETRES!$E$29,3,IF($I917&gt;PARAMETRES!$D$29,2,1)))))</f>
        <v/>
      </c>
      <c r="R917" t="str">
        <f>IF($J917="","",IF($J917&gt;PARAMETRES!$G$30,5,IF($J917&gt;PARAMETRES!$F$30,4,IF($J917&gt;PARAMETRES!$E$30,3,IF($J917&gt;PARAMETRES!$D$30,2,1)))))</f>
        <v/>
      </c>
      <c r="S917" t="str">
        <f>IF($K917="","",IF($Z917=2,IF($K917&gt;PARAMETRES!$G$31,5,IF($K917&gt;PARAMETRES!$F$31,4,IF($K917&gt;PARAMETRES!$E$31,3,IF($K917&gt;PARAMETRES!$D$31,2,1)))),IF($K917&gt;PARAMETRES!$G$32,5,IF($K917&gt;PARAMETRES!$F$32,4,IF($K917&gt;PARAMETRES!$E$32,3,IF($K917&gt;PARAMETRES!$D$32,2,1))))))</f>
        <v/>
      </c>
      <c r="T917" t="str">
        <f>IF($L917="","",IF($L917&gt;PARAMETRES!$G$33,5,IF($L917&gt;PARAMETRES!$F$33,4,IF($L917&gt;PARAMETRES!$E$33,3,IF($L917&gt;PARAMETRES!$D$33,2,1)))))</f>
        <v/>
      </c>
      <c r="U917" t="str">
        <f>IF($M917="","",IF($M917&gt;PARAMETRES!$G$34,5,IF($M917&gt;PARAMETRES!$F$34,4,IF($M917&gt;PARAMETRES!$E$34,3,IF($M917&gt;PARAMETRES!$D$34,2,1)))))</f>
        <v/>
      </c>
      <c r="V917" t="str">
        <f>IF($N917="","",IF($N917&gt;PARAMETRES!$G$35,5,IF($N917&gt;PARAMETRES!$F$35,4,IF($N917&gt;PARAMETRES!$E$35,3,IF($N917&gt;PARAMETRES!$D$35,2,1)))))</f>
        <v/>
      </c>
      <c r="W917" t="str">
        <f>IF($O917="","",IF($O917&gt;PARAMETRES!$G$36,5,IF($O917&gt;PARAMETRES!$F$36,4,IF($O917&gt;PARAMETRES!$E$36,3,IF($O917&gt;PARAMETRES!$D$36,2,1)))))</f>
        <v/>
      </c>
      <c r="X917" t="str">
        <f>IF($P917="","",IF($P917&gt;PARAMETRES!$G$37,5,IF($P917&gt;PARAMETRES!$F$37,4,IF($P917&gt;PARAMETRES!$E$37,3,IF($P917&gt;PARAMETRES!$D$37,2,1)))))</f>
        <v/>
      </c>
      <c r="Y917" t="str">
        <f t="shared" si="336"/>
        <v/>
      </c>
      <c r="Z917" t="str">
        <f>IFERROR(VLOOKUP($B917,TABLE_CYCLE,2,0),"")</f>
        <v/>
      </c>
      <c r="AA917" t="str">
        <f t="shared" si="337"/>
        <v/>
      </c>
      <c r="AB917" t="str">
        <f>IF($D917="","",IF(COUNTIF($D$2:$D917,$D917)=1,$D917,""))</f>
        <v/>
      </c>
      <c r="AC917">
        <f t="shared" si="338"/>
        <v>0</v>
      </c>
      <c r="AD917" t="str">
        <f t="shared" si="339"/>
        <v>|0</v>
      </c>
      <c r="AE917" t="str">
        <f t="shared" si="340"/>
        <v/>
      </c>
      <c r="AF917" t="str">
        <f t="shared" si="341"/>
        <v/>
      </c>
      <c r="AG917" t="str">
        <f t="shared" si="342"/>
        <v/>
      </c>
      <c r="AH917" t="str">
        <f t="shared" si="343"/>
        <v/>
      </c>
      <c r="AI917" t="str">
        <f t="shared" si="344"/>
        <v/>
      </c>
      <c r="AJ917" t="str">
        <f t="shared" si="345"/>
        <v/>
      </c>
      <c r="AK917" t="str">
        <f t="shared" si="346"/>
        <v/>
      </c>
      <c r="AL917" t="str">
        <f t="shared" si="347"/>
        <v/>
      </c>
      <c r="AM917" t="str">
        <f t="shared" si="348"/>
        <v/>
      </c>
      <c r="AN917" t="str">
        <f t="shared" si="349"/>
        <v/>
      </c>
      <c r="AO917" t="str">
        <f t="shared" si="350"/>
        <v/>
      </c>
      <c r="AP917">
        <f t="shared" si="351"/>
        <v>1</v>
      </c>
      <c r="AQ917" t="str">
        <f>IF(SAISIE!$F922="","",SAISIE!$Y922)</f>
        <v/>
      </c>
      <c r="AR917" t="str">
        <f>IF(OR(SAISIE!$U$4="",SAISIE!$W$4=""),"",IF(AND($A917=SAISIE!$U$4,$B917=SAISIE!$W$4,$C917="S1"),COUNTIFS($A$2:$A917,SAISIE!$U$4,$B$2:$B917,SAISIE!$W$4,$C$2:$C917,"S1"),""))</f>
        <v/>
      </c>
      <c r="AS917" t="str">
        <f t="shared" si="352"/>
        <v/>
      </c>
      <c r="AT917" t="str">
        <f t="shared" si="353"/>
        <v/>
      </c>
      <c r="AU917" t="str">
        <f t="shared" si="354"/>
        <v/>
      </c>
      <c r="AV917">
        <f>N(AV916)+IF(AND($AB917&lt;&gt;"",OR('PROFIL ELEVE'!$K$4="(Tous)",$AF917='PROFIL ELEVE'!$K$4)),1,0)</f>
        <v>0</v>
      </c>
      <c r="AW917">
        <f>N(AW916)+IF(AND($AB917&lt;&gt;"",OR('SUIVI LONGITUDINAL'!$Q$4="(Tous)",$AF917='SUIVI LONGITUDINAL'!$Q$4)),1,0)</f>
        <v>0</v>
      </c>
      <c r="AX917">
        <f t="shared" si="355"/>
        <v>0</v>
      </c>
      <c r="AY917">
        <f t="shared" si="356"/>
        <v>0</v>
      </c>
      <c r="AZ917">
        <f t="shared" si="357"/>
        <v>0</v>
      </c>
      <c r="BA917" t="str">
        <f t="shared" si="358"/>
        <v/>
      </c>
      <c r="BB917" t="str">
        <f t="shared" si="359"/>
        <v/>
      </c>
    </row>
    <row r="918" spans="1:54" ht="14.25" customHeight="1" x14ac:dyDescent="0.3">
      <c r="A918" t="str">
        <f>IF(SAISIE!$F923="","",SAISIE!$B923)</f>
        <v/>
      </c>
      <c r="B918" t="str">
        <f>IF(SAISIE!$F923="","",SAISIE!$C923)</f>
        <v/>
      </c>
      <c r="C918" t="str">
        <f>IF(SAISIE!$F923="","",SAISIE!$D923)</f>
        <v/>
      </c>
      <c r="D918" t="str">
        <f>IF(SAISIE!$E923="","",SAISIE!$E923)</f>
        <v/>
      </c>
      <c r="E918" t="str">
        <f>IF(SAISIE!$F923="","",SAISIE!$F923)</f>
        <v/>
      </c>
      <c r="F918" t="str">
        <f>IF(SAISIE!$G923="","",SAISIE!$G923)</f>
        <v/>
      </c>
      <c r="G918" t="str">
        <f>IF(SAISIE!$H923="","",SAISIE!$H923)</f>
        <v/>
      </c>
      <c r="H918" t="str">
        <f>IF(SAISIE!$I923="","",SAISIE!$I923)</f>
        <v/>
      </c>
      <c r="I918" t="str">
        <f>IF(SAISIE!$J923="","",SAISIE!$J923)</f>
        <v/>
      </c>
      <c r="J918" t="str">
        <f>IF(SAISIE!$K923="","",SAISIE!$K923)</f>
        <v/>
      </c>
      <c r="K918" t="str">
        <f>IF(SAISIE!$L923="","",SAISIE!$L923)</f>
        <v/>
      </c>
      <c r="L918" t="str">
        <f>IF(SAISIE!$M923="","",SAISIE!$M923)</f>
        <v/>
      </c>
      <c r="M918" t="str">
        <f>IF(SAISIE!$N923="","",SAISIE!$N923)</f>
        <v/>
      </c>
      <c r="N918" t="str">
        <f>IF(SAISIE!$O923="","",SAISIE!$O923)</f>
        <v/>
      </c>
      <c r="O918" t="str">
        <f>IF(SAISIE!$P923="","",SAISIE!$P923)</f>
        <v/>
      </c>
      <c r="P918" t="str">
        <f>IF(SAISIE!$Q923="","",SAISIE!$Q923)</f>
        <v/>
      </c>
      <c r="Q918" t="str">
        <f>IF($I918="","",IF($I918&gt;PARAMETRES!$G$29,5,IF($I918&gt;PARAMETRES!$F$29,4,IF($I918&gt;PARAMETRES!$E$29,3,IF($I918&gt;PARAMETRES!$D$29,2,1)))))</f>
        <v/>
      </c>
      <c r="R918" t="str">
        <f>IF($J918="","",IF($J918&gt;PARAMETRES!$G$30,5,IF($J918&gt;PARAMETRES!$F$30,4,IF($J918&gt;PARAMETRES!$E$30,3,IF($J918&gt;PARAMETRES!$D$30,2,1)))))</f>
        <v/>
      </c>
      <c r="S918" t="str">
        <f>IF($K918="","",IF($Z918=2,IF($K918&gt;PARAMETRES!$G$31,5,IF($K918&gt;PARAMETRES!$F$31,4,IF($K918&gt;PARAMETRES!$E$31,3,IF($K918&gt;PARAMETRES!$D$31,2,1)))),IF($K918&gt;PARAMETRES!$G$32,5,IF($K918&gt;PARAMETRES!$F$32,4,IF($K918&gt;PARAMETRES!$E$32,3,IF($K918&gt;PARAMETRES!$D$32,2,1))))))</f>
        <v/>
      </c>
      <c r="T918" t="str">
        <f>IF($L918="","",IF($L918&gt;PARAMETRES!$G$33,5,IF($L918&gt;PARAMETRES!$F$33,4,IF($L918&gt;PARAMETRES!$E$33,3,IF($L918&gt;PARAMETRES!$D$33,2,1)))))</f>
        <v/>
      </c>
      <c r="U918" t="str">
        <f>IF($M918="","",IF($M918&gt;PARAMETRES!$G$34,5,IF($M918&gt;PARAMETRES!$F$34,4,IF($M918&gt;PARAMETRES!$E$34,3,IF($M918&gt;PARAMETRES!$D$34,2,1)))))</f>
        <v/>
      </c>
      <c r="V918" t="str">
        <f>IF($N918="","",IF($N918&gt;PARAMETRES!$G$35,5,IF($N918&gt;PARAMETRES!$F$35,4,IF($N918&gt;PARAMETRES!$E$35,3,IF($N918&gt;PARAMETRES!$D$35,2,1)))))</f>
        <v/>
      </c>
      <c r="W918" t="str">
        <f>IF($O918="","",IF($O918&gt;PARAMETRES!$G$36,5,IF($O918&gt;PARAMETRES!$F$36,4,IF($O918&gt;PARAMETRES!$E$36,3,IF($O918&gt;PARAMETRES!$D$36,2,1)))))</f>
        <v/>
      </c>
      <c r="X918" t="str">
        <f>IF($P918="","",IF($P918&gt;PARAMETRES!$G$37,5,IF($P918&gt;PARAMETRES!$F$37,4,IF($P918&gt;PARAMETRES!$E$37,3,IF($P918&gt;PARAMETRES!$D$37,2,1)))))</f>
        <v/>
      </c>
      <c r="Y918" t="str">
        <f t="shared" si="336"/>
        <v/>
      </c>
      <c r="Z918" t="str">
        <f>IFERROR(VLOOKUP($B918,TABLE_CYCLE,2,0),"")</f>
        <v/>
      </c>
      <c r="AA918" t="str">
        <f t="shared" si="337"/>
        <v/>
      </c>
      <c r="AB918" t="str">
        <f>IF($D918="","",IF(COUNTIF($D$2:$D918,$D918)=1,$D918,""))</f>
        <v/>
      </c>
      <c r="AC918">
        <f t="shared" si="338"/>
        <v>0</v>
      </c>
      <c r="AD918" t="str">
        <f t="shared" si="339"/>
        <v>|0</v>
      </c>
      <c r="AE918" t="str">
        <f t="shared" si="340"/>
        <v/>
      </c>
      <c r="AF918" t="str">
        <f t="shared" si="341"/>
        <v/>
      </c>
      <c r="AG918" t="str">
        <f t="shared" si="342"/>
        <v/>
      </c>
      <c r="AH918" t="str">
        <f t="shared" si="343"/>
        <v/>
      </c>
      <c r="AI918" t="str">
        <f t="shared" si="344"/>
        <v/>
      </c>
      <c r="AJ918" t="str">
        <f t="shared" si="345"/>
        <v/>
      </c>
      <c r="AK918" t="str">
        <f t="shared" si="346"/>
        <v/>
      </c>
      <c r="AL918" t="str">
        <f t="shared" si="347"/>
        <v/>
      </c>
      <c r="AM918" t="str">
        <f t="shared" si="348"/>
        <v/>
      </c>
      <c r="AN918" t="str">
        <f t="shared" si="349"/>
        <v/>
      </c>
      <c r="AO918" t="str">
        <f t="shared" si="350"/>
        <v/>
      </c>
      <c r="AP918">
        <f t="shared" si="351"/>
        <v>1</v>
      </c>
      <c r="AQ918" t="str">
        <f>IF(SAISIE!$F923="","",SAISIE!$Y923)</f>
        <v/>
      </c>
      <c r="AR918" t="str">
        <f>IF(OR(SAISIE!$U$4="",SAISIE!$W$4=""),"",IF(AND($A918=SAISIE!$U$4,$B918=SAISIE!$W$4,$C918="S1"),COUNTIFS($A$2:$A918,SAISIE!$U$4,$B$2:$B918,SAISIE!$W$4,$C$2:$C918,"S1"),""))</f>
        <v/>
      </c>
      <c r="AS918" t="str">
        <f t="shared" si="352"/>
        <v/>
      </c>
      <c r="AT918" t="str">
        <f t="shared" si="353"/>
        <v/>
      </c>
      <c r="AU918" t="str">
        <f t="shared" si="354"/>
        <v/>
      </c>
      <c r="AV918">
        <f>N(AV917)+IF(AND($AB918&lt;&gt;"",OR('PROFIL ELEVE'!$K$4="(Tous)",$AF918='PROFIL ELEVE'!$K$4)),1,0)</f>
        <v>0</v>
      </c>
      <c r="AW918">
        <f>N(AW917)+IF(AND($AB918&lt;&gt;"",OR('SUIVI LONGITUDINAL'!$Q$4="(Tous)",$AF918='SUIVI LONGITUDINAL'!$Q$4)),1,0)</f>
        <v>0</v>
      </c>
      <c r="AX918">
        <f t="shared" si="355"/>
        <v>0</v>
      </c>
      <c r="AY918">
        <f t="shared" si="356"/>
        <v>0</v>
      </c>
      <c r="AZ918">
        <f t="shared" si="357"/>
        <v>0</v>
      </c>
      <c r="BA918" t="str">
        <f t="shared" si="358"/>
        <v/>
      </c>
      <c r="BB918" t="str">
        <f t="shared" si="359"/>
        <v/>
      </c>
    </row>
    <row r="919" spans="1:54" ht="14.25" customHeight="1" x14ac:dyDescent="0.3">
      <c r="A919" t="str">
        <f>IF(SAISIE!$F924="","",SAISIE!$B924)</f>
        <v/>
      </c>
      <c r="B919" t="str">
        <f>IF(SAISIE!$F924="","",SAISIE!$C924)</f>
        <v/>
      </c>
      <c r="C919" t="str">
        <f>IF(SAISIE!$F924="","",SAISIE!$D924)</f>
        <v/>
      </c>
      <c r="D919" t="str">
        <f>IF(SAISIE!$E924="","",SAISIE!$E924)</f>
        <v/>
      </c>
      <c r="E919" t="str">
        <f>IF(SAISIE!$F924="","",SAISIE!$F924)</f>
        <v/>
      </c>
      <c r="F919" t="str">
        <f>IF(SAISIE!$G924="","",SAISIE!$G924)</f>
        <v/>
      </c>
      <c r="G919" t="str">
        <f>IF(SAISIE!$H924="","",SAISIE!$H924)</f>
        <v/>
      </c>
      <c r="H919" t="str">
        <f>IF(SAISIE!$I924="","",SAISIE!$I924)</f>
        <v/>
      </c>
      <c r="I919" t="str">
        <f>IF(SAISIE!$J924="","",SAISIE!$J924)</f>
        <v/>
      </c>
      <c r="J919" t="str">
        <f>IF(SAISIE!$K924="","",SAISIE!$K924)</f>
        <v/>
      </c>
      <c r="K919" t="str">
        <f>IF(SAISIE!$L924="","",SAISIE!$L924)</f>
        <v/>
      </c>
      <c r="L919" t="str">
        <f>IF(SAISIE!$M924="","",SAISIE!$M924)</f>
        <v/>
      </c>
      <c r="M919" t="str">
        <f>IF(SAISIE!$N924="","",SAISIE!$N924)</f>
        <v/>
      </c>
      <c r="N919" t="str">
        <f>IF(SAISIE!$O924="","",SAISIE!$O924)</f>
        <v/>
      </c>
      <c r="O919" t="str">
        <f>IF(SAISIE!$P924="","",SAISIE!$P924)</f>
        <v/>
      </c>
      <c r="P919" t="str">
        <f>IF(SAISIE!$Q924="","",SAISIE!$Q924)</f>
        <v/>
      </c>
      <c r="Q919" t="str">
        <f>IF($I919="","",IF($I919&gt;PARAMETRES!$G$29,5,IF($I919&gt;PARAMETRES!$F$29,4,IF($I919&gt;PARAMETRES!$E$29,3,IF($I919&gt;PARAMETRES!$D$29,2,1)))))</f>
        <v/>
      </c>
      <c r="R919" t="str">
        <f>IF($J919="","",IF($J919&gt;PARAMETRES!$G$30,5,IF($J919&gt;PARAMETRES!$F$30,4,IF($J919&gt;PARAMETRES!$E$30,3,IF($J919&gt;PARAMETRES!$D$30,2,1)))))</f>
        <v/>
      </c>
      <c r="S919" t="str">
        <f>IF($K919="","",IF($Z919=2,IF($K919&gt;PARAMETRES!$G$31,5,IF($K919&gt;PARAMETRES!$F$31,4,IF($K919&gt;PARAMETRES!$E$31,3,IF($K919&gt;PARAMETRES!$D$31,2,1)))),IF($K919&gt;PARAMETRES!$G$32,5,IF($K919&gt;PARAMETRES!$F$32,4,IF($K919&gt;PARAMETRES!$E$32,3,IF($K919&gt;PARAMETRES!$D$32,2,1))))))</f>
        <v/>
      </c>
      <c r="T919" t="str">
        <f>IF($L919="","",IF($L919&gt;PARAMETRES!$G$33,5,IF($L919&gt;PARAMETRES!$F$33,4,IF($L919&gt;PARAMETRES!$E$33,3,IF($L919&gt;PARAMETRES!$D$33,2,1)))))</f>
        <v/>
      </c>
      <c r="U919" t="str">
        <f>IF($M919="","",IF($M919&gt;PARAMETRES!$G$34,5,IF($M919&gt;PARAMETRES!$F$34,4,IF($M919&gt;PARAMETRES!$E$34,3,IF($M919&gt;PARAMETRES!$D$34,2,1)))))</f>
        <v/>
      </c>
      <c r="V919" t="str">
        <f>IF($N919="","",IF($N919&gt;PARAMETRES!$G$35,5,IF($N919&gt;PARAMETRES!$F$35,4,IF($N919&gt;PARAMETRES!$E$35,3,IF($N919&gt;PARAMETRES!$D$35,2,1)))))</f>
        <v/>
      </c>
      <c r="W919" t="str">
        <f>IF($O919="","",IF($O919&gt;PARAMETRES!$G$36,5,IF($O919&gt;PARAMETRES!$F$36,4,IF($O919&gt;PARAMETRES!$E$36,3,IF($O919&gt;PARAMETRES!$D$36,2,1)))))</f>
        <v/>
      </c>
      <c r="X919" t="str">
        <f>IF($P919="","",IF($P919&gt;PARAMETRES!$G$37,5,IF($P919&gt;PARAMETRES!$F$37,4,IF($P919&gt;PARAMETRES!$E$37,3,IF($P919&gt;PARAMETRES!$D$37,2,1)))))</f>
        <v/>
      </c>
      <c r="Y919" t="str">
        <f t="shared" si="336"/>
        <v/>
      </c>
      <c r="Z919" t="str">
        <f>IFERROR(VLOOKUP($B919,TABLE_CYCLE,2,0),"")</f>
        <v/>
      </c>
      <c r="AA919" t="str">
        <f t="shared" si="337"/>
        <v/>
      </c>
      <c r="AB919" t="str">
        <f>IF($D919="","",IF(COUNTIF($D$2:$D919,$D919)=1,$D919,""))</f>
        <v/>
      </c>
      <c r="AC919">
        <f t="shared" si="338"/>
        <v>0</v>
      </c>
      <c r="AD919" t="str">
        <f t="shared" si="339"/>
        <v>|0</v>
      </c>
      <c r="AE919" t="str">
        <f t="shared" si="340"/>
        <v/>
      </c>
      <c r="AF919" t="str">
        <f t="shared" si="341"/>
        <v/>
      </c>
      <c r="AG919" t="str">
        <f t="shared" si="342"/>
        <v/>
      </c>
      <c r="AH919" t="str">
        <f t="shared" si="343"/>
        <v/>
      </c>
      <c r="AI919" t="str">
        <f t="shared" si="344"/>
        <v/>
      </c>
      <c r="AJ919" t="str">
        <f t="shared" si="345"/>
        <v/>
      </c>
      <c r="AK919" t="str">
        <f t="shared" si="346"/>
        <v/>
      </c>
      <c r="AL919" t="str">
        <f t="shared" si="347"/>
        <v/>
      </c>
      <c r="AM919" t="str">
        <f t="shared" si="348"/>
        <v/>
      </c>
      <c r="AN919" t="str">
        <f t="shared" si="349"/>
        <v/>
      </c>
      <c r="AO919" t="str">
        <f t="shared" si="350"/>
        <v/>
      </c>
      <c r="AP919">
        <f t="shared" si="351"/>
        <v>1</v>
      </c>
      <c r="AQ919" t="str">
        <f>IF(SAISIE!$F924="","",SAISIE!$Y924)</f>
        <v/>
      </c>
      <c r="AR919" t="str">
        <f>IF(OR(SAISIE!$U$4="",SAISIE!$W$4=""),"",IF(AND($A919=SAISIE!$U$4,$B919=SAISIE!$W$4,$C919="S1"),COUNTIFS($A$2:$A919,SAISIE!$U$4,$B$2:$B919,SAISIE!$W$4,$C$2:$C919,"S1"),""))</f>
        <v/>
      </c>
      <c r="AS919" t="str">
        <f t="shared" si="352"/>
        <v/>
      </c>
      <c r="AT919" t="str">
        <f t="shared" si="353"/>
        <v/>
      </c>
      <c r="AU919" t="str">
        <f t="shared" si="354"/>
        <v/>
      </c>
      <c r="AV919">
        <f>N(AV918)+IF(AND($AB919&lt;&gt;"",OR('PROFIL ELEVE'!$K$4="(Tous)",$AF919='PROFIL ELEVE'!$K$4)),1,0)</f>
        <v>0</v>
      </c>
      <c r="AW919">
        <f>N(AW918)+IF(AND($AB919&lt;&gt;"",OR('SUIVI LONGITUDINAL'!$Q$4="(Tous)",$AF919='SUIVI LONGITUDINAL'!$Q$4)),1,0)</f>
        <v>0</v>
      </c>
      <c r="AX919">
        <f t="shared" si="355"/>
        <v>0</v>
      </c>
      <c r="AY919">
        <f t="shared" si="356"/>
        <v>0</v>
      </c>
      <c r="AZ919">
        <f t="shared" si="357"/>
        <v>0</v>
      </c>
      <c r="BA919" t="str">
        <f t="shared" si="358"/>
        <v/>
      </c>
      <c r="BB919" t="str">
        <f t="shared" si="359"/>
        <v/>
      </c>
    </row>
    <row r="920" spans="1:54" ht="14.25" customHeight="1" x14ac:dyDescent="0.3">
      <c r="A920" t="str">
        <f>IF(SAISIE!$F925="","",SAISIE!$B925)</f>
        <v/>
      </c>
      <c r="B920" t="str">
        <f>IF(SAISIE!$F925="","",SAISIE!$C925)</f>
        <v/>
      </c>
      <c r="C920" t="str">
        <f>IF(SAISIE!$F925="","",SAISIE!$D925)</f>
        <v/>
      </c>
      <c r="D920" t="str">
        <f>IF(SAISIE!$E925="","",SAISIE!$E925)</f>
        <v/>
      </c>
      <c r="E920" t="str">
        <f>IF(SAISIE!$F925="","",SAISIE!$F925)</f>
        <v/>
      </c>
      <c r="F920" t="str">
        <f>IF(SAISIE!$G925="","",SAISIE!$G925)</f>
        <v/>
      </c>
      <c r="G920" t="str">
        <f>IF(SAISIE!$H925="","",SAISIE!$H925)</f>
        <v/>
      </c>
      <c r="H920" t="str">
        <f>IF(SAISIE!$I925="","",SAISIE!$I925)</f>
        <v/>
      </c>
      <c r="I920" t="str">
        <f>IF(SAISIE!$J925="","",SAISIE!$J925)</f>
        <v/>
      </c>
      <c r="J920" t="str">
        <f>IF(SAISIE!$K925="","",SAISIE!$K925)</f>
        <v/>
      </c>
      <c r="K920" t="str">
        <f>IF(SAISIE!$L925="","",SAISIE!$L925)</f>
        <v/>
      </c>
      <c r="L920" t="str">
        <f>IF(SAISIE!$M925="","",SAISIE!$M925)</f>
        <v/>
      </c>
      <c r="M920" t="str">
        <f>IF(SAISIE!$N925="","",SAISIE!$N925)</f>
        <v/>
      </c>
      <c r="N920" t="str">
        <f>IF(SAISIE!$O925="","",SAISIE!$O925)</f>
        <v/>
      </c>
      <c r="O920" t="str">
        <f>IF(SAISIE!$P925="","",SAISIE!$P925)</f>
        <v/>
      </c>
      <c r="P920" t="str">
        <f>IF(SAISIE!$Q925="","",SAISIE!$Q925)</f>
        <v/>
      </c>
      <c r="Q920" t="str">
        <f>IF($I920="","",IF($I920&gt;PARAMETRES!$G$29,5,IF($I920&gt;PARAMETRES!$F$29,4,IF($I920&gt;PARAMETRES!$E$29,3,IF($I920&gt;PARAMETRES!$D$29,2,1)))))</f>
        <v/>
      </c>
      <c r="R920" t="str">
        <f>IF($J920="","",IF($J920&gt;PARAMETRES!$G$30,5,IF($J920&gt;PARAMETRES!$F$30,4,IF($J920&gt;PARAMETRES!$E$30,3,IF($J920&gt;PARAMETRES!$D$30,2,1)))))</f>
        <v/>
      </c>
      <c r="S920" t="str">
        <f>IF($K920="","",IF($Z920=2,IF($K920&gt;PARAMETRES!$G$31,5,IF($K920&gt;PARAMETRES!$F$31,4,IF($K920&gt;PARAMETRES!$E$31,3,IF($K920&gt;PARAMETRES!$D$31,2,1)))),IF($K920&gt;PARAMETRES!$G$32,5,IF($K920&gt;PARAMETRES!$F$32,4,IF($K920&gt;PARAMETRES!$E$32,3,IF($K920&gt;PARAMETRES!$D$32,2,1))))))</f>
        <v/>
      </c>
      <c r="T920" t="str">
        <f>IF($L920="","",IF($L920&gt;PARAMETRES!$G$33,5,IF($L920&gt;PARAMETRES!$F$33,4,IF($L920&gt;PARAMETRES!$E$33,3,IF($L920&gt;PARAMETRES!$D$33,2,1)))))</f>
        <v/>
      </c>
      <c r="U920" t="str">
        <f>IF($M920="","",IF($M920&gt;PARAMETRES!$G$34,5,IF($M920&gt;PARAMETRES!$F$34,4,IF($M920&gt;PARAMETRES!$E$34,3,IF($M920&gt;PARAMETRES!$D$34,2,1)))))</f>
        <v/>
      </c>
      <c r="V920" t="str">
        <f>IF($N920="","",IF($N920&gt;PARAMETRES!$G$35,5,IF($N920&gt;PARAMETRES!$F$35,4,IF($N920&gt;PARAMETRES!$E$35,3,IF($N920&gt;PARAMETRES!$D$35,2,1)))))</f>
        <v/>
      </c>
      <c r="W920" t="str">
        <f>IF($O920="","",IF($O920&gt;PARAMETRES!$G$36,5,IF($O920&gt;PARAMETRES!$F$36,4,IF($O920&gt;PARAMETRES!$E$36,3,IF($O920&gt;PARAMETRES!$D$36,2,1)))))</f>
        <v/>
      </c>
      <c r="X920" t="str">
        <f>IF($P920="","",IF($P920&gt;PARAMETRES!$G$37,5,IF($P920&gt;PARAMETRES!$F$37,4,IF($P920&gt;PARAMETRES!$E$37,3,IF($P920&gt;PARAMETRES!$D$37,2,1)))))</f>
        <v/>
      </c>
      <c r="Y920" t="str">
        <f t="shared" si="336"/>
        <v/>
      </c>
      <c r="Z920" t="str">
        <f>IFERROR(VLOOKUP($B920,TABLE_CYCLE,2,0),"")</f>
        <v/>
      </c>
      <c r="AA920" t="str">
        <f t="shared" si="337"/>
        <v/>
      </c>
      <c r="AB920" t="str">
        <f>IF($D920="","",IF(COUNTIF($D$2:$D920,$D920)=1,$D920,""))</f>
        <v/>
      </c>
      <c r="AC920">
        <f t="shared" si="338"/>
        <v>0</v>
      </c>
      <c r="AD920" t="str">
        <f t="shared" si="339"/>
        <v>|0</v>
      </c>
      <c r="AE920" t="str">
        <f t="shared" si="340"/>
        <v/>
      </c>
      <c r="AF920" t="str">
        <f t="shared" si="341"/>
        <v/>
      </c>
      <c r="AG920" t="str">
        <f t="shared" si="342"/>
        <v/>
      </c>
      <c r="AH920" t="str">
        <f t="shared" si="343"/>
        <v/>
      </c>
      <c r="AI920" t="str">
        <f t="shared" si="344"/>
        <v/>
      </c>
      <c r="AJ920" t="str">
        <f t="shared" si="345"/>
        <v/>
      </c>
      <c r="AK920" t="str">
        <f t="shared" si="346"/>
        <v/>
      </c>
      <c r="AL920" t="str">
        <f t="shared" si="347"/>
        <v/>
      </c>
      <c r="AM920" t="str">
        <f t="shared" si="348"/>
        <v/>
      </c>
      <c r="AN920" t="str">
        <f t="shared" si="349"/>
        <v/>
      </c>
      <c r="AO920" t="str">
        <f t="shared" si="350"/>
        <v/>
      </c>
      <c r="AP920">
        <f t="shared" si="351"/>
        <v>1</v>
      </c>
      <c r="AQ920" t="str">
        <f>IF(SAISIE!$F925="","",SAISIE!$Y925)</f>
        <v/>
      </c>
      <c r="AR920" t="str">
        <f>IF(OR(SAISIE!$U$4="",SAISIE!$W$4=""),"",IF(AND($A920=SAISIE!$U$4,$B920=SAISIE!$W$4,$C920="S1"),COUNTIFS($A$2:$A920,SAISIE!$U$4,$B$2:$B920,SAISIE!$W$4,$C$2:$C920,"S1"),""))</f>
        <v/>
      </c>
      <c r="AS920" t="str">
        <f t="shared" si="352"/>
        <v/>
      </c>
      <c r="AT920" t="str">
        <f t="shared" si="353"/>
        <v/>
      </c>
      <c r="AU920" t="str">
        <f t="shared" si="354"/>
        <v/>
      </c>
      <c r="AV920">
        <f>N(AV919)+IF(AND($AB920&lt;&gt;"",OR('PROFIL ELEVE'!$K$4="(Tous)",$AF920='PROFIL ELEVE'!$K$4)),1,0)</f>
        <v>0</v>
      </c>
      <c r="AW920">
        <f>N(AW919)+IF(AND($AB920&lt;&gt;"",OR('SUIVI LONGITUDINAL'!$Q$4="(Tous)",$AF920='SUIVI LONGITUDINAL'!$Q$4)),1,0)</f>
        <v>0</v>
      </c>
      <c r="AX920">
        <f t="shared" si="355"/>
        <v>0</v>
      </c>
      <c r="AY920">
        <f t="shared" si="356"/>
        <v>0</v>
      </c>
      <c r="AZ920">
        <f t="shared" si="357"/>
        <v>0</v>
      </c>
      <c r="BA920" t="str">
        <f t="shared" si="358"/>
        <v/>
      </c>
      <c r="BB920" t="str">
        <f t="shared" si="359"/>
        <v/>
      </c>
    </row>
    <row r="921" spans="1:54" ht="14.25" customHeight="1" x14ac:dyDescent="0.3">
      <c r="A921" t="str">
        <f>IF(SAISIE!$F926="","",SAISIE!$B926)</f>
        <v/>
      </c>
      <c r="B921" t="str">
        <f>IF(SAISIE!$F926="","",SAISIE!$C926)</f>
        <v/>
      </c>
      <c r="C921" t="str">
        <f>IF(SAISIE!$F926="","",SAISIE!$D926)</f>
        <v/>
      </c>
      <c r="D921" t="str">
        <f>IF(SAISIE!$E926="","",SAISIE!$E926)</f>
        <v/>
      </c>
      <c r="E921" t="str">
        <f>IF(SAISIE!$F926="","",SAISIE!$F926)</f>
        <v/>
      </c>
      <c r="F921" t="str">
        <f>IF(SAISIE!$G926="","",SAISIE!$G926)</f>
        <v/>
      </c>
      <c r="G921" t="str">
        <f>IF(SAISIE!$H926="","",SAISIE!$H926)</f>
        <v/>
      </c>
      <c r="H921" t="str">
        <f>IF(SAISIE!$I926="","",SAISIE!$I926)</f>
        <v/>
      </c>
      <c r="I921" t="str">
        <f>IF(SAISIE!$J926="","",SAISIE!$J926)</f>
        <v/>
      </c>
      <c r="J921" t="str">
        <f>IF(SAISIE!$K926="","",SAISIE!$K926)</f>
        <v/>
      </c>
      <c r="K921" t="str">
        <f>IF(SAISIE!$L926="","",SAISIE!$L926)</f>
        <v/>
      </c>
      <c r="L921" t="str">
        <f>IF(SAISIE!$M926="","",SAISIE!$M926)</f>
        <v/>
      </c>
      <c r="M921" t="str">
        <f>IF(SAISIE!$N926="","",SAISIE!$N926)</f>
        <v/>
      </c>
      <c r="N921" t="str">
        <f>IF(SAISIE!$O926="","",SAISIE!$O926)</f>
        <v/>
      </c>
      <c r="O921" t="str">
        <f>IF(SAISIE!$P926="","",SAISIE!$P926)</f>
        <v/>
      </c>
      <c r="P921" t="str">
        <f>IF(SAISIE!$Q926="","",SAISIE!$Q926)</f>
        <v/>
      </c>
      <c r="Q921" t="str">
        <f>IF($I921="","",IF($I921&gt;PARAMETRES!$G$29,5,IF($I921&gt;PARAMETRES!$F$29,4,IF($I921&gt;PARAMETRES!$E$29,3,IF($I921&gt;PARAMETRES!$D$29,2,1)))))</f>
        <v/>
      </c>
      <c r="R921" t="str">
        <f>IF($J921="","",IF($J921&gt;PARAMETRES!$G$30,5,IF($J921&gt;PARAMETRES!$F$30,4,IF($J921&gt;PARAMETRES!$E$30,3,IF($J921&gt;PARAMETRES!$D$30,2,1)))))</f>
        <v/>
      </c>
      <c r="S921" t="str">
        <f>IF($K921="","",IF($Z921=2,IF($K921&gt;PARAMETRES!$G$31,5,IF($K921&gt;PARAMETRES!$F$31,4,IF($K921&gt;PARAMETRES!$E$31,3,IF($K921&gt;PARAMETRES!$D$31,2,1)))),IF($K921&gt;PARAMETRES!$G$32,5,IF($K921&gt;PARAMETRES!$F$32,4,IF($K921&gt;PARAMETRES!$E$32,3,IF($K921&gt;PARAMETRES!$D$32,2,1))))))</f>
        <v/>
      </c>
      <c r="T921" t="str">
        <f>IF($L921="","",IF($L921&gt;PARAMETRES!$G$33,5,IF($L921&gt;PARAMETRES!$F$33,4,IF($L921&gt;PARAMETRES!$E$33,3,IF($L921&gt;PARAMETRES!$D$33,2,1)))))</f>
        <v/>
      </c>
      <c r="U921" t="str">
        <f>IF($M921="","",IF($M921&gt;PARAMETRES!$G$34,5,IF($M921&gt;PARAMETRES!$F$34,4,IF($M921&gt;PARAMETRES!$E$34,3,IF($M921&gt;PARAMETRES!$D$34,2,1)))))</f>
        <v/>
      </c>
      <c r="V921" t="str">
        <f>IF($N921="","",IF($N921&gt;PARAMETRES!$G$35,5,IF($N921&gt;PARAMETRES!$F$35,4,IF($N921&gt;PARAMETRES!$E$35,3,IF($N921&gt;PARAMETRES!$D$35,2,1)))))</f>
        <v/>
      </c>
      <c r="W921" t="str">
        <f>IF($O921="","",IF($O921&gt;PARAMETRES!$G$36,5,IF($O921&gt;PARAMETRES!$F$36,4,IF($O921&gt;PARAMETRES!$E$36,3,IF($O921&gt;PARAMETRES!$D$36,2,1)))))</f>
        <v/>
      </c>
      <c r="X921" t="str">
        <f>IF($P921="","",IF($P921&gt;PARAMETRES!$G$37,5,IF($P921&gt;PARAMETRES!$F$37,4,IF($P921&gt;PARAMETRES!$E$37,3,IF($P921&gt;PARAMETRES!$D$37,2,1)))))</f>
        <v/>
      </c>
      <c r="Y921" t="str">
        <f t="shared" si="336"/>
        <v/>
      </c>
      <c r="Z921" t="str">
        <f>IFERROR(VLOOKUP($B921,TABLE_CYCLE,2,0),"")</f>
        <v/>
      </c>
      <c r="AA921" t="str">
        <f t="shared" si="337"/>
        <v/>
      </c>
      <c r="AB921" t="str">
        <f>IF($D921="","",IF(COUNTIF($D$2:$D921,$D921)=1,$D921,""))</f>
        <v/>
      </c>
      <c r="AC921">
        <f t="shared" si="338"/>
        <v>0</v>
      </c>
      <c r="AD921" t="str">
        <f t="shared" si="339"/>
        <v>|0</v>
      </c>
      <c r="AE921" t="str">
        <f t="shared" si="340"/>
        <v/>
      </c>
      <c r="AF921" t="str">
        <f t="shared" si="341"/>
        <v/>
      </c>
      <c r="AG921" t="str">
        <f t="shared" si="342"/>
        <v/>
      </c>
      <c r="AH921" t="str">
        <f t="shared" si="343"/>
        <v/>
      </c>
      <c r="AI921" t="str">
        <f t="shared" si="344"/>
        <v/>
      </c>
      <c r="AJ921" t="str">
        <f t="shared" si="345"/>
        <v/>
      </c>
      <c r="AK921" t="str">
        <f t="shared" si="346"/>
        <v/>
      </c>
      <c r="AL921" t="str">
        <f t="shared" si="347"/>
        <v/>
      </c>
      <c r="AM921" t="str">
        <f t="shared" si="348"/>
        <v/>
      </c>
      <c r="AN921" t="str">
        <f t="shared" si="349"/>
        <v/>
      </c>
      <c r="AO921" t="str">
        <f t="shared" si="350"/>
        <v/>
      </c>
      <c r="AP921">
        <f t="shared" si="351"/>
        <v>1</v>
      </c>
      <c r="AQ921" t="str">
        <f>IF(SAISIE!$F926="","",SAISIE!$Y926)</f>
        <v/>
      </c>
      <c r="AR921" t="str">
        <f>IF(OR(SAISIE!$U$4="",SAISIE!$W$4=""),"",IF(AND($A921=SAISIE!$U$4,$B921=SAISIE!$W$4,$C921="S1"),COUNTIFS($A$2:$A921,SAISIE!$U$4,$B$2:$B921,SAISIE!$W$4,$C$2:$C921,"S1"),""))</f>
        <v/>
      </c>
      <c r="AS921" t="str">
        <f t="shared" si="352"/>
        <v/>
      </c>
      <c r="AT921" t="str">
        <f t="shared" si="353"/>
        <v/>
      </c>
      <c r="AU921" t="str">
        <f t="shared" si="354"/>
        <v/>
      </c>
      <c r="AV921">
        <f>N(AV920)+IF(AND($AB921&lt;&gt;"",OR('PROFIL ELEVE'!$K$4="(Tous)",$AF921='PROFIL ELEVE'!$K$4)),1,0)</f>
        <v>0</v>
      </c>
      <c r="AW921">
        <f>N(AW920)+IF(AND($AB921&lt;&gt;"",OR('SUIVI LONGITUDINAL'!$Q$4="(Tous)",$AF921='SUIVI LONGITUDINAL'!$Q$4)),1,0)</f>
        <v>0</v>
      </c>
      <c r="AX921">
        <f t="shared" si="355"/>
        <v>0</v>
      </c>
      <c r="AY921">
        <f t="shared" si="356"/>
        <v>0</v>
      </c>
      <c r="AZ921">
        <f t="shared" si="357"/>
        <v>0</v>
      </c>
      <c r="BA921" t="str">
        <f t="shared" si="358"/>
        <v/>
      </c>
      <c r="BB921" t="str">
        <f t="shared" si="359"/>
        <v/>
      </c>
    </row>
    <row r="922" spans="1:54" ht="14.25" customHeight="1" x14ac:dyDescent="0.3">
      <c r="A922" t="str">
        <f>IF(SAISIE!$F927="","",SAISIE!$B927)</f>
        <v/>
      </c>
      <c r="B922" t="str">
        <f>IF(SAISIE!$F927="","",SAISIE!$C927)</f>
        <v/>
      </c>
      <c r="C922" t="str">
        <f>IF(SAISIE!$F927="","",SAISIE!$D927)</f>
        <v/>
      </c>
      <c r="D922" t="str">
        <f>IF(SAISIE!$E927="","",SAISIE!$E927)</f>
        <v/>
      </c>
      <c r="E922" t="str">
        <f>IF(SAISIE!$F927="","",SAISIE!$F927)</f>
        <v/>
      </c>
      <c r="F922" t="str">
        <f>IF(SAISIE!$G927="","",SAISIE!$G927)</f>
        <v/>
      </c>
      <c r="G922" t="str">
        <f>IF(SAISIE!$H927="","",SAISIE!$H927)</f>
        <v/>
      </c>
      <c r="H922" t="str">
        <f>IF(SAISIE!$I927="","",SAISIE!$I927)</f>
        <v/>
      </c>
      <c r="I922" t="str">
        <f>IF(SAISIE!$J927="","",SAISIE!$J927)</f>
        <v/>
      </c>
      <c r="J922" t="str">
        <f>IF(SAISIE!$K927="","",SAISIE!$K927)</f>
        <v/>
      </c>
      <c r="K922" t="str">
        <f>IF(SAISIE!$L927="","",SAISIE!$L927)</f>
        <v/>
      </c>
      <c r="L922" t="str">
        <f>IF(SAISIE!$M927="","",SAISIE!$M927)</f>
        <v/>
      </c>
      <c r="M922" t="str">
        <f>IF(SAISIE!$N927="","",SAISIE!$N927)</f>
        <v/>
      </c>
      <c r="N922" t="str">
        <f>IF(SAISIE!$O927="","",SAISIE!$O927)</f>
        <v/>
      </c>
      <c r="O922" t="str">
        <f>IF(SAISIE!$P927="","",SAISIE!$P927)</f>
        <v/>
      </c>
      <c r="P922" t="str">
        <f>IF(SAISIE!$Q927="","",SAISIE!$Q927)</f>
        <v/>
      </c>
      <c r="Q922" t="str">
        <f>IF($I922="","",IF($I922&gt;PARAMETRES!$G$29,5,IF($I922&gt;PARAMETRES!$F$29,4,IF($I922&gt;PARAMETRES!$E$29,3,IF($I922&gt;PARAMETRES!$D$29,2,1)))))</f>
        <v/>
      </c>
      <c r="R922" t="str">
        <f>IF($J922="","",IF($J922&gt;PARAMETRES!$G$30,5,IF($J922&gt;PARAMETRES!$F$30,4,IF($J922&gt;PARAMETRES!$E$30,3,IF($J922&gt;PARAMETRES!$D$30,2,1)))))</f>
        <v/>
      </c>
      <c r="S922" t="str">
        <f>IF($K922="","",IF($Z922=2,IF($K922&gt;PARAMETRES!$G$31,5,IF($K922&gt;PARAMETRES!$F$31,4,IF($K922&gt;PARAMETRES!$E$31,3,IF($K922&gt;PARAMETRES!$D$31,2,1)))),IF($K922&gt;PARAMETRES!$G$32,5,IF($K922&gt;PARAMETRES!$F$32,4,IF($K922&gt;PARAMETRES!$E$32,3,IF($K922&gt;PARAMETRES!$D$32,2,1))))))</f>
        <v/>
      </c>
      <c r="T922" t="str">
        <f>IF($L922="","",IF($L922&gt;PARAMETRES!$G$33,5,IF($L922&gt;PARAMETRES!$F$33,4,IF($L922&gt;PARAMETRES!$E$33,3,IF($L922&gt;PARAMETRES!$D$33,2,1)))))</f>
        <v/>
      </c>
      <c r="U922" t="str">
        <f>IF($M922="","",IF($M922&gt;PARAMETRES!$G$34,5,IF($M922&gt;PARAMETRES!$F$34,4,IF($M922&gt;PARAMETRES!$E$34,3,IF($M922&gt;PARAMETRES!$D$34,2,1)))))</f>
        <v/>
      </c>
      <c r="V922" t="str">
        <f>IF($N922="","",IF($N922&gt;PARAMETRES!$G$35,5,IF($N922&gt;PARAMETRES!$F$35,4,IF($N922&gt;PARAMETRES!$E$35,3,IF($N922&gt;PARAMETRES!$D$35,2,1)))))</f>
        <v/>
      </c>
      <c r="W922" t="str">
        <f>IF($O922="","",IF($O922&gt;PARAMETRES!$G$36,5,IF($O922&gt;PARAMETRES!$F$36,4,IF($O922&gt;PARAMETRES!$E$36,3,IF($O922&gt;PARAMETRES!$D$36,2,1)))))</f>
        <v/>
      </c>
      <c r="X922" t="str">
        <f>IF($P922="","",IF($P922&gt;PARAMETRES!$G$37,5,IF($P922&gt;PARAMETRES!$F$37,4,IF($P922&gt;PARAMETRES!$E$37,3,IF($P922&gt;PARAMETRES!$D$37,2,1)))))</f>
        <v/>
      </c>
      <c r="Y922" t="str">
        <f t="shared" si="336"/>
        <v/>
      </c>
      <c r="Z922" t="str">
        <f>IFERROR(VLOOKUP($B922,TABLE_CYCLE,2,0),"")</f>
        <v/>
      </c>
      <c r="AA922" t="str">
        <f t="shared" si="337"/>
        <v/>
      </c>
      <c r="AB922" t="str">
        <f>IF($D922="","",IF(COUNTIF($D$2:$D922,$D922)=1,$D922,""))</f>
        <v/>
      </c>
      <c r="AC922">
        <f t="shared" si="338"/>
        <v>0</v>
      </c>
      <c r="AD922" t="str">
        <f t="shared" si="339"/>
        <v>|0</v>
      </c>
      <c r="AE922" t="str">
        <f t="shared" si="340"/>
        <v/>
      </c>
      <c r="AF922" t="str">
        <f t="shared" si="341"/>
        <v/>
      </c>
      <c r="AG922" t="str">
        <f t="shared" si="342"/>
        <v/>
      </c>
      <c r="AH922" t="str">
        <f t="shared" si="343"/>
        <v/>
      </c>
      <c r="AI922" t="str">
        <f t="shared" si="344"/>
        <v/>
      </c>
      <c r="AJ922" t="str">
        <f t="shared" si="345"/>
        <v/>
      </c>
      <c r="AK922" t="str">
        <f t="shared" si="346"/>
        <v/>
      </c>
      <c r="AL922" t="str">
        <f t="shared" si="347"/>
        <v/>
      </c>
      <c r="AM922" t="str">
        <f t="shared" si="348"/>
        <v/>
      </c>
      <c r="AN922" t="str">
        <f t="shared" si="349"/>
        <v/>
      </c>
      <c r="AO922" t="str">
        <f t="shared" si="350"/>
        <v/>
      </c>
      <c r="AP922">
        <f t="shared" si="351"/>
        <v>1</v>
      </c>
      <c r="AQ922" t="str">
        <f>IF(SAISIE!$F927="","",SAISIE!$Y927)</f>
        <v/>
      </c>
      <c r="AR922" t="str">
        <f>IF(OR(SAISIE!$U$4="",SAISIE!$W$4=""),"",IF(AND($A922=SAISIE!$U$4,$B922=SAISIE!$W$4,$C922="S1"),COUNTIFS($A$2:$A922,SAISIE!$U$4,$B$2:$B922,SAISIE!$W$4,$C$2:$C922,"S1"),""))</f>
        <v/>
      </c>
      <c r="AS922" t="str">
        <f t="shared" si="352"/>
        <v/>
      </c>
      <c r="AT922" t="str">
        <f t="shared" si="353"/>
        <v/>
      </c>
      <c r="AU922" t="str">
        <f t="shared" si="354"/>
        <v/>
      </c>
      <c r="AV922">
        <f>N(AV921)+IF(AND($AB922&lt;&gt;"",OR('PROFIL ELEVE'!$K$4="(Tous)",$AF922='PROFIL ELEVE'!$K$4)),1,0)</f>
        <v>0</v>
      </c>
      <c r="AW922">
        <f>N(AW921)+IF(AND($AB922&lt;&gt;"",OR('SUIVI LONGITUDINAL'!$Q$4="(Tous)",$AF922='SUIVI LONGITUDINAL'!$Q$4)),1,0)</f>
        <v>0</v>
      </c>
      <c r="AX922">
        <f t="shared" si="355"/>
        <v>0</v>
      </c>
      <c r="AY922">
        <f t="shared" si="356"/>
        <v>0</v>
      </c>
      <c r="AZ922">
        <f t="shared" si="357"/>
        <v>0</v>
      </c>
      <c r="BA922" t="str">
        <f t="shared" si="358"/>
        <v/>
      </c>
      <c r="BB922" t="str">
        <f t="shared" si="359"/>
        <v/>
      </c>
    </row>
    <row r="923" spans="1:54" ht="14.25" customHeight="1" x14ac:dyDescent="0.3">
      <c r="A923" t="str">
        <f>IF(SAISIE!$F928="","",SAISIE!$B928)</f>
        <v/>
      </c>
      <c r="B923" t="str">
        <f>IF(SAISIE!$F928="","",SAISIE!$C928)</f>
        <v/>
      </c>
      <c r="C923" t="str">
        <f>IF(SAISIE!$F928="","",SAISIE!$D928)</f>
        <v/>
      </c>
      <c r="D923" t="str">
        <f>IF(SAISIE!$E928="","",SAISIE!$E928)</f>
        <v/>
      </c>
      <c r="E923" t="str">
        <f>IF(SAISIE!$F928="","",SAISIE!$F928)</f>
        <v/>
      </c>
      <c r="F923" t="str">
        <f>IF(SAISIE!$G928="","",SAISIE!$G928)</f>
        <v/>
      </c>
      <c r="G923" t="str">
        <f>IF(SAISIE!$H928="","",SAISIE!$H928)</f>
        <v/>
      </c>
      <c r="H923" t="str">
        <f>IF(SAISIE!$I928="","",SAISIE!$I928)</f>
        <v/>
      </c>
      <c r="I923" t="str">
        <f>IF(SAISIE!$J928="","",SAISIE!$J928)</f>
        <v/>
      </c>
      <c r="J923" t="str">
        <f>IF(SAISIE!$K928="","",SAISIE!$K928)</f>
        <v/>
      </c>
      <c r="K923" t="str">
        <f>IF(SAISIE!$L928="","",SAISIE!$L928)</f>
        <v/>
      </c>
      <c r="L923" t="str">
        <f>IF(SAISIE!$M928="","",SAISIE!$M928)</f>
        <v/>
      </c>
      <c r="M923" t="str">
        <f>IF(SAISIE!$N928="","",SAISIE!$N928)</f>
        <v/>
      </c>
      <c r="N923" t="str">
        <f>IF(SAISIE!$O928="","",SAISIE!$O928)</f>
        <v/>
      </c>
      <c r="O923" t="str">
        <f>IF(SAISIE!$P928="","",SAISIE!$P928)</f>
        <v/>
      </c>
      <c r="P923" t="str">
        <f>IF(SAISIE!$Q928="","",SAISIE!$Q928)</f>
        <v/>
      </c>
      <c r="Q923" t="str">
        <f>IF($I923="","",IF($I923&gt;PARAMETRES!$G$29,5,IF($I923&gt;PARAMETRES!$F$29,4,IF($I923&gt;PARAMETRES!$E$29,3,IF($I923&gt;PARAMETRES!$D$29,2,1)))))</f>
        <v/>
      </c>
      <c r="R923" t="str">
        <f>IF($J923="","",IF($J923&gt;PARAMETRES!$G$30,5,IF($J923&gt;PARAMETRES!$F$30,4,IF($J923&gt;PARAMETRES!$E$30,3,IF($J923&gt;PARAMETRES!$D$30,2,1)))))</f>
        <v/>
      </c>
      <c r="S923" t="str">
        <f>IF($K923="","",IF($Z923=2,IF($K923&gt;PARAMETRES!$G$31,5,IF($K923&gt;PARAMETRES!$F$31,4,IF($K923&gt;PARAMETRES!$E$31,3,IF($K923&gt;PARAMETRES!$D$31,2,1)))),IF($K923&gt;PARAMETRES!$G$32,5,IF($K923&gt;PARAMETRES!$F$32,4,IF($K923&gt;PARAMETRES!$E$32,3,IF($K923&gt;PARAMETRES!$D$32,2,1))))))</f>
        <v/>
      </c>
      <c r="T923" t="str">
        <f>IF($L923="","",IF($L923&gt;PARAMETRES!$G$33,5,IF($L923&gt;PARAMETRES!$F$33,4,IF($L923&gt;PARAMETRES!$E$33,3,IF($L923&gt;PARAMETRES!$D$33,2,1)))))</f>
        <v/>
      </c>
      <c r="U923" t="str">
        <f>IF($M923="","",IF($M923&gt;PARAMETRES!$G$34,5,IF($M923&gt;PARAMETRES!$F$34,4,IF($M923&gt;PARAMETRES!$E$34,3,IF($M923&gt;PARAMETRES!$D$34,2,1)))))</f>
        <v/>
      </c>
      <c r="V923" t="str">
        <f>IF($N923="","",IF($N923&gt;PARAMETRES!$G$35,5,IF($N923&gt;PARAMETRES!$F$35,4,IF($N923&gt;PARAMETRES!$E$35,3,IF($N923&gt;PARAMETRES!$D$35,2,1)))))</f>
        <v/>
      </c>
      <c r="W923" t="str">
        <f>IF($O923="","",IF($O923&gt;PARAMETRES!$G$36,5,IF($O923&gt;PARAMETRES!$F$36,4,IF($O923&gt;PARAMETRES!$E$36,3,IF($O923&gt;PARAMETRES!$D$36,2,1)))))</f>
        <v/>
      </c>
      <c r="X923" t="str">
        <f>IF($P923="","",IF($P923&gt;PARAMETRES!$G$37,5,IF($P923&gt;PARAMETRES!$F$37,4,IF($P923&gt;PARAMETRES!$E$37,3,IF($P923&gt;PARAMETRES!$D$37,2,1)))))</f>
        <v/>
      </c>
      <c r="Y923" t="str">
        <f t="shared" si="336"/>
        <v/>
      </c>
      <c r="Z923" t="str">
        <f>IFERROR(VLOOKUP($B923,TABLE_CYCLE,2,0),"")</f>
        <v/>
      </c>
      <c r="AA923" t="str">
        <f t="shared" si="337"/>
        <v/>
      </c>
      <c r="AB923" t="str">
        <f>IF($D923="","",IF(COUNTIF($D$2:$D923,$D923)=1,$D923,""))</f>
        <v/>
      </c>
      <c r="AC923">
        <f t="shared" si="338"/>
        <v>0</v>
      </c>
      <c r="AD923" t="str">
        <f t="shared" si="339"/>
        <v>|0</v>
      </c>
      <c r="AE923" t="str">
        <f t="shared" si="340"/>
        <v/>
      </c>
      <c r="AF923" t="str">
        <f t="shared" si="341"/>
        <v/>
      </c>
      <c r="AG923" t="str">
        <f t="shared" si="342"/>
        <v/>
      </c>
      <c r="AH923" t="str">
        <f t="shared" si="343"/>
        <v/>
      </c>
      <c r="AI923" t="str">
        <f t="shared" si="344"/>
        <v/>
      </c>
      <c r="AJ923" t="str">
        <f t="shared" si="345"/>
        <v/>
      </c>
      <c r="AK923" t="str">
        <f t="shared" si="346"/>
        <v/>
      </c>
      <c r="AL923" t="str">
        <f t="shared" si="347"/>
        <v/>
      </c>
      <c r="AM923" t="str">
        <f t="shared" si="348"/>
        <v/>
      </c>
      <c r="AN923" t="str">
        <f t="shared" si="349"/>
        <v/>
      </c>
      <c r="AO923" t="str">
        <f t="shared" si="350"/>
        <v/>
      </c>
      <c r="AP923">
        <f t="shared" si="351"/>
        <v>1</v>
      </c>
      <c r="AQ923" t="str">
        <f>IF(SAISIE!$F928="","",SAISIE!$Y928)</f>
        <v/>
      </c>
      <c r="AR923" t="str">
        <f>IF(OR(SAISIE!$U$4="",SAISIE!$W$4=""),"",IF(AND($A923=SAISIE!$U$4,$B923=SAISIE!$W$4,$C923="S1"),COUNTIFS($A$2:$A923,SAISIE!$U$4,$B$2:$B923,SAISIE!$W$4,$C$2:$C923,"S1"),""))</f>
        <v/>
      </c>
      <c r="AS923" t="str">
        <f t="shared" si="352"/>
        <v/>
      </c>
      <c r="AT923" t="str">
        <f t="shared" si="353"/>
        <v/>
      </c>
      <c r="AU923" t="str">
        <f t="shared" si="354"/>
        <v/>
      </c>
      <c r="AV923">
        <f>N(AV922)+IF(AND($AB923&lt;&gt;"",OR('PROFIL ELEVE'!$K$4="(Tous)",$AF923='PROFIL ELEVE'!$K$4)),1,0)</f>
        <v>0</v>
      </c>
      <c r="AW923">
        <f>N(AW922)+IF(AND($AB923&lt;&gt;"",OR('SUIVI LONGITUDINAL'!$Q$4="(Tous)",$AF923='SUIVI LONGITUDINAL'!$Q$4)),1,0)</f>
        <v>0</v>
      </c>
      <c r="AX923">
        <f t="shared" si="355"/>
        <v>0</v>
      </c>
      <c r="AY923">
        <f t="shared" si="356"/>
        <v>0</v>
      </c>
      <c r="AZ923">
        <f t="shared" si="357"/>
        <v>0</v>
      </c>
      <c r="BA923" t="str">
        <f t="shared" si="358"/>
        <v/>
      </c>
      <c r="BB923" t="str">
        <f t="shared" si="359"/>
        <v/>
      </c>
    </row>
    <row r="924" spans="1:54" ht="14.25" customHeight="1" x14ac:dyDescent="0.3">
      <c r="A924" t="str">
        <f>IF(SAISIE!$F929="","",SAISIE!$B929)</f>
        <v/>
      </c>
      <c r="B924" t="str">
        <f>IF(SAISIE!$F929="","",SAISIE!$C929)</f>
        <v/>
      </c>
      <c r="C924" t="str">
        <f>IF(SAISIE!$F929="","",SAISIE!$D929)</f>
        <v/>
      </c>
      <c r="D924" t="str">
        <f>IF(SAISIE!$E929="","",SAISIE!$E929)</f>
        <v/>
      </c>
      <c r="E924" t="str">
        <f>IF(SAISIE!$F929="","",SAISIE!$F929)</f>
        <v/>
      </c>
      <c r="F924" t="str">
        <f>IF(SAISIE!$G929="","",SAISIE!$G929)</f>
        <v/>
      </c>
      <c r="G924" t="str">
        <f>IF(SAISIE!$H929="","",SAISIE!$H929)</f>
        <v/>
      </c>
      <c r="H924" t="str">
        <f>IF(SAISIE!$I929="","",SAISIE!$I929)</f>
        <v/>
      </c>
      <c r="I924" t="str">
        <f>IF(SAISIE!$J929="","",SAISIE!$J929)</f>
        <v/>
      </c>
      <c r="J924" t="str">
        <f>IF(SAISIE!$K929="","",SAISIE!$K929)</f>
        <v/>
      </c>
      <c r="K924" t="str">
        <f>IF(SAISIE!$L929="","",SAISIE!$L929)</f>
        <v/>
      </c>
      <c r="L924" t="str">
        <f>IF(SAISIE!$M929="","",SAISIE!$M929)</f>
        <v/>
      </c>
      <c r="M924" t="str">
        <f>IF(SAISIE!$N929="","",SAISIE!$N929)</f>
        <v/>
      </c>
      <c r="N924" t="str">
        <f>IF(SAISIE!$O929="","",SAISIE!$O929)</f>
        <v/>
      </c>
      <c r="O924" t="str">
        <f>IF(SAISIE!$P929="","",SAISIE!$P929)</f>
        <v/>
      </c>
      <c r="P924" t="str">
        <f>IF(SAISIE!$Q929="","",SAISIE!$Q929)</f>
        <v/>
      </c>
      <c r="Q924" t="str">
        <f>IF($I924="","",IF($I924&gt;PARAMETRES!$G$29,5,IF($I924&gt;PARAMETRES!$F$29,4,IF($I924&gt;PARAMETRES!$E$29,3,IF($I924&gt;PARAMETRES!$D$29,2,1)))))</f>
        <v/>
      </c>
      <c r="R924" t="str">
        <f>IF($J924="","",IF($J924&gt;PARAMETRES!$G$30,5,IF($J924&gt;PARAMETRES!$F$30,4,IF($J924&gt;PARAMETRES!$E$30,3,IF($J924&gt;PARAMETRES!$D$30,2,1)))))</f>
        <v/>
      </c>
      <c r="S924" t="str">
        <f>IF($K924="","",IF($Z924=2,IF($K924&gt;PARAMETRES!$G$31,5,IF($K924&gt;PARAMETRES!$F$31,4,IF($K924&gt;PARAMETRES!$E$31,3,IF($K924&gt;PARAMETRES!$D$31,2,1)))),IF($K924&gt;PARAMETRES!$G$32,5,IF($K924&gt;PARAMETRES!$F$32,4,IF($K924&gt;PARAMETRES!$E$32,3,IF($K924&gt;PARAMETRES!$D$32,2,1))))))</f>
        <v/>
      </c>
      <c r="T924" t="str">
        <f>IF($L924="","",IF($L924&gt;PARAMETRES!$G$33,5,IF($L924&gt;PARAMETRES!$F$33,4,IF($L924&gt;PARAMETRES!$E$33,3,IF($L924&gt;PARAMETRES!$D$33,2,1)))))</f>
        <v/>
      </c>
      <c r="U924" t="str">
        <f>IF($M924="","",IF($M924&gt;PARAMETRES!$G$34,5,IF($M924&gt;PARAMETRES!$F$34,4,IF($M924&gt;PARAMETRES!$E$34,3,IF($M924&gt;PARAMETRES!$D$34,2,1)))))</f>
        <v/>
      </c>
      <c r="V924" t="str">
        <f>IF($N924="","",IF($N924&gt;PARAMETRES!$G$35,5,IF($N924&gt;PARAMETRES!$F$35,4,IF($N924&gt;PARAMETRES!$E$35,3,IF($N924&gt;PARAMETRES!$D$35,2,1)))))</f>
        <v/>
      </c>
      <c r="W924" t="str">
        <f>IF($O924="","",IF($O924&gt;PARAMETRES!$G$36,5,IF($O924&gt;PARAMETRES!$F$36,4,IF($O924&gt;PARAMETRES!$E$36,3,IF($O924&gt;PARAMETRES!$D$36,2,1)))))</f>
        <v/>
      </c>
      <c r="X924" t="str">
        <f>IF($P924="","",IF($P924&gt;PARAMETRES!$G$37,5,IF($P924&gt;PARAMETRES!$F$37,4,IF($P924&gt;PARAMETRES!$E$37,3,IF($P924&gt;PARAMETRES!$D$37,2,1)))))</f>
        <v/>
      </c>
      <c r="Y924" t="str">
        <f t="shared" si="336"/>
        <v/>
      </c>
      <c r="Z924" t="str">
        <f>IFERROR(VLOOKUP($B924,TABLE_CYCLE,2,0),"")</f>
        <v/>
      </c>
      <c r="AA924" t="str">
        <f t="shared" si="337"/>
        <v/>
      </c>
      <c r="AB924" t="str">
        <f>IF($D924="","",IF(COUNTIF($D$2:$D924,$D924)=1,$D924,""))</f>
        <v/>
      </c>
      <c r="AC924">
        <f t="shared" si="338"/>
        <v>0</v>
      </c>
      <c r="AD924" t="str">
        <f t="shared" si="339"/>
        <v>|0</v>
      </c>
      <c r="AE924" t="str">
        <f t="shared" si="340"/>
        <v/>
      </c>
      <c r="AF924" t="str">
        <f t="shared" si="341"/>
        <v/>
      </c>
      <c r="AG924" t="str">
        <f t="shared" si="342"/>
        <v/>
      </c>
      <c r="AH924" t="str">
        <f t="shared" si="343"/>
        <v/>
      </c>
      <c r="AI924" t="str">
        <f t="shared" si="344"/>
        <v/>
      </c>
      <c r="AJ924" t="str">
        <f t="shared" si="345"/>
        <v/>
      </c>
      <c r="AK924" t="str">
        <f t="shared" si="346"/>
        <v/>
      </c>
      <c r="AL924" t="str">
        <f t="shared" si="347"/>
        <v/>
      </c>
      <c r="AM924" t="str">
        <f t="shared" si="348"/>
        <v/>
      </c>
      <c r="AN924" t="str">
        <f t="shared" si="349"/>
        <v/>
      </c>
      <c r="AO924" t="str">
        <f t="shared" si="350"/>
        <v/>
      </c>
      <c r="AP924">
        <f t="shared" si="351"/>
        <v>1</v>
      </c>
      <c r="AQ924" t="str">
        <f>IF(SAISIE!$F929="","",SAISIE!$Y929)</f>
        <v/>
      </c>
      <c r="AR924" t="str">
        <f>IF(OR(SAISIE!$U$4="",SAISIE!$W$4=""),"",IF(AND($A924=SAISIE!$U$4,$B924=SAISIE!$W$4,$C924="S1"),COUNTIFS($A$2:$A924,SAISIE!$U$4,$B$2:$B924,SAISIE!$W$4,$C$2:$C924,"S1"),""))</f>
        <v/>
      </c>
      <c r="AS924" t="str">
        <f t="shared" si="352"/>
        <v/>
      </c>
      <c r="AT924" t="str">
        <f t="shared" si="353"/>
        <v/>
      </c>
      <c r="AU924" t="str">
        <f t="shared" si="354"/>
        <v/>
      </c>
      <c r="AV924">
        <f>N(AV923)+IF(AND($AB924&lt;&gt;"",OR('PROFIL ELEVE'!$K$4="(Tous)",$AF924='PROFIL ELEVE'!$K$4)),1,0)</f>
        <v>0</v>
      </c>
      <c r="AW924">
        <f>N(AW923)+IF(AND($AB924&lt;&gt;"",OR('SUIVI LONGITUDINAL'!$Q$4="(Tous)",$AF924='SUIVI LONGITUDINAL'!$Q$4)),1,0)</f>
        <v>0</v>
      </c>
      <c r="AX924">
        <f t="shared" si="355"/>
        <v>0</v>
      </c>
      <c r="AY924">
        <f t="shared" si="356"/>
        <v>0</v>
      </c>
      <c r="AZ924">
        <f t="shared" si="357"/>
        <v>0</v>
      </c>
      <c r="BA924" t="str">
        <f t="shared" si="358"/>
        <v/>
      </c>
      <c r="BB924" t="str">
        <f t="shared" si="359"/>
        <v/>
      </c>
    </row>
    <row r="925" spans="1:54" ht="14.25" customHeight="1" x14ac:dyDescent="0.3">
      <c r="A925" t="str">
        <f>IF(SAISIE!$F930="","",SAISIE!$B930)</f>
        <v/>
      </c>
      <c r="B925" t="str">
        <f>IF(SAISIE!$F930="","",SAISIE!$C930)</f>
        <v/>
      </c>
      <c r="C925" t="str">
        <f>IF(SAISIE!$F930="","",SAISIE!$D930)</f>
        <v/>
      </c>
      <c r="D925" t="str">
        <f>IF(SAISIE!$E930="","",SAISIE!$E930)</f>
        <v/>
      </c>
      <c r="E925" t="str">
        <f>IF(SAISIE!$F930="","",SAISIE!$F930)</f>
        <v/>
      </c>
      <c r="F925" t="str">
        <f>IF(SAISIE!$G930="","",SAISIE!$G930)</f>
        <v/>
      </c>
      <c r="G925" t="str">
        <f>IF(SAISIE!$H930="","",SAISIE!$H930)</f>
        <v/>
      </c>
      <c r="H925" t="str">
        <f>IF(SAISIE!$I930="","",SAISIE!$I930)</f>
        <v/>
      </c>
      <c r="I925" t="str">
        <f>IF(SAISIE!$J930="","",SAISIE!$J930)</f>
        <v/>
      </c>
      <c r="J925" t="str">
        <f>IF(SAISIE!$K930="","",SAISIE!$K930)</f>
        <v/>
      </c>
      <c r="K925" t="str">
        <f>IF(SAISIE!$L930="","",SAISIE!$L930)</f>
        <v/>
      </c>
      <c r="L925" t="str">
        <f>IF(SAISIE!$M930="","",SAISIE!$M930)</f>
        <v/>
      </c>
      <c r="M925" t="str">
        <f>IF(SAISIE!$N930="","",SAISIE!$N930)</f>
        <v/>
      </c>
      <c r="N925" t="str">
        <f>IF(SAISIE!$O930="","",SAISIE!$O930)</f>
        <v/>
      </c>
      <c r="O925" t="str">
        <f>IF(SAISIE!$P930="","",SAISIE!$P930)</f>
        <v/>
      </c>
      <c r="P925" t="str">
        <f>IF(SAISIE!$Q930="","",SAISIE!$Q930)</f>
        <v/>
      </c>
      <c r="Q925" t="str">
        <f>IF($I925="","",IF($I925&gt;PARAMETRES!$G$29,5,IF($I925&gt;PARAMETRES!$F$29,4,IF($I925&gt;PARAMETRES!$E$29,3,IF($I925&gt;PARAMETRES!$D$29,2,1)))))</f>
        <v/>
      </c>
      <c r="R925" t="str">
        <f>IF($J925="","",IF($J925&gt;PARAMETRES!$G$30,5,IF($J925&gt;PARAMETRES!$F$30,4,IF($J925&gt;PARAMETRES!$E$30,3,IF($J925&gt;PARAMETRES!$D$30,2,1)))))</f>
        <v/>
      </c>
      <c r="S925" t="str">
        <f>IF($K925="","",IF($Z925=2,IF($K925&gt;PARAMETRES!$G$31,5,IF($K925&gt;PARAMETRES!$F$31,4,IF($K925&gt;PARAMETRES!$E$31,3,IF($K925&gt;PARAMETRES!$D$31,2,1)))),IF($K925&gt;PARAMETRES!$G$32,5,IF($K925&gt;PARAMETRES!$F$32,4,IF($K925&gt;PARAMETRES!$E$32,3,IF($K925&gt;PARAMETRES!$D$32,2,1))))))</f>
        <v/>
      </c>
      <c r="T925" t="str">
        <f>IF($L925="","",IF($L925&gt;PARAMETRES!$G$33,5,IF($L925&gt;PARAMETRES!$F$33,4,IF($L925&gt;PARAMETRES!$E$33,3,IF($L925&gt;PARAMETRES!$D$33,2,1)))))</f>
        <v/>
      </c>
      <c r="U925" t="str">
        <f>IF($M925="","",IF($M925&gt;PARAMETRES!$G$34,5,IF($M925&gt;PARAMETRES!$F$34,4,IF($M925&gt;PARAMETRES!$E$34,3,IF($M925&gt;PARAMETRES!$D$34,2,1)))))</f>
        <v/>
      </c>
      <c r="V925" t="str">
        <f>IF($N925="","",IF($N925&gt;PARAMETRES!$G$35,5,IF($N925&gt;PARAMETRES!$F$35,4,IF($N925&gt;PARAMETRES!$E$35,3,IF($N925&gt;PARAMETRES!$D$35,2,1)))))</f>
        <v/>
      </c>
      <c r="W925" t="str">
        <f>IF($O925="","",IF($O925&gt;PARAMETRES!$G$36,5,IF($O925&gt;PARAMETRES!$F$36,4,IF($O925&gt;PARAMETRES!$E$36,3,IF($O925&gt;PARAMETRES!$D$36,2,1)))))</f>
        <v/>
      </c>
      <c r="X925" t="str">
        <f>IF($P925="","",IF($P925&gt;PARAMETRES!$G$37,5,IF($P925&gt;PARAMETRES!$F$37,4,IF($P925&gt;PARAMETRES!$E$37,3,IF($P925&gt;PARAMETRES!$D$37,2,1)))))</f>
        <v/>
      </c>
      <c r="Y925" t="str">
        <f t="shared" si="336"/>
        <v/>
      </c>
      <c r="Z925" t="str">
        <f>IFERROR(VLOOKUP($B925,TABLE_CYCLE,2,0),"")</f>
        <v/>
      </c>
      <c r="AA925" t="str">
        <f t="shared" si="337"/>
        <v/>
      </c>
      <c r="AB925" t="str">
        <f>IF($D925="","",IF(COUNTIF($D$2:$D925,$D925)=1,$D925,""))</f>
        <v/>
      </c>
      <c r="AC925">
        <f t="shared" si="338"/>
        <v>0</v>
      </c>
      <c r="AD925" t="str">
        <f t="shared" si="339"/>
        <v>|0</v>
      </c>
      <c r="AE925" t="str">
        <f t="shared" si="340"/>
        <v/>
      </c>
      <c r="AF925" t="str">
        <f t="shared" si="341"/>
        <v/>
      </c>
      <c r="AG925" t="str">
        <f t="shared" si="342"/>
        <v/>
      </c>
      <c r="AH925" t="str">
        <f t="shared" si="343"/>
        <v/>
      </c>
      <c r="AI925" t="str">
        <f t="shared" si="344"/>
        <v/>
      </c>
      <c r="AJ925" t="str">
        <f t="shared" si="345"/>
        <v/>
      </c>
      <c r="AK925" t="str">
        <f t="shared" si="346"/>
        <v/>
      </c>
      <c r="AL925" t="str">
        <f t="shared" si="347"/>
        <v/>
      </c>
      <c r="AM925" t="str">
        <f t="shared" si="348"/>
        <v/>
      </c>
      <c r="AN925" t="str">
        <f t="shared" si="349"/>
        <v/>
      </c>
      <c r="AO925" t="str">
        <f t="shared" si="350"/>
        <v/>
      </c>
      <c r="AP925">
        <f t="shared" si="351"/>
        <v>1</v>
      </c>
      <c r="AQ925" t="str">
        <f>IF(SAISIE!$F930="","",SAISIE!$Y930)</f>
        <v/>
      </c>
      <c r="AR925" t="str">
        <f>IF(OR(SAISIE!$U$4="",SAISIE!$W$4=""),"",IF(AND($A925=SAISIE!$U$4,$B925=SAISIE!$W$4,$C925="S1"),COUNTIFS($A$2:$A925,SAISIE!$U$4,$B$2:$B925,SAISIE!$W$4,$C$2:$C925,"S1"),""))</f>
        <v/>
      </c>
      <c r="AS925" t="str">
        <f t="shared" si="352"/>
        <v/>
      </c>
      <c r="AT925" t="str">
        <f t="shared" si="353"/>
        <v/>
      </c>
      <c r="AU925" t="str">
        <f t="shared" si="354"/>
        <v/>
      </c>
      <c r="AV925">
        <f>N(AV924)+IF(AND($AB925&lt;&gt;"",OR('PROFIL ELEVE'!$K$4="(Tous)",$AF925='PROFIL ELEVE'!$K$4)),1,0)</f>
        <v>0</v>
      </c>
      <c r="AW925">
        <f>N(AW924)+IF(AND($AB925&lt;&gt;"",OR('SUIVI LONGITUDINAL'!$Q$4="(Tous)",$AF925='SUIVI LONGITUDINAL'!$Q$4)),1,0)</f>
        <v>0</v>
      </c>
      <c r="AX925">
        <f t="shared" si="355"/>
        <v>0</v>
      </c>
      <c r="AY925">
        <f t="shared" si="356"/>
        <v>0</v>
      </c>
      <c r="AZ925">
        <f t="shared" si="357"/>
        <v>0</v>
      </c>
      <c r="BA925" t="str">
        <f t="shared" si="358"/>
        <v/>
      </c>
      <c r="BB925" t="str">
        <f t="shared" si="359"/>
        <v/>
      </c>
    </row>
    <row r="926" spans="1:54" ht="14.25" customHeight="1" x14ac:dyDescent="0.3">
      <c r="A926" t="str">
        <f>IF(SAISIE!$F931="","",SAISIE!$B931)</f>
        <v/>
      </c>
      <c r="B926" t="str">
        <f>IF(SAISIE!$F931="","",SAISIE!$C931)</f>
        <v/>
      </c>
      <c r="C926" t="str">
        <f>IF(SAISIE!$F931="","",SAISIE!$D931)</f>
        <v/>
      </c>
      <c r="D926" t="str">
        <f>IF(SAISIE!$E931="","",SAISIE!$E931)</f>
        <v/>
      </c>
      <c r="E926" t="str">
        <f>IF(SAISIE!$F931="","",SAISIE!$F931)</f>
        <v/>
      </c>
      <c r="F926" t="str">
        <f>IF(SAISIE!$G931="","",SAISIE!$G931)</f>
        <v/>
      </c>
      <c r="G926" t="str">
        <f>IF(SAISIE!$H931="","",SAISIE!$H931)</f>
        <v/>
      </c>
      <c r="H926" t="str">
        <f>IF(SAISIE!$I931="","",SAISIE!$I931)</f>
        <v/>
      </c>
      <c r="I926" t="str">
        <f>IF(SAISIE!$J931="","",SAISIE!$J931)</f>
        <v/>
      </c>
      <c r="J926" t="str">
        <f>IF(SAISIE!$K931="","",SAISIE!$K931)</f>
        <v/>
      </c>
      <c r="K926" t="str">
        <f>IF(SAISIE!$L931="","",SAISIE!$L931)</f>
        <v/>
      </c>
      <c r="L926" t="str">
        <f>IF(SAISIE!$M931="","",SAISIE!$M931)</f>
        <v/>
      </c>
      <c r="M926" t="str">
        <f>IF(SAISIE!$N931="","",SAISIE!$N931)</f>
        <v/>
      </c>
      <c r="N926" t="str">
        <f>IF(SAISIE!$O931="","",SAISIE!$O931)</f>
        <v/>
      </c>
      <c r="O926" t="str">
        <f>IF(SAISIE!$P931="","",SAISIE!$P931)</f>
        <v/>
      </c>
      <c r="P926" t="str">
        <f>IF(SAISIE!$Q931="","",SAISIE!$Q931)</f>
        <v/>
      </c>
      <c r="Q926" t="str">
        <f>IF($I926="","",IF($I926&gt;PARAMETRES!$G$29,5,IF($I926&gt;PARAMETRES!$F$29,4,IF($I926&gt;PARAMETRES!$E$29,3,IF($I926&gt;PARAMETRES!$D$29,2,1)))))</f>
        <v/>
      </c>
      <c r="R926" t="str">
        <f>IF($J926="","",IF($J926&gt;PARAMETRES!$G$30,5,IF($J926&gt;PARAMETRES!$F$30,4,IF($J926&gt;PARAMETRES!$E$30,3,IF($J926&gt;PARAMETRES!$D$30,2,1)))))</f>
        <v/>
      </c>
      <c r="S926" t="str">
        <f>IF($K926="","",IF($Z926=2,IF($K926&gt;PARAMETRES!$G$31,5,IF($K926&gt;PARAMETRES!$F$31,4,IF($K926&gt;PARAMETRES!$E$31,3,IF($K926&gt;PARAMETRES!$D$31,2,1)))),IF($K926&gt;PARAMETRES!$G$32,5,IF($K926&gt;PARAMETRES!$F$32,4,IF($K926&gt;PARAMETRES!$E$32,3,IF($K926&gt;PARAMETRES!$D$32,2,1))))))</f>
        <v/>
      </c>
      <c r="T926" t="str">
        <f>IF($L926="","",IF($L926&gt;PARAMETRES!$G$33,5,IF($L926&gt;PARAMETRES!$F$33,4,IF($L926&gt;PARAMETRES!$E$33,3,IF($L926&gt;PARAMETRES!$D$33,2,1)))))</f>
        <v/>
      </c>
      <c r="U926" t="str">
        <f>IF($M926="","",IF($M926&gt;PARAMETRES!$G$34,5,IF($M926&gt;PARAMETRES!$F$34,4,IF($M926&gt;PARAMETRES!$E$34,3,IF($M926&gt;PARAMETRES!$D$34,2,1)))))</f>
        <v/>
      </c>
      <c r="V926" t="str">
        <f>IF($N926="","",IF($N926&gt;PARAMETRES!$G$35,5,IF($N926&gt;PARAMETRES!$F$35,4,IF($N926&gt;PARAMETRES!$E$35,3,IF($N926&gt;PARAMETRES!$D$35,2,1)))))</f>
        <v/>
      </c>
      <c r="W926" t="str">
        <f>IF($O926="","",IF($O926&gt;PARAMETRES!$G$36,5,IF($O926&gt;PARAMETRES!$F$36,4,IF($O926&gt;PARAMETRES!$E$36,3,IF($O926&gt;PARAMETRES!$D$36,2,1)))))</f>
        <v/>
      </c>
      <c r="X926" t="str">
        <f>IF($P926="","",IF($P926&gt;PARAMETRES!$G$37,5,IF($P926&gt;PARAMETRES!$F$37,4,IF($P926&gt;PARAMETRES!$E$37,3,IF($P926&gt;PARAMETRES!$D$37,2,1)))))</f>
        <v/>
      </c>
      <c r="Y926" t="str">
        <f t="shared" si="336"/>
        <v/>
      </c>
      <c r="Z926" t="str">
        <f>IFERROR(VLOOKUP($B926,TABLE_CYCLE,2,0),"")</f>
        <v/>
      </c>
      <c r="AA926" t="str">
        <f t="shared" si="337"/>
        <v/>
      </c>
      <c r="AB926" t="str">
        <f>IF($D926="","",IF(COUNTIF($D$2:$D926,$D926)=1,$D926,""))</f>
        <v/>
      </c>
      <c r="AC926">
        <f t="shared" si="338"/>
        <v>0</v>
      </c>
      <c r="AD926" t="str">
        <f t="shared" si="339"/>
        <v>|0</v>
      </c>
      <c r="AE926" t="str">
        <f t="shared" si="340"/>
        <v/>
      </c>
      <c r="AF926" t="str">
        <f t="shared" si="341"/>
        <v/>
      </c>
      <c r="AG926" t="str">
        <f t="shared" si="342"/>
        <v/>
      </c>
      <c r="AH926" t="str">
        <f t="shared" si="343"/>
        <v/>
      </c>
      <c r="AI926" t="str">
        <f t="shared" si="344"/>
        <v/>
      </c>
      <c r="AJ926" t="str">
        <f t="shared" si="345"/>
        <v/>
      </c>
      <c r="AK926" t="str">
        <f t="shared" si="346"/>
        <v/>
      </c>
      <c r="AL926" t="str">
        <f t="shared" si="347"/>
        <v/>
      </c>
      <c r="AM926" t="str">
        <f t="shared" si="348"/>
        <v/>
      </c>
      <c r="AN926" t="str">
        <f t="shared" si="349"/>
        <v/>
      </c>
      <c r="AO926" t="str">
        <f t="shared" si="350"/>
        <v/>
      </c>
      <c r="AP926">
        <f t="shared" si="351"/>
        <v>1</v>
      </c>
      <c r="AQ926" t="str">
        <f>IF(SAISIE!$F931="","",SAISIE!$Y931)</f>
        <v/>
      </c>
      <c r="AR926" t="str">
        <f>IF(OR(SAISIE!$U$4="",SAISIE!$W$4=""),"",IF(AND($A926=SAISIE!$U$4,$B926=SAISIE!$W$4,$C926="S1"),COUNTIFS($A$2:$A926,SAISIE!$U$4,$B$2:$B926,SAISIE!$W$4,$C$2:$C926,"S1"),""))</f>
        <v/>
      </c>
      <c r="AS926" t="str">
        <f t="shared" si="352"/>
        <v/>
      </c>
      <c r="AT926" t="str">
        <f t="shared" si="353"/>
        <v/>
      </c>
      <c r="AU926" t="str">
        <f t="shared" si="354"/>
        <v/>
      </c>
      <c r="AV926">
        <f>N(AV925)+IF(AND($AB926&lt;&gt;"",OR('PROFIL ELEVE'!$K$4="(Tous)",$AF926='PROFIL ELEVE'!$K$4)),1,0)</f>
        <v>0</v>
      </c>
      <c r="AW926">
        <f>N(AW925)+IF(AND($AB926&lt;&gt;"",OR('SUIVI LONGITUDINAL'!$Q$4="(Tous)",$AF926='SUIVI LONGITUDINAL'!$Q$4)),1,0)</f>
        <v>0</v>
      </c>
      <c r="AX926">
        <f t="shared" si="355"/>
        <v>0</v>
      </c>
      <c r="AY926">
        <f t="shared" si="356"/>
        <v>0</v>
      </c>
      <c r="AZ926">
        <f t="shared" si="357"/>
        <v>0</v>
      </c>
      <c r="BA926" t="str">
        <f t="shared" si="358"/>
        <v/>
      </c>
      <c r="BB926" t="str">
        <f t="shared" si="359"/>
        <v/>
      </c>
    </row>
    <row r="927" spans="1:54" ht="14.25" customHeight="1" x14ac:dyDescent="0.3">
      <c r="A927" t="str">
        <f>IF(SAISIE!$F932="","",SAISIE!$B932)</f>
        <v/>
      </c>
      <c r="B927" t="str">
        <f>IF(SAISIE!$F932="","",SAISIE!$C932)</f>
        <v/>
      </c>
      <c r="C927" t="str">
        <f>IF(SAISIE!$F932="","",SAISIE!$D932)</f>
        <v/>
      </c>
      <c r="D927" t="str">
        <f>IF(SAISIE!$E932="","",SAISIE!$E932)</f>
        <v/>
      </c>
      <c r="E927" t="str">
        <f>IF(SAISIE!$F932="","",SAISIE!$F932)</f>
        <v/>
      </c>
      <c r="F927" t="str">
        <f>IF(SAISIE!$G932="","",SAISIE!$G932)</f>
        <v/>
      </c>
      <c r="G927" t="str">
        <f>IF(SAISIE!$H932="","",SAISIE!$H932)</f>
        <v/>
      </c>
      <c r="H927" t="str">
        <f>IF(SAISIE!$I932="","",SAISIE!$I932)</f>
        <v/>
      </c>
      <c r="I927" t="str">
        <f>IF(SAISIE!$J932="","",SAISIE!$J932)</f>
        <v/>
      </c>
      <c r="J927" t="str">
        <f>IF(SAISIE!$K932="","",SAISIE!$K932)</f>
        <v/>
      </c>
      <c r="K927" t="str">
        <f>IF(SAISIE!$L932="","",SAISIE!$L932)</f>
        <v/>
      </c>
      <c r="L927" t="str">
        <f>IF(SAISIE!$M932="","",SAISIE!$M932)</f>
        <v/>
      </c>
      <c r="M927" t="str">
        <f>IF(SAISIE!$N932="","",SAISIE!$N932)</f>
        <v/>
      </c>
      <c r="N927" t="str">
        <f>IF(SAISIE!$O932="","",SAISIE!$O932)</f>
        <v/>
      </c>
      <c r="O927" t="str">
        <f>IF(SAISIE!$P932="","",SAISIE!$P932)</f>
        <v/>
      </c>
      <c r="P927" t="str">
        <f>IF(SAISIE!$Q932="","",SAISIE!$Q932)</f>
        <v/>
      </c>
      <c r="Q927" t="str">
        <f>IF($I927="","",IF($I927&gt;PARAMETRES!$G$29,5,IF($I927&gt;PARAMETRES!$F$29,4,IF($I927&gt;PARAMETRES!$E$29,3,IF($I927&gt;PARAMETRES!$D$29,2,1)))))</f>
        <v/>
      </c>
      <c r="R927" t="str">
        <f>IF($J927="","",IF($J927&gt;PARAMETRES!$G$30,5,IF($J927&gt;PARAMETRES!$F$30,4,IF($J927&gt;PARAMETRES!$E$30,3,IF($J927&gt;PARAMETRES!$D$30,2,1)))))</f>
        <v/>
      </c>
      <c r="S927" t="str">
        <f>IF($K927="","",IF($Z927=2,IF($K927&gt;PARAMETRES!$G$31,5,IF($K927&gt;PARAMETRES!$F$31,4,IF($K927&gt;PARAMETRES!$E$31,3,IF($K927&gt;PARAMETRES!$D$31,2,1)))),IF($K927&gt;PARAMETRES!$G$32,5,IF($K927&gt;PARAMETRES!$F$32,4,IF($K927&gt;PARAMETRES!$E$32,3,IF($K927&gt;PARAMETRES!$D$32,2,1))))))</f>
        <v/>
      </c>
      <c r="T927" t="str">
        <f>IF($L927="","",IF($L927&gt;PARAMETRES!$G$33,5,IF($L927&gt;PARAMETRES!$F$33,4,IF($L927&gt;PARAMETRES!$E$33,3,IF($L927&gt;PARAMETRES!$D$33,2,1)))))</f>
        <v/>
      </c>
      <c r="U927" t="str">
        <f>IF($M927="","",IF($M927&gt;PARAMETRES!$G$34,5,IF($M927&gt;PARAMETRES!$F$34,4,IF($M927&gt;PARAMETRES!$E$34,3,IF($M927&gt;PARAMETRES!$D$34,2,1)))))</f>
        <v/>
      </c>
      <c r="V927" t="str">
        <f>IF($N927="","",IF($N927&gt;PARAMETRES!$G$35,5,IF($N927&gt;PARAMETRES!$F$35,4,IF($N927&gt;PARAMETRES!$E$35,3,IF($N927&gt;PARAMETRES!$D$35,2,1)))))</f>
        <v/>
      </c>
      <c r="W927" t="str">
        <f>IF($O927="","",IF($O927&gt;PARAMETRES!$G$36,5,IF($O927&gt;PARAMETRES!$F$36,4,IF($O927&gt;PARAMETRES!$E$36,3,IF($O927&gt;PARAMETRES!$D$36,2,1)))))</f>
        <v/>
      </c>
      <c r="X927" t="str">
        <f>IF($P927="","",IF($P927&gt;PARAMETRES!$G$37,5,IF($P927&gt;PARAMETRES!$F$37,4,IF($P927&gt;PARAMETRES!$E$37,3,IF($P927&gt;PARAMETRES!$D$37,2,1)))))</f>
        <v/>
      </c>
      <c r="Y927" t="str">
        <f t="shared" si="336"/>
        <v/>
      </c>
      <c r="Z927" t="str">
        <f>IFERROR(VLOOKUP($B927,TABLE_CYCLE,2,0),"")</f>
        <v/>
      </c>
      <c r="AA927" t="str">
        <f t="shared" si="337"/>
        <v/>
      </c>
      <c r="AB927" t="str">
        <f>IF($D927="","",IF(COUNTIF($D$2:$D927,$D927)=1,$D927,""))</f>
        <v/>
      </c>
      <c r="AC927">
        <f t="shared" si="338"/>
        <v>0</v>
      </c>
      <c r="AD927" t="str">
        <f t="shared" si="339"/>
        <v>|0</v>
      </c>
      <c r="AE927" t="str">
        <f t="shared" si="340"/>
        <v/>
      </c>
      <c r="AF927" t="str">
        <f t="shared" si="341"/>
        <v/>
      </c>
      <c r="AG927" t="str">
        <f t="shared" si="342"/>
        <v/>
      </c>
      <c r="AH927" t="str">
        <f t="shared" si="343"/>
        <v/>
      </c>
      <c r="AI927" t="str">
        <f t="shared" si="344"/>
        <v/>
      </c>
      <c r="AJ927" t="str">
        <f t="shared" si="345"/>
        <v/>
      </c>
      <c r="AK927" t="str">
        <f t="shared" si="346"/>
        <v/>
      </c>
      <c r="AL927" t="str">
        <f t="shared" si="347"/>
        <v/>
      </c>
      <c r="AM927" t="str">
        <f t="shared" si="348"/>
        <v/>
      </c>
      <c r="AN927" t="str">
        <f t="shared" si="349"/>
        <v/>
      </c>
      <c r="AO927" t="str">
        <f t="shared" si="350"/>
        <v/>
      </c>
      <c r="AP927">
        <f t="shared" si="351"/>
        <v>1</v>
      </c>
      <c r="AQ927" t="str">
        <f>IF(SAISIE!$F932="","",SAISIE!$Y932)</f>
        <v/>
      </c>
      <c r="AR927" t="str">
        <f>IF(OR(SAISIE!$U$4="",SAISIE!$W$4=""),"",IF(AND($A927=SAISIE!$U$4,$B927=SAISIE!$W$4,$C927="S1"),COUNTIFS($A$2:$A927,SAISIE!$U$4,$B$2:$B927,SAISIE!$W$4,$C$2:$C927,"S1"),""))</f>
        <v/>
      </c>
      <c r="AS927" t="str">
        <f t="shared" si="352"/>
        <v/>
      </c>
      <c r="AT927" t="str">
        <f t="shared" si="353"/>
        <v/>
      </c>
      <c r="AU927" t="str">
        <f t="shared" si="354"/>
        <v/>
      </c>
      <c r="AV927">
        <f>N(AV926)+IF(AND($AB927&lt;&gt;"",OR('PROFIL ELEVE'!$K$4="(Tous)",$AF927='PROFIL ELEVE'!$K$4)),1,0)</f>
        <v>0</v>
      </c>
      <c r="AW927">
        <f>N(AW926)+IF(AND($AB927&lt;&gt;"",OR('SUIVI LONGITUDINAL'!$Q$4="(Tous)",$AF927='SUIVI LONGITUDINAL'!$Q$4)),1,0)</f>
        <v>0</v>
      </c>
      <c r="AX927">
        <f t="shared" si="355"/>
        <v>0</v>
      </c>
      <c r="AY927">
        <f t="shared" si="356"/>
        <v>0</v>
      </c>
      <c r="AZ927">
        <f t="shared" si="357"/>
        <v>0</v>
      </c>
      <c r="BA927" t="str">
        <f t="shared" si="358"/>
        <v/>
      </c>
      <c r="BB927" t="str">
        <f t="shared" si="359"/>
        <v/>
      </c>
    </row>
    <row r="928" spans="1:54" ht="14.25" customHeight="1" x14ac:dyDescent="0.3">
      <c r="A928" t="str">
        <f>IF(SAISIE!$F933="","",SAISIE!$B933)</f>
        <v/>
      </c>
      <c r="B928" t="str">
        <f>IF(SAISIE!$F933="","",SAISIE!$C933)</f>
        <v/>
      </c>
      <c r="C928" t="str">
        <f>IF(SAISIE!$F933="","",SAISIE!$D933)</f>
        <v/>
      </c>
      <c r="D928" t="str">
        <f>IF(SAISIE!$E933="","",SAISIE!$E933)</f>
        <v/>
      </c>
      <c r="E928" t="str">
        <f>IF(SAISIE!$F933="","",SAISIE!$F933)</f>
        <v/>
      </c>
      <c r="F928" t="str">
        <f>IF(SAISIE!$G933="","",SAISIE!$G933)</f>
        <v/>
      </c>
      <c r="G928" t="str">
        <f>IF(SAISIE!$H933="","",SAISIE!$H933)</f>
        <v/>
      </c>
      <c r="H928" t="str">
        <f>IF(SAISIE!$I933="","",SAISIE!$I933)</f>
        <v/>
      </c>
      <c r="I928" t="str">
        <f>IF(SAISIE!$J933="","",SAISIE!$J933)</f>
        <v/>
      </c>
      <c r="J928" t="str">
        <f>IF(SAISIE!$K933="","",SAISIE!$K933)</f>
        <v/>
      </c>
      <c r="K928" t="str">
        <f>IF(SAISIE!$L933="","",SAISIE!$L933)</f>
        <v/>
      </c>
      <c r="L928" t="str">
        <f>IF(SAISIE!$M933="","",SAISIE!$M933)</f>
        <v/>
      </c>
      <c r="M928" t="str">
        <f>IF(SAISIE!$N933="","",SAISIE!$N933)</f>
        <v/>
      </c>
      <c r="N928" t="str">
        <f>IF(SAISIE!$O933="","",SAISIE!$O933)</f>
        <v/>
      </c>
      <c r="O928" t="str">
        <f>IF(SAISIE!$P933="","",SAISIE!$P933)</f>
        <v/>
      </c>
      <c r="P928" t="str">
        <f>IF(SAISIE!$Q933="","",SAISIE!$Q933)</f>
        <v/>
      </c>
      <c r="Q928" t="str">
        <f>IF($I928="","",IF($I928&gt;PARAMETRES!$G$29,5,IF($I928&gt;PARAMETRES!$F$29,4,IF($I928&gt;PARAMETRES!$E$29,3,IF($I928&gt;PARAMETRES!$D$29,2,1)))))</f>
        <v/>
      </c>
      <c r="R928" t="str">
        <f>IF($J928="","",IF($J928&gt;PARAMETRES!$G$30,5,IF($J928&gt;PARAMETRES!$F$30,4,IF($J928&gt;PARAMETRES!$E$30,3,IF($J928&gt;PARAMETRES!$D$30,2,1)))))</f>
        <v/>
      </c>
      <c r="S928" t="str">
        <f>IF($K928="","",IF($Z928=2,IF($K928&gt;PARAMETRES!$G$31,5,IF($K928&gt;PARAMETRES!$F$31,4,IF($K928&gt;PARAMETRES!$E$31,3,IF($K928&gt;PARAMETRES!$D$31,2,1)))),IF($K928&gt;PARAMETRES!$G$32,5,IF($K928&gt;PARAMETRES!$F$32,4,IF($K928&gt;PARAMETRES!$E$32,3,IF($K928&gt;PARAMETRES!$D$32,2,1))))))</f>
        <v/>
      </c>
      <c r="T928" t="str">
        <f>IF($L928="","",IF($L928&gt;PARAMETRES!$G$33,5,IF($L928&gt;PARAMETRES!$F$33,4,IF($L928&gt;PARAMETRES!$E$33,3,IF($L928&gt;PARAMETRES!$D$33,2,1)))))</f>
        <v/>
      </c>
      <c r="U928" t="str">
        <f>IF($M928="","",IF($M928&gt;PARAMETRES!$G$34,5,IF($M928&gt;PARAMETRES!$F$34,4,IF($M928&gt;PARAMETRES!$E$34,3,IF($M928&gt;PARAMETRES!$D$34,2,1)))))</f>
        <v/>
      </c>
      <c r="V928" t="str">
        <f>IF($N928="","",IF($N928&gt;PARAMETRES!$G$35,5,IF($N928&gt;PARAMETRES!$F$35,4,IF($N928&gt;PARAMETRES!$E$35,3,IF($N928&gt;PARAMETRES!$D$35,2,1)))))</f>
        <v/>
      </c>
      <c r="W928" t="str">
        <f>IF($O928="","",IF($O928&gt;PARAMETRES!$G$36,5,IF($O928&gt;PARAMETRES!$F$36,4,IF($O928&gt;PARAMETRES!$E$36,3,IF($O928&gt;PARAMETRES!$D$36,2,1)))))</f>
        <v/>
      </c>
      <c r="X928" t="str">
        <f>IF($P928="","",IF($P928&gt;PARAMETRES!$G$37,5,IF($P928&gt;PARAMETRES!$F$37,4,IF($P928&gt;PARAMETRES!$E$37,3,IF($P928&gt;PARAMETRES!$D$37,2,1)))))</f>
        <v/>
      </c>
      <c r="Y928" t="str">
        <f t="shared" si="336"/>
        <v/>
      </c>
      <c r="Z928" t="str">
        <f>IFERROR(VLOOKUP($B928,TABLE_CYCLE,2,0),"")</f>
        <v/>
      </c>
      <c r="AA928" t="str">
        <f t="shared" si="337"/>
        <v/>
      </c>
      <c r="AB928" t="str">
        <f>IF($D928="","",IF(COUNTIF($D$2:$D928,$D928)=1,$D928,""))</f>
        <v/>
      </c>
      <c r="AC928">
        <f t="shared" si="338"/>
        <v>0</v>
      </c>
      <c r="AD928" t="str">
        <f t="shared" si="339"/>
        <v>|0</v>
      </c>
      <c r="AE928" t="str">
        <f t="shared" si="340"/>
        <v/>
      </c>
      <c r="AF928" t="str">
        <f t="shared" si="341"/>
        <v/>
      </c>
      <c r="AG928" t="str">
        <f t="shared" si="342"/>
        <v/>
      </c>
      <c r="AH928" t="str">
        <f t="shared" si="343"/>
        <v/>
      </c>
      <c r="AI928" t="str">
        <f t="shared" si="344"/>
        <v/>
      </c>
      <c r="AJ928" t="str">
        <f t="shared" si="345"/>
        <v/>
      </c>
      <c r="AK928" t="str">
        <f t="shared" si="346"/>
        <v/>
      </c>
      <c r="AL928" t="str">
        <f t="shared" si="347"/>
        <v/>
      </c>
      <c r="AM928" t="str">
        <f t="shared" si="348"/>
        <v/>
      </c>
      <c r="AN928" t="str">
        <f t="shared" si="349"/>
        <v/>
      </c>
      <c r="AO928" t="str">
        <f t="shared" si="350"/>
        <v/>
      </c>
      <c r="AP928">
        <f t="shared" si="351"/>
        <v>1</v>
      </c>
      <c r="AQ928" t="str">
        <f>IF(SAISIE!$F933="","",SAISIE!$Y933)</f>
        <v/>
      </c>
      <c r="AR928" t="str">
        <f>IF(OR(SAISIE!$U$4="",SAISIE!$W$4=""),"",IF(AND($A928=SAISIE!$U$4,$B928=SAISIE!$W$4,$C928="S1"),COUNTIFS($A$2:$A928,SAISIE!$U$4,$B$2:$B928,SAISIE!$W$4,$C$2:$C928,"S1"),""))</f>
        <v/>
      </c>
      <c r="AS928" t="str">
        <f t="shared" si="352"/>
        <v/>
      </c>
      <c r="AT928" t="str">
        <f t="shared" si="353"/>
        <v/>
      </c>
      <c r="AU928" t="str">
        <f t="shared" si="354"/>
        <v/>
      </c>
      <c r="AV928">
        <f>N(AV927)+IF(AND($AB928&lt;&gt;"",OR('PROFIL ELEVE'!$K$4="(Tous)",$AF928='PROFIL ELEVE'!$K$4)),1,0)</f>
        <v>0</v>
      </c>
      <c r="AW928">
        <f>N(AW927)+IF(AND($AB928&lt;&gt;"",OR('SUIVI LONGITUDINAL'!$Q$4="(Tous)",$AF928='SUIVI LONGITUDINAL'!$Q$4)),1,0)</f>
        <v>0</v>
      </c>
      <c r="AX928">
        <f t="shared" si="355"/>
        <v>0</v>
      </c>
      <c r="AY928">
        <f t="shared" si="356"/>
        <v>0</v>
      </c>
      <c r="AZ928">
        <f t="shared" si="357"/>
        <v>0</v>
      </c>
      <c r="BA928" t="str">
        <f t="shared" si="358"/>
        <v/>
      </c>
      <c r="BB928" t="str">
        <f t="shared" si="359"/>
        <v/>
      </c>
    </row>
    <row r="929" spans="1:54" ht="14.25" customHeight="1" x14ac:dyDescent="0.3">
      <c r="A929" t="str">
        <f>IF(SAISIE!$F934="","",SAISIE!$B934)</f>
        <v/>
      </c>
      <c r="B929" t="str">
        <f>IF(SAISIE!$F934="","",SAISIE!$C934)</f>
        <v/>
      </c>
      <c r="C929" t="str">
        <f>IF(SAISIE!$F934="","",SAISIE!$D934)</f>
        <v/>
      </c>
      <c r="D929" t="str">
        <f>IF(SAISIE!$E934="","",SAISIE!$E934)</f>
        <v/>
      </c>
      <c r="E929" t="str">
        <f>IF(SAISIE!$F934="","",SAISIE!$F934)</f>
        <v/>
      </c>
      <c r="F929" t="str">
        <f>IF(SAISIE!$G934="","",SAISIE!$G934)</f>
        <v/>
      </c>
      <c r="G929" t="str">
        <f>IF(SAISIE!$H934="","",SAISIE!$H934)</f>
        <v/>
      </c>
      <c r="H929" t="str">
        <f>IF(SAISIE!$I934="","",SAISIE!$I934)</f>
        <v/>
      </c>
      <c r="I929" t="str">
        <f>IF(SAISIE!$J934="","",SAISIE!$J934)</f>
        <v/>
      </c>
      <c r="J929" t="str">
        <f>IF(SAISIE!$K934="","",SAISIE!$K934)</f>
        <v/>
      </c>
      <c r="K929" t="str">
        <f>IF(SAISIE!$L934="","",SAISIE!$L934)</f>
        <v/>
      </c>
      <c r="L929" t="str">
        <f>IF(SAISIE!$M934="","",SAISIE!$M934)</f>
        <v/>
      </c>
      <c r="M929" t="str">
        <f>IF(SAISIE!$N934="","",SAISIE!$N934)</f>
        <v/>
      </c>
      <c r="N929" t="str">
        <f>IF(SAISIE!$O934="","",SAISIE!$O934)</f>
        <v/>
      </c>
      <c r="O929" t="str">
        <f>IF(SAISIE!$P934="","",SAISIE!$P934)</f>
        <v/>
      </c>
      <c r="P929" t="str">
        <f>IF(SAISIE!$Q934="","",SAISIE!$Q934)</f>
        <v/>
      </c>
      <c r="Q929" t="str">
        <f>IF($I929="","",IF($I929&gt;PARAMETRES!$G$29,5,IF($I929&gt;PARAMETRES!$F$29,4,IF($I929&gt;PARAMETRES!$E$29,3,IF($I929&gt;PARAMETRES!$D$29,2,1)))))</f>
        <v/>
      </c>
      <c r="R929" t="str">
        <f>IF($J929="","",IF($J929&gt;PARAMETRES!$G$30,5,IF($J929&gt;PARAMETRES!$F$30,4,IF($J929&gt;PARAMETRES!$E$30,3,IF($J929&gt;PARAMETRES!$D$30,2,1)))))</f>
        <v/>
      </c>
      <c r="S929" t="str">
        <f>IF($K929="","",IF($Z929=2,IF($K929&gt;PARAMETRES!$G$31,5,IF($K929&gt;PARAMETRES!$F$31,4,IF($K929&gt;PARAMETRES!$E$31,3,IF($K929&gt;PARAMETRES!$D$31,2,1)))),IF($K929&gt;PARAMETRES!$G$32,5,IF($K929&gt;PARAMETRES!$F$32,4,IF($K929&gt;PARAMETRES!$E$32,3,IF($K929&gt;PARAMETRES!$D$32,2,1))))))</f>
        <v/>
      </c>
      <c r="T929" t="str">
        <f>IF($L929="","",IF($L929&gt;PARAMETRES!$G$33,5,IF($L929&gt;PARAMETRES!$F$33,4,IF($L929&gt;PARAMETRES!$E$33,3,IF($L929&gt;PARAMETRES!$D$33,2,1)))))</f>
        <v/>
      </c>
      <c r="U929" t="str">
        <f>IF($M929="","",IF($M929&gt;PARAMETRES!$G$34,5,IF($M929&gt;PARAMETRES!$F$34,4,IF($M929&gt;PARAMETRES!$E$34,3,IF($M929&gt;PARAMETRES!$D$34,2,1)))))</f>
        <v/>
      </c>
      <c r="V929" t="str">
        <f>IF($N929="","",IF($N929&gt;PARAMETRES!$G$35,5,IF($N929&gt;PARAMETRES!$F$35,4,IF($N929&gt;PARAMETRES!$E$35,3,IF($N929&gt;PARAMETRES!$D$35,2,1)))))</f>
        <v/>
      </c>
      <c r="W929" t="str">
        <f>IF($O929="","",IF($O929&gt;PARAMETRES!$G$36,5,IF($O929&gt;PARAMETRES!$F$36,4,IF($O929&gt;PARAMETRES!$E$36,3,IF($O929&gt;PARAMETRES!$D$36,2,1)))))</f>
        <v/>
      </c>
      <c r="X929" t="str">
        <f>IF($P929="","",IF($P929&gt;PARAMETRES!$G$37,5,IF($P929&gt;PARAMETRES!$F$37,4,IF($P929&gt;PARAMETRES!$E$37,3,IF($P929&gt;PARAMETRES!$D$37,2,1)))))</f>
        <v/>
      </c>
      <c r="Y929" t="str">
        <f t="shared" si="336"/>
        <v/>
      </c>
      <c r="Z929" t="str">
        <f>IFERROR(VLOOKUP($B929,TABLE_CYCLE,2,0),"")</f>
        <v/>
      </c>
      <c r="AA929" t="str">
        <f t="shared" si="337"/>
        <v/>
      </c>
      <c r="AB929" t="str">
        <f>IF($D929="","",IF(COUNTIF($D$2:$D929,$D929)=1,$D929,""))</f>
        <v/>
      </c>
      <c r="AC929">
        <f t="shared" si="338"/>
        <v>0</v>
      </c>
      <c r="AD929" t="str">
        <f t="shared" si="339"/>
        <v>|0</v>
      </c>
      <c r="AE929" t="str">
        <f t="shared" si="340"/>
        <v/>
      </c>
      <c r="AF929" t="str">
        <f t="shared" si="341"/>
        <v/>
      </c>
      <c r="AG929" t="str">
        <f t="shared" si="342"/>
        <v/>
      </c>
      <c r="AH929" t="str">
        <f t="shared" si="343"/>
        <v/>
      </c>
      <c r="AI929" t="str">
        <f t="shared" si="344"/>
        <v/>
      </c>
      <c r="AJ929" t="str">
        <f t="shared" si="345"/>
        <v/>
      </c>
      <c r="AK929" t="str">
        <f t="shared" si="346"/>
        <v/>
      </c>
      <c r="AL929" t="str">
        <f t="shared" si="347"/>
        <v/>
      </c>
      <c r="AM929" t="str">
        <f t="shared" si="348"/>
        <v/>
      </c>
      <c r="AN929" t="str">
        <f t="shared" si="349"/>
        <v/>
      </c>
      <c r="AO929" t="str">
        <f t="shared" si="350"/>
        <v/>
      </c>
      <c r="AP929">
        <f t="shared" si="351"/>
        <v>1</v>
      </c>
      <c r="AQ929" t="str">
        <f>IF(SAISIE!$F934="","",SAISIE!$Y934)</f>
        <v/>
      </c>
      <c r="AR929" t="str">
        <f>IF(OR(SAISIE!$U$4="",SAISIE!$W$4=""),"",IF(AND($A929=SAISIE!$U$4,$B929=SAISIE!$W$4,$C929="S1"),COUNTIFS($A$2:$A929,SAISIE!$U$4,$B$2:$B929,SAISIE!$W$4,$C$2:$C929,"S1"),""))</f>
        <v/>
      </c>
      <c r="AS929" t="str">
        <f t="shared" si="352"/>
        <v/>
      </c>
      <c r="AT929" t="str">
        <f t="shared" si="353"/>
        <v/>
      </c>
      <c r="AU929" t="str">
        <f t="shared" si="354"/>
        <v/>
      </c>
      <c r="AV929">
        <f>N(AV928)+IF(AND($AB929&lt;&gt;"",OR('PROFIL ELEVE'!$K$4="(Tous)",$AF929='PROFIL ELEVE'!$K$4)),1,0)</f>
        <v>0</v>
      </c>
      <c r="AW929">
        <f>N(AW928)+IF(AND($AB929&lt;&gt;"",OR('SUIVI LONGITUDINAL'!$Q$4="(Tous)",$AF929='SUIVI LONGITUDINAL'!$Q$4)),1,0)</f>
        <v>0</v>
      </c>
      <c r="AX929">
        <f t="shared" si="355"/>
        <v>0</v>
      </c>
      <c r="AY929">
        <f t="shared" si="356"/>
        <v>0</v>
      </c>
      <c r="AZ929">
        <f t="shared" si="357"/>
        <v>0</v>
      </c>
      <c r="BA929" t="str">
        <f t="shared" si="358"/>
        <v/>
      </c>
      <c r="BB929" t="str">
        <f t="shared" si="359"/>
        <v/>
      </c>
    </row>
    <row r="930" spans="1:54" ht="14.25" customHeight="1" x14ac:dyDescent="0.3">
      <c r="A930" t="str">
        <f>IF(SAISIE!$F935="","",SAISIE!$B935)</f>
        <v/>
      </c>
      <c r="B930" t="str">
        <f>IF(SAISIE!$F935="","",SAISIE!$C935)</f>
        <v/>
      </c>
      <c r="C930" t="str">
        <f>IF(SAISIE!$F935="","",SAISIE!$D935)</f>
        <v/>
      </c>
      <c r="D930" t="str">
        <f>IF(SAISIE!$E935="","",SAISIE!$E935)</f>
        <v/>
      </c>
      <c r="E930" t="str">
        <f>IF(SAISIE!$F935="","",SAISIE!$F935)</f>
        <v/>
      </c>
      <c r="F930" t="str">
        <f>IF(SAISIE!$G935="","",SAISIE!$G935)</f>
        <v/>
      </c>
      <c r="G930" t="str">
        <f>IF(SAISIE!$H935="","",SAISIE!$H935)</f>
        <v/>
      </c>
      <c r="H930" t="str">
        <f>IF(SAISIE!$I935="","",SAISIE!$I935)</f>
        <v/>
      </c>
      <c r="I930" t="str">
        <f>IF(SAISIE!$J935="","",SAISIE!$J935)</f>
        <v/>
      </c>
      <c r="J930" t="str">
        <f>IF(SAISIE!$K935="","",SAISIE!$K935)</f>
        <v/>
      </c>
      <c r="K930" t="str">
        <f>IF(SAISIE!$L935="","",SAISIE!$L935)</f>
        <v/>
      </c>
      <c r="L930" t="str">
        <f>IF(SAISIE!$M935="","",SAISIE!$M935)</f>
        <v/>
      </c>
      <c r="M930" t="str">
        <f>IF(SAISIE!$N935="","",SAISIE!$N935)</f>
        <v/>
      </c>
      <c r="N930" t="str">
        <f>IF(SAISIE!$O935="","",SAISIE!$O935)</f>
        <v/>
      </c>
      <c r="O930" t="str">
        <f>IF(SAISIE!$P935="","",SAISIE!$P935)</f>
        <v/>
      </c>
      <c r="P930" t="str">
        <f>IF(SAISIE!$Q935="","",SAISIE!$Q935)</f>
        <v/>
      </c>
      <c r="Q930" t="str">
        <f>IF($I930="","",IF($I930&gt;PARAMETRES!$G$29,5,IF($I930&gt;PARAMETRES!$F$29,4,IF($I930&gt;PARAMETRES!$E$29,3,IF($I930&gt;PARAMETRES!$D$29,2,1)))))</f>
        <v/>
      </c>
      <c r="R930" t="str">
        <f>IF($J930="","",IF($J930&gt;PARAMETRES!$G$30,5,IF($J930&gt;PARAMETRES!$F$30,4,IF($J930&gt;PARAMETRES!$E$30,3,IF($J930&gt;PARAMETRES!$D$30,2,1)))))</f>
        <v/>
      </c>
      <c r="S930" t="str">
        <f>IF($K930="","",IF($Z930=2,IF($K930&gt;PARAMETRES!$G$31,5,IF($K930&gt;PARAMETRES!$F$31,4,IF($K930&gt;PARAMETRES!$E$31,3,IF($K930&gt;PARAMETRES!$D$31,2,1)))),IF($K930&gt;PARAMETRES!$G$32,5,IF($K930&gt;PARAMETRES!$F$32,4,IF($K930&gt;PARAMETRES!$E$32,3,IF($K930&gt;PARAMETRES!$D$32,2,1))))))</f>
        <v/>
      </c>
      <c r="T930" t="str">
        <f>IF($L930="","",IF($L930&gt;PARAMETRES!$G$33,5,IF($L930&gt;PARAMETRES!$F$33,4,IF($L930&gt;PARAMETRES!$E$33,3,IF($L930&gt;PARAMETRES!$D$33,2,1)))))</f>
        <v/>
      </c>
      <c r="U930" t="str">
        <f>IF($M930="","",IF($M930&gt;PARAMETRES!$G$34,5,IF($M930&gt;PARAMETRES!$F$34,4,IF($M930&gt;PARAMETRES!$E$34,3,IF($M930&gt;PARAMETRES!$D$34,2,1)))))</f>
        <v/>
      </c>
      <c r="V930" t="str">
        <f>IF($N930="","",IF($N930&gt;PARAMETRES!$G$35,5,IF($N930&gt;PARAMETRES!$F$35,4,IF($N930&gt;PARAMETRES!$E$35,3,IF($N930&gt;PARAMETRES!$D$35,2,1)))))</f>
        <v/>
      </c>
      <c r="W930" t="str">
        <f>IF($O930="","",IF($O930&gt;PARAMETRES!$G$36,5,IF($O930&gt;PARAMETRES!$F$36,4,IF($O930&gt;PARAMETRES!$E$36,3,IF($O930&gt;PARAMETRES!$D$36,2,1)))))</f>
        <v/>
      </c>
      <c r="X930" t="str">
        <f>IF($P930="","",IF($P930&gt;PARAMETRES!$G$37,5,IF($P930&gt;PARAMETRES!$F$37,4,IF($P930&gt;PARAMETRES!$E$37,3,IF($P930&gt;PARAMETRES!$D$37,2,1)))))</f>
        <v/>
      </c>
      <c r="Y930" t="str">
        <f t="shared" si="336"/>
        <v/>
      </c>
      <c r="Z930" t="str">
        <f>IFERROR(VLOOKUP($B930,TABLE_CYCLE,2,0),"")</f>
        <v/>
      </c>
      <c r="AA930" t="str">
        <f t="shared" si="337"/>
        <v/>
      </c>
      <c r="AB930" t="str">
        <f>IF($D930="","",IF(COUNTIF($D$2:$D930,$D930)=1,$D930,""))</f>
        <v/>
      </c>
      <c r="AC930">
        <f t="shared" si="338"/>
        <v>0</v>
      </c>
      <c r="AD930" t="str">
        <f t="shared" si="339"/>
        <v>|0</v>
      </c>
      <c r="AE930" t="str">
        <f t="shared" si="340"/>
        <v/>
      </c>
      <c r="AF930" t="str">
        <f t="shared" si="341"/>
        <v/>
      </c>
      <c r="AG930" t="str">
        <f t="shared" si="342"/>
        <v/>
      </c>
      <c r="AH930" t="str">
        <f t="shared" si="343"/>
        <v/>
      </c>
      <c r="AI930" t="str">
        <f t="shared" si="344"/>
        <v/>
      </c>
      <c r="AJ930" t="str">
        <f t="shared" si="345"/>
        <v/>
      </c>
      <c r="AK930" t="str">
        <f t="shared" si="346"/>
        <v/>
      </c>
      <c r="AL930" t="str">
        <f t="shared" si="347"/>
        <v/>
      </c>
      <c r="AM930" t="str">
        <f t="shared" si="348"/>
        <v/>
      </c>
      <c r="AN930" t="str">
        <f t="shared" si="349"/>
        <v/>
      </c>
      <c r="AO930" t="str">
        <f t="shared" si="350"/>
        <v/>
      </c>
      <c r="AP930">
        <f t="shared" si="351"/>
        <v>1</v>
      </c>
      <c r="AQ930" t="str">
        <f>IF(SAISIE!$F935="","",SAISIE!$Y935)</f>
        <v/>
      </c>
      <c r="AR930" t="str">
        <f>IF(OR(SAISIE!$U$4="",SAISIE!$W$4=""),"",IF(AND($A930=SAISIE!$U$4,$B930=SAISIE!$W$4,$C930="S1"),COUNTIFS($A$2:$A930,SAISIE!$U$4,$B$2:$B930,SAISIE!$W$4,$C$2:$C930,"S1"),""))</f>
        <v/>
      </c>
      <c r="AS930" t="str">
        <f t="shared" si="352"/>
        <v/>
      </c>
      <c r="AT930" t="str">
        <f t="shared" si="353"/>
        <v/>
      </c>
      <c r="AU930" t="str">
        <f t="shared" si="354"/>
        <v/>
      </c>
      <c r="AV930">
        <f>N(AV929)+IF(AND($AB930&lt;&gt;"",OR('PROFIL ELEVE'!$K$4="(Tous)",$AF930='PROFIL ELEVE'!$K$4)),1,0)</f>
        <v>0</v>
      </c>
      <c r="AW930">
        <f>N(AW929)+IF(AND($AB930&lt;&gt;"",OR('SUIVI LONGITUDINAL'!$Q$4="(Tous)",$AF930='SUIVI LONGITUDINAL'!$Q$4)),1,0)</f>
        <v>0</v>
      </c>
      <c r="AX930">
        <f t="shared" si="355"/>
        <v>0</v>
      </c>
      <c r="AY930">
        <f t="shared" si="356"/>
        <v>0</v>
      </c>
      <c r="AZ930">
        <f t="shared" si="357"/>
        <v>0</v>
      </c>
      <c r="BA930" t="str">
        <f t="shared" si="358"/>
        <v/>
      </c>
      <c r="BB930" t="str">
        <f t="shared" si="359"/>
        <v/>
      </c>
    </row>
    <row r="931" spans="1:54" ht="14.25" customHeight="1" x14ac:dyDescent="0.3">
      <c r="A931" t="str">
        <f>IF(SAISIE!$F936="","",SAISIE!$B936)</f>
        <v/>
      </c>
      <c r="B931" t="str">
        <f>IF(SAISIE!$F936="","",SAISIE!$C936)</f>
        <v/>
      </c>
      <c r="C931" t="str">
        <f>IF(SAISIE!$F936="","",SAISIE!$D936)</f>
        <v/>
      </c>
      <c r="D931" t="str">
        <f>IF(SAISIE!$E936="","",SAISIE!$E936)</f>
        <v/>
      </c>
      <c r="E931" t="str">
        <f>IF(SAISIE!$F936="","",SAISIE!$F936)</f>
        <v/>
      </c>
      <c r="F931" t="str">
        <f>IF(SAISIE!$G936="","",SAISIE!$G936)</f>
        <v/>
      </c>
      <c r="G931" t="str">
        <f>IF(SAISIE!$H936="","",SAISIE!$H936)</f>
        <v/>
      </c>
      <c r="H931" t="str">
        <f>IF(SAISIE!$I936="","",SAISIE!$I936)</f>
        <v/>
      </c>
      <c r="I931" t="str">
        <f>IF(SAISIE!$J936="","",SAISIE!$J936)</f>
        <v/>
      </c>
      <c r="J931" t="str">
        <f>IF(SAISIE!$K936="","",SAISIE!$K936)</f>
        <v/>
      </c>
      <c r="K931" t="str">
        <f>IF(SAISIE!$L936="","",SAISIE!$L936)</f>
        <v/>
      </c>
      <c r="L931" t="str">
        <f>IF(SAISIE!$M936="","",SAISIE!$M936)</f>
        <v/>
      </c>
      <c r="M931" t="str">
        <f>IF(SAISIE!$N936="","",SAISIE!$N936)</f>
        <v/>
      </c>
      <c r="N931" t="str">
        <f>IF(SAISIE!$O936="","",SAISIE!$O936)</f>
        <v/>
      </c>
      <c r="O931" t="str">
        <f>IF(SAISIE!$P936="","",SAISIE!$P936)</f>
        <v/>
      </c>
      <c r="P931" t="str">
        <f>IF(SAISIE!$Q936="","",SAISIE!$Q936)</f>
        <v/>
      </c>
      <c r="Q931" t="str">
        <f>IF($I931="","",IF($I931&gt;PARAMETRES!$G$29,5,IF($I931&gt;PARAMETRES!$F$29,4,IF($I931&gt;PARAMETRES!$E$29,3,IF($I931&gt;PARAMETRES!$D$29,2,1)))))</f>
        <v/>
      </c>
      <c r="R931" t="str">
        <f>IF($J931="","",IF($J931&gt;PARAMETRES!$G$30,5,IF($J931&gt;PARAMETRES!$F$30,4,IF($J931&gt;PARAMETRES!$E$30,3,IF($J931&gt;PARAMETRES!$D$30,2,1)))))</f>
        <v/>
      </c>
      <c r="S931" t="str">
        <f>IF($K931="","",IF($Z931=2,IF($K931&gt;PARAMETRES!$G$31,5,IF($K931&gt;PARAMETRES!$F$31,4,IF($K931&gt;PARAMETRES!$E$31,3,IF($K931&gt;PARAMETRES!$D$31,2,1)))),IF($K931&gt;PARAMETRES!$G$32,5,IF($K931&gt;PARAMETRES!$F$32,4,IF($K931&gt;PARAMETRES!$E$32,3,IF($K931&gt;PARAMETRES!$D$32,2,1))))))</f>
        <v/>
      </c>
      <c r="T931" t="str">
        <f>IF($L931="","",IF($L931&gt;PARAMETRES!$G$33,5,IF($L931&gt;PARAMETRES!$F$33,4,IF($L931&gt;PARAMETRES!$E$33,3,IF($L931&gt;PARAMETRES!$D$33,2,1)))))</f>
        <v/>
      </c>
      <c r="U931" t="str">
        <f>IF($M931="","",IF($M931&gt;PARAMETRES!$G$34,5,IF($M931&gt;PARAMETRES!$F$34,4,IF($M931&gt;PARAMETRES!$E$34,3,IF($M931&gt;PARAMETRES!$D$34,2,1)))))</f>
        <v/>
      </c>
      <c r="V931" t="str">
        <f>IF($N931="","",IF($N931&gt;PARAMETRES!$G$35,5,IF($N931&gt;PARAMETRES!$F$35,4,IF($N931&gt;PARAMETRES!$E$35,3,IF($N931&gt;PARAMETRES!$D$35,2,1)))))</f>
        <v/>
      </c>
      <c r="W931" t="str">
        <f>IF($O931="","",IF($O931&gt;PARAMETRES!$G$36,5,IF($O931&gt;PARAMETRES!$F$36,4,IF($O931&gt;PARAMETRES!$E$36,3,IF($O931&gt;PARAMETRES!$D$36,2,1)))))</f>
        <v/>
      </c>
      <c r="X931" t="str">
        <f>IF($P931="","",IF($P931&gt;PARAMETRES!$G$37,5,IF($P931&gt;PARAMETRES!$F$37,4,IF($P931&gt;PARAMETRES!$E$37,3,IF($P931&gt;PARAMETRES!$D$37,2,1)))))</f>
        <v/>
      </c>
      <c r="Y931" t="str">
        <f t="shared" si="336"/>
        <v/>
      </c>
      <c r="Z931" t="str">
        <f>IFERROR(VLOOKUP($B931,TABLE_CYCLE,2,0),"")</f>
        <v/>
      </c>
      <c r="AA931" t="str">
        <f t="shared" si="337"/>
        <v/>
      </c>
      <c r="AB931" t="str">
        <f>IF($D931="","",IF(COUNTIF($D$2:$D931,$D931)=1,$D931,""))</f>
        <v/>
      </c>
      <c r="AC931">
        <f t="shared" si="338"/>
        <v>0</v>
      </c>
      <c r="AD931" t="str">
        <f t="shared" si="339"/>
        <v>|0</v>
      </c>
      <c r="AE931" t="str">
        <f t="shared" si="340"/>
        <v/>
      </c>
      <c r="AF931" t="str">
        <f t="shared" si="341"/>
        <v/>
      </c>
      <c r="AG931" t="str">
        <f t="shared" si="342"/>
        <v/>
      </c>
      <c r="AH931" t="str">
        <f t="shared" si="343"/>
        <v/>
      </c>
      <c r="AI931" t="str">
        <f t="shared" si="344"/>
        <v/>
      </c>
      <c r="AJ931" t="str">
        <f t="shared" si="345"/>
        <v/>
      </c>
      <c r="AK931" t="str">
        <f t="shared" si="346"/>
        <v/>
      </c>
      <c r="AL931" t="str">
        <f t="shared" si="347"/>
        <v/>
      </c>
      <c r="AM931" t="str">
        <f t="shared" si="348"/>
        <v/>
      </c>
      <c r="AN931" t="str">
        <f t="shared" si="349"/>
        <v/>
      </c>
      <c r="AO931" t="str">
        <f t="shared" si="350"/>
        <v/>
      </c>
      <c r="AP931">
        <f t="shared" si="351"/>
        <v>1</v>
      </c>
      <c r="AQ931" t="str">
        <f>IF(SAISIE!$F936="","",SAISIE!$Y936)</f>
        <v/>
      </c>
      <c r="AR931" t="str">
        <f>IF(OR(SAISIE!$U$4="",SAISIE!$W$4=""),"",IF(AND($A931=SAISIE!$U$4,$B931=SAISIE!$W$4,$C931="S1"),COUNTIFS($A$2:$A931,SAISIE!$U$4,$B$2:$B931,SAISIE!$W$4,$C$2:$C931,"S1"),""))</f>
        <v/>
      </c>
      <c r="AS931" t="str">
        <f t="shared" si="352"/>
        <v/>
      </c>
      <c r="AT931" t="str">
        <f t="shared" si="353"/>
        <v/>
      </c>
      <c r="AU931" t="str">
        <f t="shared" si="354"/>
        <v/>
      </c>
      <c r="AV931">
        <f>N(AV930)+IF(AND($AB931&lt;&gt;"",OR('PROFIL ELEVE'!$K$4="(Tous)",$AF931='PROFIL ELEVE'!$K$4)),1,0)</f>
        <v>0</v>
      </c>
      <c r="AW931">
        <f>N(AW930)+IF(AND($AB931&lt;&gt;"",OR('SUIVI LONGITUDINAL'!$Q$4="(Tous)",$AF931='SUIVI LONGITUDINAL'!$Q$4)),1,0)</f>
        <v>0</v>
      </c>
      <c r="AX931">
        <f t="shared" si="355"/>
        <v>0</v>
      </c>
      <c r="AY931">
        <f t="shared" si="356"/>
        <v>0</v>
      </c>
      <c r="AZ931">
        <f t="shared" si="357"/>
        <v>0</v>
      </c>
      <c r="BA931" t="str">
        <f t="shared" si="358"/>
        <v/>
      </c>
      <c r="BB931" t="str">
        <f t="shared" si="359"/>
        <v/>
      </c>
    </row>
    <row r="932" spans="1:54" ht="14.25" customHeight="1" x14ac:dyDescent="0.3">
      <c r="A932" t="str">
        <f>IF(SAISIE!$F937="","",SAISIE!$B937)</f>
        <v/>
      </c>
      <c r="B932" t="str">
        <f>IF(SAISIE!$F937="","",SAISIE!$C937)</f>
        <v/>
      </c>
      <c r="C932" t="str">
        <f>IF(SAISIE!$F937="","",SAISIE!$D937)</f>
        <v/>
      </c>
      <c r="D932" t="str">
        <f>IF(SAISIE!$E937="","",SAISIE!$E937)</f>
        <v/>
      </c>
      <c r="E932" t="str">
        <f>IF(SAISIE!$F937="","",SAISIE!$F937)</f>
        <v/>
      </c>
      <c r="F932" t="str">
        <f>IF(SAISIE!$G937="","",SAISIE!$G937)</f>
        <v/>
      </c>
      <c r="G932" t="str">
        <f>IF(SAISIE!$H937="","",SAISIE!$H937)</f>
        <v/>
      </c>
      <c r="H932" t="str">
        <f>IF(SAISIE!$I937="","",SAISIE!$I937)</f>
        <v/>
      </c>
      <c r="I932" t="str">
        <f>IF(SAISIE!$J937="","",SAISIE!$J937)</f>
        <v/>
      </c>
      <c r="J932" t="str">
        <f>IF(SAISIE!$K937="","",SAISIE!$K937)</f>
        <v/>
      </c>
      <c r="K932" t="str">
        <f>IF(SAISIE!$L937="","",SAISIE!$L937)</f>
        <v/>
      </c>
      <c r="L932" t="str">
        <f>IF(SAISIE!$M937="","",SAISIE!$M937)</f>
        <v/>
      </c>
      <c r="M932" t="str">
        <f>IF(SAISIE!$N937="","",SAISIE!$N937)</f>
        <v/>
      </c>
      <c r="N932" t="str">
        <f>IF(SAISIE!$O937="","",SAISIE!$O937)</f>
        <v/>
      </c>
      <c r="O932" t="str">
        <f>IF(SAISIE!$P937="","",SAISIE!$P937)</f>
        <v/>
      </c>
      <c r="P932" t="str">
        <f>IF(SAISIE!$Q937="","",SAISIE!$Q937)</f>
        <v/>
      </c>
      <c r="Q932" t="str">
        <f>IF($I932="","",IF($I932&gt;PARAMETRES!$G$29,5,IF($I932&gt;PARAMETRES!$F$29,4,IF($I932&gt;PARAMETRES!$E$29,3,IF($I932&gt;PARAMETRES!$D$29,2,1)))))</f>
        <v/>
      </c>
      <c r="R932" t="str">
        <f>IF($J932="","",IF($J932&gt;PARAMETRES!$G$30,5,IF($J932&gt;PARAMETRES!$F$30,4,IF($J932&gt;PARAMETRES!$E$30,3,IF($J932&gt;PARAMETRES!$D$30,2,1)))))</f>
        <v/>
      </c>
      <c r="S932" t="str">
        <f>IF($K932="","",IF($Z932=2,IF($K932&gt;PARAMETRES!$G$31,5,IF($K932&gt;PARAMETRES!$F$31,4,IF($K932&gt;PARAMETRES!$E$31,3,IF($K932&gt;PARAMETRES!$D$31,2,1)))),IF($K932&gt;PARAMETRES!$G$32,5,IF($K932&gt;PARAMETRES!$F$32,4,IF($K932&gt;PARAMETRES!$E$32,3,IF($K932&gt;PARAMETRES!$D$32,2,1))))))</f>
        <v/>
      </c>
      <c r="T932" t="str">
        <f>IF($L932="","",IF($L932&gt;PARAMETRES!$G$33,5,IF($L932&gt;PARAMETRES!$F$33,4,IF($L932&gt;PARAMETRES!$E$33,3,IF($L932&gt;PARAMETRES!$D$33,2,1)))))</f>
        <v/>
      </c>
      <c r="U932" t="str">
        <f>IF($M932="","",IF($M932&gt;PARAMETRES!$G$34,5,IF($M932&gt;PARAMETRES!$F$34,4,IF($M932&gt;PARAMETRES!$E$34,3,IF($M932&gt;PARAMETRES!$D$34,2,1)))))</f>
        <v/>
      </c>
      <c r="V932" t="str">
        <f>IF($N932="","",IF($N932&gt;PARAMETRES!$G$35,5,IF($N932&gt;PARAMETRES!$F$35,4,IF($N932&gt;PARAMETRES!$E$35,3,IF($N932&gt;PARAMETRES!$D$35,2,1)))))</f>
        <v/>
      </c>
      <c r="W932" t="str">
        <f>IF($O932="","",IF($O932&gt;PARAMETRES!$G$36,5,IF($O932&gt;PARAMETRES!$F$36,4,IF($O932&gt;PARAMETRES!$E$36,3,IF($O932&gt;PARAMETRES!$D$36,2,1)))))</f>
        <v/>
      </c>
      <c r="X932" t="str">
        <f>IF($P932="","",IF($P932&gt;PARAMETRES!$G$37,5,IF($P932&gt;PARAMETRES!$F$37,4,IF($P932&gt;PARAMETRES!$E$37,3,IF($P932&gt;PARAMETRES!$D$37,2,1)))))</f>
        <v/>
      </c>
      <c r="Y932" t="str">
        <f t="shared" si="336"/>
        <v/>
      </c>
      <c r="Z932" t="str">
        <f>IFERROR(VLOOKUP($B932,TABLE_CYCLE,2,0),"")</f>
        <v/>
      </c>
      <c r="AA932" t="str">
        <f t="shared" si="337"/>
        <v/>
      </c>
      <c r="AB932" t="str">
        <f>IF($D932="","",IF(COUNTIF($D$2:$D932,$D932)=1,$D932,""))</f>
        <v/>
      </c>
      <c r="AC932">
        <f t="shared" si="338"/>
        <v>0</v>
      </c>
      <c r="AD932" t="str">
        <f t="shared" si="339"/>
        <v>|0</v>
      </c>
      <c r="AE932" t="str">
        <f t="shared" si="340"/>
        <v/>
      </c>
      <c r="AF932" t="str">
        <f t="shared" si="341"/>
        <v/>
      </c>
      <c r="AG932" t="str">
        <f t="shared" si="342"/>
        <v/>
      </c>
      <c r="AH932" t="str">
        <f t="shared" si="343"/>
        <v/>
      </c>
      <c r="AI932" t="str">
        <f t="shared" si="344"/>
        <v/>
      </c>
      <c r="AJ932" t="str">
        <f t="shared" si="345"/>
        <v/>
      </c>
      <c r="AK932" t="str">
        <f t="shared" si="346"/>
        <v/>
      </c>
      <c r="AL932" t="str">
        <f t="shared" si="347"/>
        <v/>
      </c>
      <c r="AM932" t="str">
        <f t="shared" si="348"/>
        <v/>
      </c>
      <c r="AN932" t="str">
        <f t="shared" si="349"/>
        <v/>
      </c>
      <c r="AO932" t="str">
        <f t="shared" si="350"/>
        <v/>
      </c>
      <c r="AP932">
        <f t="shared" si="351"/>
        <v>1</v>
      </c>
      <c r="AQ932" t="str">
        <f>IF(SAISIE!$F937="","",SAISIE!$Y937)</f>
        <v/>
      </c>
      <c r="AR932" t="str">
        <f>IF(OR(SAISIE!$U$4="",SAISIE!$W$4=""),"",IF(AND($A932=SAISIE!$U$4,$B932=SAISIE!$W$4,$C932="S1"),COUNTIFS($A$2:$A932,SAISIE!$U$4,$B$2:$B932,SAISIE!$W$4,$C$2:$C932,"S1"),""))</f>
        <v/>
      </c>
      <c r="AS932" t="str">
        <f t="shared" si="352"/>
        <v/>
      </c>
      <c r="AT932" t="str">
        <f t="shared" si="353"/>
        <v/>
      </c>
      <c r="AU932" t="str">
        <f t="shared" si="354"/>
        <v/>
      </c>
      <c r="AV932">
        <f>N(AV931)+IF(AND($AB932&lt;&gt;"",OR('PROFIL ELEVE'!$K$4="(Tous)",$AF932='PROFIL ELEVE'!$K$4)),1,0)</f>
        <v>0</v>
      </c>
      <c r="AW932">
        <f>N(AW931)+IF(AND($AB932&lt;&gt;"",OR('SUIVI LONGITUDINAL'!$Q$4="(Tous)",$AF932='SUIVI LONGITUDINAL'!$Q$4)),1,0)</f>
        <v>0</v>
      </c>
      <c r="AX932">
        <f t="shared" si="355"/>
        <v>0</v>
      </c>
      <c r="AY932">
        <f t="shared" si="356"/>
        <v>0</v>
      </c>
      <c r="AZ932">
        <f t="shared" si="357"/>
        <v>0</v>
      </c>
      <c r="BA932" t="str">
        <f t="shared" si="358"/>
        <v/>
      </c>
      <c r="BB932" t="str">
        <f t="shared" si="359"/>
        <v/>
      </c>
    </row>
    <row r="933" spans="1:54" ht="14.25" customHeight="1" x14ac:dyDescent="0.3">
      <c r="A933" t="str">
        <f>IF(SAISIE!$F938="","",SAISIE!$B938)</f>
        <v/>
      </c>
      <c r="B933" t="str">
        <f>IF(SAISIE!$F938="","",SAISIE!$C938)</f>
        <v/>
      </c>
      <c r="C933" t="str">
        <f>IF(SAISIE!$F938="","",SAISIE!$D938)</f>
        <v/>
      </c>
      <c r="D933" t="str">
        <f>IF(SAISIE!$E938="","",SAISIE!$E938)</f>
        <v/>
      </c>
      <c r="E933" t="str">
        <f>IF(SAISIE!$F938="","",SAISIE!$F938)</f>
        <v/>
      </c>
      <c r="F933" t="str">
        <f>IF(SAISIE!$G938="","",SAISIE!$G938)</f>
        <v/>
      </c>
      <c r="G933" t="str">
        <f>IF(SAISIE!$H938="","",SAISIE!$H938)</f>
        <v/>
      </c>
      <c r="H933" t="str">
        <f>IF(SAISIE!$I938="","",SAISIE!$I938)</f>
        <v/>
      </c>
      <c r="I933" t="str">
        <f>IF(SAISIE!$J938="","",SAISIE!$J938)</f>
        <v/>
      </c>
      <c r="J933" t="str">
        <f>IF(SAISIE!$K938="","",SAISIE!$K938)</f>
        <v/>
      </c>
      <c r="K933" t="str">
        <f>IF(SAISIE!$L938="","",SAISIE!$L938)</f>
        <v/>
      </c>
      <c r="L933" t="str">
        <f>IF(SAISIE!$M938="","",SAISIE!$M938)</f>
        <v/>
      </c>
      <c r="M933" t="str">
        <f>IF(SAISIE!$N938="","",SAISIE!$N938)</f>
        <v/>
      </c>
      <c r="N933" t="str">
        <f>IF(SAISIE!$O938="","",SAISIE!$O938)</f>
        <v/>
      </c>
      <c r="O933" t="str">
        <f>IF(SAISIE!$P938="","",SAISIE!$P938)</f>
        <v/>
      </c>
      <c r="P933" t="str">
        <f>IF(SAISIE!$Q938="","",SAISIE!$Q938)</f>
        <v/>
      </c>
      <c r="Q933" t="str">
        <f>IF($I933="","",IF($I933&gt;PARAMETRES!$G$29,5,IF($I933&gt;PARAMETRES!$F$29,4,IF($I933&gt;PARAMETRES!$E$29,3,IF($I933&gt;PARAMETRES!$D$29,2,1)))))</f>
        <v/>
      </c>
      <c r="R933" t="str">
        <f>IF($J933="","",IF($J933&gt;PARAMETRES!$G$30,5,IF($J933&gt;PARAMETRES!$F$30,4,IF($J933&gt;PARAMETRES!$E$30,3,IF($J933&gt;PARAMETRES!$D$30,2,1)))))</f>
        <v/>
      </c>
      <c r="S933" t="str">
        <f>IF($K933="","",IF($Z933=2,IF($K933&gt;PARAMETRES!$G$31,5,IF($K933&gt;PARAMETRES!$F$31,4,IF($K933&gt;PARAMETRES!$E$31,3,IF($K933&gt;PARAMETRES!$D$31,2,1)))),IF($K933&gt;PARAMETRES!$G$32,5,IF($K933&gt;PARAMETRES!$F$32,4,IF($K933&gt;PARAMETRES!$E$32,3,IF($K933&gt;PARAMETRES!$D$32,2,1))))))</f>
        <v/>
      </c>
      <c r="T933" t="str">
        <f>IF($L933="","",IF($L933&gt;PARAMETRES!$G$33,5,IF($L933&gt;PARAMETRES!$F$33,4,IF($L933&gt;PARAMETRES!$E$33,3,IF($L933&gt;PARAMETRES!$D$33,2,1)))))</f>
        <v/>
      </c>
      <c r="U933" t="str">
        <f>IF($M933="","",IF($M933&gt;PARAMETRES!$G$34,5,IF($M933&gt;PARAMETRES!$F$34,4,IF($M933&gt;PARAMETRES!$E$34,3,IF($M933&gt;PARAMETRES!$D$34,2,1)))))</f>
        <v/>
      </c>
      <c r="V933" t="str">
        <f>IF($N933="","",IF($N933&gt;PARAMETRES!$G$35,5,IF($N933&gt;PARAMETRES!$F$35,4,IF($N933&gt;PARAMETRES!$E$35,3,IF($N933&gt;PARAMETRES!$D$35,2,1)))))</f>
        <v/>
      </c>
      <c r="W933" t="str">
        <f>IF($O933="","",IF($O933&gt;PARAMETRES!$G$36,5,IF($O933&gt;PARAMETRES!$F$36,4,IF($O933&gt;PARAMETRES!$E$36,3,IF($O933&gt;PARAMETRES!$D$36,2,1)))))</f>
        <v/>
      </c>
      <c r="X933" t="str">
        <f>IF($P933="","",IF($P933&gt;PARAMETRES!$G$37,5,IF($P933&gt;PARAMETRES!$F$37,4,IF($P933&gt;PARAMETRES!$E$37,3,IF($P933&gt;PARAMETRES!$D$37,2,1)))))</f>
        <v/>
      </c>
      <c r="Y933" t="str">
        <f t="shared" si="336"/>
        <v/>
      </c>
      <c r="Z933" t="str">
        <f>IFERROR(VLOOKUP($B933,TABLE_CYCLE,2,0),"")</f>
        <v/>
      </c>
      <c r="AA933" t="str">
        <f t="shared" si="337"/>
        <v/>
      </c>
      <c r="AB933" t="str">
        <f>IF($D933="","",IF(COUNTIF($D$2:$D933,$D933)=1,$D933,""))</f>
        <v/>
      </c>
      <c r="AC933">
        <f t="shared" si="338"/>
        <v>0</v>
      </c>
      <c r="AD933" t="str">
        <f t="shared" si="339"/>
        <v>|0</v>
      </c>
      <c r="AE933" t="str">
        <f t="shared" si="340"/>
        <v/>
      </c>
      <c r="AF933" t="str">
        <f t="shared" si="341"/>
        <v/>
      </c>
      <c r="AG933" t="str">
        <f t="shared" si="342"/>
        <v/>
      </c>
      <c r="AH933" t="str">
        <f t="shared" si="343"/>
        <v/>
      </c>
      <c r="AI933" t="str">
        <f t="shared" si="344"/>
        <v/>
      </c>
      <c r="AJ933" t="str">
        <f t="shared" si="345"/>
        <v/>
      </c>
      <c r="AK933" t="str">
        <f t="shared" si="346"/>
        <v/>
      </c>
      <c r="AL933" t="str">
        <f t="shared" si="347"/>
        <v/>
      </c>
      <c r="AM933" t="str">
        <f t="shared" si="348"/>
        <v/>
      </c>
      <c r="AN933" t="str">
        <f t="shared" si="349"/>
        <v/>
      </c>
      <c r="AO933" t="str">
        <f t="shared" si="350"/>
        <v/>
      </c>
      <c r="AP933">
        <f t="shared" si="351"/>
        <v>1</v>
      </c>
      <c r="AQ933" t="str">
        <f>IF(SAISIE!$F938="","",SAISIE!$Y938)</f>
        <v/>
      </c>
      <c r="AR933" t="str">
        <f>IF(OR(SAISIE!$U$4="",SAISIE!$W$4=""),"",IF(AND($A933=SAISIE!$U$4,$B933=SAISIE!$W$4,$C933="S1"),COUNTIFS($A$2:$A933,SAISIE!$U$4,$B$2:$B933,SAISIE!$W$4,$C$2:$C933,"S1"),""))</f>
        <v/>
      </c>
      <c r="AS933" t="str">
        <f t="shared" si="352"/>
        <v/>
      </c>
      <c r="AT933" t="str">
        <f t="shared" si="353"/>
        <v/>
      </c>
      <c r="AU933" t="str">
        <f t="shared" si="354"/>
        <v/>
      </c>
      <c r="AV933">
        <f>N(AV932)+IF(AND($AB933&lt;&gt;"",OR('PROFIL ELEVE'!$K$4="(Tous)",$AF933='PROFIL ELEVE'!$K$4)),1,0)</f>
        <v>0</v>
      </c>
      <c r="AW933">
        <f>N(AW932)+IF(AND($AB933&lt;&gt;"",OR('SUIVI LONGITUDINAL'!$Q$4="(Tous)",$AF933='SUIVI LONGITUDINAL'!$Q$4)),1,0)</f>
        <v>0</v>
      </c>
      <c r="AX933">
        <f t="shared" si="355"/>
        <v>0</v>
      </c>
      <c r="AY933">
        <f t="shared" si="356"/>
        <v>0</v>
      </c>
      <c r="AZ933">
        <f t="shared" si="357"/>
        <v>0</v>
      </c>
      <c r="BA933" t="str">
        <f t="shared" si="358"/>
        <v/>
      </c>
      <c r="BB933" t="str">
        <f t="shared" si="359"/>
        <v/>
      </c>
    </row>
    <row r="934" spans="1:54" ht="14.25" customHeight="1" x14ac:dyDescent="0.3">
      <c r="A934" t="str">
        <f>IF(SAISIE!$F939="","",SAISIE!$B939)</f>
        <v/>
      </c>
      <c r="B934" t="str">
        <f>IF(SAISIE!$F939="","",SAISIE!$C939)</f>
        <v/>
      </c>
      <c r="C934" t="str">
        <f>IF(SAISIE!$F939="","",SAISIE!$D939)</f>
        <v/>
      </c>
      <c r="D934" t="str">
        <f>IF(SAISIE!$E939="","",SAISIE!$E939)</f>
        <v/>
      </c>
      <c r="E934" t="str">
        <f>IF(SAISIE!$F939="","",SAISIE!$F939)</f>
        <v/>
      </c>
      <c r="F934" t="str">
        <f>IF(SAISIE!$G939="","",SAISIE!$G939)</f>
        <v/>
      </c>
      <c r="G934" t="str">
        <f>IF(SAISIE!$H939="","",SAISIE!$H939)</f>
        <v/>
      </c>
      <c r="H934" t="str">
        <f>IF(SAISIE!$I939="","",SAISIE!$I939)</f>
        <v/>
      </c>
      <c r="I934" t="str">
        <f>IF(SAISIE!$J939="","",SAISIE!$J939)</f>
        <v/>
      </c>
      <c r="J934" t="str">
        <f>IF(SAISIE!$K939="","",SAISIE!$K939)</f>
        <v/>
      </c>
      <c r="K934" t="str">
        <f>IF(SAISIE!$L939="","",SAISIE!$L939)</f>
        <v/>
      </c>
      <c r="L934" t="str">
        <f>IF(SAISIE!$M939="","",SAISIE!$M939)</f>
        <v/>
      </c>
      <c r="M934" t="str">
        <f>IF(SAISIE!$N939="","",SAISIE!$N939)</f>
        <v/>
      </c>
      <c r="N934" t="str">
        <f>IF(SAISIE!$O939="","",SAISIE!$O939)</f>
        <v/>
      </c>
      <c r="O934" t="str">
        <f>IF(SAISIE!$P939="","",SAISIE!$P939)</f>
        <v/>
      </c>
      <c r="P934" t="str">
        <f>IF(SAISIE!$Q939="","",SAISIE!$Q939)</f>
        <v/>
      </c>
      <c r="Q934" t="str">
        <f>IF($I934="","",IF($I934&gt;PARAMETRES!$G$29,5,IF($I934&gt;PARAMETRES!$F$29,4,IF($I934&gt;PARAMETRES!$E$29,3,IF($I934&gt;PARAMETRES!$D$29,2,1)))))</f>
        <v/>
      </c>
      <c r="R934" t="str">
        <f>IF($J934="","",IF($J934&gt;PARAMETRES!$G$30,5,IF($J934&gt;PARAMETRES!$F$30,4,IF($J934&gt;PARAMETRES!$E$30,3,IF($J934&gt;PARAMETRES!$D$30,2,1)))))</f>
        <v/>
      </c>
      <c r="S934" t="str">
        <f>IF($K934="","",IF($Z934=2,IF($K934&gt;PARAMETRES!$G$31,5,IF($K934&gt;PARAMETRES!$F$31,4,IF($K934&gt;PARAMETRES!$E$31,3,IF($K934&gt;PARAMETRES!$D$31,2,1)))),IF($K934&gt;PARAMETRES!$G$32,5,IF($K934&gt;PARAMETRES!$F$32,4,IF($K934&gt;PARAMETRES!$E$32,3,IF($K934&gt;PARAMETRES!$D$32,2,1))))))</f>
        <v/>
      </c>
      <c r="T934" t="str">
        <f>IF($L934="","",IF($L934&gt;PARAMETRES!$G$33,5,IF($L934&gt;PARAMETRES!$F$33,4,IF($L934&gt;PARAMETRES!$E$33,3,IF($L934&gt;PARAMETRES!$D$33,2,1)))))</f>
        <v/>
      </c>
      <c r="U934" t="str">
        <f>IF($M934="","",IF($M934&gt;PARAMETRES!$G$34,5,IF($M934&gt;PARAMETRES!$F$34,4,IF($M934&gt;PARAMETRES!$E$34,3,IF($M934&gt;PARAMETRES!$D$34,2,1)))))</f>
        <v/>
      </c>
      <c r="V934" t="str">
        <f>IF($N934="","",IF($N934&gt;PARAMETRES!$G$35,5,IF($N934&gt;PARAMETRES!$F$35,4,IF($N934&gt;PARAMETRES!$E$35,3,IF($N934&gt;PARAMETRES!$D$35,2,1)))))</f>
        <v/>
      </c>
      <c r="W934" t="str">
        <f>IF($O934="","",IF($O934&gt;PARAMETRES!$G$36,5,IF($O934&gt;PARAMETRES!$F$36,4,IF($O934&gt;PARAMETRES!$E$36,3,IF($O934&gt;PARAMETRES!$D$36,2,1)))))</f>
        <v/>
      </c>
      <c r="X934" t="str">
        <f>IF($P934="","",IF($P934&gt;PARAMETRES!$G$37,5,IF($P934&gt;PARAMETRES!$F$37,4,IF($P934&gt;PARAMETRES!$E$37,3,IF($P934&gt;PARAMETRES!$D$37,2,1)))))</f>
        <v/>
      </c>
      <c r="Y934" t="str">
        <f t="shared" si="336"/>
        <v/>
      </c>
      <c r="Z934" t="str">
        <f>IFERROR(VLOOKUP($B934,TABLE_CYCLE,2,0),"")</f>
        <v/>
      </c>
      <c r="AA934" t="str">
        <f t="shared" si="337"/>
        <v/>
      </c>
      <c r="AB934" t="str">
        <f>IF($D934="","",IF(COUNTIF($D$2:$D934,$D934)=1,$D934,""))</f>
        <v/>
      </c>
      <c r="AC934">
        <f t="shared" si="338"/>
        <v>0</v>
      </c>
      <c r="AD934" t="str">
        <f t="shared" si="339"/>
        <v>|0</v>
      </c>
      <c r="AE934" t="str">
        <f t="shared" si="340"/>
        <v/>
      </c>
      <c r="AF934" t="str">
        <f t="shared" si="341"/>
        <v/>
      </c>
      <c r="AG934" t="str">
        <f t="shared" si="342"/>
        <v/>
      </c>
      <c r="AH934" t="str">
        <f t="shared" si="343"/>
        <v/>
      </c>
      <c r="AI934" t="str">
        <f t="shared" si="344"/>
        <v/>
      </c>
      <c r="AJ934" t="str">
        <f t="shared" si="345"/>
        <v/>
      </c>
      <c r="AK934" t="str">
        <f t="shared" si="346"/>
        <v/>
      </c>
      <c r="AL934" t="str">
        <f t="shared" si="347"/>
        <v/>
      </c>
      <c r="AM934" t="str">
        <f t="shared" si="348"/>
        <v/>
      </c>
      <c r="AN934" t="str">
        <f t="shared" si="349"/>
        <v/>
      </c>
      <c r="AO934" t="str">
        <f t="shared" si="350"/>
        <v/>
      </c>
      <c r="AP934">
        <f t="shared" si="351"/>
        <v>1</v>
      </c>
      <c r="AQ934" t="str">
        <f>IF(SAISIE!$F939="","",SAISIE!$Y939)</f>
        <v/>
      </c>
      <c r="AR934" t="str">
        <f>IF(OR(SAISIE!$U$4="",SAISIE!$W$4=""),"",IF(AND($A934=SAISIE!$U$4,$B934=SAISIE!$W$4,$C934="S1"),COUNTIFS($A$2:$A934,SAISIE!$U$4,$B$2:$B934,SAISIE!$W$4,$C$2:$C934,"S1"),""))</f>
        <v/>
      </c>
      <c r="AS934" t="str">
        <f t="shared" si="352"/>
        <v/>
      </c>
      <c r="AT934" t="str">
        <f t="shared" si="353"/>
        <v/>
      </c>
      <c r="AU934" t="str">
        <f t="shared" si="354"/>
        <v/>
      </c>
      <c r="AV934">
        <f>N(AV933)+IF(AND($AB934&lt;&gt;"",OR('PROFIL ELEVE'!$K$4="(Tous)",$AF934='PROFIL ELEVE'!$K$4)),1,0)</f>
        <v>0</v>
      </c>
      <c r="AW934">
        <f>N(AW933)+IF(AND($AB934&lt;&gt;"",OR('SUIVI LONGITUDINAL'!$Q$4="(Tous)",$AF934='SUIVI LONGITUDINAL'!$Q$4)),1,0)</f>
        <v>0</v>
      </c>
      <c r="AX934">
        <f t="shared" si="355"/>
        <v>0</v>
      </c>
      <c r="AY934">
        <f t="shared" si="356"/>
        <v>0</v>
      </c>
      <c r="AZ934">
        <f t="shared" si="357"/>
        <v>0</v>
      </c>
      <c r="BA934" t="str">
        <f t="shared" si="358"/>
        <v/>
      </c>
      <c r="BB934" t="str">
        <f t="shared" si="359"/>
        <v/>
      </c>
    </row>
    <row r="935" spans="1:54" ht="14.25" customHeight="1" x14ac:dyDescent="0.3">
      <c r="A935" t="str">
        <f>IF(SAISIE!$F940="","",SAISIE!$B940)</f>
        <v/>
      </c>
      <c r="B935" t="str">
        <f>IF(SAISIE!$F940="","",SAISIE!$C940)</f>
        <v/>
      </c>
      <c r="C935" t="str">
        <f>IF(SAISIE!$F940="","",SAISIE!$D940)</f>
        <v/>
      </c>
      <c r="D935" t="str">
        <f>IF(SAISIE!$E940="","",SAISIE!$E940)</f>
        <v/>
      </c>
      <c r="E935" t="str">
        <f>IF(SAISIE!$F940="","",SAISIE!$F940)</f>
        <v/>
      </c>
      <c r="F935" t="str">
        <f>IF(SAISIE!$G940="","",SAISIE!$G940)</f>
        <v/>
      </c>
      <c r="G935" t="str">
        <f>IF(SAISIE!$H940="","",SAISIE!$H940)</f>
        <v/>
      </c>
      <c r="H935" t="str">
        <f>IF(SAISIE!$I940="","",SAISIE!$I940)</f>
        <v/>
      </c>
      <c r="I935" t="str">
        <f>IF(SAISIE!$J940="","",SAISIE!$J940)</f>
        <v/>
      </c>
      <c r="J935" t="str">
        <f>IF(SAISIE!$K940="","",SAISIE!$K940)</f>
        <v/>
      </c>
      <c r="K935" t="str">
        <f>IF(SAISIE!$L940="","",SAISIE!$L940)</f>
        <v/>
      </c>
      <c r="L935" t="str">
        <f>IF(SAISIE!$M940="","",SAISIE!$M940)</f>
        <v/>
      </c>
      <c r="M935" t="str">
        <f>IF(SAISIE!$N940="","",SAISIE!$N940)</f>
        <v/>
      </c>
      <c r="N935" t="str">
        <f>IF(SAISIE!$O940="","",SAISIE!$O940)</f>
        <v/>
      </c>
      <c r="O935" t="str">
        <f>IF(SAISIE!$P940="","",SAISIE!$P940)</f>
        <v/>
      </c>
      <c r="P935" t="str">
        <f>IF(SAISIE!$Q940="","",SAISIE!$Q940)</f>
        <v/>
      </c>
      <c r="Q935" t="str">
        <f>IF($I935="","",IF($I935&gt;PARAMETRES!$G$29,5,IF($I935&gt;PARAMETRES!$F$29,4,IF($I935&gt;PARAMETRES!$E$29,3,IF($I935&gt;PARAMETRES!$D$29,2,1)))))</f>
        <v/>
      </c>
      <c r="R935" t="str">
        <f>IF($J935="","",IF($J935&gt;PARAMETRES!$G$30,5,IF($J935&gt;PARAMETRES!$F$30,4,IF($J935&gt;PARAMETRES!$E$30,3,IF($J935&gt;PARAMETRES!$D$30,2,1)))))</f>
        <v/>
      </c>
      <c r="S935" t="str">
        <f>IF($K935="","",IF($Z935=2,IF($K935&gt;PARAMETRES!$G$31,5,IF($K935&gt;PARAMETRES!$F$31,4,IF($K935&gt;PARAMETRES!$E$31,3,IF($K935&gt;PARAMETRES!$D$31,2,1)))),IF($K935&gt;PARAMETRES!$G$32,5,IF($K935&gt;PARAMETRES!$F$32,4,IF($K935&gt;PARAMETRES!$E$32,3,IF($K935&gt;PARAMETRES!$D$32,2,1))))))</f>
        <v/>
      </c>
      <c r="T935" t="str">
        <f>IF($L935="","",IF($L935&gt;PARAMETRES!$G$33,5,IF($L935&gt;PARAMETRES!$F$33,4,IF($L935&gt;PARAMETRES!$E$33,3,IF($L935&gt;PARAMETRES!$D$33,2,1)))))</f>
        <v/>
      </c>
      <c r="U935" t="str">
        <f>IF($M935="","",IF($M935&gt;PARAMETRES!$G$34,5,IF($M935&gt;PARAMETRES!$F$34,4,IF($M935&gt;PARAMETRES!$E$34,3,IF($M935&gt;PARAMETRES!$D$34,2,1)))))</f>
        <v/>
      </c>
      <c r="V935" t="str">
        <f>IF($N935="","",IF($N935&gt;PARAMETRES!$G$35,5,IF($N935&gt;PARAMETRES!$F$35,4,IF($N935&gt;PARAMETRES!$E$35,3,IF($N935&gt;PARAMETRES!$D$35,2,1)))))</f>
        <v/>
      </c>
      <c r="W935" t="str">
        <f>IF($O935="","",IF($O935&gt;PARAMETRES!$G$36,5,IF($O935&gt;PARAMETRES!$F$36,4,IF($O935&gt;PARAMETRES!$E$36,3,IF($O935&gt;PARAMETRES!$D$36,2,1)))))</f>
        <v/>
      </c>
      <c r="X935" t="str">
        <f>IF($P935="","",IF($P935&gt;PARAMETRES!$G$37,5,IF($P935&gt;PARAMETRES!$F$37,4,IF($P935&gt;PARAMETRES!$E$37,3,IF($P935&gt;PARAMETRES!$D$37,2,1)))))</f>
        <v/>
      </c>
      <c r="Y935" t="str">
        <f t="shared" si="336"/>
        <v/>
      </c>
      <c r="Z935" t="str">
        <f>IFERROR(VLOOKUP($B935,TABLE_CYCLE,2,0),"")</f>
        <v/>
      </c>
      <c r="AA935" t="str">
        <f t="shared" si="337"/>
        <v/>
      </c>
      <c r="AB935" t="str">
        <f>IF($D935="","",IF(COUNTIF($D$2:$D935,$D935)=1,$D935,""))</f>
        <v/>
      </c>
      <c r="AC935">
        <f t="shared" si="338"/>
        <v>0</v>
      </c>
      <c r="AD935" t="str">
        <f t="shared" si="339"/>
        <v>|0</v>
      </c>
      <c r="AE935" t="str">
        <f t="shared" si="340"/>
        <v/>
      </c>
      <c r="AF935" t="str">
        <f t="shared" si="341"/>
        <v/>
      </c>
      <c r="AG935" t="str">
        <f t="shared" si="342"/>
        <v/>
      </c>
      <c r="AH935" t="str">
        <f t="shared" si="343"/>
        <v/>
      </c>
      <c r="AI935" t="str">
        <f t="shared" si="344"/>
        <v/>
      </c>
      <c r="AJ935" t="str">
        <f t="shared" si="345"/>
        <v/>
      </c>
      <c r="AK935" t="str">
        <f t="shared" si="346"/>
        <v/>
      </c>
      <c r="AL935" t="str">
        <f t="shared" si="347"/>
        <v/>
      </c>
      <c r="AM935" t="str">
        <f t="shared" si="348"/>
        <v/>
      </c>
      <c r="AN935" t="str">
        <f t="shared" si="349"/>
        <v/>
      </c>
      <c r="AO935" t="str">
        <f t="shared" si="350"/>
        <v/>
      </c>
      <c r="AP935">
        <f t="shared" si="351"/>
        <v>1</v>
      </c>
      <c r="AQ935" t="str">
        <f>IF(SAISIE!$F940="","",SAISIE!$Y940)</f>
        <v/>
      </c>
      <c r="AR935" t="str">
        <f>IF(OR(SAISIE!$U$4="",SAISIE!$W$4=""),"",IF(AND($A935=SAISIE!$U$4,$B935=SAISIE!$W$4,$C935="S1"),COUNTIFS($A$2:$A935,SAISIE!$U$4,$B$2:$B935,SAISIE!$W$4,$C$2:$C935,"S1"),""))</f>
        <v/>
      </c>
      <c r="AS935" t="str">
        <f t="shared" si="352"/>
        <v/>
      </c>
      <c r="AT935" t="str">
        <f t="shared" si="353"/>
        <v/>
      </c>
      <c r="AU935" t="str">
        <f t="shared" si="354"/>
        <v/>
      </c>
      <c r="AV935">
        <f>N(AV934)+IF(AND($AB935&lt;&gt;"",OR('PROFIL ELEVE'!$K$4="(Tous)",$AF935='PROFIL ELEVE'!$K$4)),1,0)</f>
        <v>0</v>
      </c>
      <c r="AW935">
        <f>N(AW934)+IF(AND($AB935&lt;&gt;"",OR('SUIVI LONGITUDINAL'!$Q$4="(Tous)",$AF935='SUIVI LONGITUDINAL'!$Q$4)),1,0)</f>
        <v>0</v>
      </c>
      <c r="AX935">
        <f t="shared" si="355"/>
        <v>0</v>
      </c>
      <c r="AY935">
        <f t="shared" si="356"/>
        <v>0</v>
      </c>
      <c r="AZ935">
        <f t="shared" si="357"/>
        <v>0</v>
      </c>
      <c r="BA935" t="str">
        <f t="shared" si="358"/>
        <v/>
      </c>
      <c r="BB935" t="str">
        <f t="shared" si="359"/>
        <v/>
      </c>
    </row>
    <row r="936" spans="1:54" ht="14.25" customHeight="1" x14ac:dyDescent="0.3">
      <c r="A936" t="str">
        <f>IF(SAISIE!$F941="","",SAISIE!$B941)</f>
        <v/>
      </c>
      <c r="B936" t="str">
        <f>IF(SAISIE!$F941="","",SAISIE!$C941)</f>
        <v/>
      </c>
      <c r="C936" t="str">
        <f>IF(SAISIE!$F941="","",SAISIE!$D941)</f>
        <v/>
      </c>
      <c r="D936" t="str">
        <f>IF(SAISIE!$E941="","",SAISIE!$E941)</f>
        <v/>
      </c>
      <c r="E936" t="str">
        <f>IF(SAISIE!$F941="","",SAISIE!$F941)</f>
        <v/>
      </c>
      <c r="F936" t="str">
        <f>IF(SAISIE!$G941="","",SAISIE!$G941)</f>
        <v/>
      </c>
      <c r="G936" t="str">
        <f>IF(SAISIE!$H941="","",SAISIE!$H941)</f>
        <v/>
      </c>
      <c r="H936" t="str">
        <f>IF(SAISIE!$I941="","",SAISIE!$I941)</f>
        <v/>
      </c>
      <c r="I936" t="str">
        <f>IF(SAISIE!$J941="","",SAISIE!$J941)</f>
        <v/>
      </c>
      <c r="J936" t="str">
        <f>IF(SAISIE!$K941="","",SAISIE!$K941)</f>
        <v/>
      </c>
      <c r="K936" t="str">
        <f>IF(SAISIE!$L941="","",SAISIE!$L941)</f>
        <v/>
      </c>
      <c r="L936" t="str">
        <f>IF(SAISIE!$M941="","",SAISIE!$M941)</f>
        <v/>
      </c>
      <c r="M936" t="str">
        <f>IF(SAISIE!$N941="","",SAISIE!$N941)</f>
        <v/>
      </c>
      <c r="N936" t="str">
        <f>IF(SAISIE!$O941="","",SAISIE!$O941)</f>
        <v/>
      </c>
      <c r="O936" t="str">
        <f>IF(SAISIE!$P941="","",SAISIE!$P941)</f>
        <v/>
      </c>
      <c r="P936" t="str">
        <f>IF(SAISIE!$Q941="","",SAISIE!$Q941)</f>
        <v/>
      </c>
      <c r="Q936" t="str">
        <f>IF($I936="","",IF($I936&gt;PARAMETRES!$G$29,5,IF($I936&gt;PARAMETRES!$F$29,4,IF($I936&gt;PARAMETRES!$E$29,3,IF($I936&gt;PARAMETRES!$D$29,2,1)))))</f>
        <v/>
      </c>
      <c r="R936" t="str">
        <f>IF($J936="","",IF($J936&gt;PARAMETRES!$G$30,5,IF($J936&gt;PARAMETRES!$F$30,4,IF($J936&gt;PARAMETRES!$E$30,3,IF($J936&gt;PARAMETRES!$D$30,2,1)))))</f>
        <v/>
      </c>
      <c r="S936" t="str">
        <f>IF($K936="","",IF($Z936=2,IF($K936&gt;PARAMETRES!$G$31,5,IF($K936&gt;PARAMETRES!$F$31,4,IF($K936&gt;PARAMETRES!$E$31,3,IF($K936&gt;PARAMETRES!$D$31,2,1)))),IF($K936&gt;PARAMETRES!$G$32,5,IF($K936&gt;PARAMETRES!$F$32,4,IF($K936&gt;PARAMETRES!$E$32,3,IF($K936&gt;PARAMETRES!$D$32,2,1))))))</f>
        <v/>
      </c>
      <c r="T936" t="str">
        <f>IF($L936="","",IF($L936&gt;PARAMETRES!$G$33,5,IF($L936&gt;PARAMETRES!$F$33,4,IF($L936&gt;PARAMETRES!$E$33,3,IF($L936&gt;PARAMETRES!$D$33,2,1)))))</f>
        <v/>
      </c>
      <c r="U936" t="str">
        <f>IF($M936="","",IF($M936&gt;PARAMETRES!$G$34,5,IF($M936&gt;PARAMETRES!$F$34,4,IF($M936&gt;PARAMETRES!$E$34,3,IF($M936&gt;PARAMETRES!$D$34,2,1)))))</f>
        <v/>
      </c>
      <c r="V936" t="str">
        <f>IF($N936="","",IF($N936&gt;PARAMETRES!$G$35,5,IF($N936&gt;PARAMETRES!$F$35,4,IF($N936&gt;PARAMETRES!$E$35,3,IF($N936&gt;PARAMETRES!$D$35,2,1)))))</f>
        <v/>
      </c>
      <c r="W936" t="str">
        <f>IF($O936="","",IF($O936&gt;PARAMETRES!$G$36,5,IF($O936&gt;PARAMETRES!$F$36,4,IF($O936&gt;PARAMETRES!$E$36,3,IF($O936&gt;PARAMETRES!$D$36,2,1)))))</f>
        <v/>
      </c>
      <c r="X936" t="str">
        <f>IF($P936="","",IF($P936&gt;PARAMETRES!$G$37,5,IF($P936&gt;PARAMETRES!$F$37,4,IF($P936&gt;PARAMETRES!$E$37,3,IF($P936&gt;PARAMETRES!$D$37,2,1)))))</f>
        <v/>
      </c>
      <c r="Y936" t="str">
        <f t="shared" si="336"/>
        <v/>
      </c>
      <c r="Z936" t="str">
        <f>IFERROR(VLOOKUP($B936,TABLE_CYCLE,2,0),"")</f>
        <v/>
      </c>
      <c r="AA936" t="str">
        <f t="shared" si="337"/>
        <v/>
      </c>
      <c r="AB936" t="str">
        <f>IF($D936="","",IF(COUNTIF($D$2:$D936,$D936)=1,$D936,""))</f>
        <v/>
      </c>
      <c r="AC936">
        <f t="shared" si="338"/>
        <v>0</v>
      </c>
      <c r="AD936" t="str">
        <f t="shared" si="339"/>
        <v>|0</v>
      </c>
      <c r="AE936" t="str">
        <f t="shared" si="340"/>
        <v/>
      </c>
      <c r="AF936" t="str">
        <f t="shared" si="341"/>
        <v/>
      </c>
      <c r="AG936" t="str">
        <f t="shared" si="342"/>
        <v/>
      </c>
      <c r="AH936" t="str">
        <f t="shared" si="343"/>
        <v/>
      </c>
      <c r="AI936" t="str">
        <f t="shared" si="344"/>
        <v/>
      </c>
      <c r="AJ936" t="str">
        <f t="shared" si="345"/>
        <v/>
      </c>
      <c r="AK936" t="str">
        <f t="shared" si="346"/>
        <v/>
      </c>
      <c r="AL936" t="str">
        <f t="shared" si="347"/>
        <v/>
      </c>
      <c r="AM936" t="str">
        <f t="shared" si="348"/>
        <v/>
      </c>
      <c r="AN936" t="str">
        <f t="shared" si="349"/>
        <v/>
      </c>
      <c r="AO936" t="str">
        <f t="shared" si="350"/>
        <v/>
      </c>
      <c r="AP936">
        <f t="shared" si="351"/>
        <v>1</v>
      </c>
      <c r="AQ936" t="str">
        <f>IF(SAISIE!$F941="","",SAISIE!$Y941)</f>
        <v/>
      </c>
      <c r="AR936" t="str">
        <f>IF(OR(SAISIE!$U$4="",SAISIE!$W$4=""),"",IF(AND($A936=SAISIE!$U$4,$B936=SAISIE!$W$4,$C936="S1"),COUNTIFS($A$2:$A936,SAISIE!$U$4,$B$2:$B936,SAISIE!$W$4,$C$2:$C936,"S1"),""))</f>
        <v/>
      </c>
      <c r="AS936" t="str">
        <f t="shared" si="352"/>
        <v/>
      </c>
      <c r="AT936" t="str">
        <f t="shared" si="353"/>
        <v/>
      </c>
      <c r="AU936" t="str">
        <f t="shared" si="354"/>
        <v/>
      </c>
      <c r="AV936">
        <f>N(AV935)+IF(AND($AB936&lt;&gt;"",OR('PROFIL ELEVE'!$K$4="(Tous)",$AF936='PROFIL ELEVE'!$K$4)),1,0)</f>
        <v>0</v>
      </c>
      <c r="AW936">
        <f>N(AW935)+IF(AND($AB936&lt;&gt;"",OR('SUIVI LONGITUDINAL'!$Q$4="(Tous)",$AF936='SUIVI LONGITUDINAL'!$Q$4)),1,0)</f>
        <v>0</v>
      </c>
      <c r="AX936">
        <f t="shared" si="355"/>
        <v>0</v>
      </c>
      <c r="AY936">
        <f t="shared" si="356"/>
        <v>0</v>
      </c>
      <c r="AZ936">
        <f t="shared" si="357"/>
        <v>0</v>
      </c>
      <c r="BA936" t="str">
        <f t="shared" si="358"/>
        <v/>
      </c>
      <c r="BB936" t="str">
        <f t="shared" si="359"/>
        <v/>
      </c>
    </row>
    <row r="937" spans="1:54" ht="14.25" customHeight="1" x14ac:dyDescent="0.3">
      <c r="A937" t="str">
        <f>IF(SAISIE!$F942="","",SAISIE!$B942)</f>
        <v/>
      </c>
      <c r="B937" t="str">
        <f>IF(SAISIE!$F942="","",SAISIE!$C942)</f>
        <v/>
      </c>
      <c r="C937" t="str">
        <f>IF(SAISIE!$F942="","",SAISIE!$D942)</f>
        <v/>
      </c>
      <c r="D937" t="str">
        <f>IF(SAISIE!$E942="","",SAISIE!$E942)</f>
        <v/>
      </c>
      <c r="E937" t="str">
        <f>IF(SAISIE!$F942="","",SAISIE!$F942)</f>
        <v/>
      </c>
      <c r="F937" t="str">
        <f>IF(SAISIE!$G942="","",SAISIE!$G942)</f>
        <v/>
      </c>
      <c r="G937" t="str">
        <f>IF(SAISIE!$H942="","",SAISIE!$H942)</f>
        <v/>
      </c>
      <c r="H937" t="str">
        <f>IF(SAISIE!$I942="","",SAISIE!$I942)</f>
        <v/>
      </c>
      <c r="I937" t="str">
        <f>IF(SAISIE!$J942="","",SAISIE!$J942)</f>
        <v/>
      </c>
      <c r="J937" t="str">
        <f>IF(SAISIE!$K942="","",SAISIE!$K942)</f>
        <v/>
      </c>
      <c r="K937" t="str">
        <f>IF(SAISIE!$L942="","",SAISIE!$L942)</f>
        <v/>
      </c>
      <c r="L937" t="str">
        <f>IF(SAISIE!$M942="","",SAISIE!$M942)</f>
        <v/>
      </c>
      <c r="M937" t="str">
        <f>IF(SAISIE!$N942="","",SAISIE!$N942)</f>
        <v/>
      </c>
      <c r="N937" t="str">
        <f>IF(SAISIE!$O942="","",SAISIE!$O942)</f>
        <v/>
      </c>
      <c r="O937" t="str">
        <f>IF(SAISIE!$P942="","",SAISIE!$P942)</f>
        <v/>
      </c>
      <c r="P937" t="str">
        <f>IF(SAISIE!$Q942="","",SAISIE!$Q942)</f>
        <v/>
      </c>
      <c r="Q937" t="str">
        <f>IF($I937="","",IF($I937&gt;PARAMETRES!$G$29,5,IF($I937&gt;PARAMETRES!$F$29,4,IF($I937&gt;PARAMETRES!$E$29,3,IF($I937&gt;PARAMETRES!$D$29,2,1)))))</f>
        <v/>
      </c>
      <c r="R937" t="str">
        <f>IF($J937="","",IF($J937&gt;PARAMETRES!$G$30,5,IF($J937&gt;PARAMETRES!$F$30,4,IF($J937&gt;PARAMETRES!$E$30,3,IF($J937&gt;PARAMETRES!$D$30,2,1)))))</f>
        <v/>
      </c>
      <c r="S937" t="str">
        <f>IF($K937="","",IF($Z937=2,IF($K937&gt;PARAMETRES!$G$31,5,IF($K937&gt;PARAMETRES!$F$31,4,IF($K937&gt;PARAMETRES!$E$31,3,IF($K937&gt;PARAMETRES!$D$31,2,1)))),IF($K937&gt;PARAMETRES!$G$32,5,IF($K937&gt;PARAMETRES!$F$32,4,IF($K937&gt;PARAMETRES!$E$32,3,IF($K937&gt;PARAMETRES!$D$32,2,1))))))</f>
        <v/>
      </c>
      <c r="T937" t="str">
        <f>IF($L937="","",IF($L937&gt;PARAMETRES!$G$33,5,IF($L937&gt;PARAMETRES!$F$33,4,IF($L937&gt;PARAMETRES!$E$33,3,IF($L937&gt;PARAMETRES!$D$33,2,1)))))</f>
        <v/>
      </c>
      <c r="U937" t="str">
        <f>IF($M937="","",IF($M937&gt;PARAMETRES!$G$34,5,IF($M937&gt;PARAMETRES!$F$34,4,IF($M937&gt;PARAMETRES!$E$34,3,IF($M937&gt;PARAMETRES!$D$34,2,1)))))</f>
        <v/>
      </c>
      <c r="V937" t="str">
        <f>IF($N937="","",IF($N937&gt;PARAMETRES!$G$35,5,IF($N937&gt;PARAMETRES!$F$35,4,IF($N937&gt;PARAMETRES!$E$35,3,IF($N937&gt;PARAMETRES!$D$35,2,1)))))</f>
        <v/>
      </c>
      <c r="W937" t="str">
        <f>IF($O937="","",IF($O937&gt;PARAMETRES!$G$36,5,IF($O937&gt;PARAMETRES!$F$36,4,IF($O937&gt;PARAMETRES!$E$36,3,IF($O937&gt;PARAMETRES!$D$36,2,1)))))</f>
        <v/>
      </c>
      <c r="X937" t="str">
        <f>IF($P937="","",IF($P937&gt;PARAMETRES!$G$37,5,IF($P937&gt;PARAMETRES!$F$37,4,IF($P937&gt;PARAMETRES!$E$37,3,IF($P937&gt;PARAMETRES!$D$37,2,1)))))</f>
        <v/>
      </c>
      <c r="Y937" t="str">
        <f t="shared" si="336"/>
        <v/>
      </c>
      <c r="Z937" t="str">
        <f>IFERROR(VLOOKUP($B937,TABLE_CYCLE,2,0),"")</f>
        <v/>
      </c>
      <c r="AA937" t="str">
        <f t="shared" si="337"/>
        <v/>
      </c>
      <c r="AB937" t="str">
        <f>IF($D937="","",IF(COUNTIF($D$2:$D937,$D937)=1,$D937,""))</f>
        <v/>
      </c>
      <c r="AC937">
        <f t="shared" si="338"/>
        <v>0</v>
      </c>
      <c r="AD937" t="str">
        <f t="shared" si="339"/>
        <v>|0</v>
      </c>
      <c r="AE937" t="str">
        <f t="shared" si="340"/>
        <v/>
      </c>
      <c r="AF937" t="str">
        <f t="shared" si="341"/>
        <v/>
      </c>
      <c r="AG937" t="str">
        <f t="shared" si="342"/>
        <v/>
      </c>
      <c r="AH937" t="str">
        <f t="shared" si="343"/>
        <v/>
      </c>
      <c r="AI937" t="str">
        <f t="shared" si="344"/>
        <v/>
      </c>
      <c r="AJ937" t="str">
        <f t="shared" si="345"/>
        <v/>
      </c>
      <c r="AK937" t="str">
        <f t="shared" si="346"/>
        <v/>
      </c>
      <c r="AL937" t="str">
        <f t="shared" si="347"/>
        <v/>
      </c>
      <c r="AM937" t="str">
        <f t="shared" si="348"/>
        <v/>
      </c>
      <c r="AN937" t="str">
        <f t="shared" si="349"/>
        <v/>
      </c>
      <c r="AO937" t="str">
        <f t="shared" si="350"/>
        <v/>
      </c>
      <c r="AP937">
        <f t="shared" si="351"/>
        <v>1</v>
      </c>
      <c r="AQ937" t="str">
        <f>IF(SAISIE!$F942="","",SAISIE!$Y942)</f>
        <v/>
      </c>
      <c r="AR937" t="str">
        <f>IF(OR(SAISIE!$U$4="",SAISIE!$W$4=""),"",IF(AND($A937=SAISIE!$U$4,$B937=SAISIE!$W$4,$C937="S1"),COUNTIFS($A$2:$A937,SAISIE!$U$4,$B$2:$B937,SAISIE!$W$4,$C$2:$C937,"S1"),""))</f>
        <v/>
      </c>
      <c r="AS937" t="str">
        <f t="shared" si="352"/>
        <v/>
      </c>
      <c r="AT937" t="str">
        <f t="shared" si="353"/>
        <v/>
      </c>
      <c r="AU937" t="str">
        <f t="shared" si="354"/>
        <v/>
      </c>
      <c r="AV937">
        <f>N(AV936)+IF(AND($AB937&lt;&gt;"",OR('PROFIL ELEVE'!$K$4="(Tous)",$AF937='PROFIL ELEVE'!$K$4)),1,0)</f>
        <v>0</v>
      </c>
      <c r="AW937">
        <f>N(AW936)+IF(AND($AB937&lt;&gt;"",OR('SUIVI LONGITUDINAL'!$Q$4="(Tous)",$AF937='SUIVI LONGITUDINAL'!$Q$4)),1,0)</f>
        <v>0</v>
      </c>
      <c r="AX937">
        <f t="shared" si="355"/>
        <v>0</v>
      </c>
      <c r="AY937">
        <f t="shared" si="356"/>
        <v>0</v>
      </c>
      <c r="AZ937">
        <f t="shared" si="357"/>
        <v>0</v>
      </c>
      <c r="BA937" t="str">
        <f t="shared" si="358"/>
        <v/>
      </c>
      <c r="BB937" t="str">
        <f t="shared" si="359"/>
        <v/>
      </c>
    </row>
    <row r="938" spans="1:54" ht="14.25" customHeight="1" x14ac:dyDescent="0.3">
      <c r="A938" t="str">
        <f>IF(SAISIE!$F943="","",SAISIE!$B943)</f>
        <v/>
      </c>
      <c r="B938" t="str">
        <f>IF(SAISIE!$F943="","",SAISIE!$C943)</f>
        <v/>
      </c>
      <c r="C938" t="str">
        <f>IF(SAISIE!$F943="","",SAISIE!$D943)</f>
        <v/>
      </c>
      <c r="D938" t="str">
        <f>IF(SAISIE!$E943="","",SAISIE!$E943)</f>
        <v/>
      </c>
      <c r="E938" t="str">
        <f>IF(SAISIE!$F943="","",SAISIE!$F943)</f>
        <v/>
      </c>
      <c r="F938" t="str">
        <f>IF(SAISIE!$G943="","",SAISIE!$G943)</f>
        <v/>
      </c>
      <c r="G938" t="str">
        <f>IF(SAISIE!$H943="","",SAISIE!$H943)</f>
        <v/>
      </c>
      <c r="H938" t="str">
        <f>IF(SAISIE!$I943="","",SAISIE!$I943)</f>
        <v/>
      </c>
      <c r="I938" t="str">
        <f>IF(SAISIE!$J943="","",SAISIE!$J943)</f>
        <v/>
      </c>
      <c r="J938" t="str">
        <f>IF(SAISIE!$K943="","",SAISIE!$K943)</f>
        <v/>
      </c>
      <c r="K938" t="str">
        <f>IF(SAISIE!$L943="","",SAISIE!$L943)</f>
        <v/>
      </c>
      <c r="L938" t="str">
        <f>IF(SAISIE!$M943="","",SAISIE!$M943)</f>
        <v/>
      </c>
      <c r="M938" t="str">
        <f>IF(SAISIE!$N943="","",SAISIE!$N943)</f>
        <v/>
      </c>
      <c r="N938" t="str">
        <f>IF(SAISIE!$O943="","",SAISIE!$O943)</f>
        <v/>
      </c>
      <c r="O938" t="str">
        <f>IF(SAISIE!$P943="","",SAISIE!$P943)</f>
        <v/>
      </c>
      <c r="P938" t="str">
        <f>IF(SAISIE!$Q943="","",SAISIE!$Q943)</f>
        <v/>
      </c>
      <c r="Q938" t="str">
        <f>IF($I938="","",IF($I938&gt;PARAMETRES!$G$29,5,IF($I938&gt;PARAMETRES!$F$29,4,IF($I938&gt;PARAMETRES!$E$29,3,IF($I938&gt;PARAMETRES!$D$29,2,1)))))</f>
        <v/>
      </c>
      <c r="R938" t="str">
        <f>IF($J938="","",IF($J938&gt;PARAMETRES!$G$30,5,IF($J938&gt;PARAMETRES!$F$30,4,IF($J938&gt;PARAMETRES!$E$30,3,IF($J938&gt;PARAMETRES!$D$30,2,1)))))</f>
        <v/>
      </c>
      <c r="S938" t="str">
        <f>IF($K938="","",IF($Z938=2,IF($K938&gt;PARAMETRES!$G$31,5,IF($K938&gt;PARAMETRES!$F$31,4,IF($K938&gt;PARAMETRES!$E$31,3,IF($K938&gt;PARAMETRES!$D$31,2,1)))),IF($K938&gt;PARAMETRES!$G$32,5,IF($K938&gt;PARAMETRES!$F$32,4,IF($K938&gt;PARAMETRES!$E$32,3,IF($K938&gt;PARAMETRES!$D$32,2,1))))))</f>
        <v/>
      </c>
      <c r="T938" t="str">
        <f>IF($L938="","",IF($L938&gt;PARAMETRES!$G$33,5,IF($L938&gt;PARAMETRES!$F$33,4,IF($L938&gt;PARAMETRES!$E$33,3,IF($L938&gt;PARAMETRES!$D$33,2,1)))))</f>
        <v/>
      </c>
      <c r="U938" t="str">
        <f>IF($M938="","",IF($M938&gt;PARAMETRES!$G$34,5,IF($M938&gt;PARAMETRES!$F$34,4,IF($M938&gt;PARAMETRES!$E$34,3,IF($M938&gt;PARAMETRES!$D$34,2,1)))))</f>
        <v/>
      </c>
      <c r="V938" t="str">
        <f>IF($N938="","",IF($N938&gt;PARAMETRES!$G$35,5,IF($N938&gt;PARAMETRES!$F$35,4,IF($N938&gt;PARAMETRES!$E$35,3,IF($N938&gt;PARAMETRES!$D$35,2,1)))))</f>
        <v/>
      </c>
      <c r="W938" t="str">
        <f>IF($O938="","",IF($O938&gt;PARAMETRES!$G$36,5,IF($O938&gt;PARAMETRES!$F$36,4,IF($O938&gt;PARAMETRES!$E$36,3,IF($O938&gt;PARAMETRES!$D$36,2,1)))))</f>
        <v/>
      </c>
      <c r="X938" t="str">
        <f>IF($P938="","",IF($P938&gt;PARAMETRES!$G$37,5,IF($P938&gt;PARAMETRES!$F$37,4,IF($P938&gt;PARAMETRES!$E$37,3,IF($P938&gt;PARAMETRES!$D$37,2,1)))))</f>
        <v/>
      </c>
      <c r="Y938" t="str">
        <f t="shared" si="336"/>
        <v/>
      </c>
      <c r="Z938" t="str">
        <f>IFERROR(VLOOKUP($B938,TABLE_CYCLE,2,0),"")</f>
        <v/>
      </c>
      <c r="AA938" t="str">
        <f t="shared" si="337"/>
        <v/>
      </c>
      <c r="AB938" t="str">
        <f>IF($D938="","",IF(COUNTIF($D$2:$D938,$D938)=1,$D938,""))</f>
        <v/>
      </c>
      <c r="AC938">
        <f t="shared" si="338"/>
        <v>0</v>
      </c>
      <c r="AD938" t="str">
        <f t="shared" si="339"/>
        <v>|0</v>
      </c>
      <c r="AE938" t="str">
        <f t="shared" si="340"/>
        <v/>
      </c>
      <c r="AF938" t="str">
        <f t="shared" si="341"/>
        <v/>
      </c>
      <c r="AG938" t="str">
        <f t="shared" si="342"/>
        <v/>
      </c>
      <c r="AH938" t="str">
        <f t="shared" si="343"/>
        <v/>
      </c>
      <c r="AI938" t="str">
        <f t="shared" si="344"/>
        <v/>
      </c>
      <c r="AJ938" t="str">
        <f t="shared" si="345"/>
        <v/>
      </c>
      <c r="AK938" t="str">
        <f t="shared" si="346"/>
        <v/>
      </c>
      <c r="AL938" t="str">
        <f t="shared" si="347"/>
        <v/>
      </c>
      <c r="AM938" t="str">
        <f t="shared" si="348"/>
        <v/>
      </c>
      <c r="AN938" t="str">
        <f t="shared" si="349"/>
        <v/>
      </c>
      <c r="AO938" t="str">
        <f t="shared" si="350"/>
        <v/>
      </c>
      <c r="AP938">
        <f t="shared" si="351"/>
        <v>1</v>
      </c>
      <c r="AQ938" t="str">
        <f>IF(SAISIE!$F943="","",SAISIE!$Y943)</f>
        <v/>
      </c>
      <c r="AR938" t="str">
        <f>IF(OR(SAISIE!$U$4="",SAISIE!$W$4=""),"",IF(AND($A938=SAISIE!$U$4,$B938=SAISIE!$W$4,$C938="S1"),COUNTIFS($A$2:$A938,SAISIE!$U$4,$B$2:$B938,SAISIE!$W$4,$C$2:$C938,"S1"),""))</f>
        <v/>
      </c>
      <c r="AS938" t="str">
        <f t="shared" si="352"/>
        <v/>
      </c>
      <c r="AT938" t="str">
        <f t="shared" si="353"/>
        <v/>
      </c>
      <c r="AU938" t="str">
        <f t="shared" si="354"/>
        <v/>
      </c>
      <c r="AV938">
        <f>N(AV937)+IF(AND($AB938&lt;&gt;"",OR('PROFIL ELEVE'!$K$4="(Tous)",$AF938='PROFIL ELEVE'!$K$4)),1,0)</f>
        <v>0</v>
      </c>
      <c r="AW938">
        <f>N(AW937)+IF(AND($AB938&lt;&gt;"",OR('SUIVI LONGITUDINAL'!$Q$4="(Tous)",$AF938='SUIVI LONGITUDINAL'!$Q$4)),1,0)</f>
        <v>0</v>
      </c>
      <c r="AX938">
        <f t="shared" si="355"/>
        <v>0</v>
      </c>
      <c r="AY938">
        <f t="shared" si="356"/>
        <v>0</v>
      </c>
      <c r="AZ938">
        <f t="shared" si="357"/>
        <v>0</v>
      </c>
      <c r="BA938" t="str">
        <f t="shared" si="358"/>
        <v/>
      </c>
      <c r="BB938" t="str">
        <f t="shared" si="359"/>
        <v/>
      </c>
    </row>
    <row r="939" spans="1:54" ht="14.25" customHeight="1" x14ac:dyDescent="0.3">
      <c r="A939" t="str">
        <f>IF(SAISIE!$F944="","",SAISIE!$B944)</f>
        <v/>
      </c>
      <c r="B939" t="str">
        <f>IF(SAISIE!$F944="","",SAISIE!$C944)</f>
        <v/>
      </c>
      <c r="C939" t="str">
        <f>IF(SAISIE!$F944="","",SAISIE!$D944)</f>
        <v/>
      </c>
      <c r="D939" t="str">
        <f>IF(SAISIE!$E944="","",SAISIE!$E944)</f>
        <v/>
      </c>
      <c r="E939" t="str">
        <f>IF(SAISIE!$F944="","",SAISIE!$F944)</f>
        <v/>
      </c>
      <c r="F939" t="str">
        <f>IF(SAISIE!$G944="","",SAISIE!$G944)</f>
        <v/>
      </c>
      <c r="G939" t="str">
        <f>IF(SAISIE!$H944="","",SAISIE!$H944)</f>
        <v/>
      </c>
      <c r="H939" t="str">
        <f>IF(SAISIE!$I944="","",SAISIE!$I944)</f>
        <v/>
      </c>
      <c r="I939" t="str">
        <f>IF(SAISIE!$J944="","",SAISIE!$J944)</f>
        <v/>
      </c>
      <c r="J939" t="str">
        <f>IF(SAISIE!$K944="","",SAISIE!$K944)</f>
        <v/>
      </c>
      <c r="K939" t="str">
        <f>IF(SAISIE!$L944="","",SAISIE!$L944)</f>
        <v/>
      </c>
      <c r="L939" t="str">
        <f>IF(SAISIE!$M944="","",SAISIE!$M944)</f>
        <v/>
      </c>
      <c r="M939" t="str">
        <f>IF(SAISIE!$N944="","",SAISIE!$N944)</f>
        <v/>
      </c>
      <c r="N939" t="str">
        <f>IF(SAISIE!$O944="","",SAISIE!$O944)</f>
        <v/>
      </c>
      <c r="O939" t="str">
        <f>IF(SAISIE!$P944="","",SAISIE!$P944)</f>
        <v/>
      </c>
      <c r="P939" t="str">
        <f>IF(SAISIE!$Q944="","",SAISIE!$Q944)</f>
        <v/>
      </c>
      <c r="Q939" t="str">
        <f>IF($I939="","",IF($I939&gt;PARAMETRES!$G$29,5,IF($I939&gt;PARAMETRES!$F$29,4,IF($I939&gt;PARAMETRES!$E$29,3,IF($I939&gt;PARAMETRES!$D$29,2,1)))))</f>
        <v/>
      </c>
      <c r="R939" t="str">
        <f>IF($J939="","",IF($J939&gt;PARAMETRES!$G$30,5,IF($J939&gt;PARAMETRES!$F$30,4,IF($J939&gt;PARAMETRES!$E$30,3,IF($J939&gt;PARAMETRES!$D$30,2,1)))))</f>
        <v/>
      </c>
      <c r="S939" t="str">
        <f>IF($K939="","",IF($Z939=2,IF($K939&gt;PARAMETRES!$G$31,5,IF($K939&gt;PARAMETRES!$F$31,4,IF($K939&gt;PARAMETRES!$E$31,3,IF($K939&gt;PARAMETRES!$D$31,2,1)))),IF($K939&gt;PARAMETRES!$G$32,5,IF($K939&gt;PARAMETRES!$F$32,4,IF($K939&gt;PARAMETRES!$E$32,3,IF($K939&gt;PARAMETRES!$D$32,2,1))))))</f>
        <v/>
      </c>
      <c r="T939" t="str">
        <f>IF($L939="","",IF($L939&gt;PARAMETRES!$G$33,5,IF($L939&gt;PARAMETRES!$F$33,4,IF($L939&gt;PARAMETRES!$E$33,3,IF($L939&gt;PARAMETRES!$D$33,2,1)))))</f>
        <v/>
      </c>
      <c r="U939" t="str">
        <f>IF($M939="","",IF($M939&gt;PARAMETRES!$G$34,5,IF($M939&gt;PARAMETRES!$F$34,4,IF($M939&gt;PARAMETRES!$E$34,3,IF($M939&gt;PARAMETRES!$D$34,2,1)))))</f>
        <v/>
      </c>
      <c r="V939" t="str">
        <f>IF($N939="","",IF($N939&gt;PARAMETRES!$G$35,5,IF($N939&gt;PARAMETRES!$F$35,4,IF($N939&gt;PARAMETRES!$E$35,3,IF($N939&gt;PARAMETRES!$D$35,2,1)))))</f>
        <v/>
      </c>
      <c r="W939" t="str">
        <f>IF($O939="","",IF($O939&gt;PARAMETRES!$G$36,5,IF($O939&gt;PARAMETRES!$F$36,4,IF($O939&gt;PARAMETRES!$E$36,3,IF($O939&gt;PARAMETRES!$D$36,2,1)))))</f>
        <v/>
      </c>
      <c r="X939" t="str">
        <f>IF($P939="","",IF($P939&gt;PARAMETRES!$G$37,5,IF($P939&gt;PARAMETRES!$F$37,4,IF($P939&gt;PARAMETRES!$E$37,3,IF($P939&gt;PARAMETRES!$D$37,2,1)))))</f>
        <v/>
      </c>
      <c r="Y939" t="str">
        <f t="shared" si="336"/>
        <v/>
      </c>
      <c r="Z939" t="str">
        <f>IFERROR(VLOOKUP($B939,TABLE_CYCLE,2,0),"")</f>
        <v/>
      </c>
      <c r="AA939" t="str">
        <f t="shared" si="337"/>
        <v/>
      </c>
      <c r="AB939" t="str">
        <f>IF($D939="","",IF(COUNTIF($D$2:$D939,$D939)=1,$D939,""))</f>
        <v/>
      </c>
      <c r="AC939">
        <f t="shared" si="338"/>
        <v>0</v>
      </c>
      <c r="AD939" t="str">
        <f t="shared" si="339"/>
        <v>|0</v>
      </c>
      <c r="AE939" t="str">
        <f t="shared" si="340"/>
        <v/>
      </c>
      <c r="AF939" t="str">
        <f t="shared" si="341"/>
        <v/>
      </c>
      <c r="AG939" t="str">
        <f t="shared" si="342"/>
        <v/>
      </c>
      <c r="AH939" t="str">
        <f t="shared" si="343"/>
        <v/>
      </c>
      <c r="AI939" t="str">
        <f t="shared" si="344"/>
        <v/>
      </c>
      <c r="AJ939" t="str">
        <f t="shared" si="345"/>
        <v/>
      </c>
      <c r="AK939" t="str">
        <f t="shared" si="346"/>
        <v/>
      </c>
      <c r="AL939" t="str">
        <f t="shared" si="347"/>
        <v/>
      </c>
      <c r="AM939" t="str">
        <f t="shared" si="348"/>
        <v/>
      </c>
      <c r="AN939" t="str">
        <f t="shared" si="349"/>
        <v/>
      </c>
      <c r="AO939" t="str">
        <f t="shared" si="350"/>
        <v/>
      </c>
      <c r="AP939">
        <f t="shared" si="351"/>
        <v>1</v>
      </c>
      <c r="AQ939" t="str">
        <f>IF(SAISIE!$F944="","",SAISIE!$Y944)</f>
        <v/>
      </c>
      <c r="AR939" t="str">
        <f>IF(OR(SAISIE!$U$4="",SAISIE!$W$4=""),"",IF(AND($A939=SAISIE!$U$4,$B939=SAISIE!$W$4,$C939="S1"),COUNTIFS($A$2:$A939,SAISIE!$U$4,$B$2:$B939,SAISIE!$W$4,$C$2:$C939,"S1"),""))</f>
        <v/>
      </c>
      <c r="AS939" t="str">
        <f t="shared" si="352"/>
        <v/>
      </c>
      <c r="AT939" t="str">
        <f t="shared" si="353"/>
        <v/>
      </c>
      <c r="AU939" t="str">
        <f t="shared" si="354"/>
        <v/>
      </c>
      <c r="AV939">
        <f>N(AV938)+IF(AND($AB939&lt;&gt;"",OR('PROFIL ELEVE'!$K$4="(Tous)",$AF939='PROFIL ELEVE'!$K$4)),1,0)</f>
        <v>0</v>
      </c>
      <c r="AW939">
        <f>N(AW938)+IF(AND($AB939&lt;&gt;"",OR('SUIVI LONGITUDINAL'!$Q$4="(Tous)",$AF939='SUIVI LONGITUDINAL'!$Q$4)),1,0)</f>
        <v>0</v>
      </c>
      <c r="AX939">
        <f t="shared" si="355"/>
        <v>0</v>
      </c>
      <c r="AY939">
        <f t="shared" si="356"/>
        <v>0</v>
      </c>
      <c r="AZ939">
        <f t="shared" si="357"/>
        <v>0</v>
      </c>
      <c r="BA939" t="str">
        <f t="shared" si="358"/>
        <v/>
      </c>
      <c r="BB939" t="str">
        <f t="shared" si="359"/>
        <v/>
      </c>
    </row>
    <row r="940" spans="1:54" ht="14.25" customHeight="1" x14ac:dyDescent="0.3">
      <c r="A940" t="str">
        <f>IF(SAISIE!$F945="","",SAISIE!$B945)</f>
        <v/>
      </c>
      <c r="B940" t="str">
        <f>IF(SAISIE!$F945="","",SAISIE!$C945)</f>
        <v/>
      </c>
      <c r="C940" t="str">
        <f>IF(SAISIE!$F945="","",SAISIE!$D945)</f>
        <v/>
      </c>
      <c r="D940" t="str">
        <f>IF(SAISIE!$E945="","",SAISIE!$E945)</f>
        <v/>
      </c>
      <c r="E940" t="str">
        <f>IF(SAISIE!$F945="","",SAISIE!$F945)</f>
        <v/>
      </c>
      <c r="F940" t="str">
        <f>IF(SAISIE!$G945="","",SAISIE!$G945)</f>
        <v/>
      </c>
      <c r="G940" t="str">
        <f>IF(SAISIE!$H945="","",SAISIE!$H945)</f>
        <v/>
      </c>
      <c r="H940" t="str">
        <f>IF(SAISIE!$I945="","",SAISIE!$I945)</f>
        <v/>
      </c>
      <c r="I940" t="str">
        <f>IF(SAISIE!$J945="","",SAISIE!$J945)</f>
        <v/>
      </c>
      <c r="J940" t="str">
        <f>IF(SAISIE!$K945="","",SAISIE!$K945)</f>
        <v/>
      </c>
      <c r="K940" t="str">
        <f>IF(SAISIE!$L945="","",SAISIE!$L945)</f>
        <v/>
      </c>
      <c r="L940" t="str">
        <f>IF(SAISIE!$M945="","",SAISIE!$M945)</f>
        <v/>
      </c>
      <c r="M940" t="str">
        <f>IF(SAISIE!$N945="","",SAISIE!$N945)</f>
        <v/>
      </c>
      <c r="N940" t="str">
        <f>IF(SAISIE!$O945="","",SAISIE!$O945)</f>
        <v/>
      </c>
      <c r="O940" t="str">
        <f>IF(SAISIE!$P945="","",SAISIE!$P945)</f>
        <v/>
      </c>
      <c r="P940" t="str">
        <f>IF(SAISIE!$Q945="","",SAISIE!$Q945)</f>
        <v/>
      </c>
      <c r="Q940" t="str">
        <f>IF($I940="","",IF($I940&gt;PARAMETRES!$G$29,5,IF($I940&gt;PARAMETRES!$F$29,4,IF($I940&gt;PARAMETRES!$E$29,3,IF($I940&gt;PARAMETRES!$D$29,2,1)))))</f>
        <v/>
      </c>
      <c r="R940" t="str">
        <f>IF($J940="","",IF($J940&gt;PARAMETRES!$G$30,5,IF($J940&gt;PARAMETRES!$F$30,4,IF($J940&gt;PARAMETRES!$E$30,3,IF($J940&gt;PARAMETRES!$D$30,2,1)))))</f>
        <v/>
      </c>
      <c r="S940" t="str">
        <f>IF($K940="","",IF($Z940=2,IF($K940&gt;PARAMETRES!$G$31,5,IF($K940&gt;PARAMETRES!$F$31,4,IF($K940&gt;PARAMETRES!$E$31,3,IF($K940&gt;PARAMETRES!$D$31,2,1)))),IF($K940&gt;PARAMETRES!$G$32,5,IF($K940&gt;PARAMETRES!$F$32,4,IF($K940&gt;PARAMETRES!$E$32,3,IF($K940&gt;PARAMETRES!$D$32,2,1))))))</f>
        <v/>
      </c>
      <c r="T940" t="str">
        <f>IF($L940="","",IF($L940&gt;PARAMETRES!$G$33,5,IF($L940&gt;PARAMETRES!$F$33,4,IF($L940&gt;PARAMETRES!$E$33,3,IF($L940&gt;PARAMETRES!$D$33,2,1)))))</f>
        <v/>
      </c>
      <c r="U940" t="str">
        <f>IF($M940="","",IF($M940&gt;PARAMETRES!$G$34,5,IF($M940&gt;PARAMETRES!$F$34,4,IF($M940&gt;PARAMETRES!$E$34,3,IF($M940&gt;PARAMETRES!$D$34,2,1)))))</f>
        <v/>
      </c>
      <c r="V940" t="str">
        <f>IF($N940="","",IF($N940&gt;PARAMETRES!$G$35,5,IF($N940&gt;PARAMETRES!$F$35,4,IF($N940&gt;PARAMETRES!$E$35,3,IF($N940&gt;PARAMETRES!$D$35,2,1)))))</f>
        <v/>
      </c>
      <c r="W940" t="str">
        <f>IF($O940="","",IF($O940&gt;PARAMETRES!$G$36,5,IF($O940&gt;PARAMETRES!$F$36,4,IF($O940&gt;PARAMETRES!$E$36,3,IF($O940&gt;PARAMETRES!$D$36,2,1)))))</f>
        <v/>
      </c>
      <c r="X940" t="str">
        <f>IF($P940="","",IF($P940&gt;PARAMETRES!$G$37,5,IF($P940&gt;PARAMETRES!$F$37,4,IF($P940&gt;PARAMETRES!$E$37,3,IF($P940&gt;PARAMETRES!$D$37,2,1)))))</f>
        <v/>
      </c>
      <c r="Y940" t="str">
        <f t="shared" si="336"/>
        <v/>
      </c>
      <c r="Z940" t="str">
        <f>IFERROR(VLOOKUP($B940,TABLE_CYCLE,2,0),"")</f>
        <v/>
      </c>
      <c r="AA940" t="str">
        <f t="shared" si="337"/>
        <v/>
      </c>
      <c r="AB940" t="str">
        <f>IF($D940="","",IF(COUNTIF($D$2:$D940,$D940)=1,$D940,""))</f>
        <v/>
      </c>
      <c r="AC940">
        <f t="shared" si="338"/>
        <v>0</v>
      </c>
      <c r="AD940" t="str">
        <f t="shared" si="339"/>
        <v>|0</v>
      </c>
      <c r="AE940" t="str">
        <f t="shared" si="340"/>
        <v/>
      </c>
      <c r="AF940" t="str">
        <f t="shared" si="341"/>
        <v/>
      </c>
      <c r="AG940" t="str">
        <f t="shared" si="342"/>
        <v/>
      </c>
      <c r="AH940" t="str">
        <f t="shared" si="343"/>
        <v/>
      </c>
      <c r="AI940" t="str">
        <f t="shared" si="344"/>
        <v/>
      </c>
      <c r="AJ940" t="str">
        <f t="shared" si="345"/>
        <v/>
      </c>
      <c r="AK940" t="str">
        <f t="shared" si="346"/>
        <v/>
      </c>
      <c r="AL940" t="str">
        <f t="shared" si="347"/>
        <v/>
      </c>
      <c r="AM940" t="str">
        <f t="shared" si="348"/>
        <v/>
      </c>
      <c r="AN940" t="str">
        <f t="shared" si="349"/>
        <v/>
      </c>
      <c r="AO940" t="str">
        <f t="shared" si="350"/>
        <v/>
      </c>
      <c r="AP940">
        <f t="shared" si="351"/>
        <v>1</v>
      </c>
      <c r="AQ940" t="str">
        <f>IF(SAISIE!$F945="","",SAISIE!$Y945)</f>
        <v/>
      </c>
      <c r="AR940" t="str">
        <f>IF(OR(SAISIE!$U$4="",SAISIE!$W$4=""),"",IF(AND($A940=SAISIE!$U$4,$B940=SAISIE!$W$4,$C940="S1"),COUNTIFS($A$2:$A940,SAISIE!$U$4,$B$2:$B940,SAISIE!$W$4,$C$2:$C940,"S1"),""))</f>
        <v/>
      </c>
      <c r="AS940" t="str">
        <f t="shared" si="352"/>
        <v/>
      </c>
      <c r="AT940" t="str">
        <f t="shared" si="353"/>
        <v/>
      </c>
      <c r="AU940" t="str">
        <f t="shared" si="354"/>
        <v/>
      </c>
      <c r="AV940">
        <f>N(AV939)+IF(AND($AB940&lt;&gt;"",OR('PROFIL ELEVE'!$K$4="(Tous)",$AF940='PROFIL ELEVE'!$K$4)),1,0)</f>
        <v>0</v>
      </c>
      <c r="AW940">
        <f>N(AW939)+IF(AND($AB940&lt;&gt;"",OR('SUIVI LONGITUDINAL'!$Q$4="(Tous)",$AF940='SUIVI LONGITUDINAL'!$Q$4)),1,0)</f>
        <v>0</v>
      </c>
      <c r="AX940">
        <f t="shared" si="355"/>
        <v>0</v>
      </c>
      <c r="AY940">
        <f t="shared" si="356"/>
        <v>0</v>
      </c>
      <c r="AZ940">
        <f t="shared" si="357"/>
        <v>0</v>
      </c>
      <c r="BA940" t="str">
        <f t="shared" si="358"/>
        <v/>
      </c>
      <c r="BB940" t="str">
        <f t="shared" si="359"/>
        <v/>
      </c>
    </row>
    <row r="941" spans="1:54" ht="14.25" customHeight="1" x14ac:dyDescent="0.3">
      <c r="A941" t="str">
        <f>IF(SAISIE!$F946="","",SAISIE!$B946)</f>
        <v/>
      </c>
      <c r="B941" t="str">
        <f>IF(SAISIE!$F946="","",SAISIE!$C946)</f>
        <v/>
      </c>
      <c r="C941" t="str">
        <f>IF(SAISIE!$F946="","",SAISIE!$D946)</f>
        <v/>
      </c>
      <c r="D941" t="str">
        <f>IF(SAISIE!$E946="","",SAISIE!$E946)</f>
        <v/>
      </c>
      <c r="E941" t="str">
        <f>IF(SAISIE!$F946="","",SAISIE!$F946)</f>
        <v/>
      </c>
      <c r="F941" t="str">
        <f>IF(SAISIE!$G946="","",SAISIE!$G946)</f>
        <v/>
      </c>
      <c r="G941" t="str">
        <f>IF(SAISIE!$H946="","",SAISIE!$H946)</f>
        <v/>
      </c>
      <c r="H941" t="str">
        <f>IF(SAISIE!$I946="","",SAISIE!$I946)</f>
        <v/>
      </c>
      <c r="I941" t="str">
        <f>IF(SAISIE!$J946="","",SAISIE!$J946)</f>
        <v/>
      </c>
      <c r="J941" t="str">
        <f>IF(SAISIE!$K946="","",SAISIE!$K946)</f>
        <v/>
      </c>
      <c r="K941" t="str">
        <f>IF(SAISIE!$L946="","",SAISIE!$L946)</f>
        <v/>
      </c>
      <c r="L941" t="str">
        <f>IF(SAISIE!$M946="","",SAISIE!$M946)</f>
        <v/>
      </c>
      <c r="M941" t="str">
        <f>IF(SAISIE!$N946="","",SAISIE!$N946)</f>
        <v/>
      </c>
      <c r="N941" t="str">
        <f>IF(SAISIE!$O946="","",SAISIE!$O946)</f>
        <v/>
      </c>
      <c r="O941" t="str">
        <f>IF(SAISIE!$P946="","",SAISIE!$P946)</f>
        <v/>
      </c>
      <c r="P941" t="str">
        <f>IF(SAISIE!$Q946="","",SAISIE!$Q946)</f>
        <v/>
      </c>
      <c r="Q941" t="str">
        <f>IF($I941="","",IF($I941&gt;PARAMETRES!$G$29,5,IF($I941&gt;PARAMETRES!$F$29,4,IF($I941&gt;PARAMETRES!$E$29,3,IF($I941&gt;PARAMETRES!$D$29,2,1)))))</f>
        <v/>
      </c>
      <c r="R941" t="str">
        <f>IF($J941="","",IF($J941&gt;PARAMETRES!$G$30,5,IF($J941&gt;PARAMETRES!$F$30,4,IF($J941&gt;PARAMETRES!$E$30,3,IF($J941&gt;PARAMETRES!$D$30,2,1)))))</f>
        <v/>
      </c>
      <c r="S941" t="str">
        <f>IF($K941="","",IF($Z941=2,IF($K941&gt;PARAMETRES!$G$31,5,IF($K941&gt;PARAMETRES!$F$31,4,IF($K941&gt;PARAMETRES!$E$31,3,IF($K941&gt;PARAMETRES!$D$31,2,1)))),IF($K941&gt;PARAMETRES!$G$32,5,IF($K941&gt;PARAMETRES!$F$32,4,IF($K941&gt;PARAMETRES!$E$32,3,IF($K941&gt;PARAMETRES!$D$32,2,1))))))</f>
        <v/>
      </c>
      <c r="T941" t="str">
        <f>IF($L941="","",IF($L941&gt;PARAMETRES!$G$33,5,IF($L941&gt;PARAMETRES!$F$33,4,IF($L941&gt;PARAMETRES!$E$33,3,IF($L941&gt;PARAMETRES!$D$33,2,1)))))</f>
        <v/>
      </c>
      <c r="U941" t="str">
        <f>IF($M941="","",IF($M941&gt;PARAMETRES!$G$34,5,IF($M941&gt;PARAMETRES!$F$34,4,IF($M941&gt;PARAMETRES!$E$34,3,IF($M941&gt;PARAMETRES!$D$34,2,1)))))</f>
        <v/>
      </c>
      <c r="V941" t="str">
        <f>IF($N941="","",IF($N941&gt;PARAMETRES!$G$35,5,IF($N941&gt;PARAMETRES!$F$35,4,IF($N941&gt;PARAMETRES!$E$35,3,IF($N941&gt;PARAMETRES!$D$35,2,1)))))</f>
        <v/>
      </c>
      <c r="W941" t="str">
        <f>IF($O941="","",IF($O941&gt;PARAMETRES!$G$36,5,IF($O941&gt;PARAMETRES!$F$36,4,IF($O941&gt;PARAMETRES!$E$36,3,IF($O941&gt;PARAMETRES!$D$36,2,1)))))</f>
        <v/>
      </c>
      <c r="X941" t="str">
        <f>IF($P941="","",IF($P941&gt;PARAMETRES!$G$37,5,IF($P941&gt;PARAMETRES!$F$37,4,IF($P941&gt;PARAMETRES!$E$37,3,IF($P941&gt;PARAMETRES!$D$37,2,1)))))</f>
        <v/>
      </c>
      <c r="Y941" t="str">
        <f t="shared" si="336"/>
        <v/>
      </c>
      <c r="Z941" t="str">
        <f>IFERROR(VLOOKUP($B941,TABLE_CYCLE,2,0),"")</f>
        <v/>
      </c>
      <c r="AA941" t="str">
        <f t="shared" si="337"/>
        <v/>
      </c>
      <c r="AB941" t="str">
        <f>IF($D941="","",IF(COUNTIF($D$2:$D941,$D941)=1,$D941,""))</f>
        <v/>
      </c>
      <c r="AC941">
        <f t="shared" si="338"/>
        <v>0</v>
      </c>
      <c r="AD941" t="str">
        <f t="shared" si="339"/>
        <v>|0</v>
      </c>
      <c r="AE941" t="str">
        <f t="shared" si="340"/>
        <v/>
      </c>
      <c r="AF941" t="str">
        <f t="shared" si="341"/>
        <v/>
      </c>
      <c r="AG941" t="str">
        <f t="shared" si="342"/>
        <v/>
      </c>
      <c r="AH941" t="str">
        <f t="shared" si="343"/>
        <v/>
      </c>
      <c r="AI941" t="str">
        <f t="shared" si="344"/>
        <v/>
      </c>
      <c r="AJ941" t="str">
        <f t="shared" si="345"/>
        <v/>
      </c>
      <c r="AK941" t="str">
        <f t="shared" si="346"/>
        <v/>
      </c>
      <c r="AL941" t="str">
        <f t="shared" si="347"/>
        <v/>
      </c>
      <c r="AM941" t="str">
        <f t="shared" si="348"/>
        <v/>
      </c>
      <c r="AN941" t="str">
        <f t="shared" si="349"/>
        <v/>
      </c>
      <c r="AO941" t="str">
        <f t="shared" si="350"/>
        <v/>
      </c>
      <c r="AP941">
        <f t="shared" si="351"/>
        <v>1</v>
      </c>
      <c r="AQ941" t="str">
        <f>IF(SAISIE!$F946="","",SAISIE!$Y946)</f>
        <v/>
      </c>
      <c r="AR941" t="str">
        <f>IF(OR(SAISIE!$U$4="",SAISIE!$W$4=""),"",IF(AND($A941=SAISIE!$U$4,$B941=SAISIE!$W$4,$C941="S1"),COUNTIFS($A$2:$A941,SAISIE!$U$4,$B$2:$B941,SAISIE!$W$4,$C$2:$C941,"S1"),""))</f>
        <v/>
      </c>
      <c r="AS941" t="str">
        <f t="shared" si="352"/>
        <v/>
      </c>
      <c r="AT941" t="str">
        <f t="shared" si="353"/>
        <v/>
      </c>
      <c r="AU941" t="str">
        <f t="shared" si="354"/>
        <v/>
      </c>
      <c r="AV941">
        <f>N(AV940)+IF(AND($AB941&lt;&gt;"",OR('PROFIL ELEVE'!$K$4="(Tous)",$AF941='PROFIL ELEVE'!$K$4)),1,0)</f>
        <v>0</v>
      </c>
      <c r="AW941">
        <f>N(AW940)+IF(AND($AB941&lt;&gt;"",OR('SUIVI LONGITUDINAL'!$Q$4="(Tous)",$AF941='SUIVI LONGITUDINAL'!$Q$4)),1,0)</f>
        <v>0</v>
      </c>
      <c r="AX941">
        <f t="shared" si="355"/>
        <v>0</v>
      </c>
      <c r="AY941">
        <f t="shared" si="356"/>
        <v>0</v>
      </c>
      <c r="AZ941">
        <f t="shared" si="357"/>
        <v>0</v>
      </c>
      <c r="BA941" t="str">
        <f t="shared" si="358"/>
        <v/>
      </c>
      <c r="BB941" t="str">
        <f t="shared" si="359"/>
        <v/>
      </c>
    </row>
    <row r="942" spans="1:54" ht="14.25" customHeight="1" x14ac:dyDescent="0.3">
      <c r="A942" t="str">
        <f>IF(SAISIE!$F947="","",SAISIE!$B947)</f>
        <v/>
      </c>
      <c r="B942" t="str">
        <f>IF(SAISIE!$F947="","",SAISIE!$C947)</f>
        <v/>
      </c>
      <c r="C942" t="str">
        <f>IF(SAISIE!$F947="","",SAISIE!$D947)</f>
        <v/>
      </c>
      <c r="D942" t="str">
        <f>IF(SAISIE!$E947="","",SAISIE!$E947)</f>
        <v/>
      </c>
      <c r="E942" t="str">
        <f>IF(SAISIE!$F947="","",SAISIE!$F947)</f>
        <v/>
      </c>
      <c r="F942" t="str">
        <f>IF(SAISIE!$G947="","",SAISIE!$G947)</f>
        <v/>
      </c>
      <c r="G942" t="str">
        <f>IF(SAISIE!$H947="","",SAISIE!$H947)</f>
        <v/>
      </c>
      <c r="H942" t="str">
        <f>IF(SAISIE!$I947="","",SAISIE!$I947)</f>
        <v/>
      </c>
      <c r="I942" t="str">
        <f>IF(SAISIE!$J947="","",SAISIE!$J947)</f>
        <v/>
      </c>
      <c r="J942" t="str">
        <f>IF(SAISIE!$K947="","",SAISIE!$K947)</f>
        <v/>
      </c>
      <c r="K942" t="str">
        <f>IF(SAISIE!$L947="","",SAISIE!$L947)</f>
        <v/>
      </c>
      <c r="L942" t="str">
        <f>IF(SAISIE!$M947="","",SAISIE!$M947)</f>
        <v/>
      </c>
      <c r="M942" t="str">
        <f>IF(SAISIE!$N947="","",SAISIE!$N947)</f>
        <v/>
      </c>
      <c r="N942" t="str">
        <f>IF(SAISIE!$O947="","",SAISIE!$O947)</f>
        <v/>
      </c>
      <c r="O942" t="str">
        <f>IF(SAISIE!$P947="","",SAISIE!$P947)</f>
        <v/>
      </c>
      <c r="P942" t="str">
        <f>IF(SAISIE!$Q947="","",SAISIE!$Q947)</f>
        <v/>
      </c>
      <c r="Q942" t="str">
        <f>IF($I942="","",IF($I942&gt;PARAMETRES!$G$29,5,IF($I942&gt;PARAMETRES!$F$29,4,IF($I942&gt;PARAMETRES!$E$29,3,IF($I942&gt;PARAMETRES!$D$29,2,1)))))</f>
        <v/>
      </c>
      <c r="R942" t="str">
        <f>IF($J942="","",IF($J942&gt;PARAMETRES!$G$30,5,IF($J942&gt;PARAMETRES!$F$30,4,IF($J942&gt;PARAMETRES!$E$30,3,IF($J942&gt;PARAMETRES!$D$30,2,1)))))</f>
        <v/>
      </c>
      <c r="S942" t="str">
        <f>IF($K942="","",IF($Z942=2,IF($K942&gt;PARAMETRES!$G$31,5,IF($K942&gt;PARAMETRES!$F$31,4,IF($K942&gt;PARAMETRES!$E$31,3,IF($K942&gt;PARAMETRES!$D$31,2,1)))),IF($K942&gt;PARAMETRES!$G$32,5,IF($K942&gt;PARAMETRES!$F$32,4,IF($K942&gt;PARAMETRES!$E$32,3,IF($K942&gt;PARAMETRES!$D$32,2,1))))))</f>
        <v/>
      </c>
      <c r="T942" t="str">
        <f>IF($L942="","",IF($L942&gt;PARAMETRES!$G$33,5,IF($L942&gt;PARAMETRES!$F$33,4,IF($L942&gt;PARAMETRES!$E$33,3,IF($L942&gt;PARAMETRES!$D$33,2,1)))))</f>
        <v/>
      </c>
      <c r="U942" t="str">
        <f>IF($M942="","",IF($M942&gt;PARAMETRES!$G$34,5,IF($M942&gt;PARAMETRES!$F$34,4,IF($M942&gt;PARAMETRES!$E$34,3,IF($M942&gt;PARAMETRES!$D$34,2,1)))))</f>
        <v/>
      </c>
      <c r="V942" t="str">
        <f>IF($N942="","",IF($N942&gt;PARAMETRES!$G$35,5,IF($N942&gt;PARAMETRES!$F$35,4,IF($N942&gt;PARAMETRES!$E$35,3,IF($N942&gt;PARAMETRES!$D$35,2,1)))))</f>
        <v/>
      </c>
      <c r="W942" t="str">
        <f>IF($O942="","",IF($O942&gt;PARAMETRES!$G$36,5,IF($O942&gt;PARAMETRES!$F$36,4,IF($O942&gt;PARAMETRES!$E$36,3,IF($O942&gt;PARAMETRES!$D$36,2,1)))))</f>
        <v/>
      </c>
      <c r="X942" t="str">
        <f>IF($P942="","",IF($P942&gt;PARAMETRES!$G$37,5,IF($P942&gt;PARAMETRES!$F$37,4,IF($P942&gt;PARAMETRES!$E$37,3,IF($P942&gt;PARAMETRES!$D$37,2,1)))))</f>
        <v/>
      </c>
      <c r="Y942" t="str">
        <f t="shared" si="336"/>
        <v/>
      </c>
      <c r="Z942" t="str">
        <f>IFERROR(VLOOKUP($B942,TABLE_CYCLE,2,0),"")</f>
        <v/>
      </c>
      <c r="AA942" t="str">
        <f t="shared" si="337"/>
        <v/>
      </c>
      <c r="AB942" t="str">
        <f>IF($D942="","",IF(COUNTIF($D$2:$D942,$D942)=1,$D942,""))</f>
        <v/>
      </c>
      <c r="AC942">
        <f t="shared" si="338"/>
        <v>0</v>
      </c>
      <c r="AD942" t="str">
        <f t="shared" si="339"/>
        <v>|0</v>
      </c>
      <c r="AE942" t="str">
        <f t="shared" si="340"/>
        <v/>
      </c>
      <c r="AF942" t="str">
        <f t="shared" si="341"/>
        <v/>
      </c>
      <c r="AG942" t="str">
        <f t="shared" si="342"/>
        <v/>
      </c>
      <c r="AH942" t="str">
        <f t="shared" si="343"/>
        <v/>
      </c>
      <c r="AI942" t="str">
        <f t="shared" si="344"/>
        <v/>
      </c>
      <c r="AJ942" t="str">
        <f t="shared" si="345"/>
        <v/>
      </c>
      <c r="AK942" t="str">
        <f t="shared" si="346"/>
        <v/>
      </c>
      <c r="AL942" t="str">
        <f t="shared" si="347"/>
        <v/>
      </c>
      <c r="AM942" t="str">
        <f t="shared" si="348"/>
        <v/>
      </c>
      <c r="AN942" t="str">
        <f t="shared" si="349"/>
        <v/>
      </c>
      <c r="AO942" t="str">
        <f t="shared" si="350"/>
        <v/>
      </c>
      <c r="AP942">
        <f t="shared" si="351"/>
        <v>1</v>
      </c>
      <c r="AQ942" t="str">
        <f>IF(SAISIE!$F947="","",SAISIE!$Y947)</f>
        <v/>
      </c>
      <c r="AR942" t="str">
        <f>IF(OR(SAISIE!$U$4="",SAISIE!$W$4=""),"",IF(AND($A942=SAISIE!$U$4,$B942=SAISIE!$W$4,$C942="S1"),COUNTIFS($A$2:$A942,SAISIE!$U$4,$B$2:$B942,SAISIE!$W$4,$C$2:$C942,"S1"),""))</f>
        <v/>
      </c>
      <c r="AS942" t="str">
        <f t="shared" si="352"/>
        <v/>
      </c>
      <c r="AT942" t="str">
        <f t="shared" si="353"/>
        <v/>
      </c>
      <c r="AU942" t="str">
        <f t="shared" si="354"/>
        <v/>
      </c>
      <c r="AV942">
        <f>N(AV941)+IF(AND($AB942&lt;&gt;"",OR('PROFIL ELEVE'!$K$4="(Tous)",$AF942='PROFIL ELEVE'!$K$4)),1,0)</f>
        <v>0</v>
      </c>
      <c r="AW942">
        <f>N(AW941)+IF(AND($AB942&lt;&gt;"",OR('SUIVI LONGITUDINAL'!$Q$4="(Tous)",$AF942='SUIVI LONGITUDINAL'!$Q$4)),1,0)</f>
        <v>0</v>
      </c>
      <c r="AX942">
        <f t="shared" si="355"/>
        <v>0</v>
      </c>
      <c r="AY942">
        <f t="shared" si="356"/>
        <v>0</v>
      </c>
      <c r="AZ942">
        <f t="shared" si="357"/>
        <v>0</v>
      </c>
      <c r="BA942" t="str">
        <f t="shared" si="358"/>
        <v/>
      </c>
      <c r="BB942" t="str">
        <f t="shared" si="359"/>
        <v/>
      </c>
    </row>
    <row r="943" spans="1:54" ht="14.25" customHeight="1" x14ac:dyDescent="0.3">
      <c r="A943" t="str">
        <f>IF(SAISIE!$F948="","",SAISIE!$B948)</f>
        <v/>
      </c>
      <c r="B943" t="str">
        <f>IF(SAISIE!$F948="","",SAISIE!$C948)</f>
        <v/>
      </c>
      <c r="C943" t="str">
        <f>IF(SAISIE!$F948="","",SAISIE!$D948)</f>
        <v/>
      </c>
      <c r="D943" t="str">
        <f>IF(SAISIE!$E948="","",SAISIE!$E948)</f>
        <v/>
      </c>
      <c r="E943" t="str">
        <f>IF(SAISIE!$F948="","",SAISIE!$F948)</f>
        <v/>
      </c>
      <c r="F943" t="str">
        <f>IF(SAISIE!$G948="","",SAISIE!$G948)</f>
        <v/>
      </c>
      <c r="G943" t="str">
        <f>IF(SAISIE!$H948="","",SAISIE!$H948)</f>
        <v/>
      </c>
      <c r="H943" t="str">
        <f>IF(SAISIE!$I948="","",SAISIE!$I948)</f>
        <v/>
      </c>
      <c r="I943" t="str">
        <f>IF(SAISIE!$J948="","",SAISIE!$J948)</f>
        <v/>
      </c>
      <c r="J943" t="str">
        <f>IF(SAISIE!$K948="","",SAISIE!$K948)</f>
        <v/>
      </c>
      <c r="K943" t="str">
        <f>IF(SAISIE!$L948="","",SAISIE!$L948)</f>
        <v/>
      </c>
      <c r="L943" t="str">
        <f>IF(SAISIE!$M948="","",SAISIE!$M948)</f>
        <v/>
      </c>
      <c r="M943" t="str">
        <f>IF(SAISIE!$N948="","",SAISIE!$N948)</f>
        <v/>
      </c>
      <c r="N943" t="str">
        <f>IF(SAISIE!$O948="","",SAISIE!$O948)</f>
        <v/>
      </c>
      <c r="O943" t="str">
        <f>IF(SAISIE!$P948="","",SAISIE!$P948)</f>
        <v/>
      </c>
      <c r="P943" t="str">
        <f>IF(SAISIE!$Q948="","",SAISIE!$Q948)</f>
        <v/>
      </c>
      <c r="Q943" t="str">
        <f>IF($I943="","",IF($I943&gt;PARAMETRES!$G$29,5,IF($I943&gt;PARAMETRES!$F$29,4,IF($I943&gt;PARAMETRES!$E$29,3,IF($I943&gt;PARAMETRES!$D$29,2,1)))))</f>
        <v/>
      </c>
      <c r="R943" t="str">
        <f>IF($J943="","",IF($J943&gt;PARAMETRES!$G$30,5,IF($J943&gt;PARAMETRES!$F$30,4,IF($J943&gt;PARAMETRES!$E$30,3,IF($J943&gt;PARAMETRES!$D$30,2,1)))))</f>
        <v/>
      </c>
      <c r="S943" t="str">
        <f>IF($K943="","",IF($Z943=2,IF($K943&gt;PARAMETRES!$G$31,5,IF($K943&gt;PARAMETRES!$F$31,4,IF($K943&gt;PARAMETRES!$E$31,3,IF($K943&gt;PARAMETRES!$D$31,2,1)))),IF($K943&gt;PARAMETRES!$G$32,5,IF($K943&gt;PARAMETRES!$F$32,4,IF($K943&gt;PARAMETRES!$E$32,3,IF($K943&gt;PARAMETRES!$D$32,2,1))))))</f>
        <v/>
      </c>
      <c r="T943" t="str">
        <f>IF($L943="","",IF($L943&gt;PARAMETRES!$G$33,5,IF($L943&gt;PARAMETRES!$F$33,4,IF($L943&gt;PARAMETRES!$E$33,3,IF($L943&gt;PARAMETRES!$D$33,2,1)))))</f>
        <v/>
      </c>
      <c r="U943" t="str">
        <f>IF($M943="","",IF($M943&gt;PARAMETRES!$G$34,5,IF($M943&gt;PARAMETRES!$F$34,4,IF($M943&gt;PARAMETRES!$E$34,3,IF($M943&gt;PARAMETRES!$D$34,2,1)))))</f>
        <v/>
      </c>
      <c r="V943" t="str">
        <f>IF($N943="","",IF($N943&gt;PARAMETRES!$G$35,5,IF($N943&gt;PARAMETRES!$F$35,4,IF($N943&gt;PARAMETRES!$E$35,3,IF($N943&gt;PARAMETRES!$D$35,2,1)))))</f>
        <v/>
      </c>
      <c r="W943" t="str">
        <f>IF($O943="","",IF($O943&gt;PARAMETRES!$G$36,5,IF($O943&gt;PARAMETRES!$F$36,4,IF($O943&gt;PARAMETRES!$E$36,3,IF($O943&gt;PARAMETRES!$D$36,2,1)))))</f>
        <v/>
      </c>
      <c r="X943" t="str">
        <f>IF($P943="","",IF($P943&gt;PARAMETRES!$G$37,5,IF($P943&gt;PARAMETRES!$F$37,4,IF($P943&gt;PARAMETRES!$E$37,3,IF($P943&gt;PARAMETRES!$D$37,2,1)))))</f>
        <v/>
      </c>
      <c r="Y943" t="str">
        <f t="shared" si="336"/>
        <v/>
      </c>
      <c r="Z943" t="str">
        <f>IFERROR(VLOOKUP($B943,TABLE_CYCLE,2,0),"")</f>
        <v/>
      </c>
      <c r="AA943" t="str">
        <f t="shared" si="337"/>
        <v/>
      </c>
      <c r="AB943" t="str">
        <f>IF($D943="","",IF(COUNTIF($D$2:$D943,$D943)=1,$D943,""))</f>
        <v/>
      </c>
      <c r="AC943">
        <f t="shared" si="338"/>
        <v>0</v>
      </c>
      <c r="AD943" t="str">
        <f t="shared" si="339"/>
        <v>|0</v>
      </c>
      <c r="AE943" t="str">
        <f t="shared" si="340"/>
        <v/>
      </c>
      <c r="AF943" t="str">
        <f t="shared" si="341"/>
        <v/>
      </c>
      <c r="AG943" t="str">
        <f t="shared" si="342"/>
        <v/>
      </c>
      <c r="AH943" t="str">
        <f t="shared" si="343"/>
        <v/>
      </c>
      <c r="AI943" t="str">
        <f t="shared" si="344"/>
        <v/>
      </c>
      <c r="AJ943" t="str">
        <f t="shared" si="345"/>
        <v/>
      </c>
      <c r="AK943" t="str">
        <f t="shared" si="346"/>
        <v/>
      </c>
      <c r="AL943" t="str">
        <f t="shared" si="347"/>
        <v/>
      </c>
      <c r="AM943" t="str">
        <f t="shared" si="348"/>
        <v/>
      </c>
      <c r="AN943" t="str">
        <f t="shared" si="349"/>
        <v/>
      </c>
      <c r="AO943" t="str">
        <f t="shared" si="350"/>
        <v/>
      </c>
      <c r="AP943">
        <f t="shared" si="351"/>
        <v>1</v>
      </c>
      <c r="AQ943" t="str">
        <f>IF(SAISIE!$F948="","",SAISIE!$Y948)</f>
        <v/>
      </c>
      <c r="AR943" t="str">
        <f>IF(OR(SAISIE!$U$4="",SAISIE!$W$4=""),"",IF(AND($A943=SAISIE!$U$4,$B943=SAISIE!$W$4,$C943="S1"),COUNTIFS($A$2:$A943,SAISIE!$U$4,$B$2:$B943,SAISIE!$W$4,$C$2:$C943,"S1"),""))</f>
        <v/>
      </c>
      <c r="AS943" t="str">
        <f t="shared" si="352"/>
        <v/>
      </c>
      <c r="AT943" t="str">
        <f t="shared" si="353"/>
        <v/>
      </c>
      <c r="AU943" t="str">
        <f t="shared" si="354"/>
        <v/>
      </c>
      <c r="AV943">
        <f>N(AV942)+IF(AND($AB943&lt;&gt;"",OR('PROFIL ELEVE'!$K$4="(Tous)",$AF943='PROFIL ELEVE'!$K$4)),1,0)</f>
        <v>0</v>
      </c>
      <c r="AW943">
        <f>N(AW942)+IF(AND($AB943&lt;&gt;"",OR('SUIVI LONGITUDINAL'!$Q$4="(Tous)",$AF943='SUIVI LONGITUDINAL'!$Q$4)),1,0)</f>
        <v>0</v>
      </c>
      <c r="AX943">
        <f t="shared" si="355"/>
        <v>0</v>
      </c>
      <c r="AY943">
        <f t="shared" si="356"/>
        <v>0</v>
      </c>
      <c r="AZ943">
        <f t="shared" si="357"/>
        <v>0</v>
      </c>
      <c r="BA943" t="str">
        <f t="shared" si="358"/>
        <v/>
      </c>
      <c r="BB943" t="str">
        <f t="shared" si="359"/>
        <v/>
      </c>
    </row>
    <row r="944" spans="1:54" ht="14.25" customHeight="1" x14ac:dyDescent="0.3">
      <c r="A944" t="str">
        <f>IF(SAISIE!$F949="","",SAISIE!$B949)</f>
        <v/>
      </c>
      <c r="B944" t="str">
        <f>IF(SAISIE!$F949="","",SAISIE!$C949)</f>
        <v/>
      </c>
      <c r="C944" t="str">
        <f>IF(SAISIE!$F949="","",SAISIE!$D949)</f>
        <v/>
      </c>
      <c r="D944" t="str">
        <f>IF(SAISIE!$E949="","",SAISIE!$E949)</f>
        <v/>
      </c>
      <c r="E944" t="str">
        <f>IF(SAISIE!$F949="","",SAISIE!$F949)</f>
        <v/>
      </c>
      <c r="F944" t="str">
        <f>IF(SAISIE!$G949="","",SAISIE!$G949)</f>
        <v/>
      </c>
      <c r="G944" t="str">
        <f>IF(SAISIE!$H949="","",SAISIE!$H949)</f>
        <v/>
      </c>
      <c r="H944" t="str">
        <f>IF(SAISIE!$I949="","",SAISIE!$I949)</f>
        <v/>
      </c>
      <c r="I944" t="str">
        <f>IF(SAISIE!$J949="","",SAISIE!$J949)</f>
        <v/>
      </c>
      <c r="J944" t="str">
        <f>IF(SAISIE!$K949="","",SAISIE!$K949)</f>
        <v/>
      </c>
      <c r="K944" t="str">
        <f>IF(SAISIE!$L949="","",SAISIE!$L949)</f>
        <v/>
      </c>
      <c r="L944" t="str">
        <f>IF(SAISIE!$M949="","",SAISIE!$M949)</f>
        <v/>
      </c>
      <c r="M944" t="str">
        <f>IF(SAISIE!$N949="","",SAISIE!$N949)</f>
        <v/>
      </c>
      <c r="N944" t="str">
        <f>IF(SAISIE!$O949="","",SAISIE!$O949)</f>
        <v/>
      </c>
      <c r="O944" t="str">
        <f>IF(SAISIE!$P949="","",SAISIE!$P949)</f>
        <v/>
      </c>
      <c r="P944" t="str">
        <f>IF(SAISIE!$Q949="","",SAISIE!$Q949)</f>
        <v/>
      </c>
      <c r="Q944" t="str">
        <f>IF($I944="","",IF($I944&gt;PARAMETRES!$G$29,5,IF($I944&gt;PARAMETRES!$F$29,4,IF($I944&gt;PARAMETRES!$E$29,3,IF($I944&gt;PARAMETRES!$D$29,2,1)))))</f>
        <v/>
      </c>
      <c r="R944" t="str">
        <f>IF($J944="","",IF($J944&gt;PARAMETRES!$G$30,5,IF($J944&gt;PARAMETRES!$F$30,4,IF($J944&gt;PARAMETRES!$E$30,3,IF($J944&gt;PARAMETRES!$D$30,2,1)))))</f>
        <v/>
      </c>
      <c r="S944" t="str">
        <f>IF($K944="","",IF($Z944=2,IF($K944&gt;PARAMETRES!$G$31,5,IF($K944&gt;PARAMETRES!$F$31,4,IF($K944&gt;PARAMETRES!$E$31,3,IF($K944&gt;PARAMETRES!$D$31,2,1)))),IF($K944&gt;PARAMETRES!$G$32,5,IF($K944&gt;PARAMETRES!$F$32,4,IF($K944&gt;PARAMETRES!$E$32,3,IF($K944&gt;PARAMETRES!$D$32,2,1))))))</f>
        <v/>
      </c>
      <c r="T944" t="str">
        <f>IF($L944="","",IF($L944&gt;PARAMETRES!$G$33,5,IF($L944&gt;PARAMETRES!$F$33,4,IF($L944&gt;PARAMETRES!$E$33,3,IF($L944&gt;PARAMETRES!$D$33,2,1)))))</f>
        <v/>
      </c>
      <c r="U944" t="str">
        <f>IF($M944="","",IF($M944&gt;PARAMETRES!$G$34,5,IF($M944&gt;PARAMETRES!$F$34,4,IF($M944&gt;PARAMETRES!$E$34,3,IF($M944&gt;PARAMETRES!$D$34,2,1)))))</f>
        <v/>
      </c>
      <c r="V944" t="str">
        <f>IF($N944="","",IF($N944&gt;PARAMETRES!$G$35,5,IF($N944&gt;PARAMETRES!$F$35,4,IF($N944&gt;PARAMETRES!$E$35,3,IF($N944&gt;PARAMETRES!$D$35,2,1)))))</f>
        <v/>
      </c>
      <c r="W944" t="str">
        <f>IF($O944="","",IF($O944&gt;PARAMETRES!$G$36,5,IF($O944&gt;PARAMETRES!$F$36,4,IF($O944&gt;PARAMETRES!$E$36,3,IF($O944&gt;PARAMETRES!$D$36,2,1)))))</f>
        <v/>
      </c>
      <c r="X944" t="str">
        <f>IF($P944="","",IF($P944&gt;PARAMETRES!$G$37,5,IF($P944&gt;PARAMETRES!$F$37,4,IF($P944&gt;PARAMETRES!$E$37,3,IF($P944&gt;PARAMETRES!$D$37,2,1)))))</f>
        <v/>
      </c>
      <c r="Y944" t="str">
        <f t="shared" si="336"/>
        <v/>
      </c>
      <c r="Z944" t="str">
        <f>IFERROR(VLOOKUP($B944,TABLE_CYCLE,2,0),"")</f>
        <v/>
      </c>
      <c r="AA944" t="str">
        <f t="shared" si="337"/>
        <v/>
      </c>
      <c r="AB944" t="str">
        <f>IF($D944="","",IF(COUNTIF($D$2:$D944,$D944)=1,$D944,""))</f>
        <v/>
      </c>
      <c r="AC944">
        <f t="shared" si="338"/>
        <v>0</v>
      </c>
      <c r="AD944" t="str">
        <f t="shared" si="339"/>
        <v>|0</v>
      </c>
      <c r="AE944" t="str">
        <f t="shared" si="340"/>
        <v/>
      </c>
      <c r="AF944" t="str">
        <f t="shared" si="341"/>
        <v/>
      </c>
      <c r="AG944" t="str">
        <f t="shared" si="342"/>
        <v/>
      </c>
      <c r="AH944" t="str">
        <f t="shared" si="343"/>
        <v/>
      </c>
      <c r="AI944" t="str">
        <f t="shared" si="344"/>
        <v/>
      </c>
      <c r="AJ944" t="str">
        <f t="shared" si="345"/>
        <v/>
      </c>
      <c r="AK944" t="str">
        <f t="shared" si="346"/>
        <v/>
      </c>
      <c r="AL944" t="str">
        <f t="shared" si="347"/>
        <v/>
      </c>
      <c r="AM944" t="str">
        <f t="shared" si="348"/>
        <v/>
      </c>
      <c r="AN944" t="str">
        <f t="shared" si="349"/>
        <v/>
      </c>
      <c r="AO944" t="str">
        <f t="shared" si="350"/>
        <v/>
      </c>
      <c r="AP944">
        <f t="shared" si="351"/>
        <v>1</v>
      </c>
      <c r="AQ944" t="str">
        <f>IF(SAISIE!$F949="","",SAISIE!$Y949)</f>
        <v/>
      </c>
      <c r="AR944" t="str">
        <f>IF(OR(SAISIE!$U$4="",SAISIE!$W$4=""),"",IF(AND($A944=SAISIE!$U$4,$B944=SAISIE!$W$4,$C944="S1"),COUNTIFS($A$2:$A944,SAISIE!$U$4,$B$2:$B944,SAISIE!$W$4,$C$2:$C944,"S1"),""))</f>
        <v/>
      </c>
      <c r="AS944" t="str">
        <f t="shared" si="352"/>
        <v/>
      </c>
      <c r="AT944" t="str">
        <f t="shared" si="353"/>
        <v/>
      </c>
      <c r="AU944" t="str">
        <f t="shared" si="354"/>
        <v/>
      </c>
      <c r="AV944">
        <f>N(AV943)+IF(AND($AB944&lt;&gt;"",OR('PROFIL ELEVE'!$K$4="(Tous)",$AF944='PROFIL ELEVE'!$K$4)),1,0)</f>
        <v>0</v>
      </c>
      <c r="AW944">
        <f>N(AW943)+IF(AND($AB944&lt;&gt;"",OR('SUIVI LONGITUDINAL'!$Q$4="(Tous)",$AF944='SUIVI LONGITUDINAL'!$Q$4)),1,0)</f>
        <v>0</v>
      </c>
      <c r="AX944">
        <f t="shared" si="355"/>
        <v>0</v>
      </c>
      <c r="AY944">
        <f t="shared" si="356"/>
        <v>0</v>
      </c>
      <c r="AZ944">
        <f t="shared" si="357"/>
        <v>0</v>
      </c>
      <c r="BA944" t="str">
        <f t="shared" si="358"/>
        <v/>
      </c>
      <c r="BB944" t="str">
        <f t="shared" si="359"/>
        <v/>
      </c>
    </row>
    <row r="945" spans="1:54" ht="14.25" customHeight="1" x14ac:dyDescent="0.3">
      <c r="A945" t="str">
        <f>IF(SAISIE!$F950="","",SAISIE!$B950)</f>
        <v/>
      </c>
      <c r="B945" t="str">
        <f>IF(SAISIE!$F950="","",SAISIE!$C950)</f>
        <v/>
      </c>
      <c r="C945" t="str">
        <f>IF(SAISIE!$F950="","",SAISIE!$D950)</f>
        <v/>
      </c>
      <c r="D945" t="str">
        <f>IF(SAISIE!$E950="","",SAISIE!$E950)</f>
        <v/>
      </c>
      <c r="E945" t="str">
        <f>IF(SAISIE!$F950="","",SAISIE!$F950)</f>
        <v/>
      </c>
      <c r="F945" t="str">
        <f>IF(SAISIE!$G950="","",SAISIE!$G950)</f>
        <v/>
      </c>
      <c r="G945" t="str">
        <f>IF(SAISIE!$H950="","",SAISIE!$H950)</f>
        <v/>
      </c>
      <c r="H945" t="str">
        <f>IF(SAISIE!$I950="","",SAISIE!$I950)</f>
        <v/>
      </c>
      <c r="I945" t="str">
        <f>IF(SAISIE!$J950="","",SAISIE!$J950)</f>
        <v/>
      </c>
      <c r="J945" t="str">
        <f>IF(SAISIE!$K950="","",SAISIE!$K950)</f>
        <v/>
      </c>
      <c r="K945" t="str">
        <f>IF(SAISIE!$L950="","",SAISIE!$L950)</f>
        <v/>
      </c>
      <c r="L945" t="str">
        <f>IF(SAISIE!$M950="","",SAISIE!$M950)</f>
        <v/>
      </c>
      <c r="M945" t="str">
        <f>IF(SAISIE!$N950="","",SAISIE!$N950)</f>
        <v/>
      </c>
      <c r="N945" t="str">
        <f>IF(SAISIE!$O950="","",SAISIE!$O950)</f>
        <v/>
      </c>
      <c r="O945" t="str">
        <f>IF(SAISIE!$P950="","",SAISIE!$P950)</f>
        <v/>
      </c>
      <c r="P945" t="str">
        <f>IF(SAISIE!$Q950="","",SAISIE!$Q950)</f>
        <v/>
      </c>
      <c r="Q945" t="str">
        <f>IF($I945="","",IF($I945&gt;PARAMETRES!$G$29,5,IF($I945&gt;PARAMETRES!$F$29,4,IF($I945&gt;PARAMETRES!$E$29,3,IF($I945&gt;PARAMETRES!$D$29,2,1)))))</f>
        <v/>
      </c>
      <c r="R945" t="str">
        <f>IF($J945="","",IF($J945&gt;PARAMETRES!$G$30,5,IF($J945&gt;PARAMETRES!$F$30,4,IF($J945&gt;PARAMETRES!$E$30,3,IF($J945&gt;PARAMETRES!$D$30,2,1)))))</f>
        <v/>
      </c>
      <c r="S945" t="str">
        <f>IF($K945="","",IF($Z945=2,IF($K945&gt;PARAMETRES!$G$31,5,IF($K945&gt;PARAMETRES!$F$31,4,IF($K945&gt;PARAMETRES!$E$31,3,IF($K945&gt;PARAMETRES!$D$31,2,1)))),IF($K945&gt;PARAMETRES!$G$32,5,IF($K945&gt;PARAMETRES!$F$32,4,IF($K945&gt;PARAMETRES!$E$32,3,IF($K945&gt;PARAMETRES!$D$32,2,1))))))</f>
        <v/>
      </c>
      <c r="T945" t="str">
        <f>IF($L945="","",IF($L945&gt;PARAMETRES!$G$33,5,IF($L945&gt;PARAMETRES!$F$33,4,IF($L945&gt;PARAMETRES!$E$33,3,IF($L945&gt;PARAMETRES!$D$33,2,1)))))</f>
        <v/>
      </c>
      <c r="U945" t="str">
        <f>IF($M945="","",IF($M945&gt;PARAMETRES!$G$34,5,IF($M945&gt;PARAMETRES!$F$34,4,IF($M945&gt;PARAMETRES!$E$34,3,IF($M945&gt;PARAMETRES!$D$34,2,1)))))</f>
        <v/>
      </c>
      <c r="V945" t="str">
        <f>IF($N945="","",IF($N945&gt;PARAMETRES!$G$35,5,IF($N945&gt;PARAMETRES!$F$35,4,IF($N945&gt;PARAMETRES!$E$35,3,IF($N945&gt;PARAMETRES!$D$35,2,1)))))</f>
        <v/>
      </c>
      <c r="W945" t="str">
        <f>IF($O945="","",IF($O945&gt;PARAMETRES!$G$36,5,IF($O945&gt;PARAMETRES!$F$36,4,IF($O945&gt;PARAMETRES!$E$36,3,IF($O945&gt;PARAMETRES!$D$36,2,1)))))</f>
        <v/>
      </c>
      <c r="X945" t="str">
        <f>IF($P945="","",IF($P945&gt;PARAMETRES!$G$37,5,IF($P945&gt;PARAMETRES!$F$37,4,IF($P945&gt;PARAMETRES!$E$37,3,IF($P945&gt;PARAMETRES!$D$37,2,1)))))</f>
        <v/>
      </c>
      <c r="Y945" t="str">
        <f t="shared" si="336"/>
        <v/>
      </c>
      <c r="Z945" t="str">
        <f>IFERROR(VLOOKUP($B945,TABLE_CYCLE,2,0),"")</f>
        <v/>
      </c>
      <c r="AA945" t="str">
        <f t="shared" si="337"/>
        <v/>
      </c>
      <c r="AB945" t="str">
        <f>IF($D945="","",IF(COUNTIF($D$2:$D945,$D945)=1,$D945,""))</f>
        <v/>
      </c>
      <c r="AC945">
        <f t="shared" si="338"/>
        <v>0</v>
      </c>
      <c r="AD945" t="str">
        <f t="shared" si="339"/>
        <v>|0</v>
      </c>
      <c r="AE945" t="str">
        <f t="shared" si="340"/>
        <v/>
      </c>
      <c r="AF945" t="str">
        <f t="shared" si="341"/>
        <v/>
      </c>
      <c r="AG945" t="str">
        <f t="shared" si="342"/>
        <v/>
      </c>
      <c r="AH945" t="str">
        <f t="shared" si="343"/>
        <v/>
      </c>
      <c r="AI945" t="str">
        <f t="shared" si="344"/>
        <v/>
      </c>
      <c r="AJ945" t="str">
        <f t="shared" si="345"/>
        <v/>
      </c>
      <c r="AK945" t="str">
        <f t="shared" si="346"/>
        <v/>
      </c>
      <c r="AL945" t="str">
        <f t="shared" si="347"/>
        <v/>
      </c>
      <c r="AM945" t="str">
        <f t="shared" si="348"/>
        <v/>
      </c>
      <c r="AN945" t="str">
        <f t="shared" si="349"/>
        <v/>
      </c>
      <c r="AO945" t="str">
        <f t="shared" si="350"/>
        <v/>
      </c>
      <c r="AP945">
        <f t="shared" si="351"/>
        <v>1</v>
      </c>
      <c r="AQ945" t="str">
        <f>IF(SAISIE!$F950="","",SAISIE!$Y950)</f>
        <v/>
      </c>
      <c r="AR945" t="str">
        <f>IF(OR(SAISIE!$U$4="",SAISIE!$W$4=""),"",IF(AND($A945=SAISIE!$U$4,$B945=SAISIE!$W$4,$C945="S1"),COUNTIFS($A$2:$A945,SAISIE!$U$4,$B$2:$B945,SAISIE!$W$4,$C$2:$C945,"S1"),""))</f>
        <v/>
      </c>
      <c r="AS945" t="str">
        <f t="shared" si="352"/>
        <v/>
      </c>
      <c r="AT945" t="str">
        <f t="shared" si="353"/>
        <v/>
      </c>
      <c r="AU945" t="str">
        <f t="shared" si="354"/>
        <v/>
      </c>
      <c r="AV945">
        <f>N(AV944)+IF(AND($AB945&lt;&gt;"",OR('PROFIL ELEVE'!$K$4="(Tous)",$AF945='PROFIL ELEVE'!$K$4)),1,0)</f>
        <v>0</v>
      </c>
      <c r="AW945">
        <f>N(AW944)+IF(AND($AB945&lt;&gt;"",OR('SUIVI LONGITUDINAL'!$Q$4="(Tous)",$AF945='SUIVI LONGITUDINAL'!$Q$4)),1,0)</f>
        <v>0</v>
      </c>
      <c r="AX945">
        <f t="shared" si="355"/>
        <v>0</v>
      </c>
      <c r="AY945">
        <f t="shared" si="356"/>
        <v>0</v>
      </c>
      <c r="AZ945">
        <f t="shared" si="357"/>
        <v>0</v>
      </c>
      <c r="BA945" t="str">
        <f t="shared" si="358"/>
        <v/>
      </c>
      <c r="BB945" t="str">
        <f t="shared" si="359"/>
        <v/>
      </c>
    </row>
    <row r="946" spans="1:54" ht="14.25" customHeight="1" x14ac:dyDescent="0.3">
      <c r="A946" t="str">
        <f>IF(SAISIE!$F951="","",SAISIE!$B951)</f>
        <v/>
      </c>
      <c r="B946" t="str">
        <f>IF(SAISIE!$F951="","",SAISIE!$C951)</f>
        <v/>
      </c>
      <c r="C946" t="str">
        <f>IF(SAISIE!$F951="","",SAISIE!$D951)</f>
        <v/>
      </c>
      <c r="D946" t="str">
        <f>IF(SAISIE!$E951="","",SAISIE!$E951)</f>
        <v/>
      </c>
      <c r="E946" t="str">
        <f>IF(SAISIE!$F951="","",SAISIE!$F951)</f>
        <v/>
      </c>
      <c r="F946" t="str">
        <f>IF(SAISIE!$G951="","",SAISIE!$G951)</f>
        <v/>
      </c>
      <c r="G946" t="str">
        <f>IF(SAISIE!$H951="","",SAISIE!$H951)</f>
        <v/>
      </c>
      <c r="H946" t="str">
        <f>IF(SAISIE!$I951="","",SAISIE!$I951)</f>
        <v/>
      </c>
      <c r="I946" t="str">
        <f>IF(SAISIE!$J951="","",SAISIE!$J951)</f>
        <v/>
      </c>
      <c r="J946" t="str">
        <f>IF(SAISIE!$K951="","",SAISIE!$K951)</f>
        <v/>
      </c>
      <c r="K946" t="str">
        <f>IF(SAISIE!$L951="","",SAISIE!$L951)</f>
        <v/>
      </c>
      <c r="L946" t="str">
        <f>IF(SAISIE!$M951="","",SAISIE!$M951)</f>
        <v/>
      </c>
      <c r="M946" t="str">
        <f>IF(SAISIE!$N951="","",SAISIE!$N951)</f>
        <v/>
      </c>
      <c r="N946" t="str">
        <f>IF(SAISIE!$O951="","",SAISIE!$O951)</f>
        <v/>
      </c>
      <c r="O946" t="str">
        <f>IF(SAISIE!$P951="","",SAISIE!$P951)</f>
        <v/>
      </c>
      <c r="P946" t="str">
        <f>IF(SAISIE!$Q951="","",SAISIE!$Q951)</f>
        <v/>
      </c>
      <c r="Q946" t="str">
        <f>IF($I946="","",IF($I946&gt;PARAMETRES!$G$29,5,IF($I946&gt;PARAMETRES!$F$29,4,IF($I946&gt;PARAMETRES!$E$29,3,IF($I946&gt;PARAMETRES!$D$29,2,1)))))</f>
        <v/>
      </c>
      <c r="R946" t="str">
        <f>IF($J946="","",IF($J946&gt;PARAMETRES!$G$30,5,IF($J946&gt;PARAMETRES!$F$30,4,IF($J946&gt;PARAMETRES!$E$30,3,IF($J946&gt;PARAMETRES!$D$30,2,1)))))</f>
        <v/>
      </c>
      <c r="S946" t="str">
        <f>IF($K946="","",IF($Z946=2,IF($K946&gt;PARAMETRES!$G$31,5,IF($K946&gt;PARAMETRES!$F$31,4,IF($K946&gt;PARAMETRES!$E$31,3,IF($K946&gt;PARAMETRES!$D$31,2,1)))),IF($K946&gt;PARAMETRES!$G$32,5,IF($K946&gt;PARAMETRES!$F$32,4,IF($K946&gt;PARAMETRES!$E$32,3,IF($K946&gt;PARAMETRES!$D$32,2,1))))))</f>
        <v/>
      </c>
      <c r="T946" t="str">
        <f>IF($L946="","",IF($L946&gt;PARAMETRES!$G$33,5,IF($L946&gt;PARAMETRES!$F$33,4,IF($L946&gt;PARAMETRES!$E$33,3,IF($L946&gt;PARAMETRES!$D$33,2,1)))))</f>
        <v/>
      </c>
      <c r="U946" t="str">
        <f>IF($M946="","",IF($M946&gt;PARAMETRES!$G$34,5,IF($M946&gt;PARAMETRES!$F$34,4,IF($M946&gt;PARAMETRES!$E$34,3,IF($M946&gt;PARAMETRES!$D$34,2,1)))))</f>
        <v/>
      </c>
      <c r="V946" t="str">
        <f>IF($N946="","",IF($N946&gt;PARAMETRES!$G$35,5,IF($N946&gt;PARAMETRES!$F$35,4,IF($N946&gt;PARAMETRES!$E$35,3,IF($N946&gt;PARAMETRES!$D$35,2,1)))))</f>
        <v/>
      </c>
      <c r="W946" t="str">
        <f>IF($O946="","",IF($O946&gt;PARAMETRES!$G$36,5,IF($O946&gt;PARAMETRES!$F$36,4,IF($O946&gt;PARAMETRES!$E$36,3,IF($O946&gt;PARAMETRES!$D$36,2,1)))))</f>
        <v/>
      </c>
      <c r="X946" t="str">
        <f>IF($P946="","",IF($P946&gt;PARAMETRES!$G$37,5,IF($P946&gt;PARAMETRES!$F$37,4,IF($P946&gt;PARAMETRES!$E$37,3,IF($P946&gt;PARAMETRES!$D$37,2,1)))))</f>
        <v/>
      </c>
      <c r="Y946" t="str">
        <f t="shared" si="336"/>
        <v/>
      </c>
      <c r="Z946" t="str">
        <f>IFERROR(VLOOKUP($B946,TABLE_CYCLE,2,0),"")</f>
        <v/>
      </c>
      <c r="AA946" t="str">
        <f t="shared" si="337"/>
        <v/>
      </c>
      <c r="AB946" t="str">
        <f>IF($D946="","",IF(COUNTIF($D$2:$D946,$D946)=1,$D946,""))</f>
        <v/>
      </c>
      <c r="AC946">
        <f t="shared" si="338"/>
        <v>0</v>
      </c>
      <c r="AD946" t="str">
        <f t="shared" si="339"/>
        <v>|0</v>
      </c>
      <c r="AE946" t="str">
        <f t="shared" si="340"/>
        <v/>
      </c>
      <c r="AF946" t="str">
        <f t="shared" si="341"/>
        <v/>
      </c>
      <c r="AG946" t="str">
        <f t="shared" si="342"/>
        <v/>
      </c>
      <c r="AH946" t="str">
        <f t="shared" si="343"/>
        <v/>
      </c>
      <c r="AI946" t="str">
        <f t="shared" si="344"/>
        <v/>
      </c>
      <c r="AJ946" t="str">
        <f t="shared" si="345"/>
        <v/>
      </c>
      <c r="AK946" t="str">
        <f t="shared" si="346"/>
        <v/>
      </c>
      <c r="AL946" t="str">
        <f t="shared" si="347"/>
        <v/>
      </c>
      <c r="AM946" t="str">
        <f t="shared" si="348"/>
        <v/>
      </c>
      <c r="AN946" t="str">
        <f t="shared" si="349"/>
        <v/>
      </c>
      <c r="AO946" t="str">
        <f t="shared" si="350"/>
        <v/>
      </c>
      <c r="AP946">
        <f t="shared" si="351"/>
        <v>1</v>
      </c>
      <c r="AQ946" t="str">
        <f>IF(SAISIE!$F951="","",SAISIE!$Y951)</f>
        <v/>
      </c>
      <c r="AR946" t="str">
        <f>IF(OR(SAISIE!$U$4="",SAISIE!$W$4=""),"",IF(AND($A946=SAISIE!$U$4,$B946=SAISIE!$W$4,$C946="S1"),COUNTIFS($A$2:$A946,SAISIE!$U$4,$B$2:$B946,SAISIE!$W$4,$C$2:$C946,"S1"),""))</f>
        <v/>
      </c>
      <c r="AS946" t="str">
        <f t="shared" si="352"/>
        <v/>
      </c>
      <c r="AT946" t="str">
        <f t="shared" si="353"/>
        <v/>
      </c>
      <c r="AU946" t="str">
        <f t="shared" si="354"/>
        <v/>
      </c>
      <c r="AV946">
        <f>N(AV945)+IF(AND($AB946&lt;&gt;"",OR('PROFIL ELEVE'!$K$4="(Tous)",$AF946='PROFIL ELEVE'!$K$4)),1,0)</f>
        <v>0</v>
      </c>
      <c r="AW946">
        <f>N(AW945)+IF(AND($AB946&lt;&gt;"",OR('SUIVI LONGITUDINAL'!$Q$4="(Tous)",$AF946='SUIVI LONGITUDINAL'!$Q$4)),1,0)</f>
        <v>0</v>
      </c>
      <c r="AX946">
        <f t="shared" si="355"/>
        <v>0</v>
      </c>
      <c r="AY946">
        <f t="shared" si="356"/>
        <v>0</v>
      </c>
      <c r="AZ946">
        <f t="shared" si="357"/>
        <v>0</v>
      </c>
      <c r="BA946" t="str">
        <f t="shared" si="358"/>
        <v/>
      </c>
      <c r="BB946" t="str">
        <f t="shared" si="359"/>
        <v/>
      </c>
    </row>
    <row r="947" spans="1:54" ht="14.25" customHeight="1" x14ac:dyDescent="0.3">
      <c r="A947" t="str">
        <f>IF(SAISIE!$F952="","",SAISIE!$B952)</f>
        <v/>
      </c>
      <c r="B947" t="str">
        <f>IF(SAISIE!$F952="","",SAISIE!$C952)</f>
        <v/>
      </c>
      <c r="C947" t="str">
        <f>IF(SAISIE!$F952="","",SAISIE!$D952)</f>
        <v/>
      </c>
      <c r="D947" t="str">
        <f>IF(SAISIE!$E952="","",SAISIE!$E952)</f>
        <v/>
      </c>
      <c r="E947" t="str">
        <f>IF(SAISIE!$F952="","",SAISIE!$F952)</f>
        <v/>
      </c>
      <c r="F947" t="str">
        <f>IF(SAISIE!$G952="","",SAISIE!$G952)</f>
        <v/>
      </c>
      <c r="G947" t="str">
        <f>IF(SAISIE!$H952="","",SAISIE!$H952)</f>
        <v/>
      </c>
      <c r="H947" t="str">
        <f>IF(SAISIE!$I952="","",SAISIE!$I952)</f>
        <v/>
      </c>
      <c r="I947" t="str">
        <f>IF(SAISIE!$J952="","",SAISIE!$J952)</f>
        <v/>
      </c>
      <c r="J947" t="str">
        <f>IF(SAISIE!$K952="","",SAISIE!$K952)</f>
        <v/>
      </c>
      <c r="K947" t="str">
        <f>IF(SAISIE!$L952="","",SAISIE!$L952)</f>
        <v/>
      </c>
      <c r="L947" t="str">
        <f>IF(SAISIE!$M952="","",SAISIE!$M952)</f>
        <v/>
      </c>
      <c r="M947" t="str">
        <f>IF(SAISIE!$N952="","",SAISIE!$N952)</f>
        <v/>
      </c>
      <c r="N947" t="str">
        <f>IF(SAISIE!$O952="","",SAISIE!$O952)</f>
        <v/>
      </c>
      <c r="O947" t="str">
        <f>IF(SAISIE!$P952="","",SAISIE!$P952)</f>
        <v/>
      </c>
      <c r="P947" t="str">
        <f>IF(SAISIE!$Q952="","",SAISIE!$Q952)</f>
        <v/>
      </c>
      <c r="Q947" t="str">
        <f>IF($I947="","",IF($I947&gt;PARAMETRES!$G$29,5,IF($I947&gt;PARAMETRES!$F$29,4,IF($I947&gt;PARAMETRES!$E$29,3,IF($I947&gt;PARAMETRES!$D$29,2,1)))))</f>
        <v/>
      </c>
      <c r="R947" t="str">
        <f>IF($J947="","",IF($J947&gt;PARAMETRES!$G$30,5,IF($J947&gt;PARAMETRES!$F$30,4,IF($J947&gt;PARAMETRES!$E$30,3,IF($J947&gt;PARAMETRES!$D$30,2,1)))))</f>
        <v/>
      </c>
      <c r="S947" t="str">
        <f>IF($K947="","",IF($Z947=2,IF($K947&gt;PARAMETRES!$G$31,5,IF($K947&gt;PARAMETRES!$F$31,4,IF($K947&gt;PARAMETRES!$E$31,3,IF($K947&gt;PARAMETRES!$D$31,2,1)))),IF($K947&gt;PARAMETRES!$G$32,5,IF($K947&gt;PARAMETRES!$F$32,4,IF($K947&gt;PARAMETRES!$E$32,3,IF($K947&gt;PARAMETRES!$D$32,2,1))))))</f>
        <v/>
      </c>
      <c r="T947" t="str">
        <f>IF($L947="","",IF($L947&gt;PARAMETRES!$G$33,5,IF($L947&gt;PARAMETRES!$F$33,4,IF($L947&gt;PARAMETRES!$E$33,3,IF($L947&gt;PARAMETRES!$D$33,2,1)))))</f>
        <v/>
      </c>
      <c r="U947" t="str">
        <f>IF($M947="","",IF($M947&gt;PARAMETRES!$G$34,5,IF($M947&gt;PARAMETRES!$F$34,4,IF($M947&gt;PARAMETRES!$E$34,3,IF($M947&gt;PARAMETRES!$D$34,2,1)))))</f>
        <v/>
      </c>
      <c r="V947" t="str">
        <f>IF($N947="","",IF($N947&gt;PARAMETRES!$G$35,5,IF($N947&gt;PARAMETRES!$F$35,4,IF($N947&gt;PARAMETRES!$E$35,3,IF($N947&gt;PARAMETRES!$D$35,2,1)))))</f>
        <v/>
      </c>
      <c r="W947" t="str">
        <f>IF($O947="","",IF($O947&gt;PARAMETRES!$G$36,5,IF($O947&gt;PARAMETRES!$F$36,4,IF($O947&gt;PARAMETRES!$E$36,3,IF($O947&gt;PARAMETRES!$D$36,2,1)))))</f>
        <v/>
      </c>
      <c r="X947" t="str">
        <f>IF($P947="","",IF($P947&gt;PARAMETRES!$G$37,5,IF($P947&gt;PARAMETRES!$F$37,4,IF($P947&gt;PARAMETRES!$E$37,3,IF($P947&gt;PARAMETRES!$D$37,2,1)))))</f>
        <v/>
      </c>
      <c r="Y947" t="str">
        <f t="shared" si="336"/>
        <v/>
      </c>
      <c r="Z947" t="str">
        <f>IFERROR(VLOOKUP($B947,TABLE_CYCLE,2,0),"")</f>
        <v/>
      </c>
      <c r="AA947" t="str">
        <f t="shared" si="337"/>
        <v/>
      </c>
      <c r="AB947" t="str">
        <f>IF($D947="","",IF(COUNTIF($D$2:$D947,$D947)=1,$D947,""))</f>
        <v/>
      </c>
      <c r="AC947">
        <f t="shared" si="338"/>
        <v>0</v>
      </c>
      <c r="AD947" t="str">
        <f t="shared" si="339"/>
        <v>|0</v>
      </c>
      <c r="AE947" t="str">
        <f t="shared" si="340"/>
        <v/>
      </c>
      <c r="AF947" t="str">
        <f t="shared" si="341"/>
        <v/>
      </c>
      <c r="AG947" t="str">
        <f t="shared" si="342"/>
        <v/>
      </c>
      <c r="AH947" t="str">
        <f t="shared" si="343"/>
        <v/>
      </c>
      <c r="AI947" t="str">
        <f t="shared" si="344"/>
        <v/>
      </c>
      <c r="AJ947" t="str">
        <f t="shared" si="345"/>
        <v/>
      </c>
      <c r="AK947" t="str">
        <f t="shared" si="346"/>
        <v/>
      </c>
      <c r="AL947" t="str">
        <f t="shared" si="347"/>
        <v/>
      </c>
      <c r="AM947" t="str">
        <f t="shared" si="348"/>
        <v/>
      </c>
      <c r="AN947" t="str">
        <f t="shared" si="349"/>
        <v/>
      </c>
      <c r="AO947" t="str">
        <f t="shared" si="350"/>
        <v/>
      </c>
      <c r="AP947">
        <f t="shared" si="351"/>
        <v>1</v>
      </c>
      <c r="AQ947" t="str">
        <f>IF(SAISIE!$F952="","",SAISIE!$Y952)</f>
        <v/>
      </c>
      <c r="AR947" t="str">
        <f>IF(OR(SAISIE!$U$4="",SAISIE!$W$4=""),"",IF(AND($A947=SAISIE!$U$4,$B947=SAISIE!$W$4,$C947="S1"),COUNTIFS($A$2:$A947,SAISIE!$U$4,$B$2:$B947,SAISIE!$W$4,$C$2:$C947,"S1"),""))</f>
        <v/>
      </c>
      <c r="AS947" t="str">
        <f t="shared" si="352"/>
        <v/>
      </c>
      <c r="AT947" t="str">
        <f t="shared" si="353"/>
        <v/>
      </c>
      <c r="AU947" t="str">
        <f t="shared" si="354"/>
        <v/>
      </c>
      <c r="AV947">
        <f>N(AV946)+IF(AND($AB947&lt;&gt;"",OR('PROFIL ELEVE'!$K$4="(Tous)",$AF947='PROFIL ELEVE'!$K$4)),1,0)</f>
        <v>0</v>
      </c>
      <c r="AW947">
        <f>N(AW946)+IF(AND($AB947&lt;&gt;"",OR('SUIVI LONGITUDINAL'!$Q$4="(Tous)",$AF947='SUIVI LONGITUDINAL'!$Q$4)),1,0)</f>
        <v>0</v>
      </c>
      <c r="AX947">
        <f t="shared" si="355"/>
        <v>0</v>
      </c>
      <c r="AY947">
        <f t="shared" si="356"/>
        <v>0</v>
      </c>
      <c r="AZ947">
        <f t="shared" si="357"/>
        <v>0</v>
      </c>
      <c r="BA947" t="str">
        <f t="shared" si="358"/>
        <v/>
      </c>
      <c r="BB947" t="str">
        <f t="shared" si="359"/>
        <v/>
      </c>
    </row>
    <row r="948" spans="1:54" ht="14.25" customHeight="1" x14ac:dyDescent="0.3">
      <c r="A948" t="str">
        <f>IF(SAISIE!$F953="","",SAISIE!$B953)</f>
        <v/>
      </c>
      <c r="B948" t="str">
        <f>IF(SAISIE!$F953="","",SAISIE!$C953)</f>
        <v/>
      </c>
      <c r="C948" t="str">
        <f>IF(SAISIE!$F953="","",SAISIE!$D953)</f>
        <v/>
      </c>
      <c r="D948" t="str">
        <f>IF(SAISIE!$E953="","",SAISIE!$E953)</f>
        <v/>
      </c>
      <c r="E948" t="str">
        <f>IF(SAISIE!$F953="","",SAISIE!$F953)</f>
        <v/>
      </c>
      <c r="F948" t="str">
        <f>IF(SAISIE!$G953="","",SAISIE!$G953)</f>
        <v/>
      </c>
      <c r="G948" t="str">
        <f>IF(SAISIE!$H953="","",SAISIE!$H953)</f>
        <v/>
      </c>
      <c r="H948" t="str">
        <f>IF(SAISIE!$I953="","",SAISIE!$I953)</f>
        <v/>
      </c>
      <c r="I948" t="str">
        <f>IF(SAISIE!$J953="","",SAISIE!$J953)</f>
        <v/>
      </c>
      <c r="J948" t="str">
        <f>IF(SAISIE!$K953="","",SAISIE!$K953)</f>
        <v/>
      </c>
      <c r="K948" t="str">
        <f>IF(SAISIE!$L953="","",SAISIE!$L953)</f>
        <v/>
      </c>
      <c r="L948" t="str">
        <f>IF(SAISIE!$M953="","",SAISIE!$M953)</f>
        <v/>
      </c>
      <c r="M948" t="str">
        <f>IF(SAISIE!$N953="","",SAISIE!$N953)</f>
        <v/>
      </c>
      <c r="N948" t="str">
        <f>IF(SAISIE!$O953="","",SAISIE!$O953)</f>
        <v/>
      </c>
      <c r="O948" t="str">
        <f>IF(SAISIE!$P953="","",SAISIE!$P953)</f>
        <v/>
      </c>
      <c r="P948" t="str">
        <f>IF(SAISIE!$Q953="","",SAISIE!$Q953)</f>
        <v/>
      </c>
      <c r="Q948" t="str">
        <f>IF($I948="","",IF($I948&gt;PARAMETRES!$G$29,5,IF($I948&gt;PARAMETRES!$F$29,4,IF($I948&gt;PARAMETRES!$E$29,3,IF($I948&gt;PARAMETRES!$D$29,2,1)))))</f>
        <v/>
      </c>
      <c r="R948" t="str">
        <f>IF($J948="","",IF($J948&gt;PARAMETRES!$G$30,5,IF($J948&gt;PARAMETRES!$F$30,4,IF($J948&gt;PARAMETRES!$E$30,3,IF($J948&gt;PARAMETRES!$D$30,2,1)))))</f>
        <v/>
      </c>
      <c r="S948" t="str">
        <f>IF($K948="","",IF($Z948=2,IF($K948&gt;PARAMETRES!$G$31,5,IF($K948&gt;PARAMETRES!$F$31,4,IF($K948&gt;PARAMETRES!$E$31,3,IF($K948&gt;PARAMETRES!$D$31,2,1)))),IF($K948&gt;PARAMETRES!$G$32,5,IF($K948&gt;PARAMETRES!$F$32,4,IF($K948&gt;PARAMETRES!$E$32,3,IF($K948&gt;PARAMETRES!$D$32,2,1))))))</f>
        <v/>
      </c>
      <c r="T948" t="str">
        <f>IF($L948="","",IF($L948&gt;PARAMETRES!$G$33,5,IF($L948&gt;PARAMETRES!$F$33,4,IF($L948&gt;PARAMETRES!$E$33,3,IF($L948&gt;PARAMETRES!$D$33,2,1)))))</f>
        <v/>
      </c>
      <c r="U948" t="str">
        <f>IF($M948="","",IF($M948&gt;PARAMETRES!$G$34,5,IF($M948&gt;PARAMETRES!$F$34,4,IF($M948&gt;PARAMETRES!$E$34,3,IF($M948&gt;PARAMETRES!$D$34,2,1)))))</f>
        <v/>
      </c>
      <c r="V948" t="str">
        <f>IF($N948="","",IF($N948&gt;PARAMETRES!$G$35,5,IF($N948&gt;PARAMETRES!$F$35,4,IF($N948&gt;PARAMETRES!$E$35,3,IF($N948&gt;PARAMETRES!$D$35,2,1)))))</f>
        <v/>
      </c>
      <c r="W948" t="str">
        <f>IF($O948="","",IF($O948&gt;PARAMETRES!$G$36,5,IF($O948&gt;PARAMETRES!$F$36,4,IF($O948&gt;PARAMETRES!$E$36,3,IF($O948&gt;PARAMETRES!$D$36,2,1)))))</f>
        <v/>
      </c>
      <c r="X948" t="str">
        <f>IF($P948="","",IF($P948&gt;PARAMETRES!$G$37,5,IF($P948&gt;PARAMETRES!$F$37,4,IF($P948&gt;PARAMETRES!$E$37,3,IF($P948&gt;PARAMETRES!$D$37,2,1)))))</f>
        <v/>
      </c>
      <c r="Y948" t="str">
        <f t="shared" si="336"/>
        <v/>
      </c>
      <c r="Z948" t="str">
        <f>IFERROR(VLOOKUP($B948,TABLE_CYCLE,2,0),"")</f>
        <v/>
      </c>
      <c r="AA948" t="str">
        <f t="shared" si="337"/>
        <v/>
      </c>
      <c r="AB948" t="str">
        <f>IF($D948="","",IF(COUNTIF($D$2:$D948,$D948)=1,$D948,""))</f>
        <v/>
      </c>
      <c r="AC948">
        <f t="shared" si="338"/>
        <v>0</v>
      </c>
      <c r="AD948" t="str">
        <f t="shared" si="339"/>
        <v>|0</v>
      </c>
      <c r="AE948" t="str">
        <f t="shared" si="340"/>
        <v/>
      </c>
      <c r="AF948" t="str">
        <f t="shared" si="341"/>
        <v/>
      </c>
      <c r="AG948" t="str">
        <f t="shared" si="342"/>
        <v/>
      </c>
      <c r="AH948" t="str">
        <f t="shared" si="343"/>
        <v/>
      </c>
      <c r="AI948" t="str">
        <f t="shared" si="344"/>
        <v/>
      </c>
      <c r="AJ948" t="str">
        <f t="shared" si="345"/>
        <v/>
      </c>
      <c r="AK948" t="str">
        <f t="shared" si="346"/>
        <v/>
      </c>
      <c r="AL948" t="str">
        <f t="shared" si="347"/>
        <v/>
      </c>
      <c r="AM948" t="str">
        <f t="shared" si="348"/>
        <v/>
      </c>
      <c r="AN948" t="str">
        <f t="shared" si="349"/>
        <v/>
      </c>
      <c r="AO948" t="str">
        <f t="shared" si="350"/>
        <v/>
      </c>
      <c r="AP948">
        <f t="shared" si="351"/>
        <v>1</v>
      </c>
      <c r="AQ948" t="str">
        <f>IF(SAISIE!$F953="","",SAISIE!$Y953)</f>
        <v/>
      </c>
      <c r="AR948" t="str">
        <f>IF(OR(SAISIE!$U$4="",SAISIE!$W$4=""),"",IF(AND($A948=SAISIE!$U$4,$B948=SAISIE!$W$4,$C948="S1"),COUNTIFS($A$2:$A948,SAISIE!$U$4,$B$2:$B948,SAISIE!$W$4,$C$2:$C948,"S1"),""))</f>
        <v/>
      </c>
      <c r="AS948" t="str">
        <f t="shared" si="352"/>
        <v/>
      </c>
      <c r="AT948" t="str">
        <f t="shared" si="353"/>
        <v/>
      </c>
      <c r="AU948" t="str">
        <f t="shared" si="354"/>
        <v/>
      </c>
      <c r="AV948">
        <f>N(AV947)+IF(AND($AB948&lt;&gt;"",OR('PROFIL ELEVE'!$K$4="(Tous)",$AF948='PROFIL ELEVE'!$K$4)),1,0)</f>
        <v>0</v>
      </c>
      <c r="AW948">
        <f>N(AW947)+IF(AND($AB948&lt;&gt;"",OR('SUIVI LONGITUDINAL'!$Q$4="(Tous)",$AF948='SUIVI LONGITUDINAL'!$Q$4)),1,0)</f>
        <v>0</v>
      </c>
      <c r="AX948">
        <f t="shared" si="355"/>
        <v>0</v>
      </c>
      <c r="AY948">
        <f t="shared" si="356"/>
        <v>0</v>
      </c>
      <c r="AZ948">
        <f t="shared" si="357"/>
        <v>0</v>
      </c>
      <c r="BA948" t="str">
        <f t="shared" si="358"/>
        <v/>
      </c>
      <c r="BB948" t="str">
        <f t="shared" si="359"/>
        <v/>
      </c>
    </row>
    <row r="949" spans="1:54" ht="14.25" customHeight="1" x14ac:dyDescent="0.3">
      <c r="A949" t="str">
        <f>IF(SAISIE!$F954="","",SAISIE!$B954)</f>
        <v/>
      </c>
      <c r="B949" t="str">
        <f>IF(SAISIE!$F954="","",SAISIE!$C954)</f>
        <v/>
      </c>
      <c r="C949" t="str">
        <f>IF(SAISIE!$F954="","",SAISIE!$D954)</f>
        <v/>
      </c>
      <c r="D949" t="str">
        <f>IF(SAISIE!$E954="","",SAISIE!$E954)</f>
        <v/>
      </c>
      <c r="E949" t="str">
        <f>IF(SAISIE!$F954="","",SAISIE!$F954)</f>
        <v/>
      </c>
      <c r="F949" t="str">
        <f>IF(SAISIE!$G954="","",SAISIE!$G954)</f>
        <v/>
      </c>
      <c r="G949" t="str">
        <f>IF(SAISIE!$H954="","",SAISIE!$H954)</f>
        <v/>
      </c>
      <c r="H949" t="str">
        <f>IF(SAISIE!$I954="","",SAISIE!$I954)</f>
        <v/>
      </c>
      <c r="I949" t="str">
        <f>IF(SAISIE!$J954="","",SAISIE!$J954)</f>
        <v/>
      </c>
      <c r="J949" t="str">
        <f>IF(SAISIE!$K954="","",SAISIE!$K954)</f>
        <v/>
      </c>
      <c r="K949" t="str">
        <f>IF(SAISIE!$L954="","",SAISIE!$L954)</f>
        <v/>
      </c>
      <c r="L949" t="str">
        <f>IF(SAISIE!$M954="","",SAISIE!$M954)</f>
        <v/>
      </c>
      <c r="M949" t="str">
        <f>IF(SAISIE!$N954="","",SAISIE!$N954)</f>
        <v/>
      </c>
      <c r="N949" t="str">
        <f>IF(SAISIE!$O954="","",SAISIE!$O954)</f>
        <v/>
      </c>
      <c r="O949" t="str">
        <f>IF(SAISIE!$P954="","",SAISIE!$P954)</f>
        <v/>
      </c>
      <c r="P949" t="str">
        <f>IF(SAISIE!$Q954="","",SAISIE!$Q954)</f>
        <v/>
      </c>
      <c r="Q949" t="str">
        <f>IF($I949="","",IF($I949&gt;PARAMETRES!$G$29,5,IF($I949&gt;PARAMETRES!$F$29,4,IF($I949&gt;PARAMETRES!$E$29,3,IF($I949&gt;PARAMETRES!$D$29,2,1)))))</f>
        <v/>
      </c>
      <c r="R949" t="str">
        <f>IF($J949="","",IF($J949&gt;PARAMETRES!$G$30,5,IF($J949&gt;PARAMETRES!$F$30,4,IF($J949&gt;PARAMETRES!$E$30,3,IF($J949&gt;PARAMETRES!$D$30,2,1)))))</f>
        <v/>
      </c>
      <c r="S949" t="str">
        <f>IF($K949="","",IF($Z949=2,IF($K949&gt;PARAMETRES!$G$31,5,IF($K949&gt;PARAMETRES!$F$31,4,IF($K949&gt;PARAMETRES!$E$31,3,IF($K949&gt;PARAMETRES!$D$31,2,1)))),IF($K949&gt;PARAMETRES!$G$32,5,IF($K949&gt;PARAMETRES!$F$32,4,IF($K949&gt;PARAMETRES!$E$32,3,IF($K949&gt;PARAMETRES!$D$32,2,1))))))</f>
        <v/>
      </c>
      <c r="T949" t="str">
        <f>IF($L949="","",IF($L949&gt;PARAMETRES!$G$33,5,IF($L949&gt;PARAMETRES!$F$33,4,IF($L949&gt;PARAMETRES!$E$33,3,IF($L949&gt;PARAMETRES!$D$33,2,1)))))</f>
        <v/>
      </c>
      <c r="U949" t="str">
        <f>IF($M949="","",IF($M949&gt;PARAMETRES!$G$34,5,IF($M949&gt;PARAMETRES!$F$34,4,IF($M949&gt;PARAMETRES!$E$34,3,IF($M949&gt;PARAMETRES!$D$34,2,1)))))</f>
        <v/>
      </c>
      <c r="V949" t="str">
        <f>IF($N949="","",IF($N949&gt;PARAMETRES!$G$35,5,IF($N949&gt;PARAMETRES!$F$35,4,IF($N949&gt;PARAMETRES!$E$35,3,IF($N949&gt;PARAMETRES!$D$35,2,1)))))</f>
        <v/>
      </c>
      <c r="W949" t="str">
        <f>IF($O949="","",IF($O949&gt;PARAMETRES!$G$36,5,IF($O949&gt;PARAMETRES!$F$36,4,IF($O949&gt;PARAMETRES!$E$36,3,IF($O949&gt;PARAMETRES!$D$36,2,1)))))</f>
        <v/>
      </c>
      <c r="X949" t="str">
        <f>IF($P949="","",IF($P949&gt;PARAMETRES!$G$37,5,IF($P949&gt;PARAMETRES!$F$37,4,IF($P949&gt;PARAMETRES!$E$37,3,IF($P949&gt;PARAMETRES!$D$37,2,1)))))</f>
        <v/>
      </c>
      <c r="Y949" t="str">
        <f t="shared" si="336"/>
        <v/>
      </c>
      <c r="Z949" t="str">
        <f>IFERROR(VLOOKUP($B949,TABLE_CYCLE,2,0),"")</f>
        <v/>
      </c>
      <c r="AA949" t="str">
        <f t="shared" si="337"/>
        <v/>
      </c>
      <c r="AB949" t="str">
        <f>IF($D949="","",IF(COUNTIF($D$2:$D949,$D949)=1,$D949,""))</f>
        <v/>
      </c>
      <c r="AC949">
        <f t="shared" si="338"/>
        <v>0</v>
      </c>
      <c r="AD949" t="str">
        <f t="shared" si="339"/>
        <v>|0</v>
      </c>
      <c r="AE949" t="str">
        <f t="shared" si="340"/>
        <v/>
      </c>
      <c r="AF949" t="str">
        <f t="shared" si="341"/>
        <v/>
      </c>
      <c r="AG949" t="str">
        <f t="shared" si="342"/>
        <v/>
      </c>
      <c r="AH949" t="str">
        <f t="shared" si="343"/>
        <v/>
      </c>
      <c r="AI949" t="str">
        <f t="shared" si="344"/>
        <v/>
      </c>
      <c r="AJ949" t="str">
        <f t="shared" si="345"/>
        <v/>
      </c>
      <c r="AK949" t="str">
        <f t="shared" si="346"/>
        <v/>
      </c>
      <c r="AL949" t="str">
        <f t="shared" si="347"/>
        <v/>
      </c>
      <c r="AM949" t="str">
        <f t="shared" si="348"/>
        <v/>
      </c>
      <c r="AN949" t="str">
        <f t="shared" si="349"/>
        <v/>
      </c>
      <c r="AO949" t="str">
        <f t="shared" si="350"/>
        <v/>
      </c>
      <c r="AP949">
        <f t="shared" si="351"/>
        <v>1</v>
      </c>
      <c r="AQ949" t="str">
        <f>IF(SAISIE!$F954="","",SAISIE!$Y954)</f>
        <v/>
      </c>
      <c r="AR949" t="str">
        <f>IF(OR(SAISIE!$U$4="",SAISIE!$W$4=""),"",IF(AND($A949=SAISIE!$U$4,$B949=SAISIE!$W$4,$C949="S1"),COUNTIFS($A$2:$A949,SAISIE!$U$4,$B$2:$B949,SAISIE!$W$4,$C$2:$C949,"S1"),""))</f>
        <v/>
      </c>
      <c r="AS949" t="str">
        <f t="shared" si="352"/>
        <v/>
      </c>
      <c r="AT949" t="str">
        <f t="shared" si="353"/>
        <v/>
      </c>
      <c r="AU949" t="str">
        <f t="shared" si="354"/>
        <v/>
      </c>
      <c r="AV949">
        <f>N(AV948)+IF(AND($AB949&lt;&gt;"",OR('PROFIL ELEVE'!$K$4="(Tous)",$AF949='PROFIL ELEVE'!$K$4)),1,0)</f>
        <v>0</v>
      </c>
      <c r="AW949">
        <f>N(AW948)+IF(AND($AB949&lt;&gt;"",OR('SUIVI LONGITUDINAL'!$Q$4="(Tous)",$AF949='SUIVI LONGITUDINAL'!$Q$4)),1,0)</f>
        <v>0</v>
      </c>
      <c r="AX949">
        <f t="shared" si="355"/>
        <v>0</v>
      </c>
      <c r="AY949">
        <f t="shared" si="356"/>
        <v>0</v>
      </c>
      <c r="AZ949">
        <f t="shared" si="357"/>
        <v>0</v>
      </c>
      <c r="BA949" t="str">
        <f t="shared" si="358"/>
        <v/>
      </c>
      <c r="BB949" t="str">
        <f t="shared" si="359"/>
        <v/>
      </c>
    </row>
    <row r="950" spans="1:54" ht="14.25" customHeight="1" x14ac:dyDescent="0.3">
      <c r="A950" t="str">
        <f>IF(SAISIE!$F955="","",SAISIE!$B955)</f>
        <v/>
      </c>
      <c r="B950" t="str">
        <f>IF(SAISIE!$F955="","",SAISIE!$C955)</f>
        <v/>
      </c>
      <c r="C950" t="str">
        <f>IF(SAISIE!$F955="","",SAISIE!$D955)</f>
        <v/>
      </c>
      <c r="D950" t="str">
        <f>IF(SAISIE!$E955="","",SAISIE!$E955)</f>
        <v/>
      </c>
      <c r="E950" t="str">
        <f>IF(SAISIE!$F955="","",SAISIE!$F955)</f>
        <v/>
      </c>
      <c r="F950" t="str">
        <f>IF(SAISIE!$G955="","",SAISIE!$G955)</f>
        <v/>
      </c>
      <c r="G950" t="str">
        <f>IF(SAISIE!$H955="","",SAISIE!$H955)</f>
        <v/>
      </c>
      <c r="H950" t="str">
        <f>IF(SAISIE!$I955="","",SAISIE!$I955)</f>
        <v/>
      </c>
      <c r="I950" t="str">
        <f>IF(SAISIE!$J955="","",SAISIE!$J955)</f>
        <v/>
      </c>
      <c r="J950" t="str">
        <f>IF(SAISIE!$K955="","",SAISIE!$K955)</f>
        <v/>
      </c>
      <c r="K950" t="str">
        <f>IF(SAISIE!$L955="","",SAISIE!$L955)</f>
        <v/>
      </c>
      <c r="L950" t="str">
        <f>IF(SAISIE!$M955="","",SAISIE!$M955)</f>
        <v/>
      </c>
      <c r="M950" t="str">
        <f>IF(SAISIE!$N955="","",SAISIE!$N955)</f>
        <v/>
      </c>
      <c r="N950" t="str">
        <f>IF(SAISIE!$O955="","",SAISIE!$O955)</f>
        <v/>
      </c>
      <c r="O950" t="str">
        <f>IF(SAISIE!$P955="","",SAISIE!$P955)</f>
        <v/>
      </c>
      <c r="P950" t="str">
        <f>IF(SAISIE!$Q955="","",SAISIE!$Q955)</f>
        <v/>
      </c>
      <c r="Q950" t="str">
        <f>IF($I950="","",IF($I950&gt;PARAMETRES!$G$29,5,IF($I950&gt;PARAMETRES!$F$29,4,IF($I950&gt;PARAMETRES!$E$29,3,IF($I950&gt;PARAMETRES!$D$29,2,1)))))</f>
        <v/>
      </c>
      <c r="R950" t="str">
        <f>IF($J950="","",IF($J950&gt;PARAMETRES!$G$30,5,IF($J950&gt;PARAMETRES!$F$30,4,IF($J950&gt;PARAMETRES!$E$30,3,IF($J950&gt;PARAMETRES!$D$30,2,1)))))</f>
        <v/>
      </c>
      <c r="S950" t="str">
        <f>IF($K950="","",IF($Z950=2,IF($K950&gt;PARAMETRES!$G$31,5,IF($K950&gt;PARAMETRES!$F$31,4,IF($K950&gt;PARAMETRES!$E$31,3,IF($K950&gt;PARAMETRES!$D$31,2,1)))),IF($K950&gt;PARAMETRES!$G$32,5,IF($K950&gt;PARAMETRES!$F$32,4,IF($K950&gt;PARAMETRES!$E$32,3,IF($K950&gt;PARAMETRES!$D$32,2,1))))))</f>
        <v/>
      </c>
      <c r="T950" t="str">
        <f>IF($L950="","",IF($L950&gt;PARAMETRES!$G$33,5,IF($L950&gt;PARAMETRES!$F$33,4,IF($L950&gt;PARAMETRES!$E$33,3,IF($L950&gt;PARAMETRES!$D$33,2,1)))))</f>
        <v/>
      </c>
      <c r="U950" t="str">
        <f>IF($M950="","",IF($M950&gt;PARAMETRES!$G$34,5,IF($M950&gt;PARAMETRES!$F$34,4,IF($M950&gt;PARAMETRES!$E$34,3,IF($M950&gt;PARAMETRES!$D$34,2,1)))))</f>
        <v/>
      </c>
      <c r="V950" t="str">
        <f>IF($N950="","",IF($N950&gt;PARAMETRES!$G$35,5,IF($N950&gt;PARAMETRES!$F$35,4,IF($N950&gt;PARAMETRES!$E$35,3,IF($N950&gt;PARAMETRES!$D$35,2,1)))))</f>
        <v/>
      </c>
      <c r="W950" t="str">
        <f>IF($O950="","",IF($O950&gt;PARAMETRES!$G$36,5,IF($O950&gt;PARAMETRES!$F$36,4,IF($O950&gt;PARAMETRES!$E$36,3,IF($O950&gt;PARAMETRES!$D$36,2,1)))))</f>
        <v/>
      </c>
      <c r="X950" t="str">
        <f>IF($P950="","",IF($P950&gt;PARAMETRES!$G$37,5,IF($P950&gt;PARAMETRES!$F$37,4,IF($P950&gt;PARAMETRES!$E$37,3,IF($P950&gt;PARAMETRES!$D$37,2,1)))))</f>
        <v/>
      </c>
      <c r="Y950" t="str">
        <f t="shared" si="336"/>
        <v/>
      </c>
      <c r="Z950" t="str">
        <f>IFERROR(VLOOKUP($B950,TABLE_CYCLE,2,0),"")</f>
        <v/>
      </c>
      <c r="AA950" t="str">
        <f t="shared" si="337"/>
        <v/>
      </c>
      <c r="AB950" t="str">
        <f>IF($D950="","",IF(COUNTIF($D$2:$D950,$D950)=1,$D950,""))</f>
        <v/>
      </c>
      <c r="AC950">
        <f t="shared" si="338"/>
        <v>0</v>
      </c>
      <c r="AD950" t="str">
        <f t="shared" si="339"/>
        <v>|0</v>
      </c>
      <c r="AE950" t="str">
        <f t="shared" si="340"/>
        <v/>
      </c>
      <c r="AF950" t="str">
        <f t="shared" si="341"/>
        <v/>
      </c>
      <c r="AG950" t="str">
        <f t="shared" si="342"/>
        <v/>
      </c>
      <c r="AH950" t="str">
        <f t="shared" si="343"/>
        <v/>
      </c>
      <c r="AI950" t="str">
        <f t="shared" si="344"/>
        <v/>
      </c>
      <c r="AJ950" t="str">
        <f t="shared" si="345"/>
        <v/>
      </c>
      <c r="AK950" t="str">
        <f t="shared" si="346"/>
        <v/>
      </c>
      <c r="AL950" t="str">
        <f t="shared" si="347"/>
        <v/>
      </c>
      <c r="AM950" t="str">
        <f t="shared" si="348"/>
        <v/>
      </c>
      <c r="AN950" t="str">
        <f t="shared" si="349"/>
        <v/>
      </c>
      <c r="AO950" t="str">
        <f t="shared" si="350"/>
        <v/>
      </c>
      <c r="AP950">
        <f t="shared" si="351"/>
        <v>1</v>
      </c>
      <c r="AQ950" t="str">
        <f>IF(SAISIE!$F955="","",SAISIE!$Y955)</f>
        <v/>
      </c>
      <c r="AR950" t="str">
        <f>IF(OR(SAISIE!$U$4="",SAISIE!$W$4=""),"",IF(AND($A950=SAISIE!$U$4,$B950=SAISIE!$W$4,$C950="S1"),COUNTIFS($A$2:$A950,SAISIE!$U$4,$B$2:$B950,SAISIE!$W$4,$C$2:$C950,"S1"),""))</f>
        <v/>
      </c>
      <c r="AS950" t="str">
        <f t="shared" si="352"/>
        <v/>
      </c>
      <c r="AT950" t="str">
        <f t="shared" si="353"/>
        <v/>
      </c>
      <c r="AU950" t="str">
        <f t="shared" si="354"/>
        <v/>
      </c>
      <c r="AV950">
        <f>N(AV949)+IF(AND($AB950&lt;&gt;"",OR('PROFIL ELEVE'!$K$4="(Tous)",$AF950='PROFIL ELEVE'!$K$4)),1,0)</f>
        <v>0</v>
      </c>
      <c r="AW950">
        <f>N(AW949)+IF(AND($AB950&lt;&gt;"",OR('SUIVI LONGITUDINAL'!$Q$4="(Tous)",$AF950='SUIVI LONGITUDINAL'!$Q$4)),1,0)</f>
        <v>0</v>
      </c>
      <c r="AX950">
        <f t="shared" si="355"/>
        <v>0</v>
      </c>
      <c r="AY950">
        <f t="shared" si="356"/>
        <v>0</v>
      </c>
      <c r="AZ950">
        <f t="shared" si="357"/>
        <v>0</v>
      </c>
      <c r="BA950" t="str">
        <f t="shared" si="358"/>
        <v/>
      </c>
      <c r="BB950" t="str">
        <f t="shared" si="359"/>
        <v/>
      </c>
    </row>
    <row r="951" spans="1:54" ht="14.25" customHeight="1" x14ac:dyDescent="0.3">
      <c r="A951" t="str">
        <f>IF(SAISIE!$F956="","",SAISIE!$B956)</f>
        <v/>
      </c>
      <c r="B951" t="str">
        <f>IF(SAISIE!$F956="","",SAISIE!$C956)</f>
        <v/>
      </c>
      <c r="C951" t="str">
        <f>IF(SAISIE!$F956="","",SAISIE!$D956)</f>
        <v/>
      </c>
      <c r="D951" t="str">
        <f>IF(SAISIE!$E956="","",SAISIE!$E956)</f>
        <v/>
      </c>
      <c r="E951" t="str">
        <f>IF(SAISIE!$F956="","",SAISIE!$F956)</f>
        <v/>
      </c>
      <c r="F951" t="str">
        <f>IF(SAISIE!$G956="","",SAISIE!$G956)</f>
        <v/>
      </c>
      <c r="G951" t="str">
        <f>IF(SAISIE!$H956="","",SAISIE!$H956)</f>
        <v/>
      </c>
      <c r="H951" t="str">
        <f>IF(SAISIE!$I956="","",SAISIE!$I956)</f>
        <v/>
      </c>
      <c r="I951" t="str">
        <f>IF(SAISIE!$J956="","",SAISIE!$J956)</f>
        <v/>
      </c>
      <c r="J951" t="str">
        <f>IF(SAISIE!$K956="","",SAISIE!$K956)</f>
        <v/>
      </c>
      <c r="K951" t="str">
        <f>IF(SAISIE!$L956="","",SAISIE!$L956)</f>
        <v/>
      </c>
      <c r="L951" t="str">
        <f>IF(SAISIE!$M956="","",SAISIE!$M956)</f>
        <v/>
      </c>
      <c r="M951" t="str">
        <f>IF(SAISIE!$N956="","",SAISIE!$N956)</f>
        <v/>
      </c>
      <c r="N951" t="str">
        <f>IF(SAISIE!$O956="","",SAISIE!$O956)</f>
        <v/>
      </c>
      <c r="O951" t="str">
        <f>IF(SAISIE!$P956="","",SAISIE!$P956)</f>
        <v/>
      </c>
      <c r="P951" t="str">
        <f>IF(SAISIE!$Q956="","",SAISIE!$Q956)</f>
        <v/>
      </c>
      <c r="Q951" t="str">
        <f>IF($I951="","",IF($I951&gt;PARAMETRES!$G$29,5,IF($I951&gt;PARAMETRES!$F$29,4,IF($I951&gt;PARAMETRES!$E$29,3,IF($I951&gt;PARAMETRES!$D$29,2,1)))))</f>
        <v/>
      </c>
      <c r="R951" t="str">
        <f>IF($J951="","",IF($J951&gt;PARAMETRES!$G$30,5,IF($J951&gt;PARAMETRES!$F$30,4,IF($J951&gt;PARAMETRES!$E$30,3,IF($J951&gt;PARAMETRES!$D$30,2,1)))))</f>
        <v/>
      </c>
      <c r="S951" t="str">
        <f>IF($K951="","",IF($Z951=2,IF($K951&gt;PARAMETRES!$G$31,5,IF($K951&gt;PARAMETRES!$F$31,4,IF($K951&gt;PARAMETRES!$E$31,3,IF($K951&gt;PARAMETRES!$D$31,2,1)))),IF($K951&gt;PARAMETRES!$G$32,5,IF($K951&gt;PARAMETRES!$F$32,4,IF($K951&gt;PARAMETRES!$E$32,3,IF($K951&gt;PARAMETRES!$D$32,2,1))))))</f>
        <v/>
      </c>
      <c r="T951" t="str">
        <f>IF($L951="","",IF($L951&gt;PARAMETRES!$G$33,5,IF($L951&gt;PARAMETRES!$F$33,4,IF($L951&gt;PARAMETRES!$E$33,3,IF($L951&gt;PARAMETRES!$D$33,2,1)))))</f>
        <v/>
      </c>
      <c r="U951" t="str">
        <f>IF($M951="","",IF($M951&gt;PARAMETRES!$G$34,5,IF($M951&gt;PARAMETRES!$F$34,4,IF($M951&gt;PARAMETRES!$E$34,3,IF($M951&gt;PARAMETRES!$D$34,2,1)))))</f>
        <v/>
      </c>
      <c r="V951" t="str">
        <f>IF($N951="","",IF($N951&gt;PARAMETRES!$G$35,5,IF($N951&gt;PARAMETRES!$F$35,4,IF($N951&gt;PARAMETRES!$E$35,3,IF($N951&gt;PARAMETRES!$D$35,2,1)))))</f>
        <v/>
      </c>
      <c r="W951" t="str">
        <f>IF($O951="","",IF($O951&gt;PARAMETRES!$G$36,5,IF($O951&gt;PARAMETRES!$F$36,4,IF($O951&gt;PARAMETRES!$E$36,3,IF($O951&gt;PARAMETRES!$D$36,2,1)))))</f>
        <v/>
      </c>
      <c r="X951" t="str">
        <f>IF($P951="","",IF($P951&gt;PARAMETRES!$G$37,5,IF($P951&gt;PARAMETRES!$F$37,4,IF($P951&gt;PARAMETRES!$E$37,3,IF($P951&gt;PARAMETRES!$D$37,2,1)))))</f>
        <v/>
      </c>
      <c r="Y951" t="str">
        <f t="shared" si="336"/>
        <v/>
      </c>
      <c r="Z951" t="str">
        <f>IFERROR(VLOOKUP($B951,TABLE_CYCLE,2,0),"")</f>
        <v/>
      </c>
      <c r="AA951" t="str">
        <f t="shared" si="337"/>
        <v/>
      </c>
      <c r="AB951" t="str">
        <f>IF($D951="","",IF(COUNTIF($D$2:$D951,$D951)=1,$D951,""))</f>
        <v/>
      </c>
      <c r="AC951">
        <f t="shared" si="338"/>
        <v>0</v>
      </c>
      <c r="AD951" t="str">
        <f t="shared" si="339"/>
        <v>|0</v>
      </c>
      <c r="AE951" t="str">
        <f t="shared" si="340"/>
        <v/>
      </c>
      <c r="AF951" t="str">
        <f t="shared" si="341"/>
        <v/>
      </c>
      <c r="AG951" t="str">
        <f t="shared" si="342"/>
        <v/>
      </c>
      <c r="AH951" t="str">
        <f t="shared" si="343"/>
        <v/>
      </c>
      <c r="AI951" t="str">
        <f t="shared" si="344"/>
        <v/>
      </c>
      <c r="AJ951" t="str">
        <f t="shared" si="345"/>
        <v/>
      </c>
      <c r="AK951" t="str">
        <f t="shared" si="346"/>
        <v/>
      </c>
      <c r="AL951" t="str">
        <f t="shared" si="347"/>
        <v/>
      </c>
      <c r="AM951" t="str">
        <f t="shared" si="348"/>
        <v/>
      </c>
      <c r="AN951" t="str">
        <f t="shared" si="349"/>
        <v/>
      </c>
      <c r="AO951" t="str">
        <f t="shared" si="350"/>
        <v/>
      </c>
      <c r="AP951">
        <f t="shared" si="351"/>
        <v>1</v>
      </c>
      <c r="AQ951" t="str">
        <f>IF(SAISIE!$F956="","",SAISIE!$Y956)</f>
        <v/>
      </c>
      <c r="AR951" t="str">
        <f>IF(OR(SAISIE!$U$4="",SAISIE!$W$4=""),"",IF(AND($A951=SAISIE!$U$4,$B951=SAISIE!$W$4,$C951="S1"),COUNTIFS($A$2:$A951,SAISIE!$U$4,$B$2:$B951,SAISIE!$W$4,$C$2:$C951,"S1"),""))</f>
        <v/>
      </c>
      <c r="AS951" t="str">
        <f t="shared" si="352"/>
        <v/>
      </c>
      <c r="AT951" t="str">
        <f t="shared" si="353"/>
        <v/>
      </c>
      <c r="AU951" t="str">
        <f t="shared" si="354"/>
        <v/>
      </c>
      <c r="AV951">
        <f>N(AV950)+IF(AND($AB951&lt;&gt;"",OR('PROFIL ELEVE'!$K$4="(Tous)",$AF951='PROFIL ELEVE'!$K$4)),1,0)</f>
        <v>0</v>
      </c>
      <c r="AW951">
        <f>N(AW950)+IF(AND($AB951&lt;&gt;"",OR('SUIVI LONGITUDINAL'!$Q$4="(Tous)",$AF951='SUIVI LONGITUDINAL'!$Q$4)),1,0)</f>
        <v>0</v>
      </c>
      <c r="AX951">
        <f t="shared" si="355"/>
        <v>0</v>
      </c>
      <c r="AY951">
        <f t="shared" si="356"/>
        <v>0</v>
      </c>
      <c r="AZ951">
        <f t="shared" si="357"/>
        <v>0</v>
      </c>
      <c r="BA951" t="str">
        <f t="shared" si="358"/>
        <v/>
      </c>
      <c r="BB951" t="str">
        <f t="shared" si="359"/>
        <v/>
      </c>
    </row>
    <row r="952" spans="1:54" ht="14.25" customHeight="1" x14ac:dyDescent="0.3">
      <c r="A952" t="str">
        <f>IF(SAISIE!$F957="","",SAISIE!$B957)</f>
        <v/>
      </c>
      <c r="B952" t="str">
        <f>IF(SAISIE!$F957="","",SAISIE!$C957)</f>
        <v/>
      </c>
      <c r="C952" t="str">
        <f>IF(SAISIE!$F957="","",SAISIE!$D957)</f>
        <v/>
      </c>
      <c r="D952" t="str">
        <f>IF(SAISIE!$E957="","",SAISIE!$E957)</f>
        <v/>
      </c>
      <c r="E952" t="str">
        <f>IF(SAISIE!$F957="","",SAISIE!$F957)</f>
        <v/>
      </c>
      <c r="F952" t="str">
        <f>IF(SAISIE!$G957="","",SAISIE!$G957)</f>
        <v/>
      </c>
      <c r="G952" t="str">
        <f>IF(SAISIE!$H957="","",SAISIE!$H957)</f>
        <v/>
      </c>
      <c r="H952" t="str">
        <f>IF(SAISIE!$I957="","",SAISIE!$I957)</f>
        <v/>
      </c>
      <c r="I952" t="str">
        <f>IF(SAISIE!$J957="","",SAISIE!$J957)</f>
        <v/>
      </c>
      <c r="J952" t="str">
        <f>IF(SAISIE!$K957="","",SAISIE!$K957)</f>
        <v/>
      </c>
      <c r="K952" t="str">
        <f>IF(SAISIE!$L957="","",SAISIE!$L957)</f>
        <v/>
      </c>
      <c r="L952" t="str">
        <f>IF(SAISIE!$M957="","",SAISIE!$M957)</f>
        <v/>
      </c>
      <c r="M952" t="str">
        <f>IF(SAISIE!$N957="","",SAISIE!$N957)</f>
        <v/>
      </c>
      <c r="N952" t="str">
        <f>IF(SAISIE!$O957="","",SAISIE!$O957)</f>
        <v/>
      </c>
      <c r="O952" t="str">
        <f>IF(SAISIE!$P957="","",SAISIE!$P957)</f>
        <v/>
      </c>
      <c r="P952" t="str">
        <f>IF(SAISIE!$Q957="","",SAISIE!$Q957)</f>
        <v/>
      </c>
      <c r="Q952" t="str">
        <f>IF($I952="","",IF($I952&gt;PARAMETRES!$G$29,5,IF($I952&gt;PARAMETRES!$F$29,4,IF($I952&gt;PARAMETRES!$E$29,3,IF($I952&gt;PARAMETRES!$D$29,2,1)))))</f>
        <v/>
      </c>
      <c r="R952" t="str">
        <f>IF($J952="","",IF($J952&gt;PARAMETRES!$G$30,5,IF($J952&gt;PARAMETRES!$F$30,4,IF($J952&gt;PARAMETRES!$E$30,3,IF($J952&gt;PARAMETRES!$D$30,2,1)))))</f>
        <v/>
      </c>
      <c r="S952" t="str">
        <f>IF($K952="","",IF($Z952=2,IF($K952&gt;PARAMETRES!$G$31,5,IF($K952&gt;PARAMETRES!$F$31,4,IF($K952&gt;PARAMETRES!$E$31,3,IF($K952&gt;PARAMETRES!$D$31,2,1)))),IF($K952&gt;PARAMETRES!$G$32,5,IF($K952&gt;PARAMETRES!$F$32,4,IF($K952&gt;PARAMETRES!$E$32,3,IF($K952&gt;PARAMETRES!$D$32,2,1))))))</f>
        <v/>
      </c>
      <c r="T952" t="str">
        <f>IF($L952="","",IF($L952&gt;PARAMETRES!$G$33,5,IF($L952&gt;PARAMETRES!$F$33,4,IF($L952&gt;PARAMETRES!$E$33,3,IF($L952&gt;PARAMETRES!$D$33,2,1)))))</f>
        <v/>
      </c>
      <c r="U952" t="str">
        <f>IF($M952="","",IF($M952&gt;PARAMETRES!$G$34,5,IF($M952&gt;PARAMETRES!$F$34,4,IF($M952&gt;PARAMETRES!$E$34,3,IF($M952&gt;PARAMETRES!$D$34,2,1)))))</f>
        <v/>
      </c>
      <c r="V952" t="str">
        <f>IF($N952="","",IF($N952&gt;PARAMETRES!$G$35,5,IF($N952&gt;PARAMETRES!$F$35,4,IF($N952&gt;PARAMETRES!$E$35,3,IF($N952&gt;PARAMETRES!$D$35,2,1)))))</f>
        <v/>
      </c>
      <c r="W952" t="str">
        <f>IF($O952="","",IF($O952&gt;PARAMETRES!$G$36,5,IF($O952&gt;PARAMETRES!$F$36,4,IF($O952&gt;PARAMETRES!$E$36,3,IF($O952&gt;PARAMETRES!$D$36,2,1)))))</f>
        <v/>
      </c>
      <c r="X952" t="str">
        <f>IF($P952="","",IF($P952&gt;PARAMETRES!$G$37,5,IF($P952&gt;PARAMETRES!$F$37,4,IF($P952&gt;PARAMETRES!$E$37,3,IF($P952&gt;PARAMETRES!$D$37,2,1)))))</f>
        <v/>
      </c>
      <c r="Y952" t="str">
        <f t="shared" si="336"/>
        <v/>
      </c>
      <c r="Z952" t="str">
        <f>IFERROR(VLOOKUP($B952,TABLE_CYCLE,2,0),"")</f>
        <v/>
      </c>
      <c r="AA952" t="str">
        <f t="shared" si="337"/>
        <v/>
      </c>
      <c r="AB952" t="str">
        <f>IF($D952="","",IF(COUNTIF($D$2:$D952,$D952)=1,$D952,""))</f>
        <v/>
      </c>
      <c r="AC952">
        <f t="shared" si="338"/>
        <v>0</v>
      </c>
      <c r="AD952" t="str">
        <f t="shared" si="339"/>
        <v>|0</v>
      </c>
      <c r="AE952" t="str">
        <f t="shared" si="340"/>
        <v/>
      </c>
      <c r="AF952" t="str">
        <f t="shared" si="341"/>
        <v/>
      </c>
      <c r="AG952" t="str">
        <f t="shared" si="342"/>
        <v/>
      </c>
      <c r="AH952" t="str">
        <f t="shared" si="343"/>
        <v/>
      </c>
      <c r="AI952" t="str">
        <f t="shared" si="344"/>
        <v/>
      </c>
      <c r="AJ952" t="str">
        <f t="shared" si="345"/>
        <v/>
      </c>
      <c r="AK952" t="str">
        <f t="shared" si="346"/>
        <v/>
      </c>
      <c r="AL952" t="str">
        <f t="shared" si="347"/>
        <v/>
      </c>
      <c r="AM952" t="str">
        <f t="shared" si="348"/>
        <v/>
      </c>
      <c r="AN952" t="str">
        <f t="shared" si="349"/>
        <v/>
      </c>
      <c r="AO952" t="str">
        <f t="shared" si="350"/>
        <v/>
      </c>
      <c r="AP952">
        <f t="shared" si="351"/>
        <v>1</v>
      </c>
      <c r="AQ952" t="str">
        <f>IF(SAISIE!$F957="","",SAISIE!$Y957)</f>
        <v/>
      </c>
      <c r="AR952" t="str">
        <f>IF(OR(SAISIE!$U$4="",SAISIE!$W$4=""),"",IF(AND($A952=SAISIE!$U$4,$B952=SAISIE!$W$4,$C952="S1"),COUNTIFS($A$2:$A952,SAISIE!$U$4,$B$2:$B952,SAISIE!$W$4,$C$2:$C952,"S1"),""))</f>
        <v/>
      </c>
      <c r="AS952" t="str">
        <f t="shared" si="352"/>
        <v/>
      </c>
      <c r="AT952" t="str">
        <f t="shared" si="353"/>
        <v/>
      </c>
      <c r="AU952" t="str">
        <f t="shared" si="354"/>
        <v/>
      </c>
      <c r="AV952">
        <f>N(AV951)+IF(AND($AB952&lt;&gt;"",OR('PROFIL ELEVE'!$K$4="(Tous)",$AF952='PROFIL ELEVE'!$K$4)),1,0)</f>
        <v>0</v>
      </c>
      <c r="AW952">
        <f>N(AW951)+IF(AND($AB952&lt;&gt;"",OR('SUIVI LONGITUDINAL'!$Q$4="(Tous)",$AF952='SUIVI LONGITUDINAL'!$Q$4)),1,0)</f>
        <v>0</v>
      </c>
      <c r="AX952">
        <f t="shared" si="355"/>
        <v>0</v>
      </c>
      <c r="AY952">
        <f t="shared" si="356"/>
        <v>0</v>
      </c>
      <c r="AZ952">
        <f t="shared" si="357"/>
        <v>0</v>
      </c>
      <c r="BA952" t="str">
        <f t="shared" si="358"/>
        <v/>
      </c>
      <c r="BB952" t="str">
        <f t="shared" si="359"/>
        <v/>
      </c>
    </row>
    <row r="953" spans="1:54" ht="14.25" customHeight="1" x14ac:dyDescent="0.3">
      <c r="A953" t="str">
        <f>IF(SAISIE!$F958="","",SAISIE!$B958)</f>
        <v/>
      </c>
      <c r="B953" t="str">
        <f>IF(SAISIE!$F958="","",SAISIE!$C958)</f>
        <v/>
      </c>
      <c r="C953" t="str">
        <f>IF(SAISIE!$F958="","",SAISIE!$D958)</f>
        <v/>
      </c>
      <c r="D953" t="str">
        <f>IF(SAISIE!$E958="","",SAISIE!$E958)</f>
        <v/>
      </c>
      <c r="E953" t="str">
        <f>IF(SAISIE!$F958="","",SAISIE!$F958)</f>
        <v/>
      </c>
      <c r="F953" t="str">
        <f>IF(SAISIE!$G958="","",SAISIE!$G958)</f>
        <v/>
      </c>
      <c r="G953" t="str">
        <f>IF(SAISIE!$H958="","",SAISIE!$H958)</f>
        <v/>
      </c>
      <c r="H953" t="str">
        <f>IF(SAISIE!$I958="","",SAISIE!$I958)</f>
        <v/>
      </c>
      <c r="I953" t="str">
        <f>IF(SAISIE!$J958="","",SAISIE!$J958)</f>
        <v/>
      </c>
      <c r="J953" t="str">
        <f>IF(SAISIE!$K958="","",SAISIE!$K958)</f>
        <v/>
      </c>
      <c r="K953" t="str">
        <f>IF(SAISIE!$L958="","",SAISIE!$L958)</f>
        <v/>
      </c>
      <c r="L953" t="str">
        <f>IF(SAISIE!$M958="","",SAISIE!$M958)</f>
        <v/>
      </c>
      <c r="M953" t="str">
        <f>IF(SAISIE!$N958="","",SAISIE!$N958)</f>
        <v/>
      </c>
      <c r="N953" t="str">
        <f>IF(SAISIE!$O958="","",SAISIE!$O958)</f>
        <v/>
      </c>
      <c r="O953" t="str">
        <f>IF(SAISIE!$P958="","",SAISIE!$P958)</f>
        <v/>
      </c>
      <c r="P953" t="str">
        <f>IF(SAISIE!$Q958="","",SAISIE!$Q958)</f>
        <v/>
      </c>
      <c r="Q953" t="str">
        <f>IF($I953="","",IF($I953&gt;PARAMETRES!$G$29,5,IF($I953&gt;PARAMETRES!$F$29,4,IF($I953&gt;PARAMETRES!$E$29,3,IF($I953&gt;PARAMETRES!$D$29,2,1)))))</f>
        <v/>
      </c>
      <c r="R953" t="str">
        <f>IF($J953="","",IF($J953&gt;PARAMETRES!$G$30,5,IF($J953&gt;PARAMETRES!$F$30,4,IF($J953&gt;PARAMETRES!$E$30,3,IF($J953&gt;PARAMETRES!$D$30,2,1)))))</f>
        <v/>
      </c>
      <c r="S953" t="str">
        <f>IF($K953="","",IF($Z953=2,IF($K953&gt;PARAMETRES!$G$31,5,IF($K953&gt;PARAMETRES!$F$31,4,IF($K953&gt;PARAMETRES!$E$31,3,IF($K953&gt;PARAMETRES!$D$31,2,1)))),IF($K953&gt;PARAMETRES!$G$32,5,IF($K953&gt;PARAMETRES!$F$32,4,IF($K953&gt;PARAMETRES!$E$32,3,IF($K953&gt;PARAMETRES!$D$32,2,1))))))</f>
        <v/>
      </c>
      <c r="T953" t="str">
        <f>IF($L953="","",IF($L953&gt;PARAMETRES!$G$33,5,IF($L953&gt;PARAMETRES!$F$33,4,IF($L953&gt;PARAMETRES!$E$33,3,IF($L953&gt;PARAMETRES!$D$33,2,1)))))</f>
        <v/>
      </c>
      <c r="U953" t="str">
        <f>IF($M953="","",IF($M953&gt;PARAMETRES!$G$34,5,IF($M953&gt;PARAMETRES!$F$34,4,IF($M953&gt;PARAMETRES!$E$34,3,IF($M953&gt;PARAMETRES!$D$34,2,1)))))</f>
        <v/>
      </c>
      <c r="V953" t="str">
        <f>IF($N953="","",IF($N953&gt;PARAMETRES!$G$35,5,IF($N953&gt;PARAMETRES!$F$35,4,IF($N953&gt;PARAMETRES!$E$35,3,IF($N953&gt;PARAMETRES!$D$35,2,1)))))</f>
        <v/>
      </c>
      <c r="W953" t="str">
        <f>IF($O953="","",IF($O953&gt;PARAMETRES!$G$36,5,IF($O953&gt;PARAMETRES!$F$36,4,IF($O953&gt;PARAMETRES!$E$36,3,IF($O953&gt;PARAMETRES!$D$36,2,1)))))</f>
        <v/>
      </c>
      <c r="X953" t="str">
        <f>IF($P953="","",IF($P953&gt;PARAMETRES!$G$37,5,IF($P953&gt;PARAMETRES!$F$37,4,IF($P953&gt;PARAMETRES!$E$37,3,IF($P953&gt;PARAMETRES!$D$37,2,1)))))</f>
        <v/>
      </c>
      <c r="Y953" t="str">
        <f t="shared" si="336"/>
        <v/>
      </c>
      <c r="Z953" t="str">
        <f>IFERROR(VLOOKUP($B953,TABLE_CYCLE,2,0),"")</f>
        <v/>
      </c>
      <c r="AA953" t="str">
        <f t="shared" si="337"/>
        <v/>
      </c>
      <c r="AB953" t="str">
        <f>IF($D953="","",IF(COUNTIF($D$2:$D953,$D953)=1,$D953,""))</f>
        <v/>
      </c>
      <c r="AC953">
        <f t="shared" si="338"/>
        <v>0</v>
      </c>
      <c r="AD953" t="str">
        <f t="shared" si="339"/>
        <v>|0</v>
      </c>
      <c r="AE953" t="str">
        <f t="shared" si="340"/>
        <v/>
      </c>
      <c r="AF953" t="str">
        <f t="shared" si="341"/>
        <v/>
      </c>
      <c r="AG953" t="str">
        <f t="shared" si="342"/>
        <v/>
      </c>
      <c r="AH953" t="str">
        <f t="shared" si="343"/>
        <v/>
      </c>
      <c r="AI953" t="str">
        <f t="shared" si="344"/>
        <v/>
      </c>
      <c r="AJ953" t="str">
        <f t="shared" si="345"/>
        <v/>
      </c>
      <c r="AK953" t="str">
        <f t="shared" si="346"/>
        <v/>
      </c>
      <c r="AL953" t="str">
        <f t="shared" si="347"/>
        <v/>
      </c>
      <c r="AM953" t="str">
        <f t="shared" si="348"/>
        <v/>
      </c>
      <c r="AN953" t="str">
        <f t="shared" si="349"/>
        <v/>
      </c>
      <c r="AO953" t="str">
        <f t="shared" si="350"/>
        <v/>
      </c>
      <c r="AP953">
        <f t="shared" si="351"/>
        <v>1</v>
      </c>
      <c r="AQ953" t="str">
        <f>IF(SAISIE!$F958="","",SAISIE!$Y958)</f>
        <v/>
      </c>
      <c r="AR953" t="str">
        <f>IF(OR(SAISIE!$U$4="",SAISIE!$W$4=""),"",IF(AND($A953=SAISIE!$U$4,$B953=SAISIE!$W$4,$C953="S1"),COUNTIFS($A$2:$A953,SAISIE!$U$4,$B$2:$B953,SAISIE!$W$4,$C$2:$C953,"S1"),""))</f>
        <v/>
      </c>
      <c r="AS953" t="str">
        <f t="shared" si="352"/>
        <v/>
      </c>
      <c r="AT953" t="str">
        <f t="shared" si="353"/>
        <v/>
      </c>
      <c r="AU953" t="str">
        <f t="shared" si="354"/>
        <v/>
      </c>
      <c r="AV953">
        <f>N(AV952)+IF(AND($AB953&lt;&gt;"",OR('PROFIL ELEVE'!$K$4="(Tous)",$AF953='PROFIL ELEVE'!$K$4)),1,0)</f>
        <v>0</v>
      </c>
      <c r="AW953">
        <f>N(AW952)+IF(AND($AB953&lt;&gt;"",OR('SUIVI LONGITUDINAL'!$Q$4="(Tous)",$AF953='SUIVI LONGITUDINAL'!$Q$4)),1,0)</f>
        <v>0</v>
      </c>
      <c r="AX953">
        <f t="shared" si="355"/>
        <v>0</v>
      </c>
      <c r="AY953">
        <f t="shared" si="356"/>
        <v>0</v>
      </c>
      <c r="AZ953">
        <f t="shared" si="357"/>
        <v>0</v>
      </c>
      <c r="BA953" t="str">
        <f t="shared" si="358"/>
        <v/>
      </c>
      <c r="BB953" t="str">
        <f t="shared" si="359"/>
        <v/>
      </c>
    </row>
    <row r="954" spans="1:54" ht="14.25" customHeight="1" x14ac:dyDescent="0.3">
      <c r="A954" t="str">
        <f>IF(SAISIE!$F959="","",SAISIE!$B959)</f>
        <v/>
      </c>
      <c r="B954" t="str">
        <f>IF(SAISIE!$F959="","",SAISIE!$C959)</f>
        <v/>
      </c>
      <c r="C954" t="str">
        <f>IF(SAISIE!$F959="","",SAISIE!$D959)</f>
        <v/>
      </c>
      <c r="D954" t="str">
        <f>IF(SAISIE!$E959="","",SAISIE!$E959)</f>
        <v/>
      </c>
      <c r="E954" t="str">
        <f>IF(SAISIE!$F959="","",SAISIE!$F959)</f>
        <v/>
      </c>
      <c r="F954" t="str">
        <f>IF(SAISIE!$G959="","",SAISIE!$G959)</f>
        <v/>
      </c>
      <c r="G954" t="str">
        <f>IF(SAISIE!$H959="","",SAISIE!$H959)</f>
        <v/>
      </c>
      <c r="H954" t="str">
        <f>IF(SAISIE!$I959="","",SAISIE!$I959)</f>
        <v/>
      </c>
      <c r="I954" t="str">
        <f>IF(SAISIE!$J959="","",SAISIE!$J959)</f>
        <v/>
      </c>
      <c r="J954" t="str">
        <f>IF(SAISIE!$K959="","",SAISIE!$K959)</f>
        <v/>
      </c>
      <c r="K954" t="str">
        <f>IF(SAISIE!$L959="","",SAISIE!$L959)</f>
        <v/>
      </c>
      <c r="L954" t="str">
        <f>IF(SAISIE!$M959="","",SAISIE!$M959)</f>
        <v/>
      </c>
      <c r="M954" t="str">
        <f>IF(SAISIE!$N959="","",SAISIE!$N959)</f>
        <v/>
      </c>
      <c r="N954" t="str">
        <f>IF(SAISIE!$O959="","",SAISIE!$O959)</f>
        <v/>
      </c>
      <c r="O954" t="str">
        <f>IF(SAISIE!$P959="","",SAISIE!$P959)</f>
        <v/>
      </c>
      <c r="P954" t="str">
        <f>IF(SAISIE!$Q959="","",SAISIE!$Q959)</f>
        <v/>
      </c>
      <c r="Q954" t="str">
        <f>IF($I954="","",IF($I954&gt;PARAMETRES!$G$29,5,IF($I954&gt;PARAMETRES!$F$29,4,IF($I954&gt;PARAMETRES!$E$29,3,IF($I954&gt;PARAMETRES!$D$29,2,1)))))</f>
        <v/>
      </c>
      <c r="R954" t="str">
        <f>IF($J954="","",IF($J954&gt;PARAMETRES!$G$30,5,IF($J954&gt;PARAMETRES!$F$30,4,IF($J954&gt;PARAMETRES!$E$30,3,IF($J954&gt;PARAMETRES!$D$30,2,1)))))</f>
        <v/>
      </c>
      <c r="S954" t="str">
        <f>IF($K954="","",IF($Z954=2,IF($K954&gt;PARAMETRES!$G$31,5,IF($K954&gt;PARAMETRES!$F$31,4,IF($K954&gt;PARAMETRES!$E$31,3,IF($K954&gt;PARAMETRES!$D$31,2,1)))),IF($K954&gt;PARAMETRES!$G$32,5,IF($K954&gt;PARAMETRES!$F$32,4,IF($K954&gt;PARAMETRES!$E$32,3,IF($K954&gt;PARAMETRES!$D$32,2,1))))))</f>
        <v/>
      </c>
      <c r="T954" t="str">
        <f>IF($L954="","",IF($L954&gt;PARAMETRES!$G$33,5,IF($L954&gt;PARAMETRES!$F$33,4,IF($L954&gt;PARAMETRES!$E$33,3,IF($L954&gt;PARAMETRES!$D$33,2,1)))))</f>
        <v/>
      </c>
      <c r="U954" t="str">
        <f>IF($M954="","",IF($M954&gt;PARAMETRES!$G$34,5,IF($M954&gt;PARAMETRES!$F$34,4,IF($M954&gt;PARAMETRES!$E$34,3,IF($M954&gt;PARAMETRES!$D$34,2,1)))))</f>
        <v/>
      </c>
      <c r="V954" t="str">
        <f>IF($N954="","",IF($N954&gt;PARAMETRES!$G$35,5,IF($N954&gt;PARAMETRES!$F$35,4,IF($N954&gt;PARAMETRES!$E$35,3,IF($N954&gt;PARAMETRES!$D$35,2,1)))))</f>
        <v/>
      </c>
      <c r="W954" t="str">
        <f>IF($O954="","",IF($O954&gt;PARAMETRES!$G$36,5,IF($O954&gt;PARAMETRES!$F$36,4,IF($O954&gt;PARAMETRES!$E$36,3,IF($O954&gt;PARAMETRES!$D$36,2,1)))))</f>
        <v/>
      </c>
      <c r="X954" t="str">
        <f>IF($P954="","",IF($P954&gt;PARAMETRES!$G$37,5,IF($P954&gt;PARAMETRES!$F$37,4,IF($P954&gt;PARAMETRES!$E$37,3,IF($P954&gt;PARAMETRES!$D$37,2,1)))))</f>
        <v/>
      </c>
      <c r="Y954" t="str">
        <f t="shared" si="336"/>
        <v/>
      </c>
      <c r="Z954" t="str">
        <f>IFERROR(VLOOKUP($B954,TABLE_CYCLE,2,0),"")</f>
        <v/>
      </c>
      <c r="AA954" t="str">
        <f t="shared" si="337"/>
        <v/>
      </c>
      <c r="AB954" t="str">
        <f>IF($D954="","",IF(COUNTIF($D$2:$D954,$D954)=1,$D954,""))</f>
        <v/>
      </c>
      <c r="AC954">
        <f t="shared" si="338"/>
        <v>0</v>
      </c>
      <c r="AD954" t="str">
        <f t="shared" si="339"/>
        <v>|0</v>
      </c>
      <c r="AE954" t="str">
        <f t="shared" si="340"/>
        <v/>
      </c>
      <c r="AF954" t="str">
        <f t="shared" si="341"/>
        <v/>
      </c>
      <c r="AG954" t="str">
        <f t="shared" si="342"/>
        <v/>
      </c>
      <c r="AH954" t="str">
        <f t="shared" si="343"/>
        <v/>
      </c>
      <c r="AI954" t="str">
        <f t="shared" si="344"/>
        <v/>
      </c>
      <c r="AJ954" t="str">
        <f t="shared" si="345"/>
        <v/>
      </c>
      <c r="AK954" t="str">
        <f t="shared" si="346"/>
        <v/>
      </c>
      <c r="AL954" t="str">
        <f t="shared" si="347"/>
        <v/>
      </c>
      <c r="AM954" t="str">
        <f t="shared" si="348"/>
        <v/>
      </c>
      <c r="AN954" t="str">
        <f t="shared" si="349"/>
        <v/>
      </c>
      <c r="AO954" t="str">
        <f t="shared" si="350"/>
        <v/>
      </c>
      <c r="AP954">
        <f t="shared" si="351"/>
        <v>1</v>
      </c>
      <c r="AQ954" t="str">
        <f>IF(SAISIE!$F959="","",SAISIE!$Y959)</f>
        <v/>
      </c>
      <c r="AR954" t="str">
        <f>IF(OR(SAISIE!$U$4="",SAISIE!$W$4=""),"",IF(AND($A954=SAISIE!$U$4,$B954=SAISIE!$W$4,$C954="S1"),COUNTIFS($A$2:$A954,SAISIE!$U$4,$B$2:$B954,SAISIE!$W$4,$C$2:$C954,"S1"),""))</f>
        <v/>
      </c>
      <c r="AS954" t="str">
        <f t="shared" si="352"/>
        <v/>
      </c>
      <c r="AT954" t="str">
        <f t="shared" si="353"/>
        <v/>
      </c>
      <c r="AU954" t="str">
        <f t="shared" si="354"/>
        <v/>
      </c>
      <c r="AV954">
        <f>N(AV953)+IF(AND($AB954&lt;&gt;"",OR('PROFIL ELEVE'!$K$4="(Tous)",$AF954='PROFIL ELEVE'!$K$4)),1,0)</f>
        <v>0</v>
      </c>
      <c r="AW954">
        <f>N(AW953)+IF(AND($AB954&lt;&gt;"",OR('SUIVI LONGITUDINAL'!$Q$4="(Tous)",$AF954='SUIVI LONGITUDINAL'!$Q$4)),1,0)</f>
        <v>0</v>
      </c>
      <c r="AX954">
        <f t="shared" si="355"/>
        <v>0</v>
      </c>
      <c r="AY954">
        <f t="shared" si="356"/>
        <v>0</v>
      </c>
      <c r="AZ954">
        <f t="shared" si="357"/>
        <v>0</v>
      </c>
      <c r="BA954" t="str">
        <f t="shared" si="358"/>
        <v/>
      </c>
      <c r="BB954" t="str">
        <f t="shared" si="359"/>
        <v/>
      </c>
    </row>
    <row r="955" spans="1:54" ht="14.25" customHeight="1" x14ac:dyDescent="0.3">
      <c r="A955" t="str">
        <f>IF(SAISIE!$F960="","",SAISIE!$B960)</f>
        <v/>
      </c>
      <c r="B955" t="str">
        <f>IF(SAISIE!$F960="","",SAISIE!$C960)</f>
        <v/>
      </c>
      <c r="C955" t="str">
        <f>IF(SAISIE!$F960="","",SAISIE!$D960)</f>
        <v/>
      </c>
      <c r="D955" t="str">
        <f>IF(SAISIE!$E960="","",SAISIE!$E960)</f>
        <v/>
      </c>
      <c r="E955" t="str">
        <f>IF(SAISIE!$F960="","",SAISIE!$F960)</f>
        <v/>
      </c>
      <c r="F955" t="str">
        <f>IF(SAISIE!$G960="","",SAISIE!$G960)</f>
        <v/>
      </c>
      <c r="G955" t="str">
        <f>IF(SAISIE!$H960="","",SAISIE!$H960)</f>
        <v/>
      </c>
      <c r="H955" t="str">
        <f>IF(SAISIE!$I960="","",SAISIE!$I960)</f>
        <v/>
      </c>
      <c r="I955" t="str">
        <f>IF(SAISIE!$J960="","",SAISIE!$J960)</f>
        <v/>
      </c>
      <c r="J955" t="str">
        <f>IF(SAISIE!$K960="","",SAISIE!$K960)</f>
        <v/>
      </c>
      <c r="K955" t="str">
        <f>IF(SAISIE!$L960="","",SAISIE!$L960)</f>
        <v/>
      </c>
      <c r="L955" t="str">
        <f>IF(SAISIE!$M960="","",SAISIE!$M960)</f>
        <v/>
      </c>
      <c r="M955" t="str">
        <f>IF(SAISIE!$N960="","",SAISIE!$N960)</f>
        <v/>
      </c>
      <c r="N955" t="str">
        <f>IF(SAISIE!$O960="","",SAISIE!$O960)</f>
        <v/>
      </c>
      <c r="O955" t="str">
        <f>IF(SAISIE!$P960="","",SAISIE!$P960)</f>
        <v/>
      </c>
      <c r="P955" t="str">
        <f>IF(SAISIE!$Q960="","",SAISIE!$Q960)</f>
        <v/>
      </c>
      <c r="Q955" t="str">
        <f>IF($I955="","",IF($I955&gt;PARAMETRES!$G$29,5,IF($I955&gt;PARAMETRES!$F$29,4,IF($I955&gt;PARAMETRES!$E$29,3,IF($I955&gt;PARAMETRES!$D$29,2,1)))))</f>
        <v/>
      </c>
      <c r="R955" t="str">
        <f>IF($J955="","",IF($J955&gt;PARAMETRES!$G$30,5,IF($J955&gt;PARAMETRES!$F$30,4,IF($J955&gt;PARAMETRES!$E$30,3,IF($J955&gt;PARAMETRES!$D$30,2,1)))))</f>
        <v/>
      </c>
      <c r="S955" t="str">
        <f>IF($K955="","",IF($Z955=2,IF($K955&gt;PARAMETRES!$G$31,5,IF($K955&gt;PARAMETRES!$F$31,4,IF($K955&gt;PARAMETRES!$E$31,3,IF($K955&gt;PARAMETRES!$D$31,2,1)))),IF($K955&gt;PARAMETRES!$G$32,5,IF($K955&gt;PARAMETRES!$F$32,4,IF($K955&gt;PARAMETRES!$E$32,3,IF($K955&gt;PARAMETRES!$D$32,2,1))))))</f>
        <v/>
      </c>
      <c r="T955" t="str">
        <f>IF($L955="","",IF($L955&gt;PARAMETRES!$G$33,5,IF($L955&gt;PARAMETRES!$F$33,4,IF($L955&gt;PARAMETRES!$E$33,3,IF($L955&gt;PARAMETRES!$D$33,2,1)))))</f>
        <v/>
      </c>
      <c r="U955" t="str">
        <f>IF($M955="","",IF($M955&gt;PARAMETRES!$G$34,5,IF($M955&gt;PARAMETRES!$F$34,4,IF($M955&gt;PARAMETRES!$E$34,3,IF($M955&gt;PARAMETRES!$D$34,2,1)))))</f>
        <v/>
      </c>
      <c r="V955" t="str">
        <f>IF($N955="","",IF($N955&gt;PARAMETRES!$G$35,5,IF($N955&gt;PARAMETRES!$F$35,4,IF($N955&gt;PARAMETRES!$E$35,3,IF($N955&gt;PARAMETRES!$D$35,2,1)))))</f>
        <v/>
      </c>
      <c r="W955" t="str">
        <f>IF($O955="","",IF($O955&gt;PARAMETRES!$G$36,5,IF($O955&gt;PARAMETRES!$F$36,4,IF($O955&gt;PARAMETRES!$E$36,3,IF($O955&gt;PARAMETRES!$D$36,2,1)))))</f>
        <v/>
      </c>
      <c r="X955" t="str">
        <f>IF($P955="","",IF($P955&gt;PARAMETRES!$G$37,5,IF($P955&gt;PARAMETRES!$F$37,4,IF($P955&gt;PARAMETRES!$E$37,3,IF($P955&gt;PARAMETRES!$D$37,2,1)))))</f>
        <v/>
      </c>
      <c r="Y955" t="str">
        <f t="shared" si="336"/>
        <v/>
      </c>
      <c r="Z955" t="str">
        <f>IFERROR(VLOOKUP($B955,TABLE_CYCLE,2,0),"")</f>
        <v/>
      </c>
      <c r="AA955" t="str">
        <f t="shared" si="337"/>
        <v/>
      </c>
      <c r="AB955" t="str">
        <f>IF($D955="","",IF(COUNTIF($D$2:$D955,$D955)=1,$D955,""))</f>
        <v/>
      </c>
      <c r="AC955">
        <f t="shared" si="338"/>
        <v>0</v>
      </c>
      <c r="AD955" t="str">
        <f t="shared" si="339"/>
        <v>|0</v>
      </c>
      <c r="AE955" t="str">
        <f t="shared" si="340"/>
        <v/>
      </c>
      <c r="AF955" t="str">
        <f t="shared" si="341"/>
        <v/>
      </c>
      <c r="AG955" t="str">
        <f t="shared" si="342"/>
        <v/>
      </c>
      <c r="AH955" t="str">
        <f t="shared" si="343"/>
        <v/>
      </c>
      <c r="AI955" t="str">
        <f t="shared" si="344"/>
        <v/>
      </c>
      <c r="AJ955" t="str">
        <f t="shared" si="345"/>
        <v/>
      </c>
      <c r="AK955" t="str">
        <f t="shared" si="346"/>
        <v/>
      </c>
      <c r="AL955" t="str">
        <f t="shared" si="347"/>
        <v/>
      </c>
      <c r="AM955" t="str">
        <f t="shared" si="348"/>
        <v/>
      </c>
      <c r="AN955" t="str">
        <f t="shared" si="349"/>
        <v/>
      </c>
      <c r="AO955" t="str">
        <f t="shared" si="350"/>
        <v/>
      </c>
      <c r="AP955">
        <f t="shared" si="351"/>
        <v>1</v>
      </c>
      <c r="AQ955" t="str">
        <f>IF(SAISIE!$F960="","",SAISIE!$Y960)</f>
        <v/>
      </c>
      <c r="AR955" t="str">
        <f>IF(OR(SAISIE!$U$4="",SAISIE!$W$4=""),"",IF(AND($A955=SAISIE!$U$4,$B955=SAISIE!$W$4,$C955="S1"),COUNTIFS($A$2:$A955,SAISIE!$U$4,$B$2:$B955,SAISIE!$W$4,$C$2:$C955,"S1"),""))</f>
        <v/>
      </c>
      <c r="AS955" t="str">
        <f t="shared" si="352"/>
        <v/>
      </c>
      <c r="AT955" t="str">
        <f t="shared" si="353"/>
        <v/>
      </c>
      <c r="AU955" t="str">
        <f t="shared" si="354"/>
        <v/>
      </c>
      <c r="AV955">
        <f>N(AV954)+IF(AND($AB955&lt;&gt;"",OR('PROFIL ELEVE'!$K$4="(Tous)",$AF955='PROFIL ELEVE'!$K$4)),1,0)</f>
        <v>0</v>
      </c>
      <c r="AW955">
        <f>N(AW954)+IF(AND($AB955&lt;&gt;"",OR('SUIVI LONGITUDINAL'!$Q$4="(Tous)",$AF955='SUIVI LONGITUDINAL'!$Q$4)),1,0)</f>
        <v>0</v>
      </c>
      <c r="AX955">
        <f t="shared" si="355"/>
        <v>0</v>
      </c>
      <c r="AY955">
        <f t="shared" si="356"/>
        <v>0</v>
      </c>
      <c r="AZ955">
        <f t="shared" si="357"/>
        <v>0</v>
      </c>
      <c r="BA955" t="str">
        <f t="shared" si="358"/>
        <v/>
      </c>
      <c r="BB955" t="str">
        <f t="shared" si="359"/>
        <v/>
      </c>
    </row>
    <row r="956" spans="1:54" ht="14.25" customHeight="1" x14ac:dyDescent="0.3">
      <c r="A956" t="str">
        <f>IF(SAISIE!$F961="","",SAISIE!$B961)</f>
        <v/>
      </c>
      <c r="B956" t="str">
        <f>IF(SAISIE!$F961="","",SAISIE!$C961)</f>
        <v/>
      </c>
      <c r="C956" t="str">
        <f>IF(SAISIE!$F961="","",SAISIE!$D961)</f>
        <v/>
      </c>
      <c r="D956" t="str">
        <f>IF(SAISIE!$E961="","",SAISIE!$E961)</f>
        <v/>
      </c>
      <c r="E956" t="str">
        <f>IF(SAISIE!$F961="","",SAISIE!$F961)</f>
        <v/>
      </c>
      <c r="F956" t="str">
        <f>IF(SAISIE!$G961="","",SAISIE!$G961)</f>
        <v/>
      </c>
      <c r="G956" t="str">
        <f>IF(SAISIE!$H961="","",SAISIE!$H961)</f>
        <v/>
      </c>
      <c r="H956" t="str">
        <f>IF(SAISIE!$I961="","",SAISIE!$I961)</f>
        <v/>
      </c>
      <c r="I956" t="str">
        <f>IF(SAISIE!$J961="","",SAISIE!$J961)</f>
        <v/>
      </c>
      <c r="J956" t="str">
        <f>IF(SAISIE!$K961="","",SAISIE!$K961)</f>
        <v/>
      </c>
      <c r="K956" t="str">
        <f>IF(SAISIE!$L961="","",SAISIE!$L961)</f>
        <v/>
      </c>
      <c r="L956" t="str">
        <f>IF(SAISIE!$M961="","",SAISIE!$M961)</f>
        <v/>
      </c>
      <c r="M956" t="str">
        <f>IF(SAISIE!$N961="","",SAISIE!$N961)</f>
        <v/>
      </c>
      <c r="N956" t="str">
        <f>IF(SAISIE!$O961="","",SAISIE!$O961)</f>
        <v/>
      </c>
      <c r="O956" t="str">
        <f>IF(SAISIE!$P961="","",SAISIE!$P961)</f>
        <v/>
      </c>
      <c r="P956" t="str">
        <f>IF(SAISIE!$Q961="","",SAISIE!$Q961)</f>
        <v/>
      </c>
      <c r="Q956" t="str">
        <f>IF($I956="","",IF($I956&gt;PARAMETRES!$G$29,5,IF($I956&gt;PARAMETRES!$F$29,4,IF($I956&gt;PARAMETRES!$E$29,3,IF($I956&gt;PARAMETRES!$D$29,2,1)))))</f>
        <v/>
      </c>
      <c r="R956" t="str">
        <f>IF($J956="","",IF($J956&gt;PARAMETRES!$G$30,5,IF($J956&gt;PARAMETRES!$F$30,4,IF($J956&gt;PARAMETRES!$E$30,3,IF($J956&gt;PARAMETRES!$D$30,2,1)))))</f>
        <v/>
      </c>
      <c r="S956" t="str">
        <f>IF($K956="","",IF($Z956=2,IF($K956&gt;PARAMETRES!$G$31,5,IF($K956&gt;PARAMETRES!$F$31,4,IF($K956&gt;PARAMETRES!$E$31,3,IF($K956&gt;PARAMETRES!$D$31,2,1)))),IF($K956&gt;PARAMETRES!$G$32,5,IF($K956&gt;PARAMETRES!$F$32,4,IF($K956&gt;PARAMETRES!$E$32,3,IF($K956&gt;PARAMETRES!$D$32,2,1))))))</f>
        <v/>
      </c>
      <c r="T956" t="str">
        <f>IF($L956="","",IF($L956&gt;PARAMETRES!$G$33,5,IF($L956&gt;PARAMETRES!$F$33,4,IF($L956&gt;PARAMETRES!$E$33,3,IF($L956&gt;PARAMETRES!$D$33,2,1)))))</f>
        <v/>
      </c>
      <c r="U956" t="str">
        <f>IF($M956="","",IF($M956&gt;PARAMETRES!$G$34,5,IF($M956&gt;PARAMETRES!$F$34,4,IF($M956&gt;PARAMETRES!$E$34,3,IF($M956&gt;PARAMETRES!$D$34,2,1)))))</f>
        <v/>
      </c>
      <c r="V956" t="str">
        <f>IF($N956="","",IF($N956&gt;PARAMETRES!$G$35,5,IF($N956&gt;PARAMETRES!$F$35,4,IF($N956&gt;PARAMETRES!$E$35,3,IF($N956&gt;PARAMETRES!$D$35,2,1)))))</f>
        <v/>
      </c>
      <c r="W956" t="str">
        <f>IF($O956="","",IF($O956&gt;PARAMETRES!$G$36,5,IF($O956&gt;PARAMETRES!$F$36,4,IF($O956&gt;PARAMETRES!$E$36,3,IF($O956&gt;PARAMETRES!$D$36,2,1)))))</f>
        <v/>
      </c>
      <c r="X956" t="str">
        <f>IF($P956="","",IF($P956&gt;PARAMETRES!$G$37,5,IF($P956&gt;PARAMETRES!$F$37,4,IF($P956&gt;PARAMETRES!$E$37,3,IF($P956&gt;PARAMETRES!$D$37,2,1)))))</f>
        <v/>
      </c>
      <c r="Y956" t="str">
        <f t="shared" si="336"/>
        <v/>
      </c>
      <c r="Z956" t="str">
        <f>IFERROR(VLOOKUP($B956,TABLE_CYCLE,2,0),"")</f>
        <v/>
      </c>
      <c r="AA956" t="str">
        <f t="shared" si="337"/>
        <v/>
      </c>
      <c r="AB956" t="str">
        <f>IF($D956="","",IF(COUNTIF($D$2:$D956,$D956)=1,$D956,""))</f>
        <v/>
      </c>
      <c r="AC956">
        <f t="shared" si="338"/>
        <v>0</v>
      </c>
      <c r="AD956" t="str">
        <f t="shared" si="339"/>
        <v>|0</v>
      </c>
      <c r="AE956" t="str">
        <f t="shared" si="340"/>
        <v/>
      </c>
      <c r="AF956" t="str">
        <f t="shared" si="341"/>
        <v/>
      </c>
      <c r="AG956" t="str">
        <f t="shared" si="342"/>
        <v/>
      </c>
      <c r="AH956" t="str">
        <f t="shared" si="343"/>
        <v/>
      </c>
      <c r="AI956" t="str">
        <f t="shared" si="344"/>
        <v/>
      </c>
      <c r="AJ956" t="str">
        <f t="shared" si="345"/>
        <v/>
      </c>
      <c r="AK956" t="str">
        <f t="shared" si="346"/>
        <v/>
      </c>
      <c r="AL956" t="str">
        <f t="shared" si="347"/>
        <v/>
      </c>
      <c r="AM956" t="str">
        <f t="shared" si="348"/>
        <v/>
      </c>
      <c r="AN956" t="str">
        <f t="shared" si="349"/>
        <v/>
      </c>
      <c r="AO956" t="str">
        <f t="shared" si="350"/>
        <v/>
      </c>
      <c r="AP956">
        <f t="shared" si="351"/>
        <v>1</v>
      </c>
      <c r="AQ956" t="str">
        <f>IF(SAISIE!$F961="","",SAISIE!$Y961)</f>
        <v/>
      </c>
      <c r="AR956" t="str">
        <f>IF(OR(SAISIE!$U$4="",SAISIE!$W$4=""),"",IF(AND($A956=SAISIE!$U$4,$B956=SAISIE!$W$4,$C956="S1"),COUNTIFS($A$2:$A956,SAISIE!$U$4,$B$2:$B956,SAISIE!$W$4,$C$2:$C956,"S1"),""))</f>
        <v/>
      </c>
      <c r="AS956" t="str">
        <f t="shared" si="352"/>
        <v/>
      </c>
      <c r="AT956" t="str">
        <f t="shared" si="353"/>
        <v/>
      </c>
      <c r="AU956" t="str">
        <f t="shared" si="354"/>
        <v/>
      </c>
      <c r="AV956">
        <f>N(AV955)+IF(AND($AB956&lt;&gt;"",OR('PROFIL ELEVE'!$K$4="(Tous)",$AF956='PROFIL ELEVE'!$K$4)),1,0)</f>
        <v>0</v>
      </c>
      <c r="AW956">
        <f>N(AW955)+IF(AND($AB956&lt;&gt;"",OR('SUIVI LONGITUDINAL'!$Q$4="(Tous)",$AF956='SUIVI LONGITUDINAL'!$Q$4)),1,0)</f>
        <v>0</v>
      </c>
      <c r="AX956">
        <f t="shared" si="355"/>
        <v>0</v>
      </c>
      <c r="AY956">
        <f t="shared" si="356"/>
        <v>0</v>
      </c>
      <c r="AZ956">
        <f t="shared" si="357"/>
        <v>0</v>
      </c>
      <c r="BA956" t="str">
        <f t="shared" si="358"/>
        <v/>
      </c>
      <c r="BB956" t="str">
        <f t="shared" si="359"/>
        <v/>
      </c>
    </row>
    <row r="957" spans="1:54" ht="14.25" customHeight="1" x14ac:dyDescent="0.3">
      <c r="A957" t="str">
        <f>IF(SAISIE!$F962="","",SAISIE!$B962)</f>
        <v/>
      </c>
      <c r="B957" t="str">
        <f>IF(SAISIE!$F962="","",SAISIE!$C962)</f>
        <v/>
      </c>
      <c r="C957" t="str">
        <f>IF(SAISIE!$F962="","",SAISIE!$D962)</f>
        <v/>
      </c>
      <c r="D957" t="str">
        <f>IF(SAISIE!$E962="","",SAISIE!$E962)</f>
        <v/>
      </c>
      <c r="E957" t="str">
        <f>IF(SAISIE!$F962="","",SAISIE!$F962)</f>
        <v/>
      </c>
      <c r="F957" t="str">
        <f>IF(SAISIE!$G962="","",SAISIE!$G962)</f>
        <v/>
      </c>
      <c r="G957" t="str">
        <f>IF(SAISIE!$H962="","",SAISIE!$H962)</f>
        <v/>
      </c>
      <c r="H957" t="str">
        <f>IF(SAISIE!$I962="","",SAISIE!$I962)</f>
        <v/>
      </c>
      <c r="I957" t="str">
        <f>IF(SAISIE!$J962="","",SAISIE!$J962)</f>
        <v/>
      </c>
      <c r="J957" t="str">
        <f>IF(SAISIE!$K962="","",SAISIE!$K962)</f>
        <v/>
      </c>
      <c r="K957" t="str">
        <f>IF(SAISIE!$L962="","",SAISIE!$L962)</f>
        <v/>
      </c>
      <c r="L957" t="str">
        <f>IF(SAISIE!$M962="","",SAISIE!$M962)</f>
        <v/>
      </c>
      <c r="M957" t="str">
        <f>IF(SAISIE!$N962="","",SAISIE!$N962)</f>
        <v/>
      </c>
      <c r="N957" t="str">
        <f>IF(SAISIE!$O962="","",SAISIE!$O962)</f>
        <v/>
      </c>
      <c r="O957" t="str">
        <f>IF(SAISIE!$P962="","",SAISIE!$P962)</f>
        <v/>
      </c>
      <c r="P957" t="str">
        <f>IF(SAISIE!$Q962="","",SAISIE!$Q962)</f>
        <v/>
      </c>
      <c r="Q957" t="str">
        <f>IF($I957="","",IF($I957&gt;PARAMETRES!$G$29,5,IF($I957&gt;PARAMETRES!$F$29,4,IF($I957&gt;PARAMETRES!$E$29,3,IF($I957&gt;PARAMETRES!$D$29,2,1)))))</f>
        <v/>
      </c>
      <c r="R957" t="str">
        <f>IF($J957="","",IF($J957&gt;PARAMETRES!$G$30,5,IF($J957&gt;PARAMETRES!$F$30,4,IF($J957&gt;PARAMETRES!$E$30,3,IF($J957&gt;PARAMETRES!$D$30,2,1)))))</f>
        <v/>
      </c>
      <c r="S957" t="str">
        <f>IF($K957="","",IF($Z957=2,IF($K957&gt;PARAMETRES!$G$31,5,IF($K957&gt;PARAMETRES!$F$31,4,IF($K957&gt;PARAMETRES!$E$31,3,IF($K957&gt;PARAMETRES!$D$31,2,1)))),IF($K957&gt;PARAMETRES!$G$32,5,IF($K957&gt;PARAMETRES!$F$32,4,IF($K957&gt;PARAMETRES!$E$32,3,IF($K957&gt;PARAMETRES!$D$32,2,1))))))</f>
        <v/>
      </c>
      <c r="T957" t="str">
        <f>IF($L957="","",IF($L957&gt;PARAMETRES!$G$33,5,IF($L957&gt;PARAMETRES!$F$33,4,IF($L957&gt;PARAMETRES!$E$33,3,IF($L957&gt;PARAMETRES!$D$33,2,1)))))</f>
        <v/>
      </c>
      <c r="U957" t="str">
        <f>IF($M957="","",IF($M957&gt;PARAMETRES!$G$34,5,IF($M957&gt;PARAMETRES!$F$34,4,IF($M957&gt;PARAMETRES!$E$34,3,IF($M957&gt;PARAMETRES!$D$34,2,1)))))</f>
        <v/>
      </c>
      <c r="V957" t="str">
        <f>IF($N957="","",IF($N957&gt;PARAMETRES!$G$35,5,IF($N957&gt;PARAMETRES!$F$35,4,IF($N957&gt;PARAMETRES!$E$35,3,IF($N957&gt;PARAMETRES!$D$35,2,1)))))</f>
        <v/>
      </c>
      <c r="W957" t="str">
        <f>IF($O957="","",IF($O957&gt;PARAMETRES!$G$36,5,IF($O957&gt;PARAMETRES!$F$36,4,IF($O957&gt;PARAMETRES!$E$36,3,IF($O957&gt;PARAMETRES!$D$36,2,1)))))</f>
        <v/>
      </c>
      <c r="X957" t="str">
        <f>IF($P957="","",IF($P957&gt;PARAMETRES!$G$37,5,IF($P957&gt;PARAMETRES!$F$37,4,IF($P957&gt;PARAMETRES!$E$37,3,IF($P957&gt;PARAMETRES!$D$37,2,1)))))</f>
        <v/>
      </c>
      <c r="Y957" t="str">
        <f t="shared" si="336"/>
        <v/>
      </c>
      <c r="Z957" t="str">
        <f>IFERROR(VLOOKUP($B957,TABLE_CYCLE,2,0),"")</f>
        <v/>
      </c>
      <c r="AA957" t="str">
        <f t="shared" si="337"/>
        <v/>
      </c>
      <c r="AB957" t="str">
        <f>IF($D957="","",IF(COUNTIF($D$2:$D957,$D957)=1,$D957,""))</f>
        <v/>
      </c>
      <c r="AC957">
        <f t="shared" si="338"/>
        <v>0</v>
      </c>
      <c r="AD957" t="str">
        <f t="shared" si="339"/>
        <v>|0</v>
      </c>
      <c r="AE957" t="str">
        <f t="shared" si="340"/>
        <v/>
      </c>
      <c r="AF957" t="str">
        <f t="shared" si="341"/>
        <v/>
      </c>
      <c r="AG957" t="str">
        <f t="shared" si="342"/>
        <v/>
      </c>
      <c r="AH957" t="str">
        <f t="shared" si="343"/>
        <v/>
      </c>
      <c r="AI957" t="str">
        <f t="shared" si="344"/>
        <v/>
      </c>
      <c r="AJ957" t="str">
        <f t="shared" si="345"/>
        <v/>
      </c>
      <c r="AK957" t="str">
        <f t="shared" si="346"/>
        <v/>
      </c>
      <c r="AL957" t="str">
        <f t="shared" si="347"/>
        <v/>
      </c>
      <c r="AM957" t="str">
        <f t="shared" si="348"/>
        <v/>
      </c>
      <c r="AN957" t="str">
        <f t="shared" si="349"/>
        <v/>
      </c>
      <c r="AO957" t="str">
        <f t="shared" si="350"/>
        <v/>
      </c>
      <c r="AP957">
        <f t="shared" si="351"/>
        <v>1</v>
      </c>
      <c r="AQ957" t="str">
        <f>IF(SAISIE!$F962="","",SAISIE!$Y962)</f>
        <v/>
      </c>
      <c r="AR957" t="str">
        <f>IF(OR(SAISIE!$U$4="",SAISIE!$W$4=""),"",IF(AND($A957=SAISIE!$U$4,$B957=SAISIE!$W$4,$C957="S1"),COUNTIFS($A$2:$A957,SAISIE!$U$4,$B$2:$B957,SAISIE!$W$4,$C$2:$C957,"S1"),""))</f>
        <v/>
      </c>
      <c r="AS957" t="str">
        <f t="shared" si="352"/>
        <v/>
      </c>
      <c r="AT957" t="str">
        <f t="shared" si="353"/>
        <v/>
      </c>
      <c r="AU957" t="str">
        <f t="shared" si="354"/>
        <v/>
      </c>
      <c r="AV957">
        <f>N(AV956)+IF(AND($AB957&lt;&gt;"",OR('PROFIL ELEVE'!$K$4="(Tous)",$AF957='PROFIL ELEVE'!$K$4)),1,0)</f>
        <v>0</v>
      </c>
      <c r="AW957">
        <f>N(AW956)+IF(AND($AB957&lt;&gt;"",OR('SUIVI LONGITUDINAL'!$Q$4="(Tous)",$AF957='SUIVI LONGITUDINAL'!$Q$4)),1,0)</f>
        <v>0</v>
      </c>
      <c r="AX957">
        <f t="shared" si="355"/>
        <v>0</v>
      </c>
      <c r="AY957">
        <f t="shared" si="356"/>
        <v>0</v>
      </c>
      <c r="AZ957">
        <f t="shared" si="357"/>
        <v>0</v>
      </c>
      <c r="BA957" t="str">
        <f t="shared" si="358"/>
        <v/>
      </c>
      <c r="BB957" t="str">
        <f t="shared" si="359"/>
        <v/>
      </c>
    </row>
    <row r="958" spans="1:54" ht="14.25" customHeight="1" x14ac:dyDescent="0.3">
      <c r="A958" t="str">
        <f>IF(SAISIE!$F963="","",SAISIE!$B963)</f>
        <v/>
      </c>
      <c r="B958" t="str">
        <f>IF(SAISIE!$F963="","",SAISIE!$C963)</f>
        <v/>
      </c>
      <c r="C958" t="str">
        <f>IF(SAISIE!$F963="","",SAISIE!$D963)</f>
        <v/>
      </c>
      <c r="D958" t="str">
        <f>IF(SAISIE!$E963="","",SAISIE!$E963)</f>
        <v/>
      </c>
      <c r="E958" t="str">
        <f>IF(SAISIE!$F963="","",SAISIE!$F963)</f>
        <v/>
      </c>
      <c r="F958" t="str">
        <f>IF(SAISIE!$G963="","",SAISIE!$G963)</f>
        <v/>
      </c>
      <c r="G958" t="str">
        <f>IF(SAISIE!$H963="","",SAISIE!$H963)</f>
        <v/>
      </c>
      <c r="H958" t="str">
        <f>IF(SAISIE!$I963="","",SAISIE!$I963)</f>
        <v/>
      </c>
      <c r="I958" t="str">
        <f>IF(SAISIE!$J963="","",SAISIE!$J963)</f>
        <v/>
      </c>
      <c r="J958" t="str">
        <f>IF(SAISIE!$K963="","",SAISIE!$K963)</f>
        <v/>
      </c>
      <c r="K958" t="str">
        <f>IF(SAISIE!$L963="","",SAISIE!$L963)</f>
        <v/>
      </c>
      <c r="L958" t="str">
        <f>IF(SAISIE!$M963="","",SAISIE!$M963)</f>
        <v/>
      </c>
      <c r="M958" t="str">
        <f>IF(SAISIE!$N963="","",SAISIE!$N963)</f>
        <v/>
      </c>
      <c r="N958" t="str">
        <f>IF(SAISIE!$O963="","",SAISIE!$O963)</f>
        <v/>
      </c>
      <c r="O958" t="str">
        <f>IF(SAISIE!$P963="","",SAISIE!$P963)</f>
        <v/>
      </c>
      <c r="P958" t="str">
        <f>IF(SAISIE!$Q963="","",SAISIE!$Q963)</f>
        <v/>
      </c>
      <c r="Q958" t="str">
        <f>IF($I958="","",IF($I958&gt;PARAMETRES!$G$29,5,IF($I958&gt;PARAMETRES!$F$29,4,IF($I958&gt;PARAMETRES!$E$29,3,IF($I958&gt;PARAMETRES!$D$29,2,1)))))</f>
        <v/>
      </c>
      <c r="R958" t="str">
        <f>IF($J958="","",IF($J958&gt;PARAMETRES!$G$30,5,IF($J958&gt;PARAMETRES!$F$30,4,IF($J958&gt;PARAMETRES!$E$30,3,IF($J958&gt;PARAMETRES!$D$30,2,1)))))</f>
        <v/>
      </c>
      <c r="S958" t="str">
        <f>IF($K958="","",IF($Z958=2,IF($K958&gt;PARAMETRES!$G$31,5,IF($K958&gt;PARAMETRES!$F$31,4,IF($K958&gt;PARAMETRES!$E$31,3,IF($K958&gt;PARAMETRES!$D$31,2,1)))),IF($K958&gt;PARAMETRES!$G$32,5,IF($K958&gt;PARAMETRES!$F$32,4,IF($K958&gt;PARAMETRES!$E$32,3,IF($K958&gt;PARAMETRES!$D$32,2,1))))))</f>
        <v/>
      </c>
      <c r="T958" t="str">
        <f>IF($L958="","",IF($L958&gt;PARAMETRES!$G$33,5,IF($L958&gt;PARAMETRES!$F$33,4,IF($L958&gt;PARAMETRES!$E$33,3,IF($L958&gt;PARAMETRES!$D$33,2,1)))))</f>
        <v/>
      </c>
      <c r="U958" t="str">
        <f>IF($M958="","",IF($M958&gt;PARAMETRES!$G$34,5,IF($M958&gt;PARAMETRES!$F$34,4,IF($M958&gt;PARAMETRES!$E$34,3,IF($M958&gt;PARAMETRES!$D$34,2,1)))))</f>
        <v/>
      </c>
      <c r="V958" t="str">
        <f>IF($N958="","",IF($N958&gt;PARAMETRES!$G$35,5,IF($N958&gt;PARAMETRES!$F$35,4,IF($N958&gt;PARAMETRES!$E$35,3,IF($N958&gt;PARAMETRES!$D$35,2,1)))))</f>
        <v/>
      </c>
      <c r="W958" t="str">
        <f>IF($O958="","",IF($O958&gt;PARAMETRES!$G$36,5,IF($O958&gt;PARAMETRES!$F$36,4,IF($O958&gt;PARAMETRES!$E$36,3,IF($O958&gt;PARAMETRES!$D$36,2,1)))))</f>
        <v/>
      </c>
      <c r="X958" t="str">
        <f>IF($P958="","",IF($P958&gt;PARAMETRES!$G$37,5,IF($P958&gt;PARAMETRES!$F$37,4,IF($P958&gt;PARAMETRES!$E$37,3,IF($P958&gt;PARAMETRES!$D$37,2,1)))))</f>
        <v/>
      </c>
      <c r="Y958" t="str">
        <f t="shared" si="336"/>
        <v/>
      </c>
      <c r="Z958" t="str">
        <f>IFERROR(VLOOKUP($B958,TABLE_CYCLE,2,0),"")</f>
        <v/>
      </c>
      <c r="AA958" t="str">
        <f t="shared" si="337"/>
        <v/>
      </c>
      <c r="AB958" t="str">
        <f>IF($D958="","",IF(COUNTIF($D$2:$D958,$D958)=1,$D958,""))</f>
        <v/>
      </c>
      <c r="AC958">
        <f t="shared" si="338"/>
        <v>0</v>
      </c>
      <c r="AD958" t="str">
        <f t="shared" si="339"/>
        <v>|0</v>
      </c>
      <c r="AE958" t="str">
        <f t="shared" si="340"/>
        <v/>
      </c>
      <c r="AF958" t="str">
        <f t="shared" si="341"/>
        <v/>
      </c>
      <c r="AG958" t="str">
        <f t="shared" si="342"/>
        <v/>
      </c>
      <c r="AH958" t="str">
        <f t="shared" si="343"/>
        <v/>
      </c>
      <c r="AI958" t="str">
        <f t="shared" si="344"/>
        <v/>
      </c>
      <c r="AJ958" t="str">
        <f t="shared" si="345"/>
        <v/>
      </c>
      <c r="AK958" t="str">
        <f t="shared" si="346"/>
        <v/>
      </c>
      <c r="AL958" t="str">
        <f t="shared" si="347"/>
        <v/>
      </c>
      <c r="AM958" t="str">
        <f t="shared" si="348"/>
        <v/>
      </c>
      <c r="AN958" t="str">
        <f t="shared" si="349"/>
        <v/>
      </c>
      <c r="AO958" t="str">
        <f t="shared" si="350"/>
        <v/>
      </c>
      <c r="AP958">
        <f t="shared" si="351"/>
        <v>1</v>
      </c>
      <c r="AQ958" t="str">
        <f>IF(SAISIE!$F963="","",SAISIE!$Y963)</f>
        <v/>
      </c>
      <c r="AR958" t="str">
        <f>IF(OR(SAISIE!$U$4="",SAISIE!$W$4=""),"",IF(AND($A958=SAISIE!$U$4,$B958=SAISIE!$W$4,$C958="S1"),COUNTIFS($A$2:$A958,SAISIE!$U$4,$B$2:$B958,SAISIE!$W$4,$C$2:$C958,"S1"),""))</f>
        <v/>
      </c>
      <c r="AS958" t="str">
        <f t="shared" si="352"/>
        <v/>
      </c>
      <c r="AT958" t="str">
        <f t="shared" si="353"/>
        <v/>
      </c>
      <c r="AU958" t="str">
        <f t="shared" si="354"/>
        <v/>
      </c>
      <c r="AV958">
        <f>N(AV957)+IF(AND($AB958&lt;&gt;"",OR('PROFIL ELEVE'!$K$4="(Tous)",$AF958='PROFIL ELEVE'!$K$4)),1,0)</f>
        <v>0</v>
      </c>
      <c r="AW958">
        <f>N(AW957)+IF(AND($AB958&lt;&gt;"",OR('SUIVI LONGITUDINAL'!$Q$4="(Tous)",$AF958='SUIVI LONGITUDINAL'!$Q$4)),1,0)</f>
        <v>0</v>
      </c>
      <c r="AX958">
        <f t="shared" si="355"/>
        <v>0</v>
      </c>
      <c r="AY958">
        <f t="shared" si="356"/>
        <v>0</v>
      </c>
      <c r="AZ958">
        <f t="shared" si="357"/>
        <v>0</v>
      </c>
      <c r="BA958" t="str">
        <f t="shared" si="358"/>
        <v/>
      </c>
      <c r="BB958" t="str">
        <f t="shared" si="359"/>
        <v/>
      </c>
    </row>
    <row r="959" spans="1:54" ht="14.25" customHeight="1" x14ac:dyDescent="0.3">
      <c r="A959" t="str">
        <f>IF(SAISIE!$F964="","",SAISIE!$B964)</f>
        <v/>
      </c>
      <c r="B959" t="str">
        <f>IF(SAISIE!$F964="","",SAISIE!$C964)</f>
        <v/>
      </c>
      <c r="C959" t="str">
        <f>IF(SAISIE!$F964="","",SAISIE!$D964)</f>
        <v/>
      </c>
      <c r="D959" t="str">
        <f>IF(SAISIE!$E964="","",SAISIE!$E964)</f>
        <v/>
      </c>
      <c r="E959" t="str">
        <f>IF(SAISIE!$F964="","",SAISIE!$F964)</f>
        <v/>
      </c>
      <c r="F959" t="str">
        <f>IF(SAISIE!$G964="","",SAISIE!$G964)</f>
        <v/>
      </c>
      <c r="G959" t="str">
        <f>IF(SAISIE!$H964="","",SAISIE!$H964)</f>
        <v/>
      </c>
      <c r="H959" t="str">
        <f>IF(SAISIE!$I964="","",SAISIE!$I964)</f>
        <v/>
      </c>
      <c r="I959" t="str">
        <f>IF(SAISIE!$J964="","",SAISIE!$J964)</f>
        <v/>
      </c>
      <c r="J959" t="str">
        <f>IF(SAISIE!$K964="","",SAISIE!$K964)</f>
        <v/>
      </c>
      <c r="K959" t="str">
        <f>IF(SAISIE!$L964="","",SAISIE!$L964)</f>
        <v/>
      </c>
      <c r="L959" t="str">
        <f>IF(SAISIE!$M964="","",SAISIE!$M964)</f>
        <v/>
      </c>
      <c r="M959" t="str">
        <f>IF(SAISIE!$N964="","",SAISIE!$N964)</f>
        <v/>
      </c>
      <c r="N959" t="str">
        <f>IF(SAISIE!$O964="","",SAISIE!$O964)</f>
        <v/>
      </c>
      <c r="O959" t="str">
        <f>IF(SAISIE!$P964="","",SAISIE!$P964)</f>
        <v/>
      </c>
      <c r="P959" t="str">
        <f>IF(SAISIE!$Q964="","",SAISIE!$Q964)</f>
        <v/>
      </c>
      <c r="Q959" t="str">
        <f>IF($I959="","",IF($I959&gt;PARAMETRES!$G$29,5,IF($I959&gt;PARAMETRES!$F$29,4,IF($I959&gt;PARAMETRES!$E$29,3,IF($I959&gt;PARAMETRES!$D$29,2,1)))))</f>
        <v/>
      </c>
      <c r="R959" t="str">
        <f>IF($J959="","",IF($J959&gt;PARAMETRES!$G$30,5,IF($J959&gt;PARAMETRES!$F$30,4,IF($J959&gt;PARAMETRES!$E$30,3,IF($J959&gt;PARAMETRES!$D$30,2,1)))))</f>
        <v/>
      </c>
      <c r="S959" t="str">
        <f>IF($K959="","",IF($Z959=2,IF($K959&gt;PARAMETRES!$G$31,5,IF($K959&gt;PARAMETRES!$F$31,4,IF($K959&gt;PARAMETRES!$E$31,3,IF($K959&gt;PARAMETRES!$D$31,2,1)))),IF($K959&gt;PARAMETRES!$G$32,5,IF($K959&gt;PARAMETRES!$F$32,4,IF($K959&gt;PARAMETRES!$E$32,3,IF($K959&gt;PARAMETRES!$D$32,2,1))))))</f>
        <v/>
      </c>
      <c r="T959" t="str">
        <f>IF($L959="","",IF($L959&gt;PARAMETRES!$G$33,5,IF($L959&gt;PARAMETRES!$F$33,4,IF($L959&gt;PARAMETRES!$E$33,3,IF($L959&gt;PARAMETRES!$D$33,2,1)))))</f>
        <v/>
      </c>
      <c r="U959" t="str">
        <f>IF($M959="","",IF($M959&gt;PARAMETRES!$G$34,5,IF($M959&gt;PARAMETRES!$F$34,4,IF($M959&gt;PARAMETRES!$E$34,3,IF($M959&gt;PARAMETRES!$D$34,2,1)))))</f>
        <v/>
      </c>
      <c r="V959" t="str">
        <f>IF($N959="","",IF($N959&gt;PARAMETRES!$G$35,5,IF($N959&gt;PARAMETRES!$F$35,4,IF($N959&gt;PARAMETRES!$E$35,3,IF($N959&gt;PARAMETRES!$D$35,2,1)))))</f>
        <v/>
      </c>
      <c r="W959" t="str">
        <f>IF($O959="","",IF($O959&gt;PARAMETRES!$G$36,5,IF($O959&gt;PARAMETRES!$F$36,4,IF($O959&gt;PARAMETRES!$E$36,3,IF($O959&gt;PARAMETRES!$D$36,2,1)))))</f>
        <v/>
      </c>
      <c r="X959" t="str">
        <f>IF($P959="","",IF($P959&gt;PARAMETRES!$G$37,5,IF($P959&gt;PARAMETRES!$F$37,4,IF($P959&gt;PARAMETRES!$E$37,3,IF($P959&gt;PARAMETRES!$D$37,2,1)))))</f>
        <v/>
      </c>
      <c r="Y959" t="str">
        <f t="shared" si="336"/>
        <v/>
      </c>
      <c r="Z959" t="str">
        <f>IFERROR(VLOOKUP($B959,TABLE_CYCLE,2,0),"")</f>
        <v/>
      </c>
      <c r="AA959" t="str">
        <f t="shared" si="337"/>
        <v/>
      </c>
      <c r="AB959" t="str">
        <f>IF($D959="","",IF(COUNTIF($D$2:$D959,$D959)=1,$D959,""))</f>
        <v/>
      </c>
      <c r="AC959">
        <f t="shared" si="338"/>
        <v>0</v>
      </c>
      <c r="AD959" t="str">
        <f t="shared" si="339"/>
        <v>|0</v>
      </c>
      <c r="AE959" t="str">
        <f t="shared" si="340"/>
        <v/>
      </c>
      <c r="AF959" t="str">
        <f t="shared" si="341"/>
        <v/>
      </c>
      <c r="AG959" t="str">
        <f t="shared" si="342"/>
        <v/>
      </c>
      <c r="AH959" t="str">
        <f t="shared" si="343"/>
        <v/>
      </c>
      <c r="AI959" t="str">
        <f t="shared" si="344"/>
        <v/>
      </c>
      <c r="AJ959" t="str">
        <f t="shared" si="345"/>
        <v/>
      </c>
      <c r="AK959" t="str">
        <f t="shared" si="346"/>
        <v/>
      </c>
      <c r="AL959" t="str">
        <f t="shared" si="347"/>
        <v/>
      </c>
      <c r="AM959" t="str">
        <f t="shared" si="348"/>
        <v/>
      </c>
      <c r="AN959" t="str">
        <f t="shared" si="349"/>
        <v/>
      </c>
      <c r="AO959" t="str">
        <f t="shared" si="350"/>
        <v/>
      </c>
      <c r="AP959">
        <f t="shared" si="351"/>
        <v>1</v>
      </c>
      <c r="AQ959" t="str">
        <f>IF(SAISIE!$F964="","",SAISIE!$Y964)</f>
        <v/>
      </c>
      <c r="AR959" t="str">
        <f>IF(OR(SAISIE!$U$4="",SAISIE!$W$4=""),"",IF(AND($A959=SAISIE!$U$4,$B959=SAISIE!$W$4,$C959="S1"),COUNTIFS($A$2:$A959,SAISIE!$U$4,$B$2:$B959,SAISIE!$W$4,$C$2:$C959,"S1"),""))</f>
        <v/>
      </c>
      <c r="AS959" t="str">
        <f t="shared" si="352"/>
        <v/>
      </c>
      <c r="AT959" t="str">
        <f t="shared" si="353"/>
        <v/>
      </c>
      <c r="AU959" t="str">
        <f t="shared" si="354"/>
        <v/>
      </c>
      <c r="AV959">
        <f>N(AV958)+IF(AND($AB959&lt;&gt;"",OR('PROFIL ELEVE'!$K$4="(Tous)",$AF959='PROFIL ELEVE'!$K$4)),1,0)</f>
        <v>0</v>
      </c>
      <c r="AW959">
        <f>N(AW958)+IF(AND($AB959&lt;&gt;"",OR('SUIVI LONGITUDINAL'!$Q$4="(Tous)",$AF959='SUIVI LONGITUDINAL'!$Q$4)),1,0)</f>
        <v>0</v>
      </c>
      <c r="AX959">
        <f t="shared" si="355"/>
        <v>0</v>
      </c>
      <c r="AY959">
        <f t="shared" si="356"/>
        <v>0</v>
      </c>
      <c r="AZ959">
        <f t="shared" si="357"/>
        <v>0</v>
      </c>
      <c r="BA959" t="str">
        <f t="shared" si="358"/>
        <v/>
      </c>
      <c r="BB959" t="str">
        <f t="shared" si="359"/>
        <v/>
      </c>
    </row>
    <row r="960" spans="1:54" ht="14.25" customHeight="1" x14ac:dyDescent="0.3">
      <c r="A960" t="str">
        <f>IF(SAISIE!$F965="","",SAISIE!$B965)</f>
        <v/>
      </c>
      <c r="B960" t="str">
        <f>IF(SAISIE!$F965="","",SAISIE!$C965)</f>
        <v/>
      </c>
      <c r="C960" t="str">
        <f>IF(SAISIE!$F965="","",SAISIE!$D965)</f>
        <v/>
      </c>
      <c r="D960" t="str">
        <f>IF(SAISIE!$E965="","",SAISIE!$E965)</f>
        <v/>
      </c>
      <c r="E960" t="str">
        <f>IF(SAISIE!$F965="","",SAISIE!$F965)</f>
        <v/>
      </c>
      <c r="F960" t="str">
        <f>IF(SAISIE!$G965="","",SAISIE!$G965)</f>
        <v/>
      </c>
      <c r="G960" t="str">
        <f>IF(SAISIE!$H965="","",SAISIE!$H965)</f>
        <v/>
      </c>
      <c r="H960" t="str">
        <f>IF(SAISIE!$I965="","",SAISIE!$I965)</f>
        <v/>
      </c>
      <c r="I960" t="str">
        <f>IF(SAISIE!$J965="","",SAISIE!$J965)</f>
        <v/>
      </c>
      <c r="J960" t="str">
        <f>IF(SAISIE!$K965="","",SAISIE!$K965)</f>
        <v/>
      </c>
      <c r="K960" t="str">
        <f>IF(SAISIE!$L965="","",SAISIE!$L965)</f>
        <v/>
      </c>
      <c r="L960" t="str">
        <f>IF(SAISIE!$M965="","",SAISIE!$M965)</f>
        <v/>
      </c>
      <c r="M960" t="str">
        <f>IF(SAISIE!$N965="","",SAISIE!$N965)</f>
        <v/>
      </c>
      <c r="N960" t="str">
        <f>IF(SAISIE!$O965="","",SAISIE!$O965)</f>
        <v/>
      </c>
      <c r="O960" t="str">
        <f>IF(SAISIE!$P965="","",SAISIE!$P965)</f>
        <v/>
      </c>
      <c r="P960" t="str">
        <f>IF(SAISIE!$Q965="","",SAISIE!$Q965)</f>
        <v/>
      </c>
      <c r="Q960" t="str">
        <f>IF($I960="","",IF($I960&gt;PARAMETRES!$G$29,5,IF($I960&gt;PARAMETRES!$F$29,4,IF($I960&gt;PARAMETRES!$E$29,3,IF($I960&gt;PARAMETRES!$D$29,2,1)))))</f>
        <v/>
      </c>
      <c r="R960" t="str">
        <f>IF($J960="","",IF($J960&gt;PARAMETRES!$G$30,5,IF($J960&gt;PARAMETRES!$F$30,4,IF($J960&gt;PARAMETRES!$E$30,3,IF($J960&gt;PARAMETRES!$D$30,2,1)))))</f>
        <v/>
      </c>
      <c r="S960" t="str">
        <f>IF($K960="","",IF($Z960=2,IF($K960&gt;PARAMETRES!$G$31,5,IF($K960&gt;PARAMETRES!$F$31,4,IF($K960&gt;PARAMETRES!$E$31,3,IF($K960&gt;PARAMETRES!$D$31,2,1)))),IF($K960&gt;PARAMETRES!$G$32,5,IF($K960&gt;PARAMETRES!$F$32,4,IF($K960&gt;PARAMETRES!$E$32,3,IF($K960&gt;PARAMETRES!$D$32,2,1))))))</f>
        <v/>
      </c>
      <c r="T960" t="str">
        <f>IF($L960="","",IF($L960&gt;PARAMETRES!$G$33,5,IF($L960&gt;PARAMETRES!$F$33,4,IF($L960&gt;PARAMETRES!$E$33,3,IF($L960&gt;PARAMETRES!$D$33,2,1)))))</f>
        <v/>
      </c>
      <c r="U960" t="str">
        <f>IF($M960="","",IF($M960&gt;PARAMETRES!$G$34,5,IF($M960&gt;PARAMETRES!$F$34,4,IF($M960&gt;PARAMETRES!$E$34,3,IF($M960&gt;PARAMETRES!$D$34,2,1)))))</f>
        <v/>
      </c>
      <c r="V960" t="str">
        <f>IF($N960="","",IF($N960&gt;PARAMETRES!$G$35,5,IF($N960&gt;PARAMETRES!$F$35,4,IF($N960&gt;PARAMETRES!$E$35,3,IF($N960&gt;PARAMETRES!$D$35,2,1)))))</f>
        <v/>
      </c>
      <c r="W960" t="str">
        <f>IF($O960="","",IF($O960&gt;PARAMETRES!$G$36,5,IF($O960&gt;PARAMETRES!$F$36,4,IF($O960&gt;PARAMETRES!$E$36,3,IF($O960&gt;PARAMETRES!$D$36,2,1)))))</f>
        <v/>
      </c>
      <c r="X960" t="str">
        <f>IF($P960="","",IF($P960&gt;PARAMETRES!$G$37,5,IF($P960&gt;PARAMETRES!$F$37,4,IF($P960&gt;PARAMETRES!$E$37,3,IF($P960&gt;PARAMETRES!$D$37,2,1)))))</f>
        <v/>
      </c>
      <c r="Y960" t="str">
        <f t="shared" si="336"/>
        <v/>
      </c>
      <c r="Z960" t="str">
        <f>IFERROR(VLOOKUP($B960,TABLE_CYCLE,2,0),"")</f>
        <v/>
      </c>
      <c r="AA960" t="str">
        <f t="shared" si="337"/>
        <v/>
      </c>
      <c r="AB960" t="str">
        <f>IF($D960="","",IF(COUNTIF($D$2:$D960,$D960)=1,$D960,""))</f>
        <v/>
      </c>
      <c r="AC960">
        <f t="shared" si="338"/>
        <v>0</v>
      </c>
      <c r="AD960" t="str">
        <f t="shared" si="339"/>
        <v>|0</v>
      </c>
      <c r="AE960" t="str">
        <f t="shared" si="340"/>
        <v/>
      </c>
      <c r="AF960" t="str">
        <f t="shared" si="341"/>
        <v/>
      </c>
      <c r="AG960" t="str">
        <f t="shared" si="342"/>
        <v/>
      </c>
      <c r="AH960" t="str">
        <f t="shared" si="343"/>
        <v/>
      </c>
      <c r="AI960" t="str">
        <f t="shared" si="344"/>
        <v/>
      </c>
      <c r="AJ960" t="str">
        <f t="shared" si="345"/>
        <v/>
      </c>
      <c r="AK960" t="str">
        <f t="shared" si="346"/>
        <v/>
      </c>
      <c r="AL960" t="str">
        <f t="shared" si="347"/>
        <v/>
      </c>
      <c r="AM960" t="str">
        <f t="shared" si="348"/>
        <v/>
      </c>
      <c r="AN960" t="str">
        <f t="shared" si="349"/>
        <v/>
      </c>
      <c r="AO960" t="str">
        <f t="shared" si="350"/>
        <v/>
      </c>
      <c r="AP960">
        <f t="shared" si="351"/>
        <v>1</v>
      </c>
      <c r="AQ960" t="str">
        <f>IF(SAISIE!$F965="","",SAISIE!$Y965)</f>
        <v/>
      </c>
      <c r="AR960" t="str">
        <f>IF(OR(SAISIE!$U$4="",SAISIE!$W$4=""),"",IF(AND($A960=SAISIE!$U$4,$B960=SAISIE!$W$4,$C960="S1"),COUNTIFS($A$2:$A960,SAISIE!$U$4,$B$2:$B960,SAISIE!$W$4,$C$2:$C960,"S1"),""))</f>
        <v/>
      </c>
      <c r="AS960" t="str">
        <f t="shared" si="352"/>
        <v/>
      </c>
      <c r="AT960" t="str">
        <f t="shared" si="353"/>
        <v/>
      </c>
      <c r="AU960" t="str">
        <f t="shared" si="354"/>
        <v/>
      </c>
      <c r="AV960">
        <f>N(AV959)+IF(AND($AB960&lt;&gt;"",OR('PROFIL ELEVE'!$K$4="(Tous)",$AF960='PROFIL ELEVE'!$K$4)),1,0)</f>
        <v>0</v>
      </c>
      <c r="AW960">
        <f>N(AW959)+IF(AND($AB960&lt;&gt;"",OR('SUIVI LONGITUDINAL'!$Q$4="(Tous)",$AF960='SUIVI LONGITUDINAL'!$Q$4)),1,0)</f>
        <v>0</v>
      </c>
      <c r="AX960">
        <f t="shared" si="355"/>
        <v>0</v>
      </c>
      <c r="AY960">
        <f t="shared" si="356"/>
        <v>0</v>
      </c>
      <c r="AZ960">
        <f t="shared" si="357"/>
        <v>0</v>
      </c>
      <c r="BA960" t="str">
        <f t="shared" si="358"/>
        <v/>
      </c>
      <c r="BB960" t="str">
        <f t="shared" si="359"/>
        <v/>
      </c>
    </row>
    <row r="961" spans="1:54" ht="14.25" customHeight="1" x14ac:dyDescent="0.3">
      <c r="A961" t="str">
        <f>IF(SAISIE!$F966="","",SAISIE!$B966)</f>
        <v/>
      </c>
      <c r="B961" t="str">
        <f>IF(SAISIE!$F966="","",SAISIE!$C966)</f>
        <v/>
      </c>
      <c r="C961" t="str">
        <f>IF(SAISIE!$F966="","",SAISIE!$D966)</f>
        <v/>
      </c>
      <c r="D961" t="str">
        <f>IF(SAISIE!$E966="","",SAISIE!$E966)</f>
        <v/>
      </c>
      <c r="E961" t="str">
        <f>IF(SAISIE!$F966="","",SAISIE!$F966)</f>
        <v/>
      </c>
      <c r="F961" t="str">
        <f>IF(SAISIE!$G966="","",SAISIE!$G966)</f>
        <v/>
      </c>
      <c r="G961" t="str">
        <f>IF(SAISIE!$H966="","",SAISIE!$H966)</f>
        <v/>
      </c>
      <c r="H961" t="str">
        <f>IF(SAISIE!$I966="","",SAISIE!$I966)</f>
        <v/>
      </c>
      <c r="I961" t="str">
        <f>IF(SAISIE!$J966="","",SAISIE!$J966)</f>
        <v/>
      </c>
      <c r="J961" t="str">
        <f>IF(SAISIE!$K966="","",SAISIE!$K966)</f>
        <v/>
      </c>
      <c r="K961" t="str">
        <f>IF(SAISIE!$L966="","",SAISIE!$L966)</f>
        <v/>
      </c>
      <c r="L961" t="str">
        <f>IF(SAISIE!$M966="","",SAISIE!$M966)</f>
        <v/>
      </c>
      <c r="M961" t="str">
        <f>IF(SAISIE!$N966="","",SAISIE!$N966)</f>
        <v/>
      </c>
      <c r="N961" t="str">
        <f>IF(SAISIE!$O966="","",SAISIE!$O966)</f>
        <v/>
      </c>
      <c r="O961" t="str">
        <f>IF(SAISIE!$P966="","",SAISIE!$P966)</f>
        <v/>
      </c>
      <c r="P961" t="str">
        <f>IF(SAISIE!$Q966="","",SAISIE!$Q966)</f>
        <v/>
      </c>
      <c r="Q961" t="str">
        <f>IF($I961="","",IF($I961&gt;PARAMETRES!$G$29,5,IF($I961&gt;PARAMETRES!$F$29,4,IF($I961&gt;PARAMETRES!$E$29,3,IF($I961&gt;PARAMETRES!$D$29,2,1)))))</f>
        <v/>
      </c>
      <c r="R961" t="str">
        <f>IF($J961="","",IF($J961&gt;PARAMETRES!$G$30,5,IF($J961&gt;PARAMETRES!$F$30,4,IF($J961&gt;PARAMETRES!$E$30,3,IF($J961&gt;PARAMETRES!$D$30,2,1)))))</f>
        <v/>
      </c>
      <c r="S961" t="str">
        <f>IF($K961="","",IF($Z961=2,IF($K961&gt;PARAMETRES!$G$31,5,IF($K961&gt;PARAMETRES!$F$31,4,IF($K961&gt;PARAMETRES!$E$31,3,IF($K961&gt;PARAMETRES!$D$31,2,1)))),IF($K961&gt;PARAMETRES!$G$32,5,IF($K961&gt;PARAMETRES!$F$32,4,IF($K961&gt;PARAMETRES!$E$32,3,IF($K961&gt;PARAMETRES!$D$32,2,1))))))</f>
        <v/>
      </c>
      <c r="T961" t="str">
        <f>IF($L961="","",IF($L961&gt;PARAMETRES!$G$33,5,IF($L961&gt;PARAMETRES!$F$33,4,IF($L961&gt;PARAMETRES!$E$33,3,IF($L961&gt;PARAMETRES!$D$33,2,1)))))</f>
        <v/>
      </c>
      <c r="U961" t="str">
        <f>IF($M961="","",IF($M961&gt;PARAMETRES!$G$34,5,IF($M961&gt;PARAMETRES!$F$34,4,IF($M961&gt;PARAMETRES!$E$34,3,IF($M961&gt;PARAMETRES!$D$34,2,1)))))</f>
        <v/>
      </c>
      <c r="V961" t="str">
        <f>IF($N961="","",IF($N961&gt;PARAMETRES!$G$35,5,IF($N961&gt;PARAMETRES!$F$35,4,IF($N961&gt;PARAMETRES!$E$35,3,IF($N961&gt;PARAMETRES!$D$35,2,1)))))</f>
        <v/>
      </c>
      <c r="W961" t="str">
        <f>IF($O961="","",IF($O961&gt;PARAMETRES!$G$36,5,IF($O961&gt;PARAMETRES!$F$36,4,IF($O961&gt;PARAMETRES!$E$36,3,IF($O961&gt;PARAMETRES!$D$36,2,1)))))</f>
        <v/>
      </c>
      <c r="X961" t="str">
        <f>IF($P961="","",IF($P961&gt;PARAMETRES!$G$37,5,IF($P961&gt;PARAMETRES!$F$37,4,IF($P961&gt;PARAMETRES!$E$37,3,IF($P961&gt;PARAMETRES!$D$37,2,1)))))</f>
        <v/>
      </c>
      <c r="Y961" t="str">
        <f t="shared" si="336"/>
        <v/>
      </c>
      <c r="Z961" t="str">
        <f>IFERROR(VLOOKUP($B961,TABLE_CYCLE,2,0),"")</f>
        <v/>
      </c>
      <c r="AA961" t="str">
        <f t="shared" si="337"/>
        <v/>
      </c>
      <c r="AB961" t="str">
        <f>IF($D961="","",IF(COUNTIF($D$2:$D961,$D961)=1,$D961,""))</f>
        <v/>
      </c>
      <c r="AC961">
        <f t="shared" si="338"/>
        <v>0</v>
      </c>
      <c r="AD961" t="str">
        <f t="shared" si="339"/>
        <v>|0</v>
      </c>
      <c r="AE961" t="str">
        <f t="shared" si="340"/>
        <v/>
      </c>
      <c r="AF961" t="str">
        <f t="shared" si="341"/>
        <v/>
      </c>
      <c r="AG961" t="str">
        <f t="shared" si="342"/>
        <v/>
      </c>
      <c r="AH961" t="str">
        <f t="shared" si="343"/>
        <v/>
      </c>
      <c r="AI961" t="str">
        <f t="shared" si="344"/>
        <v/>
      </c>
      <c r="AJ961" t="str">
        <f t="shared" si="345"/>
        <v/>
      </c>
      <c r="AK961" t="str">
        <f t="shared" si="346"/>
        <v/>
      </c>
      <c r="AL961" t="str">
        <f t="shared" si="347"/>
        <v/>
      </c>
      <c r="AM961" t="str">
        <f t="shared" si="348"/>
        <v/>
      </c>
      <c r="AN961" t="str">
        <f t="shared" si="349"/>
        <v/>
      </c>
      <c r="AO961" t="str">
        <f t="shared" si="350"/>
        <v/>
      </c>
      <c r="AP961">
        <f t="shared" si="351"/>
        <v>1</v>
      </c>
      <c r="AQ961" t="str">
        <f>IF(SAISIE!$F966="","",SAISIE!$Y966)</f>
        <v/>
      </c>
      <c r="AR961" t="str">
        <f>IF(OR(SAISIE!$U$4="",SAISIE!$W$4=""),"",IF(AND($A961=SAISIE!$U$4,$B961=SAISIE!$W$4,$C961="S1"),COUNTIFS($A$2:$A961,SAISIE!$U$4,$B$2:$B961,SAISIE!$W$4,$C$2:$C961,"S1"),""))</f>
        <v/>
      </c>
      <c r="AS961" t="str">
        <f t="shared" si="352"/>
        <v/>
      </c>
      <c r="AT961" t="str">
        <f t="shared" si="353"/>
        <v/>
      </c>
      <c r="AU961" t="str">
        <f t="shared" si="354"/>
        <v/>
      </c>
      <c r="AV961">
        <f>N(AV960)+IF(AND($AB961&lt;&gt;"",OR('PROFIL ELEVE'!$K$4="(Tous)",$AF961='PROFIL ELEVE'!$K$4)),1,0)</f>
        <v>0</v>
      </c>
      <c r="AW961">
        <f>N(AW960)+IF(AND($AB961&lt;&gt;"",OR('SUIVI LONGITUDINAL'!$Q$4="(Tous)",$AF961='SUIVI LONGITUDINAL'!$Q$4)),1,0)</f>
        <v>0</v>
      </c>
      <c r="AX961">
        <f t="shared" si="355"/>
        <v>0</v>
      </c>
      <c r="AY961">
        <f t="shared" si="356"/>
        <v>0</v>
      </c>
      <c r="AZ961">
        <f t="shared" si="357"/>
        <v>0</v>
      </c>
      <c r="BA961" t="str">
        <f t="shared" si="358"/>
        <v/>
      </c>
      <c r="BB961" t="str">
        <f t="shared" si="359"/>
        <v/>
      </c>
    </row>
    <row r="962" spans="1:54" ht="14.25" customHeight="1" x14ac:dyDescent="0.3">
      <c r="A962" t="str">
        <f>IF(SAISIE!$F967="","",SAISIE!$B967)</f>
        <v/>
      </c>
      <c r="B962" t="str">
        <f>IF(SAISIE!$F967="","",SAISIE!$C967)</f>
        <v/>
      </c>
      <c r="C962" t="str">
        <f>IF(SAISIE!$F967="","",SAISIE!$D967)</f>
        <v/>
      </c>
      <c r="D962" t="str">
        <f>IF(SAISIE!$E967="","",SAISIE!$E967)</f>
        <v/>
      </c>
      <c r="E962" t="str">
        <f>IF(SAISIE!$F967="","",SAISIE!$F967)</f>
        <v/>
      </c>
      <c r="F962" t="str">
        <f>IF(SAISIE!$G967="","",SAISIE!$G967)</f>
        <v/>
      </c>
      <c r="G962" t="str">
        <f>IF(SAISIE!$H967="","",SAISIE!$H967)</f>
        <v/>
      </c>
      <c r="H962" t="str">
        <f>IF(SAISIE!$I967="","",SAISIE!$I967)</f>
        <v/>
      </c>
      <c r="I962" t="str">
        <f>IF(SAISIE!$J967="","",SAISIE!$J967)</f>
        <v/>
      </c>
      <c r="J962" t="str">
        <f>IF(SAISIE!$K967="","",SAISIE!$K967)</f>
        <v/>
      </c>
      <c r="K962" t="str">
        <f>IF(SAISIE!$L967="","",SAISIE!$L967)</f>
        <v/>
      </c>
      <c r="L962" t="str">
        <f>IF(SAISIE!$M967="","",SAISIE!$M967)</f>
        <v/>
      </c>
      <c r="M962" t="str">
        <f>IF(SAISIE!$N967="","",SAISIE!$N967)</f>
        <v/>
      </c>
      <c r="N962" t="str">
        <f>IF(SAISIE!$O967="","",SAISIE!$O967)</f>
        <v/>
      </c>
      <c r="O962" t="str">
        <f>IF(SAISIE!$P967="","",SAISIE!$P967)</f>
        <v/>
      </c>
      <c r="P962" t="str">
        <f>IF(SAISIE!$Q967="","",SAISIE!$Q967)</f>
        <v/>
      </c>
      <c r="Q962" t="str">
        <f>IF($I962="","",IF($I962&gt;PARAMETRES!$G$29,5,IF($I962&gt;PARAMETRES!$F$29,4,IF($I962&gt;PARAMETRES!$E$29,3,IF($I962&gt;PARAMETRES!$D$29,2,1)))))</f>
        <v/>
      </c>
      <c r="R962" t="str">
        <f>IF($J962="","",IF($J962&gt;PARAMETRES!$G$30,5,IF($J962&gt;PARAMETRES!$F$30,4,IF($J962&gt;PARAMETRES!$E$30,3,IF($J962&gt;PARAMETRES!$D$30,2,1)))))</f>
        <v/>
      </c>
      <c r="S962" t="str">
        <f>IF($K962="","",IF($Z962=2,IF($K962&gt;PARAMETRES!$G$31,5,IF($K962&gt;PARAMETRES!$F$31,4,IF($K962&gt;PARAMETRES!$E$31,3,IF($K962&gt;PARAMETRES!$D$31,2,1)))),IF($K962&gt;PARAMETRES!$G$32,5,IF($K962&gt;PARAMETRES!$F$32,4,IF($K962&gt;PARAMETRES!$E$32,3,IF($K962&gt;PARAMETRES!$D$32,2,1))))))</f>
        <v/>
      </c>
      <c r="T962" t="str">
        <f>IF($L962="","",IF($L962&gt;PARAMETRES!$G$33,5,IF($L962&gt;PARAMETRES!$F$33,4,IF($L962&gt;PARAMETRES!$E$33,3,IF($L962&gt;PARAMETRES!$D$33,2,1)))))</f>
        <v/>
      </c>
      <c r="U962" t="str">
        <f>IF($M962="","",IF($M962&gt;PARAMETRES!$G$34,5,IF($M962&gt;PARAMETRES!$F$34,4,IF($M962&gt;PARAMETRES!$E$34,3,IF($M962&gt;PARAMETRES!$D$34,2,1)))))</f>
        <v/>
      </c>
      <c r="V962" t="str">
        <f>IF($N962="","",IF($N962&gt;PARAMETRES!$G$35,5,IF($N962&gt;PARAMETRES!$F$35,4,IF($N962&gt;PARAMETRES!$E$35,3,IF($N962&gt;PARAMETRES!$D$35,2,1)))))</f>
        <v/>
      </c>
      <c r="W962" t="str">
        <f>IF($O962="","",IF($O962&gt;PARAMETRES!$G$36,5,IF($O962&gt;PARAMETRES!$F$36,4,IF($O962&gt;PARAMETRES!$E$36,3,IF($O962&gt;PARAMETRES!$D$36,2,1)))))</f>
        <v/>
      </c>
      <c r="X962" t="str">
        <f>IF($P962="","",IF($P962&gt;PARAMETRES!$G$37,5,IF($P962&gt;PARAMETRES!$F$37,4,IF($P962&gt;PARAMETRES!$E$37,3,IF($P962&gt;PARAMETRES!$D$37,2,1)))))</f>
        <v/>
      </c>
      <c r="Y962" t="str">
        <f t="shared" ref="Y962:Y1025" si="360">IF(COUNT($Q962:$X962)=0,"",AVERAGE($Q962:$X962))</f>
        <v/>
      </c>
      <c r="Z962" t="str">
        <f>IFERROR(VLOOKUP($B962,TABLE_CYCLE,2,0),"")</f>
        <v/>
      </c>
      <c r="AA962" t="str">
        <f t="shared" ref="AA962:AA1025" si="361">IF($D962="","",$D962&amp;"|"&amp;$A962&amp;"|"&amp;$C962)</f>
        <v/>
      </c>
      <c r="AB962" t="str">
        <f>IF($D962="","",IF(COUNTIF($D$2:$D962,$D962)=1,$D962,""))</f>
        <v/>
      </c>
      <c r="AC962">
        <f t="shared" ref="AC962:AC1025" si="362">IFERROR(MATCH($A962,LISTE_ANNEES,0),0)</f>
        <v>0</v>
      </c>
      <c r="AD962" t="str">
        <f t="shared" ref="AD962:AD1025" si="363">$D962&amp;"|"&amp;$AC962</f>
        <v>|0</v>
      </c>
      <c r="AE962" t="str">
        <f t="shared" ref="AE962:AE1025" si="364">IF($D962="","",_xlfn.MAXIFS($AC$2:$AC$1201,$D$2:$D$1201,$D962))</f>
        <v/>
      </c>
      <c r="AF962" t="str">
        <f t="shared" ref="AF962:AF1025" si="365">IF($AB962="","",IFERROR(INDEX($B$2:$B$1201,MATCH($D962&amp;"|"&amp;$AE962,$AD$2:$AD$1201,0)),""))</f>
        <v/>
      </c>
      <c r="AG962" t="str">
        <f t="shared" ref="AG962:AG1025" si="366">IF($C962&lt;&gt;"S1","",IFERROR(MATCH($D962&amp;"|"&amp;$A962&amp;"|S2",$AA$2:$AA$1201,0),""))</f>
        <v/>
      </c>
      <c r="AH962" t="str">
        <f t="shared" ref="AH962:AH1025" si="367">IF(OR($AG962="",$Q962=""),"",IF(INDEX($Q$2:$Q$1201,$AG962)="","",IF(INDEX($Q$2:$Q$1201,$AG962)&gt;$Q962,1,IF(INDEX($Q$2:$Q$1201,$AG962)&lt;$Q962,-1,0))))</f>
        <v/>
      </c>
      <c r="AI962" t="str">
        <f t="shared" ref="AI962:AI1025" si="368">IF(OR($AG962="",$R962=""),"",IF(INDEX($R$2:$R$1201,$AG962)="","",IF(INDEX($R$2:$R$1201,$AG962)&gt;$R962,1,IF(INDEX($R$2:$R$1201,$AG962)&lt;$R962,-1,0))))</f>
        <v/>
      </c>
      <c r="AJ962" t="str">
        <f t="shared" ref="AJ962:AJ1025" si="369">IF(OR($AG962="",$S962=""),"",IF(INDEX($S$2:$S$1201,$AG962)="","",IF(INDEX($S$2:$S$1201,$AG962)&gt;$S962,1,IF(INDEX($S$2:$S$1201,$AG962)&lt;$S962,-1,0))))</f>
        <v/>
      </c>
      <c r="AK962" t="str">
        <f t="shared" ref="AK962:AK1025" si="370">IF(OR($AG962="",$T962=""),"",IF(INDEX($T$2:$T$1201,$AG962)="","",IF(INDEX($T$2:$T$1201,$AG962)&gt;$T962,1,IF(INDEX($T$2:$T$1201,$AG962)&lt;$T962,-1,0))))</f>
        <v/>
      </c>
      <c r="AL962" t="str">
        <f t="shared" ref="AL962:AL1025" si="371">IF(OR($AG962="",$U962=""),"",IF(INDEX($U$2:$U$1201,$AG962)="","",IF(INDEX($U$2:$U$1201,$AG962)&gt;$U962,1,IF(INDEX($U$2:$U$1201,$AG962)&lt;$U962,-1,0))))</f>
        <v/>
      </c>
      <c r="AM962" t="str">
        <f t="shared" ref="AM962:AM1025" si="372">IF(OR($AG962="",$V962=""),"",IF(INDEX($V$2:$V$1201,$AG962)="","",IF(INDEX($V$2:$V$1201,$AG962)&gt;$V962,1,IF(INDEX($V$2:$V$1201,$AG962)&lt;$V962,-1,0))))</f>
        <v/>
      </c>
      <c r="AN962" t="str">
        <f t="shared" ref="AN962:AN1025" si="373">IF(OR($AG962="",$W962=""),"",IF(INDEX($W$2:$W$1201,$AG962)="","",IF(INDEX($W$2:$W$1201,$AG962)&gt;$W962,1,IF(INDEX($W$2:$W$1201,$AG962)&lt;$W962,-1,0))))</f>
        <v/>
      </c>
      <c r="AO962" t="str">
        <f t="shared" ref="AO962:AO1025" si="374">IF(OR($AG962="",$X962=""),"",IF(INDEX($X$2:$X$1201,$AG962)="","",IF(INDEX($X$2:$X$1201,$AG962)&gt;$X962,1,IF(INDEX($X$2:$X$1201,$AG962)&lt;$X962,-1,0))))</f>
        <v/>
      </c>
      <c r="AP962">
        <f t="shared" ref="AP962:AP1025" si="375">IF($D962="",1,COUNTIFS($D$2:$D$1201,$D962,$A$2:$A$1201,$A962))</f>
        <v>1</v>
      </c>
      <c r="AQ962" t="str">
        <f>IF(SAISIE!$F967="","",SAISIE!$Y967)</f>
        <v/>
      </c>
      <c r="AR962" t="str">
        <f>IF(OR(SAISIE!$U$4="",SAISIE!$W$4=""),"",IF(AND($A962=SAISIE!$U$4,$B962=SAISIE!$W$4,$C962="S1"),COUNTIFS($A$2:$A962,SAISIE!$U$4,$B$2:$B962,SAISIE!$W$4,$C$2:$C962,"S1"),""))</f>
        <v/>
      </c>
      <c r="AS962" t="str">
        <f t="shared" ref="AS962:AS1025" si="376">IF($D962="","",$A962&amp;"|"&amp;$C962&amp;"|"&amp;$D962)</f>
        <v/>
      </c>
      <c r="AT962" t="str">
        <f t="shared" ref="AT962:AT1025" si="377">IF($D962="","",$A962&amp;"|"&amp;$D962&amp;"|"&amp;IF($AQ962="Parti","P","A"))</f>
        <v/>
      </c>
      <c r="AU962" t="str">
        <f t="shared" ref="AU962:AU1025" si="378">IF($A962="","",$A962&amp;"|"&amp;$B962&amp;"|"&amp;$C962)</f>
        <v/>
      </c>
      <c r="AV962">
        <f>N(AV961)+IF(AND($AB962&lt;&gt;"",OR('PROFIL ELEVE'!$K$4="(Tous)",$AF962='PROFIL ELEVE'!$K$4)),1,0)</f>
        <v>0</v>
      </c>
      <c r="AW962">
        <f>N(AW961)+IF(AND($AB962&lt;&gt;"",OR('SUIVI LONGITUDINAL'!$Q$4="(Tous)",$AF962='SUIVI LONGITUDINAL'!$Q$4)),1,0)</f>
        <v>0</v>
      </c>
      <c r="AX962">
        <f t="shared" ref="AX962:AX1025" si="379">COUNTIF($AH962:$AO962,1)</f>
        <v>0</v>
      </c>
      <c r="AY962">
        <f t="shared" ref="AY962:AY1025" si="380">COUNTIF($AH962:$AO962,0)</f>
        <v>0</v>
      </c>
      <c r="AZ962">
        <f t="shared" ref="AZ962:AZ1025" si="381">COUNTIF($AH962:$AO962,-1)</f>
        <v>0</v>
      </c>
      <c r="BA962" t="str">
        <f t="shared" ref="BA962:BA1025" si="382">IF($E962="","",COUNT($Q962:$X962))</f>
        <v/>
      </c>
      <c r="BB962" t="str">
        <f t="shared" ref="BB962:BB1025" si="383">IF($E962="","",IF(COUNT($Q962:$X962)&gt;=IF($Z962=2,5,8),1,0))</f>
        <v/>
      </c>
    </row>
    <row r="963" spans="1:54" ht="14.25" customHeight="1" x14ac:dyDescent="0.3">
      <c r="A963" t="str">
        <f>IF(SAISIE!$F968="","",SAISIE!$B968)</f>
        <v/>
      </c>
      <c r="B963" t="str">
        <f>IF(SAISIE!$F968="","",SAISIE!$C968)</f>
        <v/>
      </c>
      <c r="C963" t="str">
        <f>IF(SAISIE!$F968="","",SAISIE!$D968)</f>
        <v/>
      </c>
      <c r="D963" t="str">
        <f>IF(SAISIE!$E968="","",SAISIE!$E968)</f>
        <v/>
      </c>
      <c r="E963" t="str">
        <f>IF(SAISIE!$F968="","",SAISIE!$F968)</f>
        <v/>
      </c>
      <c r="F963" t="str">
        <f>IF(SAISIE!$G968="","",SAISIE!$G968)</f>
        <v/>
      </c>
      <c r="G963" t="str">
        <f>IF(SAISIE!$H968="","",SAISIE!$H968)</f>
        <v/>
      </c>
      <c r="H963" t="str">
        <f>IF(SAISIE!$I968="","",SAISIE!$I968)</f>
        <v/>
      </c>
      <c r="I963" t="str">
        <f>IF(SAISIE!$J968="","",SAISIE!$J968)</f>
        <v/>
      </c>
      <c r="J963" t="str">
        <f>IF(SAISIE!$K968="","",SAISIE!$K968)</f>
        <v/>
      </c>
      <c r="K963" t="str">
        <f>IF(SAISIE!$L968="","",SAISIE!$L968)</f>
        <v/>
      </c>
      <c r="L963" t="str">
        <f>IF(SAISIE!$M968="","",SAISIE!$M968)</f>
        <v/>
      </c>
      <c r="M963" t="str">
        <f>IF(SAISIE!$N968="","",SAISIE!$N968)</f>
        <v/>
      </c>
      <c r="N963" t="str">
        <f>IF(SAISIE!$O968="","",SAISIE!$O968)</f>
        <v/>
      </c>
      <c r="O963" t="str">
        <f>IF(SAISIE!$P968="","",SAISIE!$P968)</f>
        <v/>
      </c>
      <c r="P963" t="str">
        <f>IF(SAISIE!$Q968="","",SAISIE!$Q968)</f>
        <v/>
      </c>
      <c r="Q963" t="str">
        <f>IF($I963="","",IF($I963&gt;PARAMETRES!$G$29,5,IF($I963&gt;PARAMETRES!$F$29,4,IF($I963&gt;PARAMETRES!$E$29,3,IF($I963&gt;PARAMETRES!$D$29,2,1)))))</f>
        <v/>
      </c>
      <c r="R963" t="str">
        <f>IF($J963="","",IF($J963&gt;PARAMETRES!$G$30,5,IF($J963&gt;PARAMETRES!$F$30,4,IF($J963&gt;PARAMETRES!$E$30,3,IF($J963&gt;PARAMETRES!$D$30,2,1)))))</f>
        <v/>
      </c>
      <c r="S963" t="str">
        <f>IF($K963="","",IF($Z963=2,IF($K963&gt;PARAMETRES!$G$31,5,IF($K963&gt;PARAMETRES!$F$31,4,IF($K963&gt;PARAMETRES!$E$31,3,IF($K963&gt;PARAMETRES!$D$31,2,1)))),IF($K963&gt;PARAMETRES!$G$32,5,IF($K963&gt;PARAMETRES!$F$32,4,IF($K963&gt;PARAMETRES!$E$32,3,IF($K963&gt;PARAMETRES!$D$32,2,1))))))</f>
        <v/>
      </c>
      <c r="T963" t="str">
        <f>IF($L963="","",IF($L963&gt;PARAMETRES!$G$33,5,IF($L963&gt;PARAMETRES!$F$33,4,IF($L963&gt;PARAMETRES!$E$33,3,IF($L963&gt;PARAMETRES!$D$33,2,1)))))</f>
        <v/>
      </c>
      <c r="U963" t="str">
        <f>IF($M963="","",IF($M963&gt;PARAMETRES!$G$34,5,IF($M963&gt;PARAMETRES!$F$34,4,IF($M963&gt;PARAMETRES!$E$34,3,IF($M963&gt;PARAMETRES!$D$34,2,1)))))</f>
        <v/>
      </c>
      <c r="V963" t="str">
        <f>IF($N963="","",IF($N963&gt;PARAMETRES!$G$35,5,IF($N963&gt;PARAMETRES!$F$35,4,IF($N963&gt;PARAMETRES!$E$35,3,IF($N963&gt;PARAMETRES!$D$35,2,1)))))</f>
        <v/>
      </c>
      <c r="W963" t="str">
        <f>IF($O963="","",IF($O963&gt;PARAMETRES!$G$36,5,IF($O963&gt;PARAMETRES!$F$36,4,IF($O963&gt;PARAMETRES!$E$36,3,IF($O963&gt;PARAMETRES!$D$36,2,1)))))</f>
        <v/>
      </c>
      <c r="X963" t="str">
        <f>IF($P963="","",IF($P963&gt;PARAMETRES!$G$37,5,IF($P963&gt;PARAMETRES!$F$37,4,IF($P963&gt;PARAMETRES!$E$37,3,IF($P963&gt;PARAMETRES!$D$37,2,1)))))</f>
        <v/>
      </c>
      <c r="Y963" t="str">
        <f t="shared" si="360"/>
        <v/>
      </c>
      <c r="Z963" t="str">
        <f>IFERROR(VLOOKUP($B963,TABLE_CYCLE,2,0),"")</f>
        <v/>
      </c>
      <c r="AA963" t="str">
        <f t="shared" si="361"/>
        <v/>
      </c>
      <c r="AB963" t="str">
        <f>IF($D963="","",IF(COUNTIF($D$2:$D963,$D963)=1,$D963,""))</f>
        <v/>
      </c>
      <c r="AC963">
        <f t="shared" si="362"/>
        <v>0</v>
      </c>
      <c r="AD963" t="str">
        <f t="shared" si="363"/>
        <v>|0</v>
      </c>
      <c r="AE963" t="str">
        <f t="shared" si="364"/>
        <v/>
      </c>
      <c r="AF963" t="str">
        <f t="shared" si="365"/>
        <v/>
      </c>
      <c r="AG963" t="str">
        <f t="shared" si="366"/>
        <v/>
      </c>
      <c r="AH963" t="str">
        <f t="shared" si="367"/>
        <v/>
      </c>
      <c r="AI963" t="str">
        <f t="shared" si="368"/>
        <v/>
      </c>
      <c r="AJ963" t="str">
        <f t="shared" si="369"/>
        <v/>
      </c>
      <c r="AK963" t="str">
        <f t="shared" si="370"/>
        <v/>
      </c>
      <c r="AL963" t="str">
        <f t="shared" si="371"/>
        <v/>
      </c>
      <c r="AM963" t="str">
        <f t="shared" si="372"/>
        <v/>
      </c>
      <c r="AN963" t="str">
        <f t="shared" si="373"/>
        <v/>
      </c>
      <c r="AO963" t="str">
        <f t="shared" si="374"/>
        <v/>
      </c>
      <c r="AP963">
        <f t="shared" si="375"/>
        <v>1</v>
      </c>
      <c r="AQ963" t="str">
        <f>IF(SAISIE!$F968="","",SAISIE!$Y968)</f>
        <v/>
      </c>
      <c r="AR963" t="str">
        <f>IF(OR(SAISIE!$U$4="",SAISIE!$W$4=""),"",IF(AND($A963=SAISIE!$U$4,$B963=SAISIE!$W$4,$C963="S1"),COUNTIFS($A$2:$A963,SAISIE!$U$4,$B$2:$B963,SAISIE!$W$4,$C$2:$C963,"S1"),""))</f>
        <v/>
      </c>
      <c r="AS963" t="str">
        <f t="shared" si="376"/>
        <v/>
      </c>
      <c r="AT963" t="str">
        <f t="shared" si="377"/>
        <v/>
      </c>
      <c r="AU963" t="str">
        <f t="shared" si="378"/>
        <v/>
      </c>
      <c r="AV963">
        <f>N(AV962)+IF(AND($AB963&lt;&gt;"",OR('PROFIL ELEVE'!$K$4="(Tous)",$AF963='PROFIL ELEVE'!$K$4)),1,0)</f>
        <v>0</v>
      </c>
      <c r="AW963">
        <f>N(AW962)+IF(AND($AB963&lt;&gt;"",OR('SUIVI LONGITUDINAL'!$Q$4="(Tous)",$AF963='SUIVI LONGITUDINAL'!$Q$4)),1,0)</f>
        <v>0</v>
      </c>
      <c r="AX963">
        <f t="shared" si="379"/>
        <v>0</v>
      </c>
      <c r="AY963">
        <f t="shared" si="380"/>
        <v>0</v>
      </c>
      <c r="AZ963">
        <f t="shared" si="381"/>
        <v>0</v>
      </c>
      <c r="BA963" t="str">
        <f t="shared" si="382"/>
        <v/>
      </c>
      <c r="BB963" t="str">
        <f t="shared" si="383"/>
        <v/>
      </c>
    </row>
    <row r="964" spans="1:54" ht="14.25" customHeight="1" x14ac:dyDescent="0.3">
      <c r="A964" t="str">
        <f>IF(SAISIE!$F969="","",SAISIE!$B969)</f>
        <v/>
      </c>
      <c r="B964" t="str">
        <f>IF(SAISIE!$F969="","",SAISIE!$C969)</f>
        <v/>
      </c>
      <c r="C964" t="str">
        <f>IF(SAISIE!$F969="","",SAISIE!$D969)</f>
        <v/>
      </c>
      <c r="D964" t="str">
        <f>IF(SAISIE!$E969="","",SAISIE!$E969)</f>
        <v/>
      </c>
      <c r="E964" t="str">
        <f>IF(SAISIE!$F969="","",SAISIE!$F969)</f>
        <v/>
      </c>
      <c r="F964" t="str">
        <f>IF(SAISIE!$G969="","",SAISIE!$G969)</f>
        <v/>
      </c>
      <c r="G964" t="str">
        <f>IF(SAISIE!$H969="","",SAISIE!$H969)</f>
        <v/>
      </c>
      <c r="H964" t="str">
        <f>IF(SAISIE!$I969="","",SAISIE!$I969)</f>
        <v/>
      </c>
      <c r="I964" t="str">
        <f>IF(SAISIE!$J969="","",SAISIE!$J969)</f>
        <v/>
      </c>
      <c r="J964" t="str">
        <f>IF(SAISIE!$K969="","",SAISIE!$K969)</f>
        <v/>
      </c>
      <c r="K964" t="str">
        <f>IF(SAISIE!$L969="","",SAISIE!$L969)</f>
        <v/>
      </c>
      <c r="L964" t="str">
        <f>IF(SAISIE!$M969="","",SAISIE!$M969)</f>
        <v/>
      </c>
      <c r="M964" t="str">
        <f>IF(SAISIE!$N969="","",SAISIE!$N969)</f>
        <v/>
      </c>
      <c r="N964" t="str">
        <f>IF(SAISIE!$O969="","",SAISIE!$O969)</f>
        <v/>
      </c>
      <c r="O964" t="str">
        <f>IF(SAISIE!$P969="","",SAISIE!$P969)</f>
        <v/>
      </c>
      <c r="P964" t="str">
        <f>IF(SAISIE!$Q969="","",SAISIE!$Q969)</f>
        <v/>
      </c>
      <c r="Q964" t="str">
        <f>IF($I964="","",IF($I964&gt;PARAMETRES!$G$29,5,IF($I964&gt;PARAMETRES!$F$29,4,IF($I964&gt;PARAMETRES!$E$29,3,IF($I964&gt;PARAMETRES!$D$29,2,1)))))</f>
        <v/>
      </c>
      <c r="R964" t="str">
        <f>IF($J964="","",IF($J964&gt;PARAMETRES!$G$30,5,IF($J964&gt;PARAMETRES!$F$30,4,IF($J964&gt;PARAMETRES!$E$30,3,IF($J964&gt;PARAMETRES!$D$30,2,1)))))</f>
        <v/>
      </c>
      <c r="S964" t="str">
        <f>IF($K964="","",IF($Z964=2,IF($K964&gt;PARAMETRES!$G$31,5,IF($K964&gt;PARAMETRES!$F$31,4,IF($K964&gt;PARAMETRES!$E$31,3,IF($K964&gt;PARAMETRES!$D$31,2,1)))),IF($K964&gt;PARAMETRES!$G$32,5,IF($K964&gt;PARAMETRES!$F$32,4,IF($K964&gt;PARAMETRES!$E$32,3,IF($K964&gt;PARAMETRES!$D$32,2,1))))))</f>
        <v/>
      </c>
      <c r="T964" t="str">
        <f>IF($L964="","",IF($L964&gt;PARAMETRES!$G$33,5,IF($L964&gt;PARAMETRES!$F$33,4,IF($L964&gt;PARAMETRES!$E$33,3,IF($L964&gt;PARAMETRES!$D$33,2,1)))))</f>
        <v/>
      </c>
      <c r="U964" t="str">
        <f>IF($M964="","",IF($M964&gt;PARAMETRES!$G$34,5,IF($M964&gt;PARAMETRES!$F$34,4,IF($M964&gt;PARAMETRES!$E$34,3,IF($M964&gt;PARAMETRES!$D$34,2,1)))))</f>
        <v/>
      </c>
      <c r="V964" t="str">
        <f>IF($N964="","",IF($N964&gt;PARAMETRES!$G$35,5,IF($N964&gt;PARAMETRES!$F$35,4,IF($N964&gt;PARAMETRES!$E$35,3,IF($N964&gt;PARAMETRES!$D$35,2,1)))))</f>
        <v/>
      </c>
      <c r="W964" t="str">
        <f>IF($O964="","",IF($O964&gt;PARAMETRES!$G$36,5,IF($O964&gt;PARAMETRES!$F$36,4,IF($O964&gt;PARAMETRES!$E$36,3,IF($O964&gt;PARAMETRES!$D$36,2,1)))))</f>
        <v/>
      </c>
      <c r="X964" t="str">
        <f>IF($P964="","",IF($P964&gt;PARAMETRES!$G$37,5,IF($P964&gt;PARAMETRES!$F$37,4,IF($P964&gt;PARAMETRES!$E$37,3,IF($P964&gt;PARAMETRES!$D$37,2,1)))))</f>
        <v/>
      </c>
      <c r="Y964" t="str">
        <f t="shared" si="360"/>
        <v/>
      </c>
      <c r="Z964" t="str">
        <f>IFERROR(VLOOKUP($B964,TABLE_CYCLE,2,0),"")</f>
        <v/>
      </c>
      <c r="AA964" t="str">
        <f t="shared" si="361"/>
        <v/>
      </c>
      <c r="AB964" t="str">
        <f>IF($D964="","",IF(COUNTIF($D$2:$D964,$D964)=1,$D964,""))</f>
        <v/>
      </c>
      <c r="AC964">
        <f t="shared" si="362"/>
        <v>0</v>
      </c>
      <c r="AD964" t="str">
        <f t="shared" si="363"/>
        <v>|0</v>
      </c>
      <c r="AE964" t="str">
        <f t="shared" si="364"/>
        <v/>
      </c>
      <c r="AF964" t="str">
        <f t="shared" si="365"/>
        <v/>
      </c>
      <c r="AG964" t="str">
        <f t="shared" si="366"/>
        <v/>
      </c>
      <c r="AH964" t="str">
        <f t="shared" si="367"/>
        <v/>
      </c>
      <c r="AI964" t="str">
        <f t="shared" si="368"/>
        <v/>
      </c>
      <c r="AJ964" t="str">
        <f t="shared" si="369"/>
        <v/>
      </c>
      <c r="AK964" t="str">
        <f t="shared" si="370"/>
        <v/>
      </c>
      <c r="AL964" t="str">
        <f t="shared" si="371"/>
        <v/>
      </c>
      <c r="AM964" t="str">
        <f t="shared" si="372"/>
        <v/>
      </c>
      <c r="AN964" t="str">
        <f t="shared" si="373"/>
        <v/>
      </c>
      <c r="AO964" t="str">
        <f t="shared" si="374"/>
        <v/>
      </c>
      <c r="AP964">
        <f t="shared" si="375"/>
        <v>1</v>
      </c>
      <c r="AQ964" t="str">
        <f>IF(SAISIE!$F969="","",SAISIE!$Y969)</f>
        <v/>
      </c>
      <c r="AR964" t="str">
        <f>IF(OR(SAISIE!$U$4="",SAISIE!$W$4=""),"",IF(AND($A964=SAISIE!$U$4,$B964=SAISIE!$W$4,$C964="S1"),COUNTIFS($A$2:$A964,SAISIE!$U$4,$B$2:$B964,SAISIE!$W$4,$C$2:$C964,"S1"),""))</f>
        <v/>
      </c>
      <c r="AS964" t="str">
        <f t="shared" si="376"/>
        <v/>
      </c>
      <c r="AT964" t="str">
        <f t="shared" si="377"/>
        <v/>
      </c>
      <c r="AU964" t="str">
        <f t="shared" si="378"/>
        <v/>
      </c>
      <c r="AV964">
        <f>N(AV963)+IF(AND($AB964&lt;&gt;"",OR('PROFIL ELEVE'!$K$4="(Tous)",$AF964='PROFIL ELEVE'!$K$4)),1,0)</f>
        <v>0</v>
      </c>
      <c r="AW964">
        <f>N(AW963)+IF(AND($AB964&lt;&gt;"",OR('SUIVI LONGITUDINAL'!$Q$4="(Tous)",$AF964='SUIVI LONGITUDINAL'!$Q$4)),1,0)</f>
        <v>0</v>
      </c>
      <c r="AX964">
        <f t="shared" si="379"/>
        <v>0</v>
      </c>
      <c r="AY964">
        <f t="shared" si="380"/>
        <v>0</v>
      </c>
      <c r="AZ964">
        <f t="shared" si="381"/>
        <v>0</v>
      </c>
      <c r="BA964" t="str">
        <f t="shared" si="382"/>
        <v/>
      </c>
      <c r="BB964" t="str">
        <f t="shared" si="383"/>
        <v/>
      </c>
    </row>
    <row r="965" spans="1:54" ht="14.25" customHeight="1" x14ac:dyDescent="0.3">
      <c r="A965" t="str">
        <f>IF(SAISIE!$F970="","",SAISIE!$B970)</f>
        <v/>
      </c>
      <c r="B965" t="str">
        <f>IF(SAISIE!$F970="","",SAISIE!$C970)</f>
        <v/>
      </c>
      <c r="C965" t="str">
        <f>IF(SAISIE!$F970="","",SAISIE!$D970)</f>
        <v/>
      </c>
      <c r="D965" t="str">
        <f>IF(SAISIE!$E970="","",SAISIE!$E970)</f>
        <v/>
      </c>
      <c r="E965" t="str">
        <f>IF(SAISIE!$F970="","",SAISIE!$F970)</f>
        <v/>
      </c>
      <c r="F965" t="str">
        <f>IF(SAISIE!$G970="","",SAISIE!$G970)</f>
        <v/>
      </c>
      <c r="G965" t="str">
        <f>IF(SAISIE!$H970="","",SAISIE!$H970)</f>
        <v/>
      </c>
      <c r="H965" t="str">
        <f>IF(SAISIE!$I970="","",SAISIE!$I970)</f>
        <v/>
      </c>
      <c r="I965" t="str">
        <f>IF(SAISIE!$J970="","",SAISIE!$J970)</f>
        <v/>
      </c>
      <c r="J965" t="str">
        <f>IF(SAISIE!$K970="","",SAISIE!$K970)</f>
        <v/>
      </c>
      <c r="K965" t="str">
        <f>IF(SAISIE!$L970="","",SAISIE!$L970)</f>
        <v/>
      </c>
      <c r="L965" t="str">
        <f>IF(SAISIE!$M970="","",SAISIE!$M970)</f>
        <v/>
      </c>
      <c r="M965" t="str">
        <f>IF(SAISIE!$N970="","",SAISIE!$N970)</f>
        <v/>
      </c>
      <c r="N965" t="str">
        <f>IF(SAISIE!$O970="","",SAISIE!$O970)</f>
        <v/>
      </c>
      <c r="O965" t="str">
        <f>IF(SAISIE!$P970="","",SAISIE!$P970)</f>
        <v/>
      </c>
      <c r="P965" t="str">
        <f>IF(SAISIE!$Q970="","",SAISIE!$Q970)</f>
        <v/>
      </c>
      <c r="Q965" t="str">
        <f>IF($I965="","",IF($I965&gt;PARAMETRES!$G$29,5,IF($I965&gt;PARAMETRES!$F$29,4,IF($I965&gt;PARAMETRES!$E$29,3,IF($I965&gt;PARAMETRES!$D$29,2,1)))))</f>
        <v/>
      </c>
      <c r="R965" t="str">
        <f>IF($J965="","",IF($J965&gt;PARAMETRES!$G$30,5,IF($J965&gt;PARAMETRES!$F$30,4,IF($J965&gt;PARAMETRES!$E$30,3,IF($J965&gt;PARAMETRES!$D$30,2,1)))))</f>
        <v/>
      </c>
      <c r="S965" t="str">
        <f>IF($K965="","",IF($Z965=2,IF($K965&gt;PARAMETRES!$G$31,5,IF($K965&gt;PARAMETRES!$F$31,4,IF($K965&gt;PARAMETRES!$E$31,3,IF($K965&gt;PARAMETRES!$D$31,2,1)))),IF($K965&gt;PARAMETRES!$G$32,5,IF($K965&gt;PARAMETRES!$F$32,4,IF($K965&gt;PARAMETRES!$E$32,3,IF($K965&gt;PARAMETRES!$D$32,2,1))))))</f>
        <v/>
      </c>
      <c r="T965" t="str">
        <f>IF($L965="","",IF($L965&gt;PARAMETRES!$G$33,5,IF($L965&gt;PARAMETRES!$F$33,4,IF($L965&gt;PARAMETRES!$E$33,3,IF($L965&gt;PARAMETRES!$D$33,2,1)))))</f>
        <v/>
      </c>
      <c r="U965" t="str">
        <f>IF($M965="","",IF($M965&gt;PARAMETRES!$G$34,5,IF($M965&gt;PARAMETRES!$F$34,4,IF($M965&gt;PARAMETRES!$E$34,3,IF($M965&gt;PARAMETRES!$D$34,2,1)))))</f>
        <v/>
      </c>
      <c r="V965" t="str">
        <f>IF($N965="","",IF($N965&gt;PARAMETRES!$G$35,5,IF($N965&gt;PARAMETRES!$F$35,4,IF($N965&gt;PARAMETRES!$E$35,3,IF($N965&gt;PARAMETRES!$D$35,2,1)))))</f>
        <v/>
      </c>
      <c r="W965" t="str">
        <f>IF($O965="","",IF($O965&gt;PARAMETRES!$G$36,5,IF($O965&gt;PARAMETRES!$F$36,4,IF($O965&gt;PARAMETRES!$E$36,3,IF($O965&gt;PARAMETRES!$D$36,2,1)))))</f>
        <v/>
      </c>
      <c r="X965" t="str">
        <f>IF($P965="","",IF($P965&gt;PARAMETRES!$G$37,5,IF($P965&gt;PARAMETRES!$F$37,4,IF($P965&gt;PARAMETRES!$E$37,3,IF($P965&gt;PARAMETRES!$D$37,2,1)))))</f>
        <v/>
      </c>
      <c r="Y965" t="str">
        <f t="shared" si="360"/>
        <v/>
      </c>
      <c r="Z965" t="str">
        <f>IFERROR(VLOOKUP($B965,TABLE_CYCLE,2,0),"")</f>
        <v/>
      </c>
      <c r="AA965" t="str">
        <f t="shared" si="361"/>
        <v/>
      </c>
      <c r="AB965" t="str">
        <f>IF($D965="","",IF(COUNTIF($D$2:$D965,$D965)=1,$D965,""))</f>
        <v/>
      </c>
      <c r="AC965">
        <f t="shared" si="362"/>
        <v>0</v>
      </c>
      <c r="AD965" t="str">
        <f t="shared" si="363"/>
        <v>|0</v>
      </c>
      <c r="AE965" t="str">
        <f t="shared" si="364"/>
        <v/>
      </c>
      <c r="AF965" t="str">
        <f t="shared" si="365"/>
        <v/>
      </c>
      <c r="AG965" t="str">
        <f t="shared" si="366"/>
        <v/>
      </c>
      <c r="AH965" t="str">
        <f t="shared" si="367"/>
        <v/>
      </c>
      <c r="AI965" t="str">
        <f t="shared" si="368"/>
        <v/>
      </c>
      <c r="AJ965" t="str">
        <f t="shared" si="369"/>
        <v/>
      </c>
      <c r="AK965" t="str">
        <f t="shared" si="370"/>
        <v/>
      </c>
      <c r="AL965" t="str">
        <f t="shared" si="371"/>
        <v/>
      </c>
      <c r="AM965" t="str">
        <f t="shared" si="372"/>
        <v/>
      </c>
      <c r="AN965" t="str">
        <f t="shared" si="373"/>
        <v/>
      </c>
      <c r="AO965" t="str">
        <f t="shared" si="374"/>
        <v/>
      </c>
      <c r="AP965">
        <f t="shared" si="375"/>
        <v>1</v>
      </c>
      <c r="AQ965" t="str">
        <f>IF(SAISIE!$F970="","",SAISIE!$Y970)</f>
        <v/>
      </c>
      <c r="AR965" t="str">
        <f>IF(OR(SAISIE!$U$4="",SAISIE!$W$4=""),"",IF(AND($A965=SAISIE!$U$4,$B965=SAISIE!$W$4,$C965="S1"),COUNTIFS($A$2:$A965,SAISIE!$U$4,$B$2:$B965,SAISIE!$W$4,$C$2:$C965,"S1"),""))</f>
        <v/>
      </c>
      <c r="AS965" t="str">
        <f t="shared" si="376"/>
        <v/>
      </c>
      <c r="AT965" t="str">
        <f t="shared" si="377"/>
        <v/>
      </c>
      <c r="AU965" t="str">
        <f t="shared" si="378"/>
        <v/>
      </c>
      <c r="AV965">
        <f>N(AV964)+IF(AND($AB965&lt;&gt;"",OR('PROFIL ELEVE'!$K$4="(Tous)",$AF965='PROFIL ELEVE'!$K$4)),1,0)</f>
        <v>0</v>
      </c>
      <c r="AW965">
        <f>N(AW964)+IF(AND($AB965&lt;&gt;"",OR('SUIVI LONGITUDINAL'!$Q$4="(Tous)",$AF965='SUIVI LONGITUDINAL'!$Q$4)),1,0)</f>
        <v>0</v>
      </c>
      <c r="AX965">
        <f t="shared" si="379"/>
        <v>0</v>
      </c>
      <c r="AY965">
        <f t="shared" si="380"/>
        <v>0</v>
      </c>
      <c r="AZ965">
        <f t="shared" si="381"/>
        <v>0</v>
      </c>
      <c r="BA965" t="str">
        <f t="shared" si="382"/>
        <v/>
      </c>
      <c r="BB965" t="str">
        <f t="shared" si="383"/>
        <v/>
      </c>
    </row>
    <row r="966" spans="1:54" ht="14.25" customHeight="1" x14ac:dyDescent="0.3">
      <c r="A966" t="str">
        <f>IF(SAISIE!$F971="","",SAISIE!$B971)</f>
        <v/>
      </c>
      <c r="B966" t="str">
        <f>IF(SAISIE!$F971="","",SAISIE!$C971)</f>
        <v/>
      </c>
      <c r="C966" t="str">
        <f>IF(SAISIE!$F971="","",SAISIE!$D971)</f>
        <v/>
      </c>
      <c r="D966" t="str">
        <f>IF(SAISIE!$E971="","",SAISIE!$E971)</f>
        <v/>
      </c>
      <c r="E966" t="str">
        <f>IF(SAISIE!$F971="","",SAISIE!$F971)</f>
        <v/>
      </c>
      <c r="F966" t="str">
        <f>IF(SAISIE!$G971="","",SAISIE!$G971)</f>
        <v/>
      </c>
      <c r="G966" t="str">
        <f>IF(SAISIE!$H971="","",SAISIE!$H971)</f>
        <v/>
      </c>
      <c r="H966" t="str">
        <f>IF(SAISIE!$I971="","",SAISIE!$I971)</f>
        <v/>
      </c>
      <c r="I966" t="str">
        <f>IF(SAISIE!$J971="","",SAISIE!$J971)</f>
        <v/>
      </c>
      <c r="J966" t="str">
        <f>IF(SAISIE!$K971="","",SAISIE!$K971)</f>
        <v/>
      </c>
      <c r="K966" t="str">
        <f>IF(SAISIE!$L971="","",SAISIE!$L971)</f>
        <v/>
      </c>
      <c r="L966" t="str">
        <f>IF(SAISIE!$M971="","",SAISIE!$M971)</f>
        <v/>
      </c>
      <c r="M966" t="str">
        <f>IF(SAISIE!$N971="","",SAISIE!$N971)</f>
        <v/>
      </c>
      <c r="N966" t="str">
        <f>IF(SAISIE!$O971="","",SAISIE!$O971)</f>
        <v/>
      </c>
      <c r="O966" t="str">
        <f>IF(SAISIE!$P971="","",SAISIE!$P971)</f>
        <v/>
      </c>
      <c r="P966" t="str">
        <f>IF(SAISIE!$Q971="","",SAISIE!$Q971)</f>
        <v/>
      </c>
      <c r="Q966" t="str">
        <f>IF($I966="","",IF($I966&gt;PARAMETRES!$G$29,5,IF($I966&gt;PARAMETRES!$F$29,4,IF($I966&gt;PARAMETRES!$E$29,3,IF($I966&gt;PARAMETRES!$D$29,2,1)))))</f>
        <v/>
      </c>
      <c r="R966" t="str">
        <f>IF($J966="","",IF($J966&gt;PARAMETRES!$G$30,5,IF($J966&gt;PARAMETRES!$F$30,4,IF($J966&gt;PARAMETRES!$E$30,3,IF($J966&gt;PARAMETRES!$D$30,2,1)))))</f>
        <v/>
      </c>
      <c r="S966" t="str">
        <f>IF($K966="","",IF($Z966=2,IF($K966&gt;PARAMETRES!$G$31,5,IF($K966&gt;PARAMETRES!$F$31,4,IF($K966&gt;PARAMETRES!$E$31,3,IF($K966&gt;PARAMETRES!$D$31,2,1)))),IF($K966&gt;PARAMETRES!$G$32,5,IF($K966&gt;PARAMETRES!$F$32,4,IF($K966&gt;PARAMETRES!$E$32,3,IF($K966&gt;PARAMETRES!$D$32,2,1))))))</f>
        <v/>
      </c>
      <c r="T966" t="str">
        <f>IF($L966="","",IF($L966&gt;PARAMETRES!$G$33,5,IF($L966&gt;PARAMETRES!$F$33,4,IF($L966&gt;PARAMETRES!$E$33,3,IF($L966&gt;PARAMETRES!$D$33,2,1)))))</f>
        <v/>
      </c>
      <c r="U966" t="str">
        <f>IF($M966="","",IF($M966&gt;PARAMETRES!$G$34,5,IF($M966&gt;PARAMETRES!$F$34,4,IF($M966&gt;PARAMETRES!$E$34,3,IF($M966&gt;PARAMETRES!$D$34,2,1)))))</f>
        <v/>
      </c>
      <c r="V966" t="str">
        <f>IF($N966="","",IF($N966&gt;PARAMETRES!$G$35,5,IF($N966&gt;PARAMETRES!$F$35,4,IF($N966&gt;PARAMETRES!$E$35,3,IF($N966&gt;PARAMETRES!$D$35,2,1)))))</f>
        <v/>
      </c>
      <c r="W966" t="str">
        <f>IF($O966="","",IF($O966&gt;PARAMETRES!$G$36,5,IF($O966&gt;PARAMETRES!$F$36,4,IF($O966&gt;PARAMETRES!$E$36,3,IF($O966&gt;PARAMETRES!$D$36,2,1)))))</f>
        <v/>
      </c>
      <c r="X966" t="str">
        <f>IF($P966="","",IF($P966&gt;PARAMETRES!$G$37,5,IF($P966&gt;PARAMETRES!$F$37,4,IF($P966&gt;PARAMETRES!$E$37,3,IF($P966&gt;PARAMETRES!$D$37,2,1)))))</f>
        <v/>
      </c>
      <c r="Y966" t="str">
        <f t="shared" si="360"/>
        <v/>
      </c>
      <c r="Z966" t="str">
        <f>IFERROR(VLOOKUP($B966,TABLE_CYCLE,2,0),"")</f>
        <v/>
      </c>
      <c r="AA966" t="str">
        <f t="shared" si="361"/>
        <v/>
      </c>
      <c r="AB966" t="str">
        <f>IF($D966="","",IF(COUNTIF($D$2:$D966,$D966)=1,$D966,""))</f>
        <v/>
      </c>
      <c r="AC966">
        <f t="shared" si="362"/>
        <v>0</v>
      </c>
      <c r="AD966" t="str">
        <f t="shared" si="363"/>
        <v>|0</v>
      </c>
      <c r="AE966" t="str">
        <f t="shared" si="364"/>
        <v/>
      </c>
      <c r="AF966" t="str">
        <f t="shared" si="365"/>
        <v/>
      </c>
      <c r="AG966" t="str">
        <f t="shared" si="366"/>
        <v/>
      </c>
      <c r="AH966" t="str">
        <f t="shared" si="367"/>
        <v/>
      </c>
      <c r="AI966" t="str">
        <f t="shared" si="368"/>
        <v/>
      </c>
      <c r="AJ966" t="str">
        <f t="shared" si="369"/>
        <v/>
      </c>
      <c r="AK966" t="str">
        <f t="shared" si="370"/>
        <v/>
      </c>
      <c r="AL966" t="str">
        <f t="shared" si="371"/>
        <v/>
      </c>
      <c r="AM966" t="str">
        <f t="shared" si="372"/>
        <v/>
      </c>
      <c r="AN966" t="str">
        <f t="shared" si="373"/>
        <v/>
      </c>
      <c r="AO966" t="str">
        <f t="shared" si="374"/>
        <v/>
      </c>
      <c r="AP966">
        <f t="shared" si="375"/>
        <v>1</v>
      </c>
      <c r="AQ966" t="str">
        <f>IF(SAISIE!$F971="","",SAISIE!$Y971)</f>
        <v/>
      </c>
      <c r="AR966" t="str">
        <f>IF(OR(SAISIE!$U$4="",SAISIE!$W$4=""),"",IF(AND($A966=SAISIE!$U$4,$B966=SAISIE!$W$4,$C966="S1"),COUNTIFS($A$2:$A966,SAISIE!$U$4,$B$2:$B966,SAISIE!$W$4,$C$2:$C966,"S1"),""))</f>
        <v/>
      </c>
      <c r="AS966" t="str">
        <f t="shared" si="376"/>
        <v/>
      </c>
      <c r="AT966" t="str">
        <f t="shared" si="377"/>
        <v/>
      </c>
      <c r="AU966" t="str">
        <f t="shared" si="378"/>
        <v/>
      </c>
      <c r="AV966">
        <f>N(AV965)+IF(AND($AB966&lt;&gt;"",OR('PROFIL ELEVE'!$K$4="(Tous)",$AF966='PROFIL ELEVE'!$K$4)),1,0)</f>
        <v>0</v>
      </c>
      <c r="AW966">
        <f>N(AW965)+IF(AND($AB966&lt;&gt;"",OR('SUIVI LONGITUDINAL'!$Q$4="(Tous)",$AF966='SUIVI LONGITUDINAL'!$Q$4)),1,0)</f>
        <v>0</v>
      </c>
      <c r="AX966">
        <f t="shared" si="379"/>
        <v>0</v>
      </c>
      <c r="AY966">
        <f t="shared" si="380"/>
        <v>0</v>
      </c>
      <c r="AZ966">
        <f t="shared" si="381"/>
        <v>0</v>
      </c>
      <c r="BA966" t="str">
        <f t="shared" si="382"/>
        <v/>
      </c>
      <c r="BB966" t="str">
        <f t="shared" si="383"/>
        <v/>
      </c>
    </row>
    <row r="967" spans="1:54" ht="14.25" customHeight="1" x14ac:dyDescent="0.3">
      <c r="A967" t="str">
        <f>IF(SAISIE!$F972="","",SAISIE!$B972)</f>
        <v/>
      </c>
      <c r="B967" t="str">
        <f>IF(SAISIE!$F972="","",SAISIE!$C972)</f>
        <v/>
      </c>
      <c r="C967" t="str">
        <f>IF(SAISIE!$F972="","",SAISIE!$D972)</f>
        <v/>
      </c>
      <c r="D967" t="str">
        <f>IF(SAISIE!$E972="","",SAISIE!$E972)</f>
        <v/>
      </c>
      <c r="E967" t="str">
        <f>IF(SAISIE!$F972="","",SAISIE!$F972)</f>
        <v/>
      </c>
      <c r="F967" t="str">
        <f>IF(SAISIE!$G972="","",SAISIE!$G972)</f>
        <v/>
      </c>
      <c r="G967" t="str">
        <f>IF(SAISIE!$H972="","",SAISIE!$H972)</f>
        <v/>
      </c>
      <c r="H967" t="str">
        <f>IF(SAISIE!$I972="","",SAISIE!$I972)</f>
        <v/>
      </c>
      <c r="I967" t="str">
        <f>IF(SAISIE!$J972="","",SAISIE!$J972)</f>
        <v/>
      </c>
      <c r="J967" t="str">
        <f>IF(SAISIE!$K972="","",SAISIE!$K972)</f>
        <v/>
      </c>
      <c r="K967" t="str">
        <f>IF(SAISIE!$L972="","",SAISIE!$L972)</f>
        <v/>
      </c>
      <c r="L967" t="str">
        <f>IF(SAISIE!$M972="","",SAISIE!$M972)</f>
        <v/>
      </c>
      <c r="M967" t="str">
        <f>IF(SAISIE!$N972="","",SAISIE!$N972)</f>
        <v/>
      </c>
      <c r="N967" t="str">
        <f>IF(SAISIE!$O972="","",SAISIE!$O972)</f>
        <v/>
      </c>
      <c r="O967" t="str">
        <f>IF(SAISIE!$P972="","",SAISIE!$P972)</f>
        <v/>
      </c>
      <c r="P967" t="str">
        <f>IF(SAISIE!$Q972="","",SAISIE!$Q972)</f>
        <v/>
      </c>
      <c r="Q967" t="str">
        <f>IF($I967="","",IF($I967&gt;PARAMETRES!$G$29,5,IF($I967&gt;PARAMETRES!$F$29,4,IF($I967&gt;PARAMETRES!$E$29,3,IF($I967&gt;PARAMETRES!$D$29,2,1)))))</f>
        <v/>
      </c>
      <c r="R967" t="str">
        <f>IF($J967="","",IF($J967&gt;PARAMETRES!$G$30,5,IF($J967&gt;PARAMETRES!$F$30,4,IF($J967&gt;PARAMETRES!$E$30,3,IF($J967&gt;PARAMETRES!$D$30,2,1)))))</f>
        <v/>
      </c>
      <c r="S967" t="str">
        <f>IF($K967="","",IF($Z967=2,IF($K967&gt;PARAMETRES!$G$31,5,IF($K967&gt;PARAMETRES!$F$31,4,IF($K967&gt;PARAMETRES!$E$31,3,IF($K967&gt;PARAMETRES!$D$31,2,1)))),IF($K967&gt;PARAMETRES!$G$32,5,IF($K967&gt;PARAMETRES!$F$32,4,IF($K967&gt;PARAMETRES!$E$32,3,IF($K967&gt;PARAMETRES!$D$32,2,1))))))</f>
        <v/>
      </c>
      <c r="T967" t="str">
        <f>IF($L967="","",IF($L967&gt;PARAMETRES!$G$33,5,IF($L967&gt;PARAMETRES!$F$33,4,IF($L967&gt;PARAMETRES!$E$33,3,IF($L967&gt;PARAMETRES!$D$33,2,1)))))</f>
        <v/>
      </c>
      <c r="U967" t="str">
        <f>IF($M967="","",IF($M967&gt;PARAMETRES!$G$34,5,IF($M967&gt;PARAMETRES!$F$34,4,IF($M967&gt;PARAMETRES!$E$34,3,IF($M967&gt;PARAMETRES!$D$34,2,1)))))</f>
        <v/>
      </c>
      <c r="V967" t="str">
        <f>IF($N967="","",IF($N967&gt;PARAMETRES!$G$35,5,IF($N967&gt;PARAMETRES!$F$35,4,IF($N967&gt;PARAMETRES!$E$35,3,IF($N967&gt;PARAMETRES!$D$35,2,1)))))</f>
        <v/>
      </c>
      <c r="W967" t="str">
        <f>IF($O967="","",IF($O967&gt;PARAMETRES!$G$36,5,IF($O967&gt;PARAMETRES!$F$36,4,IF($O967&gt;PARAMETRES!$E$36,3,IF($O967&gt;PARAMETRES!$D$36,2,1)))))</f>
        <v/>
      </c>
      <c r="X967" t="str">
        <f>IF($P967="","",IF($P967&gt;PARAMETRES!$G$37,5,IF($P967&gt;PARAMETRES!$F$37,4,IF($P967&gt;PARAMETRES!$E$37,3,IF($P967&gt;PARAMETRES!$D$37,2,1)))))</f>
        <v/>
      </c>
      <c r="Y967" t="str">
        <f t="shared" si="360"/>
        <v/>
      </c>
      <c r="Z967" t="str">
        <f>IFERROR(VLOOKUP($B967,TABLE_CYCLE,2,0),"")</f>
        <v/>
      </c>
      <c r="AA967" t="str">
        <f t="shared" si="361"/>
        <v/>
      </c>
      <c r="AB967" t="str">
        <f>IF($D967="","",IF(COUNTIF($D$2:$D967,$D967)=1,$D967,""))</f>
        <v/>
      </c>
      <c r="AC967">
        <f t="shared" si="362"/>
        <v>0</v>
      </c>
      <c r="AD967" t="str">
        <f t="shared" si="363"/>
        <v>|0</v>
      </c>
      <c r="AE967" t="str">
        <f t="shared" si="364"/>
        <v/>
      </c>
      <c r="AF967" t="str">
        <f t="shared" si="365"/>
        <v/>
      </c>
      <c r="AG967" t="str">
        <f t="shared" si="366"/>
        <v/>
      </c>
      <c r="AH967" t="str">
        <f t="shared" si="367"/>
        <v/>
      </c>
      <c r="AI967" t="str">
        <f t="shared" si="368"/>
        <v/>
      </c>
      <c r="AJ967" t="str">
        <f t="shared" si="369"/>
        <v/>
      </c>
      <c r="AK967" t="str">
        <f t="shared" si="370"/>
        <v/>
      </c>
      <c r="AL967" t="str">
        <f t="shared" si="371"/>
        <v/>
      </c>
      <c r="AM967" t="str">
        <f t="shared" si="372"/>
        <v/>
      </c>
      <c r="AN967" t="str">
        <f t="shared" si="373"/>
        <v/>
      </c>
      <c r="AO967" t="str">
        <f t="shared" si="374"/>
        <v/>
      </c>
      <c r="AP967">
        <f t="shared" si="375"/>
        <v>1</v>
      </c>
      <c r="AQ967" t="str">
        <f>IF(SAISIE!$F972="","",SAISIE!$Y972)</f>
        <v/>
      </c>
      <c r="AR967" t="str">
        <f>IF(OR(SAISIE!$U$4="",SAISIE!$W$4=""),"",IF(AND($A967=SAISIE!$U$4,$B967=SAISIE!$W$4,$C967="S1"),COUNTIFS($A$2:$A967,SAISIE!$U$4,$B$2:$B967,SAISIE!$W$4,$C$2:$C967,"S1"),""))</f>
        <v/>
      </c>
      <c r="AS967" t="str">
        <f t="shared" si="376"/>
        <v/>
      </c>
      <c r="AT967" t="str">
        <f t="shared" si="377"/>
        <v/>
      </c>
      <c r="AU967" t="str">
        <f t="shared" si="378"/>
        <v/>
      </c>
      <c r="AV967">
        <f>N(AV966)+IF(AND($AB967&lt;&gt;"",OR('PROFIL ELEVE'!$K$4="(Tous)",$AF967='PROFIL ELEVE'!$K$4)),1,0)</f>
        <v>0</v>
      </c>
      <c r="AW967">
        <f>N(AW966)+IF(AND($AB967&lt;&gt;"",OR('SUIVI LONGITUDINAL'!$Q$4="(Tous)",$AF967='SUIVI LONGITUDINAL'!$Q$4)),1,0)</f>
        <v>0</v>
      </c>
      <c r="AX967">
        <f t="shared" si="379"/>
        <v>0</v>
      </c>
      <c r="AY967">
        <f t="shared" si="380"/>
        <v>0</v>
      </c>
      <c r="AZ967">
        <f t="shared" si="381"/>
        <v>0</v>
      </c>
      <c r="BA967" t="str">
        <f t="shared" si="382"/>
        <v/>
      </c>
      <c r="BB967" t="str">
        <f t="shared" si="383"/>
        <v/>
      </c>
    </row>
    <row r="968" spans="1:54" ht="14.25" customHeight="1" x14ac:dyDescent="0.3">
      <c r="A968" t="str">
        <f>IF(SAISIE!$F973="","",SAISIE!$B973)</f>
        <v/>
      </c>
      <c r="B968" t="str">
        <f>IF(SAISIE!$F973="","",SAISIE!$C973)</f>
        <v/>
      </c>
      <c r="C968" t="str">
        <f>IF(SAISIE!$F973="","",SAISIE!$D973)</f>
        <v/>
      </c>
      <c r="D968" t="str">
        <f>IF(SAISIE!$E973="","",SAISIE!$E973)</f>
        <v/>
      </c>
      <c r="E968" t="str">
        <f>IF(SAISIE!$F973="","",SAISIE!$F973)</f>
        <v/>
      </c>
      <c r="F968" t="str">
        <f>IF(SAISIE!$G973="","",SAISIE!$G973)</f>
        <v/>
      </c>
      <c r="G968" t="str">
        <f>IF(SAISIE!$H973="","",SAISIE!$H973)</f>
        <v/>
      </c>
      <c r="H968" t="str">
        <f>IF(SAISIE!$I973="","",SAISIE!$I973)</f>
        <v/>
      </c>
      <c r="I968" t="str">
        <f>IF(SAISIE!$J973="","",SAISIE!$J973)</f>
        <v/>
      </c>
      <c r="J968" t="str">
        <f>IF(SAISIE!$K973="","",SAISIE!$K973)</f>
        <v/>
      </c>
      <c r="K968" t="str">
        <f>IF(SAISIE!$L973="","",SAISIE!$L973)</f>
        <v/>
      </c>
      <c r="L968" t="str">
        <f>IF(SAISIE!$M973="","",SAISIE!$M973)</f>
        <v/>
      </c>
      <c r="M968" t="str">
        <f>IF(SAISIE!$N973="","",SAISIE!$N973)</f>
        <v/>
      </c>
      <c r="N968" t="str">
        <f>IF(SAISIE!$O973="","",SAISIE!$O973)</f>
        <v/>
      </c>
      <c r="O968" t="str">
        <f>IF(SAISIE!$P973="","",SAISIE!$P973)</f>
        <v/>
      </c>
      <c r="P968" t="str">
        <f>IF(SAISIE!$Q973="","",SAISIE!$Q973)</f>
        <v/>
      </c>
      <c r="Q968" t="str">
        <f>IF($I968="","",IF($I968&gt;PARAMETRES!$G$29,5,IF($I968&gt;PARAMETRES!$F$29,4,IF($I968&gt;PARAMETRES!$E$29,3,IF($I968&gt;PARAMETRES!$D$29,2,1)))))</f>
        <v/>
      </c>
      <c r="R968" t="str">
        <f>IF($J968="","",IF($J968&gt;PARAMETRES!$G$30,5,IF($J968&gt;PARAMETRES!$F$30,4,IF($J968&gt;PARAMETRES!$E$30,3,IF($J968&gt;PARAMETRES!$D$30,2,1)))))</f>
        <v/>
      </c>
      <c r="S968" t="str">
        <f>IF($K968="","",IF($Z968=2,IF($K968&gt;PARAMETRES!$G$31,5,IF($K968&gt;PARAMETRES!$F$31,4,IF($K968&gt;PARAMETRES!$E$31,3,IF($K968&gt;PARAMETRES!$D$31,2,1)))),IF($K968&gt;PARAMETRES!$G$32,5,IF($K968&gt;PARAMETRES!$F$32,4,IF($K968&gt;PARAMETRES!$E$32,3,IF($K968&gt;PARAMETRES!$D$32,2,1))))))</f>
        <v/>
      </c>
      <c r="T968" t="str">
        <f>IF($L968="","",IF($L968&gt;PARAMETRES!$G$33,5,IF($L968&gt;PARAMETRES!$F$33,4,IF($L968&gt;PARAMETRES!$E$33,3,IF($L968&gt;PARAMETRES!$D$33,2,1)))))</f>
        <v/>
      </c>
      <c r="U968" t="str">
        <f>IF($M968="","",IF($M968&gt;PARAMETRES!$G$34,5,IF($M968&gt;PARAMETRES!$F$34,4,IF($M968&gt;PARAMETRES!$E$34,3,IF($M968&gt;PARAMETRES!$D$34,2,1)))))</f>
        <v/>
      </c>
      <c r="V968" t="str">
        <f>IF($N968="","",IF($N968&gt;PARAMETRES!$G$35,5,IF($N968&gt;PARAMETRES!$F$35,4,IF($N968&gt;PARAMETRES!$E$35,3,IF($N968&gt;PARAMETRES!$D$35,2,1)))))</f>
        <v/>
      </c>
      <c r="W968" t="str">
        <f>IF($O968="","",IF($O968&gt;PARAMETRES!$G$36,5,IF($O968&gt;PARAMETRES!$F$36,4,IF($O968&gt;PARAMETRES!$E$36,3,IF($O968&gt;PARAMETRES!$D$36,2,1)))))</f>
        <v/>
      </c>
      <c r="X968" t="str">
        <f>IF($P968="","",IF($P968&gt;PARAMETRES!$G$37,5,IF($P968&gt;PARAMETRES!$F$37,4,IF($P968&gt;PARAMETRES!$E$37,3,IF($P968&gt;PARAMETRES!$D$37,2,1)))))</f>
        <v/>
      </c>
      <c r="Y968" t="str">
        <f t="shared" si="360"/>
        <v/>
      </c>
      <c r="Z968" t="str">
        <f>IFERROR(VLOOKUP($B968,TABLE_CYCLE,2,0),"")</f>
        <v/>
      </c>
      <c r="AA968" t="str">
        <f t="shared" si="361"/>
        <v/>
      </c>
      <c r="AB968" t="str">
        <f>IF($D968="","",IF(COUNTIF($D$2:$D968,$D968)=1,$D968,""))</f>
        <v/>
      </c>
      <c r="AC968">
        <f t="shared" si="362"/>
        <v>0</v>
      </c>
      <c r="AD968" t="str">
        <f t="shared" si="363"/>
        <v>|0</v>
      </c>
      <c r="AE968" t="str">
        <f t="shared" si="364"/>
        <v/>
      </c>
      <c r="AF968" t="str">
        <f t="shared" si="365"/>
        <v/>
      </c>
      <c r="AG968" t="str">
        <f t="shared" si="366"/>
        <v/>
      </c>
      <c r="AH968" t="str">
        <f t="shared" si="367"/>
        <v/>
      </c>
      <c r="AI968" t="str">
        <f t="shared" si="368"/>
        <v/>
      </c>
      <c r="AJ968" t="str">
        <f t="shared" si="369"/>
        <v/>
      </c>
      <c r="AK968" t="str">
        <f t="shared" si="370"/>
        <v/>
      </c>
      <c r="AL968" t="str">
        <f t="shared" si="371"/>
        <v/>
      </c>
      <c r="AM968" t="str">
        <f t="shared" si="372"/>
        <v/>
      </c>
      <c r="AN968" t="str">
        <f t="shared" si="373"/>
        <v/>
      </c>
      <c r="AO968" t="str">
        <f t="shared" si="374"/>
        <v/>
      </c>
      <c r="AP968">
        <f t="shared" si="375"/>
        <v>1</v>
      </c>
      <c r="AQ968" t="str">
        <f>IF(SAISIE!$F973="","",SAISIE!$Y973)</f>
        <v/>
      </c>
      <c r="AR968" t="str">
        <f>IF(OR(SAISIE!$U$4="",SAISIE!$W$4=""),"",IF(AND($A968=SAISIE!$U$4,$B968=SAISIE!$W$4,$C968="S1"),COUNTIFS($A$2:$A968,SAISIE!$U$4,$B$2:$B968,SAISIE!$W$4,$C$2:$C968,"S1"),""))</f>
        <v/>
      </c>
      <c r="AS968" t="str">
        <f t="shared" si="376"/>
        <v/>
      </c>
      <c r="AT968" t="str">
        <f t="shared" si="377"/>
        <v/>
      </c>
      <c r="AU968" t="str">
        <f t="shared" si="378"/>
        <v/>
      </c>
      <c r="AV968">
        <f>N(AV967)+IF(AND($AB968&lt;&gt;"",OR('PROFIL ELEVE'!$K$4="(Tous)",$AF968='PROFIL ELEVE'!$K$4)),1,0)</f>
        <v>0</v>
      </c>
      <c r="AW968">
        <f>N(AW967)+IF(AND($AB968&lt;&gt;"",OR('SUIVI LONGITUDINAL'!$Q$4="(Tous)",$AF968='SUIVI LONGITUDINAL'!$Q$4)),1,0)</f>
        <v>0</v>
      </c>
      <c r="AX968">
        <f t="shared" si="379"/>
        <v>0</v>
      </c>
      <c r="AY968">
        <f t="shared" si="380"/>
        <v>0</v>
      </c>
      <c r="AZ968">
        <f t="shared" si="381"/>
        <v>0</v>
      </c>
      <c r="BA968" t="str">
        <f t="shared" si="382"/>
        <v/>
      </c>
      <c r="BB968" t="str">
        <f t="shared" si="383"/>
        <v/>
      </c>
    </row>
    <row r="969" spans="1:54" ht="14.25" customHeight="1" x14ac:dyDescent="0.3">
      <c r="A969" t="str">
        <f>IF(SAISIE!$F974="","",SAISIE!$B974)</f>
        <v/>
      </c>
      <c r="B969" t="str">
        <f>IF(SAISIE!$F974="","",SAISIE!$C974)</f>
        <v/>
      </c>
      <c r="C969" t="str">
        <f>IF(SAISIE!$F974="","",SAISIE!$D974)</f>
        <v/>
      </c>
      <c r="D969" t="str">
        <f>IF(SAISIE!$E974="","",SAISIE!$E974)</f>
        <v/>
      </c>
      <c r="E969" t="str">
        <f>IF(SAISIE!$F974="","",SAISIE!$F974)</f>
        <v/>
      </c>
      <c r="F969" t="str">
        <f>IF(SAISIE!$G974="","",SAISIE!$G974)</f>
        <v/>
      </c>
      <c r="G969" t="str">
        <f>IF(SAISIE!$H974="","",SAISIE!$H974)</f>
        <v/>
      </c>
      <c r="H969" t="str">
        <f>IF(SAISIE!$I974="","",SAISIE!$I974)</f>
        <v/>
      </c>
      <c r="I969" t="str">
        <f>IF(SAISIE!$J974="","",SAISIE!$J974)</f>
        <v/>
      </c>
      <c r="J969" t="str">
        <f>IF(SAISIE!$K974="","",SAISIE!$K974)</f>
        <v/>
      </c>
      <c r="K969" t="str">
        <f>IF(SAISIE!$L974="","",SAISIE!$L974)</f>
        <v/>
      </c>
      <c r="L969" t="str">
        <f>IF(SAISIE!$M974="","",SAISIE!$M974)</f>
        <v/>
      </c>
      <c r="M969" t="str">
        <f>IF(SAISIE!$N974="","",SAISIE!$N974)</f>
        <v/>
      </c>
      <c r="N969" t="str">
        <f>IF(SAISIE!$O974="","",SAISIE!$O974)</f>
        <v/>
      </c>
      <c r="O969" t="str">
        <f>IF(SAISIE!$P974="","",SAISIE!$P974)</f>
        <v/>
      </c>
      <c r="P969" t="str">
        <f>IF(SAISIE!$Q974="","",SAISIE!$Q974)</f>
        <v/>
      </c>
      <c r="Q969" t="str">
        <f>IF($I969="","",IF($I969&gt;PARAMETRES!$G$29,5,IF($I969&gt;PARAMETRES!$F$29,4,IF($I969&gt;PARAMETRES!$E$29,3,IF($I969&gt;PARAMETRES!$D$29,2,1)))))</f>
        <v/>
      </c>
      <c r="R969" t="str">
        <f>IF($J969="","",IF($J969&gt;PARAMETRES!$G$30,5,IF($J969&gt;PARAMETRES!$F$30,4,IF($J969&gt;PARAMETRES!$E$30,3,IF($J969&gt;PARAMETRES!$D$30,2,1)))))</f>
        <v/>
      </c>
      <c r="S969" t="str">
        <f>IF($K969="","",IF($Z969=2,IF($K969&gt;PARAMETRES!$G$31,5,IF($K969&gt;PARAMETRES!$F$31,4,IF($K969&gt;PARAMETRES!$E$31,3,IF($K969&gt;PARAMETRES!$D$31,2,1)))),IF($K969&gt;PARAMETRES!$G$32,5,IF($K969&gt;PARAMETRES!$F$32,4,IF($K969&gt;PARAMETRES!$E$32,3,IF($K969&gt;PARAMETRES!$D$32,2,1))))))</f>
        <v/>
      </c>
      <c r="T969" t="str">
        <f>IF($L969="","",IF($L969&gt;PARAMETRES!$G$33,5,IF($L969&gt;PARAMETRES!$F$33,4,IF($L969&gt;PARAMETRES!$E$33,3,IF($L969&gt;PARAMETRES!$D$33,2,1)))))</f>
        <v/>
      </c>
      <c r="U969" t="str">
        <f>IF($M969="","",IF($M969&gt;PARAMETRES!$G$34,5,IF($M969&gt;PARAMETRES!$F$34,4,IF($M969&gt;PARAMETRES!$E$34,3,IF($M969&gt;PARAMETRES!$D$34,2,1)))))</f>
        <v/>
      </c>
      <c r="V969" t="str">
        <f>IF($N969="","",IF($N969&gt;PARAMETRES!$G$35,5,IF($N969&gt;PARAMETRES!$F$35,4,IF($N969&gt;PARAMETRES!$E$35,3,IF($N969&gt;PARAMETRES!$D$35,2,1)))))</f>
        <v/>
      </c>
      <c r="W969" t="str">
        <f>IF($O969="","",IF($O969&gt;PARAMETRES!$G$36,5,IF($O969&gt;PARAMETRES!$F$36,4,IF($O969&gt;PARAMETRES!$E$36,3,IF($O969&gt;PARAMETRES!$D$36,2,1)))))</f>
        <v/>
      </c>
      <c r="X969" t="str">
        <f>IF($P969="","",IF($P969&gt;PARAMETRES!$G$37,5,IF($P969&gt;PARAMETRES!$F$37,4,IF($P969&gt;PARAMETRES!$E$37,3,IF($P969&gt;PARAMETRES!$D$37,2,1)))))</f>
        <v/>
      </c>
      <c r="Y969" t="str">
        <f t="shared" si="360"/>
        <v/>
      </c>
      <c r="Z969" t="str">
        <f>IFERROR(VLOOKUP($B969,TABLE_CYCLE,2,0),"")</f>
        <v/>
      </c>
      <c r="AA969" t="str">
        <f t="shared" si="361"/>
        <v/>
      </c>
      <c r="AB969" t="str">
        <f>IF($D969="","",IF(COUNTIF($D$2:$D969,$D969)=1,$D969,""))</f>
        <v/>
      </c>
      <c r="AC969">
        <f t="shared" si="362"/>
        <v>0</v>
      </c>
      <c r="AD969" t="str">
        <f t="shared" si="363"/>
        <v>|0</v>
      </c>
      <c r="AE969" t="str">
        <f t="shared" si="364"/>
        <v/>
      </c>
      <c r="AF969" t="str">
        <f t="shared" si="365"/>
        <v/>
      </c>
      <c r="AG969" t="str">
        <f t="shared" si="366"/>
        <v/>
      </c>
      <c r="AH969" t="str">
        <f t="shared" si="367"/>
        <v/>
      </c>
      <c r="AI969" t="str">
        <f t="shared" si="368"/>
        <v/>
      </c>
      <c r="AJ969" t="str">
        <f t="shared" si="369"/>
        <v/>
      </c>
      <c r="AK969" t="str">
        <f t="shared" si="370"/>
        <v/>
      </c>
      <c r="AL969" t="str">
        <f t="shared" si="371"/>
        <v/>
      </c>
      <c r="AM969" t="str">
        <f t="shared" si="372"/>
        <v/>
      </c>
      <c r="AN969" t="str">
        <f t="shared" si="373"/>
        <v/>
      </c>
      <c r="AO969" t="str">
        <f t="shared" si="374"/>
        <v/>
      </c>
      <c r="AP969">
        <f t="shared" si="375"/>
        <v>1</v>
      </c>
      <c r="AQ969" t="str">
        <f>IF(SAISIE!$F974="","",SAISIE!$Y974)</f>
        <v/>
      </c>
      <c r="AR969" t="str">
        <f>IF(OR(SAISIE!$U$4="",SAISIE!$W$4=""),"",IF(AND($A969=SAISIE!$U$4,$B969=SAISIE!$W$4,$C969="S1"),COUNTIFS($A$2:$A969,SAISIE!$U$4,$B$2:$B969,SAISIE!$W$4,$C$2:$C969,"S1"),""))</f>
        <v/>
      </c>
      <c r="AS969" t="str">
        <f t="shared" si="376"/>
        <v/>
      </c>
      <c r="AT969" t="str">
        <f t="shared" si="377"/>
        <v/>
      </c>
      <c r="AU969" t="str">
        <f t="shared" si="378"/>
        <v/>
      </c>
      <c r="AV969">
        <f>N(AV968)+IF(AND($AB969&lt;&gt;"",OR('PROFIL ELEVE'!$K$4="(Tous)",$AF969='PROFIL ELEVE'!$K$4)),1,0)</f>
        <v>0</v>
      </c>
      <c r="AW969">
        <f>N(AW968)+IF(AND($AB969&lt;&gt;"",OR('SUIVI LONGITUDINAL'!$Q$4="(Tous)",$AF969='SUIVI LONGITUDINAL'!$Q$4)),1,0)</f>
        <v>0</v>
      </c>
      <c r="AX969">
        <f t="shared" si="379"/>
        <v>0</v>
      </c>
      <c r="AY969">
        <f t="shared" si="380"/>
        <v>0</v>
      </c>
      <c r="AZ969">
        <f t="shared" si="381"/>
        <v>0</v>
      </c>
      <c r="BA969" t="str">
        <f t="shared" si="382"/>
        <v/>
      </c>
      <c r="BB969" t="str">
        <f t="shared" si="383"/>
        <v/>
      </c>
    </row>
    <row r="970" spans="1:54" ht="14.25" customHeight="1" x14ac:dyDescent="0.3">
      <c r="A970" t="str">
        <f>IF(SAISIE!$F975="","",SAISIE!$B975)</f>
        <v/>
      </c>
      <c r="B970" t="str">
        <f>IF(SAISIE!$F975="","",SAISIE!$C975)</f>
        <v/>
      </c>
      <c r="C970" t="str">
        <f>IF(SAISIE!$F975="","",SAISIE!$D975)</f>
        <v/>
      </c>
      <c r="D970" t="str">
        <f>IF(SAISIE!$E975="","",SAISIE!$E975)</f>
        <v/>
      </c>
      <c r="E970" t="str">
        <f>IF(SAISIE!$F975="","",SAISIE!$F975)</f>
        <v/>
      </c>
      <c r="F970" t="str">
        <f>IF(SAISIE!$G975="","",SAISIE!$G975)</f>
        <v/>
      </c>
      <c r="G970" t="str">
        <f>IF(SAISIE!$H975="","",SAISIE!$H975)</f>
        <v/>
      </c>
      <c r="H970" t="str">
        <f>IF(SAISIE!$I975="","",SAISIE!$I975)</f>
        <v/>
      </c>
      <c r="I970" t="str">
        <f>IF(SAISIE!$J975="","",SAISIE!$J975)</f>
        <v/>
      </c>
      <c r="J970" t="str">
        <f>IF(SAISIE!$K975="","",SAISIE!$K975)</f>
        <v/>
      </c>
      <c r="K970" t="str">
        <f>IF(SAISIE!$L975="","",SAISIE!$L975)</f>
        <v/>
      </c>
      <c r="L970" t="str">
        <f>IF(SAISIE!$M975="","",SAISIE!$M975)</f>
        <v/>
      </c>
      <c r="M970" t="str">
        <f>IF(SAISIE!$N975="","",SAISIE!$N975)</f>
        <v/>
      </c>
      <c r="N970" t="str">
        <f>IF(SAISIE!$O975="","",SAISIE!$O975)</f>
        <v/>
      </c>
      <c r="O970" t="str">
        <f>IF(SAISIE!$P975="","",SAISIE!$P975)</f>
        <v/>
      </c>
      <c r="P970" t="str">
        <f>IF(SAISIE!$Q975="","",SAISIE!$Q975)</f>
        <v/>
      </c>
      <c r="Q970" t="str">
        <f>IF($I970="","",IF($I970&gt;PARAMETRES!$G$29,5,IF($I970&gt;PARAMETRES!$F$29,4,IF($I970&gt;PARAMETRES!$E$29,3,IF($I970&gt;PARAMETRES!$D$29,2,1)))))</f>
        <v/>
      </c>
      <c r="R970" t="str">
        <f>IF($J970="","",IF($J970&gt;PARAMETRES!$G$30,5,IF($J970&gt;PARAMETRES!$F$30,4,IF($J970&gt;PARAMETRES!$E$30,3,IF($J970&gt;PARAMETRES!$D$30,2,1)))))</f>
        <v/>
      </c>
      <c r="S970" t="str">
        <f>IF($K970="","",IF($Z970=2,IF($K970&gt;PARAMETRES!$G$31,5,IF($K970&gt;PARAMETRES!$F$31,4,IF($K970&gt;PARAMETRES!$E$31,3,IF($K970&gt;PARAMETRES!$D$31,2,1)))),IF($K970&gt;PARAMETRES!$G$32,5,IF($K970&gt;PARAMETRES!$F$32,4,IF($K970&gt;PARAMETRES!$E$32,3,IF($K970&gt;PARAMETRES!$D$32,2,1))))))</f>
        <v/>
      </c>
      <c r="T970" t="str">
        <f>IF($L970="","",IF($L970&gt;PARAMETRES!$G$33,5,IF($L970&gt;PARAMETRES!$F$33,4,IF($L970&gt;PARAMETRES!$E$33,3,IF($L970&gt;PARAMETRES!$D$33,2,1)))))</f>
        <v/>
      </c>
      <c r="U970" t="str">
        <f>IF($M970="","",IF($M970&gt;PARAMETRES!$G$34,5,IF($M970&gt;PARAMETRES!$F$34,4,IF($M970&gt;PARAMETRES!$E$34,3,IF($M970&gt;PARAMETRES!$D$34,2,1)))))</f>
        <v/>
      </c>
      <c r="V970" t="str">
        <f>IF($N970="","",IF($N970&gt;PARAMETRES!$G$35,5,IF($N970&gt;PARAMETRES!$F$35,4,IF($N970&gt;PARAMETRES!$E$35,3,IF($N970&gt;PARAMETRES!$D$35,2,1)))))</f>
        <v/>
      </c>
      <c r="W970" t="str">
        <f>IF($O970="","",IF($O970&gt;PARAMETRES!$G$36,5,IF($O970&gt;PARAMETRES!$F$36,4,IF($O970&gt;PARAMETRES!$E$36,3,IF($O970&gt;PARAMETRES!$D$36,2,1)))))</f>
        <v/>
      </c>
      <c r="X970" t="str">
        <f>IF($P970="","",IF($P970&gt;PARAMETRES!$G$37,5,IF($P970&gt;PARAMETRES!$F$37,4,IF($P970&gt;PARAMETRES!$E$37,3,IF($P970&gt;PARAMETRES!$D$37,2,1)))))</f>
        <v/>
      </c>
      <c r="Y970" t="str">
        <f t="shared" si="360"/>
        <v/>
      </c>
      <c r="Z970" t="str">
        <f>IFERROR(VLOOKUP($B970,TABLE_CYCLE,2,0),"")</f>
        <v/>
      </c>
      <c r="AA970" t="str">
        <f t="shared" si="361"/>
        <v/>
      </c>
      <c r="AB970" t="str">
        <f>IF($D970="","",IF(COUNTIF($D$2:$D970,$D970)=1,$D970,""))</f>
        <v/>
      </c>
      <c r="AC970">
        <f t="shared" si="362"/>
        <v>0</v>
      </c>
      <c r="AD970" t="str">
        <f t="shared" si="363"/>
        <v>|0</v>
      </c>
      <c r="AE970" t="str">
        <f t="shared" si="364"/>
        <v/>
      </c>
      <c r="AF970" t="str">
        <f t="shared" si="365"/>
        <v/>
      </c>
      <c r="AG970" t="str">
        <f t="shared" si="366"/>
        <v/>
      </c>
      <c r="AH970" t="str">
        <f t="shared" si="367"/>
        <v/>
      </c>
      <c r="AI970" t="str">
        <f t="shared" si="368"/>
        <v/>
      </c>
      <c r="AJ970" t="str">
        <f t="shared" si="369"/>
        <v/>
      </c>
      <c r="AK970" t="str">
        <f t="shared" si="370"/>
        <v/>
      </c>
      <c r="AL970" t="str">
        <f t="shared" si="371"/>
        <v/>
      </c>
      <c r="AM970" t="str">
        <f t="shared" si="372"/>
        <v/>
      </c>
      <c r="AN970" t="str">
        <f t="shared" si="373"/>
        <v/>
      </c>
      <c r="AO970" t="str">
        <f t="shared" si="374"/>
        <v/>
      </c>
      <c r="AP970">
        <f t="shared" si="375"/>
        <v>1</v>
      </c>
      <c r="AQ970" t="str">
        <f>IF(SAISIE!$F975="","",SAISIE!$Y975)</f>
        <v/>
      </c>
      <c r="AR970" t="str">
        <f>IF(OR(SAISIE!$U$4="",SAISIE!$W$4=""),"",IF(AND($A970=SAISIE!$U$4,$B970=SAISIE!$W$4,$C970="S1"),COUNTIFS($A$2:$A970,SAISIE!$U$4,$B$2:$B970,SAISIE!$W$4,$C$2:$C970,"S1"),""))</f>
        <v/>
      </c>
      <c r="AS970" t="str">
        <f t="shared" si="376"/>
        <v/>
      </c>
      <c r="AT970" t="str">
        <f t="shared" si="377"/>
        <v/>
      </c>
      <c r="AU970" t="str">
        <f t="shared" si="378"/>
        <v/>
      </c>
      <c r="AV970">
        <f>N(AV969)+IF(AND($AB970&lt;&gt;"",OR('PROFIL ELEVE'!$K$4="(Tous)",$AF970='PROFIL ELEVE'!$K$4)),1,0)</f>
        <v>0</v>
      </c>
      <c r="AW970">
        <f>N(AW969)+IF(AND($AB970&lt;&gt;"",OR('SUIVI LONGITUDINAL'!$Q$4="(Tous)",$AF970='SUIVI LONGITUDINAL'!$Q$4)),1,0)</f>
        <v>0</v>
      </c>
      <c r="AX970">
        <f t="shared" si="379"/>
        <v>0</v>
      </c>
      <c r="AY970">
        <f t="shared" si="380"/>
        <v>0</v>
      </c>
      <c r="AZ970">
        <f t="shared" si="381"/>
        <v>0</v>
      </c>
      <c r="BA970" t="str">
        <f t="shared" si="382"/>
        <v/>
      </c>
      <c r="BB970" t="str">
        <f t="shared" si="383"/>
        <v/>
      </c>
    </row>
    <row r="971" spans="1:54" ht="14.25" customHeight="1" x14ac:dyDescent="0.3">
      <c r="A971" t="str">
        <f>IF(SAISIE!$F976="","",SAISIE!$B976)</f>
        <v/>
      </c>
      <c r="B971" t="str">
        <f>IF(SAISIE!$F976="","",SAISIE!$C976)</f>
        <v/>
      </c>
      <c r="C971" t="str">
        <f>IF(SAISIE!$F976="","",SAISIE!$D976)</f>
        <v/>
      </c>
      <c r="D971" t="str">
        <f>IF(SAISIE!$E976="","",SAISIE!$E976)</f>
        <v/>
      </c>
      <c r="E971" t="str">
        <f>IF(SAISIE!$F976="","",SAISIE!$F976)</f>
        <v/>
      </c>
      <c r="F971" t="str">
        <f>IF(SAISIE!$G976="","",SAISIE!$G976)</f>
        <v/>
      </c>
      <c r="G971" t="str">
        <f>IF(SAISIE!$H976="","",SAISIE!$H976)</f>
        <v/>
      </c>
      <c r="H971" t="str">
        <f>IF(SAISIE!$I976="","",SAISIE!$I976)</f>
        <v/>
      </c>
      <c r="I971" t="str">
        <f>IF(SAISIE!$J976="","",SAISIE!$J976)</f>
        <v/>
      </c>
      <c r="J971" t="str">
        <f>IF(SAISIE!$K976="","",SAISIE!$K976)</f>
        <v/>
      </c>
      <c r="K971" t="str">
        <f>IF(SAISIE!$L976="","",SAISIE!$L976)</f>
        <v/>
      </c>
      <c r="L971" t="str">
        <f>IF(SAISIE!$M976="","",SAISIE!$M976)</f>
        <v/>
      </c>
      <c r="M971" t="str">
        <f>IF(SAISIE!$N976="","",SAISIE!$N976)</f>
        <v/>
      </c>
      <c r="N971" t="str">
        <f>IF(SAISIE!$O976="","",SAISIE!$O976)</f>
        <v/>
      </c>
      <c r="O971" t="str">
        <f>IF(SAISIE!$P976="","",SAISIE!$P976)</f>
        <v/>
      </c>
      <c r="P971" t="str">
        <f>IF(SAISIE!$Q976="","",SAISIE!$Q976)</f>
        <v/>
      </c>
      <c r="Q971" t="str">
        <f>IF($I971="","",IF($I971&gt;PARAMETRES!$G$29,5,IF($I971&gt;PARAMETRES!$F$29,4,IF($I971&gt;PARAMETRES!$E$29,3,IF($I971&gt;PARAMETRES!$D$29,2,1)))))</f>
        <v/>
      </c>
      <c r="R971" t="str">
        <f>IF($J971="","",IF($J971&gt;PARAMETRES!$G$30,5,IF($J971&gt;PARAMETRES!$F$30,4,IF($J971&gt;PARAMETRES!$E$30,3,IF($J971&gt;PARAMETRES!$D$30,2,1)))))</f>
        <v/>
      </c>
      <c r="S971" t="str">
        <f>IF($K971="","",IF($Z971=2,IF($K971&gt;PARAMETRES!$G$31,5,IF($K971&gt;PARAMETRES!$F$31,4,IF($K971&gt;PARAMETRES!$E$31,3,IF($K971&gt;PARAMETRES!$D$31,2,1)))),IF($K971&gt;PARAMETRES!$G$32,5,IF($K971&gt;PARAMETRES!$F$32,4,IF($K971&gt;PARAMETRES!$E$32,3,IF($K971&gt;PARAMETRES!$D$32,2,1))))))</f>
        <v/>
      </c>
      <c r="T971" t="str">
        <f>IF($L971="","",IF($L971&gt;PARAMETRES!$G$33,5,IF($L971&gt;PARAMETRES!$F$33,4,IF($L971&gt;PARAMETRES!$E$33,3,IF($L971&gt;PARAMETRES!$D$33,2,1)))))</f>
        <v/>
      </c>
      <c r="U971" t="str">
        <f>IF($M971="","",IF($M971&gt;PARAMETRES!$G$34,5,IF($M971&gt;PARAMETRES!$F$34,4,IF($M971&gt;PARAMETRES!$E$34,3,IF($M971&gt;PARAMETRES!$D$34,2,1)))))</f>
        <v/>
      </c>
      <c r="V971" t="str">
        <f>IF($N971="","",IF($N971&gt;PARAMETRES!$G$35,5,IF($N971&gt;PARAMETRES!$F$35,4,IF($N971&gt;PARAMETRES!$E$35,3,IF($N971&gt;PARAMETRES!$D$35,2,1)))))</f>
        <v/>
      </c>
      <c r="W971" t="str">
        <f>IF($O971="","",IF($O971&gt;PARAMETRES!$G$36,5,IF($O971&gt;PARAMETRES!$F$36,4,IF($O971&gt;PARAMETRES!$E$36,3,IF($O971&gt;PARAMETRES!$D$36,2,1)))))</f>
        <v/>
      </c>
      <c r="X971" t="str">
        <f>IF($P971="","",IF($P971&gt;PARAMETRES!$G$37,5,IF($P971&gt;PARAMETRES!$F$37,4,IF($P971&gt;PARAMETRES!$E$37,3,IF($P971&gt;PARAMETRES!$D$37,2,1)))))</f>
        <v/>
      </c>
      <c r="Y971" t="str">
        <f t="shared" si="360"/>
        <v/>
      </c>
      <c r="Z971" t="str">
        <f>IFERROR(VLOOKUP($B971,TABLE_CYCLE,2,0),"")</f>
        <v/>
      </c>
      <c r="AA971" t="str">
        <f t="shared" si="361"/>
        <v/>
      </c>
      <c r="AB971" t="str">
        <f>IF($D971="","",IF(COUNTIF($D$2:$D971,$D971)=1,$D971,""))</f>
        <v/>
      </c>
      <c r="AC971">
        <f t="shared" si="362"/>
        <v>0</v>
      </c>
      <c r="AD971" t="str">
        <f t="shared" si="363"/>
        <v>|0</v>
      </c>
      <c r="AE971" t="str">
        <f t="shared" si="364"/>
        <v/>
      </c>
      <c r="AF971" t="str">
        <f t="shared" si="365"/>
        <v/>
      </c>
      <c r="AG971" t="str">
        <f t="shared" si="366"/>
        <v/>
      </c>
      <c r="AH971" t="str">
        <f t="shared" si="367"/>
        <v/>
      </c>
      <c r="AI971" t="str">
        <f t="shared" si="368"/>
        <v/>
      </c>
      <c r="AJ971" t="str">
        <f t="shared" si="369"/>
        <v/>
      </c>
      <c r="AK971" t="str">
        <f t="shared" si="370"/>
        <v/>
      </c>
      <c r="AL971" t="str">
        <f t="shared" si="371"/>
        <v/>
      </c>
      <c r="AM971" t="str">
        <f t="shared" si="372"/>
        <v/>
      </c>
      <c r="AN971" t="str">
        <f t="shared" si="373"/>
        <v/>
      </c>
      <c r="AO971" t="str">
        <f t="shared" si="374"/>
        <v/>
      </c>
      <c r="AP971">
        <f t="shared" si="375"/>
        <v>1</v>
      </c>
      <c r="AQ971" t="str">
        <f>IF(SAISIE!$F976="","",SAISIE!$Y976)</f>
        <v/>
      </c>
      <c r="AR971" t="str">
        <f>IF(OR(SAISIE!$U$4="",SAISIE!$W$4=""),"",IF(AND($A971=SAISIE!$U$4,$B971=SAISIE!$W$4,$C971="S1"),COUNTIFS($A$2:$A971,SAISIE!$U$4,$B$2:$B971,SAISIE!$W$4,$C$2:$C971,"S1"),""))</f>
        <v/>
      </c>
      <c r="AS971" t="str">
        <f t="shared" si="376"/>
        <v/>
      </c>
      <c r="AT971" t="str">
        <f t="shared" si="377"/>
        <v/>
      </c>
      <c r="AU971" t="str">
        <f t="shared" si="378"/>
        <v/>
      </c>
      <c r="AV971">
        <f>N(AV970)+IF(AND($AB971&lt;&gt;"",OR('PROFIL ELEVE'!$K$4="(Tous)",$AF971='PROFIL ELEVE'!$K$4)),1,0)</f>
        <v>0</v>
      </c>
      <c r="AW971">
        <f>N(AW970)+IF(AND($AB971&lt;&gt;"",OR('SUIVI LONGITUDINAL'!$Q$4="(Tous)",$AF971='SUIVI LONGITUDINAL'!$Q$4)),1,0)</f>
        <v>0</v>
      </c>
      <c r="AX971">
        <f t="shared" si="379"/>
        <v>0</v>
      </c>
      <c r="AY971">
        <f t="shared" si="380"/>
        <v>0</v>
      </c>
      <c r="AZ971">
        <f t="shared" si="381"/>
        <v>0</v>
      </c>
      <c r="BA971" t="str">
        <f t="shared" si="382"/>
        <v/>
      </c>
      <c r="BB971" t="str">
        <f t="shared" si="383"/>
        <v/>
      </c>
    </row>
    <row r="972" spans="1:54" ht="14.25" customHeight="1" x14ac:dyDescent="0.3">
      <c r="A972" t="str">
        <f>IF(SAISIE!$F977="","",SAISIE!$B977)</f>
        <v/>
      </c>
      <c r="B972" t="str">
        <f>IF(SAISIE!$F977="","",SAISIE!$C977)</f>
        <v/>
      </c>
      <c r="C972" t="str">
        <f>IF(SAISIE!$F977="","",SAISIE!$D977)</f>
        <v/>
      </c>
      <c r="D972" t="str">
        <f>IF(SAISIE!$E977="","",SAISIE!$E977)</f>
        <v/>
      </c>
      <c r="E972" t="str">
        <f>IF(SAISIE!$F977="","",SAISIE!$F977)</f>
        <v/>
      </c>
      <c r="F972" t="str">
        <f>IF(SAISIE!$G977="","",SAISIE!$G977)</f>
        <v/>
      </c>
      <c r="G972" t="str">
        <f>IF(SAISIE!$H977="","",SAISIE!$H977)</f>
        <v/>
      </c>
      <c r="H972" t="str">
        <f>IF(SAISIE!$I977="","",SAISIE!$I977)</f>
        <v/>
      </c>
      <c r="I972" t="str">
        <f>IF(SAISIE!$J977="","",SAISIE!$J977)</f>
        <v/>
      </c>
      <c r="J972" t="str">
        <f>IF(SAISIE!$K977="","",SAISIE!$K977)</f>
        <v/>
      </c>
      <c r="K972" t="str">
        <f>IF(SAISIE!$L977="","",SAISIE!$L977)</f>
        <v/>
      </c>
      <c r="L972" t="str">
        <f>IF(SAISIE!$M977="","",SAISIE!$M977)</f>
        <v/>
      </c>
      <c r="M972" t="str">
        <f>IF(SAISIE!$N977="","",SAISIE!$N977)</f>
        <v/>
      </c>
      <c r="N972" t="str">
        <f>IF(SAISIE!$O977="","",SAISIE!$O977)</f>
        <v/>
      </c>
      <c r="O972" t="str">
        <f>IF(SAISIE!$P977="","",SAISIE!$P977)</f>
        <v/>
      </c>
      <c r="P972" t="str">
        <f>IF(SAISIE!$Q977="","",SAISIE!$Q977)</f>
        <v/>
      </c>
      <c r="Q972" t="str">
        <f>IF($I972="","",IF($I972&gt;PARAMETRES!$G$29,5,IF($I972&gt;PARAMETRES!$F$29,4,IF($I972&gt;PARAMETRES!$E$29,3,IF($I972&gt;PARAMETRES!$D$29,2,1)))))</f>
        <v/>
      </c>
      <c r="R972" t="str">
        <f>IF($J972="","",IF($J972&gt;PARAMETRES!$G$30,5,IF($J972&gt;PARAMETRES!$F$30,4,IF($J972&gt;PARAMETRES!$E$30,3,IF($J972&gt;PARAMETRES!$D$30,2,1)))))</f>
        <v/>
      </c>
      <c r="S972" t="str">
        <f>IF($K972="","",IF($Z972=2,IF($K972&gt;PARAMETRES!$G$31,5,IF($K972&gt;PARAMETRES!$F$31,4,IF($K972&gt;PARAMETRES!$E$31,3,IF($K972&gt;PARAMETRES!$D$31,2,1)))),IF($K972&gt;PARAMETRES!$G$32,5,IF($K972&gt;PARAMETRES!$F$32,4,IF($K972&gt;PARAMETRES!$E$32,3,IF($K972&gt;PARAMETRES!$D$32,2,1))))))</f>
        <v/>
      </c>
      <c r="T972" t="str">
        <f>IF($L972="","",IF($L972&gt;PARAMETRES!$G$33,5,IF($L972&gt;PARAMETRES!$F$33,4,IF($L972&gt;PARAMETRES!$E$33,3,IF($L972&gt;PARAMETRES!$D$33,2,1)))))</f>
        <v/>
      </c>
      <c r="U972" t="str">
        <f>IF($M972="","",IF($M972&gt;PARAMETRES!$G$34,5,IF($M972&gt;PARAMETRES!$F$34,4,IF($M972&gt;PARAMETRES!$E$34,3,IF($M972&gt;PARAMETRES!$D$34,2,1)))))</f>
        <v/>
      </c>
      <c r="V972" t="str">
        <f>IF($N972="","",IF($N972&gt;PARAMETRES!$G$35,5,IF($N972&gt;PARAMETRES!$F$35,4,IF($N972&gt;PARAMETRES!$E$35,3,IF($N972&gt;PARAMETRES!$D$35,2,1)))))</f>
        <v/>
      </c>
      <c r="W972" t="str">
        <f>IF($O972="","",IF($O972&gt;PARAMETRES!$G$36,5,IF($O972&gt;PARAMETRES!$F$36,4,IF($O972&gt;PARAMETRES!$E$36,3,IF($O972&gt;PARAMETRES!$D$36,2,1)))))</f>
        <v/>
      </c>
      <c r="X972" t="str">
        <f>IF($P972="","",IF($P972&gt;PARAMETRES!$G$37,5,IF($P972&gt;PARAMETRES!$F$37,4,IF($P972&gt;PARAMETRES!$E$37,3,IF($P972&gt;PARAMETRES!$D$37,2,1)))))</f>
        <v/>
      </c>
      <c r="Y972" t="str">
        <f t="shared" si="360"/>
        <v/>
      </c>
      <c r="Z972" t="str">
        <f>IFERROR(VLOOKUP($B972,TABLE_CYCLE,2,0),"")</f>
        <v/>
      </c>
      <c r="AA972" t="str">
        <f t="shared" si="361"/>
        <v/>
      </c>
      <c r="AB972" t="str">
        <f>IF($D972="","",IF(COUNTIF($D$2:$D972,$D972)=1,$D972,""))</f>
        <v/>
      </c>
      <c r="AC972">
        <f t="shared" si="362"/>
        <v>0</v>
      </c>
      <c r="AD972" t="str">
        <f t="shared" si="363"/>
        <v>|0</v>
      </c>
      <c r="AE972" t="str">
        <f t="shared" si="364"/>
        <v/>
      </c>
      <c r="AF972" t="str">
        <f t="shared" si="365"/>
        <v/>
      </c>
      <c r="AG972" t="str">
        <f t="shared" si="366"/>
        <v/>
      </c>
      <c r="AH972" t="str">
        <f t="shared" si="367"/>
        <v/>
      </c>
      <c r="AI972" t="str">
        <f t="shared" si="368"/>
        <v/>
      </c>
      <c r="AJ972" t="str">
        <f t="shared" si="369"/>
        <v/>
      </c>
      <c r="AK972" t="str">
        <f t="shared" si="370"/>
        <v/>
      </c>
      <c r="AL972" t="str">
        <f t="shared" si="371"/>
        <v/>
      </c>
      <c r="AM972" t="str">
        <f t="shared" si="372"/>
        <v/>
      </c>
      <c r="AN972" t="str">
        <f t="shared" si="373"/>
        <v/>
      </c>
      <c r="AO972" t="str">
        <f t="shared" si="374"/>
        <v/>
      </c>
      <c r="AP972">
        <f t="shared" si="375"/>
        <v>1</v>
      </c>
      <c r="AQ972" t="str">
        <f>IF(SAISIE!$F977="","",SAISIE!$Y977)</f>
        <v/>
      </c>
      <c r="AR972" t="str">
        <f>IF(OR(SAISIE!$U$4="",SAISIE!$W$4=""),"",IF(AND($A972=SAISIE!$U$4,$B972=SAISIE!$W$4,$C972="S1"),COUNTIFS($A$2:$A972,SAISIE!$U$4,$B$2:$B972,SAISIE!$W$4,$C$2:$C972,"S1"),""))</f>
        <v/>
      </c>
      <c r="AS972" t="str">
        <f t="shared" si="376"/>
        <v/>
      </c>
      <c r="AT972" t="str">
        <f t="shared" si="377"/>
        <v/>
      </c>
      <c r="AU972" t="str">
        <f t="shared" si="378"/>
        <v/>
      </c>
      <c r="AV972">
        <f>N(AV971)+IF(AND($AB972&lt;&gt;"",OR('PROFIL ELEVE'!$K$4="(Tous)",$AF972='PROFIL ELEVE'!$K$4)),1,0)</f>
        <v>0</v>
      </c>
      <c r="AW972">
        <f>N(AW971)+IF(AND($AB972&lt;&gt;"",OR('SUIVI LONGITUDINAL'!$Q$4="(Tous)",$AF972='SUIVI LONGITUDINAL'!$Q$4)),1,0)</f>
        <v>0</v>
      </c>
      <c r="AX972">
        <f t="shared" si="379"/>
        <v>0</v>
      </c>
      <c r="AY972">
        <f t="shared" si="380"/>
        <v>0</v>
      </c>
      <c r="AZ972">
        <f t="shared" si="381"/>
        <v>0</v>
      </c>
      <c r="BA972" t="str">
        <f t="shared" si="382"/>
        <v/>
      </c>
      <c r="BB972" t="str">
        <f t="shared" si="383"/>
        <v/>
      </c>
    </row>
    <row r="973" spans="1:54" ht="14.25" customHeight="1" x14ac:dyDescent="0.3">
      <c r="A973" t="str">
        <f>IF(SAISIE!$F978="","",SAISIE!$B978)</f>
        <v/>
      </c>
      <c r="B973" t="str">
        <f>IF(SAISIE!$F978="","",SAISIE!$C978)</f>
        <v/>
      </c>
      <c r="C973" t="str">
        <f>IF(SAISIE!$F978="","",SAISIE!$D978)</f>
        <v/>
      </c>
      <c r="D973" t="str">
        <f>IF(SAISIE!$E978="","",SAISIE!$E978)</f>
        <v/>
      </c>
      <c r="E973" t="str">
        <f>IF(SAISIE!$F978="","",SAISIE!$F978)</f>
        <v/>
      </c>
      <c r="F973" t="str">
        <f>IF(SAISIE!$G978="","",SAISIE!$G978)</f>
        <v/>
      </c>
      <c r="G973" t="str">
        <f>IF(SAISIE!$H978="","",SAISIE!$H978)</f>
        <v/>
      </c>
      <c r="H973" t="str">
        <f>IF(SAISIE!$I978="","",SAISIE!$I978)</f>
        <v/>
      </c>
      <c r="I973" t="str">
        <f>IF(SAISIE!$J978="","",SAISIE!$J978)</f>
        <v/>
      </c>
      <c r="J973" t="str">
        <f>IF(SAISIE!$K978="","",SAISIE!$K978)</f>
        <v/>
      </c>
      <c r="K973" t="str">
        <f>IF(SAISIE!$L978="","",SAISIE!$L978)</f>
        <v/>
      </c>
      <c r="L973" t="str">
        <f>IF(SAISIE!$M978="","",SAISIE!$M978)</f>
        <v/>
      </c>
      <c r="M973" t="str">
        <f>IF(SAISIE!$N978="","",SAISIE!$N978)</f>
        <v/>
      </c>
      <c r="N973" t="str">
        <f>IF(SAISIE!$O978="","",SAISIE!$O978)</f>
        <v/>
      </c>
      <c r="O973" t="str">
        <f>IF(SAISIE!$P978="","",SAISIE!$P978)</f>
        <v/>
      </c>
      <c r="P973" t="str">
        <f>IF(SAISIE!$Q978="","",SAISIE!$Q978)</f>
        <v/>
      </c>
      <c r="Q973" t="str">
        <f>IF($I973="","",IF($I973&gt;PARAMETRES!$G$29,5,IF($I973&gt;PARAMETRES!$F$29,4,IF($I973&gt;PARAMETRES!$E$29,3,IF($I973&gt;PARAMETRES!$D$29,2,1)))))</f>
        <v/>
      </c>
      <c r="R973" t="str">
        <f>IF($J973="","",IF($J973&gt;PARAMETRES!$G$30,5,IF($J973&gt;PARAMETRES!$F$30,4,IF($J973&gt;PARAMETRES!$E$30,3,IF($J973&gt;PARAMETRES!$D$30,2,1)))))</f>
        <v/>
      </c>
      <c r="S973" t="str">
        <f>IF($K973="","",IF($Z973=2,IF($K973&gt;PARAMETRES!$G$31,5,IF($K973&gt;PARAMETRES!$F$31,4,IF($K973&gt;PARAMETRES!$E$31,3,IF($K973&gt;PARAMETRES!$D$31,2,1)))),IF($K973&gt;PARAMETRES!$G$32,5,IF($K973&gt;PARAMETRES!$F$32,4,IF($K973&gt;PARAMETRES!$E$32,3,IF($K973&gt;PARAMETRES!$D$32,2,1))))))</f>
        <v/>
      </c>
      <c r="T973" t="str">
        <f>IF($L973="","",IF($L973&gt;PARAMETRES!$G$33,5,IF($L973&gt;PARAMETRES!$F$33,4,IF($L973&gt;PARAMETRES!$E$33,3,IF($L973&gt;PARAMETRES!$D$33,2,1)))))</f>
        <v/>
      </c>
      <c r="U973" t="str">
        <f>IF($M973="","",IF($M973&gt;PARAMETRES!$G$34,5,IF($M973&gt;PARAMETRES!$F$34,4,IF($M973&gt;PARAMETRES!$E$34,3,IF($M973&gt;PARAMETRES!$D$34,2,1)))))</f>
        <v/>
      </c>
      <c r="V973" t="str">
        <f>IF($N973="","",IF($N973&gt;PARAMETRES!$G$35,5,IF($N973&gt;PARAMETRES!$F$35,4,IF($N973&gt;PARAMETRES!$E$35,3,IF($N973&gt;PARAMETRES!$D$35,2,1)))))</f>
        <v/>
      </c>
      <c r="W973" t="str">
        <f>IF($O973="","",IF($O973&gt;PARAMETRES!$G$36,5,IF($O973&gt;PARAMETRES!$F$36,4,IF($O973&gt;PARAMETRES!$E$36,3,IF($O973&gt;PARAMETRES!$D$36,2,1)))))</f>
        <v/>
      </c>
      <c r="X973" t="str">
        <f>IF($P973="","",IF($P973&gt;PARAMETRES!$G$37,5,IF($P973&gt;PARAMETRES!$F$37,4,IF($P973&gt;PARAMETRES!$E$37,3,IF($P973&gt;PARAMETRES!$D$37,2,1)))))</f>
        <v/>
      </c>
      <c r="Y973" t="str">
        <f t="shared" si="360"/>
        <v/>
      </c>
      <c r="Z973" t="str">
        <f>IFERROR(VLOOKUP($B973,TABLE_CYCLE,2,0),"")</f>
        <v/>
      </c>
      <c r="AA973" t="str">
        <f t="shared" si="361"/>
        <v/>
      </c>
      <c r="AB973" t="str">
        <f>IF($D973="","",IF(COUNTIF($D$2:$D973,$D973)=1,$D973,""))</f>
        <v/>
      </c>
      <c r="AC973">
        <f t="shared" si="362"/>
        <v>0</v>
      </c>
      <c r="AD973" t="str">
        <f t="shared" si="363"/>
        <v>|0</v>
      </c>
      <c r="AE973" t="str">
        <f t="shared" si="364"/>
        <v/>
      </c>
      <c r="AF973" t="str">
        <f t="shared" si="365"/>
        <v/>
      </c>
      <c r="AG973" t="str">
        <f t="shared" si="366"/>
        <v/>
      </c>
      <c r="AH973" t="str">
        <f t="shared" si="367"/>
        <v/>
      </c>
      <c r="AI973" t="str">
        <f t="shared" si="368"/>
        <v/>
      </c>
      <c r="AJ973" t="str">
        <f t="shared" si="369"/>
        <v/>
      </c>
      <c r="AK973" t="str">
        <f t="shared" si="370"/>
        <v/>
      </c>
      <c r="AL973" t="str">
        <f t="shared" si="371"/>
        <v/>
      </c>
      <c r="AM973" t="str">
        <f t="shared" si="372"/>
        <v/>
      </c>
      <c r="AN973" t="str">
        <f t="shared" si="373"/>
        <v/>
      </c>
      <c r="AO973" t="str">
        <f t="shared" si="374"/>
        <v/>
      </c>
      <c r="AP973">
        <f t="shared" si="375"/>
        <v>1</v>
      </c>
      <c r="AQ973" t="str">
        <f>IF(SAISIE!$F978="","",SAISIE!$Y978)</f>
        <v/>
      </c>
      <c r="AR973" t="str">
        <f>IF(OR(SAISIE!$U$4="",SAISIE!$W$4=""),"",IF(AND($A973=SAISIE!$U$4,$B973=SAISIE!$W$4,$C973="S1"),COUNTIFS($A$2:$A973,SAISIE!$U$4,$B$2:$B973,SAISIE!$W$4,$C$2:$C973,"S1"),""))</f>
        <v/>
      </c>
      <c r="AS973" t="str">
        <f t="shared" si="376"/>
        <v/>
      </c>
      <c r="AT973" t="str">
        <f t="shared" si="377"/>
        <v/>
      </c>
      <c r="AU973" t="str">
        <f t="shared" si="378"/>
        <v/>
      </c>
      <c r="AV973">
        <f>N(AV972)+IF(AND($AB973&lt;&gt;"",OR('PROFIL ELEVE'!$K$4="(Tous)",$AF973='PROFIL ELEVE'!$K$4)),1,0)</f>
        <v>0</v>
      </c>
      <c r="AW973">
        <f>N(AW972)+IF(AND($AB973&lt;&gt;"",OR('SUIVI LONGITUDINAL'!$Q$4="(Tous)",$AF973='SUIVI LONGITUDINAL'!$Q$4)),1,0)</f>
        <v>0</v>
      </c>
      <c r="AX973">
        <f t="shared" si="379"/>
        <v>0</v>
      </c>
      <c r="AY973">
        <f t="shared" si="380"/>
        <v>0</v>
      </c>
      <c r="AZ973">
        <f t="shared" si="381"/>
        <v>0</v>
      </c>
      <c r="BA973" t="str">
        <f t="shared" si="382"/>
        <v/>
      </c>
      <c r="BB973" t="str">
        <f t="shared" si="383"/>
        <v/>
      </c>
    </row>
    <row r="974" spans="1:54" ht="14.25" customHeight="1" x14ac:dyDescent="0.3">
      <c r="A974" t="str">
        <f>IF(SAISIE!$F979="","",SAISIE!$B979)</f>
        <v/>
      </c>
      <c r="B974" t="str">
        <f>IF(SAISIE!$F979="","",SAISIE!$C979)</f>
        <v/>
      </c>
      <c r="C974" t="str">
        <f>IF(SAISIE!$F979="","",SAISIE!$D979)</f>
        <v/>
      </c>
      <c r="D974" t="str">
        <f>IF(SAISIE!$E979="","",SAISIE!$E979)</f>
        <v/>
      </c>
      <c r="E974" t="str">
        <f>IF(SAISIE!$F979="","",SAISIE!$F979)</f>
        <v/>
      </c>
      <c r="F974" t="str">
        <f>IF(SAISIE!$G979="","",SAISIE!$G979)</f>
        <v/>
      </c>
      <c r="G974" t="str">
        <f>IF(SAISIE!$H979="","",SAISIE!$H979)</f>
        <v/>
      </c>
      <c r="H974" t="str">
        <f>IF(SAISIE!$I979="","",SAISIE!$I979)</f>
        <v/>
      </c>
      <c r="I974" t="str">
        <f>IF(SAISIE!$J979="","",SAISIE!$J979)</f>
        <v/>
      </c>
      <c r="J974" t="str">
        <f>IF(SAISIE!$K979="","",SAISIE!$K979)</f>
        <v/>
      </c>
      <c r="K974" t="str">
        <f>IF(SAISIE!$L979="","",SAISIE!$L979)</f>
        <v/>
      </c>
      <c r="L974" t="str">
        <f>IF(SAISIE!$M979="","",SAISIE!$M979)</f>
        <v/>
      </c>
      <c r="M974" t="str">
        <f>IF(SAISIE!$N979="","",SAISIE!$N979)</f>
        <v/>
      </c>
      <c r="N974" t="str">
        <f>IF(SAISIE!$O979="","",SAISIE!$O979)</f>
        <v/>
      </c>
      <c r="O974" t="str">
        <f>IF(SAISIE!$P979="","",SAISIE!$P979)</f>
        <v/>
      </c>
      <c r="P974" t="str">
        <f>IF(SAISIE!$Q979="","",SAISIE!$Q979)</f>
        <v/>
      </c>
      <c r="Q974" t="str">
        <f>IF($I974="","",IF($I974&gt;PARAMETRES!$G$29,5,IF($I974&gt;PARAMETRES!$F$29,4,IF($I974&gt;PARAMETRES!$E$29,3,IF($I974&gt;PARAMETRES!$D$29,2,1)))))</f>
        <v/>
      </c>
      <c r="R974" t="str">
        <f>IF($J974="","",IF($J974&gt;PARAMETRES!$G$30,5,IF($J974&gt;PARAMETRES!$F$30,4,IF($J974&gt;PARAMETRES!$E$30,3,IF($J974&gt;PARAMETRES!$D$30,2,1)))))</f>
        <v/>
      </c>
      <c r="S974" t="str">
        <f>IF($K974="","",IF($Z974=2,IF($K974&gt;PARAMETRES!$G$31,5,IF($K974&gt;PARAMETRES!$F$31,4,IF($K974&gt;PARAMETRES!$E$31,3,IF($K974&gt;PARAMETRES!$D$31,2,1)))),IF($K974&gt;PARAMETRES!$G$32,5,IF($K974&gt;PARAMETRES!$F$32,4,IF($K974&gt;PARAMETRES!$E$32,3,IF($K974&gt;PARAMETRES!$D$32,2,1))))))</f>
        <v/>
      </c>
      <c r="T974" t="str">
        <f>IF($L974="","",IF($L974&gt;PARAMETRES!$G$33,5,IF($L974&gt;PARAMETRES!$F$33,4,IF($L974&gt;PARAMETRES!$E$33,3,IF($L974&gt;PARAMETRES!$D$33,2,1)))))</f>
        <v/>
      </c>
      <c r="U974" t="str">
        <f>IF($M974="","",IF($M974&gt;PARAMETRES!$G$34,5,IF($M974&gt;PARAMETRES!$F$34,4,IF($M974&gt;PARAMETRES!$E$34,3,IF($M974&gt;PARAMETRES!$D$34,2,1)))))</f>
        <v/>
      </c>
      <c r="V974" t="str">
        <f>IF($N974="","",IF($N974&gt;PARAMETRES!$G$35,5,IF($N974&gt;PARAMETRES!$F$35,4,IF($N974&gt;PARAMETRES!$E$35,3,IF($N974&gt;PARAMETRES!$D$35,2,1)))))</f>
        <v/>
      </c>
      <c r="W974" t="str">
        <f>IF($O974="","",IF($O974&gt;PARAMETRES!$G$36,5,IF($O974&gt;PARAMETRES!$F$36,4,IF($O974&gt;PARAMETRES!$E$36,3,IF($O974&gt;PARAMETRES!$D$36,2,1)))))</f>
        <v/>
      </c>
      <c r="X974" t="str">
        <f>IF($P974="","",IF($P974&gt;PARAMETRES!$G$37,5,IF($P974&gt;PARAMETRES!$F$37,4,IF($P974&gt;PARAMETRES!$E$37,3,IF($P974&gt;PARAMETRES!$D$37,2,1)))))</f>
        <v/>
      </c>
      <c r="Y974" t="str">
        <f t="shared" si="360"/>
        <v/>
      </c>
      <c r="Z974" t="str">
        <f>IFERROR(VLOOKUP($B974,TABLE_CYCLE,2,0),"")</f>
        <v/>
      </c>
      <c r="AA974" t="str">
        <f t="shared" si="361"/>
        <v/>
      </c>
      <c r="AB974" t="str">
        <f>IF($D974="","",IF(COUNTIF($D$2:$D974,$D974)=1,$D974,""))</f>
        <v/>
      </c>
      <c r="AC974">
        <f t="shared" si="362"/>
        <v>0</v>
      </c>
      <c r="AD974" t="str">
        <f t="shared" si="363"/>
        <v>|0</v>
      </c>
      <c r="AE974" t="str">
        <f t="shared" si="364"/>
        <v/>
      </c>
      <c r="AF974" t="str">
        <f t="shared" si="365"/>
        <v/>
      </c>
      <c r="AG974" t="str">
        <f t="shared" si="366"/>
        <v/>
      </c>
      <c r="AH974" t="str">
        <f t="shared" si="367"/>
        <v/>
      </c>
      <c r="AI974" t="str">
        <f t="shared" si="368"/>
        <v/>
      </c>
      <c r="AJ974" t="str">
        <f t="shared" si="369"/>
        <v/>
      </c>
      <c r="AK974" t="str">
        <f t="shared" si="370"/>
        <v/>
      </c>
      <c r="AL974" t="str">
        <f t="shared" si="371"/>
        <v/>
      </c>
      <c r="AM974" t="str">
        <f t="shared" si="372"/>
        <v/>
      </c>
      <c r="AN974" t="str">
        <f t="shared" si="373"/>
        <v/>
      </c>
      <c r="AO974" t="str">
        <f t="shared" si="374"/>
        <v/>
      </c>
      <c r="AP974">
        <f t="shared" si="375"/>
        <v>1</v>
      </c>
      <c r="AQ974" t="str">
        <f>IF(SAISIE!$F979="","",SAISIE!$Y979)</f>
        <v/>
      </c>
      <c r="AR974" t="str">
        <f>IF(OR(SAISIE!$U$4="",SAISIE!$W$4=""),"",IF(AND($A974=SAISIE!$U$4,$B974=SAISIE!$W$4,$C974="S1"),COUNTIFS($A$2:$A974,SAISIE!$U$4,$B$2:$B974,SAISIE!$W$4,$C$2:$C974,"S1"),""))</f>
        <v/>
      </c>
      <c r="AS974" t="str">
        <f t="shared" si="376"/>
        <v/>
      </c>
      <c r="AT974" t="str">
        <f t="shared" si="377"/>
        <v/>
      </c>
      <c r="AU974" t="str">
        <f t="shared" si="378"/>
        <v/>
      </c>
      <c r="AV974">
        <f>N(AV973)+IF(AND($AB974&lt;&gt;"",OR('PROFIL ELEVE'!$K$4="(Tous)",$AF974='PROFIL ELEVE'!$K$4)),1,0)</f>
        <v>0</v>
      </c>
      <c r="AW974">
        <f>N(AW973)+IF(AND($AB974&lt;&gt;"",OR('SUIVI LONGITUDINAL'!$Q$4="(Tous)",$AF974='SUIVI LONGITUDINAL'!$Q$4)),1,0)</f>
        <v>0</v>
      </c>
      <c r="AX974">
        <f t="shared" si="379"/>
        <v>0</v>
      </c>
      <c r="AY974">
        <f t="shared" si="380"/>
        <v>0</v>
      </c>
      <c r="AZ974">
        <f t="shared" si="381"/>
        <v>0</v>
      </c>
      <c r="BA974" t="str">
        <f t="shared" si="382"/>
        <v/>
      </c>
      <c r="BB974" t="str">
        <f t="shared" si="383"/>
        <v/>
      </c>
    </row>
    <row r="975" spans="1:54" ht="14.25" customHeight="1" x14ac:dyDescent="0.3">
      <c r="A975" t="str">
        <f>IF(SAISIE!$F980="","",SAISIE!$B980)</f>
        <v/>
      </c>
      <c r="B975" t="str">
        <f>IF(SAISIE!$F980="","",SAISIE!$C980)</f>
        <v/>
      </c>
      <c r="C975" t="str">
        <f>IF(SAISIE!$F980="","",SAISIE!$D980)</f>
        <v/>
      </c>
      <c r="D975" t="str">
        <f>IF(SAISIE!$E980="","",SAISIE!$E980)</f>
        <v/>
      </c>
      <c r="E975" t="str">
        <f>IF(SAISIE!$F980="","",SAISIE!$F980)</f>
        <v/>
      </c>
      <c r="F975" t="str">
        <f>IF(SAISIE!$G980="","",SAISIE!$G980)</f>
        <v/>
      </c>
      <c r="G975" t="str">
        <f>IF(SAISIE!$H980="","",SAISIE!$H980)</f>
        <v/>
      </c>
      <c r="H975" t="str">
        <f>IF(SAISIE!$I980="","",SAISIE!$I980)</f>
        <v/>
      </c>
      <c r="I975" t="str">
        <f>IF(SAISIE!$J980="","",SAISIE!$J980)</f>
        <v/>
      </c>
      <c r="J975" t="str">
        <f>IF(SAISIE!$K980="","",SAISIE!$K980)</f>
        <v/>
      </c>
      <c r="K975" t="str">
        <f>IF(SAISIE!$L980="","",SAISIE!$L980)</f>
        <v/>
      </c>
      <c r="L975" t="str">
        <f>IF(SAISIE!$M980="","",SAISIE!$M980)</f>
        <v/>
      </c>
      <c r="M975" t="str">
        <f>IF(SAISIE!$N980="","",SAISIE!$N980)</f>
        <v/>
      </c>
      <c r="N975" t="str">
        <f>IF(SAISIE!$O980="","",SAISIE!$O980)</f>
        <v/>
      </c>
      <c r="O975" t="str">
        <f>IF(SAISIE!$P980="","",SAISIE!$P980)</f>
        <v/>
      </c>
      <c r="P975" t="str">
        <f>IF(SAISIE!$Q980="","",SAISIE!$Q980)</f>
        <v/>
      </c>
      <c r="Q975" t="str">
        <f>IF($I975="","",IF($I975&gt;PARAMETRES!$G$29,5,IF($I975&gt;PARAMETRES!$F$29,4,IF($I975&gt;PARAMETRES!$E$29,3,IF($I975&gt;PARAMETRES!$D$29,2,1)))))</f>
        <v/>
      </c>
      <c r="R975" t="str">
        <f>IF($J975="","",IF($J975&gt;PARAMETRES!$G$30,5,IF($J975&gt;PARAMETRES!$F$30,4,IF($J975&gt;PARAMETRES!$E$30,3,IF($J975&gt;PARAMETRES!$D$30,2,1)))))</f>
        <v/>
      </c>
      <c r="S975" t="str">
        <f>IF($K975="","",IF($Z975=2,IF($K975&gt;PARAMETRES!$G$31,5,IF($K975&gt;PARAMETRES!$F$31,4,IF($K975&gt;PARAMETRES!$E$31,3,IF($K975&gt;PARAMETRES!$D$31,2,1)))),IF($K975&gt;PARAMETRES!$G$32,5,IF($K975&gt;PARAMETRES!$F$32,4,IF($K975&gt;PARAMETRES!$E$32,3,IF($K975&gt;PARAMETRES!$D$32,2,1))))))</f>
        <v/>
      </c>
      <c r="T975" t="str">
        <f>IF($L975="","",IF($L975&gt;PARAMETRES!$G$33,5,IF($L975&gt;PARAMETRES!$F$33,4,IF($L975&gt;PARAMETRES!$E$33,3,IF($L975&gt;PARAMETRES!$D$33,2,1)))))</f>
        <v/>
      </c>
      <c r="U975" t="str">
        <f>IF($M975="","",IF($M975&gt;PARAMETRES!$G$34,5,IF($M975&gt;PARAMETRES!$F$34,4,IF($M975&gt;PARAMETRES!$E$34,3,IF($M975&gt;PARAMETRES!$D$34,2,1)))))</f>
        <v/>
      </c>
      <c r="V975" t="str">
        <f>IF($N975="","",IF($N975&gt;PARAMETRES!$G$35,5,IF($N975&gt;PARAMETRES!$F$35,4,IF($N975&gt;PARAMETRES!$E$35,3,IF($N975&gt;PARAMETRES!$D$35,2,1)))))</f>
        <v/>
      </c>
      <c r="W975" t="str">
        <f>IF($O975="","",IF($O975&gt;PARAMETRES!$G$36,5,IF($O975&gt;PARAMETRES!$F$36,4,IF($O975&gt;PARAMETRES!$E$36,3,IF($O975&gt;PARAMETRES!$D$36,2,1)))))</f>
        <v/>
      </c>
      <c r="X975" t="str">
        <f>IF($P975="","",IF($P975&gt;PARAMETRES!$G$37,5,IF($P975&gt;PARAMETRES!$F$37,4,IF($P975&gt;PARAMETRES!$E$37,3,IF($P975&gt;PARAMETRES!$D$37,2,1)))))</f>
        <v/>
      </c>
      <c r="Y975" t="str">
        <f t="shared" si="360"/>
        <v/>
      </c>
      <c r="Z975" t="str">
        <f>IFERROR(VLOOKUP($B975,TABLE_CYCLE,2,0),"")</f>
        <v/>
      </c>
      <c r="AA975" t="str">
        <f t="shared" si="361"/>
        <v/>
      </c>
      <c r="AB975" t="str">
        <f>IF($D975="","",IF(COUNTIF($D$2:$D975,$D975)=1,$D975,""))</f>
        <v/>
      </c>
      <c r="AC975">
        <f t="shared" si="362"/>
        <v>0</v>
      </c>
      <c r="AD975" t="str">
        <f t="shared" si="363"/>
        <v>|0</v>
      </c>
      <c r="AE975" t="str">
        <f t="shared" si="364"/>
        <v/>
      </c>
      <c r="AF975" t="str">
        <f t="shared" si="365"/>
        <v/>
      </c>
      <c r="AG975" t="str">
        <f t="shared" si="366"/>
        <v/>
      </c>
      <c r="AH975" t="str">
        <f t="shared" si="367"/>
        <v/>
      </c>
      <c r="AI975" t="str">
        <f t="shared" si="368"/>
        <v/>
      </c>
      <c r="AJ975" t="str">
        <f t="shared" si="369"/>
        <v/>
      </c>
      <c r="AK975" t="str">
        <f t="shared" si="370"/>
        <v/>
      </c>
      <c r="AL975" t="str">
        <f t="shared" si="371"/>
        <v/>
      </c>
      <c r="AM975" t="str">
        <f t="shared" si="372"/>
        <v/>
      </c>
      <c r="AN975" t="str">
        <f t="shared" si="373"/>
        <v/>
      </c>
      <c r="AO975" t="str">
        <f t="shared" si="374"/>
        <v/>
      </c>
      <c r="AP975">
        <f t="shared" si="375"/>
        <v>1</v>
      </c>
      <c r="AQ975" t="str">
        <f>IF(SAISIE!$F980="","",SAISIE!$Y980)</f>
        <v/>
      </c>
      <c r="AR975" t="str">
        <f>IF(OR(SAISIE!$U$4="",SAISIE!$W$4=""),"",IF(AND($A975=SAISIE!$U$4,$B975=SAISIE!$W$4,$C975="S1"),COUNTIFS($A$2:$A975,SAISIE!$U$4,$B$2:$B975,SAISIE!$W$4,$C$2:$C975,"S1"),""))</f>
        <v/>
      </c>
      <c r="AS975" t="str">
        <f t="shared" si="376"/>
        <v/>
      </c>
      <c r="AT975" t="str">
        <f t="shared" si="377"/>
        <v/>
      </c>
      <c r="AU975" t="str">
        <f t="shared" si="378"/>
        <v/>
      </c>
      <c r="AV975">
        <f>N(AV974)+IF(AND($AB975&lt;&gt;"",OR('PROFIL ELEVE'!$K$4="(Tous)",$AF975='PROFIL ELEVE'!$K$4)),1,0)</f>
        <v>0</v>
      </c>
      <c r="AW975">
        <f>N(AW974)+IF(AND($AB975&lt;&gt;"",OR('SUIVI LONGITUDINAL'!$Q$4="(Tous)",$AF975='SUIVI LONGITUDINAL'!$Q$4)),1,0)</f>
        <v>0</v>
      </c>
      <c r="AX975">
        <f t="shared" si="379"/>
        <v>0</v>
      </c>
      <c r="AY975">
        <f t="shared" si="380"/>
        <v>0</v>
      </c>
      <c r="AZ975">
        <f t="shared" si="381"/>
        <v>0</v>
      </c>
      <c r="BA975" t="str">
        <f t="shared" si="382"/>
        <v/>
      </c>
      <c r="BB975" t="str">
        <f t="shared" si="383"/>
        <v/>
      </c>
    </row>
    <row r="976" spans="1:54" ht="14.25" customHeight="1" x14ac:dyDescent="0.3">
      <c r="A976" t="str">
        <f>IF(SAISIE!$F981="","",SAISIE!$B981)</f>
        <v/>
      </c>
      <c r="B976" t="str">
        <f>IF(SAISIE!$F981="","",SAISIE!$C981)</f>
        <v/>
      </c>
      <c r="C976" t="str">
        <f>IF(SAISIE!$F981="","",SAISIE!$D981)</f>
        <v/>
      </c>
      <c r="D976" t="str">
        <f>IF(SAISIE!$E981="","",SAISIE!$E981)</f>
        <v/>
      </c>
      <c r="E976" t="str">
        <f>IF(SAISIE!$F981="","",SAISIE!$F981)</f>
        <v/>
      </c>
      <c r="F976" t="str">
        <f>IF(SAISIE!$G981="","",SAISIE!$G981)</f>
        <v/>
      </c>
      <c r="G976" t="str">
        <f>IF(SAISIE!$H981="","",SAISIE!$H981)</f>
        <v/>
      </c>
      <c r="H976" t="str">
        <f>IF(SAISIE!$I981="","",SAISIE!$I981)</f>
        <v/>
      </c>
      <c r="I976" t="str">
        <f>IF(SAISIE!$J981="","",SAISIE!$J981)</f>
        <v/>
      </c>
      <c r="J976" t="str">
        <f>IF(SAISIE!$K981="","",SAISIE!$K981)</f>
        <v/>
      </c>
      <c r="K976" t="str">
        <f>IF(SAISIE!$L981="","",SAISIE!$L981)</f>
        <v/>
      </c>
      <c r="L976" t="str">
        <f>IF(SAISIE!$M981="","",SAISIE!$M981)</f>
        <v/>
      </c>
      <c r="M976" t="str">
        <f>IF(SAISIE!$N981="","",SAISIE!$N981)</f>
        <v/>
      </c>
      <c r="N976" t="str">
        <f>IF(SAISIE!$O981="","",SAISIE!$O981)</f>
        <v/>
      </c>
      <c r="O976" t="str">
        <f>IF(SAISIE!$P981="","",SAISIE!$P981)</f>
        <v/>
      </c>
      <c r="P976" t="str">
        <f>IF(SAISIE!$Q981="","",SAISIE!$Q981)</f>
        <v/>
      </c>
      <c r="Q976" t="str">
        <f>IF($I976="","",IF($I976&gt;PARAMETRES!$G$29,5,IF($I976&gt;PARAMETRES!$F$29,4,IF($I976&gt;PARAMETRES!$E$29,3,IF($I976&gt;PARAMETRES!$D$29,2,1)))))</f>
        <v/>
      </c>
      <c r="R976" t="str">
        <f>IF($J976="","",IF($J976&gt;PARAMETRES!$G$30,5,IF($J976&gt;PARAMETRES!$F$30,4,IF($J976&gt;PARAMETRES!$E$30,3,IF($J976&gt;PARAMETRES!$D$30,2,1)))))</f>
        <v/>
      </c>
      <c r="S976" t="str">
        <f>IF($K976="","",IF($Z976=2,IF($K976&gt;PARAMETRES!$G$31,5,IF($K976&gt;PARAMETRES!$F$31,4,IF($K976&gt;PARAMETRES!$E$31,3,IF($K976&gt;PARAMETRES!$D$31,2,1)))),IF($K976&gt;PARAMETRES!$G$32,5,IF($K976&gt;PARAMETRES!$F$32,4,IF($K976&gt;PARAMETRES!$E$32,3,IF($K976&gt;PARAMETRES!$D$32,2,1))))))</f>
        <v/>
      </c>
      <c r="T976" t="str">
        <f>IF($L976="","",IF($L976&gt;PARAMETRES!$G$33,5,IF($L976&gt;PARAMETRES!$F$33,4,IF($L976&gt;PARAMETRES!$E$33,3,IF($L976&gt;PARAMETRES!$D$33,2,1)))))</f>
        <v/>
      </c>
      <c r="U976" t="str">
        <f>IF($M976="","",IF($M976&gt;PARAMETRES!$G$34,5,IF($M976&gt;PARAMETRES!$F$34,4,IF($M976&gt;PARAMETRES!$E$34,3,IF($M976&gt;PARAMETRES!$D$34,2,1)))))</f>
        <v/>
      </c>
      <c r="V976" t="str">
        <f>IF($N976="","",IF($N976&gt;PARAMETRES!$G$35,5,IF($N976&gt;PARAMETRES!$F$35,4,IF($N976&gt;PARAMETRES!$E$35,3,IF($N976&gt;PARAMETRES!$D$35,2,1)))))</f>
        <v/>
      </c>
      <c r="W976" t="str">
        <f>IF($O976="","",IF($O976&gt;PARAMETRES!$G$36,5,IF($O976&gt;PARAMETRES!$F$36,4,IF($O976&gt;PARAMETRES!$E$36,3,IF($O976&gt;PARAMETRES!$D$36,2,1)))))</f>
        <v/>
      </c>
      <c r="X976" t="str">
        <f>IF($P976="","",IF($P976&gt;PARAMETRES!$G$37,5,IF($P976&gt;PARAMETRES!$F$37,4,IF($P976&gt;PARAMETRES!$E$37,3,IF($P976&gt;PARAMETRES!$D$37,2,1)))))</f>
        <v/>
      </c>
      <c r="Y976" t="str">
        <f t="shared" si="360"/>
        <v/>
      </c>
      <c r="Z976" t="str">
        <f>IFERROR(VLOOKUP($B976,TABLE_CYCLE,2,0),"")</f>
        <v/>
      </c>
      <c r="AA976" t="str">
        <f t="shared" si="361"/>
        <v/>
      </c>
      <c r="AB976" t="str">
        <f>IF($D976="","",IF(COUNTIF($D$2:$D976,$D976)=1,$D976,""))</f>
        <v/>
      </c>
      <c r="AC976">
        <f t="shared" si="362"/>
        <v>0</v>
      </c>
      <c r="AD976" t="str">
        <f t="shared" si="363"/>
        <v>|0</v>
      </c>
      <c r="AE976" t="str">
        <f t="shared" si="364"/>
        <v/>
      </c>
      <c r="AF976" t="str">
        <f t="shared" si="365"/>
        <v/>
      </c>
      <c r="AG976" t="str">
        <f t="shared" si="366"/>
        <v/>
      </c>
      <c r="AH976" t="str">
        <f t="shared" si="367"/>
        <v/>
      </c>
      <c r="AI976" t="str">
        <f t="shared" si="368"/>
        <v/>
      </c>
      <c r="AJ976" t="str">
        <f t="shared" si="369"/>
        <v/>
      </c>
      <c r="AK976" t="str">
        <f t="shared" si="370"/>
        <v/>
      </c>
      <c r="AL976" t="str">
        <f t="shared" si="371"/>
        <v/>
      </c>
      <c r="AM976" t="str">
        <f t="shared" si="372"/>
        <v/>
      </c>
      <c r="AN976" t="str">
        <f t="shared" si="373"/>
        <v/>
      </c>
      <c r="AO976" t="str">
        <f t="shared" si="374"/>
        <v/>
      </c>
      <c r="AP976">
        <f t="shared" si="375"/>
        <v>1</v>
      </c>
      <c r="AQ976" t="str">
        <f>IF(SAISIE!$F981="","",SAISIE!$Y981)</f>
        <v/>
      </c>
      <c r="AR976" t="str">
        <f>IF(OR(SAISIE!$U$4="",SAISIE!$W$4=""),"",IF(AND($A976=SAISIE!$U$4,$B976=SAISIE!$W$4,$C976="S1"),COUNTIFS($A$2:$A976,SAISIE!$U$4,$B$2:$B976,SAISIE!$W$4,$C$2:$C976,"S1"),""))</f>
        <v/>
      </c>
      <c r="AS976" t="str">
        <f t="shared" si="376"/>
        <v/>
      </c>
      <c r="AT976" t="str">
        <f t="shared" si="377"/>
        <v/>
      </c>
      <c r="AU976" t="str">
        <f t="shared" si="378"/>
        <v/>
      </c>
      <c r="AV976">
        <f>N(AV975)+IF(AND($AB976&lt;&gt;"",OR('PROFIL ELEVE'!$K$4="(Tous)",$AF976='PROFIL ELEVE'!$K$4)),1,0)</f>
        <v>0</v>
      </c>
      <c r="AW976">
        <f>N(AW975)+IF(AND($AB976&lt;&gt;"",OR('SUIVI LONGITUDINAL'!$Q$4="(Tous)",$AF976='SUIVI LONGITUDINAL'!$Q$4)),1,0)</f>
        <v>0</v>
      </c>
      <c r="AX976">
        <f t="shared" si="379"/>
        <v>0</v>
      </c>
      <c r="AY976">
        <f t="shared" si="380"/>
        <v>0</v>
      </c>
      <c r="AZ976">
        <f t="shared" si="381"/>
        <v>0</v>
      </c>
      <c r="BA976" t="str">
        <f t="shared" si="382"/>
        <v/>
      </c>
      <c r="BB976" t="str">
        <f t="shared" si="383"/>
        <v/>
      </c>
    </row>
    <row r="977" spans="1:54" ht="14.25" customHeight="1" x14ac:dyDescent="0.3">
      <c r="A977" t="str">
        <f>IF(SAISIE!$F982="","",SAISIE!$B982)</f>
        <v/>
      </c>
      <c r="B977" t="str">
        <f>IF(SAISIE!$F982="","",SAISIE!$C982)</f>
        <v/>
      </c>
      <c r="C977" t="str">
        <f>IF(SAISIE!$F982="","",SAISIE!$D982)</f>
        <v/>
      </c>
      <c r="D977" t="str">
        <f>IF(SAISIE!$E982="","",SAISIE!$E982)</f>
        <v/>
      </c>
      <c r="E977" t="str">
        <f>IF(SAISIE!$F982="","",SAISIE!$F982)</f>
        <v/>
      </c>
      <c r="F977" t="str">
        <f>IF(SAISIE!$G982="","",SAISIE!$G982)</f>
        <v/>
      </c>
      <c r="G977" t="str">
        <f>IF(SAISIE!$H982="","",SAISIE!$H982)</f>
        <v/>
      </c>
      <c r="H977" t="str">
        <f>IF(SAISIE!$I982="","",SAISIE!$I982)</f>
        <v/>
      </c>
      <c r="I977" t="str">
        <f>IF(SAISIE!$J982="","",SAISIE!$J982)</f>
        <v/>
      </c>
      <c r="J977" t="str">
        <f>IF(SAISIE!$K982="","",SAISIE!$K982)</f>
        <v/>
      </c>
      <c r="K977" t="str">
        <f>IF(SAISIE!$L982="","",SAISIE!$L982)</f>
        <v/>
      </c>
      <c r="L977" t="str">
        <f>IF(SAISIE!$M982="","",SAISIE!$M982)</f>
        <v/>
      </c>
      <c r="M977" t="str">
        <f>IF(SAISIE!$N982="","",SAISIE!$N982)</f>
        <v/>
      </c>
      <c r="N977" t="str">
        <f>IF(SAISIE!$O982="","",SAISIE!$O982)</f>
        <v/>
      </c>
      <c r="O977" t="str">
        <f>IF(SAISIE!$P982="","",SAISIE!$P982)</f>
        <v/>
      </c>
      <c r="P977" t="str">
        <f>IF(SAISIE!$Q982="","",SAISIE!$Q982)</f>
        <v/>
      </c>
      <c r="Q977" t="str">
        <f>IF($I977="","",IF($I977&gt;PARAMETRES!$G$29,5,IF($I977&gt;PARAMETRES!$F$29,4,IF($I977&gt;PARAMETRES!$E$29,3,IF($I977&gt;PARAMETRES!$D$29,2,1)))))</f>
        <v/>
      </c>
      <c r="R977" t="str">
        <f>IF($J977="","",IF($J977&gt;PARAMETRES!$G$30,5,IF($J977&gt;PARAMETRES!$F$30,4,IF($J977&gt;PARAMETRES!$E$30,3,IF($J977&gt;PARAMETRES!$D$30,2,1)))))</f>
        <v/>
      </c>
      <c r="S977" t="str">
        <f>IF($K977="","",IF($Z977=2,IF($K977&gt;PARAMETRES!$G$31,5,IF($K977&gt;PARAMETRES!$F$31,4,IF($K977&gt;PARAMETRES!$E$31,3,IF($K977&gt;PARAMETRES!$D$31,2,1)))),IF($K977&gt;PARAMETRES!$G$32,5,IF($K977&gt;PARAMETRES!$F$32,4,IF($K977&gt;PARAMETRES!$E$32,3,IF($K977&gt;PARAMETRES!$D$32,2,1))))))</f>
        <v/>
      </c>
      <c r="T977" t="str">
        <f>IF($L977="","",IF($L977&gt;PARAMETRES!$G$33,5,IF($L977&gt;PARAMETRES!$F$33,4,IF($L977&gt;PARAMETRES!$E$33,3,IF($L977&gt;PARAMETRES!$D$33,2,1)))))</f>
        <v/>
      </c>
      <c r="U977" t="str">
        <f>IF($M977="","",IF($M977&gt;PARAMETRES!$G$34,5,IF($M977&gt;PARAMETRES!$F$34,4,IF($M977&gt;PARAMETRES!$E$34,3,IF($M977&gt;PARAMETRES!$D$34,2,1)))))</f>
        <v/>
      </c>
      <c r="V977" t="str">
        <f>IF($N977="","",IF($N977&gt;PARAMETRES!$G$35,5,IF($N977&gt;PARAMETRES!$F$35,4,IF($N977&gt;PARAMETRES!$E$35,3,IF($N977&gt;PARAMETRES!$D$35,2,1)))))</f>
        <v/>
      </c>
      <c r="W977" t="str">
        <f>IF($O977="","",IF($O977&gt;PARAMETRES!$G$36,5,IF($O977&gt;PARAMETRES!$F$36,4,IF($O977&gt;PARAMETRES!$E$36,3,IF($O977&gt;PARAMETRES!$D$36,2,1)))))</f>
        <v/>
      </c>
      <c r="X977" t="str">
        <f>IF($P977="","",IF($P977&gt;PARAMETRES!$G$37,5,IF($P977&gt;PARAMETRES!$F$37,4,IF($P977&gt;PARAMETRES!$E$37,3,IF($P977&gt;PARAMETRES!$D$37,2,1)))))</f>
        <v/>
      </c>
      <c r="Y977" t="str">
        <f t="shared" si="360"/>
        <v/>
      </c>
      <c r="Z977" t="str">
        <f>IFERROR(VLOOKUP($B977,TABLE_CYCLE,2,0),"")</f>
        <v/>
      </c>
      <c r="AA977" t="str">
        <f t="shared" si="361"/>
        <v/>
      </c>
      <c r="AB977" t="str">
        <f>IF($D977="","",IF(COUNTIF($D$2:$D977,$D977)=1,$D977,""))</f>
        <v/>
      </c>
      <c r="AC977">
        <f t="shared" si="362"/>
        <v>0</v>
      </c>
      <c r="AD977" t="str">
        <f t="shared" si="363"/>
        <v>|0</v>
      </c>
      <c r="AE977" t="str">
        <f t="shared" si="364"/>
        <v/>
      </c>
      <c r="AF977" t="str">
        <f t="shared" si="365"/>
        <v/>
      </c>
      <c r="AG977" t="str">
        <f t="shared" si="366"/>
        <v/>
      </c>
      <c r="AH977" t="str">
        <f t="shared" si="367"/>
        <v/>
      </c>
      <c r="AI977" t="str">
        <f t="shared" si="368"/>
        <v/>
      </c>
      <c r="AJ977" t="str">
        <f t="shared" si="369"/>
        <v/>
      </c>
      <c r="AK977" t="str">
        <f t="shared" si="370"/>
        <v/>
      </c>
      <c r="AL977" t="str">
        <f t="shared" si="371"/>
        <v/>
      </c>
      <c r="AM977" t="str">
        <f t="shared" si="372"/>
        <v/>
      </c>
      <c r="AN977" t="str">
        <f t="shared" si="373"/>
        <v/>
      </c>
      <c r="AO977" t="str">
        <f t="shared" si="374"/>
        <v/>
      </c>
      <c r="AP977">
        <f t="shared" si="375"/>
        <v>1</v>
      </c>
      <c r="AQ977" t="str">
        <f>IF(SAISIE!$F982="","",SAISIE!$Y982)</f>
        <v/>
      </c>
      <c r="AR977" t="str">
        <f>IF(OR(SAISIE!$U$4="",SAISIE!$W$4=""),"",IF(AND($A977=SAISIE!$U$4,$B977=SAISIE!$W$4,$C977="S1"),COUNTIFS($A$2:$A977,SAISIE!$U$4,$B$2:$B977,SAISIE!$W$4,$C$2:$C977,"S1"),""))</f>
        <v/>
      </c>
      <c r="AS977" t="str">
        <f t="shared" si="376"/>
        <v/>
      </c>
      <c r="AT977" t="str">
        <f t="shared" si="377"/>
        <v/>
      </c>
      <c r="AU977" t="str">
        <f t="shared" si="378"/>
        <v/>
      </c>
      <c r="AV977">
        <f>N(AV976)+IF(AND($AB977&lt;&gt;"",OR('PROFIL ELEVE'!$K$4="(Tous)",$AF977='PROFIL ELEVE'!$K$4)),1,0)</f>
        <v>0</v>
      </c>
      <c r="AW977">
        <f>N(AW976)+IF(AND($AB977&lt;&gt;"",OR('SUIVI LONGITUDINAL'!$Q$4="(Tous)",$AF977='SUIVI LONGITUDINAL'!$Q$4)),1,0)</f>
        <v>0</v>
      </c>
      <c r="AX977">
        <f t="shared" si="379"/>
        <v>0</v>
      </c>
      <c r="AY977">
        <f t="shared" si="380"/>
        <v>0</v>
      </c>
      <c r="AZ977">
        <f t="shared" si="381"/>
        <v>0</v>
      </c>
      <c r="BA977" t="str">
        <f t="shared" si="382"/>
        <v/>
      </c>
      <c r="BB977" t="str">
        <f t="shared" si="383"/>
        <v/>
      </c>
    </row>
    <row r="978" spans="1:54" ht="14.25" customHeight="1" x14ac:dyDescent="0.3">
      <c r="A978" t="str">
        <f>IF(SAISIE!$F983="","",SAISIE!$B983)</f>
        <v/>
      </c>
      <c r="B978" t="str">
        <f>IF(SAISIE!$F983="","",SAISIE!$C983)</f>
        <v/>
      </c>
      <c r="C978" t="str">
        <f>IF(SAISIE!$F983="","",SAISIE!$D983)</f>
        <v/>
      </c>
      <c r="D978" t="str">
        <f>IF(SAISIE!$E983="","",SAISIE!$E983)</f>
        <v/>
      </c>
      <c r="E978" t="str">
        <f>IF(SAISIE!$F983="","",SAISIE!$F983)</f>
        <v/>
      </c>
      <c r="F978" t="str">
        <f>IF(SAISIE!$G983="","",SAISIE!$G983)</f>
        <v/>
      </c>
      <c r="G978" t="str">
        <f>IF(SAISIE!$H983="","",SAISIE!$H983)</f>
        <v/>
      </c>
      <c r="H978" t="str">
        <f>IF(SAISIE!$I983="","",SAISIE!$I983)</f>
        <v/>
      </c>
      <c r="I978" t="str">
        <f>IF(SAISIE!$J983="","",SAISIE!$J983)</f>
        <v/>
      </c>
      <c r="J978" t="str">
        <f>IF(SAISIE!$K983="","",SAISIE!$K983)</f>
        <v/>
      </c>
      <c r="K978" t="str">
        <f>IF(SAISIE!$L983="","",SAISIE!$L983)</f>
        <v/>
      </c>
      <c r="L978" t="str">
        <f>IF(SAISIE!$M983="","",SAISIE!$M983)</f>
        <v/>
      </c>
      <c r="M978" t="str">
        <f>IF(SAISIE!$N983="","",SAISIE!$N983)</f>
        <v/>
      </c>
      <c r="N978" t="str">
        <f>IF(SAISIE!$O983="","",SAISIE!$O983)</f>
        <v/>
      </c>
      <c r="O978" t="str">
        <f>IF(SAISIE!$P983="","",SAISIE!$P983)</f>
        <v/>
      </c>
      <c r="P978" t="str">
        <f>IF(SAISIE!$Q983="","",SAISIE!$Q983)</f>
        <v/>
      </c>
      <c r="Q978" t="str">
        <f>IF($I978="","",IF($I978&gt;PARAMETRES!$G$29,5,IF($I978&gt;PARAMETRES!$F$29,4,IF($I978&gt;PARAMETRES!$E$29,3,IF($I978&gt;PARAMETRES!$D$29,2,1)))))</f>
        <v/>
      </c>
      <c r="R978" t="str">
        <f>IF($J978="","",IF($J978&gt;PARAMETRES!$G$30,5,IF($J978&gt;PARAMETRES!$F$30,4,IF($J978&gt;PARAMETRES!$E$30,3,IF($J978&gt;PARAMETRES!$D$30,2,1)))))</f>
        <v/>
      </c>
      <c r="S978" t="str">
        <f>IF($K978="","",IF($Z978=2,IF($K978&gt;PARAMETRES!$G$31,5,IF($K978&gt;PARAMETRES!$F$31,4,IF($K978&gt;PARAMETRES!$E$31,3,IF($K978&gt;PARAMETRES!$D$31,2,1)))),IF($K978&gt;PARAMETRES!$G$32,5,IF($K978&gt;PARAMETRES!$F$32,4,IF($K978&gt;PARAMETRES!$E$32,3,IF($K978&gt;PARAMETRES!$D$32,2,1))))))</f>
        <v/>
      </c>
      <c r="T978" t="str">
        <f>IF($L978="","",IF($L978&gt;PARAMETRES!$G$33,5,IF($L978&gt;PARAMETRES!$F$33,4,IF($L978&gt;PARAMETRES!$E$33,3,IF($L978&gt;PARAMETRES!$D$33,2,1)))))</f>
        <v/>
      </c>
      <c r="U978" t="str">
        <f>IF($M978="","",IF($M978&gt;PARAMETRES!$G$34,5,IF($M978&gt;PARAMETRES!$F$34,4,IF($M978&gt;PARAMETRES!$E$34,3,IF($M978&gt;PARAMETRES!$D$34,2,1)))))</f>
        <v/>
      </c>
      <c r="V978" t="str">
        <f>IF($N978="","",IF($N978&gt;PARAMETRES!$G$35,5,IF($N978&gt;PARAMETRES!$F$35,4,IF($N978&gt;PARAMETRES!$E$35,3,IF($N978&gt;PARAMETRES!$D$35,2,1)))))</f>
        <v/>
      </c>
      <c r="W978" t="str">
        <f>IF($O978="","",IF($O978&gt;PARAMETRES!$G$36,5,IF($O978&gt;PARAMETRES!$F$36,4,IF($O978&gt;PARAMETRES!$E$36,3,IF($O978&gt;PARAMETRES!$D$36,2,1)))))</f>
        <v/>
      </c>
      <c r="X978" t="str">
        <f>IF($P978="","",IF($P978&gt;PARAMETRES!$G$37,5,IF($P978&gt;PARAMETRES!$F$37,4,IF($P978&gt;PARAMETRES!$E$37,3,IF($P978&gt;PARAMETRES!$D$37,2,1)))))</f>
        <v/>
      </c>
      <c r="Y978" t="str">
        <f t="shared" si="360"/>
        <v/>
      </c>
      <c r="Z978" t="str">
        <f>IFERROR(VLOOKUP($B978,TABLE_CYCLE,2,0),"")</f>
        <v/>
      </c>
      <c r="AA978" t="str">
        <f t="shared" si="361"/>
        <v/>
      </c>
      <c r="AB978" t="str">
        <f>IF($D978="","",IF(COUNTIF($D$2:$D978,$D978)=1,$D978,""))</f>
        <v/>
      </c>
      <c r="AC978">
        <f t="shared" si="362"/>
        <v>0</v>
      </c>
      <c r="AD978" t="str">
        <f t="shared" si="363"/>
        <v>|0</v>
      </c>
      <c r="AE978" t="str">
        <f t="shared" si="364"/>
        <v/>
      </c>
      <c r="AF978" t="str">
        <f t="shared" si="365"/>
        <v/>
      </c>
      <c r="AG978" t="str">
        <f t="shared" si="366"/>
        <v/>
      </c>
      <c r="AH978" t="str">
        <f t="shared" si="367"/>
        <v/>
      </c>
      <c r="AI978" t="str">
        <f t="shared" si="368"/>
        <v/>
      </c>
      <c r="AJ978" t="str">
        <f t="shared" si="369"/>
        <v/>
      </c>
      <c r="AK978" t="str">
        <f t="shared" si="370"/>
        <v/>
      </c>
      <c r="AL978" t="str">
        <f t="shared" si="371"/>
        <v/>
      </c>
      <c r="AM978" t="str">
        <f t="shared" si="372"/>
        <v/>
      </c>
      <c r="AN978" t="str">
        <f t="shared" si="373"/>
        <v/>
      </c>
      <c r="AO978" t="str">
        <f t="shared" si="374"/>
        <v/>
      </c>
      <c r="AP978">
        <f t="shared" si="375"/>
        <v>1</v>
      </c>
      <c r="AQ978" t="str">
        <f>IF(SAISIE!$F983="","",SAISIE!$Y983)</f>
        <v/>
      </c>
      <c r="AR978" t="str">
        <f>IF(OR(SAISIE!$U$4="",SAISIE!$W$4=""),"",IF(AND($A978=SAISIE!$U$4,$B978=SAISIE!$W$4,$C978="S1"),COUNTIFS($A$2:$A978,SAISIE!$U$4,$B$2:$B978,SAISIE!$W$4,$C$2:$C978,"S1"),""))</f>
        <v/>
      </c>
      <c r="AS978" t="str">
        <f t="shared" si="376"/>
        <v/>
      </c>
      <c r="AT978" t="str">
        <f t="shared" si="377"/>
        <v/>
      </c>
      <c r="AU978" t="str">
        <f t="shared" si="378"/>
        <v/>
      </c>
      <c r="AV978">
        <f>N(AV977)+IF(AND($AB978&lt;&gt;"",OR('PROFIL ELEVE'!$K$4="(Tous)",$AF978='PROFIL ELEVE'!$K$4)),1,0)</f>
        <v>0</v>
      </c>
      <c r="AW978">
        <f>N(AW977)+IF(AND($AB978&lt;&gt;"",OR('SUIVI LONGITUDINAL'!$Q$4="(Tous)",$AF978='SUIVI LONGITUDINAL'!$Q$4)),1,0)</f>
        <v>0</v>
      </c>
      <c r="AX978">
        <f t="shared" si="379"/>
        <v>0</v>
      </c>
      <c r="AY978">
        <f t="shared" si="380"/>
        <v>0</v>
      </c>
      <c r="AZ978">
        <f t="shared" si="381"/>
        <v>0</v>
      </c>
      <c r="BA978" t="str">
        <f t="shared" si="382"/>
        <v/>
      </c>
      <c r="BB978" t="str">
        <f t="shared" si="383"/>
        <v/>
      </c>
    </row>
    <row r="979" spans="1:54" ht="14.25" customHeight="1" x14ac:dyDescent="0.3">
      <c r="A979" t="str">
        <f>IF(SAISIE!$F984="","",SAISIE!$B984)</f>
        <v/>
      </c>
      <c r="B979" t="str">
        <f>IF(SAISIE!$F984="","",SAISIE!$C984)</f>
        <v/>
      </c>
      <c r="C979" t="str">
        <f>IF(SAISIE!$F984="","",SAISIE!$D984)</f>
        <v/>
      </c>
      <c r="D979" t="str">
        <f>IF(SAISIE!$E984="","",SAISIE!$E984)</f>
        <v/>
      </c>
      <c r="E979" t="str">
        <f>IF(SAISIE!$F984="","",SAISIE!$F984)</f>
        <v/>
      </c>
      <c r="F979" t="str">
        <f>IF(SAISIE!$G984="","",SAISIE!$G984)</f>
        <v/>
      </c>
      <c r="G979" t="str">
        <f>IF(SAISIE!$H984="","",SAISIE!$H984)</f>
        <v/>
      </c>
      <c r="H979" t="str">
        <f>IF(SAISIE!$I984="","",SAISIE!$I984)</f>
        <v/>
      </c>
      <c r="I979" t="str">
        <f>IF(SAISIE!$J984="","",SAISIE!$J984)</f>
        <v/>
      </c>
      <c r="J979" t="str">
        <f>IF(SAISIE!$K984="","",SAISIE!$K984)</f>
        <v/>
      </c>
      <c r="K979" t="str">
        <f>IF(SAISIE!$L984="","",SAISIE!$L984)</f>
        <v/>
      </c>
      <c r="L979" t="str">
        <f>IF(SAISIE!$M984="","",SAISIE!$M984)</f>
        <v/>
      </c>
      <c r="M979" t="str">
        <f>IF(SAISIE!$N984="","",SAISIE!$N984)</f>
        <v/>
      </c>
      <c r="N979" t="str">
        <f>IF(SAISIE!$O984="","",SAISIE!$O984)</f>
        <v/>
      </c>
      <c r="O979" t="str">
        <f>IF(SAISIE!$P984="","",SAISIE!$P984)</f>
        <v/>
      </c>
      <c r="P979" t="str">
        <f>IF(SAISIE!$Q984="","",SAISIE!$Q984)</f>
        <v/>
      </c>
      <c r="Q979" t="str">
        <f>IF($I979="","",IF($I979&gt;PARAMETRES!$G$29,5,IF($I979&gt;PARAMETRES!$F$29,4,IF($I979&gt;PARAMETRES!$E$29,3,IF($I979&gt;PARAMETRES!$D$29,2,1)))))</f>
        <v/>
      </c>
      <c r="R979" t="str">
        <f>IF($J979="","",IF($J979&gt;PARAMETRES!$G$30,5,IF($J979&gt;PARAMETRES!$F$30,4,IF($J979&gt;PARAMETRES!$E$30,3,IF($J979&gt;PARAMETRES!$D$30,2,1)))))</f>
        <v/>
      </c>
      <c r="S979" t="str">
        <f>IF($K979="","",IF($Z979=2,IF($K979&gt;PARAMETRES!$G$31,5,IF($K979&gt;PARAMETRES!$F$31,4,IF($K979&gt;PARAMETRES!$E$31,3,IF($K979&gt;PARAMETRES!$D$31,2,1)))),IF($K979&gt;PARAMETRES!$G$32,5,IF($K979&gt;PARAMETRES!$F$32,4,IF($K979&gt;PARAMETRES!$E$32,3,IF($K979&gt;PARAMETRES!$D$32,2,1))))))</f>
        <v/>
      </c>
      <c r="T979" t="str">
        <f>IF($L979="","",IF($L979&gt;PARAMETRES!$G$33,5,IF($L979&gt;PARAMETRES!$F$33,4,IF($L979&gt;PARAMETRES!$E$33,3,IF($L979&gt;PARAMETRES!$D$33,2,1)))))</f>
        <v/>
      </c>
      <c r="U979" t="str">
        <f>IF($M979="","",IF($M979&gt;PARAMETRES!$G$34,5,IF($M979&gt;PARAMETRES!$F$34,4,IF($M979&gt;PARAMETRES!$E$34,3,IF($M979&gt;PARAMETRES!$D$34,2,1)))))</f>
        <v/>
      </c>
      <c r="V979" t="str">
        <f>IF($N979="","",IF($N979&gt;PARAMETRES!$G$35,5,IF($N979&gt;PARAMETRES!$F$35,4,IF($N979&gt;PARAMETRES!$E$35,3,IF($N979&gt;PARAMETRES!$D$35,2,1)))))</f>
        <v/>
      </c>
      <c r="W979" t="str">
        <f>IF($O979="","",IF($O979&gt;PARAMETRES!$G$36,5,IF($O979&gt;PARAMETRES!$F$36,4,IF($O979&gt;PARAMETRES!$E$36,3,IF($O979&gt;PARAMETRES!$D$36,2,1)))))</f>
        <v/>
      </c>
      <c r="X979" t="str">
        <f>IF($P979="","",IF($P979&gt;PARAMETRES!$G$37,5,IF($P979&gt;PARAMETRES!$F$37,4,IF($P979&gt;PARAMETRES!$E$37,3,IF($P979&gt;PARAMETRES!$D$37,2,1)))))</f>
        <v/>
      </c>
      <c r="Y979" t="str">
        <f t="shared" si="360"/>
        <v/>
      </c>
      <c r="Z979" t="str">
        <f>IFERROR(VLOOKUP($B979,TABLE_CYCLE,2,0),"")</f>
        <v/>
      </c>
      <c r="AA979" t="str">
        <f t="shared" si="361"/>
        <v/>
      </c>
      <c r="AB979" t="str">
        <f>IF($D979="","",IF(COUNTIF($D$2:$D979,$D979)=1,$D979,""))</f>
        <v/>
      </c>
      <c r="AC979">
        <f t="shared" si="362"/>
        <v>0</v>
      </c>
      <c r="AD979" t="str">
        <f t="shared" si="363"/>
        <v>|0</v>
      </c>
      <c r="AE979" t="str">
        <f t="shared" si="364"/>
        <v/>
      </c>
      <c r="AF979" t="str">
        <f t="shared" si="365"/>
        <v/>
      </c>
      <c r="AG979" t="str">
        <f t="shared" si="366"/>
        <v/>
      </c>
      <c r="AH979" t="str">
        <f t="shared" si="367"/>
        <v/>
      </c>
      <c r="AI979" t="str">
        <f t="shared" si="368"/>
        <v/>
      </c>
      <c r="AJ979" t="str">
        <f t="shared" si="369"/>
        <v/>
      </c>
      <c r="AK979" t="str">
        <f t="shared" si="370"/>
        <v/>
      </c>
      <c r="AL979" t="str">
        <f t="shared" si="371"/>
        <v/>
      </c>
      <c r="AM979" t="str">
        <f t="shared" si="372"/>
        <v/>
      </c>
      <c r="AN979" t="str">
        <f t="shared" si="373"/>
        <v/>
      </c>
      <c r="AO979" t="str">
        <f t="shared" si="374"/>
        <v/>
      </c>
      <c r="AP979">
        <f t="shared" si="375"/>
        <v>1</v>
      </c>
      <c r="AQ979" t="str">
        <f>IF(SAISIE!$F984="","",SAISIE!$Y984)</f>
        <v/>
      </c>
      <c r="AR979" t="str">
        <f>IF(OR(SAISIE!$U$4="",SAISIE!$W$4=""),"",IF(AND($A979=SAISIE!$U$4,$B979=SAISIE!$W$4,$C979="S1"),COUNTIFS($A$2:$A979,SAISIE!$U$4,$B$2:$B979,SAISIE!$W$4,$C$2:$C979,"S1"),""))</f>
        <v/>
      </c>
      <c r="AS979" t="str">
        <f t="shared" si="376"/>
        <v/>
      </c>
      <c r="AT979" t="str">
        <f t="shared" si="377"/>
        <v/>
      </c>
      <c r="AU979" t="str">
        <f t="shared" si="378"/>
        <v/>
      </c>
      <c r="AV979">
        <f>N(AV978)+IF(AND($AB979&lt;&gt;"",OR('PROFIL ELEVE'!$K$4="(Tous)",$AF979='PROFIL ELEVE'!$K$4)),1,0)</f>
        <v>0</v>
      </c>
      <c r="AW979">
        <f>N(AW978)+IF(AND($AB979&lt;&gt;"",OR('SUIVI LONGITUDINAL'!$Q$4="(Tous)",$AF979='SUIVI LONGITUDINAL'!$Q$4)),1,0)</f>
        <v>0</v>
      </c>
      <c r="AX979">
        <f t="shared" si="379"/>
        <v>0</v>
      </c>
      <c r="AY979">
        <f t="shared" si="380"/>
        <v>0</v>
      </c>
      <c r="AZ979">
        <f t="shared" si="381"/>
        <v>0</v>
      </c>
      <c r="BA979" t="str">
        <f t="shared" si="382"/>
        <v/>
      </c>
      <c r="BB979" t="str">
        <f t="shared" si="383"/>
        <v/>
      </c>
    </row>
    <row r="980" spans="1:54" ht="14.25" customHeight="1" x14ac:dyDescent="0.3">
      <c r="A980" t="str">
        <f>IF(SAISIE!$F985="","",SAISIE!$B985)</f>
        <v/>
      </c>
      <c r="B980" t="str">
        <f>IF(SAISIE!$F985="","",SAISIE!$C985)</f>
        <v/>
      </c>
      <c r="C980" t="str">
        <f>IF(SAISIE!$F985="","",SAISIE!$D985)</f>
        <v/>
      </c>
      <c r="D980" t="str">
        <f>IF(SAISIE!$E985="","",SAISIE!$E985)</f>
        <v/>
      </c>
      <c r="E980" t="str">
        <f>IF(SAISIE!$F985="","",SAISIE!$F985)</f>
        <v/>
      </c>
      <c r="F980" t="str">
        <f>IF(SAISIE!$G985="","",SAISIE!$G985)</f>
        <v/>
      </c>
      <c r="G980" t="str">
        <f>IF(SAISIE!$H985="","",SAISIE!$H985)</f>
        <v/>
      </c>
      <c r="H980" t="str">
        <f>IF(SAISIE!$I985="","",SAISIE!$I985)</f>
        <v/>
      </c>
      <c r="I980" t="str">
        <f>IF(SAISIE!$J985="","",SAISIE!$J985)</f>
        <v/>
      </c>
      <c r="J980" t="str">
        <f>IF(SAISIE!$K985="","",SAISIE!$K985)</f>
        <v/>
      </c>
      <c r="K980" t="str">
        <f>IF(SAISIE!$L985="","",SAISIE!$L985)</f>
        <v/>
      </c>
      <c r="L980" t="str">
        <f>IF(SAISIE!$M985="","",SAISIE!$M985)</f>
        <v/>
      </c>
      <c r="M980" t="str">
        <f>IF(SAISIE!$N985="","",SAISIE!$N985)</f>
        <v/>
      </c>
      <c r="N980" t="str">
        <f>IF(SAISIE!$O985="","",SAISIE!$O985)</f>
        <v/>
      </c>
      <c r="O980" t="str">
        <f>IF(SAISIE!$P985="","",SAISIE!$P985)</f>
        <v/>
      </c>
      <c r="P980" t="str">
        <f>IF(SAISIE!$Q985="","",SAISIE!$Q985)</f>
        <v/>
      </c>
      <c r="Q980" t="str">
        <f>IF($I980="","",IF($I980&gt;PARAMETRES!$G$29,5,IF($I980&gt;PARAMETRES!$F$29,4,IF($I980&gt;PARAMETRES!$E$29,3,IF($I980&gt;PARAMETRES!$D$29,2,1)))))</f>
        <v/>
      </c>
      <c r="R980" t="str">
        <f>IF($J980="","",IF($J980&gt;PARAMETRES!$G$30,5,IF($J980&gt;PARAMETRES!$F$30,4,IF($J980&gt;PARAMETRES!$E$30,3,IF($J980&gt;PARAMETRES!$D$30,2,1)))))</f>
        <v/>
      </c>
      <c r="S980" t="str">
        <f>IF($K980="","",IF($Z980=2,IF($K980&gt;PARAMETRES!$G$31,5,IF($K980&gt;PARAMETRES!$F$31,4,IF($K980&gt;PARAMETRES!$E$31,3,IF($K980&gt;PARAMETRES!$D$31,2,1)))),IF($K980&gt;PARAMETRES!$G$32,5,IF($K980&gt;PARAMETRES!$F$32,4,IF($K980&gt;PARAMETRES!$E$32,3,IF($K980&gt;PARAMETRES!$D$32,2,1))))))</f>
        <v/>
      </c>
      <c r="T980" t="str">
        <f>IF($L980="","",IF($L980&gt;PARAMETRES!$G$33,5,IF($L980&gt;PARAMETRES!$F$33,4,IF($L980&gt;PARAMETRES!$E$33,3,IF($L980&gt;PARAMETRES!$D$33,2,1)))))</f>
        <v/>
      </c>
      <c r="U980" t="str">
        <f>IF($M980="","",IF($M980&gt;PARAMETRES!$G$34,5,IF($M980&gt;PARAMETRES!$F$34,4,IF($M980&gt;PARAMETRES!$E$34,3,IF($M980&gt;PARAMETRES!$D$34,2,1)))))</f>
        <v/>
      </c>
      <c r="V980" t="str">
        <f>IF($N980="","",IF($N980&gt;PARAMETRES!$G$35,5,IF($N980&gt;PARAMETRES!$F$35,4,IF($N980&gt;PARAMETRES!$E$35,3,IF($N980&gt;PARAMETRES!$D$35,2,1)))))</f>
        <v/>
      </c>
      <c r="W980" t="str">
        <f>IF($O980="","",IF($O980&gt;PARAMETRES!$G$36,5,IF($O980&gt;PARAMETRES!$F$36,4,IF($O980&gt;PARAMETRES!$E$36,3,IF($O980&gt;PARAMETRES!$D$36,2,1)))))</f>
        <v/>
      </c>
      <c r="X980" t="str">
        <f>IF($P980="","",IF($P980&gt;PARAMETRES!$G$37,5,IF($P980&gt;PARAMETRES!$F$37,4,IF($P980&gt;PARAMETRES!$E$37,3,IF($P980&gt;PARAMETRES!$D$37,2,1)))))</f>
        <v/>
      </c>
      <c r="Y980" t="str">
        <f t="shared" si="360"/>
        <v/>
      </c>
      <c r="Z980" t="str">
        <f>IFERROR(VLOOKUP($B980,TABLE_CYCLE,2,0),"")</f>
        <v/>
      </c>
      <c r="AA980" t="str">
        <f t="shared" si="361"/>
        <v/>
      </c>
      <c r="AB980" t="str">
        <f>IF($D980="","",IF(COUNTIF($D$2:$D980,$D980)=1,$D980,""))</f>
        <v/>
      </c>
      <c r="AC980">
        <f t="shared" si="362"/>
        <v>0</v>
      </c>
      <c r="AD980" t="str">
        <f t="shared" si="363"/>
        <v>|0</v>
      </c>
      <c r="AE980" t="str">
        <f t="shared" si="364"/>
        <v/>
      </c>
      <c r="AF980" t="str">
        <f t="shared" si="365"/>
        <v/>
      </c>
      <c r="AG980" t="str">
        <f t="shared" si="366"/>
        <v/>
      </c>
      <c r="AH980" t="str">
        <f t="shared" si="367"/>
        <v/>
      </c>
      <c r="AI980" t="str">
        <f t="shared" si="368"/>
        <v/>
      </c>
      <c r="AJ980" t="str">
        <f t="shared" si="369"/>
        <v/>
      </c>
      <c r="AK980" t="str">
        <f t="shared" si="370"/>
        <v/>
      </c>
      <c r="AL980" t="str">
        <f t="shared" si="371"/>
        <v/>
      </c>
      <c r="AM980" t="str">
        <f t="shared" si="372"/>
        <v/>
      </c>
      <c r="AN980" t="str">
        <f t="shared" si="373"/>
        <v/>
      </c>
      <c r="AO980" t="str">
        <f t="shared" si="374"/>
        <v/>
      </c>
      <c r="AP980">
        <f t="shared" si="375"/>
        <v>1</v>
      </c>
      <c r="AQ980" t="str">
        <f>IF(SAISIE!$F985="","",SAISIE!$Y985)</f>
        <v/>
      </c>
      <c r="AR980" t="str">
        <f>IF(OR(SAISIE!$U$4="",SAISIE!$W$4=""),"",IF(AND($A980=SAISIE!$U$4,$B980=SAISIE!$W$4,$C980="S1"),COUNTIFS($A$2:$A980,SAISIE!$U$4,$B$2:$B980,SAISIE!$W$4,$C$2:$C980,"S1"),""))</f>
        <v/>
      </c>
      <c r="AS980" t="str">
        <f t="shared" si="376"/>
        <v/>
      </c>
      <c r="AT980" t="str">
        <f t="shared" si="377"/>
        <v/>
      </c>
      <c r="AU980" t="str">
        <f t="shared" si="378"/>
        <v/>
      </c>
      <c r="AV980">
        <f>N(AV979)+IF(AND($AB980&lt;&gt;"",OR('PROFIL ELEVE'!$K$4="(Tous)",$AF980='PROFIL ELEVE'!$K$4)),1,0)</f>
        <v>0</v>
      </c>
      <c r="AW980">
        <f>N(AW979)+IF(AND($AB980&lt;&gt;"",OR('SUIVI LONGITUDINAL'!$Q$4="(Tous)",$AF980='SUIVI LONGITUDINAL'!$Q$4)),1,0)</f>
        <v>0</v>
      </c>
      <c r="AX980">
        <f t="shared" si="379"/>
        <v>0</v>
      </c>
      <c r="AY980">
        <f t="shared" si="380"/>
        <v>0</v>
      </c>
      <c r="AZ980">
        <f t="shared" si="381"/>
        <v>0</v>
      </c>
      <c r="BA980" t="str">
        <f t="shared" si="382"/>
        <v/>
      </c>
      <c r="BB980" t="str">
        <f t="shared" si="383"/>
        <v/>
      </c>
    </row>
    <row r="981" spans="1:54" ht="14.25" customHeight="1" x14ac:dyDescent="0.3">
      <c r="A981" t="str">
        <f>IF(SAISIE!$F986="","",SAISIE!$B986)</f>
        <v/>
      </c>
      <c r="B981" t="str">
        <f>IF(SAISIE!$F986="","",SAISIE!$C986)</f>
        <v/>
      </c>
      <c r="C981" t="str">
        <f>IF(SAISIE!$F986="","",SAISIE!$D986)</f>
        <v/>
      </c>
      <c r="D981" t="str">
        <f>IF(SAISIE!$E986="","",SAISIE!$E986)</f>
        <v/>
      </c>
      <c r="E981" t="str">
        <f>IF(SAISIE!$F986="","",SAISIE!$F986)</f>
        <v/>
      </c>
      <c r="F981" t="str">
        <f>IF(SAISIE!$G986="","",SAISIE!$G986)</f>
        <v/>
      </c>
      <c r="G981" t="str">
        <f>IF(SAISIE!$H986="","",SAISIE!$H986)</f>
        <v/>
      </c>
      <c r="H981" t="str">
        <f>IF(SAISIE!$I986="","",SAISIE!$I986)</f>
        <v/>
      </c>
      <c r="I981" t="str">
        <f>IF(SAISIE!$J986="","",SAISIE!$J986)</f>
        <v/>
      </c>
      <c r="J981" t="str">
        <f>IF(SAISIE!$K986="","",SAISIE!$K986)</f>
        <v/>
      </c>
      <c r="K981" t="str">
        <f>IF(SAISIE!$L986="","",SAISIE!$L986)</f>
        <v/>
      </c>
      <c r="L981" t="str">
        <f>IF(SAISIE!$M986="","",SAISIE!$M986)</f>
        <v/>
      </c>
      <c r="M981" t="str">
        <f>IF(SAISIE!$N986="","",SAISIE!$N986)</f>
        <v/>
      </c>
      <c r="N981" t="str">
        <f>IF(SAISIE!$O986="","",SAISIE!$O986)</f>
        <v/>
      </c>
      <c r="O981" t="str">
        <f>IF(SAISIE!$P986="","",SAISIE!$P986)</f>
        <v/>
      </c>
      <c r="P981" t="str">
        <f>IF(SAISIE!$Q986="","",SAISIE!$Q986)</f>
        <v/>
      </c>
      <c r="Q981" t="str">
        <f>IF($I981="","",IF($I981&gt;PARAMETRES!$G$29,5,IF($I981&gt;PARAMETRES!$F$29,4,IF($I981&gt;PARAMETRES!$E$29,3,IF($I981&gt;PARAMETRES!$D$29,2,1)))))</f>
        <v/>
      </c>
      <c r="R981" t="str">
        <f>IF($J981="","",IF($J981&gt;PARAMETRES!$G$30,5,IF($J981&gt;PARAMETRES!$F$30,4,IF($J981&gt;PARAMETRES!$E$30,3,IF($J981&gt;PARAMETRES!$D$30,2,1)))))</f>
        <v/>
      </c>
      <c r="S981" t="str">
        <f>IF($K981="","",IF($Z981=2,IF($K981&gt;PARAMETRES!$G$31,5,IF($K981&gt;PARAMETRES!$F$31,4,IF($K981&gt;PARAMETRES!$E$31,3,IF($K981&gt;PARAMETRES!$D$31,2,1)))),IF($K981&gt;PARAMETRES!$G$32,5,IF($K981&gt;PARAMETRES!$F$32,4,IF($K981&gt;PARAMETRES!$E$32,3,IF($K981&gt;PARAMETRES!$D$32,2,1))))))</f>
        <v/>
      </c>
      <c r="T981" t="str">
        <f>IF($L981="","",IF($L981&gt;PARAMETRES!$G$33,5,IF($L981&gt;PARAMETRES!$F$33,4,IF($L981&gt;PARAMETRES!$E$33,3,IF($L981&gt;PARAMETRES!$D$33,2,1)))))</f>
        <v/>
      </c>
      <c r="U981" t="str">
        <f>IF($M981="","",IF($M981&gt;PARAMETRES!$G$34,5,IF($M981&gt;PARAMETRES!$F$34,4,IF($M981&gt;PARAMETRES!$E$34,3,IF($M981&gt;PARAMETRES!$D$34,2,1)))))</f>
        <v/>
      </c>
      <c r="V981" t="str">
        <f>IF($N981="","",IF($N981&gt;PARAMETRES!$G$35,5,IF($N981&gt;PARAMETRES!$F$35,4,IF($N981&gt;PARAMETRES!$E$35,3,IF($N981&gt;PARAMETRES!$D$35,2,1)))))</f>
        <v/>
      </c>
      <c r="W981" t="str">
        <f>IF($O981="","",IF($O981&gt;PARAMETRES!$G$36,5,IF($O981&gt;PARAMETRES!$F$36,4,IF($O981&gt;PARAMETRES!$E$36,3,IF($O981&gt;PARAMETRES!$D$36,2,1)))))</f>
        <v/>
      </c>
      <c r="X981" t="str">
        <f>IF($P981="","",IF($P981&gt;PARAMETRES!$G$37,5,IF($P981&gt;PARAMETRES!$F$37,4,IF($P981&gt;PARAMETRES!$E$37,3,IF($P981&gt;PARAMETRES!$D$37,2,1)))))</f>
        <v/>
      </c>
      <c r="Y981" t="str">
        <f t="shared" si="360"/>
        <v/>
      </c>
      <c r="Z981" t="str">
        <f>IFERROR(VLOOKUP($B981,TABLE_CYCLE,2,0),"")</f>
        <v/>
      </c>
      <c r="AA981" t="str">
        <f t="shared" si="361"/>
        <v/>
      </c>
      <c r="AB981" t="str">
        <f>IF($D981="","",IF(COUNTIF($D$2:$D981,$D981)=1,$D981,""))</f>
        <v/>
      </c>
      <c r="AC981">
        <f t="shared" si="362"/>
        <v>0</v>
      </c>
      <c r="AD981" t="str">
        <f t="shared" si="363"/>
        <v>|0</v>
      </c>
      <c r="AE981" t="str">
        <f t="shared" si="364"/>
        <v/>
      </c>
      <c r="AF981" t="str">
        <f t="shared" si="365"/>
        <v/>
      </c>
      <c r="AG981" t="str">
        <f t="shared" si="366"/>
        <v/>
      </c>
      <c r="AH981" t="str">
        <f t="shared" si="367"/>
        <v/>
      </c>
      <c r="AI981" t="str">
        <f t="shared" si="368"/>
        <v/>
      </c>
      <c r="AJ981" t="str">
        <f t="shared" si="369"/>
        <v/>
      </c>
      <c r="AK981" t="str">
        <f t="shared" si="370"/>
        <v/>
      </c>
      <c r="AL981" t="str">
        <f t="shared" si="371"/>
        <v/>
      </c>
      <c r="AM981" t="str">
        <f t="shared" si="372"/>
        <v/>
      </c>
      <c r="AN981" t="str">
        <f t="shared" si="373"/>
        <v/>
      </c>
      <c r="AO981" t="str">
        <f t="shared" si="374"/>
        <v/>
      </c>
      <c r="AP981">
        <f t="shared" si="375"/>
        <v>1</v>
      </c>
      <c r="AQ981" t="str">
        <f>IF(SAISIE!$F986="","",SAISIE!$Y986)</f>
        <v/>
      </c>
      <c r="AR981" t="str">
        <f>IF(OR(SAISIE!$U$4="",SAISIE!$W$4=""),"",IF(AND($A981=SAISIE!$U$4,$B981=SAISIE!$W$4,$C981="S1"),COUNTIFS($A$2:$A981,SAISIE!$U$4,$B$2:$B981,SAISIE!$W$4,$C$2:$C981,"S1"),""))</f>
        <v/>
      </c>
      <c r="AS981" t="str">
        <f t="shared" si="376"/>
        <v/>
      </c>
      <c r="AT981" t="str">
        <f t="shared" si="377"/>
        <v/>
      </c>
      <c r="AU981" t="str">
        <f t="shared" si="378"/>
        <v/>
      </c>
      <c r="AV981">
        <f>N(AV980)+IF(AND($AB981&lt;&gt;"",OR('PROFIL ELEVE'!$K$4="(Tous)",$AF981='PROFIL ELEVE'!$K$4)),1,0)</f>
        <v>0</v>
      </c>
      <c r="AW981">
        <f>N(AW980)+IF(AND($AB981&lt;&gt;"",OR('SUIVI LONGITUDINAL'!$Q$4="(Tous)",$AF981='SUIVI LONGITUDINAL'!$Q$4)),1,0)</f>
        <v>0</v>
      </c>
      <c r="AX981">
        <f t="shared" si="379"/>
        <v>0</v>
      </c>
      <c r="AY981">
        <f t="shared" si="380"/>
        <v>0</v>
      </c>
      <c r="AZ981">
        <f t="shared" si="381"/>
        <v>0</v>
      </c>
      <c r="BA981" t="str">
        <f t="shared" si="382"/>
        <v/>
      </c>
      <c r="BB981" t="str">
        <f t="shared" si="383"/>
        <v/>
      </c>
    </row>
    <row r="982" spans="1:54" ht="14.25" customHeight="1" x14ac:dyDescent="0.3">
      <c r="A982" t="str">
        <f>IF(SAISIE!$F987="","",SAISIE!$B987)</f>
        <v/>
      </c>
      <c r="B982" t="str">
        <f>IF(SAISIE!$F987="","",SAISIE!$C987)</f>
        <v/>
      </c>
      <c r="C982" t="str">
        <f>IF(SAISIE!$F987="","",SAISIE!$D987)</f>
        <v/>
      </c>
      <c r="D982" t="str">
        <f>IF(SAISIE!$E987="","",SAISIE!$E987)</f>
        <v/>
      </c>
      <c r="E982" t="str">
        <f>IF(SAISIE!$F987="","",SAISIE!$F987)</f>
        <v/>
      </c>
      <c r="F982" t="str">
        <f>IF(SAISIE!$G987="","",SAISIE!$G987)</f>
        <v/>
      </c>
      <c r="G982" t="str">
        <f>IF(SAISIE!$H987="","",SAISIE!$H987)</f>
        <v/>
      </c>
      <c r="H982" t="str">
        <f>IF(SAISIE!$I987="","",SAISIE!$I987)</f>
        <v/>
      </c>
      <c r="I982" t="str">
        <f>IF(SAISIE!$J987="","",SAISIE!$J987)</f>
        <v/>
      </c>
      <c r="J982" t="str">
        <f>IF(SAISIE!$K987="","",SAISIE!$K987)</f>
        <v/>
      </c>
      <c r="K982" t="str">
        <f>IF(SAISIE!$L987="","",SAISIE!$L987)</f>
        <v/>
      </c>
      <c r="L982" t="str">
        <f>IF(SAISIE!$M987="","",SAISIE!$M987)</f>
        <v/>
      </c>
      <c r="M982" t="str">
        <f>IF(SAISIE!$N987="","",SAISIE!$N987)</f>
        <v/>
      </c>
      <c r="N982" t="str">
        <f>IF(SAISIE!$O987="","",SAISIE!$O987)</f>
        <v/>
      </c>
      <c r="O982" t="str">
        <f>IF(SAISIE!$P987="","",SAISIE!$P987)</f>
        <v/>
      </c>
      <c r="P982" t="str">
        <f>IF(SAISIE!$Q987="","",SAISIE!$Q987)</f>
        <v/>
      </c>
      <c r="Q982" t="str">
        <f>IF($I982="","",IF($I982&gt;PARAMETRES!$G$29,5,IF($I982&gt;PARAMETRES!$F$29,4,IF($I982&gt;PARAMETRES!$E$29,3,IF($I982&gt;PARAMETRES!$D$29,2,1)))))</f>
        <v/>
      </c>
      <c r="R982" t="str">
        <f>IF($J982="","",IF($J982&gt;PARAMETRES!$G$30,5,IF($J982&gt;PARAMETRES!$F$30,4,IF($J982&gt;PARAMETRES!$E$30,3,IF($J982&gt;PARAMETRES!$D$30,2,1)))))</f>
        <v/>
      </c>
      <c r="S982" t="str">
        <f>IF($K982="","",IF($Z982=2,IF($K982&gt;PARAMETRES!$G$31,5,IF($K982&gt;PARAMETRES!$F$31,4,IF($K982&gt;PARAMETRES!$E$31,3,IF($K982&gt;PARAMETRES!$D$31,2,1)))),IF($K982&gt;PARAMETRES!$G$32,5,IF($K982&gt;PARAMETRES!$F$32,4,IF($K982&gt;PARAMETRES!$E$32,3,IF($K982&gt;PARAMETRES!$D$32,2,1))))))</f>
        <v/>
      </c>
      <c r="T982" t="str">
        <f>IF($L982="","",IF($L982&gt;PARAMETRES!$G$33,5,IF($L982&gt;PARAMETRES!$F$33,4,IF($L982&gt;PARAMETRES!$E$33,3,IF($L982&gt;PARAMETRES!$D$33,2,1)))))</f>
        <v/>
      </c>
      <c r="U982" t="str">
        <f>IF($M982="","",IF($M982&gt;PARAMETRES!$G$34,5,IF($M982&gt;PARAMETRES!$F$34,4,IF($M982&gt;PARAMETRES!$E$34,3,IF($M982&gt;PARAMETRES!$D$34,2,1)))))</f>
        <v/>
      </c>
      <c r="V982" t="str">
        <f>IF($N982="","",IF($N982&gt;PARAMETRES!$G$35,5,IF($N982&gt;PARAMETRES!$F$35,4,IF($N982&gt;PARAMETRES!$E$35,3,IF($N982&gt;PARAMETRES!$D$35,2,1)))))</f>
        <v/>
      </c>
      <c r="W982" t="str">
        <f>IF($O982="","",IF($O982&gt;PARAMETRES!$G$36,5,IF($O982&gt;PARAMETRES!$F$36,4,IF($O982&gt;PARAMETRES!$E$36,3,IF($O982&gt;PARAMETRES!$D$36,2,1)))))</f>
        <v/>
      </c>
      <c r="X982" t="str">
        <f>IF($P982="","",IF($P982&gt;PARAMETRES!$G$37,5,IF($P982&gt;PARAMETRES!$F$37,4,IF($P982&gt;PARAMETRES!$E$37,3,IF($P982&gt;PARAMETRES!$D$37,2,1)))))</f>
        <v/>
      </c>
      <c r="Y982" t="str">
        <f t="shared" si="360"/>
        <v/>
      </c>
      <c r="Z982" t="str">
        <f>IFERROR(VLOOKUP($B982,TABLE_CYCLE,2,0),"")</f>
        <v/>
      </c>
      <c r="AA982" t="str">
        <f t="shared" si="361"/>
        <v/>
      </c>
      <c r="AB982" t="str">
        <f>IF($D982="","",IF(COUNTIF($D$2:$D982,$D982)=1,$D982,""))</f>
        <v/>
      </c>
      <c r="AC982">
        <f t="shared" si="362"/>
        <v>0</v>
      </c>
      <c r="AD982" t="str">
        <f t="shared" si="363"/>
        <v>|0</v>
      </c>
      <c r="AE982" t="str">
        <f t="shared" si="364"/>
        <v/>
      </c>
      <c r="AF982" t="str">
        <f t="shared" si="365"/>
        <v/>
      </c>
      <c r="AG982" t="str">
        <f t="shared" si="366"/>
        <v/>
      </c>
      <c r="AH982" t="str">
        <f t="shared" si="367"/>
        <v/>
      </c>
      <c r="AI982" t="str">
        <f t="shared" si="368"/>
        <v/>
      </c>
      <c r="AJ982" t="str">
        <f t="shared" si="369"/>
        <v/>
      </c>
      <c r="AK982" t="str">
        <f t="shared" si="370"/>
        <v/>
      </c>
      <c r="AL982" t="str">
        <f t="shared" si="371"/>
        <v/>
      </c>
      <c r="AM982" t="str">
        <f t="shared" si="372"/>
        <v/>
      </c>
      <c r="AN982" t="str">
        <f t="shared" si="373"/>
        <v/>
      </c>
      <c r="AO982" t="str">
        <f t="shared" si="374"/>
        <v/>
      </c>
      <c r="AP982">
        <f t="shared" si="375"/>
        <v>1</v>
      </c>
      <c r="AQ982" t="str">
        <f>IF(SAISIE!$F987="","",SAISIE!$Y987)</f>
        <v/>
      </c>
      <c r="AR982" t="str">
        <f>IF(OR(SAISIE!$U$4="",SAISIE!$W$4=""),"",IF(AND($A982=SAISIE!$U$4,$B982=SAISIE!$W$4,$C982="S1"),COUNTIFS($A$2:$A982,SAISIE!$U$4,$B$2:$B982,SAISIE!$W$4,$C$2:$C982,"S1"),""))</f>
        <v/>
      </c>
      <c r="AS982" t="str">
        <f t="shared" si="376"/>
        <v/>
      </c>
      <c r="AT982" t="str">
        <f t="shared" si="377"/>
        <v/>
      </c>
      <c r="AU982" t="str">
        <f t="shared" si="378"/>
        <v/>
      </c>
      <c r="AV982">
        <f>N(AV981)+IF(AND($AB982&lt;&gt;"",OR('PROFIL ELEVE'!$K$4="(Tous)",$AF982='PROFIL ELEVE'!$K$4)),1,0)</f>
        <v>0</v>
      </c>
      <c r="AW982">
        <f>N(AW981)+IF(AND($AB982&lt;&gt;"",OR('SUIVI LONGITUDINAL'!$Q$4="(Tous)",$AF982='SUIVI LONGITUDINAL'!$Q$4)),1,0)</f>
        <v>0</v>
      </c>
      <c r="AX982">
        <f t="shared" si="379"/>
        <v>0</v>
      </c>
      <c r="AY982">
        <f t="shared" si="380"/>
        <v>0</v>
      </c>
      <c r="AZ982">
        <f t="shared" si="381"/>
        <v>0</v>
      </c>
      <c r="BA982" t="str">
        <f t="shared" si="382"/>
        <v/>
      </c>
      <c r="BB982" t="str">
        <f t="shared" si="383"/>
        <v/>
      </c>
    </row>
    <row r="983" spans="1:54" ht="14.25" customHeight="1" x14ac:dyDescent="0.3">
      <c r="A983" t="str">
        <f>IF(SAISIE!$F988="","",SAISIE!$B988)</f>
        <v/>
      </c>
      <c r="B983" t="str">
        <f>IF(SAISIE!$F988="","",SAISIE!$C988)</f>
        <v/>
      </c>
      <c r="C983" t="str">
        <f>IF(SAISIE!$F988="","",SAISIE!$D988)</f>
        <v/>
      </c>
      <c r="D983" t="str">
        <f>IF(SAISIE!$E988="","",SAISIE!$E988)</f>
        <v/>
      </c>
      <c r="E983" t="str">
        <f>IF(SAISIE!$F988="","",SAISIE!$F988)</f>
        <v/>
      </c>
      <c r="F983" t="str">
        <f>IF(SAISIE!$G988="","",SAISIE!$G988)</f>
        <v/>
      </c>
      <c r="G983" t="str">
        <f>IF(SAISIE!$H988="","",SAISIE!$H988)</f>
        <v/>
      </c>
      <c r="H983" t="str">
        <f>IF(SAISIE!$I988="","",SAISIE!$I988)</f>
        <v/>
      </c>
      <c r="I983" t="str">
        <f>IF(SAISIE!$J988="","",SAISIE!$J988)</f>
        <v/>
      </c>
      <c r="J983" t="str">
        <f>IF(SAISIE!$K988="","",SAISIE!$K988)</f>
        <v/>
      </c>
      <c r="K983" t="str">
        <f>IF(SAISIE!$L988="","",SAISIE!$L988)</f>
        <v/>
      </c>
      <c r="L983" t="str">
        <f>IF(SAISIE!$M988="","",SAISIE!$M988)</f>
        <v/>
      </c>
      <c r="M983" t="str">
        <f>IF(SAISIE!$N988="","",SAISIE!$N988)</f>
        <v/>
      </c>
      <c r="N983" t="str">
        <f>IF(SAISIE!$O988="","",SAISIE!$O988)</f>
        <v/>
      </c>
      <c r="O983" t="str">
        <f>IF(SAISIE!$P988="","",SAISIE!$P988)</f>
        <v/>
      </c>
      <c r="P983" t="str">
        <f>IF(SAISIE!$Q988="","",SAISIE!$Q988)</f>
        <v/>
      </c>
      <c r="Q983" t="str">
        <f>IF($I983="","",IF($I983&gt;PARAMETRES!$G$29,5,IF($I983&gt;PARAMETRES!$F$29,4,IF($I983&gt;PARAMETRES!$E$29,3,IF($I983&gt;PARAMETRES!$D$29,2,1)))))</f>
        <v/>
      </c>
      <c r="R983" t="str">
        <f>IF($J983="","",IF($J983&gt;PARAMETRES!$G$30,5,IF($J983&gt;PARAMETRES!$F$30,4,IF($J983&gt;PARAMETRES!$E$30,3,IF($J983&gt;PARAMETRES!$D$30,2,1)))))</f>
        <v/>
      </c>
      <c r="S983" t="str">
        <f>IF($K983="","",IF($Z983=2,IF($K983&gt;PARAMETRES!$G$31,5,IF($K983&gt;PARAMETRES!$F$31,4,IF($K983&gt;PARAMETRES!$E$31,3,IF($K983&gt;PARAMETRES!$D$31,2,1)))),IF($K983&gt;PARAMETRES!$G$32,5,IF($K983&gt;PARAMETRES!$F$32,4,IF($K983&gt;PARAMETRES!$E$32,3,IF($K983&gt;PARAMETRES!$D$32,2,1))))))</f>
        <v/>
      </c>
      <c r="T983" t="str">
        <f>IF($L983="","",IF($L983&gt;PARAMETRES!$G$33,5,IF($L983&gt;PARAMETRES!$F$33,4,IF($L983&gt;PARAMETRES!$E$33,3,IF($L983&gt;PARAMETRES!$D$33,2,1)))))</f>
        <v/>
      </c>
      <c r="U983" t="str">
        <f>IF($M983="","",IF($M983&gt;PARAMETRES!$G$34,5,IF($M983&gt;PARAMETRES!$F$34,4,IF($M983&gt;PARAMETRES!$E$34,3,IF($M983&gt;PARAMETRES!$D$34,2,1)))))</f>
        <v/>
      </c>
      <c r="V983" t="str">
        <f>IF($N983="","",IF($N983&gt;PARAMETRES!$G$35,5,IF($N983&gt;PARAMETRES!$F$35,4,IF($N983&gt;PARAMETRES!$E$35,3,IF($N983&gt;PARAMETRES!$D$35,2,1)))))</f>
        <v/>
      </c>
      <c r="W983" t="str">
        <f>IF($O983="","",IF($O983&gt;PARAMETRES!$G$36,5,IF($O983&gt;PARAMETRES!$F$36,4,IF($O983&gt;PARAMETRES!$E$36,3,IF($O983&gt;PARAMETRES!$D$36,2,1)))))</f>
        <v/>
      </c>
      <c r="X983" t="str">
        <f>IF($P983="","",IF($P983&gt;PARAMETRES!$G$37,5,IF($P983&gt;PARAMETRES!$F$37,4,IF($P983&gt;PARAMETRES!$E$37,3,IF($P983&gt;PARAMETRES!$D$37,2,1)))))</f>
        <v/>
      </c>
      <c r="Y983" t="str">
        <f t="shared" si="360"/>
        <v/>
      </c>
      <c r="Z983" t="str">
        <f>IFERROR(VLOOKUP($B983,TABLE_CYCLE,2,0),"")</f>
        <v/>
      </c>
      <c r="AA983" t="str">
        <f t="shared" si="361"/>
        <v/>
      </c>
      <c r="AB983" t="str">
        <f>IF($D983="","",IF(COUNTIF($D$2:$D983,$D983)=1,$D983,""))</f>
        <v/>
      </c>
      <c r="AC983">
        <f t="shared" si="362"/>
        <v>0</v>
      </c>
      <c r="AD983" t="str">
        <f t="shared" si="363"/>
        <v>|0</v>
      </c>
      <c r="AE983" t="str">
        <f t="shared" si="364"/>
        <v/>
      </c>
      <c r="AF983" t="str">
        <f t="shared" si="365"/>
        <v/>
      </c>
      <c r="AG983" t="str">
        <f t="shared" si="366"/>
        <v/>
      </c>
      <c r="AH983" t="str">
        <f t="shared" si="367"/>
        <v/>
      </c>
      <c r="AI983" t="str">
        <f t="shared" si="368"/>
        <v/>
      </c>
      <c r="AJ983" t="str">
        <f t="shared" si="369"/>
        <v/>
      </c>
      <c r="AK983" t="str">
        <f t="shared" si="370"/>
        <v/>
      </c>
      <c r="AL983" t="str">
        <f t="shared" si="371"/>
        <v/>
      </c>
      <c r="AM983" t="str">
        <f t="shared" si="372"/>
        <v/>
      </c>
      <c r="AN983" t="str">
        <f t="shared" si="373"/>
        <v/>
      </c>
      <c r="AO983" t="str">
        <f t="shared" si="374"/>
        <v/>
      </c>
      <c r="AP983">
        <f t="shared" si="375"/>
        <v>1</v>
      </c>
      <c r="AQ983" t="str">
        <f>IF(SAISIE!$F988="","",SAISIE!$Y988)</f>
        <v/>
      </c>
      <c r="AR983" t="str">
        <f>IF(OR(SAISIE!$U$4="",SAISIE!$W$4=""),"",IF(AND($A983=SAISIE!$U$4,$B983=SAISIE!$W$4,$C983="S1"),COUNTIFS($A$2:$A983,SAISIE!$U$4,$B$2:$B983,SAISIE!$W$4,$C$2:$C983,"S1"),""))</f>
        <v/>
      </c>
      <c r="AS983" t="str">
        <f t="shared" si="376"/>
        <v/>
      </c>
      <c r="AT983" t="str">
        <f t="shared" si="377"/>
        <v/>
      </c>
      <c r="AU983" t="str">
        <f t="shared" si="378"/>
        <v/>
      </c>
      <c r="AV983">
        <f>N(AV982)+IF(AND($AB983&lt;&gt;"",OR('PROFIL ELEVE'!$K$4="(Tous)",$AF983='PROFIL ELEVE'!$K$4)),1,0)</f>
        <v>0</v>
      </c>
      <c r="AW983">
        <f>N(AW982)+IF(AND($AB983&lt;&gt;"",OR('SUIVI LONGITUDINAL'!$Q$4="(Tous)",$AF983='SUIVI LONGITUDINAL'!$Q$4)),1,0)</f>
        <v>0</v>
      </c>
      <c r="AX983">
        <f t="shared" si="379"/>
        <v>0</v>
      </c>
      <c r="AY983">
        <f t="shared" si="380"/>
        <v>0</v>
      </c>
      <c r="AZ983">
        <f t="shared" si="381"/>
        <v>0</v>
      </c>
      <c r="BA983" t="str">
        <f t="shared" si="382"/>
        <v/>
      </c>
      <c r="BB983" t="str">
        <f t="shared" si="383"/>
        <v/>
      </c>
    </row>
    <row r="984" spans="1:54" ht="14.25" customHeight="1" x14ac:dyDescent="0.3">
      <c r="A984" t="str">
        <f>IF(SAISIE!$F989="","",SAISIE!$B989)</f>
        <v/>
      </c>
      <c r="B984" t="str">
        <f>IF(SAISIE!$F989="","",SAISIE!$C989)</f>
        <v/>
      </c>
      <c r="C984" t="str">
        <f>IF(SAISIE!$F989="","",SAISIE!$D989)</f>
        <v/>
      </c>
      <c r="D984" t="str">
        <f>IF(SAISIE!$E989="","",SAISIE!$E989)</f>
        <v/>
      </c>
      <c r="E984" t="str">
        <f>IF(SAISIE!$F989="","",SAISIE!$F989)</f>
        <v/>
      </c>
      <c r="F984" t="str">
        <f>IF(SAISIE!$G989="","",SAISIE!$G989)</f>
        <v/>
      </c>
      <c r="G984" t="str">
        <f>IF(SAISIE!$H989="","",SAISIE!$H989)</f>
        <v/>
      </c>
      <c r="H984" t="str">
        <f>IF(SAISIE!$I989="","",SAISIE!$I989)</f>
        <v/>
      </c>
      <c r="I984" t="str">
        <f>IF(SAISIE!$J989="","",SAISIE!$J989)</f>
        <v/>
      </c>
      <c r="J984" t="str">
        <f>IF(SAISIE!$K989="","",SAISIE!$K989)</f>
        <v/>
      </c>
      <c r="K984" t="str">
        <f>IF(SAISIE!$L989="","",SAISIE!$L989)</f>
        <v/>
      </c>
      <c r="L984" t="str">
        <f>IF(SAISIE!$M989="","",SAISIE!$M989)</f>
        <v/>
      </c>
      <c r="M984" t="str">
        <f>IF(SAISIE!$N989="","",SAISIE!$N989)</f>
        <v/>
      </c>
      <c r="N984" t="str">
        <f>IF(SAISIE!$O989="","",SAISIE!$O989)</f>
        <v/>
      </c>
      <c r="O984" t="str">
        <f>IF(SAISIE!$P989="","",SAISIE!$P989)</f>
        <v/>
      </c>
      <c r="P984" t="str">
        <f>IF(SAISIE!$Q989="","",SAISIE!$Q989)</f>
        <v/>
      </c>
      <c r="Q984" t="str">
        <f>IF($I984="","",IF($I984&gt;PARAMETRES!$G$29,5,IF($I984&gt;PARAMETRES!$F$29,4,IF($I984&gt;PARAMETRES!$E$29,3,IF($I984&gt;PARAMETRES!$D$29,2,1)))))</f>
        <v/>
      </c>
      <c r="R984" t="str">
        <f>IF($J984="","",IF($J984&gt;PARAMETRES!$G$30,5,IF($J984&gt;PARAMETRES!$F$30,4,IF($J984&gt;PARAMETRES!$E$30,3,IF($J984&gt;PARAMETRES!$D$30,2,1)))))</f>
        <v/>
      </c>
      <c r="S984" t="str">
        <f>IF($K984="","",IF($Z984=2,IF($K984&gt;PARAMETRES!$G$31,5,IF($K984&gt;PARAMETRES!$F$31,4,IF($K984&gt;PARAMETRES!$E$31,3,IF($K984&gt;PARAMETRES!$D$31,2,1)))),IF($K984&gt;PARAMETRES!$G$32,5,IF($K984&gt;PARAMETRES!$F$32,4,IF($K984&gt;PARAMETRES!$E$32,3,IF($K984&gt;PARAMETRES!$D$32,2,1))))))</f>
        <v/>
      </c>
      <c r="T984" t="str">
        <f>IF($L984="","",IF($L984&gt;PARAMETRES!$G$33,5,IF($L984&gt;PARAMETRES!$F$33,4,IF($L984&gt;PARAMETRES!$E$33,3,IF($L984&gt;PARAMETRES!$D$33,2,1)))))</f>
        <v/>
      </c>
      <c r="U984" t="str">
        <f>IF($M984="","",IF($M984&gt;PARAMETRES!$G$34,5,IF($M984&gt;PARAMETRES!$F$34,4,IF($M984&gt;PARAMETRES!$E$34,3,IF($M984&gt;PARAMETRES!$D$34,2,1)))))</f>
        <v/>
      </c>
      <c r="V984" t="str">
        <f>IF($N984="","",IF($N984&gt;PARAMETRES!$G$35,5,IF($N984&gt;PARAMETRES!$F$35,4,IF($N984&gt;PARAMETRES!$E$35,3,IF($N984&gt;PARAMETRES!$D$35,2,1)))))</f>
        <v/>
      </c>
      <c r="W984" t="str">
        <f>IF($O984="","",IF($O984&gt;PARAMETRES!$G$36,5,IF($O984&gt;PARAMETRES!$F$36,4,IF($O984&gt;PARAMETRES!$E$36,3,IF($O984&gt;PARAMETRES!$D$36,2,1)))))</f>
        <v/>
      </c>
      <c r="X984" t="str">
        <f>IF($P984="","",IF($P984&gt;PARAMETRES!$G$37,5,IF($P984&gt;PARAMETRES!$F$37,4,IF($P984&gt;PARAMETRES!$E$37,3,IF($P984&gt;PARAMETRES!$D$37,2,1)))))</f>
        <v/>
      </c>
      <c r="Y984" t="str">
        <f t="shared" si="360"/>
        <v/>
      </c>
      <c r="Z984" t="str">
        <f>IFERROR(VLOOKUP($B984,TABLE_CYCLE,2,0),"")</f>
        <v/>
      </c>
      <c r="AA984" t="str">
        <f t="shared" si="361"/>
        <v/>
      </c>
      <c r="AB984" t="str">
        <f>IF($D984="","",IF(COUNTIF($D$2:$D984,$D984)=1,$D984,""))</f>
        <v/>
      </c>
      <c r="AC984">
        <f t="shared" si="362"/>
        <v>0</v>
      </c>
      <c r="AD984" t="str">
        <f t="shared" si="363"/>
        <v>|0</v>
      </c>
      <c r="AE984" t="str">
        <f t="shared" si="364"/>
        <v/>
      </c>
      <c r="AF984" t="str">
        <f t="shared" si="365"/>
        <v/>
      </c>
      <c r="AG984" t="str">
        <f t="shared" si="366"/>
        <v/>
      </c>
      <c r="AH984" t="str">
        <f t="shared" si="367"/>
        <v/>
      </c>
      <c r="AI984" t="str">
        <f t="shared" si="368"/>
        <v/>
      </c>
      <c r="AJ984" t="str">
        <f t="shared" si="369"/>
        <v/>
      </c>
      <c r="AK984" t="str">
        <f t="shared" si="370"/>
        <v/>
      </c>
      <c r="AL984" t="str">
        <f t="shared" si="371"/>
        <v/>
      </c>
      <c r="AM984" t="str">
        <f t="shared" si="372"/>
        <v/>
      </c>
      <c r="AN984" t="str">
        <f t="shared" si="373"/>
        <v/>
      </c>
      <c r="AO984" t="str">
        <f t="shared" si="374"/>
        <v/>
      </c>
      <c r="AP984">
        <f t="shared" si="375"/>
        <v>1</v>
      </c>
      <c r="AQ984" t="str">
        <f>IF(SAISIE!$F989="","",SAISIE!$Y989)</f>
        <v/>
      </c>
      <c r="AR984" t="str">
        <f>IF(OR(SAISIE!$U$4="",SAISIE!$W$4=""),"",IF(AND($A984=SAISIE!$U$4,$B984=SAISIE!$W$4,$C984="S1"),COUNTIFS($A$2:$A984,SAISIE!$U$4,$B$2:$B984,SAISIE!$W$4,$C$2:$C984,"S1"),""))</f>
        <v/>
      </c>
      <c r="AS984" t="str">
        <f t="shared" si="376"/>
        <v/>
      </c>
      <c r="AT984" t="str">
        <f t="shared" si="377"/>
        <v/>
      </c>
      <c r="AU984" t="str">
        <f t="shared" si="378"/>
        <v/>
      </c>
      <c r="AV984">
        <f>N(AV983)+IF(AND($AB984&lt;&gt;"",OR('PROFIL ELEVE'!$K$4="(Tous)",$AF984='PROFIL ELEVE'!$K$4)),1,0)</f>
        <v>0</v>
      </c>
      <c r="AW984">
        <f>N(AW983)+IF(AND($AB984&lt;&gt;"",OR('SUIVI LONGITUDINAL'!$Q$4="(Tous)",$AF984='SUIVI LONGITUDINAL'!$Q$4)),1,0)</f>
        <v>0</v>
      </c>
      <c r="AX984">
        <f t="shared" si="379"/>
        <v>0</v>
      </c>
      <c r="AY984">
        <f t="shared" si="380"/>
        <v>0</v>
      </c>
      <c r="AZ984">
        <f t="shared" si="381"/>
        <v>0</v>
      </c>
      <c r="BA984" t="str">
        <f t="shared" si="382"/>
        <v/>
      </c>
      <c r="BB984" t="str">
        <f t="shared" si="383"/>
        <v/>
      </c>
    </row>
    <row r="985" spans="1:54" ht="14.25" customHeight="1" x14ac:dyDescent="0.3">
      <c r="A985" t="str">
        <f>IF(SAISIE!$F990="","",SAISIE!$B990)</f>
        <v/>
      </c>
      <c r="B985" t="str">
        <f>IF(SAISIE!$F990="","",SAISIE!$C990)</f>
        <v/>
      </c>
      <c r="C985" t="str">
        <f>IF(SAISIE!$F990="","",SAISIE!$D990)</f>
        <v/>
      </c>
      <c r="D985" t="str">
        <f>IF(SAISIE!$E990="","",SAISIE!$E990)</f>
        <v/>
      </c>
      <c r="E985" t="str">
        <f>IF(SAISIE!$F990="","",SAISIE!$F990)</f>
        <v/>
      </c>
      <c r="F985" t="str">
        <f>IF(SAISIE!$G990="","",SAISIE!$G990)</f>
        <v/>
      </c>
      <c r="G985" t="str">
        <f>IF(SAISIE!$H990="","",SAISIE!$H990)</f>
        <v/>
      </c>
      <c r="H985" t="str">
        <f>IF(SAISIE!$I990="","",SAISIE!$I990)</f>
        <v/>
      </c>
      <c r="I985" t="str">
        <f>IF(SAISIE!$J990="","",SAISIE!$J990)</f>
        <v/>
      </c>
      <c r="J985" t="str">
        <f>IF(SAISIE!$K990="","",SAISIE!$K990)</f>
        <v/>
      </c>
      <c r="K985" t="str">
        <f>IF(SAISIE!$L990="","",SAISIE!$L990)</f>
        <v/>
      </c>
      <c r="L985" t="str">
        <f>IF(SAISIE!$M990="","",SAISIE!$M990)</f>
        <v/>
      </c>
      <c r="M985" t="str">
        <f>IF(SAISIE!$N990="","",SAISIE!$N990)</f>
        <v/>
      </c>
      <c r="N985" t="str">
        <f>IF(SAISIE!$O990="","",SAISIE!$O990)</f>
        <v/>
      </c>
      <c r="O985" t="str">
        <f>IF(SAISIE!$P990="","",SAISIE!$P990)</f>
        <v/>
      </c>
      <c r="P985" t="str">
        <f>IF(SAISIE!$Q990="","",SAISIE!$Q990)</f>
        <v/>
      </c>
      <c r="Q985" t="str">
        <f>IF($I985="","",IF($I985&gt;PARAMETRES!$G$29,5,IF($I985&gt;PARAMETRES!$F$29,4,IF($I985&gt;PARAMETRES!$E$29,3,IF($I985&gt;PARAMETRES!$D$29,2,1)))))</f>
        <v/>
      </c>
      <c r="R985" t="str">
        <f>IF($J985="","",IF($J985&gt;PARAMETRES!$G$30,5,IF($J985&gt;PARAMETRES!$F$30,4,IF($J985&gt;PARAMETRES!$E$30,3,IF($J985&gt;PARAMETRES!$D$30,2,1)))))</f>
        <v/>
      </c>
      <c r="S985" t="str">
        <f>IF($K985="","",IF($Z985=2,IF($K985&gt;PARAMETRES!$G$31,5,IF($K985&gt;PARAMETRES!$F$31,4,IF($K985&gt;PARAMETRES!$E$31,3,IF($K985&gt;PARAMETRES!$D$31,2,1)))),IF($K985&gt;PARAMETRES!$G$32,5,IF($K985&gt;PARAMETRES!$F$32,4,IF($K985&gt;PARAMETRES!$E$32,3,IF($K985&gt;PARAMETRES!$D$32,2,1))))))</f>
        <v/>
      </c>
      <c r="T985" t="str">
        <f>IF($L985="","",IF($L985&gt;PARAMETRES!$G$33,5,IF($L985&gt;PARAMETRES!$F$33,4,IF($L985&gt;PARAMETRES!$E$33,3,IF($L985&gt;PARAMETRES!$D$33,2,1)))))</f>
        <v/>
      </c>
      <c r="U985" t="str">
        <f>IF($M985="","",IF($M985&gt;PARAMETRES!$G$34,5,IF($M985&gt;PARAMETRES!$F$34,4,IF($M985&gt;PARAMETRES!$E$34,3,IF($M985&gt;PARAMETRES!$D$34,2,1)))))</f>
        <v/>
      </c>
      <c r="V985" t="str">
        <f>IF($N985="","",IF($N985&gt;PARAMETRES!$G$35,5,IF($N985&gt;PARAMETRES!$F$35,4,IF($N985&gt;PARAMETRES!$E$35,3,IF($N985&gt;PARAMETRES!$D$35,2,1)))))</f>
        <v/>
      </c>
      <c r="W985" t="str">
        <f>IF($O985="","",IF($O985&gt;PARAMETRES!$G$36,5,IF($O985&gt;PARAMETRES!$F$36,4,IF($O985&gt;PARAMETRES!$E$36,3,IF($O985&gt;PARAMETRES!$D$36,2,1)))))</f>
        <v/>
      </c>
      <c r="X985" t="str">
        <f>IF($P985="","",IF($P985&gt;PARAMETRES!$G$37,5,IF($P985&gt;PARAMETRES!$F$37,4,IF($P985&gt;PARAMETRES!$E$37,3,IF($P985&gt;PARAMETRES!$D$37,2,1)))))</f>
        <v/>
      </c>
      <c r="Y985" t="str">
        <f t="shared" si="360"/>
        <v/>
      </c>
      <c r="Z985" t="str">
        <f>IFERROR(VLOOKUP($B985,TABLE_CYCLE,2,0),"")</f>
        <v/>
      </c>
      <c r="AA985" t="str">
        <f t="shared" si="361"/>
        <v/>
      </c>
      <c r="AB985" t="str">
        <f>IF($D985="","",IF(COUNTIF($D$2:$D985,$D985)=1,$D985,""))</f>
        <v/>
      </c>
      <c r="AC985">
        <f t="shared" si="362"/>
        <v>0</v>
      </c>
      <c r="AD985" t="str">
        <f t="shared" si="363"/>
        <v>|0</v>
      </c>
      <c r="AE985" t="str">
        <f t="shared" si="364"/>
        <v/>
      </c>
      <c r="AF985" t="str">
        <f t="shared" si="365"/>
        <v/>
      </c>
      <c r="AG985" t="str">
        <f t="shared" si="366"/>
        <v/>
      </c>
      <c r="AH985" t="str">
        <f t="shared" si="367"/>
        <v/>
      </c>
      <c r="AI985" t="str">
        <f t="shared" si="368"/>
        <v/>
      </c>
      <c r="AJ985" t="str">
        <f t="shared" si="369"/>
        <v/>
      </c>
      <c r="AK985" t="str">
        <f t="shared" si="370"/>
        <v/>
      </c>
      <c r="AL985" t="str">
        <f t="shared" si="371"/>
        <v/>
      </c>
      <c r="AM985" t="str">
        <f t="shared" si="372"/>
        <v/>
      </c>
      <c r="AN985" t="str">
        <f t="shared" si="373"/>
        <v/>
      </c>
      <c r="AO985" t="str">
        <f t="shared" si="374"/>
        <v/>
      </c>
      <c r="AP985">
        <f t="shared" si="375"/>
        <v>1</v>
      </c>
      <c r="AQ985" t="str">
        <f>IF(SAISIE!$F990="","",SAISIE!$Y990)</f>
        <v/>
      </c>
      <c r="AR985" t="str">
        <f>IF(OR(SAISIE!$U$4="",SAISIE!$W$4=""),"",IF(AND($A985=SAISIE!$U$4,$B985=SAISIE!$W$4,$C985="S1"),COUNTIFS($A$2:$A985,SAISIE!$U$4,$B$2:$B985,SAISIE!$W$4,$C$2:$C985,"S1"),""))</f>
        <v/>
      </c>
      <c r="AS985" t="str">
        <f t="shared" si="376"/>
        <v/>
      </c>
      <c r="AT985" t="str">
        <f t="shared" si="377"/>
        <v/>
      </c>
      <c r="AU985" t="str">
        <f t="shared" si="378"/>
        <v/>
      </c>
      <c r="AV985">
        <f>N(AV984)+IF(AND($AB985&lt;&gt;"",OR('PROFIL ELEVE'!$K$4="(Tous)",$AF985='PROFIL ELEVE'!$K$4)),1,0)</f>
        <v>0</v>
      </c>
      <c r="AW985">
        <f>N(AW984)+IF(AND($AB985&lt;&gt;"",OR('SUIVI LONGITUDINAL'!$Q$4="(Tous)",$AF985='SUIVI LONGITUDINAL'!$Q$4)),1,0)</f>
        <v>0</v>
      </c>
      <c r="AX985">
        <f t="shared" si="379"/>
        <v>0</v>
      </c>
      <c r="AY985">
        <f t="shared" si="380"/>
        <v>0</v>
      </c>
      <c r="AZ985">
        <f t="shared" si="381"/>
        <v>0</v>
      </c>
      <c r="BA985" t="str">
        <f t="shared" si="382"/>
        <v/>
      </c>
      <c r="BB985" t="str">
        <f t="shared" si="383"/>
        <v/>
      </c>
    </row>
    <row r="986" spans="1:54" ht="14.25" customHeight="1" x14ac:dyDescent="0.3">
      <c r="A986" t="str">
        <f>IF(SAISIE!$F991="","",SAISIE!$B991)</f>
        <v/>
      </c>
      <c r="B986" t="str">
        <f>IF(SAISIE!$F991="","",SAISIE!$C991)</f>
        <v/>
      </c>
      <c r="C986" t="str">
        <f>IF(SAISIE!$F991="","",SAISIE!$D991)</f>
        <v/>
      </c>
      <c r="D986" t="str">
        <f>IF(SAISIE!$E991="","",SAISIE!$E991)</f>
        <v/>
      </c>
      <c r="E986" t="str">
        <f>IF(SAISIE!$F991="","",SAISIE!$F991)</f>
        <v/>
      </c>
      <c r="F986" t="str">
        <f>IF(SAISIE!$G991="","",SAISIE!$G991)</f>
        <v/>
      </c>
      <c r="G986" t="str">
        <f>IF(SAISIE!$H991="","",SAISIE!$H991)</f>
        <v/>
      </c>
      <c r="H986" t="str">
        <f>IF(SAISIE!$I991="","",SAISIE!$I991)</f>
        <v/>
      </c>
      <c r="I986" t="str">
        <f>IF(SAISIE!$J991="","",SAISIE!$J991)</f>
        <v/>
      </c>
      <c r="J986" t="str">
        <f>IF(SAISIE!$K991="","",SAISIE!$K991)</f>
        <v/>
      </c>
      <c r="K986" t="str">
        <f>IF(SAISIE!$L991="","",SAISIE!$L991)</f>
        <v/>
      </c>
      <c r="L986" t="str">
        <f>IF(SAISIE!$M991="","",SAISIE!$M991)</f>
        <v/>
      </c>
      <c r="M986" t="str">
        <f>IF(SAISIE!$N991="","",SAISIE!$N991)</f>
        <v/>
      </c>
      <c r="N986" t="str">
        <f>IF(SAISIE!$O991="","",SAISIE!$O991)</f>
        <v/>
      </c>
      <c r="O986" t="str">
        <f>IF(SAISIE!$P991="","",SAISIE!$P991)</f>
        <v/>
      </c>
      <c r="P986" t="str">
        <f>IF(SAISIE!$Q991="","",SAISIE!$Q991)</f>
        <v/>
      </c>
      <c r="Q986" t="str">
        <f>IF($I986="","",IF($I986&gt;PARAMETRES!$G$29,5,IF($I986&gt;PARAMETRES!$F$29,4,IF($I986&gt;PARAMETRES!$E$29,3,IF($I986&gt;PARAMETRES!$D$29,2,1)))))</f>
        <v/>
      </c>
      <c r="R986" t="str">
        <f>IF($J986="","",IF($J986&gt;PARAMETRES!$G$30,5,IF($J986&gt;PARAMETRES!$F$30,4,IF($J986&gt;PARAMETRES!$E$30,3,IF($J986&gt;PARAMETRES!$D$30,2,1)))))</f>
        <v/>
      </c>
      <c r="S986" t="str">
        <f>IF($K986="","",IF($Z986=2,IF($K986&gt;PARAMETRES!$G$31,5,IF($K986&gt;PARAMETRES!$F$31,4,IF($K986&gt;PARAMETRES!$E$31,3,IF($K986&gt;PARAMETRES!$D$31,2,1)))),IF($K986&gt;PARAMETRES!$G$32,5,IF($K986&gt;PARAMETRES!$F$32,4,IF($K986&gt;PARAMETRES!$E$32,3,IF($K986&gt;PARAMETRES!$D$32,2,1))))))</f>
        <v/>
      </c>
      <c r="T986" t="str">
        <f>IF($L986="","",IF($L986&gt;PARAMETRES!$G$33,5,IF($L986&gt;PARAMETRES!$F$33,4,IF($L986&gt;PARAMETRES!$E$33,3,IF($L986&gt;PARAMETRES!$D$33,2,1)))))</f>
        <v/>
      </c>
      <c r="U986" t="str">
        <f>IF($M986="","",IF($M986&gt;PARAMETRES!$G$34,5,IF($M986&gt;PARAMETRES!$F$34,4,IF($M986&gt;PARAMETRES!$E$34,3,IF($M986&gt;PARAMETRES!$D$34,2,1)))))</f>
        <v/>
      </c>
      <c r="V986" t="str">
        <f>IF($N986="","",IF($N986&gt;PARAMETRES!$G$35,5,IF($N986&gt;PARAMETRES!$F$35,4,IF($N986&gt;PARAMETRES!$E$35,3,IF($N986&gt;PARAMETRES!$D$35,2,1)))))</f>
        <v/>
      </c>
      <c r="W986" t="str">
        <f>IF($O986="","",IF($O986&gt;PARAMETRES!$G$36,5,IF($O986&gt;PARAMETRES!$F$36,4,IF($O986&gt;PARAMETRES!$E$36,3,IF($O986&gt;PARAMETRES!$D$36,2,1)))))</f>
        <v/>
      </c>
      <c r="X986" t="str">
        <f>IF($P986="","",IF($P986&gt;PARAMETRES!$G$37,5,IF($P986&gt;PARAMETRES!$F$37,4,IF($P986&gt;PARAMETRES!$E$37,3,IF($P986&gt;PARAMETRES!$D$37,2,1)))))</f>
        <v/>
      </c>
      <c r="Y986" t="str">
        <f t="shared" si="360"/>
        <v/>
      </c>
      <c r="Z986" t="str">
        <f>IFERROR(VLOOKUP($B986,TABLE_CYCLE,2,0),"")</f>
        <v/>
      </c>
      <c r="AA986" t="str">
        <f t="shared" si="361"/>
        <v/>
      </c>
      <c r="AB986" t="str">
        <f>IF($D986="","",IF(COUNTIF($D$2:$D986,$D986)=1,$D986,""))</f>
        <v/>
      </c>
      <c r="AC986">
        <f t="shared" si="362"/>
        <v>0</v>
      </c>
      <c r="AD986" t="str">
        <f t="shared" si="363"/>
        <v>|0</v>
      </c>
      <c r="AE986" t="str">
        <f t="shared" si="364"/>
        <v/>
      </c>
      <c r="AF986" t="str">
        <f t="shared" si="365"/>
        <v/>
      </c>
      <c r="AG986" t="str">
        <f t="shared" si="366"/>
        <v/>
      </c>
      <c r="AH986" t="str">
        <f t="shared" si="367"/>
        <v/>
      </c>
      <c r="AI986" t="str">
        <f t="shared" si="368"/>
        <v/>
      </c>
      <c r="AJ986" t="str">
        <f t="shared" si="369"/>
        <v/>
      </c>
      <c r="AK986" t="str">
        <f t="shared" si="370"/>
        <v/>
      </c>
      <c r="AL986" t="str">
        <f t="shared" si="371"/>
        <v/>
      </c>
      <c r="AM986" t="str">
        <f t="shared" si="372"/>
        <v/>
      </c>
      <c r="AN986" t="str">
        <f t="shared" si="373"/>
        <v/>
      </c>
      <c r="AO986" t="str">
        <f t="shared" si="374"/>
        <v/>
      </c>
      <c r="AP986">
        <f t="shared" si="375"/>
        <v>1</v>
      </c>
      <c r="AQ986" t="str">
        <f>IF(SAISIE!$F991="","",SAISIE!$Y991)</f>
        <v/>
      </c>
      <c r="AR986" t="str">
        <f>IF(OR(SAISIE!$U$4="",SAISIE!$W$4=""),"",IF(AND($A986=SAISIE!$U$4,$B986=SAISIE!$W$4,$C986="S1"),COUNTIFS($A$2:$A986,SAISIE!$U$4,$B$2:$B986,SAISIE!$W$4,$C$2:$C986,"S1"),""))</f>
        <v/>
      </c>
      <c r="AS986" t="str">
        <f t="shared" si="376"/>
        <v/>
      </c>
      <c r="AT986" t="str">
        <f t="shared" si="377"/>
        <v/>
      </c>
      <c r="AU986" t="str">
        <f t="shared" si="378"/>
        <v/>
      </c>
      <c r="AV986">
        <f>N(AV985)+IF(AND($AB986&lt;&gt;"",OR('PROFIL ELEVE'!$K$4="(Tous)",$AF986='PROFIL ELEVE'!$K$4)),1,0)</f>
        <v>0</v>
      </c>
      <c r="AW986">
        <f>N(AW985)+IF(AND($AB986&lt;&gt;"",OR('SUIVI LONGITUDINAL'!$Q$4="(Tous)",$AF986='SUIVI LONGITUDINAL'!$Q$4)),1,0)</f>
        <v>0</v>
      </c>
      <c r="AX986">
        <f t="shared" si="379"/>
        <v>0</v>
      </c>
      <c r="AY986">
        <f t="shared" si="380"/>
        <v>0</v>
      </c>
      <c r="AZ986">
        <f t="shared" si="381"/>
        <v>0</v>
      </c>
      <c r="BA986" t="str">
        <f t="shared" si="382"/>
        <v/>
      </c>
      <c r="BB986" t="str">
        <f t="shared" si="383"/>
        <v/>
      </c>
    </row>
    <row r="987" spans="1:54" ht="14.25" customHeight="1" x14ac:dyDescent="0.3">
      <c r="A987" t="str">
        <f>IF(SAISIE!$F992="","",SAISIE!$B992)</f>
        <v/>
      </c>
      <c r="B987" t="str">
        <f>IF(SAISIE!$F992="","",SAISIE!$C992)</f>
        <v/>
      </c>
      <c r="C987" t="str">
        <f>IF(SAISIE!$F992="","",SAISIE!$D992)</f>
        <v/>
      </c>
      <c r="D987" t="str">
        <f>IF(SAISIE!$E992="","",SAISIE!$E992)</f>
        <v/>
      </c>
      <c r="E987" t="str">
        <f>IF(SAISIE!$F992="","",SAISIE!$F992)</f>
        <v/>
      </c>
      <c r="F987" t="str">
        <f>IF(SAISIE!$G992="","",SAISIE!$G992)</f>
        <v/>
      </c>
      <c r="G987" t="str">
        <f>IF(SAISIE!$H992="","",SAISIE!$H992)</f>
        <v/>
      </c>
      <c r="H987" t="str">
        <f>IF(SAISIE!$I992="","",SAISIE!$I992)</f>
        <v/>
      </c>
      <c r="I987" t="str">
        <f>IF(SAISIE!$J992="","",SAISIE!$J992)</f>
        <v/>
      </c>
      <c r="J987" t="str">
        <f>IF(SAISIE!$K992="","",SAISIE!$K992)</f>
        <v/>
      </c>
      <c r="K987" t="str">
        <f>IF(SAISIE!$L992="","",SAISIE!$L992)</f>
        <v/>
      </c>
      <c r="L987" t="str">
        <f>IF(SAISIE!$M992="","",SAISIE!$M992)</f>
        <v/>
      </c>
      <c r="M987" t="str">
        <f>IF(SAISIE!$N992="","",SAISIE!$N992)</f>
        <v/>
      </c>
      <c r="N987" t="str">
        <f>IF(SAISIE!$O992="","",SAISIE!$O992)</f>
        <v/>
      </c>
      <c r="O987" t="str">
        <f>IF(SAISIE!$P992="","",SAISIE!$P992)</f>
        <v/>
      </c>
      <c r="P987" t="str">
        <f>IF(SAISIE!$Q992="","",SAISIE!$Q992)</f>
        <v/>
      </c>
      <c r="Q987" t="str">
        <f>IF($I987="","",IF($I987&gt;PARAMETRES!$G$29,5,IF($I987&gt;PARAMETRES!$F$29,4,IF($I987&gt;PARAMETRES!$E$29,3,IF($I987&gt;PARAMETRES!$D$29,2,1)))))</f>
        <v/>
      </c>
      <c r="R987" t="str">
        <f>IF($J987="","",IF($J987&gt;PARAMETRES!$G$30,5,IF($J987&gt;PARAMETRES!$F$30,4,IF($J987&gt;PARAMETRES!$E$30,3,IF($J987&gt;PARAMETRES!$D$30,2,1)))))</f>
        <v/>
      </c>
      <c r="S987" t="str">
        <f>IF($K987="","",IF($Z987=2,IF($K987&gt;PARAMETRES!$G$31,5,IF($K987&gt;PARAMETRES!$F$31,4,IF($K987&gt;PARAMETRES!$E$31,3,IF($K987&gt;PARAMETRES!$D$31,2,1)))),IF($K987&gt;PARAMETRES!$G$32,5,IF($K987&gt;PARAMETRES!$F$32,4,IF($K987&gt;PARAMETRES!$E$32,3,IF($K987&gt;PARAMETRES!$D$32,2,1))))))</f>
        <v/>
      </c>
      <c r="T987" t="str">
        <f>IF($L987="","",IF($L987&gt;PARAMETRES!$G$33,5,IF($L987&gt;PARAMETRES!$F$33,4,IF($L987&gt;PARAMETRES!$E$33,3,IF($L987&gt;PARAMETRES!$D$33,2,1)))))</f>
        <v/>
      </c>
      <c r="U987" t="str">
        <f>IF($M987="","",IF($M987&gt;PARAMETRES!$G$34,5,IF($M987&gt;PARAMETRES!$F$34,4,IF($M987&gt;PARAMETRES!$E$34,3,IF($M987&gt;PARAMETRES!$D$34,2,1)))))</f>
        <v/>
      </c>
      <c r="V987" t="str">
        <f>IF($N987="","",IF($N987&gt;PARAMETRES!$G$35,5,IF($N987&gt;PARAMETRES!$F$35,4,IF($N987&gt;PARAMETRES!$E$35,3,IF($N987&gt;PARAMETRES!$D$35,2,1)))))</f>
        <v/>
      </c>
      <c r="W987" t="str">
        <f>IF($O987="","",IF($O987&gt;PARAMETRES!$G$36,5,IF($O987&gt;PARAMETRES!$F$36,4,IF($O987&gt;PARAMETRES!$E$36,3,IF($O987&gt;PARAMETRES!$D$36,2,1)))))</f>
        <v/>
      </c>
      <c r="X987" t="str">
        <f>IF($P987="","",IF($P987&gt;PARAMETRES!$G$37,5,IF($P987&gt;PARAMETRES!$F$37,4,IF($P987&gt;PARAMETRES!$E$37,3,IF($P987&gt;PARAMETRES!$D$37,2,1)))))</f>
        <v/>
      </c>
      <c r="Y987" t="str">
        <f t="shared" si="360"/>
        <v/>
      </c>
      <c r="Z987" t="str">
        <f>IFERROR(VLOOKUP($B987,TABLE_CYCLE,2,0),"")</f>
        <v/>
      </c>
      <c r="AA987" t="str">
        <f t="shared" si="361"/>
        <v/>
      </c>
      <c r="AB987" t="str">
        <f>IF($D987="","",IF(COUNTIF($D$2:$D987,$D987)=1,$D987,""))</f>
        <v/>
      </c>
      <c r="AC987">
        <f t="shared" si="362"/>
        <v>0</v>
      </c>
      <c r="AD987" t="str">
        <f t="shared" si="363"/>
        <v>|0</v>
      </c>
      <c r="AE987" t="str">
        <f t="shared" si="364"/>
        <v/>
      </c>
      <c r="AF987" t="str">
        <f t="shared" si="365"/>
        <v/>
      </c>
      <c r="AG987" t="str">
        <f t="shared" si="366"/>
        <v/>
      </c>
      <c r="AH987" t="str">
        <f t="shared" si="367"/>
        <v/>
      </c>
      <c r="AI987" t="str">
        <f t="shared" si="368"/>
        <v/>
      </c>
      <c r="AJ987" t="str">
        <f t="shared" si="369"/>
        <v/>
      </c>
      <c r="AK987" t="str">
        <f t="shared" si="370"/>
        <v/>
      </c>
      <c r="AL987" t="str">
        <f t="shared" si="371"/>
        <v/>
      </c>
      <c r="AM987" t="str">
        <f t="shared" si="372"/>
        <v/>
      </c>
      <c r="AN987" t="str">
        <f t="shared" si="373"/>
        <v/>
      </c>
      <c r="AO987" t="str">
        <f t="shared" si="374"/>
        <v/>
      </c>
      <c r="AP987">
        <f t="shared" si="375"/>
        <v>1</v>
      </c>
      <c r="AQ987" t="str">
        <f>IF(SAISIE!$F992="","",SAISIE!$Y992)</f>
        <v/>
      </c>
      <c r="AR987" t="str">
        <f>IF(OR(SAISIE!$U$4="",SAISIE!$W$4=""),"",IF(AND($A987=SAISIE!$U$4,$B987=SAISIE!$W$4,$C987="S1"),COUNTIFS($A$2:$A987,SAISIE!$U$4,$B$2:$B987,SAISIE!$W$4,$C$2:$C987,"S1"),""))</f>
        <v/>
      </c>
      <c r="AS987" t="str">
        <f t="shared" si="376"/>
        <v/>
      </c>
      <c r="AT987" t="str">
        <f t="shared" si="377"/>
        <v/>
      </c>
      <c r="AU987" t="str">
        <f t="shared" si="378"/>
        <v/>
      </c>
      <c r="AV987">
        <f>N(AV986)+IF(AND($AB987&lt;&gt;"",OR('PROFIL ELEVE'!$K$4="(Tous)",$AF987='PROFIL ELEVE'!$K$4)),1,0)</f>
        <v>0</v>
      </c>
      <c r="AW987">
        <f>N(AW986)+IF(AND($AB987&lt;&gt;"",OR('SUIVI LONGITUDINAL'!$Q$4="(Tous)",$AF987='SUIVI LONGITUDINAL'!$Q$4)),1,0)</f>
        <v>0</v>
      </c>
      <c r="AX987">
        <f t="shared" si="379"/>
        <v>0</v>
      </c>
      <c r="AY987">
        <f t="shared" si="380"/>
        <v>0</v>
      </c>
      <c r="AZ987">
        <f t="shared" si="381"/>
        <v>0</v>
      </c>
      <c r="BA987" t="str">
        <f t="shared" si="382"/>
        <v/>
      </c>
      <c r="BB987" t="str">
        <f t="shared" si="383"/>
        <v/>
      </c>
    </row>
    <row r="988" spans="1:54" ht="14.25" customHeight="1" x14ac:dyDescent="0.3">
      <c r="A988" t="str">
        <f>IF(SAISIE!$F993="","",SAISIE!$B993)</f>
        <v/>
      </c>
      <c r="B988" t="str">
        <f>IF(SAISIE!$F993="","",SAISIE!$C993)</f>
        <v/>
      </c>
      <c r="C988" t="str">
        <f>IF(SAISIE!$F993="","",SAISIE!$D993)</f>
        <v/>
      </c>
      <c r="D988" t="str">
        <f>IF(SAISIE!$E993="","",SAISIE!$E993)</f>
        <v/>
      </c>
      <c r="E988" t="str">
        <f>IF(SAISIE!$F993="","",SAISIE!$F993)</f>
        <v/>
      </c>
      <c r="F988" t="str">
        <f>IF(SAISIE!$G993="","",SAISIE!$G993)</f>
        <v/>
      </c>
      <c r="G988" t="str">
        <f>IF(SAISIE!$H993="","",SAISIE!$H993)</f>
        <v/>
      </c>
      <c r="H988" t="str">
        <f>IF(SAISIE!$I993="","",SAISIE!$I993)</f>
        <v/>
      </c>
      <c r="I988" t="str">
        <f>IF(SAISIE!$J993="","",SAISIE!$J993)</f>
        <v/>
      </c>
      <c r="J988" t="str">
        <f>IF(SAISIE!$K993="","",SAISIE!$K993)</f>
        <v/>
      </c>
      <c r="K988" t="str">
        <f>IF(SAISIE!$L993="","",SAISIE!$L993)</f>
        <v/>
      </c>
      <c r="L988" t="str">
        <f>IF(SAISIE!$M993="","",SAISIE!$M993)</f>
        <v/>
      </c>
      <c r="M988" t="str">
        <f>IF(SAISIE!$N993="","",SAISIE!$N993)</f>
        <v/>
      </c>
      <c r="N988" t="str">
        <f>IF(SAISIE!$O993="","",SAISIE!$O993)</f>
        <v/>
      </c>
      <c r="O988" t="str">
        <f>IF(SAISIE!$P993="","",SAISIE!$P993)</f>
        <v/>
      </c>
      <c r="P988" t="str">
        <f>IF(SAISIE!$Q993="","",SAISIE!$Q993)</f>
        <v/>
      </c>
      <c r="Q988" t="str">
        <f>IF($I988="","",IF($I988&gt;PARAMETRES!$G$29,5,IF($I988&gt;PARAMETRES!$F$29,4,IF($I988&gt;PARAMETRES!$E$29,3,IF($I988&gt;PARAMETRES!$D$29,2,1)))))</f>
        <v/>
      </c>
      <c r="R988" t="str">
        <f>IF($J988="","",IF($J988&gt;PARAMETRES!$G$30,5,IF($J988&gt;PARAMETRES!$F$30,4,IF($J988&gt;PARAMETRES!$E$30,3,IF($J988&gt;PARAMETRES!$D$30,2,1)))))</f>
        <v/>
      </c>
      <c r="S988" t="str">
        <f>IF($K988="","",IF($Z988=2,IF($K988&gt;PARAMETRES!$G$31,5,IF($K988&gt;PARAMETRES!$F$31,4,IF($K988&gt;PARAMETRES!$E$31,3,IF($K988&gt;PARAMETRES!$D$31,2,1)))),IF($K988&gt;PARAMETRES!$G$32,5,IF($K988&gt;PARAMETRES!$F$32,4,IF($K988&gt;PARAMETRES!$E$32,3,IF($K988&gt;PARAMETRES!$D$32,2,1))))))</f>
        <v/>
      </c>
      <c r="T988" t="str">
        <f>IF($L988="","",IF($L988&gt;PARAMETRES!$G$33,5,IF($L988&gt;PARAMETRES!$F$33,4,IF($L988&gt;PARAMETRES!$E$33,3,IF($L988&gt;PARAMETRES!$D$33,2,1)))))</f>
        <v/>
      </c>
      <c r="U988" t="str">
        <f>IF($M988="","",IF($M988&gt;PARAMETRES!$G$34,5,IF($M988&gt;PARAMETRES!$F$34,4,IF($M988&gt;PARAMETRES!$E$34,3,IF($M988&gt;PARAMETRES!$D$34,2,1)))))</f>
        <v/>
      </c>
      <c r="V988" t="str">
        <f>IF($N988="","",IF($N988&gt;PARAMETRES!$G$35,5,IF($N988&gt;PARAMETRES!$F$35,4,IF($N988&gt;PARAMETRES!$E$35,3,IF($N988&gt;PARAMETRES!$D$35,2,1)))))</f>
        <v/>
      </c>
      <c r="W988" t="str">
        <f>IF($O988="","",IF($O988&gt;PARAMETRES!$G$36,5,IF($O988&gt;PARAMETRES!$F$36,4,IF($O988&gt;PARAMETRES!$E$36,3,IF($O988&gt;PARAMETRES!$D$36,2,1)))))</f>
        <v/>
      </c>
      <c r="X988" t="str">
        <f>IF($P988="","",IF($P988&gt;PARAMETRES!$G$37,5,IF($P988&gt;PARAMETRES!$F$37,4,IF($P988&gt;PARAMETRES!$E$37,3,IF($P988&gt;PARAMETRES!$D$37,2,1)))))</f>
        <v/>
      </c>
      <c r="Y988" t="str">
        <f t="shared" si="360"/>
        <v/>
      </c>
      <c r="Z988" t="str">
        <f>IFERROR(VLOOKUP($B988,TABLE_CYCLE,2,0),"")</f>
        <v/>
      </c>
      <c r="AA988" t="str">
        <f t="shared" si="361"/>
        <v/>
      </c>
      <c r="AB988" t="str">
        <f>IF($D988="","",IF(COUNTIF($D$2:$D988,$D988)=1,$D988,""))</f>
        <v/>
      </c>
      <c r="AC988">
        <f t="shared" si="362"/>
        <v>0</v>
      </c>
      <c r="AD988" t="str">
        <f t="shared" si="363"/>
        <v>|0</v>
      </c>
      <c r="AE988" t="str">
        <f t="shared" si="364"/>
        <v/>
      </c>
      <c r="AF988" t="str">
        <f t="shared" si="365"/>
        <v/>
      </c>
      <c r="AG988" t="str">
        <f t="shared" si="366"/>
        <v/>
      </c>
      <c r="AH988" t="str">
        <f t="shared" si="367"/>
        <v/>
      </c>
      <c r="AI988" t="str">
        <f t="shared" si="368"/>
        <v/>
      </c>
      <c r="AJ988" t="str">
        <f t="shared" si="369"/>
        <v/>
      </c>
      <c r="AK988" t="str">
        <f t="shared" si="370"/>
        <v/>
      </c>
      <c r="AL988" t="str">
        <f t="shared" si="371"/>
        <v/>
      </c>
      <c r="AM988" t="str">
        <f t="shared" si="372"/>
        <v/>
      </c>
      <c r="AN988" t="str">
        <f t="shared" si="373"/>
        <v/>
      </c>
      <c r="AO988" t="str">
        <f t="shared" si="374"/>
        <v/>
      </c>
      <c r="AP988">
        <f t="shared" si="375"/>
        <v>1</v>
      </c>
      <c r="AQ988" t="str">
        <f>IF(SAISIE!$F993="","",SAISIE!$Y993)</f>
        <v/>
      </c>
      <c r="AR988" t="str">
        <f>IF(OR(SAISIE!$U$4="",SAISIE!$W$4=""),"",IF(AND($A988=SAISIE!$U$4,$B988=SAISIE!$W$4,$C988="S1"),COUNTIFS($A$2:$A988,SAISIE!$U$4,$B$2:$B988,SAISIE!$W$4,$C$2:$C988,"S1"),""))</f>
        <v/>
      </c>
      <c r="AS988" t="str">
        <f t="shared" si="376"/>
        <v/>
      </c>
      <c r="AT988" t="str">
        <f t="shared" si="377"/>
        <v/>
      </c>
      <c r="AU988" t="str">
        <f t="shared" si="378"/>
        <v/>
      </c>
      <c r="AV988">
        <f>N(AV987)+IF(AND($AB988&lt;&gt;"",OR('PROFIL ELEVE'!$K$4="(Tous)",$AF988='PROFIL ELEVE'!$K$4)),1,0)</f>
        <v>0</v>
      </c>
      <c r="AW988">
        <f>N(AW987)+IF(AND($AB988&lt;&gt;"",OR('SUIVI LONGITUDINAL'!$Q$4="(Tous)",$AF988='SUIVI LONGITUDINAL'!$Q$4)),1,0)</f>
        <v>0</v>
      </c>
      <c r="AX988">
        <f t="shared" si="379"/>
        <v>0</v>
      </c>
      <c r="AY988">
        <f t="shared" si="380"/>
        <v>0</v>
      </c>
      <c r="AZ988">
        <f t="shared" si="381"/>
        <v>0</v>
      </c>
      <c r="BA988" t="str">
        <f t="shared" si="382"/>
        <v/>
      </c>
      <c r="BB988" t="str">
        <f t="shared" si="383"/>
        <v/>
      </c>
    </row>
    <row r="989" spans="1:54" ht="14.25" customHeight="1" x14ac:dyDescent="0.3">
      <c r="A989" t="str">
        <f>IF(SAISIE!$F994="","",SAISIE!$B994)</f>
        <v/>
      </c>
      <c r="B989" t="str">
        <f>IF(SAISIE!$F994="","",SAISIE!$C994)</f>
        <v/>
      </c>
      <c r="C989" t="str">
        <f>IF(SAISIE!$F994="","",SAISIE!$D994)</f>
        <v/>
      </c>
      <c r="D989" t="str">
        <f>IF(SAISIE!$E994="","",SAISIE!$E994)</f>
        <v/>
      </c>
      <c r="E989" t="str">
        <f>IF(SAISIE!$F994="","",SAISIE!$F994)</f>
        <v/>
      </c>
      <c r="F989" t="str">
        <f>IF(SAISIE!$G994="","",SAISIE!$G994)</f>
        <v/>
      </c>
      <c r="G989" t="str">
        <f>IF(SAISIE!$H994="","",SAISIE!$H994)</f>
        <v/>
      </c>
      <c r="H989" t="str">
        <f>IF(SAISIE!$I994="","",SAISIE!$I994)</f>
        <v/>
      </c>
      <c r="I989" t="str">
        <f>IF(SAISIE!$J994="","",SAISIE!$J994)</f>
        <v/>
      </c>
      <c r="J989" t="str">
        <f>IF(SAISIE!$K994="","",SAISIE!$K994)</f>
        <v/>
      </c>
      <c r="K989" t="str">
        <f>IF(SAISIE!$L994="","",SAISIE!$L994)</f>
        <v/>
      </c>
      <c r="L989" t="str">
        <f>IF(SAISIE!$M994="","",SAISIE!$M994)</f>
        <v/>
      </c>
      <c r="M989" t="str">
        <f>IF(SAISIE!$N994="","",SAISIE!$N994)</f>
        <v/>
      </c>
      <c r="N989" t="str">
        <f>IF(SAISIE!$O994="","",SAISIE!$O994)</f>
        <v/>
      </c>
      <c r="O989" t="str">
        <f>IF(SAISIE!$P994="","",SAISIE!$P994)</f>
        <v/>
      </c>
      <c r="P989" t="str">
        <f>IF(SAISIE!$Q994="","",SAISIE!$Q994)</f>
        <v/>
      </c>
      <c r="Q989" t="str">
        <f>IF($I989="","",IF($I989&gt;PARAMETRES!$G$29,5,IF($I989&gt;PARAMETRES!$F$29,4,IF($I989&gt;PARAMETRES!$E$29,3,IF($I989&gt;PARAMETRES!$D$29,2,1)))))</f>
        <v/>
      </c>
      <c r="R989" t="str">
        <f>IF($J989="","",IF($J989&gt;PARAMETRES!$G$30,5,IF($J989&gt;PARAMETRES!$F$30,4,IF($J989&gt;PARAMETRES!$E$30,3,IF($J989&gt;PARAMETRES!$D$30,2,1)))))</f>
        <v/>
      </c>
      <c r="S989" t="str">
        <f>IF($K989="","",IF($Z989=2,IF($K989&gt;PARAMETRES!$G$31,5,IF($K989&gt;PARAMETRES!$F$31,4,IF($K989&gt;PARAMETRES!$E$31,3,IF($K989&gt;PARAMETRES!$D$31,2,1)))),IF($K989&gt;PARAMETRES!$G$32,5,IF($K989&gt;PARAMETRES!$F$32,4,IF($K989&gt;PARAMETRES!$E$32,3,IF($K989&gt;PARAMETRES!$D$32,2,1))))))</f>
        <v/>
      </c>
      <c r="T989" t="str">
        <f>IF($L989="","",IF($L989&gt;PARAMETRES!$G$33,5,IF($L989&gt;PARAMETRES!$F$33,4,IF($L989&gt;PARAMETRES!$E$33,3,IF($L989&gt;PARAMETRES!$D$33,2,1)))))</f>
        <v/>
      </c>
      <c r="U989" t="str">
        <f>IF($M989="","",IF($M989&gt;PARAMETRES!$G$34,5,IF($M989&gt;PARAMETRES!$F$34,4,IF($M989&gt;PARAMETRES!$E$34,3,IF($M989&gt;PARAMETRES!$D$34,2,1)))))</f>
        <v/>
      </c>
      <c r="V989" t="str">
        <f>IF($N989="","",IF($N989&gt;PARAMETRES!$G$35,5,IF($N989&gt;PARAMETRES!$F$35,4,IF($N989&gt;PARAMETRES!$E$35,3,IF($N989&gt;PARAMETRES!$D$35,2,1)))))</f>
        <v/>
      </c>
      <c r="W989" t="str">
        <f>IF($O989="","",IF($O989&gt;PARAMETRES!$G$36,5,IF($O989&gt;PARAMETRES!$F$36,4,IF($O989&gt;PARAMETRES!$E$36,3,IF($O989&gt;PARAMETRES!$D$36,2,1)))))</f>
        <v/>
      </c>
      <c r="X989" t="str">
        <f>IF($P989="","",IF($P989&gt;PARAMETRES!$G$37,5,IF($P989&gt;PARAMETRES!$F$37,4,IF($P989&gt;PARAMETRES!$E$37,3,IF($P989&gt;PARAMETRES!$D$37,2,1)))))</f>
        <v/>
      </c>
      <c r="Y989" t="str">
        <f t="shared" si="360"/>
        <v/>
      </c>
      <c r="Z989" t="str">
        <f>IFERROR(VLOOKUP($B989,TABLE_CYCLE,2,0),"")</f>
        <v/>
      </c>
      <c r="AA989" t="str">
        <f t="shared" si="361"/>
        <v/>
      </c>
      <c r="AB989" t="str">
        <f>IF($D989="","",IF(COUNTIF($D$2:$D989,$D989)=1,$D989,""))</f>
        <v/>
      </c>
      <c r="AC989">
        <f t="shared" si="362"/>
        <v>0</v>
      </c>
      <c r="AD989" t="str">
        <f t="shared" si="363"/>
        <v>|0</v>
      </c>
      <c r="AE989" t="str">
        <f t="shared" si="364"/>
        <v/>
      </c>
      <c r="AF989" t="str">
        <f t="shared" si="365"/>
        <v/>
      </c>
      <c r="AG989" t="str">
        <f t="shared" si="366"/>
        <v/>
      </c>
      <c r="AH989" t="str">
        <f t="shared" si="367"/>
        <v/>
      </c>
      <c r="AI989" t="str">
        <f t="shared" si="368"/>
        <v/>
      </c>
      <c r="AJ989" t="str">
        <f t="shared" si="369"/>
        <v/>
      </c>
      <c r="AK989" t="str">
        <f t="shared" si="370"/>
        <v/>
      </c>
      <c r="AL989" t="str">
        <f t="shared" si="371"/>
        <v/>
      </c>
      <c r="AM989" t="str">
        <f t="shared" si="372"/>
        <v/>
      </c>
      <c r="AN989" t="str">
        <f t="shared" si="373"/>
        <v/>
      </c>
      <c r="AO989" t="str">
        <f t="shared" si="374"/>
        <v/>
      </c>
      <c r="AP989">
        <f t="shared" si="375"/>
        <v>1</v>
      </c>
      <c r="AQ989" t="str">
        <f>IF(SAISIE!$F994="","",SAISIE!$Y994)</f>
        <v/>
      </c>
      <c r="AR989" t="str">
        <f>IF(OR(SAISIE!$U$4="",SAISIE!$W$4=""),"",IF(AND($A989=SAISIE!$U$4,$B989=SAISIE!$W$4,$C989="S1"),COUNTIFS($A$2:$A989,SAISIE!$U$4,$B$2:$B989,SAISIE!$W$4,$C$2:$C989,"S1"),""))</f>
        <v/>
      </c>
      <c r="AS989" t="str">
        <f t="shared" si="376"/>
        <v/>
      </c>
      <c r="AT989" t="str">
        <f t="shared" si="377"/>
        <v/>
      </c>
      <c r="AU989" t="str">
        <f t="shared" si="378"/>
        <v/>
      </c>
      <c r="AV989">
        <f>N(AV988)+IF(AND($AB989&lt;&gt;"",OR('PROFIL ELEVE'!$K$4="(Tous)",$AF989='PROFIL ELEVE'!$K$4)),1,0)</f>
        <v>0</v>
      </c>
      <c r="AW989">
        <f>N(AW988)+IF(AND($AB989&lt;&gt;"",OR('SUIVI LONGITUDINAL'!$Q$4="(Tous)",$AF989='SUIVI LONGITUDINAL'!$Q$4)),1,0)</f>
        <v>0</v>
      </c>
      <c r="AX989">
        <f t="shared" si="379"/>
        <v>0</v>
      </c>
      <c r="AY989">
        <f t="shared" si="380"/>
        <v>0</v>
      </c>
      <c r="AZ989">
        <f t="shared" si="381"/>
        <v>0</v>
      </c>
      <c r="BA989" t="str">
        <f t="shared" si="382"/>
        <v/>
      </c>
      <c r="BB989" t="str">
        <f t="shared" si="383"/>
        <v/>
      </c>
    </row>
    <row r="990" spans="1:54" ht="14.25" customHeight="1" x14ac:dyDescent="0.3">
      <c r="A990" t="str">
        <f>IF(SAISIE!$F995="","",SAISIE!$B995)</f>
        <v/>
      </c>
      <c r="B990" t="str">
        <f>IF(SAISIE!$F995="","",SAISIE!$C995)</f>
        <v/>
      </c>
      <c r="C990" t="str">
        <f>IF(SAISIE!$F995="","",SAISIE!$D995)</f>
        <v/>
      </c>
      <c r="D990" t="str">
        <f>IF(SAISIE!$E995="","",SAISIE!$E995)</f>
        <v/>
      </c>
      <c r="E990" t="str">
        <f>IF(SAISIE!$F995="","",SAISIE!$F995)</f>
        <v/>
      </c>
      <c r="F990" t="str">
        <f>IF(SAISIE!$G995="","",SAISIE!$G995)</f>
        <v/>
      </c>
      <c r="G990" t="str">
        <f>IF(SAISIE!$H995="","",SAISIE!$H995)</f>
        <v/>
      </c>
      <c r="H990" t="str">
        <f>IF(SAISIE!$I995="","",SAISIE!$I995)</f>
        <v/>
      </c>
      <c r="I990" t="str">
        <f>IF(SAISIE!$J995="","",SAISIE!$J995)</f>
        <v/>
      </c>
      <c r="J990" t="str">
        <f>IF(SAISIE!$K995="","",SAISIE!$K995)</f>
        <v/>
      </c>
      <c r="K990" t="str">
        <f>IF(SAISIE!$L995="","",SAISIE!$L995)</f>
        <v/>
      </c>
      <c r="L990" t="str">
        <f>IF(SAISIE!$M995="","",SAISIE!$M995)</f>
        <v/>
      </c>
      <c r="M990" t="str">
        <f>IF(SAISIE!$N995="","",SAISIE!$N995)</f>
        <v/>
      </c>
      <c r="N990" t="str">
        <f>IF(SAISIE!$O995="","",SAISIE!$O995)</f>
        <v/>
      </c>
      <c r="O990" t="str">
        <f>IF(SAISIE!$P995="","",SAISIE!$P995)</f>
        <v/>
      </c>
      <c r="P990" t="str">
        <f>IF(SAISIE!$Q995="","",SAISIE!$Q995)</f>
        <v/>
      </c>
      <c r="Q990" t="str">
        <f>IF($I990="","",IF($I990&gt;PARAMETRES!$G$29,5,IF($I990&gt;PARAMETRES!$F$29,4,IF($I990&gt;PARAMETRES!$E$29,3,IF($I990&gt;PARAMETRES!$D$29,2,1)))))</f>
        <v/>
      </c>
      <c r="R990" t="str">
        <f>IF($J990="","",IF($J990&gt;PARAMETRES!$G$30,5,IF($J990&gt;PARAMETRES!$F$30,4,IF($J990&gt;PARAMETRES!$E$30,3,IF($J990&gt;PARAMETRES!$D$30,2,1)))))</f>
        <v/>
      </c>
      <c r="S990" t="str">
        <f>IF($K990="","",IF($Z990=2,IF($K990&gt;PARAMETRES!$G$31,5,IF($K990&gt;PARAMETRES!$F$31,4,IF($K990&gt;PARAMETRES!$E$31,3,IF($K990&gt;PARAMETRES!$D$31,2,1)))),IF($K990&gt;PARAMETRES!$G$32,5,IF($K990&gt;PARAMETRES!$F$32,4,IF($K990&gt;PARAMETRES!$E$32,3,IF($K990&gt;PARAMETRES!$D$32,2,1))))))</f>
        <v/>
      </c>
      <c r="T990" t="str">
        <f>IF($L990="","",IF($L990&gt;PARAMETRES!$G$33,5,IF($L990&gt;PARAMETRES!$F$33,4,IF($L990&gt;PARAMETRES!$E$33,3,IF($L990&gt;PARAMETRES!$D$33,2,1)))))</f>
        <v/>
      </c>
      <c r="U990" t="str">
        <f>IF($M990="","",IF($M990&gt;PARAMETRES!$G$34,5,IF($M990&gt;PARAMETRES!$F$34,4,IF($M990&gt;PARAMETRES!$E$34,3,IF($M990&gt;PARAMETRES!$D$34,2,1)))))</f>
        <v/>
      </c>
      <c r="V990" t="str">
        <f>IF($N990="","",IF($N990&gt;PARAMETRES!$G$35,5,IF($N990&gt;PARAMETRES!$F$35,4,IF($N990&gt;PARAMETRES!$E$35,3,IF($N990&gt;PARAMETRES!$D$35,2,1)))))</f>
        <v/>
      </c>
      <c r="W990" t="str">
        <f>IF($O990="","",IF($O990&gt;PARAMETRES!$G$36,5,IF($O990&gt;PARAMETRES!$F$36,4,IF($O990&gt;PARAMETRES!$E$36,3,IF($O990&gt;PARAMETRES!$D$36,2,1)))))</f>
        <v/>
      </c>
      <c r="X990" t="str">
        <f>IF($P990="","",IF($P990&gt;PARAMETRES!$G$37,5,IF($P990&gt;PARAMETRES!$F$37,4,IF($P990&gt;PARAMETRES!$E$37,3,IF($P990&gt;PARAMETRES!$D$37,2,1)))))</f>
        <v/>
      </c>
      <c r="Y990" t="str">
        <f t="shared" si="360"/>
        <v/>
      </c>
      <c r="Z990" t="str">
        <f>IFERROR(VLOOKUP($B990,TABLE_CYCLE,2,0),"")</f>
        <v/>
      </c>
      <c r="AA990" t="str">
        <f t="shared" si="361"/>
        <v/>
      </c>
      <c r="AB990" t="str">
        <f>IF($D990="","",IF(COUNTIF($D$2:$D990,$D990)=1,$D990,""))</f>
        <v/>
      </c>
      <c r="AC990">
        <f t="shared" si="362"/>
        <v>0</v>
      </c>
      <c r="AD990" t="str">
        <f t="shared" si="363"/>
        <v>|0</v>
      </c>
      <c r="AE990" t="str">
        <f t="shared" si="364"/>
        <v/>
      </c>
      <c r="AF990" t="str">
        <f t="shared" si="365"/>
        <v/>
      </c>
      <c r="AG990" t="str">
        <f t="shared" si="366"/>
        <v/>
      </c>
      <c r="AH990" t="str">
        <f t="shared" si="367"/>
        <v/>
      </c>
      <c r="AI990" t="str">
        <f t="shared" si="368"/>
        <v/>
      </c>
      <c r="AJ990" t="str">
        <f t="shared" si="369"/>
        <v/>
      </c>
      <c r="AK990" t="str">
        <f t="shared" si="370"/>
        <v/>
      </c>
      <c r="AL990" t="str">
        <f t="shared" si="371"/>
        <v/>
      </c>
      <c r="AM990" t="str">
        <f t="shared" si="372"/>
        <v/>
      </c>
      <c r="AN990" t="str">
        <f t="shared" si="373"/>
        <v/>
      </c>
      <c r="AO990" t="str">
        <f t="shared" si="374"/>
        <v/>
      </c>
      <c r="AP990">
        <f t="shared" si="375"/>
        <v>1</v>
      </c>
      <c r="AQ990" t="str">
        <f>IF(SAISIE!$F995="","",SAISIE!$Y995)</f>
        <v/>
      </c>
      <c r="AR990" t="str">
        <f>IF(OR(SAISIE!$U$4="",SAISIE!$W$4=""),"",IF(AND($A990=SAISIE!$U$4,$B990=SAISIE!$W$4,$C990="S1"),COUNTIFS($A$2:$A990,SAISIE!$U$4,$B$2:$B990,SAISIE!$W$4,$C$2:$C990,"S1"),""))</f>
        <v/>
      </c>
      <c r="AS990" t="str">
        <f t="shared" si="376"/>
        <v/>
      </c>
      <c r="AT990" t="str">
        <f t="shared" si="377"/>
        <v/>
      </c>
      <c r="AU990" t="str">
        <f t="shared" si="378"/>
        <v/>
      </c>
      <c r="AV990">
        <f>N(AV989)+IF(AND($AB990&lt;&gt;"",OR('PROFIL ELEVE'!$K$4="(Tous)",$AF990='PROFIL ELEVE'!$K$4)),1,0)</f>
        <v>0</v>
      </c>
      <c r="AW990">
        <f>N(AW989)+IF(AND($AB990&lt;&gt;"",OR('SUIVI LONGITUDINAL'!$Q$4="(Tous)",$AF990='SUIVI LONGITUDINAL'!$Q$4)),1,0)</f>
        <v>0</v>
      </c>
      <c r="AX990">
        <f t="shared" si="379"/>
        <v>0</v>
      </c>
      <c r="AY990">
        <f t="shared" si="380"/>
        <v>0</v>
      </c>
      <c r="AZ990">
        <f t="shared" si="381"/>
        <v>0</v>
      </c>
      <c r="BA990" t="str">
        <f t="shared" si="382"/>
        <v/>
      </c>
      <c r="BB990" t="str">
        <f t="shared" si="383"/>
        <v/>
      </c>
    </row>
    <row r="991" spans="1:54" ht="14.25" customHeight="1" x14ac:dyDescent="0.3">
      <c r="A991" t="str">
        <f>IF(SAISIE!$F996="","",SAISIE!$B996)</f>
        <v/>
      </c>
      <c r="B991" t="str">
        <f>IF(SAISIE!$F996="","",SAISIE!$C996)</f>
        <v/>
      </c>
      <c r="C991" t="str">
        <f>IF(SAISIE!$F996="","",SAISIE!$D996)</f>
        <v/>
      </c>
      <c r="D991" t="str">
        <f>IF(SAISIE!$E996="","",SAISIE!$E996)</f>
        <v/>
      </c>
      <c r="E991" t="str">
        <f>IF(SAISIE!$F996="","",SAISIE!$F996)</f>
        <v/>
      </c>
      <c r="F991" t="str">
        <f>IF(SAISIE!$G996="","",SAISIE!$G996)</f>
        <v/>
      </c>
      <c r="G991" t="str">
        <f>IF(SAISIE!$H996="","",SAISIE!$H996)</f>
        <v/>
      </c>
      <c r="H991" t="str">
        <f>IF(SAISIE!$I996="","",SAISIE!$I996)</f>
        <v/>
      </c>
      <c r="I991" t="str">
        <f>IF(SAISIE!$J996="","",SAISIE!$J996)</f>
        <v/>
      </c>
      <c r="J991" t="str">
        <f>IF(SAISIE!$K996="","",SAISIE!$K996)</f>
        <v/>
      </c>
      <c r="K991" t="str">
        <f>IF(SAISIE!$L996="","",SAISIE!$L996)</f>
        <v/>
      </c>
      <c r="L991" t="str">
        <f>IF(SAISIE!$M996="","",SAISIE!$M996)</f>
        <v/>
      </c>
      <c r="M991" t="str">
        <f>IF(SAISIE!$N996="","",SAISIE!$N996)</f>
        <v/>
      </c>
      <c r="N991" t="str">
        <f>IF(SAISIE!$O996="","",SAISIE!$O996)</f>
        <v/>
      </c>
      <c r="O991" t="str">
        <f>IF(SAISIE!$P996="","",SAISIE!$P996)</f>
        <v/>
      </c>
      <c r="P991" t="str">
        <f>IF(SAISIE!$Q996="","",SAISIE!$Q996)</f>
        <v/>
      </c>
      <c r="Q991" t="str">
        <f>IF($I991="","",IF($I991&gt;PARAMETRES!$G$29,5,IF($I991&gt;PARAMETRES!$F$29,4,IF($I991&gt;PARAMETRES!$E$29,3,IF($I991&gt;PARAMETRES!$D$29,2,1)))))</f>
        <v/>
      </c>
      <c r="R991" t="str">
        <f>IF($J991="","",IF($J991&gt;PARAMETRES!$G$30,5,IF($J991&gt;PARAMETRES!$F$30,4,IF($J991&gt;PARAMETRES!$E$30,3,IF($J991&gt;PARAMETRES!$D$30,2,1)))))</f>
        <v/>
      </c>
      <c r="S991" t="str">
        <f>IF($K991="","",IF($Z991=2,IF($K991&gt;PARAMETRES!$G$31,5,IF($K991&gt;PARAMETRES!$F$31,4,IF($K991&gt;PARAMETRES!$E$31,3,IF($K991&gt;PARAMETRES!$D$31,2,1)))),IF($K991&gt;PARAMETRES!$G$32,5,IF($K991&gt;PARAMETRES!$F$32,4,IF($K991&gt;PARAMETRES!$E$32,3,IF($K991&gt;PARAMETRES!$D$32,2,1))))))</f>
        <v/>
      </c>
      <c r="T991" t="str">
        <f>IF($L991="","",IF($L991&gt;PARAMETRES!$G$33,5,IF($L991&gt;PARAMETRES!$F$33,4,IF($L991&gt;PARAMETRES!$E$33,3,IF($L991&gt;PARAMETRES!$D$33,2,1)))))</f>
        <v/>
      </c>
      <c r="U991" t="str">
        <f>IF($M991="","",IF($M991&gt;PARAMETRES!$G$34,5,IF($M991&gt;PARAMETRES!$F$34,4,IF($M991&gt;PARAMETRES!$E$34,3,IF($M991&gt;PARAMETRES!$D$34,2,1)))))</f>
        <v/>
      </c>
      <c r="V991" t="str">
        <f>IF($N991="","",IF($N991&gt;PARAMETRES!$G$35,5,IF($N991&gt;PARAMETRES!$F$35,4,IF($N991&gt;PARAMETRES!$E$35,3,IF($N991&gt;PARAMETRES!$D$35,2,1)))))</f>
        <v/>
      </c>
      <c r="W991" t="str">
        <f>IF($O991="","",IF($O991&gt;PARAMETRES!$G$36,5,IF($O991&gt;PARAMETRES!$F$36,4,IF($O991&gt;PARAMETRES!$E$36,3,IF($O991&gt;PARAMETRES!$D$36,2,1)))))</f>
        <v/>
      </c>
      <c r="X991" t="str">
        <f>IF($P991="","",IF($P991&gt;PARAMETRES!$G$37,5,IF($P991&gt;PARAMETRES!$F$37,4,IF($P991&gt;PARAMETRES!$E$37,3,IF($P991&gt;PARAMETRES!$D$37,2,1)))))</f>
        <v/>
      </c>
      <c r="Y991" t="str">
        <f t="shared" si="360"/>
        <v/>
      </c>
      <c r="Z991" t="str">
        <f>IFERROR(VLOOKUP($B991,TABLE_CYCLE,2,0),"")</f>
        <v/>
      </c>
      <c r="AA991" t="str">
        <f t="shared" si="361"/>
        <v/>
      </c>
      <c r="AB991" t="str">
        <f>IF($D991="","",IF(COUNTIF($D$2:$D991,$D991)=1,$D991,""))</f>
        <v/>
      </c>
      <c r="AC991">
        <f t="shared" si="362"/>
        <v>0</v>
      </c>
      <c r="AD991" t="str">
        <f t="shared" si="363"/>
        <v>|0</v>
      </c>
      <c r="AE991" t="str">
        <f t="shared" si="364"/>
        <v/>
      </c>
      <c r="AF991" t="str">
        <f t="shared" si="365"/>
        <v/>
      </c>
      <c r="AG991" t="str">
        <f t="shared" si="366"/>
        <v/>
      </c>
      <c r="AH991" t="str">
        <f t="shared" si="367"/>
        <v/>
      </c>
      <c r="AI991" t="str">
        <f t="shared" si="368"/>
        <v/>
      </c>
      <c r="AJ991" t="str">
        <f t="shared" si="369"/>
        <v/>
      </c>
      <c r="AK991" t="str">
        <f t="shared" si="370"/>
        <v/>
      </c>
      <c r="AL991" t="str">
        <f t="shared" si="371"/>
        <v/>
      </c>
      <c r="AM991" t="str">
        <f t="shared" si="372"/>
        <v/>
      </c>
      <c r="AN991" t="str">
        <f t="shared" si="373"/>
        <v/>
      </c>
      <c r="AO991" t="str">
        <f t="shared" si="374"/>
        <v/>
      </c>
      <c r="AP991">
        <f t="shared" si="375"/>
        <v>1</v>
      </c>
      <c r="AQ991" t="str">
        <f>IF(SAISIE!$F996="","",SAISIE!$Y996)</f>
        <v/>
      </c>
      <c r="AR991" t="str">
        <f>IF(OR(SAISIE!$U$4="",SAISIE!$W$4=""),"",IF(AND($A991=SAISIE!$U$4,$B991=SAISIE!$W$4,$C991="S1"),COUNTIFS($A$2:$A991,SAISIE!$U$4,$B$2:$B991,SAISIE!$W$4,$C$2:$C991,"S1"),""))</f>
        <v/>
      </c>
      <c r="AS991" t="str">
        <f t="shared" si="376"/>
        <v/>
      </c>
      <c r="AT991" t="str">
        <f t="shared" si="377"/>
        <v/>
      </c>
      <c r="AU991" t="str">
        <f t="shared" si="378"/>
        <v/>
      </c>
      <c r="AV991">
        <f>N(AV990)+IF(AND($AB991&lt;&gt;"",OR('PROFIL ELEVE'!$K$4="(Tous)",$AF991='PROFIL ELEVE'!$K$4)),1,0)</f>
        <v>0</v>
      </c>
      <c r="AW991">
        <f>N(AW990)+IF(AND($AB991&lt;&gt;"",OR('SUIVI LONGITUDINAL'!$Q$4="(Tous)",$AF991='SUIVI LONGITUDINAL'!$Q$4)),1,0)</f>
        <v>0</v>
      </c>
      <c r="AX991">
        <f t="shared" si="379"/>
        <v>0</v>
      </c>
      <c r="AY991">
        <f t="shared" si="380"/>
        <v>0</v>
      </c>
      <c r="AZ991">
        <f t="shared" si="381"/>
        <v>0</v>
      </c>
      <c r="BA991" t="str">
        <f t="shared" si="382"/>
        <v/>
      </c>
      <c r="BB991" t="str">
        <f t="shared" si="383"/>
        <v/>
      </c>
    </row>
    <row r="992" spans="1:54" ht="14.25" customHeight="1" x14ac:dyDescent="0.3">
      <c r="A992" t="str">
        <f>IF(SAISIE!$F997="","",SAISIE!$B997)</f>
        <v/>
      </c>
      <c r="B992" t="str">
        <f>IF(SAISIE!$F997="","",SAISIE!$C997)</f>
        <v/>
      </c>
      <c r="C992" t="str">
        <f>IF(SAISIE!$F997="","",SAISIE!$D997)</f>
        <v/>
      </c>
      <c r="D992" t="str">
        <f>IF(SAISIE!$E997="","",SAISIE!$E997)</f>
        <v/>
      </c>
      <c r="E992" t="str">
        <f>IF(SAISIE!$F997="","",SAISIE!$F997)</f>
        <v/>
      </c>
      <c r="F992" t="str">
        <f>IF(SAISIE!$G997="","",SAISIE!$G997)</f>
        <v/>
      </c>
      <c r="G992" t="str">
        <f>IF(SAISIE!$H997="","",SAISIE!$H997)</f>
        <v/>
      </c>
      <c r="H992" t="str">
        <f>IF(SAISIE!$I997="","",SAISIE!$I997)</f>
        <v/>
      </c>
      <c r="I992" t="str">
        <f>IF(SAISIE!$J997="","",SAISIE!$J997)</f>
        <v/>
      </c>
      <c r="J992" t="str">
        <f>IF(SAISIE!$K997="","",SAISIE!$K997)</f>
        <v/>
      </c>
      <c r="K992" t="str">
        <f>IF(SAISIE!$L997="","",SAISIE!$L997)</f>
        <v/>
      </c>
      <c r="L992" t="str">
        <f>IF(SAISIE!$M997="","",SAISIE!$M997)</f>
        <v/>
      </c>
      <c r="M992" t="str">
        <f>IF(SAISIE!$N997="","",SAISIE!$N997)</f>
        <v/>
      </c>
      <c r="N992" t="str">
        <f>IF(SAISIE!$O997="","",SAISIE!$O997)</f>
        <v/>
      </c>
      <c r="O992" t="str">
        <f>IF(SAISIE!$P997="","",SAISIE!$P997)</f>
        <v/>
      </c>
      <c r="P992" t="str">
        <f>IF(SAISIE!$Q997="","",SAISIE!$Q997)</f>
        <v/>
      </c>
      <c r="Q992" t="str">
        <f>IF($I992="","",IF($I992&gt;PARAMETRES!$G$29,5,IF($I992&gt;PARAMETRES!$F$29,4,IF($I992&gt;PARAMETRES!$E$29,3,IF($I992&gt;PARAMETRES!$D$29,2,1)))))</f>
        <v/>
      </c>
      <c r="R992" t="str">
        <f>IF($J992="","",IF($J992&gt;PARAMETRES!$G$30,5,IF($J992&gt;PARAMETRES!$F$30,4,IF($J992&gt;PARAMETRES!$E$30,3,IF($J992&gt;PARAMETRES!$D$30,2,1)))))</f>
        <v/>
      </c>
      <c r="S992" t="str">
        <f>IF($K992="","",IF($Z992=2,IF($K992&gt;PARAMETRES!$G$31,5,IF($K992&gt;PARAMETRES!$F$31,4,IF($K992&gt;PARAMETRES!$E$31,3,IF($K992&gt;PARAMETRES!$D$31,2,1)))),IF($K992&gt;PARAMETRES!$G$32,5,IF($K992&gt;PARAMETRES!$F$32,4,IF($K992&gt;PARAMETRES!$E$32,3,IF($K992&gt;PARAMETRES!$D$32,2,1))))))</f>
        <v/>
      </c>
      <c r="T992" t="str">
        <f>IF($L992="","",IF($L992&gt;PARAMETRES!$G$33,5,IF($L992&gt;PARAMETRES!$F$33,4,IF($L992&gt;PARAMETRES!$E$33,3,IF($L992&gt;PARAMETRES!$D$33,2,1)))))</f>
        <v/>
      </c>
      <c r="U992" t="str">
        <f>IF($M992="","",IF($M992&gt;PARAMETRES!$G$34,5,IF($M992&gt;PARAMETRES!$F$34,4,IF($M992&gt;PARAMETRES!$E$34,3,IF($M992&gt;PARAMETRES!$D$34,2,1)))))</f>
        <v/>
      </c>
      <c r="V992" t="str">
        <f>IF($N992="","",IF($N992&gt;PARAMETRES!$G$35,5,IF($N992&gt;PARAMETRES!$F$35,4,IF($N992&gt;PARAMETRES!$E$35,3,IF($N992&gt;PARAMETRES!$D$35,2,1)))))</f>
        <v/>
      </c>
      <c r="W992" t="str">
        <f>IF($O992="","",IF($O992&gt;PARAMETRES!$G$36,5,IF($O992&gt;PARAMETRES!$F$36,4,IF($O992&gt;PARAMETRES!$E$36,3,IF($O992&gt;PARAMETRES!$D$36,2,1)))))</f>
        <v/>
      </c>
      <c r="X992" t="str">
        <f>IF($P992="","",IF($P992&gt;PARAMETRES!$G$37,5,IF($P992&gt;PARAMETRES!$F$37,4,IF($P992&gt;PARAMETRES!$E$37,3,IF($P992&gt;PARAMETRES!$D$37,2,1)))))</f>
        <v/>
      </c>
      <c r="Y992" t="str">
        <f t="shared" si="360"/>
        <v/>
      </c>
      <c r="Z992" t="str">
        <f>IFERROR(VLOOKUP($B992,TABLE_CYCLE,2,0),"")</f>
        <v/>
      </c>
      <c r="AA992" t="str">
        <f t="shared" si="361"/>
        <v/>
      </c>
      <c r="AB992" t="str">
        <f>IF($D992="","",IF(COUNTIF($D$2:$D992,$D992)=1,$D992,""))</f>
        <v/>
      </c>
      <c r="AC992">
        <f t="shared" si="362"/>
        <v>0</v>
      </c>
      <c r="AD992" t="str">
        <f t="shared" si="363"/>
        <v>|0</v>
      </c>
      <c r="AE992" t="str">
        <f t="shared" si="364"/>
        <v/>
      </c>
      <c r="AF992" t="str">
        <f t="shared" si="365"/>
        <v/>
      </c>
      <c r="AG992" t="str">
        <f t="shared" si="366"/>
        <v/>
      </c>
      <c r="AH992" t="str">
        <f t="shared" si="367"/>
        <v/>
      </c>
      <c r="AI992" t="str">
        <f t="shared" si="368"/>
        <v/>
      </c>
      <c r="AJ992" t="str">
        <f t="shared" si="369"/>
        <v/>
      </c>
      <c r="AK992" t="str">
        <f t="shared" si="370"/>
        <v/>
      </c>
      <c r="AL992" t="str">
        <f t="shared" si="371"/>
        <v/>
      </c>
      <c r="AM992" t="str">
        <f t="shared" si="372"/>
        <v/>
      </c>
      <c r="AN992" t="str">
        <f t="shared" si="373"/>
        <v/>
      </c>
      <c r="AO992" t="str">
        <f t="shared" si="374"/>
        <v/>
      </c>
      <c r="AP992">
        <f t="shared" si="375"/>
        <v>1</v>
      </c>
      <c r="AQ992" t="str">
        <f>IF(SAISIE!$F997="","",SAISIE!$Y997)</f>
        <v/>
      </c>
      <c r="AR992" t="str">
        <f>IF(OR(SAISIE!$U$4="",SAISIE!$W$4=""),"",IF(AND($A992=SAISIE!$U$4,$B992=SAISIE!$W$4,$C992="S1"),COUNTIFS($A$2:$A992,SAISIE!$U$4,$B$2:$B992,SAISIE!$W$4,$C$2:$C992,"S1"),""))</f>
        <v/>
      </c>
      <c r="AS992" t="str">
        <f t="shared" si="376"/>
        <v/>
      </c>
      <c r="AT992" t="str">
        <f t="shared" si="377"/>
        <v/>
      </c>
      <c r="AU992" t="str">
        <f t="shared" si="378"/>
        <v/>
      </c>
      <c r="AV992">
        <f>N(AV991)+IF(AND($AB992&lt;&gt;"",OR('PROFIL ELEVE'!$K$4="(Tous)",$AF992='PROFIL ELEVE'!$K$4)),1,0)</f>
        <v>0</v>
      </c>
      <c r="AW992">
        <f>N(AW991)+IF(AND($AB992&lt;&gt;"",OR('SUIVI LONGITUDINAL'!$Q$4="(Tous)",$AF992='SUIVI LONGITUDINAL'!$Q$4)),1,0)</f>
        <v>0</v>
      </c>
      <c r="AX992">
        <f t="shared" si="379"/>
        <v>0</v>
      </c>
      <c r="AY992">
        <f t="shared" si="380"/>
        <v>0</v>
      </c>
      <c r="AZ992">
        <f t="shared" si="381"/>
        <v>0</v>
      </c>
      <c r="BA992" t="str">
        <f t="shared" si="382"/>
        <v/>
      </c>
      <c r="BB992" t="str">
        <f t="shared" si="383"/>
        <v/>
      </c>
    </row>
    <row r="993" spans="1:54" ht="14.25" customHeight="1" x14ac:dyDescent="0.3">
      <c r="A993" t="str">
        <f>IF(SAISIE!$F998="","",SAISIE!$B998)</f>
        <v/>
      </c>
      <c r="B993" t="str">
        <f>IF(SAISIE!$F998="","",SAISIE!$C998)</f>
        <v/>
      </c>
      <c r="C993" t="str">
        <f>IF(SAISIE!$F998="","",SAISIE!$D998)</f>
        <v/>
      </c>
      <c r="D993" t="str">
        <f>IF(SAISIE!$E998="","",SAISIE!$E998)</f>
        <v/>
      </c>
      <c r="E993" t="str">
        <f>IF(SAISIE!$F998="","",SAISIE!$F998)</f>
        <v/>
      </c>
      <c r="F993" t="str">
        <f>IF(SAISIE!$G998="","",SAISIE!$G998)</f>
        <v/>
      </c>
      <c r="G993" t="str">
        <f>IF(SAISIE!$H998="","",SAISIE!$H998)</f>
        <v/>
      </c>
      <c r="H993" t="str">
        <f>IF(SAISIE!$I998="","",SAISIE!$I998)</f>
        <v/>
      </c>
      <c r="I993" t="str">
        <f>IF(SAISIE!$J998="","",SAISIE!$J998)</f>
        <v/>
      </c>
      <c r="J993" t="str">
        <f>IF(SAISIE!$K998="","",SAISIE!$K998)</f>
        <v/>
      </c>
      <c r="K993" t="str">
        <f>IF(SAISIE!$L998="","",SAISIE!$L998)</f>
        <v/>
      </c>
      <c r="L993" t="str">
        <f>IF(SAISIE!$M998="","",SAISIE!$M998)</f>
        <v/>
      </c>
      <c r="M993" t="str">
        <f>IF(SAISIE!$N998="","",SAISIE!$N998)</f>
        <v/>
      </c>
      <c r="N993" t="str">
        <f>IF(SAISIE!$O998="","",SAISIE!$O998)</f>
        <v/>
      </c>
      <c r="O993" t="str">
        <f>IF(SAISIE!$P998="","",SAISIE!$P998)</f>
        <v/>
      </c>
      <c r="P993" t="str">
        <f>IF(SAISIE!$Q998="","",SAISIE!$Q998)</f>
        <v/>
      </c>
      <c r="Q993" t="str">
        <f>IF($I993="","",IF($I993&gt;PARAMETRES!$G$29,5,IF($I993&gt;PARAMETRES!$F$29,4,IF($I993&gt;PARAMETRES!$E$29,3,IF($I993&gt;PARAMETRES!$D$29,2,1)))))</f>
        <v/>
      </c>
      <c r="R993" t="str">
        <f>IF($J993="","",IF($J993&gt;PARAMETRES!$G$30,5,IF($J993&gt;PARAMETRES!$F$30,4,IF($J993&gt;PARAMETRES!$E$30,3,IF($J993&gt;PARAMETRES!$D$30,2,1)))))</f>
        <v/>
      </c>
      <c r="S993" t="str">
        <f>IF($K993="","",IF($Z993=2,IF($K993&gt;PARAMETRES!$G$31,5,IF($K993&gt;PARAMETRES!$F$31,4,IF($K993&gt;PARAMETRES!$E$31,3,IF($K993&gt;PARAMETRES!$D$31,2,1)))),IF($K993&gt;PARAMETRES!$G$32,5,IF($K993&gt;PARAMETRES!$F$32,4,IF($K993&gt;PARAMETRES!$E$32,3,IF($K993&gt;PARAMETRES!$D$32,2,1))))))</f>
        <v/>
      </c>
      <c r="T993" t="str">
        <f>IF($L993="","",IF($L993&gt;PARAMETRES!$G$33,5,IF($L993&gt;PARAMETRES!$F$33,4,IF($L993&gt;PARAMETRES!$E$33,3,IF($L993&gt;PARAMETRES!$D$33,2,1)))))</f>
        <v/>
      </c>
      <c r="U993" t="str">
        <f>IF($M993="","",IF($M993&gt;PARAMETRES!$G$34,5,IF($M993&gt;PARAMETRES!$F$34,4,IF($M993&gt;PARAMETRES!$E$34,3,IF($M993&gt;PARAMETRES!$D$34,2,1)))))</f>
        <v/>
      </c>
      <c r="V993" t="str">
        <f>IF($N993="","",IF($N993&gt;PARAMETRES!$G$35,5,IF($N993&gt;PARAMETRES!$F$35,4,IF($N993&gt;PARAMETRES!$E$35,3,IF($N993&gt;PARAMETRES!$D$35,2,1)))))</f>
        <v/>
      </c>
      <c r="W993" t="str">
        <f>IF($O993="","",IF($O993&gt;PARAMETRES!$G$36,5,IF($O993&gt;PARAMETRES!$F$36,4,IF($O993&gt;PARAMETRES!$E$36,3,IF($O993&gt;PARAMETRES!$D$36,2,1)))))</f>
        <v/>
      </c>
      <c r="X993" t="str">
        <f>IF($P993="","",IF($P993&gt;PARAMETRES!$G$37,5,IF($P993&gt;PARAMETRES!$F$37,4,IF($P993&gt;PARAMETRES!$E$37,3,IF($P993&gt;PARAMETRES!$D$37,2,1)))))</f>
        <v/>
      </c>
      <c r="Y993" t="str">
        <f t="shared" si="360"/>
        <v/>
      </c>
      <c r="Z993" t="str">
        <f>IFERROR(VLOOKUP($B993,TABLE_CYCLE,2,0),"")</f>
        <v/>
      </c>
      <c r="AA993" t="str">
        <f t="shared" si="361"/>
        <v/>
      </c>
      <c r="AB993" t="str">
        <f>IF($D993="","",IF(COUNTIF($D$2:$D993,$D993)=1,$D993,""))</f>
        <v/>
      </c>
      <c r="AC993">
        <f t="shared" si="362"/>
        <v>0</v>
      </c>
      <c r="AD993" t="str">
        <f t="shared" si="363"/>
        <v>|0</v>
      </c>
      <c r="AE993" t="str">
        <f t="shared" si="364"/>
        <v/>
      </c>
      <c r="AF993" t="str">
        <f t="shared" si="365"/>
        <v/>
      </c>
      <c r="AG993" t="str">
        <f t="shared" si="366"/>
        <v/>
      </c>
      <c r="AH993" t="str">
        <f t="shared" si="367"/>
        <v/>
      </c>
      <c r="AI993" t="str">
        <f t="shared" si="368"/>
        <v/>
      </c>
      <c r="AJ993" t="str">
        <f t="shared" si="369"/>
        <v/>
      </c>
      <c r="AK993" t="str">
        <f t="shared" si="370"/>
        <v/>
      </c>
      <c r="AL993" t="str">
        <f t="shared" si="371"/>
        <v/>
      </c>
      <c r="AM993" t="str">
        <f t="shared" si="372"/>
        <v/>
      </c>
      <c r="AN993" t="str">
        <f t="shared" si="373"/>
        <v/>
      </c>
      <c r="AO993" t="str">
        <f t="shared" si="374"/>
        <v/>
      </c>
      <c r="AP993">
        <f t="shared" si="375"/>
        <v>1</v>
      </c>
      <c r="AQ993" t="str">
        <f>IF(SAISIE!$F998="","",SAISIE!$Y998)</f>
        <v/>
      </c>
      <c r="AR993" t="str">
        <f>IF(OR(SAISIE!$U$4="",SAISIE!$W$4=""),"",IF(AND($A993=SAISIE!$U$4,$B993=SAISIE!$W$4,$C993="S1"),COUNTIFS($A$2:$A993,SAISIE!$U$4,$B$2:$B993,SAISIE!$W$4,$C$2:$C993,"S1"),""))</f>
        <v/>
      </c>
      <c r="AS993" t="str">
        <f t="shared" si="376"/>
        <v/>
      </c>
      <c r="AT993" t="str">
        <f t="shared" si="377"/>
        <v/>
      </c>
      <c r="AU993" t="str">
        <f t="shared" si="378"/>
        <v/>
      </c>
      <c r="AV993">
        <f>N(AV992)+IF(AND($AB993&lt;&gt;"",OR('PROFIL ELEVE'!$K$4="(Tous)",$AF993='PROFIL ELEVE'!$K$4)),1,0)</f>
        <v>0</v>
      </c>
      <c r="AW993">
        <f>N(AW992)+IF(AND($AB993&lt;&gt;"",OR('SUIVI LONGITUDINAL'!$Q$4="(Tous)",$AF993='SUIVI LONGITUDINAL'!$Q$4)),1,0)</f>
        <v>0</v>
      </c>
      <c r="AX993">
        <f t="shared" si="379"/>
        <v>0</v>
      </c>
      <c r="AY993">
        <f t="shared" si="380"/>
        <v>0</v>
      </c>
      <c r="AZ993">
        <f t="shared" si="381"/>
        <v>0</v>
      </c>
      <c r="BA993" t="str">
        <f t="shared" si="382"/>
        <v/>
      </c>
      <c r="BB993" t="str">
        <f t="shared" si="383"/>
        <v/>
      </c>
    </row>
    <row r="994" spans="1:54" ht="14.25" customHeight="1" x14ac:dyDescent="0.3">
      <c r="A994" t="str">
        <f>IF(SAISIE!$F999="","",SAISIE!$B999)</f>
        <v/>
      </c>
      <c r="B994" t="str">
        <f>IF(SAISIE!$F999="","",SAISIE!$C999)</f>
        <v/>
      </c>
      <c r="C994" t="str">
        <f>IF(SAISIE!$F999="","",SAISIE!$D999)</f>
        <v/>
      </c>
      <c r="D994" t="str">
        <f>IF(SAISIE!$E999="","",SAISIE!$E999)</f>
        <v/>
      </c>
      <c r="E994" t="str">
        <f>IF(SAISIE!$F999="","",SAISIE!$F999)</f>
        <v/>
      </c>
      <c r="F994" t="str">
        <f>IF(SAISIE!$G999="","",SAISIE!$G999)</f>
        <v/>
      </c>
      <c r="G994" t="str">
        <f>IF(SAISIE!$H999="","",SAISIE!$H999)</f>
        <v/>
      </c>
      <c r="H994" t="str">
        <f>IF(SAISIE!$I999="","",SAISIE!$I999)</f>
        <v/>
      </c>
      <c r="I994" t="str">
        <f>IF(SAISIE!$J999="","",SAISIE!$J999)</f>
        <v/>
      </c>
      <c r="J994" t="str">
        <f>IF(SAISIE!$K999="","",SAISIE!$K999)</f>
        <v/>
      </c>
      <c r="K994" t="str">
        <f>IF(SAISIE!$L999="","",SAISIE!$L999)</f>
        <v/>
      </c>
      <c r="L994" t="str">
        <f>IF(SAISIE!$M999="","",SAISIE!$M999)</f>
        <v/>
      </c>
      <c r="M994" t="str">
        <f>IF(SAISIE!$N999="","",SAISIE!$N999)</f>
        <v/>
      </c>
      <c r="N994" t="str">
        <f>IF(SAISIE!$O999="","",SAISIE!$O999)</f>
        <v/>
      </c>
      <c r="O994" t="str">
        <f>IF(SAISIE!$P999="","",SAISIE!$P999)</f>
        <v/>
      </c>
      <c r="P994" t="str">
        <f>IF(SAISIE!$Q999="","",SAISIE!$Q999)</f>
        <v/>
      </c>
      <c r="Q994" t="str">
        <f>IF($I994="","",IF($I994&gt;PARAMETRES!$G$29,5,IF($I994&gt;PARAMETRES!$F$29,4,IF($I994&gt;PARAMETRES!$E$29,3,IF($I994&gt;PARAMETRES!$D$29,2,1)))))</f>
        <v/>
      </c>
      <c r="R994" t="str">
        <f>IF($J994="","",IF($J994&gt;PARAMETRES!$G$30,5,IF($J994&gt;PARAMETRES!$F$30,4,IF($J994&gt;PARAMETRES!$E$30,3,IF($J994&gt;PARAMETRES!$D$30,2,1)))))</f>
        <v/>
      </c>
      <c r="S994" t="str">
        <f>IF($K994="","",IF($Z994=2,IF($K994&gt;PARAMETRES!$G$31,5,IF($K994&gt;PARAMETRES!$F$31,4,IF($K994&gt;PARAMETRES!$E$31,3,IF($K994&gt;PARAMETRES!$D$31,2,1)))),IF($K994&gt;PARAMETRES!$G$32,5,IF($K994&gt;PARAMETRES!$F$32,4,IF($K994&gt;PARAMETRES!$E$32,3,IF($K994&gt;PARAMETRES!$D$32,2,1))))))</f>
        <v/>
      </c>
      <c r="T994" t="str">
        <f>IF($L994="","",IF($L994&gt;PARAMETRES!$G$33,5,IF($L994&gt;PARAMETRES!$F$33,4,IF($L994&gt;PARAMETRES!$E$33,3,IF($L994&gt;PARAMETRES!$D$33,2,1)))))</f>
        <v/>
      </c>
      <c r="U994" t="str">
        <f>IF($M994="","",IF($M994&gt;PARAMETRES!$G$34,5,IF($M994&gt;PARAMETRES!$F$34,4,IF($M994&gt;PARAMETRES!$E$34,3,IF($M994&gt;PARAMETRES!$D$34,2,1)))))</f>
        <v/>
      </c>
      <c r="V994" t="str">
        <f>IF($N994="","",IF($N994&gt;PARAMETRES!$G$35,5,IF($N994&gt;PARAMETRES!$F$35,4,IF($N994&gt;PARAMETRES!$E$35,3,IF($N994&gt;PARAMETRES!$D$35,2,1)))))</f>
        <v/>
      </c>
      <c r="W994" t="str">
        <f>IF($O994="","",IF($O994&gt;PARAMETRES!$G$36,5,IF($O994&gt;PARAMETRES!$F$36,4,IF($O994&gt;PARAMETRES!$E$36,3,IF($O994&gt;PARAMETRES!$D$36,2,1)))))</f>
        <v/>
      </c>
      <c r="X994" t="str">
        <f>IF($P994="","",IF($P994&gt;PARAMETRES!$G$37,5,IF($P994&gt;PARAMETRES!$F$37,4,IF($P994&gt;PARAMETRES!$E$37,3,IF($P994&gt;PARAMETRES!$D$37,2,1)))))</f>
        <v/>
      </c>
      <c r="Y994" t="str">
        <f t="shared" si="360"/>
        <v/>
      </c>
      <c r="Z994" t="str">
        <f>IFERROR(VLOOKUP($B994,TABLE_CYCLE,2,0),"")</f>
        <v/>
      </c>
      <c r="AA994" t="str">
        <f t="shared" si="361"/>
        <v/>
      </c>
      <c r="AB994" t="str">
        <f>IF($D994="","",IF(COUNTIF($D$2:$D994,$D994)=1,$D994,""))</f>
        <v/>
      </c>
      <c r="AC994">
        <f t="shared" si="362"/>
        <v>0</v>
      </c>
      <c r="AD994" t="str">
        <f t="shared" si="363"/>
        <v>|0</v>
      </c>
      <c r="AE994" t="str">
        <f t="shared" si="364"/>
        <v/>
      </c>
      <c r="AF994" t="str">
        <f t="shared" si="365"/>
        <v/>
      </c>
      <c r="AG994" t="str">
        <f t="shared" si="366"/>
        <v/>
      </c>
      <c r="AH994" t="str">
        <f t="shared" si="367"/>
        <v/>
      </c>
      <c r="AI994" t="str">
        <f t="shared" si="368"/>
        <v/>
      </c>
      <c r="AJ994" t="str">
        <f t="shared" si="369"/>
        <v/>
      </c>
      <c r="AK994" t="str">
        <f t="shared" si="370"/>
        <v/>
      </c>
      <c r="AL994" t="str">
        <f t="shared" si="371"/>
        <v/>
      </c>
      <c r="AM994" t="str">
        <f t="shared" si="372"/>
        <v/>
      </c>
      <c r="AN994" t="str">
        <f t="shared" si="373"/>
        <v/>
      </c>
      <c r="AO994" t="str">
        <f t="shared" si="374"/>
        <v/>
      </c>
      <c r="AP994">
        <f t="shared" si="375"/>
        <v>1</v>
      </c>
      <c r="AQ994" t="str">
        <f>IF(SAISIE!$F999="","",SAISIE!$Y999)</f>
        <v/>
      </c>
      <c r="AR994" t="str">
        <f>IF(OR(SAISIE!$U$4="",SAISIE!$W$4=""),"",IF(AND($A994=SAISIE!$U$4,$B994=SAISIE!$W$4,$C994="S1"),COUNTIFS($A$2:$A994,SAISIE!$U$4,$B$2:$B994,SAISIE!$W$4,$C$2:$C994,"S1"),""))</f>
        <v/>
      </c>
      <c r="AS994" t="str">
        <f t="shared" si="376"/>
        <v/>
      </c>
      <c r="AT994" t="str">
        <f t="shared" si="377"/>
        <v/>
      </c>
      <c r="AU994" t="str">
        <f t="shared" si="378"/>
        <v/>
      </c>
      <c r="AV994">
        <f>N(AV993)+IF(AND($AB994&lt;&gt;"",OR('PROFIL ELEVE'!$K$4="(Tous)",$AF994='PROFIL ELEVE'!$K$4)),1,0)</f>
        <v>0</v>
      </c>
      <c r="AW994">
        <f>N(AW993)+IF(AND($AB994&lt;&gt;"",OR('SUIVI LONGITUDINAL'!$Q$4="(Tous)",$AF994='SUIVI LONGITUDINAL'!$Q$4)),1,0)</f>
        <v>0</v>
      </c>
      <c r="AX994">
        <f t="shared" si="379"/>
        <v>0</v>
      </c>
      <c r="AY994">
        <f t="shared" si="380"/>
        <v>0</v>
      </c>
      <c r="AZ994">
        <f t="shared" si="381"/>
        <v>0</v>
      </c>
      <c r="BA994" t="str">
        <f t="shared" si="382"/>
        <v/>
      </c>
      <c r="BB994" t="str">
        <f t="shared" si="383"/>
        <v/>
      </c>
    </row>
    <row r="995" spans="1:54" ht="14.25" customHeight="1" x14ac:dyDescent="0.3">
      <c r="A995" t="str">
        <f>IF(SAISIE!$F1000="","",SAISIE!$B1000)</f>
        <v/>
      </c>
      <c r="B995" t="str">
        <f>IF(SAISIE!$F1000="","",SAISIE!$C1000)</f>
        <v/>
      </c>
      <c r="C995" t="str">
        <f>IF(SAISIE!$F1000="","",SAISIE!$D1000)</f>
        <v/>
      </c>
      <c r="D995" t="str">
        <f>IF(SAISIE!$E1000="","",SAISIE!$E1000)</f>
        <v/>
      </c>
      <c r="E995" t="str">
        <f>IF(SAISIE!$F1000="","",SAISIE!$F1000)</f>
        <v/>
      </c>
      <c r="F995" t="str">
        <f>IF(SAISIE!$G1000="","",SAISIE!$G1000)</f>
        <v/>
      </c>
      <c r="G995" t="str">
        <f>IF(SAISIE!$H1000="","",SAISIE!$H1000)</f>
        <v/>
      </c>
      <c r="H995" t="str">
        <f>IF(SAISIE!$I1000="","",SAISIE!$I1000)</f>
        <v/>
      </c>
      <c r="I995" t="str">
        <f>IF(SAISIE!$J1000="","",SAISIE!$J1000)</f>
        <v/>
      </c>
      <c r="J995" t="str">
        <f>IF(SAISIE!$K1000="","",SAISIE!$K1000)</f>
        <v/>
      </c>
      <c r="K995" t="str">
        <f>IF(SAISIE!$L1000="","",SAISIE!$L1000)</f>
        <v/>
      </c>
      <c r="L995" t="str">
        <f>IF(SAISIE!$M1000="","",SAISIE!$M1000)</f>
        <v/>
      </c>
      <c r="M995" t="str">
        <f>IF(SAISIE!$N1000="","",SAISIE!$N1000)</f>
        <v/>
      </c>
      <c r="N995" t="str">
        <f>IF(SAISIE!$O1000="","",SAISIE!$O1000)</f>
        <v/>
      </c>
      <c r="O995" t="str">
        <f>IF(SAISIE!$P1000="","",SAISIE!$P1000)</f>
        <v/>
      </c>
      <c r="P995" t="str">
        <f>IF(SAISIE!$Q1000="","",SAISIE!$Q1000)</f>
        <v/>
      </c>
      <c r="Q995" t="str">
        <f>IF($I995="","",IF($I995&gt;PARAMETRES!$G$29,5,IF($I995&gt;PARAMETRES!$F$29,4,IF($I995&gt;PARAMETRES!$E$29,3,IF($I995&gt;PARAMETRES!$D$29,2,1)))))</f>
        <v/>
      </c>
      <c r="R995" t="str">
        <f>IF($J995="","",IF($J995&gt;PARAMETRES!$G$30,5,IF($J995&gt;PARAMETRES!$F$30,4,IF($J995&gt;PARAMETRES!$E$30,3,IF($J995&gt;PARAMETRES!$D$30,2,1)))))</f>
        <v/>
      </c>
      <c r="S995" t="str">
        <f>IF($K995="","",IF($Z995=2,IF($K995&gt;PARAMETRES!$G$31,5,IF($K995&gt;PARAMETRES!$F$31,4,IF($K995&gt;PARAMETRES!$E$31,3,IF($K995&gt;PARAMETRES!$D$31,2,1)))),IF($K995&gt;PARAMETRES!$G$32,5,IF($K995&gt;PARAMETRES!$F$32,4,IF($K995&gt;PARAMETRES!$E$32,3,IF($K995&gt;PARAMETRES!$D$32,2,1))))))</f>
        <v/>
      </c>
      <c r="T995" t="str">
        <f>IF($L995="","",IF($L995&gt;PARAMETRES!$G$33,5,IF($L995&gt;PARAMETRES!$F$33,4,IF($L995&gt;PARAMETRES!$E$33,3,IF($L995&gt;PARAMETRES!$D$33,2,1)))))</f>
        <v/>
      </c>
      <c r="U995" t="str">
        <f>IF($M995="","",IF($M995&gt;PARAMETRES!$G$34,5,IF($M995&gt;PARAMETRES!$F$34,4,IF($M995&gt;PARAMETRES!$E$34,3,IF($M995&gt;PARAMETRES!$D$34,2,1)))))</f>
        <v/>
      </c>
      <c r="V995" t="str">
        <f>IF($N995="","",IF($N995&gt;PARAMETRES!$G$35,5,IF($N995&gt;PARAMETRES!$F$35,4,IF($N995&gt;PARAMETRES!$E$35,3,IF($N995&gt;PARAMETRES!$D$35,2,1)))))</f>
        <v/>
      </c>
      <c r="W995" t="str">
        <f>IF($O995="","",IF($O995&gt;PARAMETRES!$G$36,5,IF($O995&gt;PARAMETRES!$F$36,4,IF($O995&gt;PARAMETRES!$E$36,3,IF($O995&gt;PARAMETRES!$D$36,2,1)))))</f>
        <v/>
      </c>
      <c r="X995" t="str">
        <f>IF($P995="","",IF($P995&gt;PARAMETRES!$G$37,5,IF($P995&gt;PARAMETRES!$F$37,4,IF($P995&gt;PARAMETRES!$E$37,3,IF($P995&gt;PARAMETRES!$D$37,2,1)))))</f>
        <v/>
      </c>
      <c r="Y995" t="str">
        <f t="shared" si="360"/>
        <v/>
      </c>
      <c r="Z995" t="str">
        <f>IFERROR(VLOOKUP($B995,TABLE_CYCLE,2,0),"")</f>
        <v/>
      </c>
      <c r="AA995" t="str">
        <f t="shared" si="361"/>
        <v/>
      </c>
      <c r="AB995" t="str">
        <f>IF($D995="","",IF(COUNTIF($D$2:$D995,$D995)=1,$D995,""))</f>
        <v/>
      </c>
      <c r="AC995">
        <f t="shared" si="362"/>
        <v>0</v>
      </c>
      <c r="AD995" t="str">
        <f t="shared" si="363"/>
        <v>|0</v>
      </c>
      <c r="AE995" t="str">
        <f t="shared" si="364"/>
        <v/>
      </c>
      <c r="AF995" t="str">
        <f t="shared" si="365"/>
        <v/>
      </c>
      <c r="AG995" t="str">
        <f t="shared" si="366"/>
        <v/>
      </c>
      <c r="AH995" t="str">
        <f t="shared" si="367"/>
        <v/>
      </c>
      <c r="AI995" t="str">
        <f t="shared" si="368"/>
        <v/>
      </c>
      <c r="AJ995" t="str">
        <f t="shared" si="369"/>
        <v/>
      </c>
      <c r="AK995" t="str">
        <f t="shared" si="370"/>
        <v/>
      </c>
      <c r="AL995" t="str">
        <f t="shared" si="371"/>
        <v/>
      </c>
      <c r="AM995" t="str">
        <f t="shared" si="372"/>
        <v/>
      </c>
      <c r="AN995" t="str">
        <f t="shared" si="373"/>
        <v/>
      </c>
      <c r="AO995" t="str">
        <f t="shared" si="374"/>
        <v/>
      </c>
      <c r="AP995">
        <f t="shared" si="375"/>
        <v>1</v>
      </c>
      <c r="AQ995" t="str">
        <f>IF(SAISIE!$F1000="","",SAISIE!$Y1000)</f>
        <v/>
      </c>
      <c r="AR995" t="str">
        <f>IF(OR(SAISIE!$U$4="",SAISIE!$W$4=""),"",IF(AND($A995=SAISIE!$U$4,$B995=SAISIE!$W$4,$C995="S1"),COUNTIFS($A$2:$A995,SAISIE!$U$4,$B$2:$B995,SAISIE!$W$4,$C$2:$C995,"S1"),""))</f>
        <v/>
      </c>
      <c r="AS995" t="str">
        <f t="shared" si="376"/>
        <v/>
      </c>
      <c r="AT995" t="str">
        <f t="shared" si="377"/>
        <v/>
      </c>
      <c r="AU995" t="str">
        <f t="shared" si="378"/>
        <v/>
      </c>
      <c r="AV995">
        <f>N(AV994)+IF(AND($AB995&lt;&gt;"",OR('PROFIL ELEVE'!$K$4="(Tous)",$AF995='PROFIL ELEVE'!$K$4)),1,0)</f>
        <v>0</v>
      </c>
      <c r="AW995">
        <f>N(AW994)+IF(AND($AB995&lt;&gt;"",OR('SUIVI LONGITUDINAL'!$Q$4="(Tous)",$AF995='SUIVI LONGITUDINAL'!$Q$4)),1,0)</f>
        <v>0</v>
      </c>
      <c r="AX995">
        <f t="shared" si="379"/>
        <v>0</v>
      </c>
      <c r="AY995">
        <f t="shared" si="380"/>
        <v>0</v>
      </c>
      <c r="AZ995">
        <f t="shared" si="381"/>
        <v>0</v>
      </c>
      <c r="BA995" t="str">
        <f t="shared" si="382"/>
        <v/>
      </c>
      <c r="BB995" t="str">
        <f t="shared" si="383"/>
        <v/>
      </c>
    </row>
    <row r="996" spans="1:54" ht="14.25" customHeight="1" x14ac:dyDescent="0.3">
      <c r="A996" t="str">
        <f>IF(SAISIE!$F1001="","",SAISIE!$B1001)</f>
        <v/>
      </c>
      <c r="B996" t="str">
        <f>IF(SAISIE!$F1001="","",SAISIE!$C1001)</f>
        <v/>
      </c>
      <c r="C996" t="str">
        <f>IF(SAISIE!$F1001="","",SAISIE!$D1001)</f>
        <v/>
      </c>
      <c r="D996" t="str">
        <f>IF(SAISIE!$E1001="","",SAISIE!$E1001)</f>
        <v/>
      </c>
      <c r="E996" t="str">
        <f>IF(SAISIE!$F1001="","",SAISIE!$F1001)</f>
        <v/>
      </c>
      <c r="F996" t="str">
        <f>IF(SAISIE!$G1001="","",SAISIE!$G1001)</f>
        <v/>
      </c>
      <c r="G996" t="str">
        <f>IF(SAISIE!$H1001="","",SAISIE!$H1001)</f>
        <v/>
      </c>
      <c r="H996" t="str">
        <f>IF(SAISIE!$I1001="","",SAISIE!$I1001)</f>
        <v/>
      </c>
      <c r="I996" t="str">
        <f>IF(SAISIE!$J1001="","",SAISIE!$J1001)</f>
        <v/>
      </c>
      <c r="J996" t="str">
        <f>IF(SAISIE!$K1001="","",SAISIE!$K1001)</f>
        <v/>
      </c>
      <c r="K996" t="str">
        <f>IF(SAISIE!$L1001="","",SAISIE!$L1001)</f>
        <v/>
      </c>
      <c r="L996" t="str">
        <f>IF(SAISIE!$M1001="","",SAISIE!$M1001)</f>
        <v/>
      </c>
      <c r="M996" t="str">
        <f>IF(SAISIE!$N1001="","",SAISIE!$N1001)</f>
        <v/>
      </c>
      <c r="N996" t="str">
        <f>IF(SAISIE!$O1001="","",SAISIE!$O1001)</f>
        <v/>
      </c>
      <c r="O996" t="str">
        <f>IF(SAISIE!$P1001="","",SAISIE!$P1001)</f>
        <v/>
      </c>
      <c r="P996" t="str">
        <f>IF(SAISIE!$Q1001="","",SAISIE!$Q1001)</f>
        <v/>
      </c>
      <c r="Q996" t="str">
        <f>IF($I996="","",IF($I996&gt;PARAMETRES!$G$29,5,IF($I996&gt;PARAMETRES!$F$29,4,IF($I996&gt;PARAMETRES!$E$29,3,IF($I996&gt;PARAMETRES!$D$29,2,1)))))</f>
        <v/>
      </c>
      <c r="R996" t="str">
        <f>IF($J996="","",IF($J996&gt;PARAMETRES!$G$30,5,IF($J996&gt;PARAMETRES!$F$30,4,IF($J996&gt;PARAMETRES!$E$30,3,IF($J996&gt;PARAMETRES!$D$30,2,1)))))</f>
        <v/>
      </c>
      <c r="S996" t="str">
        <f>IF($K996="","",IF($Z996=2,IF($K996&gt;PARAMETRES!$G$31,5,IF($K996&gt;PARAMETRES!$F$31,4,IF($K996&gt;PARAMETRES!$E$31,3,IF($K996&gt;PARAMETRES!$D$31,2,1)))),IF($K996&gt;PARAMETRES!$G$32,5,IF($K996&gt;PARAMETRES!$F$32,4,IF($K996&gt;PARAMETRES!$E$32,3,IF($K996&gt;PARAMETRES!$D$32,2,1))))))</f>
        <v/>
      </c>
      <c r="T996" t="str">
        <f>IF($L996="","",IF($L996&gt;PARAMETRES!$G$33,5,IF($L996&gt;PARAMETRES!$F$33,4,IF($L996&gt;PARAMETRES!$E$33,3,IF($L996&gt;PARAMETRES!$D$33,2,1)))))</f>
        <v/>
      </c>
      <c r="U996" t="str">
        <f>IF($M996="","",IF($M996&gt;PARAMETRES!$G$34,5,IF($M996&gt;PARAMETRES!$F$34,4,IF($M996&gt;PARAMETRES!$E$34,3,IF($M996&gt;PARAMETRES!$D$34,2,1)))))</f>
        <v/>
      </c>
      <c r="V996" t="str">
        <f>IF($N996="","",IF($N996&gt;PARAMETRES!$G$35,5,IF($N996&gt;PARAMETRES!$F$35,4,IF($N996&gt;PARAMETRES!$E$35,3,IF($N996&gt;PARAMETRES!$D$35,2,1)))))</f>
        <v/>
      </c>
      <c r="W996" t="str">
        <f>IF($O996="","",IF($O996&gt;PARAMETRES!$G$36,5,IF($O996&gt;PARAMETRES!$F$36,4,IF($O996&gt;PARAMETRES!$E$36,3,IF($O996&gt;PARAMETRES!$D$36,2,1)))))</f>
        <v/>
      </c>
      <c r="X996" t="str">
        <f>IF($P996="","",IF($P996&gt;PARAMETRES!$G$37,5,IF($P996&gt;PARAMETRES!$F$37,4,IF($P996&gt;PARAMETRES!$E$37,3,IF($P996&gt;PARAMETRES!$D$37,2,1)))))</f>
        <v/>
      </c>
      <c r="Y996" t="str">
        <f t="shared" si="360"/>
        <v/>
      </c>
      <c r="Z996" t="str">
        <f>IFERROR(VLOOKUP($B996,TABLE_CYCLE,2,0),"")</f>
        <v/>
      </c>
      <c r="AA996" t="str">
        <f t="shared" si="361"/>
        <v/>
      </c>
      <c r="AB996" t="str">
        <f>IF($D996="","",IF(COUNTIF($D$2:$D996,$D996)=1,$D996,""))</f>
        <v/>
      </c>
      <c r="AC996">
        <f t="shared" si="362"/>
        <v>0</v>
      </c>
      <c r="AD996" t="str">
        <f t="shared" si="363"/>
        <v>|0</v>
      </c>
      <c r="AE996" t="str">
        <f t="shared" si="364"/>
        <v/>
      </c>
      <c r="AF996" t="str">
        <f t="shared" si="365"/>
        <v/>
      </c>
      <c r="AG996" t="str">
        <f t="shared" si="366"/>
        <v/>
      </c>
      <c r="AH996" t="str">
        <f t="shared" si="367"/>
        <v/>
      </c>
      <c r="AI996" t="str">
        <f t="shared" si="368"/>
        <v/>
      </c>
      <c r="AJ996" t="str">
        <f t="shared" si="369"/>
        <v/>
      </c>
      <c r="AK996" t="str">
        <f t="shared" si="370"/>
        <v/>
      </c>
      <c r="AL996" t="str">
        <f t="shared" si="371"/>
        <v/>
      </c>
      <c r="AM996" t="str">
        <f t="shared" si="372"/>
        <v/>
      </c>
      <c r="AN996" t="str">
        <f t="shared" si="373"/>
        <v/>
      </c>
      <c r="AO996" t="str">
        <f t="shared" si="374"/>
        <v/>
      </c>
      <c r="AP996">
        <f t="shared" si="375"/>
        <v>1</v>
      </c>
      <c r="AQ996" t="str">
        <f>IF(SAISIE!$F1001="","",SAISIE!$Y1001)</f>
        <v/>
      </c>
      <c r="AR996" t="str">
        <f>IF(OR(SAISIE!$U$4="",SAISIE!$W$4=""),"",IF(AND($A996=SAISIE!$U$4,$B996=SAISIE!$W$4,$C996="S1"),COUNTIFS($A$2:$A996,SAISIE!$U$4,$B$2:$B996,SAISIE!$W$4,$C$2:$C996,"S1"),""))</f>
        <v/>
      </c>
      <c r="AS996" t="str">
        <f t="shared" si="376"/>
        <v/>
      </c>
      <c r="AT996" t="str">
        <f t="shared" si="377"/>
        <v/>
      </c>
      <c r="AU996" t="str">
        <f t="shared" si="378"/>
        <v/>
      </c>
      <c r="AV996">
        <f>N(AV995)+IF(AND($AB996&lt;&gt;"",OR('PROFIL ELEVE'!$K$4="(Tous)",$AF996='PROFIL ELEVE'!$K$4)),1,0)</f>
        <v>0</v>
      </c>
      <c r="AW996">
        <f>N(AW995)+IF(AND($AB996&lt;&gt;"",OR('SUIVI LONGITUDINAL'!$Q$4="(Tous)",$AF996='SUIVI LONGITUDINAL'!$Q$4)),1,0)</f>
        <v>0</v>
      </c>
      <c r="AX996">
        <f t="shared" si="379"/>
        <v>0</v>
      </c>
      <c r="AY996">
        <f t="shared" si="380"/>
        <v>0</v>
      </c>
      <c r="AZ996">
        <f t="shared" si="381"/>
        <v>0</v>
      </c>
      <c r="BA996" t="str">
        <f t="shared" si="382"/>
        <v/>
      </c>
      <c r="BB996" t="str">
        <f t="shared" si="383"/>
        <v/>
      </c>
    </row>
    <row r="997" spans="1:54" ht="14.25" customHeight="1" x14ac:dyDescent="0.3">
      <c r="A997" t="str">
        <f>IF(SAISIE!$F1002="","",SAISIE!$B1002)</f>
        <v/>
      </c>
      <c r="B997" t="str">
        <f>IF(SAISIE!$F1002="","",SAISIE!$C1002)</f>
        <v/>
      </c>
      <c r="C997" t="str">
        <f>IF(SAISIE!$F1002="","",SAISIE!$D1002)</f>
        <v/>
      </c>
      <c r="D997" t="str">
        <f>IF(SAISIE!$E1002="","",SAISIE!$E1002)</f>
        <v/>
      </c>
      <c r="E997" t="str">
        <f>IF(SAISIE!$F1002="","",SAISIE!$F1002)</f>
        <v/>
      </c>
      <c r="F997" t="str">
        <f>IF(SAISIE!$G1002="","",SAISIE!$G1002)</f>
        <v/>
      </c>
      <c r="G997" t="str">
        <f>IF(SAISIE!$H1002="","",SAISIE!$H1002)</f>
        <v/>
      </c>
      <c r="H997" t="str">
        <f>IF(SAISIE!$I1002="","",SAISIE!$I1002)</f>
        <v/>
      </c>
      <c r="I997" t="str">
        <f>IF(SAISIE!$J1002="","",SAISIE!$J1002)</f>
        <v/>
      </c>
      <c r="J997" t="str">
        <f>IF(SAISIE!$K1002="","",SAISIE!$K1002)</f>
        <v/>
      </c>
      <c r="K997" t="str">
        <f>IF(SAISIE!$L1002="","",SAISIE!$L1002)</f>
        <v/>
      </c>
      <c r="L997" t="str">
        <f>IF(SAISIE!$M1002="","",SAISIE!$M1002)</f>
        <v/>
      </c>
      <c r="M997" t="str">
        <f>IF(SAISIE!$N1002="","",SAISIE!$N1002)</f>
        <v/>
      </c>
      <c r="N997" t="str">
        <f>IF(SAISIE!$O1002="","",SAISIE!$O1002)</f>
        <v/>
      </c>
      <c r="O997" t="str">
        <f>IF(SAISIE!$P1002="","",SAISIE!$P1002)</f>
        <v/>
      </c>
      <c r="P997" t="str">
        <f>IF(SAISIE!$Q1002="","",SAISIE!$Q1002)</f>
        <v/>
      </c>
      <c r="Q997" t="str">
        <f>IF($I997="","",IF($I997&gt;PARAMETRES!$G$29,5,IF($I997&gt;PARAMETRES!$F$29,4,IF($I997&gt;PARAMETRES!$E$29,3,IF($I997&gt;PARAMETRES!$D$29,2,1)))))</f>
        <v/>
      </c>
      <c r="R997" t="str">
        <f>IF($J997="","",IF($J997&gt;PARAMETRES!$G$30,5,IF($J997&gt;PARAMETRES!$F$30,4,IF($J997&gt;PARAMETRES!$E$30,3,IF($J997&gt;PARAMETRES!$D$30,2,1)))))</f>
        <v/>
      </c>
      <c r="S997" t="str">
        <f>IF($K997="","",IF($Z997=2,IF($K997&gt;PARAMETRES!$G$31,5,IF($K997&gt;PARAMETRES!$F$31,4,IF($K997&gt;PARAMETRES!$E$31,3,IF($K997&gt;PARAMETRES!$D$31,2,1)))),IF($K997&gt;PARAMETRES!$G$32,5,IF($K997&gt;PARAMETRES!$F$32,4,IF($K997&gt;PARAMETRES!$E$32,3,IF($K997&gt;PARAMETRES!$D$32,2,1))))))</f>
        <v/>
      </c>
      <c r="T997" t="str">
        <f>IF($L997="","",IF($L997&gt;PARAMETRES!$G$33,5,IF($L997&gt;PARAMETRES!$F$33,4,IF($L997&gt;PARAMETRES!$E$33,3,IF($L997&gt;PARAMETRES!$D$33,2,1)))))</f>
        <v/>
      </c>
      <c r="U997" t="str">
        <f>IF($M997="","",IF($M997&gt;PARAMETRES!$G$34,5,IF($M997&gt;PARAMETRES!$F$34,4,IF($M997&gt;PARAMETRES!$E$34,3,IF($M997&gt;PARAMETRES!$D$34,2,1)))))</f>
        <v/>
      </c>
      <c r="V997" t="str">
        <f>IF($N997="","",IF($N997&gt;PARAMETRES!$G$35,5,IF($N997&gt;PARAMETRES!$F$35,4,IF($N997&gt;PARAMETRES!$E$35,3,IF($N997&gt;PARAMETRES!$D$35,2,1)))))</f>
        <v/>
      </c>
      <c r="W997" t="str">
        <f>IF($O997="","",IF($O997&gt;PARAMETRES!$G$36,5,IF($O997&gt;PARAMETRES!$F$36,4,IF($O997&gt;PARAMETRES!$E$36,3,IF($O997&gt;PARAMETRES!$D$36,2,1)))))</f>
        <v/>
      </c>
      <c r="X997" t="str">
        <f>IF($P997="","",IF($P997&gt;PARAMETRES!$G$37,5,IF($P997&gt;PARAMETRES!$F$37,4,IF($P997&gt;PARAMETRES!$E$37,3,IF($P997&gt;PARAMETRES!$D$37,2,1)))))</f>
        <v/>
      </c>
      <c r="Y997" t="str">
        <f t="shared" si="360"/>
        <v/>
      </c>
      <c r="Z997" t="str">
        <f>IFERROR(VLOOKUP($B997,TABLE_CYCLE,2,0),"")</f>
        <v/>
      </c>
      <c r="AA997" t="str">
        <f t="shared" si="361"/>
        <v/>
      </c>
      <c r="AB997" t="str">
        <f>IF($D997="","",IF(COUNTIF($D$2:$D997,$D997)=1,$D997,""))</f>
        <v/>
      </c>
      <c r="AC997">
        <f t="shared" si="362"/>
        <v>0</v>
      </c>
      <c r="AD997" t="str">
        <f t="shared" si="363"/>
        <v>|0</v>
      </c>
      <c r="AE997" t="str">
        <f t="shared" si="364"/>
        <v/>
      </c>
      <c r="AF997" t="str">
        <f t="shared" si="365"/>
        <v/>
      </c>
      <c r="AG997" t="str">
        <f t="shared" si="366"/>
        <v/>
      </c>
      <c r="AH997" t="str">
        <f t="shared" si="367"/>
        <v/>
      </c>
      <c r="AI997" t="str">
        <f t="shared" si="368"/>
        <v/>
      </c>
      <c r="AJ997" t="str">
        <f t="shared" si="369"/>
        <v/>
      </c>
      <c r="AK997" t="str">
        <f t="shared" si="370"/>
        <v/>
      </c>
      <c r="AL997" t="str">
        <f t="shared" si="371"/>
        <v/>
      </c>
      <c r="AM997" t="str">
        <f t="shared" si="372"/>
        <v/>
      </c>
      <c r="AN997" t="str">
        <f t="shared" si="373"/>
        <v/>
      </c>
      <c r="AO997" t="str">
        <f t="shared" si="374"/>
        <v/>
      </c>
      <c r="AP997">
        <f t="shared" si="375"/>
        <v>1</v>
      </c>
      <c r="AQ997" t="str">
        <f>IF(SAISIE!$F1002="","",SAISIE!$Y1002)</f>
        <v/>
      </c>
      <c r="AR997" t="str">
        <f>IF(OR(SAISIE!$U$4="",SAISIE!$W$4=""),"",IF(AND($A997=SAISIE!$U$4,$B997=SAISIE!$W$4,$C997="S1"),COUNTIFS($A$2:$A997,SAISIE!$U$4,$B$2:$B997,SAISIE!$W$4,$C$2:$C997,"S1"),""))</f>
        <v/>
      </c>
      <c r="AS997" t="str">
        <f t="shared" si="376"/>
        <v/>
      </c>
      <c r="AT997" t="str">
        <f t="shared" si="377"/>
        <v/>
      </c>
      <c r="AU997" t="str">
        <f t="shared" si="378"/>
        <v/>
      </c>
      <c r="AV997">
        <f>N(AV996)+IF(AND($AB997&lt;&gt;"",OR('PROFIL ELEVE'!$K$4="(Tous)",$AF997='PROFIL ELEVE'!$K$4)),1,0)</f>
        <v>0</v>
      </c>
      <c r="AW997">
        <f>N(AW996)+IF(AND($AB997&lt;&gt;"",OR('SUIVI LONGITUDINAL'!$Q$4="(Tous)",$AF997='SUIVI LONGITUDINAL'!$Q$4)),1,0)</f>
        <v>0</v>
      </c>
      <c r="AX997">
        <f t="shared" si="379"/>
        <v>0</v>
      </c>
      <c r="AY997">
        <f t="shared" si="380"/>
        <v>0</v>
      </c>
      <c r="AZ997">
        <f t="shared" si="381"/>
        <v>0</v>
      </c>
      <c r="BA997" t="str">
        <f t="shared" si="382"/>
        <v/>
      </c>
      <c r="BB997" t="str">
        <f t="shared" si="383"/>
        <v/>
      </c>
    </row>
    <row r="998" spans="1:54" ht="14.25" customHeight="1" x14ac:dyDescent="0.3">
      <c r="A998" t="str">
        <f>IF(SAISIE!$F1003="","",SAISIE!$B1003)</f>
        <v/>
      </c>
      <c r="B998" t="str">
        <f>IF(SAISIE!$F1003="","",SAISIE!$C1003)</f>
        <v/>
      </c>
      <c r="C998" t="str">
        <f>IF(SAISIE!$F1003="","",SAISIE!$D1003)</f>
        <v/>
      </c>
      <c r="D998" t="str">
        <f>IF(SAISIE!$E1003="","",SAISIE!$E1003)</f>
        <v/>
      </c>
      <c r="E998" t="str">
        <f>IF(SAISIE!$F1003="","",SAISIE!$F1003)</f>
        <v/>
      </c>
      <c r="F998" t="str">
        <f>IF(SAISIE!$G1003="","",SAISIE!$G1003)</f>
        <v/>
      </c>
      <c r="G998" t="str">
        <f>IF(SAISIE!$H1003="","",SAISIE!$H1003)</f>
        <v/>
      </c>
      <c r="H998" t="str">
        <f>IF(SAISIE!$I1003="","",SAISIE!$I1003)</f>
        <v/>
      </c>
      <c r="I998" t="str">
        <f>IF(SAISIE!$J1003="","",SAISIE!$J1003)</f>
        <v/>
      </c>
      <c r="J998" t="str">
        <f>IF(SAISIE!$K1003="","",SAISIE!$K1003)</f>
        <v/>
      </c>
      <c r="K998" t="str">
        <f>IF(SAISIE!$L1003="","",SAISIE!$L1003)</f>
        <v/>
      </c>
      <c r="L998" t="str">
        <f>IF(SAISIE!$M1003="","",SAISIE!$M1003)</f>
        <v/>
      </c>
      <c r="M998" t="str">
        <f>IF(SAISIE!$N1003="","",SAISIE!$N1003)</f>
        <v/>
      </c>
      <c r="N998" t="str">
        <f>IF(SAISIE!$O1003="","",SAISIE!$O1003)</f>
        <v/>
      </c>
      <c r="O998" t="str">
        <f>IF(SAISIE!$P1003="","",SAISIE!$P1003)</f>
        <v/>
      </c>
      <c r="P998" t="str">
        <f>IF(SAISIE!$Q1003="","",SAISIE!$Q1003)</f>
        <v/>
      </c>
      <c r="Q998" t="str">
        <f>IF($I998="","",IF($I998&gt;PARAMETRES!$G$29,5,IF($I998&gt;PARAMETRES!$F$29,4,IF($I998&gt;PARAMETRES!$E$29,3,IF($I998&gt;PARAMETRES!$D$29,2,1)))))</f>
        <v/>
      </c>
      <c r="R998" t="str">
        <f>IF($J998="","",IF($J998&gt;PARAMETRES!$G$30,5,IF($J998&gt;PARAMETRES!$F$30,4,IF($J998&gt;PARAMETRES!$E$30,3,IF($J998&gt;PARAMETRES!$D$30,2,1)))))</f>
        <v/>
      </c>
      <c r="S998" t="str">
        <f>IF($K998="","",IF($Z998=2,IF($K998&gt;PARAMETRES!$G$31,5,IF($K998&gt;PARAMETRES!$F$31,4,IF($K998&gt;PARAMETRES!$E$31,3,IF($K998&gt;PARAMETRES!$D$31,2,1)))),IF($K998&gt;PARAMETRES!$G$32,5,IF($K998&gt;PARAMETRES!$F$32,4,IF($K998&gt;PARAMETRES!$E$32,3,IF($K998&gt;PARAMETRES!$D$32,2,1))))))</f>
        <v/>
      </c>
      <c r="T998" t="str">
        <f>IF($L998="","",IF($L998&gt;PARAMETRES!$G$33,5,IF($L998&gt;PARAMETRES!$F$33,4,IF($L998&gt;PARAMETRES!$E$33,3,IF($L998&gt;PARAMETRES!$D$33,2,1)))))</f>
        <v/>
      </c>
      <c r="U998" t="str">
        <f>IF($M998="","",IF($M998&gt;PARAMETRES!$G$34,5,IF($M998&gt;PARAMETRES!$F$34,4,IF($M998&gt;PARAMETRES!$E$34,3,IF($M998&gt;PARAMETRES!$D$34,2,1)))))</f>
        <v/>
      </c>
      <c r="V998" t="str">
        <f>IF($N998="","",IF($N998&gt;PARAMETRES!$G$35,5,IF($N998&gt;PARAMETRES!$F$35,4,IF($N998&gt;PARAMETRES!$E$35,3,IF($N998&gt;PARAMETRES!$D$35,2,1)))))</f>
        <v/>
      </c>
      <c r="W998" t="str">
        <f>IF($O998="","",IF($O998&gt;PARAMETRES!$G$36,5,IF($O998&gt;PARAMETRES!$F$36,4,IF($O998&gt;PARAMETRES!$E$36,3,IF($O998&gt;PARAMETRES!$D$36,2,1)))))</f>
        <v/>
      </c>
      <c r="X998" t="str">
        <f>IF($P998="","",IF($P998&gt;PARAMETRES!$G$37,5,IF($P998&gt;PARAMETRES!$F$37,4,IF($P998&gt;PARAMETRES!$E$37,3,IF($P998&gt;PARAMETRES!$D$37,2,1)))))</f>
        <v/>
      </c>
      <c r="Y998" t="str">
        <f t="shared" si="360"/>
        <v/>
      </c>
      <c r="Z998" t="str">
        <f>IFERROR(VLOOKUP($B998,TABLE_CYCLE,2,0),"")</f>
        <v/>
      </c>
      <c r="AA998" t="str">
        <f t="shared" si="361"/>
        <v/>
      </c>
      <c r="AB998" t="str">
        <f>IF($D998="","",IF(COUNTIF($D$2:$D998,$D998)=1,$D998,""))</f>
        <v/>
      </c>
      <c r="AC998">
        <f t="shared" si="362"/>
        <v>0</v>
      </c>
      <c r="AD998" t="str">
        <f t="shared" si="363"/>
        <v>|0</v>
      </c>
      <c r="AE998" t="str">
        <f t="shared" si="364"/>
        <v/>
      </c>
      <c r="AF998" t="str">
        <f t="shared" si="365"/>
        <v/>
      </c>
      <c r="AG998" t="str">
        <f t="shared" si="366"/>
        <v/>
      </c>
      <c r="AH998" t="str">
        <f t="shared" si="367"/>
        <v/>
      </c>
      <c r="AI998" t="str">
        <f t="shared" si="368"/>
        <v/>
      </c>
      <c r="AJ998" t="str">
        <f t="shared" si="369"/>
        <v/>
      </c>
      <c r="AK998" t="str">
        <f t="shared" si="370"/>
        <v/>
      </c>
      <c r="AL998" t="str">
        <f t="shared" si="371"/>
        <v/>
      </c>
      <c r="AM998" t="str">
        <f t="shared" si="372"/>
        <v/>
      </c>
      <c r="AN998" t="str">
        <f t="shared" si="373"/>
        <v/>
      </c>
      <c r="AO998" t="str">
        <f t="shared" si="374"/>
        <v/>
      </c>
      <c r="AP998">
        <f t="shared" si="375"/>
        <v>1</v>
      </c>
      <c r="AQ998" t="str">
        <f>IF(SAISIE!$F1003="","",SAISIE!$Y1003)</f>
        <v/>
      </c>
      <c r="AR998" t="str">
        <f>IF(OR(SAISIE!$U$4="",SAISIE!$W$4=""),"",IF(AND($A998=SAISIE!$U$4,$B998=SAISIE!$W$4,$C998="S1"),COUNTIFS($A$2:$A998,SAISIE!$U$4,$B$2:$B998,SAISIE!$W$4,$C$2:$C998,"S1"),""))</f>
        <v/>
      </c>
      <c r="AS998" t="str">
        <f t="shared" si="376"/>
        <v/>
      </c>
      <c r="AT998" t="str">
        <f t="shared" si="377"/>
        <v/>
      </c>
      <c r="AU998" t="str">
        <f t="shared" si="378"/>
        <v/>
      </c>
      <c r="AV998">
        <f>N(AV997)+IF(AND($AB998&lt;&gt;"",OR('PROFIL ELEVE'!$K$4="(Tous)",$AF998='PROFIL ELEVE'!$K$4)),1,0)</f>
        <v>0</v>
      </c>
      <c r="AW998">
        <f>N(AW997)+IF(AND($AB998&lt;&gt;"",OR('SUIVI LONGITUDINAL'!$Q$4="(Tous)",$AF998='SUIVI LONGITUDINAL'!$Q$4)),1,0)</f>
        <v>0</v>
      </c>
      <c r="AX998">
        <f t="shared" si="379"/>
        <v>0</v>
      </c>
      <c r="AY998">
        <f t="shared" si="380"/>
        <v>0</v>
      </c>
      <c r="AZ998">
        <f t="shared" si="381"/>
        <v>0</v>
      </c>
      <c r="BA998" t="str">
        <f t="shared" si="382"/>
        <v/>
      </c>
      <c r="BB998" t="str">
        <f t="shared" si="383"/>
        <v/>
      </c>
    </row>
    <row r="999" spans="1:54" ht="14.25" customHeight="1" x14ac:dyDescent="0.3">
      <c r="A999" t="str">
        <f>IF(SAISIE!$F1004="","",SAISIE!$B1004)</f>
        <v/>
      </c>
      <c r="B999" t="str">
        <f>IF(SAISIE!$F1004="","",SAISIE!$C1004)</f>
        <v/>
      </c>
      <c r="C999" t="str">
        <f>IF(SAISIE!$F1004="","",SAISIE!$D1004)</f>
        <v/>
      </c>
      <c r="D999" t="str">
        <f>IF(SAISIE!$E1004="","",SAISIE!$E1004)</f>
        <v/>
      </c>
      <c r="E999" t="str">
        <f>IF(SAISIE!$F1004="","",SAISIE!$F1004)</f>
        <v/>
      </c>
      <c r="F999" t="str">
        <f>IF(SAISIE!$G1004="","",SAISIE!$G1004)</f>
        <v/>
      </c>
      <c r="G999" t="str">
        <f>IF(SAISIE!$H1004="","",SAISIE!$H1004)</f>
        <v/>
      </c>
      <c r="H999" t="str">
        <f>IF(SAISIE!$I1004="","",SAISIE!$I1004)</f>
        <v/>
      </c>
      <c r="I999" t="str">
        <f>IF(SAISIE!$J1004="","",SAISIE!$J1004)</f>
        <v/>
      </c>
      <c r="J999" t="str">
        <f>IF(SAISIE!$K1004="","",SAISIE!$K1004)</f>
        <v/>
      </c>
      <c r="K999" t="str">
        <f>IF(SAISIE!$L1004="","",SAISIE!$L1004)</f>
        <v/>
      </c>
      <c r="L999" t="str">
        <f>IF(SAISIE!$M1004="","",SAISIE!$M1004)</f>
        <v/>
      </c>
      <c r="M999" t="str">
        <f>IF(SAISIE!$N1004="","",SAISIE!$N1004)</f>
        <v/>
      </c>
      <c r="N999" t="str">
        <f>IF(SAISIE!$O1004="","",SAISIE!$O1004)</f>
        <v/>
      </c>
      <c r="O999" t="str">
        <f>IF(SAISIE!$P1004="","",SAISIE!$P1004)</f>
        <v/>
      </c>
      <c r="P999" t="str">
        <f>IF(SAISIE!$Q1004="","",SAISIE!$Q1004)</f>
        <v/>
      </c>
      <c r="Q999" t="str">
        <f>IF($I999="","",IF($I999&gt;PARAMETRES!$G$29,5,IF($I999&gt;PARAMETRES!$F$29,4,IF($I999&gt;PARAMETRES!$E$29,3,IF($I999&gt;PARAMETRES!$D$29,2,1)))))</f>
        <v/>
      </c>
      <c r="R999" t="str">
        <f>IF($J999="","",IF($J999&gt;PARAMETRES!$G$30,5,IF($J999&gt;PARAMETRES!$F$30,4,IF($J999&gt;PARAMETRES!$E$30,3,IF($J999&gt;PARAMETRES!$D$30,2,1)))))</f>
        <v/>
      </c>
      <c r="S999" t="str">
        <f>IF($K999="","",IF($Z999=2,IF($K999&gt;PARAMETRES!$G$31,5,IF($K999&gt;PARAMETRES!$F$31,4,IF($K999&gt;PARAMETRES!$E$31,3,IF($K999&gt;PARAMETRES!$D$31,2,1)))),IF($K999&gt;PARAMETRES!$G$32,5,IF($K999&gt;PARAMETRES!$F$32,4,IF($K999&gt;PARAMETRES!$E$32,3,IF($K999&gt;PARAMETRES!$D$32,2,1))))))</f>
        <v/>
      </c>
      <c r="T999" t="str">
        <f>IF($L999="","",IF($L999&gt;PARAMETRES!$G$33,5,IF($L999&gt;PARAMETRES!$F$33,4,IF($L999&gt;PARAMETRES!$E$33,3,IF($L999&gt;PARAMETRES!$D$33,2,1)))))</f>
        <v/>
      </c>
      <c r="U999" t="str">
        <f>IF($M999="","",IF($M999&gt;PARAMETRES!$G$34,5,IF($M999&gt;PARAMETRES!$F$34,4,IF($M999&gt;PARAMETRES!$E$34,3,IF($M999&gt;PARAMETRES!$D$34,2,1)))))</f>
        <v/>
      </c>
      <c r="V999" t="str">
        <f>IF($N999="","",IF($N999&gt;PARAMETRES!$G$35,5,IF($N999&gt;PARAMETRES!$F$35,4,IF($N999&gt;PARAMETRES!$E$35,3,IF($N999&gt;PARAMETRES!$D$35,2,1)))))</f>
        <v/>
      </c>
      <c r="W999" t="str">
        <f>IF($O999="","",IF($O999&gt;PARAMETRES!$G$36,5,IF($O999&gt;PARAMETRES!$F$36,4,IF($O999&gt;PARAMETRES!$E$36,3,IF($O999&gt;PARAMETRES!$D$36,2,1)))))</f>
        <v/>
      </c>
      <c r="X999" t="str">
        <f>IF($P999="","",IF($P999&gt;PARAMETRES!$G$37,5,IF($P999&gt;PARAMETRES!$F$37,4,IF($P999&gt;PARAMETRES!$E$37,3,IF($P999&gt;PARAMETRES!$D$37,2,1)))))</f>
        <v/>
      </c>
      <c r="Y999" t="str">
        <f t="shared" si="360"/>
        <v/>
      </c>
      <c r="Z999" t="str">
        <f>IFERROR(VLOOKUP($B999,TABLE_CYCLE,2,0),"")</f>
        <v/>
      </c>
      <c r="AA999" t="str">
        <f t="shared" si="361"/>
        <v/>
      </c>
      <c r="AB999" t="str">
        <f>IF($D999="","",IF(COUNTIF($D$2:$D999,$D999)=1,$D999,""))</f>
        <v/>
      </c>
      <c r="AC999">
        <f t="shared" si="362"/>
        <v>0</v>
      </c>
      <c r="AD999" t="str">
        <f t="shared" si="363"/>
        <v>|0</v>
      </c>
      <c r="AE999" t="str">
        <f t="shared" si="364"/>
        <v/>
      </c>
      <c r="AF999" t="str">
        <f t="shared" si="365"/>
        <v/>
      </c>
      <c r="AG999" t="str">
        <f t="shared" si="366"/>
        <v/>
      </c>
      <c r="AH999" t="str">
        <f t="shared" si="367"/>
        <v/>
      </c>
      <c r="AI999" t="str">
        <f t="shared" si="368"/>
        <v/>
      </c>
      <c r="AJ999" t="str">
        <f t="shared" si="369"/>
        <v/>
      </c>
      <c r="AK999" t="str">
        <f t="shared" si="370"/>
        <v/>
      </c>
      <c r="AL999" t="str">
        <f t="shared" si="371"/>
        <v/>
      </c>
      <c r="AM999" t="str">
        <f t="shared" si="372"/>
        <v/>
      </c>
      <c r="AN999" t="str">
        <f t="shared" si="373"/>
        <v/>
      </c>
      <c r="AO999" t="str">
        <f t="shared" si="374"/>
        <v/>
      </c>
      <c r="AP999">
        <f t="shared" si="375"/>
        <v>1</v>
      </c>
      <c r="AQ999" t="str">
        <f>IF(SAISIE!$F1004="","",SAISIE!$Y1004)</f>
        <v/>
      </c>
      <c r="AR999" t="str">
        <f>IF(OR(SAISIE!$U$4="",SAISIE!$W$4=""),"",IF(AND($A999=SAISIE!$U$4,$B999=SAISIE!$W$4,$C999="S1"),COUNTIFS($A$2:$A999,SAISIE!$U$4,$B$2:$B999,SAISIE!$W$4,$C$2:$C999,"S1"),""))</f>
        <v/>
      </c>
      <c r="AS999" t="str">
        <f t="shared" si="376"/>
        <v/>
      </c>
      <c r="AT999" t="str">
        <f t="shared" si="377"/>
        <v/>
      </c>
      <c r="AU999" t="str">
        <f t="shared" si="378"/>
        <v/>
      </c>
      <c r="AV999">
        <f>N(AV998)+IF(AND($AB999&lt;&gt;"",OR('PROFIL ELEVE'!$K$4="(Tous)",$AF999='PROFIL ELEVE'!$K$4)),1,0)</f>
        <v>0</v>
      </c>
      <c r="AW999">
        <f>N(AW998)+IF(AND($AB999&lt;&gt;"",OR('SUIVI LONGITUDINAL'!$Q$4="(Tous)",$AF999='SUIVI LONGITUDINAL'!$Q$4)),1,0)</f>
        <v>0</v>
      </c>
      <c r="AX999">
        <f t="shared" si="379"/>
        <v>0</v>
      </c>
      <c r="AY999">
        <f t="shared" si="380"/>
        <v>0</v>
      </c>
      <c r="AZ999">
        <f t="shared" si="381"/>
        <v>0</v>
      </c>
      <c r="BA999" t="str">
        <f t="shared" si="382"/>
        <v/>
      </c>
      <c r="BB999" t="str">
        <f t="shared" si="383"/>
        <v/>
      </c>
    </row>
    <row r="1000" spans="1:54" ht="14.25" customHeight="1" x14ac:dyDescent="0.3">
      <c r="A1000" t="str">
        <f>IF(SAISIE!$F1005="","",SAISIE!$B1005)</f>
        <v/>
      </c>
      <c r="B1000" t="str">
        <f>IF(SAISIE!$F1005="","",SAISIE!$C1005)</f>
        <v/>
      </c>
      <c r="C1000" t="str">
        <f>IF(SAISIE!$F1005="","",SAISIE!$D1005)</f>
        <v/>
      </c>
      <c r="D1000" t="str">
        <f>IF(SAISIE!$E1005="","",SAISIE!$E1005)</f>
        <v/>
      </c>
      <c r="E1000" t="str">
        <f>IF(SAISIE!$F1005="","",SAISIE!$F1005)</f>
        <v/>
      </c>
      <c r="F1000" t="str">
        <f>IF(SAISIE!$G1005="","",SAISIE!$G1005)</f>
        <v/>
      </c>
      <c r="G1000" t="str">
        <f>IF(SAISIE!$H1005="","",SAISIE!$H1005)</f>
        <v/>
      </c>
      <c r="H1000" t="str">
        <f>IF(SAISIE!$I1005="","",SAISIE!$I1005)</f>
        <v/>
      </c>
      <c r="I1000" t="str">
        <f>IF(SAISIE!$J1005="","",SAISIE!$J1005)</f>
        <v/>
      </c>
      <c r="J1000" t="str">
        <f>IF(SAISIE!$K1005="","",SAISIE!$K1005)</f>
        <v/>
      </c>
      <c r="K1000" t="str">
        <f>IF(SAISIE!$L1005="","",SAISIE!$L1005)</f>
        <v/>
      </c>
      <c r="L1000" t="str">
        <f>IF(SAISIE!$M1005="","",SAISIE!$M1005)</f>
        <v/>
      </c>
      <c r="M1000" t="str">
        <f>IF(SAISIE!$N1005="","",SAISIE!$N1005)</f>
        <v/>
      </c>
      <c r="N1000" t="str">
        <f>IF(SAISIE!$O1005="","",SAISIE!$O1005)</f>
        <v/>
      </c>
      <c r="O1000" t="str">
        <f>IF(SAISIE!$P1005="","",SAISIE!$P1005)</f>
        <v/>
      </c>
      <c r="P1000" t="str">
        <f>IF(SAISIE!$Q1005="","",SAISIE!$Q1005)</f>
        <v/>
      </c>
      <c r="Q1000" t="str">
        <f>IF($I1000="","",IF($I1000&gt;PARAMETRES!$G$29,5,IF($I1000&gt;PARAMETRES!$F$29,4,IF($I1000&gt;PARAMETRES!$E$29,3,IF($I1000&gt;PARAMETRES!$D$29,2,1)))))</f>
        <v/>
      </c>
      <c r="R1000" t="str">
        <f>IF($J1000="","",IF($J1000&gt;PARAMETRES!$G$30,5,IF($J1000&gt;PARAMETRES!$F$30,4,IF($J1000&gt;PARAMETRES!$E$30,3,IF($J1000&gt;PARAMETRES!$D$30,2,1)))))</f>
        <v/>
      </c>
      <c r="S1000" t="str">
        <f>IF($K1000="","",IF($Z1000=2,IF($K1000&gt;PARAMETRES!$G$31,5,IF($K1000&gt;PARAMETRES!$F$31,4,IF($K1000&gt;PARAMETRES!$E$31,3,IF($K1000&gt;PARAMETRES!$D$31,2,1)))),IF($K1000&gt;PARAMETRES!$G$32,5,IF($K1000&gt;PARAMETRES!$F$32,4,IF($K1000&gt;PARAMETRES!$E$32,3,IF($K1000&gt;PARAMETRES!$D$32,2,1))))))</f>
        <v/>
      </c>
      <c r="T1000" t="str">
        <f>IF($L1000="","",IF($L1000&gt;PARAMETRES!$G$33,5,IF($L1000&gt;PARAMETRES!$F$33,4,IF($L1000&gt;PARAMETRES!$E$33,3,IF($L1000&gt;PARAMETRES!$D$33,2,1)))))</f>
        <v/>
      </c>
      <c r="U1000" t="str">
        <f>IF($M1000="","",IF($M1000&gt;PARAMETRES!$G$34,5,IF($M1000&gt;PARAMETRES!$F$34,4,IF($M1000&gt;PARAMETRES!$E$34,3,IF($M1000&gt;PARAMETRES!$D$34,2,1)))))</f>
        <v/>
      </c>
      <c r="V1000" t="str">
        <f>IF($N1000="","",IF($N1000&gt;PARAMETRES!$G$35,5,IF($N1000&gt;PARAMETRES!$F$35,4,IF($N1000&gt;PARAMETRES!$E$35,3,IF($N1000&gt;PARAMETRES!$D$35,2,1)))))</f>
        <v/>
      </c>
      <c r="W1000" t="str">
        <f>IF($O1000="","",IF($O1000&gt;PARAMETRES!$G$36,5,IF($O1000&gt;PARAMETRES!$F$36,4,IF($O1000&gt;PARAMETRES!$E$36,3,IF($O1000&gt;PARAMETRES!$D$36,2,1)))))</f>
        <v/>
      </c>
      <c r="X1000" t="str">
        <f>IF($P1000="","",IF($P1000&gt;PARAMETRES!$G$37,5,IF($P1000&gt;PARAMETRES!$F$37,4,IF($P1000&gt;PARAMETRES!$E$37,3,IF($P1000&gt;PARAMETRES!$D$37,2,1)))))</f>
        <v/>
      </c>
      <c r="Y1000" t="str">
        <f t="shared" si="360"/>
        <v/>
      </c>
      <c r="Z1000" t="str">
        <f>IFERROR(VLOOKUP($B1000,TABLE_CYCLE,2,0),"")</f>
        <v/>
      </c>
      <c r="AA1000" t="str">
        <f t="shared" si="361"/>
        <v/>
      </c>
      <c r="AB1000" t="str">
        <f>IF($D1000="","",IF(COUNTIF($D$2:$D1000,$D1000)=1,$D1000,""))</f>
        <v/>
      </c>
      <c r="AC1000">
        <f t="shared" si="362"/>
        <v>0</v>
      </c>
      <c r="AD1000" t="str">
        <f t="shared" si="363"/>
        <v>|0</v>
      </c>
      <c r="AE1000" t="str">
        <f t="shared" si="364"/>
        <v/>
      </c>
      <c r="AF1000" t="str">
        <f t="shared" si="365"/>
        <v/>
      </c>
      <c r="AG1000" t="str">
        <f t="shared" si="366"/>
        <v/>
      </c>
      <c r="AH1000" t="str">
        <f t="shared" si="367"/>
        <v/>
      </c>
      <c r="AI1000" t="str">
        <f t="shared" si="368"/>
        <v/>
      </c>
      <c r="AJ1000" t="str">
        <f t="shared" si="369"/>
        <v/>
      </c>
      <c r="AK1000" t="str">
        <f t="shared" si="370"/>
        <v/>
      </c>
      <c r="AL1000" t="str">
        <f t="shared" si="371"/>
        <v/>
      </c>
      <c r="AM1000" t="str">
        <f t="shared" si="372"/>
        <v/>
      </c>
      <c r="AN1000" t="str">
        <f t="shared" si="373"/>
        <v/>
      </c>
      <c r="AO1000" t="str">
        <f t="shared" si="374"/>
        <v/>
      </c>
      <c r="AP1000">
        <f t="shared" si="375"/>
        <v>1</v>
      </c>
      <c r="AQ1000" t="str">
        <f>IF(SAISIE!$F1005="","",SAISIE!$Y1005)</f>
        <v/>
      </c>
      <c r="AR1000" t="str">
        <f>IF(OR(SAISIE!$U$4="",SAISIE!$W$4=""),"",IF(AND($A1000=SAISIE!$U$4,$B1000=SAISIE!$W$4,$C1000="S1"),COUNTIFS($A$2:$A1000,SAISIE!$U$4,$B$2:$B1000,SAISIE!$W$4,$C$2:$C1000,"S1"),""))</f>
        <v/>
      </c>
      <c r="AS1000" t="str">
        <f t="shared" si="376"/>
        <v/>
      </c>
      <c r="AT1000" t="str">
        <f t="shared" si="377"/>
        <v/>
      </c>
      <c r="AU1000" t="str">
        <f t="shared" si="378"/>
        <v/>
      </c>
      <c r="AV1000">
        <f>N(AV999)+IF(AND($AB1000&lt;&gt;"",OR('PROFIL ELEVE'!$K$4="(Tous)",$AF1000='PROFIL ELEVE'!$K$4)),1,0)</f>
        <v>0</v>
      </c>
      <c r="AW1000">
        <f>N(AW999)+IF(AND($AB1000&lt;&gt;"",OR('SUIVI LONGITUDINAL'!$Q$4="(Tous)",$AF1000='SUIVI LONGITUDINAL'!$Q$4)),1,0)</f>
        <v>0</v>
      </c>
      <c r="AX1000">
        <f t="shared" si="379"/>
        <v>0</v>
      </c>
      <c r="AY1000">
        <f t="shared" si="380"/>
        <v>0</v>
      </c>
      <c r="AZ1000">
        <f t="shared" si="381"/>
        <v>0</v>
      </c>
      <c r="BA1000" t="str">
        <f t="shared" si="382"/>
        <v/>
      </c>
      <c r="BB1000" t="str">
        <f t="shared" si="383"/>
        <v/>
      </c>
    </row>
    <row r="1001" spans="1:54" ht="14.25" customHeight="1" x14ac:dyDescent="0.3">
      <c r="A1001" t="str">
        <f>IF(SAISIE!$F1006="","",SAISIE!$B1006)</f>
        <v/>
      </c>
      <c r="B1001" t="str">
        <f>IF(SAISIE!$F1006="","",SAISIE!$C1006)</f>
        <v/>
      </c>
      <c r="C1001" t="str">
        <f>IF(SAISIE!$F1006="","",SAISIE!$D1006)</f>
        <v/>
      </c>
      <c r="D1001" t="str">
        <f>IF(SAISIE!$E1006="","",SAISIE!$E1006)</f>
        <v/>
      </c>
      <c r="E1001" t="str">
        <f>IF(SAISIE!$F1006="","",SAISIE!$F1006)</f>
        <v/>
      </c>
      <c r="F1001" t="str">
        <f>IF(SAISIE!$G1006="","",SAISIE!$G1006)</f>
        <v/>
      </c>
      <c r="G1001" t="str">
        <f>IF(SAISIE!$H1006="","",SAISIE!$H1006)</f>
        <v/>
      </c>
      <c r="H1001" t="str">
        <f>IF(SAISIE!$I1006="","",SAISIE!$I1006)</f>
        <v/>
      </c>
      <c r="I1001" t="str">
        <f>IF(SAISIE!$J1006="","",SAISIE!$J1006)</f>
        <v/>
      </c>
      <c r="J1001" t="str">
        <f>IF(SAISIE!$K1006="","",SAISIE!$K1006)</f>
        <v/>
      </c>
      <c r="K1001" t="str">
        <f>IF(SAISIE!$L1006="","",SAISIE!$L1006)</f>
        <v/>
      </c>
      <c r="L1001" t="str">
        <f>IF(SAISIE!$M1006="","",SAISIE!$M1006)</f>
        <v/>
      </c>
      <c r="M1001" t="str">
        <f>IF(SAISIE!$N1006="","",SAISIE!$N1006)</f>
        <v/>
      </c>
      <c r="N1001" t="str">
        <f>IF(SAISIE!$O1006="","",SAISIE!$O1006)</f>
        <v/>
      </c>
      <c r="O1001" t="str">
        <f>IF(SAISIE!$P1006="","",SAISIE!$P1006)</f>
        <v/>
      </c>
      <c r="P1001" t="str">
        <f>IF(SAISIE!$Q1006="","",SAISIE!$Q1006)</f>
        <v/>
      </c>
      <c r="Q1001" t="str">
        <f>IF($I1001="","",IF($I1001&gt;PARAMETRES!$G$29,5,IF($I1001&gt;PARAMETRES!$F$29,4,IF($I1001&gt;PARAMETRES!$E$29,3,IF($I1001&gt;PARAMETRES!$D$29,2,1)))))</f>
        <v/>
      </c>
      <c r="R1001" t="str">
        <f>IF($J1001="","",IF($J1001&gt;PARAMETRES!$G$30,5,IF($J1001&gt;PARAMETRES!$F$30,4,IF($J1001&gt;PARAMETRES!$E$30,3,IF($J1001&gt;PARAMETRES!$D$30,2,1)))))</f>
        <v/>
      </c>
      <c r="S1001" t="str">
        <f>IF($K1001="","",IF($Z1001=2,IF($K1001&gt;PARAMETRES!$G$31,5,IF($K1001&gt;PARAMETRES!$F$31,4,IF($K1001&gt;PARAMETRES!$E$31,3,IF($K1001&gt;PARAMETRES!$D$31,2,1)))),IF($K1001&gt;PARAMETRES!$G$32,5,IF($K1001&gt;PARAMETRES!$F$32,4,IF($K1001&gt;PARAMETRES!$E$32,3,IF($K1001&gt;PARAMETRES!$D$32,2,1))))))</f>
        <v/>
      </c>
      <c r="T1001" t="str">
        <f>IF($L1001="","",IF($L1001&gt;PARAMETRES!$G$33,5,IF($L1001&gt;PARAMETRES!$F$33,4,IF($L1001&gt;PARAMETRES!$E$33,3,IF($L1001&gt;PARAMETRES!$D$33,2,1)))))</f>
        <v/>
      </c>
      <c r="U1001" t="str">
        <f>IF($M1001="","",IF($M1001&gt;PARAMETRES!$G$34,5,IF($M1001&gt;PARAMETRES!$F$34,4,IF($M1001&gt;PARAMETRES!$E$34,3,IF($M1001&gt;PARAMETRES!$D$34,2,1)))))</f>
        <v/>
      </c>
      <c r="V1001" t="str">
        <f>IF($N1001="","",IF($N1001&gt;PARAMETRES!$G$35,5,IF($N1001&gt;PARAMETRES!$F$35,4,IF($N1001&gt;PARAMETRES!$E$35,3,IF($N1001&gt;PARAMETRES!$D$35,2,1)))))</f>
        <v/>
      </c>
      <c r="W1001" t="str">
        <f>IF($O1001="","",IF($O1001&gt;PARAMETRES!$G$36,5,IF($O1001&gt;PARAMETRES!$F$36,4,IF($O1001&gt;PARAMETRES!$E$36,3,IF($O1001&gt;PARAMETRES!$D$36,2,1)))))</f>
        <v/>
      </c>
      <c r="X1001" t="str">
        <f>IF($P1001="","",IF($P1001&gt;PARAMETRES!$G$37,5,IF($P1001&gt;PARAMETRES!$F$37,4,IF($P1001&gt;PARAMETRES!$E$37,3,IF($P1001&gt;PARAMETRES!$D$37,2,1)))))</f>
        <v/>
      </c>
      <c r="Y1001" t="str">
        <f t="shared" si="360"/>
        <v/>
      </c>
      <c r="Z1001" t="str">
        <f>IFERROR(VLOOKUP($B1001,TABLE_CYCLE,2,0),"")</f>
        <v/>
      </c>
      <c r="AA1001" t="str">
        <f t="shared" si="361"/>
        <v/>
      </c>
      <c r="AB1001" t="str">
        <f>IF($D1001="","",IF(COUNTIF($D$2:$D1001,$D1001)=1,$D1001,""))</f>
        <v/>
      </c>
      <c r="AC1001">
        <f t="shared" si="362"/>
        <v>0</v>
      </c>
      <c r="AD1001" t="str">
        <f t="shared" si="363"/>
        <v>|0</v>
      </c>
      <c r="AE1001" t="str">
        <f t="shared" si="364"/>
        <v/>
      </c>
      <c r="AF1001" t="str">
        <f t="shared" si="365"/>
        <v/>
      </c>
      <c r="AG1001" t="str">
        <f t="shared" si="366"/>
        <v/>
      </c>
      <c r="AH1001" t="str">
        <f t="shared" si="367"/>
        <v/>
      </c>
      <c r="AI1001" t="str">
        <f t="shared" si="368"/>
        <v/>
      </c>
      <c r="AJ1001" t="str">
        <f t="shared" si="369"/>
        <v/>
      </c>
      <c r="AK1001" t="str">
        <f t="shared" si="370"/>
        <v/>
      </c>
      <c r="AL1001" t="str">
        <f t="shared" si="371"/>
        <v/>
      </c>
      <c r="AM1001" t="str">
        <f t="shared" si="372"/>
        <v/>
      </c>
      <c r="AN1001" t="str">
        <f t="shared" si="373"/>
        <v/>
      </c>
      <c r="AO1001" t="str">
        <f t="shared" si="374"/>
        <v/>
      </c>
      <c r="AP1001">
        <f t="shared" si="375"/>
        <v>1</v>
      </c>
      <c r="AQ1001" t="str">
        <f>IF(SAISIE!$F1006="","",SAISIE!$Y1006)</f>
        <v/>
      </c>
      <c r="AR1001" t="str">
        <f>IF(OR(SAISIE!$U$4="",SAISIE!$W$4=""),"",IF(AND($A1001=SAISIE!$U$4,$B1001=SAISIE!$W$4,$C1001="S1"),COUNTIFS($A$2:$A1001,SAISIE!$U$4,$B$2:$B1001,SAISIE!$W$4,$C$2:$C1001,"S1"),""))</f>
        <v/>
      </c>
      <c r="AS1001" t="str">
        <f t="shared" si="376"/>
        <v/>
      </c>
      <c r="AT1001" t="str">
        <f t="shared" si="377"/>
        <v/>
      </c>
      <c r="AU1001" t="str">
        <f t="shared" si="378"/>
        <v/>
      </c>
      <c r="AV1001">
        <f>N(AV1000)+IF(AND($AB1001&lt;&gt;"",OR('PROFIL ELEVE'!$K$4="(Tous)",$AF1001='PROFIL ELEVE'!$K$4)),1,0)</f>
        <v>0</v>
      </c>
      <c r="AW1001">
        <f>N(AW1000)+IF(AND($AB1001&lt;&gt;"",OR('SUIVI LONGITUDINAL'!$Q$4="(Tous)",$AF1001='SUIVI LONGITUDINAL'!$Q$4)),1,0)</f>
        <v>0</v>
      </c>
      <c r="AX1001">
        <f t="shared" si="379"/>
        <v>0</v>
      </c>
      <c r="AY1001">
        <f t="shared" si="380"/>
        <v>0</v>
      </c>
      <c r="AZ1001">
        <f t="shared" si="381"/>
        <v>0</v>
      </c>
      <c r="BA1001" t="str">
        <f t="shared" si="382"/>
        <v/>
      </c>
      <c r="BB1001" t="str">
        <f t="shared" si="383"/>
        <v/>
      </c>
    </row>
    <row r="1002" spans="1:54" ht="14.25" customHeight="1" x14ac:dyDescent="0.3">
      <c r="A1002" t="str">
        <f>IF(SAISIE!$F1007="","",SAISIE!$B1007)</f>
        <v/>
      </c>
      <c r="B1002" t="str">
        <f>IF(SAISIE!$F1007="","",SAISIE!$C1007)</f>
        <v/>
      </c>
      <c r="C1002" t="str">
        <f>IF(SAISIE!$F1007="","",SAISIE!$D1007)</f>
        <v/>
      </c>
      <c r="D1002" t="str">
        <f>IF(SAISIE!$E1007="","",SAISIE!$E1007)</f>
        <v/>
      </c>
      <c r="E1002" t="str">
        <f>IF(SAISIE!$F1007="","",SAISIE!$F1007)</f>
        <v/>
      </c>
      <c r="F1002" t="str">
        <f>IF(SAISIE!$G1007="","",SAISIE!$G1007)</f>
        <v/>
      </c>
      <c r="G1002" t="str">
        <f>IF(SAISIE!$H1007="","",SAISIE!$H1007)</f>
        <v/>
      </c>
      <c r="H1002" t="str">
        <f>IF(SAISIE!$I1007="","",SAISIE!$I1007)</f>
        <v/>
      </c>
      <c r="I1002" t="str">
        <f>IF(SAISIE!$J1007="","",SAISIE!$J1007)</f>
        <v/>
      </c>
      <c r="J1002" t="str">
        <f>IF(SAISIE!$K1007="","",SAISIE!$K1007)</f>
        <v/>
      </c>
      <c r="K1002" t="str">
        <f>IF(SAISIE!$L1007="","",SAISIE!$L1007)</f>
        <v/>
      </c>
      <c r="L1002" t="str">
        <f>IF(SAISIE!$M1007="","",SAISIE!$M1007)</f>
        <v/>
      </c>
      <c r="M1002" t="str">
        <f>IF(SAISIE!$N1007="","",SAISIE!$N1007)</f>
        <v/>
      </c>
      <c r="N1002" t="str">
        <f>IF(SAISIE!$O1007="","",SAISIE!$O1007)</f>
        <v/>
      </c>
      <c r="O1002" t="str">
        <f>IF(SAISIE!$P1007="","",SAISIE!$P1007)</f>
        <v/>
      </c>
      <c r="P1002" t="str">
        <f>IF(SAISIE!$Q1007="","",SAISIE!$Q1007)</f>
        <v/>
      </c>
      <c r="Q1002" t="str">
        <f>IF($I1002="","",IF($I1002&gt;PARAMETRES!$G$29,5,IF($I1002&gt;PARAMETRES!$F$29,4,IF($I1002&gt;PARAMETRES!$E$29,3,IF($I1002&gt;PARAMETRES!$D$29,2,1)))))</f>
        <v/>
      </c>
      <c r="R1002" t="str">
        <f>IF($J1002="","",IF($J1002&gt;PARAMETRES!$G$30,5,IF($J1002&gt;PARAMETRES!$F$30,4,IF($J1002&gt;PARAMETRES!$E$30,3,IF($J1002&gt;PARAMETRES!$D$30,2,1)))))</f>
        <v/>
      </c>
      <c r="S1002" t="str">
        <f>IF($K1002="","",IF($Z1002=2,IF($K1002&gt;PARAMETRES!$G$31,5,IF($K1002&gt;PARAMETRES!$F$31,4,IF($K1002&gt;PARAMETRES!$E$31,3,IF($K1002&gt;PARAMETRES!$D$31,2,1)))),IF($K1002&gt;PARAMETRES!$G$32,5,IF($K1002&gt;PARAMETRES!$F$32,4,IF($K1002&gt;PARAMETRES!$E$32,3,IF($K1002&gt;PARAMETRES!$D$32,2,1))))))</f>
        <v/>
      </c>
      <c r="T1002" t="str">
        <f>IF($L1002="","",IF($L1002&gt;PARAMETRES!$G$33,5,IF($L1002&gt;PARAMETRES!$F$33,4,IF($L1002&gt;PARAMETRES!$E$33,3,IF($L1002&gt;PARAMETRES!$D$33,2,1)))))</f>
        <v/>
      </c>
      <c r="U1002" t="str">
        <f>IF($M1002="","",IF($M1002&gt;PARAMETRES!$G$34,5,IF($M1002&gt;PARAMETRES!$F$34,4,IF($M1002&gt;PARAMETRES!$E$34,3,IF($M1002&gt;PARAMETRES!$D$34,2,1)))))</f>
        <v/>
      </c>
      <c r="V1002" t="str">
        <f>IF($N1002="","",IF($N1002&gt;PARAMETRES!$G$35,5,IF($N1002&gt;PARAMETRES!$F$35,4,IF($N1002&gt;PARAMETRES!$E$35,3,IF($N1002&gt;PARAMETRES!$D$35,2,1)))))</f>
        <v/>
      </c>
      <c r="W1002" t="str">
        <f>IF($O1002="","",IF($O1002&gt;PARAMETRES!$G$36,5,IF($O1002&gt;PARAMETRES!$F$36,4,IF($O1002&gt;PARAMETRES!$E$36,3,IF($O1002&gt;PARAMETRES!$D$36,2,1)))))</f>
        <v/>
      </c>
      <c r="X1002" t="str">
        <f>IF($P1002="","",IF($P1002&gt;PARAMETRES!$G$37,5,IF($P1002&gt;PARAMETRES!$F$37,4,IF($P1002&gt;PARAMETRES!$E$37,3,IF($P1002&gt;PARAMETRES!$D$37,2,1)))))</f>
        <v/>
      </c>
      <c r="Y1002" t="str">
        <f t="shared" si="360"/>
        <v/>
      </c>
      <c r="Z1002" t="str">
        <f>IFERROR(VLOOKUP($B1002,TABLE_CYCLE,2,0),"")</f>
        <v/>
      </c>
      <c r="AA1002" t="str">
        <f t="shared" si="361"/>
        <v/>
      </c>
      <c r="AB1002" t="str">
        <f>IF($D1002="","",IF(COUNTIF($D$2:$D1002,$D1002)=1,$D1002,""))</f>
        <v/>
      </c>
      <c r="AC1002">
        <f t="shared" si="362"/>
        <v>0</v>
      </c>
      <c r="AD1002" t="str">
        <f t="shared" si="363"/>
        <v>|0</v>
      </c>
      <c r="AE1002" t="str">
        <f t="shared" si="364"/>
        <v/>
      </c>
      <c r="AF1002" t="str">
        <f t="shared" si="365"/>
        <v/>
      </c>
      <c r="AG1002" t="str">
        <f t="shared" si="366"/>
        <v/>
      </c>
      <c r="AH1002" t="str">
        <f t="shared" si="367"/>
        <v/>
      </c>
      <c r="AI1002" t="str">
        <f t="shared" si="368"/>
        <v/>
      </c>
      <c r="AJ1002" t="str">
        <f t="shared" si="369"/>
        <v/>
      </c>
      <c r="AK1002" t="str">
        <f t="shared" si="370"/>
        <v/>
      </c>
      <c r="AL1002" t="str">
        <f t="shared" si="371"/>
        <v/>
      </c>
      <c r="AM1002" t="str">
        <f t="shared" si="372"/>
        <v/>
      </c>
      <c r="AN1002" t="str">
        <f t="shared" si="373"/>
        <v/>
      </c>
      <c r="AO1002" t="str">
        <f t="shared" si="374"/>
        <v/>
      </c>
      <c r="AP1002">
        <f t="shared" si="375"/>
        <v>1</v>
      </c>
      <c r="AQ1002" t="str">
        <f>IF(SAISIE!$F1007="","",SAISIE!$Y1007)</f>
        <v/>
      </c>
      <c r="AR1002" t="str">
        <f>IF(OR(SAISIE!$U$4="",SAISIE!$W$4=""),"",IF(AND($A1002=SAISIE!$U$4,$B1002=SAISIE!$W$4,$C1002="S1"),COUNTIFS($A$2:$A1002,SAISIE!$U$4,$B$2:$B1002,SAISIE!$W$4,$C$2:$C1002,"S1"),""))</f>
        <v/>
      </c>
      <c r="AS1002" t="str">
        <f t="shared" si="376"/>
        <v/>
      </c>
      <c r="AT1002" t="str">
        <f t="shared" si="377"/>
        <v/>
      </c>
      <c r="AU1002" t="str">
        <f t="shared" si="378"/>
        <v/>
      </c>
      <c r="AV1002">
        <f>N(AV1001)+IF(AND($AB1002&lt;&gt;"",OR('PROFIL ELEVE'!$K$4="(Tous)",$AF1002='PROFIL ELEVE'!$K$4)),1,0)</f>
        <v>0</v>
      </c>
      <c r="AW1002">
        <f>N(AW1001)+IF(AND($AB1002&lt;&gt;"",OR('SUIVI LONGITUDINAL'!$Q$4="(Tous)",$AF1002='SUIVI LONGITUDINAL'!$Q$4)),1,0)</f>
        <v>0</v>
      </c>
      <c r="AX1002">
        <f t="shared" si="379"/>
        <v>0</v>
      </c>
      <c r="AY1002">
        <f t="shared" si="380"/>
        <v>0</v>
      </c>
      <c r="AZ1002">
        <f t="shared" si="381"/>
        <v>0</v>
      </c>
      <c r="BA1002" t="str">
        <f t="shared" si="382"/>
        <v/>
      </c>
      <c r="BB1002" t="str">
        <f t="shared" si="383"/>
        <v/>
      </c>
    </row>
    <row r="1003" spans="1:54" ht="14.25" customHeight="1" x14ac:dyDescent="0.3">
      <c r="A1003" t="str">
        <f>IF(SAISIE!$F1008="","",SAISIE!$B1008)</f>
        <v/>
      </c>
      <c r="B1003" t="str">
        <f>IF(SAISIE!$F1008="","",SAISIE!$C1008)</f>
        <v/>
      </c>
      <c r="C1003" t="str">
        <f>IF(SAISIE!$F1008="","",SAISIE!$D1008)</f>
        <v/>
      </c>
      <c r="D1003" t="str">
        <f>IF(SAISIE!$E1008="","",SAISIE!$E1008)</f>
        <v/>
      </c>
      <c r="E1003" t="str">
        <f>IF(SAISIE!$F1008="","",SAISIE!$F1008)</f>
        <v/>
      </c>
      <c r="F1003" t="str">
        <f>IF(SAISIE!$G1008="","",SAISIE!$G1008)</f>
        <v/>
      </c>
      <c r="G1003" t="str">
        <f>IF(SAISIE!$H1008="","",SAISIE!$H1008)</f>
        <v/>
      </c>
      <c r="H1003" t="str">
        <f>IF(SAISIE!$I1008="","",SAISIE!$I1008)</f>
        <v/>
      </c>
      <c r="I1003" t="str">
        <f>IF(SAISIE!$J1008="","",SAISIE!$J1008)</f>
        <v/>
      </c>
      <c r="J1003" t="str">
        <f>IF(SAISIE!$K1008="","",SAISIE!$K1008)</f>
        <v/>
      </c>
      <c r="K1003" t="str">
        <f>IF(SAISIE!$L1008="","",SAISIE!$L1008)</f>
        <v/>
      </c>
      <c r="L1003" t="str">
        <f>IF(SAISIE!$M1008="","",SAISIE!$M1008)</f>
        <v/>
      </c>
      <c r="M1003" t="str">
        <f>IF(SAISIE!$N1008="","",SAISIE!$N1008)</f>
        <v/>
      </c>
      <c r="N1003" t="str">
        <f>IF(SAISIE!$O1008="","",SAISIE!$O1008)</f>
        <v/>
      </c>
      <c r="O1003" t="str">
        <f>IF(SAISIE!$P1008="","",SAISIE!$P1008)</f>
        <v/>
      </c>
      <c r="P1003" t="str">
        <f>IF(SAISIE!$Q1008="","",SAISIE!$Q1008)</f>
        <v/>
      </c>
      <c r="Q1003" t="str">
        <f>IF($I1003="","",IF($I1003&gt;PARAMETRES!$G$29,5,IF($I1003&gt;PARAMETRES!$F$29,4,IF($I1003&gt;PARAMETRES!$E$29,3,IF($I1003&gt;PARAMETRES!$D$29,2,1)))))</f>
        <v/>
      </c>
      <c r="R1003" t="str">
        <f>IF($J1003="","",IF($J1003&gt;PARAMETRES!$G$30,5,IF($J1003&gt;PARAMETRES!$F$30,4,IF($J1003&gt;PARAMETRES!$E$30,3,IF($J1003&gt;PARAMETRES!$D$30,2,1)))))</f>
        <v/>
      </c>
      <c r="S1003" t="str">
        <f>IF($K1003="","",IF($Z1003=2,IF($K1003&gt;PARAMETRES!$G$31,5,IF($K1003&gt;PARAMETRES!$F$31,4,IF($K1003&gt;PARAMETRES!$E$31,3,IF($K1003&gt;PARAMETRES!$D$31,2,1)))),IF($K1003&gt;PARAMETRES!$G$32,5,IF($K1003&gt;PARAMETRES!$F$32,4,IF($K1003&gt;PARAMETRES!$E$32,3,IF($K1003&gt;PARAMETRES!$D$32,2,1))))))</f>
        <v/>
      </c>
      <c r="T1003" t="str">
        <f>IF($L1003="","",IF($L1003&gt;PARAMETRES!$G$33,5,IF($L1003&gt;PARAMETRES!$F$33,4,IF($L1003&gt;PARAMETRES!$E$33,3,IF($L1003&gt;PARAMETRES!$D$33,2,1)))))</f>
        <v/>
      </c>
      <c r="U1003" t="str">
        <f>IF($M1003="","",IF($M1003&gt;PARAMETRES!$G$34,5,IF($M1003&gt;PARAMETRES!$F$34,4,IF($M1003&gt;PARAMETRES!$E$34,3,IF($M1003&gt;PARAMETRES!$D$34,2,1)))))</f>
        <v/>
      </c>
      <c r="V1003" t="str">
        <f>IF($N1003="","",IF($N1003&gt;PARAMETRES!$G$35,5,IF($N1003&gt;PARAMETRES!$F$35,4,IF($N1003&gt;PARAMETRES!$E$35,3,IF($N1003&gt;PARAMETRES!$D$35,2,1)))))</f>
        <v/>
      </c>
      <c r="W1003" t="str">
        <f>IF($O1003="","",IF($O1003&gt;PARAMETRES!$G$36,5,IF($O1003&gt;PARAMETRES!$F$36,4,IF($O1003&gt;PARAMETRES!$E$36,3,IF($O1003&gt;PARAMETRES!$D$36,2,1)))))</f>
        <v/>
      </c>
      <c r="X1003" t="str">
        <f>IF($P1003="","",IF($P1003&gt;PARAMETRES!$G$37,5,IF($P1003&gt;PARAMETRES!$F$37,4,IF($P1003&gt;PARAMETRES!$E$37,3,IF($P1003&gt;PARAMETRES!$D$37,2,1)))))</f>
        <v/>
      </c>
      <c r="Y1003" t="str">
        <f t="shared" si="360"/>
        <v/>
      </c>
      <c r="Z1003" t="str">
        <f>IFERROR(VLOOKUP($B1003,TABLE_CYCLE,2,0),"")</f>
        <v/>
      </c>
      <c r="AA1003" t="str">
        <f t="shared" si="361"/>
        <v/>
      </c>
      <c r="AB1003" t="str">
        <f>IF($D1003="","",IF(COUNTIF($D$2:$D1003,$D1003)=1,$D1003,""))</f>
        <v/>
      </c>
      <c r="AC1003">
        <f t="shared" si="362"/>
        <v>0</v>
      </c>
      <c r="AD1003" t="str">
        <f t="shared" si="363"/>
        <v>|0</v>
      </c>
      <c r="AE1003" t="str">
        <f t="shared" si="364"/>
        <v/>
      </c>
      <c r="AF1003" t="str">
        <f t="shared" si="365"/>
        <v/>
      </c>
      <c r="AG1003" t="str">
        <f t="shared" si="366"/>
        <v/>
      </c>
      <c r="AH1003" t="str">
        <f t="shared" si="367"/>
        <v/>
      </c>
      <c r="AI1003" t="str">
        <f t="shared" si="368"/>
        <v/>
      </c>
      <c r="AJ1003" t="str">
        <f t="shared" si="369"/>
        <v/>
      </c>
      <c r="AK1003" t="str">
        <f t="shared" si="370"/>
        <v/>
      </c>
      <c r="AL1003" t="str">
        <f t="shared" si="371"/>
        <v/>
      </c>
      <c r="AM1003" t="str">
        <f t="shared" si="372"/>
        <v/>
      </c>
      <c r="AN1003" t="str">
        <f t="shared" si="373"/>
        <v/>
      </c>
      <c r="AO1003" t="str">
        <f t="shared" si="374"/>
        <v/>
      </c>
      <c r="AP1003">
        <f t="shared" si="375"/>
        <v>1</v>
      </c>
      <c r="AQ1003" t="str">
        <f>IF(SAISIE!$F1008="","",SAISIE!$Y1008)</f>
        <v/>
      </c>
      <c r="AR1003" t="str">
        <f>IF(OR(SAISIE!$U$4="",SAISIE!$W$4=""),"",IF(AND($A1003=SAISIE!$U$4,$B1003=SAISIE!$W$4,$C1003="S1"),COUNTIFS($A$2:$A1003,SAISIE!$U$4,$B$2:$B1003,SAISIE!$W$4,$C$2:$C1003,"S1"),""))</f>
        <v/>
      </c>
      <c r="AS1003" t="str">
        <f t="shared" si="376"/>
        <v/>
      </c>
      <c r="AT1003" t="str">
        <f t="shared" si="377"/>
        <v/>
      </c>
      <c r="AU1003" t="str">
        <f t="shared" si="378"/>
        <v/>
      </c>
      <c r="AV1003">
        <f>N(AV1002)+IF(AND($AB1003&lt;&gt;"",OR('PROFIL ELEVE'!$K$4="(Tous)",$AF1003='PROFIL ELEVE'!$K$4)),1,0)</f>
        <v>0</v>
      </c>
      <c r="AW1003">
        <f>N(AW1002)+IF(AND($AB1003&lt;&gt;"",OR('SUIVI LONGITUDINAL'!$Q$4="(Tous)",$AF1003='SUIVI LONGITUDINAL'!$Q$4)),1,0)</f>
        <v>0</v>
      </c>
      <c r="AX1003">
        <f t="shared" si="379"/>
        <v>0</v>
      </c>
      <c r="AY1003">
        <f t="shared" si="380"/>
        <v>0</v>
      </c>
      <c r="AZ1003">
        <f t="shared" si="381"/>
        <v>0</v>
      </c>
      <c r="BA1003" t="str">
        <f t="shared" si="382"/>
        <v/>
      </c>
      <c r="BB1003" t="str">
        <f t="shared" si="383"/>
        <v/>
      </c>
    </row>
    <row r="1004" spans="1:54" ht="14.25" customHeight="1" x14ac:dyDescent="0.3">
      <c r="A1004" t="str">
        <f>IF(SAISIE!$F1009="","",SAISIE!$B1009)</f>
        <v/>
      </c>
      <c r="B1004" t="str">
        <f>IF(SAISIE!$F1009="","",SAISIE!$C1009)</f>
        <v/>
      </c>
      <c r="C1004" t="str">
        <f>IF(SAISIE!$F1009="","",SAISIE!$D1009)</f>
        <v/>
      </c>
      <c r="D1004" t="str">
        <f>IF(SAISIE!$E1009="","",SAISIE!$E1009)</f>
        <v/>
      </c>
      <c r="E1004" t="str">
        <f>IF(SAISIE!$F1009="","",SAISIE!$F1009)</f>
        <v/>
      </c>
      <c r="F1004" t="str">
        <f>IF(SAISIE!$G1009="","",SAISIE!$G1009)</f>
        <v/>
      </c>
      <c r="G1004" t="str">
        <f>IF(SAISIE!$H1009="","",SAISIE!$H1009)</f>
        <v/>
      </c>
      <c r="H1004" t="str">
        <f>IF(SAISIE!$I1009="","",SAISIE!$I1009)</f>
        <v/>
      </c>
      <c r="I1004" t="str">
        <f>IF(SAISIE!$J1009="","",SAISIE!$J1009)</f>
        <v/>
      </c>
      <c r="J1004" t="str">
        <f>IF(SAISIE!$K1009="","",SAISIE!$K1009)</f>
        <v/>
      </c>
      <c r="K1004" t="str">
        <f>IF(SAISIE!$L1009="","",SAISIE!$L1009)</f>
        <v/>
      </c>
      <c r="L1004" t="str">
        <f>IF(SAISIE!$M1009="","",SAISIE!$M1009)</f>
        <v/>
      </c>
      <c r="M1004" t="str">
        <f>IF(SAISIE!$N1009="","",SAISIE!$N1009)</f>
        <v/>
      </c>
      <c r="N1004" t="str">
        <f>IF(SAISIE!$O1009="","",SAISIE!$O1009)</f>
        <v/>
      </c>
      <c r="O1004" t="str">
        <f>IF(SAISIE!$P1009="","",SAISIE!$P1009)</f>
        <v/>
      </c>
      <c r="P1004" t="str">
        <f>IF(SAISIE!$Q1009="","",SAISIE!$Q1009)</f>
        <v/>
      </c>
      <c r="Q1004" t="str">
        <f>IF($I1004="","",IF($I1004&gt;PARAMETRES!$G$29,5,IF($I1004&gt;PARAMETRES!$F$29,4,IF($I1004&gt;PARAMETRES!$E$29,3,IF($I1004&gt;PARAMETRES!$D$29,2,1)))))</f>
        <v/>
      </c>
      <c r="R1004" t="str">
        <f>IF($J1004="","",IF($J1004&gt;PARAMETRES!$G$30,5,IF($J1004&gt;PARAMETRES!$F$30,4,IF($J1004&gt;PARAMETRES!$E$30,3,IF($J1004&gt;PARAMETRES!$D$30,2,1)))))</f>
        <v/>
      </c>
      <c r="S1004" t="str">
        <f>IF($K1004="","",IF($Z1004=2,IF($K1004&gt;PARAMETRES!$G$31,5,IF($K1004&gt;PARAMETRES!$F$31,4,IF($K1004&gt;PARAMETRES!$E$31,3,IF($K1004&gt;PARAMETRES!$D$31,2,1)))),IF($K1004&gt;PARAMETRES!$G$32,5,IF($K1004&gt;PARAMETRES!$F$32,4,IF($K1004&gt;PARAMETRES!$E$32,3,IF($K1004&gt;PARAMETRES!$D$32,2,1))))))</f>
        <v/>
      </c>
      <c r="T1004" t="str">
        <f>IF($L1004="","",IF($L1004&gt;PARAMETRES!$G$33,5,IF($L1004&gt;PARAMETRES!$F$33,4,IF($L1004&gt;PARAMETRES!$E$33,3,IF($L1004&gt;PARAMETRES!$D$33,2,1)))))</f>
        <v/>
      </c>
      <c r="U1004" t="str">
        <f>IF($M1004="","",IF($M1004&gt;PARAMETRES!$G$34,5,IF($M1004&gt;PARAMETRES!$F$34,4,IF($M1004&gt;PARAMETRES!$E$34,3,IF($M1004&gt;PARAMETRES!$D$34,2,1)))))</f>
        <v/>
      </c>
      <c r="V1004" t="str">
        <f>IF($N1004="","",IF($N1004&gt;PARAMETRES!$G$35,5,IF($N1004&gt;PARAMETRES!$F$35,4,IF($N1004&gt;PARAMETRES!$E$35,3,IF($N1004&gt;PARAMETRES!$D$35,2,1)))))</f>
        <v/>
      </c>
      <c r="W1004" t="str">
        <f>IF($O1004="","",IF($O1004&gt;PARAMETRES!$G$36,5,IF($O1004&gt;PARAMETRES!$F$36,4,IF($O1004&gt;PARAMETRES!$E$36,3,IF($O1004&gt;PARAMETRES!$D$36,2,1)))))</f>
        <v/>
      </c>
      <c r="X1004" t="str">
        <f>IF($P1004="","",IF($P1004&gt;PARAMETRES!$G$37,5,IF($P1004&gt;PARAMETRES!$F$37,4,IF($P1004&gt;PARAMETRES!$E$37,3,IF($P1004&gt;PARAMETRES!$D$37,2,1)))))</f>
        <v/>
      </c>
      <c r="Y1004" t="str">
        <f t="shared" si="360"/>
        <v/>
      </c>
      <c r="Z1004" t="str">
        <f>IFERROR(VLOOKUP($B1004,TABLE_CYCLE,2,0),"")</f>
        <v/>
      </c>
      <c r="AA1004" t="str">
        <f t="shared" si="361"/>
        <v/>
      </c>
      <c r="AB1004" t="str">
        <f>IF($D1004="","",IF(COUNTIF($D$2:$D1004,$D1004)=1,$D1004,""))</f>
        <v/>
      </c>
      <c r="AC1004">
        <f t="shared" si="362"/>
        <v>0</v>
      </c>
      <c r="AD1004" t="str">
        <f t="shared" si="363"/>
        <v>|0</v>
      </c>
      <c r="AE1004" t="str">
        <f t="shared" si="364"/>
        <v/>
      </c>
      <c r="AF1004" t="str">
        <f t="shared" si="365"/>
        <v/>
      </c>
      <c r="AG1004" t="str">
        <f t="shared" si="366"/>
        <v/>
      </c>
      <c r="AH1004" t="str">
        <f t="shared" si="367"/>
        <v/>
      </c>
      <c r="AI1004" t="str">
        <f t="shared" si="368"/>
        <v/>
      </c>
      <c r="AJ1004" t="str">
        <f t="shared" si="369"/>
        <v/>
      </c>
      <c r="AK1004" t="str">
        <f t="shared" si="370"/>
        <v/>
      </c>
      <c r="AL1004" t="str">
        <f t="shared" si="371"/>
        <v/>
      </c>
      <c r="AM1004" t="str">
        <f t="shared" si="372"/>
        <v/>
      </c>
      <c r="AN1004" t="str">
        <f t="shared" si="373"/>
        <v/>
      </c>
      <c r="AO1004" t="str">
        <f t="shared" si="374"/>
        <v/>
      </c>
      <c r="AP1004">
        <f t="shared" si="375"/>
        <v>1</v>
      </c>
      <c r="AQ1004" t="str">
        <f>IF(SAISIE!$F1009="","",SAISIE!$Y1009)</f>
        <v/>
      </c>
      <c r="AR1004" t="str">
        <f>IF(OR(SAISIE!$U$4="",SAISIE!$W$4=""),"",IF(AND($A1004=SAISIE!$U$4,$B1004=SAISIE!$W$4,$C1004="S1"),COUNTIFS($A$2:$A1004,SAISIE!$U$4,$B$2:$B1004,SAISIE!$W$4,$C$2:$C1004,"S1"),""))</f>
        <v/>
      </c>
      <c r="AS1004" t="str">
        <f t="shared" si="376"/>
        <v/>
      </c>
      <c r="AT1004" t="str">
        <f t="shared" si="377"/>
        <v/>
      </c>
      <c r="AU1004" t="str">
        <f t="shared" si="378"/>
        <v/>
      </c>
      <c r="AV1004">
        <f>N(AV1003)+IF(AND($AB1004&lt;&gt;"",OR('PROFIL ELEVE'!$K$4="(Tous)",$AF1004='PROFIL ELEVE'!$K$4)),1,0)</f>
        <v>0</v>
      </c>
      <c r="AW1004">
        <f>N(AW1003)+IF(AND($AB1004&lt;&gt;"",OR('SUIVI LONGITUDINAL'!$Q$4="(Tous)",$AF1004='SUIVI LONGITUDINAL'!$Q$4)),1,0)</f>
        <v>0</v>
      </c>
      <c r="AX1004">
        <f t="shared" si="379"/>
        <v>0</v>
      </c>
      <c r="AY1004">
        <f t="shared" si="380"/>
        <v>0</v>
      </c>
      <c r="AZ1004">
        <f t="shared" si="381"/>
        <v>0</v>
      </c>
      <c r="BA1004" t="str">
        <f t="shared" si="382"/>
        <v/>
      </c>
      <c r="BB1004" t="str">
        <f t="shared" si="383"/>
        <v/>
      </c>
    </row>
    <row r="1005" spans="1:54" ht="14.25" customHeight="1" x14ac:dyDescent="0.3">
      <c r="A1005" t="str">
        <f>IF(SAISIE!$F1010="","",SAISIE!$B1010)</f>
        <v/>
      </c>
      <c r="B1005" t="str">
        <f>IF(SAISIE!$F1010="","",SAISIE!$C1010)</f>
        <v/>
      </c>
      <c r="C1005" t="str">
        <f>IF(SAISIE!$F1010="","",SAISIE!$D1010)</f>
        <v/>
      </c>
      <c r="D1005" t="str">
        <f>IF(SAISIE!$E1010="","",SAISIE!$E1010)</f>
        <v/>
      </c>
      <c r="E1005" t="str">
        <f>IF(SAISIE!$F1010="","",SAISIE!$F1010)</f>
        <v/>
      </c>
      <c r="F1005" t="str">
        <f>IF(SAISIE!$G1010="","",SAISIE!$G1010)</f>
        <v/>
      </c>
      <c r="G1005" t="str">
        <f>IF(SAISIE!$H1010="","",SAISIE!$H1010)</f>
        <v/>
      </c>
      <c r="H1005" t="str">
        <f>IF(SAISIE!$I1010="","",SAISIE!$I1010)</f>
        <v/>
      </c>
      <c r="I1005" t="str">
        <f>IF(SAISIE!$J1010="","",SAISIE!$J1010)</f>
        <v/>
      </c>
      <c r="J1005" t="str">
        <f>IF(SAISIE!$K1010="","",SAISIE!$K1010)</f>
        <v/>
      </c>
      <c r="K1005" t="str">
        <f>IF(SAISIE!$L1010="","",SAISIE!$L1010)</f>
        <v/>
      </c>
      <c r="L1005" t="str">
        <f>IF(SAISIE!$M1010="","",SAISIE!$M1010)</f>
        <v/>
      </c>
      <c r="M1005" t="str">
        <f>IF(SAISIE!$N1010="","",SAISIE!$N1010)</f>
        <v/>
      </c>
      <c r="N1005" t="str">
        <f>IF(SAISIE!$O1010="","",SAISIE!$O1010)</f>
        <v/>
      </c>
      <c r="O1005" t="str">
        <f>IF(SAISIE!$P1010="","",SAISIE!$P1010)</f>
        <v/>
      </c>
      <c r="P1005" t="str">
        <f>IF(SAISIE!$Q1010="","",SAISIE!$Q1010)</f>
        <v/>
      </c>
      <c r="Q1005" t="str">
        <f>IF($I1005="","",IF($I1005&gt;PARAMETRES!$G$29,5,IF($I1005&gt;PARAMETRES!$F$29,4,IF($I1005&gt;PARAMETRES!$E$29,3,IF($I1005&gt;PARAMETRES!$D$29,2,1)))))</f>
        <v/>
      </c>
      <c r="R1005" t="str">
        <f>IF($J1005="","",IF($J1005&gt;PARAMETRES!$G$30,5,IF($J1005&gt;PARAMETRES!$F$30,4,IF($J1005&gt;PARAMETRES!$E$30,3,IF($J1005&gt;PARAMETRES!$D$30,2,1)))))</f>
        <v/>
      </c>
      <c r="S1005" t="str">
        <f>IF($K1005="","",IF($Z1005=2,IF($K1005&gt;PARAMETRES!$G$31,5,IF($K1005&gt;PARAMETRES!$F$31,4,IF($K1005&gt;PARAMETRES!$E$31,3,IF($K1005&gt;PARAMETRES!$D$31,2,1)))),IF($K1005&gt;PARAMETRES!$G$32,5,IF($K1005&gt;PARAMETRES!$F$32,4,IF($K1005&gt;PARAMETRES!$E$32,3,IF($K1005&gt;PARAMETRES!$D$32,2,1))))))</f>
        <v/>
      </c>
      <c r="T1005" t="str">
        <f>IF($L1005="","",IF($L1005&gt;PARAMETRES!$G$33,5,IF($L1005&gt;PARAMETRES!$F$33,4,IF($L1005&gt;PARAMETRES!$E$33,3,IF($L1005&gt;PARAMETRES!$D$33,2,1)))))</f>
        <v/>
      </c>
      <c r="U1005" t="str">
        <f>IF($M1005="","",IF($M1005&gt;PARAMETRES!$G$34,5,IF($M1005&gt;PARAMETRES!$F$34,4,IF($M1005&gt;PARAMETRES!$E$34,3,IF($M1005&gt;PARAMETRES!$D$34,2,1)))))</f>
        <v/>
      </c>
      <c r="V1005" t="str">
        <f>IF($N1005="","",IF($N1005&gt;PARAMETRES!$G$35,5,IF($N1005&gt;PARAMETRES!$F$35,4,IF($N1005&gt;PARAMETRES!$E$35,3,IF($N1005&gt;PARAMETRES!$D$35,2,1)))))</f>
        <v/>
      </c>
      <c r="W1005" t="str">
        <f>IF($O1005="","",IF($O1005&gt;PARAMETRES!$G$36,5,IF($O1005&gt;PARAMETRES!$F$36,4,IF($O1005&gt;PARAMETRES!$E$36,3,IF($O1005&gt;PARAMETRES!$D$36,2,1)))))</f>
        <v/>
      </c>
      <c r="X1005" t="str">
        <f>IF($P1005="","",IF($P1005&gt;PARAMETRES!$G$37,5,IF($P1005&gt;PARAMETRES!$F$37,4,IF($P1005&gt;PARAMETRES!$E$37,3,IF($P1005&gt;PARAMETRES!$D$37,2,1)))))</f>
        <v/>
      </c>
      <c r="Y1005" t="str">
        <f t="shared" si="360"/>
        <v/>
      </c>
      <c r="Z1005" t="str">
        <f>IFERROR(VLOOKUP($B1005,TABLE_CYCLE,2,0),"")</f>
        <v/>
      </c>
      <c r="AA1005" t="str">
        <f t="shared" si="361"/>
        <v/>
      </c>
      <c r="AB1005" t="str">
        <f>IF($D1005="","",IF(COUNTIF($D$2:$D1005,$D1005)=1,$D1005,""))</f>
        <v/>
      </c>
      <c r="AC1005">
        <f t="shared" si="362"/>
        <v>0</v>
      </c>
      <c r="AD1005" t="str">
        <f t="shared" si="363"/>
        <v>|0</v>
      </c>
      <c r="AE1005" t="str">
        <f t="shared" si="364"/>
        <v/>
      </c>
      <c r="AF1005" t="str">
        <f t="shared" si="365"/>
        <v/>
      </c>
      <c r="AG1005" t="str">
        <f t="shared" si="366"/>
        <v/>
      </c>
      <c r="AH1005" t="str">
        <f t="shared" si="367"/>
        <v/>
      </c>
      <c r="AI1005" t="str">
        <f t="shared" si="368"/>
        <v/>
      </c>
      <c r="AJ1005" t="str">
        <f t="shared" si="369"/>
        <v/>
      </c>
      <c r="AK1005" t="str">
        <f t="shared" si="370"/>
        <v/>
      </c>
      <c r="AL1005" t="str">
        <f t="shared" si="371"/>
        <v/>
      </c>
      <c r="AM1005" t="str">
        <f t="shared" si="372"/>
        <v/>
      </c>
      <c r="AN1005" t="str">
        <f t="shared" si="373"/>
        <v/>
      </c>
      <c r="AO1005" t="str">
        <f t="shared" si="374"/>
        <v/>
      </c>
      <c r="AP1005">
        <f t="shared" si="375"/>
        <v>1</v>
      </c>
      <c r="AQ1005" t="str">
        <f>IF(SAISIE!$F1010="","",SAISIE!$Y1010)</f>
        <v/>
      </c>
      <c r="AR1005" t="str">
        <f>IF(OR(SAISIE!$U$4="",SAISIE!$W$4=""),"",IF(AND($A1005=SAISIE!$U$4,$B1005=SAISIE!$W$4,$C1005="S1"),COUNTIFS($A$2:$A1005,SAISIE!$U$4,$B$2:$B1005,SAISIE!$W$4,$C$2:$C1005,"S1"),""))</f>
        <v/>
      </c>
      <c r="AS1005" t="str">
        <f t="shared" si="376"/>
        <v/>
      </c>
      <c r="AT1005" t="str">
        <f t="shared" si="377"/>
        <v/>
      </c>
      <c r="AU1005" t="str">
        <f t="shared" si="378"/>
        <v/>
      </c>
      <c r="AV1005">
        <f>N(AV1004)+IF(AND($AB1005&lt;&gt;"",OR('PROFIL ELEVE'!$K$4="(Tous)",$AF1005='PROFIL ELEVE'!$K$4)),1,0)</f>
        <v>0</v>
      </c>
      <c r="AW1005">
        <f>N(AW1004)+IF(AND($AB1005&lt;&gt;"",OR('SUIVI LONGITUDINAL'!$Q$4="(Tous)",$AF1005='SUIVI LONGITUDINAL'!$Q$4)),1,0)</f>
        <v>0</v>
      </c>
      <c r="AX1005">
        <f t="shared" si="379"/>
        <v>0</v>
      </c>
      <c r="AY1005">
        <f t="shared" si="380"/>
        <v>0</v>
      </c>
      <c r="AZ1005">
        <f t="shared" si="381"/>
        <v>0</v>
      </c>
      <c r="BA1005" t="str">
        <f t="shared" si="382"/>
        <v/>
      </c>
      <c r="BB1005" t="str">
        <f t="shared" si="383"/>
        <v/>
      </c>
    </row>
    <row r="1006" spans="1:54" ht="14.25" customHeight="1" x14ac:dyDescent="0.3">
      <c r="A1006" t="str">
        <f>IF(SAISIE!$F1011="","",SAISIE!$B1011)</f>
        <v/>
      </c>
      <c r="B1006" t="str">
        <f>IF(SAISIE!$F1011="","",SAISIE!$C1011)</f>
        <v/>
      </c>
      <c r="C1006" t="str">
        <f>IF(SAISIE!$F1011="","",SAISIE!$D1011)</f>
        <v/>
      </c>
      <c r="D1006" t="str">
        <f>IF(SAISIE!$E1011="","",SAISIE!$E1011)</f>
        <v/>
      </c>
      <c r="E1006" t="str">
        <f>IF(SAISIE!$F1011="","",SAISIE!$F1011)</f>
        <v/>
      </c>
      <c r="F1006" t="str">
        <f>IF(SAISIE!$G1011="","",SAISIE!$G1011)</f>
        <v/>
      </c>
      <c r="G1006" t="str">
        <f>IF(SAISIE!$H1011="","",SAISIE!$H1011)</f>
        <v/>
      </c>
      <c r="H1006" t="str">
        <f>IF(SAISIE!$I1011="","",SAISIE!$I1011)</f>
        <v/>
      </c>
      <c r="I1006" t="str">
        <f>IF(SAISIE!$J1011="","",SAISIE!$J1011)</f>
        <v/>
      </c>
      <c r="J1006" t="str">
        <f>IF(SAISIE!$K1011="","",SAISIE!$K1011)</f>
        <v/>
      </c>
      <c r="K1006" t="str">
        <f>IF(SAISIE!$L1011="","",SAISIE!$L1011)</f>
        <v/>
      </c>
      <c r="L1006" t="str">
        <f>IF(SAISIE!$M1011="","",SAISIE!$M1011)</f>
        <v/>
      </c>
      <c r="M1006" t="str">
        <f>IF(SAISIE!$N1011="","",SAISIE!$N1011)</f>
        <v/>
      </c>
      <c r="N1006" t="str">
        <f>IF(SAISIE!$O1011="","",SAISIE!$O1011)</f>
        <v/>
      </c>
      <c r="O1006" t="str">
        <f>IF(SAISIE!$P1011="","",SAISIE!$P1011)</f>
        <v/>
      </c>
      <c r="P1006" t="str">
        <f>IF(SAISIE!$Q1011="","",SAISIE!$Q1011)</f>
        <v/>
      </c>
      <c r="Q1006" t="str">
        <f>IF($I1006="","",IF($I1006&gt;PARAMETRES!$G$29,5,IF($I1006&gt;PARAMETRES!$F$29,4,IF($I1006&gt;PARAMETRES!$E$29,3,IF($I1006&gt;PARAMETRES!$D$29,2,1)))))</f>
        <v/>
      </c>
      <c r="R1006" t="str">
        <f>IF($J1006="","",IF($J1006&gt;PARAMETRES!$G$30,5,IF($J1006&gt;PARAMETRES!$F$30,4,IF($J1006&gt;PARAMETRES!$E$30,3,IF($J1006&gt;PARAMETRES!$D$30,2,1)))))</f>
        <v/>
      </c>
      <c r="S1006" t="str">
        <f>IF($K1006="","",IF($Z1006=2,IF($K1006&gt;PARAMETRES!$G$31,5,IF($K1006&gt;PARAMETRES!$F$31,4,IF($K1006&gt;PARAMETRES!$E$31,3,IF($K1006&gt;PARAMETRES!$D$31,2,1)))),IF($K1006&gt;PARAMETRES!$G$32,5,IF($K1006&gt;PARAMETRES!$F$32,4,IF($K1006&gt;PARAMETRES!$E$32,3,IF($K1006&gt;PARAMETRES!$D$32,2,1))))))</f>
        <v/>
      </c>
      <c r="T1006" t="str">
        <f>IF($L1006="","",IF($L1006&gt;PARAMETRES!$G$33,5,IF($L1006&gt;PARAMETRES!$F$33,4,IF($L1006&gt;PARAMETRES!$E$33,3,IF($L1006&gt;PARAMETRES!$D$33,2,1)))))</f>
        <v/>
      </c>
      <c r="U1006" t="str">
        <f>IF($M1006="","",IF($M1006&gt;PARAMETRES!$G$34,5,IF($M1006&gt;PARAMETRES!$F$34,4,IF($M1006&gt;PARAMETRES!$E$34,3,IF($M1006&gt;PARAMETRES!$D$34,2,1)))))</f>
        <v/>
      </c>
      <c r="V1006" t="str">
        <f>IF($N1006="","",IF($N1006&gt;PARAMETRES!$G$35,5,IF($N1006&gt;PARAMETRES!$F$35,4,IF($N1006&gt;PARAMETRES!$E$35,3,IF($N1006&gt;PARAMETRES!$D$35,2,1)))))</f>
        <v/>
      </c>
      <c r="W1006" t="str">
        <f>IF($O1006="","",IF($O1006&gt;PARAMETRES!$G$36,5,IF($O1006&gt;PARAMETRES!$F$36,4,IF($O1006&gt;PARAMETRES!$E$36,3,IF($O1006&gt;PARAMETRES!$D$36,2,1)))))</f>
        <v/>
      </c>
      <c r="X1006" t="str">
        <f>IF($P1006="","",IF($P1006&gt;PARAMETRES!$G$37,5,IF($P1006&gt;PARAMETRES!$F$37,4,IF($P1006&gt;PARAMETRES!$E$37,3,IF($P1006&gt;PARAMETRES!$D$37,2,1)))))</f>
        <v/>
      </c>
      <c r="Y1006" t="str">
        <f t="shared" si="360"/>
        <v/>
      </c>
      <c r="Z1006" t="str">
        <f>IFERROR(VLOOKUP($B1006,TABLE_CYCLE,2,0),"")</f>
        <v/>
      </c>
      <c r="AA1006" t="str">
        <f t="shared" si="361"/>
        <v/>
      </c>
      <c r="AB1006" t="str">
        <f>IF($D1006="","",IF(COUNTIF($D$2:$D1006,$D1006)=1,$D1006,""))</f>
        <v/>
      </c>
      <c r="AC1006">
        <f t="shared" si="362"/>
        <v>0</v>
      </c>
      <c r="AD1006" t="str">
        <f t="shared" si="363"/>
        <v>|0</v>
      </c>
      <c r="AE1006" t="str">
        <f t="shared" si="364"/>
        <v/>
      </c>
      <c r="AF1006" t="str">
        <f t="shared" si="365"/>
        <v/>
      </c>
      <c r="AG1006" t="str">
        <f t="shared" si="366"/>
        <v/>
      </c>
      <c r="AH1006" t="str">
        <f t="shared" si="367"/>
        <v/>
      </c>
      <c r="AI1006" t="str">
        <f t="shared" si="368"/>
        <v/>
      </c>
      <c r="AJ1006" t="str">
        <f t="shared" si="369"/>
        <v/>
      </c>
      <c r="AK1006" t="str">
        <f t="shared" si="370"/>
        <v/>
      </c>
      <c r="AL1006" t="str">
        <f t="shared" si="371"/>
        <v/>
      </c>
      <c r="AM1006" t="str">
        <f t="shared" si="372"/>
        <v/>
      </c>
      <c r="AN1006" t="str">
        <f t="shared" si="373"/>
        <v/>
      </c>
      <c r="AO1006" t="str">
        <f t="shared" si="374"/>
        <v/>
      </c>
      <c r="AP1006">
        <f t="shared" si="375"/>
        <v>1</v>
      </c>
      <c r="AQ1006" t="str">
        <f>IF(SAISIE!$F1011="","",SAISIE!$Y1011)</f>
        <v/>
      </c>
      <c r="AR1006" t="str">
        <f>IF(OR(SAISIE!$U$4="",SAISIE!$W$4=""),"",IF(AND($A1006=SAISIE!$U$4,$B1006=SAISIE!$W$4,$C1006="S1"),COUNTIFS($A$2:$A1006,SAISIE!$U$4,$B$2:$B1006,SAISIE!$W$4,$C$2:$C1006,"S1"),""))</f>
        <v/>
      </c>
      <c r="AS1006" t="str">
        <f t="shared" si="376"/>
        <v/>
      </c>
      <c r="AT1006" t="str">
        <f t="shared" si="377"/>
        <v/>
      </c>
      <c r="AU1006" t="str">
        <f t="shared" si="378"/>
        <v/>
      </c>
      <c r="AV1006">
        <f>N(AV1005)+IF(AND($AB1006&lt;&gt;"",OR('PROFIL ELEVE'!$K$4="(Tous)",$AF1006='PROFIL ELEVE'!$K$4)),1,0)</f>
        <v>0</v>
      </c>
      <c r="AW1006">
        <f>N(AW1005)+IF(AND($AB1006&lt;&gt;"",OR('SUIVI LONGITUDINAL'!$Q$4="(Tous)",$AF1006='SUIVI LONGITUDINAL'!$Q$4)),1,0)</f>
        <v>0</v>
      </c>
      <c r="AX1006">
        <f t="shared" si="379"/>
        <v>0</v>
      </c>
      <c r="AY1006">
        <f t="shared" si="380"/>
        <v>0</v>
      </c>
      <c r="AZ1006">
        <f t="shared" si="381"/>
        <v>0</v>
      </c>
      <c r="BA1006" t="str">
        <f t="shared" si="382"/>
        <v/>
      </c>
      <c r="BB1006" t="str">
        <f t="shared" si="383"/>
        <v/>
      </c>
    </row>
    <row r="1007" spans="1:54" ht="14.25" customHeight="1" x14ac:dyDescent="0.3">
      <c r="A1007" t="str">
        <f>IF(SAISIE!$F1012="","",SAISIE!$B1012)</f>
        <v/>
      </c>
      <c r="B1007" t="str">
        <f>IF(SAISIE!$F1012="","",SAISIE!$C1012)</f>
        <v/>
      </c>
      <c r="C1007" t="str">
        <f>IF(SAISIE!$F1012="","",SAISIE!$D1012)</f>
        <v/>
      </c>
      <c r="D1007" t="str">
        <f>IF(SAISIE!$E1012="","",SAISIE!$E1012)</f>
        <v/>
      </c>
      <c r="E1007" t="str">
        <f>IF(SAISIE!$F1012="","",SAISIE!$F1012)</f>
        <v/>
      </c>
      <c r="F1007" t="str">
        <f>IF(SAISIE!$G1012="","",SAISIE!$G1012)</f>
        <v/>
      </c>
      <c r="G1007" t="str">
        <f>IF(SAISIE!$H1012="","",SAISIE!$H1012)</f>
        <v/>
      </c>
      <c r="H1007" t="str">
        <f>IF(SAISIE!$I1012="","",SAISIE!$I1012)</f>
        <v/>
      </c>
      <c r="I1007" t="str">
        <f>IF(SAISIE!$J1012="","",SAISIE!$J1012)</f>
        <v/>
      </c>
      <c r="J1007" t="str">
        <f>IF(SAISIE!$K1012="","",SAISIE!$K1012)</f>
        <v/>
      </c>
      <c r="K1007" t="str">
        <f>IF(SAISIE!$L1012="","",SAISIE!$L1012)</f>
        <v/>
      </c>
      <c r="L1007" t="str">
        <f>IF(SAISIE!$M1012="","",SAISIE!$M1012)</f>
        <v/>
      </c>
      <c r="M1007" t="str">
        <f>IF(SAISIE!$N1012="","",SAISIE!$N1012)</f>
        <v/>
      </c>
      <c r="N1007" t="str">
        <f>IF(SAISIE!$O1012="","",SAISIE!$O1012)</f>
        <v/>
      </c>
      <c r="O1007" t="str">
        <f>IF(SAISIE!$P1012="","",SAISIE!$P1012)</f>
        <v/>
      </c>
      <c r="P1007" t="str">
        <f>IF(SAISIE!$Q1012="","",SAISIE!$Q1012)</f>
        <v/>
      </c>
      <c r="Q1007" t="str">
        <f>IF($I1007="","",IF($I1007&gt;PARAMETRES!$G$29,5,IF($I1007&gt;PARAMETRES!$F$29,4,IF($I1007&gt;PARAMETRES!$E$29,3,IF($I1007&gt;PARAMETRES!$D$29,2,1)))))</f>
        <v/>
      </c>
      <c r="R1007" t="str">
        <f>IF($J1007="","",IF($J1007&gt;PARAMETRES!$G$30,5,IF($J1007&gt;PARAMETRES!$F$30,4,IF($J1007&gt;PARAMETRES!$E$30,3,IF($J1007&gt;PARAMETRES!$D$30,2,1)))))</f>
        <v/>
      </c>
      <c r="S1007" t="str">
        <f>IF($K1007="","",IF($Z1007=2,IF($K1007&gt;PARAMETRES!$G$31,5,IF($K1007&gt;PARAMETRES!$F$31,4,IF($K1007&gt;PARAMETRES!$E$31,3,IF($K1007&gt;PARAMETRES!$D$31,2,1)))),IF($K1007&gt;PARAMETRES!$G$32,5,IF($K1007&gt;PARAMETRES!$F$32,4,IF($K1007&gt;PARAMETRES!$E$32,3,IF($K1007&gt;PARAMETRES!$D$32,2,1))))))</f>
        <v/>
      </c>
      <c r="T1007" t="str">
        <f>IF($L1007="","",IF($L1007&gt;PARAMETRES!$G$33,5,IF($L1007&gt;PARAMETRES!$F$33,4,IF($L1007&gt;PARAMETRES!$E$33,3,IF($L1007&gt;PARAMETRES!$D$33,2,1)))))</f>
        <v/>
      </c>
      <c r="U1007" t="str">
        <f>IF($M1007="","",IF($M1007&gt;PARAMETRES!$G$34,5,IF($M1007&gt;PARAMETRES!$F$34,4,IF($M1007&gt;PARAMETRES!$E$34,3,IF($M1007&gt;PARAMETRES!$D$34,2,1)))))</f>
        <v/>
      </c>
      <c r="V1007" t="str">
        <f>IF($N1007="","",IF($N1007&gt;PARAMETRES!$G$35,5,IF($N1007&gt;PARAMETRES!$F$35,4,IF($N1007&gt;PARAMETRES!$E$35,3,IF($N1007&gt;PARAMETRES!$D$35,2,1)))))</f>
        <v/>
      </c>
      <c r="W1007" t="str">
        <f>IF($O1007="","",IF($O1007&gt;PARAMETRES!$G$36,5,IF($O1007&gt;PARAMETRES!$F$36,4,IF($O1007&gt;PARAMETRES!$E$36,3,IF($O1007&gt;PARAMETRES!$D$36,2,1)))))</f>
        <v/>
      </c>
      <c r="X1007" t="str">
        <f>IF($P1007="","",IF($P1007&gt;PARAMETRES!$G$37,5,IF($P1007&gt;PARAMETRES!$F$37,4,IF($P1007&gt;PARAMETRES!$E$37,3,IF($P1007&gt;PARAMETRES!$D$37,2,1)))))</f>
        <v/>
      </c>
      <c r="Y1007" t="str">
        <f t="shared" si="360"/>
        <v/>
      </c>
      <c r="Z1007" t="str">
        <f>IFERROR(VLOOKUP($B1007,TABLE_CYCLE,2,0),"")</f>
        <v/>
      </c>
      <c r="AA1007" t="str">
        <f t="shared" si="361"/>
        <v/>
      </c>
      <c r="AB1007" t="str">
        <f>IF($D1007="","",IF(COUNTIF($D$2:$D1007,$D1007)=1,$D1007,""))</f>
        <v/>
      </c>
      <c r="AC1007">
        <f t="shared" si="362"/>
        <v>0</v>
      </c>
      <c r="AD1007" t="str">
        <f t="shared" si="363"/>
        <v>|0</v>
      </c>
      <c r="AE1007" t="str">
        <f t="shared" si="364"/>
        <v/>
      </c>
      <c r="AF1007" t="str">
        <f t="shared" si="365"/>
        <v/>
      </c>
      <c r="AG1007" t="str">
        <f t="shared" si="366"/>
        <v/>
      </c>
      <c r="AH1007" t="str">
        <f t="shared" si="367"/>
        <v/>
      </c>
      <c r="AI1007" t="str">
        <f t="shared" si="368"/>
        <v/>
      </c>
      <c r="AJ1007" t="str">
        <f t="shared" si="369"/>
        <v/>
      </c>
      <c r="AK1007" t="str">
        <f t="shared" si="370"/>
        <v/>
      </c>
      <c r="AL1007" t="str">
        <f t="shared" si="371"/>
        <v/>
      </c>
      <c r="AM1007" t="str">
        <f t="shared" si="372"/>
        <v/>
      </c>
      <c r="AN1007" t="str">
        <f t="shared" si="373"/>
        <v/>
      </c>
      <c r="AO1007" t="str">
        <f t="shared" si="374"/>
        <v/>
      </c>
      <c r="AP1007">
        <f t="shared" si="375"/>
        <v>1</v>
      </c>
      <c r="AQ1007" t="str">
        <f>IF(SAISIE!$F1012="","",SAISIE!$Y1012)</f>
        <v/>
      </c>
      <c r="AR1007" t="str">
        <f>IF(OR(SAISIE!$U$4="",SAISIE!$W$4=""),"",IF(AND($A1007=SAISIE!$U$4,$B1007=SAISIE!$W$4,$C1007="S1"),COUNTIFS($A$2:$A1007,SAISIE!$U$4,$B$2:$B1007,SAISIE!$W$4,$C$2:$C1007,"S1"),""))</f>
        <v/>
      </c>
      <c r="AS1007" t="str">
        <f t="shared" si="376"/>
        <v/>
      </c>
      <c r="AT1007" t="str">
        <f t="shared" si="377"/>
        <v/>
      </c>
      <c r="AU1007" t="str">
        <f t="shared" si="378"/>
        <v/>
      </c>
      <c r="AV1007">
        <f>N(AV1006)+IF(AND($AB1007&lt;&gt;"",OR('PROFIL ELEVE'!$K$4="(Tous)",$AF1007='PROFIL ELEVE'!$K$4)),1,0)</f>
        <v>0</v>
      </c>
      <c r="AW1007">
        <f>N(AW1006)+IF(AND($AB1007&lt;&gt;"",OR('SUIVI LONGITUDINAL'!$Q$4="(Tous)",$AF1007='SUIVI LONGITUDINAL'!$Q$4)),1,0)</f>
        <v>0</v>
      </c>
      <c r="AX1007">
        <f t="shared" si="379"/>
        <v>0</v>
      </c>
      <c r="AY1007">
        <f t="shared" si="380"/>
        <v>0</v>
      </c>
      <c r="AZ1007">
        <f t="shared" si="381"/>
        <v>0</v>
      </c>
      <c r="BA1007" t="str">
        <f t="shared" si="382"/>
        <v/>
      </c>
      <c r="BB1007" t="str">
        <f t="shared" si="383"/>
        <v/>
      </c>
    </row>
    <row r="1008" spans="1:54" ht="14.25" customHeight="1" x14ac:dyDescent="0.3">
      <c r="A1008" t="str">
        <f>IF(SAISIE!$F1013="","",SAISIE!$B1013)</f>
        <v/>
      </c>
      <c r="B1008" t="str">
        <f>IF(SAISIE!$F1013="","",SAISIE!$C1013)</f>
        <v/>
      </c>
      <c r="C1008" t="str">
        <f>IF(SAISIE!$F1013="","",SAISIE!$D1013)</f>
        <v/>
      </c>
      <c r="D1008" t="str">
        <f>IF(SAISIE!$E1013="","",SAISIE!$E1013)</f>
        <v/>
      </c>
      <c r="E1008" t="str">
        <f>IF(SAISIE!$F1013="","",SAISIE!$F1013)</f>
        <v/>
      </c>
      <c r="F1008" t="str">
        <f>IF(SAISIE!$G1013="","",SAISIE!$G1013)</f>
        <v/>
      </c>
      <c r="G1008" t="str">
        <f>IF(SAISIE!$H1013="","",SAISIE!$H1013)</f>
        <v/>
      </c>
      <c r="H1008" t="str">
        <f>IF(SAISIE!$I1013="","",SAISIE!$I1013)</f>
        <v/>
      </c>
      <c r="I1008" t="str">
        <f>IF(SAISIE!$J1013="","",SAISIE!$J1013)</f>
        <v/>
      </c>
      <c r="J1008" t="str">
        <f>IF(SAISIE!$K1013="","",SAISIE!$K1013)</f>
        <v/>
      </c>
      <c r="K1008" t="str">
        <f>IF(SAISIE!$L1013="","",SAISIE!$L1013)</f>
        <v/>
      </c>
      <c r="L1008" t="str">
        <f>IF(SAISIE!$M1013="","",SAISIE!$M1013)</f>
        <v/>
      </c>
      <c r="M1008" t="str">
        <f>IF(SAISIE!$N1013="","",SAISIE!$N1013)</f>
        <v/>
      </c>
      <c r="N1008" t="str">
        <f>IF(SAISIE!$O1013="","",SAISIE!$O1013)</f>
        <v/>
      </c>
      <c r="O1008" t="str">
        <f>IF(SAISIE!$P1013="","",SAISIE!$P1013)</f>
        <v/>
      </c>
      <c r="P1008" t="str">
        <f>IF(SAISIE!$Q1013="","",SAISIE!$Q1013)</f>
        <v/>
      </c>
      <c r="Q1008" t="str">
        <f>IF($I1008="","",IF($I1008&gt;PARAMETRES!$G$29,5,IF($I1008&gt;PARAMETRES!$F$29,4,IF($I1008&gt;PARAMETRES!$E$29,3,IF($I1008&gt;PARAMETRES!$D$29,2,1)))))</f>
        <v/>
      </c>
      <c r="R1008" t="str">
        <f>IF($J1008="","",IF($J1008&gt;PARAMETRES!$G$30,5,IF($J1008&gt;PARAMETRES!$F$30,4,IF($J1008&gt;PARAMETRES!$E$30,3,IF($J1008&gt;PARAMETRES!$D$30,2,1)))))</f>
        <v/>
      </c>
      <c r="S1008" t="str">
        <f>IF($K1008="","",IF($Z1008=2,IF($K1008&gt;PARAMETRES!$G$31,5,IF($K1008&gt;PARAMETRES!$F$31,4,IF($K1008&gt;PARAMETRES!$E$31,3,IF($K1008&gt;PARAMETRES!$D$31,2,1)))),IF($K1008&gt;PARAMETRES!$G$32,5,IF($K1008&gt;PARAMETRES!$F$32,4,IF($K1008&gt;PARAMETRES!$E$32,3,IF($K1008&gt;PARAMETRES!$D$32,2,1))))))</f>
        <v/>
      </c>
      <c r="T1008" t="str">
        <f>IF($L1008="","",IF($L1008&gt;PARAMETRES!$G$33,5,IF($L1008&gt;PARAMETRES!$F$33,4,IF($L1008&gt;PARAMETRES!$E$33,3,IF($L1008&gt;PARAMETRES!$D$33,2,1)))))</f>
        <v/>
      </c>
      <c r="U1008" t="str">
        <f>IF($M1008="","",IF($M1008&gt;PARAMETRES!$G$34,5,IF($M1008&gt;PARAMETRES!$F$34,4,IF($M1008&gt;PARAMETRES!$E$34,3,IF($M1008&gt;PARAMETRES!$D$34,2,1)))))</f>
        <v/>
      </c>
      <c r="V1008" t="str">
        <f>IF($N1008="","",IF($N1008&gt;PARAMETRES!$G$35,5,IF($N1008&gt;PARAMETRES!$F$35,4,IF($N1008&gt;PARAMETRES!$E$35,3,IF($N1008&gt;PARAMETRES!$D$35,2,1)))))</f>
        <v/>
      </c>
      <c r="W1008" t="str">
        <f>IF($O1008="","",IF($O1008&gt;PARAMETRES!$G$36,5,IF($O1008&gt;PARAMETRES!$F$36,4,IF($O1008&gt;PARAMETRES!$E$36,3,IF($O1008&gt;PARAMETRES!$D$36,2,1)))))</f>
        <v/>
      </c>
      <c r="X1008" t="str">
        <f>IF($P1008="","",IF($P1008&gt;PARAMETRES!$G$37,5,IF($P1008&gt;PARAMETRES!$F$37,4,IF($P1008&gt;PARAMETRES!$E$37,3,IF($P1008&gt;PARAMETRES!$D$37,2,1)))))</f>
        <v/>
      </c>
      <c r="Y1008" t="str">
        <f t="shared" si="360"/>
        <v/>
      </c>
      <c r="Z1008" t="str">
        <f>IFERROR(VLOOKUP($B1008,TABLE_CYCLE,2,0),"")</f>
        <v/>
      </c>
      <c r="AA1008" t="str">
        <f t="shared" si="361"/>
        <v/>
      </c>
      <c r="AB1008" t="str">
        <f>IF($D1008="","",IF(COUNTIF($D$2:$D1008,$D1008)=1,$D1008,""))</f>
        <v/>
      </c>
      <c r="AC1008">
        <f t="shared" si="362"/>
        <v>0</v>
      </c>
      <c r="AD1008" t="str">
        <f t="shared" si="363"/>
        <v>|0</v>
      </c>
      <c r="AE1008" t="str">
        <f t="shared" si="364"/>
        <v/>
      </c>
      <c r="AF1008" t="str">
        <f t="shared" si="365"/>
        <v/>
      </c>
      <c r="AG1008" t="str">
        <f t="shared" si="366"/>
        <v/>
      </c>
      <c r="AH1008" t="str">
        <f t="shared" si="367"/>
        <v/>
      </c>
      <c r="AI1008" t="str">
        <f t="shared" si="368"/>
        <v/>
      </c>
      <c r="AJ1008" t="str">
        <f t="shared" si="369"/>
        <v/>
      </c>
      <c r="AK1008" t="str">
        <f t="shared" si="370"/>
        <v/>
      </c>
      <c r="AL1008" t="str">
        <f t="shared" si="371"/>
        <v/>
      </c>
      <c r="AM1008" t="str">
        <f t="shared" si="372"/>
        <v/>
      </c>
      <c r="AN1008" t="str">
        <f t="shared" si="373"/>
        <v/>
      </c>
      <c r="AO1008" t="str">
        <f t="shared" si="374"/>
        <v/>
      </c>
      <c r="AP1008">
        <f t="shared" si="375"/>
        <v>1</v>
      </c>
      <c r="AQ1008" t="str">
        <f>IF(SAISIE!$F1013="","",SAISIE!$Y1013)</f>
        <v/>
      </c>
      <c r="AR1008" t="str">
        <f>IF(OR(SAISIE!$U$4="",SAISIE!$W$4=""),"",IF(AND($A1008=SAISIE!$U$4,$B1008=SAISIE!$W$4,$C1008="S1"),COUNTIFS($A$2:$A1008,SAISIE!$U$4,$B$2:$B1008,SAISIE!$W$4,$C$2:$C1008,"S1"),""))</f>
        <v/>
      </c>
      <c r="AS1008" t="str">
        <f t="shared" si="376"/>
        <v/>
      </c>
      <c r="AT1008" t="str">
        <f t="shared" si="377"/>
        <v/>
      </c>
      <c r="AU1008" t="str">
        <f t="shared" si="378"/>
        <v/>
      </c>
      <c r="AV1008">
        <f>N(AV1007)+IF(AND($AB1008&lt;&gt;"",OR('PROFIL ELEVE'!$K$4="(Tous)",$AF1008='PROFIL ELEVE'!$K$4)),1,0)</f>
        <v>0</v>
      </c>
      <c r="AW1008">
        <f>N(AW1007)+IF(AND($AB1008&lt;&gt;"",OR('SUIVI LONGITUDINAL'!$Q$4="(Tous)",$AF1008='SUIVI LONGITUDINAL'!$Q$4)),1,0)</f>
        <v>0</v>
      </c>
      <c r="AX1008">
        <f t="shared" si="379"/>
        <v>0</v>
      </c>
      <c r="AY1008">
        <f t="shared" si="380"/>
        <v>0</v>
      </c>
      <c r="AZ1008">
        <f t="shared" si="381"/>
        <v>0</v>
      </c>
      <c r="BA1008" t="str">
        <f t="shared" si="382"/>
        <v/>
      </c>
      <c r="BB1008" t="str">
        <f t="shared" si="383"/>
        <v/>
      </c>
    </row>
    <row r="1009" spans="1:54" ht="14.25" customHeight="1" x14ac:dyDescent="0.3">
      <c r="A1009" t="str">
        <f>IF(SAISIE!$F1014="","",SAISIE!$B1014)</f>
        <v/>
      </c>
      <c r="B1009" t="str">
        <f>IF(SAISIE!$F1014="","",SAISIE!$C1014)</f>
        <v/>
      </c>
      <c r="C1009" t="str">
        <f>IF(SAISIE!$F1014="","",SAISIE!$D1014)</f>
        <v/>
      </c>
      <c r="D1009" t="str">
        <f>IF(SAISIE!$E1014="","",SAISIE!$E1014)</f>
        <v/>
      </c>
      <c r="E1009" t="str">
        <f>IF(SAISIE!$F1014="","",SAISIE!$F1014)</f>
        <v/>
      </c>
      <c r="F1009" t="str">
        <f>IF(SAISIE!$G1014="","",SAISIE!$G1014)</f>
        <v/>
      </c>
      <c r="G1009" t="str">
        <f>IF(SAISIE!$H1014="","",SAISIE!$H1014)</f>
        <v/>
      </c>
      <c r="H1009" t="str">
        <f>IF(SAISIE!$I1014="","",SAISIE!$I1014)</f>
        <v/>
      </c>
      <c r="I1009" t="str">
        <f>IF(SAISIE!$J1014="","",SAISIE!$J1014)</f>
        <v/>
      </c>
      <c r="J1009" t="str">
        <f>IF(SAISIE!$K1014="","",SAISIE!$K1014)</f>
        <v/>
      </c>
      <c r="K1009" t="str">
        <f>IF(SAISIE!$L1014="","",SAISIE!$L1014)</f>
        <v/>
      </c>
      <c r="L1009" t="str">
        <f>IF(SAISIE!$M1014="","",SAISIE!$M1014)</f>
        <v/>
      </c>
      <c r="M1009" t="str">
        <f>IF(SAISIE!$N1014="","",SAISIE!$N1014)</f>
        <v/>
      </c>
      <c r="N1009" t="str">
        <f>IF(SAISIE!$O1014="","",SAISIE!$O1014)</f>
        <v/>
      </c>
      <c r="O1009" t="str">
        <f>IF(SAISIE!$P1014="","",SAISIE!$P1014)</f>
        <v/>
      </c>
      <c r="P1009" t="str">
        <f>IF(SAISIE!$Q1014="","",SAISIE!$Q1014)</f>
        <v/>
      </c>
      <c r="Q1009" t="str">
        <f>IF($I1009="","",IF($I1009&gt;PARAMETRES!$G$29,5,IF($I1009&gt;PARAMETRES!$F$29,4,IF($I1009&gt;PARAMETRES!$E$29,3,IF($I1009&gt;PARAMETRES!$D$29,2,1)))))</f>
        <v/>
      </c>
      <c r="R1009" t="str">
        <f>IF($J1009="","",IF($J1009&gt;PARAMETRES!$G$30,5,IF($J1009&gt;PARAMETRES!$F$30,4,IF($J1009&gt;PARAMETRES!$E$30,3,IF($J1009&gt;PARAMETRES!$D$30,2,1)))))</f>
        <v/>
      </c>
      <c r="S1009" t="str">
        <f>IF($K1009="","",IF($Z1009=2,IF($K1009&gt;PARAMETRES!$G$31,5,IF($K1009&gt;PARAMETRES!$F$31,4,IF($K1009&gt;PARAMETRES!$E$31,3,IF($K1009&gt;PARAMETRES!$D$31,2,1)))),IF($K1009&gt;PARAMETRES!$G$32,5,IF($K1009&gt;PARAMETRES!$F$32,4,IF($K1009&gt;PARAMETRES!$E$32,3,IF($K1009&gt;PARAMETRES!$D$32,2,1))))))</f>
        <v/>
      </c>
      <c r="T1009" t="str">
        <f>IF($L1009="","",IF($L1009&gt;PARAMETRES!$G$33,5,IF($L1009&gt;PARAMETRES!$F$33,4,IF($L1009&gt;PARAMETRES!$E$33,3,IF($L1009&gt;PARAMETRES!$D$33,2,1)))))</f>
        <v/>
      </c>
      <c r="U1009" t="str">
        <f>IF($M1009="","",IF($M1009&gt;PARAMETRES!$G$34,5,IF($M1009&gt;PARAMETRES!$F$34,4,IF($M1009&gt;PARAMETRES!$E$34,3,IF($M1009&gt;PARAMETRES!$D$34,2,1)))))</f>
        <v/>
      </c>
      <c r="V1009" t="str">
        <f>IF($N1009="","",IF($N1009&gt;PARAMETRES!$G$35,5,IF($N1009&gt;PARAMETRES!$F$35,4,IF($N1009&gt;PARAMETRES!$E$35,3,IF($N1009&gt;PARAMETRES!$D$35,2,1)))))</f>
        <v/>
      </c>
      <c r="W1009" t="str">
        <f>IF($O1009="","",IF($O1009&gt;PARAMETRES!$G$36,5,IF($O1009&gt;PARAMETRES!$F$36,4,IF($O1009&gt;PARAMETRES!$E$36,3,IF($O1009&gt;PARAMETRES!$D$36,2,1)))))</f>
        <v/>
      </c>
      <c r="X1009" t="str">
        <f>IF($P1009="","",IF($P1009&gt;PARAMETRES!$G$37,5,IF($P1009&gt;PARAMETRES!$F$37,4,IF($P1009&gt;PARAMETRES!$E$37,3,IF($P1009&gt;PARAMETRES!$D$37,2,1)))))</f>
        <v/>
      </c>
      <c r="Y1009" t="str">
        <f t="shared" si="360"/>
        <v/>
      </c>
      <c r="Z1009" t="str">
        <f>IFERROR(VLOOKUP($B1009,TABLE_CYCLE,2,0),"")</f>
        <v/>
      </c>
      <c r="AA1009" t="str">
        <f t="shared" si="361"/>
        <v/>
      </c>
      <c r="AB1009" t="str">
        <f>IF($D1009="","",IF(COUNTIF($D$2:$D1009,$D1009)=1,$D1009,""))</f>
        <v/>
      </c>
      <c r="AC1009">
        <f t="shared" si="362"/>
        <v>0</v>
      </c>
      <c r="AD1009" t="str">
        <f t="shared" si="363"/>
        <v>|0</v>
      </c>
      <c r="AE1009" t="str">
        <f t="shared" si="364"/>
        <v/>
      </c>
      <c r="AF1009" t="str">
        <f t="shared" si="365"/>
        <v/>
      </c>
      <c r="AG1009" t="str">
        <f t="shared" si="366"/>
        <v/>
      </c>
      <c r="AH1009" t="str">
        <f t="shared" si="367"/>
        <v/>
      </c>
      <c r="AI1009" t="str">
        <f t="shared" si="368"/>
        <v/>
      </c>
      <c r="AJ1009" t="str">
        <f t="shared" si="369"/>
        <v/>
      </c>
      <c r="AK1009" t="str">
        <f t="shared" si="370"/>
        <v/>
      </c>
      <c r="AL1009" t="str">
        <f t="shared" si="371"/>
        <v/>
      </c>
      <c r="AM1009" t="str">
        <f t="shared" si="372"/>
        <v/>
      </c>
      <c r="AN1009" t="str">
        <f t="shared" si="373"/>
        <v/>
      </c>
      <c r="AO1009" t="str">
        <f t="shared" si="374"/>
        <v/>
      </c>
      <c r="AP1009">
        <f t="shared" si="375"/>
        <v>1</v>
      </c>
      <c r="AQ1009" t="str">
        <f>IF(SAISIE!$F1014="","",SAISIE!$Y1014)</f>
        <v/>
      </c>
      <c r="AR1009" t="str">
        <f>IF(OR(SAISIE!$U$4="",SAISIE!$W$4=""),"",IF(AND($A1009=SAISIE!$U$4,$B1009=SAISIE!$W$4,$C1009="S1"),COUNTIFS($A$2:$A1009,SAISIE!$U$4,$B$2:$B1009,SAISIE!$W$4,$C$2:$C1009,"S1"),""))</f>
        <v/>
      </c>
      <c r="AS1009" t="str">
        <f t="shared" si="376"/>
        <v/>
      </c>
      <c r="AT1009" t="str">
        <f t="shared" si="377"/>
        <v/>
      </c>
      <c r="AU1009" t="str">
        <f t="shared" si="378"/>
        <v/>
      </c>
      <c r="AV1009">
        <f>N(AV1008)+IF(AND($AB1009&lt;&gt;"",OR('PROFIL ELEVE'!$K$4="(Tous)",$AF1009='PROFIL ELEVE'!$K$4)),1,0)</f>
        <v>0</v>
      </c>
      <c r="AW1009">
        <f>N(AW1008)+IF(AND($AB1009&lt;&gt;"",OR('SUIVI LONGITUDINAL'!$Q$4="(Tous)",$AF1009='SUIVI LONGITUDINAL'!$Q$4)),1,0)</f>
        <v>0</v>
      </c>
      <c r="AX1009">
        <f t="shared" si="379"/>
        <v>0</v>
      </c>
      <c r="AY1009">
        <f t="shared" si="380"/>
        <v>0</v>
      </c>
      <c r="AZ1009">
        <f t="shared" si="381"/>
        <v>0</v>
      </c>
      <c r="BA1009" t="str">
        <f t="shared" si="382"/>
        <v/>
      </c>
      <c r="BB1009" t="str">
        <f t="shared" si="383"/>
        <v/>
      </c>
    </row>
    <row r="1010" spans="1:54" ht="14.25" customHeight="1" x14ac:dyDescent="0.3">
      <c r="A1010" t="str">
        <f>IF(SAISIE!$F1015="","",SAISIE!$B1015)</f>
        <v/>
      </c>
      <c r="B1010" t="str">
        <f>IF(SAISIE!$F1015="","",SAISIE!$C1015)</f>
        <v/>
      </c>
      <c r="C1010" t="str">
        <f>IF(SAISIE!$F1015="","",SAISIE!$D1015)</f>
        <v/>
      </c>
      <c r="D1010" t="str">
        <f>IF(SAISIE!$E1015="","",SAISIE!$E1015)</f>
        <v/>
      </c>
      <c r="E1010" t="str">
        <f>IF(SAISIE!$F1015="","",SAISIE!$F1015)</f>
        <v/>
      </c>
      <c r="F1010" t="str">
        <f>IF(SAISIE!$G1015="","",SAISIE!$G1015)</f>
        <v/>
      </c>
      <c r="G1010" t="str">
        <f>IF(SAISIE!$H1015="","",SAISIE!$H1015)</f>
        <v/>
      </c>
      <c r="H1010" t="str">
        <f>IF(SAISIE!$I1015="","",SAISIE!$I1015)</f>
        <v/>
      </c>
      <c r="I1010" t="str">
        <f>IF(SAISIE!$J1015="","",SAISIE!$J1015)</f>
        <v/>
      </c>
      <c r="J1010" t="str">
        <f>IF(SAISIE!$K1015="","",SAISIE!$K1015)</f>
        <v/>
      </c>
      <c r="K1010" t="str">
        <f>IF(SAISIE!$L1015="","",SAISIE!$L1015)</f>
        <v/>
      </c>
      <c r="L1010" t="str">
        <f>IF(SAISIE!$M1015="","",SAISIE!$M1015)</f>
        <v/>
      </c>
      <c r="M1010" t="str">
        <f>IF(SAISIE!$N1015="","",SAISIE!$N1015)</f>
        <v/>
      </c>
      <c r="N1010" t="str">
        <f>IF(SAISIE!$O1015="","",SAISIE!$O1015)</f>
        <v/>
      </c>
      <c r="O1010" t="str">
        <f>IF(SAISIE!$P1015="","",SAISIE!$P1015)</f>
        <v/>
      </c>
      <c r="P1010" t="str">
        <f>IF(SAISIE!$Q1015="","",SAISIE!$Q1015)</f>
        <v/>
      </c>
      <c r="Q1010" t="str">
        <f>IF($I1010="","",IF($I1010&gt;PARAMETRES!$G$29,5,IF($I1010&gt;PARAMETRES!$F$29,4,IF($I1010&gt;PARAMETRES!$E$29,3,IF($I1010&gt;PARAMETRES!$D$29,2,1)))))</f>
        <v/>
      </c>
      <c r="R1010" t="str">
        <f>IF($J1010="","",IF($J1010&gt;PARAMETRES!$G$30,5,IF($J1010&gt;PARAMETRES!$F$30,4,IF($J1010&gt;PARAMETRES!$E$30,3,IF($J1010&gt;PARAMETRES!$D$30,2,1)))))</f>
        <v/>
      </c>
      <c r="S1010" t="str">
        <f>IF($K1010="","",IF($Z1010=2,IF($K1010&gt;PARAMETRES!$G$31,5,IF($K1010&gt;PARAMETRES!$F$31,4,IF($K1010&gt;PARAMETRES!$E$31,3,IF($K1010&gt;PARAMETRES!$D$31,2,1)))),IF($K1010&gt;PARAMETRES!$G$32,5,IF($K1010&gt;PARAMETRES!$F$32,4,IF($K1010&gt;PARAMETRES!$E$32,3,IF($K1010&gt;PARAMETRES!$D$32,2,1))))))</f>
        <v/>
      </c>
      <c r="T1010" t="str">
        <f>IF($L1010="","",IF($L1010&gt;PARAMETRES!$G$33,5,IF($L1010&gt;PARAMETRES!$F$33,4,IF($L1010&gt;PARAMETRES!$E$33,3,IF($L1010&gt;PARAMETRES!$D$33,2,1)))))</f>
        <v/>
      </c>
      <c r="U1010" t="str">
        <f>IF($M1010="","",IF($M1010&gt;PARAMETRES!$G$34,5,IF($M1010&gt;PARAMETRES!$F$34,4,IF($M1010&gt;PARAMETRES!$E$34,3,IF($M1010&gt;PARAMETRES!$D$34,2,1)))))</f>
        <v/>
      </c>
      <c r="V1010" t="str">
        <f>IF($N1010="","",IF($N1010&gt;PARAMETRES!$G$35,5,IF($N1010&gt;PARAMETRES!$F$35,4,IF($N1010&gt;PARAMETRES!$E$35,3,IF($N1010&gt;PARAMETRES!$D$35,2,1)))))</f>
        <v/>
      </c>
      <c r="W1010" t="str">
        <f>IF($O1010="","",IF($O1010&gt;PARAMETRES!$G$36,5,IF($O1010&gt;PARAMETRES!$F$36,4,IF($O1010&gt;PARAMETRES!$E$36,3,IF($O1010&gt;PARAMETRES!$D$36,2,1)))))</f>
        <v/>
      </c>
      <c r="X1010" t="str">
        <f>IF($P1010="","",IF($P1010&gt;PARAMETRES!$G$37,5,IF($P1010&gt;PARAMETRES!$F$37,4,IF($P1010&gt;PARAMETRES!$E$37,3,IF($P1010&gt;PARAMETRES!$D$37,2,1)))))</f>
        <v/>
      </c>
      <c r="Y1010" t="str">
        <f t="shared" si="360"/>
        <v/>
      </c>
      <c r="Z1010" t="str">
        <f>IFERROR(VLOOKUP($B1010,TABLE_CYCLE,2,0),"")</f>
        <v/>
      </c>
      <c r="AA1010" t="str">
        <f t="shared" si="361"/>
        <v/>
      </c>
      <c r="AB1010" t="str">
        <f>IF($D1010="","",IF(COUNTIF($D$2:$D1010,$D1010)=1,$D1010,""))</f>
        <v/>
      </c>
      <c r="AC1010">
        <f t="shared" si="362"/>
        <v>0</v>
      </c>
      <c r="AD1010" t="str">
        <f t="shared" si="363"/>
        <v>|0</v>
      </c>
      <c r="AE1010" t="str">
        <f t="shared" si="364"/>
        <v/>
      </c>
      <c r="AF1010" t="str">
        <f t="shared" si="365"/>
        <v/>
      </c>
      <c r="AG1010" t="str">
        <f t="shared" si="366"/>
        <v/>
      </c>
      <c r="AH1010" t="str">
        <f t="shared" si="367"/>
        <v/>
      </c>
      <c r="AI1010" t="str">
        <f t="shared" si="368"/>
        <v/>
      </c>
      <c r="AJ1010" t="str">
        <f t="shared" si="369"/>
        <v/>
      </c>
      <c r="AK1010" t="str">
        <f t="shared" si="370"/>
        <v/>
      </c>
      <c r="AL1010" t="str">
        <f t="shared" si="371"/>
        <v/>
      </c>
      <c r="AM1010" t="str">
        <f t="shared" si="372"/>
        <v/>
      </c>
      <c r="AN1010" t="str">
        <f t="shared" si="373"/>
        <v/>
      </c>
      <c r="AO1010" t="str">
        <f t="shared" si="374"/>
        <v/>
      </c>
      <c r="AP1010">
        <f t="shared" si="375"/>
        <v>1</v>
      </c>
      <c r="AQ1010" t="str">
        <f>IF(SAISIE!$F1015="","",SAISIE!$Y1015)</f>
        <v/>
      </c>
      <c r="AR1010" t="str">
        <f>IF(OR(SAISIE!$U$4="",SAISIE!$W$4=""),"",IF(AND($A1010=SAISIE!$U$4,$B1010=SAISIE!$W$4,$C1010="S1"),COUNTIFS($A$2:$A1010,SAISIE!$U$4,$B$2:$B1010,SAISIE!$W$4,$C$2:$C1010,"S1"),""))</f>
        <v/>
      </c>
      <c r="AS1010" t="str">
        <f t="shared" si="376"/>
        <v/>
      </c>
      <c r="AT1010" t="str">
        <f t="shared" si="377"/>
        <v/>
      </c>
      <c r="AU1010" t="str">
        <f t="shared" si="378"/>
        <v/>
      </c>
      <c r="AV1010">
        <f>N(AV1009)+IF(AND($AB1010&lt;&gt;"",OR('PROFIL ELEVE'!$K$4="(Tous)",$AF1010='PROFIL ELEVE'!$K$4)),1,0)</f>
        <v>0</v>
      </c>
      <c r="AW1010">
        <f>N(AW1009)+IF(AND($AB1010&lt;&gt;"",OR('SUIVI LONGITUDINAL'!$Q$4="(Tous)",$AF1010='SUIVI LONGITUDINAL'!$Q$4)),1,0)</f>
        <v>0</v>
      </c>
      <c r="AX1010">
        <f t="shared" si="379"/>
        <v>0</v>
      </c>
      <c r="AY1010">
        <f t="shared" si="380"/>
        <v>0</v>
      </c>
      <c r="AZ1010">
        <f t="shared" si="381"/>
        <v>0</v>
      </c>
      <c r="BA1010" t="str">
        <f t="shared" si="382"/>
        <v/>
      </c>
      <c r="BB1010" t="str">
        <f t="shared" si="383"/>
        <v/>
      </c>
    </row>
    <row r="1011" spans="1:54" ht="14.25" customHeight="1" x14ac:dyDescent="0.3">
      <c r="A1011" t="str">
        <f>IF(SAISIE!$F1016="","",SAISIE!$B1016)</f>
        <v/>
      </c>
      <c r="B1011" t="str">
        <f>IF(SAISIE!$F1016="","",SAISIE!$C1016)</f>
        <v/>
      </c>
      <c r="C1011" t="str">
        <f>IF(SAISIE!$F1016="","",SAISIE!$D1016)</f>
        <v/>
      </c>
      <c r="D1011" t="str">
        <f>IF(SAISIE!$E1016="","",SAISIE!$E1016)</f>
        <v/>
      </c>
      <c r="E1011" t="str">
        <f>IF(SAISIE!$F1016="","",SAISIE!$F1016)</f>
        <v/>
      </c>
      <c r="F1011" t="str">
        <f>IF(SAISIE!$G1016="","",SAISIE!$G1016)</f>
        <v/>
      </c>
      <c r="G1011" t="str">
        <f>IF(SAISIE!$H1016="","",SAISIE!$H1016)</f>
        <v/>
      </c>
      <c r="H1011" t="str">
        <f>IF(SAISIE!$I1016="","",SAISIE!$I1016)</f>
        <v/>
      </c>
      <c r="I1011" t="str">
        <f>IF(SAISIE!$J1016="","",SAISIE!$J1016)</f>
        <v/>
      </c>
      <c r="J1011" t="str">
        <f>IF(SAISIE!$K1016="","",SAISIE!$K1016)</f>
        <v/>
      </c>
      <c r="K1011" t="str">
        <f>IF(SAISIE!$L1016="","",SAISIE!$L1016)</f>
        <v/>
      </c>
      <c r="L1011" t="str">
        <f>IF(SAISIE!$M1016="","",SAISIE!$M1016)</f>
        <v/>
      </c>
      <c r="M1011" t="str">
        <f>IF(SAISIE!$N1016="","",SAISIE!$N1016)</f>
        <v/>
      </c>
      <c r="N1011" t="str">
        <f>IF(SAISIE!$O1016="","",SAISIE!$O1016)</f>
        <v/>
      </c>
      <c r="O1011" t="str">
        <f>IF(SAISIE!$P1016="","",SAISIE!$P1016)</f>
        <v/>
      </c>
      <c r="P1011" t="str">
        <f>IF(SAISIE!$Q1016="","",SAISIE!$Q1016)</f>
        <v/>
      </c>
      <c r="Q1011" t="str">
        <f>IF($I1011="","",IF($I1011&gt;PARAMETRES!$G$29,5,IF($I1011&gt;PARAMETRES!$F$29,4,IF($I1011&gt;PARAMETRES!$E$29,3,IF($I1011&gt;PARAMETRES!$D$29,2,1)))))</f>
        <v/>
      </c>
      <c r="R1011" t="str">
        <f>IF($J1011="","",IF($J1011&gt;PARAMETRES!$G$30,5,IF($J1011&gt;PARAMETRES!$F$30,4,IF($J1011&gt;PARAMETRES!$E$30,3,IF($J1011&gt;PARAMETRES!$D$30,2,1)))))</f>
        <v/>
      </c>
      <c r="S1011" t="str">
        <f>IF($K1011="","",IF($Z1011=2,IF($K1011&gt;PARAMETRES!$G$31,5,IF($K1011&gt;PARAMETRES!$F$31,4,IF($K1011&gt;PARAMETRES!$E$31,3,IF($K1011&gt;PARAMETRES!$D$31,2,1)))),IF($K1011&gt;PARAMETRES!$G$32,5,IF($K1011&gt;PARAMETRES!$F$32,4,IF($K1011&gt;PARAMETRES!$E$32,3,IF($K1011&gt;PARAMETRES!$D$32,2,1))))))</f>
        <v/>
      </c>
      <c r="T1011" t="str">
        <f>IF($L1011="","",IF($L1011&gt;PARAMETRES!$G$33,5,IF($L1011&gt;PARAMETRES!$F$33,4,IF($L1011&gt;PARAMETRES!$E$33,3,IF($L1011&gt;PARAMETRES!$D$33,2,1)))))</f>
        <v/>
      </c>
      <c r="U1011" t="str">
        <f>IF($M1011="","",IF($M1011&gt;PARAMETRES!$G$34,5,IF($M1011&gt;PARAMETRES!$F$34,4,IF($M1011&gt;PARAMETRES!$E$34,3,IF($M1011&gt;PARAMETRES!$D$34,2,1)))))</f>
        <v/>
      </c>
      <c r="V1011" t="str">
        <f>IF($N1011="","",IF($N1011&gt;PARAMETRES!$G$35,5,IF($N1011&gt;PARAMETRES!$F$35,4,IF($N1011&gt;PARAMETRES!$E$35,3,IF($N1011&gt;PARAMETRES!$D$35,2,1)))))</f>
        <v/>
      </c>
      <c r="W1011" t="str">
        <f>IF($O1011="","",IF($O1011&gt;PARAMETRES!$G$36,5,IF($O1011&gt;PARAMETRES!$F$36,4,IF($O1011&gt;PARAMETRES!$E$36,3,IF($O1011&gt;PARAMETRES!$D$36,2,1)))))</f>
        <v/>
      </c>
      <c r="X1011" t="str">
        <f>IF($P1011="","",IF($P1011&gt;PARAMETRES!$G$37,5,IF($P1011&gt;PARAMETRES!$F$37,4,IF($P1011&gt;PARAMETRES!$E$37,3,IF($P1011&gt;PARAMETRES!$D$37,2,1)))))</f>
        <v/>
      </c>
      <c r="Y1011" t="str">
        <f t="shared" si="360"/>
        <v/>
      </c>
      <c r="Z1011" t="str">
        <f>IFERROR(VLOOKUP($B1011,TABLE_CYCLE,2,0),"")</f>
        <v/>
      </c>
      <c r="AA1011" t="str">
        <f t="shared" si="361"/>
        <v/>
      </c>
      <c r="AB1011" t="str">
        <f>IF($D1011="","",IF(COUNTIF($D$2:$D1011,$D1011)=1,$D1011,""))</f>
        <v/>
      </c>
      <c r="AC1011">
        <f t="shared" si="362"/>
        <v>0</v>
      </c>
      <c r="AD1011" t="str">
        <f t="shared" si="363"/>
        <v>|0</v>
      </c>
      <c r="AE1011" t="str">
        <f t="shared" si="364"/>
        <v/>
      </c>
      <c r="AF1011" t="str">
        <f t="shared" si="365"/>
        <v/>
      </c>
      <c r="AG1011" t="str">
        <f t="shared" si="366"/>
        <v/>
      </c>
      <c r="AH1011" t="str">
        <f t="shared" si="367"/>
        <v/>
      </c>
      <c r="AI1011" t="str">
        <f t="shared" si="368"/>
        <v/>
      </c>
      <c r="AJ1011" t="str">
        <f t="shared" si="369"/>
        <v/>
      </c>
      <c r="AK1011" t="str">
        <f t="shared" si="370"/>
        <v/>
      </c>
      <c r="AL1011" t="str">
        <f t="shared" si="371"/>
        <v/>
      </c>
      <c r="AM1011" t="str">
        <f t="shared" si="372"/>
        <v/>
      </c>
      <c r="AN1011" t="str">
        <f t="shared" si="373"/>
        <v/>
      </c>
      <c r="AO1011" t="str">
        <f t="shared" si="374"/>
        <v/>
      </c>
      <c r="AP1011">
        <f t="shared" si="375"/>
        <v>1</v>
      </c>
      <c r="AQ1011" t="str">
        <f>IF(SAISIE!$F1016="","",SAISIE!$Y1016)</f>
        <v/>
      </c>
      <c r="AR1011" t="str">
        <f>IF(OR(SAISIE!$U$4="",SAISIE!$W$4=""),"",IF(AND($A1011=SAISIE!$U$4,$B1011=SAISIE!$W$4,$C1011="S1"),COUNTIFS($A$2:$A1011,SAISIE!$U$4,$B$2:$B1011,SAISIE!$W$4,$C$2:$C1011,"S1"),""))</f>
        <v/>
      </c>
      <c r="AS1011" t="str">
        <f t="shared" si="376"/>
        <v/>
      </c>
      <c r="AT1011" t="str">
        <f t="shared" si="377"/>
        <v/>
      </c>
      <c r="AU1011" t="str">
        <f t="shared" si="378"/>
        <v/>
      </c>
      <c r="AV1011">
        <f>N(AV1010)+IF(AND($AB1011&lt;&gt;"",OR('PROFIL ELEVE'!$K$4="(Tous)",$AF1011='PROFIL ELEVE'!$K$4)),1,0)</f>
        <v>0</v>
      </c>
      <c r="AW1011">
        <f>N(AW1010)+IF(AND($AB1011&lt;&gt;"",OR('SUIVI LONGITUDINAL'!$Q$4="(Tous)",$AF1011='SUIVI LONGITUDINAL'!$Q$4)),1,0)</f>
        <v>0</v>
      </c>
      <c r="AX1011">
        <f t="shared" si="379"/>
        <v>0</v>
      </c>
      <c r="AY1011">
        <f t="shared" si="380"/>
        <v>0</v>
      </c>
      <c r="AZ1011">
        <f t="shared" si="381"/>
        <v>0</v>
      </c>
      <c r="BA1011" t="str">
        <f t="shared" si="382"/>
        <v/>
      </c>
      <c r="BB1011" t="str">
        <f t="shared" si="383"/>
        <v/>
      </c>
    </row>
    <row r="1012" spans="1:54" ht="14.25" customHeight="1" x14ac:dyDescent="0.3">
      <c r="A1012" t="str">
        <f>IF(SAISIE!$F1017="","",SAISIE!$B1017)</f>
        <v/>
      </c>
      <c r="B1012" t="str">
        <f>IF(SAISIE!$F1017="","",SAISIE!$C1017)</f>
        <v/>
      </c>
      <c r="C1012" t="str">
        <f>IF(SAISIE!$F1017="","",SAISIE!$D1017)</f>
        <v/>
      </c>
      <c r="D1012" t="str">
        <f>IF(SAISIE!$E1017="","",SAISIE!$E1017)</f>
        <v/>
      </c>
      <c r="E1012" t="str">
        <f>IF(SAISIE!$F1017="","",SAISIE!$F1017)</f>
        <v/>
      </c>
      <c r="F1012" t="str">
        <f>IF(SAISIE!$G1017="","",SAISIE!$G1017)</f>
        <v/>
      </c>
      <c r="G1012" t="str">
        <f>IF(SAISIE!$H1017="","",SAISIE!$H1017)</f>
        <v/>
      </c>
      <c r="H1012" t="str">
        <f>IF(SAISIE!$I1017="","",SAISIE!$I1017)</f>
        <v/>
      </c>
      <c r="I1012" t="str">
        <f>IF(SAISIE!$J1017="","",SAISIE!$J1017)</f>
        <v/>
      </c>
      <c r="J1012" t="str">
        <f>IF(SAISIE!$K1017="","",SAISIE!$K1017)</f>
        <v/>
      </c>
      <c r="K1012" t="str">
        <f>IF(SAISIE!$L1017="","",SAISIE!$L1017)</f>
        <v/>
      </c>
      <c r="L1012" t="str">
        <f>IF(SAISIE!$M1017="","",SAISIE!$M1017)</f>
        <v/>
      </c>
      <c r="M1012" t="str">
        <f>IF(SAISIE!$N1017="","",SAISIE!$N1017)</f>
        <v/>
      </c>
      <c r="N1012" t="str">
        <f>IF(SAISIE!$O1017="","",SAISIE!$O1017)</f>
        <v/>
      </c>
      <c r="O1012" t="str">
        <f>IF(SAISIE!$P1017="","",SAISIE!$P1017)</f>
        <v/>
      </c>
      <c r="P1012" t="str">
        <f>IF(SAISIE!$Q1017="","",SAISIE!$Q1017)</f>
        <v/>
      </c>
      <c r="Q1012" t="str">
        <f>IF($I1012="","",IF($I1012&gt;PARAMETRES!$G$29,5,IF($I1012&gt;PARAMETRES!$F$29,4,IF($I1012&gt;PARAMETRES!$E$29,3,IF($I1012&gt;PARAMETRES!$D$29,2,1)))))</f>
        <v/>
      </c>
      <c r="R1012" t="str">
        <f>IF($J1012="","",IF($J1012&gt;PARAMETRES!$G$30,5,IF($J1012&gt;PARAMETRES!$F$30,4,IF($J1012&gt;PARAMETRES!$E$30,3,IF($J1012&gt;PARAMETRES!$D$30,2,1)))))</f>
        <v/>
      </c>
      <c r="S1012" t="str">
        <f>IF($K1012="","",IF($Z1012=2,IF($K1012&gt;PARAMETRES!$G$31,5,IF($K1012&gt;PARAMETRES!$F$31,4,IF($K1012&gt;PARAMETRES!$E$31,3,IF($K1012&gt;PARAMETRES!$D$31,2,1)))),IF($K1012&gt;PARAMETRES!$G$32,5,IF($K1012&gt;PARAMETRES!$F$32,4,IF($K1012&gt;PARAMETRES!$E$32,3,IF($K1012&gt;PARAMETRES!$D$32,2,1))))))</f>
        <v/>
      </c>
      <c r="T1012" t="str">
        <f>IF($L1012="","",IF($L1012&gt;PARAMETRES!$G$33,5,IF($L1012&gt;PARAMETRES!$F$33,4,IF($L1012&gt;PARAMETRES!$E$33,3,IF($L1012&gt;PARAMETRES!$D$33,2,1)))))</f>
        <v/>
      </c>
      <c r="U1012" t="str">
        <f>IF($M1012="","",IF($M1012&gt;PARAMETRES!$G$34,5,IF($M1012&gt;PARAMETRES!$F$34,4,IF($M1012&gt;PARAMETRES!$E$34,3,IF($M1012&gt;PARAMETRES!$D$34,2,1)))))</f>
        <v/>
      </c>
      <c r="V1012" t="str">
        <f>IF($N1012="","",IF($N1012&gt;PARAMETRES!$G$35,5,IF($N1012&gt;PARAMETRES!$F$35,4,IF($N1012&gt;PARAMETRES!$E$35,3,IF($N1012&gt;PARAMETRES!$D$35,2,1)))))</f>
        <v/>
      </c>
      <c r="W1012" t="str">
        <f>IF($O1012="","",IF($O1012&gt;PARAMETRES!$G$36,5,IF($O1012&gt;PARAMETRES!$F$36,4,IF($O1012&gt;PARAMETRES!$E$36,3,IF($O1012&gt;PARAMETRES!$D$36,2,1)))))</f>
        <v/>
      </c>
      <c r="X1012" t="str">
        <f>IF($P1012="","",IF($P1012&gt;PARAMETRES!$G$37,5,IF($P1012&gt;PARAMETRES!$F$37,4,IF($P1012&gt;PARAMETRES!$E$37,3,IF($P1012&gt;PARAMETRES!$D$37,2,1)))))</f>
        <v/>
      </c>
      <c r="Y1012" t="str">
        <f t="shared" si="360"/>
        <v/>
      </c>
      <c r="Z1012" t="str">
        <f>IFERROR(VLOOKUP($B1012,TABLE_CYCLE,2,0),"")</f>
        <v/>
      </c>
      <c r="AA1012" t="str">
        <f t="shared" si="361"/>
        <v/>
      </c>
      <c r="AB1012" t="str">
        <f>IF($D1012="","",IF(COUNTIF($D$2:$D1012,$D1012)=1,$D1012,""))</f>
        <v/>
      </c>
      <c r="AC1012">
        <f t="shared" si="362"/>
        <v>0</v>
      </c>
      <c r="AD1012" t="str">
        <f t="shared" si="363"/>
        <v>|0</v>
      </c>
      <c r="AE1012" t="str">
        <f t="shared" si="364"/>
        <v/>
      </c>
      <c r="AF1012" t="str">
        <f t="shared" si="365"/>
        <v/>
      </c>
      <c r="AG1012" t="str">
        <f t="shared" si="366"/>
        <v/>
      </c>
      <c r="AH1012" t="str">
        <f t="shared" si="367"/>
        <v/>
      </c>
      <c r="AI1012" t="str">
        <f t="shared" si="368"/>
        <v/>
      </c>
      <c r="AJ1012" t="str">
        <f t="shared" si="369"/>
        <v/>
      </c>
      <c r="AK1012" t="str">
        <f t="shared" si="370"/>
        <v/>
      </c>
      <c r="AL1012" t="str">
        <f t="shared" si="371"/>
        <v/>
      </c>
      <c r="AM1012" t="str">
        <f t="shared" si="372"/>
        <v/>
      </c>
      <c r="AN1012" t="str">
        <f t="shared" si="373"/>
        <v/>
      </c>
      <c r="AO1012" t="str">
        <f t="shared" si="374"/>
        <v/>
      </c>
      <c r="AP1012">
        <f t="shared" si="375"/>
        <v>1</v>
      </c>
      <c r="AQ1012" t="str">
        <f>IF(SAISIE!$F1017="","",SAISIE!$Y1017)</f>
        <v/>
      </c>
      <c r="AR1012" t="str">
        <f>IF(OR(SAISIE!$U$4="",SAISIE!$W$4=""),"",IF(AND($A1012=SAISIE!$U$4,$B1012=SAISIE!$W$4,$C1012="S1"),COUNTIFS($A$2:$A1012,SAISIE!$U$4,$B$2:$B1012,SAISIE!$W$4,$C$2:$C1012,"S1"),""))</f>
        <v/>
      </c>
      <c r="AS1012" t="str">
        <f t="shared" si="376"/>
        <v/>
      </c>
      <c r="AT1012" t="str">
        <f t="shared" si="377"/>
        <v/>
      </c>
      <c r="AU1012" t="str">
        <f t="shared" si="378"/>
        <v/>
      </c>
      <c r="AV1012">
        <f>N(AV1011)+IF(AND($AB1012&lt;&gt;"",OR('PROFIL ELEVE'!$K$4="(Tous)",$AF1012='PROFIL ELEVE'!$K$4)),1,0)</f>
        <v>0</v>
      </c>
      <c r="AW1012">
        <f>N(AW1011)+IF(AND($AB1012&lt;&gt;"",OR('SUIVI LONGITUDINAL'!$Q$4="(Tous)",$AF1012='SUIVI LONGITUDINAL'!$Q$4)),1,0)</f>
        <v>0</v>
      </c>
      <c r="AX1012">
        <f t="shared" si="379"/>
        <v>0</v>
      </c>
      <c r="AY1012">
        <f t="shared" si="380"/>
        <v>0</v>
      </c>
      <c r="AZ1012">
        <f t="shared" si="381"/>
        <v>0</v>
      </c>
      <c r="BA1012" t="str">
        <f t="shared" si="382"/>
        <v/>
      </c>
      <c r="BB1012" t="str">
        <f t="shared" si="383"/>
        <v/>
      </c>
    </row>
    <row r="1013" spans="1:54" ht="14.25" customHeight="1" x14ac:dyDescent="0.3">
      <c r="A1013" t="str">
        <f>IF(SAISIE!$F1018="","",SAISIE!$B1018)</f>
        <v/>
      </c>
      <c r="B1013" t="str">
        <f>IF(SAISIE!$F1018="","",SAISIE!$C1018)</f>
        <v/>
      </c>
      <c r="C1013" t="str">
        <f>IF(SAISIE!$F1018="","",SAISIE!$D1018)</f>
        <v/>
      </c>
      <c r="D1013" t="str">
        <f>IF(SAISIE!$E1018="","",SAISIE!$E1018)</f>
        <v/>
      </c>
      <c r="E1013" t="str">
        <f>IF(SAISIE!$F1018="","",SAISIE!$F1018)</f>
        <v/>
      </c>
      <c r="F1013" t="str">
        <f>IF(SAISIE!$G1018="","",SAISIE!$G1018)</f>
        <v/>
      </c>
      <c r="G1013" t="str">
        <f>IF(SAISIE!$H1018="","",SAISIE!$H1018)</f>
        <v/>
      </c>
      <c r="H1013" t="str">
        <f>IF(SAISIE!$I1018="","",SAISIE!$I1018)</f>
        <v/>
      </c>
      <c r="I1013" t="str">
        <f>IF(SAISIE!$J1018="","",SAISIE!$J1018)</f>
        <v/>
      </c>
      <c r="J1013" t="str">
        <f>IF(SAISIE!$K1018="","",SAISIE!$K1018)</f>
        <v/>
      </c>
      <c r="K1013" t="str">
        <f>IF(SAISIE!$L1018="","",SAISIE!$L1018)</f>
        <v/>
      </c>
      <c r="L1013" t="str">
        <f>IF(SAISIE!$M1018="","",SAISIE!$M1018)</f>
        <v/>
      </c>
      <c r="M1013" t="str">
        <f>IF(SAISIE!$N1018="","",SAISIE!$N1018)</f>
        <v/>
      </c>
      <c r="N1013" t="str">
        <f>IF(SAISIE!$O1018="","",SAISIE!$O1018)</f>
        <v/>
      </c>
      <c r="O1013" t="str">
        <f>IF(SAISIE!$P1018="","",SAISIE!$P1018)</f>
        <v/>
      </c>
      <c r="P1013" t="str">
        <f>IF(SAISIE!$Q1018="","",SAISIE!$Q1018)</f>
        <v/>
      </c>
      <c r="Q1013" t="str">
        <f>IF($I1013="","",IF($I1013&gt;PARAMETRES!$G$29,5,IF($I1013&gt;PARAMETRES!$F$29,4,IF($I1013&gt;PARAMETRES!$E$29,3,IF($I1013&gt;PARAMETRES!$D$29,2,1)))))</f>
        <v/>
      </c>
      <c r="R1013" t="str">
        <f>IF($J1013="","",IF($J1013&gt;PARAMETRES!$G$30,5,IF($J1013&gt;PARAMETRES!$F$30,4,IF($J1013&gt;PARAMETRES!$E$30,3,IF($J1013&gt;PARAMETRES!$D$30,2,1)))))</f>
        <v/>
      </c>
      <c r="S1013" t="str">
        <f>IF($K1013="","",IF($Z1013=2,IF($K1013&gt;PARAMETRES!$G$31,5,IF($K1013&gt;PARAMETRES!$F$31,4,IF($K1013&gt;PARAMETRES!$E$31,3,IF($K1013&gt;PARAMETRES!$D$31,2,1)))),IF($K1013&gt;PARAMETRES!$G$32,5,IF($K1013&gt;PARAMETRES!$F$32,4,IF($K1013&gt;PARAMETRES!$E$32,3,IF($K1013&gt;PARAMETRES!$D$32,2,1))))))</f>
        <v/>
      </c>
      <c r="T1013" t="str">
        <f>IF($L1013="","",IF($L1013&gt;PARAMETRES!$G$33,5,IF($L1013&gt;PARAMETRES!$F$33,4,IF($L1013&gt;PARAMETRES!$E$33,3,IF($L1013&gt;PARAMETRES!$D$33,2,1)))))</f>
        <v/>
      </c>
      <c r="U1013" t="str">
        <f>IF($M1013="","",IF($M1013&gt;PARAMETRES!$G$34,5,IF($M1013&gt;PARAMETRES!$F$34,4,IF($M1013&gt;PARAMETRES!$E$34,3,IF($M1013&gt;PARAMETRES!$D$34,2,1)))))</f>
        <v/>
      </c>
      <c r="V1013" t="str">
        <f>IF($N1013="","",IF($N1013&gt;PARAMETRES!$G$35,5,IF($N1013&gt;PARAMETRES!$F$35,4,IF($N1013&gt;PARAMETRES!$E$35,3,IF($N1013&gt;PARAMETRES!$D$35,2,1)))))</f>
        <v/>
      </c>
      <c r="W1013" t="str">
        <f>IF($O1013="","",IF($O1013&gt;PARAMETRES!$G$36,5,IF($O1013&gt;PARAMETRES!$F$36,4,IF($O1013&gt;PARAMETRES!$E$36,3,IF($O1013&gt;PARAMETRES!$D$36,2,1)))))</f>
        <v/>
      </c>
      <c r="X1013" t="str">
        <f>IF($P1013="","",IF($P1013&gt;PARAMETRES!$G$37,5,IF($P1013&gt;PARAMETRES!$F$37,4,IF($P1013&gt;PARAMETRES!$E$37,3,IF($P1013&gt;PARAMETRES!$D$37,2,1)))))</f>
        <v/>
      </c>
      <c r="Y1013" t="str">
        <f t="shared" si="360"/>
        <v/>
      </c>
      <c r="Z1013" t="str">
        <f>IFERROR(VLOOKUP($B1013,TABLE_CYCLE,2,0),"")</f>
        <v/>
      </c>
      <c r="AA1013" t="str">
        <f t="shared" si="361"/>
        <v/>
      </c>
      <c r="AB1013" t="str">
        <f>IF($D1013="","",IF(COUNTIF($D$2:$D1013,$D1013)=1,$D1013,""))</f>
        <v/>
      </c>
      <c r="AC1013">
        <f t="shared" si="362"/>
        <v>0</v>
      </c>
      <c r="AD1013" t="str">
        <f t="shared" si="363"/>
        <v>|0</v>
      </c>
      <c r="AE1013" t="str">
        <f t="shared" si="364"/>
        <v/>
      </c>
      <c r="AF1013" t="str">
        <f t="shared" si="365"/>
        <v/>
      </c>
      <c r="AG1013" t="str">
        <f t="shared" si="366"/>
        <v/>
      </c>
      <c r="AH1013" t="str">
        <f t="shared" si="367"/>
        <v/>
      </c>
      <c r="AI1013" t="str">
        <f t="shared" si="368"/>
        <v/>
      </c>
      <c r="AJ1013" t="str">
        <f t="shared" si="369"/>
        <v/>
      </c>
      <c r="AK1013" t="str">
        <f t="shared" si="370"/>
        <v/>
      </c>
      <c r="AL1013" t="str">
        <f t="shared" si="371"/>
        <v/>
      </c>
      <c r="AM1013" t="str">
        <f t="shared" si="372"/>
        <v/>
      </c>
      <c r="AN1013" t="str">
        <f t="shared" si="373"/>
        <v/>
      </c>
      <c r="AO1013" t="str">
        <f t="shared" si="374"/>
        <v/>
      </c>
      <c r="AP1013">
        <f t="shared" si="375"/>
        <v>1</v>
      </c>
      <c r="AQ1013" t="str">
        <f>IF(SAISIE!$F1018="","",SAISIE!$Y1018)</f>
        <v/>
      </c>
      <c r="AR1013" t="str">
        <f>IF(OR(SAISIE!$U$4="",SAISIE!$W$4=""),"",IF(AND($A1013=SAISIE!$U$4,$B1013=SAISIE!$W$4,$C1013="S1"),COUNTIFS($A$2:$A1013,SAISIE!$U$4,$B$2:$B1013,SAISIE!$W$4,$C$2:$C1013,"S1"),""))</f>
        <v/>
      </c>
      <c r="AS1013" t="str">
        <f t="shared" si="376"/>
        <v/>
      </c>
      <c r="AT1013" t="str">
        <f t="shared" si="377"/>
        <v/>
      </c>
      <c r="AU1013" t="str">
        <f t="shared" si="378"/>
        <v/>
      </c>
      <c r="AV1013">
        <f>N(AV1012)+IF(AND($AB1013&lt;&gt;"",OR('PROFIL ELEVE'!$K$4="(Tous)",$AF1013='PROFIL ELEVE'!$K$4)),1,0)</f>
        <v>0</v>
      </c>
      <c r="AW1013">
        <f>N(AW1012)+IF(AND($AB1013&lt;&gt;"",OR('SUIVI LONGITUDINAL'!$Q$4="(Tous)",$AF1013='SUIVI LONGITUDINAL'!$Q$4)),1,0)</f>
        <v>0</v>
      </c>
      <c r="AX1013">
        <f t="shared" si="379"/>
        <v>0</v>
      </c>
      <c r="AY1013">
        <f t="shared" si="380"/>
        <v>0</v>
      </c>
      <c r="AZ1013">
        <f t="shared" si="381"/>
        <v>0</v>
      </c>
      <c r="BA1013" t="str">
        <f t="shared" si="382"/>
        <v/>
      </c>
      <c r="BB1013" t="str">
        <f t="shared" si="383"/>
        <v/>
      </c>
    </row>
    <row r="1014" spans="1:54" ht="14.25" customHeight="1" x14ac:dyDescent="0.3">
      <c r="A1014" t="str">
        <f>IF(SAISIE!$F1019="","",SAISIE!$B1019)</f>
        <v/>
      </c>
      <c r="B1014" t="str">
        <f>IF(SAISIE!$F1019="","",SAISIE!$C1019)</f>
        <v/>
      </c>
      <c r="C1014" t="str">
        <f>IF(SAISIE!$F1019="","",SAISIE!$D1019)</f>
        <v/>
      </c>
      <c r="D1014" t="str">
        <f>IF(SAISIE!$E1019="","",SAISIE!$E1019)</f>
        <v/>
      </c>
      <c r="E1014" t="str">
        <f>IF(SAISIE!$F1019="","",SAISIE!$F1019)</f>
        <v/>
      </c>
      <c r="F1014" t="str">
        <f>IF(SAISIE!$G1019="","",SAISIE!$G1019)</f>
        <v/>
      </c>
      <c r="G1014" t="str">
        <f>IF(SAISIE!$H1019="","",SAISIE!$H1019)</f>
        <v/>
      </c>
      <c r="H1014" t="str">
        <f>IF(SAISIE!$I1019="","",SAISIE!$I1019)</f>
        <v/>
      </c>
      <c r="I1014" t="str">
        <f>IF(SAISIE!$J1019="","",SAISIE!$J1019)</f>
        <v/>
      </c>
      <c r="J1014" t="str">
        <f>IF(SAISIE!$K1019="","",SAISIE!$K1019)</f>
        <v/>
      </c>
      <c r="K1014" t="str">
        <f>IF(SAISIE!$L1019="","",SAISIE!$L1019)</f>
        <v/>
      </c>
      <c r="L1014" t="str">
        <f>IF(SAISIE!$M1019="","",SAISIE!$M1019)</f>
        <v/>
      </c>
      <c r="M1014" t="str">
        <f>IF(SAISIE!$N1019="","",SAISIE!$N1019)</f>
        <v/>
      </c>
      <c r="N1014" t="str">
        <f>IF(SAISIE!$O1019="","",SAISIE!$O1019)</f>
        <v/>
      </c>
      <c r="O1014" t="str">
        <f>IF(SAISIE!$P1019="","",SAISIE!$P1019)</f>
        <v/>
      </c>
      <c r="P1014" t="str">
        <f>IF(SAISIE!$Q1019="","",SAISIE!$Q1019)</f>
        <v/>
      </c>
      <c r="Q1014" t="str">
        <f>IF($I1014="","",IF($I1014&gt;PARAMETRES!$G$29,5,IF($I1014&gt;PARAMETRES!$F$29,4,IF($I1014&gt;PARAMETRES!$E$29,3,IF($I1014&gt;PARAMETRES!$D$29,2,1)))))</f>
        <v/>
      </c>
      <c r="R1014" t="str">
        <f>IF($J1014="","",IF($J1014&gt;PARAMETRES!$G$30,5,IF($J1014&gt;PARAMETRES!$F$30,4,IF($J1014&gt;PARAMETRES!$E$30,3,IF($J1014&gt;PARAMETRES!$D$30,2,1)))))</f>
        <v/>
      </c>
      <c r="S1014" t="str">
        <f>IF($K1014="","",IF($Z1014=2,IF($K1014&gt;PARAMETRES!$G$31,5,IF($K1014&gt;PARAMETRES!$F$31,4,IF($K1014&gt;PARAMETRES!$E$31,3,IF($K1014&gt;PARAMETRES!$D$31,2,1)))),IF($K1014&gt;PARAMETRES!$G$32,5,IF($K1014&gt;PARAMETRES!$F$32,4,IF($K1014&gt;PARAMETRES!$E$32,3,IF($K1014&gt;PARAMETRES!$D$32,2,1))))))</f>
        <v/>
      </c>
      <c r="T1014" t="str">
        <f>IF($L1014="","",IF($L1014&gt;PARAMETRES!$G$33,5,IF($L1014&gt;PARAMETRES!$F$33,4,IF($L1014&gt;PARAMETRES!$E$33,3,IF($L1014&gt;PARAMETRES!$D$33,2,1)))))</f>
        <v/>
      </c>
      <c r="U1014" t="str">
        <f>IF($M1014="","",IF($M1014&gt;PARAMETRES!$G$34,5,IF($M1014&gt;PARAMETRES!$F$34,4,IF($M1014&gt;PARAMETRES!$E$34,3,IF($M1014&gt;PARAMETRES!$D$34,2,1)))))</f>
        <v/>
      </c>
      <c r="V1014" t="str">
        <f>IF($N1014="","",IF($N1014&gt;PARAMETRES!$G$35,5,IF($N1014&gt;PARAMETRES!$F$35,4,IF($N1014&gt;PARAMETRES!$E$35,3,IF($N1014&gt;PARAMETRES!$D$35,2,1)))))</f>
        <v/>
      </c>
      <c r="W1014" t="str">
        <f>IF($O1014="","",IF($O1014&gt;PARAMETRES!$G$36,5,IF($O1014&gt;PARAMETRES!$F$36,4,IF($O1014&gt;PARAMETRES!$E$36,3,IF($O1014&gt;PARAMETRES!$D$36,2,1)))))</f>
        <v/>
      </c>
      <c r="X1014" t="str">
        <f>IF($P1014="","",IF($P1014&gt;PARAMETRES!$G$37,5,IF($P1014&gt;PARAMETRES!$F$37,4,IF($P1014&gt;PARAMETRES!$E$37,3,IF($P1014&gt;PARAMETRES!$D$37,2,1)))))</f>
        <v/>
      </c>
      <c r="Y1014" t="str">
        <f t="shared" si="360"/>
        <v/>
      </c>
      <c r="Z1014" t="str">
        <f>IFERROR(VLOOKUP($B1014,TABLE_CYCLE,2,0),"")</f>
        <v/>
      </c>
      <c r="AA1014" t="str">
        <f t="shared" si="361"/>
        <v/>
      </c>
      <c r="AB1014" t="str">
        <f>IF($D1014="","",IF(COUNTIF($D$2:$D1014,$D1014)=1,$D1014,""))</f>
        <v/>
      </c>
      <c r="AC1014">
        <f t="shared" si="362"/>
        <v>0</v>
      </c>
      <c r="AD1014" t="str">
        <f t="shared" si="363"/>
        <v>|0</v>
      </c>
      <c r="AE1014" t="str">
        <f t="shared" si="364"/>
        <v/>
      </c>
      <c r="AF1014" t="str">
        <f t="shared" si="365"/>
        <v/>
      </c>
      <c r="AG1014" t="str">
        <f t="shared" si="366"/>
        <v/>
      </c>
      <c r="AH1014" t="str">
        <f t="shared" si="367"/>
        <v/>
      </c>
      <c r="AI1014" t="str">
        <f t="shared" si="368"/>
        <v/>
      </c>
      <c r="AJ1014" t="str">
        <f t="shared" si="369"/>
        <v/>
      </c>
      <c r="AK1014" t="str">
        <f t="shared" si="370"/>
        <v/>
      </c>
      <c r="AL1014" t="str">
        <f t="shared" si="371"/>
        <v/>
      </c>
      <c r="AM1014" t="str">
        <f t="shared" si="372"/>
        <v/>
      </c>
      <c r="AN1014" t="str">
        <f t="shared" si="373"/>
        <v/>
      </c>
      <c r="AO1014" t="str">
        <f t="shared" si="374"/>
        <v/>
      </c>
      <c r="AP1014">
        <f t="shared" si="375"/>
        <v>1</v>
      </c>
      <c r="AQ1014" t="str">
        <f>IF(SAISIE!$F1019="","",SAISIE!$Y1019)</f>
        <v/>
      </c>
      <c r="AR1014" t="str">
        <f>IF(OR(SAISIE!$U$4="",SAISIE!$W$4=""),"",IF(AND($A1014=SAISIE!$U$4,$B1014=SAISIE!$W$4,$C1014="S1"),COUNTIFS($A$2:$A1014,SAISIE!$U$4,$B$2:$B1014,SAISIE!$W$4,$C$2:$C1014,"S1"),""))</f>
        <v/>
      </c>
      <c r="AS1014" t="str">
        <f t="shared" si="376"/>
        <v/>
      </c>
      <c r="AT1014" t="str">
        <f t="shared" si="377"/>
        <v/>
      </c>
      <c r="AU1014" t="str">
        <f t="shared" si="378"/>
        <v/>
      </c>
      <c r="AV1014">
        <f>N(AV1013)+IF(AND($AB1014&lt;&gt;"",OR('PROFIL ELEVE'!$K$4="(Tous)",$AF1014='PROFIL ELEVE'!$K$4)),1,0)</f>
        <v>0</v>
      </c>
      <c r="AW1014">
        <f>N(AW1013)+IF(AND($AB1014&lt;&gt;"",OR('SUIVI LONGITUDINAL'!$Q$4="(Tous)",$AF1014='SUIVI LONGITUDINAL'!$Q$4)),1,0)</f>
        <v>0</v>
      </c>
      <c r="AX1014">
        <f t="shared" si="379"/>
        <v>0</v>
      </c>
      <c r="AY1014">
        <f t="shared" si="380"/>
        <v>0</v>
      </c>
      <c r="AZ1014">
        <f t="shared" si="381"/>
        <v>0</v>
      </c>
      <c r="BA1014" t="str">
        <f t="shared" si="382"/>
        <v/>
      </c>
      <c r="BB1014" t="str">
        <f t="shared" si="383"/>
        <v/>
      </c>
    </row>
    <row r="1015" spans="1:54" ht="14.25" customHeight="1" x14ac:dyDescent="0.3">
      <c r="A1015" t="str">
        <f>IF(SAISIE!$F1020="","",SAISIE!$B1020)</f>
        <v/>
      </c>
      <c r="B1015" t="str">
        <f>IF(SAISIE!$F1020="","",SAISIE!$C1020)</f>
        <v/>
      </c>
      <c r="C1015" t="str">
        <f>IF(SAISIE!$F1020="","",SAISIE!$D1020)</f>
        <v/>
      </c>
      <c r="D1015" t="str">
        <f>IF(SAISIE!$E1020="","",SAISIE!$E1020)</f>
        <v/>
      </c>
      <c r="E1015" t="str">
        <f>IF(SAISIE!$F1020="","",SAISIE!$F1020)</f>
        <v/>
      </c>
      <c r="F1015" t="str">
        <f>IF(SAISIE!$G1020="","",SAISIE!$G1020)</f>
        <v/>
      </c>
      <c r="G1015" t="str">
        <f>IF(SAISIE!$H1020="","",SAISIE!$H1020)</f>
        <v/>
      </c>
      <c r="H1015" t="str">
        <f>IF(SAISIE!$I1020="","",SAISIE!$I1020)</f>
        <v/>
      </c>
      <c r="I1015" t="str">
        <f>IF(SAISIE!$J1020="","",SAISIE!$J1020)</f>
        <v/>
      </c>
      <c r="J1015" t="str">
        <f>IF(SAISIE!$K1020="","",SAISIE!$K1020)</f>
        <v/>
      </c>
      <c r="K1015" t="str">
        <f>IF(SAISIE!$L1020="","",SAISIE!$L1020)</f>
        <v/>
      </c>
      <c r="L1015" t="str">
        <f>IF(SAISIE!$M1020="","",SAISIE!$M1020)</f>
        <v/>
      </c>
      <c r="M1015" t="str">
        <f>IF(SAISIE!$N1020="","",SAISIE!$N1020)</f>
        <v/>
      </c>
      <c r="N1015" t="str">
        <f>IF(SAISIE!$O1020="","",SAISIE!$O1020)</f>
        <v/>
      </c>
      <c r="O1015" t="str">
        <f>IF(SAISIE!$P1020="","",SAISIE!$P1020)</f>
        <v/>
      </c>
      <c r="P1015" t="str">
        <f>IF(SAISIE!$Q1020="","",SAISIE!$Q1020)</f>
        <v/>
      </c>
      <c r="Q1015" t="str">
        <f>IF($I1015="","",IF($I1015&gt;PARAMETRES!$G$29,5,IF($I1015&gt;PARAMETRES!$F$29,4,IF($I1015&gt;PARAMETRES!$E$29,3,IF($I1015&gt;PARAMETRES!$D$29,2,1)))))</f>
        <v/>
      </c>
      <c r="R1015" t="str">
        <f>IF($J1015="","",IF($J1015&gt;PARAMETRES!$G$30,5,IF($J1015&gt;PARAMETRES!$F$30,4,IF($J1015&gt;PARAMETRES!$E$30,3,IF($J1015&gt;PARAMETRES!$D$30,2,1)))))</f>
        <v/>
      </c>
      <c r="S1015" t="str">
        <f>IF($K1015="","",IF($Z1015=2,IF($K1015&gt;PARAMETRES!$G$31,5,IF($K1015&gt;PARAMETRES!$F$31,4,IF($K1015&gt;PARAMETRES!$E$31,3,IF($K1015&gt;PARAMETRES!$D$31,2,1)))),IF($K1015&gt;PARAMETRES!$G$32,5,IF($K1015&gt;PARAMETRES!$F$32,4,IF($K1015&gt;PARAMETRES!$E$32,3,IF($K1015&gt;PARAMETRES!$D$32,2,1))))))</f>
        <v/>
      </c>
      <c r="T1015" t="str">
        <f>IF($L1015="","",IF($L1015&gt;PARAMETRES!$G$33,5,IF($L1015&gt;PARAMETRES!$F$33,4,IF($L1015&gt;PARAMETRES!$E$33,3,IF($L1015&gt;PARAMETRES!$D$33,2,1)))))</f>
        <v/>
      </c>
      <c r="U1015" t="str">
        <f>IF($M1015="","",IF($M1015&gt;PARAMETRES!$G$34,5,IF($M1015&gt;PARAMETRES!$F$34,4,IF($M1015&gt;PARAMETRES!$E$34,3,IF($M1015&gt;PARAMETRES!$D$34,2,1)))))</f>
        <v/>
      </c>
      <c r="V1015" t="str">
        <f>IF($N1015="","",IF($N1015&gt;PARAMETRES!$G$35,5,IF($N1015&gt;PARAMETRES!$F$35,4,IF($N1015&gt;PARAMETRES!$E$35,3,IF($N1015&gt;PARAMETRES!$D$35,2,1)))))</f>
        <v/>
      </c>
      <c r="W1015" t="str">
        <f>IF($O1015="","",IF($O1015&gt;PARAMETRES!$G$36,5,IF($O1015&gt;PARAMETRES!$F$36,4,IF($O1015&gt;PARAMETRES!$E$36,3,IF($O1015&gt;PARAMETRES!$D$36,2,1)))))</f>
        <v/>
      </c>
      <c r="X1015" t="str">
        <f>IF($P1015="","",IF($P1015&gt;PARAMETRES!$G$37,5,IF($P1015&gt;PARAMETRES!$F$37,4,IF($P1015&gt;PARAMETRES!$E$37,3,IF($P1015&gt;PARAMETRES!$D$37,2,1)))))</f>
        <v/>
      </c>
      <c r="Y1015" t="str">
        <f t="shared" si="360"/>
        <v/>
      </c>
      <c r="Z1015" t="str">
        <f>IFERROR(VLOOKUP($B1015,TABLE_CYCLE,2,0),"")</f>
        <v/>
      </c>
      <c r="AA1015" t="str">
        <f t="shared" si="361"/>
        <v/>
      </c>
      <c r="AB1015" t="str">
        <f>IF($D1015="","",IF(COUNTIF($D$2:$D1015,$D1015)=1,$D1015,""))</f>
        <v/>
      </c>
      <c r="AC1015">
        <f t="shared" si="362"/>
        <v>0</v>
      </c>
      <c r="AD1015" t="str">
        <f t="shared" si="363"/>
        <v>|0</v>
      </c>
      <c r="AE1015" t="str">
        <f t="shared" si="364"/>
        <v/>
      </c>
      <c r="AF1015" t="str">
        <f t="shared" si="365"/>
        <v/>
      </c>
      <c r="AG1015" t="str">
        <f t="shared" si="366"/>
        <v/>
      </c>
      <c r="AH1015" t="str">
        <f t="shared" si="367"/>
        <v/>
      </c>
      <c r="AI1015" t="str">
        <f t="shared" si="368"/>
        <v/>
      </c>
      <c r="AJ1015" t="str">
        <f t="shared" si="369"/>
        <v/>
      </c>
      <c r="AK1015" t="str">
        <f t="shared" si="370"/>
        <v/>
      </c>
      <c r="AL1015" t="str">
        <f t="shared" si="371"/>
        <v/>
      </c>
      <c r="AM1015" t="str">
        <f t="shared" si="372"/>
        <v/>
      </c>
      <c r="AN1015" t="str">
        <f t="shared" si="373"/>
        <v/>
      </c>
      <c r="AO1015" t="str">
        <f t="shared" si="374"/>
        <v/>
      </c>
      <c r="AP1015">
        <f t="shared" si="375"/>
        <v>1</v>
      </c>
      <c r="AQ1015" t="str">
        <f>IF(SAISIE!$F1020="","",SAISIE!$Y1020)</f>
        <v/>
      </c>
      <c r="AR1015" t="str">
        <f>IF(OR(SAISIE!$U$4="",SAISIE!$W$4=""),"",IF(AND($A1015=SAISIE!$U$4,$B1015=SAISIE!$W$4,$C1015="S1"),COUNTIFS($A$2:$A1015,SAISIE!$U$4,$B$2:$B1015,SAISIE!$W$4,$C$2:$C1015,"S1"),""))</f>
        <v/>
      </c>
      <c r="AS1015" t="str">
        <f t="shared" si="376"/>
        <v/>
      </c>
      <c r="AT1015" t="str">
        <f t="shared" si="377"/>
        <v/>
      </c>
      <c r="AU1015" t="str">
        <f t="shared" si="378"/>
        <v/>
      </c>
      <c r="AV1015">
        <f>N(AV1014)+IF(AND($AB1015&lt;&gt;"",OR('PROFIL ELEVE'!$K$4="(Tous)",$AF1015='PROFIL ELEVE'!$K$4)),1,0)</f>
        <v>0</v>
      </c>
      <c r="AW1015">
        <f>N(AW1014)+IF(AND($AB1015&lt;&gt;"",OR('SUIVI LONGITUDINAL'!$Q$4="(Tous)",$AF1015='SUIVI LONGITUDINAL'!$Q$4)),1,0)</f>
        <v>0</v>
      </c>
      <c r="AX1015">
        <f t="shared" si="379"/>
        <v>0</v>
      </c>
      <c r="AY1015">
        <f t="shared" si="380"/>
        <v>0</v>
      </c>
      <c r="AZ1015">
        <f t="shared" si="381"/>
        <v>0</v>
      </c>
      <c r="BA1015" t="str">
        <f t="shared" si="382"/>
        <v/>
      </c>
      <c r="BB1015" t="str">
        <f t="shared" si="383"/>
        <v/>
      </c>
    </row>
    <row r="1016" spans="1:54" ht="14.25" customHeight="1" x14ac:dyDescent="0.3">
      <c r="A1016" t="str">
        <f>IF(SAISIE!$F1021="","",SAISIE!$B1021)</f>
        <v/>
      </c>
      <c r="B1016" t="str">
        <f>IF(SAISIE!$F1021="","",SAISIE!$C1021)</f>
        <v/>
      </c>
      <c r="C1016" t="str">
        <f>IF(SAISIE!$F1021="","",SAISIE!$D1021)</f>
        <v/>
      </c>
      <c r="D1016" t="str">
        <f>IF(SAISIE!$E1021="","",SAISIE!$E1021)</f>
        <v/>
      </c>
      <c r="E1016" t="str">
        <f>IF(SAISIE!$F1021="","",SAISIE!$F1021)</f>
        <v/>
      </c>
      <c r="F1016" t="str">
        <f>IF(SAISIE!$G1021="","",SAISIE!$G1021)</f>
        <v/>
      </c>
      <c r="G1016" t="str">
        <f>IF(SAISIE!$H1021="","",SAISIE!$H1021)</f>
        <v/>
      </c>
      <c r="H1016" t="str">
        <f>IF(SAISIE!$I1021="","",SAISIE!$I1021)</f>
        <v/>
      </c>
      <c r="I1016" t="str">
        <f>IF(SAISIE!$J1021="","",SAISIE!$J1021)</f>
        <v/>
      </c>
      <c r="J1016" t="str">
        <f>IF(SAISIE!$K1021="","",SAISIE!$K1021)</f>
        <v/>
      </c>
      <c r="K1016" t="str">
        <f>IF(SAISIE!$L1021="","",SAISIE!$L1021)</f>
        <v/>
      </c>
      <c r="L1016" t="str">
        <f>IF(SAISIE!$M1021="","",SAISIE!$M1021)</f>
        <v/>
      </c>
      <c r="M1016" t="str">
        <f>IF(SAISIE!$N1021="","",SAISIE!$N1021)</f>
        <v/>
      </c>
      <c r="N1016" t="str">
        <f>IF(SAISIE!$O1021="","",SAISIE!$O1021)</f>
        <v/>
      </c>
      <c r="O1016" t="str">
        <f>IF(SAISIE!$P1021="","",SAISIE!$P1021)</f>
        <v/>
      </c>
      <c r="P1016" t="str">
        <f>IF(SAISIE!$Q1021="","",SAISIE!$Q1021)</f>
        <v/>
      </c>
      <c r="Q1016" t="str">
        <f>IF($I1016="","",IF($I1016&gt;PARAMETRES!$G$29,5,IF($I1016&gt;PARAMETRES!$F$29,4,IF($I1016&gt;PARAMETRES!$E$29,3,IF($I1016&gt;PARAMETRES!$D$29,2,1)))))</f>
        <v/>
      </c>
      <c r="R1016" t="str">
        <f>IF($J1016="","",IF($J1016&gt;PARAMETRES!$G$30,5,IF($J1016&gt;PARAMETRES!$F$30,4,IF($J1016&gt;PARAMETRES!$E$30,3,IF($J1016&gt;PARAMETRES!$D$30,2,1)))))</f>
        <v/>
      </c>
      <c r="S1016" t="str">
        <f>IF($K1016="","",IF($Z1016=2,IF($K1016&gt;PARAMETRES!$G$31,5,IF($K1016&gt;PARAMETRES!$F$31,4,IF($K1016&gt;PARAMETRES!$E$31,3,IF($K1016&gt;PARAMETRES!$D$31,2,1)))),IF($K1016&gt;PARAMETRES!$G$32,5,IF($K1016&gt;PARAMETRES!$F$32,4,IF($K1016&gt;PARAMETRES!$E$32,3,IF($K1016&gt;PARAMETRES!$D$32,2,1))))))</f>
        <v/>
      </c>
      <c r="T1016" t="str">
        <f>IF($L1016="","",IF($L1016&gt;PARAMETRES!$G$33,5,IF($L1016&gt;PARAMETRES!$F$33,4,IF($L1016&gt;PARAMETRES!$E$33,3,IF($L1016&gt;PARAMETRES!$D$33,2,1)))))</f>
        <v/>
      </c>
      <c r="U1016" t="str">
        <f>IF($M1016="","",IF($M1016&gt;PARAMETRES!$G$34,5,IF($M1016&gt;PARAMETRES!$F$34,4,IF($M1016&gt;PARAMETRES!$E$34,3,IF($M1016&gt;PARAMETRES!$D$34,2,1)))))</f>
        <v/>
      </c>
      <c r="V1016" t="str">
        <f>IF($N1016="","",IF($N1016&gt;PARAMETRES!$G$35,5,IF($N1016&gt;PARAMETRES!$F$35,4,IF($N1016&gt;PARAMETRES!$E$35,3,IF($N1016&gt;PARAMETRES!$D$35,2,1)))))</f>
        <v/>
      </c>
      <c r="W1016" t="str">
        <f>IF($O1016="","",IF($O1016&gt;PARAMETRES!$G$36,5,IF($O1016&gt;PARAMETRES!$F$36,4,IF($O1016&gt;PARAMETRES!$E$36,3,IF($O1016&gt;PARAMETRES!$D$36,2,1)))))</f>
        <v/>
      </c>
      <c r="X1016" t="str">
        <f>IF($P1016="","",IF($P1016&gt;PARAMETRES!$G$37,5,IF($P1016&gt;PARAMETRES!$F$37,4,IF($P1016&gt;PARAMETRES!$E$37,3,IF($P1016&gt;PARAMETRES!$D$37,2,1)))))</f>
        <v/>
      </c>
      <c r="Y1016" t="str">
        <f t="shared" si="360"/>
        <v/>
      </c>
      <c r="Z1016" t="str">
        <f>IFERROR(VLOOKUP($B1016,TABLE_CYCLE,2,0),"")</f>
        <v/>
      </c>
      <c r="AA1016" t="str">
        <f t="shared" si="361"/>
        <v/>
      </c>
      <c r="AB1016" t="str">
        <f>IF($D1016="","",IF(COUNTIF($D$2:$D1016,$D1016)=1,$D1016,""))</f>
        <v/>
      </c>
      <c r="AC1016">
        <f t="shared" si="362"/>
        <v>0</v>
      </c>
      <c r="AD1016" t="str">
        <f t="shared" si="363"/>
        <v>|0</v>
      </c>
      <c r="AE1016" t="str">
        <f t="shared" si="364"/>
        <v/>
      </c>
      <c r="AF1016" t="str">
        <f t="shared" si="365"/>
        <v/>
      </c>
      <c r="AG1016" t="str">
        <f t="shared" si="366"/>
        <v/>
      </c>
      <c r="AH1016" t="str">
        <f t="shared" si="367"/>
        <v/>
      </c>
      <c r="AI1016" t="str">
        <f t="shared" si="368"/>
        <v/>
      </c>
      <c r="AJ1016" t="str">
        <f t="shared" si="369"/>
        <v/>
      </c>
      <c r="AK1016" t="str">
        <f t="shared" si="370"/>
        <v/>
      </c>
      <c r="AL1016" t="str">
        <f t="shared" si="371"/>
        <v/>
      </c>
      <c r="AM1016" t="str">
        <f t="shared" si="372"/>
        <v/>
      </c>
      <c r="AN1016" t="str">
        <f t="shared" si="373"/>
        <v/>
      </c>
      <c r="AO1016" t="str">
        <f t="shared" si="374"/>
        <v/>
      </c>
      <c r="AP1016">
        <f t="shared" si="375"/>
        <v>1</v>
      </c>
      <c r="AQ1016" t="str">
        <f>IF(SAISIE!$F1021="","",SAISIE!$Y1021)</f>
        <v/>
      </c>
      <c r="AR1016" t="str">
        <f>IF(OR(SAISIE!$U$4="",SAISIE!$W$4=""),"",IF(AND($A1016=SAISIE!$U$4,$B1016=SAISIE!$W$4,$C1016="S1"),COUNTIFS($A$2:$A1016,SAISIE!$U$4,$B$2:$B1016,SAISIE!$W$4,$C$2:$C1016,"S1"),""))</f>
        <v/>
      </c>
      <c r="AS1016" t="str">
        <f t="shared" si="376"/>
        <v/>
      </c>
      <c r="AT1016" t="str">
        <f t="shared" si="377"/>
        <v/>
      </c>
      <c r="AU1016" t="str">
        <f t="shared" si="378"/>
        <v/>
      </c>
      <c r="AV1016">
        <f>N(AV1015)+IF(AND($AB1016&lt;&gt;"",OR('PROFIL ELEVE'!$K$4="(Tous)",$AF1016='PROFIL ELEVE'!$K$4)),1,0)</f>
        <v>0</v>
      </c>
      <c r="AW1016">
        <f>N(AW1015)+IF(AND($AB1016&lt;&gt;"",OR('SUIVI LONGITUDINAL'!$Q$4="(Tous)",$AF1016='SUIVI LONGITUDINAL'!$Q$4)),1,0)</f>
        <v>0</v>
      </c>
      <c r="AX1016">
        <f t="shared" si="379"/>
        <v>0</v>
      </c>
      <c r="AY1016">
        <f t="shared" si="380"/>
        <v>0</v>
      </c>
      <c r="AZ1016">
        <f t="shared" si="381"/>
        <v>0</v>
      </c>
      <c r="BA1016" t="str">
        <f t="shared" si="382"/>
        <v/>
      </c>
      <c r="BB1016" t="str">
        <f t="shared" si="383"/>
        <v/>
      </c>
    </row>
    <row r="1017" spans="1:54" ht="14.25" customHeight="1" x14ac:dyDescent="0.3">
      <c r="A1017" t="str">
        <f>IF(SAISIE!$F1022="","",SAISIE!$B1022)</f>
        <v/>
      </c>
      <c r="B1017" t="str">
        <f>IF(SAISIE!$F1022="","",SAISIE!$C1022)</f>
        <v/>
      </c>
      <c r="C1017" t="str">
        <f>IF(SAISIE!$F1022="","",SAISIE!$D1022)</f>
        <v/>
      </c>
      <c r="D1017" t="str">
        <f>IF(SAISIE!$E1022="","",SAISIE!$E1022)</f>
        <v/>
      </c>
      <c r="E1017" t="str">
        <f>IF(SAISIE!$F1022="","",SAISIE!$F1022)</f>
        <v/>
      </c>
      <c r="F1017" t="str">
        <f>IF(SAISIE!$G1022="","",SAISIE!$G1022)</f>
        <v/>
      </c>
      <c r="G1017" t="str">
        <f>IF(SAISIE!$H1022="","",SAISIE!$H1022)</f>
        <v/>
      </c>
      <c r="H1017" t="str">
        <f>IF(SAISIE!$I1022="","",SAISIE!$I1022)</f>
        <v/>
      </c>
      <c r="I1017" t="str">
        <f>IF(SAISIE!$J1022="","",SAISIE!$J1022)</f>
        <v/>
      </c>
      <c r="J1017" t="str">
        <f>IF(SAISIE!$K1022="","",SAISIE!$K1022)</f>
        <v/>
      </c>
      <c r="K1017" t="str">
        <f>IF(SAISIE!$L1022="","",SAISIE!$L1022)</f>
        <v/>
      </c>
      <c r="L1017" t="str">
        <f>IF(SAISIE!$M1022="","",SAISIE!$M1022)</f>
        <v/>
      </c>
      <c r="M1017" t="str">
        <f>IF(SAISIE!$N1022="","",SAISIE!$N1022)</f>
        <v/>
      </c>
      <c r="N1017" t="str">
        <f>IF(SAISIE!$O1022="","",SAISIE!$O1022)</f>
        <v/>
      </c>
      <c r="O1017" t="str">
        <f>IF(SAISIE!$P1022="","",SAISIE!$P1022)</f>
        <v/>
      </c>
      <c r="P1017" t="str">
        <f>IF(SAISIE!$Q1022="","",SAISIE!$Q1022)</f>
        <v/>
      </c>
      <c r="Q1017" t="str">
        <f>IF($I1017="","",IF($I1017&gt;PARAMETRES!$G$29,5,IF($I1017&gt;PARAMETRES!$F$29,4,IF($I1017&gt;PARAMETRES!$E$29,3,IF($I1017&gt;PARAMETRES!$D$29,2,1)))))</f>
        <v/>
      </c>
      <c r="R1017" t="str">
        <f>IF($J1017="","",IF($J1017&gt;PARAMETRES!$G$30,5,IF($J1017&gt;PARAMETRES!$F$30,4,IF($J1017&gt;PARAMETRES!$E$30,3,IF($J1017&gt;PARAMETRES!$D$30,2,1)))))</f>
        <v/>
      </c>
      <c r="S1017" t="str">
        <f>IF($K1017="","",IF($Z1017=2,IF($K1017&gt;PARAMETRES!$G$31,5,IF($K1017&gt;PARAMETRES!$F$31,4,IF($K1017&gt;PARAMETRES!$E$31,3,IF($K1017&gt;PARAMETRES!$D$31,2,1)))),IF($K1017&gt;PARAMETRES!$G$32,5,IF($K1017&gt;PARAMETRES!$F$32,4,IF($K1017&gt;PARAMETRES!$E$32,3,IF($K1017&gt;PARAMETRES!$D$32,2,1))))))</f>
        <v/>
      </c>
      <c r="T1017" t="str">
        <f>IF($L1017="","",IF($L1017&gt;PARAMETRES!$G$33,5,IF($L1017&gt;PARAMETRES!$F$33,4,IF($L1017&gt;PARAMETRES!$E$33,3,IF($L1017&gt;PARAMETRES!$D$33,2,1)))))</f>
        <v/>
      </c>
      <c r="U1017" t="str">
        <f>IF($M1017="","",IF($M1017&gt;PARAMETRES!$G$34,5,IF($M1017&gt;PARAMETRES!$F$34,4,IF($M1017&gt;PARAMETRES!$E$34,3,IF($M1017&gt;PARAMETRES!$D$34,2,1)))))</f>
        <v/>
      </c>
      <c r="V1017" t="str">
        <f>IF($N1017="","",IF($N1017&gt;PARAMETRES!$G$35,5,IF($N1017&gt;PARAMETRES!$F$35,4,IF($N1017&gt;PARAMETRES!$E$35,3,IF($N1017&gt;PARAMETRES!$D$35,2,1)))))</f>
        <v/>
      </c>
      <c r="W1017" t="str">
        <f>IF($O1017="","",IF($O1017&gt;PARAMETRES!$G$36,5,IF($O1017&gt;PARAMETRES!$F$36,4,IF($O1017&gt;PARAMETRES!$E$36,3,IF($O1017&gt;PARAMETRES!$D$36,2,1)))))</f>
        <v/>
      </c>
      <c r="X1017" t="str">
        <f>IF($P1017="","",IF($P1017&gt;PARAMETRES!$G$37,5,IF($P1017&gt;PARAMETRES!$F$37,4,IF($P1017&gt;PARAMETRES!$E$37,3,IF($P1017&gt;PARAMETRES!$D$37,2,1)))))</f>
        <v/>
      </c>
      <c r="Y1017" t="str">
        <f t="shared" si="360"/>
        <v/>
      </c>
      <c r="Z1017" t="str">
        <f>IFERROR(VLOOKUP($B1017,TABLE_CYCLE,2,0),"")</f>
        <v/>
      </c>
      <c r="AA1017" t="str">
        <f t="shared" si="361"/>
        <v/>
      </c>
      <c r="AB1017" t="str">
        <f>IF($D1017="","",IF(COUNTIF($D$2:$D1017,$D1017)=1,$D1017,""))</f>
        <v/>
      </c>
      <c r="AC1017">
        <f t="shared" si="362"/>
        <v>0</v>
      </c>
      <c r="AD1017" t="str">
        <f t="shared" si="363"/>
        <v>|0</v>
      </c>
      <c r="AE1017" t="str">
        <f t="shared" si="364"/>
        <v/>
      </c>
      <c r="AF1017" t="str">
        <f t="shared" si="365"/>
        <v/>
      </c>
      <c r="AG1017" t="str">
        <f t="shared" si="366"/>
        <v/>
      </c>
      <c r="AH1017" t="str">
        <f t="shared" si="367"/>
        <v/>
      </c>
      <c r="AI1017" t="str">
        <f t="shared" si="368"/>
        <v/>
      </c>
      <c r="AJ1017" t="str">
        <f t="shared" si="369"/>
        <v/>
      </c>
      <c r="AK1017" t="str">
        <f t="shared" si="370"/>
        <v/>
      </c>
      <c r="AL1017" t="str">
        <f t="shared" si="371"/>
        <v/>
      </c>
      <c r="AM1017" t="str">
        <f t="shared" si="372"/>
        <v/>
      </c>
      <c r="AN1017" t="str">
        <f t="shared" si="373"/>
        <v/>
      </c>
      <c r="AO1017" t="str">
        <f t="shared" si="374"/>
        <v/>
      </c>
      <c r="AP1017">
        <f t="shared" si="375"/>
        <v>1</v>
      </c>
      <c r="AQ1017" t="str">
        <f>IF(SAISIE!$F1022="","",SAISIE!$Y1022)</f>
        <v/>
      </c>
      <c r="AR1017" t="str">
        <f>IF(OR(SAISIE!$U$4="",SAISIE!$W$4=""),"",IF(AND($A1017=SAISIE!$U$4,$B1017=SAISIE!$W$4,$C1017="S1"),COUNTIFS($A$2:$A1017,SAISIE!$U$4,$B$2:$B1017,SAISIE!$W$4,$C$2:$C1017,"S1"),""))</f>
        <v/>
      </c>
      <c r="AS1017" t="str">
        <f t="shared" si="376"/>
        <v/>
      </c>
      <c r="AT1017" t="str">
        <f t="shared" si="377"/>
        <v/>
      </c>
      <c r="AU1017" t="str">
        <f t="shared" si="378"/>
        <v/>
      </c>
      <c r="AV1017">
        <f>N(AV1016)+IF(AND($AB1017&lt;&gt;"",OR('PROFIL ELEVE'!$K$4="(Tous)",$AF1017='PROFIL ELEVE'!$K$4)),1,0)</f>
        <v>0</v>
      </c>
      <c r="AW1017">
        <f>N(AW1016)+IF(AND($AB1017&lt;&gt;"",OR('SUIVI LONGITUDINAL'!$Q$4="(Tous)",$AF1017='SUIVI LONGITUDINAL'!$Q$4)),1,0)</f>
        <v>0</v>
      </c>
      <c r="AX1017">
        <f t="shared" si="379"/>
        <v>0</v>
      </c>
      <c r="AY1017">
        <f t="shared" si="380"/>
        <v>0</v>
      </c>
      <c r="AZ1017">
        <f t="shared" si="381"/>
        <v>0</v>
      </c>
      <c r="BA1017" t="str">
        <f t="shared" si="382"/>
        <v/>
      </c>
      <c r="BB1017" t="str">
        <f t="shared" si="383"/>
        <v/>
      </c>
    </row>
    <row r="1018" spans="1:54" ht="14.25" customHeight="1" x14ac:dyDescent="0.3">
      <c r="A1018" t="str">
        <f>IF(SAISIE!$F1023="","",SAISIE!$B1023)</f>
        <v/>
      </c>
      <c r="B1018" t="str">
        <f>IF(SAISIE!$F1023="","",SAISIE!$C1023)</f>
        <v/>
      </c>
      <c r="C1018" t="str">
        <f>IF(SAISIE!$F1023="","",SAISIE!$D1023)</f>
        <v/>
      </c>
      <c r="D1018" t="str">
        <f>IF(SAISIE!$E1023="","",SAISIE!$E1023)</f>
        <v/>
      </c>
      <c r="E1018" t="str">
        <f>IF(SAISIE!$F1023="","",SAISIE!$F1023)</f>
        <v/>
      </c>
      <c r="F1018" t="str">
        <f>IF(SAISIE!$G1023="","",SAISIE!$G1023)</f>
        <v/>
      </c>
      <c r="G1018" t="str">
        <f>IF(SAISIE!$H1023="","",SAISIE!$H1023)</f>
        <v/>
      </c>
      <c r="H1018" t="str">
        <f>IF(SAISIE!$I1023="","",SAISIE!$I1023)</f>
        <v/>
      </c>
      <c r="I1018" t="str">
        <f>IF(SAISIE!$J1023="","",SAISIE!$J1023)</f>
        <v/>
      </c>
      <c r="J1018" t="str">
        <f>IF(SAISIE!$K1023="","",SAISIE!$K1023)</f>
        <v/>
      </c>
      <c r="K1018" t="str">
        <f>IF(SAISIE!$L1023="","",SAISIE!$L1023)</f>
        <v/>
      </c>
      <c r="L1018" t="str">
        <f>IF(SAISIE!$M1023="","",SAISIE!$M1023)</f>
        <v/>
      </c>
      <c r="M1018" t="str">
        <f>IF(SAISIE!$N1023="","",SAISIE!$N1023)</f>
        <v/>
      </c>
      <c r="N1018" t="str">
        <f>IF(SAISIE!$O1023="","",SAISIE!$O1023)</f>
        <v/>
      </c>
      <c r="O1018" t="str">
        <f>IF(SAISIE!$P1023="","",SAISIE!$P1023)</f>
        <v/>
      </c>
      <c r="P1018" t="str">
        <f>IF(SAISIE!$Q1023="","",SAISIE!$Q1023)</f>
        <v/>
      </c>
      <c r="Q1018" t="str">
        <f>IF($I1018="","",IF($I1018&gt;PARAMETRES!$G$29,5,IF($I1018&gt;PARAMETRES!$F$29,4,IF($I1018&gt;PARAMETRES!$E$29,3,IF($I1018&gt;PARAMETRES!$D$29,2,1)))))</f>
        <v/>
      </c>
      <c r="R1018" t="str">
        <f>IF($J1018="","",IF($J1018&gt;PARAMETRES!$G$30,5,IF($J1018&gt;PARAMETRES!$F$30,4,IF($J1018&gt;PARAMETRES!$E$30,3,IF($J1018&gt;PARAMETRES!$D$30,2,1)))))</f>
        <v/>
      </c>
      <c r="S1018" t="str">
        <f>IF($K1018="","",IF($Z1018=2,IF($K1018&gt;PARAMETRES!$G$31,5,IF($K1018&gt;PARAMETRES!$F$31,4,IF($K1018&gt;PARAMETRES!$E$31,3,IF($K1018&gt;PARAMETRES!$D$31,2,1)))),IF($K1018&gt;PARAMETRES!$G$32,5,IF($K1018&gt;PARAMETRES!$F$32,4,IF($K1018&gt;PARAMETRES!$E$32,3,IF($K1018&gt;PARAMETRES!$D$32,2,1))))))</f>
        <v/>
      </c>
      <c r="T1018" t="str">
        <f>IF($L1018="","",IF($L1018&gt;PARAMETRES!$G$33,5,IF($L1018&gt;PARAMETRES!$F$33,4,IF($L1018&gt;PARAMETRES!$E$33,3,IF($L1018&gt;PARAMETRES!$D$33,2,1)))))</f>
        <v/>
      </c>
      <c r="U1018" t="str">
        <f>IF($M1018="","",IF($M1018&gt;PARAMETRES!$G$34,5,IF($M1018&gt;PARAMETRES!$F$34,4,IF($M1018&gt;PARAMETRES!$E$34,3,IF($M1018&gt;PARAMETRES!$D$34,2,1)))))</f>
        <v/>
      </c>
      <c r="V1018" t="str">
        <f>IF($N1018="","",IF($N1018&gt;PARAMETRES!$G$35,5,IF($N1018&gt;PARAMETRES!$F$35,4,IF($N1018&gt;PARAMETRES!$E$35,3,IF($N1018&gt;PARAMETRES!$D$35,2,1)))))</f>
        <v/>
      </c>
      <c r="W1018" t="str">
        <f>IF($O1018="","",IF($O1018&gt;PARAMETRES!$G$36,5,IF($O1018&gt;PARAMETRES!$F$36,4,IF($O1018&gt;PARAMETRES!$E$36,3,IF($O1018&gt;PARAMETRES!$D$36,2,1)))))</f>
        <v/>
      </c>
      <c r="X1018" t="str">
        <f>IF($P1018="","",IF($P1018&gt;PARAMETRES!$G$37,5,IF($P1018&gt;PARAMETRES!$F$37,4,IF($P1018&gt;PARAMETRES!$E$37,3,IF($P1018&gt;PARAMETRES!$D$37,2,1)))))</f>
        <v/>
      </c>
      <c r="Y1018" t="str">
        <f t="shared" si="360"/>
        <v/>
      </c>
      <c r="Z1018" t="str">
        <f>IFERROR(VLOOKUP($B1018,TABLE_CYCLE,2,0),"")</f>
        <v/>
      </c>
      <c r="AA1018" t="str">
        <f t="shared" si="361"/>
        <v/>
      </c>
      <c r="AB1018" t="str">
        <f>IF($D1018="","",IF(COUNTIF($D$2:$D1018,$D1018)=1,$D1018,""))</f>
        <v/>
      </c>
      <c r="AC1018">
        <f t="shared" si="362"/>
        <v>0</v>
      </c>
      <c r="AD1018" t="str">
        <f t="shared" si="363"/>
        <v>|0</v>
      </c>
      <c r="AE1018" t="str">
        <f t="shared" si="364"/>
        <v/>
      </c>
      <c r="AF1018" t="str">
        <f t="shared" si="365"/>
        <v/>
      </c>
      <c r="AG1018" t="str">
        <f t="shared" si="366"/>
        <v/>
      </c>
      <c r="AH1018" t="str">
        <f t="shared" si="367"/>
        <v/>
      </c>
      <c r="AI1018" t="str">
        <f t="shared" si="368"/>
        <v/>
      </c>
      <c r="AJ1018" t="str">
        <f t="shared" si="369"/>
        <v/>
      </c>
      <c r="AK1018" t="str">
        <f t="shared" si="370"/>
        <v/>
      </c>
      <c r="AL1018" t="str">
        <f t="shared" si="371"/>
        <v/>
      </c>
      <c r="AM1018" t="str">
        <f t="shared" si="372"/>
        <v/>
      </c>
      <c r="AN1018" t="str">
        <f t="shared" si="373"/>
        <v/>
      </c>
      <c r="AO1018" t="str">
        <f t="shared" si="374"/>
        <v/>
      </c>
      <c r="AP1018">
        <f t="shared" si="375"/>
        <v>1</v>
      </c>
      <c r="AQ1018" t="str">
        <f>IF(SAISIE!$F1023="","",SAISIE!$Y1023)</f>
        <v/>
      </c>
      <c r="AR1018" t="str">
        <f>IF(OR(SAISIE!$U$4="",SAISIE!$W$4=""),"",IF(AND($A1018=SAISIE!$U$4,$B1018=SAISIE!$W$4,$C1018="S1"),COUNTIFS($A$2:$A1018,SAISIE!$U$4,$B$2:$B1018,SAISIE!$W$4,$C$2:$C1018,"S1"),""))</f>
        <v/>
      </c>
      <c r="AS1018" t="str">
        <f t="shared" si="376"/>
        <v/>
      </c>
      <c r="AT1018" t="str">
        <f t="shared" si="377"/>
        <v/>
      </c>
      <c r="AU1018" t="str">
        <f t="shared" si="378"/>
        <v/>
      </c>
      <c r="AV1018">
        <f>N(AV1017)+IF(AND($AB1018&lt;&gt;"",OR('PROFIL ELEVE'!$K$4="(Tous)",$AF1018='PROFIL ELEVE'!$K$4)),1,0)</f>
        <v>0</v>
      </c>
      <c r="AW1018">
        <f>N(AW1017)+IF(AND($AB1018&lt;&gt;"",OR('SUIVI LONGITUDINAL'!$Q$4="(Tous)",$AF1018='SUIVI LONGITUDINAL'!$Q$4)),1,0)</f>
        <v>0</v>
      </c>
      <c r="AX1018">
        <f t="shared" si="379"/>
        <v>0</v>
      </c>
      <c r="AY1018">
        <f t="shared" si="380"/>
        <v>0</v>
      </c>
      <c r="AZ1018">
        <f t="shared" si="381"/>
        <v>0</v>
      </c>
      <c r="BA1018" t="str">
        <f t="shared" si="382"/>
        <v/>
      </c>
      <c r="BB1018" t="str">
        <f t="shared" si="383"/>
        <v/>
      </c>
    </row>
    <row r="1019" spans="1:54" ht="14.25" customHeight="1" x14ac:dyDescent="0.3">
      <c r="A1019" t="str">
        <f>IF(SAISIE!$F1024="","",SAISIE!$B1024)</f>
        <v/>
      </c>
      <c r="B1019" t="str">
        <f>IF(SAISIE!$F1024="","",SAISIE!$C1024)</f>
        <v/>
      </c>
      <c r="C1019" t="str">
        <f>IF(SAISIE!$F1024="","",SAISIE!$D1024)</f>
        <v/>
      </c>
      <c r="D1019" t="str">
        <f>IF(SAISIE!$E1024="","",SAISIE!$E1024)</f>
        <v/>
      </c>
      <c r="E1019" t="str">
        <f>IF(SAISIE!$F1024="","",SAISIE!$F1024)</f>
        <v/>
      </c>
      <c r="F1019" t="str">
        <f>IF(SAISIE!$G1024="","",SAISIE!$G1024)</f>
        <v/>
      </c>
      <c r="G1019" t="str">
        <f>IF(SAISIE!$H1024="","",SAISIE!$H1024)</f>
        <v/>
      </c>
      <c r="H1019" t="str">
        <f>IF(SAISIE!$I1024="","",SAISIE!$I1024)</f>
        <v/>
      </c>
      <c r="I1019" t="str">
        <f>IF(SAISIE!$J1024="","",SAISIE!$J1024)</f>
        <v/>
      </c>
      <c r="J1019" t="str">
        <f>IF(SAISIE!$K1024="","",SAISIE!$K1024)</f>
        <v/>
      </c>
      <c r="K1019" t="str">
        <f>IF(SAISIE!$L1024="","",SAISIE!$L1024)</f>
        <v/>
      </c>
      <c r="L1019" t="str">
        <f>IF(SAISIE!$M1024="","",SAISIE!$M1024)</f>
        <v/>
      </c>
      <c r="M1019" t="str">
        <f>IF(SAISIE!$N1024="","",SAISIE!$N1024)</f>
        <v/>
      </c>
      <c r="N1019" t="str">
        <f>IF(SAISIE!$O1024="","",SAISIE!$O1024)</f>
        <v/>
      </c>
      <c r="O1019" t="str">
        <f>IF(SAISIE!$P1024="","",SAISIE!$P1024)</f>
        <v/>
      </c>
      <c r="P1019" t="str">
        <f>IF(SAISIE!$Q1024="","",SAISIE!$Q1024)</f>
        <v/>
      </c>
      <c r="Q1019" t="str">
        <f>IF($I1019="","",IF($I1019&gt;PARAMETRES!$G$29,5,IF($I1019&gt;PARAMETRES!$F$29,4,IF($I1019&gt;PARAMETRES!$E$29,3,IF($I1019&gt;PARAMETRES!$D$29,2,1)))))</f>
        <v/>
      </c>
      <c r="R1019" t="str">
        <f>IF($J1019="","",IF($J1019&gt;PARAMETRES!$G$30,5,IF($J1019&gt;PARAMETRES!$F$30,4,IF($J1019&gt;PARAMETRES!$E$30,3,IF($J1019&gt;PARAMETRES!$D$30,2,1)))))</f>
        <v/>
      </c>
      <c r="S1019" t="str">
        <f>IF($K1019="","",IF($Z1019=2,IF($K1019&gt;PARAMETRES!$G$31,5,IF($K1019&gt;PARAMETRES!$F$31,4,IF($K1019&gt;PARAMETRES!$E$31,3,IF($K1019&gt;PARAMETRES!$D$31,2,1)))),IF($K1019&gt;PARAMETRES!$G$32,5,IF($K1019&gt;PARAMETRES!$F$32,4,IF($K1019&gt;PARAMETRES!$E$32,3,IF($K1019&gt;PARAMETRES!$D$32,2,1))))))</f>
        <v/>
      </c>
      <c r="T1019" t="str">
        <f>IF($L1019="","",IF($L1019&gt;PARAMETRES!$G$33,5,IF($L1019&gt;PARAMETRES!$F$33,4,IF($L1019&gt;PARAMETRES!$E$33,3,IF($L1019&gt;PARAMETRES!$D$33,2,1)))))</f>
        <v/>
      </c>
      <c r="U1019" t="str">
        <f>IF($M1019="","",IF($M1019&gt;PARAMETRES!$G$34,5,IF($M1019&gt;PARAMETRES!$F$34,4,IF($M1019&gt;PARAMETRES!$E$34,3,IF($M1019&gt;PARAMETRES!$D$34,2,1)))))</f>
        <v/>
      </c>
      <c r="V1019" t="str">
        <f>IF($N1019="","",IF($N1019&gt;PARAMETRES!$G$35,5,IF($N1019&gt;PARAMETRES!$F$35,4,IF($N1019&gt;PARAMETRES!$E$35,3,IF($N1019&gt;PARAMETRES!$D$35,2,1)))))</f>
        <v/>
      </c>
      <c r="W1019" t="str">
        <f>IF($O1019="","",IF($O1019&gt;PARAMETRES!$G$36,5,IF($O1019&gt;PARAMETRES!$F$36,4,IF($O1019&gt;PARAMETRES!$E$36,3,IF($O1019&gt;PARAMETRES!$D$36,2,1)))))</f>
        <v/>
      </c>
      <c r="X1019" t="str">
        <f>IF($P1019="","",IF($P1019&gt;PARAMETRES!$G$37,5,IF($P1019&gt;PARAMETRES!$F$37,4,IF($P1019&gt;PARAMETRES!$E$37,3,IF($P1019&gt;PARAMETRES!$D$37,2,1)))))</f>
        <v/>
      </c>
      <c r="Y1019" t="str">
        <f t="shared" si="360"/>
        <v/>
      </c>
      <c r="Z1019" t="str">
        <f>IFERROR(VLOOKUP($B1019,TABLE_CYCLE,2,0),"")</f>
        <v/>
      </c>
      <c r="AA1019" t="str">
        <f t="shared" si="361"/>
        <v/>
      </c>
      <c r="AB1019" t="str">
        <f>IF($D1019="","",IF(COUNTIF($D$2:$D1019,$D1019)=1,$D1019,""))</f>
        <v/>
      </c>
      <c r="AC1019">
        <f t="shared" si="362"/>
        <v>0</v>
      </c>
      <c r="AD1019" t="str">
        <f t="shared" si="363"/>
        <v>|0</v>
      </c>
      <c r="AE1019" t="str">
        <f t="shared" si="364"/>
        <v/>
      </c>
      <c r="AF1019" t="str">
        <f t="shared" si="365"/>
        <v/>
      </c>
      <c r="AG1019" t="str">
        <f t="shared" si="366"/>
        <v/>
      </c>
      <c r="AH1019" t="str">
        <f t="shared" si="367"/>
        <v/>
      </c>
      <c r="AI1019" t="str">
        <f t="shared" si="368"/>
        <v/>
      </c>
      <c r="AJ1019" t="str">
        <f t="shared" si="369"/>
        <v/>
      </c>
      <c r="AK1019" t="str">
        <f t="shared" si="370"/>
        <v/>
      </c>
      <c r="AL1019" t="str">
        <f t="shared" si="371"/>
        <v/>
      </c>
      <c r="AM1019" t="str">
        <f t="shared" si="372"/>
        <v/>
      </c>
      <c r="AN1019" t="str">
        <f t="shared" si="373"/>
        <v/>
      </c>
      <c r="AO1019" t="str">
        <f t="shared" si="374"/>
        <v/>
      </c>
      <c r="AP1019">
        <f t="shared" si="375"/>
        <v>1</v>
      </c>
      <c r="AQ1019" t="str">
        <f>IF(SAISIE!$F1024="","",SAISIE!$Y1024)</f>
        <v/>
      </c>
      <c r="AR1019" t="str">
        <f>IF(OR(SAISIE!$U$4="",SAISIE!$W$4=""),"",IF(AND($A1019=SAISIE!$U$4,$B1019=SAISIE!$W$4,$C1019="S1"),COUNTIFS($A$2:$A1019,SAISIE!$U$4,$B$2:$B1019,SAISIE!$W$4,$C$2:$C1019,"S1"),""))</f>
        <v/>
      </c>
      <c r="AS1019" t="str">
        <f t="shared" si="376"/>
        <v/>
      </c>
      <c r="AT1019" t="str">
        <f t="shared" si="377"/>
        <v/>
      </c>
      <c r="AU1019" t="str">
        <f t="shared" si="378"/>
        <v/>
      </c>
      <c r="AV1019">
        <f>N(AV1018)+IF(AND($AB1019&lt;&gt;"",OR('PROFIL ELEVE'!$K$4="(Tous)",$AF1019='PROFIL ELEVE'!$K$4)),1,0)</f>
        <v>0</v>
      </c>
      <c r="AW1019">
        <f>N(AW1018)+IF(AND($AB1019&lt;&gt;"",OR('SUIVI LONGITUDINAL'!$Q$4="(Tous)",$AF1019='SUIVI LONGITUDINAL'!$Q$4)),1,0)</f>
        <v>0</v>
      </c>
      <c r="AX1019">
        <f t="shared" si="379"/>
        <v>0</v>
      </c>
      <c r="AY1019">
        <f t="shared" si="380"/>
        <v>0</v>
      </c>
      <c r="AZ1019">
        <f t="shared" si="381"/>
        <v>0</v>
      </c>
      <c r="BA1019" t="str">
        <f t="shared" si="382"/>
        <v/>
      </c>
      <c r="BB1019" t="str">
        <f t="shared" si="383"/>
        <v/>
      </c>
    </row>
    <row r="1020" spans="1:54" ht="14.25" customHeight="1" x14ac:dyDescent="0.3">
      <c r="A1020" t="str">
        <f>IF(SAISIE!$F1025="","",SAISIE!$B1025)</f>
        <v/>
      </c>
      <c r="B1020" t="str">
        <f>IF(SAISIE!$F1025="","",SAISIE!$C1025)</f>
        <v/>
      </c>
      <c r="C1020" t="str">
        <f>IF(SAISIE!$F1025="","",SAISIE!$D1025)</f>
        <v/>
      </c>
      <c r="D1020" t="str">
        <f>IF(SAISIE!$E1025="","",SAISIE!$E1025)</f>
        <v/>
      </c>
      <c r="E1020" t="str">
        <f>IF(SAISIE!$F1025="","",SAISIE!$F1025)</f>
        <v/>
      </c>
      <c r="F1020" t="str">
        <f>IF(SAISIE!$G1025="","",SAISIE!$G1025)</f>
        <v/>
      </c>
      <c r="G1020" t="str">
        <f>IF(SAISIE!$H1025="","",SAISIE!$H1025)</f>
        <v/>
      </c>
      <c r="H1020" t="str">
        <f>IF(SAISIE!$I1025="","",SAISIE!$I1025)</f>
        <v/>
      </c>
      <c r="I1020" t="str">
        <f>IF(SAISIE!$J1025="","",SAISIE!$J1025)</f>
        <v/>
      </c>
      <c r="J1020" t="str">
        <f>IF(SAISIE!$K1025="","",SAISIE!$K1025)</f>
        <v/>
      </c>
      <c r="K1020" t="str">
        <f>IF(SAISIE!$L1025="","",SAISIE!$L1025)</f>
        <v/>
      </c>
      <c r="L1020" t="str">
        <f>IF(SAISIE!$M1025="","",SAISIE!$M1025)</f>
        <v/>
      </c>
      <c r="M1020" t="str">
        <f>IF(SAISIE!$N1025="","",SAISIE!$N1025)</f>
        <v/>
      </c>
      <c r="N1020" t="str">
        <f>IF(SAISIE!$O1025="","",SAISIE!$O1025)</f>
        <v/>
      </c>
      <c r="O1020" t="str">
        <f>IF(SAISIE!$P1025="","",SAISIE!$P1025)</f>
        <v/>
      </c>
      <c r="P1020" t="str">
        <f>IF(SAISIE!$Q1025="","",SAISIE!$Q1025)</f>
        <v/>
      </c>
      <c r="Q1020" t="str">
        <f>IF($I1020="","",IF($I1020&gt;PARAMETRES!$G$29,5,IF($I1020&gt;PARAMETRES!$F$29,4,IF($I1020&gt;PARAMETRES!$E$29,3,IF($I1020&gt;PARAMETRES!$D$29,2,1)))))</f>
        <v/>
      </c>
      <c r="R1020" t="str">
        <f>IF($J1020="","",IF($J1020&gt;PARAMETRES!$G$30,5,IF($J1020&gt;PARAMETRES!$F$30,4,IF($J1020&gt;PARAMETRES!$E$30,3,IF($J1020&gt;PARAMETRES!$D$30,2,1)))))</f>
        <v/>
      </c>
      <c r="S1020" t="str">
        <f>IF($K1020="","",IF($Z1020=2,IF($K1020&gt;PARAMETRES!$G$31,5,IF($K1020&gt;PARAMETRES!$F$31,4,IF($K1020&gt;PARAMETRES!$E$31,3,IF($K1020&gt;PARAMETRES!$D$31,2,1)))),IF($K1020&gt;PARAMETRES!$G$32,5,IF($K1020&gt;PARAMETRES!$F$32,4,IF($K1020&gt;PARAMETRES!$E$32,3,IF($K1020&gt;PARAMETRES!$D$32,2,1))))))</f>
        <v/>
      </c>
      <c r="T1020" t="str">
        <f>IF($L1020="","",IF($L1020&gt;PARAMETRES!$G$33,5,IF($L1020&gt;PARAMETRES!$F$33,4,IF($L1020&gt;PARAMETRES!$E$33,3,IF($L1020&gt;PARAMETRES!$D$33,2,1)))))</f>
        <v/>
      </c>
      <c r="U1020" t="str">
        <f>IF($M1020="","",IF($M1020&gt;PARAMETRES!$G$34,5,IF($M1020&gt;PARAMETRES!$F$34,4,IF($M1020&gt;PARAMETRES!$E$34,3,IF($M1020&gt;PARAMETRES!$D$34,2,1)))))</f>
        <v/>
      </c>
      <c r="V1020" t="str">
        <f>IF($N1020="","",IF($N1020&gt;PARAMETRES!$G$35,5,IF($N1020&gt;PARAMETRES!$F$35,4,IF($N1020&gt;PARAMETRES!$E$35,3,IF($N1020&gt;PARAMETRES!$D$35,2,1)))))</f>
        <v/>
      </c>
      <c r="W1020" t="str">
        <f>IF($O1020="","",IF($O1020&gt;PARAMETRES!$G$36,5,IF($O1020&gt;PARAMETRES!$F$36,4,IF($O1020&gt;PARAMETRES!$E$36,3,IF($O1020&gt;PARAMETRES!$D$36,2,1)))))</f>
        <v/>
      </c>
      <c r="X1020" t="str">
        <f>IF($P1020="","",IF($P1020&gt;PARAMETRES!$G$37,5,IF($P1020&gt;PARAMETRES!$F$37,4,IF($P1020&gt;PARAMETRES!$E$37,3,IF($P1020&gt;PARAMETRES!$D$37,2,1)))))</f>
        <v/>
      </c>
      <c r="Y1020" t="str">
        <f t="shared" si="360"/>
        <v/>
      </c>
      <c r="Z1020" t="str">
        <f>IFERROR(VLOOKUP($B1020,TABLE_CYCLE,2,0),"")</f>
        <v/>
      </c>
      <c r="AA1020" t="str">
        <f t="shared" si="361"/>
        <v/>
      </c>
      <c r="AB1020" t="str">
        <f>IF($D1020="","",IF(COUNTIF($D$2:$D1020,$D1020)=1,$D1020,""))</f>
        <v/>
      </c>
      <c r="AC1020">
        <f t="shared" si="362"/>
        <v>0</v>
      </c>
      <c r="AD1020" t="str">
        <f t="shared" si="363"/>
        <v>|0</v>
      </c>
      <c r="AE1020" t="str">
        <f t="shared" si="364"/>
        <v/>
      </c>
      <c r="AF1020" t="str">
        <f t="shared" si="365"/>
        <v/>
      </c>
      <c r="AG1020" t="str">
        <f t="shared" si="366"/>
        <v/>
      </c>
      <c r="AH1020" t="str">
        <f t="shared" si="367"/>
        <v/>
      </c>
      <c r="AI1020" t="str">
        <f t="shared" si="368"/>
        <v/>
      </c>
      <c r="AJ1020" t="str">
        <f t="shared" si="369"/>
        <v/>
      </c>
      <c r="AK1020" t="str">
        <f t="shared" si="370"/>
        <v/>
      </c>
      <c r="AL1020" t="str">
        <f t="shared" si="371"/>
        <v/>
      </c>
      <c r="AM1020" t="str">
        <f t="shared" si="372"/>
        <v/>
      </c>
      <c r="AN1020" t="str">
        <f t="shared" si="373"/>
        <v/>
      </c>
      <c r="AO1020" t="str">
        <f t="shared" si="374"/>
        <v/>
      </c>
      <c r="AP1020">
        <f t="shared" si="375"/>
        <v>1</v>
      </c>
      <c r="AQ1020" t="str">
        <f>IF(SAISIE!$F1025="","",SAISIE!$Y1025)</f>
        <v/>
      </c>
      <c r="AR1020" t="str">
        <f>IF(OR(SAISIE!$U$4="",SAISIE!$W$4=""),"",IF(AND($A1020=SAISIE!$U$4,$B1020=SAISIE!$W$4,$C1020="S1"),COUNTIFS($A$2:$A1020,SAISIE!$U$4,$B$2:$B1020,SAISIE!$W$4,$C$2:$C1020,"S1"),""))</f>
        <v/>
      </c>
      <c r="AS1020" t="str">
        <f t="shared" si="376"/>
        <v/>
      </c>
      <c r="AT1020" t="str">
        <f t="shared" si="377"/>
        <v/>
      </c>
      <c r="AU1020" t="str">
        <f t="shared" si="378"/>
        <v/>
      </c>
      <c r="AV1020">
        <f>N(AV1019)+IF(AND($AB1020&lt;&gt;"",OR('PROFIL ELEVE'!$K$4="(Tous)",$AF1020='PROFIL ELEVE'!$K$4)),1,0)</f>
        <v>0</v>
      </c>
      <c r="AW1020">
        <f>N(AW1019)+IF(AND($AB1020&lt;&gt;"",OR('SUIVI LONGITUDINAL'!$Q$4="(Tous)",$AF1020='SUIVI LONGITUDINAL'!$Q$4)),1,0)</f>
        <v>0</v>
      </c>
      <c r="AX1020">
        <f t="shared" si="379"/>
        <v>0</v>
      </c>
      <c r="AY1020">
        <f t="shared" si="380"/>
        <v>0</v>
      </c>
      <c r="AZ1020">
        <f t="shared" si="381"/>
        <v>0</v>
      </c>
      <c r="BA1020" t="str">
        <f t="shared" si="382"/>
        <v/>
      </c>
      <c r="BB1020" t="str">
        <f t="shared" si="383"/>
        <v/>
      </c>
    </row>
    <row r="1021" spans="1:54" ht="14.25" customHeight="1" x14ac:dyDescent="0.3">
      <c r="A1021" t="str">
        <f>IF(SAISIE!$F1026="","",SAISIE!$B1026)</f>
        <v/>
      </c>
      <c r="B1021" t="str">
        <f>IF(SAISIE!$F1026="","",SAISIE!$C1026)</f>
        <v/>
      </c>
      <c r="C1021" t="str">
        <f>IF(SAISIE!$F1026="","",SAISIE!$D1026)</f>
        <v/>
      </c>
      <c r="D1021" t="str">
        <f>IF(SAISIE!$E1026="","",SAISIE!$E1026)</f>
        <v/>
      </c>
      <c r="E1021" t="str">
        <f>IF(SAISIE!$F1026="","",SAISIE!$F1026)</f>
        <v/>
      </c>
      <c r="F1021" t="str">
        <f>IF(SAISIE!$G1026="","",SAISIE!$G1026)</f>
        <v/>
      </c>
      <c r="G1021" t="str">
        <f>IF(SAISIE!$H1026="","",SAISIE!$H1026)</f>
        <v/>
      </c>
      <c r="H1021" t="str">
        <f>IF(SAISIE!$I1026="","",SAISIE!$I1026)</f>
        <v/>
      </c>
      <c r="I1021" t="str">
        <f>IF(SAISIE!$J1026="","",SAISIE!$J1026)</f>
        <v/>
      </c>
      <c r="J1021" t="str">
        <f>IF(SAISIE!$K1026="","",SAISIE!$K1026)</f>
        <v/>
      </c>
      <c r="K1021" t="str">
        <f>IF(SAISIE!$L1026="","",SAISIE!$L1026)</f>
        <v/>
      </c>
      <c r="L1021" t="str">
        <f>IF(SAISIE!$M1026="","",SAISIE!$M1026)</f>
        <v/>
      </c>
      <c r="M1021" t="str">
        <f>IF(SAISIE!$N1026="","",SAISIE!$N1026)</f>
        <v/>
      </c>
      <c r="N1021" t="str">
        <f>IF(SAISIE!$O1026="","",SAISIE!$O1026)</f>
        <v/>
      </c>
      <c r="O1021" t="str">
        <f>IF(SAISIE!$P1026="","",SAISIE!$P1026)</f>
        <v/>
      </c>
      <c r="P1021" t="str">
        <f>IF(SAISIE!$Q1026="","",SAISIE!$Q1026)</f>
        <v/>
      </c>
      <c r="Q1021" t="str">
        <f>IF($I1021="","",IF($I1021&gt;PARAMETRES!$G$29,5,IF($I1021&gt;PARAMETRES!$F$29,4,IF($I1021&gt;PARAMETRES!$E$29,3,IF($I1021&gt;PARAMETRES!$D$29,2,1)))))</f>
        <v/>
      </c>
      <c r="R1021" t="str">
        <f>IF($J1021="","",IF($J1021&gt;PARAMETRES!$G$30,5,IF($J1021&gt;PARAMETRES!$F$30,4,IF($J1021&gt;PARAMETRES!$E$30,3,IF($J1021&gt;PARAMETRES!$D$30,2,1)))))</f>
        <v/>
      </c>
      <c r="S1021" t="str">
        <f>IF($K1021="","",IF($Z1021=2,IF($K1021&gt;PARAMETRES!$G$31,5,IF($K1021&gt;PARAMETRES!$F$31,4,IF($K1021&gt;PARAMETRES!$E$31,3,IF($K1021&gt;PARAMETRES!$D$31,2,1)))),IF($K1021&gt;PARAMETRES!$G$32,5,IF($K1021&gt;PARAMETRES!$F$32,4,IF($K1021&gt;PARAMETRES!$E$32,3,IF($K1021&gt;PARAMETRES!$D$32,2,1))))))</f>
        <v/>
      </c>
      <c r="T1021" t="str">
        <f>IF($L1021="","",IF($L1021&gt;PARAMETRES!$G$33,5,IF($L1021&gt;PARAMETRES!$F$33,4,IF($L1021&gt;PARAMETRES!$E$33,3,IF($L1021&gt;PARAMETRES!$D$33,2,1)))))</f>
        <v/>
      </c>
      <c r="U1021" t="str">
        <f>IF($M1021="","",IF($M1021&gt;PARAMETRES!$G$34,5,IF($M1021&gt;PARAMETRES!$F$34,4,IF($M1021&gt;PARAMETRES!$E$34,3,IF($M1021&gt;PARAMETRES!$D$34,2,1)))))</f>
        <v/>
      </c>
      <c r="V1021" t="str">
        <f>IF($N1021="","",IF($N1021&gt;PARAMETRES!$G$35,5,IF($N1021&gt;PARAMETRES!$F$35,4,IF($N1021&gt;PARAMETRES!$E$35,3,IF($N1021&gt;PARAMETRES!$D$35,2,1)))))</f>
        <v/>
      </c>
      <c r="W1021" t="str">
        <f>IF($O1021="","",IF($O1021&gt;PARAMETRES!$G$36,5,IF($O1021&gt;PARAMETRES!$F$36,4,IF($O1021&gt;PARAMETRES!$E$36,3,IF($O1021&gt;PARAMETRES!$D$36,2,1)))))</f>
        <v/>
      </c>
      <c r="X1021" t="str">
        <f>IF($P1021="","",IF($P1021&gt;PARAMETRES!$G$37,5,IF($P1021&gt;PARAMETRES!$F$37,4,IF($P1021&gt;PARAMETRES!$E$37,3,IF($P1021&gt;PARAMETRES!$D$37,2,1)))))</f>
        <v/>
      </c>
      <c r="Y1021" t="str">
        <f t="shared" si="360"/>
        <v/>
      </c>
      <c r="Z1021" t="str">
        <f>IFERROR(VLOOKUP($B1021,TABLE_CYCLE,2,0),"")</f>
        <v/>
      </c>
      <c r="AA1021" t="str">
        <f t="shared" si="361"/>
        <v/>
      </c>
      <c r="AB1021" t="str">
        <f>IF($D1021="","",IF(COUNTIF($D$2:$D1021,$D1021)=1,$D1021,""))</f>
        <v/>
      </c>
      <c r="AC1021">
        <f t="shared" si="362"/>
        <v>0</v>
      </c>
      <c r="AD1021" t="str">
        <f t="shared" si="363"/>
        <v>|0</v>
      </c>
      <c r="AE1021" t="str">
        <f t="shared" si="364"/>
        <v/>
      </c>
      <c r="AF1021" t="str">
        <f t="shared" si="365"/>
        <v/>
      </c>
      <c r="AG1021" t="str">
        <f t="shared" si="366"/>
        <v/>
      </c>
      <c r="AH1021" t="str">
        <f t="shared" si="367"/>
        <v/>
      </c>
      <c r="AI1021" t="str">
        <f t="shared" si="368"/>
        <v/>
      </c>
      <c r="AJ1021" t="str">
        <f t="shared" si="369"/>
        <v/>
      </c>
      <c r="AK1021" t="str">
        <f t="shared" si="370"/>
        <v/>
      </c>
      <c r="AL1021" t="str">
        <f t="shared" si="371"/>
        <v/>
      </c>
      <c r="AM1021" t="str">
        <f t="shared" si="372"/>
        <v/>
      </c>
      <c r="AN1021" t="str">
        <f t="shared" si="373"/>
        <v/>
      </c>
      <c r="AO1021" t="str">
        <f t="shared" si="374"/>
        <v/>
      </c>
      <c r="AP1021">
        <f t="shared" si="375"/>
        <v>1</v>
      </c>
      <c r="AQ1021" t="str">
        <f>IF(SAISIE!$F1026="","",SAISIE!$Y1026)</f>
        <v/>
      </c>
      <c r="AR1021" t="str">
        <f>IF(OR(SAISIE!$U$4="",SAISIE!$W$4=""),"",IF(AND($A1021=SAISIE!$U$4,$B1021=SAISIE!$W$4,$C1021="S1"),COUNTIFS($A$2:$A1021,SAISIE!$U$4,$B$2:$B1021,SAISIE!$W$4,$C$2:$C1021,"S1"),""))</f>
        <v/>
      </c>
      <c r="AS1021" t="str">
        <f t="shared" si="376"/>
        <v/>
      </c>
      <c r="AT1021" t="str">
        <f t="shared" si="377"/>
        <v/>
      </c>
      <c r="AU1021" t="str">
        <f t="shared" si="378"/>
        <v/>
      </c>
      <c r="AV1021">
        <f>N(AV1020)+IF(AND($AB1021&lt;&gt;"",OR('PROFIL ELEVE'!$K$4="(Tous)",$AF1021='PROFIL ELEVE'!$K$4)),1,0)</f>
        <v>0</v>
      </c>
      <c r="AW1021">
        <f>N(AW1020)+IF(AND($AB1021&lt;&gt;"",OR('SUIVI LONGITUDINAL'!$Q$4="(Tous)",$AF1021='SUIVI LONGITUDINAL'!$Q$4)),1,0)</f>
        <v>0</v>
      </c>
      <c r="AX1021">
        <f t="shared" si="379"/>
        <v>0</v>
      </c>
      <c r="AY1021">
        <f t="shared" si="380"/>
        <v>0</v>
      </c>
      <c r="AZ1021">
        <f t="shared" si="381"/>
        <v>0</v>
      </c>
      <c r="BA1021" t="str">
        <f t="shared" si="382"/>
        <v/>
      </c>
      <c r="BB1021" t="str">
        <f t="shared" si="383"/>
        <v/>
      </c>
    </row>
    <row r="1022" spans="1:54" ht="14.25" customHeight="1" x14ac:dyDescent="0.3">
      <c r="A1022" t="str">
        <f>IF(SAISIE!$F1027="","",SAISIE!$B1027)</f>
        <v/>
      </c>
      <c r="B1022" t="str">
        <f>IF(SAISIE!$F1027="","",SAISIE!$C1027)</f>
        <v/>
      </c>
      <c r="C1022" t="str">
        <f>IF(SAISIE!$F1027="","",SAISIE!$D1027)</f>
        <v/>
      </c>
      <c r="D1022" t="str">
        <f>IF(SAISIE!$E1027="","",SAISIE!$E1027)</f>
        <v/>
      </c>
      <c r="E1022" t="str">
        <f>IF(SAISIE!$F1027="","",SAISIE!$F1027)</f>
        <v/>
      </c>
      <c r="F1022" t="str">
        <f>IF(SAISIE!$G1027="","",SAISIE!$G1027)</f>
        <v/>
      </c>
      <c r="G1022" t="str">
        <f>IF(SAISIE!$H1027="","",SAISIE!$H1027)</f>
        <v/>
      </c>
      <c r="H1022" t="str">
        <f>IF(SAISIE!$I1027="","",SAISIE!$I1027)</f>
        <v/>
      </c>
      <c r="I1022" t="str">
        <f>IF(SAISIE!$J1027="","",SAISIE!$J1027)</f>
        <v/>
      </c>
      <c r="J1022" t="str">
        <f>IF(SAISIE!$K1027="","",SAISIE!$K1027)</f>
        <v/>
      </c>
      <c r="K1022" t="str">
        <f>IF(SAISIE!$L1027="","",SAISIE!$L1027)</f>
        <v/>
      </c>
      <c r="L1022" t="str">
        <f>IF(SAISIE!$M1027="","",SAISIE!$M1027)</f>
        <v/>
      </c>
      <c r="M1022" t="str">
        <f>IF(SAISIE!$N1027="","",SAISIE!$N1027)</f>
        <v/>
      </c>
      <c r="N1022" t="str">
        <f>IF(SAISIE!$O1027="","",SAISIE!$O1027)</f>
        <v/>
      </c>
      <c r="O1022" t="str">
        <f>IF(SAISIE!$P1027="","",SAISIE!$P1027)</f>
        <v/>
      </c>
      <c r="P1022" t="str">
        <f>IF(SAISIE!$Q1027="","",SAISIE!$Q1027)</f>
        <v/>
      </c>
      <c r="Q1022" t="str">
        <f>IF($I1022="","",IF($I1022&gt;PARAMETRES!$G$29,5,IF($I1022&gt;PARAMETRES!$F$29,4,IF($I1022&gt;PARAMETRES!$E$29,3,IF($I1022&gt;PARAMETRES!$D$29,2,1)))))</f>
        <v/>
      </c>
      <c r="R1022" t="str">
        <f>IF($J1022="","",IF($J1022&gt;PARAMETRES!$G$30,5,IF($J1022&gt;PARAMETRES!$F$30,4,IF($J1022&gt;PARAMETRES!$E$30,3,IF($J1022&gt;PARAMETRES!$D$30,2,1)))))</f>
        <v/>
      </c>
      <c r="S1022" t="str">
        <f>IF($K1022="","",IF($Z1022=2,IF($K1022&gt;PARAMETRES!$G$31,5,IF($K1022&gt;PARAMETRES!$F$31,4,IF($K1022&gt;PARAMETRES!$E$31,3,IF($K1022&gt;PARAMETRES!$D$31,2,1)))),IF($K1022&gt;PARAMETRES!$G$32,5,IF($K1022&gt;PARAMETRES!$F$32,4,IF($K1022&gt;PARAMETRES!$E$32,3,IF($K1022&gt;PARAMETRES!$D$32,2,1))))))</f>
        <v/>
      </c>
      <c r="T1022" t="str">
        <f>IF($L1022="","",IF($L1022&gt;PARAMETRES!$G$33,5,IF($L1022&gt;PARAMETRES!$F$33,4,IF($L1022&gt;PARAMETRES!$E$33,3,IF($L1022&gt;PARAMETRES!$D$33,2,1)))))</f>
        <v/>
      </c>
      <c r="U1022" t="str">
        <f>IF($M1022="","",IF($M1022&gt;PARAMETRES!$G$34,5,IF($M1022&gt;PARAMETRES!$F$34,4,IF($M1022&gt;PARAMETRES!$E$34,3,IF($M1022&gt;PARAMETRES!$D$34,2,1)))))</f>
        <v/>
      </c>
      <c r="V1022" t="str">
        <f>IF($N1022="","",IF($N1022&gt;PARAMETRES!$G$35,5,IF($N1022&gt;PARAMETRES!$F$35,4,IF($N1022&gt;PARAMETRES!$E$35,3,IF($N1022&gt;PARAMETRES!$D$35,2,1)))))</f>
        <v/>
      </c>
      <c r="W1022" t="str">
        <f>IF($O1022="","",IF($O1022&gt;PARAMETRES!$G$36,5,IF($O1022&gt;PARAMETRES!$F$36,4,IF($O1022&gt;PARAMETRES!$E$36,3,IF($O1022&gt;PARAMETRES!$D$36,2,1)))))</f>
        <v/>
      </c>
      <c r="X1022" t="str">
        <f>IF($P1022="","",IF($P1022&gt;PARAMETRES!$G$37,5,IF($P1022&gt;PARAMETRES!$F$37,4,IF($P1022&gt;PARAMETRES!$E$37,3,IF($P1022&gt;PARAMETRES!$D$37,2,1)))))</f>
        <v/>
      </c>
      <c r="Y1022" t="str">
        <f t="shared" si="360"/>
        <v/>
      </c>
      <c r="Z1022" t="str">
        <f>IFERROR(VLOOKUP($B1022,TABLE_CYCLE,2,0),"")</f>
        <v/>
      </c>
      <c r="AA1022" t="str">
        <f t="shared" si="361"/>
        <v/>
      </c>
      <c r="AB1022" t="str">
        <f>IF($D1022="","",IF(COUNTIF($D$2:$D1022,$D1022)=1,$D1022,""))</f>
        <v/>
      </c>
      <c r="AC1022">
        <f t="shared" si="362"/>
        <v>0</v>
      </c>
      <c r="AD1022" t="str">
        <f t="shared" si="363"/>
        <v>|0</v>
      </c>
      <c r="AE1022" t="str">
        <f t="shared" si="364"/>
        <v/>
      </c>
      <c r="AF1022" t="str">
        <f t="shared" si="365"/>
        <v/>
      </c>
      <c r="AG1022" t="str">
        <f t="shared" si="366"/>
        <v/>
      </c>
      <c r="AH1022" t="str">
        <f t="shared" si="367"/>
        <v/>
      </c>
      <c r="AI1022" t="str">
        <f t="shared" si="368"/>
        <v/>
      </c>
      <c r="AJ1022" t="str">
        <f t="shared" si="369"/>
        <v/>
      </c>
      <c r="AK1022" t="str">
        <f t="shared" si="370"/>
        <v/>
      </c>
      <c r="AL1022" t="str">
        <f t="shared" si="371"/>
        <v/>
      </c>
      <c r="AM1022" t="str">
        <f t="shared" si="372"/>
        <v/>
      </c>
      <c r="AN1022" t="str">
        <f t="shared" si="373"/>
        <v/>
      </c>
      <c r="AO1022" t="str">
        <f t="shared" si="374"/>
        <v/>
      </c>
      <c r="AP1022">
        <f t="shared" si="375"/>
        <v>1</v>
      </c>
      <c r="AQ1022" t="str">
        <f>IF(SAISIE!$F1027="","",SAISIE!$Y1027)</f>
        <v/>
      </c>
      <c r="AR1022" t="str">
        <f>IF(OR(SAISIE!$U$4="",SAISIE!$W$4=""),"",IF(AND($A1022=SAISIE!$U$4,$B1022=SAISIE!$W$4,$C1022="S1"),COUNTIFS($A$2:$A1022,SAISIE!$U$4,$B$2:$B1022,SAISIE!$W$4,$C$2:$C1022,"S1"),""))</f>
        <v/>
      </c>
      <c r="AS1022" t="str">
        <f t="shared" si="376"/>
        <v/>
      </c>
      <c r="AT1022" t="str">
        <f t="shared" si="377"/>
        <v/>
      </c>
      <c r="AU1022" t="str">
        <f t="shared" si="378"/>
        <v/>
      </c>
      <c r="AV1022">
        <f>N(AV1021)+IF(AND($AB1022&lt;&gt;"",OR('PROFIL ELEVE'!$K$4="(Tous)",$AF1022='PROFIL ELEVE'!$K$4)),1,0)</f>
        <v>0</v>
      </c>
      <c r="AW1022">
        <f>N(AW1021)+IF(AND($AB1022&lt;&gt;"",OR('SUIVI LONGITUDINAL'!$Q$4="(Tous)",$AF1022='SUIVI LONGITUDINAL'!$Q$4)),1,0)</f>
        <v>0</v>
      </c>
      <c r="AX1022">
        <f t="shared" si="379"/>
        <v>0</v>
      </c>
      <c r="AY1022">
        <f t="shared" si="380"/>
        <v>0</v>
      </c>
      <c r="AZ1022">
        <f t="shared" si="381"/>
        <v>0</v>
      </c>
      <c r="BA1022" t="str">
        <f t="shared" si="382"/>
        <v/>
      </c>
      <c r="BB1022" t="str">
        <f t="shared" si="383"/>
        <v/>
      </c>
    </row>
    <row r="1023" spans="1:54" ht="14.25" customHeight="1" x14ac:dyDescent="0.3">
      <c r="A1023" t="str">
        <f>IF(SAISIE!$F1028="","",SAISIE!$B1028)</f>
        <v/>
      </c>
      <c r="B1023" t="str">
        <f>IF(SAISIE!$F1028="","",SAISIE!$C1028)</f>
        <v/>
      </c>
      <c r="C1023" t="str">
        <f>IF(SAISIE!$F1028="","",SAISIE!$D1028)</f>
        <v/>
      </c>
      <c r="D1023" t="str">
        <f>IF(SAISIE!$E1028="","",SAISIE!$E1028)</f>
        <v/>
      </c>
      <c r="E1023" t="str">
        <f>IF(SAISIE!$F1028="","",SAISIE!$F1028)</f>
        <v/>
      </c>
      <c r="F1023" t="str">
        <f>IF(SAISIE!$G1028="","",SAISIE!$G1028)</f>
        <v/>
      </c>
      <c r="G1023" t="str">
        <f>IF(SAISIE!$H1028="","",SAISIE!$H1028)</f>
        <v/>
      </c>
      <c r="H1023" t="str">
        <f>IF(SAISIE!$I1028="","",SAISIE!$I1028)</f>
        <v/>
      </c>
      <c r="I1023" t="str">
        <f>IF(SAISIE!$J1028="","",SAISIE!$J1028)</f>
        <v/>
      </c>
      <c r="J1023" t="str">
        <f>IF(SAISIE!$K1028="","",SAISIE!$K1028)</f>
        <v/>
      </c>
      <c r="K1023" t="str">
        <f>IF(SAISIE!$L1028="","",SAISIE!$L1028)</f>
        <v/>
      </c>
      <c r="L1023" t="str">
        <f>IF(SAISIE!$M1028="","",SAISIE!$M1028)</f>
        <v/>
      </c>
      <c r="M1023" t="str">
        <f>IF(SAISIE!$N1028="","",SAISIE!$N1028)</f>
        <v/>
      </c>
      <c r="N1023" t="str">
        <f>IF(SAISIE!$O1028="","",SAISIE!$O1028)</f>
        <v/>
      </c>
      <c r="O1023" t="str">
        <f>IF(SAISIE!$P1028="","",SAISIE!$P1028)</f>
        <v/>
      </c>
      <c r="P1023" t="str">
        <f>IF(SAISIE!$Q1028="","",SAISIE!$Q1028)</f>
        <v/>
      </c>
      <c r="Q1023" t="str">
        <f>IF($I1023="","",IF($I1023&gt;PARAMETRES!$G$29,5,IF($I1023&gt;PARAMETRES!$F$29,4,IF($I1023&gt;PARAMETRES!$E$29,3,IF($I1023&gt;PARAMETRES!$D$29,2,1)))))</f>
        <v/>
      </c>
      <c r="R1023" t="str">
        <f>IF($J1023="","",IF($J1023&gt;PARAMETRES!$G$30,5,IF($J1023&gt;PARAMETRES!$F$30,4,IF($J1023&gt;PARAMETRES!$E$30,3,IF($J1023&gt;PARAMETRES!$D$30,2,1)))))</f>
        <v/>
      </c>
      <c r="S1023" t="str">
        <f>IF($K1023="","",IF($Z1023=2,IF($K1023&gt;PARAMETRES!$G$31,5,IF($K1023&gt;PARAMETRES!$F$31,4,IF($K1023&gt;PARAMETRES!$E$31,3,IF($K1023&gt;PARAMETRES!$D$31,2,1)))),IF($K1023&gt;PARAMETRES!$G$32,5,IF($K1023&gt;PARAMETRES!$F$32,4,IF($K1023&gt;PARAMETRES!$E$32,3,IF($K1023&gt;PARAMETRES!$D$32,2,1))))))</f>
        <v/>
      </c>
      <c r="T1023" t="str">
        <f>IF($L1023="","",IF($L1023&gt;PARAMETRES!$G$33,5,IF($L1023&gt;PARAMETRES!$F$33,4,IF($L1023&gt;PARAMETRES!$E$33,3,IF($L1023&gt;PARAMETRES!$D$33,2,1)))))</f>
        <v/>
      </c>
      <c r="U1023" t="str">
        <f>IF($M1023="","",IF($M1023&gt;PARAMETRES!$G$34,5,IF($M1023&gt;PARAMETRES!$F$34,4,IF($M1023&gt;PARAMETRES!$E$34,3,IF($M1023&gt;PARAMETRES!$D$34,2,1)))))</f>
        <v/>
      </c>
      <c r="V1023" t="str">
        <f>IF($N1023="","",IF($N1023&gt;PARAMETRES!$G$35,5,IF($N1023&gt;PARAMETRES!$F$35,4,IF($N1023&gt;PARAMETRES!$E$35,3,IF($N1023&gt;PARAMETRES!$D$35,2,1)))))</f>
        <v/>
      </c>
      <c r="W1023" t="str">
        <f>IF($O1023="","",IF($O1023&gt;PARAMETRES!$G$36,5,IF($O1023&gt;PARAMETRES!$F$36,4,IF($O1023&gt;PARAMETRES!$E$36,3,IF($O1023&gt;PARAMETRES!$D$36,2,1)))))</f>
        <v/>
      </c>
      <c r="X1023" t="str">
        <f>IF($P1023="","",IF($P1023&gt;PARAMETRES!$G$37,5,IF($P1023&gt;PARAMETRES!$F$37,4,IF($P1023&gt;PARAMETRES!$E$37,3,IF($P1023&gt;PARAMETRES!$D$37,2,1)))))</f>
        <v/>
      </c>
      <c r="Y1023" t="str">
        <f t="shared" si="360"/>
        <v/>
      </c>
      <c r="Z1023" t="str">
        <f>IFERROR(VLOOKUP($B1023,TABLE_CYCLE,2,0),"")</f>
        <v/>
      </c>
      <c r="AA1023" t="str">
        <f t="shared" si="361"/>
        <v/>
      </c>
      <c r="AB1023" t="str">
        <f>IF($D1023="","",IF(COUNTIF($D$2:$D1023,$D1023)=1,$D1023,""))</f>
        <v/>
      </c>
      <c r="AC1023">
        <f t="shared" si="362"/>
        <v>0</v>
      </c>
      <c r="AD1023" t="str">
        <f t="shared" si="363"/>
        <v>|0</v>
      </c>
      <c r="AE1023" t="str">
        <f t="shared" si="364"/>
        <v/>
      </c>
      <c r="AF1023" t="str">
        <f t="shared" si="365"/>
        <v/>
      </c>
      <c r="AG1023" t="str">
        <f t="shared" si="366"/>
        <v/>
      </c>
      <c r="AH1023" t="str">
        <f t="shared" si="367"/>
        <v/>
      </c>
      <c r="AI1023" t="str">
        <f t="shared" si="368"/>
        <v/>
      </c>
      <c r="AJ1023" t="str">
        <f t="shared" si="369"/>
        <v/>
      </c>
      <c r="AK1023" t="str">
        <f t="shared" si="370"/>
        <v/>
      </c>
      <c r="AL1023" t="str">
        <f t="shared" si="371"/>
        <v/>
      </c>
      <c r="AM1023" t="str">
        <f t="shared" si="372"/>
        <v/>
      </c>
      <c r="AN1023" t="str">
        <f t="shared" si="373"/>
        <v/>
      </c>
      <c r="AO1023" t="str">
        <f t="shared" si="374"/>
        <v/>
      </c>
      <c r="AP1023">
        <f t="shared" si="375"/>
        <v>1</v>
      </c>
      <c r="AQ1023" t="str">
        <f>IF(SAISIE!$F1028="","",SAISIE!$Y1028)</f>
        <v/>
      </c>
      <c r="AR1023" t="str">
        <f>IF(OR(SAISIE!$U$4="",SAISIE!$W$4=""),"",IF(AND($A1023=SAISIE!$U$4,$B1023=SAISIE!$W$4,$C1023="S1"),COUNTIFS($A$2:$A1023,SAISIE!$U$4,$B$2:$B1023,SAISIE!$W$4,$C$2:$C1023,"S1"),""))</f>
        <v/>
      </c>
      <c r="AS1023" t="str">
        <f t="shared" si="376"/>
        <v/>
      </c>
      <c r="AT1023" t="str">
        <f t="shared" si="377"/>
        <v/>
      </c>
      <c r="AU1023" t="str">
        <f t="shared" si="378"/>
        <v/>
      </c>
      <c r="AV1023">
        <f>N(AV1022)+IF(AND($AB1023&lt;&gt;"",OR('PROFIL ELEVE'!$K$4="(Tous)",$AF1023='PROFIL ELEVE'!$K$4)),1,0)</f>
        <v>0</v>
      </c>
      <c r="AW1023">
        <f>N(AW1022)+IF(AND($AB1023&lt;&gt;"",OR('SUIVI LONGITUDINAL'!$Q$4="(Tous)",$AF1023='SUIVI LONGITUDINAL'!$Q$4)),1,0)</f>
        <v>0</v>
      </c>
      <c r="AX1023">
        <f t="shared" si="379"/>
        <v>0</v>
      </c>
      <c r="AY1023">
        <f t="shared" si="380"/>
        <v>0</v>
      </c>
      <c r="AZ1023">
        <f t="shared" si="381"/>
        <v>0</v>
      </c>
      <c r="BA1023" t="str">
        <f t="shared" si="382"/>
        <v/>
      </c>
      <c r="BB1023" t="str">
        <f t="shared" si="383"/>
        <v/>
      </c>
    </row>
    <row r="1024" spans="1:54" ht="14.25" customHeight="1" x14ac:dyDescent="0.3">
      <c r="A1024" t="str">
        <f>IF(SAISIE!$F1029="","",SAISIE!$B1029)</f>
        <v/>
      </c>
      <c r="B1024" t="str">
        <f>IF(SAISIE!$F1029="","",SAISIE!$C1029)</f>
        <v/>
      </c>
      <c r="C1024" t="str">
        <f>IF(SAISIE!$F1029="","",SAISIE!$D1029)</f>
        <v/>
      </c>
      <c r="D1024" t="str">
        <f>IF(SAISIE!$E1029="","",SAISIE!$E1029)</f>
        <v/>
      </c>
      <c r="E1024" t="str">
        <f>IF(SAISIE!$F1029="","",SAISIE!$F1029)</f>
        <v/>
      </c>
      <c r="F1024" t="str">
        <f>IF(SAISIE!$G1029="","",SAISIE!$G1029)</f>
        <v/>
      </c>
      <c r="G1024" t="str">
        <f>IF(SAISIE!$H1029="","",SAISIE!$H1029)</f>
        <v/>
      </c>
      <c r="H1024" t="str">
        <f>IF(SAISIE!$I1029="","",SAISIE!$I1029)</f>
        <v/>
      </c>
      <c r="I1024" t="str">
        <f>IF(SAISIE!$J1029="","",SAISIE!$J1029)</f>
        <v/>
      </c>
      <c r="J1024" t="str">
        <f>IF(SAISIE!$K1029="","",SAISIE!$K1029)</f>
        <v/>
      </c>
      <c r="K1024" t="str">
        <f>IF(SAISIE!$L1029="","",SAISIE!$L1029)</f>
        <v/>
      </c>
      <c r="L1024" t="str">
        <f>IF(SAISIE!$M1029="","",SAISIE!$M1029)</f>
        <v/>
      </c>
      <c r="M1024" t="str">
        <f>IF(SAISIE!$N1029="","",SAISIE!$N1029)</f>
        <v/>
      </c>
      <c r="N1024" t="str">
        <f>IF(SAISIE!$O1029="","",SAISIE!$O1029)</f>
        <v/>
      </c>
      <c r="O1024" t="str">
        <f>IF(SAISIE!$P1029="","",SAISIE!$P1029)</f>
        <v/>
      </c>
      <c r="P1024" t="str">
        <f>IF(SAISIE!$Q1029="","",SAISIE!$Q1029)</f>
        <v/>
      </c>
      <c r="Q1024" t="str">
        <f>IF($I1024="","",IF($I1024&gt;PARAMETRES!$G$29,5,IF($I1024&gt;PARAMETRES!$F$29,4,IF($I1024&gt;PARAMETRES!$E$29,3,IF($I1024&gt;PARAMETRES!$D$29,2,1)))))</f>
        <v/>
      </c>
      <c r="R1024" t="str">
        <f>IF($J1024="","",IF($J1024&gt;PARAMETRES!$G$30,5,IF($J1024&gt;PARAMETRES!$F$30,4,IF($J1024&gt;PARAMETRES!$E$30,3,IF($J1024&gt;PARAMETRES!$D$30,2,1)))))</f>
        <v/>
      </c>
      <c r="S1024" t="str">
        <f>IF($K1024="","",IF($Z1024=2,IF($K1024&gt;PARAMETRES!$G$31,5,IF($K1024&gt;PARAMETRES!$F$31,4,IF($K1024&gt;PARAMETRES!$E$31,3,IF($K1024&gt;PARAMETRES!$D$31,2,1)))),IF($K1024&gt;PARAMETRES!$G$32,5,IF($K1024&gt;PARAMETRES!$F$32,4,IF($K1024&gt;PARAMETRES!$E$32,3,IF($K1024&gt;PARAMETRES!$D$32,2,1))))))</f>
        <v/>
      </c>
      <c r="T1024" t="str">
        <f>IF($L1024="","",IF($L1024&gt;PARAMETRES!$G$33,5,IF($L1024&gt;PARAMETRES!$F$33,4,IF($L1024&gt;PARAMETRES!$E$33,3,IF($L1024&gt;PARAMETRES!$D$33,2,1)))))</f>
        <v/>
      </c>
      <c r="U1024" t="str">
        <f>IF($M1024="","",IF($M1024&gt;PARAMETRES!$G$34,5,IF($M1024&gt;PARAMETRES!$F$34,4,IF($M1024&gt;PARAMETRES!$E$34,3,IF($M1024&gt;PARAMETRES!$D$34,2,1)))))</f>
        <v/>
      </c>
      <c r="V1024" t="str">
        <f>IF($N1024="","",IF($N1024&gt;PARAMETRES!$G$35,5,IF($N1024&gt;PARAMETRES!$F$35,4,IF($N1024&gt;PARAMETRES!$E$35,3,IF($N1024&gt;PARAMETRES!$D$35,2,1)))))</f>
        <v/>
      </c>
      <c r="W1024" t="str">
        <f>IF($O1024="","",IF($O1024&gt;PARAMETRES!$G$36,5,IF($O1024&gt;PARAMETRES!$F$36,4,IF($O1024&gt;PARAMETRES!$E$36,3,IF($O1024&gt;PARAMETRES!$D$36,2,1)))))</f>
        <v/>
      </c>
      <c r="X1024" t="str">
        <f>IF($P1024="","",IF($P1024&gt;PARAMETRES!$G$37,5,IF($P1024&gt;PARAMETRES!$F$37,4,IF($P1024&gt;PARAMETRES!$E$37,3,IF($P1024&gt;PARAMETRES!$D$37,2,1)))))</f>
        <v/>
      </c>
      <c r="Y1024" t="str">
        <f t="shared" si="360"/>
        <v/>
      </c>
      <c r="Z1024" t="str">
        <f>IFERROR(VLOOKUP($B1024,TABLE_CYCLE,2,0),"")</f>
        <v/>
      </c>
      <c r="AA1024" t="str">
        <f t="shared" si="361"/>
        <v/>
      </c>
      <c r="AB1024" t="str">
        <f>IF($D1024="","",IF(COUNTIF($D$2:$D1024,$D1024)=1,$D1024,""))</f>
        <v/>
      </c>
      <c r="AC1024">
        <f t="shared" si="362"/>
        <v>0</v>
      </c>
      <c r="AD1024" t="str">
        <f t="shared" si="363"/>
        <v>|0</v>
      </c>
      <c r="AE1024" t="str">
        <f t="shared" si="364"/>
        <v/>
      </c>
      <c r="AF1024" t="str">
        <f t="shared" si="365"/>
        <v/>
      </c>
      <c r="AG1024" t="str">
        <f t="shared" si="366"/>
        <v/>
      </c>
      <c r="AH1024" t="str">
        <f t="shared" si="367"/>
        <v/>
      </c>
      <c r="AI1024" t="str">
        <f t="shared" si="368"/>
        <v/>
      </c>
      <c r="AJ1024" t="str">
        <f t="shared" si="369"/>
        <v/>
      </c>
      <c r="AK1024" t="str">
        <f t="shared" si="370"/>
        <v/>
      </c>
      <c r="AL1024" t="str">
        <f t="shared" si="371"/>
        <v/>
      </c>
      <c r="AM1024" t="str">
        <f t="shared" si="372"/>
        <v/>
      </c>
      <c r="AN1024" t="str">
        <f t="shared" si="373"/>
        <v/>
      </c>
      <c r="AO1024" t="str">
        <f t="shared" si="374"/>
        <v/>
      </c>
      <c r="AP1024">
        <f t="shared" si="375"/>
        <v>1</v>
      </c>
      <c r="AQ1024" t="str">
        <f>IF(SAISIE!$F1029="","",SAISIE!$Y1029)</f>
        <v/>
      </c>
      <c r="AR1024" t="str">
        <f>IF(OR(SAISIE!$U$4="",SAISIE!$W$4=""),"",IF(AND($A1024=SAISIE!$U$4,$B1024=SAISIE!$W$4,$C1024="S1"),COUNTIFS($A$2:$A1024,SAISIE!$U$4,$B$2:$B1024,SAISIE!$W$4,$C$2:$C1024,"S1"),""))</f>
        <v/>
      </c>
      <c r="AS1024" t="str">
        <f t="shared" si="376"/>
        <v/>
      </c>
      <c r="AT1024" t="str">
        <f t="shared" si="377"/>
        <v/>
      </c>
      <c r="AU1024" t="str">
        <f t="shared" si="378"/>
        <v/>
      </c>
      <c r="AV1024">
        <f>N(AV1023)+IF(AND($AB1024&lt;&gt;"",OR('PROFIL ELEVE'!$K$4="(Tous)",$AF1024='PROFIL ELEVE'!$K$4)),1,0)</f>
        <v>0</v>
      </c>
      <c r="AW1024">
        <f>N(AW1023)+IF(AND($AB1024&lt;&gt;"",OR('SUIVI LONGITUDINAL'!$Q$4="(Tous)",$AF1024='SUIVI LONGITUDINAL'!$Q$4)),1,0)</f>
        <v>0</v>
      </c>
      <c r="AX1024">
        <f t="shared" si="379"/>
        <v>0</v>
      </c>
      <c r="AY1024">
        <f t="shared" si="380"/>
        <v>0</v>
      </c>
      <c r="AZ1024">
        <f t="shared" si="381"/>
        <v>0</v>
      </c>
      <c r="BA1024" t="str">
        <f t="shared" si="382"/>
        <v/>
      </c>
      <c r="BB1024" t="str">
        <f t="shared" si="383"/>
        <v/>
      </c>
    </row>
    <row r="1025" spans="1:54" ht="14.25" customHeight="1" x14ac:dyDescent="0.3">
      <c r="A1025" t="str">
        <f>IF(SAISIE!$F1030="","",SAISIE!$B1030)</f>
        <v/>
      </c>
      <c r="B1025" t="str">
        <f>IF(SAISIE!$F1030="","",SAISIE!$C1030)</f>
        <v/>
      </c>
      <c r="C1025" t="str">
        <f>IF(SAISIE!$F1030="","",SAISIE!$D1030)</f>
        <v/>
      </c>
      <c r="D1025" t="str">
        <f>IF(SAISIE!$E1030="","",SAISIE!$E1030)</f>
        <v/>
      </c>
      <c r="E1025" t="str">
        <f>IF(SAISIE!$F1030="","",SAISIE!$F1030)</f>
        <v/>
      </c>
      <c r="F1025" t="str">
        <f>IF(SAISIE!$G1030="","",SAISIE!$G1030)</f>
        <v/>
      </c>
      <c r="G1025" t="str">
        <f>IF(SAISIE!$H1030="","",SAISIE!$H1030)</f>
        <v/>
      </c>
      <c r="H1025" t="str">
        <f>IF(SAISIE!$I1030="","",SAISIE!$I1030)</f>
        <v/>
      </c>
      <c r="I1025" t="str">
        <f>IF(SAISIE!$J1030="","",SAISIE!$J1030)</f>
        <v/>
      </c>
      <c r="J1025" t="str">
        <f>IF(SAISIE!$K1030="","",SAISIE!$K1030)</f>
        <v/>
      </c>
      <c r="K1025" t="str">
        <f>IF(SAISIE!$L1030="","",SAISIE!$L1030)</f>
        <v/>
      </c>
      <c r="L1025" t="str">
        <f>IF(SAISIE!$M1030="","",SAISIE!$M1030)</f>
        <v/>
      </c>
      <c r="M1025" t="str">
        <f>IF(SAISIE!$N1030="","",SAISIE!$N1030)</f>
        <v/>
      </c>
      <c r="N1025" t="str">
        <f>IF(SAISIE!$O1030="","",SAISIE!$O1030)</f>
        <v/>
      </c>
      <c r="O1025" t="str">
        <f>IF(SAISIE!$P1030="","",SAISIE!$P1030)</f>
        <v/>
      </c>
      <c r="P1025" t="str">
        <f>IF(SAISIE!$Q1030="","",SAISIE!$Q1030)</f>
        <v/>
      </c>
      <c r="Q1025" t="str">
        <f>IF($I1025="","",IF($I1025&gt;PARAMETRES!$G$29,5,IF($I1025&gt;PARAMETRES!$F$29,4,IF($I1025&gt;PARAMETRES!$E$29,3,IF($I1025&gt;PARAMETRES!$D$29,2,1)))))</f>
        <v/>
      </c>
      <c r="R1025" t="str">
        <f>IF($J1025="","",IF($J1025&gt;PARAMETRES!$G$30,5,IF($J1025&gt;PARAMETRES!$F$30,4,IF($J1025&gt;PARAMETRES!$E$30,3,IF($J1025&gt;PARAMETRES!$D$30,2,1)))))</f>
        <v/>
      </c>
      <c r="S1025" t="str">
        <f>IF($K1025="","",IF($Z1025=2,IF($K1025&gt;PARAMETRES!$G$31,5,IF($K1025&gt;PARAMETRES!$F$31,4,IF($K1025&gt;PARAMETRES!$E$31,3,IF($K1025&gt;PARAMETRES!$D$31,2,1)))),IF($K1025&gt;PARAMETRES!$G$32,5,IF($K1025&gt;PARAMETRES!$F$32,4,IF($K1025&gt;PARAMETRES!$E$32,3,IF($K1025&gt;PARAMETRES!$D$32,2,1))))))</f>
        <v/>
      </c>
      <c r="T1025" t="str">
        <f>IF($L1025="","",IF($L1025&gt;PARAMETRES!$G$33,5,IF($L1025&gt;PARAMETRES!$F$33,4,IF($L1025&gt;PARAMETRES!$E$33,3,IF($L1025&gt;PARAMETRES!$D$33,2,1)))))</f>
        <v/>
      </c>
      <c r="U1025" t="str">
        <f>IF($M1025="","",IF($M1025&gt;PARAMETRES!$G$34,5,IF($M1025&gt;PARAMETRES!$F$34,4,IF($M1025&gt;PARAMETRES!$E$34,3,IF($M1025&gt;PARAMETRES!$D$34,2,1)))))</f>
        <v/>
      </c>
      <c r="V1025" t="str">
        <f>IF($N1025="","",IF($N1025&gt;PARAMETRES!$G$35,5,IF($N1025&gt;PARAMETRES!$F$35,4,IF($N1025&gt;PARAMETRES!$E$35,3,IF($N1025&gt;PARAMETRES!$D$35,2,1)))))</f>
        <v/>
      </c>
      <c r="W1025" t="str">
        <f>IF($O1025="","",IF($O1025&gt;PARAMETRES!$G$36,5,IF($O1025&gt;PARAMETRES!$F$36,4,IF($O1025&gt;PARAMETRES!$E$36,3,IF($O1025&gt;PARAMETRES!$D$36,2,1)))))</f>
        <v/>
      </c>
      <c r="X1025" t="str">
        <f>IF($P1025="","",IF($P1025&gt;PARAMETRES!$G$37,5,IF($P1025&gt;PARAMETRES!$F$37,4,IF($P1025&gt;PARAMETRES!$E$37,3,IF($P1025&gt;PARAMETRES!$D$37,2,1)))))</f>
        <v/>
      </c>
      <c r="Y1025" t="str">
        <f t="shared" si="360"/>
        <v/>
      </c>
      <c r="Z1025" t="str">
        <f>IFERROR(VLOOKUP($B1025,TABLE_CYCLE,2,0),"")</f>
        <v/>
      </c>
      <c r="AA1025" t="str">
        <f t="shared" si="361"/>
        <v/>
      </c>
      <c r="AB1025" t="str">
        <f>IF($D1025="","",IF(COUNTIF($D$2:$D1025,$D1025)=1,$D1025,""))</f>
        <v/>
      </c>
      <c r="AC1025">
        <f t="shared" si="362"/>
        <v>0</v>
      </c>
      <c r="AD1025" t="str">
        <f t="shared" si="363"/>
        <v>|0</v>
      </c>
      <c r="AE1025" t="str">
        <f t="shared" si="364"/>
        <v/>
      </c>
      <c r="AF1025" t="str">
        <f t="shared" si="365"/>
        <v/>
      </c>
      <c r="AG1025" t="str">
        <f t="shared" si="366"/>
        <v/>
      </c>
      <c r="AH1025" t="str">
        <f t="shared" si="367"/>
        <v/>
      </c>
      <c r="AI1025" t="str">
        <f t="shared" si="368"/>
        <v/>
      </c>
      <c r="AJ1025" t="str">
        <f t="shared" si="369"/>
        <v/>
      </c>
      <c r="AK1025" t="str">
        <f t="shared" si="370"/>
        <v/>
      </c>
      <c r="AL1025" t="str">
        <f t="shared" si="371"/>
        <v/>
      </c>
      <c r="AM1025" t="str">
        <f t="shared" si="372"/>
        <v/>
      </c>
      <c r="AN1025" t="str">
        <f t="shared" si="373"/>
        <v/>
      </c>
      <c r="AO1025" t="str">
        <f t="shared" si="374"/>
        <v/>
      </c>
      <c r="AP1025">
        <f t="shared" si="375"/>
        <v>1</v>
      </c>
      <c r="AQ1025" t="str">
        <f>IF(SAISIE!$F1030="","",SAISIE!$Y1030)</f>
        <v/>
      </c>
      <c r="AR1025" t="str">
        <f>IF(OR(SAISIE!$U$4="",SAISIE!$W$4=""),"",IF(AND($A1025=SAISIE!$U$4,$B1025=SAISIE!$W$4,$C1025="S1"),COUNTIFS($A$2:$A1025,SAISIE!$U$4,$B$2:$B1025,SAISIE!$W$4,$C$2:$C1025,"S1"),""))</f>
        <v/>
      </c>
      <c r="AS1025" t="str">
        <f t="shared" si="376"/>
        <v/>
      </c>
      <c r="AT1025" t="str">
        <f t="shared" si="377"/>
        <v/>
      </c>
      <c r="AU1025" t="str">
        <f t="shared" si="378"/>
        <v/>
      </c>
      <c r="AV1025">
        <f>N(AV1024)+IF(AND($AB1025&lt;&gt;"",OR('PROFIL ELEVE'!$K$4="(Tous)",$AF1025='PROFIL ELEVE'!$K$4)),1,0)</f>
        <v>0</v>
      </c>
      <c r="AW1025">
        <f>N(AW1024)+IF(AND($AB1025&lt;&gt;"",OR('SUIVI LONGITUDINAL'!$Q$4="(Tous)",$AF1025='SUIVI LONGITUDINAL'!$Q$4)),1,0)</f>
        <v>0</v>
      </c>
      <c r="AX1025">
        <f t="shared" si="379"/>
        <v>0</v>
      </c>
      <c r="AY1025">
        <f t="shared" si="380"/>
        <v>0</v>
      </c>
      <c r="AZ1025">
        <f t="shared" si="381"/>
        <v>0</v>
      </c>
      <c r="BA1025" t="str">
        <f t="shared" si="382"/>
        <v/>
      </c>
      <c r="BB1025" t="str">
        <f t="shared" si="383"/>
        <v/>
      </c>
    </row>
    <row r="1026" spans="1:54" ht="14.25" customHeight="1" x14ac:dyDescent="0.3">
      <c r="A1026" t="str">
        <f>IF(SAISIE!$F1031="","",SAISIE!$B1031)</f>
        <v/>
      </c>
      <c r="B1026" t="str">
        <f>IF(SAISIE!$F1031="","",SAISIE!$C1031)</f>
        <v/>
      </c>
      <c r="C1026" t="str">
        <f>IF(SAISIE!$F1031="","",SAISIE!$D1031)</f>
        <v/>
      </c>
      <c r="D1026" t="str">
        <f>IF(SAISIE!$E1031="","",SAISIE!$E1031)</f>
        <v/>
      </c>
      <c r="E1026" t="str">
        <f>IF(SAISIE!$F1031="","",SAISIE!$F1031)</f>
        <v/>
      </c>
      <c r="F1026" t="str">
        <f>IF(SAISIE!$G1031="","",SAISIE!$G1031)</f>
        <v/>
      </c>
      <c r="G1026" t="str">
        <f>IF(SAISIE!$H1031="","",SAISIE!$H1031)</f>
        <v/>
      </c>
      <c r="H1026" t="str">
        <f>IF(SAISIE!$I1031="","",SAISIE!$I1031)</f>
        <v/>
      </c>
      <c r="I1026" t="str">
        <f>IF(SAISIE!$J1031="","",SAISIE!$J1031)</f>
        <v/>
      </c>
      <c r="J1026" t="str">
        <f>IF(SAISIE!$K1031="","",SAISIE!$K1031)</f>
        <v/>
      </c>
      <c r="K1026" t="str">
        <f>IF(SAISIE!$L1031="","",SAISIE!$L1031)</f>
        <v/>
      </c>
      <c r="L1026" t="str">
        <f>IF(SAISIE!$M1031="","",SAISIE!$M1031)</f>
        <v/>
      </c>
      <c r="M1026" t="str">
        <f>IF(SAISIE!$N1031="","",SAISIE!$N1031)</f>
        <v/>
      </c>
      <c r="N1026" t="str">
        <f>IF(SAISIE!$O1031="","",SAISIE!$O1031)</f>
        <v/>
      </c>
      <c r="O1026" t="str">
        <f>IF(SAISIE!$P1031="","",SAISIE!$P1031)</f>
        <v/>
      </c>
      <c r="P1026" t="str">
        <f>IF(SAISIE!$Q1031="","",SAISIE!$Q1031)</f>
        <v/>
      </c>
      <c r="Q1026" t="str">
        <f>IF($I1026="","",IF($I1026&gt;PARAMETRES!$G$29,5,IF($I1026&gt;PARAMETRES!$F$29,4,IF($I1026&gt;PARAMETRES!$E$29,3,IF($I1026&gt;PARAMETRES!$D$29,2,1)))))</f>
        <v/>
      </c>
      <c r="R1026" t="str">
        <f>IF($J1026="","",IF($J1026&gt;PARAMETRES!$G$30,5,IF($J1026&gt;PARAMETRES!$F$30,4,IF($J1026&gt;PARAMETRES!$E$30,3,IF($J1026&gt;PARAMETRES!$D$30,2,1)))))</f>
        <v/>
      </c>
      <c r="S1026" t="str">
        <f>IF($K1026="","",IF($Z1026=2,IF($K1026&gt;PARAMETRES!$G$31,5,IF($K1026&gt;PARAMETRES!$F$31,4,IF($K1026&gt;PARAMETRES!$E$31,3,IF($K1026&gt;PARAMETRES!$D$31,2,1)))),IF($K1026&gt;PARAMETRES!$G$32,5,IF($K1026&gt;PARAMETRES!$F$32,4,IF($K1026&gt;PARAMETRES!$E$32,3,IF($K1026&gt;PARAMETRES!$D$32,2,1))))))</f>
        <v/>
      </c>
      <c r="T1026" t="str">
        <f>IF($L1026="","",IF($L1026&gt;PARAMETRES!$G$33,5,IF($L1026&gt;PARAMETRES!$F$33,4,IF($L1026&gt;PARAMETRES!$E$33,3,IF($L1026&gt;PARAMETRES!$D$33,2,1)))))</f>
        <v/>
      </c>
      <c r="U1026" t="str">
        <f>IF($M1026="","",IF($M1026&gt;PARAMETRES!$G$34,5,IF($M1026&gt;PARAMETRES!$F$34,4,IF($M1026&gt;PARAMETRES!$E$34,3,IF($M1026&gt;PARAMETRES!$D$34,2,1)))))</f>
        <v/>
      </c>
      <c r="V1026" t="str">
        <f>IF($N1026="","",IF($N1026&gt;PARAMETRES!$G$35,5,IF($N1026&gt;PARAMETRES!$F$35,4,IF($N1026&gt;PARAMETRES!$E$35,3,IF($N1026&gt;PARAMETRES!$D$35,2,1)))))</f>
        <v/>
      </c>
      <c r="W1026" t="str">
        <f>IF($O1026="","",IF($O1026&gt;PARAMETRES!$G$36,5,IF($O1026&gt;PARAMETRES!$F$36,4,IF($O1026&gt;PARAMETRES!$E$36,3,IF($O1026&gt;PARAMETRES!$D$36,2,1)))))</f>
        <v/>
      </c>
      <c r="X1026" t="str">
        <f>IF($P1026="","",IF($P1026&gt;PARAMETRES!$G$37,5,IF($P1026&gt;PARAMETRES!$F$37,4,IF($P1026&gt;PARAMETRES!$E$37,3,IF($P1026&gt;PARAMETRES!$D$37,2,1)))))</f>
        <v/>
      </c>
      <c r="Y1026" t="str">
        <f t="shared" ref="Y1026:Y1089" si="384">IF(COUNT($Q1026:$X1026)=0,"",AVERAGE($Q1026:$X1026))</f>
        <v/>
      </c>
      <c r="Z1026" t="str">
        <f>IFERROR(VLOOKUP($B1026,TABLE_CYCLE,2,0),"")</f>
        <v/>
      </c>
      <c r="AA1026" t="str">
        <f t="shared" ref="AA1026:AA1089" si="385">IF($D1026="","",$D1026&amp;"|"&amp;$A1026&amp;"|"&amp;$C1026)</f>
        <v/>
      </c>
      <c r="AB1026" t="str">
        <f>IF($D1026="","",IF(COUNTIF($D$2:$D1026,$D1026)=1,$D1026,""))</f>
        <v/>
      </c>
      <c r="AC1026">
        <f t="shared" ref="AC1026:AC1089" si="386">IFERROR(MATCH($A1026,LISTE_ANNEES,0),0)</f>
        <v>0</v>
      </c>
      <c r="AD1026" t="str">
        <f t="shared" ref="AD1026:AD1089" si="387">$D1026&amp;"|"&amp;$AC1026</f>
        <v>|0</v>
      </c>
      <c r="AE1026" t="str">
        <f t="shared" ref="AE1026:AE1089" si="388">IF($D1026="","",_xlfn.MAXIFS($AC$2:$AC$1201,$D$2:$D$1201,$D1026))</f>
        <v/>
      </c>
      <c r="AF1026" t="str">
        <f t="shared" ref="AF1026:AF1089" si="389">IF($AB1026="","",IFERROR(INDEX($B$2:$B$1201,MATCH($D1026&amp;"|"&amp;$AE1026,$AD$2:$AD$1201,0)),""))</f>
        <v/>
      </c>
      <c r="AG1026" t="str">
        <f t="shared" ref="AG1026:AG1089" si="390">IF($C1026&lt;&gt;"S1","",IFERROR(MATCH($D1026&amp;"|"&amp;$A1026&amp;"|S2",$AA$2:$AA$1201,0),""))</f>
        <v/>
      </c>
      <c r="AH1026" t="str">
        <f t="shared" ref="AH1026:AH1089" si="391">IF(OR($AG1026="",$Q1026=""),"",IF(INDEX($Q$2:$Q$1201,$AG1026)="","",IF(INDEX($Q$2:$Q$1201,$AG1026)&gt;$Q1026,1,IF(INDEX($Q$2:$Q$1201,$AG1026)&lt;$Q1026,-1,0))))</f>
        <v/>
      </c>
      <c r="AI1026" t="str">
        <f t="shared" ref="AI1026:AI1089" si="392">IF(OR($AG1026="",$R1026=""),"",IF(INDEX($R$2:$R$1201,$AG1026)="","",IF(INDEX($R$2:$R$1201,$AG1026)&gt;$R1026,1,IF(INDEX($R$2:$R$1201,$AG1026)&lt;$R1026,-1,0))))</f>
        <v/>
      </c>
      <c r="AJ1026" t="str">
        <f t="shared" ref="AJ1026:AJ1089" si="393">IF(OR($AG1026="",$S1026=""),"",IF(INDEX($S$2:$S$1201,$AG1026)="","",IF(INDEX($S$2:$S$1201,$AG1026)&gt;$S1026,1,IF(INDEX($S$2:$S$1201,$AG1026)&lt;$S1026,-1,0))))</f>
        <v/>
      </c>
      <c r="AK1026" t="str">
        <f t="shared" ref="AK1026:AK1089" si="394">IF(OR($AG1026="",$T1026=""),"",IF(INDEX($T$2:$T$1201,$AG1026)="","",IF(INDEX($T$2:$T$1201,$AG1026)&gt;$T1026,1,IF(INDEX($T$2:$T$1201,$AG1026)&lt;$T1026,-1,0))))</f>
        <v/>
      </c>
      <c r="AL1026" t="str">
        <f t="shared" ref="AL1026:AL1089" si="395">IF(OR($AG1026="",$U1026=""),"",IF(INDEX($U$2:$U$1201,$AG1026)="","",IF(INDEX($U$2:$U$1201,$AG1026)&gt;$U1026,1,IF(INDEX($U$2:$U$1201,$AG1026)&lt;$U1026,-1,0))))</f>
        <v/>
      </c>
      <c r="AM1026" t="str">
        <f t="shared" ref="AM1026:AM1089" si="396">IF(OR($AG1026="",$V1026=""),"",IF(INDEX($V$2:$V$1201,$AG1026)="","",IF(INDEX($V$2:$V$1201,$AG1026)&gt;$V1026,1,IF(INDEX($V$2:$V$1201,$AG1026)&lt;$V1026,-1,0))))</f>
        <v/>
      </c>
      <c r="AN1026" t="str">
        <f t="shared" ref="AN1026:AN1089" si="397">IF(OR($AG1026="",$W1026=""),"",IF(INDEX($W$2:$W$1201,$AG1026)="","",IF(INDEX($W$2:$W$1201,$AG1026)&gt;$W1026,1,IF(INDEX($W$2:$W$1201,$AG1026)&lt;$W1026,-1,0))))</f>
        <v/>
      </c>
      <c r="AO1026" t="str">
        <f t="shared" ref="AO1026:AO1089" si="398">IF(OR($AG1026="",$X1026=""),"",IF(INDEX($X$2:$X$1201,$AG1026)="","",IF(INDEX($X$2:$X$1201,$AG1026)&gt;$X1026,1,IF(INDEX($X$2:$X$1201,$AG1026)&lt;$X1026,-1,0))))</f>
        <v/>
      </c>
      <c r="AP1026">
        <f t="shared" ref="AP1026:AP1089" si="399">IF($D1026="",1,COUNTIFS($D$2:$D$1201,$D1026,$A$2:$A$1201,$A1026))</f>
        <v>1</v>
      </c>
      <c r="AQ1026" t="str">
        <f>IF(SAISIE!$F1031="","",SAISIE!$Y1031)</f>
        <v/>
      </c>
      <c r="AR1026" t="str">
        <f>IF(OR(SAISIE!$U$4="",SAISIE!$W$4=""),"",IF(AND($A1026=SAISIE!$U$4,$B1026=SAISIE!$W$4,$C1026="S1"),COUNTIFS($A$2:$A1026,SAISIE!$U$4,$B$2:$B1026,SAISIE!$W$4,$C$2:$C1026,"S1"),""))</f>
        <v/>
      </c>
      <c r="AS1026" t="str">
        <f t="shared" ref="AS1026:AS1089" si="400">IF($D1026="","",$A1026&amp;"|"&amp;$C1026&amp;"|"&amp;$D1026)</f>
        <v/>
      </c>
      <c r="AT1026" t="str">
        <f t="shared" ref="AT1026:AT1089" si="401">IF($D1026="","",$A1026&amp;"|"&amp;$D1026&amp;"|"&amp;IF($AQ1026="Parti","P","A"))</f>
        <v/>
      </c>
      <c r="AU1026" t="str">
        <f t="shared" ref="AU1026:AU1089" si="402">IF($A1026="","",$A1026&amp;"|"&amp;$B1026&amp;"|"&amp;$C1026)</f>
        <v/>
      </c>
      <c r="AV1026">
        <f>N(AV1025)+IF(AND($AB1026&lt;&gt;"",OR('PROFIL ELEVE'!$K$4="(Tous)",$AF1026='PROFIL ELEVE'!$K$4)),1,0)</f>
        <v>0</v>
      </c>
      <c r="AW1026">
        <f>N(AW1025)+IF(AND($AB1026&lt;&gt;"",OR('SUIVI LONGITUDINAL'!$Q$4="(Tous)",$AF1026='SUIVI LONGITUDINAL'!$Q$4)),1,0)</f>
        <v>0</v>
      </c>
      <c r="AX1026">
        <f t="shared" ref="AX1026:AX1089" si="403">COUNTIF($AH1026:$AO1026,1)</f>
        <v>0</v>
      </c>
      <c r="AY1026">
        <f t="shared" ref="AY1026:AY1089" si="404">COUNTIF($AH1026:$AO1026,0)</f>
        <v>0</v>
      </c>
      <c r="AZ1026">
        <f t="shared" ref="AZ1026:AZ1089" si="405">COUNTIF($AH1026:$AO1026,-1)</f>
        <v>0</v>
      </c>
      <c r="BA1026" t="str">
        <f t="shared" ref="BA1026:BA1089" si="406">IF($E1026="","",COUNT($Q1026:$X1026))</f>
        <v/>
      </c>
      <c r="BB1026" t="str">
        <f t="shared" ref="BB1026:BB1089" si="407">IF($E1026="","",IF(COUNT($Q1026:$X1026)&gt;=IF($Z1026=2,5,8),1,0))</f>
        <v/>
      </c>
    </row>
    <row r="1027" spans="1:54" ht="14.25" customHeight="1" x14ac:dyDescent="0.3">
      <c r="A1027" t="str">
        <f>IF(SAISIE!$F1032="","",SAISIE!$B1032)</f>
        <v/>
      </c>
      <c r="B1027" t="str">
        <f>IF(SAISIE!$F1032="","",SAISIE!$C1032)</f>
        <v/>
      </c>
      <c r="C1027" t="str">
        <f>IF(SAISIE!$F1032="","",SAISIE!$D1032)</f>
        <v/>
      </c>
      <c r="D1027" t="str">
        <f>IF(SAISIE!$E1032="","",SAISIE!$E1032)</f>
        <v/>
      </c>
      <c r="E1027" t="str">
        <f>IF(SAISIE!$F1032="","",SAISIE!$F1032)</f>
        <v/>
      </c>
      <c r="F1027" t="str">
        <f>IF(SAISIE!$G1032="","",SAISIE!$G1032)</f>
        <v/>
      </c>
      <c r="G1027" t="str">
        <f>IF(SAISIE!$H1032="","",SAISIE!$H1032)</f>
        <v/>
      </c>
      <c r="H1027" t="str">
        <f>IF(SAISIE!$I1032="","",SAISIE!$I1032)</f>
        <v/>
      </c>
      <c r="I1027" t="str">
        <f>IF(SAISIE!$J1032="","",SAISIE!$J1032)</f>
        <v/>
      </c>
      <c r="J1027" t="str">
        <f>IF(SAISIE!$K1032="","",SAISIE!$K1032)</f>
        <v/>
      </c>
      <c r="K1027" t="str">
        <f>IF(SAISIE!$L1032="","",SAISIE!$L1032)</f>
        <v/>
      </c>
      <c r="L1027" t="str">
        <f>IF(SAISIE!$M1032="","",SAISIE!$M1032)</f>
        <v/>
      </c>
      <c r="M1027" t="str">
        <f>IF(SAISIE!$N1032="","",SAISIE!$N1032)</f>
        <v/>
      </c>
      <c r="N1027" t="str">
        <f>IF(SAISIE!$O1032="","",SAISIE!$O1032)</f>
        <v/>
      </c>
      <c r="O1027" t="str">
        <f>IF(SAISIE!$P1032="","",SAISIE!$P1032)</f>
        <v/>
      </c>
      <c r="P1027" t="str">
        <f>IF(SAISIE!$Q1032="","",SAISIE!$Q1032)</f>
        <v/>
      </c>
      <c r="Q1027" t="str">
        <f>IF($I1027="","",IF($I1027&gt;PARAMETRES!$G$29,5,IF($I1027&gt;PARAMETRES!$F$29,4,IF($I1027&gt;PARAMETRES!$E$29,3,IF($I1027&gt;PARAMETRES!$D$29,2,1)))))</f>
        <v/>
      </c>
      <c r="R1027" t="str">
        <f>IF($J1027="","",IF($J1027&gt;PARAMETRES!$G$30,5,IF($J1027&gt;PARAMETRES!$F$30,4,IF($J1027&gt;PARAMETRES!$E$30,3,IF($J1027&gt;PARAMETRES!$D$30,2,1)))))</f>
        <v/>
      </c>
      <c r="S1027" t="str">
        <f>IF($K1027="","",IF($Z1027=2,IF($K1027&gt;PARAMETRES!$G$31,5,IF($K1027&gt;PARAMETRES!$F$31,4,IF($K1027&gt;PARAMETRES!$E$31,3,IF($K1027&gt;PARAMETRES!$D$31,2,1)))),IF($K1027&gt;PARAMETRES!$G$32,5,IF($K1027&gt;PARAMETRES!$F$32,4,IF($K1027&gt;PARAMETRES!$E$32,3,IF($K1027&gt;PARAMETRES!$D$32,2,1))))))</f>
        <v/>
      </c>
      <c r="T1027" t="str">
        <f>IF($L1027="","",IF($L1027&gt;PARAMETRES!$G$33,5,IF($L1027&gt;PARAMETRES!$F$33,4,IF($L1027&gt;PARAMETRES!$E$33,3,IF($L1027&gt;PARAMETRES!$D$33,2,1)))))</f>
        <v/>
      </c>
      <c r="U1027" t="str">
        <f>IF($M1027="","",IF($M1027&gt;PARAMETRES!$G$34,5,IF($M1027&gt;PARAMETRES!$F$34,4,IF($M1027&gt;PARAMETRES!$E$34,3,IF($M1027&gt;PARAMETRES!$D$34,2,1)))))</f>
        <v/>
      </c>
      <c r="V1027" t="str">
        <f>IF($N1027="","",IF($N1027&gt;PARAMETRES!$G$35,5,IF($N1027&gt;PARAMETRES!$F$35,4,IF($N1027&gt;PARAMETRES!$E$35,3,IF($N1027&gt;PARAMETRES!$D$35,2,1)))))</f>
        <v/>
      </c>
      <c r="W1027" t="str">
        <f>IF($O1027="","",IF($O1027&gt;PARAMETRES!$G$36,5,IF($O1027&gt;PARAMETRES!$F$36,4,IF($O1027&gt;PARAMETRES!$E$36,3,IF($O1027&gt;PARAMETRES!$D$36,2,1)))))</f>
        <v/>
      </c>
      <c r="X1027" t="str">
        <f>IF($P1027="","",IF($P1027&gt;PARAMETRES!$G$37,5,IF($P1027&gt;PARAMETRES!$F$37,4,IF($P1027&gt;PARAMETRES!$E$37,3,IF($P1027&gt;PARAMETRES!$D$37,2,1)))))</f>
        <v/>
      </c>
      <c r="Y1027" t="str">
        <f t="shared" si="384"/>
        <v/>
      </c>
      <c r="Z1027" t="str">
        <f>IFERROR(VLOOKUP($B1027,TABLE_CYCLE,2,0),"")</f>
        <v/>
      </c>
      <c r="AA1027" t="str">
        <f t="shared" si="385"/>
        <v/>
      </c>
      <c r="AB1027" t="str">
        <f>IF($D1027="","",IF(COUNTIF($D$2:$D1027,$D1027)=1,$D1027,""))</f>
        <v/>
      </c>
      <c r="AC1027">
        <f t="shared" si="386"/>
        <v>0</v>
      </c>
      <c r="AD1027" t="str">
        <f t="shared" si="387"/>
        <v>|0</v>
      </c>
      <c r="AE1027" t="str">
        <f t="shared" si="388"/>
        <v/>
      </c>
      <c r="AF1027" t="str">
        <f t="shared" si="389"/>
        <v/>
      </c>
      <c r="AG1027" t="str">
        <f t="shared" si="390"/>
        <v/>
      </c>
      <c r="AH1027" t="str">
        <f t="shared" si="391"/>
        <v/>
      </c>
      <c r="AI1027" t="str">
        <f t="shared" si="392"/>
        <v/>
      </c>
      <c r="AJ1027" t="str">
        <f t="shared" si="393"/>
        <v/>
      </c>
      <c r="AK1027" t="str">
        <f t="shared" si="394"/>
        <v/>
      </c>
      <c r="AL1027" t="str">
        <f t="shared" si="395"/>
        <v/>
      </c>
      <c r="AM1027" t="str">
        <f t="shared" si="396"/>
        <v/>
      </c>
      <c r="AN1027" t="str">
        <f t="shared" si="397"/>
        <v/>
      </c>
      <c r="AO1027" t="str">
        <f t="shared" si="398"/>
        <v/>
      </c>
      <c r="AP1027">
        <f t="shared" si="399"/>
        <v>1</v>
      </c>
      <c r="AQ1027" t="str">
        <f>IF(SAISIE!$F1032="","",SAISIE!$Y1032)</f>
        <v/>
      </c>
      <c r="AR1027" t="str">
        <f>IF(OR(SAISIE!$U$4="",SAISIE!$W$4=""),"",IF(AND($A1027=SAISIE!$U$4,$B1027=SAISIE!$W$4,$C1027="S1"),COUNTIFS($A$2:$A1027,SAISIE!$U$4,$B$2:$B1027,SAISIE!$W$4,$C$2:$C1027,"S1"),""))</f>
        <v/>
      </c>
      <c r="AS1027" t="str">
        <f t="shared" si="400"/>
        <v/>
      </c>
      <c r="AT1027" t="str">
        <f t="shared" si="401"/>
        <v/>
      </c>
      <c r="AU1027" t="str">
        <f t="shared" si="402"/>
        <v/>
      </c>
      <c r="AV1027">
        <f>N(AV1026)+IF(AND($AB1027&lt;&gt;"",OR('PROFIL ELEVE'!$K$4="(Tous)",$AF1027='PROFIL ELEVE'!$K$4)),1,0)</f>
        <v>0</v>
      </c>
      <c r="AW1027">
        <f>N(AW1026)+IF(AND($AB1027&lt;&gt;"",OR('SUIVI LONGITUDINAL'!$Q$4="(Tous)",$AF1027='SUIVI LONGITUDINAL'!$Q$4)),1,0)</f>
        <v>0</v>
      </c>
      <c r="AX1027">
        <f t="shared" si="403"/>
        <v>0</v>
      </c>
      <c r="AY1027">
        <f t="shared" si="404"/>
        <v>0</v>
      </c>
      <c r="AZ1027">
        <f t="shared" si="405"/>
        <v>0</v>
      </c>
      <c r="BA1027" t="str">
        <f t="shared" si="406"/>
        <v/>
      </c>
      <c r="BB1027" t="str">
        <f t="shared" si="407"/>
        <v/>
      </c>
    </row>
    <row r="1028" spans="1:54" ht="14.25" customHeight="1" x14ac:dyDescent="0.3">
      <c r="A1028" t="str">
        <f>IF(SAISIE!$F1033="","",SAISIE!$B1033)</f>
        <v/>
      </c>
      <c r="B1028" t="str">
        <f>IF(SAISIE!$F1033="","",SAISIE!$C1033)</f>
        <v/>
      </c>
      <c r="C1028" t="str">
        <f>IF(SAISIE!$F1033="","",SAISIE!$D1033)</f>
        <v/>
      </c>
      <c r="D1028" t="str">
        <f>IF(SAISIE!$E1033="","",SAISIE!$E1033)</f>
        <v/>
      </c>
      <c r="E1028" t="str">
        <f>IF(SAISIE!$F1033="","",SAISIE!$F1033)</f>
        <v/>
      </c>
      <c r="F1028" t="str">
        <f>IF(SAISIE!$G1033="","",SAISIE!$G1033)</f>
        <v/>
      </c>
      <c r="G1028" t="str">
        <f>IF(SAISIE!$H1033="","",SAISIE!$H1033)</f>
        <v/>
      </c>
      <c r="H1028" t="str">
        <f>IF(SAISIE!$I1033="","",SAISIE!$I1033)</f>
        <v/>
      </c>
      <c r="I1028" t="str">
        <f>IF(SAISIE!$J1033="","",SAISIE!$J1033)</f>
        <v/>
      </c>
      <c r="J1028" t="str">
        <f>IF(SAISIE!$K1033="","",SAISIE!$K1033)</f>
        <v/>
      </c>
      <c r="K1028" t="str">
        <f>IF(SAISIE!$L1033="","",SAISIE!$L1033)</f>
        <v/>
      </c>
      <c r="L1028" t="str">
        <f>IF(SAISIE!$M1033="","",SAISIE!$M1033)</f>
        <v/>
      </c>
      <c r="M1028" t="str">
        <f>IF(SAISIE!$N1033="","",SAISIE!$N1033)</f>
        <v/>
      </c>
      <c r="N1028" t="str">
        <f>IF(SAISIE!$O1033="","",SAISIE!$O1033)</f>
        <v/>
      </c>
      <c r="O1028" t="str">
        <f>IF(SAISIE!$P1033="","",SAISIE!$P1033)</f>
        <v/>
      </c>
      <c r="P1028" t="str">
        <f>IF(SAISIE!$Q1033="","",SAISIE!$Q1033)</f>
        <v/>
      </c>
      <c r="Q1028" t="str">
        <f>IF($I1028="","",IF($I1028&gt;PARAMETRES!$G$29,5,IF($I1028&gt;PARAMETRES!$F$29,4,IF($I1028&gt;PARAMETRES!$E$29,3,IF($I1028&gt;PARAMETRES!$D$29,2,1)))))</f>
        <v/>
      </c>
      <c r="R1028" t="str">
        <f>IF($J1028="","",IF($J1028&gt;PARAMETRES!$G$30,5,IF($J1028&gt;PARAMETRES!$F$30,4,IF($J1028&gt;PARAMETRES!$E$30,3,IF($J1028&gt;PARAMETRES!$D$30,2,1)))))</f>
        <v/>
      </c>
      <c r="S1028" t="str">
        <f>IF($K1028="","",IF($Z1028=2,IF($K1028&gt;PARAMETRES!$G$31,5,IF($K1028&gt;PARAMETRES!$F$31,4,IF($K1028&gt;PARAMETRES!$E$31,3,IF($K1028&gt;PARAMETRES!$D$31,2,1)))),IF($K1028&gt;PARAMETRES!$G$32,5,IF($K1028&gt;PARAMETRES!$F$32,4,IF($K1028&gt;PARAMETRES!$E$32,3,IF($K1028&gt;PARAMETRES!$D$32,2,1))))))</f>
        <v/>
      </c>
      <c r="T1028" t="str">
        <f>IF($L1028="","",IF($L1028&gt;PARAMETRES!$G$33,5,IF($L1028&gt;PARAMETRES!$F$33,4,IF($L1028&gt;PARAMETRES!$E$33,3,IF($L1028&gt;PARAMETRES!$D$33,2,1)))))</f>
        <v/>
      </c>
      <c r="U1028" t="str">
        <f>IF($M1028="","",IF($M1028&gt;PARAMETRES!$G$34,5,IF($M1028&gt;PARAMETRES!$F$34,4,IF($M1028&gt;PARAMETRES!$E$34,3,IF($M1028&gt;PARAMETRES!$D$34,2,1)))))</f>
        <v/>
      </c>
      <c r="V1028" t="str">
        <f>IF($N1028="","",IF($N1028&gt;PARAMETRES!$G$35,5,IF($N1028&gt;PARAMETRES!$F$35,4,IF($N1028&gt;PARAMETRES!$E$35,3,IF($N1028&gt;PARAMETRES!$D$35,2,1)))))</f>
        <v/>
      </c>
      <c r="W1028" t="str">
        <f>IF($O1028="","",IF($O1028&gt;PARAMETRES!$G$36,5,IF($O1028&gt;PARAMETRES!$F$36,4,IF($O1028&gt;PARAMETRES!$E$36,3,IF($O1028&gt;PARAMETRES!$D$36,2,1)))))</f>
        <v/>
      </c>
      <c r="X1028" t="str">
        <f>IF($P1028="","",IF($P1028&gt;PARAMETRES!$G$37,5,IF($P1028&gt;PARAMETRES!$F$37,4,IF($P1028&gt;PARAMETRES!$E$37,3,IF($P1028&gt;PARAMETRES!$D$37,2,1)))))</f>
        <v/>
      </c>
      <c r="Y1028" t="str">
        <f t="shared" si="384"/>
        <v/>
      </c>
      <c r="Z1028" t="str">
        <f>IFERROR(VLOOKUP($B1028,TABLE_CYCLE,2,0),"")</f>
        <v/>
      </c>
      <c r="AA1028" t="str">
        <f t="shared" si="385"/>
        <v/>
      </c>
      <c r="AB1028" t="str">
        <f>IF($D1028="","",IF(COUNTIF($D$2:$D1028,$D1028)=1,$D1028,""))</f>
        <v/>
      </c>
      <c r="AC1028">
        <f t="shared" si="386"/>
        <v>0</v>
      </c>
      <c r="AD1028" t="str">
        <f t="shared" si="387"/>
        <v>|0</v>
      </c>
      <c r="AE1028" t="str">
        <f t="shared" si="388"/>
        <v/>
      </c>
      <c r="AF1028" t="str">
        <f t="shared" si="389"/>
        <v/>
      </c>
      <c r="AG1028" t="str">
        <f t="shared" si="390"/>
        <v/>
      </c>
      <c r="AH1028" t="str">
        <f t="shared" si="391"/>
        <v/>
      </c>
      <c r="AI1028" t="str">
        <f t="shared" si="392"/>
        <v/>
      </c>
      <c r="AJ1028" t="str">
        <f t="shared" si="393"/>
        <v/>
      </c>
      <c r="AK1028" t="str">
        <f t="shared" si="394"/>
        <v/>
      </c>
      <c r="AL1028" t="str">
        <f t="shared" si="395"/>
        <v/>
      </c>
      <c r="AM1028" t="str">
        <f t="shared" si="396"/>
        <v/>
      </c>
      <c r="AN1028" t="str">
        <f t="shared" si="397"/>
        <v/>
      </c>
      <c r="AO1028" t="str">
        <f t="shared" si="398"/>
        <v/>
      </c>
      <c r="AP1028">
        <f t="shared" si="399"/>
        <v>1</v>
      </c>
      <c r="AQ1028" t="str">
        <f>IF(SAISIE!$F1033="","",SAISIE!$Y1033)</f>
        <v/>
      </c>
      <c r="AR1028" t="str">
        <f>IF(OR(SAISIE!$U$4="",SAISIE!$W$4=""),"",IF(AND($A1028=SAISIE!$U$4,$B1028=SAISIE!$W$4,$C1028="S1"),COUNTIFS($A$2:$A1028,SAISIE!$U$4,$B$2:$B1028,SAISIE!$W$4,$C$2:$C1028,"S1"),""))</f>
        <v/>
      </c>
      <c r="AS1028" t="str">
        <f t="shared" si="400"/>
        <v/>
      </c>
      <c r="AT1028" t="str">
        <f t="shared" si="401"/>
        <v/>
      </c>
      <c r="AU1028" t="str">
        <f t="shared" si="402"/>
        <v/>
      </c>
      <c r="AV1028">
        <f>N(AV1027)+IF(AND($AB1028&lt;&gt;"",OR('PROFIL ELEVE'!$K$4="(Tous)",$AF1028='PROFIL ELEVE'!$K$4)),1,0)</f>
        <v>0</v>
      </c>
      <c r="AW1028">
        <f>N(AW1027)+IF(AND($AB1028&lt;&gt;"",OR('SUIVI LONGITUDINAL'!$Q$4="(Tous)",$AF1028='SUIVI LONGITUDINAL'!$Q$4)),1,0)</f>
        <v>0</v>
      </c>
      <c r="AX1028">
        <f t="shared" si="403"/>
        <v>0</v>
      </c>
      <c r="AY1028">
        <f t="shared" si="404"/>
        <v>0</v>
      </c>
      <c r="AZ1028">
        <f t="shared" si="405"/>
        <v>0</v>
      </c>
      <c r="BA1028" t="str">
        <f t="shared" si="406"/>
        <v/>
      </c>
      <c r="BB1028" t="str">
        <f t="shared" si="407"/>
        <v/>
      </c>
    </row>
    <row r="1029" spans="1:54" ht="14.25" customHeight="1" x14ac:dyDescent="0.3">
      <c r="A1029" t="str">
        <f>IF(SAISIE!$F1034="","",SAISIE!$B1034)</f>
        <v/>
      </c>
      <c r="B1029" t="str">
        <f>IF(SAISIE!$F1034="","",SAISIE!$C1034)</f>
        <v/>
      </c>
      <c r="C1029" t="str">
        <f>IF(SAISIE!$F1034="","",SAISIE!$D1034)</f>
        <v/>
      </c>
      <c r="D1029" t="str">
        <f>IF(SAISIE!$E1034="","",SAISIE!$E1034)</f>
        <v/>
      </c>
      <c r="E1029" t="str">
        <f>IF(SAISIE!$F1034="","",SAISIE!$F1034)</f>
        <v/>
      </c>
      <c r="F1029" t="str">
        <f>IF(SAISIE!$G1034="","",SAISIE!$G1034)</f>
        <v/>
      </c>
      <c r="G1029" t="str">
        <f>IF(SAISIE!$H1034="","",SAISIE!$H1034)</f>
        <v/>
      </c>
      <c r="H1029" t="str">
        <f>IF(SAISIE!$I1034="","",SAISIE!$I1034)</f>
        <v/>
      </c>
      <c r="I1029" t="str">
        <f>IF(SAISIE!$J1034="","",SAISIE!$J1034)</f>
        <v/>
      </c>
      <c r="J1029" t="str">
        <f>IF(SAISIE!$K1034="","",SAISIE!$K1034)</f>
        <v/>
      </c>
      <c r="K1029" t="str">
        <f>IF(SAISIE!$L1034="","",SAISIE!$L1034)</f>
        <v/>
      </c>
      <c r="L1029" t="str">
        <f>IF(SAISIE!$M1034="","",SAISIE!$M1034)</f>
        <v/>
      </c>
      <c r="M1029" t="str">
        <f>IF(SAISIE!$N1034="","",SAISIE!$N1034)</f>
        <v/>
      </c>
      <c r="N1029" t="str">
        <f>IF(SAISIE!$O1034="","",SAISIE!$O1034)</f>
        <v/>
      </c>
      <c r="O1029" t="str">
        <f>IF(SAISIE!$P1034="","",SAISIE!$P1034)</f>
        <v/>
      </c>
      <c r="P1029" t="str">
        <f>IF(SAISIE!$Q1034="","",SAISIE!$Q1034)</f>
        <v/>
      </c>
      <c r="Q1029" t="str">
        <f>IF($I1029="","",IF($I1029&gt;PARAMETRES!$G$29,5,IF($I1029&gt;PARAMETRES!$F$29,4,IF($I1029&gt;PARAMETRES!$E$29,3,IF($I1029&gt;PARAMETRES!$D$29,2,1)))))</f>
        <v/>
      </c>
      <c r="R1029" t="str">
        <f>IF($J1029="","",IF($J1029&gt;PARAMETRES!$G$30,5,IF($J1029&gt;PARAMETRES!$F$30,4,IF($J1029&gt;PARAMETRES!$E$30,3,IF($J1029&gt;PARAMETRES!$D$30,2,1)))))</f>
        <v/>
      </c>
      <c r="S1029" t="str">
        <f>IF($K1029="","",IF($Z1029=2,IF($K1029&gt;PARAMETRES!$G$31,5,IF($K1029&gt;PARAMETRES!$F$31,4,IF($K1029&gt;PARAMETRES!$E$31,3,IF($K1029&gt;PARAMETRES!$D$31,2,1)))),IF($K1029&gt;PARAMETRES!$G$32,5,IF($K1029&gt;PARAMETRES!$F$32,4,IF($K1029&gt;PARAMETRES!$E$32,3,IF($K1029&gt;PARAMETRES!$D$32,2,1))))))</f>
        <v/>
      </c>
      <c r="T1029" t="str">
        <f>IF($L1029="","",IF($L1029&gt;PARAMETRES!$G$33,5,IF($L1029&gt;PARAMETRES!$F$33,4,IF($L1029&gt;PARAMETRES!$E$33,3,IF($L1029&gt;PARAMETRES!$D$33,2,1)))))</f>
        <v/>
      </c>
      <c r="U1029" t="str">
        <f>IF($M1029="","",IF($M1029&gt;PARAMETRES!$G$34,5,IF($M1029&gt;PARAMETRES!$F$34,4,IF($M1029&gt;PARAMETRES!$E$34,3,IF($M1029&gt;PARAMETRES!$D$34,2,1)))))</f>
        <v/>
      </c>
      <c r="V1029" t="str">
        <f>IF($N1029="","",IF($N1029&gt;PARAMETRES!$G$35,5,IF($N1029&gt;PARAMETRES!$F$35,4,IF($N1029&gt;PARAMETRES!$E$35,3,IF($N1029&gt;PARAMETRES!$D$35,2,1)))))</f>
        <v/>
      </c>
      <c r="W1029" t="str">
        <f>IF($O1029="","",IF($O1029&gt;PARAMETRES!$G$36,5,IF($O1029&gt;PARAMETRES!$F$36,4,IF($O1029&gt;PARAMETRES!$E$36,3,IF($O1029&gt;PARAMETRES!$D$36,2,1)))))</f>
        <v/>
      </c>
      <c r="X1029" t="str">
        <f>IF($P1029="","",IF($P1029&gt;PARAMETRES!$G$37,5,IF($P1029&gt;PARAMETRES!$F$37,4,IF($P1029&gt;PARAMETRES!$E$37,3,IF($P1029&gt;PARAMETRES!$D$37,2,1)))))</f>
        <v/>
      </c>
      <c r="Y1029" t="str">
        <f t="shared" si="384"/>
        <v/>
      </c>
      <c r="Z1029" t="str">
        <f>IFERROR(VLOOKUP($B1029,TABLE_CYCLE,2,0),"")</f>
        <v/>
      </c>
      <c r="AA1029" t="str">
        <f t="shared" si="385"/>
        <v/>
      </c>
      <c r="AB1029" t="str">
        <f>IF($D1029="","",IF(COUNTIF($D$2:$D1029,$D1029)=1,$D1029,""))</f>
        <v/>
      </c>
      <c r="AC1029">
        <f t="shared" si="386"/>
        <v>0</v>
      </c>
      <c r="AD1029" t="str">
        <f t="shared" si="387"/>
        <v>|0</v>
      </c>
      <c r="AE1029" t="str">
        <f t="shared" si="388"/>
        <v/>
      </c>
      <c r="AF1029" t="str">
        <f t="shared" si="389"/>
        <v/>
      </c>
      <c r="AG1029" t="str">
        <f t="shared" si="390"/>
        <v/>
      </c>
      <c r="AH1029" t="str">
        <f t="shared" si="391"/>
        <v/>
      </c>
      <c r="AI1029" t="str">
        <f t="shared" si="392"/>
        <v/>
      </c>
      <c r="AJ1029" t="str">
        <f t="shared" si="393"/>
        <v/>
      </c>
      <c r="AK1029" t="str">
        <f t="shared" si="394"/>
        <v/>
      </c>
      <c r="AL1029" t="str">
        <f t="shared" si="395"/>
        <v/>
      </c>
      <c r="AM1029" t="str">
        <f t="shared" si="396"/>
        <v/>
      </c>
      <c r="AN1029" t="str">
        <f t="shared" si="397"/>
        <v/>
      </c>
      <c r="AO1029" t="str">
        <f t="shared" si="398"/>
        <v/>
      </c>
      <c r="AP1029">
        <f t="shared" si="399"/>
        <v>1</v>
      </c>
      <c r="AQ1029" t="str">
        <f>IF(SAISIE!$F1034="","",SAISIE!$Y1034)</f>
        <v/>
      </c>
      <c r="AR1029" t="str">
        <f>IF(OR(SAISIE!$U$4="",SAISIE!$W$4=""),"",IF(AND($A1029=SAISIE!$U$4,$B1029=SAISIE!$W$4,$C1029="S1"),COUNTIFS($A$2:$A1029,SAISIE!$U$4,$B$2:$B1029,SAISIE!$W$4,$C$2:$C1029,"S1"),""))</f>
        <v/>
      </c>
      <c r="AS1029" t="str">
        <f t="shared" si="400"/>
        <v/>
      </c>
      <c r="AT1029" t="str">
        <f t="shared" si="401"/>
        <v/>
      </c>
      <c r="AU1029" t="str">
        <f t="shared" si="402"/>
        <v/>
      </c>
      <c r="AV1029">
        <f>N(AV1028)+IF(AND($AB1029&lt;&gt;"",OR('PROFIL ELEVE'!$K$4="(Tous)",$AF1029='PROFIL ELEVE'!$K$4)),1,0)</f>
        <v>0</v>
      </c>
      <c r="AW1029">
        <f>N(AW1028)+IF(AND($AB1029&lt;&gt;"",OR('SUIVI LONGITUDINAL'!$Q$4="(Tous)",$AF1029='SUIVI LONGITUDINAL'!$Q$4)),1,0)</f>
        <v>0</v>
      </c>
      <c r="AX1029">
        <f t="shared" si="403"/>
        <v>0</v>
      </c>
      <c r="AY1029">
        <f t="shared" si="404"/>
        <v>0</v>
      </c>
      <c r="AZ1029">
        <f t="shared" si="405"/>
        <v>0</v>
      </c>
      <c r="BA1029" t="str">
        <f t="shared" si="406"/>
        <v/>
      </c>
      <c r="BB1029" t="str">
        <f t="shared" si="407"/>
        <v/>
      </c>
    </row>
    <row r="1030" spans="1:54" ht="14.25" customHeight="1" x14ac:dyDescent="0.3">
      <c r="A1030" t="str">
        <f>IF(SAISIE!$F1035="","",SAISIE!$B1035)</f>
        <v/>
      </c>
      <c r="B1030" t="str">
        <f>IF(SAISIE!$F1035="","",SAISIE!$C1035)</f>
        <v/>
      </c>
      <c r="C1030" t="str">
        <f>IF(SAISIE!$F1035="","",SAISIE!$D1035)</f>
        <v/>
      </c>
      <c r="D1030" t="str">
        <f>IF(SAISIE!$E1035="","",SAISIE!$E1035)</f>
        <v/>
      </c>
      <c r="E1030" t="str">
        <f>IF(SAISIE!$F1035="","",SAISIE!$F1035)</f>
        <v/>
      </c>
      <c r="F1030" t="str">
        <f>IF(SAISIE!$G1035="","",SAISIE!$G1035)</f>
        <v/>
      </c>
      <c r="G1030" t="str">
        <f>IF(SAISIE!$H1035="","",SAISIE!$H1035)</f>
        <v/>
      </c>
      <c r="H1030" t="str">
        <f>IF(SAISIE!$I1035="","",SAISIE!$I1035)</f>
        <v/>
      </c>
      <c r="I1030" t="str">
        <f>IF(SAISIE!$J1035="","",SAISIE!$J1035)</f>
        <v/>
      </c>
      <c r="J1030" t="str">
        <f>IF(SAISIE!$K1035="","",SAISIE!$K1035)</f>
        <v/>
      </c>
      <c r="K1030" t="str">
        <f>IF(SAISIE!$L1035="","",SAISIE!$L1035)</f>
        <v/>
      </c>
      <c r="L1030" t="str">
        <f>IF(SAISIE!$M1035="","",SAISIE!$M1035)</f>
        <v/>
      </c>
      <c r="M1030" t="str">
        <f>IF(SAISIE!$N1035="","",SAISIE!$N1035)</f>
        <v/>
      </c>
      <c r="N1030" t="str">
        <f>IF(SAISIE!$O1035="","",SAISIE!$O1035)</f>
        <v/>
      </c>
      <c r="O1030" t="str">
        <f>IF(SAISIE!$P1035="","",SAISIE!$P1035)</f>
        <v/>
      </c>
      <c r="P1030" t="str">
        <f>IF(SAISIE!$Q1035="","",SAISIE!$Q1035)</f>
        <v/>
      </c>
      <c r="Q1030" t="str">
        <f>IF($I1030="","",IF($I1030&gt;PARAMETRES!$G$29,5,IF($I1030&gt;PARAMETRES!$F$29,4,IF($I1030&gt;PARAMETRES!$E$29,3,IF($I1030&gt;PARAMETRES!$D$29,2,1)))))</f>
        <v/>
      </c>
      <c r="R1030" t="str">
        <f>IF($J1030="","",IF($J1030&gt;PARAMETRES!$G$30,5,IF($J1030&gt;PARAMETRES!$F$30,4,IF($J1030&gt;PARAMETRES!$E$30,3,IF($J1030&gt;PARAMETRES!$D$30,2,1)))))</f>
        <v/>
      </c>
      <c r="S1030" t="str">
        <f>IF($K1030="","",IF($Z1030=2,IF($K1030&gt;PARAMETRES!$G$31,5,IF($K1030&gt;PARAMETRES!$F$31,4,IF($K1030&gt;PARAMETRES!$E$31,3,IF($K1030&gt;PARAMETRES!$D$31,2,1)))),IF($K1030&gt;PARAMETRES!$G$32,5,IF($K1030&gt;PARAMETRES!$F$32,4,IF($K1030&gt;PARAMETRES!$E$32,3,IF($K1030&gt;PARAMETRES!$D$32,2,1))))))</f>
        <v/>
      </c>
      <c r="T1030" t="str">
        <f>IF($L1030="","",IF($L1030&gt;PARAMETRES!$G$33,5,IF($L1030&gt;PARAMETRES!$F$33,4,IF($L1030&gt;PARAMETRES!$E$33,3,IF($L1030&gt;PARAMETRES!$D$33,2,1)))))</f>
        <v/>
      </c>
      <c r="U1030" t="str">
        <f>IF($M1030="","",IF($M1030&gt;PARAMETRES!$G$34,5,IF($M1030&gt;PARAMETRES!$F$34,4,IF($M1030&gt;PARAMETRES!$E$34,3,IF($M1030&gt;PARAMETRES!$D$34,2,1)))))</f>
        <v/>
      </c>
      <c r="V1030" t="str">
        <f>IF($N1030="","",IF($N1030&gt;PARAMETRES!$G$35,5,IF($N1030&gt;PARAMETRES!$F$35,4,IF($N1030&gt;PARAMETRES!$E$35,3,IF($N1030&gt;PARAMETRES!$D$35,2,1)))))</f>
        <v/>
      </c>
      <c r="W1030" t="str">
        <f>IF($O1030="","",IF($O1030&gt;PARAMETRES!$G$36,5,IF($O1030&gt;PARAMETRES!$F$36,4,IF($O1030&gt;PARAMETRES!$E$36,3,IF($O1030&gt;PARAMETRES!$D$36,2,1)))))</f>
        <v/>
      </c>
      <c r="X1030" t="str">
        <f>IF($P1030="","",IF($P1030&gt;PARAMETRES!$G$37,5,IF($P1030&gt;PARAMETRES!$F$37,4,IF($P1030&gt;PARAMETRES!$E$37,3,IF($P1030&gt;PARAMETRES!$D$37,2,1)))))</f>
        <v/>
      </c>
      <c r="Y1030" t="str">
        <f t="shared" si="384"/>
        <v/>
      </c>
      <c r="Z1030" t="str">
        <f>IFERROR(VLOOKUP($B1030,TABLE_CYCLE,2,0),"")</f>
        <v/>
      </c>
      <c r="AA1030" t="str">
        <f t="shared" si="385"/>
        <v/>
      </c>
      <c r="AB1030" t="str">
        <f>IF($D1030="","",IF(COUNTIF($D$2:$D1030,$D1030)=1,$D1030,""))</f>
        <v/>
      </c>
      <c r="AC1030">
        <f t="shared" si="386"/>
        <v>0</v>
      </c>
      <c r="AD1030" t="str">
        <f t="shared" si="387"/>
        <v>|0</v>
      </c>
      <c r="AE1030" t="str">
        <f t="shared" si="388"/>
        <v/>
      </c>
      <c r="AF1030" t="str">
        <f t="shared" si="389"/>
        <v/>
      </c>
      <c r="AG1030" t="str">
        <f t="shared" si="390"/>
        <v/>
      </c>
      <c r="AH1030" t="str">
        <f t="shared" si="391"/>
        <v/>
      </c>
      <c r="AI1030" t="str">
        <f t="shared" si="392"/>
        <v/>
      </c>
      <c r="AJ1030" t="str">
        <f t="shared" si="393"/>
        <v/>
      </c>
      <c r="AK1030" t="str">
        <f t="shared" si="394"/>
        <v/>
      </c>
      <c r="AL1030" t="str">
        <f t="shared" si="395"/>
        <v/>
      </c>
      <c r="AM1030" t="str">
        <f t="shared" si="396"/>
        <v/>
      </c>
      <c r="AN1030" t="str">
        <f t="shared" si="397"/>
        <v/>
      </c>
      <c r="AO1030" t="str">
        <f t="shared" si="398"/>
        <v/>
      </c>
      <c r="AP1030">
        <f t="shared" si="399"/>
        <v>1</v>
      </c>
      <c r="AQ1030" t="str">
        <f>IF(SAISIE!$F1035="","",SAISIE!$Y1035)</f>
        <v/>
      </c>
      <c r="AR1030" t="str">
        <f>IF(OR(SAISIE!$U$4="",SAISIE!$W$4=""),"",IF(AND($A1030=SAISIE!$U$4,$B1030=SAISIE!$W$4,$C1030="S1"),COUNTIFS($A$2:$A1030,SAISIE!$U$4,$B$2:$B1030,SAISIE!$W$4,$C$2:$C1030,"S1"),""))</f>
        <v/>
      </c>
      <c r="AS1030" t="str">
        <f t="shared" si="400"/>
        <v/>
      </c>
      <c r="AT1030" t="str">
        <f t="shared" si="401"/>
        <v/>
      </c>
      <c r="AU1030" t="str">
        <f t="shared" si="402"/>
        <v/>
      </c>
      <c r="AV1030">
        <f>N(AV1029)+IF(AND($AB1030&lt;&gt;"",OR('PROFIL ELEVE'!$K$4="(Tous)",$AF1030='PROFIL ELEVE'!$K$4)),1,0)</f>
        <v>0</v>
      </c>
      <c r="AW1030">
        <f>N(AW1029)+IF(AND($AB1030&lt;&gt;"",OR('SUIVI LONGITUDINAL'!$Q$4="(Tous)",$AF1030='SUIVI LONGITUDINAL'!$Q$4)),1,0)</f>
        <v>0</v>
      </c>
      <c r="AX1030">
        <f t="shared" si="403"/>
        <v>0</v>
      </c>
      <c r="AY1030">
        <f t="shared" si="404"/>
        <v>0</v>
      </c>
      <c r="AZ1030">
        <f t="shared" si="405"/>
        <v>0</v>
      </c>
      <c r="BA1030" t="str">
        <f t="shared" si="406"/>
        <v/>
      </c>
      <c r="BB1030" t="str">
        <f t="shared" si="407"/>
        <v/>
      </c>
    </row>
    <row r="1031" spans="1:54" ht="14.25" customHeight="1" x14ac:dyDescent="0.3">
      <c r="A1031" t="str">
        <f>IF(SAISIE!$F1036="","",SAISIE!$B1036)</f>
        <v/>
      </c>
      <c r="B1031" t="str">
        <f>IF(SAISIE!$F1036="","",SAISIE!$C1036)</f>
        <v/>
      </c>
      <c r="C1031" t="str">
        <f>IF(SAISIE!$F1036="","",SAISIE!$D1036)</f>
        <v/>
      </c>
      <c r="D1031" t="str">
        <f>IF(SAISIE!$E1036="","",SAISIE!$E1036)</f>
        <v/>
      </c>
      <c r="E1031" t="str">
        <f>IF(SAISIE!$F1036="","",SAISIE!$F1036)</f>
        <v/>
      </c>
      <c r="F1031" t="str">
        <f>IF(SAISIE!$G1036="","",SAISIE!$G1036)</f>
        <v/>
      </c>
      <c r="G1031" t="str">
        <f>IF(SAISIE!$H1036="","",SAISIE!$H1036)</f>
        <v/>
      </c>
      <c r="H1031" t="str">
        <f>IF(SAISIE!$I1036="","",SAISIE!$I1036)</f>
        <v/>
      </c>
      <c r="I1031" t="str">
        <f>IF(SAISIE!$J1036="","",SAISIE!$J1036)</f>
        <v/>
      </c>
      <c r="J1031" t="str">
        <f>IF(SAISIE!$K1036="","",SAISIE!$K1036)</f>
        <v/>
      </c>
      <c r="K1031" t="str">
        <f>IF(SAISIE!$L1036="","",SAISIE!$L1036)</f>
        <v/>
      </c>
      <c r="L1031" t="str">
        <f>IF(SAISIE!$M1036="","",SAISIE!$M1036)</f>
        <v/>
      </c>
      <c r="M1031" t="str">
        <f>IF(SAISIE!$N1036="","",SAISIE!$N1036)</f>
        <v/>
      </c>
      <c r="N1031" t="str">
        <f>IF(SAISIE!$O1036="","",SAISIE!$O1036)</f>
        <v/>
      </c>
      <c r="O1031" t="str">
        <f>IF(SAISIE!$P1036="","",SAISIE!$P1036)</f>
        <v/>
      </c>
      <c r="P1031" t="str">
        <f>IF(SAISIE!$Q1036="","",SAISIE!$Q1036)</f>
        <v/>
      </c>
      <c r="Q1031" t="str">
        <f>IF($I1031="","",IF($I1031&gt;PARAMETRES!$G$29,5,IF($I1031&gt;PARAMETRES!$F$29,4,IF($I1031&gt;PARAMETRES!$E$29,3,IF($I1031&gt;PARAMETRES!$D$29,2,1)))))</f>
        <v/>
      </c>
      <c r="R1031" t="str">
        <f>IF($J1031="","",IF($J1031&gt;PARAMETRES!$G$30,5,IF($J1031&gt;PARAMETRES!$F$30,4,IF($J1031&gt;PARAMETRES!$E$30,3,IF($J1031&gt;PARAMETRES!$D$30,2,1)))))</f>
        <v/>
      </c>
      <c r="S1031" t="str">
        <f>IF($K1031="","",IF($Z1031=2,IF($K1031&gt;PARAMETRES!$G$31,5,IF($K1031&gt;PARAMETRES!$F$31,4,IF($K1031&gt;PARAMETRES!$E$31,3,IF($K1031&gt;PARAMETRES!$D$31,2,1)))),IF($K1031&gt;PARAMETRES!$G$32,5,IF($K1031&gt;PARAMETRES!$F$32,4,IF($K1031&gt;PARAMETRES!$E$32,3,IF($K1031&gt;PARAMETRES!$D$32,2,1))))))</f>
        <v/>
      </c>
      <c r="T1031" t="str">
        <f>IF($L1031="","",IF($L1031&gt;PARAMETRES!$G$33,5,IF($L1031&gt;PARAMETRES!$F$33,4,IF($L1031&gt;PARAMETRES!$E$33,3,IF($L1031&gt;PARAMETRES!$D$33,2,1)))))</f>
        <v/>
      </c>
      <c r="U1031" t="str">
        <f>IF($M1031="","",IF($M1031&gt;PARAMETRES!$G$34,5,IF($M1031&gt;PARAMETRES!$F$34,4,IF($M1031&gt;PARAMETRES!$E$34,3,IF($M1031&gt;PARAMETRES!$D$34,2,1)))))</f>
        <v/>
      </c>
      <c r="V1031" t="str">
        <f>IF($N1031="","",IF($N1031&gt;PARAMETRES!$G$35,5,IF($N1031&gt;PARAMETRES!$F$35,4,IF($N1031&gt;PARAMETRES!$E$35,3,IF($N1031&gt;PARAMETRES!$D$35,2,1)))))</f>
        <v/>
      </c>
      <c r="W1031" t="str">
        <f>IF($O1031="","",IF($O1031&gt;PARAMETRES!$G$36,5,IF($O1031&gt;PARAMETRES!$F$36,4,IF($O1031&gt;PARAMETRES!$E$36,3,IF($O1031&gt;PARAMETRES!$D$36,2,1)))))</f>
        <v/>
      </c>
      <c r="X1031" t="str">
        <f>IF($P1031="","",IF($P1031&gt;PARAMETRES!$G$37,5,IF($P1031&gt;PARAMETRES!$F$37,4,IF($P1031&gt;PARAMETRES!$E$37,3,IF($P1031&gt;PARAMETRES!$D$37,2,1)))))</f>
        <v/>
      </c>
      <c r="Y1031" t="str">
        <f t="shared" si="384"/>
        <v/>
      </c>
      <c r="Z1031" t="str">
        <f>IFERROR(VLOOKUP($B1031,TABLE_CYCLE,2,0),"")</f>
        <v/>
      </c>
      <c r="AA1031" t="str">
        <f t="shared" si="385"/>
        <v/>
      </c>
      <c r="AB1031" t="str">
        <f>IF($D1031="","",IF(COUNTIF($D$2:$D1031,$D1031)=1,$D1031,""))</f>
        <v/>
      </c>
      <c r="AC1031">
        <f t="shared" si="386"/>
        <v>0</v>
      </c>
      <c r="AD1031" t="str">
        <f t="shared" si="387"/>
        <v>|0</v>
      </c>
      <c r="AE1031" t="str">
        <f t="shared" si="388"/>
        <v/>
      </c>
      <c r="AF1031" t="str">
        <f t="shared" si="389"/>
        <v/>
      </c>
      <c r="AG1031" t="str">
        <f t="shared" si="390"/>
        <v/>
      </c>
      <c r="AH1031" t="str">
        <f t="shared" si="391"/>
        <v/>
      </c>
      <c r="AI1031" t="str">
        <f t="shared" si="392"/>
        <v/>
      </c>
      <c r="AJ1031" t="str">
        <f t="shared" si="393"/>
        <v/>
      </c>
      <c r="AK1031" t="str">
        <f t="shared" si="394"/>
        <v/>
      </c>
      <c r="AL1031" t="str">
        <f t="shared" si="395"/>
        <v/>
      </c>
      <c r="AM1031" t="str">
        <f t="shared" si="396"/>
        <v/>
      </c>
      <c r="AN1031" t="str">
        <f t="shared" si="397"/>
        <v/>
      </c>
      <c r="AO1031" t="str">
        <f t="shared" si="398"/>
        <v/>
      </c>
      <c r="AP1031">
        <f t="shared" si="399"/>
        <v>1</v>
      </c>
      <c r="AQ1031" t="str">
        <f>IF(SAISIE!$F1036="","",SAISIE!$Y1036)</f>
        <v/>
      </c>
      <c r="AR1031" t="str">
        <f>IF(OR(SAISIE!$U$4="",SAISIE!$W$4=""),"",IF(AND($A1031=SAISIE!$U$4,$B1031=SAISIE!$W$4,$C1031="S1"),COUNTIFS($A$2:$A1031,SAISIE!$U$4,$B$2:$B1031,SAISIE!$W$4,$C$2:$C1031,"S1"),""))</f>
        <v/>
      </c>
      <c r="AS1031" t="str">
        <f t="shared" si="400"/>
        <v/>
      </c>
      <c r="AT1031" t="str">
        <f t="shared" si="401"/>
        <v/>
      </c>
      <c r="AU1031" t="str">
        <f t="shared" si="402"/>
        <v/>
      </c>
      <c r="AV1031">
        <f>N(AV1030)+IF(AND($AB1031&lt;&gt;"",OR('PROFIL ELEVE'!$K$4="(Tous)",$AF1031='PROFIL ELEVE'!$K$4)),1,0)</f>
        <v>0</v>
      </c>
      <c r="AW1031">
        <f>N(AW1030)+IF(AND($AB1031&lt;&gt;"",OR('SUIVI LONGITUDINAL'!$Q$4="(Tous)",$AF1031='SUIVI LONGITUDINAL'!$Q$4)),1,0)</f>
        <v>0</v>
      </c>
      <c r="AX1031">
        <f t="shared" si="403"/>
        <v>0</v>
      </c>
      <c r="AY1031">
        <f t="shared" si="404"/>
        <v>0</v>
      </c>
      <c r="AZ1031">
        <f t="shared" si="405"/>
        <v>0</v>
      </c>
      <c r="BA1031" t="str">
        <f t="shared" si="406"/>
        <v/>
      </c>
      <c r="BB1031" t="str">
        <f t="shared" si="407"/>
        <v/>
      </c>
    </row>
    <row r="1032" spans="1:54" ht="14.25" customHeight="1" x14ac:dyDescent="0.3">
      <c r="A1032" t="str">
        <f>IF(SAISIE!$F1037="","",SAISIE!$B1037)</f>
        <v/>
      </c>
      <c r="B1032" t="str">
        <f>IF(SAISIE!$F1037="","",SAISIE!$C1037)</f>
        <v/>
      </c>
      <c r="C1032" t="str">
        <f>IF(SAISIE!$F1037="","",SAISIE!$D1037)</f>
        <v/>
      </c>
      <c r="D1032" t="str">
        <f>IF(SAISIE!$E1037="","",SAISIE!$E1037)</f>
        <v/>
      </c>
      <c r="E1032" t="str">
        <f>IF(SAISIE!$F1037="","",SAISIE!$F1037)</f>
        <v/>
      </c>
      <c r="F1032" t="str">
        <f>IF(SAISIE!$G1037="","",SAISIE!$G1037)</f>
        <v/>
      </c>
      <c r="G1032" t="str">
        <f>IF(SAISIE!$H1037="","",SAISIE!$H1037)</f>
        <v/>
      </c>
      <c r="H1032" t="str">
        <f>IF(SAISIE!$I1037="","",SAISIE!$I1037)</f>
        <v/>
      </c>
      <c r="I1032" t="str">
        <f>IF(SAISIE!$J1037="","",SAISIE!$J1037)</f>
        <v/>
      </c>
      <c r="J1032" t="str">
        <f>IF(SAISIE!$K1037="","",SAISIE!$K1037)</f>
        <v/>
      </c>
      <c r="K1032" t="str">
        <f>IF(SAISIE!$L1037="","",SAISIE!$L1037)</f>
        <v/>
      </c>
      <c r="L1032" t="str">
        <f>IF(SAISIE!$M1037="","",SAISIE!$M1037)</f>
        <v/>
      </c>
      <c r="M1032" t="str">
        <f>IF(SAISIE!$N1037="","",SAISIE!$N1037)</f>
        <v/>
      </c>
      <c r="N1032" t="str">
        <f>IF(SAISIE!$O1037="","",SAISIE!$O1037)</f>
        <v/>
      </c>
      <c r="O1032" t="str">
        <f>IF(SAISIE!$P1037="","",SAISIE!$P1037)</f>
        <v/>
      </c>
      <c r="P1032" t="str">
        <f>IF(SAISIE!$Q1037="","",SAISIE!$Q1037)</f>
        <v/>
      </c>
      <c r="Q1032" t="str">
        <f>IF($I1032="","",IF($I1032&gt;PARAMETRES!$G$29,5,IF($I1032&gt;PARAMETRES!$F$29,4,IF($I1032&gt;PARAMETRES!$E$29,3,IF($I1032&gt;PARAMETRES!$D$29,2,1)))))</f>
        <v/>
      </c>
      <c r="R1032" t="str">
        <f>IF($J1032="","",IF($J1032&gt;PARAMETRES!$G$30,5,IF($J1032&gt;PARAMETRES!$F$30,4,IF($J1032&gt;PARAMETRES!$E$30,3,IF($J1032&gt;PARAMETRES!$D$30,2,1)))))</f>
        <v/>
      </c>
      <c r="S1032" t="str">
        <f>IF($K1032="","",IF($Z1032=2,IF($K1032&gt;PARAMETRES!$G$31,5,IF($K1032&gt;PARAMETRES!$F$31,4,IF($K1032&gt;PARAMETRES!$E$31,3,IF($K1032&gt;PARAMETRES!$D$31,2,1)))),IF($K1032&gt;PARAMETRES!$G$32,5,IF($K1032&gt;PARAMETRES!$F$32,4,IF($K1032&gt;PARAMETRES!$E$32,3,IF($K1032&gt;PARAMETRES!$D$32,2,1))))))</f>
        <v/>
      </c>
      <c r="T1032" t="str">
        <f>IF($L1032="","",IF($L1032&gt;PARAMETRES!$G$33,5,IF($L1032&gt;PARAMETRES!$F$33,4,IF($L1032&gt;PARAMETRES!$E$33,3,IF($L1032&gt;PARAMETRES!$D$33,2,1)))))</f>
        <v/>
      </c>
      <c r="U1032" t="str">
        <f>IF($M1032="","",IF($M1032&gt;PARAMETRES!$G$34,5,IF($M1032&gt;PARAMETRES!$F$34,4,IF($M1032&gt;PARAMETRES!$E$34,3,IF($M1032&gt;PARAMETRES!$D$34,2,1)))))</f>
        <v/>
      </c>
      <c r="V1032" t="str">
        <f>IF($N1032="","",IF($N1032&gt;PARAMETRES!$G$35,5,IF($N1032&gt;PARAMETRES!$F$35,4,IF($N1032&gt;PARAMETRES!$E$35,3,IF($N1032&gt;PARAMETRES!$D$35,2,1)))))</f>
        <v/>
      </c>
      <c r="W1032" t="str">
        <f>IF($O1032="","",IF($O1032&gt;PARAMETRES!$G$36,5,IF($O1032&gt;PARAMETRES!$F$36,4,IF($O1032&gt;PARAMETRES!$E$36,3,IF($O1032&gt;PARAMETRES!$D$36,2,1)))))</f>
        <v/>
      </c>
      <c r="X1032" t="str">
        <f>IF($P1032="","",IF($P1032&gt;PARAMETRES!$G$37,5,IF($P1032&gt;PARAMETRES!$F$37,4,IF($P1032&gt;PARAMETRES!$E$37,3,IF($P1032&gt;PARAMETRES!$D$37,2,1)))))</f>
        <v/>
      </c>
      <c r="Y1032" t="str">
        <f t="shared" si="384"/>
        <v/>
      </c>
      <c r="Z1032" t="str">
        <f>IFERROR(VLOOKUP($B1032,TABLE_CYCLE,2,0),"")</f>
        <v/>
      </c>
      <c r="AA1032" t="str">
        <f t="shared" si="385"/>
        <v/>
      </c>
      <c r="AB1032" t="str">
        <f>IF($D1032="","",IF(COUNTIF($D$2:$D1032,$D1032)=1,$D1032,""))</f>
        <v/>
      </c>
      <c r="AC1032">
        <f t="shared" si="386"/>
        <v>0</v>
      </c>
      <c r="AD1032" t="str">
        <f t="shared" si="387"/>
        <v>|0</v>
      </c>
      <c r="AE1032" t="str">
        <f t="shared" si="388"/>
        <v/>
      </c>
      <c r="AF1032" t="str">
        <f t="shared" si="389"/>
        <v/>
      </c>
      <c r="AG1032" t="str">
        <f t="shared" si="390"/>
        <v/>
      </c>
      <c r="AH1032" t="str">
        <f t="shared" si="391"/>
        <v/>
      </c>
      <c r="AI1032" t="str">
        <f t="shared" si="392"/>
        <v/>
      </c>
      <c r="AJ1032" t="str">
        <f t="shared" si="393"/>
        <v/>
      </c>
      <c r="AK1032" t="str">
        <f t="shared" si="394"/>
        <v/>
      </c>
      <c r="AL1032" t="str">
        <f t="shared" si="395"/>
        <v/>
      </c>
      <c r="AM1032" t="str">
        <f t="shared" si="396"/>
        <v/>
      </c>
      <c r="AN1032" t="str">
        <f t="shared" si="397"/>
        <v/>
      </c>
      <c r="AO1032" t="str">
        <f t="shared" si="398"/>
        <v/>
      </c>
      <c r="AP1032">
        <f t="shared" si="399"/>
        <v>1</v>
      </c>
      <c r="AQ1032" t="str">
        <f>IF(SAISIE!$F1037="","",SAISIE!$Y1037)</f>
        <v/>
      </c>
      <c r="AR1032" t="str">
        <f>IF(OR(SAISIE!$U$4="",SAISIE!$W$4=""),"",IF(AND($A1032=SAISIE!$U$4,$B1032=SAISIE!$W$4,$C1032="S1"),COUNTIFS($A$2:$A1032,SAISIE!$U$4,$B$2:$B1032,SAISIE!$W$4,$C$2:$C1032,"S1"),""))</f>
        <v/>
      </c>
      <c r="AS1032" t="str">
        <f t="shared" si="400"/>
        <v/>
      </c>
      <c r="AT1032" t="str">
        <f t="shared" si="401"/>
        <v/>
      </c>
      <c r="AU1032" t="str">
        <f t="shared" si="402"/>
        <v/>
      </c>
      <c r="AV1032">
        <f>N(AV1031)+IF(AND($AB1032&lt;&gt;"",OR('PROFIL ELEVE'!$K$4="(Tous)",$AF1032='PROFIL ELEVE'!$K$4)),1,0)</f>
        <v>0</v>
      </c>
      <c r="AW1032">
        <f>N(AW1031)+IF(AND($AB1032&lt;&gt;"",OR('SUIVI LONGITUDINAL'!$Q$4="(Tous)",$AF1032='SUIVI LONGITUDINAL'!$Q$4)),1,0)</f>
        <v>0</v>
      </c>
      <c r="AX1032">
        <f t="shared" si="403"/>
        <v>0</v>
      </c>
      <c r="AY1032">
        <f t="shared" si="404"/>
        <v>0</v>
      </c>
      <c r="AZ1032">
        <f t="shared" si="405"/>
        <v>0</v>
      </c>
      <c r="BA1032" t="str">
        <f t="shared" si="406"/>
        <v/>
      </c>
      <c r="BB1032" t="str">
        <f t="shared" si="407"/>
        <v/>
      </c>
    </row>
    <row r="1033" spans="1:54" ht="14.25" customHeight="1" x14ac:dyDescent="0.3">
      <c r="A1033" t="str">
        <f>IF(SAISIE!$F1038="","",SAISIE!$B1038)</f>
        <v/>
      </c>
      <c r="B1033" t="str">
        <f>IF(SAISIE!$F1038="","",SAISIE!$C1038)</f>
        <v/>
      </c>
      <c r="C1033" t="str">
        <f>IF(SAISIE!$F1038="","",SAISIE!$D1038)</f>
        <v/>
      </c>
      <c r="D1033" t="str">
        <f>IF(SAISIE!$E1038="","",SAISIE!$E1038)</f>
        <v/>
      </c>
      <c r="E1033" t="str">
        <f>IF(SAISIE!$F1038="","",SAISIE!$F1038)</f>
        <v/>
      </c>
      <c r="F1033" t="str">
        <f>IF(SAISIE!$G1038="","",SAISIE!$G1038)</f>
        <v/>
      </c>
      <c r="G1033" t="str">
        <f>IF(SAISIE!$H1038="","",SAISIE!$H1038)</f>
        <v/>
      </c>
      <c r="H1033" t="str">
        <f>IF(SAISIE!$I1038="","",SAISIE!$I1038)</f>
        <v/>
      </c>
      <c r="I1033" t="str">
        <f>IF(SAISIE!$J1038="","",SAISIE!$J1038)</f>
        <v/>
      </c>
      <c r="J1033" t="str">
        <f>IF(SAISIE!$K1038="","",SAISIE!$K1038)</f>
        <v/>
      </c>
      <c r="K1033" t="str">
        <f>IF(SAISIE!$L1038="","",SAISIE!$L1038)</f>
        <v/>
      </c>
      <c r="L1033" t="str">
        <f>IF(SAISIE!$M1038="","",SAISIE!$M1038)</f>
        <v/>
      </c>
      <c r="M1033" t="str">
        <f>IF(SAISIE!$N1038="","",SAISIE!$N1038)</f>
        <v/>
      </c>
      <c r="N1033" t="str">
        <f>IF(SAISIE!$O1038="","",SAISIE!$O1038)</f>
        <v/>
      </c>
      <c r="O1033" t="str">
        <f>IF(SAISIE!$P1038="","",SAISIE!$P1038)</f>
        <v/>
      </c>
      <c r="P1033" t="str">
        <f>IF(SAISIE!$Q1038="","",SAISIE!$Q1038)</f>
        <v/>
      </c>
      <c r="Q1033" t="str">
        <f>IF($I1033="","",IF($I1033&gt;PARAMETRES!$G$29,5,IF($I1033&gt;PARAMETRES!$F$29,4,IF($I1033&gt;PARAMETRES!$E$29,3,IF($I1033&gt;PARAMETRES!$D$29,2,1)))))</f>
        <v/>
      </c>
      <c r="R1033" t="str">
        <f>IF($J1033="","",IF($J1033&gt;PARAMETRES!$G$30,5,IF($J1033&gt;PARAMETRES!$F$30,4,IF($J1033&gt;PARAMETRES!$E$30,3,IF($J1033&gt;PARAMETRES!$D$30,2,1)))))</f>
        <v/>
      </c>
      <c r="S1033" t="str">
        <f>IF($K1033="","",IF($Z1033=2,IF($K1033&gt;PARAMETRES!$G$31,5,IF($K1033&gt;PARAMETRES!$F$31,4,IF($K1033&gt;PARAMETRES!$E$31,3,IF($K1033&gt;PARAMETRES!$D$31,2,1)))),IF($K1033&gt;PARAMETRES!$G$32,5,IF($K1033&gt;PARAMETRES!$F$32,4,IF($K1033&gt;PARAMETRES!$E$32,3,IF($K1033&gt;PARAMETRES!$D$32,2,1))))))</f>
        <v/>
      </c>
      <c r="T1033" t="str">
        <f>IF($L1033="","",IF($L1033&gt;PARAMETRES!$G$33,5,IF($L1033&gt;PARAMETRES!$F$33,4,IF($L1033&gt;PARAMETRES!$E$33,3,IF($L1033&gt;PARAMETRES!$D$33,2,1)))))</f>
        <v/>
      </c>
      <c r="U1033" t="str">
        <f>IF($M1033="","",IF($M1033&gt;PARAMETRES!$G$34,5,IF($M1033&gt;PARAMETRES!$F$34,4,IF($M1033&gt;PARAMETRES!$E$34,3,IF($M1033&gt;PARAMETRES!$D$34,2,1)))))</f>
        <v/>
      </c>
      <c r="V1033" t="str">
        <f>IF($N1033="","",IF($N1033&gt;PARAMETRES!$G$35,5,IF($N1033&gt;PARAMETRES!$F$35,4,IF($N1033&gt;PARAMETRES!$E$35,3,IF($N1033&gt;PARAMETRES!$D$35,2,1)))))</f>
        <v/>
      </c>
      <c r="W1033" t="str">
        <f>IF($O1033="","",IF($O1033&gt;PARAMETRES!$G$36,5,IF($O1033&gt;PARAMETRES!$F$36,4,IF($O1033&gt;PARAMETRES!$E$36,3,IF($O1033&gt;PARAMETRES!$D$36,2,1)))))</f>
        <v/>
      </c>
      <c r="X1033" t="str">
        <f>IF($P1033="","",IF($P1033&gt;PARAMETRES!$G$37,5,IF($P1033&gt;PARAMETRES!$F$37,4,IF($P1033&gt;PARAMETRES!$E$37,3,IF($P1033&gt;PARAMETRES!$D$37,2,1)))))</f>
        <v/>
      </c>
      <c r="Y1033" t="str">
        <f t="shared" si="384"/>
        <v/>
      </c>
      <c r="Z1033" t="str">
        <f>IFERROR(VLOOKUP($B1033,TABLE_CYCLE,2,0),"")</f>
        <v/>
      </c>
      <c r="AA1033" t="str">
        <f t="shared" si="385"/>
        <v/>
      </c>
      <c r="AB1033" t="str">
        <f>IF($D1033="","",IF(COUNTIF($D$2:$D1033,$D1033)=1,$D1033,""))</f>
        <v/>
      </c>
      <c r="AC1033">
        <f t="shared" si="386"/>
        <v>0</v>
      </c>
      <c r="AD1033" t="str">
        <f t="shared" si="387"/>
        <v>|0</v>
      </c>
      <c r="AE1033" t="str">
        <f t="shared" si="388"/>
        <v/>
      </c>
      <c r="AF1033" t="str">
        <f t="shared" si="389"/>
        <v/>
      </c>
      <c r="AG1033" t="str">
        <f t="shared" si="390"/>
        <v/>
      </c>
      <c r="AH1033" t="str">
        <f t="shared" si="391"/>
        <v/>
      </c>
      <c r="AI1033" t="str">
        <f t="shared" si="392"/>
        <v/>
      </c>
      <c r="AJ1033" t="str">
        <f t="shared" si="393"/>
        <v/>
      </c>
      <c r="AK1033" t="str">
        <f t="shared" si="394"/>
        <v/>
      </c>
      <c r="AL1033" t="str">
        <f t="shared" si="395"/>
        <v/>
      </c>
      <c r="AM1033" t="str">
        <f t="shared" si="396"/>
        <v/>
      </c>
      <c r="AN1033" t="str">
        <f t="shared" si="397"/>
        <v/>
      </c>
      <c r="AO1033" t="str">
        <f t="shared" si="398"/>
        <v/>
      </c>
      <c r="AP1033">
        <f t="shared" si="399"/>
        <v>1</v>
      </c>
      <c r="AQ1033" t="str">
        <f>IF(SAISIE!$F1038="","",SAISIE!$Y1038)</f>
        <v/>
      </c>
      <c r="AR1033" t="str">
        <f>IF(OR(SAISIE!$U$4="",SAISIE!$W$4=""),"",IF(AND($A1033=SAISIE!$U$4,$B1033=SAISIE!$W$4,$C1033="S1"),COUNTIFS($A$2:$A1033,SAISIE!$U$4,$B$2:$B1033,SAISIE!$W$4,$C$2:$C1033,"S1"),""))</f>
        <v/>
      </c>
      <c r="AS1033" t="str">
        <f t="shared" si="400"/>
        <v/>
      </c>
      <c r="AT1033" t="str">
        <f t="shared" si="401"/>
        <v/>
      </c>
      <c r="AU1033" t="str">
        <f t="shared" si="402"/>
        <v/>
      </c>
      <c r="AV1033">
        <f>N(AV1032)+IF(AND($AB1033&lt;&gt;"",OR('PROFIL ELEVE'!$K$4="(Tous)",$AF1033='PROFIL ELEVE'!$K$4)),1,0)</f>
        <v>0</v>
      </c>
      <c r="AW1033">
        <f>N(AW1032)+IF(AND($AB1033&lt;&gt;"",OR('SUIVI LONGITUDINAL'!$Q$4="(Tous)",$AF1033='SUIVI LONGITUDINAL'!$Q$4)),1,0)</f>
        <v>0</v>
      </c>
      <c r="AX1033">
        <f t="shared" si="403"/>
        <v>0</v>
      </c>
      <c r="AY1033">
        <f t="shared" si="404"/>
        <v>0</v>
      </c>
      <c r="AZ1033">
        <f t="shared" si="405"/>
        <v>0</v>
      </c>
      <c r="BA1033" t="str">
        <f t="shared" si="406"/>
        <v/>
      </c>
      <c r="BB1033" t="str">
        <f t="shared" si="407"/>
        <v/>
      </c>
    </row>
    <row r="1034" spans="1:54" ht="14.25" customHeight="1" x14ac:dyDescent="0.3">
      <c r="A1034" t="str">
        <f>IF(SAISIE!$F1039="","",SAISIE!$B1039)</f>
        <v/>
      </c>
      <c r="B1034" t="str">
        <f>IF(SAISIE!$F1039="","",SAISIE!$C1039)</f>
        <v/>
      </c>
      <c r="C1034" t="str">
        <f>IF(SAISIE!$F1039="","",SAISIE!$D1039)</f>
        <v/>
      </c>
      <c r="D1034" t="str">
        <f>IF(SAISIE!$E1039="","",SAISIE!$E1039)</f>
        <v/>
      </c>
      <c r="E1034" t="str">
        <f>IF(SAISIE!$F1039="","",SAISIE!$F1039)</f>
        <v/>
      </c>
      <c r="F1034" t="str">
        <f>IF(SAISIE!$G1039="","",SAISIE!$G1039)</f>
        <v/>
      </c>
      <c r="G1034" t="str">
        <f>IF(SAISIE!$H1039="","",SAISIE!$H1039)</f>
        <v/>
      </c>
      <c r="H1034" t="str">
        <f>IF(SAISIE!$I1039="","",SAISIE!$I1039)</f>
        <v/>
      </c>
      <c r="I1034" t="str">
        <f>IF(SAISIE!$J1039="","",SAISIE!$J1039)</f>
        <v/>
      </c>
      <c r="J1034" t="str">
        <f>IF(SAISIE!$K1039="","",SAISIE!$K1039)</f>
        <v/>
      </c>
      <c r="K1034" t="str">
        <f>IF(SAISIE!$L1039="","",SAISIE!$L1039)</f>
        <v/>
      </c>
      <c r="L1034" t="str">
        <f>IF(SAISIE!$M1039="","",SAISIE!$M1039)</f>
        <v/>
      </c>
      <c r="M1034" t="str">
        <f>IF(SAISIE!$N1039="","",SAISIE!$N1039)</f>
        <v/>
      </c>
      <c r="N1034" t="str">
        <f>IF(SAISIE!$O1039="","",SAISIE!$O1039)</f>
        <v/>
      </c>
      <c r="O1034" t="str">
        <f>IF(SAISIE!$P1039="","",SAISIE!$P1039)</f>
        <v/>
      </c>
      <c r="P1034" t="str">
        <f>IF(SAISIE!$Q1039="","",SAISIE!$Q1039)</f>
        <v/>
      </c>
      <c r="Q1034" t="str">
        <f>IF($I1034="","",IF($I1034&gt;PARAMETRES!$G$29,5,IF($I1034&gt;PARAMETRES!$F$29,4,IF($I1034&gt;PARAMETRES!$E$29,3,IF($I1034&gt;PARAMETRES!$D$29,2,1)))))</f>
        <v/>
      </c>
      <c r="R1034" t="str">
        <f>IF($J1034="","",IF($J1034&gt;PARAMETRES!$G$30,5,IF($J1034&gt;PARAMETRES!$F$30,4,IF($J1034&gt;PARAMETRES!$E$30,3,IF($J1034&gt;PARAMETRES!$D$30,2,1)))))</f>
        <v/>
      </c>
      <c r="S1034" t="str">
        <f>IF($K1034="","",IF($Z1034=2,IF($K1034&gt;PARAMETRES!$G$31,5,IF($K1034&gt;PARAMETRES!$F$31,4,IF($K1034&gt;PARAMETRES!$E$31,3,IF($K1034&gt;PARAMETRES!$D$31,2,1)))),IF($K1034&gt;PARAMETRES!$G$32,5,IF($K1034&gt;PARAMETRES!$F$32,4,IF($K1034&gt;PARAMETRES!$E$32,3,IF($K1034&gt;PARAMETRES!$D$32,2,1))))))</f>
        <v/>
      </c>
      <c r="T1034" t="str">
        <f>IF($L1034="","",IF($L1034&gt;PARAMETRES!$G$33,5,IF($L1034&gt;PARAMETRES!$F$33,4,IF($L1034&gt;PARAMETRES!$E$33,3,IF($L1034&gt;PARAMETRES!$D$33,2,1)))))</f>
        <v/>
      </c>
      <c r="U1034" t="str">
        <f>IF($M1034="","",IF($M1034&gt;PARAMETRES!$G$34,5,IF($M1034&gt;PARAMETRES!$F$34,4,IF($M1034&gt;PARAMETRES!$E$34,3,IF($M1034&gt;PARAMETRES!$D$34,2,1)))))</f>
        <v/>
      </c>
      <c r="V1034" t="str">
        <f>IF($N1034="","",IF($N1034&gt;PARAMETRES!$G$35,5,IF($N1034&gt;PARAMETRES!$F$35,4,IF($N1034&gt;PARAMETRES!$E$35,3,IF($N1034&gt;PARAMETRES!$D$35,2,1)))))</f>
        <v/>
      </c>
      <c r="W1034" t="str">
        <f>IF($O1034="","",IF($O1034&gt;PARAMETRES!$G$36,5,IF($O1034&gt;PARAMETRES!$F$36,4,IF($O1034&gt;PARAMETRES!$E$36,3,IF($O1034&gt;PARAMETRES!$D$36,2,1)))))</f>
        <v/>
      </c>
      <c r="X1034" t="str">
        <f>IF($P1034="","",IF($P1034&gt;PARAMETRES!$G$37,5,IF($P1034&gt;PARAMETRES!$F$37,4,IF($P1034&gt;PARAMETRES!$E$37,3,IF($P1034&gt;PARAMETRES!$D$37,2,1)))))</f>
        <v/>
      </c>
      <c r="Y1034" t="str">
        <f t="shared" si="384"/>
        <v/>
      </c>
      <c r="Z1034" t="str">
        <f>IFERROR(VLOOKUP($B1034,TABLE_CYCLE,2,0),"")</f>
        <v/>
      </c>
      <c r="AA1034" t="str">
        <f t="shared" si="385"/>
        <v/>
      </c>
      <c r="AB1034" t="str">
        <f>IF($D1034="","",IF(COUNTIF($D$2:$D1034,$D1034)=1,$D1034,""))</f>
        <v/>
      </c>
      <c r="AC1034">
        <f t="shared" si="386"/>
        <v>0</v>
      </c>
      <c r="AD1034" t="str">
        <f t="shared" si="387"/>
        <v>|0</v>
      </c>
      <c r="AE1034" t="str">
        <f t="shared" si="388"/>
        <v/>
      </c>
      <c r="AF1034" t="str">
        <f t="shared" si="389"/>
        <v/>
      </c>
      <c r="AG1034" t="str">
        <f t="shared" si="390"/>
        <v/>
      </c>
      <c r="AH1034" t="str">
        <f t="shared" si="391"/>
        <v/>
      </c>
      <c r="AI1034" t="str">
        <f t="shared" si="392"/>
        <v/>
      </c>
      <c r="AJ1034" t="str">
        <f t="shared" si="393"/>
        <v/>
      </c>
      <c r="AK1034" t="str">
        <f t="shared" si="394"/>
        <v/>
      </c>
      <c r="AL1034" t="str">
        <f t="shared" si="395"/>
        <v/>
      </c>
      <c r="AM1034" t="str">
        <f t="shared" si="396"/>
        <v/>
      </c>
      <c r="AN1034" t="str">
        <f t="shared" si="397"/>
        <v/>
      </c>
      <c r="AO1034" t="str">
        <f t="shared" si="398"/>
        <v/>
      </c>
      <c r="AP1034">
        <f t="shared" si="399"/>
        <v>1</v>
      </c>
      <c r="AQ1034" t="str">
        <f>IF(SAISIE!$F1039="","",SAISIE!$Y1039)</f>
        <v/>
      </c>
      <c r="AR1034" t="str">
        <f>IF(OR(SAISIE!$U$4="",SAISIE!$W$4=""),"",IF(AND($A1034=SAISIE!$U$4,$B1034=SAISIE!$W$4,$C1034="S1"),COUNTIFS($A$2:$A1034,SAISIE!$U$4,$B$2:$B1034,SAISIE!$W$4,$C$2:$C1034,"S1"),""))</f>
        <v/>
      </c>
      <c r="AS1034" t="str">
        <f t="shared" si="400"/>
        <v/>
      </c>
      <c r="AT1034" t="str">
        <f t="shared" si="401"/>
        <v/>
      </c>
      <c r="AU1034" t="str">
        <f t="shared" si="402"/>
        <v/>
      </c>
      <c r="AV1034">
        <f>N(AV1033)+IF(AND($AB1034&lt;&gt;"",OR('PROFIL ELEVE'!$K$4="(Tous)",$AF1034='PROFIL ELEVE'!$K$4)),1,0)</f>
        <v>0</v>
      </c>
      <c r="AW1034">
        <f>N(AW1033)+IF(AND($AB1034&lt;&gt;"",OR('SUIVI LONGITUDINAL'!$Q$4="(Tous)",$AF1034='SUIVI LONGITUDINAL'!$Q$4)),1,0)</f>
        <v>0</v>
      </c>
      <c r="AX1034">
        <f t="shared" si="403"/>
        <v>0</v>
      </c>
      <c r="AY1034">
        <f t="shared" si="404"/>
        <v>0</v>
      </c>
      <c r="AZ1034">
        <f t="shared" si="405"/>
        <v>0</v>
      </c>
      <c r="BA1034" t="str">
        <f t="shared" si="406"/>
        <v/>
      </c>
      <c r="BB1034" t="str">
        <f t="shared" si="407"/>
        <v/>
      </c>
    </row>
    <row r="1035" spans="1:54" ht="14.25" customHeight="1" x14ac:dyDescent="0.3">
      <c r="A1035" t="str">
        <f>IF(SAISIE!$F1040="","",SAISIE!$B1040)</f>
        <v/>
      </c>
      <c r="B1035" t="str">
        <f>IF(SAISIE!$F1040="","",SAISIE!$C1040)</f>
        <v/>
      </c>
      <c r="C1035" t="str">
        <f>IF(SAISIE!$F1040="","",SAISIE!$D1040)</f>
        <v/>
      </c>
      <c r="D1035" t="str">
        <f>IF(SAISIE!$E1040="","",SAISIE!$E1040)</f>
        <v/>
      </c>
      <c r="E1035" t="str">
        <f>IF(SAISIE!$F1040="","",SAISIE!$F1040)</f>
        <v/>
      </c>
      <c r="F1035" t="str">
        <f>IF(SAISIE!$G1040="","",SAISIE!$G1040)</f>
        <v/>
      </c>
      <c r="G1035" t="str">
        <f>IF(SAISIE!$H1040="","",SAISIE!$H1040)</f>
        <v/>
      </c>
      <c r="H1035" t="str">
        <f>IF(SAISIE!$I1040="","",SAISIE!$I1040)</f>
        <v/>
      </c>
      <c r="I1035" t="str">
        <f>IF(SAISIE!$J1040="","",SAISIE!$J1040)</f>
        <v/>
      </c>
      <c r="J1035" t="str">
        <f>IF(SAISIE!$K1040="","",SAISIE!$K1040)</f>
        <v/>
      </c>
      <c r="K1035" t="str">
        <f>IF(SAISIE!$L1040="","",SAISIE!$L1040)</f>
        <v/>
      </c>
      <c r="L1035" t="str">
        <f>IF(SAISIE!$M1040="","",SAISIE!$M1040)</f>
        <v/>
      </c>
      <c r="M1035" t="str">
        <f>IF(SAISIE!$N1040="","",SAISIE!$N1040)</f>
        <v/>
      </c>
      <c r="N1035" t="str">
        <f>IF(SAISIE!$O1040="","",SAISIE!$O1040)</f>
        <v/>
      </c>
      <c r="O1035" t="str">
        <f>IF(SAISIE!$P1040="","",SAISIE!$P1040)</f>
        <v/>
      </c>
      <c r="P1035" t="str">
        <f>IF(SAISIE!$Q1040="","",SAISIE!$Q1040)</f>
        <v/>
      </c>
      <c r="Q1035" t="str">
        <f>IF($I1035="","",IF($I1035&gt;PARAMETRES!$G$29,5,IF($I1035&gt;PARAMETRES!$F$29,4,IF($I1035&gt;PARAMETRES!$E$29,3,IF($I1035&gt;PARAMETRES!$D$29,2,1)))))</f>
        <v/>
      </c>
      <c r="R1035" t="str">
        <f>IF($J1035="","",IF($J1035&gt;PARAMETRES!$G$30,5,IF($J1035&gt;PARAMETRES!$F$30,4,IF($J1035&gt;PARAMETRES!$E$30,3,IF($J1035&gt;PARAMETRES!$D$30,2,1)))))</f>
        <v/>
      </c>
      <c r="S1035" t="str">
        <f>IF($K1035="","",IF($Z1035=2,IF($K1035&gt;PARAMETRES!$G$31,5,IF($K1035&gt;PARAMETRES!$F$31,4,IF($K1035&gt;PARAMETRES!$E$31,3,IF($K1035&gt;PARAMETRES!$D$31,2,1)))),IF($K1035&gt;PARAMETRES!$G$32,5,IF($K1035&gt;PARAMETRES!$F$32,4,IF($K1035&gt;PARAMETRES!$E$32,3,IF($K1035&gt;PARAMETRES!$D$32,2,1))))))</f>
        <v/>
      </c>
      <c r="T1035" t="str">
        <f>IF($L1035="","",IF($L1035&gt;PARAMETRES!$G$33,5,IF($L1035&gt;PARAMETRES!$F$33,4,IF($L1035&gt;PARAMETRES!$E$33,3,IF($L1035&gt;PARAMETRES!$D$33,2,1)))))</f>
        <v/>
      </c>
      <c r="U1035" t="str">
        <f>IF($M1035="","",IF($M1035&gt;PARAMETRES!$G$34,5,IF($M1035&gt;PARAMETRES!$F$34,4,IF($M1035&gt;PARAMETRES!$E$34,3,IF($M1035&gt;PARAMETRES!$D$34,2,1)))))</f>
        <v/>
      </c>
      <c r="V1035" t="str">
        <f>IF($N1035="","",IF($N1035&gt;PARAMETRES!$G$35,5,IF($N1035&gt;PARAMETRES!$F$35,4,IF($N1035&gt;PARAMETRES!$E$35,3,IF($N1035&gt;PARAMETRES!$D$35,2,1)))))</f>
        <v/>
      </c>
      <c r="W1035" t="str">
        <f>IF($O1035="","",IF($O1035&gt;PARAMETRES!$G$36,5,IF($O1035&gt;PARAMETRES!$F$36,4,IF($O1035&gt;PARAMETRES!$E$36,3,IF($O1035&gt;PARAMETRES!$D$36,2,1)))))</f>
        <v/>
      </c>
      <c r="X1035" t="str">
        <f>IF($P1035="","",IF($P1035&gt;PARAMETRES!$G$37,5,IF($P1035&gt;PARAMETRES!$F$37,4,IF($P1035&gt;PARAMETRES!$E$37,3,IF($P1035&gt;PARAMETRES!$D$37,2,1)))))</f>
        <v/>
      </c>
      <c r="Y1035" t="str">
        <f t="shared" si="384"/>
        <v/>
      </c>
      <c r="Z1035" t="str">
        <f>IFERROR(VLOOKUP($B1035,TABLE_CYCLE,2,0),"")</f>
        <v/>
      </c>
      <c r="AA1035" t="str">
        <f t="shared" si="385"/>
        <v/>
      </c>
      <c r="AB1035" t="str">
        <f>IF($D1035="","",IF(COUNTIF($D$2:$D1035,$D1035)=1,$D1035,""))</f>
        <v/>
      </c>
      <c r="AC1035">
        <f t="shared" si="386"/>
        <v>0</v>
      </c>
      <c r="AD1035" t="str">
        <f t="shared" si="387"/>
        <v>|0</v>
      </c>
      <c r="AE1035" t="str">
        <f t="shared" si="388"/>
        <v/>
      </c>
      <c r="AF1035" t="str">
        <f t="shared" si="389"/>
        <v/>
      </c>
      <c r="AG1035" t="str">
        <f t="shared" si="390"/>
        <v/>
      </c>
      <c r="AH1035" t="str">
        <f t="shared" si="391"/>
        <v/>
      </c>
      <c r="AI1035" t="str">
        <f t="shared" si="392"/>
        <v/>
      </c>
      <c r="AJ1035" t="str">
        <f t="shared" si="393"/>
        <v/>
      </c>
      <c r="AK1035" t="str">
        <f t="shared" si="394"/>
        <v/>
      </c>
      <c r="AL1035" t="str">
        <f t="shared" si="395"/>
        <v/>
      </c>
      <c r="AM1035" t="str">
        <f t="shared" si="396"/>
        <v/>
      </c>
      <c r="AN1035" t="str">
        <f t="shared" si="397"/>
        <v/>
      </c>
      <c r="AO1035" t="str">
        <f t="shared" si="398"/>
        <v/>
      </c>
      <c r="AP1035">
        <f t="shared" si="399"/>
        <v>1</v>
      </c>
      <c r="AQ1035" t="str">
        <f>IF(SAISIE!$F1040="","",SAISIE!$Y1040)</f>
        <v/>
      </c>
      <c r="AR1035" t="str">
        <f>IF(OR(SAISIE!$U$4="",SAISIE!$W$4=""),"",IF(AND($A1035=SAISIE!$U$4,$B1035=SAISIE!$W$4,$C1035="S1"),COUNTIFS($A$2:$A1035,SAISIE!$U$4,$B$2:$B1035,SAISIE!$W$4,$C$2:$C1035,"S1"),""))</f>
        <v/>
      </c>
      <c r="AS1035" t="str">
        <f t="shared" si="400"/>
        <v/>
      </c>
      <c r="AT1035" t="str">
        <f t="shared" si="401"/>
        <v/>
      </c>
      <c r="AU1035" t="str">
        <f t="shared" si="402"/>
        <v/>
      </c>
      <c r="AV1035">
        <f>N(AV1034)+IF(AND($AB1035&lt;&gt;"",OR('PROFIL ELEVE'!$K$4="(Tous)",$AF1035='PROFIL ELEVE'!$K$4)),1,0)</f>
        <v>0</v>
      </c>
      <c r="AW1035">
        <f>N(AW1034)+IF(AND($AB1035&lt;&gt;"",OR('SUIVI LONGITUDINAL'!$Q$4="(Tous)",$AF1035='SUIVI LONGITUDINAL'!$Q$4)),1,0)</f>
        <v>0</v>
      </c>
      <c r="AX1035">
        <f t="shared" si="403"/>
        <v>0</v>
      </c>
      <c r="AY1035">
        <f t="shared" si="404"/>
        <v>0</v>
      </c>
      <c r="AZ1035">
        <f t="shared" si="405"/>
        <v>0</v>
      </c>
      <c r="BA1035" t="str">
        <f t="shared" si="406"/>
        <v/>
      </c>
      <c r="BB1035" t="str">
        <f t="shared" si="407"/>
        <v/>
      </c>
    </row>
    <row r="1036" spans="1:54" ht="14.25" customHeight="1" x14ac:dyDescent="0.3">
      <c r="A1036" t="str">
        <f>IF(SAISIE!$F1041="","",SAISIE!$B1041)</f>
        <v/>
      </c>
      <c r="B1036" t="str">
        <f>IF(SAISIE!$F1041="","",SAISIE!$C1041)</f>
        <v/>
      </c>
      <c r="C1036" t="str">
        <f>IF(SAISIE!$F1041="","",SAISIE!$D1041)</f>
        <v/>
      </c>
      <c r="D1036" t="str">
        <f>IF(SAISIE!$E1041="","",SAISIE!$E1041)</f>
        <v/>
      </c>
      <c r="E1036" t="str">
        <f>IF(SAISIE!$F1041="","",SAISIE!$F1041)</f>
        <v/>
      </c>
      <c r="F1036" t="str">
        <f>IF(SAISIE!$G1041="","",SAISIE!$G1041)</f>
        <v/>
      </c>
      <c r="G1036" t="str">
        <f>IF(SAISIE!$H1041="","",SAISIE!$H1041)</f>
        <v/>
      </c>
      <c r="H1036" t="str">
        <f>IF(SAISIE!$I1041="","",SAISIE!$I1041)</f>
        <v/>
      </c>
      <c r="I1036" t="str">
        <f>IF(SAISIE!$J1041="","",SAISIE!$J1041)</f>
        <v/>
      </c>
      <c r="J1036" t="str">
        <f>IF(SAISIE!$K1041="","",SAISIE!$K1041)</f>
        <v/>
      </c>
      <c r="K1036" t="str">
        <f>IF(SAISIE!$L1041="","",SAISIE!$L1041)</f>
        <v/>
      </c>
      <c r="L1036" t="str">
        <f>IF(SAISIE!$M1041="","",SAISIE!$M1041)</f>
        <v/>
      </c>
      <c r="M1036" t="str">
        <f>IF(SAISIE!$N1041="","",SAISIE!$N1041)</f>
        <v/>
      </c>
      <c r="N1036" t="str">
        <f>IF(SAISIE!$O1041="","",SAISIE!$O1041)</f>
        <v/>
      </c>
      <c r="O1036" t="str">
        <f>IF(SAISIE!$P1041="","",SAISIE!$P1041)</f>
        <v/>
      </c>
      <c r="P1036" t="str">
        <f>IF(SAISIE!$Q1041="","",SAISIE!$Q1041)</f>
        <v/>
      </c>
      <c r="Q1036" t="str">
        <f>IF($I1036="","",IF($I1036&gt;PARAMETRES!$G$29,5,IF($I1036&gt;PARAMETRES!$F$29,4,IF($I1036&gt;PARAMETRES!$E$29,3,IF($I1036&gt;PARAMETRES!$D$29,2,1)))))</f>
        <v/>
      </c>
      <c r="R1036" t="str">
        <f>IF($J1036="","",IF($J1036&gt;PARAMETRES!$G$30,5,IF($J1036&gt;PARAMETRES!$F$30,4,IF($J1036&gt;PARAMETRES!$E$30,3,IF($J1036&gt;PARAMETRES!$D$30,2,1)))))</f>
        <v/>
      </c>
      <c r="S1036" t="str">
        <f>IF($K1036="","",IF($Z1036=2,IF($K1036&gt;PARAMETRES!$G$31,5,IF($K1036&gt;PARAMETRES!$F$31,4,IF($K1036&gt;PARAMETRES!$E$31,3,IF($K1036&gt;PARAMETRES!$D$31,2,1)))),IF($K1036&gt;PARAMETRES!$G$32,5,IF($K1036&gt;PARAMETRES!$F$32,4,IF($K1036&gt;PARAMETRES!$E$32,3,IF($K1036&gt;PARAMETRES!$D$32,2,1))))))</f>
        <v/>
      </c>
      <c r="T1036" t="str">
        <f>IF($L1036="","",IF($L1036&gt;PARAMETRES!$G$33,5,IF($L1036&gt;PARAMETRES!$F$33,4,IF($L1036&gt;PARAMETRES!$E$33,3,IF($L1036&gt;PARAMETRES!$D$33,2,1)))))</f>
        <v/>
      </c>
      <c r="U1036" t="str">
        <f>IF($M1036="","",IF($M1036&gt;PARAMETRES!$G$34,5,IF($M1036&gt;PARAMETRES!$F$34,4,IF($M1036&gt;PARAMETRES!$E$34,3,IF($M1036&gt;PARAMETRES!$D$34,2,1)))))</f>
        <v/>
      </c>
      <c r="V1036" t="str">
        <f>IF($N1036="","",IF($N1036&gt;PARAMETRES!$G$35,5,IF($N1036&gt;PARAMETRES!$F$35,4,IF($N1036&gt;PARAMETRES!$E$35,3,IF($N1036&gt;PARAMETRES!$D$35,2,1)))))</f>
        <v/>
      </c>
      <c r="W1036" t="str">
        <f>IF($O1036="","",IF($O1036&gt;PARAMETRES!$G$36,5,IF($O1036&gt;PARAMETRES!$F$36,4,IF($O1036&gt;PARAMETRES!$E$36,3,IF($O1036&gt;PARAMETRES!$D$36,2,1)))))</f>
        <v/>
      </c>
      <c r="X1036" t="str">
        <f>IF($P1036="","",IF($P1036&gt;PARAMETRES!$G$37,5,IF($P1036&gt;PARAMETRES!$F$37,4,IF($P1036&gt;PARAMETRES!$E$37,3,IF($P1036&gt;PARAMETRES!$D$37,2,1)))))</f>
        <v/>
      </c>
      <c r="Y1036" t="str">
        <f t="shared" si="384"/>
        <v/>
      </c>
      <c r="Z1036" t="str">
        <f>IFERROR(VLOOKUP($B1036,TABLE_CYCLE,2,0),"")</f>
        <v/>
      </c>
      <c r="AA1036" t="str">
        <f t="shared" si="385"/>
        <v/>
      </c>
      <c r="AB1036" t="str">
        <f>IF($D1036="","",IF(COUNTIF($D$2:$D1036,$D1036)=1,$D1036,""))</f>
        <v/>
      </c>
      <c r="AC1036">
        <f t="shared" si="386"/>
        <v>0</v>
      </c>
      <c r="AD1036" t="str">
        <f t="shared" si="387"/>
        <v>|0</v>
      </c>
      <c r="AE1036" t="str">
        <f t="shared" si="388"/>
        <v/>
      </c>
      <c r="AF1036" t="str">
        <f t="shared" si="389"/>
        <v/>
      </c>
      <c r="AG1036" t="str">
        <f t="shared" si="390"/>
        <v/>
      </c>
      <c r="AH1036" t="str">
        <f t="shared" si="391"/>
        <v/>
      </c>
      <c r="AI1036" t="str">
        <f t="shared" si="392"/>
        <v/>
      </c>
      <c r="AJ1036" t="str">
        <f t="shared" si="393"/>
        <v/>
      </c>
      <c r="AK1036" t="str">
        <f t="shared" si="394"/>
        <v/>
      </c>
      <c r="AL1036" t="str">
        <f t="shared" si="395"/>
        <v/>
      </c>
      <c r="AM1036" t="str">
        <f t="shared" si="396"/>
        <v/>
      </c>
      <c r="AN1036" t="str">
        <f t="shared" si="397"/>
        <v/>
      </c>
      <c r="AO1036" t="str">
        <f t="shared" si="398"/>
        <v/>
      </c>
      <c r="AP1036">
        <f t="shared" si="399"/>
        <v>1</v>
      </c>
      <c r="AQ1036" t="str">
        <f>IF(SAISIE!$F1041="","",SAISIE!$Y1041)</f>
        <v/>
      </c>
      <c r="AR1036" t="str">
        <f>IF(OR(SAISIE!$U$4="",SAISIE!$W$4=""),"",IF(AND($A1036=SAISIE!$U$4,$B1036=SAISIE!$W$4,$C1036="S1"),COUNTIFS($A$2:$A1036,SAISIE!$U$4,$B$2:$B1036,SAISIE!$W$4,$C$2:$C1036,"S1"),""))</f>
        <v/>
      </c>
      <c r="AS1036" t="str">
        <f t="shared" si="400"/>
        <v/>
      </c>
      <c r="AT1036" t="str">
        <f t="shared" si="401"/>
        <v/>
      </c>
      <c r="AU1036" t="str">
        <f t="shared" si="402"/>
        <v/>
      </c>
      <c r="AV1036">
        <f>N(AV1035)+IF(AND($AB1036&lt;&gt;"",OR('PROFIL ELEVE'!$K$4="(Tous)",$AF1036='PROFIL ELEVE'!$K$4)),1,0)</f>
        <v>0</v>
      </c>
      <c r="AW1036">
        <f>N(AW1035)+IF(AND($AB1036&lt;&gt;"",OR('SUIVI LONGITUDINAL'!$Q$4="(Tous)",$AF1036='SUIVI LONGITUDINAL'!$Q$4)),1,0)</f>
        <v>0</v>
      </c>
      <c r="AX1036">
        <f t="shared" si="403"/>
        <v>0</v>
      </c>
      <c r="AY1036">
        <f t="shared" si="404"/>
        <v>0</v>
      </c>
      <c r="AZ1036">
        <f t="shared" si="405"/>
        <v>0</v>
      </c>
      <c r="BA1036" t="str">
        <f t="shared" si="406"/>
        <v/>
      </c>
      <c r="BB1036" t="str">
        <f t="shared" si="407"/>
        <v/>
      </c>
    </row>
    <row r="1037" spans="1:54" ht="14.25" customHeight="1" x14ac:dyDescent="0.3">
      <c r="A1037" t="str">
        <f>IF(SAISIE!$F1042="","",SAISIE!$B1042)</f>
        <v/>
      </c>
      <c r="B1037" t="str">
        <f>IF(SAISIE!$F1042="","",SAISIE!$C1042)</f>
        <v/>
      </c>
      <c r="C1037" t="str">
        <f>IF(SAISIE!$F1042="","",SAISIE!$D1042)</f>
        <v/>
      </c>
      <c r="D1037" t="str">
        <f>IF(SAISIE!$E1042="","",SAISIE!$E1042)</f>
        <v/>
      </c>
      <c r="E1037" t="str">
        <f>IF(SAISIE!$F1042="","",SAISIE!$F1042)</f>
        <v/>
      </c>
      <c r="F1037" t="str">
        <f>IF(SAISIE!$G1042="","",SAISIE!$G1042)</f>
        <v/>
      </c>
      <c r="G1037" t="str">
        <f>IF(SAISIE!$H1042="","",SAISIE!$H1042)</f>
        <v/>
      </c>
      <c r="H1037" t="str">
        <f>IF(SAISIE!$I1042="","",SAISIE!$I1042)</f>
        <v/>
      </c>
      <c r="I1037" t="str">
        <f>IF(SAISIE!$J1042="","",SAISIE!$J1042)</f>
        <v/>
      </c>
      <c r="J1037" t="str">
        <f>IF(SAISIE!$K1042="","",SAISIE!$K1042)</f>
        <v/>
      </c>
      <c r="K1037" t="str">
        <f>IF(SAISIE!$L1042="","",SAISIE!$L1042)</f>
        <v/>
      </c>
      <c r="L1037" t="str">
        <f>IF(SAISIE!$M1042="","",SAISIE!$M1042)</f>
        <v/>
      </c>
      <c r="M1037" t="str">
        <f>IF(SAISIE!$N1042="","",SAISIE!$N1042)</f>
        <v/>
      </c>
      <c r="N1037" t="str">
        <f>IF(SAISIE!$O1042="","",SAISIE!$O1042)</f>
        <v/>
      </c>
      <c r="O1037" t="str">
        <f>IF(SAISIE!$P1042="","",SAISIE!$P1042)</f>
        <v/>
      </c>
      <c r="P1037" t="str">
        <f>IF(SAISIE!$Q1042="","",SAISIE!$Q1042)</f>
        <v/>
      </c>
      <c r="Q1037" t="str">
        <f>IF($I1037="","",IF($I1037&gt;PARAMETRES!$G$29,5,IF($I1037&gt;PARAMETRES!$F$29,4,IF($I1037&gt;PARAMETRES!$E$29,3,IF($I1037&gt;PARAMETRES!$D$29,2,1)))))</f>
        <v/>
      </c>
      <c r="R1037" t="str">
        <f>IF($J1037="","",IF($J1037&gt;PARAMETRES!$G$30,5,IF($J1037&gt;PARAMETRES!$F$30,4,IF($J1037&gt;PARAMETRES!$E$30,3,IF($J1037&gt;PARAMETRES!$D$30,2,1)))))</f>
        <v/>
      </c>
      <c r="S1037" t="str">
        <f>IF($K1037="","",IF($Z1037=2,IF($K1037&gt;PARAMETRES!$G$31,5,IF($K1037&gt;PARAMETRES!$F$31,4,IF($K1037&gt;PARAMETRES!$E$31,3,IF($K1037&gt;PARAMETRES!$D$31,2,1)))),IF($K1037&gt;PARAMETRES!$G$32,5,IF($K1037&gt;PARAMETRES!$F$32,4,IF($K1037&gt;PARAMETRES!$E$32,3,IF($K1037&gt;PARAMETRES!$D$32,2,1))))))</f>
        <v/>
      </c>
      <c r="T1037" t="str">
        <f>IF($L1037="","",IF($L1037&gt;PARAMETRES!$G$33,5,IF($L1037&gt;PARAMETRES!$F$33,4,IF($L1037&gt;PARAMETRES!$E$33,3,IF($L1037&gt;PARAMETRES!$D$33,2,1)))))</f>
        <v/>
      </c>
      <c r="U1037" t="str">
        <f>IF($M1037="","",IF($M1037&gt;PARAMETRES!$G$34,5,IF($M1037&gt;PARAMETRES!$F$34,4,IF($M1037&gt;PARAMETRES!$E$34,3,IF($M1037&gt;PARAMETRES!$D$34,2,1)))))</f>
        <v/>
      </c>
      <c r="V1037" t="str">
        <f>IF($N1037="","",IF($N1037&gt;PARAMETRES!$G$35,5,IF($N1037&gt;PARAMETRES!$F$35,4,IF($N1037&gt;PARAMETRES!$E$35,3,IF($N1037&gt;PARAMETRES!$D$35,2,1)))))</f>
        <v/>
      </c>
      <c r="W1037" t="str">
        <f>IF($O1037="","",IF($O1037&gt;PARAMETRES!$G$36,5,IF($O1037&gt;PARAMETRES!$F$36,4,IF($O1037&gt;PARAMETRES!$E$36,3,IF($O1037&gt;PARAMETRES!$D$36,2,1)))))</f>
        <v/>
      </c>
      <c r="X1037" t="str">
        <f>IF($P1037="","",IF($P1037&gt;PARAMETRES!$G$37,5,IF($P1037&gt;PARAMETRES!$F$37,4,IF($P1037&gt;PARAMETRES!$E$37,3,IF($P1037&gt;PARAMETRES!$D$37,2,1)))))</f>
        <v/>
      </c>
      <c r="Y1037" t="str">
        <f t="shared" si="384"/>
        <v/>
      </c>
      <c r="Z1037" t="str">
        <f>IFERROR(VLOOKUP($B1037,TABLE_CYCLE,2,0),"")</f>
        <v/>
      </c>
      <c r="AA1037" t="str">
        <f t="shared" si="385"/>
        <v/>
      </c>
      <c r="AB1037" t="str">
        <f>IF($D1037="","",IF(COUNTIF($D$2:$D1037,$D1037)=1,$D1037,""))</f>
        <v/>
      </c>
      <c r="AC1037">
        <f t="shared" si="386"/>
        <v>0</v>
      </c>
      <c r="AD1037" t="str">
        <f t="shared" si="387"/>
        <v>|0</v>
      </c>
      <c r="AE1037" t="str">
        <f t="shared" si="388"/>
        <v/>
      </c>
      <c r="AF1037" t="str">
        <f t="shared" si="389"/>
        <v/>
      </c>
      <c r="AG1037" t="str">
        <f t="shared" si="390"/>
        <v/>
      </c>
      <c r="AH1037" t="str">
        <f t="shared" si="391"/>
        <v/>
      </c>
      <c r="AI1037" t="str">
        <f t="shared" si="392"/>
        <v/>
      </c>
      <c r="AJ1037" t="str">
        <f t="shared" si="393"/>
        <v/>
      </c>
      <c r="AK1037" t="str">
        <f t="shared" si="394"/>
        <v/>
      </c>
      <c r="AL1037" t="str">
        <f t="shared" si="395"/>
        <v/>
      </c>
      <c r="AM1037" t="str">
        <f t="shared" si="396"/>
        <v/>
      </c>
      <c r="AN1037" t="str">
        <f t="shared" si="397"/>
        <v/>
      </c>
      <c r="AO1037" t="str">
        <f t="shared" si="398"/>
        <v/>
      </c>
      <c r="AP1037">
        <f t="shared" si="399"/>
        <v>1</v>
      </c>
      <c r="AQ1037" t="str">
        <f>IF(SAISIE!$F1042="","",SAISIE!$Y1042)</f>
        <v/>
      </c>
      <c r="AR1037" t="str">
        <f>IF(OR(SAISIE!$U$4="",SAISIE!$W$4=""),"",IF(AND($A1037=SAISIE!$U$4,$B1037=SAISIE!$W$4,$C1037="S1"),COUNTIFS($A$2:$A1037,SAISIE!$U$4,$B$2:$B1037,SAISIE!$W$4,$C$2:$C1037,"S1"),""))</f>
        <v/>
      </c>
      <c r="AS1037" t="str">
        <f t="shared" si="400"/>
        <v/>
      </c>
      <c r="AT1037" t="str">
        <f t="shared" si="401"/>
        <v/>
      </c>
      <c r="AU1037" t="str">
        <f t="shared" si="402"/>
        <v/>
      </c>
      <c r="AV1037">
        <f>N(AV1036)+IF(AND($AB1037&lt;&gt;"",OR('PROFIL ELEVE'!$K$4="(Tous)",$AF1037='PROFIL ELEVE'!$K$4)),1,0)</f>
        <v>0</v>
      </c>
      <c r="AW1037">
        <f>N(AW1036)+IF(AND($AB1037&lt;&gt;"",OR('SUIVI LONGITUDINAL'!$Q$4="(Tous)",$AF1037='SUIVI LONGITUDINAL'!$Q$4)),1,0)</f>
        <v>0</v>
      </c>
      <c r="AX1037">
        <f t="shared" si="403"/>
        <v>0</v>
      </c>
      <c r="AY1037">
        <f t="shared" si="404"/>
        <v>0</v>
      </c>
      <c r="AZ1037">
        <f t="shared" si="405"/>
        <v>0</v>
      </c>
      <c r="BA1037" t="str">
        <f t="shared" si="406"/>
        <v/>
      </c>
      <c r="BB1037" t="str">
        <f t="shared" si="407"/>
        <v/>
      </c>
    </row>
    <row r="1038" spans="1:54" ht="14.25" customHeight="1" x14ac:dyDescent="0.3">
      <c r="A1038" t="str">
        <f>IF(SAISIE!$F1043="","",SAISIE!$B1043)</f>
        <v/>
      </c>
      <c r="B1038" t="str">
        <f>IF(SAISIE!$F1043="","",SAISIE!$C1043)</f>
        <v/>
      </c>
      <c r="C1038" t="str">
        <f>IF(SAISIE!$F1043="","",SAISIE!$D1043)</f>
        <v/>
      </c>
      <c r="D1038" t="str">
        <f>IF(SAISIE!$E1043="","",SAISIE!$E1043)</f>
        <v/>
      </c>
      <c r="E1038" t="str">
        <f>IF(SAISIE!$F1043="","",SAISIE!$F1043)</f>
        <v/>
      </c>
      <c r="F1038" t="str">
        <f>IF(SAISIE!$G1043="","",SAISIE!$G1043)</f>
        <v/>
      </c>
      <c r="G1038" t="str">
        <f>IF(SAISIE!$H1043="","",SAISIE!$H1043)</f>
        <v/>
      </c>
      <c r="H1038" t="str">
        <f>IF(SAISIE!$I1043="","",SAISIE!$I1043)</f>
        <v/>
      </c>
      <c r="I1038" t="str">
        <f>IF(SAISIE!$J1043="","",SAISIE!$J1043)</f>
        <v/>
      </c>
      <c r="J1038" t="str">
        <f>IF(SAISIE!$K1043="","",SAISIE!$K1043)</f>
        <v/>
      </c>
      <c r="K1038" t="str">
        <f>IF(SAISIE!$L1043="","",SAISIE!$L1043)</f>
        <v/>
      </c>
      <c r="L1038" t="str">
        <f>IF(SAISIE!$M1043="","",SAISIE!$M1043)</f>
        <v/>
      </c>
      <c r="M1038" t="str">
        <f>IF(SAISIE!$N1043="","",SAISIE!$N1043)</f>
        <v/>
      </c>
      <c r="N1038" t="str">
        <f>IF(SAISIE!$O1043="","",SAISIE!$O1043)</f>
        <v/>
      </c>
      <c r="O1038" t="str">
        <f>IF(SAISIE!$P1043="","",SAISIE!$P1043)</f>
        <v/>
      </c>
      <c r="P1038" t="str">
        <f>IF(SAISIE!$Q1043="","",SAISIE!$Q1043)</f>
        <v/>
      </c>
      <c r="Q1038" t="str">
        <f>IF($I1038="","",IF($I1038&gt;PARAMETRES!$G$29,5,IF($I1038&gt;PARAMETRES!$F$29,4,IF($I1038&gt;PARAMETRES!$E$29,3,IF($I1038&gt;PARAMETRES!$D$29,2,1)))))</f>
        <v/>
      </c>
      <c r="R1038" t="str">
        <f>IF($J1038="","",IF($J1038&gt;PARAMETRES!$G$30,5,IF($J1038&gt;PARAMETRES!$F$30,4,IF($J1038&gt;PARAMETRES!$E$30,3,IF($J1038&gt;PARAMETRES!$D$30,2,1)))))</f>
        <v/>
      </c>
      <c r="S1038" t="str">
        <f>IF($K1038="","",IF($Z1038=2,IF($K1038&gt;PARAMETRES!$G$31,5,IF($K1038&gt;PARAMETRES!$F$31,4,IF($K1038&gt;PARAMETRES!$E$31,3,IF($K1038&gt;PARAMETRES!$D$31,2,1)))),IF($K1038&gt;PARAMETRES!$G$32,5,IF($K1038&gt;PARAMETRES!$F$32,4,IF($K1038&gt;PARAMETRES!$E$32,3,IF($K1038&gt;PARAMETRES!$D$32,2,1))))))</f>
        <v/>
      </c>
      <c r="T1038" t="str">
        <f>IF($L1038="","",IF($L1038&gt;PARAMETRES!$G$33,5,IF($L1038&gt;PARAMETRES!$F$33,4,IF($L1038&gt;PARAMETRES!$E$33,3,IF($L1038&gt;PARAMETRES!$D$33,2,1)))))</f>
        <v/>
      </c>
      <c r="U1038" t="str">
        <f>IF($M1038="","",IF($M1038&gt;PARAMETRES!$G$34,5,IF($M1038&gt;PARAMETRES!$F$34,4,IF($M1038&gt;PARAMETRES!$E$34,3,IF($M1038&gt;PARAMETRES!$D$34,2,1)))))</f>
        <v/>
      </c>
      <c r="V1038" t="str">
        <f>IF($N1038="","",IF($N1038&gt;PARAMETRES!$G$35,5,IF($N1038&gt;PARAMETRES!$F$35,4,IF($N1038&gt;PARAMETRES!$E$35,3,IF($N1038&gt;PARAMETRES!$D$35,2,1)))))</f>
        <v/>
      </c>
      <c r="W1038" t="str">
        <f>IF($O1038="","",IF($O1038&gt;PARAMETRES!$G$36,5,IF($O1038&gt;PARAMETRES!$F$36,4,IF($O1038&gt;PARAMETRES!$E$36,3,IF($O1038&gt;PARAMETRES!$D$36,2,1)))))</f>
        <v/>
      </c>
      <c r="X1038" t="str">
        <f>IF($P1038="","",IF($P1038&gt;PARAMETRES!$G$37,5,IF($P1038&gt;PARAMETRES!$F$37,4,IF($P1038&gt;PARAMETRES!$E$37,3,IF($P1038&gt;PARAMETRES!$D$37,2,1)))))</f>
        <v/>
      </c>
      <c r="Y1038" t="str">
        <f t="shared" si="384"/>
        <v/>
      </c>
      <c r="Z1038" t="str">
        <f>IFERROR(VLOOKUP($B1038,TABLE_CYCLE,2,0),"")</f>
        <v/>
      </c>
      <c r="AA1038" t="str">
        <f t="shared" si="385"/>
        <v/>
      </c>
      <c r="AB1038" t="str">
        <f>IF($D1038="","",IF(COUNTIF($D$2:$D1038,$D1038)=1,$D1038,""))</f>
        <v/>
      </c>
      <c r="AC1038">
        <f t="shared" si="386"/>
        <v>0</v>
      </c>
      <c r="AD1038" t="str">
        <f t="shared" si="387"/>
        <v>|0</v>
      </c>
      <c r="AE1038" t="str">
        <f t="shared" si="388"/>
        <v/>
      </c>
      <c r="AF1038" t="str">
        <f t="shared" si="389"/>
        <v/>
      </c>
      <c r="AG1038" t="str">
        <f t="shared" si="390"/>
        <v/>
      </c>
      <c r="AH1038" t="str">
        <f t="shared" si="391"/>
        <v/>
      </c>
      <c r="AI1038" t="str">
        <f t="shared" si="392"/>
        <v/>
      </c>
      <c r="AJ1038" t="str">
        <f t="shared" si="393"/>
        <v/>
      </c>
      <c r="AK1038" t="str">
        <f t="shared" si="394"/>
        <v/>
      </c>
      <c r="AL1038" t="str">
        <f t="shared" si="395"/>
        <v/>
      </c>
      <c r="AM1038" t="str">
        <f t="shared" si="396"/>
        <v/>
      </c>
      <c r="AN1038" t="str">
        <f t="shared" si="397"/>
        <v/>
      </c>
      <c r="AO1038" t="str">
        <f t="shared" si="398"/>
        <v/>
      </c>
      <c r="AP1038">
        <f t="shared" si="399"/>
        <v>1</v>
      </c>
      <c r="AQ1038" t="str">
        <f>IF(SAISIE!$F1043="","",SAISIE!$Y1043)</f>
        <v/>
      </c>
      <c r="AR1038" t="str">
        <f>IF(OR(SAISIE!$U$4="",SAISIE!$W$4=""),"",IF(AND($A1038=SAISIE!$U$4,$B1038=SAISIE!$W$4,$C1038="S1"),COUNTIFS($A$2:$A1038,SAISIE!$U$4,$B$2:$B1038,SAISIE!$W$4,$C$2:$C1038,"S1"),""))</f>
        <v/>
      </c>
      <c r="AS1038" t="str">
        <f t="shared" si="400"/>
        <v/>
      </c>
      <c r="AT1038" t="str">
        <f t="shared" si="401"/>
        <v/>
      </c>
      <c r="AU1038" t="str">
        <f t="shared" si="402"/>
        <v/>
      </c>
      <c r="AV1038">
        <f>N(AV1037)+IF(AND($AB1038&lt;&gt;"",OR('PROFIL ELEVE'!$K$4="(Tous)",$AF1038='PROFIL ELEVE'!$K$4)),1,0)</f>
        <v>0</v>
      </c>
      <c r="AW1038">
        <f>N(AW1037)+IF(AND($AB1038&lt;&gt;"",OR('SUIVI LONGITUDINAL'!$Q$4="(Tous)",$AF1038='SUIVI LONGITUDINAL'!$Q$4)),1,0)</f>
        <v>0</v>
      </c>
      <c r="AX1038">
        <f t="shared" si="403"/>
        <v>0</v>
      </c>
      <c r="AY1038">
        <f t="shared" si="404"/>
        <v>0</v>
      </c>
      <c r="AZ1038">
        <f t="shared" si="405"/>
        <v>0</v>
      </c>
      <c r="BA1038" t="str">
        <f t="shared" si="406"/>
        <v/>
      </c>
      <c r="BB1038" t="str">
        <f t="shared" si="407"/>
        <v/>
      </c>
    </row>
    <row r="1039" spans="1:54" ht="14.25" customHeight="1" x14ac:dyDescent="0.3">
      <c r="A1039" t="str">
        <f>IF(SAISIE!$F1044="","",SAISIE!$B1044)</f>
        <v/>
      </c>
      <c r="B1039" t="str">
        <f>IF(SAISIE!$F1044="","",SAISIE!$C1044)</f>
        <v/>
      </c>
      <c r="C1039" t="str">
        <f>IF(SAISIE!$F1044="","",SAISIE!$D1044)</f>
        <v/>
      </c>
      <c r="D1039" t="str">
        <f>IF(SAISIE!$E1044="","",SAISIE!$E1044)</f>
        <v/>
      </c>
      <c r="E1039" t="str">
        <f>IF(SAISIE!$F1044="","",SAISIE!$F1044)</f>
        <v/>
      </c>
      <c r="F1039" t="str">
        <f>IF(SAISIE!$G1044="","",SAISIE!$G1044)</f>
        <v/>
      </c>
      <c r="G1039" t="str">
        <f>IF(SAISIE!$H1044="","",SAISIE!$H1044)</f>
        <v/>
      </c>
      <c r="H1039" t="str">
        <f>IF(SAISIE!$I1044="","",SAISIE!$I1044)</f>
        <v/>
      </c>
      <c r="I1039" t="str">
        <f>IF(SAISIE!$J1044="","",SAISIE!$J1044)</f>
        <v/>
      </c>
      <c r="J1039" t="str">
        <f>IF(SAISIE!$K1044="","",SAISIE!$K1044)</f>
        <v/>
      </c>
      <c r="K1039" t="str">
        <f>IF(SAISIE!$L1044="","",SAISIE!$L1044)</f>
        <v/>
      </c>
      <c r="L1039" t="str">
        <f>IF(SAISIE!$M1044="","",SAISIE!$M1044)</f>
        <v/>
      </c>
      <c r="M1039" t="str">
        <f>IF(SAISIE!$N1044="","",SAISIE!$N1044)</f>
        <v/>
      </c>
      <c r="N1039" t="str">
        <f>IF(SAISIE!$O1044="","",SAISIE!$O1044)</f>
        <v/>
      </c>
      <c r="O1039" t="str">
        <f>IF(SAISIE!$P1044="","",SAISIE!$P1044)</f>
        <v/>
      </c>
      <c r="P1039" t="str">
        <f>IF(SAISIE!$Q1044="","",SAISIE!$Q1044)</f>
        <v/>
      </c>
      <c r="Q1039" t="str">
        <f>IF($I1039="","",IF($I1039&gt;PARAMETRES!$G$29,5,IF($I1039&gt;PARAMETRES!$F$29,4,IF($I1039&gt;PARAMETRES!$E$29,3,IF($I1039&gt;PARAMETRES!$D$29,2,1)))))</f>
        <v/>
      </c>
      <c r="R1039" t="str">
        <f>IF($J1039="","",IF($J1039&gt;PARAMETRES!$G$30,5,IF($J1039&gt;PARAMETRES!$F$30,4,IF($J1039&gt;PARAMETRES!$E$30,3,IF($J1039&gt;PARAMETRES!$D$30,2,1)))))</f>
        <v/>
      </c>
      <c r="S1039" t="str">
        <f>IF($K1039="","",IF($Z1039=2,IF($K1039&gt;PARAMETRES!$G$31,5,IF($K1039&gt;PARAMETRES!$F$31,4,IF($K1039&gt;PARAMETRES!$E$31,3,IF($K1039&gt;PARAMETRES!$D$31,2,1)))),IF($K1039&gt;PARAMETRES!$G$32,5,IF($K1039&gt;PARAMETRES!$F$32,4,IF($K1039&gt;PARAMETRES!$E$32,3,IF($K1039&gt;PARAMETRES!$D$32,2,1))))))</f>
        <v/>
      </c>
      <c r="T1039" t="str">
        <f>IF($L1039="","",IF($L1039&gt;PARAMETRES!$G$33,5,IF($L1039&gt;PARAMETRES!$F$33,4,IF($L1039&gt;PARAMETRES!$E$33,3,IF($L1039&gt;PARAMETRES!$D$33,2,1)))))</f>
        <v/>
      </c>
      <c r="U1039" t="str">
        <f>IF($M1039="","",IF($M1039&gt;PARAMETRES!$G$34,5,IF($M1039&gt;PARAMETRES!$F$34,4,IF($M1039&gt;PARAMETRES!$E$34,3,IF($M1039&gt;PARAMETRES!$D$34,2,1)))))</f>
        <v/>
      </c>
      <c r="V1039" t="str">
        <f>IF($N1039="","",IF($N1039&gt;PARAMETRES!$G$35,5,IF($N1039&gt;PARAMETRES!$F$35,4,IF($N1039&gt;PARAMETRES!$E$35,3,IF($N1039&gt;PARAMETRES!$D$35,2,1)))))</f>
        <v/>
      </c>
      <c r="W1039" t="str">
        <f>IF($O1039="","",IF($O1039&gt;PARAMETRES!$G$36,5,IF($O1039&gt;PARAMETRES!$F$36,4,IF($O1039&gt;PARAMETRES!$E$36,3,IF($O1039&gt;PARAMETRES!$D$36,2,1)))))</f>
        <v/>
      </c>
      <c r="X1039" t="str">
        <f>IF($P1039="","",IF($P1039&gt;PARAMETRES!$G$37,5,IF($P1039&gt;PARAMETRES!$F$37,4,IF($P1039&gt;PARAMETRES!$E$37,3,IF($P1039&gt;PARAMETRES!$D$37,2,1)))))</f>
        <v/>
      </c>
      <c r="Y1039" t="str">
        <f t="shared" si="384"/>
        <v/>
      </c>
      <c r="Z1039" t="str">
        <f>IFERROR(VLOOKUP($B1039,TABLE_CYCLE,2,0),"")</f>
        <v/>
      </c>
      <c r="AA1039" t="str">
        <f t="shared" si="385"/>
        <v/>
      </c>
      <c r="AB1039" t="str">
        <f>IF($D1039="","",IF(COUNTIF($D$2:$D1039,$D1039)=1,$D1039,""))</f>
        <v/>
      </c>
      <c r="AC1039">
        <f t="shared" si="386"/>
        <v>0</v>
      </c>
      <c r="AD1039" t="str">
        <f t="shared" si="387"/>
        <v>|0</v>
      </c>
      <c r="AE1039" t="str">
        <f t="shared" si="388"/>
        <v/>
      </c>
      <c r="AF1039" t="str">
        <f t="shared" si="389"/>
        <v/>
      </c>
      <c r="AG1039" t="str">
        <f t="shared" si="390"/>
        <v/>
      </c>
      <c r="AH1039" t="str">
        <f t="shared" si="391"/>
        <v/>
      </c>
      <c r="AI1039" t="str">
        <f t="shared" si="392"/>
        <v/>
      </c>
      <c r="AJ1039" t="str">
        <f t="shared" si="393"/>
        <v/>
      </c>
      <c r="AK1039" t="str">
        <f t="shared" si="394"/>
        <v/>
      </c>
      <c r="AL1039" t="str">
        <f t="shared" si="395"/>
        <v/>
      </c>
      <c r="AM1039" t="str">
        <f t="shared" si="396"/>
        <v/>
      </c>
      <c r="AN1039" t="str">
        <f t="shared" si="397"/>
        <v/>
      </c>
      <c r="AO1039" t="str">
        <f t="shared" si="398"/>
        <v/>
      </c>
      <c r="AP1039">
        <f t="shared" si="399"/>
        <v>1</v>
      </c>
      <c r="AQ1039" t="str">
        <f>IF(SAISIE!$F1044="","",SAISIE!$Y1044)</f>
        <v/>
      </c>
      <c r="AR1039" t="str">
        <f>IF(OR(SAISIE!$U$4="",SAISIE!$W$4=""),"",IF(AND($A1039=SAISIE!$U$4,$B1039=SAISIE!$W$4,$C1039="S1"),COUNTIFS($A$2:$A1039,SAISIE!$U$4,$B$2:$B1039,SAISIE!$W$4,$C$2:$C1039,"S1"),""))</f>
        <v/>
      </c>
      <c r="AS1039" t="str">
        <f t="shared" si="400"/>
        <v/>
      </c>
      <c r="AT1039" t="str">
        <f t="shared" si="401"/>
        <v/>
      </c>
      <c r="AU1039" t="str">
        <f t="shared" si="402"/>
        <v/>
      </c>
      <c r="AV1039">
        <f>N(AV1038)+IF(AND($AB1039&lt;&gt;"",OR('PROFIL ELEVE'!$K$4="(Tous)",$AF1039='PROFIL ELEVE'!$K$4)),1,0)</f>
        <v>0</v>
      </c>
      <c r="AW1039">
        <f>N(AW1038)+IF(AND($AB1039&lt;&gt;"",OR('SUIVI LONGITUDINAL'!$Q$4="(Tous)",$AF1039='SUIVI LONGITUDINAL'!$Q$4)),1,0)</f>
        <v>0</v>
      </c>
      <c r="AX1039">
        <f t="shared" si="403"/>
        <v>0</v>
      </c>
      <c r="AY1039">
        <f t="shared" si="404"/>
        <v>0</v>
      </c>
      <c r="AZ1039">
        <f t="shared" si="405"/>
        <v>0</v>
      </c>
      <c r="BA1039" t="str">
        <f t="shared" si="406"/>
        <v/>
      </c>
      <c r="BB1039" t="str">
        <f t="shared" si="407"/>
        <v/>
      </c>
    </row>
    <row r="1040" spans="1:54" ht="14.25" customHeight="1" x14ac:dyDescent="0.3">
      <c r="A1040" t="str">
        <f>IF(SAISIE!$F1045="","",SAISIE!$B1045)</f>
        <v/>
      </c>
      <c r="B1040" t="str">
        <f>IF(SAISIE!$F1045="","",SAISIE!$C1045)</f>
        <v/>
      </c>
      <c r="C1040" t="str">
        <f>IF(SAISIE!$F1045="","",SAISIE!$D1045)</f>
        <v/>
      </c>
      <c r="D1040" t="str">
        <f>IF(SAISIE!$E1045="","",SAISIE!$E1045)</f>
        <v/>
      </c>
      <c r="E1040" t="str">
        <f>IF(SAISIE!$F1045="","",SAISIE!$F1045)</f>
        <v/>
      </c>
      <c r="F1040" t="str">
        <f>IF(SAISIE!$G1045="","",SAISIE!$G1045)</f>
        <v/>
      </c>
      <c r="G1040" t="str">
        <f>IF(SAISIE!$H1045="","",SAISIE!$H1045)</f>
        <v/>
      </c>
      <c r="H1040" t="str">
        <f>IF(SAISIE!$I1045="","",SAISIE!$I1045)</f>
        <v/>
      </c>
      <c r="I1040" t="str">
        <f>IF(SAISIE!$J1045="","",SAISIE!$J1045)</f>
        <v/>
      </c>
      <c r="J1040" t="str">
        <f>IF(SAISIE!$K1045="","",SAISIE!$K1045)</f>
        <v/>
      </c>
      <c r="K1040" t="str">
        <f>IF(SAISIE!$L1045="","",SAISIE!$L1045)</f>
        <v/>
      </c>
      <c r="L1040" t="str">
        <f>IF(SAISIE!$M1045="","",SAISIE!$M1045)</f>
        <v/>
      </c>
      <c r="M1040" t="str">
        <f>IF(SAISIE!$N1045="","",SAISIE!$N1045)</f>
        <v/>
      </c>
      <c r="N1040" t="str">
        <f>IF(SAISIE!$O1045="","",SAISIE!$O1045)</f>
        <v/>
      </c>
      <c r="O1040" t="str">
        <f>IF(SAISIE!$P1045="","",SAISIE!$P1045)</f>
        <v/>
      </c>
      <c r="P1040" t="str">
        <f>IF(SAISIE!$Q1045="","",SAISIE!$Q1045)</f>
        <v/>
      </c>
      <c r="Q1040" t="str">
        <f>IF($I1040="","",IF($I1040&gt;PARAMETRES!$G$29,5,IF($I1040&gt;PARAMETRES!$F$29,4,IF($I1040&gt;PARAMETRES!$E$29,3,IF($I1040&gt;PARAMETRES!$D$29,2,1)))))</f>
        <v/>
      </c>
      <c r="R1040" t="str">
        <f>IF($J1040="","",IF($J1040&gt;PARAMETRES!$G$30,5,IF($J1040&gt;PARAMETRES!$F$30,4,IF($J1040&gt;PARAMETRES!$E$30,3,IF($J1040&gt;PARAMETRES!$D$30,2,1)))))</f>
        <v/>
      </c>
      <c r="S1040" t="str">
        <f>IF($K1040="","",IF($Z1040=2,IF($K1040&gt;PARAMETRES!$G$31,5,IF($K1040&gt;PARAMETRES!$F$31,4,IF($K1040&gt;PARAMETRES!$E$31,3,IF($K1040&gt;PARAMETRES!$D$31,2,1)))),IF($K1040&gt;PARAMETRES!$G$32,5,IF($K1040&gt;PARAMETRES!$F$32,4,IF($K1040&gt;PARAMETRES!$E$32,3,IF($K1040&gt;PARAMETRES!$D$32,2,1))))))</f>
        <v/>
      </c>
      <c r="T1040" t="str">
        <f>IF($L1040="","",IF($L1040&gt;PARAMETRES!$G$33,5,IF($L1040&gt;PARAMETRES!$F$33,4,IF($L1040&gt;PARAMETRES!$E$33,3,IF($L1040&gt;PARAMETRES!$D$33,2,1)))))</f>
        <v/>
      </c>
      <c r="U1040" t="str">
        <f>IF($M1040="","",IF($M1040&gt;PARAMETRES!$G$34,5,IF($M1040&gt;PARAMETRES!$F$34,4,IF($M1040&gt;PARAMETRES!$E$34,3,IF($M1040&gt;PARAMETRES!$D$34,2,1)))))</f>
        <v/>
      </c>
      <c r="V1040" t="str">
        <f>IF($N1040="","",IF($N1040&gt;PARAMETRES!$G$35,5,IF($N1040&gt;PARAMETRES!$F$35,4,IF($N1040&gt;PARAMETRES!$E$35,3,IF($N1040&gt;PARAMETRES!$D$35,2,1)))))</f>
        <v/>
      </c>
      <c r="W1040" t="str">
        <f>IF($O1040="","",IF($O1040&gt;PARAMETRES!$G$36,5,IF($O1040&gt;PARAMETRES!$F$36,4,IF($O1040&gt;PARAMETRES!$E$36,3,IF($O1040&gt;PARAMETRES!$D$36,2,1)))))</f>
        <v/>
      </c>
      <c r="X1040" t="str">
        <f>IF($P1040="","",IF($P1040&gt;PARAMETRES!$G$37,5,IF($P1040&gt;PARAMETRES!$F$37,4,IF($P1040&gt;PARAMETRES!$E$37,3,IF($P1040&gt;PARAMETRES!$D$37,2,1)))))</f>
        <v/>
      </c>
      <c r="Y1040" t="str">
        <f t="shared" si="384"/>
        <v/>
      </c>
      <c r="Z1040" t="str">
        <f>IFERROR(VLOOKUP($B1040,TABLE_CYCLE,2,0),"")</f>
        <v/>
      </c>
      <c r="AA1040" t="str">
        <f t="shared" si="385"/>
        <v/>
      </c>
      <c r="AB1040" t="str">
        <f>IF($D1040="","",IF(COUNTIF($D$2:$D1040,$D1040)=1,$D1040,""))</f>
        <v/>
      </c>
      <c r="AC1040">
        <f t="shared" si="386"/>
        <v>0</v>
      </c>
      <c r="AD1040" t="str">
        <f t="shared" si="387"/>
        <v>|0</v>
      </c>
      <c r="AE1040" t="str">
        <f t="shared" si="388"/>
        <v/>
      </c>
      <c r="AF1040" t="str">
        <f t="shared" si="389"/>
        <v/>
      </c>
      <c r="AG1040" t="str">
        <f t="shared" si="390"/>
        <v/>
      </c>
      <c r="AH1040" t="str">
        <f t="shared" si="391"/>
        <v/>
      </c>
      <c r="AI1040" t="str">
        <f t="shared" si="392"/>
        <v/>
      </c>
      <c r="AJ1040" t="str">
        <f t="shared" si="393"/>
        <v/>
      </c>
      <c r="AK1040" t="str">
        <f t="shared" si="394"/>
        <v/>
      </c>
      <c r="AL1040" t="str">
        <f t="shared" si="395"/>
        <v/>
      </c>
      <c r="AM1040" t="str">
        <f t="shared" si="396"/>
        <v/>
      </c>
      <c r="AN1040" t="str">
        <f t="shared" si="397"/>
        <v/>
      </c>
      <c r="AO1040" t="str">
        <f t="shared" si="398"/>
        <v/>
      </c>
      <c r="AP1040">
        <f t="shared" si="399"/>
        <v>1</v>
      </c>
      <c r="AQ1040" t="str">
        <f>IF(SAISIE!$F1045="","",SAISIE!$Y1045)</f>
        <v/>
      </c>
      <c r="AR1040" t="str">
        <f>IF(OR(SAISIE!$U$4="",SAISIE!$W$4=""),"",IF(AND($A1040=SAISIE!$U$4,$B1040=SAISIE!$W$4,$C1040="S1"),COUNTIFS($A$2:$A1040,SAISIE!$U$4,$B$2:$B1040,SAISIE!$W$4,$C$2:$C1040,"S1"),""))</f>
        <v/>
      </c>
      <c r="AS1040" t="str">
        <f t="shared" si="400"/>
        <v/>
      </c>
      <c r="AT1040" t="str">
        <f t="shared" si="401"/>
        <v/>
      </c>
      <c r="AU1040" t="str">
        <f t="shared" si="402"/>
        <v/>
      </c>
      <c r="AV1040">
        <f>N(AV1039)+IF(AND($AB1040&lt;&gt;"",OR('PROFIL ELEVE'!$K$4="(Tous)",$AF1040='PROFIL ELEVE'!$K$4)),1,0)</f>
        <v>0</v>
      </c>
      <c r="AW1040">
        <f>N(AW1039)+IF(AND($AB1040&lt;&gt;"",OR('SUIVI LONGITUDINAL'!$Q$4="(Tous)",$AF1040='SUIVI LONGITUDINAL'!$Q$4)),1,0)</f>
        <v>0</v>
      </c>
      <c r="AX1040">
        <f t="shared" si="403"/>
        <v>0</v>
      </c>
      <c r="AY1040">
        <f t="shared" si="404"/>
        <v>0</v>
      </c>
      <c r="AZ1040">
        <f t="shared" si="405"/>
        <v>0</v>
      </c>
      <c r="BA1040" t="str">
        <f t="shared" si="406"/>
        <v/>
      </c>
      <c r="BB1040" t="str">
        <f t="shared" si="407"/>
        <v/>
      </c>
    </row>
    <row r="1041" spans="1:54" ht="14.25" customHeight="1" x14ac:dyDescent="0.3">
      <c r="A1041" t="str">
        <f>IF(SAISIE!$F1046="","",SAISIE!$B1046)</f>
        <v/>
      </c>
      <c r="B1041" t="str">
        <f>IF(SAISIE!$F1046="","",SAISIE!$C1046)</f>
        <v/>
      </c>
      <c r="C1041" t="str">
        <f>IF(SAISIE!$F1046="","",SAISIE!$D1046)</f>
        <v/>
      </c>
      <c r="D1041" t="str">
        <f>IF(SAISIE!$E1046="","",SAISIE!$E1046)</f>
        <v/>
      </c>
      <c r="E1041" t="str">
        <f>IF(SAISIE!$F1046="","",SAISIE!$F1046)</f>
        <v/>
      </c>
      <c r="F1041" t="str">
        <f>IF(SAISIE!$G1046="","",SAISIE!$G1046)</f>
        <v/>
      </c>
      <c r="G1041" t="str">
        <f>IF(SAISIE!$H1046="","",SAISIE!$H1046)</f>
        <v/>
      </c>
      <c r="H1041" t="str">
        <f>IF(SAISIE!$I1046="","",SAISIE!$I1046)</f>
        <v/>
      </c>
      <c r="I1041" t="str">
        <f>IF(SAISIE!$J1046="","",SAISIE!$J1046)</f>
        <v/>
      </c>
      <c r="J1041" t="str">
        <f>IF(SAISIE!$K1046="","",SAISIE!$K1046)</f>
        <v/>
      </c>
      <c r="K1041" t="str">
        <f>IF(SAISIE!$L1046="","",SAISIE!$L1046)</f>
        <v/>
      </c>
      <c r="L1041" t="str">
        <f>IF(SAISIE!$M1046="","",SAISIE!$M1046)</f>
        <v/>
      </c>
      <c r="M1041" t="str">
        <f>IF(SAISIE!$N1046="","",SAISIE!$N1046)</f>
        <v/>
      </c>
      <c r="N1041" t="str">
        <f>IF(SAISIE!$O1046="","",SAISIE!$O1046)</f>
        <v/>
      </c>
      <c r="O1041" t="str">
        <f>IF(SAISIE!$P1046="","",SAISIE!$P1046)</f>
        <v/>
      </c>
      <c r="P1041" t="str">
        <f>IF(SAISIE!$Q1046="","",SAISIE!$Q1046)</f>
        <v/>
      </c>
      <c r="Q1041" t="str">
        <f>IF($I1041="","",IF($I1041&gt;PARAMETRES!$G$29,5,IF($I1041&gt;PARAMETRES!$F$29,4,IF($I1041&gt;PARAMETRES!$E$29,3,IF($I1041&gt;PARAMETRES!$D$29,2,1)))))</f>
        <v/>
      </c>
      <c r="R1041" t="str">
        <f>IF($J1041="","",IF($J1041&gt;PARAMETRES!$G$30,5,IF($J1041&gt;PARAMETRES!$F$30,4,IF($J1041&gt;PARAMETRES!$E$30,3,IF($J1041&gt;PARAMETRES!$D$30,2,1)))))</f>
        <v/>
      </c>
      <c r="S1041" t="str">
        <f>IF($K1041="","",IF($Z1041=2,IF($K1041&gt;PARAMETRES!$G$31,5,IF($K1041&gt;PARAMETRES!$F$31,4,IF($K1041&gt;PARAMETRES!$E$31,3,IF($K1041&gt;PARAMETRES!$D$31,2,1)))),IF($K1041&gt;PARAMETRES!$G$32,5,IF($K1041&gt;PARAMETRES!$F$32,4,IF($K1041&gt;PARAMETRES!$E$32,3,IF($K1041&gt;PARAMETRES!$D$32,2,1))))))</f>
        <v/>
      </c>
      <c r="T1041" t="str">
        <f>IF($L1041="","",IF($L1041&gt;PARAMETRES!$G$33,5,IF($L1041&gt;PARAMETRES!$F$33,4,IF($L1041&gt;PARAMETRES!$E$33,3,IF($L1041&gt;PARAMETRES!$D$33,2,1)))))</f>
        <v/>
      </c>
      <c r="U1041" t="str">
        <f>IF($M1041="","",IF($M1041&gt;PARAMETRES!$G$34,5,IF($M1041&gt;PARAMETRES!$F$34,4,IF($M1041&gt;PARAMETRES!$E$34,3,IF($M1041&gt;PARAMETRES!$D$34,2,1)))))</f>
        <v/>
      </c>
      <c r="V1041" t="str">
        <f>IF($N1041="","",IF($N1041&gt;PARAMETRES!$G$35,5,IF($N1041&gt;PARAMETRES!$F$35,4,IF($N1041&gt;PARAMETRES!$E$35,3,IF($N1041&gt;PARAMETRES!$D$35,2,1)))))</f>
        <v/>
      </c>
      <c r="W1041" t="str">
        <f>IF($O1041="","",IF($O1041&gt;PARAMETRES!$G$36,5,IF($O1041&gt;PARAMETRES!$F$36,4,IF($O1041&gt;PARAMETRES!$E$36,3,IF($O1041&gt;PARAMETRES!$D$36,2,1)))))</f>
        <v/>
      </c>
      <c r="X1041" t="str">
        <f>IF($P1041="","",IF($P1041&gt;PARAMETRES!$G$37,5,IF($P1041&gt;PARAMETRES!$F$37,4,IF($P1041&gt;PARAMETRES!$E$37,3,IF($P1041&gt;PARAMETRES!$D$37,2,1)))))</f>
        <v/>
      </c>
      <c r="Y1041" t="str">
        <f t="shared" si="384"/>
        <v/>
      </c>
      <c r="Z1041" t="str">
        <f>IFERROR(VLOOKUP($B1041,TABLE_CYCLE,2,0),"")</f>
        <v/>
      </c>
      <c r="AA1041" t="str">
        <f t="shared" si="385"/>
        <v/>
      </c>
      <c r="AB1041" t="str">
        <f>IF($D1041="","",IF(COUNTIF($D$2:$D1041,$D1041)=1,$D1041,""))</f>
        <v/>
      </c>
      <c r="AC1041">
        <f t="shared" si="386"/>
        <v>0</v>
      </c>
      <c r="AD1041" t="str">
        <f t="shared" si="387"/>
        <v>|0</v>
      </c>
      <c r="AE1041" t="str">
        <f t="shared" si="388"/>
        <v/>
      </c>
      <c r="AF1041" t="str">
        <f t="shared" si="389"/>
        <v/>
      </c>
      <c r="AG1041" t="str">
        <f t="shared" si="390"/>
        <v/>
      </c>
      <c r="AH1041" t="str">
        <f t="shared" si="391"/>
        <v/>
      </c>
      <c r="AI1041" t="str">
        <f t="shared" si="392"/>
        <v/>
      </c>
      <c r="AJ1041" t="str">
        <f t="shared" si="393"/>
        <v/>
      </c>
      <c r="AK1041" t="str">
        <f t="shared" si="394"/>
        <v/>
      </c>
      <c r="AL1041" t="str">
        <f t="shared" si="395"/>
        <v/>
      </c>
      <c r="AM1041" t="str">
        <f t="shared" si="396"/>
        <v/>
      </c>
      <c r="AN1041" t="str">
        <f t="shared" si="397"/>
        <v/>
      </c>
      <c r="AO1041" t="str">
        <f t="shared" si="398"/>
        <v/>
      </c>
      <c r="AP1041">
        <f t="shared" si="399"/>
        <v>1</v>
      </c>
      <c r="AQ1041" t="str">
        <f>IF(SAISIE!$F1046="","",SAISIE!$Y1046)</f>
        <v/>
      </c>
      <c r="AR1041" t="str">
        <f>IF(OR(SAISIE!$U$4="",SAISIE!$W$4=""),"",IF(AND($A1041=SAISIE!$U$4,$B1041=SAISIE!$W$4,$C1041="S1"),COUNTIFS($A$2:$A1041,SAISIE!$U$4,$B$2:$B1041,SAISIE!$W$4,$C$2:$C1041,"S1"),""))</f>
        <v/>
      </c>
      <c r="AS1041" t="str">
        <f t="shared" si="400"/>
        <v/>
      </c>
      <c r="AT1041" t="str">
        <f t="shared" si="401"/>
        <v/>
      </c>
      <c r="AU1041" t="str">
        <f t="shared" si="402"/>
        <v/>
      </c>
      <c r="AV1041">
        <f>N(AV1040)+IF(AND($AB1041&lt;&gt;"",OR('PROFIL ELEVE'!$K$4="(Tous)",$AF1041='PROFIL ELEVE'!$K$4)),1,0)</f>
        <v>0</v>
      </c>
      <c r="AW1041">
        <f>N(AW1040)+IF(AND($AB1041&lt;&gt;"",OR('SUIVI LONGITUDINAL'!$Q$4="(Tous)",$AF1041='SUIVI LONGITUDINAL'!$Q$4)),1,0)</f>
        <v>0</v>
      </c>
      <c r="AX1041">
        <f t="shared" si="403"/>
        <v>0</v>
      </c>
      <c r="AY1041">
        <f t="shared" si="404"/>
        <v>0</v>
      </c>
      <c r="AZ1041">
        <f t="shared" si="405"/>
        <v>0</v>
      </c>
      <c r="BA1041" t="str">
        <f t="shared" si="406"/>
        <v/>
      </c>
      <c r="BB1041" t="str">
        <f t="shared" si="407"/>
        <v/>
      </c>
    </row>
    <row r="1042" spans="1:54" ht="14.25" customHeight="1" x14ac:dyDescent="0.3">
      <c r="A1042" t="str">
        <f>IF(SAISIE!$F1047="","",SAISIE!$B1047)</f>
        <v/>
      </c>
      <c r="B1042" t="str">
        <f>IF(SAISIE!$F1047="","",SAISIE!$C1047)</f>
        <v/>
      </c>
      <c r="C1042" t="str">
        <f>IF(SAISIE!$F1047="","",SAISIE!$D1047)</f>
        <v/>
      </c>
      <c r="D1042" t="str">
        <f>IF(SAISIE!$E1047="","",SAISIE!$E1047)</f>
        <v/>
      </c>
      <c r="E1042" t="str">
        <f>IF(SAISIE!$F1047="","",SAISIE!$F1047)</f>
        <v/>
      </c>
      <c r="F1042" t="str">
        <f>IF(SAISIE!$G1047="","",SAISIE!$G1047)</f>
        <v/>
      </c>
      <c r="G1042" t="str">
        <f>IF(SAISIE!$H1047="","",SAISIE!$H1047)</f>
        <v/>
      </c>
      <c r="H1042" t="str">
        <f>IF(SAISIE!$I1047="","",SAISIE!$I1047)</f>
        <v/>
      </c>
      <c r="I1042" t="str">
        <f>IF(SAISIE!$J1047="","",SAISIE!$J1047)</f>
        <v/>
      </c>
      <c r="J1042" t="str">
        <f>IF(SAISIE!$K1047="","",SAISIE!$K1047)</f>
        <v/>
      </c>
      <c r="K1042" t="str">
        <f>IF(SAISIE!$L1047="","",SAISIE!$L1047)</f>
        <v/>
      </c>
      <c r="L1042" t="str">
        <f>IF(SAISIE!$M1047="","",SAISIE!$M1047)</f>
        <v/>
      </c>
      <c r="M1042" t="str">
        <f>IF(SAISIE!$N1047="","",SAISIE!$N1047)</f>
        <v/>
      </c>
      <c r="N1042" t="str">
        <f>IF(SAISIE!$O1047="","",SAISIE!$O1047)</f>
        <v/>
      </c>
      <c r="O1042" t="str">
        <f>IF(SAISIE!$P1047="","",SAISIE!$P1047)</f>
        <v/>
      </c>
      <c r="P1042" t="str">
        <f>IF(SAISIE!$Q1047="","",SAISIE!$Q1047)</f>
        <v/>
      </c>
      <c r="Q1042" t="str">
        <f>IF($I1042="","",IF($I1042&gt;PARAMETRES!$G$29,5,IF($I1042&gt;PARAMETRES!$F$29,4,IF($I1042&gt;PARAMETRES!$E$29,3,IF($I1042&gt;PARAMETRES!$D$29,2,1)))))</f>
        <v/>
      </c>
      <c r="R1042" t="str">
        <f>IF($J1042="","",IF($J1042&gt;PARAMETRES!$G$30,5,IF($J1042&gt;PARAMETRES!$F$30,4,IF($J1042&gt;PARAMETRES!$E$30,3,IF($J1042&gt;PARAMETRES!$D$30,2,1)))))</f>
        <v/>
      </c>
      <c r="S1042" t="str">
        <f>IF($K1042="","",IF($Z1042=2,IF($K1042&gt;PARAMETRES!$G$31,5,IF($K1042&gt;PARAMETRES!$F$31,4,IF($K1042&gt;PARAMETRES!$E$31,3,IF($K1042&gt;PARAMETRES!$D$31,2,1)))),IF($K1042&gt;PARAMETRES!$G$32,5,IF($K1042&gt;PARAMETRES!$F$32,4,IF($K1042&gt;PARAMETRES!$E$32,3,IF($K1042&gt;PARAMETRES!$D$32,2,1))))))</f>
        <v/>
      </c>
      <c r="T1042" t="str">
        <f>IF($L1042="","",IF($L1042&gt;PARAMETRES!$G$33,5,IF($L1042&gt;PARAMETRES!$F$33,4,IF($L1042&gt;PARAMETRES!$E$33,3,IF($L1042&gt;PARAMETRES!$D$33,2,1)))))</f>
        <v/>
      </c>
      <c r="U1042" t="str">
        <f>IF($M1042="","",IF($M1042&gt;PARAMETRES!$G$34,5,IF($M1042&gt;PARAMETRES!$F$34,4,IF($M1042&gt;PARAMETRES!$E$34,3,IF($M1042&gt;PARAMETRES!$D$34,2,1)))))</f>
        <v/>
      </c>
      <c r="V1042" t="str">
        <f>IF($N1042="","",IF($N1042&gt;PARAMETRES!$G$35,5,IF($N1042&gt;PARAMETRES!$F$35,4,IF($N1042&gt;PARAMETRES!$E$35,3,IF($N1042&gt;PARAMETRES!$D$35,2,1)))))</f>
        <v/>
      </c>
      <c r="W1042" t="str">
        <f>IF($O1042="","",IF($O1042&gt;PARAMETRES!$G$36,5,IF($O1042&gt;PARAMETRES!$F$36,4,IF($O1042&gt;PARAMETRES!$E$36,3,IF($O1042&gt;PARAMETRES!$D$36,2,1)))))</f>
        <v/>
      </c>
      <c r="X1042" t="str">
        <f>IF($P1042="","",IF($P1042&gt;PARAMETRES!$G$37,5,IF($P1042&gt;PARAMETRES!$F$37,4,IF($P1042&gt;PARAMETRES!$E$37,3,IF($P1042&gt;PARAMETRES!$D$37,2,1)))))</f>
        <v/>
      </c>
      <c r="Y1042" t="str">
        <f t="shared" si="384"/>
        <v/>
      </c>
      <c r="Z1042" t="str">
        <f>IFERROR(VLOOKUP($B1042,TABLE_CYCLE,2,0),"")</f>
        <v/>
      </c>
      <c r="AA1042" t="str">
        <f t="shared" si="385"/>
        <v/>
      </c>
      <c r="AB1042" t="str">
        <f>IF($D1042="","",IF(COUNTIF($D$2:$D1042,$D1042)=1,$D1042,""))</f>
        <v/>
      </c>
      <c r="AC1042">
        <f t="shared" si="386"/>
        <v>0</v>
      </c>
      <c r="AD1042" t="str">
        <f t="shared" si="387"/>
        <v>|0</v>
      </c>
      <c r="AE1042" t="str">
        <f t="shared" si="388"/>
        <v/>
      </c>
      <c r="AF1042" t="str">
        <f t="shared" si="389"/>
        <v/>
      </c>
      <c r="AG1042" t="str">
        <f t="shared" si="390"/>
        <v/>
      </c>
      <c r="AH1042" t="str">
        <f t="shared" si="391"/>
        <v/>
      </c>
      <c r="AI1042" t="str">
        <f t="shared" si="392"/>
        <v/>
      </c>
      <c r="AJ1042" t="str">
        <f t="shared" si="393"/>
        <v/>
      </c>
      <c r="AK1042" t="str">
        <f t="shared" si="394"/>
        <v/>
      </c>
      <c r="AL1042" t="str">
        <f t="shared" si="395"/>
        <v/>
      </c>
      <c r="AM1042" t="str">
        <f t="shared" si="396"/>
        <v/>
      </c>
      <c r="AN1042" t="str">
        <f t="shared" si="397"/>
        <v/>
      </c>
      <c r="AO1042" t="str">
        <f t="shared" si="398"/>
        <v/>
      </c>
      <c r="AP1042">
        <f t="shared" si="399"/>
        <v>1</v>
      </c>
      <c r="AQ1042" t="str">
        <f>IF(SAISIE!$F1047="","",SAISIE!$Y1047)</f>
        <v/>
      </c>
      <c r="AR1042" t="str">
        <f>IF(OR(SAISIE!$U$4="",SAISIE!$W$4=""),"",IF(AND($A1042=SAISIE!$U$4,$B1042=SAISIE!$W$4,$C1042="S1"),COUNTIFS($A$2:$A1042,SAISIE!$U$4,$B$2:$B1042,SAISIE!$W$4,$C$2:$C1042,"S1"),""))</f>
        <v/>
      </c>
      <c r="AS1042" t="str">
        <f t="shared" si="400"/>
        <v/>
      </c>
      <c r="AT1042" t="str">
        <f t="shared" si="401"/>
        <v/>
      </c>
      <c r="AU1042" t="str">
        <f t="shared" si="402"/>
        <v/>
      </c>
      <c r="AV1042">
        <f>N(AV1041)+IF(AND($AB1042&lt;&gt;"",OR('PROFIL ELEVE'!$K$4="(Tous)",$AF1042='PROFIL ELEVE'!$K$4)),1,0)</f>
        <v>0</v>
      </c>
      <c r="AW1042">
        <f>N(AW1041)+IF(AND($AB1042&lt;&gt;"",OR('SUIVI LONGITUDINAL'!$Q$4="(Tous)",$AF1042='SUIVI LONGITUDINAL'!$Q$4)),1,0)</f>
        <v>0</v>
      </c>
      <c r="AX1042">
        <f t="shared" si="403"/>
        <v>0</v>
      </c>
      <c r="AY1042">
        <f t="shared" si="404"/>
        <v>0</v>
      </c>
      <c r="AZ1042">
        <f t="shared" si="405"/>
        <v>0</v>
      </c>
      <c r="BA1042" t="str">
        <f t="shared" si="406"/>
        <v/>
      </c>
      <c r="BB1042" t="str">
        <f t="shared" si="407"/>
        <v/>
      </c>
    </row>
    <row r="1043" spans="1:54" ht="14.25" customHeight="1" x14ac:dyDescent="0.3">
      <c r="A1043" t="str">
        <f>IF(SAISIE!$F1048="","",SAISIE!$B1048)</f>
        <v/>
      </c>
      <c r="B1043" t="str">
        <f>IF(SAISIE!$F1048="","",SAISIE!$C1048)</f>
        <v/>
      </c>
      <c r="C1043" t="str">
        <f>IF(SAISIE!$F1048="","",SAISIE!$D1048)</f>
        <v/>
      </c>
      <c r="D1043" t="str">
        <f>IF(SAISIE!$E1048="","",SAISIE!$E1048)</f>
        <v/>
      </c>
      <c r="E1043" t="str">
        <f>IF(SAISIE!$F1048="","",SAISIE!$F1048)</f>
        <v/>
      </c>
      <c r="F1043" t="str">
        <f>IF(SAISIE!$G1048="","",SAISIE!$G1048)</f>
        <v/>
      </c>
      <c r="G1043" t="str">
        <f>IF(SAISIE!$H1048="","",SAISIE!$H1048)</f>
        <v/>
      </c>
      <c r="H1043" t="str">
        <f>IF(SAISIE!$I1048="","",SAISIE!$I1048)</f>
        <v/>
      </c>
      <c r="I1043" t="str">
        <f>IF(SAISIE!$J1048="","",SAISIE!$J1048)</f>
        <v/>
      </c>
      <c r="J1043" t="str">
        <f>IF(SAISIE!$K1048="","",SAISIE!$K1048)</f>
        <v/>
      </c>
      <c r="K1043" t="str">
        <f>IF(SAISIE!$L1048="","",SAISIE!$L1048)</f>
        <v/>
      </c>
      <c r="L1043" t="str">
        <f>IF(SAISIE!$M1048="","",SAISIE!$M1048)</f>
        <v/>
      </c>
      <c r="M1043" t="str">
        <f>IF(SAISIE!$N1048="","",SAISIE!$N1048)</f>
        <v/>
      </c>
      <c r="N1043" t="str">
        <f>IF(SAISIE!$O1048="","",SAISIE!$O1048)</f>
        <v/>
      </c>
      <c r="O1043" t="str">
        <f>IF(SAISIE!$P1048="","",SAISIE!$P1048)</f>
        <v/>
      </c>
      <c r="P1043" t="str">
        <f>IF(SAISIE!$Q1048="","",SAISIE!$Q1048)</f>
        <v/>
      </c>
      <c r="Q1043" t="str">
        <f>IF($I1043="","",IF($I1043&gt;PARAMETRES!$G$29,5,IF($I1043&gt;PARAMETRES!$F$29,4,IF($I1043&gt;PARAMETRES!$E$29,3,IF($I1043&gt;PARAMETRES!$D$29,2,1)))))</f>
        <v/>
      </c>
      <c r="R1043" t="str">
        <f>IF($J1043="","",IF($J1043&gt;PARAMETRES!$G$30,5,IF($J1043&gt;PARAMETRES!$F$30,4,IF($J1043&gt;PARAMETRES!$E$30,3,IF($J1043&gt;PARAMETRES!$D$30,2,1)))))</f>
        <v/>
      </c>
      <c r="S1043" t="str">
        <f>IF($K1043="","",IF($Z1043=2,IF($K1043&gt;PARAMETRES!$G$31,5,IF($K1043&gt;PARAMETRES!$F$31,4,IF($K1043&gt;PARAMETRES!$E$31,3,IF($K1043&gt;PARAMETRES!$D$31,2,1)))),IF($K1043&gt;PARAMETRES!$G$32,5,IF($K1043&gt;PARAMETRES!$F$32,4,IF($K1043&gt;PARAMETRES!$E$32,3,IF($K1043&gt;PARAMETRES!$D$32,2,1))))))</f>
        <v/>
      </c>
      <c r="T1043" t="str">
        <f>IF($L1043="","",IF($L1043&gt;PARAMETRES!$G$33,5,IF($L1043&gt;PARAMETRES!$F$33,4,IF($L1043&gt;PARAMETRES!$E$33,3,IF($L1043&gt;PARAMETRES!$D$33,2,1)))))</f>
        <v/>
      </c>
      <c r="U1043" t="str">
        <f>IF($M1043="","",IF($M1043&gt;PARAMETRES!$G$34,5,IF($M1043&gt;PARAMETRES!$F$34,4,IF($M1043&gt;PARAMETRES!$E$34,3,IF($M1043&gt;PARAMETRES!$D$34,2,1)))))</f>
        <v/>
      </c>
      <c r="V1043" t="str">
        <f>IF($N1043="","",IF($N1043&gt;PARAMETRES!$G$35,5,IF($N1043&gt;PARAMETRES!$F$35,4,IF($N1043&gt;PARAMETRES!$E$35,3,IF($N1043&gt;PARAMETRES!$D$35,2,1)))))</f>
        <v/>
      </c>
      <c r="W1043" t="str">
        <f>IF($O1043="","",IF($O1043&gt;PARAMETRES!$G$36,5,IF($O1043&gt;PARAMETRES!$F$36,4,IF($O1043&gt;PARAMETRES!$E$36,3,IF($O1043&gt;PARAMETRES!$D$36,2,1)))))</f>
        <v/>
      </c>
      <c r="X1043" t="str">
        <f>IF($P1043="","",IF($P1043&gt;PARAMETRES!$G$37,5,IF($P1043&gt;PARAMETRES!$F$37,4,IF($P1043&gt;PARAMETRES!$E$37,3,IF($P1043&gt;PARAMETRES!$D$37,2,1)))))</f>
        <v/>
      </c>
      <c r="Y1043" t="str">
        <f t="shared" si="384"/>
        <v/>
      </c>
      <c r="Z1043" t="str">
        <f>IFERROR(VLOOKUP($B1043,TABLE_CYCLE,2,0),"")</f>
        <v/>
      </c>
      <c r="AA1043" t="str">
        <f t="shared" si="385"/>
        <v/>
      </c>
      <c r="AB1043" t="str">
        <f>IF($D1043="","",IF(COUNTIF($D$2:$D1043,$D1043)=1,$D1043,""))</f>
        <v/>
      </c>
      <c r="AC1043">
        <f t="shared" si="386"/>
        <v>0</v>
      </c>
      <c r="AD1043" t="str">
        <f t="shared" si="387"/>
        <v>|0</v>
      </c>
      <c r="AE1043" t="str">
        <f t="shared" si="388"/>
        <v/>
      </c>
      <c r="AF1043" t="str">
        <f t="shared" si="389"/>
        <v/>
      </c>
      <c r="AG1043" t="str">
        <f t="shared" si="390"/>
        <v/>
      </c>
      <c r="AH1043" t="str">
        <f t="shared" si="391"/>
        <v/>
      </c>
      <c r="AI1043" t="str">
        <f t="shared" si="392"/>
        <v/>
      </c>
      <c r="AJ1043" t="str">
        <f t="shared" si="393"/>
        <v/>
      </c>
      <c r="AK1043" t="str">
        <f t="shared" si="394"/>
        <v/>
      </c>
      <c r="AL1043" t="str">
        <f t="shared" si="395"/>
        <v/>
      </c>
      <c r="AM1043" t="str">
        <f t="shared" si="396"/>
        <v/>
      </c>
      <c r="AN1043" t="str">
        <f t="shared" si="397"/>
        <v/>
      </c>
      <c r="AO1043" t="str">
        <f t="shared" si="398"/>
        <v/>
      </c>
      <c r="AP1043">
        <f t="shared" si="399"/>
        <v>1</v>
      </c>
      <c r="AQ1043" t="str">
        <f>IF(SAISIE!$F1048="","",SAISIE!$Y1048)</f>
        <v/>
      </c>
      <c r="AR1043" t="str">
        <f>IF(OR(SAISIE!$U$4="",SAISIE!$W$4=""),"",IF(AND($A1043=SAISIE!$U$4,$B1043=SAISIE!$W$4,$C1043="S1"),COUNTIFS($A$2:$A1043,SAISIE!$U$4,$B$2:$B1043,SAISIE!$W$4,$C$2:$C1043,"S1"),""))</f>
        <v/>
      </c>
      <c r="AS1043" t="str">
        <f t="shared" si="400"/>
        <v/>
      </c>
      <c r="AT1043" t="str">
        <f t="shared" si="401"/>
        <v/>
      </c>
      <c r="AU1043" t="str">
        <f t="shared" si="402"/>
        <v/>
      </c>
      <c r="AV1043">
        <f>N(AV1042)+IF(AND($AB1043&lt;&gt;"",OR('PROFIL ELEVE'!$K$4="(Tous)",$AF1043='PROFIL ELEVE'!$K$4)),1,0)</f>
        <v>0</v>
      </c>
      <c r="AW1043">
        <f>N(AW1042)+IF(AND($AB1043&lt;&gt;"",OR('SUIVI LONGITUDINAL'!$Q$4="(Tous)",$AF1043='SUIVI LONGITUDINAL'!$Q$4)),1,0)</f>
        <v>0</v>
      </c>
      <c r="AX1043">
        <f t="shared" si="403"/>
        <v>0</v>
      </c>
      <c r="AY1043">
        <f t="shared" si="404"/>
        <v>0</v>
      </c>
      <c r="AZ1043">
        <f t="shared" si="405"/>
        <v>0</v>
      </c>
      <c r="BA1043" t="str">
        <f t="shared" si="406"/>
        <v/>
      </c>
      <c r="BB1043" t="str">
        <f t="shared" si="407"/>
        <v/>
      </c>
    </row>
    <row r="1044" spans="1:54" ht="14.25" customHeight="1" x14ac:dyDescent="0.3">
      <c r="A1044" t="str">
        <f>IF(SAISIE!$F1049="","",SAISIE!$B1049)</f>
        <v/>
      </c>
      <c r="B1044" t="str">
        <f>IF(SAISIE!$F1049="","",SAISIE!$C1049)</f>
        <v/>
      </c>
      <c r="C1044" t="str">
        <f>IF(SAISIE!$F1049="","",SAISIE!$D1049)</f>
        <v/>
      </c>
      <c r="D1044" t="str">
        <f>IF(SAISIE!$E1049="","",SAISIE!$E1049)</f>
        <v/>
      </c>
      <c r="E1044" t="str">
        <f>IF(SAISIE!$F1049="","",SAISIE!$F1049)</f>
        <v/>
      </c>
      <c r="F1044" t="str">
        <f>IF(SAISIE!$G1049="","",SAISIE!$G1049)</f>
        <v/>
      </c>
      <c r="G1044" t="str">
        <f>IF(SAISIE!$H1049="","",SAISIE!$H1049)</f>
        <v/>
      </c>
      <c r="H1044" t="str">
        <f>IF(SAISIE!$I1049="","",SAISIE!$I1049)</f>
        <v/>
      </c>
      <c r="I1044" t="str">
        <f>IF(SAISIE!$J1049="","",SAISIE!$J1049)</f>
        <v/>
      </c>
      <c r="J1044" t="str">
        <f>IF(SAISIE!$K1049="","",SAISIE!$K1049)</f>
        <v/>
      </c>
      <c r="K1044" t="str">
        <f>IF(SAISIE!$L1049="","",SAISIE!$L1049)</f>
        <v/>
      </c>
      <c r="L1044" t="str">
        <f>IF(SAISIE!$M1049="","",SAISIE!$M1049)</f>
        <v/>
      </c>
      <c r="M1044" t="str">
        <f>IF(SAISIE!$N1049="","",SAISIE!$N1049)</f>
        <v/>
      </c>
      <c r="N1044" t="str">
        <f>IF(SAISIE!$O1049="","",SAISIE!$O1049)</f>
        <v/>
      </c>
      <c r="O1044" t="str">
        <f>IF(SAISIE!$P1049="","",SAISIE!$P1049)</f>
        <v/>
      </c>
      <c r="P1044" t="str">
        <f>IF(SAISIE!$Q1049="","",SAISIE!$Q1049)</f>
        <v/>
      </c>
      <c r="Q1044" t="str">
        <f>IF($I1044="","",IF($I1044&gt;PARAMETRES!$G$29,5,IF($I1044&gt;PARAMETRES!$F$29,4,IF($I1044&gt;PARAMETRES!$E$29,3,IF($I1044&gt;PARAMETRES!$D$29,2,1)))))</f>
        <v/>
      </c>
      <c r="R1044" t="str">
        <f>IF($J1044="","",IF($J1044&gt;PARAMETRES!$G$30,5,IF($J1044&gt;PARAMETRES!$F$30,4,IF($J1044&gt;PARAMETRES!$E$30,3,IF($J1044&gt;PARAMETRES!$D$30,2,1)))))</f>
        <v/>
      </c>
      <c r="S1044" t="str">
        <f>IF($K1044="","",IF($Z1044=2,IF($K1044&gt;PARAMETRES!$G$31,5,IF($K1044&gt;PARAMETRES!$F$31,4,IF($K1044&gt;PARAMETRES!$E$31,3,IF($K1044&gt;PARAMETRES!$D$31,2,1)))),IF($K1044&gt;PARAMETRES!$G$32,5,IF($K1044&gt;PARAMETRES!$F$32,4,IF($K1044&gt;PARAMETRES!$E$32,3,IF($K1044&gt;PARAMETRES!$D$32,2,1))))))</f>
        <v/>
      </c>
      <c r="T1044" t="str">
        <f>IF($L1044="","",IF($L1044&gt;PARAMETRES!$G$33,5,IF($L1044&gt;PARAMETRES!$F$33,4,IF($L1044&gt;PARAMETRES!$E$33,3,IF($L1044&gt;PARAMETRES!$D$33,2,1)))))</f>
        <v/>
      </c>
      <c r="U1044" t="str">
        <f>IF($M1044="","",IF($M1044&gt;PARAMETRES!$G$34,5,IF($M1044&gt;PARAMETRES!$F$34,4,IF($M1044&gt;PARAMETRES!$E$34,3,IF($M1044&gt;PARAMETRES!$D$34,2,1)))))</f>
        <v/>
      </c>
      <c r="V1044" t="str">
        <f>IF($N1044="","",IF($N1044&gt;PARAMETRES!$G$35,5,IF($N1044&gt;PARAMETRES!$F$35,4,IF($N1044&gt;PARAMETRES!$E$35,3,IF($N1044&gt;PARAMETRES!$D$35,2,1)))))</f>
        <v/>
      </c>
      <c r="W1044" t="str">
        <f>IF($O1044="","",IF($O1044&gt;PARAMETRES!$G$36,5,IF($O1044&gt;PARAMETRES!$F$36,4,IF($O1044&gt;PARAMETRES!$E$36,3,IF($O1044&gt;PARAMETRES!$D$36,2,1)))))</f>
        <v/>
      </c>
      <c r="X1044" t="str">
        <f>IF($P1044="","",IF($P1044&gt;PARAMETRES!$G$37,5,IF($P1044&gt;PARAMETRES!$F$37,4,IF($P1044&gt;PARAMETRES!$E$37,3,IF($P1044&gt;PARAMETRES!$D$37,2,1)))))</f>
        <v/>
      </c>
      <c r="Y1044" t="str">
        <f t="shared" si="384"/>
        <v/>
      </c>
      <c r="Z1044" t="str">
        <f>IFERROR(VLOOKUP($B1044,TABLE_CYCLE,2,0),"")</f>
        <v/>
      </c>
      <c r="AA1044" t="str">
        <f t="shared" si="385"/>
        <v/>
      </c>
      <c r="AB1044" t="str">
        <f>IF($D1044="","",IF(COUNTIF($D$2:$D1044,$D1044)=1,$D1044,""))</f>
        <v/>
      </c>
      <c r="AC1044">
        <f t="shared" si="386"/>
        <v>0</v>
      </c>
      <c r="AD1044" t="str">
        <f t="shared" si="387"/>
        <v>|0</v>
      </c>
      <c r="AE1044" t="str">
        <f t="shared" si="388"/>
        <v/>
      </c>
      <c r="AF1044" t="str">
        <f t="shared" si="389"/>
        <v/>
      </c>
      <c r="AG1044" t="str">
        <f t="shared" si="390"/>
        <v/>
      </c>
      <c r="AH1044" t="str">
        <f t="shared" si="391"/>
        <v/>
      </c>
      <c r="AI1044" t="str">
        <f t="shared" si="392"/>
        <v/>
      </c>
      <c r="AJ1044" t="str">
        <f t="shared" si="393"/>
        <v/>
      </c>
      <c r="AK1044" t="str">
        <f t="shared" si="394"/>
        <v/>
      </c>
      <c r="AL1044" t="str">
        <f t="shared" si="395"/>
        <v/>
      </c>
      <c r="AM1044" t="str">
        <f t="shared" si="396"/>
        <v/>
      </c>
      <c r="AN1044" t="str">
        <f t="shared" si="397"/>
        <v/>
      </c>
      <c r="AO1044" t="str">
        <f t="shared" si="398"/>
        <v/>
      </c>
      <c r="AP1044">
        <f t="shared" si="399"/>
        <v>1</v>
      </c>
      <c r="AQ1044" t="str">
        <f>IF(SAISIE!$F1049="","",SAISIE!$Y1049)</f>
        <v/>
      </c>
      <c r="AR1044" t="str">
        <f>IF(OR(SAISIE!$U$4="",SAISIE!$W$4=""),"",IF(AND($A1044=SAISIE!$U$4,$B1044=SAISIE!$W$4,$C1044="S1"),COUNTIFS($A$2:$A1044,SAISIE!$U$4,$B$2:$B1044,SAISIE!$W$4,$C$2:$C1044,"S1"),""))</f>
        <v/>
      </c>
      <c r="AS1044" t="str">
        <f t="shared" si="400"/>
        <v/>
      </c>
      <c r="AT1044" t="str">
        <f t="shared" si="401"/>
        <v/>
      </c>
      <c r="AU1044" t="str">
        <f t="shared" si="402"/>
        <v/>
      </c>
      <c r="AV1044">
        <f>N(AV1043)+IF(AND($AB1044&lt;&gt;"",OR('PROFIL ELEVE'!$K$4="(Tous)",$AF1044='PROFIL ELEVE'!$K$4)),1,0)</f>
        <v>0</v>
      </c>
      <c r="AW1044">
        <f>N(AW1043)+IF(AND($AB1044&lt;&gt;"",OR('SUIVI LONGITUDINAL'!$Q$4="(Tous)",$AF1044='SUIVI LONGITUDINAL'!$Q$4)),1,0)</f>
        <v>0</v>
      </c>
      <c r="AX1044">
        <f t="shared" si="403"/>
        <v>0</v>
      </c>
      <c r="AY1044">
        <f t="shared" si="404"/>
        <v>0</v>
      </c>
      <c r="AZ1044">
        <f t="shared" si="405"/>
        <v>0</v>
      </c>
      <c r="BA1044" t="str">
        <f t="shared" si="406"/>
        <v/>
      </c>
      <c r="BB1044" t="str">
        <f t="shared" si="407"/>
        <v/>
      </c>
    </row>
    <row r="1045" spans="1:54" ht="14.25" customHeight="1" x14ac:dyDescent="0.3">
      <c r="A1045" t="str">
        <f>IF(SAISIE!$F1050="","",SAISIE!$B1050)</f>
        <v/>
      </c>
      <c r="B1045" t="str">
        <f>IF(SAISIE!$F1050="","",SAISIE!$C1050)</f>
        <v/>
      </c>
      <c r="C1045" t="str">
        <f>IF(SAISIE!$F1050="","",SAISIE!$D1050)</f>
        <v/>
      </c>
      <c r="D1045" t="str">
        <f>IF(SAISIE!$E1050="","",SAISIE!$E1050)</f>
        <v/>
      </c>
      <c r="E1045" t="str">
        <f>IF(SAISIE!$F1050="","",SAISIE!$F1050)</f>
        <v/>
      </c>
      <c r="F1045" t="str">
        <f>IF(SAISIE!$G1050="","",SAISIE!$G1050)</f>
        <v/>
      </c>
      <c r="G1045" t="str">
        <f>IF(SAISIE!$H1050="","",SAISIE!$H1050)</f>
        <v/>
      </c>
      <c r="H1045" t="str">
        <f>IF(SAISIE!$I1050="","",SAISIE!$I1050)</f>
        <v/>
      </c>
      <c r="I1045" t="str">
        <f>IF(SAISIE!$J1050="","",SAISIE!$J1050)</f>
        <v/>
      </c>
      <c r="J1045" t="str">
        <f>IF(SAISIE!$K1050="","",SAISIE!$K1050)</f>
        <v/>
      </c>
      <c r="K1045" t="str">
        <f>IF(SAISIE!$L1050="","",SAISIE!$L1050)</f>
        <v/>
      </c>
      <c r="L1045" t="str">
        <f>IF(SAISIE!$M1050="","",SAISIE!$M1050)</f>
        <v/>
      </c>
      <c r="M1045" t="str">
        <f>IF(SAISIE!$N1050="","",SAISIE!$N1050)</f>
        <v/>
      </c>
      <c r="N1045" t="str">
        <f>IF(SAISIE!$O1050="","",SAISIE!$O1050)</f>
        <v/>
      </c>
      <c r="O1045" t="str">
        <f>IF(SAISIE!$P1050="","",SAISIE!$P1050)</f>
        <v/>
      </c>
      <c r="P1045" t="str">
        <f>IF(SAISIE!$Q1050="","",SAISIE!$Q1050)</f>
        <v/>
      </c>
      <c r="Q1045" t="str">
        <f>IF($I1045="","",IF($I1045&gt;PARAMETRES!$G$29,5,IF($I1045&gt;PARAMETRES!$F$29,4,IF($I1045&gt;PARAMETRES!$E$29,3,IF($I1045&gt;PARAMETRES!$D$29,2,1)))))</f>
        <v/>
      </c>
      <c r="R1045" t="str">
        <f>IF($J1045="","",IF($J1045&gt;PARAMETRES!$G$30,5,IF($J1045&gt;PARAMETRES!$F$30,4,IF($J1045&gt;PARAMETRES!$E$30,3,IF($J1045&gt;PARAMETRES!$D$30,2,1)))))</f>
        <v/>
      </c>
      <c r="S1045" t="str">
        <f>IF($K1045="","",IF($Z1045=2,IF($K1045&gt;PARAMETRES!$G$31,5,IF($K1045&gt;PARAMETRES!$F$31,4,IF($K1045&gt;PARAMETRES!$E$31,3,IF($K1045&gt;PARAMETRES!$D$31,2,1)))),IF($K1045&gt;PARAMETRES!$G$32,5,IF($K1045&gt;PARAMETRES!$F$32,4,IF($K1045&gt;PARAMETRES!$E$32,3,IF($K1045&gt;PARAMETRES!$D$32,2,1))))))</f>
        <v/>
      </c>
      <c r="T1045" t="str">
        <f>IF($L1045="","",IF($L1045&gt;PARAMETRES!$G$33,5,IF($L1045&gt;PARAMETRES!$F$33,4,IF($L1045&gt;PARAMETRES!$E$33,3,IF($L1045&gt;PARAMETRES!$D$33,2,1)))))</f>
        <v/>
      </c>
      <c r="U1045" t="str">
        <f>IF($M1045="","",IF($M1045&gt;PARAMETRES!$G$34,5,IF($M1045&gt;PARAMETRES!$F$34,4,IF($M1045&gt;PARAMETRES!$E$34,3,IF($M1045&gt;PARAMETRES!$D$34,2,1)))))</f>
        <v/>
      </c>
      <c r="V1045" t="str">
        <f>IF($N1045="","",IF($N1045&gt;PARAMETRES!$G$35,5,IF($N1045&gt;PARAMETRES!$F$35,4,IF($N1045&gt;PARAMETRES!$E$35,3,IF($N1045&gt;PARAMETRES!$D$35,2,1)))))</f>
        <v/>
      </c>
      <c r="W1045" t="str">
        <f>IF($O1045="","",IF($O1045&gt;PARAMETRES!$G$36,5,IF($O1045&gt;PARAMETRES!$F$36,4,IF($O1045&gt;PARAMETRES!$E$36,3,IF($O1045&gt;PARAMETRES!$D$36,2,1)))))</f>
        <v/>
      </c>
      <c r="X1045" t="str">
        <f>IF($P1045="","",IF($P1045&gt;PARAMETRES!$G$37,5,IF($P1045&gt;PARAMETRES!$F$37,4,IF($P1045&gt;PARAMETRES!$E$37,3,IF($P1045&gt;PARAMETRES!$D$37,2,1)))))</f>
        <v/>
      </c>
      <c r="Y1045" t="str">
        <f t="shared" si="384"/>
        <v/>
      </c>
      <c r="Z1045" t="str">
        <f>IFERROR(VLOOKUP($B1045,TABLE_CYCLE,2,0),"")</f>
        <v/>
      </c>
      <c r="AA1045" t="str">
        <f t="shared" si="385"/>
        <v/>
      </c>
      <c r="AB1045" t="str">
        <f>IF($D1045="","",IF(COUNTIF($D$2:$D1045,$D1045)=1,$D1045,""))</f>
        <v/>
      </c>
      <c r="AC1045">
        <f t="shared" si="386"/>
        <v>0</v>
      </c>
      <c r="AD1045" t="str">
        <f t="shared" si="387"/>
        <v>|0</v>
      </c>
      <c r="AE1045" t="str">
        <f t="shared" si="388"/>
        <v/>
      </c>
      <c r="AF1045" t="str">
        <f t="shared" si="389"/>
        <v/>
      </c>
      <c r="AG1045" t="str">
        <f t="shared" si="390"/>
        <v/>
      </c>
      <c r="AH1045" t="str">
        <f t="shared" si="391"/>
        <v/>
      </c>
      <c r="AI1045" t="str">
        <f t="shared" si="392"/>
        <v/>
      </c>
      <c r="AJ1045" t="str">
        <f t="shared" si="393"/>
        <v/>
      </c>
      <c r="AK1045" t="str">
        <f t="shared" si="394"/>
        <v/>
      </c>
      <c r="AL1045" t="str">
        <f t="shared" si="395"/>
        <v/>
      </c>
      <c r="AM1045" t="str">
        <f t="shared" si="396"/>
        <v/>
      </c>
      <c r="AN1045" t="str">
        <f t="shared" si="397"/>
        <v/>
      </c>
      <c r="AO1045" t="str">
        <f t="shared" si="398"/>
        <v/>
      </c>
      <c r="AP1045">
        <f t="shared" si="399"/>
        <v>1</v>
      </c>
      <c r="AQ1045" t="str">
        <f>IF(SAISIE!$F1050="","",SAISIE!$Y1050)</f>
        <v/>
      </c>
      <c r="AR1045" t="str">
        <f>IF(OR(SAISIE!$U$4="",SAISIE!$W$4=""),"",IF(AND($A1045=SAISIE!$U$4,$B1045=SAISIE!$W$4,$C1045="S1"),COUNTIFS($A$2:$A1045,SAISIE!$U$4,$B$2:$B1045,SAISIE!$W$4,$C$2:$C1045,"S1"),""))</f>
        <v/>
      </c>
      <c r="AS1045" t="str">
        <f t="shared" si="400"/>
        <v/>
      </c>
      <c r="AT1045" t="str">
        <f t="shared" si="401"/>
        <v/>
      </c>
      <c r="AU1045" t="str">
        <f t="shared" si="402"/>
        <v/>
      </c>
      <c r="AV1045">
        <f>N(AV1044)+IF(AND($AB1045&lt;&gt;"",OR('PROFIL ELEVE'!$K$4="(Tous)",$AF1045='PROFIL ELEVE'!$K$4)),1,0)</f>
        <v>0</v>
      </c>
      <c r="AW1045">
        <f>N(AW1044)+IF(AND($AB1045&lt;&gt;"",OR('SUIVI LONGITUDINAL'!$Q$4="(Tous)",$AF1045='SUIVI LONGITUDINAL'!$Q$4)),1,0)</f>
        <v>0</v>
      </c>
      <c r="AX1045">
        <f t="shared" si="403"/>
        <v>0</v>
      </c>
      <c r="AY1045">
        <f t="shared" si="404"/>
        <v>0</v>
      </c>
      <c r="AZ1045">
        <f t="shared" si="405"/>
        <v>0</v>
      </c>
      <c r="BA1045" t="str">
        <f t="shared" si="406"/>
        <v/>
      </c>
      <c r="BB1045" t="str">
        <f t="shared" si="407"/>
        <v/>
      </c>
    </row>
    <row r="1046" spans="1:54" ht="14.25" customHeight="1" x14ac:dyDescent="0.3">
      <c r="A1046" t="str">
        <f>IF(SAISIE!$F1051="","",SAISIE!$B1051)</f>
        <v/>
      </c>
      <c r="B1046" t="str">
        <f>IF(SAISIE!$F1051="","",SAISIE!$C1051)</f>
        <v/>
      </c>
      <c r="C1046" t="str">
        <f>IF(SAISIE!$F1051="","",SAISIE!$D1051)</f>
        <v/>
      </c>
      <c r="D1046" t="str">
        <f>IF(SAISIE!$E1051="","",SAISIE!$E1051)</f>
        <v/>
      </c>
      <c r="E1046" t="str">
        <f>IF(SAISIE!$F1051="","",SAISIE!$F1051)</f>
        <v/>
      </c>
      <c r="F1046" t="str">
        <f>IF(SAISIE!$G1051="","",SAISIE!$G1051)</f>
        <v/>
      </c>
      <c r="G1046" t="str">
        <f>IF(SAISIE!$H1051="","",SAISIE!$H1051)</f>
        <v/>
      </c>
      <c r="H1046" t="str">
        <f>IF(SAISIE!$I1051="","",SAISIE!$I1051)</f>
        <v/>
      </c>
      <c r="I1046" t="str">
        <f>IF(SAISIE!$J1051="","",SAISIE!$J1051)</f>
        <v/>
      </c>
      <c r="J1046" t="str">
        <f>IF(SAISIE!$K1051="","",SAISIE!$K1051)</f>
        <v/>
      </c>
      <c r="K1046" t="str">
        <f>IF(SAISIE!$L1051="","",SAISIE!$L1051)</f>
        <v/>
      </c>
      <c r="L1046" t="str">
        <f>IF(SAISIE!$M1051="","",SAISIE!$M1051)</f>
        <v/>
      </c>
      <c r="M1046" t="str">
        <f>IF(SAISIE!$N1051="","",SAISIE!$N1051)</f>
        <v/>
      </c>
      <c r="N1046" t="str">
        <f>IF(SAISIE!$O1051="","",SAISIE!$O1051)</f>
        <v/>
      </c>
      <c r="O1046" t="str">
        <f>IF(SAISIE!$P1051="","",SAISIE!$P1051)</f>
        <v/>
      </c>
      <c r="P1046" t="str">
        <f>IF(SAISIE!$Q1051="","",SAISIE!$Q1051)</f>
        <v/>
      </c>
      <c r="Q1046" t="str">
        <f>IF($I1046="","",IF($I1046&gt;PARAMETRES!$G$29,5,IF($I1046&gt;PARAMETRES!$F$29,4,IF($I1046&gt;PARAMETRES!$E$29,3,IF($I1046&gt;PARAMETRES!$D$29,2,1)))))</f>
        <v/>
      </c>
      <c r="R1046" t="str">
        <f>IF($J1046="","",IF($J1046&gt;PARAMETRES!$G$30,5,IF($J1046&gt;PARAMETRES!$F$30,4,IF($J1046&gt;PARAMETRES!$E$30,3,IF($J1046&gt;PARAMETRES!$D$30,2,1)))))</f>
        <v/>
      </c>
      <c r="S1046" t="str">
        <f>IF($K1046="","",IF($Z1046=2,IF($K1046&gt;PARAMETRES!$G$31,5,IF($K1046&gt;PARAMETRES!$F$31,4,IF($K1046&gt;PARAMETRES!$E$31,3,IF($K1046&gt;PARAMETRES!$D$31,2,1)))),IF($K1046&gt;PARAMETRES!$G$32,5,IF($K1046&gt;PARAMETRES!$F$32,4,IF($K1046&gt;PARAMETRES!$E$32,3,IF($K1046&gt;PARAMETRES!$D$32,2,1))))))</f>
        <v/>
      </c>
      <c r="T1046" t="str">
        <f>IF($L1046="","",IF($L1046&gt;PARAMETRES!$G$33,5,IF($L1046&gt;PARAMETRES!$F$33,4,IF($L1046&gt;PARAMETRES!$E$33,3,IF($L1046&gt;PARAMETRES!$D$33,2,1)))))</f>
        <v/>
      </c>
      <c r="U1046" t="str">
        <f>IF($M1046="","",IF($M1046&gt;PARAMETRES!$G$34,5,IF($M1046&gt;PARAMETRES!$F$34,4,IF($M1046&gt;PARAMETRES!$E$34,3,IF($M1046&gt;PARAMETRES!$D$34,2,1)))))</f>
        <v/>
      </c>
      <c r="V1046" t="str">
        <f>IF($N1046="","",IF($N1046&gt;PARAMETRES!$G$35,5,IF($N1046&gt;PARAMETRES!$F$35,4,IF($N1046&gt;PARAMETRES!$E$35,3,IF($N1046&gt;PARAMETRES!$D$35,2,1)))))</f>
        <v/>
      </c>
      <c r="W1046" t="str">
        <f>IF($O1046="","",IF($O1046&gt;PARAMETRES!$G$36,5,IF($O1046&gt;PARAMETRES!$F$36,4,IF($O1046&gt;PARAMETRES!$E$36,3,IF($O1046&gt;PARAMETRES!$D$36,2,1)))))</f>
        <v/>
      </c>
      <c r="X1046" t="str">
        <f>IF($P1046="","",IF($P1046&gt;PARAMETRES!$G$37,5,IF($P1046&gt;PARAMETRES!$F$37,4,IF($P1046&gt;PARAMETRES!$E$37,3,IF($P1046&gt;PARAMETRES!$D$37,2,1)))))</f>
        <v/>
      </c>
      <c r="Y1046" t="str">
        <f t="shared" si="384"/>
        <v/>
      </c>
      <c r="Z1046" t="str">
        <f>IFERROR(VLOOKUP($B1046,TABLE_CYCLE,2,0),"")</f>
        <v/>
      </c>
      <c r="AA1046" t="str">
        <f t="shared" si="385"/>
        <v/>
      </c>
      <c r="AB1046" t="str">
        <f>IF($D1046="","",IF(COUNTIF($D$2:$D1046,$D1046)=1,$D1046,""))</f>
        <v/>
      </c>
      <c r="AC1046">
        <f t="shared" si="386"/>
        <v>0</v>
      </c>
      <c r="AD1046" t="str">
        <f t="shared" si="387"/>
        <v>|0</v>
      </c>
      <c r="AE1046" t="str">
        <f t="shared" si="388"/>
        <v/>
      </c>
      <c r="AF1046" t="str">
        <f t="shared" si="389"/>
        <v/>
      </c>
      <c r="AG1046" t="str">
        <f t="shared" si="390"/>
        <v/>
      </c>
      <c r="AH1046" t="str">
        <f t="shared" si="391"/>
        <v/>
      </c>
      <c r="AI1046" t="str">
        <f t="shared" si="392"/>
        <v/>
      </c>
      <c r="AJ1046" t="str">
        <f t="shared" si="393"/>
        <v/>
      </c>
      <c r="AK1046" t="str">
        <f t="shared" si="394"/>
        <v/>
      </c>
      <c r="AL1046" t="str">
        <f t="shared" si="395"/>
        <v/>
      </c>
      <c r="AM1046" t="str">
        <f t="shared" si="396"/>
        <v/>
      </c>
      <c r="AN1046" t="str">
        <f t="shared" si="397"/>
        <v/>
      </c>
      <c r="AO1046" t="str">
        <f t="shared" si="398"/>
        <v/>
      </c>
      <c r="AP1046">
        <f t="shared" si="399"/>
        <v>1</v>
      </c>
      <c r="AQ1046" t="str">
        <f>IF(SAISIE!$F1051="","",SAISIE!$Y1051)</f>
        <v/>
      </c>
      <c r="AR1046" t="str">
        <f>IF(OR(SAISIE!$U$4="",SAISIE!$W$4=""),"",IF(AND($A1046=SAISIE!$U$4,$B1046=SAISIE!$W$4,$C1046="S1"),COUNTIFS($A$2:$A1046,SAISIE!$U$4,$B$2:$B1046,SAISIE!$W$4,$C$2:$C1046,"S1"),""))</f>
        <v/>
      </c>
      <c r="AS1046" t="str">
        <f t="shared" si="400"/>
        <v/>
      </c>
      <c r="AT1046" t="str">
        <f t="shared" si="401"/>
        <v/>
      </c>
      <c r="AU1046" t="str">
        <f t="shared" si="402"/>
        <v/>
      </c>
      <c r="AV1046">
        <f>N(AV1045)+IF(AND($AB1046&lt;&gt;"",OR('PROFIL ELEVE'!$K$4="(Tous)",$AF1046='PROFIL ELEVE'!$K$4)),1,0)</f>
        <v>0</v>
      </c>
      <c r="AW1046">
        <f>N(AW1045)+IF(AND($AB1046&lt;&gt;"",OR('SUIVI LONGITUDINAL'!$Q$4="(Tous)",$AF1046='SUIVI LONGITUDINAL'!$Q$4)),1,0)</f>
        <v>0</v>
      </c>
      <c r="AX1046">
        <f t="shared" si="403"/>
        <v>0</v>
      </c>
      <c r="AY1046">
        <f t="shared" si="404"/>
        <v>0</v>
      </c>
      <c r="AZ1046">
        <f t="shared" si="405"/>
        <v>0</v>
      </c>
      <c r="BA1046" t="str">
        <f t="shared" si="406"/>
        <v/>
      </c>
      <c r="BB1046" t="str">
        <f t="shared" si="407"/>
        <v/>
      </c>
    </row>
    <row r="1047" spans="1:54" ht="14.25" customHeight="1" x14ac:dyDescent="0.3">
      <c r="A1047" t="str">
        <f>IF(SAISIE!$F1052="","",SAISIE!$B1052)</f>
        <v/>
      </c>
      <c r="B1047" t="str">
        <f>IF(SAISIE!$F1052="","",SAISIE!$C1052)</f>
        <v/>
      </c>
      <c r="C1047" t="str">
        <f>IF(SAISIE!$F1052="","",SAISIE!$D1052)</f>
        <v/>
      </c>
      <c r="D1047" t="str">
        <f>IF(SAISIE!$E1052="","",SAISIE!$E1052)</f>
        <v/>
      </c>
      <c r="E1047" t="str">
        <f>IF(SAISIE!$F1052="","",SAISIE!$F1052)</f>
        <v/>
      </c>
      <c r="F1047" t="str">
        <f>IF(SAISIE!$G1052="","",SAISIE!$G1052)</f>
        <v/>
      </c>
      <c r="G1047" t="str">
        <f>IF(SAISIE!$H1052="","",SAISIE!$H1052)</f>
        <v/>
      </c>
      <c r="H1047" t="str">
        <f>IF(SAISIE!$I1052="","",SAISIE!$I1052)</f>
        <v/>
      </c>
      <c r="I1047" t="str">
        <f>IF(SAISIE!$J1052="","",SAISIE!$J1052)</f>
        <v/>
      </c>
      <c r="J1047" t="str">
        <f>IF(SAISIE!$K1052="","",SAISIE!$K1052)</f>
        <v/>
      </c>
      <c r="K1047" t="str">
        <f>IF(SAISIE!$L1052="","",SAISIE!$L1052)</f>
        <v/>
      </c>
      <c r="L1047" t="str">
        <f>IF(SAISIE!$M1052="","",SAISIE!$M1052)</f>
        <v/>
      </c>
      <c r="M1047" t="str">
        <f>IF(SAISIE!$N1052="","",SAISIE!$N1052)</f>
        <v/>
      </c>
      <c r="N1047" t="str">
        <f>IF(SAISIE!$O1052="","",SAISIE!$O1052)</f>
        <v/>
      </c>
      <c r="O1047" t="str">
        <f>IF(SAISIE!$P1052="","",SAISIE!$P1052)</f>
        <v/>
      </c>
      <c r="P1047" t="str">
        <f>IF(SAISIE!$Q1052="","",SAISIE!$Q1052)</f>
        <v/>
      </c>
      <c r="Q1047" t="str">
        <f>IF($I1047="","",IF($I1047&gt;PARAMETRES!$G$29,5,IF($I1047&gt;PARAMETRES!$F$29,4,IF($I1047&gt;PARAMETRES!$E$29,3,IF($I1047&gt;PARAMETRES!$D$29,2,1)))))</f>
        <v/>
      </c>
      <c r="R1047" t="str">
        <f>IF($J1047="","",IF($J1047&gt;PARAMETRES!$G$30,5,IF($J1047&gt;PARAMETRES!$F$30,4,IF($J1047&gt;PARAMETRES!$E$30,3,IF($J1047&gt;PARAMETRES!$D$30,2,1)))))</f>
        <v/>
      </c>
      <c r="S1047" t="str">
        <f>IF($K1047="","",IF($Z1047=2,IF($K1047&gt;PARAMETRES!$G$31,5,IF($K1047&gt;PARAMETRES!$F$31,4,IF($K1047&gt;PARAMETRES!$E$31,3,IF($K1047&gt;PARAMETRES!$D$31,2,1)))),IF($K1047&gt;PARAMETRES!$G$32,5,IF($K1047&gt;PARAMETRES!$F$32,4,IF($K1047&gt;PARAMETRES!$E$32,3,IF($K1047&gt;PARAMETRES!$D$32,2,1))))))</f>
        <v/>
      </c>
      <c r="T1047" t="str">
        <f>IF($L1047="","",IF($L1047&gt;PARAMETRES!$G$33,5,IF($L1047&gt;PARAMETRES!$F$33,4,IF($L1047&gt;PARAMETRES!$E$33,3,IF($L1047&gt;PARAMETRES!$D$33,2,1)))))</f>
        <v/>
      </c>
      <c r="U1047" t="str">
        <f>IF($M1047="","",IF($M1047&gt;PARAMETRES!$G$34,5,IF($M1047&gt;PARAMETRES!$F$34,4,IF($M1047&gt;PARAMETRES!$E$34,3,IF($M1047&gt;PARAMETRES!$D$34,2,1)))))</f>
        <v/>
      </c>
      <c r="V1047" t="str">
        <f>IF($N1047="","",IF($N1047&gt;PARAMETRES!$G$35,5,IF($N1047&gt;PARAMETRES!$F$35,4,IF($N1047&gt;PARAMETRES!$E$35,3,IF($N1047&gt;PARAMETRES!$D$35,2,1)))))</f>
        <v/>
      </c>
      <c r="W1047" t="str">
        <f>IF($O1047="","",IF($O1047&gt;PARAMETRES!$G$36,5,IF($O1047&gt;PARAMETRES!$F$36,4,IF($O1047&gt;PARAMETRES!$E$36,3,IF($O1047&gt;PARAMETRES!$D$36,2,1)))))</f>
        <v/>
      </c>
      <c r="X1047" t="str">
        <f>IF($P1047="","",IF($P1047&gt;PARAMETRES!$G$37,5,IF($P1047&gt;PARAMETRES!$F$37,4,IF($P1047&gt;PARAMETRES!$E$37,3,IF($P1047&gt;PARAMETRES!$D$37,2,1)))))</f>
        <v/>
      </c>
      <c r="Y1047" t="str">
        <f t="shared" si="384"/>
        <v/>
      </c>
      <c r="Z1047" t="str">
        <f>IFERROR(VLOOKUP($B1047,TABLE_CYCLE,2,0),"")</f>
        <v/>
      </c>
      <c r="AA1047" t="str">
        <f t="shared" si="385"/>
        <v/>
      </c>
      <c r="AB1047" t="str">
        <f>IF($D1047="","",IF(COUNTIF($D$2:$D1047,$D1047)=1,$D1047,""))</f>
        <v/>
      </c>
      <c r="AC1047">
        <f t="shared" si="386"/>
        <v>0</v>
      </c>
      <c r="AD1047" t="str">
        <f t="shared" si="387"/>
        <v>|0</v>
      </c>
      <c r="AE1047" t="str">
        <f t="shared" si="388"/>
        <v/>
      </c>
      <c r="AF1047" t="str">
        <f t="shared" si="389"/>
        <v/>
      </c>
      <c r="AG1047" t="str">
        <f t="shared" si="390"/>
        <v/>
      </c>
      <c r="AH1047" t="str">
        <f t="shared" si="391"/>
        <v/>
      </c>
      <c r="AI1047" t="str">
        <f t="shared" si="392"/>
        <v/>
      </c>
      <c r="AJ1047" t="str">
        <f t="shared" si="393"/>
        <v/>
      </c>
      <c r="AK1047" t="str">
        <f t="shared" si="394"/>
        <v/>
      </c>
      <c r="AL1047" t="str">
        <f t="shared" si="395"/>
        <v/>
      </c>
      <c r="AM1047" t="str">
        <f t="shared" si="396"/>
        <v/>
      </c>
      <c r="AN1047" t="str">
        <f t="shared" si="397"/>
        <v/>
      </c>
      <c r="AO1047" t="str">
        <f t="shared" si="398"/>
        <v/>
      </c>
      <c r="AP1047">
        <f t="shared" si="399"/>
        <v>1</v>
      </c>
      <c r="AQ1047" t="str">
        <f>IF(SAISIE!$F1052="","",SAISIE!$Y1052)</f>
        <v/>
      </c>
      <c r="AR1047" t="str">
        <f>IF(OR(SAISIE!$U$4="",SAISIE!$W$4=""),"",IF(AND($A1047=SAISIE!$U$4,$B1047=SAISIE!$W$4,$C1047="S1"),COUNTIFS($A$2:$A1047,SAISIE!$U$4,$B$2:$B1047,SAISIE!$W$4,$C$2:$C1047,"S1"),""))</f>
        <v/>
      </c>
      <c r="AS1047" t="str">
        <f t="shared" si="400"/>
        <v/>
      </c>
      <c r="AT1047" t="str">
        <f t="shared" si="401"/>
        <v/>
      </c>
      <c r="AU1047" t="str">
        <f t="shared" si="402"/>
        <v/>
      </c>
      <c r="AV1047">
        <f>N(AV1046)+IF(AND($AB1047&lt;&gt;"",OR('PROFIL ELEVE'!$K$4="(Tous)",$AF1047='PROFIL ELEVE'!$K$4)),1,0)</f>
        <v>0</v>
      </c>
      <c r="AW1047">
        <f>N(AW1046)+IF(AND($AB1047&lt;&gt;"",OR('SUIVI LONGITUDINAL'!$Q$4="(Tous)",$AF1047='SUIVI LONGITUDINAL'!$Q$4)),1,0)</f>
        <v>0</v>
      </c>
      <c r="AX1047">
        <f t="shared" si="403"/>
        <v>0</v>
      </c>
      <c r="AY1047">
        <f t="shared" si="404"/>
        <v>0</v>
      </c>
      <c r="AZ1047">
        <f t="shared" si="405"/>
        <v>0</v>
      </c>
      <c r="BA1047" t="str">
        <f t="shared" si="406"/>
        <v/>
      </c>
      <c r="BB1047" t="str">
        <f t="shared" si="407"/>
        <v/>
      </c>
    </row>
    <row r="1048" spans="1:54" ht="14.25" customHeight="1" x14ac:dyDescent="0.3">
      <c r="A1048" t="str">
        <f>IF(SAISIE!$F1053="","",SAISIE!$B1053)</f>
        <v/>
      </c>
      <c r="B1048" t="str">
        <f>IF(SAISIE!$F1053="","",SAISIE!$C1053)</f>
        <v/>
      </c>
      <c r="C1048" t="str">
        <f>IF(SAISIE!$F1053="","",SAISIE!$D1053)</f>
        <v/>
      </c>
      <c r="D1048" t="str">
        <f>IF(SAISIE!$E1053="","",SAISIE!$E1053)</f>
        <v/>
      </c>
      <c r="E1048" t="str">
        <f>IF(SAISIE!$F1053="","",SAISIE!$F1053)</f>
        <v/>
      </c>
      <c r="F1048" t="str">
        <f>IF(SAISIE!$G1053="","",SAISIE!$G1053)</f>
        <v/>
      </c>
      <c r="G1048" t="str">
        <f>IF(SAISIE!$H1053="","",SAISIE!$H1053)</f>
        <v/>
      </c>
      <c r="H1048" t="str">
        <f>IF(SAISIE!$I1053="","",SAISIE!$I1053)</f>
        <v/>
      </c>
      <c r="I1048" t="str">
        <f>IF(SAISIE!$J1053="","",SAISIE!$J1053)</f>
        <v/>
      </c>
      <c r="J1048" t="str">
        <f>IF(SAISIE!$K1053="","",SAISIE!$K1053)</f>
        <v/>
      </c>
      <c r="K1048" t="str">
        <f>IF(SAISIE!$L1053="","",SAISIE!$L1053)</f>
        <v/>
      </c>
      <c r="L1048" t="str">
        <f>IF(SAISIE!$M1053="","",SAISIE!$M1053)</f>
        <v/>
      </c>
      <c r="M1048" t="str">
        <f>IF(SAISIE!$N1053="","",SAISIE!$N1053)</f>
        <v/>
      </c>
      <c r="N1048" t="str">
        <f>IF(SAISIE!$O1053="","",SAISIE!$O1053)</f>
        <v/>
      </c>
      <c r="O1048" t="str">
        <f>IF(SAISIE!$P1053="","",SAISIE!$P1053)</f>
        <v/>
      </c>
      <c r="P1048" t="str">
        <f>IF(SAISIE!$Q1053="","",SAISIE!$Q1053)</f>
        <v/>
      </c>
      <c r="Q1048" t="str">
        <f>IF($I1048="","",IF($I1048&gt;PARAMETRES!$G$29,5,IF($I1048&gt;PARAMETRES!$F$29,4,IF($I1048&gt;PARAMETRES!$E$29,3,IF($I1048&gt;PARAMETRES!$D$29,2,1)))))</f>
        <v/>
      </c>
      <c r="R1048" t="str">
        <f>IF($J1048="","",IF($J1048&gt;PARAMETRES!$G$30,5,IF($J1048&gt;PARAMETRES!$F$30,4,IF($J1048&gt;PARAMETRES!$E$30,3,IF($J1048&gt;PARAMETRES!$D$30,2,1)))))</f>
        <v/>
      </c>
      <c r="S1048" t="str">
        <f>IF($K1048="","",IF($Z1048=2,IF($K1048&gt;PARAMETRES!$G$31,5,IF($K1048&gt;PARAMETRES!$F$31,4,IF($K1048&gt;PARAMETRES!$E$31,3,IF($K1048&gt;PARAMETRES!$D$31,2,1)))),IF($K1048&gt;PARAMETRES!$G$32,5,IF($K1048&gt;PARAMETRES!$F$32,4,IF($K1048&gt;PARAMETRES!$E$32,3,IF($K1048&gt;PARAMETRES!$D$32,2,1))))))</f>
        <v/>
      </c>
      <c r="T1048" t="str">
        <f>IF($L1048="","",IF($L1048&gt;PARAMETRES!$G$33,5,IF($L1048&gt;PARAMETRES!$F$33,4,IF($L1048&gt;PARAMETRES!$E$33,3,IF($L1048&gt;PARAMETRES!$D$33,2,1)))))</f>
        <v/>
      </c>
      <c r="U1048" t="str">
        <f>IF($M1048="","",IF($M1048&gt;PARAMETRES!$G$34,5,IF($M1048&gt;PARAMETRES!$F$34,4,IF($M1048&gt;PARAMETRES!$E$34,3,IF($M1048&gt;PARAMETRES!$D$34,2,1)))))</f>
        <v/>
      </c>
      <c r="V1048" t="str">
        <f>IF($N1048="","",IF($N1048&gt;PARAMETRES!$G$35,5,IF($N1048&gt;PARAMETRES!$F$35,4,IF($N1048&gt;PARAMETRES!$E$35,3,IF($N1048&gt;PARAMETRES!$D$35,2,1)))))</f>
        <v/>
      </c>
      <c r="W1048" t="str">
        <f>IF($O1048="","",IF($O1048&gt;PARAMETRES!$G$36,5,IF($O1048&gt;PARAMETRES!$F$36,4,IF($O1048&gt;PARAMETRES!$E$36,3,IF($O1048&gt;PARAMETRES!$D$36,2,1)))))</f>
        <v/>
      </c>
      <c r="X1048" t="str">
        <f>IF($P1048="","",IF($P1048&gt;PARAMETRES!$G$37,5,IF($P1048&gt;PARAMETRES!$F$37,4,IF($P1048&gt;PARAMETRES!$E$37,3,IF($P1048&gt;PARAMETRES!$D$37,2,1)))))</f>
        <v/>
      </c>
      <c r="Y1048" t="str">
        <f t="shared" si="384"/>
        <v/>
      </c>
      <c r="Z1048" t="str">
        <f>IFERROR(VLOOKUP($B1048,TABLE_CYCLE,2,0),"")</f>
        <v/>
      </c>
      <c r="AA1048" t="str">
        <f t="shared" si="385"/>
        <v/>
      </c>
      <c r="AB1048" t="str">
        <f>IF($D1048="","",IF(COUNTIF($D$2:$D1048,$D1048)=1,$D1048,""))</f>
        <v/>
      </c>
      <c r="AC1048">
        <f t="shared" si="386"/>
        <v>0</v>
      </c>
      <c r="AD1048" t="str">
        <f t="shared" si="387"/>
        <v>|0</v>
      </c>
      <c r="AE1048" t="str">
        <f t="shared" si="388"/>
        <v/>
      </c>
      <c r="AF1048" t="str">
        <f t="shared" si="389"/>
        <v/>
      </c>
      <c r="AG1048" t="str">
        <f t="shared" si="390"/>
        <v/>
      </c>
      <c r="AH1048" t="str">
        <f t="shared" si="391"/>
        <v/>
      </c>
      <c r="AI1048" t="str">
        <f t="shared" si="392"/>
        <v/>
      </c>
      <c r="AJ1048" t="str">
        <f t="shared" si="393"/>
        <v/>
      </c>
      <c r="AK1048" t="str">
        <f t="shared" si="394"/>
        <v/>
      </c>
      <c r="AL1048" t="str">
        <f t="shared" si="395"/>
        <v/>
      </c>
      <c r="AM1048" t="str">
        <f t="shared" si="396"/>
        <v/>
      </c>
      <c r="AN1048" t="str">
        <f t="shared" si="397"/>
        <v/>
      </c>
      <c r="AO1048" t="str">
        <f t="shared" si="398"/>
        <v/>
      </c>
      <c r="AP1048">
        <f t="shared" si="399"/>
        <v>1</v>
      </c>
      <c r="AQ1048" t="str">
        <f>IF(SAISIE!$F1053="","",SAISIE!$Y1053)</f>
        <v/>
      </c>
      <c r="AR1048" t="str">
        <f>IF(OR(SAISIE!$U$4="",SAISIE!$W$4=""),"",IF(AND($A1048=SAISIE!$U$4,$B1048=SAISIE!$W$4,$C1048="S1"),COUNTIFS($A$2:$A1048,SAISIE!$U$4,$B$2:$B1048,SAISIE!$W$4,$C$2:$C1048,"S1"),""))</f>
        <v/>
      </c>
      <c r="AS1048" t="str">
        <f t="shared" si="400"/>
        <v/>
      </c>
      <c r="AT1048" t="str">
        <f t="shared" si="401"/>
        <v/>
      </c>
      <c r="AU1048" t="str">
        <f t="shared" si="402"/>
        <v/>
      </c>
      <c r="AV1048">
        <f>N(AV1047)+IF(AND($AB1048&lt;&gt;"",OR('PROFIL ELEVE'!$K$4="(Tous)",$AF1048='PROFIL ELEVE'!$K$4)),1,0)</f>
        <v>0</v>
      </c>
      <c r="AW1048">
        <f>N(AW1047)+IF(AND($AB1048&lt;&gt;"",OR('SUIVI LONGITUDINAL'!$Q$4="(Tous)",$AF1048='SUIVI LONGITUDINAL'!$Q$4)),1,0)</f>
        <v>0</v>
      </c>
      <c r="AX1048">
        <f t="shared" si="403"/>
        <v>0</v>
      </c>
      <c r="AY1048">
        <f t="shared" si="404"/>
        <v>0</v>
      </c>
      <c r="AZ1048">
        <f t="shared" si="405"/>
        <v>0</v>
      </c>
      <c r="BA1048" t="str">
        <f t="shared" si="406"/>
        <v/>
      </c>
      <c r="BB1048" t="str">
        <f t="shared" si="407"/>
        <v/>
      </c>
    </row>
    <row r="1049" spans="1:54" ht="14.25" customHeight="1" x14ac:dyDescent="0.3">
      <c r="A1049" t="str">
        <f>IF(SAISIE!$F1054="","",SAISIE!$B1054)</f>
        <v/>
      </c>
      <c r="B1049" t="str">
        <f>IF(SAISIE!$F1054="","",SAISIE!$C1054)</f>
        <v/>
      </c>
      <c r="C1049" t="str">
        <f>IF(SAISIE!$F1054="","",SAISIE!$D1054)</f>
        <v/>
      </c>
      <c r="D1049" t="str">
        <f>IF(SAISIE!$E1054="","",SAISIE!$E1054)</f>
        <v/>
      </c>
      <c r="E1049" t="str">
        <f>IF(SAISIE!$F1054="","",SAISIE!$F1054)</f>
        <v/>
      </c>
      <c r="F1049" t="str">
        <f>IF(SAISIE!$G1054="","",SAISIE!$G1054)</f>
        <v/>
      </c>
      <c r="G1049" t="str">
        <f>IF(SAISIE!$H1054="","",SAISIE!$H1054)</f>
        <v/>
      </c>
      <c r="H1049" t="str">
        <f>IF(SAISIE!$I1054="","",SAISIE!$I1054)</f>
        <v/>
      </c>
      <c r="I1049" t="str">
        <f>IF(SAISIE!$J1054="","",SAISIE!$J1054)</f>
        <v/>
      </c>
      <c r="J1049" t="str">
        <f>IF(SAISIE!$K1054="","",SAISIE!$K1054)</f>
        <v/>
      </c>
      <c r="K1049" t="str">
        <f>IF(SAISIE!$L1054="","",SAISIE!$L1054)</f>
        <v/>
      </c>
      <c r="L1049" t="str">
        <f>IF(SAISIE!$M1054="","",SAISIE!$M1054)</f>
        <v/>
      </c>
      <c r="M1049" t="str">
        <f>IF(SAISIE!$N1054="","",SAISIE!$N1054)</f>
        <v/>
      </c>
      <c r="N1049" t="str">
        <f>IF(SAISIE!$O1054="","",SAISIE!$O1054)</f>
        <v/>
      </c>
      <c r="O1049" t="str">
        <f>IF(SAISIE!$P1054="","",SAISIE!$P1054)</f>
        <v/>
      </c>
      <c r="P1049" t="str">
        <f>IF(SAISIE!$Q1054="","",SAISIE!$Q1054)</f>
        <v/>
      </c>
      <c r="Q1049" t="str">
        <f>IF($I1049="","",IF($I1049&gt;PARAMETRES!$G$29,5,IF($I1049&gt;PARAMETRES!$F$29,4,IF($I1049&gt;PARAMETRES!$E$29,3,IF($I1049&gt;PARAMETRES!$D$29,2,1)))))</f>
        <v/>
      </c>
      <c r="R1049" t="str">
        <f>IF($J1049="","",IF($J1049&gt;PARAMETRES!$G$30,5,IF($J1049&gt;PARAMETRES!$F$30,4,IF($J1049&gt;PARAMETRES!$E$30,3,IF($J1049&gt;PARAMETRES!$D$30,2,1)))))</f>
        <v/>
      </c>
      <c r="S1049" t="str">
        <f>IF($K1049="","",IF($Z1049=2,IF($K1049&gt;PARAMETRES!$G$31,5,IF($K1049&gt;PARAMETRES!$F$31,4,IF($K1049&gt;PARAMETRES!$E$31,3,IF($K1049&gt;PARAMETRES!$D$31,2,1)))),IF($K1049&gt;PARAMETRES!$G$32,5,IF($K1049&gt;PARAMETRES!$F$32,4,IF($K1049&gt;PARAMETRES!$E$32,3,IF($K1049&gt;PARAMETRES!$D$32,2,1))))))</f>
        <v/>
      </c>
      <c r="T1049" t="str">
        <f>IF($L1049="","",IF($L1049&gt;PARAMETRES!$G$33,5,IF($L1049&gt;PARAMETRES!$F$33,4,IF($L1049&gt;PARAMETRES!$E$33,3,IF($L1049&gt;PARAMETRES!$D$33,2,1)))))</f>
        <v/>
      </c>
      <c r="U1049" t="str">
        <f>IF($M1049="","",IF($M1049&gt;PARAMETRES!$G$34,5,IF($M1049&gt;PARAMETRES!$F$34,4,IF($M1049&gt;PARAMETRES!$E$34,3,IF($M1049&gt;PARAMETRES!$D$34,2,1)))))</f>
        <v/>
      </c>
      <c r="V1049" t="str">
        <f>IF($N1049="","",IF($N1049&gt;PARAMETRES!$G$35,5,IF($N1049&gt;PARAMETRES!$F$35,4,IF($N1049&gt;PARAMETRES!$E$35,3,IF($N1049&gt;PARAMETRES!$D$35,2,1)))))</f>
        <v/>
      </c>
      <c r="W1049" t="str">
        <f>IF($O1049="","",IF($O1049&gt;PARAMETRES!$G$36,5,IF($O1049&gt;PARAMETRES!$F$36,4,IF($O1049&gt;PARAMETRES!$E$36,3,IF($O1049&gt;PARAMETRES!$D$36,2,1)))))</f>
        <v/>
      </c>
      <c r="X1049" t="str">
        <f>IF($P1049="","",IF($P1049&gt;PARAMETRES!$G$37,5,IF($P1049&gt;PARAMETRES!$F$37,4,IF($P1049&gt;PARAMETRES!$E$37,3,IF($P1049&gt;PARAMETRES!$D$37,2,1)))))</f>
        <v/>
      </c>
      <c r="Y1049" t="str">
        <f t="shared" si="384"/>
        <v/>
      </c>
      <c r="Z1049" t="str">
        <f>IFERROR(VLOOKUP($B1049,TABLE_CYCLE,2,0),"")</f>
        <v/>
      </c>
      <c r="AA1049" t="str">
        <f t="shared" si="385"/>
        <v/>
      </c>
      <c r="AB1049" t="str">
        <f>IF($D1049="","",IF(COUNTIF($D$2:$D1049,$D1049)=1,$D1049,""))</f>
        <v/>
      </c>
      <c r="AC1049">
        <f t="shared" si="386"/>
        <v>0</v>
      </c>
      <c r="AD1049" t="str">
        <f t="shared" si="387"/>
        <v>|0</v>
      </c>
      <c r="AE1049" t="str">
        <f t="shared" si="388"/>
        <v/>
      </c>
      <c r="AF1049" t="str">
        <f t="shared" si="389"/>
        <v/>
      </c>
      <c r="AG1049" t="str">
        <f t="shared" si="390"/>
        <v/>
      </c>
      <c r="AH1049" t="str">
        <f t="shared" si="391"/>
        <v/>
      </c>
      <c r="AI1049" t="str">
        <f t="shared" si="392"/>
        <v/>
      </c>
      <c r="AJ1049" t="str">
        <f t="shared" si="393"/>
        <v/>
      </c>
      <c r="AK1049" t="str">
        <f t="shared" si="394"/>
        <v/>
      </c>
      <c r="AL1049" t="str">
        <f t="shared" si="395"/>
        <v/>
      </c>
      <c r="AM1049" t="str">
        <f t="shared" si="396"/>
        <v/>
      </c>
      <c r="AN1049" t="str">
        <f t="shared" si="397"/>
        <v/>
      </c>
      <c r="AO1049" t="str">
        <f t="shared" si="398"/>
        <v/>
      </c>
      <c r="AP1049">
        <f t="shared" si="399"/>
        <v>1</v>
      </c>
      <c r="AQ1049" t="str">
        <f>IF(SAISIE!$F1054="","",SAISIE!$Y1054)</f>
        <v/>
      </c>
      <c r="AR1049" t="str">
        <f>IF(OR(SAISIE!$U$4="",SAISIE!$W$4=""),"",IF(AND($A1049=SAISIE!$U$4,$B1049=SAISIE!$W$4,$C1049="S1"),COUNTIFS($A$2:$A1049,SAISIE!$U$4,$B$2:$B1049,SAISIE!$W$4,$C$2:$C1049,"S1"),""))</f>
        <v/>
      </c>
      <c r="AS1049" t="str">
        <f t="shared" si="400"/>
        <v/>
      </c>
      <c r="AT1049" t="str">
        <f t="shared" si="401"/>
        <v/>
      </c>
      <c r="AU1049" t="str">
        <f t="shared" si="402"/>
        <v/>
      </c>
      <c r="AV1049">
        <f>N(AV1048)+IF(AND($AB1049&lt;&gt;"",OR('PROFIL ELEVE'!$K$4="(Tous)",$AF1049='PROFIL ELEVE'!$K$4)),1,0)</f>
        <v>0</v>
      </c>
      <c r="AW1049">
        <f>N(AW1048)+IF(AND($AB1049&lt;&gt;"",OR('SUIVI LONGITUDINAL'!$Q$4="(Tous)",$AF1049='SUIVI LONGITUDINAL'!$Q$4)),1,0)</f>
        <v>0</v>
      </c>
      <c r="AX1049">
        <f t="shared" si="403"/>
        <v>0</v>
      </c>
      <c r="AY1049">
        <f t="shared" si="404"/>
        <v>0</v>
      </c>
      <c r="AZ1049">
        <f t="shared" si="405"/>
        <v>0</v>
      </c>
      <c r="BA1049" t="str">
        <f t="shared" si="406"/>
        <v/>
      </c>
      <c r="BB1049" t="str">
        <f t="shared" si="407"/>
        <v/>
      </c>
    </row>
    <row r="1050" spans="1:54" ht="14.25" customHeight="1" x14ac:dyDescent="0.3">
      <c r="A1050" t="str">
        <f>IF(SAISIE!$F1055="","",SAISIE!$B1055)</f>
        <v/>
      </c>
      <c r="B1050" t="str">
        <f>IF(SAISIE!$F1055="","",SAISIE!$C1055)</f>
        <v/>
      </c>
      <c r="C1050" t="str">
        <f>IF(SAISIE!$F1055="","",SAISIE!$D1055)</f>
        <v/>
      </c>
      <c r="D1050" t="str">
        <f>IF(SAISIE!$E1055="","",SAISIE!$E1055)</f>
        <v/>
      </c>
      <c r="E1050" t="str">
        <f>IF(SAISIE!$F1055="","",SAISIE!$F1055)</f>
        <v/>
      </c>
      <c r="F1050" t="str">
        <f>IF(SAISIE!$G1055="","",SAISIE!$G1055)</f>
        <v/>
      </c>
      <c r="G1050" t="str">
        <f>IF(SAISIE!$H1055="","",SAISIE!$H1055)</f>
        <v/>
      </c>
      <c r="H1050" t="str">
        <f>IF(SAISIE!$I1055="","",SAISIE!$I1055)</f>
        <v/>
      </c>
      <c r="I1050" t="str">
        <f>IF(SAISIE!$J1055="","",SAISIE!$J1055)</f>
        <v/>
      </c>
      <c r="J1050" t="str">
        <f>IF(SAISIE!$K1055="","",SAISIE!$K1055)</f>
        <v/>
      </c>
      <c r="K1050" t="str">
        <f>IF(SAISIE!$L1055="","",SAISIE!$L1055)</f>
        <v/>
      </c>
      <c r="L1050" t="str">
        <f>IF(SAISIE!$M1055="","",SAISIE!$M1055)</f>
        <v/>
      </c>
      <c r="M1050" t="str">
        <f>IF(SAISIE!$N1055="","",SAISIE!$N1055)</f>
        <v/>
      </c>
      <c r="N1050" t="str">
        <f>IF(SAISIE!$O1055="","",SAISIE!$O1055)</f>
        <v/>
      </c>
      <c r="O1050" t="str">
        <f>IF(SAISIE!$P1055="","",SAISIE!$P1055)</f>
        <v/>
      </c>
      <c r="P1050" t="str">
        <f>IF(SAISIE!$Q1055="","",SAISIE!$Q1055)</f>
        <v/>
      </c>
      <c r="Q1050" t="str">
        <f>IF($I1050="","",IF($I1050&gt;PARAMETRES!$G$29,5,IF($I1050&gt;PARAMETRES!$F$29,4,IF($I1050&gt;PARAMETRES!$E$29,3,IF($I1050&gt;PARAMETRES!$D$29,2,1)))))</f>
        <v/>
      </c>
      <c r="R1050" t="str">
        <f>IF($J1050="","",IF($J1050&gt;PARAMETRES!$G$30,5,IF($J1050&gt;PARAMETRES!$F$30,4,IF($J1050&gt;PARAMETRES!$E$30,3,IF($J1050&gt;PARAMETRES!$D$30,2,1)))))</f>
        <v/>
      </c>
      <c r="S1050" t="str">
        <f>IF($K1050="","",IF($Z1050=2,IF($K1050&gt;PARAMETRES!$G$31,5,IF($K1050&gt;PARAMETRES!$F$31,4,IF($K1050&gt;PARAMETRES!$E$31,3,IF($K1050&gt;PARAMETRES!$D$31,2,1)))),IF($K1050&gt;PARAMETRES!$G$32,5,IF($K1050&gt;PARAMETRES!$F$32,4,IF($K1050&gt;PARAMETRES!$E$32,3,IF($K1050&gt;PARAMETRES!$D$32,2,1))))))</f>
        <v/>
      </c>
      <c r="T1050" t="str">
        <f>IF($L1050="","",IF($L1050&gt;PARAMETRES!$G$33,5,IF($L1050&gt;PARAMETRES!$F$33,4,IF($L1050&gt;PARAMETRES!$E$33,3,IF($L1050&gt;PARAMETRES!$D$33,2,1)))))</f>
        <v/>
      </c>
      <c r="U1050" t="str">
        <f>IF($M1050="","",IF($M1050&gt;PARAMETRES!$G$34,5,IF($M1050&gt;PARAMETRES!$F$34,4,IF($M1050&gt;PARAMETRES!$E$34,3,IF($M1050&gt;PARAMETRES!$D$34,2,1)))))</f>
        <v/>
      </c>
      <c r="V1050" t="str">
        <f>IF($N1050="","",IF($N1050&gt;PARAMETRES!$G$35,5,IF($N1050&gt;PARAMETRES!$F$35,4,IF($N1050&gt;PARAMETRES!$E$35,3,IF($N1050&gt;PARAMETRES!$D$35,2,1)))))</f>
        <v/>
      </c>
      <c r="W1050" t="str">
        <f>IF($O1050="","",IF($O1050&gt;PARAMETRES!$G$36,5,IF($O1050&gt;PARAMETRES!$F$36,4,IF($O1050&gt;PARAMETRES!$E$36,3,IF($O1050&gt;PARAMETRES!$D$36,2,1)))))</f>
        <v/>
      </c>
      <c r="X1050" t="str">
        <f>IF($P1050="","",IF($P1050&gt;PARAMETRES!$G$37,5,IF($P1050&gt;PARAMETRES!$F$37,4,IF($P1050&gt;PARAMETRES!$E$37,3,IF($P1050&gt;PARAMETRES!$D$37,2,1)))))</f>
        <v/>
      </c>
      <c r="Y1050" t="str">
        <f t="shared" si="384"/>
        <v/>
      </c>
      <c r="Z1050" t="str">
        <f>IFERROR(VLOOKUP($B1050,TABLE_CYCLE,2,0),"")</f>
        <v/>
      </c>
      <c r="AA1050" t="str">
        <f t="shared" si="385"/>
        <v/>
      </c>
      <c r="AB1050" t="str">
        <f>IF($D1050="","",IF(COUNTIF($D$2:$D1050,$D1050)=1,$D1050,""))</f>
        <v/>
      </c>
      <c r="AC1050">
        <f t="shared" si="386"/>
        <v>0</v>
      </c>
      <c r="AD1050" t="str">
        <f t="shared" si="387"/>
        <v>|0</v>
      </c>
      <c r="AE1050" t="str">
        <f t="shared" si="388"/>
        <v/>
      </c>
      <c r="AF1050" t="str">
        <f t="shared" si="389"/>
        <v/>
      </c>
      <c r="AG1050" t="str">
        <f t="shared" si="390"/>
        <v/>
      </c>
      <c r="AH1050" t="str">
        <f t="shared" si="391"/>
        <v/>
      </c>
      <c r="AI1050" t="str">
        <f t="shared" si="392"/>
        <v/>
      </c>
      <c r="AJ1050" t="str">
        <f t="shared" si="393"/>
        <v/>
      </c>
      <c r="AK1050" t="str">
        <f t="shared" si="394"/>
        <v/>
      </c>
      <c r="AL1050" t="str">
        <f t="shared" si="395"/>
        <v/>
      </c>
      <c r="AM1050" t="str">
        <f t="shared" si="396"/>
        <v/>
      </c>
      <c r="AN1050" t="str">
        <f t="shared" si="397"/>
        <v/>
      </c>
      <c r="AO1050" t="str">
        <f t="shared" si="398"/>
        <v/>
      </c>
      <c r="AP1050">
        <f t="shared" si="399"/>
        <v>1</v>
      </c>
      <c r="AQ1050" t="str">
        <f>IF(SAISIE!$F1055="","",SAISIE!$Y1055)</f>
        <v/>
      </c>
      <c r="AR1050" t="str">
        <f>IF(OR(SAISIE!$U$4="",SAISIE!$W$4=""),"",IF(AND($A1050=SAISIE!$U$4,$B1050=SAISIE!$W$4,$C1050="S1"),COUNTIFS($A$2:$A1050,SAISIE!$U$4,$B$2:$B1050,SAISIE!$W$4,$C$2:$C1050,"S1"),""))</f>
        <v/>
      </c>
      <c r="AS1050" t="str">
        <f t="shared" si="400"/>
        <v/>
      </c>
      <c r="AT1050" t="str">
        <f t="shared" si="401"/>
        <v/>
      </c>
      <c r="AU1050" t="str">
        <f t="shared" si="402"/>
        <v/>
      </c>
      <c r="AV1050">
        <f>N(AV1049)+IF(AND($AB1050&lt;&gt;"",OR('PROFIL ELEVE'!$K$4="(Tous)",$AF1050='PROFIL ELEVE'!$K$4)),1,0)</f>
        <v>0</v>
      </c>
      <c r="AW1050">
        <f>N(AW1049)+IF(AND($AB1050&lt;&gt;"",OR('SUIVI LONGITUDINAL'!$Q$4="(Tous)",$AF1050='SUIVI LONGITUDINAL'!$Q$4)),1,0)</f>
        <v>0</v>
      </c>
      <c r="AX1050">
        <f t="shared" si="403"/>
        <v>0</v>
      </c>
      <c r="AY1050">
        <f t="shared" si="404"/>
        <v>0</v>
      </c>
      <c r="AZ1050">
        <f t="shared" si="405"/>
        <v>0</v>
      </c>
      <c r="BA1050" t="str">
        <f t="shared" si="406"/>
        <v/>
      </c>
      <c r="BB1050" t="str">
        <f t="shared" si="407"/>
        <v/>
      </c>
    </row>
    <row r="1051" spans="1:54" ht="14.25" customHeight="1" x14ac:dyDescent="0.3">
      <c r="A1051" t="str">
        <f>IF(SAISIE!$F1056="","",SAISIE!$B1056)</f>
        <v/>
      </c>
      <c r="B1051" t="str">
        <f>IF(SAISIE!$F1056="","",SAISIE!$C1056)</f>
        <v/>
      </c>
      <c r="C1051" t="str">
        <f>IF(SAISIE!$F1056="","",SAISIE!$D1056)</f>
        <v/>
      </c>
      <c r="D1051" t="str">
        <f>IF(SAISIE!$E1056="","",SAISIE!$E1056)</f>
        <v/>
      </c>
      <c r="E1051" t="str">
        <f>IF(SAISIE!$F1056="","",SAISIE!$F1056)</f>
        <v/>
      </c>
      <c r="F1051" t="str">
        <f>IF(SAISIE!$G1056="","",SAISIE!$G1056)</f>
        <v/>
      </c>
      <c r="G1051" t="str">
        <f>IF(SAISIE!$H1056="","",SAISIE!$H1056)</f>
        <v/>
      </c>
      <c r="H1051" t="str">
        <f>IF(SAISIE!$I1056="","",SAISIE!$I1056)</f>
        <v/>
      </c>
      <c r="I1051" t="str">
        <f>IF(SAISIE!$J1056="","",SAISIE!$J1056)</f>
        <v/>
      </c>
      <c r="J1051" t="str">
        <f>IF(SAISIE!$K1056="","",SAISIE!$K1056)</f>
        <v/>
      </c>
      <c r="K1051" t="str">
        <f>IF(SAISIE!$L1056="","",SAISIE!$L1056)</f>
        <v/>
      </c>
      <c r="L1051" t="str">
        <f>IF(SAISIE!$M1056="","",SAISIE!$M1056)</f>
        <v/>
      </c>
      <c r="M1051" t="str">
        <f>IF(SAISIE!$N1056="","",SAISIE!$N1056)</f>
        <v/>
      </c>
      <c r="N1051" t="str">
        <f>IF(SAISIE!$O1056="","",SAISIE!$O1056)</f>
        <v/>
      </c>
      <c r="O1051" t="str">
        <f>IF(SAISIE!$P1056="","",SAISIE!$P1056)</f>
        <v/>
      </c>
      <c r="P1051" t="str">
        <f>IF(SAISIE!$Q1056="","",SAISIE!$Q1056)</f>
        <v/>
      </c>
      <c r="Q1051" t="str">
        <f>IF($I1051="","",IF($I1051&gt;PARAMETRES!$G$29,5,IF($I1051&gt;PARAMETRES!$F$29,4,IF($I1051&gt;PARAMETRES!$E$29,3,IF($I1051&gt;PARAMETRES!$D$29,2,1)))))</f>
        <v/>
      </c>
      <c r="R1051" t="str">
        <f>IF($J1051="","",IF($J1051&gt;PARAMETRES!$G$30,5,IF($J1051&gt;PARAMETRES!$F$30,4,IF($J1051&gt;PARAMETRES!$E$30,3,IF($J1051&gt;PARAMETRES!$D$30,2,1)))))</f>
        <v/>
      </c>
      <c r="S1051" t="str">
        <f>IF($K1051="","",IF($Z1051=2,IF($K1051&gt;PARAMETRES!$G$31,5,IF($K1051&gt;PARAMETRES!$F$31,4,IF($K1051&gt;PARAMETRES!$E$31,3,IF($K1051&gt;PARAMETRES!$D$31,2,1)))),IF($K1051&gt;PARAMETRES!$G$32,5,IF($K1051&gt;PARAMETRES!$F$32,4,IF($K1051&gt;PARAMETRES!$E$32,3,IF($K1051&gt;PARAMETRES!$D$32,2,1))))))</f>
        <v/>
      </c>
      <c r="T1051" t="str">
        <f>IF($L1051="","",IF($L1051&gt;PARAMETRES!$G$33,5,IF($L1051&gt;PARAMETRES!$F$33,4,IF($L1051&gt;PARAMETRES!$E$33,3,IF($L1051&gt;PARAMETRES!$D$33,2,1)))))</f>
        <v/>
      </c>
      <c r="U1051" t="str">
        <f>IF($M1051="","",IF($M1051&gt;PARAMETRES!$G$34,5,IF($M1051&gt;PARAMETRES!$F$34,4,IF($M1051&gt;PARAMETRES!$E$34,3,IF($M1051&gt;PARAMETRES!$D$34,2,1)))))</f>
        <v/>
      </c>
      <c r="V1051" t="str">
        <f>IF($N1051="","",IF($N1051&gt;PARAMETRES!$G$35,5,IF($N1051&gt;PARAMETRES!$F$35,4,IF($N1051&gt;PARAMETRES!$E$35,3,IF($N1051&gt;PARAMETRES!$D$35,2,1)))))</f>
        <v/>
      </c>
      <c r="W1051" t="str">
        <f>IF($O1051="","",IF($O1051&gt;PARAMETRES!$G$36,5,IF($O1051&gt;PARAMETRES!$F$36,4,IF($O1051&gt;PARAMETRES!$E$36,3,IF($O1051&gt;PARAMETRES!$D$36,2,1)))))</f>
        <v/>
      </c>
      <c r="X1051" t="str">
        <f>IF($P1051="","",IF($P1051&gt;PARAMETRES!$G$37,5,IF($P1051&gt;PARAMETRES!$F$37,4,IF($P1051&gt;PARAMETRES!$E$37,3,IF($P1051&gt;PARAMETRES!$D$37,2,1)))))</f>
        <v/>
      </c>
      <c r="Y1051" t="str">
        <f t="shared" si="384"/>
        <v/>
      </c>
      <c r="Z1051" t="str">
        <f>IFERROR(VLOOKUP($B1051,TABLE_CYCLE,2,0),"")</f>
        <v/>
      </c>
      <c r="AA1051" t="str">
        <f t="shared" si="385"/>
        <v/>
      </c>
      <c r="AB1051" t="str">
        <f>IF($D1051="","",IF(COUNTIF($D$2:$D1051,$D1051)=1,$D1051,""))</f>
        <v/>
      </c>
      <c r="AC1051">
        <f t="shared" si="386"/>
        <v>0</v>
      </c>
      <c r="AD1051" t="str">
        <f t="shared" si="387"/>
        <v>|0</v>
      </c>
      <c r="AE1051" t="str">
        <f t="shared" si="388"/>
        <v/>
      </c>
      <c r="AF1051" t="str">
        <f t="shared" si="389"/>
        <v/>
      </c>
      <c r="AG1051" t="str">
        <f t="shared" si="390"/>
        <v/>
      </c>
      <c r="AH1051" t="str">
        <f t="shared" si="391"/>
        <v/>
      </c>
      <c r="AI1051" t="str">
        <f t="shared" si="392"/>
        <v/>
      </c>
      <c r="AJ1051" t="str">
        <f t="shared" si="393"/>
        <v/>
      </c>
      <c r="AK1051" t="str">
        <f t="shared" si="394"/>
        <v/>
      </c>
      <c r="AL1051" t="str">
        <f t="shared" si="395"/>
        <v/>
      </c>
      <c r="AM1051" t="str">
        <f t="shared" si="396"/>
        <v/>
      </c>
      <c r="AN1051" t="str">
        <f t="shared" si="397"/>
        <v/>
      </c>
      <c r="AO1051" t="str">
        <f t="shared" si="398"/>
        <v/>
      </c>
      <c r="AP1051">
        <f t="shared" si="399"/>
        <v>1</v>
      </c>
      <c r="AQ1051" t="str">
        <f>IF(SAISIE!$F1056="","",SAISIE!$Y1056)</f>
        <v/>
      </c>
      <c r="AR1051" t="str">
        <f>IF(OR(SAISIE!$U$4="",SAISIE!$W$4=""),"",IF(AND($A1051=SAISIE!$U$4,$B1051=SAISIE!$W$4,$C1051="S1"),COUNTIFS($A$2:$A1051,SAISIE!$U$4,$B$2:$B1051,SAISIE!$W$4,$C$2:$C1051,"S1"),""))</f>
        <v/>
      </c>
      <c r="AS1051" t="str">
        <f t="shared" si="400"/>
        <v/>
      </c>
      <c r="AT1051" t="str">
        <f t="shared" si="401"/>
        <v/>
      </c>
      <c r="AU1051" t="str">
        <f t="shared" si="402"/>
        <v/>
      </c>
      <c r="AV1051">
        <f>N(AV1050)+IF(AND($AB1051&lt;&gt;"",OR('PROFIL ELEVE'!$K$4="(Tous)",$AF1051='PROFIL ELEVE'!$K$4)),1,0)</f>
        <v>0</v>
      </c>
      <c r="AW1051">
        <f>N(AW1050)+IF(AND($AB1051&lt;&gt;"",OR('SUIVI LONGITUDINAL'!$Q$4="(Tous)",$AF1051='SUIVI LONGITUDINAL'!$Q$4)),1,0)</f>
        <v>0</v>
      </c>
      <c r="AX1051">
        <f t="shared" si="403"/>
        <v>0</v>
      </c>
      <c r="AY1051">
        <f t="shared" si="404"/>
        <v>0</v>
      </c>
      <c r="AZ1051">
        <f t="shared" si="405"/>
        <v>0</v>
      </c>
      <c r="BA1051" t="str">
        <f t="shared" si="406"/>
        <v/>
      </c>
      <c r="BB1051" t="str">
        <f t="shared" si="407"/>
        <v/>
      </c>
    </row>
    <row r="1052" spans="1:54" ht="14.25" customHeight="1" x14ac:dyDescent="0.3">
      <c r="A1052" t="str">
        <f>IF(SAISIE!$F1057="","",SAISIE!$B1057)</f>
        <v/>
      </c>
      <c r="B1052" t="str">
        <f>IF(SAISIE!$F1057="","",SAISIE!$C1057)</f>
        <v/>
      </c>
      <c r="C1052" t="str">
        <f>IF(SAISIE!$F1057="","",SAISIE!$D1057)</f>
        <v/>
      </c>
      <c r="D1052" t="str">
        <f>IF(SAISIE!$E1057="","",SAISIE!$E1057)</f>
        <v/>
      </c>
      <c r="E1052" t="str">
        <f>IF(SAISIE!$F1057="","",SAISIE!$F1057)</f>
        <v/>
      </c>
      <c r="F1052" t="str">
        <f>IF(SAISIE!$G1057="","",SAISIE!$G1057)</f>
        <v/>
      </c>
      <c r="G1052" t="str">
        <f>IF(SAISIE!$H1057="","",SAISIE!$H1057)</f>
        <v/>
      </c>
      <c r="H1052" t="str">
        <f>IF(SAISIE!$I1057="","",SAISIE!$I1057)</f>
        <v/>
      </c>
      <c r="I1052" t="str">
        <f>IF(SAISIE!$J1057="","",SAISIE!$J1057)</f>
        <v/>
      </c>
      <c r="J1052" t="str">
        <f>IF(SAISIE!$K1057="","",SAISIE!$K1057)</f>
        <v/>
      </c>
      <c r="K1052" t="str">
        <f>IF(SAISIE!$L1057="","",SAISIE!$L1057)</f>
        <v/>
      </c>
      <c r="L1052" t="str">
        <f>IF(SAISIE!$M1057="","",SAISIE!$M1057)</f>
        <v/>
      </c>
      <c r="M1052" t="str">
        <f>IF(SAISIE!$N1057="","",SAISIE!$N1057)</f>
        <v/>
      </c>
      <c r="N1052" t="str">
        <f>IF(SAISIE!$O1057="","",SAISIE!$O1057)</f>
        <v/>
      </c>
      <c r="O1052" t="str">
        <f>IF(SAISIE!$P1057="","",SAISIE!$P1057)</f>
        <v/>
      </c>
      <c r="P1052" t="str">
        <f>IF(SAISIE!$Q1057="","",SAISIE!$Q1057)</f>
        <v/>
      </c>
      <c r="Q1052" t="str">
        <f>IF($I1052="","",IF($I1052&gt;PARAMETRES!$G$29,5,IF($I1052&gt;PARAMETRES!$F$29,4,IF($I1052&gt;PARAMETRES!$E$29,3,IF($I1052&gt;PARAMETRES!$D$29,2,1)))))</f>
        <v/>
      </c>
      <c r="R1052" t="str">
        <f>IF($J1052="","",IF($J1052&gt;PARAMETRES!$G$30,5,IF($J1052&gt;PARAMETRES!$F$30,4,IF($J1052&gt;PARAMETRES!$E$30,3,IF($J1052&gt;PARAMETRES!$D$30,2,1)))))</f>
        <v/>
      </c>
      <c r="S1052" t="str">
        <f>IF($K1052="","",IF($Z1052=2,IF($K1052&gt;PARAMETRES!$G$31,5,IF($K1052&gt;PARAMETRES!$F$31,4,IF($K1052&gt;PARAMETRES!$E$31,3,IF($K1052&gt;PARAMETRES!$D$31,2,1)))),IF($K1052&gt;PARAMETRES!$G$32,5,IF($K1052&gt;PARAMETRES!$F$32,4,IF($K1052&gt;PARAMETRES!$E$32,3,IF($K1052&gt;PARAMETRES!$D$32,2,1))))))</f>
        <v/>
      </c>
      <c r="T1052" t="str">
        <f>IF($L1052="","",IF($L1052&gt;PARAMETRES!$G$33,5,IF($L1052&gt;PARAMETRES!$F$33,4,IF($L1052&gt;PARAMETRES!$E$33,3,IF($L1052&gt;PARAMETRES!$D$33,2,1)))))</f>
        <v/>
      </c>
      <c r="U1052" t="str">
        <f>IF($M1052="","",IF($M1052&gt;PARAMETRES!$G$34,5,IF($M1052&gt;PARAMETRES!$F$34,4,IF($M1052&gt;PARAMETRES!$E$34,3,IF($M1052&gt;PARAMETRES!$D$34,2,1)))))</f>
        <v/>
      </c>
      <c r="V1052" t="str">
        <f>IF($N1052="","",IF($N1052&gt;PARAMETRES!$G$35,5,IF($N1052&gt;PARAMETRES!$F$35,4,IF($N1052&gt;PARAMETRES!$E$35,3,IF($N1052&gt;PARAMETRES!$D$35,2,1)))))</f>
        <v/>
      </c>
      <c r="W1052" t="str">
        <f>IF($O1052="","",IF($O1052&gt;PARAMETRES!$G$36,5,IF($O1052&gt;PARAMETRES!$F$36,4,IF($O1052&gt;PARAMETRES!$E$36,3,IF($O1052&gt;PARAMETRES!$D$36,2,1)))))</f>
        <v/>
      </c>
      <c r="X1052" t="str">
        <f>IF($P1052="","",IF($P1052&gt;PARAMETRES!$G$37,5,IF($P1052&gt;PARAMETRES!$F$37,4,IF($P1052&gt;PARAMETRES!$E$37,3,IF($P1052&gt;PARAMETRES!$D$37,2,1)))))</f>
        <v/>
      </c>
      <c r="Y1052" t="str">
        <f t="shared" si="384"/>
        <v/>
      </c>
      <c r="Z1052" t="str">
        <f>IFERROR(VLOOKUP($B1052,TABLE_CYCLE,2,0),"")</f>
        <v/>
      </c>
      <c r="AA1052" t="str">
        <f t="shared" si="385"/>
        <v/>
      </c>
      <c r="AB1052" t="str">
        <f>IF($D1052="","",IF(COUNTIF($D$2:$D1052,$D1052)=1,$D1052,""))</f>
        <v/>
      </c>
      <c r="AC1052">
        <f t="shared" si="386"/>
        <v>0</v>
      </c>
      <c r="AD1052" t="str">
        <f t="shared" si="387"/>
        <v>|0</v>
      </c>
      <c r="AE1052" t="str">
        <f t="shared" si="388"/>
        <v/>
      </c>
      <c r="AF1052" t="str">
        <f t="shared" si="389"/>
        <v/>
      </c>
      <c r="AG1052" t="str">
        <f t="shared" si="390"/>
        <v/>
      </c>
      <c r="AH1052" t="str">
        <f t="shared" si="391"/>
        <v/>
      </c>
      <c r="AI1052" t="str">
        <f t="shared" si="392"/>
        <v/>
      </c>
      <c r="AJ1052" t="str">
        <f t="shared" si="393"/>
        <v/>
      </c>
      <c r="AK1052" t="str">
        <f t="shared" si="394"/>
        <v/>
      </c>
      <c r="AL1052" t="str">
        <f t="shared" si="395"/>
        <v/>
      </c>
      <c r="AM1052" t="str">
        <f t="shared" si="396"/>
        <v/>
      </c>
      <c r="AN1052" t="str">
        <f t="shared" si="397"/>
        <v/>
      </c>
      <c r="AO1052" t="str">
        <f t="shared" si="398"/>
        <v/>
      </c>
      <c r="AP1052">
        <f t="shared" si="399"/>
        <v>1</v>
      </c>
      <c r="AQ1052" t="str">
        <f>IF(SAISIE!$F1057="","",SAISIE!$Y1057)</f>
        <v/>
      </c>
      <c r="AR1052" t="str">
        <f>IF(OR(SAISIE!$U$4="",SAISIE!$W$4=""),"",IF(AND($A1052=SAISIE!$U$4,$B1052=SAISIE!$W$4,$C1052="S1"),COUNTIFS($A$2:$A1052,SAISIE!$U$4,$B$2:$B1052,SAISIE!$W$4,$C$2:$C1052,"S1"),""))</f>
        <v/>
      </c>
      <c r="AS1052" t="str">
        <f t="shared" si="400"/>
        <v/>
      </c>
      <c r="AT1052" t="str">
        <f t="shared" si="401"/>
        <v/>
      </c>
      <c r="AU1052" t="str">
        <f t="shared" si="402"/>
        <v/>
      </c>
      <c r="AV1052">
        <f>N(AV1051)+IF(AND($AB1052&lt;&gt;"",OR('PROFIL ELEVE'!$K$4="(Tous)",$AF1052='PROFIL ELEVE'!$K$4)),1,0)</f>
        <v>0</v>
      </c>
      <c r="AW1052">
        <f>N(AW1051)+IF(AND($AB1052&lt;&gt;"",OR('SUIVI LONGITUDINAL'!$Q$4="(Tous)",$AF1052='SUIVI LONGITUDINAL'!$Q$4)),1,0)</f>
        <v>0</v>
      </c>
      <c r="AX1052">
        <f t="shared" si="403"/>
        <v>0</v>
      </c>
      <c r="AY1052">
        <f t="shared" si="404"/>
        <v>0</v>
      </c>
      <c r="AZ1052">
        <f t="shared" si="405"/>
        <v>0</v>
      </c>
      <c r="BA1052" t="str">
        <f t="shared" si="406"/>
        <v/>
      </c>
      <c r="BB1052" t="str">
        <f t="shared" si="407"/>
        <v/>
      </c>
    </row>
    <row r="1053" spans="1:54" ht="14.25" customHeight="1" x14ac:dyDescent="0.3">
      <c r="A1053" t="str">
        <f>IF(SAISIE!$F1058="","",SAISIE!$B1058)</f>
        <v/>
      </c>
      <c r="B1053" t="str">
        <f>IF(SAISIE!$F1058="","",SAISIE!$C1058)</f>
        <v/>
      </c>
      <c r="C1053" t="str">
        <f>IF(SAISIE!$F1058="","",SAISIE!$D1058)</f>
        <v/>
      </c>
      <c r="D1053" t="str">
        <f>IF(SAISIE!$E1058="","",SAISIE!$E1058)</f>
        <v/>
      </c>
      <c r="E1053" t="str">
        <f>IF(SAISIE!$F1058="","",SAISIE!$F1058)</f>
        <v/>
      </c>
      <c r="F1053" t="str">
        <f>IF(SAISIE!$G1058="","",SAISIE!$G1058)</f>
        <v/>
      </c>
      <c r="G1053" t="str">
        <f>IF(SAISIE!$H1058="","",SAISIE!$H1058)</f>
        <v/>
      </c>
      <c r="H1053" t="str">
        <f>IF(SAISIE!$I1058="","",SAISIE!$I1058)</f>
        <v/>
      </c>
      <c r="I1053" t="str">
        <f>IF(SAISIE!$J1058="","",SAISIE!$J1058)</f>
        <v/>
      </c>
      <c r="J1053" t="str">
        <f>IF(SAISIE!$K1058="","",SAISIE!$K1058)</f>
        <v/>
      </c>
      <c r="K1053" t="str">
        <f>IF(SAISIE!$L1058="","",SAISIE!$L1058)</f>
        <v/>
      </c>
      <c r="L1053" t="str">
        <f>IF(SAISIE!$M1058="","",SAISIE!$M1058)</f>
        <v/>
      </c>
      <c r="M1053" t="str">
        <f>IF(SAISIE!$N1058="","",SAISIE!$N1058)</f>
        <v/>
      </c>
      <c r="N1053" t="str">
        <f>IF(SAISIE!$O1058="","",SAISIE!$O1058)</f>
        <v/>
      </c>
      <c r="O1053" t="str">
        <f>IF(SAISIE!$P1058="","",SAISIE!$P1058)</f>
        <v/>
      </c>
      <c r="P1053" t="str">
        <f>IF(SAISIE!$Q1058="","",SAISIE!$Q1058)</f>
        <v/>
      </c>
      <c r="Q1053" t="str">
        <f>IF($I1053="","",IF($I1053&gt;PARAMETRES!$G$29,5,IF($I1053&gt;PARAMETRES!$F$29,4,IF($I1053&gt;PARAMETRES!$E$29,3,IF($I1053&gt;PARAMETRES!$D$29,2,1)))))</f>
        <v/>
      </c>
      <c r="R1053" t="str">
        <f>IF($J1053="","",IF($J1053&gt;PARAMETRES!$G$30,5,IF($J1053&gt;PARAMETRES!$F$30,4,IF($J1053&gt;PARAMETRES!$E$30,3,IF($J1053&gt;PARAMETRES!$D$30,2,1)))))</f>
        <v/>
      </c>
      <c r="S1053" t="str">
        <f>IF($K1053="","",IF($Z1053=2,IF($K1053&gt;PARAMETRES!$G$31,5,IF($K1053&gt;PARAMETRES!$F$31,4,IF($K1053&gt;PARAMETRES!$E$31,3,IF($K1053&gt;PARAMETRES!$D$31,2,1)))),IF($K1053&gt;PARAMETRES!$G$32,5,IF($K1053&gt;PARAMETRES!$F$32,4,IF($K1053&gt;PARAMETRES!$E$32,3,IF($K1053&gt;PARAMETRES!$D$32,2,1))))))</f>
        <v/>
      </c>
      <c r="T1053" t="str">
        <f>IF($L1053="","",IF($L1053&gt;PARAMETRES!$G$33,5,IF($L1053&gt;PARAMETRES!$F$33,4,IF($L1053&gt;PARAMETRES!$E$33,3,IF($L1053&gt;PARAMETRES!$D$33,2,1)))))</f>
        <v/>
      </c>
      <c r="U1053" t="str">
        <f>IF($M1053="","",IF($M1053&gt;PARAMETRES!$G$34,5,IF($M1053&gt;PARAMETRES!$F$34,4,IF($M1053&gt;PARAMETRES!$E$34,3,IF($M1053&gt;PARAMETRES!$D$34,2,1)))))</f>
        <v/>
      </c>
      <c r="V1053" t="str">
        <f>IF($N1053="","",IF($N1053&gt;PARAMETRES!$G$35,5,IF($N1053&gt;PARAMETRES!$F$35,4,IF($N1053&gt;PARAMETRES!$E$35,3,IF($N1053&gt;PARAMETRES!$D$35,2,1)))))</f>
        <v/>
      </c>
      <c r="W1053" t="str">
        <f>IF($O1053="","",IF($O1053&gt;PARAMETRES!$G$36,5,IF($O1053&gt;PARAMETRES!$F$36,4,IF($O1053&gt;PARAMETRES!$E$36,3,IF($O1053&gt;PARAMETRES!$D$36,2,1)))))</f>
        <v/>
      </c>
      <c r="X1053" t="str">
        <f>IF($P1053="","",IF($P1053&gt;PARAMETRES!$G$37,5,IF($P1053&gt;PARAMETRES!$F$37,4,IF($P1053&gt;PARAMETRES!$E$37,3,IF($P1053&gt;PARAMETRES!$D$37,2,1)))))</f>
        <v/>
      </c>
      <c r="Y1053" t="str">
        <f t="shared" si="384"/>
        <v/>
      </c>
      <c r="Z1053" t="str">
        <f>IFERROR(VLOOKUP($B1053,TABLE_CYCLE,2,0),"")</f>
        <v/>
      </c>
      <c r="AA1053" t="str">
        <f t="shared" si="385"/>
        <v/>
      </c>
      <c r="AB1053" t="str">
        <f>IF($D1053="","",IF(COUNTIF($D$2:$D1053,$D1053)=1,$D1053,""))</f>
        <v/>
      </c>
      <c r="AC1053">
        <f t="shared" si="386"/>
        <v>0</v>
      </c>
      <c r="AD1053" t="str">
        <f t="shared" si="387"/>
        <v>|0</v>
      </c>
      <c r="AE1053" t="str">
        <f t="shared" si="388"/>
        <v/>
      </c>
      <c r="AF1053" t="str">
        <f t="shared" si="389"/>
        <v/>
      </c>
      <c r="AG1053" t="str">
        <f t="shared" si="390"/>
        <v/>
      </c>
      <c r="AH1053" t="str">
        <f t="shared" si="391"/>
        <v/>
      </c>
      <c r="AI1053" t="str">
        <f t="shared" si="392"/>
        <v/>
      </c>
      <c r="AJ1053" t="str">
        <f t="shared" si="393"/>
        <v/>
      </c>
      <c r="AK1053" t="str">
        <f t="shared" si="394"/>
        <v/>
      </c>
      <c r="AL1053" t="str">
        <f t="shared" si="395"/>
        <v/>
      </c>
      <c r="AM1053" t="str">
        <f t="shared" si="396"/>
        <v/>
      </c>
      <c r="AN1053" t="str">
        <f t="shared" si="397"/>
        <v/>
      </c>
      <c r="AO1053" t="str">
        <f t="shared" si="398"/>
        <v/>
      </c>
      <c r="AP1053">
        <f t="shared" si="399"/>
        <v>1</v>
      </c>
      <c r="AQ1053" t="str">
        <f>IF(SAISIE!$F1058="","",SAISIE!$Y1058)</f>
        <v/>
      </c>
      <c r="AR1053" t="str">
        <f>IF(OR(SAISIE!$U$4="",SAISIE!$W$4=""),"",IF(AND($A1053=SAISIE!$U$4,$B1053=SAISIE!$W$4,$C1053="S1"),COUNTIFS($A$2:$A1053,SAISIE!$U$4,$B$2:$B1053,SAISIE!$W$4,$C$2:$C1053,"S1"),""))</f>
        <v/>
      </c>
      <c r="AS1053" t="str">
        <f t="shared" si="400"/>
        <v/>
      </c>
      <c r="AT1053" t="str">
        <f t="shared" si="401"/>
        <v/>
      </c>
      <c r="AU1053" t="str">
        <f t="shared" si="402"/>
        <v/>
      </c>
      <c r="AV1053">
        <f>N(AV1052)+IF(AND($AB1053&lt;&gt;"",OR('PROFIL ELEVE'!$K$4="(Tous)",$AF1053='PROFIL ELEVE'!$K$4)),1,0)</f>
        <v>0</v>
      </c>
      <c r="AW1053">
        <f>N(AW1052)+IF(AND($AB1053&lt;&gt;"",OR('SUIVI LONGITUDINAL'!$Q$4="(Tous)",$AF1053='SUIVI LONGITUDINAL'!$Q$4)),1,0)</f>
        <v>0</v>
      </c>
      <c r="AX1053">
        <f t="shared" si="403"/>
        <v>0</v>
      </c>
      <c r="AY1053">
        <f t="shared" si="404"/>
        <v>0</v>
      </c>
      <c r="AZ1053">
        <f t="shared" si="405"/>
        <v>0</v>
      </c>
      <c r="BA1053" t="str">
        <f t="shared" si="406"/>
        <v/>
      </c>
      <c r="BB1053" t="str">
        <f t="shared" si="407"/>
        <v/>
      </c>
    </row>
    <row r="1054" spans="1:54" ht="14.25" customHeight="1" x14ac:dyDescent="0.3">
      <c r="A1054" t="str">
        <f>IF(SAISIE!$F1059="","",SAISIE!$B1059)</f>
        <v/>
      </c>
      <c r="B1054" t="str">
        <f>IF(SAISIE!$F1059="","",SAISIE!$C1059)</f>
        <v/>
      </c>
      <c r="C1054" t="str">
        <f>IF(SAISIE!$F1059="","",SAISIE!$D1059)</f>
        <v/>
      </c>
      <c r="D1054" t="str">
        <f>IF(SAISIE!$E1059="","",SAISIE!$E1059)</f>
        <v/>
      </c>
      <c r="E1054" t="str">
        <f>IF(SAISIE!$F1059="","",SAISIE!$F1059)</f>
        <v/>
      </c>
      <c r="F1054" t="str">
        <f>IF(SAISIE!$G1059="","",SAISIE!$G1059)</f>
        <v/>
      </c>
      <c r="G1054" t="str">
        <f>IF(SAISIE!$H1059="","",SAISIE!$H1059)</f>
        <v/>
      </c>
      <c r="H1054" t="str">
        <f>IF(SAISIE!$I1059="","",SAISIE!$I1059)</f>
        <v/>
      </c>
      <c r="I1054" t="str">
        <f>IF(SAISIE!$J1059="","",SAISIE!$J1059)</f>
        <v/>
      </c>
      <c r="J1054" t="str">
        <f>IF(SAISIE!$K1059="","",SAISIE!$K1059)</f>
        <v/>
      </c>
      <c r="K1054" t="str">
        <f>IF(SAISIE!$L1059="","",SAISIE!$L1059)</f>
        <v/>
      </c>
      <c r="L1054" t="str">
        <f>IF(SAISIE!$M1059="","",SAISIE!$M1059)</f>
        <v/>
      </c>
      <c r="M1054" t="str">
        <f>IF(SAISIE!$N1059="","",SAISIE!$N1059)</f>
        <v/>
      </c>
      <c r="N1054" t="str">
        <f>IF(SAISIE!$O1059="","",SAISIE!$O1059)</f>
        <v/>
      </c>
      <c r="O1054" t="str">
        <f>IF(SAISIE!$P1059="","",SAISIE!$P1059)</f>
        <v/>
      </c>
      <c r="P1054" t="str">
        <f>IF(SAISIE!$Q1059="","",SAISIE!$Q1059)</f>
        <v/>
      </c>
      <c r="Q1054" t="str">
        <f>IF($I1054="","",IF($I1054&gt;PARAMETRES!$G$29,5,IF($I1054&gt;PARAMETRES!$F$29,4,IF($I1054&gt;PARAMETRES!$E$29,3,IF($I1054&gt;PARAMETRES!$D$29,2,1)))))</f>
        <v/>
      </c>
      <c r="R1054" t="str">
        <f>IF($J1054="","",IF($J1054&gt;PARAMETRES!$G$30,5,IF($J1054&gt;PARAMETRES!$F$30,4,IF($J1054&gt;PARAMETRES!$E$30,3,IF($J1054&gt;PARAMETRES!$D$30,2,1)))))</f>
        <v/>
      </c>
      <c r="S1054" t="str">
        <f>IF($K1054="","",IF($Z1054=2,IF($K1054&gt;PARAMETRES!$G$31,5,IF($K1054&gt;PARAMETRES!$F$31,4,IF($K1054&gt;PARAMETRES!$E$31,3,IF($K1054&gt;PARAMETRES!$D$31,2,1)))),IF($K1054&gt;PARAMETRES!$G$32,5,IF($K1054&gt;PARAMETRES!$F$32,4,IF($K1054&gt;PARAMETRES!$E$32,3,IF($K1054&gt;PARAMETRES!$D$32,2,1))))))</f>
        <v/>
      </c>
      <c r="T1054" t="str">
        <f>IF($L1054="","",IF($L1054&gt;PARAMETRES!$G$33,5,IF($L1054&gt;PARAMETRES!$F$33,4,IF($L1054&gt;PARAMETRES!$E$33,3,IF($L1054&gt;PARAMETRES!$D$33,2,1)))))</f>
        <v/>
      </c>
      <c r="U1054" t="str">
        <f>IF($M1054="","",IF($M1054&gt;PARAMETRES!$G$34,5,IF($M1054&gt;PARAMETRES!$F$34,4,IF($M1054&gt;PARAMETRES!$E$34,3,IF($M1054&gt;PARAMETRES!$D$34,2,1)))))</f>
        <v/>
      </c>
      <c r="V1054" t="str">
        <f>IF($N1054="","",IF($N1054&gt;PARAMETRES!$G$35,5,IF($N1054&gt;PARAMETRES!$F$35,4,IF($N1054&gt;PARAMETRES!$E$35,3,IF($N1054&gt;PARAMETRES!$D$35,2,1)))))</f>
        <v/>
      </c>
      <c r="W1054" t="str">
        <f>IF($O1054="","",IF($O1054&gt;PARAMETRES!$G$36,5,IF($O1054&gt;PARAMETRES!$F$36,4,IF($O1054&gt;PARAMETRES!$E$36,3,IF($O1054&gt;PARAMETRES!$D$36,2,1)))))</f>
        <v/>
      </c>
      <c r="X1054" t="str">
        <f>IF($P1054="","",IF($P1054&gt;PARAMETRES!$G$37,5,IF($P1054&gt;PARAMETRES!$F$37,4,IF($P1054&gt;PARAMETRES!$E$37,3,IF($P1054&gt;PARAMETRES!$D$37,2,1)))))</f>
        <v/>
      </c>
      <c r="Y1054" t="str">
        <f t="shared" si="384"/>
        <v/>
      </c>
      <c r="Z1054" t="str">
        <f>IFERROR(VLOOKUP($B1054,TABLE_CYCLE,2,0),"")</f>
        <v/>
      </c>
      <c r="AA1054" t="str">
        <f t="shared" si="385"/>
        <v/>
      </c>
      <c r="AB1054" t="str">
        <f>IF($D1054="","",IF(COUNTIF($D$2:$D1054,$D1054)=1,$D1054,""))</f>
        <v/>
      </c>
      <c r="AC1054">
        <f t="shared" si="386"/>
        <v>0</v>
      </c>
      <c r="AD1054" t="str">
        <f t="shared" si="387"/>
        <v>|0</v>
      </c>
      <c r="AE1054" t="str">
        <f t="shared" si="388"/>
        <v/>
      </c>
      <c r="AF1054" t="str">
        <f t="shared" si="389"/>
        <v/>
      </c>
      <c r="AG1054" t="str">
        <f t="shared" si="390"/>
        <v/>
      </c>
      <c r="AH1054" t="str">
        <f t="shared" si="391"/>
        <v/>
      </c>
      <c r="AI1054" t="str">
        <f t="shared" si="392"/>
        <v/>
      </c>
      <c r="AJ1054" t="str">
        <f t="shared" si="393"/>
        <v/>
      </c>
      <c r="AK1054" t="str">
        <f t="shared" si="394"/>
        <v/>
      </c>
      <c r="AL1054" t="str">
        <f t="shared" si="395"/>
        <v/>
      </c>
      <c r="AM1054" t="str">
        <f t="shared" si="396"/>
        <v/>
      </c>
      <c r="AN1054" t="str">
        <f t="shared" si="397"/>
        <v/>
      </c>
      <c r="AO1054" t="str">
        <f t="shared" si="398"/>
        <v/>
      </c>
      <c r="AP1054">
        <f t="shared" si="399"/>
        <v>1</v>
      </c>
      <c r="AQ1054" t="str">
        <f>IF(SAISIE!$F1059="","",SAISIE!$Y1059)</f>
        <v/>
      </c>
      <c r="AR1054" t="str">
        <f>IF(OR(SAISIE!$U$4="",SAISIE!$W$4=""),"",IF(AND($A1054=SAISIE!$U$4,$B1054=SAISIE!$W$4,$C1054="S1"),COUNTIFS($A$2:$A1054,SAISIE!$U$4,$B$2:$B1054,SAISIE!$W$4,$C$2:$C1054,"S1"),""))</f>
        <v/>
      </c>
      <c r="AS1054" t="str">
        <f t="shared" si="400"/>
        <v/>
      </c>
      <c r="AT1054" t="str">
        <f t="shared" si="401"/>
        <v/>
      </c>
      <c r="AU1054" t="str">
        <f t="shared" si="402"/>
        <v/>
      </c>
      <c r="AV1054">
        <f>N(AV1053)+IF(AND($AB1054&lt;&gt;"",OR('PROFIL ELEVE'!$K$4="(Tous)",$AF1054='PROFIL ELEVE'!$K$4)),1,0)</f>
        <v>0</v>
      </c>
      <c r="AW1054">
        <f>N(AW1053)+IF(AND($AB1054&lt;&gt;"",OR('SUIVI LONGITUDINAL'!$Q$4="(Tous)",$AF1054='SUIVI LONGITUDINAL'!$Q$4)),1,0)</f>
        <v>0</v>
      </c>
      <c r="AX1054">
        <f t="shared" si="403"/>
        <v>0</v>
      </c>
      <c r="AY1054">
        <f t="shared" si="404"/>
        <v>0</v>
      </c>
      <c r="AZ1054">
        <f t="shared" si="405"/>
        <v>0</v>
      </c>
      <c r="BA1054" t="str">
        <f t="shared" si="406"/>
        <v/>
      </c>
      <c r="BB1054" t="str">
        <f t="shared" si="407"/>
        <v/>
      </c>
    </row>
    <row r="1055" spans="1:54" ht="14.25" customHeight="1" x14ac:dyDescent="0.3">
      <c r="A1055" t="str">
        <f>IF(SAISIE!$F1060="","",SAISIE!$B1060)</f>
        <v/>
      </c>
      <c r="B1055" t="str">
        <f>IF(SAISIE!$F1060="","",SAISIE!$C1060)</f>
        <v/>
      </c>
      <c r="C1055" t="str">
        <f>IF(SAISIE!$F1060="","",SAISIE!$D1060)</f>
        <v/>
      </c>
      <c r="D1055" t="str">
        <f>IF(SAISIE!$E1060="","",SAISIE!$E1060)</f>
        <v/>
      </c>
      <c r="E1055" t="str">
        <f>IF(SAISIE!$F1060="","",SAISIE!$F1060)</f>
        <v/>
      </c>
      <c r="F1055" t="str">
        <f>IF(SAISIE!$G1060="","",SAISIE!$G1060)</f>
        <v/>
      </c>
      <c r="G1055" t="str">
        <f>IF(SAISIE!$H1060="","",SAISIE!$H1060)</f>
        <v/>
      </c>
      <c r="H1055" t="str">
        <f>IF(SAISIE!$I1060="","",SAISIE!$I1060)</f>
        <v/>
      </c>
      <c r="I1055" t="str">
        <f>IF(SAISIE!$J1060="","",SAISIE!$J1060)</f>
        <v/>
      </c>
      <c r="J1055" t="str">
        <f>IF(SAISIE!$K1060="","",SAISIE!$K1060)</f>
        <v/>
      </c>
      <c r="K1055" t="str">
        <f>IF(SAISIE!$L1060="","",SAISIE!$L1060)</f>
        <v/>
      </c>
      <c r="L1055" t="str">
        <f>IF(SAISIE!$M1060="","",SAISIE!$M1060)</f>
        <v/>
      </c>
      <c r="M1055" t="str">
        <f>IF(SAISIE!$N1060="","",SAISIE!$N1060)</f>
        <v/>
      </c>
      <c r="N1055" t="str">
        <f>IF(SAISIE!$O1060="","",SAISIE!$O1060)</f>
        <v/>
      </c>
      <c r="O1055" t="str">
        <f>IF(SAISIE!$P1060="","",SAISIE!$P1060)</f>
        <v/>
      </c>
      <c r="P1055" t="str">
        <f>IF(SAISIE!$Q1060="","",SAISIE!$Q1060)</f>
        <v/>
      </c>
      <c r="Q1055" t="str">
        <f>IF($I1055="","",IF($I1055&gt;PARAMETRES!$G$29,5,IF($I1055&gt;PARAMETRES!$F$29,4,IF($I1055&gt;PARAMETRES!$E$29,3,IF($I1055&gt;PARAMETRES!$D$29,2,1)))))</f>
        <v/>
      </c>
      <c r="R1055" t="str">
        <f>IF($J1055="","",IF($J1055&gt;PARAMETRES!$G$30,5,IF($J1055&gt;PARAMETRES!$F$30,4,IF($J1055&gt;PARAMETRES!$E$30,3,IF($J1055&gt;PARAMETRES!$D$30,2,1)))))</f>
        <v/>
      </c>
      <c r="S1055" t="str">
        <f>IF($K1055="","",IF($Z1055=2,IF($K1055&gt;PARAMETRES!$G$31,5,IF($K1055&gt;PARAMETRES!$F$31,4,IF($K1055&gt;PARAMETRES!$E$31,3,IF($K1055&gt;PARAMETRES!$D$31,2,1)))),IF($K1055&gt;PARAMETRES!$G$32,5,IF($K1055&gt;PARAMETRES!$F$32,4,IF($K1055&gt;PARAMETRES!$E$32,3,IF($K1055&gt;PARAMETRES!$D$32,2,1))))))</f>
        <v/>
      </c>
      <c r="T1055" t="str">
        <f>IF($L1055="","",IF($L1055&gt;PARAMETRES!$G$33,5,IF($L1055&gt;PARAMETRES!$F$33,4,IF($L1055&gt;PARAMETRES!$E$33,3,IF($L1055&gt;PARAMETRES!$D$33,2,1)))))</f>
        <v/>
      </c>
      <c r="U1055" t="str">
        <f>IF($M1055="","",IF($M1055&gt;PARAMETRES!$G$34,5,IF($M1055&gt;PARAMETRES!$F$34,4,IF($M1055&gt;PARAMETRES!$E$34,3,IF($M1055&gt;PARAMETRES!$D$34,2,1)))))</f>
        <v/>
      </c>
      <c r="V1055" t="str">
        <f>IF($N1055="","",IF($N1055&gt;PARAMETRES!$G$35,5,IF($N1055&gt;PARAMETRES!$F$35,4,IF($N1055&gt;PARAMETRES!$E$35,3,IF($N1055&gt;PARAMETRES!$D$35,2,1)))))</f>
        <v/>
      </c>
      <c r="W1055" t="str">
        <f>IF($O1055="","",IF($O1055&gt;PARAMETRES!$G$36,5,IF($O1055&gt;PARAMETRES!$F$36,4,IF($O1055&gt;PARAMETRES!$E$36,3,IF($O1055&gt;PARAMETRES!$D$36,2,1)))))</f>
        <v/>
      </c>
      <c r="X1055" t="str">
        <f>IF($P1055="","",IF($P1055&gt;PARAMETRES!$G$37,5,IF($P1055&gt;PARAMETRES!$F$37,4,IF($P1055&gt;PARAMETRES!$E$37,3,IF($P1055&gt;PARAMETRES!$D$37,2,1)))))</f>
        <v/>
      </c>
      <c r="Y1055" t="str">
        <f t="shared" si="384"/>
        <v/>
      </c>
      <c r="Z1055" t="str">
        <f>IFERROR(VLOOKUP($B1055,TABLE_CYCLE,2,0),"")</f>
        <v/>
      </c>
      <c r="AA1055" t="str">
        <f t="shared" si="385"/>
        <v/>
      </c>
      <c r="AB1055" t="str">
        <f>IF($D1055="","",IF(COUNTIF($D$2:$D1055,$D1055)=1,$D1055,""))</f>
        <v/>
      </c>
      <c r="AC1055">
        <f t="shared" si="386"/>
        <v>0</v>
      </c>
      <c r="AD1055" t="str">
        <f t="shared" si="387"/>
        <v>|0</v>
      </c>
      <c r="AE1055" t="str">
        <f t="shared" si="388"/>
        <v/>
      </c>
      <c r="AF1055" t="str">
        <f t="shared" si="389"/>
        <v/>
      </c>
      <c r="AG1055" t="str">
        <f t="shared" si="390"/>
        <v/>
      </c>
      <c r="AH1055" t="str">
        <f t="shared" si="391"/>
        <v/>
      </c>
      <c r="AI1055" t="str">
        <f t="shared" si="392"/>
        <v/>
      </c>
      <c r="AJ1055" t="str">
        <f t="shared" si="393"/>
        <v/>
      </c>
      <c r="AK1055" t="str">
        <f t="shared" si="394"/>
        <v/>
      </c>
      <c r="AL1055" t="str">
        <f t="shared" si="395"/>
        <v/>
      </c>
      <c r="AM1055" t="str">
        <f t="shared" si="396"/>
        <v/>
      </c>
      <c r="AN1055" t="str">
        <f t="shared" si="397"/>
        <v/>
      </c>
      <c r="AO1055" t="str">
        <f t="shared" si="398"/>
        <v/>
      </c>
      <c r="AP1055">
        <f t="shared" si="399"/>
        <v>1</v>
      </c>
      <c r="AQ1055" t="str">
        <f>IF(SAISIE!$F1060="","",SAISIE!$Y1060)</f>
        <v/>
      </c>
      <c r="AR1055" t="str">
        <f>IF(OR(SAISIE!$U$4="",SAISIE!$W$4=""),"",IF(AND($A1055=SAISIE!$U$4,$B1055=SAISIE!$W$4,$C1055="S1"),COUNTIFS($A$2:$A1055,SAISIE!$U$4,$B$2:$B1055,SAISIE!$W$4,$C$2:$C1055,"S1"),""))</f>
        <v/>
      </c>
      <c r="AS1055" t="str">
        <f t="shared" si="400"/>
        <v/>
      </c>
      <c r="AT1055" t="str">
        <f t="shared" si="401"/>
        <v/>
      </c>
      <c r="AU1055" t="str">
        <f t="shared" si="402"/>
        <v/>
      </c>
      <c r="AV1055">
        <f>N(AV1054)+IF(AND($AB1055&lt;&gt;"",OR('PROFIL ELEVE'!$K$4="(Tous)",$AF1055='PROFIL ELEVE'!$K$4)),1,0)</f>
        <v>0</v>
      </c>
      <c r="AW1055">
        <f>N(AW1054)+IF(AND($AB1055&lt;&gt;"",OR('SUIVI LONGITUDINAL'!$Q$4="(Tous)",$AF1055='SUIVI LONGITUDINAL'!$Q$4)),1,0)</f>
        <v>0</v>
      </c>
      <c r="AX1055">
        <f t="shared" si="403"/>
        <v>0</v>
      </c>
      <c r="AY1055">
        <f t="shared" si="404"/>
        <v>0</v>
      </c>
      <c r="AZ1055">
        <f t="shared" si="405"/>
        <v>0</v>
      </c>
      <c r="BA1055" t="str">
        <f t="shared" si="406"/>
        <v/>
      </c>
      <c r="BB1055" t="str">
        <f t="shared" si="407"/>
        <v/>
      </c>
    </row>
    <row r="1056" spans="1:54" ht="14.25" customHeight="1" x14ac:dyDescent="0.3">
      <c r="A1056" t="str">
        <f>IF(SAISIE!$F1061="","",SAISIE!$B1061)</f>
        <v/>
      </c>
      <c r="B1056" t="str">
        <f>IF(SAISIE!$F1061="","",SAISIE!$C1061)</f>
        <v/>
      </c>
      <c r="C1056" t="str">
        <f>IF(SAISIE!$F1061="","",SAISIE!$D1061)</f>
        <v/>
      </c>
      <c r="D1056" t="str">
        <f>IF(SAISIE!$E1061="","",SAISIE!$E1061)</f>
        <v/>
      </c>
      <c r="E1056" t="str">
        <f>IF(SAISIE!$F1061="","",SAISIE!$F1061)</f>
        <v/>
      </c>
      <c r="F1056" t="str">
        <f>IF(SAISIE!$G1061="","",SAISIE!$G1061)</f>
        <v/>
      </c>
      <c r="G1056" t="str">
        <f>IF(SAISIE!$H1061="","",SAISIE!$H1061)</f>
        <v/>
      </c>
      <c r="H1056" t="str">
        <f>IF(SAISIE!$I1061="","",SAISIE!$I1061)</f>
        <v/>
      </c>
      <c r="I1056" t="str">
        <f>IF(SAISIE!$J1061="","",SAISIE!$J1061)</f>
        <v/>
      </c>
      <c r="J1056" t="str">
        <f>IF(SAISIE!$K1061="","",SAISIE!$K1061)</f>
        <v/>
      </c>
      <c r="K1056" t="str">
        <f>IF(SAISIE!$L1061="","",SAISIE!$L1061)</f>
        <v/>
      </c>
      <c r="L1056" t="str">
        <f>IF(SAISIE!$M1061="","",SAISIE!$M1061)</f>
        <v/>
      </c>
      <c r="M1056" t="str">
        <f>IF(SAISIE!$N1061="","",SAISIE!$N1061)</f>
        <v/>
      </c>
      <c r="N1056" t="str">
        <f>IF(SAISIE!$O1061="","",SAISIE!$O1061)</f>
        <v/>
      </c>
      <c r="O1056" t="str">
        <f>IF(SAISIE!$P1061="","",SAISIE!$P1061)</f>
        <v/>
      </c>
      <c r="P1056" t="str">
        <f>IF(SAISIE!$Q1061="","",SAISIE!$Q1061)</f>
        <v/>
      </c>
      <c r="Q1056" t="str">
        <f>IF($I1056="","",IF($I1056&gt;PARAMETRES!$G$29,5,IF($I1056&gt;PARAMETRES!$F$29,4,IF($I1056&gt;PARAMETRES!$E$29,3,IF($I1056&gt;PARAMETRES!$D$29,2,1)))))</f>
        <v/>
      </c>
      <c r="R1056" t="str">
        <f>IF($J1056="","",IF($J1056&gt;PARAMETRES!$G$30,5,IF($J1056&gt;PARAMETRES!$F$30,4,IF($J1056&gt;PARAMETRES!$E$30,3,IF($J1056&gt;PARAMETRES!$D$30,2,1)))))</f>
        <v/>
      </c>
      <c r="S1056" t="str">
        <f>IF($K1056="","",IF($Z1056=2,IF($K1056&gt;PARAMETRES!$G$31,5,IF($K1056&gt;PARAMETRES!$F$31,4,IF($K1056&gt;PARAMETRES!$E$31,3,IF($K1056&gt;PARAMETRES!$D$31,2,1)))),IF($K1056&gt;PARAMETRES!$G$32,5,IF($K1056&gt;PARAMETRES!$F$32,4,IF($K1056&gt;PARAMETRES!$E$32,3,IF($K1056&gt;PARAMETRES!$D$32,2,1))))))</f>
        <v/>
      </c>
      <c r="T1056" t="str">
        <f>IF($L1056="","",IF($L1056&gt;PARAMETRES!$G$33,5,IF($L1056&gt;PARAMETRES!$F$33,4,IF($L1056&gt;PARAMETRES!$E$33,3,IF($L1056&gt;PARAMETRES!$D$33,2,1)))))</f>
        <v/>
      </c>
      <c r="U1056" t="str">
        <f>IF($M1056="","",IF($M1056&gt;PARAMETRES!$G$34,5,IF($M1056&gt;PARAMETRES!$F$34,4,IF($M1056&gt;PARAMETRES!$E$34,3,IF($M1056&gt;PARAMETRES!$D$34,2,1)))))</f>
        <v/>
      </c>
      <c r="V1056" t="str">
        <f>IF($N1056="","",IF($N1056&gt;PARAMETRES!$G$35,5,IF($N1056&gt;PARAMETRES!$F$35,4,IF($N1056&gt;PARAMETRES!$E$35,3,IF($N1056&gt;PARAMETRES!$D$35,2,1)))))</f>
        <v/>
      </c>
      <c r="W1056" t="str">
        <f>IF($O1056="","",IF($O1056&gt;PARAMETRES!$G$36,5,IF($O1056&gt;PARAMETRES!$F$36,4,IF($O1056&gt;PARAMETRES!$E$36,3,IF($O1056&gt;PARAMETRES!$D$36,2,1)))))</f>
        <v/>
      </c>
      <c r="X1056" t="str">
        <f>IF($P1056="","",IF($P1056&gt;PARAMETRES!$G$37,5,IF($P1056&gt;PARAMETRES!$F$37,4,IF($P1056&gt;PARAMETRES!$E$37,3,IF($P1056&gt;PARAMETRES!$D$37,2,1)))))</f>
        <v/>
      </c>
      <c r="Y1056" t="str">
        <f t="shared" si="384"/>
        <v/>
      </c>
      <c r="Z1056" t="str">
        <f>IFERROR(VLOOKUP($B1056,TABLE_CYCLE,2,0),"")</f>
        <v/>
      </c>
      <c r="AA1056" t="str">
        <f t="shared" si="385"/>
        <v/>
      </c>
      <c r="AB1056" t="str">
        <f>IF($D1056="","",IF(COUNTIF($D$2:$D1056,$D1056)=1,$D1056,""))</f>
        <v/>
      </c>
      <c r="AC1056">
        <f t="shared" si="386"/>
        <v>0</v>
      </c>
      <c r="AD1056" t="str">
        <f t="shared" si="387"/>
        <v>|0</v>
      </c>
      <c r="AE1056" t="str">
        <f t="shared" si="388"/>
        <v/>
      </c>
      <c r="AF1056" t="str">
        <f t="shared" si="389"/>
        <v/>
      </c>
      <c r="AG1056" t="str">
        <f t="shared" si="390"/>
        <v/>
      </c>
      <c r="AH1056" t="str">
        <f t="shared" si="391"/>
        <v/>
      </c>
      <c r="AI1056" t="str">
        <f t="shared" si="392"/>
        <v/>
      </c>
      <c r="AJ1056" t="str">
        <f t="shared" si="393"/>
        <v/>
      </c>
      <c r="AK1056" t="str">
        <f t="shared" si="394"/>
        <v/>
      </c>
      <c r="AL1056" t="str">
        <f t="shared" si="395"/>
        <v/>
      </c>
      <c r="AM1056" t="str">
        <f t="shared" si="396"/>
        <v/>
      </c>
      <c r="AN1056" t="str">
        <f t="shared" si="397"/>
        <v/>
      </c>
      <c r="AO1056" t="str">
        <f t="shared" si="398"/>
        <v/>
      </c>
      <c r="AP1056">
        <f t="shared" si="399"/>
        <v>1</v>
      </c>
      <c r="AQ1056" t="str">
        <f>IF(SAISIE!$F1061="","",SAISIE!$Y1061)</f>
        <v/>
      </c>
      <c r="AR1056" t="str">
        <f>IF(OR(SAISIE!$U$4="",SAISIE!$W$4=""),"",IF(AND($A1056=SAISIE!$U$4,$B1056=SAISIE!$W$4,$C1056="S1"),COUNTIFS($A$2:$A1056,SAISIE!$U$4,$B$2:$B1056,SAISIE!$W$4,$C$2:$C1056,"S1"),""))</f>
        <v/>
      </c>
      <c r="AS1056" t="str">
        <f t="shared" si="400"/>
        <v/>
      </c>
      <c r="AT1056" t="str">
        <f t="shared" si="401"/>
        <v/>
      </c>
      <c r="AU1056" t="str">
        <f t="shared" si="402"/>
        <v/>
      </c>
      <c r="AV1056">
        <f>N(AV1055)+IF(AND($AB1056&lt;&gt;"",OR('PROFIL ELEVE'!$K$4="(Tous)",$AF1056='PROFIL ELEVE'!$K$4)),1,0)</f>
        <v>0</v>
      </c>
      <c r="AW1056">
        <f>N(AW1055)+IF(AND($AB1056&lt;&gt;"",OR('SUIVI LONGITUDINAL'!$Q$4="(Tous)",$AF1056='SUIVI LONGITUDINAL'!$Q$4)),1,0)</f>
        <v>0</v>
      </c>
      <c r="AX1056">
        <f t="shared" si="403"/>
        <v>0</v>
      </c>
      <c r="AY1056">
        <f t="shared" si="404"/>
        <v>0</v>
      </c>
      <c r="AZ1056">
        <f t="shared" si="405"/>
        <v>0</v>
      </c>
      <c r="BA1056" t="str">
        <f t="shared" si="406"/>
        <v/>
      </c>
      <c r="BB1056" t="str">
        <f t="shared" si="407"/>
        <v/>
      </c>
    </row>
    <row r="1057" spans="1:54" ht="14.25" customHeight="1" x14ac:dyDescent="0.3">
      <c r="A1057" t="str">
        <f>IF(SAISIE!$F1062="","",SAISIE!$B1062)</f>
        <v/>
      </c>
      <c r="B1057" t="str">
        <f>IF(SAISIE!$F1062="","",SAISIE!$C1062)</f>
        <v/>
      </c>
      <c r="C1057" t="str">
        <f>IF(SAISIE!$F1062="","",SAISIE!$D1062)</f>
        <v/>
      </c>
      <c r="D1057" t="str">
        <f>IF(SAISIE!$E1062="","",SAISIE!$E1062)</f>
        <v/>
      </c>
      <c r="E1057" t="str">
        <f>IF(SAISIE!$F1062="","",SAISIE!$F1062)</f>
        <v/>
      </c>
      <c r="F1057" t="str">
        <f>IF(SAISIE!$G1062="","",SAISIE!$G1062)</f>
        <v/>
      </c>
      <c r="G1057" t="str">
        <f>IF(SAISIE!$H1062="","",SAISIE!$H1062)</f>
        <v/>
      </c>
      <c r="H1057" t="str">
        <f>IF(SAISIE!$I1062="","",SAISIE!$I1062)</f>
        <v/>
      </c>
      <c r="I1057" t="str">
        <f>IF(SAISIE!$J1062="","",SAISIE!$J1062)</f>
        <v/>
      </c>
      <c r="J1057" t="str">
        <f>IF(SAISIE!$K1062="","",SAISIE!$K1062)</f>
        <v/>
      </c>
      <c r="K1057" t="str">
        <f>IF(SAISIE!$L1062="","",SAISIE!$L1062)</f>
        <v/>
      </c>
      <c r="L1057" t="str">
        <f>IF(SAISIE!$M1062="","",SAISIE!$M1062)</f>
        <v/>
      </c>
      <c r="M1057" t="str">
        <f>IF(SAISIE!$N1062="","",SAISIE!$N1062)</f>
        <v/>
      </c>
      <c r="N1057" t="str">
        <f>IF(SAISIE!$O1062="","",SAISIE!$O1062)</f>
        <v/>
      </c>
      <c r="O1057" t="str">
        <f>IF(SAISIE!$P1062="","",SAISIE!$P1062)</f>
        <v/>
      </c>
      <c r="P1057" t="str">
        <f>IF(SAISIE!$Q1062="","",SAISIE!$Q1062)</f>
        <v/>
      </c>
      <c r="Q1057" t="str">
        <f>IF($I1057="","",IF($I1057&gt;PARAMETRES!$G$29,5,IF($I1057&gt;PARAMETRES!$F$29,4,IF($I1057&gt;PARAMETRES!$E$29,3,IF($I1057&gt;PARAMETRES!$D$29,2,1)))))</f>
        <v/>
      </c>
      <c r="R1057" t="str">
        <f>IF($J1057="","",IF($J1057&gt;PARAMETRES!$G$30,5,IF($J1057&gt;PARAMETRES!$F$30,4,IF($J1057&gt;PARAMETRES!$E$30,3,IF($J1057&gt;PARAMETRES!$D$30,2,1)))))</f>
        <v/>
      </c>
      <c r="S1057" t="str">
        <f>IF($K1057="","",IF($Z1057=2,IF($K1057&gt;PARAMETRES!$G$31,5,IF($K1057&gt;PARAMETRES!$F$31,4,IF($K1057&gt;PARAMETRES!$E$31,3,IF($K1057&gt;PARAMETRES!$D$31,2,1)))),IF($K1057&gt;PARAMETRES!$G$32,5,IF($K1057&gt;PARAMETRES!$F$32,4,IF($K1057&gt;PARAMETRES!$E$32,3,IF($K1057&gt;PARAMETRES!$D$32,2,1))))))</f>
        <v/>
      </c>
      <c r="T1057" t="str">
        <f>IF($L1057="","",IF($L1057&gt;PARAMETRES!$G$33,5,IF($L1057&gt;PARAMETRES!$F$33,4,IF($L1057&gt;PARAMETRES!$E$33,3,IF($L1057&gt;PARAMETRES!$D$33,2,1)))))</f>
        <v/>
      </c>
      <c r="U1057" t="str">
        <f>IF($M1057="","",IF($M1057&gt;PARAMETRES!$G$34,5,IF($M1057&gt;PARAMETRES!$F$34,4,IF($M1057&gt;PARAMETRES!$E$34,3,IF($M1057&gt;PARAMETRES!$D$34,2,1)))))</f>
        <v/>
      </c>
      <c r="V1057" t="str">
        <f>IF($N1057="","",IF($N1057&gt;PARAMETRES!$G$35,5,IF($N1057&gt;PARAMETRES!$F$35,4,IF($N1057&gt;PARAMETRES!$E$35,3,IF($N1057&gt;PARAMETRES!$D$35,2,1)))))</f>
        <v/>
      </c>
      <c r="W1057" t="str">
        <f>IF($O1057="","",IF($O1057&gt;PARAMETRES!$G$36,5,IF($O1057&gt;PARAMETRES!$F$36,4,IF($O1057&gt;PARAMETRES!$E$36,3,IF($O1057&gt;PARAMETRES!$D$36,2,1)))))</f>
        <v/>
      </c>
      <c r="X1057" t="str">
        <f>IF($P1057="","",IF($P1057&gt;PARAMETRES!$G$37,5,IF($P1057&gt;PARAMETRES!$F$37,4,IF($P1057&gt;PARAMETRES!$E$37,3,IF($P1057&gt;PARAMETRES!$D$37,2,1)))))</f>
        <v/>
      </c>
      <c r="Y1057" t="str">
        <f t="shared" si="384"/>
        <v/>
      </c>
      <c r="Z1057" t="str">
        <f>IFERROR(VLOOKUP($B1057,TABLE_CYCLE,2,0),"")</f>
        <v/>
      </c>
      <c r="AA1057" t="str">
        <f t="shared" si="385"/>
        <v/>
      </c>
      <c r="AB1057" t="str">
        <f>IF($D1057="","",IF(COUNTIF($D$2:$D1057,$D1057)=1,$D1057,""))</f>
        <v/>
      </c>
      <c r="AC1057">
        <f t="shared" si="386"/>
        <v>0</v>
      </c>
      <c r="AD1057" t="str">
        <f t="shared" si="387"/>
        <v>|0</v>
      </c>
      <c r="AE1057" t="str">
        <f t="shared" si="388"/>
        <v/>
      </c>
      <c r="AF1057" t="str">
        <f t="shared" si="389"/>
        <v/>
      </c>
      <c r="AG1057" t="str">
        <f t="shared" si="390"/>
        <v/>
      </c>
      <c r="AH1057" t="str">
        <f t="shared" si="391"/>
        <v/>
      </c>
      <c r="AI1057" t="str">
        <f t="shared" si="392"/>
        <v/>
      </c>
      <c r="AJ1057" t="str">
        <f t="shared" si="393"/>
        <v/>
      </c>
      <c r="AK1057" t="str">
        <f t="shared" si="394"/>
        <v/>
      </c>
      <c r="AL1057" t="str">
        <f t="shared" si="395"/>
        <v/>
      </c>
      <c r="AM1057" t="str">
        <f t="shared" si="396"/>
        <v/>
      </c>
      <c r="AN1057" t="str">
        <f t="shared" si="397"/>
        <v/>
      </c>
      <c r="AO1057" t="str">
        <f t="shared" si="398"/>
        <v/>
      </c>
      <c r="AP1057">
        <f t="shared" si="399"/>
        <v>1</v>
      </c>
      <c r="AQ1057" t="str">
        <f>IF(SAISIE!$F1062="","",SAISIE!$Y1062)</f>
        <v/>
      </c>
      <c r="AR1057" t="str">
        <f>IF(OR(SAISIE!$U$4="",SAISIE!$W$4=""),"",IF(AND($A1057=SAISIE!$U$4,$B1057=SAISIE!$W$4,$C1057="S1"),COUNTIFS($A$2:$A1057,SAISIE!$U$4,$B$2:$B1057,SAISIE!$W$4,$C$2:$C1057,"S1"),""))</f>
        <v/>
      </c>
      <c r="AS1057" t="str">
        <f t="shared" si="400"/>
        <v/>
      </c>
      <c r="AT1057" t="str">
        <f t="shared" si="401"/>
        <v/>
      </c>
      <c r="AU1057" t="str">
        <f t="shared" si="402"/>
        <v/>
      </c>
      <c r="AV1057">
        <f>N(AV1056)+IF(AND($AB1057&lt;&gt;"",OR('PROFIL ELEVE'!$K$4="(Tous)",$AF1057='PROFIL ELEVE'!$K$4)),1,0)</f>
        <v>0</v>
      </c>
      <c r="AW1057">
        <f>N(AW1056)+IF(AND($AB1057&lt;&gt;"",OR('SUIVI LONGITUDINAL'!$Q$4="(Tous)",$AF1057='SUIVI LONGITUDINAL'!$Q$4)),1,0)</f>
        <v>0</v>
      </c>
      <c r="AX1057">
        <f t="shared" si="403"/>
        <v>0</v>
      </c>
      <c r="AY1057">
        <f t="shared" si="404"/>
        <v>0</v>
      </c>
      <c r="AZ1057">
        <f t="shared" si="405"/>
        <v>0</v>
      </c>
      <c r="BA1057" t="str">
        <f t="shared" si="406"/>
        <v/>
      </c>
      <c r="BB1057" t="str">
        <f t="shared" si="407"/>
        <v/>
      </c>
    </row>
    <row r="1058" spans="1:54" ht="14.25" customHeight="1" x14ac:dyDescent="0.3">
      <c r="A1058" t="str">
        <f>IF(SAISIE!$F1063="","",SAISIE!$B1063)</f>
        <v/>
      </c>
      <c r="B1058" t="str">
        <f>IF(SAISIE!$F1063="","",SAISIE!$C1063)</f>
        <v/>
      </c>
      <c r="C1058" t="str">
        <f>IF(SAISIE!$F1063="","",SAISIE!$D1063)</f>
        <v/>
      </c>
      <c r="D1058" t="str">
        <f>IF(SAISIE!$E1063="","",SAISIE!$E1063)</f>
        <v/>
      </c>
      <c r="E1058" t="str">
        <f>IF(SAISIE!$F1063="","",SAISIE!$F1063)</f>
        <v/>
      </c>
      <c r="F1058" t="str">
        <f>IF(SAISIE!$G1063="","",SAISIE!$G1063)</f>
        <v/>
      </c>
      <c r="G1058" t="str">
        <f>IF(SAISIE!$H1063="","",SAISIE!$H1063)</f>
        <v/>
      </c>
      <c r="H1058" t="str">
        <f>IF(SAISIE!$I1063="","",SAISIE!$I1063)</f>
        <v/>
      </c>
      <c r="I1058" t="str">
        <f>IF(SAISIE!$J1063="","",SAISIE!$J1063)</f>
        <v/>
      </c>
      <c r="J1058" t="str">
        <f>IF(SAISIE!$K1063="","",SAISIE!$K1063)</f>
        <v/>
      </c>
      <c r="K1058" t="str">
        <f>IF(SAISIE!$L1063="","",SAISIE!$L1063)</f>
        <v/>
      </c>
      <c r="L1058" t="str">
        <f>IF(SAISIE!$M1063="","",SAISIE!$M1063)</f>
        <v/>
      </c>
      <c r="M1058" t="str">
        <f>IF(SAISIE!$N1063="","",SAISIE!$N1063)</f>
        <v/>
      </c>
      <c r="N1058" t="str">
        <f>IF(SAISIE!$O1063="","",SAISIE!$O1063)</f>
        <v/>
      </c>
      <c r="O1058" t="str">
        <f>IF(SAISIE!$P1063="","",SAISIE!$P1063)</f>
        <v/>
      </c>
      <c r="P1058" t="str">
        <f>IF(SAISIE!$Q1063="","",SAISIE!$Q1063)</f>
        <v/>
      </c>
      <c r="Q1058" t="str">
        <f>IF($I1058="","",IF($I1058&gt;PARAMETRES!$G$29,5,IF($I1058&gt;PARAMETRES!$F$29,4,IF($I1058&gt;PARAMETRES!$E$29,3,IF($I1058&gt;PARAMETRES!$D$29,2,1)))))</f>
        <v/>
      </c>
      <c r="R1058" t="str">
        <f>IF($J1058="","",IF($J1058&gt;PARAMETRES!$G$30,5,IF($J1058&gt;PARAMETRES!$F$30,4,IF($J1058&gt;PARAMETRES!$E$30,3,IF($J1058&gt;PARAMETRES!$D$30,2,1)))))</f>
        <v/>
      </c>
      <c r="S1058" t="str">
        <f>IF($K1058="","",IF($Z1058=2,IF($K1058&gt;PARAMETRES!$G$31,5,IF($K1058&gt;PARAMETRES!$F$31,4,IF($K1058&gt;PARAMETRES!$E$31,3,IF($K1058&gt;PARAMETRES!$D$31,2,1)))),IF($K1058&gt;PARAMETRES!$G$32,5,IF($K1058&gt;PARAMETRES!$F$32,4,IF($K1058&gt;PARAMETRES!$E$32,3,IF($K1058&gt;PARAMETRES!$D$32,2,1))))))</f>
        <v/>
      </c>
      <c r="T1058" t="str">
        <f>IF($L1058="","",IF($L1058&gt;PARAMETRES!$G$33,5,IF($L1058&gt;PARAMETRES!$F$33,4,IF($L1058&gt;PARAMETRES!$E$33,3,IF($L1058&gt;PARAMETRES!$D$33,2,1)))))</f>
        <v/>
      </c>
      <c r="U1058" t="str">
        <f>IF($M1058="","",IF($M1058&gt;PARAMETRES!$G$34,5,IF($M1058&gt;PARAMETRES!$F$34,4,IF($M1058&gt;PARAMETRES!$E$34,3,IF($M1058&gt;PARAMETRES!$D$34,2,1)))))</f>
        <v/>
      </c>
      <c r="V1058" t="str">
        <f>IF($N1058="","",IF($N1058&gt;PARAMETRES!$G$35,5,IF($N1058&gt;PARAMETRES!$F$35,4,IF($N1058&gt;PARAMETRES!$E$35,3,IF($N1058&gt;PARAMETRES!$D$35,2,1)))))</f>
        <v/>
      </c>
      <c r="W1058" t="str">
        <f>IF($O1058="","",IF($O1058&gt;PARAMETRES!$G$36,5,IF($O1058&gt;PARAMETRES!$F$36,4,IF($O1058&gt;PARAMETRES!$E$36,3,IF($O1058&gt;PARAMETRES!$D$36,2,1)))))</f>
        <v/>
      </c>
      <c r="X1058" t="str">
        <f>IF($P1058="","",IF($P1058&gt;PARAMETRES!$G$37,5,IF($P1058&gt;PARAMETRES!$F$37,4,IF($P1058&gt;PARAMETRES!$E$37,3,IF($P1058&gt;PARAMETRES!$D$37,2,1)))))</f>
        <v/>
      </c>
      <c r="Y1058" t="str">
        <f t="shared" si="384"/>
        <v/>
      </c>
      <c r="Z1058" t="str">
        <f>IFERROR(VLOOKUP($B1058,TABLE_CYCLE,2,0),"")</f>
        <v/>
      </c>
      <c r="AA1058" t="str">
        <f t="shared" si="385"/>
        <v/>
      </c>
      <c r="AB1058" t="str">
        <f>IF($D1058="","",IF(COUNTIF($D$2:$D1058,$D1058)=1,$D1058,""))</f>
        <v/>
      </c>
      <c r="AC1058">
        <f t="shared" si="386"/>
        <v>0</v>
      </c>
      <c r="AD1058" t="str">
        <f t="shared" si="387"/>
        <v>|0</v>
      </c>
      <c r="AE1058" t="str">
        <f t="shared" si="388"/>
        <v/>
      </c>
      <c r="AF1058" t="str">
        <f t="shared" si="389"/>
        <v/>
      </c>
      <c r="AG1058" t="str">
        <f t="shared" si="390"/>
        <v/>
      </c>
      <c r="AH1058" t="str">
        <f t="shared" si="391"/>
        <v/>
      </c>
      <c r="AI1058" t="str">
        <f t="shared" si="392"/>
        <v/>
      </c>
      <c r="AJ1058" t="str">
        <f t="shared" si="393"/>
        <v/>
      </c>
      <c r="AK1058" t="str">
        <f t="shared" si="394"/>
        <v/>
      </c>
      <c r="AL1058" t="str">
        <f t="shared" si="395"/>
        <v/>
      </c>
      <c r="AM1058" t="str">
        <f t="shared" si="396"/>
        <v/>
      </c>
      <c r="AN1058" t="str">
        <f t="shared" si="397"/>
        <v/>
      </c>
      <c r="AO1058" t="str">
        <f t="shared" si="398"/>
        <v/>
      </c>
      <c r="AP1058">
        <f t="shared" si="399"/>
        <v>1</v>
      </c>
      <c r="AQ1058" t="str">
        <f>IF(SAISIE!$F1063="","",SAISIE!$Y1063)</f>
        <v/>
      </c>
      <c r="AR1058" t="str">
        <f>IF(OR(SAISIE!$U$4="",SAISIE!$W$4=""),"",IF(AND($A1058=SAISIE!$U$4,$B1058=SAISIE!$W$4,$C1058="S1"),COUNTIFS($A$2:$A1058,SAISIE!$U$4,$B$2:$B1058,SAISIE!$W$4,$C$2:$C1058,"S1"),""))</f>
        <v/>
      </c>
      <c r="AS1058" t="str">
        <f t="shared" si="400"/>
        <v/>
      </c>
      <c r="AT1058" t="str">
        <f t="shared" si="401"/>
        <v/>
      </c>
      <c r="AU1058" t="str">
        <f t="shared" si="402"/>
        <v/>
      </c>
      <c r="AV1058">
        <f>N(AV1057)+IF(AND($AB1058&lt;&gt;"",OR('PROFIL ELEVE'!$K$4="(Tous)",$AF1058='PROFIL ELEVE'!$K$4)),1,0)</f>
        <v>0</v>
      </c>
      <c r="AW1058">
        <f>N(AW1057)+IF(AND($AB1058&lt;&gt;"",OR('SUIVI LONGITUDINAL'!$Q$4="(Tous)",$AF1058='SUIVI LONGITUDINAL'!$Q$4)),1,0)</f>
        <v>0</v>
      </c>
      <c r="AX1058">
        <f t="shared" si="403"/>
        <v>0</v>
      </c>
      <c r="AY1058">
        <f t="shared" si="404"/>
        <v>0</v>
      </c>
      <c r="AZ1058">
        <f t="shared" si="405"/>
        <v>0</v>
      </c>
      <c r="BA1058" t="str">
        <f t="shared" si="406"/>
        <v/>
      </c>
      <c r="BB1058" t="str">
        <f t="shared" si="407"/>
        <v/>
      </c>
    </row>
    <row r="1059" spans="1:54" ht="14.25" customHeight="1" x14ac:dyDescent="0.3">
      <c r="A1059" t="str">
        <f>IF(SAISIE!$F1064="","",SAISIE!$B1064)</f>
        <v/>
      </c>
      <c r="B1059" t="str">
        <f>IF(SAISIE!$F1064="","",SAISIE!$C1064)</f>
        <v/>
      </c>
      <c r="C1059" t="str">
        <f>IF(SAISIE!$F1064="","",SAISIE!$D1064)</f>
        <v/>
      </c>
      <c r="D1059" t="str">
        <f>IF(SAISIE!$E1064="","",SAISIE!$E1064)</f>
        <v/>
      </c>
      <c r="E1059" t="str">
        <f>IF(SAISIE!$F1064="","",SAISIE!$F1064)</f>
        <v/>
      </c>
      <c r="F1059" t="str">
        <f>IF(SAISIE!$G1064="","",SAISIE!$G1064)</f>
        <v/>
      </c>
      <c r="G1059" t="str">
        <f>IF(SAISIE!$H1064="","",SAISIE!$H1064)</f>
        <v/>
      </c>
      <c r="H1059" t="str">
        <f>IF(SAISIE!$I1064="","",SAISIE!$I1064)</f>
        <v/>
      </c>
      <c r="I1059" t="str">
        <f>IF(SAISIE!$J1064="","",SAISIE!$J1064)</f>
        <v/>
      </c>
      <c r="J1059" t="str">
        <f>IF(SAISIE!$K1064="","",SAISIE!$K1064)</f>
        <v/>
      </c>
      <c r="K1059" t="str">
        <f>IF(SAISIE!$L1064="","",SAISIE!$L1064)</f>
        <v/>
      </c>
      <c r="L1059" t="str">
        <f>IF(SAISIE!$M1064="","",SAISIE!$M1064)</f>
        <v/>
      </c>
      <c r="M1059" t="str">
        <f>IF(SAISIE!$N1064="","",SAISIE!$N1064)</f>
        <v/>
      </c>
      <c r="N1059" t="str">
        <f>IF(SAISIE!$O1064="","",SAISIE!$O1064)</f>
        <v/>
      </c>
      <c r="O1059" t="str">
        <f>IF(SAISIE!$P1064="","",SAISIE!$P1064)</f>
        <v/>
      </c>
      <c r="P1059" t="str">
        <f>IF(SAISIE!$Q1064="","",SAISIE!$Q1064)</f>
        <v/>
      </c>
      <c r="Q1059" t="str">
        <f>IF($I1059="","",IF($I1059&gt;PARAMETRES!$G$29,5,IF($I1059&gt;PARAMETRES!$F$29,4,IF($I1059&gt;PARAMETRES!$E$29,3,IF($I1059&gt;PARAMETRES!$D$29,2,1)))))</f>
        <v/>
      </c>
      <c r="R1059" t="str">
        <f>IF($J1059="","",IF($J1059&gt;PARAMETRES!$G$30,5,IF($J1059&gt;PARAMETRES!$F$30,4,IF($J1059&gt;PARAMETRES!$E$30,3,IF($J1059&gt;PARAMETRES!$D$30,2,1)))))</f>
        <v/>
      </c>
      <c r="S1059" t="str">
        <f>IF($K1059="","",IF($Z1059=2,IF($K1059&gt;PARAMETRES!$G$31,5,IF($K1059&gt;PARAMETRES!$F$31,4,IF($K1059&gt;PARAMETRES!$E$31,3,IF($K1059&gt;PARAMETRES!$D$31,2,1)))),IF($K1059&gt;PARAMETRES!$G$32,5,IF($K1059&gt;PARAMETRES!$F$32,4,IF($K1059&gt;PARAMETRES!$E$32,3,IF($K1059&gt;PARAMETRES!$D$32,2,1))))))</f>
        <v/>
      </c>
      <c r="T1059" t="str">
        <f>IF($L1059="","",IF($L1059&gt;PARAMETRES!$G$33,5,IF($L1059&gt;PARAMETRES!$F$33,4,IF($L1059&gt;PARAMETRES!$E$33,3,IF($L1059&gt;PARAMETRES!$D$33,2,1)))))</f>
        <v/>
      </c>
      <c r="U1059" t="str">
        <f>IF($M1059="","",IF($M1059&gt;PARAMETRES!$G$34,5,IF($M1059&gt;PARAMETRES!$F$34,4,IF($M1059&gt;PARAMETRES!$E$34,3,IF($M1059&gt;PARAMETRES!$D$34,2,1)))))</f>
        <v/>
      </c>
      <c r="V1059" t="str">
        <f>IF($N1059="","",IF($N1059&gt;PARAMETRES!$G$35,5,IF($N1059&gt;PARAMETRES!$F$35,4,IF($N1059&gt;PARAMETRES!$E$35,3,IF($N1059&gt;PARAMETRES!$D$35,2,1)))))</f>
        <v/>
      </c>
      <c r="W1059" t="str">
        <f>IF($O1059="","",IF($O1059&gt;PARAMETRES!$G$36,5,IF($O1059&gt;PARAMETRES!$F$36,4,IF($O1059&gt;PARAMETRES!$E$36,3,IF($O1059&gt;PARAMETRES!$D$36,2,1)))))</f>
        <v/>
      </c>
      <c r="X1059" t="str">
        <f>IF($P1059="","",IF($P1059&gt;PARAMETRES!$G$37,5,IF($P1059&gt;PARAMETRES!$F$37,4,IF($P1059&gt;PARAMETRES!$E$37,3,IF($P1059&gt;PARAMETRES!$D$37,2,1)))))</f>
        <v/>
      </c>
      <c r="Y1059" t="str">
        <f t="shared" si="384"/>
        <v/>
      </c>
      <c r="Z1059" t="str">
        <f>IFERROR(VLOOKUP($B1059,TABLE_CYCLE,2,0),"")</f>
        <v/>
      </c>
      <c r="AA1059" t="str">
        <f t="shared" si="385"/>
        <v/>
      </c>
      <c r="AB1059" t="str">
        <f>IF($D1059="","",IF(COUNTIF($D$2:$D1059,$D1059)=1,$D1059,""))</f>
        <v/>
      </c>
      <c r="AC1059">
        <f t="shared" si="386"/>
        <v>0</v>
      </c>
      <c r="AD1059" t="str">
        <f t="shared" si="387"/>
        <v>|0</v>
      </c>
      <c r="AE1059" t="str">
        <f t="shared" si="388"/>
        <v/>
      </c>
      <c r="AF1059" t="str">
        <f t="shared" si="389"/>
        <v/>
      </c>
      <c r="AG1059" t="str">
        <f t="shared" si="390"/>
        <v/>
      </c>
      <c r="AH1059" t="str">
        <f t="shared" si="391"/>
        <v/>
      </c>
      <c r="AI1059" t="str">
        <f t="shared" si="392"/>
        <v/>
      </c>
      <c r="AJ1059" t="str">
        <f t="shared" si="393"/>
        <v/>
      </c>
      <c r="AK1059" t="str">
        <f t="shared" si="394"/>
        <v/>
      </c>
      <c r="AL1059" t="str">
        <f t="shared" si="395"/>
        <v/>
      </c>
      <c r="AM1059" t="str">
        <f t="shared" si="396"/>
        <v/>
      </c>
      <c r="AN1059" t="str">
        <f t="shared" si="397"/>
        <v/>
      </c>
      <c r="AO1059" t="str">
        <f t="shared" si="398"/>
        <v/>
      </c>
      <c r="AP1059">
        <f t="shared" si="399"/>
        <v>1</v>
      </c>
      <c r="AQ1059" t="str">
        <f>IF(SAISIE!$F1064="","",SAISIE!$Y1064)</f>
        <v/>
      </c>
      <c r="AR1059" t="str">
        <f>IF(OR(SAISIE!$U$4="",SAISIE!$W$4=""),"",IF(AND($A1059=SAISIE!$U$4,$B1059=SAISIE!$W$4,$C1059="S1"),COUNTIFS($A$2:$A1059,SAISIE!$U$4,$B$2:$B1059,SAISIE!$W$4,$C$2:$C1059,"S1"),""))</f>
        <v/>
      </c>
      <c r="AS1059" t="str">
        <f t="shared" si="400"/>
        <v/>
      </c>
      <c r="AT1059" t="str">
        <f t="shared" si="401"/>
        <v/>
      </c>
      <c r="AU1059" t="str">
        <f t="shared" si="402"/>
        <v/>
      </c>
      <c r="AV1059">
        <f>N(AV1058)+IF(AND($AB1059&lt;&gt;"",OR('PROFIL ELEVE'!$K$4="(Tous)",$AF1059='PROFIL ELEVE'!$K$4)),1,0)</f>
        <v>0</v>
      </c>
      <c r="AW1059">
        <f>N(AW1058)+IF(AND($AB1059&lt;&gt;"",OR('SUIVI LONGITUDINAL'!$Q$4="(Tous)",$AF1059='SUIVI LONGITUDINAL'!$Q$4)),1,0)</f>
        <v>0</v>
      </c>
      <c r="AX1059">
        <f t="shared" si="403"/>
        <v>0</v>
      </c>
      <c r="AY1059">
        <f t="shared" si="404"/>
        <v>0</v>
      </c>
      <c r="AZ1059">
        <f t="shared" si="405"/>
        <v>0</v>
      </c>
      <c r="BA1059" t="str">
        <f t="shared" si="406"/>
        <v/>
      </c>
      <c r="BB1059" t="str">
        <f t="shared" si="407"/>
        <v/>
      </c>
    </row>
    <row r="1060" spans="1:54" ht="14.25" customHeight="1" x14ac:dyDescent="0.3">
      <c r="A1060" t="str">
        <f>IF(SAISIE!$F1065="","",SAISIE!$B1065)</f>
        <v/>
      </c>
      <c r="B1060" t="str">
        <f>IF(SAISIE!$F1065="","",SAISIE!$C1065)</f>
        <v/>
      </c>
      <c r="C1060" t="str">
        <f>IF(SAISIE!$F1065="","",SAISIE!$D1065)</f>
        <v/>
      </c>
      <c r="D1060" t="str">
        <f>IF(SAISIE!$E1065="","",SAISIE!$E1065)</f>
        <v/>
      </c>
      <c r="E1060" t="str">
        <f>IF(SAISIE!$F1065="","",SAISIE!$F1065)</f>
        <v/>
      </c>
      <c r="F1060" t="str">
        <f>IF(SAISIE!$G1065="","",SAISIE!$G1065)</f>
        <v/>
      </c>
      <c r="G1060" t="str">
        <f>IF(SAISIE!$H1065="","",SAISIE!$H1065)</f>
        <v/>
      </c>
      <c r="H1060" t="str">
        <f>IF(SAISIE!$I1065="","",SAISIE!$I1065)</f>
        <v/>
      </c>
      <c r="I1060" t="str">
        <f>IF(SAISIE!$J1065="","",SAISIE!$J1065)</f>
        <v/>
      </c>
      <c r="J1060" t="str">
        <f>IF(SAISIE!$K1065="","",SAISIE!$K1065)</f>
        <v/>
      </c>
      <c r="K1060" t="str">
        <f>IF(SAISIE!$L1065="","",SAISIE!$L1065)</f>
        <v/>
      </c>
      <c r="L1060" t="str">
        <f>IF(SAISIE!$M1065="","",SAISIE!$M1065)</f>
        <v/>
      </c>
      <c r="M1060" t="str">
        <f>IF(SAISIE!$N1065="","",SAISIE!$N1065)</f>
        <v/>
      </c>
      <c r="N1060" t="str">
        <f>IF(SAISIE!$O1065="","",SAISIE!$O1065)</f>
        <v/>
      </c>
      <c r="O1060" t="str">
        <f>IF(SAISIE!$P1065="","",SAISIE!$P1065)</f>
        <v/>
      </c>
      <c r="P1060" t="str">
        <f>IF(SAISIE!$Q1065="","",SAISIE!$Q1065)</f>
        <v/>
      </c>
      <c r="Q1060" t="str">
        <f>IF($I1060="","",IF($I1060&gt;PARAMETRES!$G$29,5,IF($I1060&gt;PARAMETRES!$F$29,4,IF($I1060&gt;PARAMETRES!$E$29,3,IF($I1060&gt;PARAMETRES!$D$29,2,1)))))</f>
        <v/>
      </c>
      <c r="R1060" t="str">
        <f>IF($J1060="","",IF($J1060&gt;PARAMETRES!$G$30,5,IF($J1060&gt;PARAMETRES!$F$30,4,IF($J1060&gt;PARAMETRES!$E$30,3,IF($J1060&gt;PARAMETRES!$D$30,2,1)))))</f>
        <v/>
      </c>
      <c r="S1060" t="str">
        <f>IF($K1060="","",IF($Z1060=2,IF($K1060&gt;PARAMETRES!$G$31,5,IF($K1060&gt;PARAMETRES!$F$31,4,IF($K1060&gt;PARAMETRES!$E$31,3,IF($K1060&gt;PARAMETRES!$D$31,2,1)))),IF($K1060&gt;PARAMETRES!$G$32,5,IF($K1060&gt;PARAMETRES!$F$32,4,IF($K1060&gt;PARAMETRES!$E$32,3,IF($K1060&gt;PARAMETRES!$D$32,2,1))))))</f>
        <v/>
      </c>
      <c r="T1060" t="str">
        <f>IF($L1060="","",IF($L1060&gt;PARAMETRES!$G$33,5,IF($L1060&gt;PARAMETRES!$F$33,4,IF($L1060&gt;PARAMETRES!$E$33,3,IF($L1060&gt;PARAMETRES!$D$33,2,1)))))</f>
        <v/>
      </c>
      <c r="U1060" t="str">
        <f>IF($M1060="","",IF($M1060&gt;PARAMETRES!$G$34,5,IF($M1060&gt;PARAMETRES!$F$34,4,IF($M1060&gt;PARAMETRES!$E$34,3,IF($M1060&gt;PARAMETRES!$D$34,2,1)))))</f>
        <v/>
      </c>
      <c r="V1060" t="str">
        <f>IF($N1060="","",IF($N1060&gt;PARAMETRES!$G$35,5,IF($N1060&gt;PARAMETRES!$F$35,4,IF($N1060&gt;PARAMETRES!$E$35,3,IF($N1060&gt;PARAMETRES!$D$35,2,1)))))</f>
        <v/>
      </c>
      <c r="W1060" t="str">
        <f>IF($O1060="","",IF($O1060&gt;PARAMETRES!$G$36,5,IF($O1060&gt;PARAMETRES!$F$36,4,IF($O1060&gt;PARAMETRES!$E$36,3,IF($O1060&gt;PARAMETRES!$D$36,2,1)))))</f>
        <v/>
      </c>
      <c r="X1060" t="str">
        <f>IF($P1060="","",IF($P1060&gt;PARAMETRES!$G$37,5,IF($P1060&gt;PARAMETRES!$F$37,4,IF($P1060&gt;PARAMETRES!$E$37,3,IF($P1060&gt;PARAMETRES!$D$37,2,1)))))</f>
        <v/>
      </c>
      <c r="Y1060" t="str">
        <f t="shared" si="384"/>
        <v/>
      </c>
      <c r="Z1060" t="str">
        <f>IFERROR(VLOOKUP($B1060,TABLE_CYCLE,2,0),"")</f>
        <v/>
      </c>
      <c r="AA1060" t="str">
        <f t="shared" si="385"/>
        <v/>
      </c>
      <c r="AB1060" t="str">
        <f>IF($D1060="","",IF(COUNTIF($D$2:$D1060,$D1060)=1,$D1060,""))</f>
        <v/>
      </c>
      <c r="AC1060">
        <f t="shared" si="386"/>
        <v>0</v>
      </c>
      <c r="AD1060" t="str">
        <f t="shared" si="387"/>
        <v>|0</v>
      </c>
      <c r="AE1060" t="str">
        <f t="shared" si="388"/>
        <v/>
      </c>
      <c r="AF1060" t="str">
        <f t="shared" si="389"/>
        <v/>
      </c>
      <c r="AG1060" t="str">
        <f t="shared" si="390"/>
        <v/>
      </c>
      <c r="AH1060" t="str">
        <f t="shared" si="391"/>
        <v/>
      </c>
      <c r="AI1060" t="str">
        <f t="shared" si="392"/>
        <v/>
      </c>
      <c r="AJ1060" t="str">
        <f t="shared" si="393"/>
        <v/>
      </c>
      <c r="AK1060" t="str">
        <f t="shared" si="394"/>
        <v/>
      </c>
      <c r="AL1060" t="str">
        <f t="shared" si="395"/>
        <v/>
      </c>
      <c r="AM1060" t="str">
        <f t="shared" si="396"/>
        <v/>
      </c>
      <c r="AN1060" t="str">
        <f t="shared" si="397"/>
        <v/>
      </c>
      <c r="AO1060" t="str">
        <f t="shared" si="398"/>
        <v/>
      </c>
      <c r="AP1060">
        <f t="shared" si="399"/>
        <v>1</v>
      </c>
      <c r="AQ1060" t="str">
        <f>IF(SAISIE!$F1065="","",SAISIE!$Y1065)</f>
        <v/>
      </c>
      <c r="AR1060" t="str">
        <f>IF(OR(SAISIE!$U$4="",SAISIE!$W$4=""),"",IF(AND($A1060=SAISIE!$U$4,$B1060=SAISIE!$W$4,$C1060="S1"),COUNTIFS($A$2:$A1060,SAISIE!$U$4,$B$2:$B1060,SAISIE!$W$4,$C$2:$C1060,"S1"),""))</f>
        <v/>
      </c>
      <c r="AS1060" t="str">
        <f t="shared" si="400"/>
        <v/>
      </c>
      <c r="AT1060" t="str">
        <f t="shared" si="401"/>
        <v/>
      </c>
      <c r="AU1060" t="str">
        <f t="shared" si="402"/>
        <v/>
      </c>
      <c r="AV1060">
        <f>N(AV1059)+IF(AND($AB1060&lt;&gt;"",OR('PROFIL ELEVE'!$K$4="(Tous)",$AF1060='PROFIL ELEVE'!$K$4)),1,0)</f>
        <v>0</v>
      </c>
      <c r="AW1060">
        <f>N(AW1059)+IF(AND($AB1060&lt;&gt;"",OR('SUIVI LONGITUDINAL'!$Q$4="(Tous)",$AF1060='SUIVI LONGITUDINAL'!$Q$4)),1,0)</f>
        <v>0</v>
      </c>
      <c r="AX1060">
        <f t="shared" si="403"/>
        <v>0</v>
      </c>
      <c r="AY1060">
        <f t="shared" si="404"/>
        <v>0</v>
      </c>
      <c r="AZ1060">
        <f t="shared" si="405"/>
        <v>0</v>
      </c>
      <c r="BA1060" t="str">
        <f t="shared" si="406"/>
        <v/>
      </c>
      <c r="BB1060" t="str">
        <f t="shared" si="407"/>
        <v/>
      </c>
    </row>
    <row r="1061" spans="1:54" ht="14.25" customHeight="1" x14ac:dyDescent="0.3">
      <c r="A1061" t="str">
        <f>IF(SAISIE!$F1066="","",SAISIE!$B1066)</f>
        <v/>
      </c>
      <c r="B1061" t="str">
        <f>IF(SAISIE!$F1066="","",SAISIE!$C1066)</f>
        <v/>
      </c>
      <c r="C1061" t="str">
        <f>IF(SAISIE!$F1066="","",SAISIE!$D1066)</f>
        <v/>
      </c>
      <c r="D1061" t="str">
        <f>IF(SAISIE!$E1066="","",SAISIE!$E1066)</f>
        <v/>
      </c>
      <c r="E1061" t="str">
        <f>IF(SAISIE!$F1066="","",SAISIE!$F1066)</f>
        <v/>
      </c>
      <c r="F1061" t="str">
        <f>IF(SAISIE!$G1066="","",SAISIE!$G1066)</f>
        <v/>
      </c>
      <c r="G1061" t="str">
        <f>IF(SAISIE!$H1066="","",SAISIE!$H1066)</f>
        <v/>
      </c>
      <c r="H1061" t="str">
        <f>IF(SAISIE!$I1066="","",SAISIE!$I1066)</f>
        <v/>
      </c>
      <c r="I1061" t="str">
        <f>IF(SAISIE!$J1066="","",SAISIE!$J1066)</f>
        <v/>
      </c>
      <c r="J1061" t="str">
        <f>IF(SAISIE!$K1066="","",SAISIE!$K1066)</f>
        <v/>
      </c>
      <c r="K1061" t="str">
        <f>IF(SAISIE!$L1066="","",SAISIE!$L1066)</f>
        <v/>
      </c>
      <c r="L1061" t="str">
        <f>IF(SAISIE!$M1066="","",SAISIE!$M1066)</f>
        <v/>
      </c>
      <c r="M1061" t="str">
        <f>IF(SAISIE!$N1066="","",SAISIE!$N1066)</f>
        <v/>
      </c>
      <c r="N1061" t="str">
        <f>IF(SAISIE!$O1066="","",SAISIE!$O1066)</f>
        <v/>
      </c>
      <c r="O1061" t="str">
        <f>IF(SAISIE!$P1066="","",SAISIE!$P1066)</f>
        <v/>
      </c>
      <c r="P1061" t="str">
        <f>IF(SAISIE!$Q1066="","",SAISIE!$Q1066)</f>
        <v/>
      </c>
      <c r="Q1061" t="str">
        <f>IF($I1061="","",IF($I1061&gt;PARAMETRES!$G$29,5,IF($I1061&gt;PARAMETRES!$F$29,4,IF($I1061&gt;PARAMETRES!$E$29,3,IF($I1061&gt;PARAMETRES!$D$29,2,1)))))</f>
        <v/>
      </c>
      <c r="R1061" t="str">
        <f>IF($J1061="","",IF($J1061&gt;PARAMETRES!$G$30,5,IF($J1061&gt;PARAMETRES!$F$30,4,IF($J1061&gt;PARAMETRES!$E$30,3,IF($J1061&gt;PARAMETRES!$D$30,2,1)))))</f>
        <v/>
      </c>
      <c r="S1061" t="str">
        <f>IF($K1061="","",IF($Z1061=2,IF($K1061&gt;PARAMETRES!$G$31,5,IF($K1061&gt;PARAMETRES!$F$31,4,IF($K1061&gt;PARAMETRES!$E$31,3,IF($K1061&gt;PARAMETRES!$D$31,2,1)))),IF($K1061&gt;PARAMETRES!$G$32,5,IF($K1061&gt;PARAMETRES!$F$32,4,IF($K1061&gt;PARAMETRES!$E$32,3,IF($K1061&gt;PARAMETRES!$D$32,2,1))))))</f>
        <v/>
      </c>
      <c r="T1061" t="str">
        <f>IF($L1061="","",IF($L1061&gt;PARAMETRES!$G$33,5,IF($L1061&gt;PARAMETRES!$F$33,4,IF($L1061&gt;PARAMETRES!$E$33,3,IF($L1061&gt;PARAMETRES!$D$33,2,1)))))</f>
        <v/>
      </c>
      <c r="U1061" t="str">
        <f>IF($M1061="","",IF($M1061&gt;PARAMETRES!$G$34,5,IF($M1061&gt;PARAMETRES!$F$34,4,IF($M1061&gt;PARAMETRES!$E$34,3,IF($M1061&gt;PARAMETRES!$D$34,2,1)))))</f>
        <v/>
      </c>
      <c r="V1061" t="str">
        <f>IF($N1061="","",IF($N1061&gt;PARAMETRES!$G$35,5,IF($N1061&gt;PARAMETRES!$F$35,4,IF($N1061&gt;PARAMETRES!$E$35,3,IF($N1061&gt;PARAMETRES!$D$35,2,1)))))</f>
        <v/>
      </c>
      <c r="W1061" t="str">
        <f>IF($O1061="","",IF($O1061&gt;PARAMETRES!$G$36,5,IF($O1061&gt;PARAMETRES!$F$36,4,IF($O1061&gt;PARAMETRES!$E$36,3,IF($O1061&gt;PARAMETRES!$D$36,2,1)))))</f>
        <v/>
      </c>
      <c r="X1061" t="str">
        <f>IF($P1061="","",IF($P1061&gt;PARAMETRES!$G$37,5,IF($P1061&gt;PARAMETRES!$F$37,4,IF($P1061&gt;PARAMETRES!$E$37,3,IF($P1061&gt;PARAMETRES!$D$37,2,1)))))</f>
        <v/>
      </c>
      <c r="Y1061" t="str">
        <f t="shared" si="384"/>
        <v/>
      </c>
      <c r="Z1061" t="str">
        <f>IFERROR(VLOOKUP($B1061,TABLE_CYCLE,2,0),"")</f>
        <v/>
      </c>
      <c r="AA1061" t="str">
        <f t="shared" si="385"/>
        <v/>
      </c>
      <c r="AB1061" t="str">
        <f>IF($D1061="","",IF(COUNTIF($D$2:$D1061,$D1061)=1,$D1061,""))</f>
        <v/>
      </c>
      <c r="AC1061">
        <f t="shared" si="386"/>
        <v>0</v>
      </c>
      <c r="AD1061" t="str">
        <f t="shared" si="387"/>
        <v>|0</v>
      </c>
      <c r="AE1061" t="str">
        <f t="shared" si="388"/>
        <v/>
      </c>
      <c r="AF1061" t="str">
        <f t="shared" si="389"/>
        <v/>
      </c>
      <c r="AG1061" t="str">
        <f t="shared" si="390"/>
        <v/>
      </c>
      <c r="AH1061" t="str">
        <f t="shared" si="391"/>
        <v/>
      </c>
      <c r="AI1061" t="str">
        <f t="shared" si="392"/>
        <v/>
      </c>
      <c r="AJ1061" t="str">
        <f t="shared" si="393"/>
        <v/>
      </c>
      <c r="AK1061" t="str">
        <f t="shared" si="394"/>
        <v/>
      </c>
      <c r="AL1061" t="str">
        <f t="shared" si="395"/>
        <v/>
      </c>
      <c r="AM1061" t="str">
        <f t="shared" si="396"/>
        <v/>
      </c>
      <c r="AN1061" t="str">
        <f t="shared" si="397"/>
        <v/>
      </c>
      <c r="AO1061" t="str">
        <f t="shared" si="398"/>
        <v/>
      </c>
      <c r="AP1061">
        <f t="shared" si="399"/>
        <v>1</v>
      </c>
      <c r="AQ1061" t="str">
        <f>IF(SAISIE!$F1066="","",SAISIE!$Y1066)</f>
        <v/>
      </c>
      <c r="AR1061" t="str">
        <f>IF(OR(SAISIE!$U$4="",SAISIE!$W$4=""),"",IF(AND($A1061=SAISIE!$U$4,$B1061=SAISIE!$W$4,$C1061="S1"),COUNTIFS($A$2:$A1061,SAISIE!$U$4,$B$2:$B1061,SAISIE!$W$4,$C$2:$C1061,"S1"),""))</f>
        <v/>
      </c>
      <c r="AS1061" t="str">
        <f t="shared" si="400"/>
        <v/>
      </c>
      <c r="AT1061" t="str">
        <f t="shared" si="401"/>
        <v/>
      </c>
      <c r="AU1061" t="str">
        <f t="shared" si="402"/>
        <v/>
      </c>
      <c r="AV1061">
        <f>N(AV1060)+IF(AND($AB1061&lt;&gt;"",OR('PROFIL ELEVE'!$K$4="(Tous)",$AF1061='PROFIL ELEVE'!$K$4)),1,0)</f>
        <v>0</v>
      </c>
      <c r="AW1061">
        <f>N(AW1060)+IF(AND($AB1061&lt;&gt;"",OR('SUIVI LONGITUDINAL'!$Q$4="(Tous)",$AF1061='SUIVI LONGITUDINAL'!$Q$4)),1,0)</f>
        <v>0</v>
      </c>
      <c r="AX1061">
        <f t="shared" si="403"/>
        <v>0</v>
      </c>
      <c r="AY1061">
        <f t="shared" si="404"/>
        <v>0</v>
      </c>
      <c r="AZ1061">
        <f t="shared" si="405"/>
        <v>0</v>
      </c>
      <c r="BA1061" t="str">
        <f t="shared" si="406"/>
        <v/>
      </c>
      <c r="BB1061" t="str">
        <f t="shared" si="407"/>
        <v/>
      </c>
    </row>
    <row r="1062" spans="1:54" ht="14.25" customHeight="1" x14ac:dyDescent="0.3">
      <c r="A1062" t="str">
        <f>IF(SAISIE!$F1067="","",SAISIE!$B1067)</f>
        <v/>
      </c>
      <c r="B1062" t="str">
        <f>IF(SAISIE!$F1067="","",SAISIE!$C1067)</f>
        <v/>
      </c>
      <c r="C1062" t="str">
        <f>IF(SAISIE!$F1067="","",SAISIE!$D1067)</f>
        <v/>
      </c>
      <c r="D1062" t="str">
        <f>IF(SAISIE!$E1067="","",SAISIE!$E1067)</f>
        <v/>
      </c>
      <c r="E1062" t="str">
        <f>IF(SAISIE!$F1067="","",SAISIE!$F1067)</f>
        <v/>
      </c>
      <c r="F1062" t="str">
        <f>IF(SAISIE!$G1067="","",SAISIE!$G1067)</f>
        <v/>
      </c>
      <c r="G1062" t="str">
        <f>IF(SAISIE!$H1067="","",SAISIE!$H1067)</f>
        <v/>
      </c>
      <c r="H1062" t="str">
        <f>IF(SAISIE!$I1067="","",SAISIE!$I1067)</f>
        <v/>
      </c>
      <c r="I1062" t="str">
        <f>IF(SAISIE!$J1067="","",SAISIE!$J1067)</f>
        <v/>
      </c>
      <c r="J1062" t="str">
        <f>IF(SAISIE!$K1067="","",SAISIE!$K1067)</f>
        <v/>
      </c>
      <c r="K1062" t="str">
        <f>IF(SAISIE!$L1067="","",SAISIE!$L1067)</f>
        <v/>
      </c>
      <c r="L1062" t="str">
        <f>IF(SAISIE!$M1067="","",SAISIE!$M1067)</f>
        <v/>
      </c>
      <c r="M1062" t="str">
        <f>IF(SAISIE!$N1067="","",SAISIE!$N1067)</f>
        <v/>
      </c>
      <c r="N1062" t="str">
        <f>IF(SAISIE!$O1067="","",SAISIE!$O1067)</f>
        <v/>
      </c>
      <c r="O1062" t="str">
        <f>IF(SAISIE!$P1067="","",SAISIE!$P1067)</f>
        <v/>
      </c>
      <c r="P1062" t="str">
        <f>IF(SAISIE!$Q1067="","",SAISIE!$Q1067)</f>
        <v/>
      </c>
      <c r="Q1062" t="str">
        <f>IF($I1062="","",IF($I1062&gt;PARAMETRES!$G$29,5,IF($I1062&gt;PARAMETRES!$F$29,4,IF($I1062&gt;PARAMETRES!$E$29,3,IF($I1062&gt;PARAMETRES!$D$29,2,1)))))</f>
        <v/>
      </c>
      <c r="R1062" t="str">
        <f>IF($J1062="","",IF($J1062&gt;PARAMETRES!$G$30,5,IF($J1062&gt;PARAMETRES!$F$30,4,IF($J1062&gt;PARAMETRES!$E$30,3,IF($J1062&gt;PARAMETRES!$D$30,2,1)))))</f>
        <v/>
      </c>
      <c r="S1062" t="str">
        <f>IF($K1062="","",IF($Z1062=2,IF($K1062&gt;PARAMETRES!$G$31,5,IF($K1062&gt;PARAMETRES!$F$31,4,IF($K1062&gt;PARAMETRES!$E$31,3,IF($K1062&gt;PARAMETRES!$D$31,2,1)))),IF($K1062&gt;PARAMETRES!$G$32,5,IF($K1062&gt;PARAMETRES!$F$32,4,IF($K1062&gt;PARAMETRES!$E$32,3,IF($K1062&gt;PARAMETRES!$D$32,2,1))))))</f>
        <v/>
      </c>
      <c r="T1062" t="str">
        <f>IF($L1062="","",IF($L1062&gt;PARAMETRES!$G$33,5,IF($L1062&gt;PARAMETRES!$F$33,4,IF($L1062&gt;PARAMETRES!$E$33,3,IF($L1062&gt;PARAMETRES!$D$33,2,1)))))</f>
        <v/>
      </c>
      <c r="U1062" t="str">
        <f>IF($M1062="","",IF($M1062&gt;PARAMETRES!$G$34,5,IF($M1062&gt;PARAMETRES!$F$34,4,IF($M1062&gt;PARAMETRES!$E$34,3,IF($M1062&gt;PARAMETRES!$D$34,2,1)))))</f>
        <v/>
      </c>
      <c r="V1062" t="str">
        <f>IF($N1062="","",IF($N1062&gt;PARAMETRES!$G$35,5,IF($N1062&gt;PARAMETRES!$F$35,4,IF($N1062&gt;PARAMETRES!$E$35,3,IF($N1062&gt;PARAMETRES!$D$35,2,1)))))</f>
        <v/>
      </c>
      <c r="W1062" t="str">
        <f>IF($O1062="","",IF($O1062&gt;PARAMETRES!$G$36,5,IF($O1062&gt;PARAMETRES!$F$36,4,IF($O1062&gt;PARAMETRES!$E$36,3,IF($O1062&gt;PARAMETRES!$D$36,2,1)))))</f>
        <v/>
      </c>
      <c r="X1062" t="str">
        <f>IF($P1062="","",IF($P1062&gt;PARAMETRES!$G$37,5,IF($P1062&gt;PARAMETRES!$F$37,4,IF($P1062&gt;PARAMETRES!$E$37,3,IF($P1062&gt;PARAMETRES!$D$37,2,1)))))</f>
        <v/>
      </c>
      <c r="Y1062" t="str">
        <f t="shared" si="384"/>
        <v/>
      </c>
      <c r="Z1062" t="str">
        <f>IFERROR(VLOOKUP($B1062,TABLE_CYCLE,2,0),"")</f>
        <v/>
      </c>
      <c r="AA1062" t="str">
        <f t="shared" si="385"/>
        <v/>
      </c>
      <c r="AB1062" t="str">
        <f>IF($D1062="","",IF(COUNTIF($D$2:$D1062,$D1062)=1,$D1062,""))</f>
        <v/>
      </c>
      <c r="AC1062">
        <f t="shared" si="386"/>
        <v>0</v>
      </c>
      <c r="AD1062" t="str">
        <f t="shared" si="387"/>
        <v>|0</v>
      </c>
      <c r="AE1062" t="str">
        <f t="shared" si="388"/>
        <v/>
      </c>
      <c r="AF1062" t="str">
        <f t="shared" si="389"/>
        <v/>
      </c>
      <c r="AG1062" t="str">
        <f t="shared" si="390"/>
        <v/>
      </c>
      <c r="AH1062" t="str">
        <f t="shared" si="391"/>
        <v/>
      </c>
      <c r="AI1062" t="str">
        <f t="shared" si="392"/>
        <v/>
      </c>
      <c r="AJ1062" t="str">
        <f t="shared" si="393"/>
        <v/>
      </c>
      <c r="AK1062" t="str">
        <f t="shared" si="394"/>
        <v/>
      </c>
      <c r="AL1062" t="str">
        <f t="shared" si="395"/>
        <v/>
      </c>
      <c r="AM1062" t="str">
        <f t="shared" si="396"/>
        <v/>
      </c>
      <c r="AN1062" t="str">
        <f t="shared" si="397"/>
        <v/>
      </c>
      <c r="AO1062" t="str">
        <f t="shared" si="398"/>
        <v/>
      </c>
      <c r="AP1062">
        <f t="shared" si="399"/>
        <v>1</v>
      </c>
      <c r="AQ1062" t="str">
        <f>IF(SAISIE!$F1067="","",SAISIE!$Y1067)</f>
        <v/>
      </c>
      <c r="AR1062" t="str">
        <f>IF(OR(SAISIE!$U$4="",SAISIE!$W$4=""),"",IF(AND($A1062=SAISIE!$U$4,$B1062=SAISIE!$W$4,$C1062="S1"),COUNTIFS($A$2:$A1062,SAISIE!$U$4,$B$2:$B1062,SAISIE!$W$4,$C$2:$C1062,"S1"),""))</f>
        <v/>
      </c>
      <c r="AS1062" t="str">
        <f t="shared" si="400"/>
        <v/>
      </c>
      <c r="AT1062" t="str">
        <f t="shared" si="401"/>
        <v/>
      </c>
      <c r="AU1062" t="str">
        <f t="shared" si="402"/>
        <v/>
      </c>
      <c r="AV1062">
        <f>N(AV1061)+IF(AND($AB1062&lt;&gt;"",OR('PROFIL ELEVE'!$K$4="(Tous)",$AF1062='PROFIL ELEVE'!$K$4)),1,0)</f>
        <v>0</v>
      </c>
      <c r="AW1062">
        <f>N(AW1061)+IF(AND($AB1062&lt;&gt;"",OR('SUIVI LONGITUDINAL'!$Q$4="(Tous)",$AF1062='SUIVI LONGITUDINAL'!$Q$4)),1,0)</f>
        <v>0</v>
      </c>
      <c r="AX1062">
        <f t="shared" si="403"/>
        <v>0</v>
      </c>
      <c r="AY1062">
        <f t="shared" si="404"/>
        <v>0</v>
      </c>
      <c r="AZ1062">
        <f t="shared" si="405"/>
        <v>0</v>
      </c>
      <c r="BA1062" t="str">
        <f t="shared" si="406"/>
        <v/>
      </c>
      <c r="BB1062" t="str">
        <f t="shared" si="407"/>
        <v/>
      </c>
    </row>
    <row r="1063" spans="1:54" ht="14.25" customHeight="1" x14ac:dyDescent="0.3">
      <c r="A1063" t="str">
        <f>IF(SAISIE!$F1068="","",SAISIE!$B1068)</f>
        <v/>
      </c>
      <c r="B1063" t="str">
        <f>IF(SAISIE!$F1068="","",SAISIE!$C1068)</f>
        <v/>
      </c>
      <c r="C1063" t="str">
        <f>IF(SAISIE!$F1068="","",SAISIE!$D1068)</f>
        <v/>
      </c>
      <c r="D1063" t="str">
        <f>IF(SAISIE!$E1068="","",SAISIE!$E1068)</f>
        <v/>
      </c>
      <c r="E1063" t="str">
        <f>IF(SAISIE!$F1068="","",SAISIE!$F1068)</f>
        <v/>
      </c>
      <c r="F1063" t="str">
        <f>IF(SAISIE!$G1068="","",SAISIE!$G1068)</f>
        <v/>
      </c>
      <c r="G1063" t="str">
        <f>IF(SAISIE!$H1068="","",SAISIE!$H1068)</f>
        <v/>
      </c>
      <c r="H1063" t="str">
        <f>IF(SAISIE!$I1068="","",SAISIE!$I1068)</f>
        <v/>
      </c>
      <c r="I1063" t="str">
        <f>IF(SAISIE!$J1068="","",SAISIE!$J1068)</f>
        <v/>
      </c>
      <c r="J1063" t="str">
        <f>IF(SAISIE!$K1068="","",SAISIE!$K1068)</f>
        <v/>
      </c>
      <c r="K1063" t="str">
        <f>IF(SAISIE!$L1068="","",SAISIE!$L1068)</f>
        <v/>
      </c>
      <c r="L1063" t="str">
        <f>IF(SAISIE!$M1068="","",SAISIE!$M1068)</f>
        <v/>
      </c>
      <c r="M1063" t="str">
        <f>IF(SAISIE!$N1068="","",SAISIE!$N1068)</f>
        <v/>
      </c>
      <c r="N1063" t="str">
        <f>IF(SAISIE!$O1068="","",SAISIE!$O1068)</f>
        <v/>
      </c>
      <c r="O1063" t="str">
        <f>IF(SAISIE!$P1068="","",SAISIE!$P1068)</f>
        <v/>
      </c>
      <c r="P1063" t="str">
        <f>IF(SAISIE!$Q1068="","",SAISIE!$Q1068)</f>
        <v/>
      </c>
      <c r="Q1063" t="str">
        <f>IF($I1063="","",IF($I1063&gt;PARAMETRES!$G$29,5,IF($I1063&gt;PARAMETRES!$F$29,4,IF($I1063&gt;PARAMETRES!$E$29,3,IF($I1063&gt;PARAMETRES!$D$29,2,1)))))</f>
        <v/>
      </c>
      <c r="R1063" t="str">
        <f>IF($J1063="","",IF($J1063&gt;PARAMETRES!$G$30,5,IF($J1063&gt;PARAMETRES!$F$30,4,IF($J1063&gt;PARAMETRES!$E$30,3,IF($J1063&gt;PARAMETRES!$D$30,2,1)))))</f>
        <v/>
      </c>
      <c r="S1063" t="str">
        <f>IF($K1063="","",IF($Z1063=2,IF($K1063&gt;PARAMETRES!$G$31,5,IF($K1063&gt;PARAMETRES!$F$31,4,IF($K1063&gt;PARAMETRES!$E$31,3,IF($K1063&gt;PARAMETRES!$D$31,2,1)))),IF($K1063&gt;PARAMETRES!$G$32,5,IF($K1063&gt;PARAMETRES!$F$32,4,IF($K1063&gt;PARAMETRES!$E$32,3,IF($K1063&gt;PARAMETRES!$D$32,2,1))))))</f>
        <v/>
      </c>
      <c r="T1063" t="str">
        <f>IF($L1063="","",IF($L1063&gt;PARAMETRES!$G$33,5,IF($L1063&gt;PARAMETRES!$F$33,4,IF($L1063&gt;PARAMETRES!$E$33,3,IF($L1063&gt;PARAMETRES!$D$33,2,1)))))</f>
        <v/>
      </c>
      <c r="U1063" t="str">
        <f>IF($M1063="","",IF($M1063&gt;PARAMETRES!$G$34,5,IF($M1063&gt;PARAMETRES!$F$34,4,IF($M1063&gt;PARAMETRES!$E$34,3,IF($M1063&gt;PARAMETRES!$D$34,2,1)))))</f>
        <v/>
      </c>
      <c r="V1063" t="str">
        <f>IF($N1063="","",IF($N1063&gt;PARAMETRES!$G$35,5,IF($N1063&gt;PARAMETRES!$F$35,4,IF($N1063&gt;PARAMETRES!$E$35,3,IF($N1063&gt;PARAMETRES!$D$35,2,1)))))</f>
        <v/>
      </c>
      <c r="W1063" t="str">
        <f>IF($O1063="","",IF($O1063&gt;PARAMETRES!$G$36,5,IF($O1063&gt;PARAMETRES!$F$36,4,IF($O1063&gt;PARAMETRES!$E$36,3,IF($O1063&gt;PARAMETRES!$D$36,2,1)))))</f>
        <v/>
      </c>
      <c r="X1063" t="str">
        <f>IF($P1063="","",IF($P1063&gt;PARAMETRES!$G$37,5,IF($P1063&gt;PARAMETRES!$F$37,4,IF($P1063&gt;PARAMETRES!$E$37,3,IF($P1063&gt;PARAMETRES!$D$37,2,1)))))</f>
        <v/>
      </c>
      <c r="Y1063" t="str">
        <f t="shared" si="384"/>
        <v/>
      </c>
      <c r="Z1063" t="str">
        <f>IFERROR(VLOOKUP($B1063,TABLE_CYCLE,2,0),"")</f>
        <v/>
      </c>
      <c r="AA1063" t="str">
        <f t="shared" si="385"/>
        <v/>
      </c>
      <c r="AB1063" t="str">
        <f>IF($D1063="","",IF(COUNTIF($D$2:$D1063,$D1063)=1,$D1063,""))</f>
        <v/>
      </c>
      <c r="AC1063">
        <f t="shared" si="386"/>
        <v>0</v>
      </c>
      <c r="AD1063" t="str">
        <f t="shared" si="387"/>
        <v>|0</v>
      </c>
      <c r="AE1063" t="str">
        <f t="shared" si="388"/>
        <v/>
      </c>
      <c r="AF1063" t="str">
        <f t="shared" si="389"/>
        <v/>
      </c>
      <c r="AG1063" t="str">
        <f t="shared" si="390"/>
        <v/>
      </c>
      <c r="AH1063" t="str">
        <f t="shared" si="391"/>
        <v/>
      </c>
      <c r="AI1063" t="str">
        <f t="shared" si="392"/>
        <v/>
      </c>
      <c r="AJ1063" t="str">
        <f t="shared" si="393"/>
        <v/>
      </c>
      <c r="AK1063" t="str">
        <f t="shared" si="394"/>
        <v/>
      </c>
      <c r="AL1063" t="str">
        <f t="shared" si="395"/>
        <v/>
      </c>
      <c r="AM1063" t="str">
        <f t="shared" si="396"/>
        <v/>
      </c>
      <c r="AN1063" t="str">
        <f t="shared" si="397"/>
        <v/>
      </c>
      <c r="AO1063" t="str">
        <f t="shared" si="398"/>
        <v/>
      </c>
      <c r="AP1063">
        <f t="shared" si="399"/>
        <v>1</v>
      </c>
      <c r="AQ1063" t="str">
        <f>IF(SAISIE!$F1068="","",SAISIE!$Y1068)</f>
        <v/>
      </c>
      <c r="AR1063" t="str">
        <f>IF(OR(SAISIE!$U$4="",SAISIE!$W$4=""),"",IF(AND($A1063=SAISIE!$U$4,$B1063=SAISIE!$W$4,$C1063="S1"),COUNTIFS($A$2:$A1063,SAISIE!$U$4,$B$2:$B1063,SAISIE!$W$4,$C$2:$C1063,"S1"),""))</f>
        <v/>
      </c>
      <c r="AS1063" t="str">
        <f t="shared" si="400"/>
        <v/>
      </c>
      <c r="AT1063" t="str">
        <f t="shared" si="401"/>
        <v/>
      </c>
      <c r="AU1063" t="str">
        <f t="shared" si="402"/>
        <v/>
      </c>
      <c r="AV1063">
        <f>N(AV1062)+IF(AND($AB1063&lt;&gt;"",OR('PROFIL ELEVE'!$K$4="(Tous)",$AF1063='PROFIL ELEVE'!$K$4)),1,0)</f>
        <v>0</v>
      </c>
      <c r="AW1063">
        <f>N(AW1062)+IF(AND($AB1063&lt;&gt;"",OR('SUIVI LONGITUDINAL'!$Q$4="(Tous)",$AF1063='SUIVI LONGITUDINAL'!$Q$4)),1,0)</f>
        <v>0</v>
      </c>
      <c r="AX1063">
        <f t="shared" si="403"/>
        <v>0</v>
      </c>
      <c r="AY1063">
        <f t="shared" si="404"/>
        <v>0</v>
      </c>
      <c r="AZ1063">
        <f t="shared" si="405"/>
        <v>0</v>
      </c>
      <c r="BA1063" t="str">
        <f t="shared" si="406"/>
        <v/>
      </c>
      <c r="BB1063" t="str">
        <f t="shared" si="407"/>
        <v/>
      </c>
    </row>
    <row r="1064" spans="1:54" ht="14.25" customHeight="1" x14ac:dyDescent="0.3">
      <c r="A1064" t="str">
        <f>IF(SAISIE!$F1069="","",SAISIE!$B1069)</f>
        <v/>
      </c>
      <c r="B1064" t="str">
        <f>IF(SAISIE!$F1069="","",SAISIE!$C1069)</f>
        <v/>
      </c>
      <c r="C1064" t="str">
        <f>IF(SAISIE!$F1069="","",SAISIE!$D1069)</f>
        <v/>
      </c>
      <c r="D1064" t="str">
        <f>IF(SAISIE!$E1069="","",SAISIE!$E1069)</f>
        <v/>
      </c>
      <c r="E1064" t="str">
        <f>IF(SAISIE!$F1069="","",SAISIE!$F1069)</f>
        <v/>
      </c>
      <c r="F1064" t="str">
        <f>IF(SAISIE!$G1069="","",SAISIE!$G1069)</f>
        <v/>
      </c>
      <c r="G1064" t="str">
        <f>IF(SAISIE!$H1069="","",SAISIE!$H1069)</f>
        <v/>
      </c>
      <c r="H1064" t="str">
        <f>IF(SAISIE!$I1069="","",SAISIE!$I1069)</f>
        <v/>
      </c>
      <c r="I1064" t="str">
        <f>IF(SAISIE!$J1069="","",SAISIE!$J1069)</f>
        <v/>
      </c>
      <c r="J1064" t="str">
        <f>IF(SAISIE!$K1069="","",SAISIE!$K1069)</f>
        <v/>
      </c>
      <c r="K1064" t="str">
        <f>IF(SAISIE!$L1069="","",SAISIE!$L1069)</f>
        <v/>
      </c>
      <c r="L1064" t="str">
        <f>IF(SAISIE!$M1069="","",SAISIE!$M1069)</f>
        <v/>
      </c>
      <c r="M1064" t="str">
        <f>IF(SAISIE!$N1069="","",SAISIE!$N1069)</f>
        <v/>
      </c>
      <c r="N1064" t="str">
        <f>IF(SAISIE!$O1069="","",SAISIE!$O1069)</f>
        <v/>
      </c>
      <c r="O1064" t="str">
        <f>IF(SAISIE!$P1069="","",SAISIE!$P1069)</f>
        <v/>
      </c>
      <c r="P1064" t="str">
        <f>IF(SAISIE!$Q1069="","",SAISIE!$Q1069)</f>
        <v/>
      </c>
      <c r="Q1064" t="str">
        <f>IF($I1064="","",IF($I1064&gt;PARAMETRES!$G$29,5,IF($I1064&gt;PARAMETRES!$F$29,4,IF($I1064&gt;PARAMETRES!$E$29,3,IF($I1064&gt;PARAMETRES!$D$29,2,1)))))</f>
        <v/>
      </c>
      <c r="R1064" t="str">
        <f>IF($J1064="","",IF($J1064&gt;PARAMETRES!$G$30,5,IF($J1064&gt;PARAMETRES!$F$30,4,IF($J1064&gt;PARAMETRES!$E$30,3,IF($J1064&gt;PARAMETRES!$D$30,2,1)))))</f>
        <v/>
      </c>
      <c r="S1064" t="str">
        <f>IF($K1064="","",IF($Z1064=2,IF($K1064&gt;PARAMETRES!$G$31,5,IF($K1064&gt;PARAMETRES!$F$31,4,IF($K1064&gt;PARAMETRES!$E$31,3,IF($K1064&gt;PARAMETRES!$D$31,2,1)))),IF($K1064&gt;PARAMETRES!$G$32,5,IF($K1064&gt;PARAMETRES!$F$32,4,IF($K1064&gt;PARAMETRES!$E$32,3,IF($K1064&gt;PARAMETRES!$D$32,2,1))))))</f>
        <v/>
      </c>
      <c r="T1064" t="str">
        <f>IF($L1064="","",IF($L1064&gt;PARAMETRES!$G$33,5,IF($L1064&gt;PARAMETRES!$F$33,4,IF($L1064&gt;PARAMETRES!$E$33,3,IF($L1064&gt;PARAMETRES!$D$33,2,1)))))</f>
        <v/>
      </c>
      <c r="U1064" t="str">
        <f>IF($M1064="","",IF($M1064&gt;PARAMETRES!$G$34,5,IF($M1064&gt;PARAMETRES!$F$34,4,IF($M1064&gt;PARAMETRES!$E$34,3,IF($M1064&gt;PARAMETRES!$D$34,2,1)))))</f>
        <v/>
      </c>
      <c r="V1064" t="str">
        <f>IF($N1064="","",IF($N1064&gt;PARAMETRES!$G$35,5,IF($N1064&gt;PARAMETRES!$F$35,4,IF($N1064&gt;PARAMETRES!$E$35,3,IF($N1064&gt;PARAMETRES!$D$35,2,1)))))</f>
        <v/>
      </c>
      <c r="W1064" t="str">
        <f>IF($O1064="","",IF($O1064&gt;PARAMETRES!$G$36,5,IF($O1064&gt;PARAMETRES!$F$36,4,IF($O1064&gt;PARAMETRES!$E$36,3,IF($O1064&gt;PARAMETRES!$D$36,2,1)))))</f>
        <v/>
      </c>
      <c r="X1064" t="str">
        <f>IF($P1064="","",IF($P1064&gt;PARAMETRES!$G$37,5,IF($P1064&gt;PARAMETRES!$F$37,4,IF($P1064&gt;PARAMETRES!$E$37,3,IF($P1064&gt;PARAMETRES!$D$37,2,1)))))</f>
        <v/>
      </c>
      <c r="Y1064" t="str">
        <f t="shared" si="384"/>
        <v/>
      </c>
      <c r="Z1064" t="str">
        <f>IFERROR(VLOOKUP($B1064,TABLE_CYCLE,2,0),"")</f>
        <v/>
      </c>
      <c r="AA1064" t="str">
        <f t="shared" si="385"/>
        <v/>
      </c>
      <c r="AB1064" t="str">
        <f>IF($D1064="","",IF(COUNTIF($D$2:$D1064,$D1064)=1,$D1064,""))</f>
        <v/>
      </c>
      <c r="AC1064">
        <f t="shared" si="386"/>
        <v>0</v>
      </c>
      <c r="AD1064" t="str">
        <f t="shared" si="387"/>
        <v>|0</v>
      </c>
      <c r="AE1064" t="str">
        <f t="shared" si="388"/>
        <v/>
      </c>
      <c r="AF1064" t="str">
        <f t="shared" si="389"/>
        <v/>
      </c>
      <c r="AG1064" t="str">
        <f t="shared" si="390"/>
        <v/>
      </c>
      <c r="AH1064" t="str">
        <f t="shared" si="391"/>
        <v/>
      </c>
      <c r="AI1064" t="str">
        <f t="shared" si="392"/>
        <v/>
      </c>
      <c r="AJ1064" t="str">
        <f t="shared" si="393"/>
        <v/>
      </c>
      <c r="AK1064" t="str">
        <f t="shared" si="394"/>
        <v/>
      </c>
      <c r="AL1064" t="str">
        <f t="shared" si="395"/>
        <v/>
      </c>
      <c r="AM1064" t="str">
        <f t="shared" si="396"/>
        <v/>
      </c>
      <c r="AN1064" t="str">
        <f t="shared" si="397"/>
        <v/>
      </c>
      <c r="AO1064" t="str">
        <f t="shared" si="398"/>
        <v/>
      </c>
      <c r="AP1064">
        <f t="shared" si="399"/>
        <v>1</v>
      </c>
      <c r="AQ1064" t="str">
        <f>IF(SAISIE!$F1069="","",SAISIE!$Y1069)</f>
        <v/>
      </c>
      <c r="AR1064" t="str">
        <f>IF(OR(SAISIE!$U$4="",SAISIE!$W$4=""),"",IF(AND($A1064=SAISIE!$U$4,$B1064=SAISIE!$W$4,$C1064="S1"),COUNTIFS($A$2:$A1064,SAISIE!$U$4,$B$2:$B1064,SAISIE!$W$4,$C$2:$C1064,"S1"),""))</f>
        <v/>
      </c>
      <c r="AS1064" t="str">
        <f t="shared" si="400"/>
        <v/>
      </c>
      <c r="AT1064" t="str">
        <f t="shared" si="401"/>
        <v/>
      </c>
      <c r="AU1064" t="str">
        <f t="shared" si="402"/>
        <v/>
      </c>
      <c r="AV1064">
        <f>N(AV1063)+IF(AND($AB1064&lt;&gt;"",OR('PROFIL ELEVE'!$K$4="(Tous)",$AF1064='PROFIL ELEVE'!$K$4)),1,0)</f>
        <v>0</v>
      </c>
      <c r="AW1064">
        <f>N(AW1063)+IF(AND($AB1064&lt;&gt;"",OR('SUIVI LONGITUDINAL'!$Q$4="(Tous)",$AF1064='SUIVI LONGITUDINAL'!$Q$4)),1,0)</f>
        <v>0</v>
      </c>
      <c r="AX1064">
        <f t="shared" si="403"/>
        <v>0</v>
      </c>
      <c r="AY1064">
        <f t="shared" si="404"/>
        <v>0</v>
      </c>
      <c r="AZ1064">
        <f t="shared" si="405"/>
        <v>0</v>
      </c>
      <c r="BA1064" t="str">
        <f t="shared" si="406"/>
        <v/>
      </c>
      <c r="BB1064" t="str">
        <f t="shared" si="407"/>
        <v/>
      </c>
    </row>
    <row r="1065" spans="1:54" ht="14.25" customHeight="1" x14ac:dyDescent="0.3">
      <c r="A1065" t="str">
        <f>IF(SAISIE!$F1070="","",SAISIE!$B1070)</f>
        <v/>
      </c>
      <c r="B1065" t="str">
        <f>IF(SAISIE!$F1070="","",SAISIE!$C1070)</f>
        <v/>
      </c>
      <c r="C1065" t="str">
        <f>IF(SAISIE!$F1070="","",SAISIE!$D1070)</f>
        <v/>
      </c>
      <c r="D1065" t="str">
        <f>IF(SAISIE!$E1070="","",SAISIE!$E1070)</f>
        <v/>
      </c>
      <c r="E1065" t="str">
        <f>IF(SAISIE!$F1070="","",SAISIE!$F1070)</f>
        <v/>
      </c>
      <c r="F1065" t="str">
        <f>IF(SAISIE!$G1070="","",SAISIE!$G1070)</f>
        <v/>
      </c>
      <c r="G1065" t="str">
        <f>IF(SAISIE!$H1070="","",SAISIE!$H1070)</f>
        <v/>
      </c>
      <c r="H1065" t="str">
        <f>IF(SAISIE!$I1070="","",SAISIE!$I1070)</f>
        <v/>
      </c>
      <c r="I1065" t="str">
        <f>IF(SAISIE!$J1070="","",SAISIE!$J1070)</f>
        <v/>
      </c>
      <c r="J1065" t="str">
        <f>IF(SAISIE!$K1070="","",SAISIE!$K1070)</f>
        <v/>
      </c>
      <c r="K1065" t="str">
        <f>IF(SAISIE!$L1070="","",SAISIE!$L1070)</f>
        <v/>
      </c>
      <c r="L1065" t="str">
        <f>IF(SAISIE!$M1070="","",SAISIE!$M1070)</f>
        <v/>
      </c>
      <c r="M1065" t="str">
        <f>IF(SAISIE!$N1070="","",SAISIE!$N1070)</f>
        <v/>
      </c>
      <c r="N1065" t="str">
        <f>IF(SAISIE!$O1070="","",SAISIE!$O1070)</f>
        <v/>
      </c>
      <c r="O1065" t="str">
        <f>IF(SAISIE!$P1070="","",SAISIE!$P1070)</f>
        <v/>
      </c>
      <c r="P1065" t="str">
        <f>IF(SAISIE!$Q1070="","",SAISIE!$Q1070)</f>
        <v/>
      </c>
      <c r="Q1065" t="str">
        <f>IF($I1065="","",IF($I1065&gt;PARAMETRES!$G$29,5,IF($I1065&gt;PARAMETRES!$F$29,4,IF($I1065&gt;PARAMETRES!$E$29,3,IF($I1065&gt;PARAMETRES!$D$29,2,1)))))</f>
        <v/>
      </c>
      <c r="R1065" t="str">
        <f>IF($J1065="","",IF($J1065&gt;PARAMETRES!$G$30,5,IF($J1065&gt;PARAMETRES!$F$30,4,IF($J1065&gt;PARAMETRES!$E$30,3,IF($J1065&gt;PARAMETRES!$D$30,2,1)))))</f>
        <v/>
      </c>
      <c r="S1065" t="str">
        <f>IF($K1065="","",IF($Z1065=2,IF($K1065&gt;PARAMETRES!$G$31,5,IF($K1065&gt;PARAMETRES!$F$31,4,IF($K1065&gt;PARAMETRES!$E$31,3,IF($K1065&gt;PARAMETRES!$D$31,2,1)))),IF($K1065&gt;PARAMETRES!$G$32,5,IF($K1065&gt;PARAMETRES!$F$32,4,IF($K1065&gt;PARAMETRES!$E$32,3,IF($K1065&gt;PARAMETRES!$D$32,2,1))))))</f>
        <v/>
      </c>
      <c r="T1065" t="str">
        <f>IF($L1065="","",IF($L1065&gt;PARAMETRES!$G$33,5,IF($L1065&gt;PARAMETRES!$F$33,4,IF($L1065&gt;PARAMETRES!$E$33,3,IF($L1065&gt;PARAMETRES!$D$33,2,1)))))</f>
        <v/>
      </c>
      <c r="U1065" t="str">
        <f>IF($M1065="","",IF($M1065&gt;PARAMETRES!$G$34,5,IF($M1065&gt;PARAMETRES!$F$34,4,IF($M1065&gt;PARAMETRES!$E$34,3,IF($M1065&gt;PARAMETRES!$D$34,2,1)))))</f>
        <v/>
      </c>
      <c r="V1065" t="str">
        <f>IF($N1065="","",IF($N1065&gt;PARAMETRES!$G$35,5,IF($N1065&gt;PARAMETRES!$F$35,4,IF($N1065&gt;PARAMETRES!$E$35,3,IF($N1065&gt;PARAMETRES!$D$35,2,1)))))</f>
        <v/>
      </c>
      <c r="W1065" t="str">
        <f>IF($O1065="","",IF($O1065&gt;PARAMETRES!$G$36,5,IF($O1065&gt;PARAMETRES!$F$36,4,IF($O1065&gt;PARAMETRES!$E$36,3,IF($O1065&gt;PARAMETRES!$D$36,2,1)))))</f>
        <v/>
      </c>
      <c r="X1065" t="str">
        <f>IF($P1065="","",IF($P1065&gt;PARAMETRES!$G$37,5,IF($P1065&gt;PARAMETRES!$F$37,4,IF($P1065&gt;PARAMETRES!$E$37,3,IF($P1065&gt;PARAMETRES!$D$37,2,1)))))</f>
        <v/>
      </c>
      <c r="Y1065" t="str">
        <f t="shared" si="384"/>
        <v/>
      </c>
      <c r="Z1065" t="str">
        <f>IFERROR(VLOOKUP($B1065,TABLE_CYCLE,2,0),"")</f>
        <v/>
      </c>
      <c r="AA1065" t="str">
        <f t="shared" si="385"/>
        <v/>
      </c>
      <c r="AB1065" t="str">
        <f>IF($D1065="","",IF(COUNTIF($D$2:$D1065,$D1065)=1,$D1065,""))</f>
        <v/>
      </c>
      <c r="AC1065">
        <f t="shared" si="386"/>
        <v>0</v>
      </c>
      <c r="AD1065" t="str">
        <f t="shared" si="387"/>
        <v>|0</v>
      </c>
      <c r="AE1065" t="str">
        <f t="shared" si="388"/>
        <v/>
      </c>
      <c r="AF1065" t="str">
        <f t="shared" si="389"/>
        <v/>
      </c>
      <c r="AG1065" t="str">
        <f t="shared" si="390"/>
        <v/>
      </c>
      <c r="AH1065" t="str">
        <f t="shared" si="391"/>
        <v/>
      </c>
      <c r="AI1065" t="str">
        <f t="shared" si="392"/>
        <v/>
      </c>
      <c r="AJ1065" t="str">
        <f t="shared" si="393"/>
        <v/>
      </c>
      <c r="AK1065" t="str">
        <f t="shared" si="394"/>
        <v/>
      </c>
      <c r="AL1065" t="str">
        <f t="shared" si="395"/>
        <v/>
      </c>
      <c r="AM1065" t="str">
        <f t="shared" si="396"/>
        <v/>
      </c>
      <c r="AN1065" t="str">
        <f t="shared" si="397"/>
        <v/>
      </c>
      <c r="AO1065" t="str">
        <f t="shared" si="398"/>
        <v/>
      </c>
      <c r="AP1065">
        <f t="shared" si="399"/>
        <v>1</v>
      </c>
      <c r="AQ1065" t="str">
        <f>IF(SAISIE!$F1070="","",SAISIE!$Y1070)</f>
        <v/>
      </c>
      <c r="AR1065" t="str">
        <f>IF(OR(SAISIE!$U$4="",SAISIE!$W$4=""),"",IF(AND($A1065=SAISIE!$U$4,$B1065=SAISIE!$W$4,$C1065="S1"),COUNTIFS($A$2:$A1065,SAISIE!$U$4,$B$2:$B1065,SAISIE!$W$4,$C$2:$C1065,"S1"),""))</f>
        <v/>
      </c>
      <c r="AS1065" t="str">
        <f t="shared" si="400"/>
        <v/>
      </c>
      <c r="AT1065" t="str">
        <f t="shared" si="401"/>
        <v/>
      </c>
      <c r="AU1065" t="str">
        <f t="shared" si="402"/>
        <v/>
      </c>
      <c r="AV1065">
        <f>N(AV1064)+IF(AND($AB1065&lt;&gt;"",OR('PROFIL ELEVE'!$K$4="(Tous)",$AF1065='PROFIL ELEVE'!$K$4)),1,0)</f>
        <v>0</v>
      </c>
      <c r="AW1065">
        <f>N(AW1064)+IF(AND($AB1065&lt;&gt;"",OR('SUIVI LONGITUDINAL'!$Q$4="(Tous)",$AF1065='SUIVI LONGITUDINAL'!$Q$4)),1,0)</f>
        <v>0</v>
      </c>
      <c r="AX1065">
        <f t="shared" si="403"/>
        <v>0</v>
      </c>
      <c r="AY1065">
        <f t="shared" si="404"/>
        <v>0</v>
      </c>
      <c r="AZ1065">
        <f t="shared" si="405"/>
        <v>0</v>
      </c>
      <c r="BA1065" t="str">
        <f t="shared" si="406"/>
        <v/>
      </c>
      <c r="BB1065" t="str">
        <f t="shared" si="407"/>
        <v/>
      </c>
    </row>
    <row r="1066" spans="1:54" ht="14.25" customHeight="1" x14ac:dyDescent="0.3">
      <c r="A1066" t="str">
        <f>IF(SAISIE!$F1071="","",SAISIE!$B1071)</f>
        <v/>
      </c>
      <c r="B1066" t="str">
        <f>IF(SAISIE!$F1071="","",SAISIE!$C1071)</f>
        <v/>
      </c>
      <c r="C1066" t="str">
        <f>IF(SAISIE!$F1071="","",SAISIE!$D1071)</f>
        <v/>
      </c>
      <c r="D1066" t="str">
        <f>IF(SAISIE!$E1071="","",SAISIE!$E1071)</f>
        <v/>
      </c>
      <c r="E1066" t="str">
        <f>IF(SAISIE!$F1071="","",SAISIE!$F1071)</f>
        <v/>
      </c>
      <c r="F1066" t="str">
        <f>IF(SAISIE!$G1071="","",SAISIE!$G1071)</f>
        <v/>
      </c>
      <c r="G1066" t="str">
        <f>IF(SAISIE!$H1071="","",SAISIE!$H1071)</f>
        <v/>
      </c>
      <c r="H1066" t="str">
        <f>IF(SAISIE!$I1071="","",SAISIE!$I1071)</f>
        <v/>
      </c>
      <c r="I1066" t="str">
        <f>IF(SAISIE!$J1071="","",SAISIE!$J1071)</f>
        <v/>
      </c>
      <c r="J1066" t="str">
        <f>IF(SAISIE!$K1071="","",SAISIE!$K1071)</f>
        <v/>
      </c>
      <c r="K1066" t="str">
        <f>IF(SAISIE!$L1071="","",SAISIE!$L1071)</f>
        <v/>
      </c>
      <c r="L1066" t="str">
        <f>IF(SAISIE!$M1071="","",SAISIE!$M1071)</f>
        <v/>
      </c>
      <c r="M1066" t="str">
        <f>IF(SAISIE!$N1071="","",SAISIE!$N1071)</f>
        <v/>
      </c>
      <c r="N1066" t="str">
        <f>IF(SAISIE!$O1071="","",SAISIE!$O1071)</f>
        <v/>
      </c>
      <c r="O1066" t="str">
        <f>IF(SAISIE!$P1071="","",SAISIE!$P1071)</f>
        <v/>
      </c>
      <c r="P1066" t="str">
        <f>IF(SAISIE!$Q1071="","",SAISIE!$Q1071)</f>
        <v/>
      </c>
      <c r="Q1066" t="str">
        <f>IF($I1066="","",IF($I1066&gt;PARAMETRES!$G$29,5,IF($I1066&gt;PARAMETRES!$F$29,4,IF($I1066&gt;PARAMETRES!$E$29,3,IF($I1066&gt;PARAMETRES!$D$29,2,1)))))</f>
        <v/>
      </c>
      <c r="R1066" t="str">
        <f>IF($J1066="","",IF($J1066&gt;PARAMETRES!$G$30,5,IF($J1066&gt;PARAMETRES!$F$30,4,IF($J1066&gt;PARAMETRES!$E$30,3,IF($J1066&gt;PARAMETRES!$D$30,2,1)))))</f>
        <v/>
      </c>
      <c r="S1066" t="str">
        <f>IF($K1066="","",IF($Z1066=2,IF($K1066&gt;PARAMETRES!$G$31,5,IF($K1066&gt;PARAMETRES!$F$31,4,IF($K1066&gt;PARAMETRES!$E$31,3,IF($K1066&gt;PARAMETRES!$D$31,2,1)))),IF($K1066&gt;PARAMETRES!$G$32,5,IF($K1066&gt;PARAMETRES!$F$32,4,IF($K1066&gt;PARAMETRES!$E$32,3,IF($K1066&gt;PARAMETRES!$D$32,2,1))))))</f>
        <v/>
      </c>
      <c r="T1066" t="str">
        <f>IF($L1066="","",IF($L1066&gt;PARAMETRES!$G$33,5,IF($L1066&gt;PARAMETRES!$F$33,4,IF($L1066&gt;PARAMETRES!$E$33,3,IF($L1066&gt;PARAMETRES!$D$33,2,1)))))</f>
        <v/>
      </c>
      <c r="U1066" t="str">
        <f>IF($M1066="","",IF($M1066&gt;PARAMETRES!$G$34,5,IF($M1066&gt;PARAMETRES!$F$34,4,IF($M1066&gt;PARAMETRES!$E$34,3,IF($M1066&gt;PARAMETRES!$D$34,2,1)))))</f>
        <v/>
      </c>
      <c r="V1066" t="str">
        <f>IF($N1066="","",IF($N1066&gt;PARAMETRES!$G$35,5,IF($N1066&gt;PARAMETRES!$F$35,4,IF($N1066&gt;PARAMETRES!$E$35,3,IF($N1066&gt;PARAMETRES!$D$35,2,1)))))</f>
        <v/>
      </c>
      <c r="W1066" t="str">
        <f>IF($O1066="","",IF($O1066&gt;PARAMETRES!$G$36,5,IF($O1066&gt;PARAMETRES!$F$36,4,IF($O1066&gt;PARAMETRES!$E$36,3,IF($O1066&gt;PARAMETRES!$D$36,2,1)))))</f>
        <v/>
      </c>
      <c r="X1066" t="str">
        <f>IF($P1066="","",IF($P1066&gt;PARAMETRES!$G$37,5,IF($P1066&gt;PARAMETRES!$F$37,4,IF($P1066&gt;PARAMETRES!$E$37,3,IF($P1066&gt;PARAMETRES!$D$37,2,1)))))</f>
        <v/>
      </c>
      <c r="Y1066" t="str">
        <f t="shared" si="384"/>
        <v/>
      </c>
      <c r="Z1066" t="str">
        <f>IFERROR(VLOOKUP($B1066,TABLE_CYCLE,2,0),"")</f>
        <v/>
      </c>
      <c r="AA1066" t="str">
        <f t="shared" si="385"/>
        <v/>
      </c>
      <c r="AB1066" t="str">
        <f>IF($D1066="","",IF(COUNTIF($D$2:$D1066,$D1066)=1,$D1066,""))</f>
        <v/>
      </c>
      <c r="AC1066">
        <f t="shared" si="386"/>
        <v>0</v>
      </c>
      <c r="AD1066" t="str">
        <f t="shared" si="387"/>
        <v>|0</v>
      </c>
      <c r="AE1066" t="str">
        <f t="shared" si="388"/>
        <v/>
      </c>
      <c r="AF1066" t="str">
        <f t="shared" si="389"/>
        <v/>
      </c>
      <c r="AG1066" t="str">
        <f t="shared" si="390"/>
        <v/>
      </c>
      <c r="AH1066" t="str">
        <f t="shared" si="391"/>
        <v/>
      </c>
      <c r="AI1066" t="str">
        <f t="shared" si="392"/>
        <v/>
      </c>
      <c r="AJ1066" t="str">
        <f t="shared" si="393"/>
        <v/>
      </c>
      <c r="AK1066" t="str">
        <f t="shared" si="394"/>
        <v/>
      </c>
      <c r="AL1066" t="str">
        <f t="shared" si="395"/>
        <v/>
      </c>
      <c r="AM1066" t="str">
        <f t="shared" si="396"/>
        <v/>
      </c>
      <c r="AN1066" t="str">
        <f t="shared" si="397"/>
        <v/>
      </c>
      <c r="AO1066" t="str">
        <f t="shared" si="398"/>
        <v/>
      </c>
      <c r="AP1066">
        <f t="shared" si="399"/>
        <v>1</v>
      </c>
      <c r="AQ1066" t="str">
        <f>IF(SAISIE!$F1071="","",SAISIE!$Y1071)</f>
        <v/>
      </c>
      <c r="AR1066" t="str">
        <f>IF(OR(SAISIE!$U$4="",SAISIE!$W$4=""),"",IF(AND($A1066=SAISIE!$U$4,$B1066=SAISIE!$W$4,$C1066="S1"),COUNTIFS($A$2:$A1066,SAISIE!$U$4,$B$2:$B1066,SAISIE!$W$4,$C$2:$C1066,"S1"),""))</f>
        <v/>
      </c>
      <c r="AS1066" t="str">
        <f t="shared" si="400"/>
        <v/>
      </c>
      <c r="AT1066" t="str">
        <f t="shared" si="401"/>
        <v/>
      </c>
      <c r="AU1066" t="str">
        <f t="shared" si="402"/>
        <v/>
      </c>
      <c r="AV1066">
        <f>N(AV1065)+IF(AND($AB1066&lt;&gt;"",OR('PROFIL ELEVE'!$K$4="(Tous)",$AF1066='PROFIL ELEVE'!$K$4)),1,0)</f>
        <v>0</v>
      </c>
      <c r="AW1066">
        <f>N(AW1065)+IF(AND($AB1066&lt;&gt;"",OR('SUIVI LONGITUDINAL'!$Q$4="(Tous)",$AF1066='SUIVI LONGITUDINAL'!$Q$4)),1,0)</f>
        <v>0</v>
      </c>
      <c r="AX1066">
        <f t="shared" si="403"/>
        <v>0</v>
      </c>
      <c r="AY1066">
        <f t="shared" si="404"/>
        <v>0</v>
      </c>
      <c r="AZ1066">
        <f t="shared" si="405"/>
        <v>0</v>
      </c>
      <c r="BA1066" t="str">
        <f t="shared" si="406"/>
        <v/>
      </c>
      <c r="BB1066" t="str">
        <f t="shared" si="407"/>
        <v/>
      </c>
    </row>
    <row r="1067" spans="1:54" ht="14.25" customHeight="1" x14ac:dyDescent="0.3">
      <c r="A1067" t="str">
        <f>IF(SAISIE!$F1072="","",SAISIE!$B1072)</f>
        <v/>
      </c>
      <c r="B1067" t="str">
        <f>IF(SAISIE!$F1072="","",SAISIE!$C1072)</f>
        <v/>
      </c>
      <c r="C1067" t="str">
        <f>IF(SAISIE!$F1072="","",SAISIE!$D1072)</f>
        <v/>
      </c>
      <c r="D1067" t="str">
        <f>IF(SAISIE!$E1072="","",SAISIE!$E1072)</f>
        <v/>
      </c>
      <c r="E1067" t="str">
        <f>IF(SAISIE!$F1072="","",SAISIE!$F1072)</f>
        <v/>
      </c>
      <c r="F1067" t="str">
        <f>IF(SAISIE!$G1072="","",SAISIE!$G1072)</f>
        <v/>
      </c>
      <c r="G1067" t="str">
        <f>IF(SAISIE!$H1072="","",SAISIE!$H1072)</f>
        <v/>
      </c>
      <c r="H1067" t="str">
        <f>IF(SAISIE!$I1072="","",SAISIE!$I1072)</f>
        <v/>
      </c>
      <c r="I1067" t="str">
        <f>IF(SAISIE!$J1072="","",SAISIE!$J1072)</f>
        <v/>
      </c>
      <c r="J1067" t="str">
        <f>IF(SAISIE!$K1072="","",SAISIE!$K1072)</f>
        <v/>
      </c>
      <c r="K1067" t="str">
        <f>IF(SAISIE!$L1072="","",SAISIE!$L1072)</f>
        <v/>
      </c>
      <c r="L1067" t="str">
        <f>IF(SAISIE!$M1072="","",SAISIE!$M1072)</f>
        <v/>
      </c>
      <c r="M1067" t="str">
        <f>IF(SAISIE!$N1072="","",SAISIE!$N1072)</f>
        <v/>
      </c>
      <c r="N1067" t="str">
        <f>IF(SAISIE!$O1072="","",SAISIE!$O1072)</f>
        <v/>
      </c>
      <c r="O1067" t="str">
        <f>IF(SAISIE!$P1072="","",SAISIE!$P1072)</f>
        <v/>
      </c>
      <c r="P1067" t="str">
        <f>IF(SAISIE!$Q1072="","",SAISIE!$Q1072)</f>
        <v/>
      </c>
      <c r="Q1067" t="str">
        <f>IF($I1067="","",IF($I1067&gt;PARAMETRES!$G$29,5,IF($I1067&gt;PARAMETRES!$F$29,4,IF($I1067&gt;PARAMETRES!$E$29,3,IF($I1067&gt;PARAMETRES!$D$29,2,1)))))</f>
        <v/>
      </c>
      <c r="R1067" t="str">
        <f>IF($J1067="","",IF($J1067&gt;PARAMETRES!$G$30,5,IF($J1067&gt;PARAMETRES!$F$30,4,IF($J1067&gt;PARAMETRES!$E$30,3,IF($J1067&gt;PARAMETRES!$D$30,2,1)))))</f>
        <v/>
      </c>
      <c r="S1067" t="str">
        <f>IF($K1067="","",IF($Z1067=2,IF($K1067&gt;PARAMETRES!$G$31,5,IF($K1067&gt;PARAMETRES!$F$31,4,IF($K1067&gt;PARAMETRES!$E$31,3,IF($K1067&gt;PARAMETRES!$D$31,2,1)))),IF($K1067&gt;PARAMETRES!$G$32,5,IF($K1067&gt;PARAMETRES!$F$32,4,IF($K1067&gt;PARAMETRES!$E$32,3,IF($K1067&gt;PARAMETRES!$D$32,2,1))))))</f>
        <v/>
      </c>
      <c r="T1067" t="str">
        <f>IF($L1067="","",IF($L1067&gt;PARAMETRES!$G$33,5,IF($L1067&gt;PARAMETRES!$F$33,4,IF($L1067&gt;PARAMETRES!$E$33,3,IF($L1067&gt;PARAMETRES!$D$33,2,1)))))</f>
        <v/>
      </c>
      <c r="U1067" t="str">
        <f>IF($M1067="","",IF($M1067&gt;PARAMETRES!$G$34,5,IF($M1067&gt;PARAMETRES!$F$34,4,IF($M1067&gt;PARAMETRES!$E$34,3,IF($M1067&gt;PARAMETRES!$D$34,2,1)))))</f>
        <v/>
      </c>
      <c r="V1067" t="str">
        <f>IF($N1067="","",IF($N1067&gt;PARAMETRES!$G$35,5,IF($N1067&gt;PARAMETRES!$F$35,4,IF($N1067&gt;PARAMETRES!$E$35,3,IF($N1067&gt;PARAMETRES!$D$35,2,1)))))</f>
        <v/>
      </c>
      <c r="W1067" t="str">
        <f>IF($O1067="","",IF($O1067&gt;PARAMETRES!$G$36,5,IF($O1067&gt;PARAMETRES!$F$36,4,IF($O1067&gt;PARAMETRES!$E$36,3,IF($O1067&gt;PARAMETRES!$D$36,2,1)))))</f>
        <v/>
      </c>
      <c r="X1067" t="str">
        <f>IF($P1067="","",IF($P1067&gt;PARAMETRES!$G$37,5,IF($P1067&gt;PARAMETRES!$F$37,4,IF($P1067&gt;PARAMETRES!$E$37,3,IF($P1067&gt;PARAMETRES!$D$37,2,1)))))</f>
        <v/>
      </c>
      <c r="Y1067" t="str">
        <f t="shared" si="384"/>
        <v/>
      </c>
      <c r="Z1067" t="str">
        <f>IFERROR(VLOOKUP($B1067,TABLE_CYCLE,2,0),"")</f>
        <v/>
      </c>
      <c r="AA1067" t="str">
        <f t="shared" si="385"/>
        <v/>
      </c>
      <c r="AB1067" t="str">
        <f>IF($D1067="","",IF(COUNTIF($D$2:$D1067,$D1067)=1,$D1067,""))</f>
        <v/>
      </c>
      <c r="AC1067">
        <f t="shared" si="386"/>
        <v>0</v>
      </c>
      <c r="AD1067" t="str">
        <f t="shared" si="387"/>
        <v>|0</v>
      </c>
      <c r="AE1067" t="str">
        <f t="shared" si="388"/>
        <v/>
      </c>
      <c r="AF1067" t="str">
        <f t="shared" si="389"/>
        <v/>
      </c>
      <c r="AG1067" t="str">
        <f t="shared" si="390"/>
        <v/>
      </c>
      <c r="AH1067" t="str">
        <f t="shared" si="391"/>
        <v/>
      </c>
      <c r="AI1067" t="str">
        <f t="shared" si="392"/>
        <v/>
      </c>
      <c r="AJ1067" t="str">
        <f t="shared" si="393"/>
        <v/>
      </c>
      <c r="AK1067" t="str">
        <f t="shared" si="394"/>
        <v/>
      </c>
      <c r="AL1067" t="str">
        <f t="shared" si="395"/>
        <v/>
      </c>
      <c r="AM1067" t="str">
        <f t="shared" si="396"/>
        <v/>
      </c>
      <c r="AN1067" t="str">
        <f t="shared" si="397"/>
        <v/>
      </c>
      <c r="AO1067" t="str">
        <f t="shared" si="398"/>
        <v/>
      </c>
      <c r="AP1067">
        <f t="shared" si="399"/>
        <v>1</v>
      </c>
      <c r="AQ1067" t="str">
        <f>IF(SAISIE!$F1072="","",SAISIE!$Y1072)</f>
        <v/>
      </c>
      <c r="AR1067" t="str">
        <f>IF(OR(SAISIE!$U$4="",SAISIE!$W$4=""),"",IF(AND($A1067=SAISIE!$U$4,$B1067=SAISIE!$W$4,$C1067="S1"),COUNTIFS($A$2:$A1067,SAISIE!$U$4,$B$2:$B1067,SAISIE!$W$4,$C$2:$C1067,"S1"),""))</f>
        <v/>
      </c>
      <c r="AS1067" t="str">
        <f t="shared" si="400"/>
        <v/>
      </c>
      <c r="AT1067" t="str">
        <f t="shared" si="401"/>
        <v/>
      </c>
      <c r="AU1067" t="str">
        <f t="shared" si="402"/>
        <v/>
      </c>
      <c r="AV1067">
        <f>N(AV1066)+IF(AND($AB1067&lt;&gt;"",OR('PROFIL ELEVE'!$K$4="(Tous)",$AF1067='PROFIL ELEVE'!$K$4)),1,0)</f>
        <v>0</v>
      </c>
      <c r="AW1067">
        <f>N(AW1066)+IF(AND($AB1067&lt;&gt;"",OR('SUIVI LONGITUDINAL'!$Q$4="(Tous)",$AF1067='SUIVI LONGITUDINAL'!$Q$4)),1,0)</f>
        <v>0</v>
      </c>
      <c r="AX1067">
        <f t="shared" si="403"/>
        <v>0</v>
      </c>
      <c r="AY1067">
        <f t="shared" si="404"/>
        <v>0</v>
      </c>
      <c r="AZ1067">
        <f t="shared" si="405"/>
        <v>0</v>
      </c>
      <c r="BA1067" t="str">
        <f t="shared" si="406"/>
        <v/>
      </c>
      <c r="BB1067" t="str">
        <f t="shared" si="407"/>
        <v/>
      </c>
    </row>
    <row r="1068" spans="1:54" ht="14.25" customHeight="1" x14ac:dyDescent="0.3">
      <c r="A1068" t="str">
        <f>IF(SAISIE!$F1073="","",SAISIE!$B1073)</f>
        <v/>
      </c>
      <c r="B1068" t="str">
        <f>IF(SAISIE!$F1073="","",SAISIE!$C1073)</f>
        <v/>
      </c>
      <c r="C1068" t="str">
        <f>IF(SAISIE!$F1073="","",SAISIE!$D1073)</f>
        <v/>
      </c>
      <c r="D1068" t="str">
        <f>IF(SAISIE!$E1073="","",SAISIE!$E1073)</f>
        <v/>
      </c>
      <c r="E1068" t="str">
        <f>IF(SAISIE!$F1073="","",SAISIE!$F1073)</f>
        <v/>
      </c>
      <c r="F1068" t="str">
        <f>IF(SAISIE!$G1073="","",SAISIE!$G1073)</f>
        <v/>
      </c>
      <c r="G1068" t="str">
        <f>IF(SAISIE!$H1073="","",SAISIE!$H1073)</f>
        <v/>
      </c>
      <c r="H1068" t="str">
        <f>IF(SAISIE!$I1073="","",SAISIE!$I1073)</f>
        <v/>
      </c>
      <c r="I1068" t="str">
        <f>IF(SAISIE!$J1073="","",SAISIE!$J1073)</f>
        <v/>
      </c>
      <c r="J1068" t="str">
        <f>IF(SAISIE!$K1073="","",SAISIE!$K1073)</f>
        <v/>
      </c>
      <c r="K1068" t="str">
        <f>IF(SAISIE!$L1073="","",SAISIE!$L1073)</f>
        <v/>
      </c>
      <c r="L1068" t="str">
        <f>IF(SAISIE!$M1073="","",SAISIE!$M1073)</f>
        <v/>
      </c>
      <c r="M1068" t="str">
        <f>IF(SAISIE!$N1073="","",SAISIE!$N1073)</f>
        <v/>
      </c>
      <c r="N1068" t="str">
        <f>IF(SAISIE!$O1073="","",SAISIE!$O1073)</f>
        <v/>
      </c>
      <c r="O1068" t="str">
        <f>IF(SAISIE!$P1073="","",SAISIE!$P1073)</f>
        <v/>
      </c>
      <c r="P1068" t="str">
        <f>IF(SAISIE!$Q1073="","",SAISIE!$Q1073)</f>
        <v/>
      </c>
      <c r="Q1068" t="str">
        <f>IF($I1068="","",IF($I1068&gt;PARAMETRES!$G$29,5,IF($I1068&gt;PARAMETRES!$F$29,4,IF($I1068&gt;PARAMETRES!$E$29,3,IF($I1068&gt;PARAMETRES!$D$29,2,1)))))</f>
        <v/>
      </c>
      <c r="R1068" t="str">
        <f>IF($J1068="","",IF($J1068&gt;PARAMETRES!$G$30,5,IF($J1068&gt;PARAMETRES!$F$30,4,IF($J1068&gt;PARAMETRES!$E$30,3,IF($J1068&gt;PARAMETRES!$D$30,2,1)))))</f>
        <v/>
      </c>
      <c r="S1068" t="str">
        <f>IF($K1068="","",IF($Z1068=2,IF($K1068&gt;PARAMETRES!$G$31,5,IF($K1068&gt;PARAMETRES!$F$31,4,IF($K1068&gt;PARAMETRES!$E$31,3,IF($K1068&gt;PARAMETRES!$D$31,2,1)))),IF($K1068&gt;PARAMETRES!$G$32,5,IF($K1068&gt;PARAMETRES!$F$32,4,IF($K1068&gt;PARAMETRES!$E$32,3,IF($K1068&gt;PARAMETRES!$D$32,2,1))))))</f>
        <v/>
      </c>
      <c r="T1068" t="str">
        <f>IF($L1068="","",IF($L1068&gt;PARAMETRES!$G$33,5,IF($L1068&gt;PARAMETRES!$F$33,4,IF($L1068&gt;PARAMETRES!$E$33,3,IF($L1068&gt;PARAMETRES!$D$33,2,1)))))</f>
        <v/>
      </c>
      <c r="U1068" t="str">
        <f>IF($M1068="","",IF($M1068&gt;PARAMETRES!$G$34,5,IF($M1068&gt;PARAMETRES!$F$34,4,IF($M1068&gt;PARAMETRES!$E$34,3,IF($M1068&gt;PARAMETRES!$D$34,2,1)))))</f>
        <v/>
      </c>
      <c r="V1068" t="str">
        <f>IF($N1068="","",IF($N1068&gt;PARAMETRES!$G$35,5,IF($N1068&gt;PARAMETRES!$F$35,4,IF($N1068&gt;PARAMETRES!$E$35,3,IF($N1068&gt;PARAMETRES!$D$35,2,1)))))</f>
        <v/>
      </c>
      <c r="W1068" t="str">
        <f>IF($O1068="","",IF($O1068&gt;PARAMETRES!$G$36,5,IF($O1068&gt;PARAMETRES!$F$36,4,IF($O1068&gt;PARAMETRES!$E$36,3,IF($O1068&gt;PARAMETRES!$D$36,2,1)))))</f>
        <v/>
      </c>
      <c r="X1068" t="str">
        <f>IF($P1068="","",IF($P1068&gt;PARAMETRES!$G$37,5,IF($P1068&gt;PARAMETRES!$F$37,4,IF($P1068&gt;PARAMETRES!$E$37,3,IF($P1068&gt;PARAMETRES!$D$37,2,1)))))</f>
        <v/>
      </c>
      <c r="Y1068" t="str">
        <f t="shared" si="384"/>
        <v/>
      </c>
      <c r="Z1068" t="str">
        <f>IFERROR(VLOOKUP($B1068,TABLE_CYCLE,2,0),"")</f>
        <v/>
      </c>
      <c r="AA1068" t="str">
        <f t="shared" si="385"/>
        <v/>
      </c>
      <c r="AB1068" t="str">
        <f>IF($D1068="","",IF(COUNTIF($D$2:$D1068,$D1068)=1,$D1068,""))</f>
        <v/>
      </c>
      <c r="AC1068">
        <f t="shared" si="386"/>
        <v>0</v>
      </c>
      <c r="AD1068" t="str">
        <f t="shared" si="387"/>
        <v>|0</v>
      </c>
      <c r="AE1068" t="str">
        <f t="shared" si="388"/>
        <v/>
      </c>
      <c r="AF1068" t="str">
        <f t="shared" si="389"/>
        <v/>
      </c>
      <c r="AG1068" t="str">
        <f t="shared" si="390"/>
        <v/>
      </c>
      <c r="AH1068" t="str">
        <f t="shared" si="391"/>
        <v/>
      </c>
      <c r="AI1068" t="str">
        <f t="shared" si="392"/>
        <v/>
      </c>
      <c r="AJ1068" t="str">
        <f t="shared" si="393"/>
        <v/>
      </c>
      <c r="AK1068" t="str">
        <f t="shared" si="394"/>
        <v/>
      </c>
      <c r="AL1068" t="str">
        <f t="shared" si="395"/>
        <v/>
      </c>
      <c r="AM1068" t="str">
        <f t="shared" si="396"/>
        <v/>
      </c>
      <c r="AN1068" t="str">
        <f t="shared" si="397"/>
        <v/>
      </c>
      <c r="AO1068" t="str">
        <f t="shared" si="398"/>
        <v/>
      </c>
      <c r="AP1068">
        <f t="shared" si="399"/>
        <v>1</v>
      </c>
      <c r="AQ1068" t="str">
        <f>IF(SAISIE!$F1073="","",SAISIE!$Y1073)</f>
        <v/>
      </c>
      <c r="AR1068" t="str">
        <f>IF(OR(SAISIE!$U$4="",SAISIE!$W$4=""),"",IF(AND($A1068=SAISIE!$U$4,$B1068=SAISIE!$W$4,$C1068="S1"),COUNTIFS($A$2:$A1068,SAISIE!$U$4,$B$2:$B1068,SAISIE!$W$4,$C$2:$C1068,"S1"),""))</f>
        <v/>
      </c>
      <c r="AS1068" t="str">
        <f t="shared" si="400"/>
        <v/>
      </c>
      <c r="AT1068" t="str">
        <f t="shared" si="401"/>
        <v/>
      </c>
      <c r="AU1068" t="str">
        <f t="shared" si="402"/>
        <v/>
      </c>
      <c r="AV1068">
        <f>N(AV1067)+IF(AND($AB1068&lt;&gt;"",OR('PROFIL ELEVE'!$K$4="(Tous)",$AF1068='PROFIL ELEVE'!$K$4)),1,0)</f>
        <v>0</v>
      </c>
      <c r="AW1068">
        <f>N(AW1067)+IF(AND($AB1068&lt;&gt;"",OR('SUIVI LONGITUDINAL'!$Q$4="(Tous)",$AF1068='SUIVI LONGITUDINAL'!$Q$4)),1,0)</f>
        <v>0</v>
      </c>
      <c r="AX1068">
        <f t="shared" si="403"/>
        <v>0</v>
      </c>
      <c r="AY1068">
        <f t="shared" si="404"/>
        <v>0</v>
      </c>
      <c r="AZ1068">
        <f t="shared" si="405"/>
        <v>0</v>
      </c>
      <c r="BA1068" t="str">
        <f t="shared" si="406"/>
        <v/>
      </c>
      <c r="BB1068" t="str">
        <f t="shared" si="407"/>
        <v/>
      </c>
    </row>
    <row r="1069" spans="1:54" ht="14.25" customHeight="1" x14ac:dyDescent="0.3">
      <c r="A1069" t="str">
        <f>IF(SAISIE!$F1074="","",SAISIE!$B1074)</f>
        <v/>
      </c>
      <c r="B1069" t="str">
        <f>IF(SAISIE!$F1074="","",SAISIE!$C1074)</f>
        <v/>
      </c>
      <c r="C1069" t="str">
        <f>IF(SAISIE!$F1074="","",SAISIE!$D1074)</f>
        <v/>
      </c>
      <c r="D1069" t="str">
        <f>IF(SAISIE!$E1074="","",SAISIE!$E1074)</f>
        <v/>
      </c>
      <c r="E1069" t="str">
        <f>IF(SAISIE!$F1074="","",SAISIE!$F1074)</f>
        <v/>
      </c>
      <c r="F1069" t="str">
        <f>IF(SAISIE!$G1074="","",SAISIE!$G1074)</f>
        <v/>
      </c>
      <c r="G1069" t="str">
        <f>IF(SAISIE!$H1074="","",SAISIE!$H1074)</f>
        <v/>
      </c>
      <c r="H1069" t="str">
        <f>IF(SAISIE!$I1074="","",SAISIE!$I1074)</f>
        <v/>
      </c>
      <c r="I1069" t="str">
        <f>IF(SAISIE!$J1074="","",SAISIE!$J1074)</f>
        <v/>
      </c>
      <c r="J1069" t="str">
        <f>IF(SAISIE!$K1074="","",SAISIE!$K1074)</f>
        <v/>
      </c>
      <c r="K1069" t="str">
        <f>IF(SAISIE!$L1074="","",SAISIE!$L1074)</f>
        <v/>
      </c>
      <c r="L1069" t="str">
        <f>IF(SAISIE!$M1074="","",SAISIE!$M1074)</f>
        <v/>
      </c>
      <c r="M1069" t="str">
        <f>IF(SAISIE!$N1074="","",SAISIE!$N1074)</f>
        <v/>
      </c>
      <c r="N1069" t="str">
        <f>IF(SAISIE!$O1074="","",SAISIE!$O1074)</f>
        <v/>
      </c>
      <c r="O1069" t="str">
        <f>IF(SAISIE!$P1074="","",SAISIE!$P1074)</f>
        <v/>
      </c>
      <c r="P1069" t="str">
        <f>IF(SAISIE!$Q1074="","",SAISIE!$Q1074)</f>
        <v/>
      </c>
      <c r="Q1069" t="str">
        <f>IF($I1069="","",IF($I1069&gt;PARAMETRES!$G$29,5,IF($I1069&gt;PARAMETRES!$F$29,4,IF($I1069&gt;PARAMETRES!$E$29,3,IF($I1069&gt;PARAMETRES!$D$29,2,1)))))</f>
        <v/>
      </c>
      <c r="R1069" t="str">
        <f>IF($J1069="","",IF($J1069&gt;PARAMETRES!$G$30,5,IF($J1069&gt;PARAMETRES!$F$30,4,IF($J1069&gt;PARAMETRES!$E$30,3,IF($J1069&gt;PARAMETRES!$D$30,2,1)))))</f>
        <v/>
      </c>
      <c r="S1069" t="str">
        <f>IF($K1069="","",IF($Z1069=2,IF($K1069&gt;PARAMETRES!$G$31,5,IF($K1069&gt;PARAMETRES!$F$31,4,IF($K1069&gt;PARAMETRES!$E$31,3,IF($K1069&gt;PARAMETRES!$D$31,2,1)))),IF($K1069&gt;PARAMETRES!$G$32,5,IF($K1069&gt;PARAMETRES!$F$32,4,IF($K1069&gt;PARAMETRES!$E$32,3,IF($K1069&gt;PARAMETRES!$D$32,2,1))))))</f>
        <v/>
      </c>
      <c r="T1069" t="str">
        <f>IF($L1069="","",IF($L1069&gt;PARAMETRES!$G$33,5,IF($L1069&gt;PARAMETRES!$F$33,4,IF($L1069&gt;PARAMETRES!$E$33,3,IF($L1069&gt;PARAMETRES!$D$33,2,1)))))</f>
        <v/>
      </c>
      <c r="U1069" t="str">
        <f>IF($M1069="","",IF($M1069&gt;PARAMETRES!$G$34,5,IF($M1069&gt;PARAMETRES!$F$34,4,IF($M1069&gt;PARAMETRES!$E$34,3,IF($M1069&gt;PARAMETRES!$D$34,2,1)))))</f>
        <v/>
      </c>
      <c r="V1069" t="str">
        <f>IF($N1069="","",IF($N1069&gt;PARAMETRES!$G$35,5,IF($N1069&gt;PARAMETRES!$F$35,4,IF($N1069&gt;PARAMETRES!$E$35,3,IF($N1069&gt;PARAMETRES!$D$35,2,1)))))</f>
        <v/>
      </c>
      <c r="W1069" t="str">
        <f>IF($O1069="","",IF($O1069&gt;PARAMETRES!$G$36,5,IF($O1069&gt;PARAMETRES!$F$36,4,IF($O1069&gt;PARAMETRES!$E$36,3,IF($O1069&gt;PARAMETRES!$D$36,2,1)))))</f>
        <v/>
      </c>
      <c r="X1069" t="str">
        <f>IF($P1069="","",IF($P1069&gt;PARAMETRES!$G$37,5,IF($P1069&gt;PARAMETRES!$F$37,4,IF($P1069&gt;PARAMETRES!$E$37,3,IF($P1069&gt;PARAMETRES!$D$37,2,1)))))</f>
        <v/>
      </c>
      <c r="Y1069" t="str">
        <f t="shared" si="384"/>
        <v/>
      </c>
      <c r="Z1069" t="str">
        <f>IFERROR(VLOOKUP($B1069,TABLE_CYCLE,2,0),"")</f>
        <v/>
      </c>
      <c r="AA1069" t="str">
        <f t="shared" si="385"/>
        <v/>
      </c>
      <c r="AB1069" t="str">
        <f>IF($D1069="","",IF(COUNTIF($D$2:$D1069,$D1069)=1,$D1069,""))</f>
        <v/>
      </c>
      <c r="AC1069">
        <f t="shared" si="386"/>
        <v>0</v>
      </c>
      <c r="AD1069" t="str">
        <f t="shared" si="387"/>
        <v>|0</v>
      </c>
      <c r="AE1069" t="str">
        <f t="shared" si="388"/>
        <v/>
      </c>
      <c r="AF1069" t="str">
        <f t="shared" si="389"/>
        <v/>
      </c>
      <c r="AG1069" t="str">
        <f t="shared" si="390"/>
        <v/>
      </c>
      <c r="AH1069" t="str">
        <f t="shared" si="391"/>
        <v/>
      </c>
      <c r="AI1069" t="str">
        <f t="shared" si="392"/>
        <v/>
      </c>
      <c r="AJ1069" t="str">
        <f t="shared" si="393"/>
        <v/>
      </c>
      <c r="AK1069" t="str">
        <f t="shared" si="394"/>
        <v/>
      </c>
      <c r="AL1069" t="str">
        <f t="shared" si="395"/>
        <v/>
      </c>
      <c r="AM1069" t="str">
        <f t="shared" si="396"/>
        <v/>
      </c>
      <c r="AN1069" t="str">
        <f t="shared" si="397"/>
        <v/>
      </c>
      <c r="AO1069" t="str">
        <f t="shared" si="398"/>
        <v/>
      </c>
      <c r="AP1069">
        <f t="shared" si="399"/>
        <v>1</v>
      </c>
      <c r="AQ1069" t="str">
        <f>IF(SAISIE!$F1074="","",SAISIE!$Y1074)</f>
        <v/>
      </c>
      <c r="AR1069" t="str">
        <f>IF(OR(SAISIE!$U$4="",SAISIE!$W$4=""),"",IF(AND($A1069=SAISIE!$U$4,$B1069=SAISIE!$W$4,$C1069="S1"),COUNTIFS($A$2:$A1069,SAISIE!$U$4,$B$2:$B1069,SAISIE!$W$4,$C$2:$C1069,"S1"),""))</f>
        <v/>
      </c>
      <c r="AS1069" t="str">
        <f t="shared" si="400"/>
        <v/>
      </c>
      <c r="AT1069" t="str">
        <f t="shared" si="401"/>
        <v/>
      </c>
      <c r="AU1069" t="str">
        <f t="shared" si="402"/>
        <v/>
      </c>
      <c r="AV1069">
        <f>N(AV1068)+IF(AND($AB1069&lt;&gt;"",OR('PROFIL ELEVE'!$K$4="(Tous)",$AF1069='PROFIL ELEVE'!$K$4)),1,0)</f>
        <v>0</v>
      </c>
      <c r="AW1069">
        <f>N(AW1068)+IF(AND($AB1069&lt;&gt;"",OR('SUIVI LONGITUDINAL'!$Q$4="(Tous)",$AF1069='SUIVI LONGITUDINAL'!$Q$4)),1,0)</f>
        <v>0</v>
      </c>
      <c r="AX1069">
        <f t="shared" si="403"/>
        <v>0</v>
      </c>
      <c r="AY1069">
        <f t="shared" si="404"/>
        <v>0</v>
      </c>
      <c r="AZ1069">
        <f t="shared" si="405"/>
        <v>0</v>
      </c>
      <c r="BA1069" t="str">
        <f t="shared" si="406"/>
        <v/>
      </c>
      <c r="BB1069" t="str">
        <f t="shared" si="407"/>
        <v/>
      </c>
    </row>
    <row r="1070" spans="1:54" ht="14.25" customHeight="1" x14ac:dyDescent="0.3">
      <c r="A1070" t="str">
        <f>IF(SAISIE!$F1075="","",SAISIE!$B1075)</f>
        <v/>
      </c>
      <c r="B1070" t="str">
        <f>IF(SAISIE!$F1075="","",SAISIE!$C1075)</f>
        <v/>
      </c>
      <c r="C1070" t="str">
        <f>IF(SAISIE!$F1075="","",SAISIE!$D1075)</f>
        <v/>
      </c>
      <c r="D1070" t="str">
        <f>IF(SAISIE!$E1075="","",SAISIE!$E1075)</f>
        <v/>
      </c>
      <c r="E1070" t="str">
        <f>IF(SAISIE!$F1075="","",SAISIE!$F1075)</f>
        <v/>
      </c>
      <c r="F1070" t="str">
        <f>IF(SAISIE!$G1075="","",SAISIE!$G1075)</f>
        <v/>
      </c>
      <c r="G1070" t="str">
        <f>IF(SAISIE!$H1075="","",SAISIE!$H1075)</f>
        <v/>
      </c>
      <c r="H1070" t="str">
        <f>IF(SAISIE!$I1075="","",SAISIE!$I1075)</f>
        <v/>
      </c>
      <c r="I1070" t="str">
        <f>IF(SAISIE!$J1075="","",SAISIE!$J1075)</f>
        <v/>
      </c>
      <c r="J1070" t="str">
        <f>IF(SAISIE!$K1075="","",SAISIE!$K1075)</f>
        <v/>
      </c>
      <c r="K1070" t="str">
        <f>IF(SAISIE!$L1075="","",SAISIE!$L1075)</f>
        <v/>
      </c>
      <c r="L1070" t="str">
        <f>IF(SAISIE!$M1075="","",SAISIE!$M1075)</f>
        <v/>
      </c>
      <c r="M1070" t="str">
        <f>IF(SAISIE!$N1075="","",SAISIE!$N1075)</f>
        <v/>
      </c>
      <c r="N1070" t="str">
        <f>IF(SAISIE!$O1075="","",SAISIE!$O1075)</f>
        <v/>
      </c>
      <c r="O1070" t="str">
        <f>IF(SAISIE!$P1075="","",SAISIE!$P1075)</f>
        <v/>
      </c>
      <c r="P1070" t="str">
        <f>IF(SAISIE!$Q1075="","",SAISIE!$Q1075)</f>
        <v/>
      </c>
      <c r="Q1070" t="str">
        <f>IF($I1070="","",IF($I1070&gt;PARAMETRES!$G$29,5,IF($I1070&gt;PARAMETRES!$F$29,4,IF($I1070&gt;PARAMETRES!$E$29,3,IF($I1070&gt;PARAMETRES!$D$29,2,1)))))</f>
        <v/>
      </c>
      <c r="R1070" t="str">
        <f>IF($J1070="","",IF($J1070&gt;PARAMETRES!$G$30,5,IF($J1070&gt;PARAMETRES!$F$30,4,IF($J1070&gt;PARAMETRES!$E$30,3,IF($J1070&gt;PARAMETRES!$D$30,2,1)))))</f>
        <v/>
      </c>
      <c r="S1070" t="str">
        <f>IF($K1070="","",IF($Z1070=2,IF($K1070&gt;PARAMETRES!$G$31,5,IF($K1070&gt;PARAMETRES!$F$31,4,IF($K1070&gt;PARAMETRES!$E$31,3,IF($K1070&gt;PARAMETRES!$D$31,2,1)))),IF($K1070&gt;PARAMETRES!$G$32,5,IF($K1070&gt;PARAMETRES!$F$32,4,IF($K1070&gt;PARAMETRES!$E$32,3,IF($K1070&gt;PARAMETRES!$D$32,2,1))))))</f>
        <v/>
      </c>
      <c r="T1070" t="str">
        <f>IF($L1070="","",IF($L1070&gt;PARAMETRES!$G$33,5,IF($L1070&gt;PARAMETRES!$F$33,4,IF($L1070&gt;PARAMETRES!$E$33,3,IF($L1070&gt;PARAMETRES!$D$33,2,1)))))</f>
        <v/>
      </c>
      <c r="U1070" t="str">
        <f>IF($M1070="","",IF($M1070&gt;PARAMETRES!$G$34,5,IF($M1070&gt;PARAMETRES!$F$34,4,IF($M1070&gt;PARAMETRES!$E$34,3,IF($M1070&gt;PARAMETRES!$D$34,2,1)))))</f>
        <v/>
      </c>
      <c r="V1070" t="str">
        <f>IF($N1070="","",IF($N1070&gt;PARAMETRES!$G$35,5,IF($N1070&gt;PARAMETRES!$F$35,4,IF($N1070&gt;PARAMETRES!$E$35,3,IF($N1070&gt;PARAMETRES!$D$35,2,1)))))</f>
        <v/>
      </c>
      <c r="W1070" t="str">
        <f>IF($O1070="","",IF($O1070&gt;PARAMETRES!$G$36,5,IF($O1070&gt;PARAMETRES!$F$36,4,IF($O1070&gt;PARAMETRES!$E$36,3,IF($O1070&gt;PARAMETRES!$D$36,2,1)))))</f>
        <v/>
      </c>
      <c r="X1070" t="str">
        <f>IF($P1070="","",IF($P1070&gt;PARAMETRES!$G$37,5,IF($P1070&gt;PARAMETRES!$F$37,4,IF($P1070&gt;PARAMETRES!$E$37,3,IF($P1070&gt;PARAMETRES!$D$37,2,1)))))</f>
        <v/>
      </c>
      <c r="Y1070" t="str">
        <f t="shared" si="384"/>
        <v/>
      </c>
      <c r="Z1070" t="str">
        <f>IFERROR(VLOOKUP($B1070,TABLE_CYCLE,2,0),"")</f>
        <v/>
      </c>
      <c r="AA1070" t="str">
        <f t="shared" si="385"/>
        <v/>
      </c>
      <c r="AB1070" t="str">
        <f>IF($D1070="","",IF(COUNTIF($D$2:$D1070,$D1070)=1,$D1070,""))</f>
        <v/>
      </c>
      <c r="AC1070">
        <f t="shared" si="386"/>
        <v>0</v>
      </c>
      <c r="AD1070" t="str">
        <f t="shared" si="387"/>
        <v>|0</v>
      </c>
      <c r="AE1070" t="str">
        <f t="shared" si="388"/>
        <v/>
      </c>
      <c r="AF1070" t="str">
        <f t="shared" si="389"/>
        <v/>
      </c>
      <c r="AG1070" t="str">
        <f t="shared" si="390"/>
        <v/>
      </c>
      <c r="AH1070" t="str">
        <f t="shared" si="391"/>
        <v/>
      </c>
      <c r="AI1070" t="str">
        <f t="shared" si="392"/>
        <v/>
      </c>
      <c r="AJ1070" t="str">
        <f t="shared" si="393"/>
        <v/>
      </c>
      <c r="AK1070" t="str">
        <f t="shared" si="394"/>
        <v/>
      </c>
      <c r="AL1070" t="str">
        <f t="shared" si="395"/>
        <v/>
      </c>
      <c r="AM1070" t="str">
        <f t="shared" si="396"/>
        <v/>
      </c>
      <c r="AN1070" t="str">
        <f t="shared" si="397"/>
        <v/>
      </c>
      <c r="AO1070" t="str">
        <f t="shared" si="398"/>
        <v/>
      </c>
      <c r="AP1070">
        <f t="shared" si="399"/>
        <v>1</v>
      </c>
      <c r="AQ1070" t="str">
        <f>IF(SAISIE!$F1075="","",SAISIE!$Y1075)</f>
        <v/>
      </c>
      <c r="AR1070" t="str">
        <f>IF(OR(SAISIE!$U$4="",SAISIE!$W$4=""),"",IF(AND($A1070=SAISIE!$U$4,$B1070=SAISIE!$W$4,$C1070="S1"),COUNTIFS($A$2:$A1070,SAISIE!$U$4,$B$2:$B1070,SAISIE!$W$4,$C$2:$C1070,"S1"),""))</f>
        <v/>
      </c>
      <c r="AS1070" t="str">
        <f t="shared" si="400"/>
        <v/>
      </c>
      <c r="AT1070" t="str">
        <f t="shared" si="401"/>
        <v/>
      </c>
      <c r="AU1070" t="str">
        <f t="shared" si="402"/>
        <v/>
      </c>
      <c r="AV1070">
        <f>N(AV1069)+IF(AND($AB1070&lt;&gt;"",OR('PROFIL ELEVE'!$K$4="(Tous)",$AF1070='PROFIL ELEVE'!$K$4)),1,0)</f>
        <v>0</v>
      </c>
      <c r="AW1070">
        <f>N(AW1069)+IF(AND($AB1070&lt;&gt;"",OR('SUIVI LONGITUDINAL'!$Q$4="(Tous)",$AF1070='SUIVI LONGITUDINAL'!$Q$4)),1,0)</f>
        <v>0</v>
      </c>
      <c r="AX1070">
        <f t="shared" si="403"/>
        <v>0</v>
      </c>
      <c r="AY1070">
        <f t="shared" si="404"/>
        <v>0</v>
      </c>
      <c r="AZ1070">
        <f t="shared" si="405"/>
        <v>0</v>
      </c>
      <c r="BA1070" t="str">
        <f t="shared" si="406"/>
        <v/>
      </c>
      <c r="BB1070" t="str">
        <f t="shared" si="407"/>
        <v/>
      </c>
    </row>
    <row r="1071" spans="1:54" ht="14.25" customHeight="1" x14ac:dyDescent="0.3">
      <c r="A1071" t="str">
        <f>IF(SAISIE!$F1076="","",SAISIE!$B1076)</f>
        <v/>
      </c>
      <c r="B1071" t="str">
        <f>IF(SAISIE!$F1076="","",SAISIE!$C1076)</f>
        <v/>
      </c>
      <c r="C1071" t="str">
        <f>IF(SAISIE!$F1076="","",SAISIE!$D1076)</f>
        <v/>
      </c>
      <c r="D1071" t="str">
        <f>IF(SAISIE!$E1076="","",SAISIE!$E1076)</f>
        <v/>
      </c>
      <c r="E1071" t="str">
        <f>IF(SAISIE!$F1076="","",SAISIE!$F1076)</f>
        <v/>
      </c>
      <c r="F1071" t="str">
        <f>IF(SAISIE!$G1076="","",SAISIE!$G1076)</f>
        <v/>
      </c>
      <c r="G1071" t="str">
        <f>IF(SAISIE!$H1076="","",SAISIE!$H1076)</f>
        <v/>
      </c>
      <c r="H1071" t="str">
        <f>IF(SAISIE!$I1076="","",SAISIE!$I1076)</f>
        <v/>
      </c>
      <c r="I1071" t="str">
        <f>IF(SAISIE!$J1076="","",SAISIE!$J1076)</f>
        <v/>
      </c>
      <c r="J1071" t="str">
        <f>IF(SAISIE!$K1076="","",SAISIE!$K1076)</f>
        <v/>
      </c>
      <c r="K1071" t="str">
        <f>IF(SAISIE!$L1076="","",SAISIE!$L1076)</f>
        <v/>
      </c>
      <c r="L1071" t="str">
        <f>IF(SAISIE!$M1076="","",SAISIE!$M1076)</f>
        <v/>
      </c>
      <c r="M1071" t="str">
        <f>IF(SAISIE!$N1076="","",SAISIE!$N1076)</f>
        <v/>
      </c>
      <c r="N1071" t="str">
        <f>IF(SAISIE!$O1076="","",SAISIE!$O1076)</f>
        <v/>
      </c>
      <c r="O1071" t="str">
        <f>IF(SAISIE!$P1076="","",SAISIE!$P1076)</f>
        <v/>
      </c>
      <c r="P1071" t="str">
        <f>IF(SAISIE!$Q1076="","",SAISIE!$Q1076)</f>
        <v/>
      </c>
      <c r="Q1071" t="str">
        <f>IF($I1071="","",IF($I1071&gt;PARAMETRES!$G$29,5,IF($I1071&gt;PARAMETRES!$F$29,4,IF($I1071&gt;PARAMETRES!$E$29,3,IF($I1071&gt;PARAMETRES!$D$29,2,1)))))</f>
        <v/>
      </c>
      <c r="R1071" t="str">
        <f>IF($J1071="","",IF($J1071&gt;PARAMETRES!$G$30,5,IF($J1071&gt;PARAMETRES!$F$30,4,IF($J1071&gt;PARAMETRES!$E$30,3,IF($J1071&gt;PARAMETRES!$D$30,2,1)))))</f>
        <v/>
      </c>
      <c r="S1071" t="str">
        <f>IF($K1071="","",IF($Z1071=2,IF($K1071&gt;PARAMETRES!$G$31,5,IF($K1071&gt;PARAMETRES!$F$31,4,IF($K1071&gt;PARAMETRES!$E$31,3,IF($K1071&gt;PARAMETRES!$D$31,2,1)))),IF($K1071&gt;PARAMETRES!$G$32,5,IF($K1071&gt;PARAMETRES!$F$32,4,IF($K1071&gt;PARAMETRES!$E$32,3,IF($K1071&gt;PARAMETRES!$D$32,2,1))))))</f>
        <v/>
      </c>
      <c r="T1071" t="str">
        <f>IF($L1071="","",IF($L1071&gt;PARAMETRES!$G$33,5,IF($L1071&gt;PARAMETRES!$F$33,4,IF($L1071&gt;PARAMETRES!$E$33,3,IF($L1071&gt;PARAMETRES!$D$33,2,1)))))</f>
        <v/>
      </c>
      <c r="U1071" t="str">
        <f>IF($M1071="","",IF($M1071&gt;PARAMETRES!$G$34,5,IF($M1071&gt;PARAMETRES!$F$34,4,IF($M1071&gt;PARAMETRES!$E$34,3,IF($M1071&gt;PARAMETRES!$D$34,2,1)))))</f>
        <v/>
      </c>
      <c r="V1071" t="str">
        <f>IF($N1071="","",IF($N1071&gt;PARAMETRES!$G$35,5,IF($N1071&gt;PARAMETRES!$F$35,4,IF($N1071&gt;PARAMETRES!$E$35,3,IF($N1071&gt;PARAMETRES!$D$35,2,1)))))</f>
        <v/>
      </c>
      <c r="W1071" t="str">
        <f>IF($O1071="","",IF($O1071&gt;PARAMETRES!$G$36,5,IF($O1071&gt;PARAMETRES!$F$36,4,IF($O1071&gt;PARAMETRES!$E$36,3,IF($O1071&gt;PARAMETRES!$D$36,2,1)))))</f>
        <v/>
      </c>
      <c r="X1071" t="str">
        <f>IF($P1071="","",IF($P1071&gt;PARAMETRES!$G$37,5,IF($P1071&gt;PARAMETRES!$F$37,4,IF($P1071&gt;PARAMETRES!$E$37,3,IF($P1071&gt;PARAMETRES!$D$37,2,1)))))</f>
        <v/>
      </c>
      <c r="Y1071" t="str">
        <f t="shared" si="384"/>
        <v/>
      </c>
      <c r="Z1071" t="str">
        <f>IFERROR(VLOOKUP($B1071,TABLE_CYCLE,2,0),"")</f>
        <v/>
      </c>
      <c r="AA1071" t="str">
        <f t="shared" si="385"/>
        <v/>
      </c>
      <c r="AB1071" t="str">
        <f>IF($D1071="","",IF(COUNTIF($D$2:$D1071,$D1071)=1,$D1071,""))</f>
        <v/>
      </c>
      <c r="AC1071">
        <f t="shared" si="386"/>
        <v>0</v>
      </c>
      <c r="AD1071" t="str">
        <f t="shared" si="387"/>
        <v>|0</v>
      </c>
      <c r="AE1071" t="str">
        <f t="shared" si="388"/>
        <v/>
      </c>
      <c r="AF1071" t="str">
        <f t="shared" si="389"/>
        <v/>
      </c>
      <c r="AG1071" t="str">
        <f t="shared" si="390"/>
        <v/>
      </c>
      <c r="AH1071" t="str">
        <f t="shared" si="391"/>
        <v/>
      </c>
      <c r="AI1071" t="str">
        <f t="shared" si="392"/>
        <v/>
      </c>
      <c r="AJ1071" t="str">
        <f t="shared" si="393"/>
        <v/>
      </c>
      <c r="AK1071" t="str">
        <f t="shared" si="394"/>
        <v/>
      </c>
      <c r="AL1071" t="str">
        <f t="shared" si="395"/>
        <v/>
      </c>
      <c r="AM1071" t="str">
        <f t="shared" si="396"/>
        <v/>
      </c>
      <c r="AN1071" t="str">
        <f t="shared" si="397"/>
        <v/>
      </c>
      <c r="AO1071" t="str">
        <f t="shared" si="398"/>
        <v/>
      </c>
      <c r="AP1071">
        <f t="shared" si="399"/>
        <v>1</v>
      </c>
      <c r="AQ1071" t="str">
        <f>IF(SAISIE!$F1076="","",SAISIE!$Y1076)</f>
        <v/>
      </c>
      <c r="AR1071" t="str">
        <f>IF(OR(SAISIE!$U$4="",SAISIE!$W$4=""),"",IF(AND($A1071=SAISIE!$U$4,$B1071=SAISIE!$W$4,$C1071="S1"),COUNTIFS($A$2:$A1071,SAISIE!$U$4,$B$2:$B1071,SAISIE!$W$4,$C$2:$C1071,"S1"),""))</f>
        <v/>
      </c>
      <c r="AS1071" t="str">
        <f t="shared" si="400"/>
        <v/>
      </c>
      <c r="AT1071" t="str">
        <f t="shared" si="401"/>
        <v/>
      </c>
      <c r="AU1071" t="str">
        <f t="shared" si="402"/>
        <v/>
      </c>
      <c r="AV1071">
        <f>N(AV1070)+IF(AND($AB1071&lt;&gt;"",OR('PROFIL ELEVE'!$K$4="(Tous)",$AF1071='PROFIL ELEVE'!$K$4)),1,0)</f>
        <v>0</v>
      </c>
      <c r="AW1071">
        <f>N(AW1070)+IF(AND($AB1071&lt;&gt;"",OR('SUIVI LONGITUDINAL'!$Q$4="(Tous)",$AF1071='SUIVI LONGITUDINAL'!$Q$4)),1,0)</f>
        <v>0</v>
      </c>
      <c r="AX1071">
        <f t="shared" si="403"/>
        <v>0</v>
      </c>
      <c r="AY1071">
        <f t="shared" si="404"/>
        <v>0</v>
      </c>
      <c r="AZ1071">
        <f t="shared" si="405"/>
        <v>0</v>
      </c>
      <c r="BA1071" t="str">
        <f t="shared" si="406"/>
        <v/>
      </c>
      <c r="BB1071" t="str">
        <f t="shared" si="407"/>
        <v/>
      </c>
    </row>
    <row r="1072" spans="1:54" ht="14.25" customHeight="1" x14ac:dyDescent="0.3">
      <c r="A1072" t="str">
        <f>IF(SAISIE!$F1077="","",SAISIE!$B1077)</f>
        <v/>
      </c>
      <c r="B1072" t="str">
        <f>IF(SAISIE!$F1077="","",SAISIE!$C1077)</f>
        <v/>
      </c>
      <c r="C1072" t="str">
        <f>IF(SAISIE!$F1077="","",SAISIE!$D1077)</f>
        <v/>
      </c>
      <c r="D1072" t="str">
        <f>IF(SAISIE!$E1077="","",SAISIE!$E1077)</f>
        <v/>
      </c>
      <c r="E1072" t="str">
        <f>IF(SAISIE!$F1077="","",SAISIE!$F1077)</f>
        <v/>
      </c>
      <c r="F1072" t="str">
        <f>IF(SAISIE!$G1077="","",SAISIE!$G1077)</f>
        <v/>
      </c>
      <c r="G1072" t="str">
        <f>IF(SAISIE!$H1077="","",SAISIE!$H1077)</f>
        <v/>
      </c>
      <c r="H1072" t="str">
        <f>IF(SAISIE!$I1077="","",SAISIE!$I1077)</f>
        <v/>
      </c>
      <c r="I1072" t="str">
        <f>IF(SAISIE!$J1077="","",SAISIE!$J1077)</f>
        <v/>
      </c>
      <c r="J1072" t="str">
        <f>IF(SAISIE!$K1077="","",SAISIE!$K1077)</f>
        <v/>
      </c>
      <c r="K1072" t="str">
        <f>IF(SAISIE!$L1077="","",SAISIE!$L1077)</f>
        <v/>
      </c>
      <c r="L1072" t="str">
        <f>IF(SAISIE!$M1077="","",SAISIE!$M1077)</f>
        <v/>
      </c>
      <c r="M1072" t="str">
        <f>IF(SAISIE!$N1077="","",SAISIE!$N1077)</f>
        <v/>
      </c>
      <c r="N1072" t="str">
        <f>IF(SAISIE!$O1077="","",SAISIE!$O1077)</f>
        <v/>
      </c>
      <c r="O1072" t="str">
        <f>IF(SAISIE!$P1077="","",SAISIE!$P1077)</f>
        <v/>
      </c>
      <c r="P1072" t="str">
        <f>IF(SAISIE!$Q1077="","",SAISIE!$Q1077)</f>
        <v/>
      </c>
      <c r="Q1072" t="str">
        <f>IF($I1072="","",IF($I1072&gt;PARAMETRES!$G$29,5,IF($I1072&gt;PARAMETRES!$F$29,4,IF($I1072&gt;PARAMETRES!$E$29,3,IF($I1072&gt;PARAMETRES!$D$29,2,1)))))</f>
        <v/>
      </c>
      <c r="R1072" t="str">
        <f>IF($J1072="","",IF($J1072&gt;PARAMETRES!$G$30,5,IF($J1072&gt;PARAMETRES!$F$30,4,IF($J1072&gt;PARAMETRES!$E$30,3,IF($J1072&gt;PARAMETRES!$D$30,2,1)))))</f>
        <v/>
      </c>
      <c r="S1072" t="str">
        <f>IF($K1072="","",IF($Z1072=2,IF($K1072&gt;PARAMETRES!$G$31,5,IF($K1072&gt;PARAMETRES!$F$31,4,IF($K1072&gt;PARAMETRES!$E$31,3,IF($K1072&gt;PARAMETRES!$D$31,2,1)))),IF($K1072&gt;PARAMETRES!$G$32,5,IF($K1072&gt;PARAMETRES!$F$32,4,IF($K1072&gt;PARAMETRES!$E$32,3,IF($K1072&gt;PARAMETRES!$D$32,2,1))))))</f>
        <v/>
      </c>
      <c r="T1072" t="str">
        <f>IF($L1072="","",IF($L1072&gt;PARAMETRES!$G$33,5,IF($L1072&gt;PARAMETRES!$F$33,4,IF($L1072&gt;PARAMETRES!$E$33,3,IF($L1072&gt;PARAMETRES!$D$33,2,1)))))</f>
        <v/>
      </c>
      <c r="U1072" t="str">
        <f>IF($M1072="","",IF($M1072&gt;PARAMETRES!$G$34,5,IF($M1072&gt;PARAMETRES!$F$34,4,IF($M1072&gt;PARAMETRES!$E$34,3,IF($M1072&gt;PARAMETRES!$D$34,2,1)))))</f>
        <v/>
      </c>
      <c r="V1072" t="str">
        <f>IF($N1072="","",IF($N1072&gt;PARAMETRES!$G$35,5,IF($N1072&gt;PARAMETRES!$F$35,4,IF($N1072&gt;PARAMETRES!$E$35,3,IF($N1072&gt;PARAMETRES!$D$35,2,1)))))</f>
        <v/>
      </c>
      <c r="W1072" t="str">
        <f>IF($O1072="","",IF($O1072&gt;PARAMETRES!$G$36,5,IF($O1072&gt;PARAMETRES!$F$36,4,IF($O1072&gt;PARAMETRES!$E$36,3,IF($O1072&gt;PARAMETRES!$D$36,2,1)))))</f>
        <v/>
      </c>
      <c r="X1072" t="str">
        <f>IF($P1072="","",IF($P1072&gt;PARAMETRES!$G$37,5,IF($P1072&gt;PARAMETRES!$F$37,4,IF($P1072&gt;PARAMETRES!$E$37,3,IF($P1072&gt;PARAMETRES!$D$37,2,1)))))</f>
        <v/>
      </c>
      <c r="Y1072" t="str">
        <f t="shared" si="384"/>
        <v/>
      </c>
      <c r="Z1072" t="str">
        <f>IFERROR(VLOOKUP($B1072,TABLE_CYCLE,2,0),"")</f>
        <v/>
      </c>
      <c r="AA1072" t="str">
        <f t="shared" si="385"/>
        <v/>
      </c>
      <c r="AB1072" t="str">
        <f>IF($D1072="","",IF(COUNTIF($D$2:$D1072,$D1072)=1,$D1072,""))</f>
        <v/>
      </c>
      <c r="AC1072">
        <f t="shared" si="386"/>
        <v>0</v>
      </c>
      <c r="AD1072" t="str">
        <f t="shared" si="387"/>
        <v>|0</v>
      </c>
      <c r="AE1072" t="str">
        <f t="shared" si="388"/>
        <v/>
      </c>
      <c r="AF1072" t="str">
        <f t="shared" si="389"/>
        <v/>
      </c>
      <c r="AG1072" t="str">
        <f t="shared" si="390"/>
        <v/>
      </c>
      <c r="AH1072" t="str">
        <f t="shared" si="391"/>
        <v/>
      </c>
      <c r="AI1072" t="str">
        <f t="shared" si="392"/>
        <v/>
      </c>
      <c r="AJ1072" t="str">
        <f t="shared" si="393"/>
        <v/>
      </c>
      <c r="AK1072" t="str">
        <f t="shared" si="394"/>
        <v/>
      </c>
      <c r="AL1072" t="str">
        <f t="shared" si="395"/>
        <v/>
      </c>
      <c r="AM1072" t="str">
        <f t="shared" si="396"/>
        <v/>
      </c>
      <c r="AN1072" t="str">
        <f t="shared" si="397"/>
        <v/>
      </c>
      <c r="AO1072" t="str">
        <f t="shared" si="398"/>
        <v/>
      </c>
      <c r="AP1072">
        <f t="shared" si="399"/>
        <v>1</v>
      </c>
      <c r="AQ1072" t="str">
        <f>IF(SAISIE!$F1077="","",SAISIE!$Y1077)</f>
        <v/>
      </c>
      <c r="AR1072" t="str">
        <f>IF(OR(SAISIE!$U$4="",SAISIE!$W$4=""),"",IF(AND($A1072=SAISIE!$U$4,$B1072=SAISIE!$W$4,$C1072="S1"),COUNTIFS($A$2:$A1072,SAISIE!$U$4,$B$2:$B1072,SAISIE!$W$4,$C$2:$C1072,"S1"),""))</f>
        <v/>
      </c>
      <c r="AS1072" t="str">
        <f t="shared" si="400"/>
        <v/>
      </c>
      <c r="AT1072" t="str">
        <f t="shared" si="401"/>
        <v/>
      </c>
      <c r="AU1072" t="str">
        <f t="shared" si="402"/>
        <v/>
      </c>
      <c r="AV1072">
        <f>N(AV1071)+IF(AND($AB1072&lt;&gt;"",OR('PROFIL ELEVE'!$K$4="(Tous)",$AF1072='PROFIL ELEVE'!$K$4)),1,0)</f>
        <v>0</v>
      </c>
      <c r="AW1072">
        <f>N(AW1071)+IF(AND($AB1072&lt;&gt;"",OR('SUIVI LONGITUDINAL'!$Q$4="(Tous)",$AF1072='SUIVI LONGITUDINAL'!$Q$4)),1,0)</f>
        <v>0</v>
      </c>
      <c r="AX1072">
        <f t="shared" si="403"/>
        <v>0</v>
      </c>
      <c r="AY1072">
        <f t="shared" si="404"/>
        <v>0</v>
      </c>
      <c r="AZ1072">
        <f t="shared" si="405"/>
        <v>0</v>
      </c>
      <c r="BA1072" t="str">
        <f t="shared" si="406"/>
        <v/>
      </c>
      <c r="BB1072" t="str">
        <f t="shared" si="407"/>
        <v/>
      </c>
    </row>
    <row r="1073" spans="1:54" ht="14.25" customHeight="1" x14ac:dyDescent="0.3">
      <c r="A1073" t="str">
        <f>IF(SAISIE!$F1078="","",SAISIE!$B1078)</f>
        <v/>
      </c>
      <c r="B1073" t="str">
        <f>IF(SAISIE!$F1078="","",SAISIE!$C1078)</f>
        <v/>
      </c>
      <c r="C1073" t="str">
        <f>IF(SAISIE!$F1078="","",SAISIE!$D1078)</f>
        <v/>
      </c>
      <c r="D1073" t="str">
        <f>IF(SAISIE!$E1078="","",SAISIE!$E1078)</f>
        <v/>
      </c>
      <c r="E1073" t="str">
        <f>IF(SAISIE!$F1078="","",SAISIE!$F1078)</f>
        <v/>
      </c>
      <c r="F1073" t="str">
        <f>IF(SAISIE!$G1078="","",SAISIE!$G1078)</f>
        <v/>
      </c>
      <c r="G1073" t="str">
        <f>IF(SAISIE!$H1078="","",SAISIE!$H1078)</f>
        <v/>
      </c>
      <c r="H1073" t="str">
        <f>IF(SAISIE!$I1078="","",SAISIE!$I1078)</f>
        <v/>
      </c>
      <c r="I1073" t="str">
        <f>IF(SAISIE!$J1078="","",SAISIE!$J1078)</f>
        <v/>
      </c>
      <c r="J1073" t="str">
        <f>IF(SAISIE!$K1078="","",SAISIE!$K1078)</f>
        <v/>
      </c>
      <c r="K1073" t="str">
        <f>IF(SAISIE!$L1078="","",SAISIE!$L1078)</f>
        <v/>
      </c>
      <c r="L1073" t="str">
        <f>IF(SAISIE!$M1078="","",SAISIE!$M1078)</f>
        <v/>
      </c>
      <c r="M1073" t="str">
        <f>IF(SAISIE!$N1078="","",SAISIE!$N1078)</f>
        <v/>
      </c>
      <c r="N1073" t="str">
        <f>IF(SAISIE!$O1078="","",SAISIE!$O1078)</f>
        <v/>
      </c>
      <c r="O1073" t="str">
        <f>IF(SAISIE!$P1078="","",SAISIE!$P1078)</f>
        <v/>
      </c>
      <c r="P1073" t="str">
        <f>IF(SAISIE!$Q1078="","",SAISIE!$Q1078)</f>
        <v/>
      </c>
      <c r="Q1073" t="str">
        <f>IF($I1073="","",IF($I1073&gt;PARAMETRES!$G$29,5,IF($I1073&gt;PARAMETRES!$F$29,4,IF($I1073&gt;PARAMETRES!$E$29,3,IF($I1073&gt;PARAMETRES!$D$29,2,1)))))</f>
        <v/>
      </c>
      <c r="R1073" t="str">
        <f>IF($J1073="","",IF($J1073&gt;PARAMETRES!$G$30,5,IF($J1073&gt;PARAMETRES!$F$30,4,IF($J1073&gt;PARAMETRES!$E$30,3,IF($J1073&gt;PARAMETRES!$D$30,2,1)))))</f>
        <v/>
      </c>
      <c r="S1073" t="str">
        <f>IF($K1073="","",IF($Z1073=2,IF($K1073&gt;PARAMETRES!$G$31,5,IF($K1073&gt;PARAMETRES!$F$31,4,IF($K1073&gt;PARAMETRES!$E$31,3,IF($K1073&gt;PARAMETRES!$D$31,2,1)))),IF($K1073&gt;PARAMETRES!$G$32,5,IF($K1073&gt;PARAMETRES!$F$32,4,IF($K1073&gt;PARAMETRES!$E$32,3,IF($K1073&gt;PARAMETRES!$D$32,2,1))))))</f>
        <v/>
      </c>
      <c r="T1073" t="str">
        <f>IF($L1073="","",IF($L1073&gt;PARAMETRES!$G$33,5,IF($L1073&gt;PARAMETRES!$F$33,4,IF($L1073&gt;PARAMETRES!$E$33,3,IF($L1073&gt;PARAMETRES!$D$33,2,1)))))</f>
        <v/>
      </c>
      <c r="U1073" t="str">
        <f>IF($M1073="","",IF($M1073&gt;PARAMETRES!$G$34,5,IF($M1073&gt;PARAMETRES!$F$34,4,IF($M1073&gt;PARAMETRES!$E$34,3,IF($M1073&gt;PARAMETRES!$D$34,2,1)))))</f>
        <v/>
      </c>
      <c r="V1073" t="str">
        <f>IF($N1073="","",IF($N1073&gt;PARAMETRES!$G$35,5,IF($N1073&gt;PARAMETRES!$F$35,4,IF($N1073&gt;PARAMETRES!$E$35,3,IF($N1073&gt;PARAMETRES!$D$35,2,1)))))</f>
        <v/>
      </c>
      <c r="W1073" t="str">
        <f>IF($O1073="","",IF($O1073&gt;PARAMETRES!$G$36,5,IF($O1073&gt;PARAMETRES!$F$36,4,IF($O1073&gt;PARAMETRES!$E$36,3,IF($O1073&gt;PARAMETRES!$D$36,2,1)))))</f>
        <v/>
      </c>
      <c r="X1073" t="str">
        <f>IF($P1073="","",IF($P1073&gt;PARAMETRES!$G$37,5,IF($P1073&gt;PARAMETRES!$F$37,4,IF($P1073&gt;PARAMETRES!$E$37,3,IF($P1073&gt;PARAMETRES!$D$37,2,1)))))</f>
        <v/>
      </c>
      <c r="Y1073" t="str">
        <f t="shared" si="384"/>
        <v/>
      </c>
      <c r="Z1073" t="str">
        <f>IFERROR(VLOOKUP($B1073,TABLE_CYCLE,2,0),"")</f>
        <v/>
      </c>
      <c r="AA1073" t="str">
        <f t="shared" si="385"/>
        <v/>
      </c>
      <c r="AB1073" t="str">
        <f>IF($D1073="","",IF(COUNTIF($D$2:$D1073,$D1073)=1,$D1073,""))</f>
        <v/>
      </c>
      <c r="AC1073">
        <f t="shared" si="386"/>
        <v>0</v>
      </c>
      <c r="AD1073" t="str">
        <f t="shared" si="387"/>
        <v>|0</v>
      </c>
      <c r="AE1073" t="str">
        <f t="shared" si="388"/>
        <v/>
      </c>
      <c r="AF1073" t="str">
        <f t="shared" si="389"/>
        <v/>
      </c>
      <c r="AG1073" t="str">
        <f t="shared" si="390"/>
        <v/>
      </c>
      <c r="AH1073" t="str">
        <f t="shared" si="391"/>
        <v/>
      </c>
      <c r="AI1073" t="str">
        <f t="shared" si="392"/>
        <v/>
      </c>
      <c r="AJ1073" t="str">
        <f t="shared" si="393"/>
        <v/>
      </c>
      <c r="AK1073" t="str">
        <f t="shared" si="394"/>
        <v/>
      </c>
      <c r="AL1073" t="str">
        <f t="shared" si="395"/>
        <v/>
      </c>
      <c r="AM1073" t="str">
        <f t="shared" si="396"/>
        <v/>
      </c>
      <c r="AN1073" t="str">
        <f t="shared" si="397"/>
        <v/>
      </c>
      <c r="AO1073" t="str">
        <f t="shared" si="398"/>
        <v/>
      </c>
      <c r="AP1073">
        <f t="shared" si="399"/>
        <v>1</v>
      </c>
      <c r="AQ1073" t="str">
        <f>IF(SAISIE!$F1078="","",SAISIE!$Y1078)</f>
        <v/>
      </c>
      <c r="AR1073" t="str">
        <f>IF(OR(SAISIE!$U$4="",SAISIE!$W$4=""),"",IF(AND($A1073=SAISIE!$U$4,$B1073=SAISIE!$W$4,$C1073="S1"),COUNTIFS($A$2:$A1073,SAISIE!$U$4,$B$2:$B1073,SAISIE!$W$4,$C$2:$C1073,"S1"),""))</f>
        <v/>
      </c>
      <c r="AS1073" t="str">
        <f t="shared" si="400"/>
        <v/>
      </c>
      <c r="AT1073" t="str">
        <f t="shared" si="401"/>
        <v/>
      </c>
      <c r="AU1073" t="str">
        <f t="shared" si="402"/>
        <v/>
      </c>
      <c r="AV1073">
        <f>N(AV1072)+IF(AND($AB1073&lt;&gt;"",OR('PROFIL ELEVE'!$K$4="(Tous)",$AF1073='PROFIL ELEVE'!$K$4)),1,0)</f>
        <v>0</v>
      </c>
      <c r="AW1073">
        <f>N(AW1072)+IF(AND($AB1073&lt;&gt;"",OR('SUIVI LONGITUDINAL'!$Q$4="(Tous)",$AF1073='SUIVI LONGITUDINAL'!$Q$4)),1,0)</f>
        <v>0</v>
      </c>
      <c r="AX1073">
        <f t="shared" si="403"/>
        <v>0</v>
      </c>
      <c r="AY1073">
        <f t="shared" si="404"/>
        <v>0</v>
      </c>
      <c r="AZ1073">
        <f t="shared" si="405"/>
        <v>0</v>
      </c>
      <c r="BA1073" t="str">
        <f t="shared" si="406"/>
        <v/>
      </c>
      <c r="BB1073" t="str">
        <f t="shared" si="407"/>
        <v/>
      </c>
    </row>
    <row r="1074" spans="1:54" ht="14.25" customHeight="1" x14ac:dyDescent="0.3">
      <c r="A1074" t="str">
        <f>IF(SAISIE!$F1079="","",SAISIE!$B1079)</f>
        <v/>
      </c>
      <c r="B1074" t="str">
        <f>IF(SAISIE!$F1079="","",SAISIE!$C1079)</f>
        <v/>
      </c>
      <c r="C1074" t="str">
        <f>IF(SAISIE!$F1079="","",SAISIE!$D1079)</f>
        <v/>
      </c>
      <c r="D1074" t="str">
        <f>IF(SAISIE!$E1079="","",SAISIE!$E1079)</f>
        <v/>
      </c>
      <c r="E1074" t="str">
        <f>IF(SAISIE!$F1079="","",SAISIE!$F1079)</f>
        <v/>
      </c>
      <c r="F1074" t="str">
        <f>IF(SAISIE!$G1079="","",SAISIE!$G1079)</f>
        <v/>
      </c>
      <c r="G1074" t="str">
        <f>IF(SAISIE!$H1079="","",SAISIE!$H1079)</f>
        <v/>
      </c>
      <c r="H1074" t="str">
        <f>IF(SAISIE!$I1079="","",SAISIE!$I1079)</f>
        <v/>
      </c>
      <c r="I1074" t="str">
        <f>IF(SAISIE!$J1079="","",SAISIE!$J1079)</f>
        <v/>
      </c>
      <c r="J1074" t="str">
        <f>IF(SAISIE!$K1079="","",SAISIE!$K1079)</f>
        <v/>
      </c>
      <c r="K1074" t="str">
        <f>IF(SAISIE!$L1079="","",SAISIE!$L1079)</f>
        <v/>
      </c>
      <c r="L1074" t="str">
        <f>IF(SAISIE!$M1079="","",SAISIE!$M1079)</f>
        <v/>
      </c>
      <c r="M1074" t="str">
        <f>IF(SAISIE!$N1079="","",SAISIE!$N1079)</f>
        <v/>
      </c>
      <c r="N1074" t="str">
        <f>IF(SAISIE!$O1079="","",SAISIE!$O1079)</f>
        <v/>
      </c>
      <c r="O1074" t="str">
        <f>IF(SAISIE!$P1079="","",SAISIE!$P1079)</f>
        <v/>
      </c>
      <c r="P1074" t="str">
        <f>IF(SAISIE!$Q1079="","",SAISIE!$Q1079)</f>
        <v/>
      </c>
      <c r="Q1074" t="str">
        <f>IF($I1074="","",IF($I1074&gt;PARAMETRES!$G$29,5,IF($I1074&gt;PARAMETRES!$F$29,4,IF($I1074&gt;PARAMETRES!$E$29,3,IF($I1074&gt;PARAMETRES!$D$29,2,1)))))</f>
        <v/>
      </c>
      <c r="R1074" t="str">
        <f>IF($J1074="","",IF($J1074&gt;PARAMETRES!$G$30,5,IF($J1074&gt;PARAMETRES!$F$30,4,IF($J1074&gt;PARAMETRES!$E$30,3,IF($J1074&gt;PARAMETRES!$D$30,2,1)))))</f>
        <v/>
      </c>
      <c r="S1074" t="str">
        <f>IF($K1074="","",IF($Z1074=2,IF($K1074&gt;PARAMETRES!$G$31,5,IF($K1074&gt;PARAMETRES!$F$31,4,IF($K1074&gt;PARAMETRES!$E$31,3,IF($K1074&gt;PARAMETRES!$D$31,2,1)))),IF($K1074&gt;PARAMETRES!$G$32,5,IF($K1074&gt;PARAMETRES!$F$32,4,IF($K1074&gt;PARAMETRES!$E$32,3,IF($K1074&gt;PARAMETRES!$D$32,2,1))))))</f>
        <v/>
      </c>
      <c r="T1074" t="str">
        <f>IF($L1074="","",IF($L1074&gt;PARAMETRES!$G$33,5,IF($L1074&gt;PARAMETRES!$F$33,4,IF($L1074&gt;PARAMETRES!$E$33,3,IF($L1074&gt;PARAMETRES!$D$33,2,1)))))</f>
        <v/>
      </c>
      <c r="U1074" t="str">
        <f>IF($M1074="","",IF($M1074&gt;PARAMETRES!$G$34,5,IF($M1074&gt;PARAMETRES!$F$34,4,IF($M1074&gt;PARAMETRES!$E$34,3,IF($M1074&gt;PARAMETRES!$D$34,2,1)))))</f>
        <v/>
      </c>
      <c r="V1074" t="str">
        <f>IF($N1074="","",IF($N1074&gt;PARAMETRES!$G$35,5,IF($N1074&gt;PARAMETRES!$F$35,4,IF($N1074&gt;PARAMETRES!$E$35,3,IF($N1074&gt;PARAMETRES!$D$35,2,1)))))</f>
        <v/>
      </c>
      <c r="W1074" t="str">
        <f>IF($O1074="","",IF($O1074&gt;PARAMETRES!$G$36,5,IF($O1074&gt;PARAMETRES!$F$36,4,IF($O1074&gt;PARAMETRES!$E$36,3,IF($O1074&gt;PARAMETRES!$D$36,2,1)))))</f>
        <v/>
      </c>
      <c r="X1074" t="str">
        <f>IF($P1074="","",IF($P1074&gt;PARAMETRES!$G$37,5,IF($P1074&gt;PARAMETRES!$F$37,4,IF($P1074&gt;PARAMETRES!$E$37,3,IF($P1074&gt;PARAMETRES!$D$37,2,1)))))</f>
        <v/>
      </c>
      <c r="Y1074" t="str">
        <f t="shared" si="384"/>
        <v/>
      </c>
      <c r="Z1074" t="str">
        <f>IFERROR(VLOOKUP($B1074,TABLE_CYCLE,2,0),"")</f>
        <v/>
      </c>
      <c r="AA1074" t="str">
        <f t="shared" si="385"/>
        <v/>
      </c>
      <c r="AB1074" t="str">
        <f>IF($D1074="","",IF(COUNTIF($D$2:$D1074,$D1074)=1,$D1074,""))</f>
        <v/>
      </c>
      <c r="AC1074">
        <f t="shared" si="386"/>
        <v>0</v>
      </c>
      <c r="AD1074" t="str">
        <f t="shared" si="387"/>
        <v>|0</v>
      </c>
      <c r="AE1074" t="str">
        <f t="shared" si="388"/>
        <v/>
      </c>
      <c r="AF1074" t="str">
        <f t="shared" si="389"/>
        <v/>
      </c>
      <c r="AG1074" t="str">
        <f t="shared" si="390"/>
        <v/>
      </c>
      <c r="AH1074" t="str">
        <f t="shared" si="391"/>
        <v/>
      </c>
      <c r="AI1074" t="str">
        <f t="shared" si="392"/>
        <v/>
      </c>
      <c r="AJ1074" t="str">
        <f t="shared" si="393"/>
        <v/>
      </c>
      <c r="AK1074" t="str">
        <f t="shared" si="394"/>
        <v/>
      </c>
      <c r="AL1074" t="str">
        <f t="shared" si="395"/>
        <v/>
      </c>
      <c r="AM1074" t="str">
        <f t="shared" si="396"/>
        <v/>
      </c>
      <c r="AN1074" t="str">
        <f t="shared" si="397"/>
        <v/>
      </c>
      <c r="AO1074" t="str">
        <f t="shared" si="398"/>
        <v/>
      </c>
      <c r="AP1074">
        <f t="shared" si="399"/>
        <v>1</v>
      </c>
      <c r="AQ1074" t="str">
        <f>IF(SAISIE!$F1079="","",SAISIE!$Y1079)</f>
        <v/>
      </c>
      <c r="AR1074" t="str">
        <f>IF(OR(SAISIE!$U$4="",SAISIE!$W$4=""),"",IF(AND($A1074=SAISIE!$U$4,$B1074=SAISIE!$W$4,$C1074="S1"),COUNTIFS($A$2:$A1074,SAISIE!$U$4,$B$2:$B1074,SAISIE!$W$4,$C$2:$C1074,"S1"),""))</f>
        <v/>
      </c>
      <c r="AS1074" t="str">
        <f t="shared" si="400"/>
        <v/>
      </c>
      <c r="AT1074" t="str">
        <f t="shared" si="401"/>
        <v/>
      </c>
      <c r="AU1074" t="str">
        <f t="shared" si="402"/>
        <v/>
      </c>
      <c r="AV1074">
        <f>N(AV1073)+IF(AND($AB1074&lt;&gt;"",OR('PROFIL ELEVE'!$K$4="(Tous)",$AF1074='PROFIL ELEVE'!$K$4)),1,0)</f>
        <v>0</v>
      </c>
      <c r="AW1074">
        <f>N(AW1073)+IF(AND($AB1074&lt;&gt;"",OR('SUIVI LONGITUDINAL'!$Q$4="(Tous)",$AF1074='SUIVI LONGITUDINAL'!$Q$4)),1,0)</f>
        <v>0</v>
      </c>
      <c r="AX1074">
        <f t="shared" si="403"/>
        <v>0</v>
      </c>
      <c r="AY1074">
        <f t="shared" si="404"/>
        <v>0</v>
      </c>
      <c r="AZ1074">
        <f t="shared" si="405"/>
        <v>0</v>
      </c>
      <c r="BA1074" t="str">
        <f t="shared" si="406"/>
        <v/>
      </c>
      <c r="BB1074" t="str">
        <f t="shared" si="407"/>
        <v/>
      </c>
    </row>
    <row r="1075" spans="1:54" ht="14.25" customHeight="1" x14ac:dyDescent="0.3">
      <c r="A1075" t="str">
        <f>IF(SAISIE!$F1080="","",SAISIE!$B1080)</f>
        <v/>
      </c>
      <c r="B1075" t="str">
        <f>IF(SAISIE!$F1080="","",SAISIE!$C1080)</f>
        <v/>
      </c>
      <c r="C1075" t="str">
        <f>IF(SAISIE!$F1080="","",SAISIE!$D1080)</f>
        <v/>
      </c>
      <c r="D1075" t="str">
        <f>IF(SAISIE!$E1080="","",SAISIE!$E1080)</f>
        <v/>
      </c>
      <c r="E1075" t="str">
        <f>IF(SAISIE!$F1080="","",SAISIE!$F1080)</f>
        <v/>
      </c>
      <c r="F1075" t="str">
        <f>IF(SAISIE!$G1080="","",SAISIE!$G1080)</f>
        <v/>
      </c>
      <c r="G1075" t="str">
        <f>IF(SAISIE!$H1080="","",SAISIE!$H1080)</f>
        <v/>
      </c>
      <c r="H1075" t="str">
        <f>IF(SAISIE!$I1080="","",SAISIE!$I1080)</f>
        <v/>
      </c>
      <c r="I1075" t="str">
        <f>IF(SAISIE!$J1080="","",SAISIE!$J1080)</f>
        <v/>
      </c>
      <c r="J1075" t="str">
        <f>IF(SAISIE!$K1080="","",SAISIE!$K1080)</f>
        <v/>
      </c>
      <c r="K1075" t="str">
        <f>IF(SAISIE!$L1080="","",SAISIE!$L1080)</f>
        <v/>
      </c>
      <c r="L1075" t="str">
        <f>IF(SAISIE!$M1080="","",SAISIE!$M1080)</f>
        <v/>
      </c>
      <c r="M1075" t="str">
        <f>IF(SAISIE!$N1080="","",SAISIE!$N1080)</f>
        <v/>
      </c>
      <c r="N1075" t="str">
        <f>IF(SAISIE!$O1080="","",SAISIE!$O1080)</f>
        <v/>
      </c>
      <c r="O1075" t="str">
        <f>IF(SAISIE!$P1080="","",SAISIE!$P1080)</f>
        <v/>
      </c>
      <c r="P1075" t="str">
        <f>IF(SAISIE!$Q1080="","",SAISIE!$Q1080)</f>
        <v/>
      </c>
      <c r="Q1075" t="str">
        <f>IF($I1075="","",IF($I1075&gt;PARAMETRES!$G$29,5,IF($I1075&gt;PARAMETRES!$F$29,4,IF($I1075&gt;PARAMETRES!$E$29,3,IF($I1075&gt;PARAMETRES!$D$29,2,1)))))</f>
        <v/>
      </c>
      <c r="R1075" t="str">
        <f>IF($J1075="","",IF($J1075&gt;PARAMETRES!$G$30,5,IF($J1075&gt;PARAMETRES!$F$30,4,IF($J1075&gt;PARAMETRES!$E$30,3,IF($J1075&gt;PARAMETRES!$D$30,2,1)))))</f>
        <v/>
      </c>
      <c r="S1075" t="str">
        <f>IF($K1075="","",IF($Z1075=2,IF($K1075&gt;PARAMETRES!$G$31,5,IF($K1075&gt;PARAMETRES!$F$31,4,IF($K1075&gt;PARAMETRES!$E$31,3,IF($K1075&gt;PARAMETRES!$D$31,2,1)))),IF($K1075&gt;PARAMETRES!$G$32,5,IF($K1075&gt;PARAMETRES!$F$32,4,IF($K1075&gt;PARAMETRES!$E$32,3,IF($K1075&gt;PARAMETRES!$D$32,2,1))))))</f>
        <v/>
      </c>
      <c r="T1075" t="str">
        <f>IF($L1075="","",IF($L1075&gt;PARAMETRES!$G$33,5,IF($L1075&gt;PARAMETRES!$F$33,4,IF($L1075&gt;PARAMETRES!$E$33,3,IF($L1075&gt;PARAMETRES!$D$33,2,1)))))</f>
        <v/>
      </c>
      <c r="U1075" t="str">
        <f>IF($M1075="","",IF($M1075&gt;PARAMETRES!$G$34,5,IF($M1075&gt;PARAMETRES!$F$34,4,IF($M1075&gt;PARAMETRES!$E$34,3,IF($M1075&gt;PARAMETRES!$D$34,2,1)))))</f>
        <v/>
      </c>
      <c r="V1075" t="str">
        <f>IF($N1075="","",IF($N1075&gt;PARAMETRES!$G$35,5,IF($N1075&gt;PARAMETRES!$F$35,4,IF($N1075&gt;PARAMETRES!$E$35,3,IF($N1075&gt;PARAMETRES!$D$35,2,1)))))</f>
        <v/>
      </c>
      <c r="W1075" t="str">
        <f>IF($O1075="","",IF($O1075&gt;PARAMETRES!$G$36,5,IF($O1075&gt;PARAMETRES!$F$36,4,IF($O1075&gt;PARAMETRES!$E$36,3,IF($O1075&gt;PARAMETRES!$D$36,2,1)))))</f>
        <v/>
      </c>
      <c r="X1075" t="str">
        <f>IF($P1075="","",IF($P1075&gt;PARAMETRES!$G$37,5,IF($P1075&gt;PARAMETRES!$F$37,4,IF($P1075&gt;PARAMETRES!$E$37,3,IF($P1075&gt;PARAMETRES!$D$37,2,1)))))</f>
        <v/>
      </c>
      <c r="Y1075" t="str">
        <f t="shared" si="384"/>
        <v/>
      </c>
      <c r="Z1075" t="str">
        <f>IFERROR(VLOOKUP($B1075,TABLE_CYCLE,2,0),"")</f>
        <v/>
      </c>
      <c r="AA1075" t="str">
        <f t="shared" si="385"/>
        <v/>
      </c>
      <c r="AB1075" t="str">
        <f>IF($D1075="","",IF(COUNTIF($D$2:$D1075,$D1075)=1,$D1075,""))</f>
        <v/>
      </c>
      <c r="AC1075">
        <f t="shared" si="386"/>
        <v>0</v>
      </c>
      <c r="AD1075" t="str">
        <f t="shared" si="387"/>
        <v>|0</v>
      </c>
      <c r="AE1075" t="str">
        <f t="shared" si="388"/>
        <v/>
      </c>
      <c r="AF1075" t="str">
        <f t="shared" si="389"/>
        <v/>
      </c>
      <c r="AG1075" t="str">
        <f t="shared" si="390"/>
        <v/>
      </c>
      <c r="AH1075" t="str">
        <f t="shared" si="391"/>
        <v/>
      </c>
      <c r="AI1075" t="str">
        <f t="shared" si="392"/>
        <v/>
      </c>
      <c r="AJ1075" t="str">
        <f t="shared" si="393"/>
        <v/>
      </c>
      <c r="AK1075" t="str">
        <f t="shared" si="394"/>
        <v/>
      </c>
      <c r="AL1075" t="str">
        <f t="shared" si="395"/>
        <v/>
      </c>
      <c r="AM1075" t="str">
        <f t="shared" si="396"/>
        <v/>
      </c>
      <c r="AN1075" t="str">
        <f t="shared" si="397"/>
        <v/>
      </c>
      <c r="AO1075" t="str">
        <f t="shared" si="398"/>
        <v/>
      </c>
      <c r="AP1075">
        <f t="shared" si="399"/>
        <v>1</v>
      </c>
      <c r="AQ1075" t="str">
        <f>IF(SAISIE!$F1080="","",SAISIE!$Y1080)</f>
        <v/>
      </c>
      <c r="AR1075" t="str">
        <f>IF(OR(SAISIE!$U$4="",SAISIE!$W$4=""),"",IF(AND($A1075=SAISIE!$U$4,$B1075=SAISIE!$W$4,$C1075="S1"),COUNTIFS($A$2:$A1075,SAISIE!$U$4,$B$2:$B1075,SAISIE!$W$4,$C$2:$C1075,"S1"),""))</f>
        <v/>
      </c>
      <c r="AS1075" t="str">
        <f t="shared" si="400"/>
        <v/>
      </c>
      <c r="AT1075" t="str">
        <f t="shared" si="401"/>
        <v/>
      </c>
      <c r="AU1075" t="str">
        <f t="shared" si="402"/>
        <v/>
      </c>
      <c r="AV1075">
        <f>N(AV1074)+IF(AND($AB1075&lt;&gt;"",OR('PROFIL ELEVE'!$K$4="(Tous)",$AF1075='PROFIL ELEVE'!$K$4)),1,0)</f>
        <v>0</v>
      </c>
      <c r="AW1075">
        <f>N(AW1074)+IF(AND($AB1075&lt;&gt;"",OR('SUIVI LONGITUDINAL'!$Q$4="(Tous)",$AF1075='SUIVI LONGITUDINAL'!$Q$4)),1,0)</f>
        <v>0</v>
      </c>
      <c r="AX1075">
        <f t="shared" si="403"/>
        <v>0</v>
      </c>
      <c r="AY1075">
        <f t="shared" si="404"/>
        <v>0</v>
      </c>
      <c r="AZ1075">
        <f t="shared" si="405"/>
        <v>0</v>
      </c>
      <c r="BA1075" t="str">
        <f t="shared" si="406"/>
        <v/>
      </c>
      <c r="BB1075" t="str">
        <f t="shared" si="407"/>
        <v/>
      </c>
    </row>
    <row r="1076" spans="1:54" ht="14.25" customHeight="1" x14ac:dyDescent="0.3">
      <c r="A1076" t="str">
        <f>IF(SAISIE!$F1081="","",SAISIE!$B1081)</f>
        <v/>
      </c>
      <c r="B1076" t="str">
        <f>IF(SAISIE!$F1081="","",SAISIE!$C1081)</f>
        <v/>
      </c>
      <c r="C1076" t="str">
        <f>IF(SAISIE!$F1081="","",SAISIE!$D1081)</f>
        <v/>
      </c>
      <c r="D1076" t="str">
        <f>IF(SAISIE!$E1081="","",SAISIE!$E1081)</f>
        <v/>
      </c>
      <c r="E1076" t="str">
        <f>IF(SAISIE!$F1081="","",SAISIE!$F1081)</f>
        <v/>
      </c>
      <c r="F1076" t="str">
        <f>IF(SAISIE!$G1081="","",SAISIE!$G1081)</f>
        <v/>
      </c>
      <c r="G1076" t="str">
        <f>IF(SAISIE!$H1081="","",SAISIE!$H1081)</f>
        <v/>
      </c>
      <c r="H1076" t="str">
        <f>IF(SAISIE!$I1081="","",SAISIE!$I1081)</f>
        <v/>
      </c>
      <c r="I1076" t="str">
        <f>IF(SAISIE!$J1081="","",SAISIE!$J1081)</f>
        <v/>
      </c>
      <c r="J1076" t="str">
        <f>IF(SAISIE!$K1081="","",SAISIE!$K1081)</f>
        <v/>
      </c>
      <c r="K1076" t="str">
        <f>IF(SAISIE!$L1081="","",SAISIE!$L1081)</f>
        <v/>
      </c>
      <c r="L1076" t="str">
        <f>IF(SAISIE!$M1081="","",SAISIE!$M1081)</f>
        <v/>
      </c>
      <c r="M1076" t="str">
        <f>IF(SAISIE!$N1081="","",SAISIE!$N1081)</f>
        <v/>
      </c>
      <c r="N1076" t="str">
        <f>IF(SAISIE!$O1081="","",SAISIE!$O1081)</f>
        <v/>
      </c>
      <c r="O1076" t="str">
        <f>IF(SAISIE!$P1081="","",SAISIE!$P1081)</f>
        <v/>
      </c>
      <c r="P1076" t="str">
        <f>IF(SAISIE!$Q1081="","",SAISIE!$Q1081)</f>
        <v/>
      </c>
      <c r="Q1076" t="str">
        <f>IF($I1076="","",IF($I1076&gt;PARAMETRES!$G$29,5,IF($I1076&gt;PARAMETRES!$F$29,4,IF($I1076&gt;PARAMETRES!$E$29,3,IF($I1076&gt;PARAMETRES!$D$29,2,1)))))</f>
        <v/>
      </c>
      <c r="R1076" t="str">
        <f>IF($J1076="","",IF($J1076&gt;PARAMETRES!$G$30,5,IF($J1076&gt;PARAMETRES!$F$30,4,IF($J1076&gt;PARAMETRES!$E$30,3,IF($J1076&gt;PARAMETRES!$D$30,2,1)))))</f>
        <v/>
      </c>
      <c r="S1076" t="str">
        <f>IF($K1076="","",IF($Z1076=2,IF($K1076&gt;PARAMETRES!$G$31,5,IF($K1076&gt;PARAMETRES!$F$31,4,IF($K1076&gt;PARAMETRES!$E$31,3,IF($K1076&gt;PARAMETRES!$D$31,2,1)))),IF($K1076&gt;PARAMETRES!$G$32,5,IF($K1076&gt;PARAMETRES!$F$32,4,IF($K1076&gt;PARAMETRES!$E$32,3,IF($K1076&gt;PARAMETRES!$D$32,2,1))))))</f>
        <v/>
      </c>
      <c r="T1076" t="str">
        <f>IF($L1076="","",IF($L1076&gt;PARAMETRES!$G$33,5,IF($L1076&gt;PARAMETRES!$F$33,4,IF($L1076&gt;PARAMETRES!$E$33,3,IF($L1076&gt;PARAMETRES!$D$33,2,1)))))</f>
        <v/>
      </c>
      <c r="U1076" t="str">
        <f>IF($M1076="","",IF($M1076&gt;PARAMETRES!$G$34,5,IF($M1076&gt;PARAMETRES!$F$34,4,IF($M1076&gt;PARAMETRES!$E$34,3,IF($M1076&gt;PARAMETRES!$D$34,2,1)))))</f>
        <v/>
      </c>
      <c r="V1076" t="str">
        <f>IF($N1076="","",IF($N1076&gt;PARAMETRES!$G$35,5,IF($N1076&gt;PARAMETRES!$F$35,4,IF($N1076&gt;PARAMETRES!$E$35,3,IF($N1076&gt;PARAMETRES!$D$35,2,1)))))</f>
        <v/>
      </c>
      <c r="W1076" t="str">
        <f>IF($O1076="","",IF($O1076&gt;PARAMETRES!$G$36,5,IF($O1076&gt;PARAMETRES!$F$36,4,IF($O1076&gt;PARAMETRES!$E$36,3,IF($O1076&gt;PARAMETRES!$D$36,2,1)))))</f>
        <v/>
      </c>
      <c r="X1076" t="str">
        <f>IF($P1076="","",IF($P1076&gt;PARAMETRES!$G$37,5,IF($P1076&gt;PARAMETRES!$F$37,4,IF($P1076&gt;PARAMETRES!$E$37,3,IF($P1076&gt;PARAMETRES!$D$37,2,1)))))</f>
        <v/>
      </c>
      <c r="Y1076" t="str">
        <f t="shared" si="384"/>
        <v/>
      </c>
      <c r="Z1076" t="str">
        <f>IFERROR(VLOOKUP($B1076,TABLE_CYCLE,2,0),"")</f>
        <v/>
      </c>
      <c r="AA1076" t="str">
        <f t="shared" si="385"/>
        <v/>
      </c>
      <c r="AB1076" t="str">
        <f>IF($D1076="","",IF(COUNTIF($D$2:$D1076,$D1076)=1,$D1076,""))</f>
        <v/>
      </c>
      <c r="AC1076">
        <f t="shared" si="386"/>
        <v>0</v>
      </c>
      <c r="AD1076" t="str">
        <f t="shared" si="387"/>
        <v>|0</v>
      </c>
      <c r="AE1076" t="str">
        <f t="shared" si="388"/>
        <v/>
      </c>
      <c r="AF1076" t="str">
        <f t="shared" si="389"/>
        <v/>
      </c>
      <c r="AG1076" t="str">
        <f t="shared" si="390"/>
        <v/>
      </c>
      <c r="AH1076" t="str">
        <f t="shared" si="391"/>
        <v/>
      </c>
      <c r="AI1076" t="str">
        <f t="shared" si="392"/>
        <v/>
      </c>
      <c r="AJ1076" t="str">
        <f t="shared" si="393"/>
        <v/>
      </c>
      <c r="AK1076" t="str">
        <f t="shared" si="394"/>
        <v/>
      </c>
      <c r="AL1076" t="str">
        <f t="shared" si="395"/>
        <v/>
      </c>
      <c r="AM1076" t="str">
        <f t="shared" si="396"/>
        <v/>
      </c>
      <c r="AN1076" t="str">
        <f t="shared" si="397"/>
        <v/>
      </c>
      <c r="AO1076" t="str">
        <f t="shared" si="398"/>
        <v/>
      </c>
      <c r="AP1076">
        <f t="shared" si="399"/>
        <v>1</v>
      </c>
      <c r="AQ1076" t="str">
        <f>IF(SAISIE!$F1081="","",SAISIE!$Y1081)</f>
        <v/>
      </c>
      <c r="AR1076" t="str">
        <f>IF(OR(SAISIE!$U$4="",SAISIE!$W$4=""),"",IF(AND($A1076=SAISIE!$U$4,$B1076=SAISIE!$W$4,$C1076="S1"),COUNTIFS($A$2:$A1076,SAISIE!$U$4,$B$2:$B1076,SAISIE!$W$4,$C$2:$C1076,"S1"),""))</f>
        <v/>
      </c>
      <c r="AS1076" t="str">
        <f t="shared" si="400"/>
        <v/>
      </c>
      <c r="AT1076" t="str">
        <f t="shared" si="401"/>
        <v/>
      </c>
      <c r="AU1076" t="str">
        <f t="shared" si="402"/>
        <v/>
      </c>
      <c r="AV1076">
        <f>N(AV1075)+IF(AND($AB1076&lt;&gt;"",OR('PROFIL ELEVE'!$K$4="(Tous)",$AF1076='PROFIL ELEVE'!$K$4)),1,0)</f>
        <v>0</v>
      </c>
      <c r="AW1076">
        <f>N(AW1075)+IF(AND($AB1076&lt;&gt;"",OR('SUIVI LONGITUDINAL'!$Q$4="(Tous)",$AF1076='SUIVI LONGITUDINAL'!$Q$4)),1,0)</f>
        <v>0</v>
      </c>
      <c r="AX1076">
        <f t="shared" si="403"/>
        <v>0</v>
      </c>
      <c r="AY1076">
        <f t="shared" si="404"/>
        <v>0</v>
      </c>
      <c r="AZ1076">
        <f t="shared" si="405"/>
        <v>0</v>
      </c>
      <c r="BA1076" t="str">
        <f t="shared" si="406"/>
        <v/>
      </c>
      <c r="BB1076" t="str">
        <f t="shared" si="407"/>
        <v/>
      </c>
    </row>
    <row r="1077" spans="1:54" ht="14.25" customHeight="1" x14ac:dyDescent="0.3">
      <c r="A1077" t="str">
        <f>IF(SAISIE!$F1082="","",SAISIE!$B1082)</f>
        <v/>
      </c>
      <c r="B1077" t="str">
        <f>IF(SAISIE!$F1082="","",SAISIE!$C1082)</f>
        <v/>
      </c>
      <c r="C1077" t="str">
        <f>IF(SAISIE!$F1082="","",SAISIE!$D1082)</f>
        <v/>
      </c>
      <c r="D1077" t="str">
        <f>IF(SAISIE!$E1082="","",SAISIE!$E1082)</f>
        <v/>
      </c>
      <c r="E1077" t="str">
        <f>IF(SAISIE!$F1082="","",SAISIE!$F1082)</f>
        <v/>
      </c>
      <c r="F1077" t="str">
        <f>IF(SAISIE!$G1082="","",SAISIE!$G1082)</f>
        <v/>
      </c>
      <c r="G1077" t="str">
        <f>IF(SAISIE!$H1082="","",SAISIE!$H1082)</f>
        <v/>
      </c>
      <c r="H1077" t="str">
        <f>IF(SAISIE!$I1082="","",SAISIE!$I1082)</f>
        <v/>
      </c>
      <c r="I1077" t="str">
        <f>IF(SAISIE!$J1082="","",SAISIE!$J1082)</f>
        <v/>
      </c>
      <c r="J1077" t="str">
        <f>IF(SAISIE!$K1082="","",SAISIE!$K1082)</f>
        <v/>
      </c>
      <c r="K1077" t="str">
        <f>IF(SAISIE!$L1082="","",SAISIE!$L1082)</f>
        <v/>
      </c>
      <c r="L1077" t="str">
        <f>IF(SAISIE!$M1082="","",SAISIE!$M1082)</f>
        <v/>
      </c>
      <c r="M1077" t="str">
        <f>IF(SAISIE!$N1082="","",SAISIE!$N1082)</f>
        <v/>
      </c>
      <c r="N1077" t="str">
        <f>IF(SAISIE!$O1082="","",SAISIE!$O1082)</f>
        <v/>
      </c>
      <c r="O1077" t="str">
        <f>IF(SAISIE!$P1082="","",SAISIE!$P1082)</f>
        <v/>
      </c>
      <c r="P1077" t="str">
        <f>IF(SAISIE!$Q1082="","",SAISIE!$Q1082)</f>
        <v/>
      </c>
      <c r="Q1077" t="str">
        <f>IF($I1077="","",IF($I1077&gt;PARAMETRES!$G$29,5,IF($I1077&gt;PARAMETRES!$F$29,4,IF($I1077&gt;PARAMETRES!$E$29,3,IF($I1077&gt;PARAMETRES!$D$29,2,1)))))</f>
        <v/>
      </c>
      <c r="R1077" t="str">
        <f>IF($J1077="","",IF($J1077&gt;PARAMETRES!$G$30,5,IF($J1077&gt;PARAMETRES!$F$30,4,IF($J1077&gt;PARAMETRES!$E$30,3,IF($J1077&gt;PARAMETRES!$D$30,2,1)))))</f>
        <v/>
      </c>
      <c r="S1077" t="str">
        <f>IF($K1077="","",IF($Z1077=2,IF($K1077&gt;PARAMETRES!$G$31,5,IF($K1077&gt;PARAMETRES!$F$31,4,IF($K1077&gt;PARAMETRES!$E$31,3,IF($K1077&gt;PARAMETRES!$D$31,2,1)))),IF($K1077&gt;PARAMETRES!$G$32,5,IF($K1077&gt;PARAMETRES!$F$32,4,IF($K1077&gt;PARAMETRES!$E$32,3,IF($K1077&gt;PARAMETRES!$D$32,2,1))))))</f>
        <v/>
      </c>
      <c r="T1077" t="str">
        <f>IF($L1077="","",IF($L1077&gt;PARAMETRES!$G$33,5,IF($L1077&gt;PARAMETRES!$F$33,4,IF($L1077&gt;PARAMETRES!$E$33,3,IF($L1077&gt;PARAMETRES!$D$33,2,1)))))</f>
        <v/>
      </c>
      <c r="U1077" t="str">
        <f>IF($M1077="","",IF($M1077&gt;PARAMETRES!$G$34,5,IF($M1077&gt;PARAMETRES!$F$34,4,IF($M1077&gt;PARAMETRES!$E$34,3,IF($M1077&gt;PARAMETRES!$D$34,2,1)))))</f>
        <v/>
      </c>
      <c r="V1077" t="str">
        <f>IF($N1077="","",IF($N1077&gt;PARAMETRES!$G$35,5,IF($N1077&gt;PARAMETRES!$F$35,4,IF($N1077&gt;PARAMETRES!$E$35,3,IF($N1077&gt;PARAMETRES!$D$35,2,1)))))</f>
        <v/>
      </c>
      <c r="W1077" t="str">
        <f>IF($O1077="","",IF($O1077&gt;PARAMETRES!$G$36,5,IF($O1077&gt;PARAMETRES!$F$36,4,IF($O1077&gt;PARAMETRES!$E$36,3,IF($O1077&gt;PARAMETRES!$D$36,2,1)))))</f>
        <v/>
      </c>
      <c r="X1077" t="str">
        <f>IF($P1077="","",IF($P1077&gt;PARAMETRES!$G$37,5,IF($P1077&gt;PARAMETRES!$F$37,4,IF($P1077&gt;PARAMETRES!$E$37,3,IF($P1077&gt;PARAMETRES!$D$37,2,1)))))</f>
        <v/>
      </c>
      <c r="Y1077" t="str">
        <f t="shared" si="384"/>
        <v/>
      </c>
      <c r="Z1077" t="str">
        <f>IFERROR(VLOOKUP($B1077,TABLE_CYCLE,2,0),"")</f>
        <v/>
      </c>
      <c r="AA1077" t="str">
        <f t="shared" si="385"/>
        <v/>
      </c>
      <c r="AB1077" t="str">
        <f>IF($D1077="","",IF(COUNTIF($D$2:$D1077,$D1077)=1,$D1077,""))</f>
        <v/>
      </c>
      <c r="AC1077">
        <f t="shared" si="386"/>
        <v>0</v>
      </c>
      <c r="AD1077" t="str">
        <f t="shared" si="387"/>
        <v>|0</v>
      </c>
      <c r="AE1077" t="str">
        <f t="shared" si="388"/>
        <v/>
      </c>
      <c r="AF1077" t="str">
        <f t="shared" si="389"/>
        <v/>
      </c>
      <c r="AG1077" t="str">
        <f t="shared" si="390"/>
        <v/>
      </c>
      <c r="AH1077" t="str">
        <f t="shared" si="391"/>
        <v/>
      </c>
      <c r="AI1077" t="str">
        <f t="shared" si="392"/>
        <v/>
      </c>
      <c r="AJ1077" t="str">
        <f t="shared" si="393"/>
        <v/>
      </c>
      <c r="AK1077" t="str">
        <f t="shared" si="394"/>
        <v/>
      </c>
      <c r="AL1077" t="str">
        <f t="shared" si="395"/>
        <v/>
      </c>
      <c r="AM1077" t="str">
        <f t="shared" si="396"/>
        <v/>
      </c>
      <c r="AN1077" t="str">
        <f t="shared" si="397"/>
        <v/>
      </c>
      <c r="AO1077" t="str">
        <f t="shared" si="398"/>
        <v/>
      </c>
      <c r="AP1077">
        <f t="shared" si="399"/>
        <v>1</v>
      </c>
      <c r="AQ1077" t="str">
        <f>IF(SAISIE!$F1082="","",SAISIE!$Y1082)</f>
        <v/>
      </c>
      <c r="AR1077" t="str">
        <f>IF(OR(SAISIE!$U$4="",SAISIE!$W$4=""),"",IF(AND($A1077=SAISIE!$U$4,$B1077=SAISIE!$W$4,$C1077="S1"),COUNTIFS($A$2:$A1077,SAISIE!$U$4,$B$2:$B1077,SAISIE!$W$4,$C$2:$C1077,"S1"),""))</f>
        <v/>
      </c>
      <c r="AS1077" t="str">
        <f t="shared" si="400"/>
        <v/>
      </c>
      <c r="AT1077" t="str">
        <f t="shared" si="401"/>
        <v/>
      </c>
      <c r="AU1077" t="str">
        <f t="shared" si="402"/>
        <v/>
      </c>
      <c r="AV1077">
        <f>N(AV1076)+IF(AND($AB1077&lt;&gt;"",OR('PROFIL ELEVE'!$K$4="(Tous)",$AF1077='PROFIL ELEVE'!$K$4)),1,0)</f>
        <v>0</v>
      </c>
      <c r="AW1077">
        <f>N(AW1076)+IF(AND($AB1077&lt;&gt;"",OR('SUIVI LONGITUDINAL'!$Q$4="(Tous)",$AF1077='SUIVI LONGITUDINAL'!$Q$4)),1,0)</f>
        <v>0</v>
      </c>
      <c r="AX1077">
        <f t="shared" si="403"/>
        <v>0</v>
      </c>
      <c r="AY1077">
        <f t="shared" si="404"/>
        <v>0</v>
      </c>
      <c r="AZ1077">
        <f t="shared" si="405"/>
        <v>0</v>
      </c>
      <c r="BA1077" t="str">
        <f t="shared" si="406"/>
        <v/>
      </c>
      <c r="BB1077" t="str">
        <f t="shared" si="407"/>
        <v/>
      </c>
    </row>
    <row r="1078" spans="1:54" ht="14.25" customHeight="1" x14ac:dyDescent="0.3">
      <c r="A1078" t="str">
        <f>IF(SAISIE!$F1083="","",SAISIE!$B1083)</f>
        <v/>
      </c>
      <c r="B1078" t="str">
        <f>IF(SAISIE!$F1083="","",SAISIE!$C1083)</f>
        <v/>
      </c>
      <c r="C1078" t="str">
        <f>IF(SAISIE!$F1083="","",SAISIE!$D1083)</f>
        <v/>
      </c>
      <c r="D1078" t="str">
        <f>IF(SAISIE!$E1083="","",SAISIE!$E1083)</f>
        <v/>
      </c>
      <c r="E1078" t="str">
        <f>IF(SAISIE!$F1083="","",SAISIE!$F1083)</f>
        <v/>
      </c>
      <c r="F1078" t="str">
        <f>IF(SAISIE!$G1083="","",SAISIE!$G1083)</f>
        <v/>
      </c>
      <c r="G1078" t="str">
        <f>IF(SAISIE!$H1083="","",SAISIE!$H1083)</f>
        <v/>
      </c>
      <c r="H1078" t="str">
        <f>IF(SAISIE!$I1083="","",SAISIE!$I1083)</f>
        <v/>
      </c>
      <c r="I1078" t="str">
        <f>IF(SAISIE!$J1083="","",SAISIE!$J1083)</f>
        <v/>
      </c>
      <c r="J1078" t="str">
        <f>IF(SAISIE!$K1083="","",SAISIE!$K1083)</f>
        <v/>
      </c>
      <c r="K1078" t="str">
        <f>IF(SAISIE!$L1083="","",SAISIE!$L1083)</f>
        <v/>
      </c>
      <c r="L1078" t="str">
        <f>IF(SAISIE!$M1083="","",SAISIE!$M1083)</f>
        <v/>
      </c>
      <c r="M1078" t="str">
        <f>IF(SAISIE!$N1083="","",SAISIE!$N1083)</f>
        <v/>
      </c>
      <c r="N1078" t="str">
        <f>IF(SAISIE!$O1083="","",SAISIE!$O1083)</f>
        <v/>
      </c>
      <c r="O1078" t="str">
        <f>IF(SAISIE!$P1083="","",SAISIE!$P1083)</f>
        <v/>
      </c>
      <c r="P1078" t="str">
        <f>IF(SAISIE!$Q1083="","",SAISIE!$Q1083)</f>
        <v/>
      </c>
      <c r="Q1078" t="str">
        <f>IF($I1078="","",IF($I1078&gt;PARAMETRES!$G$29,5,IF($I1078&gt;PARAMETRES!$F$29,4,IF($I1078&gt;PARAMETRES!$E$29,3,IF($I1078&gt;PARAMETRES!$D$29,2,1)))))</f>
        <v/>
      </c>
      <c r="R1078" t="str">
        <f>IF($J1078="","",IF($J1078&gt;PARAMETRES!$G$30,5,IF($J1078&gt;PARAMETRES!$F$30,4,IF($J1078&gt;PARAMETRES!$E$30,3,IF($J1078&gt;PARAMETRES!$D$30,2,1)))))</f>
        <v/>
      </c>
      <c r="S1078" t="str">
        <f>IF($K1078="","",IF($Z1078=2,IF($K1078&gt;PARAMETRES!$G$31,5,IF($K1078&gt;PARAMETRES!$F$31,4,IF($K1078&gt;PARAMETRES!$E$31,3,IF($K1078&gt;PARAMETRES!$D$31,2,1)))),IF($K1078&gt;PARAMETRES!$G$32,5,IF($K1078&gt;PARAMETRES!$F$32,4,IF($K1078&gt;PARAMETRES!$E$32,3,IF($K1078&gt;PARAMETRES!$D$32,2,1))))))</f>
        <v/>
      </c>
      <c r="T1078" t="str">
        <f>IF($L1078="","",IF($L1078&gt;PARAMETRES!$G$33,5,IF($L1078&gt;PARAMETRES!$F$33,4,IF($L1078&gt;PARAMETRES!$E$33,3,IF($L1078&gt;PARAMETRES!$D$33,2,1)))))</f>
        <v/>
      </c>
      <c r="U1078" t="str">
        <f>IF($M1078="","",IF($M1078&gt;PARAMETRES!$G$34,5,IF($M1078&gt;PARAMETRES!$F$34,4,IF($M1078&gt;PARAMETRES!$E$34,3,IF($M1078&gt;PARAMETRES!$D$34,2,1)))))</f>
        <v/>
      </c>
      <c r="V1078" t="str">
        <f>IF($N1078="","",IF($N1078&gt;PARAMETRES!$G$35,5,IF($N1078&gt;PARAMETRES!$F$35,4,IF($N1078&gt;PARAMETRES!$E$35,3,IF($N1078&gt;PARAMETRES!$D$35,2,1)))))</f>
        <v/>
      </c>
      <c r="W1078" t="str">
        <f>IF($O1078="","",IF($O1078&gt;PARAMETRES!$G$36,5,IF($O1078&gt;PARAMETRES!$F$36,4,IF($O1078&gt;PARAMETRES!$E$36,3,IF($O1078&gt;PARAMETRES!$D$36,2,1)))))</f>
        <v/>
      </c>
      <c r="X1078" t="str">
        <f>IF($P1078="","",IF($P1078&gt;PARAMETRES!$G$37,5,IF($P1078&gt;PARAMETRES!$F$37,4,IF($P1078&gt;PARAMETRES!$E$37,3,IF($P1078&gt;PARAMETRES!$D$37,2,1)))))</f>
        <v/>
      </c>
      <c r="Y1078" t="str">
        <f t="shared" si="384"/>
        <v/>
      </c>
      <c r="Z1078" t="str">
        <f>IFERROR(VLOOKUP($B1078,TABLE_CYCLE,2,0),"")</f>
        <v/>
      </c>
      <c r="AA1078" t="str">
        <f t="shared" si="385"/>
        <v/>
      </c>
      <c r="AB1078" t="str">
        <f>IF($D1078="","",IF(COUNTIF($D$2:$D1078,$D1078)=1,$D1078,""))</f>
        <v/>
      </c>
      <c r="AC1078">
        <f t="shared" si="386"/>
        <v>0</v>
      </c>
      <c r="AD1078" t="str">
        <f t="shared" si="387"/>
        <v>|0</v>
      </c>
      <c r="AE1078" t="str">
        <f t="shared" si="388"/>
        <v/>
      </c>
      <c r="AF1078" t="str">
        <f t="shared" si="389"/>
        <v/>
      </c>
      <c r="AG1078" t="str">
        <f t="shared" si="390"/>
        <v/>
      </c>
      <c r="AH1078" t="str">
        <f t="shared" si="391"/>
        <v/>
      </c>
      <c r="AI1078" t="str">
        <f t="shared" si="392"/>
        <v/>
      </c>
      <c r="AJ1078" t="str">
        <f t="shared" si="393"/>
        <v/>
      </c>
      <c r="AK1078" t="str">
        <f t="shared" si="394"/>
        <v/>
      </c>
      <c r="AL1078" t="str">
        <f t="shared" si="395"/>
        <v/>
      </c>
      <c r="AM1078" t="str">
        <f t="shared" si="396"/>
        <v/>
      </c>
      <c r="AN1078" t="str">
        <f t="shared" si="397"/>
        <v/>
      </c>
      <c r="AO1078" t="str">
        <f t="shared" si="398"/>
        <v/>
      </c>
      <c r="AP1078">
        <f t="shared" si="399"/>
        <v>1</v>
      </c>
      <c r="AQ1078" t="str">
        <f>IF(SAISIE!$F1083="","",SAISIE!$Y1083)</f>
        <v/>
      </c>
      <c r="AR1078" t="str">
        <f>IF(OR(SAISIE!$U$4="",SAISIE!$W$4=""),"",IF(AND($A1078=SAISIE!$U$4,$B1078=SAISIE!$W$4,$C1078="S1"),COUNTIFS($A$2:$A1078,SAISIE!$U$4,$B$2:$B1078,SAISIE!$W$4,$C$2:$C1078,"S1"),""))</f>
        <v/>
      </c>
      <c r="AS1078" t="str">
        <f t="shared" si="400"/>
        <v/>
      </c>
      <c r="AT1078" t="str">
        <f t="shared" si="401"/>
        <v/>
      </c>
      <c r="AU1078" t="str">
        <f t="shared" si="402"/>
        <v/>
      </c>
      <c r="AV1078">
        <f>N(AV1077)+IF(AND($AB1078&lt;&gt;"",OR('PROFIL ELEVE'!$K$4="(Tous)",$AF1078='PROFIL ELEVE'!$K$4)),1,0)</f>
        <v>0</v>
      </c>
      <c r="AW1078">
        <f>N(AW1077)+IF(AND($AB1078&lt;&gt;"",OR('SUIVI LONGITUDINAL'!$Q$4="(Tous)",$AF1078='SUIVI LONGITUDINAL'!$Q$4)),1,0)</f>
        <v>0</v>
      </c>
      <c r="AX1078">
        <f t="shared" si="403"/>
        <v>0</v>
      </c>
      <c r="AY1078">
        <f t="shared" si="404"/>
        <v>0</v>
      </c>
      <c r="AZ1078">
        <f t="shared" si="405"/>
        <v>0</v>
      </c>
      <c r="BA1078" t="str">
        <f t="shared" si="406"/>
        <v/>
      </c>
      <c r="BB1078" t="str">
        <f t="shared" si="407"/>
        <v/>
      </c>
    </row>
    <row r="1079" spans="1:54" ht="14.25" customHeight="1" x14ac:dyDescent="0.3">
      <c r="A1079" t="str">
        <f>IF(SAISIE!$F1084="","",SAISIE!$B1084)</f>
        <v/>
      </c>
      <c r="B1079" t="str">
        <f>IF(SAISIE!$F1084="","",SAISIE!$C1084)</f>
        <v/>
      </c>
      <c r="C1079" t="str">
        <f>IF(SAISIE!$F1084="","",SAISIE!$D1084)</f>
        <v/>
      </c>
      <c r="D1079" t="str">
        <f>IF(SAISIE!$E1084="","",SAISIE!$E1084)</f>
        <v/>
      </c>
      <c r="E1079" t="str">
        <f>IF(SAISIE!$F1084="","",SAISIE!$F1084)</f>
        <v/>
      </c>
      <c r="F1079" t="str">
        <f>IF(SAISIE!$G1084="","",SAISIE!$G1084)</f>
        <v/>
      </c>
      <c r="G1079" t="str">
        <f>IF(SAISIE!$H1084="","",SAISIE!$H1084)</f>
        <v/>
      </c>
      <c r="H1079" t="str">
        <f>IF(SAISIE!$I1084="","",SAISIE!$I1084)</f>
        <v/>
      </c>
      <c r="I1079" t="str">
        <f>IF(SAISIE!$J1084="","",SAISIE!$J1084)</f>
        <v/>
      </c>
      <c r="J1079" t="str">
        <f>IF(SAISIE!$K1084="","",SAISIE!$K1084)</f>
        <v/>
      </c>
      <c r="K1079" t="str">
        <f>IF(SAISIE!$L1084="","",SAISIE!$L1084)</f>
        <v/>
      </c>
      <c r="L1079" t="str">
        <f>IF(SAISIE!$M1084="","",SAISIE!$M1084)</f>
        <v/>
      </c>
      <c r="M1079" t="str">
        <f>IF(SAISIE!$N1084="","",SAISIE!$N1084)</f>
        <v/>
      </c>
      <c r="N1079" t="str">
        <f>IF(SAISIE!$O1084="","",SAISIE!$O1084)</f>
        <v/>
      </c>
      <c r="O1079" t="str">
        <f>IF(SAISIE!$P1084="","",SAISIE!$P1084)</f>
        <v/>
      </c>
      <c r="P1079" t="str">
        <f>IF(SAISIE!$Q1084="","",SAISIE!$Q1084)</f>
        <v/>
      </c>
      <c r="Q1079" t="str">
        <f>IF($I1079="","",IF($I1079&gt;PARAMETRES!$G$29,5,IF($I1079&gt;PARAMETRES!$F$29,4,IF($I1079&gt;PARAMETRES!$E$29,3,IF($I1079&gt;PARAMETRES!$D$29,2,1)))))</f>
        <v/>
      </c>
      <c r="R1079" t="str">
        <f>IF($J1079="","",IF($J1079&gt;PARAMETRES!$G$30,5,IF($J1079&gt;PARAMETRES!$F$30,4,IF($J1079&gt;PARAMETRES!$E$30,3,IF($J1079&gt;PARAMETRES!$D$30,2,1)))))</f>
        <v/>
      </c>
      <c r="S1079" t="str">
        <f>IF($K1079="","",IF($Z1079=2,IF($K1079&gt;PARAMETRES!$G$31,5,IF($K1079&gt;PARAMETRES!$F$31,4,IF($K1079&gt;PARAMETRES!$E$31,3,IF($K1079&gt;PARAMETRES!$D$31,2,1)))),IF($K1079&gt;PARAMETRES!$G$32,5,IF($K1079&gt;PARAMETRES!$F$32,4,IF($K1079&gt;PARAMETRES!$E$32,3,IF($K1079&gt;PARAMETRES!$D$32,2,1))))))</f>
        <v/>
      </c>
      <c r="T1079" t="str">
        <f>IF($L1079="","",IF($L1079&gt;PARAMETRES!$G$33,5,IF($L1079&gt;PARAMETRES!$F$33,4,IF($L1079&gt;PARAMETRES!$E$33,3,IF($L1079&gt;PARAMETRES!$D$33,2,1)))))</f>
        <v/>
      </c>
      <c r="U1079" t="str">
        <f>IF($M1079="","",IF($M1079&gt;PARAMETRES!$G$34,5,IF($M1079&gt;PARAMETRES!$F$34,4,IF($M1079&gt;PARAMETRES!$E$34,3,IF($M1079&gt;PARAMETRES!$D$34,2,1)))))</f>
        <v/>
      </c>
      <c r="V1079" t="str">
        <f>IF($N1079="","",IF($N1079&gt;PARAMETRES!$G$35,5,IF($N1079&gt;PARAMETRES!$F$35,4,IF($N1079&gt;PARAMETRES!$E$35,3,IF($N1079&gt;PARAMETRES!$D$35,2,1)))))</f>
        <v/>
      </c>
      <c r="W1079" t="str">
        <f>IF($O1079="","",IF($O1079&gt;PARAMETRES!$G$36,5,IF($O1079&gt;PARAMETRES!$F$36,4,IF($O1079&gt;PARAMETRES!$E$36,3,IF($O1079&gt;PARAMETRES!$D$36,2,1)))))</f>
        <v/>
      </c>
      <c r="X1079" t="str">
        <f>IF($P1079="","",IF($P1079&gt;PARAMETRES!$G$37,5,IF($P1079&gt;PARAMETRES!$F$37,4,IF($P1079&gt;PARAMETRES!$E$37,3,IF($P1079&gt;PARAMETRES!$D$37,2,1)))))</f>
        <v/>
      </c>
      <c r="Y1079" t="str">
        <f t="shared" si="384"/>
        <v/>
      </c>
      <c r="Z1079" t="str">
        <f>IFERROR(VLOOKUP($B1079,TABLE_CYCLE,2,0),"")</f>
        <v/>
      </c>
      <c r="AA1079" t="str">
        <f t="shared" si="385"/>
        <v/>
      </c>
      <c r="AB1079" t="str">
        <f>IF($D1079="","",IF(COUNTIF($D$2:$D1079,$D1079)=1,$D1079,""))</f>
        <v/>
      </c>
      <c r="AC1079">
        <f t="shared" si="386"/>
        <v>0</v>
      </c>
      <c r="AD1079" t="str">
        <f t="shared" si="387"/>
        <v>|0</v>
      </c>
      <c r="AE1079" t="str">
        <f t="shared" si="388"/>
        <v/>
      </c>
      <c r="AF1079" t="str">
        <f t="shared" si="389"/>
        <v/>
      </c>
      <c r="AG1079" t="str">
        <f t="shared" si="390"/>
        <v/>
      </c>
      <c r="AH1079" t="str">
        <f t="shared" si="391"/>
        <v/>
      </c>
      <c r="AI1079" t="str">
        <f t="shared" si="392"/>
        <v/>
      </c>
      <c r="AJ1079" t="str">
        <f t="shared" si="393"/>
        <v/>
      </c>
      <c r="AK1079" t="str">
        <f t="shared" si="394"/>
        <v/>
      </c>
      <c r="AL1079" t="str">
        <f t="shared" si="395"/>
        <v/>
      </c>
      <c r="AM1079" t="str">
        <f t="shared" si="396"/>
        <v/>
      </c>
      <c r="AN1079" t="str">
        <f t="shared" si="397"/>
        <v/>
      </c>
      <c r="AO1079" t="str">
        <f t="shared" si="398"/>
        <v/>
      </c>
      <c r="AP1079">
        <f t="shared" si="399"/>
        <v>1</v>
      </c>
      <c r="AQ1079" t="str">
        <f>IF(SAISIE!$F1084="","",SAISIE!$Y1084)</f>
        <v/>
      </c>
      <c r="AR1079" t="str">
        <f>IF(OR(SAISIE!$U$4="",SAISIE!$W$4=""),"",IF(AND($A1079=SAISIE!$U$4,$B1079=SAISIE!$W$4,$C1079="S1"),COUNTIFS($A$2:$A1079,SAISIE!$U$4,$B$2:$B1079,SAISIE!$W$4,$C$2:$C1079,"S1"),""))</f>
        <v/>
      </c>
      <c r="AS1079" t="str">
        <f t="shared" si="400"/>
        <v/>
      </c>
      <c r="AT1079" t="str">
        <f t="shared" si="401"/>
        <v/>
      </c>
      <c r="AU1079" t="str">
        <f t="shared" si="402"/>
        <v/>
      </c>
      <c r="AV1079">
        <f>N(AV1078)+IF(AND($AB1079&lt;&gt;"",OR('PROFIL ELEVE'!$K$4="(Tous)",$AF1079='PROFIL ELEVE'!$K$4)),1,0)</f>
        <v>0</v>
      </c>
      <c r="AW1079">
        <f>N(AW1078)+IF(AND($AB1079&lt;&gt;"",OR('SUIVI LONGITUDINAL'!$Q$4="(Tous)",$AF1079='SUIVI LONGITUDINAL'!$Q$4)),1,0)</f>
        <v>0</v>
      </c>
      <c r="AX1079">
        <f t="shared" si="403"/>
        <v>0</v>
      </c>
      <c r="AY1079">
        <f t="shared" si="404"/>
        <v>0</v>
      </c>
      <c r="AZ1079">
        <f t="shared" si="405"/>
        <v>0</v>
      </c>
      <c r="BA1079" t="str">
        <f t="shared" si="406"/>
        <v/>
      </c>
      <c r="BB1079" t="str">
        <f t="shared" si="407"/>
        <v/>
      </c>
    </row>
    <row r="1080" spans="1:54" ht="14.25" customHeight="1" x14ac:dyDescent="0.3">
      <c r="A1080" t="str">
        <f>IF(SAISIE!$F1085="","",SAISIE!$B1085)</f>
        <v/>
      </c>
      <c r="B1080" t="str">
        <f>IF(SAISIE!$F1085="","",SAISIE!$C1085)</f>
        <v/>
      </c>
      <c r="C1080" t="str">
        <f>IF(SAISIE!$F1085="","",SAISIE!$D1085)</f>
        <v/>
      </c>
      <c r="D1080" t="str">
        <f>IF(SAISIE!$E1085="","",SAISIE!$E1085)</f>
        <v/>
      </c>
      <c r="E1080" t="str">
        <f>IF(SAISIE!$F1085="","",SAISIE!$F1085)</f>
        <v/>
      </c>
      <c r="F1080" t="str">
        <f>IF(SAISIE!$G1085="","",SAISIE!$G1085)</f>
        <v/>
      </c>
      <c r="G1080" t="str">
        <f>IF(SAISIE!$H1085="","",SAISIE!$H1085)</f>
        <v/>
      </c>
      <c r="H1080" t="str">
        <f>IF(SAISIE!$I1085="","",SAISIE!$I1085)</f>
        <v/>
      </c>
      <c r="I1080" t="str">
        <f>IF(SAISIE!$J1085="","",SAISIE!$J1085)</f>
        <v/>
      </c>
      <c r="J1080" t="str">
        <f>IF(SAISIE!$K1085="","",SAISIE!$K1085)</f>
        <v/>
      </c>
      <c r="K1080" t="str">
        <f>IF(SAISIE!$L1085="","",SAISIE!$L1085)</f>
        <v/>
      </c>
      <c r="L1080" t="str">
        <f>IF(SAISIE!$M1085="","",SAISIE!$M1085)</f>
        <v/>
      </c>
      <c r="M1080" t="str">
        <f>IF(SAISIE!$N1085="","",SAISIE!$N1085)</f>
        <v/>
      </c>
      <c r="N1080" t="str">
        <f>IF(SAISIE!$O1085="","",SAISIE!$O1085)</f>
        <v/>
      </c>
      <c r="O1080" t="str">
        <f>IF(SAISIE!$P1085="","",SAISIE!$P1085)</f>
        <v/>
      </c>
      <c r="P1080" t="str">
        <f>IF(SAISIE!$Q1085="","",SAISIE!$Q1085)</f>
        <v/>
      </c>
      <c r="Q1080" t="str">
        <f>IF($I1080="","",IF($I1080&gt;PARAMETRES!$G$29,5,IF($I1080&gt;PARAMETRES!$F$29,4,IF($I1080&gt;PARAMETRES!$E$29,3,IF($I1080&gt;PARAMETRES!$D$29,2,1)))))</f>
        <v/>
      </c>
      <c r="R1080" t="str">
        <f>IF($J1080="","",IF($J1080&gt;PARAMETRES!$G$30,5,IF($J1080&gt;PARAMETRES!$F$30,4,IF($J1080&gt;PARAMETRES!$E$30,3,IF($J1080&gt;PARAMETRES!$D$30,2,1)))))</f>
        <v/>
      </c>
      <c r="S1080" t="str">
        <f>IF($K1080="","",IF($Z1080=2,IF($K1080&gt;PARAMETRES!$G$31,5,IF($K1080&gt;PARAMETRES!$F$31,4,IF($K1080&gt;PARAMETRES!$E$31,3,IF($K1080&gt;PARAMETRES!$D$31,2,1)))),IF($K1080&gt;PARAMETRES!$G$32,5,IF($K1080&gt;PARAMETRES!$F$32,4,IF($K1080&gt;PARAMETRES!$E$32,3,IF($K1080&gt;PARAMETRES!$D$32,2,1))))))</f>
        <v/>
      </c>
      <c r="T1080" t="str">
        <f>IF($L1080="","",IF($L1080&gt;PARAMETRES!$G$33,5,IF($L1080&gt;PARAMETRES!$F$33,4,IF($L1080&gt;PARAMETRES!$E$33,3,IF($L1080&gt;PARAMETRES!$D$33,2,1)))))</f>
        <v/>
      </c>
      <c r="U1080" t="str">
        <f>IF($M1080="","",IF($M1080&gt;PARAMETRES!$G$34,5,IF($M1080&gt;PARAMETRES!$F$34,4,IF($M1080&gt;PARAMETRES!$E$34,3,IF($M1080&gt;PARAMETRES!$D$34,2,1)))))</f>
        <v/>
      </c>
      <c r="V1080" t="str">
        <f>IF($N1080="","",IF($N1080&gt;PARAMETRES!$G$35,5,IF($N1080&gt;PARAMETRES!$F$35,4,IF($N1080&gt;PARAMETRES!$E$35,3,IF($N1080&gt;PARAMETRES!$D$35,2,1)))))</f>
        <v/>
      </c>
      <c r="W1080" t="str">
        <f>IF($O1080="","",IF($O1080&gt;PARAMETRES!$G$36,5,IF($O1080&gt;PARAMETRES!$F$36,4,IF($O1080&gt;PARAMETRES!$E$36,3,IF($O1080&gt;PARAMETRES!$D$36,2,1)))))</f>
        <v/>
      </c>
      <c r="X1080" t="str">
        <f>IF($P1080="","",IF($P1080&gt;PARAMETRES!$G$37,5,IF($P1080&gt;PARAMETRES!$F$37,4,IF($P1080&gt;PARAMETRES!$E$37,3,IF($P1080&gt;PARAMETRES!$D$37,2,1)))))</f>
        <v/>
      </c>
      <c r="Y1080" t="str">
        <f t="shared" si="384"/>
        <v/>
      </c>
      <c r="Z1080" t="str">
        <f>IFERROR(VLOOKUP($B1080,TABLE_CYCLE,2,0),"")</f>
        <v/>
      </c>
      <c r="AA1080" t="str">
        <f t="shared" si="385"/>
        <v/>
      </c>
      <c r="AB1080" t="str">
        <f>IF($D1080="","",IF(COUNTIF($D$2:$D1080,$D1080)=1,$D1080,""))</f>
        <v/>
      </c>
      <c r="AC1080">
        <f t="shared" si="386"/>
        <v>0</v>
      </c>
      <c r="AD1080" t="str">
        <f t="shared" si="387"/>
        <v>|0</v>
      </c>
      <c r="AE1080" t="str">
        <f t="shared" si="388"/>
        <v/>
      </c>
      <c r="AF1080" t="str">
        <f t="shared" si="389"/>
        <v/>
      </c>
      <c r="AG1080" t="str">
        <f t="shared" si="390"/>
        <v/>
      </c>
      <c r="AH1080" t="str">
        <f t="shared" si="391"/>
        <v/>
      </c>
      <c r="AI1080" t="str">
        <f t="shared" si="392"/>
        <v/>
      </c>
      <c r="AJ1080" t="str">
        <f t="shared" si="393"/>
        <v/>
      </c>
      <c r="AK1080" t="str">
        <f t="shared" si="394"/>
        <v/>
      </c>
      <c r="AL1080" t="str">
        <f t="shared" si="395"/>
        <v/>
      </c>
      <c r="AM1080" t="str">
        <f t="shared" si="396"/>
        <v/>
      </c>
      <c r="AN1080" t="str">
        <f t="shared" si="397"/>
        <v/>
      </c>
      <c r="AO1080" t="str">
        <f t="shared" si="398"/>
        <v/>
      </c>
      <c r="AP1080">
        <f t="shared" si="399"/>
        <v>1</v>
      </c>
      <c r="AQ1080" t="str">
        <f>IF(SAISIE!$F1085="","",SAISIE!$Y1085)</f>
        <v/>
      </c>
      <c r="AR1080" t="str">
        <f>IF(OR(SAISIE!$U$4="",SAISIE!$W$4=""),"",IF(AND($A1080=SAISIE!$U$4,$B1080=SAISIE!$W$4,$C1080="S1"),COUNTIFS($A$2:$A1080,SAISIE!$U$4,$B$2:$B1080,SAISIE!$W$4,$C$2:$C1080,"S1"),""))</f>
        <v/>
      </c>
      <c r="AS1080" t="str">
        <f t="shared" si="400"/>
        <v/>
      </c>
      <c r="AT1080" t="str">
        <f t="shared" si="401"/>
        <v/>
      </c>
      <c r="AU1080" t="str">
        <f t="shared" si="402"/>
        <v/>
      </c>
      <c r="AV1080">
        <f>N(AV1079)+IF(AND($AB1080&lt;&gt;"",OR('PROFIL ELEVE'!$K$4="(Tous)",$AF1080='PROFIL ELEVE'!$K$4)),1,0)</f>
        <v>0</v>
      </c>
      <c r="AW1080">
        <f>N(AW1079)+IF(AND($AB1080&lt;&gt;"",OR('SUIVI LONGITUDINAL'!$Q$4="(Tous)",$AF1080='SUIVI LONGITUDINAL'!$Q$4)),1,0)</f>
        <v>0</v>
      </c>
      <c r="AX1080">
        <f t="shared" si="403"/>
        <v>0</v>
      </c>
      <c r="AY1080">
        <f t="shared" si="404"/>
        <v>0</v>
      </c>
      <c r="AZ1080">
        <f t="shared" si="405"/>
        <v>0</v>
      </c>
      <c r="BA1080" t="str">
        <f t="shared" si="406"/>
        <v/>
      </c>
      <c r="BB1080" t="str">
        <f t="shared" si="407"/>
        <v/>
      </c>
    </row>
    <row r="1081" spans="1:54" ht="14.25" customHeight="1" x14ac:dyDescent="0.3">
      <c r="A1081" t="str">
        <f>IF(SAISIE!$F1086="","",SAISIE!$B1086)</f>
        <v/>
      </c>
      <c r="B1081" t="str">
        <f>IF(SAISIE!$F1086="","",SAISIE!$C1086)</f>
        <v/>
      </c>
      <c r="C1081" t="str">
        <f>IF(SAISIE!$F1086="","",SAISIE!$D1086)</f>
        <v/>
      </c>
      <c r="D1081" t="str">
        <f>IF(SAISIE!$E1086="","",SAISIE!$E1086)</f>
        <v/>
      </c>
      <c r="E1081" t="str">
        <f>IF(SAISIE!$F1086="","",SAISIE!$F1086)</f>
        <v/>
      </c>
      <c r="F1081" t="str">
        <f>IF(SAISIE!$G1086="","",SAISIE!$G1086)</f>
        <v/>
      </c>
      <c r="G1081" t="str">
        <f>IF(SAISIE!$H1086="","",SAISIE!$H1086)</f>
        <v/>
      </c>
      <c r="H1081" t="str">
        <f>IF(SAISIE!$I1086="","",SAISIE!$I1086)</f>
        <v/>
      </c>
      <c r="I1081" t="str">
        <f>IF(SAISIE!$J1086="","",SAISIE!$J1086)</f>
        <v/>
      </c>
      <c r="J1081" t="str">
        <f>IF(SAISIE!$K1086="","",SAISIE!$K1086)</f>
        <v/>
      </c>
      <c r="K1081" t="str">
        <f>IF(SAISIE!$L1086="","",SAISIE!$L1086)</f>
        <v/>
      </c>
      <c r="L1081" t="str">
        <f>IF(SAISIE!$M1086="","",SAISIE!$M1086)</f>
        <v/>
      </c>
      <c r="M1081" t="str">
        <f>IF(SAISIE!$N1086="","",SAISIE!$N1086)</f>
        <v/>
      </c>
      <c r="N1081" t="str">
        <f>IF(SAISIE!$O1086="","",SAISIE!$O1086)</f>
        <v/>
      </c>
      <c r="O1081" t="str">
        <f>IF(SAISIE!$P1086="","",SAISIE!$P1086)</f>
        <v/>
      </c>
      <c r="P1081" t="str">
        <f>IF(SAISIE!$Q1086="","",SAISIE!$Q1086)</f>
        <v/>
      </c>
      <c r="Q1081" t="str">
        <f>IF($I1081="","",IF($I1081&gt;PARAMETRES!$G$29,5,IF($I1081&gt;PARAMETRES!$F$29,4,IF($I1081&gt;PARAMETRES!$E$29,3,IF($I1081&gt;PARAMETRES!$D$29,2,1)))))</f>
        <v/>
      </c>
      <c r="R1081" t="str">
        <f>IF($J1081="","",IF($J1081&gt;PARAMETRES!$G$30,5,IF($J1081&gt;PARAMETRES!$F$30,4,IF($J1081&gt;PARAMETRES!$E$30,3,IF($J1081&gt;PARAMETRES!$D$30,2,1)))))</f>
        <v/>
      </c>
      <c r="S1081" t="str">
        <f>IF($K1081="","",IF($Z1081=2,IF($K1081&gt;PARAMETRES!$G$31,5,IF($K1081&gt;PARAMETRES!$F$31,4,IF($K1081&gt;PARAMETRES!$E$31,3,IF($K1081&gt;PARAMETRES!$D$31,2,1)))),IF($K1081&gt;PARAMETRES!$G$32,5,IF($K1081&gt;PARAMETRES!$F$32,4,IF($K1081&gt;PARAMETRES!$E$32,3,IF($K1081&gt;PARAMETRES!$D$32,2,1))))))</f>
        <v/>
      </c>
      <c r="T1081" t="str">
        <f>IF($L1081="","",IF($L1081&gt;PARAMETRES!$G$33,5,IF($L1081&gt;PARAMETRES!$F$33,4,IF($L1081&gt;PARAMETRES!$E$33,3,IF($L1081&gt;PARAMETRES!$D$33,2,1)))))</f>
        <v/>
      </c>
      <c r="U1081" t="str">
        <f>IF($M1081="","",IF($M1081&gt;PARAMETRES!$G$34,5,IF($M1081&gt;PARAMETRES!$F$34,4,IF($M1081&gt;PARAMETRES!$E$34,3,IF($M1081&gt;PARAMETRES!$D$34,2,1)))))</f>
        <v/>
      </c>
      <c r="V1081" t="str">
        <f>IF($N1081="","",IF($N1081&gt;PARAMETRES!$G$35,5,IF($N1081&gt;PARAMETRES!$F$35,4,IF($N1081&gt;PARAMETRES!$E$35,3,IF($N1081&gt;PARAMETRES!$D$35,2,1)))))</f>
        <v/>
      </c>
      <c r="W1081" t="str">
        <f>IF($O1081="","",IF($O1081&gt;PARAMETRES!$G$36,5,IF($O1081&gt;PARAMETRES!$F$36,4,IF($O1081&gt;PARAMETRES!$E$36,3,IF($O1081&gt;PARAMETRES!$D$36,2,1)))))</f>
        <v/>
      </c>
      <c r="X1081" t="str">
        <f>IF($P1081="","",IF($P1081&gt;PARAMETRES!$G$37,5,IF($P1081&gt;PARAMETRES!$F$37,4,IF($P1081&gt;PARAMETRES!$E$37,3,IF($P1081&gt;PARAMETRES!$D$37,2,1)))))</f>
        <v/>
      </c>
      <c r="Y1081" t="str">
        <f t="shared" si="384"/>
        <v/>
      </c>
      <c r="Z1081" t="str">
        <f>IFERROR(VLOOKUP($B1081,TABLE_CYCLE,2,0),"")</f>
        <v/>
      </c>
      <c r="AA1081" t="str">
        <f t="shared" si="385"/>
        <v/>
      </c>
      <c r="AB1081" t="str">
        <f>IF($D1081="","",IF(COUNTIF($D$2:$D1081,$D1081)=1,$D1081,""))</f>
        <v/>
      </c>
      <c r="AC1081">
        <f t="shared" si="386"/>
        <v>0</v>
      </c>
      <c r="AD1081" t="str">
        <f t="shared" si="387"/>
        <v>|0</v>
      </c>
      <c r="AE1081" t="str">
        <f t="shared" si="388"/>
        <v/>
      </c>
      <c r="AF1081" t="str">
        <f t="shared" si="389"/>
        <v/>
      </c>
      <c r="AG1081" t="str">
        <f t="shared" si="390"/>
        <v/>
      </c>
      <c r="AH1081" t="str">
        <f t="shared" si="391"/>
        <v/>
      </c>
      <c r="AI1081" t="str">
        <f t="shared" si="392"/>
        <v/>
      </c>
      <c r="AJ1081" t="str">
        <f t="shared" si="393"/>
        <v/>
      </c>
      <c r="AK1081" t="str">
        <f t="shared" si="394"/>
        <v/>
      </c>
      <c r="AL1081" t="str">
        <f t="shared" si="395"/>
        <v/>
      </c>
      <c r="AM1081" t="str">
        <f t="shared" si="396"/>
        <v/>
      </c>
      <c r="AN1081" t="str">
        <f t="shared" si="397"/>
        <v/>
      </c>
      <c r="AO1081" t="str">
        <f t="shared" si="398"/>
        <v/>
      </c>
      <c r="AP1081">
        <f t="shared" si="399"/>
        <v>1</v>
      </c>
      <c r="AQ1081" t="str">
        <f>IF(SAISIE!$F1086="","",SAISIE!$Y1086)</f>
        <v/>
      </c>
      <c r="AR1081" t="str">
        <f>IF(OR(SAISIE!$U$4="",SAISIE!$W$4=""),"",IF(AND($A1081=SAISIE!$U$4,$B1081=SAISIE!$W$4,$C1081="S1"),COUNTIFS($A$2:$A1081,SAISIE!$U$4,$B$2:$B1081,SAISIE!$W$4,$C$2:$C1081,"S1"),""))</f>
        <v/>
      </c>
      <c r="AS1081" t="str">
        <f t="shared" si="400"/>
        <v/>
      </c>
      <c r="AT1081" t="str">
        <f t="shared" si="401"/>
        <v/>
      </c>
      <c r="AU1081" t="str">
        <f t="shared" si="402"/>
        <v/>
      </c>
      <c r="AV1081">
        <f>N(AV1080)+IF(AND($AB1081&lt;&gt;"",OR('PROFIL ELEVE'!$K$4="(Tous)",$AF1081='PROFIL ELEVE'!$K$4)),1,0)</f>
        <v>0</v>
      </c>
      <c r="AW1081">
        <f>N(AW1080)+IF(AND($AB1081&lt;&gt;"",OR('SUIVI LONGITUDINAL'!$Q$4="(Tous)",$AF1081='SUIVI LONGITUDINAL'!$Q$4)),1,0)</f>
        <v>0</v>
      </c>
      <c r="AX1081">
        <f t="shared" si="403"/>
        <v>0</v>
      </c>
      <c r="AY1081">
        <f t="shared" si="404"/>
        <v>0</v>
      </c>
      <c r="AZ1081">
        <f t="shared" si="405"/>
        <v>0</v>
      </c>
      <c r="BA1081" t="str">
        <f t="shared" si="406"/>
        <v/>
      </c>
      <c r="BB1081" t="str">
        <f t="shared" si="407"/>
        <v/>
      </c>
    </row>
    <row r="1082" spans="1:54" ht="14.25" customHeight="1" x14ac:dyDescent="0.3">
      <c r="A1082" t="str">
        <f>IF(SAISIE!$F1087="","",SAISIE!$B1087)</f>
        <v/>
      </c>
      <c r="B1082" t="str">
        <f>IF(SAISIE!$F1087="","",SAISIE!$C1087)</f>
        <v/>
      </c>
      <c r="C1082" t="str">
        <f>IF(SAISIE!$F1087="","",SAISIE!$D1087)</f>
        <v/>
      </c>
      <c r="D1082" t="str">
        <f>IF(SAISIE!$E1087="","",SAISIE!$E1087)</f>
        <v/>
      </c>
      <c r="E1082" t="str">
        <f>IF(SAISIE!$F1087="","",SAISIE!$F1087)</f>
        <v/>
      </c>
      <c r="F1082" t="str">
        <f>IF(SAISIE!$G1087="","",SAISIE!$G1087)</f>
        <v/>
      </c>
      <c r="G1082" t="str">
        <f>IF(SAISIE!$H1087="","",SAISIE!$H1087)</f>
        <v/>
      </c>
      <c r="H1082" t="str">
        <f>IF(SAISIE!$I1087="","",SAISIE!$I1087)</f>
        <v/>
      </c>
      <c r="I1082" t="str">
        <f>IF(SAISIE!$J1087="","",SAISIE!$J1087)</f>
        <v/>
      </c>
      <c r="J1082" t="str">
        <f>IF(SAISIE!$K1087="","",SAISIE!$K1087)</f>
        <v/>
      </c>
      <c r="K1082" t="str">
        <f>IF(SAISIE!$L1087="","",SAISIE!$L1087)</f>
        <v/>
      </c>
      <c r="L1082" t="str">
        <f>IF(SAISIE!$M1087="","",SAISIE!$M1087)</f>
        <v/>
      </c>
      <c r="M1082" t="str">
        <f>IF(SAISIE!$N1087="","",SAISIE!$N1087)</f>
        <v/>
      </c>
      <c r="N1082" t="str">
        <f>IF(SAISIE!$O1087="","",SAISIE!$O1087)</f>
        <v/>
      </c>
      <c r="O1082" t="str">
        <f>IF(SAISIE!$P1087="","",SAISIE!$P1087)</f>
        <v/>
      </c>
      <c r="P1082" t="str">
        <f>IF(SAISIE!$Q1087="","",SAISIE!$Q1087)</f>
        <v/>
      </c>
      <c r="Q1082" t="str">
        <f>IF($I1082="","",IF($I1082&gt;PARAMETRES!$G$29,5,IF($I1082&gt;PARAMETRES!$F$29,4,IF($I1082&gt;PARAMETRES!$E$29,3,IF($I1082&gt;PARAMETRES!$D$29,2,1)))))</f>
        <v/>
      </c>
      <c r="R1082" t="str">
        <f>IF($J1082="","",IF($J1082&gt;PARAMETRES!$G$30,5,IF($J1082&gt;PARAMETRES!$F$30,4,IF($J1082&gt;PARAMETRES!$E$30,3,IF($J1082&gt;PARAMETRES!$D$30,2,1)))))</f>
        <v/>
      </c>
      <c r="S1082" t="str">
        <f>IF($K1082="","",IF($Z1082=2,IF($K1082&gt;PARAMETRES!$G$31,5,IF($K1082&gt;PARAMETRES!$F$31,4,IF($K1082&gt;PARAMETRES!$E$31,3,IF($K1082&gt;PARAMETRES!$D$31,2,1)))),IF($K1082&gt;PARAMETRES!$G$32,5,IF($K1082&gt;PARAMETRES!$F$32,4,IF($K1082&gt;PARAMETRES!$E$32,3,IF($K1082&gt;PARAMETRES!$D$32,2,1))))))</f>
        <v/>
      </c>
      <c r="T1082" t="str">
        <f>IF($L1082="","",IF($L1082&gt;PARAMETRES!$G$33,5,IF($L1082&gt;PARAMETRES!$F$33,4,IF($L1082&gt;PARAMETRES!$E$33,3,IF($L1082&gt;PARAMETRES!$D$33,2,1)))))</f>
        <v/>
      </c>
      <c r="U1082" t="str">
        <f>IF($M1082="","",IF($M1082&gt;PARAMETRES!$G$34,5,IF($M1082&gt;PARAMETRES!$F$34,4,IF($M1082&gt;PARAMETRES!$E$34,3,IF($M1082&gt;PARAMETRES!$D$34,2,1)))))</f>
        <v/>
      </c>
      <c r="V1082" t="str">
        <f>IF($N1082="","",IF($N1082&gt;PARAMETRES!$G$35,5,IF($N1082&gt;PARAMETRES!$F$35,4,IF($N1082&gt;PARAMETRES!$E$35,3,IF($N1082&gt;PARAMETRES!$D$35,2,1)))))</f>
        <v/>
      </c>
      <c r="W1082" t="str">
        <f>IF($O1082="","",IF($O1082&gt;PARAMETRES!$G$36,5,IF($O1082&gt;PARAMETRES!$F$36,4,IF($O1082&gt;PARAMETRES!$E$36,3,IF($O1082&gt;PARAMETRES!$D$36,2,1)))))</f>
        <v/>
      </c>
      <c r="X1082" t="str">
        <f>IF($P1082="","",IF($P1082&gt;PARAMETRES!$G$37,5,IF($P1082&gt;PARAMETRES!$F$37,4,IF($P1082&gt;PARAMETRES!$E$37,3,IF($P1082&gt;PARAMETRES!$D$37,2,1)))))</f>
        <v/>
      </c>
      <c r="Y1082" t="str">
        <f t="shared" si="384"/>
        <v/>
      </c>
      <c r="Z1082" t="str">
        <f>IFERROR(VLOOKUP($B1082,TABLE_CYCLE,2,0),"")</f>
        <v/>
      </c>
      <c r="AA1082" t="str">
        <f t="shared" si="385"/>
        <v/>
      </c>
      <c r="AB1082" t="str">
        <f>IF($D1082="","",IF(COUNTIF($D$2:$D1082,$D1082)=1,$D1082,""))</f>
        <v/>
      </c>
      <c r="AC1082">
        <f t="shared" si="386"/>
        <v>0</v>
      </c>
      <c r="AD1082" t="str">
        <f t="shared" si="387"/>
        <v>|0</v>
      </c>
      <c r="AE1082" t="str">
        <f t="shared" si="388"/>
        <v/>
      </c>
      <c r="AF1082" t="str">
        <f t="shared" si="389"/>
        <v/>
      </c>
      <c r="AG1082" t="str">
        <f t="shared" si="390"/>
        <v/>
      </c>
      <c r="AH1082" t="str">
        <f t="shared" si="391"/>
        <v/>
      </c>
      <c r="AI1082" t="str">
        <f t="shared" si="392"/>
        <v/>
      </c>
      <c r="AJ1082" t="str">
        <f t="shared" si="393"/>
        <v/>
      </c>
      <c r="AK1082" t="str">
        <f t="shared" si="394"/>
        <v/>
      </c>
      <c r="AL1082" t="str">
        <f t="shared" si="395"/>
        <v/>
      </c>
      <c r="AM1082" t="str">
        <f t="shared" si="396"/>
        <v/>
      </c>
      <c r="AN1082" t="str">
        <f t="shared" si="397"/>
        <v/>
      </c>
      <c r="AO1082" t="str">
        <f t="shared" si="398"/>
        <v/>
      </c>
      <c r="AP1082">
        <f t="shared" si="399"/>
        <v>1</v>
      </c>
      <c r="AQ1082" t="str">
        <f>IF(SAISIE!$F1087="","",SAISIE!$Y1087)</f>
        <v/>
      </c>
      <c r="AR1082" t="str">
        <f>IF(OR(SAISIE!$U$4="",SAISIE!$W$4=""),"",IF(AND($A1082=SAISIE!$U$4,$B1082=SAISIE!$W$4,$C1082="S1"),COUNTIFS($A$2:$A1082,SAISIE!$U$4,$B$2:$B1082,SAISIE!$W$4,$C$2:$C1082,"S1"),""))</f>
        <v/>
      </c>
      <c r="AS1082" t="str">
        <f t="shared" si="400"/>
        <v/>
      </c>
      <c r="AT1082" t="str">
        <f t="shared" si="401"/>
        <v/>
      </c>
      <c r="AU1082" t="str">
        <f t="shared" si="402"/>
        <v/>
      </c>
      <c r="AV1082">
        <f>N(AV1081)+IF(AND($AB1082&lt;&gt;"",OR('PROFIL ELEVE'!$K$4="(Tous)",$AF1082='PROFIL ELEVE'!$K$4)),1,0)</f>
        <v>0</v>
      </c>
      <c r="AW1082">
        <f>N(AW1081)+IF(AND($AB1082&lt;&gt;"",OR('SUIVI LONGITUDINAL'!$Q$4="(Tous)",$AF1082='SUIVI LONGITUDINAL'!$Q$4)),1,0)</f>
        <v>0</v>
      </c>
      <c r="AX1082">
        <f t="shared" si="403"/>
        <v>0</v>
      </c>
      <c r="AY1082">
        <f t="shared" si="404"/>
        <v>0</v>
      </c>
      <c r="AZ1082">
        <f t="shared" si="405"/>
        <v>0</v>
      </c>
      <c r="BA1082" t="str">
        <f t="shared" si="406"/>
        <v/>
      </c>
      <c r="BB1082" t="str">
        <f t="shared" si="407"/>
        <v/>
      </c>
    </row>
    <row r="1083" spans="1:54" ht="14.25" customHeight="1" x14ac:dyDescent="0.3">
      <c r="A1083" t="str">
        <f>IF(SAISIE!$F1088="","",SAISIE!$B1088)</f>
        <v/>
      </c>
      <c r="B1083" t="str">
        <f>IF(SAISIE!$F1088="","",SAISIE!$C1088)</f>
        <v/>
      </c>
      <c r="C1083" t="str">
        <f>IF(SAISIE!$F1088="","",SAISIE!$D1088)</f>
        <v/>
      </c>
      <c r="D1083" t="str">
        <f>IF(SAISIE!$E1088="","",SAISIE!$E1088)</f>
        <v/>
      </c>
      <c r="E1083" t="str">
        <f>IF(SAISIE!$F1088="","",SAISIE!$F1088)</f>
        <v/>
      </c>
      <c r="F1083" t="str">
        <f>IF(SAISIE!$G1088="","",SAISIE!$G1088)</f>
        <v/>
      </c>
      <c r="G1083" t="str">
        <f>IF(SAISIE!$H1088="","",SAISIE!$H1088)</f>
        <v/>
      </c>
      <c r="H1083" t="str">
        <f>IF(SAISIE!$I1088="","",SAISIE!$I1088)</f>
        <v/>
      </c>
      <c r="I1083" t="str">
        <f>IF(SAISIE!$J1088="","",SAISIE!$J1088)</f>
        <v/>
      </c>
      <c r="J1083" t="str">
        <f>IF(SAISIE!$K1088="","",SAISIE!$K1088)</f>
        <v/>
      </c>
      <c r="K1083" t="str">
        <f>IF(SAISIE!$L1088="","",SAISIE!$L1088)</f>
        <v/>
      </c>
      <c r="L1083" t="str">
        <f>IF(SAISIE!$M1088="","",SAISIE!$M1088)</f>
        <v/>
      </c>
      <c r="M1083" t="str">
        <f>IF(SAISIE!$N1088="","",SAISIE!$N1088)</f>
        <v/>
      </c>
      <c r="N1083" t="str">
        <f>IF(SAISIE!$O1088="","",SAISIE!$O1088)</f>
        <v/>
      </c>
      <c r="O1083" t="str">
        <f>IF(SAISIE!$P1088="","",SAISIE!$P1088)</f>
        <v/>
      </c>
      <c r="P1083" t="str">
        <f>IF(SAISIE!$Q1088="","",SAISIE!$Q1088)</f>
        <v/>
      </c>
      <c r="Q1083" t="str">
        <f>IF($I1083="","",IF($I1083&gt;PARAMETRES!$G$29,5,IF($I1083&gt;PARAMETRES!$F$29,4,IF($I1083&gt;PARAMETRES!$E$29,3,IF($I1083&gt;PARAMETRES!$D$29,2,1)))))</f>
        <v/>
      </c>
      <c r="R1083" t="str">
        <f>IF($J1083="","",IF($J1083&gt;PARAMETRES!$G$30,5,IF($J1083&gt;PARAMETRES!$F$30,4,IF($J1083&gt;PARAMETRES!$E$30,3,IF($J1083&gt;PARAMETRES!$D$30,2,1)))))</f>
        <v/>
      </c>
      <c r="S1083" t="str">
        <f>IF($K1083="","",IF($Z1083=2,IF($K1083&gt;PARAMETRES!$G$31,5,IF($K1083&gt;PARAMETRES!$F$31,4,IF($K1083&gt;PARAMETRES!$E$31,3,IF($K1083&gt;PARAMETRES!$D$31,2,1)))),IF($K1083&gt;PARAMETRES!$G$32,5,IF($K1083&gt;PARAMETRES!$F$32,4,IF($K1083&gt;PARAMETRES!$E$32,3,IF($K1083&gt;PARAMETRES!$D$32,2,1))))))</f>
        <v/>
      </c>
      <c r="T1083" t="str">
        <f>IF($L1083="","",IF($L1083&gt;PARAMETRES!$G$33,5,IF($L1083&gt;PARAMETRES!$F$33,4,IF($L1083&gt;PARAMETRES!$E$33,3,IF($L1083&gt;PARAMETRES!$D$33,2,1)))))</f>
        <v/>
      </c>
      <c r="U1083" t="str">
        <f>IF($M1083="","",IF($M1083&gt;PARAMETRES!$G$34,5,IF($M1083&gt;PARAMETRES!$F$34,4,IF($M1083&gt;PARAMETRES!$E$34,3,IF($M1083&gt;PARAMETRES!$D$34,2,1)))))</f>
        <v/>
      </c>
      <c r="V1083" t="str">
        <f>IF($N1083="","",IF($N1083&gt;PARAMETRES!$G$35,5,IF($N1083&gt;PARAMETRES!$F$35,4,IF($N1083&gt;PARAMETRES!$E$35,3,IF($N1083&gt;PARAMETRES!$D$35,2,1)))))</f>
        <v/>
      </c>
      <c r="W1083" t="str">
        <f>IF($O1083="","",IF($O1083&gt;PARAMETRES!$G$36,5,IF($O1083&gt;PARAMETRES!$F$36,4,IF($O1083&gt;PARAMETRES!$E$36,3,IF($O1083&gt;PARAMETRES!$D$36,2,1)))))</f>
        <v/>
      </c>
      <c r="X1083" t="str">
        <f>IF($P1083="","",IF($P1083&gt;PARAMETRES!$G$37,5,IF($P1083&gt;PARAMETRES!$F$37,4,IF($P1083&gt;PARAMETRES!$E$37,3,IF($P1083&gt;PARAMETRES!$D$37,2,1)))))</f>
        <v/>
      </c>
      <c r="Y1083" t="str">
        <f t="shared" si="384"/>
        <v/>
      </c>
      <c r="Z1083" t="str">
        <f>IFERROR(VLOOKUP($B1083,TABLE_CYCLE,2,0),"")</f>
        <v/>
      </c>
      <c r="AA1083" t="str">
        <f t="shared" si="385"/>
        <v/>
      </c>
      <c r="AB1083" t="str">
        <f>IF($D1083="","",IF(COUNTIF($D$2:$D1083,$D1083)=1,$D1083,""))</f>
        <v/>
      </c>
      <c r="AC1083">
        <f t="shared" si="386"/>
        <v>0</v>
      </c>
      <c r="AD1083" t="str">
        <f t="shared" si="387"/>
        <v>|0</v>
      </c>
      <c r="AE1083" t="str">
        <f t="shared" si="388"/>
        <v/>
      </c>
      <c r="AF1083" t="str">
        <f t="shared" si="389"/>
        <v/>
      </c>
      <c r="AG1083" t="str">
        <f t="shared" si="390"/>
        <v/>
      </c>
      <c r="AH1083" t="str">
        <f t="shared" si="391"/>
        <v/>
      </c>
      <c r="AI1083" t="str">
        <f t="shared" si="392"/>
        <v/>
      </c>
      <c r="AJ1083" t="str">
        <f t="shared" si="393"/>
        <v/>
      </c>
      <c r="AK1083" t="str">
        <f t="shared" si="394"/>
        <v/>
      </c>
      <c r="AL1083" t="str">
        <f t="shared" si="395"/>
        <v/>
      </c>
      <c r="AM1083" t="str">
        <f t="shared" si="396"/>
        <v/>
      </c>
      <c r="AN1083" t="str">
        <f t="shared" si="397"/>
        <v/>
      </c>
      <c r="AO1083" t="str">
        <f t="shared" si="398"/>
        <v/>
      </c>
      <c r="AP1083">
        <f t="shared" si="399"/>
        <v>1</v>
      </c>
      <c r="AQ1083" t="str">
        <f>IF(SAISIE!$F1088="","",SAISIE!$Y1088)</f>
        <v/>
      </c>
      <c r="AR1083" t="str">
        <f>IF(OR(SAISIE!$U$4="",SAISIE!$W$4=""),"",IF(AND($A1083=SAISIE!$U$4,$B1083=SAISIE!$W$4,$C1083="S1"),COUNTIFS($A$2:$A1083,SAISIE!$U$4,$B$2:$B1083,SAISIE!$W$4,$C$2:$C1083,"S1"),""))</f>
        <v/>
      </c>
      <c r="AS1083" t="str">
        <f t="shared" si="400"/>
        <v/>
      </c>
      <c r="AT1083" t="str">
        <f t="shared" si="401"/>
        <v/>
      </c>
      <c r="AU1083" t="str">
        <f t="shared" si="402"/>
        <v/>
      </c>
      <c r="AV1083">
        <f>N(AV1082)+IF(AND($AB1083&lt;&gt;"",OR('PROFIL ELEVE'!$K$4="(Tous)",$AF1083='PROFIL ELEVE'!$K$4)),1,0)</f>
        <v>0</v>
      </c>
      <c r="AW1083">
        <f>N(AW1082)+IF(AND($AB1083&lt;&gt;"",OR('SUIVI LONGITUDINAL'!$Q$4="(Tous)",$AF1083='SUIVI LONGITUDINAL'!$Q$4)),1,0)</f>
        <v>0</v>
      </c>
      <c r="AX1083">
        <f t="shared" si="403"/>
        <v>0</v>
      </c>
      <c r="AY1083">
        <f t="shared" si="404"/>
        <v>0</v>
      </c>
      <c r="AZ1083">
        <f t="shared" si="405"/>
        <v>0</v>
      </c>
      <c r="BA1083" t="str">
        <f t="shared" si="406"/>
        <v/>
      </c>
      <c r="BB1083" t="str">
        <f t="shared" si="407"/>
        <v/>
      </c>
    </row>
    <row r="1084" spans="1:54" ht="14.25" customHeight="1" x14ac:dyDescent="0.3">
      <c r="A1084" t="str">
        <f>IF(SAISIE!$F1089="","",SAISIE!$B1089)</f>
        <v/>
      </c>
      <c r="B1084" t="str">
        <f>IF(SAISIE!$F1089="","",SAISIE!$C1089)</f>
        <v/>
      </c>
      <c r="C1084" t="str">
        <f>IF(SAISIE!$F1089="","",SAISIE!$D1089)</f>
        <v/>
      </c>
      <c r="D1084" t="str">
        <f>IF(SAISIE!$E1089="","",SAISIE!$E1089)</f>
        <v/>
      </c>
      <c r="E1084" t="str">
        <f>IF(SAISIE!$F1089="","",SAISIE!$F1089)</f>
        <v/>
      </c>
      <c r="F1084" t="str">
        <f>IF(SAISIE!$G1089="","",SAISIE!$G1089)</f>
        <v/>
      </c>
      <c r="G1084" t="str">
        <f>IF(SAISIE!$H1089="","",SAISIE!$H1089)</f>
        <v/>
      </c>
      <c r="H1084" t="str">
        <f>IF(SAISIE!$I1089="","",SAISIE!$I1089)</f>
        <v/>
      </c>
      <c r="I1084" t="str">
        <f>IF(SAISIE!$J1089="","",SAISIE!$J1089)</f>
        <v/>
      </c>
      <c r="J1084" t="str">
        <f>IF(SAISIE!$K1089="","",SAISIE!$K1089)</f>
        <v/>
      </c>
      <c r="K1084" t="str">
        <f>IF(SAISIE!$L1089="","",SAISIE!$L1089)</f>
        <v/>
      </c>
      <c r="L1084" t="str">
        <f>IF(SAISIE!$M1089="","",SAISIE!$M1089)</f>
        <v/>
      </c>
      <c r="M1084" t="str">
        <f>IF(SAISIE!$N1089="","",SAISIE!$N1089)</f>
        <v/>
      </c>
      <c r="N1084" t="str">
        <f>IF(SAISIE!$O1089="","",SAISIE!$O1089)</f>
        <v/>
      </c>
      <c r="O1084" t="str">
        <f>IF(SAISIE!$P1089="","",SAISIE!$P1089)</f>
        <v/>
      </c>
      <c r="P1084" t="str">
        <f>IF(SAISIE!$Q1089="","",SAISIE!$Q1089)</f>
        <v/>
      </c>
      <c r="Q1084" t="str">
        <f>IF($I1084="","",IF($I1084&gt;PARAMETRES!$G$29,5,IF($I1084&gt;PARAMETRES!$F$29,4,IF($I1084&gt;PARAMETRES!$E$29,3,IF($I1084&gt;PARAMETRES!$D$29,2,1)))))</f>
        <v/>
      </c>
      <c r="R1084" t="str">
        <f>IF($J1084="","",IF($J1084&gt;PARAMETRES!$G$30,5,IF($J1084&gt;PARAMETRES!$F$30,4,IF($J1084&gt;PARAMETRES!$E$30,3,IF($J1084&gt;PARAMETRES!$D$30,2,1)))))</f>
        <v/>
      </c>
      <c r="S1084" t="str">
        <f>IF($K1084="","",IF($Z1084=2,IF($K1084&gt;PARAMETRES!$G$31,5,IF($K1084&gt;PARAMETRES!$F$31,4,IF($K1084&gt;PARAMETRES!$E$31,3,IF($K1084&gt;PARAMETRES!$D$31,2,1)))),IF($K1084&gt;PARAMETRES!$G$32,5,IF($K1084&gt;PARAMETRES!$F$32,4,IF($K1084&gt;PARAMETRES!$E$32,3,IF($K1084&gt;PARAMETRES!$D$32,2,1))))))</f>
        <v/>
      </c>
      <c r="T1084" t="str">
        <f>IF($L1084="","",IF($L1084&gt;PARAMETRES!$G$33,5,IF($L1084&gt;PARAMETRES!$F$33,4,IF($L1084&gt;PARAMETRES!$E$33,3,IF($L1084&gt;PARAMETRES!$D$33,2,1)))))</f>
        <v/>
      </c>
      <c r="U1084" t="str">
        <f>IF($M1084="","",IF($M1084&gt;PARAMETRES!$G$34,5,IF($M1084&gt;PARAMETRES!$F$34,4,IF($M1084&gt;PARAMETRES!$E$34,3,IF($M1084&gt;PARAMETRES!$D$34,2,1)))))</f>
        <v/>
      </c>
      <c r="V1084" t="str">
        <f>IF($N1084="","",IF($N1084&gt;PARAMETRES!$G$35,5,IF($N1084&gt;PARAMETRES!$F$35,4,IF($N1084&gt;PARAMETRES!$E$35,3,IF($N1084&gt;PARAMETRES!$D$35,2,1)))))</f>
        <v/>
      </c>
      <c r="W1084" t="str">
        <f>IF($O1084="","",IF($O1084&gt;PARAMETRES!$G$36,5,IF($O1084&gt;PARAMETRES!$F$36,4,IF($O1084&gt;PARAMETRES!$E$36,3,IF($O1084&gt;PARAMETRES!$D$36,2,1)))))</f>
        <v/>
      </c>
      <c r="X1084" t="str">
        <f>IF($P1084="","",IF($P1084&gt;PARAMETRES!$G$37,5,IF($P1084&gt;PARAMETRES!$F$37,4,IF($P1084&gt;PARAMETRES!$E$37,3,IF($P1084&gt;PARAMETRES!$D$37,2,1)))))</f>
        <v/>
      </c>
      <c r="Y1084" t="str">
        <f t="shared" si="384"/>
        <v/>
      </c>
      <c r="Z1084" t="str">
        <f>IFERROR(VLOOKUP($B1084,TABLE_CYCLE,2,0),"")</f>
        <v/>
      </c>
      <c r="AA1084" t="str">
        <f t="shared" si="385"/>
        <v/>
      </c>
      <c r="AB1084" t="str">
        <f>IF($D1084="","",IF(COUNTIF($D$2:$D1084,$D1084)=1,$D1084,""))</f>
        <v/>
      </c>
      <c r="AC1084">
        <f t="shared" si="386"/>
        <v>0</v>
      </c>
      <c r="AD1084" t="str">
        <f t="shared" si="387"/>
        <v>|0</v>
      </c>
      <c r="AE1084" t="str">
        <f t="shared" si="388"/>
        <v/>
      </c>
      <c r="AF1084" t="str">
        <f t="shared" si="389"/>
        <v/>
      </c>
      <c r="AG1084" t="str">
        <f t="shared" si="390"/>
        <v/>
      </c>
      <c r="AH1084" t="str">
        <f t="shared" si="391"/>
        <v/>
      </c>
      <c r="AI1084" t="str">
        <f t="shared" si="392"/>
        <v/>
      </c>
      <c r="AJ1084" t="str">
        <f t="shared" si="393"/>
        <v/>
      </c>
      <c r="AK1084" t="str">
        <f t="shared" si="394"/>
        <v/>
      </c>
      <c r="AL1084" t="str">
        <f t="shared" si="395"/>
        <v/>
      </c>
      <c r="AM1084" t="str">
        <f t="shared" si="396"/>
        <v/>
      </c>
      <c r="AN1084" t="str">
        <f t="shared" si="397"/>
        <v/>
      </c>
      <c r="AO1084" t="str">
        <f t="shared" si="398"/>
        <v/>
      </c>
      <c r="AP1084">
        <f t="shared" si="399"/>
        <v>1</v>
      </c>
      <c r="AQ1084" t="str">
        <f>IF(SAISIE!$F1089="","",SAISIE!$Y1089)</f>
        <v/>
      </c>
      <c r="AR1084" t="str">
        <f>IF(OR(SAISIE!$U$4="",SAISIE!$W$4=""),"",IF(AND($A1084=SAISIE!$U$4,$B1084=SAISIE!$W$4,$C1084="S1"),COUNTIFS($A$2:$A1084,SAISIE!$U$4,$B$2:$B1084,SAISIE!$W$4,$C$2:$C1084,"S1"),""))</f>
        <v/>
      </c>
      <c r="AS1084" t="str">
        <f t="shared" si="400"/>
        <v/>
      </c>
      <c r="AT1084" t="str">
        <f t="shared" si="401"/>
        <v/>
      </c>
      <c r="AU1084" t="str">
        <f t="shared" si="402"/>
        <v/>
      </c>
      <c r="AV1084">
        <f>N(AV1083)+IF(AND($AB1084&lt;&gt;"",OR('PROFIL ELEVE'!$K$4="(Tous)",$AF1084='PROFIL ELEVE'!$K$4)),1,0)</f>
        <v>0</v>
      </c>
      <c r="AW1084">
        <f>N(AW1083)+IF(AND($AB1084&lt;&gt;"",OR('SUIVI LONGITUDINAL'!$Q$4="(Tous)",$AF1084='SUIVI LONGITUDINAL'!$Q$4)),1,0)</f>
        <v>0</v>
      </c>
      <c r="AX1084">
        <f t="shared" si="403"/>
        <v>0</v>
      </c>
      <c r="AY1084">
        <f t="shared" si="404"/>
        <v>0</v>
      </c>
      <c r="AZ1084">
        <f t="shared" si="405"/>
        <v>0</v>
      </c>
      <c r="BA1084" t="str">
        <f t="shared" si="406"/>
        <v/>
      </c>
      <c r="BB1084" t="str">
        <f t="shared" si="407"/>
        <v/>
      </c>
    </row>
    <row r="1085" spans="1:54" ht="14.25" customHeight="1" x14ac:dyDescent="0.3">
      <c r="A1085" t="str">
        <f>IF(SAISIE!$F1090="","",SAISIE!$B1090)</f>
        <v/>
      </c>
      <c r="B1085" t="str">
        <f>IF(SAISIE!$F1090="","",SAISIE!$C1090)</f>
        <v/>
      </c>
      <c r="C1085" t="str">
        <f>IF(SAISIE!$F1090="","",SAISIE!$D1090)</f>
        <v/>
      </c>
      <c r="D1085" t="str">
        <f>IF(SAISIE!$E1090="","",SAISIE!$E1090)</f>
        <v/>
      </c>
      <c r="E1085" t="str">
        <f>IF(SAISIE!$F1090="","",SAISIE!$F1090)</f>
        <v/>
      </c>
      <c r="F1085" t="str">
        <f>IF(SAISIE!$G1090="","",SAISIE!$G1090)</f>
        <v/>
      </c>
      <c r="G1085" t="str">
        <f>IF(SAISIE!$H1090="","",SAISIE!$H1090)</f>
        <v/>
      </c>
      <c r="H1085" t="str">
        <f>IF(SAISIE!$I1090="","",SAISIE!$I1090)</f>
        <v/>
      </c>
      <c r="I1085" t="str">
        <f>IF(SAISIE!$J1090="","",SAISIE!$J1090)</f>
        <v/>
      </c>
      <c r="J1085" t="str">
        <f>IF(SAISIE!$K1090="","",SAISIE!$K1090)</f>
        <v/>
      </c>
      <c r="K1085" t="str">
        <f>IF(SAISIE!$L1090="","",SAISIE!$L1090)</f>
        <v/>
      </c>
      <c r="L1085" t="str">
        <f>IF(SAISIE!$M1090="","",SAISIE!$M1090)</f>
        <v/>
      </c>
      <c r="M1085" t="str">
        <f>IF(SAISIE!$N1090="","",SAISIE!$N1090)</f>
        <v/>
      </c>
      <c r="N1085" t="str">
        <f>IF(SAISIE!$O1090="","",SAISIE!$O1090)</f>
        <v/>
      </c>
      <c r="O1085" t="str">
        <f>IF(SAISIE!$P1090="","",SAISIE!$P1090)</f>
        <v/>
      </c>
      <c r="P1085" t="str">
        <f>IF(SAISIE!$Q1090="","",SAISIE!$Q1090)</f>
        <v/>
      </c>
      <c r="Q1085" t="str">
        <f>IF($I1085="","",IF($I1085&gt;PARAMETRES!$G$29,5,IF($I1085&gt;PARAMETRES!$F$29,4,IF($I1085&gt;PARAMETRES!$E$29,3,IF($I1085&gt;PARAMETRES!$D$29,2,1)))))</f>
        <v/>
      </c>
      <c r="R1085" t="str">
        <f>IF($J1085="","",IF($J1085&gt;PARAMETRES!$G$30,5,IF($J1085&gt;PARAMETRES!$F$30,4,IF($J1085&gt;PARAMETRES!$E$30,3,IF($J1085&gt;PARAMETRES!$D$30,2,1)))))</f>
        <v/>
      </c>
      <c r="S1085" t="str">
        <f>IF($K1085="","",IF($Z1085=2,IF($K1085&gt;PARAMETRES!$G$31,5,IF($K1085&gt;PARAMETRES!$F$31,4,IF($K1085&gt;PARAMETRES!$E$31,3,IF($K1085&gt;PARAMETRES!$D$31,2,1)))),IF($K1085&gt;PARAMETRES!$G$32,5,IF($K1085&gt;PARAMETRES!$F$32,4,IF($K1085&gt;PARAMETRES!$E$32,3,IF($K1085&gt;PARAMETRES!$D$32,2,1))))))</f>
        <v/>
      </c>
      <c r="T1085" t="str">
        <f>IF($L1085="","",IF($L1085&gt;PARAMETRES!$G$33,5,IF($L1085&gt;PARAMETRES!$F$33,4,IF($L1085&gt;PARAMETRES!$E$33,3,IF($L1085&gt;PARAMETRES!$D$33,2,1)))))</f>
        <v/>
      </c>
      <c r="U1085" t="str">
        <f>IF($M1085="","",IF($M1085&gt;PARAMETRES!$G$34,5,IF($M1085&gt;PARAMETRES!$F$34,4,IF($M1085&gt;PARAMETRES!$E$34,3,IF($M1085&gt;PARAMETRES!$D$34,2,1)))))</f>
        <v/>
      </c>
      <c r="V1085" t="str">
        <f>IF($N1085="","",IF($N1085&gt;PARAMETRES!$G$35,5,IF($N1085&gt;PARAMETRES!$F$35,4,IF($N1085&gt;PARAMETRES!$E$35,3,IF($N1085&gt;PARAMETRES!$D$35,2,1)))))</f>
        <v/>
      </c>
      <c r="W1085" t="str">
        <f>IF($O1085="","",IF($O1085&gt;PARAMETRES!$G$36,5,IF($O1085&gt;PARAMETRES!$F$36,4,IF($O1085&gt;PARAMETRES!$E$36,3,IF($O1085&gt;PARAMETRES!$D$36,2,1)))))</f>
        <v/>
      </c>
      <c r="X1085" t="str">
        <f>IF($P1085="","",IF($P1085&gt;PARAMETRES!$G$37,5,IF($P1085&gt;PARAMETRES!$F$37,4,IF($P1085&gt;PARAMETRES!$E$37,3,IF($P1085&gt;PARAMETRES!$D$37,2,1)))))</f>
        <v/>
      </c>
      <c r="Y1085" t="str">
        <f t="shared" si="384"/>
        <v/>
      </c>
      <c r="Z1085" t="str">
        <f>IFERROR(VLOOKUP($B1085,TABLE_CYCLE,2,0),"")</f>
        <v/>
      </c>
      <c r="AA1085" t="str">
        <f t="shared" si="385"/>
        <v/>
      </c>
      <c r="AB1085" t="str">
        <f>IF($D1085="","",IF(COUNTIF($D$2:$D1085,$D1085)=1,$D1085,""))</f>
        <v/>
      </c>
      <c r="AC1085">
        <f t="shared" si="386"/>
        <v>0</v>
      </c>
      <c r="AD1085" t="str">
        <f t="shared" si="387"/>
        <v>|0</v>
      </c>
      <c r="AE1085" t="str">
        <f t="shared" si="388"/>
        <v/>
      </c>
      <c r="AF1085" t="str">
        <f t="shared" si="389"/>
        <v/>
      </c>
      <c r="AG1085" t="str">
        <f t="shared" si="390"/>
        <v/>
      </c>
      <c r="AH1085" t="str">
        <f t="shared" si="391"/>
        <v/>
      </c>
      <c r="AI1085" t="str">
        <f t="shared" si="392"/>
        <v/>
      </c>
      <c r="AJ1085" t="str">
        <f t="shared" si="393"/>
        <v/>
      </c>
      <c r="AK1085" t="str">
        <f t="shared" si="394"/>
        <v/>
      </c>
      <c r="AL1085" t="str">
        <f t="shared" si="395"/>
        <v/>
      </c>
      <c r="AM1085" t="str">
        <f t="shared" si="396"/>
        <v/>
      </c>
      <c r="AN1085" t="str">
        <f t="shared" si="397"/>
        <v/>
      </c>
      <c r="AO1085" t="str">
        <f t="shared" si="398"/>
        <v/>
      </c>
      <c r="AP1085">
        <f t="shared" si="399"/>
        <v>1</v>
      </c>
      <c r="AQ1085" t="str">
        <f>IF(SAISIE!$F1090="","",SAISIE!$Y1090)</f>
        <v/>
      </c>
      <c r="AR1085" t="str">
        <f>IF(OR(SAISIE!$U$4="",SAISIE!$W$4=""),"",IF(AND($A1085=SAISIE!$U$4,$B1085=SAISIE!$W$4,$C1085="S1"),COUNTIFS($A$2:$A1085,SAISIE!$U$4,$B$2:$B1085,SAISIE!$W$4,$C$2:$C1085,"S1"),""))</f>
        <v/>
      </c>
      <c r="AS1085" t="str">
        <f t="shared" si="400"/>
        <v/>
      </c>
      <c r="AT1085" t="str">
        <f t="shared" si="401"/>
        <v/>
      </c>
      <c r="AU1085" t="str">
        <f t="shared" si="402"/>
        <v/>
      </c>
      <c r="AV1085">
        <f>N(AV1084)+IF(AND($AB1085&lt;&gt;"",OR('PROFIL ELEVE'!$K$4="(Tous)",$AF1085='PROFIL ELEVE'!$K$4)),1,0)</f>
        <v>0</v>
      </c>
      <c r="AW1085">
        <f>N(AW1084)+IF(AND($AB1085&lt;&gt;"",OR('SUIVI LONGITUDINAL'!$Q$4="(Tous)",$AF1085='SUIVI LONGITUDINAL'!$Q$4)),1,0)</f>
        <v>0</v>
      </c>
      <c r="AX1085">
        <f t="shared" si="403"/>
        <v>0</v>
      </c>
      <c r="AY1085">
        <f t="shared" si="404"/>
        <v>0</v>
      </c>
      <c r="AZ1085">
        <f t="shared" si="405"/>
        <v>0</v>
      </c>
      <c r="BA1085" t="str">
        <f t="shared" si="406"/>
        <v/>
      </c>
      <c r="BB1085" t="str">
        <f t="shared" si="407"/>
        <v/>
      </c>
    </row>
    <row r="1086" spans="1:54" ht="14.25" customHeight="1" x14ac:dyDescent="0.3">
      <c r="A1086" t="str">
        <f>IF(SAISIE!$F1091="","",SAISIE!$B1091)</f>
        <v/>
      </c>
      <c r="B1086" t="str">
        <f>IF(SAISIE!$F1091="","",SAISIE!$C1091)</f>
        <v/>
      </c>
      <c r="C1086" t="str">
        <f>IF(SAISIE!$F1091="","",SAISIE!$D1091)</f>
        <v/>
      </c>
      <c r="D1086" t="str">
        <f>IF(SAISIE!$E1091="","",SAISIE!$E1091)</f>
        <v/>
      </c>
      <c r="E1086" t="str">
        <f>IF(SAISIE!$F1091="","",SAISIE!$F1091)</f>
        <v/>
      </c>
      <c r="F1086" t="str">
        <f>IF(SAISIE!$G1091="","",SAISIE!$G1091)</f>
        <v/>
      </c>
      <c r="G1086" t="str">
        <f>IF(SAISIE!$H1091="","",SAISIE!$H1091)</f>
        <v/>
      </c>
      <c r="H1086" t="str">
        <f>IF(SAISIE!$I1091="","",SAISIE!$I1091)</f>
        <v/>
      </c>
      <c r="I1086" t="str">
        <f>IF(SAISIE!$J1091="","",SAISIE!$J1091)</f>
        <v/>
      </c>
      <c r="J1086" t="str">
        <f>IF(SAISIE!$K1091="","",SAISIE!$K1091)</f>
        <v/>
      </c>
      <c r="K1086" t="str">
        <f>IF(SAISIE!$L1091="","",SAISIE!$L1091)</f>
        <v/>
      </c>
      <c r="L1086" t="str">
        <f>IF(SAISIE!$M1091="","",SAISIE!$M1091)</f>
        <v/>
      </c>
      <c r="M1086" t="str">
        <f>IF(SAISIE!$N1091="","",SAISIE!$N1091)</f>
        <v/>
      </c>
      <c r="N1086" t="str">
        <f>IF(SAISIE!$O1091="","",SAISIE!$O1091)</f>
        <v/>
      </c>
      <c r="O1086" t="str">
        <f>IF(SAISIE!$P1091="","",SAISIE!$P1091)</f>
        <v/>
      </c>
      <c r="P1086" t="str">
        <f>IF(SAISIE!$Q1091="","",SAISIE!$Q1091)</f>
        <v/>
      </c>
      <c r="Q1086" t="str">
        <f>IF($I1086="","",IF($I1086&gt;PARAMETRES!$G$29,5,IF($I1086&gt;PARAMETRES!$F$29,4,IF($I1086&gt;PARAMETRES!$E$29,3,IF($I1086&gt;PARAMETRES!$D$29,2,1)))))</f>
        <v/>
      </c>
      <c r="R1086" t="str">
        <f>IF($J1086="","",IF($J1086&gt;PARAMETRES!$G$30,5,IF($J1086&gt;PARAMETRES!$F$30,4,IF($J1086&gt;PARAMETRES!$E$30,3,IF($J1086&gt;PARAMETRES!$D$30,2,1)))))</f>
        <v/>
      </c>
      <c r="S1086" t="str">
        <f>IF($K1086="","",IF($Z1086=2,IF($K1086&gt;PARAMETRES!$G$31,5,IF($K1086&gt;PARAMETRES!$F$31,4,IF($K1086&gt;PARAMETRES!$E$31,3,IF($K1086&gt;PARAMETRES!$D$31,2,1)))),IF($K1086&gt;PARAMETRES!$G$32,5,IF($K1086&gt;PARAMETRES!$F$32,4,IF($K1086&gt;PARAMETRES!$E$32,3,IF($K1086&gt;PARAMETRES!$D$32,2,1))))))</f>
        <v/>
      </c>
      <c r="T1086" t="str">
        <f>IF($L1086="","",IF($L1086&gt;PARAMETRES!$G$33,5,IF($L1086&gt;PARAMETRES!$F$33,4,IF($L1086&gt;PARAMETRES!$E$33,3,IF($L1086&gt;PARAMETRES!$D$33,2,1)))))</f>
        <v/>
      </c>
      <c r="U1086" t="str">
        <f>IF($M1086="","",IF($M1086&gt;PARAMETRES!$G$34,5,IF($M1086&gt;PARAMETRES!$F$34,4,IF($M1086&gt;PARAMETRES!$E$34,3,IF($M1086&gt;PARAMETRES!$D$34,2,1)))))</f>
        <v/>
      </c>
      <c r="V1086" t="str">
        <f>IF($N1086="","",IF($N1086&gt;PARAMETRES!$G$35,5,IF($N1086&gt;PARAMETRES!$F$35,4,IF($N1086&gt;PARAMETRES!$E$35,3,IF($N1086&gt;PARAMETRES!$D$35,2,1)))))</f>
        <v/>
      </c>
      <c r="W1086" t="str">
        <f>IF($O1086="","",IF($O1086&gt;PARAMETRES!$G$36,5,IF($O1086&gt;PARAMETRES!$F$36,4,IF($O1086&gt;PARAMETRES!$E$36,3,IF($O1086&gt;PARAMETRES!$D$36,2,1)))))</f>
        <v/>
      </c>
      <c r="X1086" t="str">
        <f>IF($P1086="","",IF($P1086&gt;PARAMETRES!$G$37,5,IF($P1086&gt;PARAMETRES!$F$37,4,IF($P1086&gt;PARAMETRES!$E$37,3,IF($P1086&gt;PARAMETRES!$D$37,2,1)))))</f>
        <v/>
      </c>
      <c r="Y1086" t="str">
        <f t="shared" si="384"/>
        <v/>
      </c>
      <c r="Z1086" t="str">
        <f>IFERROR(VLOOKUP($B1086,TABLE_CYCLE,2,0),"")</f>
        <v/>
      </c>
      <c r="AA1086" t="str">
        <f t="shared" si="385"/>
        <v/>
      </c>
      <c r="AB1086" t="str">
        <f>IF($D1086="","",IF(COUNTIF($D$2:$D1086,$D1086)=1,$D1086,""))</f>
        <v/>
      </c>
      <c r="AC1086">
        <f t="shared" si="386"/>
        <v>0</v>
      </c>
      <c r="AD1086" t="str">
        <f t="shared" si="387"/>
        <v>|0</v>
      </c>
      <c r="AE1086" t="str">
        <f t="shared" si="388"/>
        <v/>
      </c>
      <c r="AF1086" t="str">
        <f t="shared" si="389"/>
        <v/>
      </c>
      <c r="AG1086" t="str">
        <f t="shared" si="390"/>
        <v/>
      </c>
      <c r="AH1086" t="str">
        <f t="shared" si="391"/>
        <v/>
      </c>
      <c r="AI1086" t="str">
        <f t="shared" si="392"/>
        <v/>
      </c>
      <c r="AJ1086" t="str">
        <f t="shared" si="393"/>
        <v/>
      </c>
      <c r="AK1086" t="str">
        <f t="shared" si="394"/>
        <v/>
      </c>
      <c r="AL1086" t="str">
        <f t="shared" si="395"/>
        <v/>
      </c>
      <c r="AM1086" t="str">
        <f t="shared" si="396"/>
        <v/>
      </c>
      <c r="AN1086" t="str">
        <f t="shared" si="397"/>
        <v/>
      </c>
      <c r="AO1086" t="str">
        <f t="shared" si="398"/>
        <v/>
      </c>
      <c r="AP1086">
        <f t="shared" si="399"/>
        <v>1</v>
      </c>
      <c r="AQ1086" t="str">
        <f>IF(SAISIE!$F1091="","",SAISIE!$Y1091)</f>
        <v/>
      </c>
      <c r="AR1086" t="str">
        <f>IF(OR(SAISIE!$U$4="",SAISIE!$W$4=""),"",IF(AND($A1086=SAISIE!$U$4,$B1086=SAISIE!$W$4,$C1086="S1"),COUNTIFS($A$2:$A1086,SAISIE!$U$4,$B$2:$B1086,SAISIE!$W$4,$C$2:$C1086,"S1"),""))</f>
        <v/>
      </c>
      <c r="AS1086" t="str">
        <f t="shared" si="400"/>
        <v/>
      </c>
      <c r="AT1086" t="str">
        <f t="shared" si="401"/>
        <v/>
      </c>
      <c r="AU1086" t="str">
        <f t="shared" si="402"/>
        <v/>
      </c>
      <c r="AV1086">
        <f>N(AV1085)+IF(AND($AB1086&lt;&gt;"",OR('PROFIL ELEVE'!$K$4="(Tous)",$AF1086='PROFIL ELEVE'!$K$4)),1,0)</f>
        <v>0</v>
      </c>
      <c r="AW1086">
        <f>N(AW1085)+IF(AND($AB1086&lt;&gt;"",OR('SUIVI LONGITUDINAL'!$Q$4="(Tous)",$AF1086='SUIVI LONGITUDINAL'!$Q$4)),1,0)</f>
        <v>0</v>
      </c>
      <c r="AX1086">
        <f t="shared" si="403"/>
        <v>0</v>
      </c>
      <c r="AY1086">
        <f t="shared" si="404"/>
        <v>0</v>
      </c>
      <c r="AZ1086">
        <f t="shared" si="405"/>
        <v>0</v>
      </c>
      <c r="BA1086" t="str">
        <f t="shared" si="406"/>
        <v/>
      </c>
      <c r="BB1086" t="str">
        <f t="shared" si="407"/>
        <v/>
      </c>
    </row>
    <row r="1087" spans="1:54" ht="14.25" customHeight="1" x14ac:dyDescent="0.3">
      <c r="A1087" t="str">
        <f>IF(SAISIE!$F1092="","",SAISIE!$B1092)</f>
        <v/>
      </c>
      <c r="B1087" t="str">
        <f>IF(SAISIE!$F1092="","",SAISIE!$C1092)</f>
        <v/>
      </c>
      <c r="C1087" t="str">
        <f>IF(SAISIE!$F1092="","",SAISIE!$D1092)</f>
        <v/>
      </c>
      <c r="D1087" t="str">
        <f>IF(SAISIE!$E1092="","",SAISIE!$E1092)</f>
        <v/>
      </c>
      <c r="E1087" t="str">
        <f>IF(SAISIE!$F1092="","",SAISIE!$F1092)</f>
        <v/>
      </c>
      <c r="F1087" t="str">
        <f>IF(SAISIE!$G1092="","",SAISIE!$G1092)</f>
        <v/>
      </c>
      <c r="G1087" t="str">
        <f>IF(SAISIE!$H1092="","",SAISIE!$H1092)</f>
        <v/>
      </c>
      <c r="H1087" t="str">
        <f>IF(SAISIE!$I1092="","",SAISIE!$I1092)</f>
        <v/>
      </c>
      <c r="I1087" t="str">
        <f>IF(SAISIE!$J1092="","",SAISIE!$J1092)</f>
        <v/>
      </c>
      <c r="J1087" t="str">
        <f>IF(SAISIE!$K1092="","",SAISIE!$K1092)</f>
        <v/>
      </c>
      <c r="K1087" t="str">
        <f>IF(SAISIE!$L1092="","",SAISIE!$L1092)</f>
        <v/>
      </c>
      <c r="L1087" t="str">
        <f>IF(SAISIE!$M1092="","",SAISIE!$M1092)</f>
        <v/>
      </c>
      <c r="M1087" t="str">
        <f>IF(SAISIE!$N1092="","",SAISIE!$N1092)</f>
        <v/>
      </c>
      <c r="N1087" t="str">
        <f>IF(SAISIE!$O1092="","",SAISIE!$O1092)</f>
        <v/>
      </c>
      <c r="O1087" t="str">
        <f>IF(SAISIE!$P1092="","",SAISIE!$P1092)</f>
        <v/>
      </c>
      <c r="P1087" t="str">
        <f>IF(SAISIE!$Q1092="","",SAISIE!$Q1092)</f>
        <v/>
      </c>
      <c r="Q1087" t="str">
        <f>IF($I1087="","",IF($I1087&gt;PARAMETRES!$G$29,5,IF($I1087&gt;PARAMETRES!$F$29,4,IF($I1087&gt;PARAMETRES!$E$29,3,IF($I1087&gt;PARAMETRES!$D$29,2,1)))))</f>
        <v/>
      </c>
      <c r="R1087" t="str">
        <f>IF($J1087="","",IF($J1087&gt;PARAMETRES!$G$30,5,IF($J1087&gt;PARAMETRES!$F$30,4,IF($J1087&gt;PARAMETRES!$E$30,3,IF($J1087&gt;PARAMETRES!$D$30,2,1)))))</f>
        <v/>
      </c>
      <c r="S1087" t="str">
        <f>IF($K1087="","",IF($Z1087=2,IF($K1087&gt;PARAMETRES!$G$31,5,IF($K1087&gt;PARAMETRES!$F$31,4,IF($K1087&gt;PARAMETRES!$E$31,3,IF($K1087&gt;PARAMETRES!$D$31,2,1)))),IF($K1087&gt;PARAMETRES!$G$32,5,IF($K1087&gt;PARAMETRES!$F$32,4,IF($K1087&gt;PARAMETRES!$E$32,3,IF($K1087&gt;PARAMETRES!$D$32,2,1))))))</f>
        <v/>
      </c>
      <c r="T1087" t="str">
        <f>IF($L1087="","",IF($L1087&gt;PARAMETRES!$G$33,5,IF($L1087&gt;PARAMETRES!$F$33,4,IF($L1087&gt;PARAMETRES!$E$33,3,IF($L1087&gt;PARAMETRES!$D$33,2,1)))))</f>
        <v/>
      </c>
      <c r="U1087" t="str">
        <f>IF($M1087="","",IF($M1087&gt;PARAMETRES!$G$34,5,IF($M1087&gt;PARAMETRES!$F$34,4,IF($M1087&gt;PARAMETRES!$E$34,3,IF($M1087&gt;PARAMETRES!$D$34,2,1)))))</f>
        <v/>
      </c>
      <c r="V1087" t="str">
        <f>IF($N1087="","",IF($N1087&gt;PARAMETRES!$G$35,5,IF($N1087&gt;PARAMETRES!$F$35,4,IF($N1087&gt;PARAMETRES!$E$35,3,IF($N1087&gt;PARAMETRES!$D$35,2,1)))))</f>
        <v/>
      </c>
      <c r="W1087" t="str">
        <f>IF($O1087="","",IF($O1087&gt;PARAMETRES!$G$36,5,IF($O1087&gt;PARAMETRES!$F$36,4,IF($O1087&gt;PARAMETRES!$E$36,3,IF($O1087&gt;PARAMETRES!$D$36,2,1)))))</f>
        <v/>
      </c>
      <c r="X1087" t="str">
        <f>IF($P1087="","",IF($P1087&gt;PARAMETRES!$G$37,5,IF($P1087&gt;PARAMETRES!$F$37,4,IF($P1087&gt;PARAMETRES!$E$37,3,IF($P1087&gt;PARAMETRES!$D$37,2,1)))))</f>
        <v/>
      </c>
      <c r="Y1087" t="str">
        <f t="shared" si="384"/>
        <v/>
      </c>
      <c r="Z1087" t="str">
        <f>IFERROR(VLOOKUP($B1087,TABLE_CYCLE,2,0),"")</f>
        <v/>
      </c>
      <c r="AA1087" t="str">
        <f t="shared" si="385"/>
        <v/>
      </c>
      <c r="AB1087" t="str">
        <f>IF($D1087="","",IF(COUNTIF($D$2:$D1087,$D1087)=1,$D1087,""))</f>
        <v/>
      </c>
      <c r="AC1087">
        <f t="shared" si="386"/>
        <v>0</v>
      </c>
      <c r="AD1087" t="str">
        <f t="shared" si="387"/>
        <v>|0</v>
      </c>
      <c r="AE1087" t="str">
        <f t="shared" si="388"/>
        <v/>
      </c>
      <c r="AF1087" t="str">
        <f t="shared" si="389"/>
        <v/>
      </c>
      <c r="AG1087" t="str">
        <f t="shared" si="390"/>
        <v/>
      </c>
      <c r="AH1087" t="str">
        <f t="shared" si="391"/>
        <v/>
      </c>
      <c r="AI1087" t="str">
        <f t="shared" si="392"/>
        <v/>
      </c>
      <c r="AJ1087" t="str">
        <f t="shared" si="393"/>
        <v/>
      </c>
      <c r="AK1087" t="str">
        <f t="shared" si="394"/>
        <v/>
      </c>
      <c r="AL1087" t="str">
        <f t="shared" si="395"/>
        <v/>
      </c>
      <c r="AM1087" t="str">
        <f t="shared" si="396"/>
        <v/>
      </c>
      <c r="AN1087" t="str">
        <f t="shared" si="397"/>
        <v/>
      </c>
      <c r="AO1087" t="str">
        <f t="shared" si="398"/>
        <v/>
      </c>
      <c r="AP1087">
        <f t="shared" si="399"/>
        <v>1</v>
      </c>
      <c r="AQ1087" t="str">
        <f>IF(SAISIE!$F1092="","",SAISIE!$Y1092)</f>
        <v/>
      </c>
      <c r="AR1087" t="str">
        <f>IF(OR(SAISIE!$U$4="",SAISIE!$W$4=""),"",IF(AND($A1087=SAISIE!$U$4,$B1087=SAISIE!$W$4,$C1087="S1"),COUNTIFS($A$2:$A1087,SAISIE!$U$4,$B$2:$B1087,SAISIE!$W$4,$C$2:$C1087,"S1"),""))</f>
        <v/>
      </c>
      <c r="AS1087" t="str">
        <f t="shared" si="400"/>
        <v/>
      </c>
      <c r="AT1087" t="str">
        <f t="shared" si="401"/>
        <v/>
      </c>
      <c r="AU1087" t="str">
        <f t="shared" si="402"/>
        <v/>
      </c>
      <c r="AV1087">
        <f>N(AV1086)+IF(AND($AB1087&lt;&gt;"",OR('PROFIL ELEVE'!$K$4="(Tous)",$AF1087='PROFIL ELEVE'!$K$4)),1,0)</f>
        <v>0</v>
      </c>
      <c r="AW1087">
        <f>N(AW1086)+IF(AND($AB1087&lt;&gt;"",OR('SUIVI LONGITUDINAL'!$Q$4="(Tous)",$AF1087='SUIVI LONGITUDINAL'!$Q$4)),1,0)</f>
        <v>0</v>
      </c>
      <c r="AX1087">
        <f t="shared" si="403"/>
        <v>0</v>
      </c>
      <c r="AY1087">
        <f t="shared" si="404"/>
        <v>0</v>
      </c>
      <c r="AZ1087">
        <f t="shared" si="405"/>
        <v>0</v>
      </c>
      <c r="BA1087" t="str">
        <f t="shared" si="406"/>
        <v/>
      </c>
      <c r="BB1087" t="str">
        <f t="shared" si="407"/>
        <v/>
      </c>
    </row>
    <row r="1088" spans="1:54" ht="14.25" customHeight="1" x14ac:dyDescent="0.3">
      <c r="A1088" t="str">
        <f>IF(SAISIE!$F1093="","",SAISIE!$B1093)</f>
        <v/>
      </c>
      <c r="B1088" t="str">
        <f>IF(SAISIE!$F1093="","",SAISIE!$C1093)</f>
        <v/>
      </c>
      <c r="C1088" t="str">
        <f>IF(SAISIE!$F1093="","",SAISIE!$D1093)</f>
        <v/>
      </c>
      <c r="D1088" t="str">
        <f>IF(SAISIE!$E1093="","",SAISIE!$E1093)</f>
        <v/>
      </c>
      <c r="E1088" t="str">
        <f>IF(SAISIE!$F1093="","",SAISIE!$F1093)</f>
        <v/>
      </c>
      <c r="F1088" t="str">
        <f>IF(SAISIE!$G1093="","",SAISIE!$G1093)</f>
        <v/>
      </c>
      <c r="G1088" t="str">
        <f>IF(SAISIE!$H1093="","",SAISIE!$H1093)</f>
        <v/>
      </c>
      <c r="H1088" t="str">
        <f>IF(SAISIE!$I1093="","",SAISIE!$I1093)</f>
        <v/>
      </c>
      <c r="I1088" t="str">
        <f>IF(SAISIE!$J1093="","",SAISIE!$J1093)</f>
        <v/>
      </c>
      <c r="J1088" t="str">
        <f>IF(SAISIE!$K1093="","",SAISIE!$K1093)</f>
        <v/>
      </c>
      <c r="K1088" t="str">
        <f>IF(SAISIE!$L1093="","",SAISIE!$L1093)</f>
        <v/>
      </c>
      <c r="L1088" t="str">
        <f>IF(SAISIE!$M1093="","",SAISIE!$M1093)</f>
        <v/>
      </c>
      <c r="M1088" t="str">
        <f>IF(SAISIE!$N1093="","",SAISIE!$N1093)</f>
        <v/>
      </c>
      <c r="N1088" t="str">
        <f>IF(SAISIE!$O1093="","",SAISIE!$O1093)</f>
        <v/>
      </c>
      <c r="O1088" t="str">
        <f>IF(SAISIE!$P1093="","",SAISIE!$P1093)</f>
        <v/>
      </c>
      <c r="P1088" t="str">
        <f>IF(SAISIE!$Q1093="","",SAISIE!$Q1093)</f>
        <v/>
      </c>
      <c r="Q1088" t="str">
        <f>IF($I1088="","",IF($I1088&gt;PARAMETRES!$G$29,5,IF($I1088&gt;PARAMETRES!$F$29,4,IF($I1088&gt;PARAMETRES!$E$29,3,IF($I1088&gt;PARAMETRES!$D$29,2,1)))))</f>
        <v/>
      </c>
      <c r="R1088" t="str">
        <f>IF($J1088="","",IF($J1088&gt;PARAMETRES!$G$30,5,IF($J1088&gt;PARAMETRES!$F$30,4,IF($J1088&gt;PARAMETRES!$E$30,3,IF($J1088&gt;PARAMETRES!$D$30,2,1)))))</f>
        <v/>
      </c>
      <c r="S1088" t="str">
        <f>IF($K1088="","",IF($Z1088=2,IF($K1088&gt;PARAMETRES!$G$31,5,IF($K1088&gt;PARAMETRES!$F$31,4,IF($K1088&gt;PARAMETRES!$E$31,3,IF($K1088&gt;PARAMETRES!$D$31,2,1)))),IF($K1088&gt;PARAMETRES!$G$32,5,IF($K1088&gt;PARAMETRES!$F$32,4,IF($K1088&gt;PARAMETRES!$E$32,3,IF($K1088&gt;PARAMETRES!$D$32,2,1))))))</f>
        <v/>
      </c>
      <c r="T1088" t="str">
        <f>IF($L1088="","",IF($L1088&gt;PARAMETRES!$G$33,5,IF($L1088&gt;PARAMETRES!$F$33,4,IF($L1088&gt;PARAMETRES!$E$33,3,IF($L1088&gt;PARAMETRES!$D$33,2,1)))))</f>
        <v/>
      </c>
      <c r="U1088" t="str">
        <f>IF($M1088="","",IF($M1088&gt;PARAMETRES!$G$34,5,IF($M1088&gt;PARAMETRES!$F$34,4,IF($M1088&gt;PARAMETRES!$E$34,3,IF($M1088&gt;PARAMETRES!$D$34,2,1)))))</f>
        <v/>
      </c>
      <c r="V1088" t="str">
        <f>IF($N1088="","",IF($N1088&gt;PARAMETRES!$G$35,5,IF($N1088&gt;PARAMETRES!$F$35,4,IF($N1088&gt;PARAMETRES!$E$35,3,IF($N1088&gt;PARAMETRES!$D$35,2,1)))))</f>
        <v/>
      </c>
      <c r="W1088" t="str">
        <f>IF($O1088="","",IF($O1088&gt;PARAMETRES!$G$36,5,IF($O1088&gt;PARAMETRES!$F$36,4,IF($O1088&gt;PARAMETRES!$E$36,3,IF($O1088&gt;PARAMETRES!$D$36,2,1)))))</f>
        <v/>
      </c>
      <c r="X1088" t="str">
        <f>IF($P1088="","",IF($P1088&gt;PARAMETRES!$G$37,5,IF($P1088&gt;PARAMETRES!$F$37,4,IF($P1088&gt;PARAMETRES!$E$37,3,IF($P1088&gt;PARAMETRES!$D$37,2,1)))))</f>
        <v/>
      </c>
      <c r="Y1088" t="str">
        <f t="shared" si="384"/>
        <v/>
      </c>
      <c r="Z1088" t="str">
        <f>IFERROR(VLOOKUP($B1088,TABLE_CYCLE,2,0),"")</f>
        <v/>
      </c>
      <c r="AA1088" t="str">
        <f t="shared" si="385"/>
        <v/>
      </c>
      <c r="AB1088" t="str">
        <f>IF($D1088="","",IF(COUNTIF($D$2:$D1088,$D1088)=1,$D1088,""))</f>
        <v/>
      </c>
      <c r="AC1088">
        <f t="shared" si="386"/>
        <v>0</v>
      </c>
      <c r="AD1088" t="str">
        <f t="shared" si="387"/>
        <v>|0</v>
      </c>
      <c r="AE1088" t="str">
        <f t="shared" si="388"/>
        <v/>
      </c>
      <c r="AF1088" t="str">
        <f t="shared" si="389"/>
        <v/>
      </c>
      <c r="AG1088" t="str">
        <f t="shared" si="390"/>
        <v/>
      </c>
      <c r="AH1088" t="str">
        <f t="shared" si="391"/>
        <v/>
      </c>
      <c r="AI1088" t="str">
        <f t="shared" si="392"/>
        <v/>
      </c>
      <c r="AJ1088" t="str">
        <f t="shared" si="393"/>
        <v/>
      </c>
      <c r="AK1088" t="str">
        <f t="shared" si="394"/>
        <v/>
      </c>
      <c r="AL1088" t="str">
        <f t="shared" si="395"/>
        <v/>
      </c>
      <c r="AM1088" t="str">
        <f t="shared" si="396"/>
        <v/>
      </c>
      <c r="AN1088" t="str">
        <f t="shared" si="397"/>
        <v/>
      </c>
      <c r="AO1088" t="str">
        <f t="shared" si="398"/>
        <v/>
      </c>
      <c r="AP1088">
        <f t="shared" si="399"/>
        <v>1</v>
      </c>
      <c r="AQ1088" t="str">
        <f>IF(SAISIE!$F1093="","",SAISIE!$Y1093)</f>
        <v/>
      </c>
      <c r="AR1088" t="str">
        <f>IF(OR(SAISIE!$U$4="",SAISIE!$W$4=""),"",IF(AND($A1088=SAISIE!$U$4,$B1088=SAISIE!$W$4,$C1088="S1"),COUNTIFS($A$2:$A1088,SAISIE!$U$4,$B$2:$B1088,SAISIE!$W$4,$C$2:$C1088,"S1"),""))</f>
        <v/>
      </c>
      <c r="AS1088" t="str">
        <f t="shared" si="400"/>
        <v/>
      </c>
      <c r="AT1088" t="str">
        <f t="shared" si="401"/>
        <v/>
      </c>
      <c r="AU1088" t="str">
        <f t="shared" si="402"/>
        <v/>
      </c>
      <c r="AV1088">
        <f>N(AV1087)+IF(AND($AB1088&lt;&gt;"",OR('PROFIL ELEVE'!$K$4="(Tous)",$AF1088='PROFIL ELEVE'!$K$4)),1,0)</f>
        <v>0</v>
      </c>
      <c r="AW1088">
        <f>N(AW1087)+IF(AND($AB1088&lt;&gt;"",OR('SUIVI LONGITUDINAL'!$Q$4="(Tous)",$AF1088='SUIVI LONGITUDINAL'!$Q$4)),1,0)</f>
        <v>0</v>
      </c>
      <c r="AX1088">
        <f t="shared" si="403"/>
        <v>0</v>
      </c>
      <c r="AY1088">
        <f t="shared" si="404"/>
        <v>0</v>
      </c>
      <c r="AZ1088">
        <f t="shared" si="405"/>
        <v>0</v>
      </c>
      <c r="BA1088" t="str">
        <f t="shared" si="406"/>
        <v/>
      </c>
      <c r="BB1088" t="str">
        <f t="shared" si="407"/>
        <v/>
      </c>
    </row>
    <row r="1089" spans="1:54" ht="14.25" customHeight="1" x14ac:dyDescent="0.3">
      <c r="A1089" t="str">
        <f>IF(SAISIE!$F1094="","",SAISIE!$B1094)</f>
        <v/>
      </c>
      <c r="B1089" t="str">
        <f>IF(SAISIE!$F1094="","",SAISIE!$C1094)</f>
        <v/>
      </c>
      <c r="C1089" t="str">
        <f>IF(SAISIE!$F1094="","",SAISIE!$D1094)</f>
        <v/>
      </c>
      <c r="D1089" t="str">
        <f>IF(SAISIE!$E1094="","",SAISIE!$E1094)</f>
        <v/>
      </c>
      <c r="E1089" t="str">
        <f>IF(SAISIE!$F1094="","",SAISIE!$F1094)</f>
        <v/>
      </c>
      <c r="F1089" t="str">
        <f>IF(SAISIE!$G1094="","",SAISIE!$G1094)</f>
        <v/>
      </c>
      <c r="G1089" t="str">
        <f>IF(SAISIE!$H1094="","",SAISIE!$H1094)</f>
        <v/>
      </c>
      <c r="H1089" t="str">
        <f>IF(SAISIE!$I1094="","",SAISIE!$I1094)</f>
        <v/>
      </c>
      <c r="I1089" t="str">
        <f>IF(SAISIE!$J1094="","",SAISIE!$J1094)</f>
        <v/>
      </c>
      <c r="J1089" t="str">
        <f>IF(SAISIE!$K1094="","",SAISIE!$K1094)</f>
        <v/>
      </c>
      <c r="K1089" t="str">
        <f>IF(SAISIE!$L1094="","",SAISIE!$L1094)</f>
        <v/>
      </c>
      <c r="L1089" t="str">
        <f>IF(SAISIE!$M1094="","",SAISIE!$M1094)</f>
        <v/>
      </c>
      <c r="M1089" t="str">
        <f>IF(SAISIE!$N1094="","",SAISIE!$N1094)</f>
        <v/>
      </c>
      <c r="N1089" t="str">
        <f>IF(SAISIE!$O1094="","",SAISIE!$O1094)</f>
        <v/>
      </c>
      <c r="O1089" t="str">
        <f>IF(SAISIE!$P1094="","",SAISIE!$P1094)</f>
        <v/>
      </c>
      <c r="P1089" t="str">
        <f>IF(SAISIE!$Q1094="","",SAISIE!$Q1094)</f>
        <v/>
      </c>
      <c r="Q1089" t="str">
        <f>IF($I1089="","",IF($I1089&gt;PARAMETRES!$G$29,5,IF($I1089&gt;PARAMETRES!$F$29,4,IF($I1089&gt;PARAMETRES!$E$29,3,IF($I1089&gt;PARAMETRES!$D$29,2,1)))))</f>
        <v/>
      </c>
      <c r="R1089" t="str">
        <f>IF($J1089="","",IF($J1089&gt;PARAMETRES!$G$30,5,IF($J1089&gt;PARAMETRES!$F$30,4,IF($J1089&gt;PARAMETRES!$E$30,3,IF($J1089&gt;PARAMETRES!$D$30,2,1)))))</f>
        <v/>
      </c>
      <c r="S1089" t="str">
        <f>IF($K1089="","",IF($Z1089=2,IF($K1089&gt;PARAMETRES!$G$31,5,IF($K1089&gt;PARAMETRES!$F$31,4,IF($K1089&gt;PARAMETRES!$E$31,3,IF($K1089&gt;PARAMETRES!$D$31,2,1)))),IF($K1089&gt;PARAMETRES!$G$32,5,IF($K1089&gt;PARAMETRES!$F$32,4,IF($K1089&gt;PARAMETRES!$E$32,3,IF($K1089&gt;PARAMETRES!$D$32,2,1))))))</f>
        <v/>
      </c>
      <c r="T1089" t="str">
        <f>IF($L1089="","",IF($L1089&gt;PARAMETRES!$G$33,5,IF($L1089&gt;PARAMETRES!$F$33,4,IF($L1089&gt;PARAMETRES!$E$33,3,IF($L1089&gt;PARAMETRES!$D$33,2,1)))))</f>
        <v/>
      </c>
      <c r="U1089" t="str">
        <f>IF($M1089="","",IF($M1089&gt;PARAMETRES!$G$34,5,IF($M1089&gt;PARAMETRES!$F$34,4,IF($M1089&gt;PARAMETRES!$E$34,3,IF($M1089&gt;PARAMETRES!$D$34,2,1)))))</f>
        <v/>
      </c>
      <c r="V1089" t="str">
        <f>IF($N1089="","",IF($N1089&gt;PARAMETRES!$G$35,5,IF($N1089&gt;PARAMETRES!$F$35,4,IF($N1089&gt;PARAMETRES!$E$35,3,IF($N1089&gt;PARAMETRES!$D$35,2,1)))))</f>
        <v/>
      </c>
      <c r="W1089" t="str">
        <f>IF($O1089="","",IF($O1089&gt;PARAMETRES!$G$36,5,IF($O1089&gt;PARAMETRES!$F$36,4,IF($O1089&gt;PARAMETRES!$E$36,3,IF($O1089&gt;PARAMETRES!$D$36,2,1)))))</f>
        <v/>
      </c>
      <c r="X1089" t="str">
        <f>IF($P1089="","",IF($P1089&gt;PARAMETRES!$G$37,5,IF($P1089&gt;PARAMETRES!$F$37,4,IF($P1089&gt;PARAMETRES!$E$37,3,IF($P1089&gt;PARAMETRES!$D$37,2,1)))))</f>
        <v/>
      </c>
      <c r="Y1089" t="str">
        <f t="shared" si="384"/>
        <v/>
      </c>
      <c r="Z1089" t="str">
        <f>IFERROR(VLOOKUP($B1089,TABLE_CYCLE,2,0),"")</f>
        <v/>
      </c>
      <c r="AA1089" t="str">
        <f t="shared" si="385"/>
        <v/>
      </c>
      <c r="AB1089" t="str">
        <f>IF($D1089="","",IF(COUNTIF($D$2:$D1089,$D1089)=1,$D1089,""))</f>
        <v/>
      </c>
      <c r="AC1089">
        <f t="shared" si="386"/>
        <v>0</v>
      </c>
      <c r="AD1089" t="str">
        <f t="shared" si="387"/>
        <v>|0</v>
      </c>
      <c r="AE1089" t="str">
        <f t="shared" si="388"/>
        <v/>
      </c>
      <c r="AF1089" t="str">
        <f t="shared" si="389"/>
        <v/>
      </c>
      <c r="AG1089" t="str">
        <f t="shared" si="390"/>
        <v/>
      </c>
      <c r="AH1089" t="str">
        <f t="shared" si="391"/>
        <v/>
      </c>
      <c r="AI1089" t="str">
        <f t="shared" si="392"/>
        <v/>
      </c>
      <c r="AJ1089" t="str">
        <f t="shared" si="393"/>
        <v/>
      </c>
      <c r="AK1089" t="str">
        <f t="shared" si="394"/>
        <v/>
      </c>
      <c r="AL1089" t="str">
        <f t="shared" si="395"/>
        <v/>
      </c>
      <c r="AM1089" t="str">
        <f t="shared" si="396"/>
        <v/>
      </c>
      <c r="AN1089" t="str">
        <f t="shared" si="397"/>
        <v/>
      </c>
      <c r="AO1089" t="str">
        <f t="shared" si="398"/>
        <v/>
      </c>
      <c r="AP1089">
        <f t="shared" si="399"/>
        <v>1</v>
      </c>
      <c r="AQ1089" t="str">
        <f>IF(SAISIE!$F1094="","",SAISIE!$Y1094)</f>
        <v/>
      </c>
      <c r="AR1089" t="str">
        <f>IF(OR(SAISIE!$U$4="",SAISIE!$W$4=""),"",IF(AND($A1089=SAISIE!$U$4,$B1089=SAISIE!$W$4,$C1089="S1"),COUNTIFS($A$2:$A1089,SAISIE!$U$4,$B$2:$B1089,SAISIE!$W$4,$C$2:$C1089,"S1"),""))</f>
        <v/>
      </c>
      <c r="AS1089" t="str">
        <f t="shared" si="400"/>
        <v/>
      </c>
      <c r="AT1089" t="str">
        <f t="shared" si="401"/>
        <v/>
      </c>
      <c r="AU1089" t="str">
        <f t="shared" si="402"/>
        <v/>
      </c>
      <c r="AV1089">
        <f>N(AV1088)+IF(AND($AB1089&lt;&gt;"",OR('PROFIL ELEVE'!$K$4="(Tous)",$AF1089='PROFIL ELEVE'!$K$4)),1,0)</f>
        <v>0</v>
      </c>
      <c r="AW1089">
        <f>N(AW1088)+IF(AND($AB1089&lt;&gt;"",OR('SUIVI LONGITUDINAL'!$Q$4="(Tous)",$AF1089='SUIVI LONGITUDINAL'!$Q$4)),1,0)</f>
        <v>0</v>
      </c>
      <c r="AX1089">
        <f t="shared" si="403"/>
        <v>0</v>
      </c>
      <c r="AY1089">
        <f t="shared" si="404"/>
        <v>0</v>
      </c>
      <c r="AZ1089">
        <f t="shared" si="405"/>
        <v>0</v>
      </c>
      <c r="BA1089" t="str">
        <f t="shared" si="406"/>
        <v/>
      </c>
      <c r="BB1089" t="str">
        <f t="shared" si="407"/>
        <v/>
      </c>
    </row>
    <row r="1090" spans="1:54" ht="14.25" customHeight="1" x14ac:dyDescent="0.3">
      <c r="A1090" t="str">
        <f>IF(SAISIE!$F1095="","",SAISIE!$B1095)</f>
        <v/>
      </c>
      <c r="B1090" t="str">
        <f>IF(SAISIE!$F1095="","",SAISIE!$C1095)</f>
        <v/>
      </c>
      <c r="C1090" t="str">
        <f>IF(SAISIE!$F1095="","",SAISIE!$D1095)</f>
        <v/>
      </c>
      <c r="D1090" t="str">
        <f>IF(SAISIE!$E1095="","",SAISIE!$E1095)</f>
        <v/>
      </c>
      <c r="E1090" t="str">
        <f>IF(SAISIE!$F1095="","",SAISIE!$F1095)</f>
        <v/>
      </c>
      <c r="F1090" t="str">
        <f>IF(SAISIE!$G1095="","",SAISIE!$G1095)</f>
        <v/>
      </c>
      <c r="G1090" t="str">
        <f>IF(SAISIE!$H1095="","",SAISIE!$H1095)</f>
        <v/>
      </c>
      <c r="H1090" t="str">
        <f>IF(SAISIE!$I1095="","",SAISIE!$I1095)</f>
        <v/>
      </c>
      <c r="I1090" t="str">
        <f>IF(SAISIE!$J1095="","",SAISIE!$J1095)</f>
        <v/>
      </c>
      <c r="J1090" t="str">
        <f>IF(SAISIE!$K1095="","",SAISIE!$K1095)</f>
        <v/>
      </c>
      <c r="K1090" t="str">
        <f>IF(SAISIE!$L1095="","",SAISIE!$L1095)</f>
        <v/>
      </c>
      <c r="L1090" t="str">
        <f>IF(SAISIE!$M1095="","",SAISIE!$M1095)</f>
        <v/>
      </c>
      <c r="M1090" t="str">
        <f>IF(SAISIE!$N1095="","",SAISIE!$N1095)</f>
        <v/>
      </c>
      <c r="N1090" t="str">
        <f>IF(SAISIE!$O1095="","",SAISIE!$O1095)</f>
        <v/>
      </c>
      <c r="O1090" t="str">
        <f>IF(SAISIE!$P1095="","",SAISIE!$P1095)</f>
        <v/>
      </c>
      <c r="P1090" t="str">
        <f>IF(SAISIE!$Q1095="","",SAISIE!$Q1095)</f>
        <v/>
      </c>
      <c r="Q1090" t="str">
        <f>IF($I1090="","",IF($I1090&gt;PARAMETRES!$G$29,5,IF($I1090&gt;PARAMETRES!$F$29,4,IF($I1090&gt;PARAMETRES!$E$29,3,IF($I1090&gt;PARAMETRES!$D$29,2,1)))))</f>
        <v/>
      </c>
      <c r="R1090" t="str">
        <f>IF($J1090="","",IF($J1090&gt;PARAMETRES!$G$30,5,IF($J1090&gt;PARAMETRES!$F$30,4,IF($J1090&gt;PARAMETRES!$E$30,3,IF($J1090&gt;PARAMETRES!$D$30,2,1)))))</f>
        <v/>
      </c>
      <c r="S1090" t="str">
        <f>IF($K1090="","",IF($Z1090=2,IF($K1090&gt;PARAMETRES!$G$31,5,IF($K1090&gt;PARAMETRES!$F$31,4,IF($K1090&gt;PARAMETRES!$E$31,3,IF($K1090&gt;PARAMETRES!$D$31,2,1)))),IF($K1090&gt;PARAMETRES!$G$32,5,IF($K1090&gt;PARAMETRES!$F$32,4,IF($K1090&gt;PARAMETRES!$E$32,3,IF($K1090&gt;PARAMETRES!$D$32,2,1))))))</f>
        <v/>
      </c>
      <c r="T1090" t="str">
        <f>IF($L1090="","",IF($L1090&gt;PARAMETRES!$G$33,5,IF($L1090&gt;PARAMETRES!$F$33,4,IF($L1090&gt;PARAMETRES!$E$33,3,IF($L1090&gt;PARAMETRES!$D$33,2,1)))))</f>
        <v/>
      </c>
      <c r="U1090" t="str">
        <f>IF($M1090="","",IF($M1090&gt;PARAMETRES!$G$34,5,IF($M1090&gt;PARAMETRES!$F$34,4,IF($M1090&gt;PARAMETRES!$E$34,3,IF($M1090&gt;PARAMETRES!$D$34,2,1)))))</f>
        <v/>
      </c>
      <c r="V1090" t="str">
        <f>IF($N1090="","",IF($N1090&gt;PARAMETRES!$G$35,5,IF($N1090&gt;PARAMETRES!$F$35,4,IF($N1090&gt;PARAMETRES!$E$35,3,IF($N1090&gt;PARAMETRES!$D$35,2,1)))))</f>
        <v/>
      </c>
      <c r="W1090" t="str">
        <f>IF($O1090="","",IF($O1090&gt;PARAMETRES!$G$36,5,IF($O1090&gt;PARAMETRES!$F$36,4,IF($O1090&gt;PARAMETRES!$E$36,3,IF($O1090&gt;PARAMETRES!$D$36,2,1)))))</f>
        <v/>
      </c>
      <c r="X1090" t="str">
        <f>IF($P1090="","",IF($P1090&gt;PARAMETRES!$G$37,5,IF($P1090&gt;PARAMETRES!$F$37,4,IF($P1090&gt;PARAMETRES!$E$37,3,IF($P1090&gt;PARAMETRES!$D$37,2,1)))))</f>
        <v/>
      </c>
      <c r="Y1090" t="str">
        <f t="shared" ref="Y1090:Y1153" si="408">IF(COUNT($Q1090:$X1090)=0,"",AVERAGE($Q1090:$X1090))</f>
        <v/>
      </c>
      <c r="Z1090" t="str">
        <f>IFERROR(VLOOKUP($B1090,TABLE_CYCLE,2,0),"")</f>
        <v/>
      </c>
      <c r="AA1090" t="str">
        <f t="shared" ref="AA1090:AA1153" si="409">IF($D1090="","",$D1090&amp;"|"&amp;$A1090&amp;"|"&amp;$C1090)</f>
        <v/>
      </c>
      <c r="AB1090" t="str">
        <f>IF($D1090="","",IF(COUNTIF($D$2:$D1090,$D1090)=1,$D1090,""))</f>
        <v/>
      </c>
      <c r="AC1090">
        <f t="shared" ref="AC1090:AC1153" si="410">IFERROR(MATCH($A1090,LISTE_ANNEES,0),0)</f>
        <v>0</v>
      </c>
      <c r="AD1090" t="str">
        <f t="shared" ref="AD1090:AD1153" si="411">$D1090&amp;"|"&amp;$AC1090</f>
        <v>|0</v>
      </c>
      <c r="AE1090" t="str">
        <f t="shared" ref="AE1090:AE1153" si="412">IF($D1090="","",_xlfn.MAXIFS($AC$2:$AC$1201,$D$2:$D$1201,$D1090))</f>
        <v/>
      </c>
      <c r="AF1090" t="str">
        <f t="shared" ref="AF1090:AF1153" si="413">IF($AB1090="","",IFERROR(INDEX($B$2:$B$1201,MATCH($D1090&amp;"|"&amp;$AE1090,$AD$2:$AD$1201,0)),""))</f>
        <v/>
      </c>
      <c r="AG1090" t="str">
        <f t="shared" ref="AG1090:AG1153" si="414">IF($C1090&lt;&gt;"S1","",IFERROR(MATCH($D1090&amp;"|"&amp;$A1090&amp;"|S2",$AA$2:$AA$1201,0),""))</f>
        <v/>
      </c>
      <c r="AH1090" t="str">
        <f t="shared" ref="AH1090:AH1153" si="415">IF(OR($AG1090="",$Q1090=""),"",IF(INDEX($Q$2:$Q$1201,$AG1090)="","",IF(INDEX($Q$2:$Q$1201,$AG1090)&gt;$Q1090,1,IF(INDEX($Q$2:$Q$1201,$AG1090)&lt;$Q1090,-1,0))))</f>
        <v/>
      </c>
      <c r="AI1090" t="str">
        <f t="shared" ref="AI1090:AI1153" si="416">IF(OR($AG1090="",$R1090=""),"",IF(INDEX($R$2:$R$1201,$AG1090)="","",IF(INDEX($R$2:$R$1201,$AG1090)&gt;$R1090,1,IF(INDEX($R$2:$R$1201,$AG1090)&lt;$R1090,-1,0))))</f>
        <v/>
      </c>
      <c r="AJ1090" t="str">
        <f t="shared" ref="AJ1090:AJ1153" si="417">IF(OR($AG1090="",$S1090=""),"",IF(INDEX($S$2:$S$1201,$AG1090)="","",IF(INDEX($S$2:$S$1201,$AG1090)&gt;$S1090,1,IF(INDEX($S$2:$S$1201,$AG1090)&lt;$S1090,-1,0))))</f>
        <v/>
      </c>
      <c r="AK1090" t="str">
        <f t="shared" ref="AK1090:AK1153" si="418">IF(OR($AG1090="",$T1090=""),"",IF(INDEX($T$2:$T$1201,$AG1090)="","",IF(INDEX($T$2:$T$1201,$AG1090)&gt;$T1090,1,IF(INDEX($T$2:$T$1201,$AG1090)&lt;$T1090,-1,0))))</f>
        <v/>
      </c>
      <c r="AL1090" t="str">
        <f t="shared" ref="AL1090:AL1153" si="419">IF(OR($AG1090="",$U1090=""),"",IF(INDEX($U$2:$U$1201,$AG1090)="","",IF(INDEX($U$2:$U$1201,$AG1090)&gt;$U1090,1,IF(INDEX($U$2:$U$1201,$AG1090)&lt;$U1090,-1,0))))</f>
        <v/>
      </c>
      <c r="AM1090" t="str">
        <f t="shared" ref="AM1090:AM1153" si="420">IF(OR($AG1090="",$V1090=""),"",IF(INDEX($V$2:$V$1201,$AG1090)="","",IF(INDEX($V$2:$V$1201,$AG1090)&gt;$V1090,1,IF(INDEX($V$2:$V$1201,$AG1090)&lt;$V1090,-1,0))))</f>
        <v/>
      </c>
      <c r="AN1090" t="str">
        <f t="shared" ref="AN1090:AN1153" si="421">IF(OR($AG1090="",$W1090=""),"",IF(INDEX($W$2:$W$1201,$AG1090)="","",IF(INDEX($W$2:$W$1201,$AG1090)&gt;$W1090,1,IF(INDEX($W$2:$W$1201,$AG1090)&lt;$W1090,-1,0))))</f>
        <v/>
      </c>
      <c r="AO1090" t="str">
        <f t="shared" ref="AO1090:AO1153" si="422">IF(OR($AG1090="",$X1090=""),"",IF(INDEX($X$2:$X$1201,$AG1090)="","",IF(INDEX($X$2:$X$1201,$AG1090)&gt;$X1090,1,IF(INDEX($X$2:$X$1201,$AG1090)&lt;$X1090,-1,0))))</f>
        <v/>
      </c>
      <c r="AP1090">
        <f t="shared" ref="AP1090:AP1153" si="423">IF($D1090="",1,COUNTIFS($D$2:$D$1201,$D1090,$A$2:$A$1201,$A1090))</f>
        <v>1</v>
      </c>
      <c r="AQ1090" t="str">
        <f>IF(SAISIE!$F1095="","",SAISIE!$Y1095)</f>
        <v/>
      </c>
      <c r="AR1090" t="str">
        <f>IF(OR(SAISIE!$U$4="",SAISIE!$W$4=""),"",IF(AND($A1090=SAISIE!$U$4,$B1090=SAISIE!$W$4,$C1090="S1"),COUNTIFS($A$2:$A1090,SAISIE!$U$4,$B$2:$B1090,SAISIE!$W$4,$C$2:$C1090,"S1"),""))</f>
        <v/>
      </c>
      <c r="AS1090" t="str">
        <f t="shared" ref="AS1090:AS1153" si="424">IF($D1090="","",$A1090&amp;"|"&amp;$C1090&amp;"|"&amp;$D1090)</f>
        <v/>
      </c>
      <c r="AT1090" t="str">
        <f t="shared" ref="AT1090:AT1153" si="425">IF($D1090="","",$A1090&amp;"|"&amp;$D1090&amp;"|"&amp;IF($AQ1090="Parti","P","A"))</f>
        <v/>
      </c>
      <c r="AU1090" t="str">
        <f t="shared" ref="AU1090:AU1153" si="426">IF($A1090="","",$A1090&amp;"|"&amp;$B1090&amp;"|"&amp;$C1090)</f>
        <v/>
      </c>
      <c r="AV1090">
        <f>N(AV1089)+IF(AND($AB1090&lt;&gt;"",OR('PROFIL ELEVE'!$K$4="(Tous)",$AF1090='PROFIL ELEVE'!$K$4)),1,0)</f>
        <v>0</v>
      </c>
      <c r="AW1090">
        <f>N(AW1089)+IF(AND($AB1090&lt;&gt;"",OR('SUIVI LONGITUDINAL'!$Q$4="(Tous)",$AF1090='SUIVI LONGITUDINAL'!$Q$4)),1,0)</f>
        <v>0</v>
      </c>
      <c r="AX1090">
        <f t="shared" ref="AX1090:AX1153" si="427">COUNTIF($AH1090:$AO1090,1)</f>
        <v>0</v>
      </c>
      <c r="AY1090">
        <f t="shared" ref="AY1090:AY1153" si="428">COUNTIF($AH1090:$AO1090,0)</f>
        <v>0</v>
      </c>
      <c r="AZ1090">
        <f t="shared" ref="AZ1090:AZ1153" si="429">COUNTIF($AH1090:$AO1090,-1)</f>
        <v>0</v>
      </c>
      <c r="BA1090" t="str">
        <f t="shared" ref="BA1090:BA1153" si="430">IF($E1090="","",COUNT($Q1090:$X1090))</f>
        <v/>
      </c>
      <c r="BB1090" t="str">
        <f t="shared" ref="BB1090:BB1153" si="431">IF($E1090="","",IF(COUNT($Q1090:$X1090)&gt;=IF($Z1090=2,5,8),1,0))</f>
        <v/>
      </c>
    </row>
    <row r="1091" spans="1:54" ht="14.25" customHeight="1" x14ac:dyDescent="0.3">
      <c r="A1091" t="str">
        <f>IF(SAISIE!$F1096="","",SAISIE!$B1096)</f>
        <v/>
      </c>
      <c r="B1091" t="str">
        <f>IF(SAISIE!$F1096="","",SAISIE!$C1096)</f>
        <v/>
      </c>
      <c r="C1091" t="str">
        <f>IF(SAISIE!$F1096="","",SAISIE!$D1096)</f>
        <v/>
      </c>
      <c r="D1091" t="str">
        <f>IF(SAISIE!$E1096="","",SAISIE!$E1096)</f>
        <v/>
      </c>
      <c r="E1091" t="str">
        <f>IF(SAISIE!$F1096="","",SAISIE!$F1096)</f>
        <v/>
      </c>
      <c r="F1091" t="str">
        <f>IF(SAISIE!$G1096="","",SAISIE!$G1096)</f>
        <v/>
      </c>
      <c r="G1091" t="str">
        <f>IF(SAISIE!$H1096="","",SAISIE!$H1096)</f>
        <v/>
      </c>
      <c r="H1091" t="str">
        <f>IF(SAISIE!$I1096="","",SAISIE!$I1096)</f>
        <v/>
      </c>
      <c r="I1091" t="str">
        <f>IF(SAISIE!$J1096="","",SAISIE!$J1096)</f>
        <v/>
      </c>
      <c r="J1091" t="str">
        <f>IF(SAISIE!$K1096="","",SAISIE!$K1096)</f>
        <v/>
      </c>
      <c r="K1091" t="str">
        <f>IF(SAISIE!$L1096="","",SAISIE!$L1096)</f>
        <v/>
      </c>
      <c r="L1091" t="str">
        <f>IF(SAISIE!$M1096="","",SAISIE!$M1096)</f>
        <v/>
      </c>
      <c r="M1091" t="str">
        <f>IF(SAISIE!$N1096="","",SAISIE!$N1096)</f>
        <v/>
      </c>
      <c r="N1091" t="str">
        <f>IF(SAISIE!$O1096="","",SAISIE!$O1096)</f>
        <v/>
      </c>
      <c r="O1091" t="str">
        <f>IF(SAISIE!$P1096="","",SAISIE!$P1096)</f>
        <v/>
      </c>
      <c r="P1091" t="str">
        <f>IF(SAISIE!$Q1096="","",SAISIE!$Q1096)</f>
        <v/>
      </c>
      <c r="Q1091" t="str">
        <f>IF($I1091="","",IF($I1091&gt;PARAMETRES!$G$29,5,IF($I1091&gt;PARAMETRES!$F$29,4,IF($I1091&gt;PARAMETRES!$E$29,3,IF($I1091&gt;PARAMETRES!$D$29,2,1)))))</f>
        <v/>
      </c>
      <c r="R1091" t="str">
        <f>IF($J1091="","",IF($J1091&gt;PARAMETRES!$G$30,5,IF($J1091&gt;PARAMETRES!$F$30,4,IF($J1091&gt;PARAMETRES!$E$30,3,IF($J1091&gt;PARAMETRES!$D$30,2,1)))))</f>
        <v/>
      </c>
      <c r="S1091" t="str">
        <f>IF($K1091="","",IF($Z1091=2,IF($K1091&gt;PARAMETRES!$G$31,5,IF($K1091&gt;PARAMETRES!$F$31,4,IF($K1091&gt;PARAMETRES!$E$31,3,IF($K1091&gt;PARAMETRES!$D$31,2,1)))),IF($K1091&gt;PARAMETRES!$G$32,5,IF($K1091&gt;PARAMETRES!$F$32,4,IF($K1091&gt;PARAMETRES!$E$32,3,IF($K1091&gt;PARAMETRES!$D$32,2,1))))))</f>
        <v/>
      </c>
      <c r="T1091" t="str">
        <f>IF($L1091="","",IF($L1091&gt;PARAMETRES!$G$33,5,IF($L1091&gt;PARAMETRES!$F$33,4,IF($L1091&gt;PARAMETRES!$E$33,3,IF($L1091&gt;PARAMETRES!$D$33,2,1)))))</f>
        <v/>
      </c>
      <c r="U1091" t="str">
        <f>IF($M1091="","",IF($M1091&gt;PARAMETRES!$G$34,5,IF($M1091&gt;PARAMETRES!$F$34,4,IF($M1091&gt;PARAMETRES!$E$34,3,IF($M1091&gt;PARAMETRES!$D$34,2,1)))))</f>
        <v/>
      </c>
      <c r="V1091" t="str">
        <f>IF($N1091="","",IF($N1091&gt;PARAMETRES!$G$35,5,IF($N1091&gt;PARAMETRES!$F$35,4,IF($N1091&gt;PARAMETRES!$E$35,3,IF($N1091&gt;PARAMETRES!$D$35,2,1)))))</f>
        <v/>
      </c>
      <c r="W1091" t="str">
        <f>IF($O1091="","",IF($O1091&gt;PARAMETRES!$G$36,5,IF($O1091&gt;PARAMETRES!$F$36,4,IF($O1091&gt;PARAMETRES!$E$36,3,IF($O1091&gt;PARAMETRES!$D$36,2,1)))))</f>
        <v/>
      </c>
      <c r="X1091" t="str">
        <f>IF($P1091="","",IF($P1091&gt;PARAMETRES!$G$37,5,IF($P1091&gt;PARAMETRES!$F$37,4,IF($P1091&gt;PARAMETRES!$E$37,3,IF($P1091&gt;PARAMETRES!$D$37,2,1)))))</f>
        <v/>
      </c>
      <c r="Y1091" t="str">
        <f t="shared" si="408"/>
        <v/>
      </c>
      <c r="Z1091" t="str">
        <f>IFERROR(VLOOKUP($B1091,TABLE_CYCLE,2,0),"")</f>
        <v/>
      </c>
      <c r="AA1091" t="str">
        <f t="shared" si="409"/>
        <v/>
      </c>
      <c r="AB1091" t="str">
        <f>IF($D1091="","",IF(COUNTIF($D$2:$D1091,$D1091)=1,$D1091,""))</f>
        <v/>
      </c>
      <c r="AC1091">
        <f t="shared" si="410"/>
        <v>0</v>
      </c>
      <c r="AD1091" t="str">
        <f t="shared" si="411"/>
        <v>|0</v>
      </c>
      <c r="AE1091" t="str">
        <f t="shared" si="412"/>
        <v/>
      </c>
      <c r="AF1091" t="str">
        <f t="shared" si="413"/>
        <v/>
      </c>
      <c r="AG1091" t="str">
        <f t="shared" si="414"/>
        <v/>
      </c>
      <c r="AH1091" t="str">
        <f t="shared" si="415"/>
        <v/>
      </c>
      <c r="AI1091" t="str">
        <f t="shared" si="416"/>
        <v/>
      </c>
      <c r="AJ1091" t="str">
        <f t="shared" si="417"/>
        <v/>
      </c>
      <c r="AK1091" t="str">
        <f t="shared" si="418"/>
        <v/>
      </c>
      <c r="AL1091" t="str">
        <f t="shared" si="419"/>
        <v/>
      </c>
      <c r="AM1091" t="str">
        <f t="shared" si="420"/>
        <v/>
      </c>
      <c r="AN1091" t="str">
        <f t="shared" si="421"/>
        <v/>
      </c>
      <c r="AO1091" t="str">
        <f t="shared" si="422"/>
        <v/>
      </c>
      <c r="AP1091">
        <f t="shared" si="423"/>
        <v>1</v>
      </c>
      <c r="AQ1091" t="str">
        <f>IF(SAISIE!$F1096="","",SAISIE!$Y1096)</f>
        <v/>
      </c>
      <c r="AR1091" t="str">
        <f>IF(OR(SAISIE!$U$4="",SAISIE!$W$4=""),"",IF(AND($A1091=SAISIE!$U$4,$B1091=SAISIE!$W$4,$C1091="S1"),COUNTIFS($A$2:$A1091,SAISIE!$U$4,$B$2:$B1091,SAISIE!$W$4,$C$2:$C1091,"S1"),""))</f>
        <v/>
      </c>
      <c r="AS1091" t="str">
        <f t="shared" si="424"/>
        <v/>
      </c>
      <c r="AT1091" t="str">
        <f t="shared" si="425"/>
        <v/>
      </c>
      <c r="AU1091" t="str">
        <f t="shared" si="426"/>
        <v/>
      </c>
      <c r="AV1091">
        <f>N(AV1090)+IF(AND($AB1091&lt;&gt;"",OR('PROFIL ELEVE'!$K$4="(Tous)",$AF1091='PROFIL ELEVE'!$K$4)),1,0)</f>
        <v>0</v>
      </c>
      <c r="AW1091">
        <f>N(AW1090)+IF(AND($AB1091&lt;&gt;"",OR('SUIVI LONGITUDINAL'!$Q$4="(Tous)",$AF1091='SUIVI LONGITUDINAL'!$Q$4)),1,0)</f>
        <v>0</v>
      </c>
      <c r="AX1091">
        <f t="shared" si="427"/>
        <v>0</v>
      </c>
      <c r="AY1091">
        <f t="shared" si="428"/>
        <v>0</v>
      </c>
      <c r="AZ1091">
        <f t="shared" si="429"/>
        <v>0</v>
      </c>
      <c r="BA1091" t="str">
        <f t="shared" si="430"/>
        <v/>
      </c>
      <c r="BB1091" t="str">
        <f t="shared" si="431"/>
        <v/>
      </c>
    </row>
    <row r="1092" spans="1:54" ht="14.25" customHeight="1" x14ac:dyDescent="0.3">
      <c r="A1092" t="str">
        <f>IF(SAISIE!$F1097="","",SAISIE!$B1097)</f>
        <v/>
      </c>
      <c r="B1092" t="str">
        <f>IF(SAISIE!$F1097="","",SAISIE!$C1097)</f>
        <v/>
      </c>
      <c r="C1092" t="str">
        <f>IF(SAISIE!$F1097="","",SAISIE!$D1097)</f>
        <v/>
      </c>
      <c r="D1092" t="str">
        <f>IF(SAISIE!$E1097="","",SAISIE!$E1097)</f>
        <v/>
      </c>
      <c r="E1092" t="str">
        <f>IF(SAISIE!$F1097="","",SAISIE!$F1097)</f>
        <v/>
      </c>
      <c r="F1092" t="str">
        <f>IF(SAISIE!$G1097="","",SAISIE!$G1097)</f>
        <v/>
      </c>
      <c r="G1092" t="str">
        <f>IF(SAISIE!$H1097="","",SAISIE!$H1097)</f>
        <v/>
      </c>
      <c r="H1092" t="str">
        <f>IF(SAISIE!$I1097="","",SAISIE!$I1097)</f>
        <v/>
      </c>
      <c r="I1092" t="str">
        <f>IF(SAISIE!$J1097="","",SAISIE!$J1097)</f>
        <v/>
      </c>
      <c r="J1092" t="str">
        <f>IF(SAISIE!$K1097="","",SAISIE!$K1097)</f>
        <v/>
      </c>
      <c r="K1092" t="str">
        <f>IF(SAISIE!$L1097="","",SAISIE!$L1097)</f>
        <v/>
      </c>
      <c r="L1092" t="str">
        <f>IF(SAISIE!$M1097="","",SAISIE!$M1097)</f>
        <v/>
      </c>
      <c r="M1092" t="str">
        <f>IF(SAISIE!$N1097="","",SAISIE!$N1097)</f>
        <v/>
      </c>
      <c r="N1092" t="str">
        <f>IF(SAISIE!$O1097="","",SAISIE!$O1097)</f>
        <v/>
      </c>
      <c r="O1092" t="str">
        <f>IF(SAISIE!$P1097="","",SAISIE!$P1097)</f>
        <v/>
      </c>
      <c r="P1092" t="str">
        <f>IF(SAISIE!$Q1097="","",SAISIE!$Q1097)</f>
        <v/>
      </c>
      <c r="Q1092" t="str">
        <f>IF($I1092="","",IF($I1092&gt;PARAMETRES!$G$29,5,IF($I1092&gt;PARAMETRES!$F$29,4,IF($I1092&gt;PARAMETRES!$E$29,3,IF($I1092&gt;PARAMETRES!$D$29,2,1)))))</f>
        <v/>
      </c>
      <c r="R1092" t="str">
        <f>IF($J1092="","",IF($J1092&gt;PARAMETRES!$G$30,5,IF($J1092&gt;PARAMETRES!$F$30,4,IF($J1092&gt;PARAMETRES!$E$30,3,IF($J1092&gt;PARAMETRES!$D$30,2,1)))))</f>
        <v/>
      </c>
      <c r="S1092" t="str">
        <f>IF($K1092="","",IF($Z1092=2,IF($K1092&gt;PARAMETRES!$G$31,5,IF($K1092&gt;PARAMETRES!$F$31,4,IF($K1092&gt;PARAMETRES!$E$31,3,IF($K1092&gt;PARAMETRES!$D$31,2,1)))),IF($K1092&gt;PARAMETRES!$G$32,5,IF($K1092&gt;PARAMETRES!$F$32,4,IF($K1092&gt;PARAMETRES!$E$32,3,IF($K1092&gt;PARAMETRES!$D$32,2,1))))))</f>
        <v/>
      </c>
      <c r="T1092" t="str">
        <f>IF($L1092="","",IF($L1092&gt;PARAMETRES!$G$33,5,IF($L1092&gt;PARAMETRES!$F$33,4,IF($L1092&gt;PARAMETRES!$E$33,3,IF($L1092&gt;PARAMETRES!$D$33,2,1)))))</f>
        <v/>
      </c>
      <c r="U1092" t="str">
        <f>IF($M1092="","",IF($M1092&gt;PARAMETRES!$G$34,5,IF($M1092&gt;PARAMETRES!$F$34,4,IF($M1092&gt;PARAMETRES!$E$34,3,IF($M1092&gt;PARAMETRES!$D$34,2,1)))))</f>
        <v/>
      </c>
      <c r="V1092" t="str">
        <f>IF($N1092="","",IF($N1092&gt;PARAMETRES!$G$35,5,IF($N1092&gt;PARAMETRES!$F$35,4,IF($N1092&gt;PARAMETRES!$E$35,3,IF($N1092&gt;PARAMETRES!$D$35,2,1)))))</f>
        <v/>
      </c>
      <c r="W1092" t="str">
        <f>IF($O1092="","",IF($O1092&gt;PARAMETRES!$G$36,5,IF($O1092&gt;PARAMETRES!$F$36,4,IF($O1092&gt;PARAMETRES!$E$36,3,IF($O1092&gt;PARAMETRES!$D$36,2,1)))))</f>
        <v/>
      </c>
      <c r="X1092" t="str">
        <f>IF($P1092="","",IF($P1092&gt;PARAMETRES!$G$37,5,IF($P1092&gt;PARAMETRES!$F$37,4,IF($P1092&gt;PARAMETRES!$E$37,3,IF($P1092&gt;PARAMETRES!$D$37,2,1)))))</f>
        <v/>
      </c>
      <c r="Y1092" t="str">
        <f t="shared" si="408"/>
        <v/>
      </c>
      <c r="Z1092" t="str">
        <f>IFERROR(VLOOKUP($B1092,TABLE_CYCLE,2,0),"")</f>
        <v/>
      </c>
      <c r="AA1092" t="str">
        <f t="shared" si="409"/>
        <v/>
      </c>
      <c r="AB1092" t="str">
        <f>IF($D1092="","",IF(COUNTIF($D$2:$D1092,$D1092)=1,$D1092,""))</f>
        <v/>
      </c>
      <c r="AC1092">
        <f t="shared" si="410"/>
        <v>0</v>
      </c>
      <c r="AD1092" t="str">
        <f t="shared" si="411"/>
        <v>|0</v>
      </c>
      <c r="AE1092" t="str">
        <f t="shared" si="412"/>
        <v/>
      </c>
      <c r="AF1092" t="str">
        <f t="shared" si="413"/>
        <v/>
      </c>
      <c r="AG1092" t="str">
        <f t="shared" si="414"/>
        <v/>
      </c>
      <c r="AH1092" t="str">
        <f t="shared" si="415"/>
        <v/>
      </c>
      <c r="AI1092" t="str">
        <f t="shared" si="416"/>
        <v/>
      </c>
      <c r="AJ1092" t="str">
        <f t="shared" si="417"/>
        <v/>
      </c>
      <c r="AK1092" t="str">
        <f t="shared" si="418"/>
        <v/>
      </c>
      <c r="AL1092" t="str">
        <f t="shared" si="419"/>
        <v/>
      </c>
      <c r="AM1092" t="str">
        <f t="shared" si="420"/>
        <v/>
      </c>
      <c r="AN1092" t="str">
        <f t="shared" si="421"/>
        <v/>
      </c>
      <c r="AO1092" t="str">
        <f t="shared" si="422"/>
        <v/>
      </c>
      <c r="AP1092">
        <f t="shared" si="423"/>
        <v>1</v>
      </c>
      <c r="AQ1092" t="str">
        <f>IF(SAISIE!$F1097="","",SAISIE!$Y1097)</f>
        <v/>
      </c>
      <c r="AR1092" t="str">
        <f>IF(OR(SAISIE!$U$4="",SAISIE!$W$4=""),"",IF(AND($A1092=SAISIE!$U$4,$B1092=SAISIE!$W$4,$C1092="S1"),COUNTIFS($A$2:$A1092,SAISIE!$U$4,$B$2:$B1092,SAISIE!$W$4,$C$2:$C1092,"S1"),""))</f>
        <v/>
      </c>
      <c r="AS1092" t="str">
        <f t="shared" si="424"/>
        <v/>
      </c>
      <c r="AT1092" t="str">
        <f t="shared" si="425"/>
        <v/>
      </c>
      <c r="AU1092" t="str">
        <f t="shared" si="426"/>
        <v/>
      </c>
      <c r="AV1092">
        <f>N(AV1091)+IF(AND($AB1092&lt;&gt;"",OR('PROFIL ELEVE'!$K$4="(Tous)",$AF1092='PROFIL ELEVE'!$K$4)),1,0)</f>
        <v>0</v>
      </c>
      <c r="AW1092">
        <f>N(AW1091)+IF(AND($AB1092&lt;&gt;"",OR('SUIVI LONGITUDINAL'!$Q$4="(Tous)",$AF1092='SUIVI LONGITUDINAL'!$Q$4)),1,0)</f>
        <v>0</v>
      </c>
      <c r="AX1092">
        <f t="shared" si="427"/>
        <v>0</v>
      </c>
      <c r="AY1092">
        <f t="shared" si="428"/>
        <v>0</v>
      </c>
      <c r="AZ1092">
        <f t="shared" si="429"/>
        <v>0</v>
      </c>
      <c r="BA1092" t="str">
        <f t="shared" si="430"/>
        <v/>
      </c>
      <c r="BB1092" t="str">
        <f t="shared" si="431"/>
        <v/>
      </c>
    </row>
    <row r="1093" spans="1:54" ht="14.25" customHeight="1" x14ac:dyDescent="0.3">
      <c r="A1093" t="str">
        <f>IF(SAISIE!$F1098="","",SAISIE!$B1098)</f>
        <v/>
      </c>
      <c r="B1093" t="str">
        <f>IF(SAISIE!$F1098="","",SAISIE!$C1098)</f>
        <v/>
      </c>
      <c r="C1093" t="str">
        <f>IF(SAISIE!$F1098="","",SAISIE!$D1098)</f>
        <v/>
      </c>
      <c r="D1093" t="str">
        <f>IF(SAISIE!$E1098="","",SAISIE!$E1098)</f>
        <v/>
      </c>
      <c r="E1093" t="str">
        <f>IF(SAISIE!$F1098="","",SAISIE!$F1098)</f>
        <v/>
      </c>
      <c r="F1093" t="str">
        <f>IF(SAISIE!$G1098="","",SAISIE!$G1098)</f>
        <v/>
      </c>
      <c r="G1093" t="str">
        <f>IF(SAISIE!$H1098="","",SAISIE!$H1098)</f>
        <v/>
      </c>
      <c r="H1093" t="str">
        <f>IF(SAISIE!$I1098="","",SAISIE!$I1098)</f>
        <v/>
      </c>
      <c r="I1093" t="str">
        <f>IF(SAISIE!$J1098="","",SAISIE!$J1098)</f>
        <v/>
      </c>
      <c r="J1093" t="str">
        <f>IF(SAISIE!$K1098="","",SAISIE!$K1098)</f>
        <v/>
      </c>
      <c r="K1093" t="str">
        <f>IF(SAISIE!$L1098="","",SAISIE!$L1098)</f>
        <v/>
      </c>
      <c r="L1093" t="str">
        <f>IF(SAISIE!$M1098="","",SAISIE!$M1098)</f>
        <v/>
      </c>
      <c r="M1093" t="str">
        <f>IF(SAISIE!$N1098="","",SAISIE!$N1098)</f>
        <v/>
      </c>
      <c r="N1093" t="str">
        <f>IF(SAISIE!$O1098="","",SAISIE!$O1098)</f>
        <v/>
      </c>
      <c r="O1093" t="str">
        <f>IF(SAISIE!$P1098="","",SAISIE!$P1098)</f>
        <v/>
      </c>
      <c r="P1093" t="str">
        <f>IF(SAISIE!$Q1098="","",SAISIE!$Q1098)</f>
        <v/>
      </c>
      <c r="Q1093" t="str">
        <f>IF($I1093="","",IF($I1093&gt;PARAMETRES!$G$29,5,IF($I1093&gt;PARAMETRES!$F$29,4,IF($I1093&gt;PARAMETRES!$E$29,3,IF($I1093&gt;PARAMETRES!$D$29,2,1)))))</f>
        <v/>
      </c>
      <c r="R1093" t="str">
        <f>IF($J1093="","",IF($J1093&gt;PARAMETRES!$G$30,5,IF($J1093&gt;PARAMETRES!$F$30,4,IF($J1093&gt;PARAMETRES!$E$30,3,IF($J1093&gt;PARAMETRES!$D$30,2,1)))))</f>
        <v/>
      </c>
      <c r="S1093" t="str">
        <f>IF($K1093="","",IF($Z1093=2,IF($K1093&gt;PARAMETRES!$G$31,5,IF($K1093&gt;PARAMETRES!$F$31,4,IF($K1093&gt;PARAMETRES!$E$31,3,IF($K1093&gt;PARAMETRES!$D$31,2,1)))),IF($K1093&gt;PARAMETRES!$G$32,5,IF($K1093&gt;PARAMETRES!$F$32,4,IF($K1093&gt;PARAMETRES!$E$32,3,IF($K1093&gt;PARAMETRES!$D$32,2,1))))))</f>
        <v/>
      </c>
      <c r="T1093" t="str">
        <f>IF($L1093="","",IF($L1093&gt;PARAMETRES!$G$33,5,IF($L1093&gt;PARAMETRES!$F$33,4,IF($L1093&gt;PARAMETRES!$E$33,3,IF($L1093&gt;PARAMETRES!$D$33,2,1)))))</f>
        <v/>
      </c>
      <c r="U1093" t="str">
        <f>IF($M1093="","",IF($M1093&gt;PARAMETRES!$G$34,5,IF($M1093&gt;PARAMETRES!$F$34,4,IF($M1093&gt;PARAMETRES!$E$34,3,IF($M1093&gt;PARAMETRES!$D$34,2,1)))))</f>
        <v/>
      </c>
      <c r="V1093" t="str">
        <f>IF($N1093="","",IF($N1093&gt;PARAMETRES!$G$35,5,IF($N1093&gt;PARAMETRES!$F$35,4,IF($N1093&gt;PARAMETRES!$E$35,3,IF($N1093&gt;PARAMETRES!$D$35,2,1)))))</f>
        <v/>
      </c>
      <c r="W1093" t="str">
        <f>IF($O1093="","",IF($O1093&gt;PARAMETRES!$G$36,5,IF($O1093&gt;PARAMETRES!$F$36,4,IF($O1093&gt;PARAMETRES!$E$36,3,IF($O1093&gt;PARAMETRES!$D$36,2,1)))))</f>
        <v/>
      </c>
      <c r="X1093" t="str">
        <f>IF($P1093="","",IF($P1093&gt;PARAMETRES!$G$37,5,IF($P1093&gt;PARAMETRES!$F$37,4,IF($P1093&gt;PARAMETRES!$E$37,3,IF($P1093&gt;PARAMETRES!$D$37,2,1)))))</f>
        <v/>
      </c>
      <c r="Y1093" t="str">
        <f t="shared" si="408"/>
        <v/>
      </c>
      <c r="Z1093" t="str">
        <f>IFERROR(VLOOKUP($B1093,TABLE_CYCLE,2,0),"")</f>
        <v/>
      </c>
      <c r="AA1093" t="str">
        <f t="shared" si="409"/>
        <v/>
      </c>
      <c r="AB1093" t="str">
        <f>IF($D1093="","",IF(COUNTIF($D$2:$D1093,$D1093)=1,$D1093,""))</f>
        <v/>
      </c>
      <c r="AC1093">
        <f t="shared" si="410"/>
        <v>0</v>
      </c>
      <c r="AD1093" t="str">
        <f t="shared" si="411"/>
        <v>|0</v>
      </c>
      <c r="AE1093" t="str">
        <f t="shared" si="412"/>
        <v/>
      </c>
      <c r="AF1093" t="str">
        <f t="shared" si="413"/>
        <v/>
      </c>
      <c r="AG1093" t="str">
        <f t="shared" si="414"/>
        <v/>
      </c>
      <c r="AH1093" t="str">
        <f t="shared" si="415"/>
        <v/>
      </c>
      <c r="AI1093" t="str">
        <f t="shared" si="416"/>
        <v/>
      </c>
      <c r="AJ1093" t="str">
        <f t="shared" si="417"/>
        <v/>
      </c>
      <c r="AK1093" t="str">
        <f t="shared" si="418"/>
        <v/>
      </c>
      <c r="AL1093" t="str">
        <f t="shared" si="419"/>
        <v/>
      </c>
      <c r="AM1093" t="str">
        <f t="shared" si="420"/>
        <v/>
      </c>
      <c r="AN1093" t="str">
        <f t="shared" si="421"/>
        <v/>
      </c>
      <c r="AO1093" t="str">
        <f t="shared" si="422"/>
        <v/>
      </c>
      <c r="AP1093">
        <f t="shared" si="423"/>
        <v>1</v>
      </c>
      <c r="AQ1093" t="str">
        <f>IF(SAISIE!$F1098="","",SAISIE!$Y1098)</f>
        <v/>
      </c>
      <c r="AR1093" t="str">
        <f>IF(OR(SAISIE!$U$4="",SAISIE!$W$4=""),"",IF(AND($A1093=SAISIE!$U$4,$B1093=SAISIE!$W$4,$C1093="S1"),COUNTIFS($A$2:$A1093,SAISIE!$U$4,$B$2:$B1093,SAISIE!$W$4,$C$2:$C1093,"S1"),""))</f>
        <v/>
      </c>
      <c r="AS1093" t="str">
        <f t="shared" si="424"/>
        <v/>
      </c>
      <c r="AT1093" t="str">
        <f t="shared" si="425"/>
        <v/>
      </c>
      <c r="AU1093" t="str">
        <f t="shared" si="426"/>
        <v/>
      </c>
      <c r="AV1093">
        <f>N(AV1092)+IF(AND($AB1093&lt;&gt;"",OR('PROFIL ELEVE'!$K$4="(Tous)",$AF1093='PROFIL ELEVE'!$K$4)),1,0)</f>
        <v>0</v>
      </c>
      <c r="AW1093">
        <f>N(AW1092)+IF(AND($AB1093&lt;&gt;"",OR('SUIVI LONGITUDINAL'!$Q$4="(Tous)",$AF1093='SUIVI LONGITUDINAL'!$Q$4)),1,0)</f>
        <v>0</v>
      </c>
      <c r="AX1093">
        <f t="shared" si="427"/>
        <v>0</v>
      </c>
      <c r="AY1093">
        <f t="shared" si="428"/>
        <v>0</v>
      </c>
      <c r="AZ1093">
        <f t="shared" si="429"/>
        <v>0</v>
      </c>
      <c r="BA1093" t="str">
        <f t="shared" si="430"/>
        <v/>
      </c>
      <c r="BB1093" t="str">
        <f t="shared" si="431"/>
        <v/>
      </c>
    </row>
    <row r="1094" spans="1:54" ht="14.25" customHeight="1" x14ac:dyDescent="0.3">
      <c r="A1094" t="str">
        <f>IF(SAISIE!$F1099="","",SAISIE!$B1099)</f>
        <v/>
      </c>
      <c r="B1094" t="str">
        <f>IF(SAISIE!$F1099="","",SAISIE!$C1099)</f>
        <v/>
      </c>
      <c r="C1094" t="str">
        <f>IF(SAISIE!$F1099="","",SAISIE!$D1099)</f>
        <v/>
      </c>
      <c r="D1094" t="str">
        <f>IF(SAISIE!$E1099="","",SAISIE!$E1099)</f>
        <v/>
      </c>
      <c r="E1094" t="str">
        <f>IF(SAISIE!$F1099="","",SAISIE!$F1099)</f>
        <v/>
      </c>
      <c r="F1094" t="str">
        <f>IF(SAISIE!$G1099="","",SAISIE!$G1099)</f>
        <v/>
      </c>
      <c r="G1094" t="str">
        <f>IF(SAISIE!$H1099="","",SAISIE!$H1099)</f>
        <v/>
      </c>
      <c r="H1094" t="str">
        <f>IF(SAISIE!$I1099="","",SAISIE!$I1099)</f>
        <v/>
      </c>
      <c r="I1094" t="str">
        <f>IF(SAISIE!$J1099="","",SAISIE!$J1099)</f>
        <v/>
      </c>
      <c r="J1094" t="str">
        <f>IF(SAISIE!$K1099="","",SAISIE!$K1099)</f>
        <v/>
      </c>
      <c r="K1094" t="str">
        <f>IF(SAISIE!$L1099="","",SAISIE!$L1099)</f>
        <v/>
      </c>
      <c r="L1094" t="str">
        <f>IF(SAISIE!$M1099="","",SAISIE!$M1099)</f>
        <v/>
      </c>
      <c r="M1094" t="str">
        <f>IF(SAISIE!$N1099="","",SAISIE!$N1099)</f>
        <v/>
      </c>
      <c r="N1094" t="str">
        <f>IF(SAISIE!$O1099="","",SAISIE!$O1099)</f>
        <v/>
      </c>
      <c r="O1094" t="str">
        <f>IF(SAISIE!$P1099="","",SAISIE!$P1099)</f>
        <v/>
      </c>
      <c r="P1094" t="str">
        <f>IF(SAISIE!$Q1099="","",SAISIE!$Q1099)</f>
        <v/>
      </c>
      <c r="Q1094" t="str">
        <f>IF($I1094="","",IF($I1094&gt;PARAMETRES!$G$29,5,IF($I1094&gt;PARAMETRES!$F$29,4,IF($I1094&gt;PARAMETRES!$E$29,3,IF($I1094&gt;PARAMETRES!$D$29,2,1)))))</f>
        <v/>
      </c>
      <c r="R1094" t="str">
        <f>IF($J1094="","",IF($J1094&gt;PARAMETRES!$G$30,5,IF($J1094&gt;PARAMETRES!$F$30,4,IF($J1094&gt;PARAMETRES!$E$30,3,IF($J1094&gt;PARAMETRES!$D$30,2,1)))))</f>
        <v/>
      </c>
      <c r="S1094" t="str">
        <f>IF($K1094="","",IF($Z1094=2,IF($K1094&gt;PARAMETRES!$G$31,5,IF($K1094&gt;PARAMETRES!$F$31,4,IF($K1094&gt;PARAMETRES!$E$31,3,IF($K1094&gt;PARAMETRES!$D$31,2,1)))),IF($K1094&gt;PARAMETRES!$G$32,5,IF($K1094&gt;PARAMETRES!$F$32,4,IF($K1094&gt;PARAMETRES!$E$32,3,IF($K1094&gt;PARAMETRES!$D$32,2,1))))))</f>
        <v/>
      </c>
      <c r="T1094" t="str">
        <f>IF($L1094="","",IF($L1094&gt;PARAMETRES!$G$33,5,IF($L1094&gt;PARAMETRES!$F$33,4,IF($L1094&gt;PARAMETRES!$E$33,3,IF($L1094&gt;PARAMETRES!$D$33,2,1)))))</f>
        <v/>
      </c>
      <c r="U1094" t="str">
        <f>IF($M1094="","",IF($M1094&gt;PARAMETRES!$G$34,5,IF($M1094&gt;PARAMETRES!$F$34,4,IF($M1094&gt;PARAMETRES!$E$34,3,IF($M1094&gt;PARAMETRES!$D$34,2,1)))))</f>
        <v/>
      </c>
      <c r="V1094" t="str">
        <f>IF($N1094="","",IF($N1094&gt;PARAMETRES!$G$35,5,IF($N1094&gt;PARAMETRES!$F$35,4,IF($N1094&gt;PARAMETRES!$E$35,3,IF($N1094&gt;PARAMETRES!$D$35,2,1)))))</f>
        <v/>
      </c>
      <c r="W1094" t="str">
        <f>IF($O1094="","",IF($O1094&gt;PARAMETRES!$G$36,5,IF($O1094&gt;PARAMETRES!$F$36,4,IF($O1094&gt;PARAMETRES!$E$36,3,IF($O1094&gt;PARAMETRES!$D$36,2,1)))))</f>
        <v/>
      </c>
      <c r="X1094" t="str">
        <f>IF($P1094="","",IF($P1094&gt;PARAMETRES!$G$37,5,IF($P1094&gt;PARAMETRES!$F$37,4,IF($P1094&gt;PARAMETRES!$E$37,3,IF($P1094&gt;PARAMETRES!$D$37,2,1)))))</f>
        <v/>
      </c>
      <c r="Y1094" t="str">
        <f t="shared" si="408"/>
        <v/>
      </c>
      <c r="Z1094" t="str">
        <f>IFERROR(VLOOKUP($B1094,TABLE_CYCLE,2,0),"")</f>
        <v/>
      </c>
      <c r="AA1094" t="str">
        <f t="shared" si="409"/>
        <v/>
      </c>
      <c r="AB1094" t="str">
        <f>IF($D1094="","",IF(COUNTIF($D$2:$D1094,$D1094)=1,$D1094,""))</f>
        <v/>
      </c>
      <c r="AC1094">
        <f t="shared" si="410"/>
        <v>0</v>
      </c>
      <c r="AD1094" t="str">
        <f t="shared" si="411"/>
        <v>|0</v>
      </c>
      <c r="AE1094" t="str">
        <f t="shared" si="412"/>
        <v/>
      </c>
      <c r="AF1094" t="str">
        <f t="shared" si="413"/>
        <v/>
      </c>
      <c r="AG1094" t="str">
        <f t="shared" si="414"/>
        <v/>
      </c>
      <c r="AH1094" t="str">
        <f t="shared" si="415"/>
        <v/>
      </c>
      <c r="AI1094" t="str">
        <f t="shared" si="416"/>
        <v/>
      </c>
      <c r="AJ1094" t="str">
        <f t="shared" si="417"/>
        <v/>
      </c>
      <c r="AK1094" t="str">
        <f t="shared" si="418"/>
        <v/>
      </c>
      <c r="AL1094" t="str">
        <f t="shared" si="419"/>
        <v/>
      </c>
      <c r="AM1094" t="str">
        <f t="shared" si="420"/>
        <v/>
      </c>
      <c r="AN1094" t="str">
        <f t="shared" si="421"/>
        <v/>
      </c>
      <c r="AO1094" t="str">
        <f t="shared" si="422"/>
        <v/>
      </c>
      <c r="AP1094">
        <f t="shared" si="423"/>
        <v>1</v>
      </c>
      <c r="AQ1094" t="str">
        <f>IF(SAISIE!$F1099="","",SAISIE!$Y1099)</f>
        <v/>
      </c>
      <c r="AR1094" t="str">
        <f>IF(OR(SAISIE!$U$4="",SAISIE!$W$4=""),"",IF(AND($A1094=SAISIE!$U$4,$B1094=SAISIE!$W$4,$C1094="S1"),COUNTIFS($A$2:$A1094,SAISIE!$U$4,$B$2:$B1094,SAISIE!$W$4,$C$2:$C1094,"S1"),""))</f>
        <v/>
      </c>
      <c r="AS1094" t="str">
        <f t="shared" si="424"/>
        <v/>
      </c>
      <c r="AT1094" t="str">
        <f t="shared" si="425"/>
        <v/>
      </c>
      <c r="AU1094" t="str">
        <f t="shared" si="426"/>
        <v/>
      </c>
      <c r="AV1094">
        <f>N(AV1093)+IF(AND($AB1094&lt;&gt;"",OR('PROFIL ELEVE'!$K$4="(Tous)",$AF1094='PROFIL ELEVE'!$K$4)),1,0)</f>
        <v>0</v>
      </c>
      <c r="AW1094">
        <f>N(AW1093)+IF(AND($AB1094&lt;&gt;"",OR('SUIVI LONGITUDINAL'!$Q$4="(Tous)",$AF1094='SUIVI LONGITUDINAL'!$Q$4)),1,0)</f>
        <v>0</v>
      </c>
      <c r="AX1094">
        <f t="shared" si="427"/>
        <v>0</v>
      </c>
      <c r="AY1094">
        <f t="shared" si="428"/>
        <v>0</v>
      </c>
      <c r="AZ1094">
        <f t="shared" si="429"/>
        <v>0</v>
      </c>
      <c r="BA1094" t="str">
        <f t="shared" si="430"/>
        <v/>
      </c>
      <c r="BB1094" t="str">
        <f t="shared" si="431"/>
        <v/>
      </c>
    </row>
    <row r="1095" spans="1:54" ht="14.25" customHeight="1" x14ac:dyDescent="0.3">
      <c r="A1095" t="str">
        <f>IF(SAISIE!$F1100="","",SAISIE!$B1100)</f>
        <v/>
      </c>
      <c r="B1095" t="str">
        <f>IF(SAISIE!$F1100="","",SAISIE!$C1100)</f>
        <v/>
      </c>
      <c r="C1095" t="str">
        <f>IF(SAISIE!$F1100="","",SAISIE!$D1100)</f>
        <v/>
      </c>
      <c r="D1095" t="str">
        <f>IF(SAISIE!$E1100="","",SAISIE!$E1100)</f>
        <v/>
      </c>
      <c r="E1095" t="str">
        <f>IF(SAISIE!$F1100="","",SAISIE!$F1100)</f>
        <v/>
      </c>
      <c r="F1095" t="str">
        <f>IF(SAISIE!$G1100="","",SAISIE!$G1100)</f>
        <v/>
      </c>
      <c r="G1095" t="str">
        <f>IF(SAISIE!$H1100="","",SAISIE!$H1100)</f>
        <v/>
      </c>
      <c r="H1095" t="str">
        <f>IF(SAISIE!$I1100="","",SAISIE!$I1100)</f>
        <v/>
      </c>
      <c r="I1095" t="str">
        <f>IF(SAISIE!$J1100="","",SAISIE!$J1100)</f>
        <v/>
      </c>
      <c r="J1095" t="str">
        <f>IF(SAISIE!$K1100="","",SAISIE!$K1100)</f>
        <v/>
      </c>
      <c r="K1095" t="str">
        <f>IF(SAISIE!$L1100="","",SAISIE!$L1100)</f>
        <v/>
      </c>
      <c r="L1095" t="str">
        <f>IF(SAISIE!$M1100="","",SAISIE!$M1100)</f>
        <v/>
      </c>
      <c r="M1095" t="str">
        <f>IF(SAISIE!$N1100="","",SAISIE!$N1100)</f>
        <v/>
      </c>
      <c r="N1095" t="str">
        <f>IF(SAISIE!$O1100="","",SAISIE!$O1100)</f>
        <v/>
      </c>
      <c r="O1095" t="str">
        <f>IF(SAISIE!$P1100="","",SAISIE!$P1100)</f>
        <v/>
      </c>
      <c r="P1095" t="str">
        <f>IF(SAISIE!$Q1100="","",SAISIE!$Q1100)</f>
        <v/>
      </c>
      <c r="Q1095" t="str">
        <f>IF($I1095="","",IF($I1095&gt;PARAMETRES!$G$29,5,IF($I1095&gt;PARAMETRES!$F$29,4,IF($I1095&gt;PARAMETRES!$E$29,3,IF($I1095&gt;PARAMETRES!$D$29,2,1)))))</f>
        <v/>
      </c>
      <c r="R1095" t="str">
        <f>IF($J1095="","",IF($J1095&gt;PARAMETRES!$G$30,5,IF($J1095&gt;PARAMETRES!$F$30,4,IF($J1095&gt;PARAMETRES!$E$30,3,IF($J1095&gt;PARAMETRES!$D$30,2,1)))))</f>
        <v/>
      </c>
      <c r="S1095" t="str">
        <f>IF($K1095="","",IF($Z1095=2,IF($K1095&gt;PARAMETRES!$G$31,5,IF($K1095&gt;PARAMETRES!$F$31,4,IF($K1095&gt;PARAMETRES!$E$31,3,IF($K1095&gt;PARAMETRES!$D$31,2,1)))),IF($K1095&gt;PARAMETRES!$G$32,5,IF($K1095&gt;PARAMETRES!$F$32,4,IF($K1095&gt;PARAMETRES!$E$32,3,IF($K1095&gt;PARAMETRES!$D$32,2,1))))))</f>
        <v/>
      </c>
      <c r="T1095" t="str">
        <f>IF($L1095="","",IF($L1095&gt;PARAMETRES!$G$33,5,IF($L1095&gt;PARAMETRES!$F$33,4,IF($L1095&gt;PARAMETRES!$E$33,3,IF($L1095&gt;PARAMETRES!$D$33,2,1)))))</f>
        <v/>
      </c>
      <c r="U1095" t="str">
        <f>IF($M1095="","",IF($M1095&gt;PARAMETRES!$G$34,5,IF($M1095&gt;PARAMETRES!$F$34,4,IF($M1095&gt;PARAMETRES!$E$34,3,IF($M1095&gt;PARAMETRES!$D$34,2,1)))))</f>
        <v/>
      </c>
      <c r="V1095" t="str">
        <f>IF($N1095="","",IF($N1095&gt;PARAMETRES!$G$35,5,IF($N1095&gt;PARAMETRES!$F$35,4,IF($N1095&gt;PARAMETRES!$E$35,3,IF($N1095&gt;PARAMETRES!$D$35,2,1)))))</f>
        <v/>
      </c>
      <c r="W1095" t="str">
        <f>IF($O1095="","",IF($O1095&gt;PARAMETRES!$G$36,5,IF($O1095&gt;PARAMETRES!$F$36,4,IF($O1095&gt;PARAMETRES!$E$36,3,IF($O1095&gt;PARAMETRES!$D$36,2,1)))))</f>
        <v/>
      </c>
      <c r="X1095" t="str">
        <f>IF($P1095="","",IF($P1095&gt;PARAMETRES!$G$37,5,IF($P1095&gt;PARAMETRES!$F$37,4,IF($P1095&gt;PARAMETRES!$E$37,3,IF($P1095&gt;PARAMETRES!$D$37,2,1)))))</f>
        <v/>
      </c>
      <c r="Y1095" t="str">
        <f t="shared" si="408"/>
        <v/>
      </c>
      <c r="Z1095" t="str">
        <f>IFERROR(VLOOKUP($B1095,TABLE_CYCLE,2,0),"")</f>
        <v/>
      </c>
      <c r="AA1095" t="str">
        <f t="shared" si="409"/>
        <v/>
      </c>
      <c r="AB1095" t="str">
        <f>IF($D1095="","",IF(COUNTIF($D$2:$D1095,$D1095)=1,$D1095,""))</f>
        <v/>
      </c>
      <c r="AC1095">
        <f t="shared" si="410"/>
        <v>0</v>
      </c>
      <c r="AD1095" t="str">
        <f t="shared" si="411"/>
        <v>|0</v>
      </c>
      <c r="AE1095" t="str">
        <f t="shared" si="412"/>
        <v/>
      </c>
      <c r="AF1095" t="str">
        <f t="shared" si="413"/>
        <v/>
      </c>
      <c r="AG1095" t="str">
        <f t="shared" si="414"/>
        <v/>
      </c>
      <c r="AH1095" t="str">
        <f t="shared" si="415"/>
        <v/>
      </c>
      <c r="AI1095" t="str">
        <f t="shared" si="416"/>
        <v/>
      </c>
      <c r="AJ1095" t="str">
        <f t="shared" si="417"/>
        <v/>
      </c>
      <c r="AK1095" t="str">
        <f t="shared" si="418"/>
        <v/>
      </c>
      <c r="AL1095" t="str">
        <f t="shared" si="419"/>
        <v/>
      </c>
      <c r="AM1095" t="str">
        <f t="shared" si="420"/>
        <v/>
      </c>
      <c r="AN1095" t="str">
        <f t="shared" si="421"/>
        <v/>
      </c>
      <c r="AO1095" t="str">
        <f t="shared" si="422"/>
        <v/>
      </c>
      <c r="AP1095">
        <f t="shared" si="423"/>
        <v>1</v>
      </c>
      <c r="AQ1095" t="str">
        <f>IF(SAISIE!$F1100="","",SAISIE!$Y1100)</f>
        <v/>
      </c>
      <c r="AR1095" t="str">
        <f>IF(OR(SAISIE!$U$4="",SAISIE!$W$4=""),"",IF(AND($A1095=SAISIE!$U$4,$B1095=SAISIE!$W$4,$C1095="S1"),COUNTIFS($A$2:$A1095,SAISIE!$U$4,$B$2:$B1095,SAISIE!$W$4,$C$2:$C1095,"S1"),""))</f>
        <v/>
      </c>
      <c r="AS1095" t="str">
        <f t="shared" si="424"/>
        <v/>
      </c>
      <c r="AT1095" t="str">
        <f t="shared" si="425"/>
        <v/>
      </c>
      <c r="AU1095" t="str">
        <f t="shared" si="426"/>
        <v/>
      </c>
      <c r="AV1095">
        <f>N(AV1094)+IF(AND($AB1095&lt;&gt;"",OR('PROFIL ELEVE'!$K$4="(Tous)",$AF1095='PROFIL ELEVE'!$K$4)),1,0)</f>
        <v>0</v>
      </c>
      <c r="AW1095">
        <f>N(AW1094)+IF(AND($AB1095&lt;&gt;"",OR('SUIVI LONGITUDINAL'!$Q$4="(Tous)",$AF1095='SUIVI LONGITUDINAL'!$Q$4)),1,0)</f>
        <v>0</v>
      </c>
      <c r="AX1095">
        <f t="shared" si="427"/>
        <v>0</v>
      </c>
      <c r="AY1095">
        <f t="shared" si="428"/>
        <v>0</v>
      </c>
      <c r="AZ1095">
        <f t="shared" si="429"/>
        <v>0</v>
      </c>
      <c r="BA1095" t="str">
        <f t="shared" si="430"/>
        <v/>
      </c>
      <c r="BB1095" t="str">
        <f t="shared" si="431"/>
        <v/>
      </c>
    </row>
    <row r="1096" spans="1:54" ht="14.25" customHeight="1" x14ac:dyDescent="0.3">
      <c r="A1096" t="str">
        <f>IF(SAISIE!$F1101="","",SAISIE!$B1101)</f>
        <v/>
      </c>
      <c r="B1096" t="str">
        <f>IF(SAISIE!$F1101="","",SAISIE!$C1101)</f>
        <v/>
      </c>
      <c r="C1096" t="str">
        <f>IF(SAISIE!$F1101="","",SAISIE!$D1101)</f>
        <v/>
      </c>
      <c r="D1096" t="str">
        <f>IF(SAISIE!$E1101="","",SAISIE!$E1101)</f>
        <v/>
      </c>
      <c r="E1096" t="str">
        <f>IF(SAISIE!$F1101="","",SAISIE!$F1101)</f>
        <v/>
      </c>
      <c r="F1096" t="str">
        <f>IF(SAISIE!$G1101="","",SAISIE!$G1101)</f>
        <v/>
      </c>
      <c r="G1096" t="str">
        <f>IF(SAISIE!$H1101="","",SAISIE!$H1101)</f>
        <v/>
      </c>
      <c r="H1096" t="str">
        <f>IF(SAISIE!$I1101="","",SAISIE!$I1101)</f>
        <v/>
      </c>
      <c r="I1096" t="str">
        <f>IF(SAISIE!$J1101="","",SAISIE!$J1101)</f>
        <v/>
      </c>
      <c r="J1096" t="str">
        <f>IF(SAISIE!$K1101="","",SAISIE!$K1101)</f>
        <v/>
      </c>
      <c r="K1096" t="str">
        <f>IF(SAISIE!$L1101="","",SAISIE!$L1101)</f>
        <v/>
      </c>
      <c r="L1096" t="str">
        <f>IF(SAISIE!$M1101="","",SAISIE!$M1101)</f>
        <v/>
      </c>
      <c r="M1096" t="str">
        <f>IF(SAISIE!$N1101="","",SAISIE!$N1101)</f>
        <v/>
      </c>
      <c r="N1096" t="str">
        <f>IF(SAISIE!$O1101="","",SAISIE!$O1101)</f>
        <v/>
      </c>
      <c r="O1096" t="str">
        <f>IF(SAISIE!$P1101="","",SAISIE!$P1101)</f>
        <v/>
      </c>
      <c r="P1096" t="str">
        <f>IF(SAISIE!$Q1101="","",SAISIE!$Q1101)</f>
        <v/>
      </c>
      <c r="Q1096" t="str">
        <f>IF($I1096="","",IF($I1096&gt;PARAMETRES!$G$29,5,IF($I1096&gt;PARAMETRES!$F$29,4,IF($I1096&gt;PARAMETRES!$E$29,3,IF($I1096&gt;PARAMETRES!$D$29,2,1)))))</f>
        <v/>
      </c>
      <c r="R1096" t="str">
        <f>IF($J1096="","",IF($J1096&gt;PARAMETRES!$G$30,5,IF($J1096&gt;PARAMETRES!$F$30,4,IF($J1096&gt;PARAMETRES!$E$30,3,IF($J1096&gt;PARAMETRES!$D$30,2,1)))))</f>
        <v/>
      </c>
      <c r="S1096" t="str">
        <f>IF($K1096="","",IF($Z1096=2,IF($K1096&gt;PARAMETRES!$G$31,5,IF($K1096&gt;PARAMETRES!$F$31,4,IF($K1096&gt;PARAMETRES!$E$31,3,IF($K1096&gt;PARAMETRES!$D$31,2,1)))),IF($K1096&gt;PARAMETRES!$G$32,5,IF($K1096&gt;PARAMETRES!$F$32,4,IF($K1096&gt;PARAMETRES!$E$32,3,IF($K1096&gt;PARAMETRES!$D$32,2,1))))))</f>
        <v/>
      </c>
      <c r="T1096" t="str">
        <f>IF($L1096="","",IF($L1096&gt;PARAMETRES!$G$33,5,IF($L1096&gt;PARAMETRES!$F$33,4,IF($L1096&gt;PARAMETRES!$E$33,3,IF($L1096&gt;PARAMETRES!$D$33,2,1)))))</f>
        <v/>
      </c>
      <c r="U1096" t="str">
        <f>IF($M1096="","",IF($M1096&gt;PARAMETRES!$G$34,5,IF($M1096&gt;PARAMETRES!$F$34,4,IF($M1096&gt;PARAMETRES!$E$34,3,IF($M1096&gt;PARAMETRES!$D$34,2,1)))))</f>
        <v/>
      </c>
      <c r="V1096" t="str">
        <f>IF($N1096="","",IF($N1096&gt;PARAMETRES!$G$35,5,IF($N1096&gt;PARAMETRES!$F$35,4,IF($N1096&gt;PARAMETRES!$E$35,3,IF($N1096&gt;PARAMETRES!$D$35,2,1)))))</f>
        <v/>
      </c>
      <c r="W1096" t="str">
        <f>IF($O1096="","",IF($O1096&gt;PARAMETRES!$G$36,5,IF($O1096&gt;PARAMETRES!$F$36,4,IF($O1096&gt;PARAMETRES!$E$36,3,IF($O1096&gt;PARAMETRES!$D$36,2,1)))))</f>
        <v/>
      </c>
      <c r="X1096" t="str">
        <f>IF($P1096="","",IF($P1096&gt;PARAMETRES!$G$37,5,IF($P1096&gt;PARAMETRES!$F$37,4,IF($P1096&gt;PARAMETRES!$E$37,3,IF($P1096&gt;PARAMETRES!$D$37,2,1)))))</f>
        <v/>
      </c>
      <c r="Y1096" t="str">
        <f t="shared" si="408"/>
        <v/>
      </c>
      <c r="Z1096" t="str">
        <f>IFERROR(VLOOKUP($B1096,TABLE_CYCLE,2,0),"")</f>
        <v/>
      </c>
      <c r="AA1096" t="str">
        <f t="shared" si="409"/>
        <v/>
      </c>
      <c r="AB1096" t="str">
        <f>IF($D1096="","",IF(COUNTIF($D$2:$D1096,$D1096)=1,$D1096,""))</f>
        <v/>
      </c>
      <c r="AC1096">
        <f t="shared" si="410"/>
        <v>0</v>
      </c>
      <c r="AD1096" t="str">
        <f t="shared" si="411"/>
        <v>|0</v>
      </c>
      <c r="AE1096" t="str">
        <f t="shared" si="412"/>
        <v/>
      </c>
      <c r="AF1096" t="str">
        <f t="shared" si="413"/>
        <v/>
      </c>
      <c r="AG1096" t="str">
        <f t="shared" si="414"/>
        <v/>
      </c>
      <c r="AH1096" t="str">
        <f t="shared" si="415"/>
        <v/>
      </c>
      <c r="AI1096" t="str">
        <f t="shared" si="416"/>
        <v/>
      </c>
      <c r="AJ1096" t="str">
        <f t="shared" si="417"/>
        <v/>
      </c>
      <c r="AK1096" t="str">
        <f t="shared" si="418"/>
        <v/>
      </c>
      <c r="AL1096" t="str">
        <f t="shared" si="419"/>
        <v/>
      </c>
      <c r="AM1096" t="str">
        <f t="shared" si="420"/>
        <v/>
      </c>
      <c r="AN1096" t="str">
        <f t="shared" si="421"/>
        <v/>
      </c>
      <c r="AO1096" t="str">
        <f t="shared" si="422"/>
        <v/>
      </c>
      <c r="AP1096">
        <f t="shared" si="423"/>
        <v>1</v>
      </c>
      <c r="AQ1096" t="str">
        <f>IF(SAISIE!$F1101="","",SAISIE!$Y1101)</f>
        <v/>
      </c>
      <c r="AR1096" t="str">
        <f>IF(OR(SAISIE!$U$4="",SAISIE!$W$4=""),"",IF(AND($A1096=SAISIE!$U$4,$B1096=SAISIE!$W$4,$C1096="S1"),COUNTIFS($A$2:$A1096,SAISIE!$U$4,$B$2:$B1096,SAISIE!$W$4,$C$2:$C1096,"S1"),""))</f>
        <v/>
      </c>
      <c r="AS1096" t="str">
        <f t="shared" si="424"/>
        <v/>
      </c>
      <c r="AT1096" t="str">
        <f t="shared" si="425"/>
        <v/>
      </c>
      <c r="AU1096" t="str">
        <f t="shared" si="426"/>
        <v/>
      </c>
      <c r="AV1096">
        <f>N(AV1095)+IF(AND($AB1096&lt;&gt;"",OR('PROFIL ELEVE'!$K$4="(Tous)",$AF1096='PROFIL ELEVE'!$K$4)),1,0)</f>
        <v>0</v>
      </c>
      <c r="AW1096">
        <f>N(AW1095)+IF(AND($AB1096&lt;&gt;"",OR('SUIVI LONGITUDINAL'!$Q$4="(Tous)",$AF1096='SUIVI LONGITUDINAL'!$Q$4)),1,0)</f>
        <v>0</v>
      </c>
      <c r="AX1096">
        <f t="shared" si="427"/>
        <v>0</v>
      </c>
      <c r="AY1096">
        <f t="shared" si="428"/>
        <v>0</v>
      </c>
      <c r="AZ1096">
        <f t="shared" si="429"/>
        <v>0</v>
      </c>
      <c r="BA1096" t="str">
        <f t="shared" si="430"/>
        <v/>
      </c>
      <c r="BB1096" t="str">
        <f t="shared" si="431"/>
        <v/>
      </c>
    </row>
    <row r="1097" spans="1:54" ht="14.25" customHeight="1" x14ac:dyDescent="0.3">
      <c r="A1097" t="str">
        <f>IF(SAISIE!$F1102="","",SAISIE!$B1102)</f>
        <v/>
      </c>
      <c r="B1097" t="str">
        <f>IF(SAISIE!$F1102="","",SAISIE!$C1102)</f>
        <v/>
      </c>
      <c r="C1097" t="str">
        <f>IF(SAISIE!$F1102="","",SAISIE!$D1102)</f>
        <v/>
      </c>
      <c r="D1097" t="str">
        <f>IF(SAISIE!$E1102="","",SAISIE!$E1102)</f>
        <v/>
      </c>
      <c r="E1097" t="str">
        <f>IF(SAISIE!$F1102="","",SAISIE!$F1102)</f>
        <v/>
      </c>
      <c r="F1097" t="str">
        <f>IF(SAISIE!$G1102="","",SAISIE!$G1102)</f>
        <v/>
      </c>
      <c r="G1097" t="str">
        <f>IF(SAISIE!$H1102="","",SAISIE!$H1102)</f>
        <v/>
      </c>
      <c r="H1097" t="str">
        <f>IF(SAISIE!$I1102="","",SAISIE!$I1102)</f>
        <v/>
      </c>
      <c r="I1097" t="str">
        <f>IF(SAISIE!$J1102="","",SAISIE!$J1102)</f>
        <v/>
      </c>
      <c r="J1097" t="str">
        <f>IF(SAISIE!$K1102="","",SAISIE!$K1102)</f>
        <v/>
      </c>
      <c r="K1097" t="str">
        <f>IF(SAISIE!$L1102="","",SAISIE!$L1102)</f>
        <v/>
      </c>
      <c r="L1097" t="str">
        <f>IF(SAISIE!$M1102="","",SAISIE!$M1102)</f>
        <v/>
      </c>
      <c r="M1097" t="str">
        <f>IF(SAISIE!$N1102="","",SAISIE!$N1102)</f>
        <v/>
      </c>
      <c r="N1097" t="str">
        <f>IF(SAISIE!$O1102="","",SAISIE!$O1102)</f>
        <v/>
      </c>
      <c r="O1097" t="str">
        <f>IF(SAISIE!$P1102="","",SAISIE!$P1102)</f>
        <v/>
      </c>
      <c r="P1097" t="str">
        <f>IF(SAISIE!$Q1102="","",SAISIE!$Q1102)</f>
        <v/>
      </c>
      <c r="Q1097" t="str">
        <f>IF($I1097="","",IF($I1097&gt;PARAMETRES!$G$29,5,IF($I1097&gt;PARAMETRES!$F$29,4,IF($I1097&gt;PARAMETRES!$E$29,3,IF($I1097&gt;PARAMETRES!$D$29,2,1)))))</f>
        <v/>
      </c>
      <c r="R1097" t="str">
        <f>IF($J1097="","",IF($J1097&gt;PARAMETRES!$G$30,5,IF($J1097&gt;PARAMETRES!$F$30,4,IF($J1097&gt;PARAMETRES!$E$30,3,IF($J1097&gt;PARAMETRES!$D$30,2,1)))))</f>
        <v/>
      </c>
      <c r="S1097" t="str">
        <f>IF($K1097="","",IF($Z1097=2,IF($K1097&gt;PARAMETRES!$G$31,5,IF($K1097&gt;PARAMETRES!$F$31,4,IF($K1097&gt;PARAMETRES!$E$31,3,IF($K1097&gt;PARAMETRES!$D$31,2,1)))),IF($K1097&gt;PARAMETRES!$G$32,5,IF($K1097&gt;PARAMETRES!$F$32,4,IF($K1097&gt;PARAMETRES!$E$32,3,IF($K1097&gt;PARAMETRES!$D$32,2,1))))))</f>
        <v/>
      </c>
      <c r="T1097" t="str">
        <f>IF($L1097="","",IF($L1097&gt;PARAMETRES!$G$33,5,IF($L1097&gt;PARAMETRES!$F$33,4,IF($L1097&gt;PARAMETRES!$E$33,3,IF($L1097&gt;PARAMETRES!$D$33,2,1)))))</f>
        <v/>
      </c>
      <c r="U1097" t="str">
        <f>IF($M1097="","",IF($M1097&gt;PARAMETRES!$G$34,5,IF($M1097&gt;PARAMETRES!$F$34,4,IF($M1097&gt;PARAMETRES!$E$34,3,IF($M1097&gt;PARAMETRES!$D$34,2,1)))))</f>
        <v/>
      </c>
      <c r="V1097" t="str">
        <f>IF($N1097="","",IF($N1097&gt;PARAMETRES!$G$35,5,IF($N1097&gt;PARAMETRES!$F$35,4,IF($N1097&gt;PARAMETRES!$E$35,3,IF($N1097&gt;PARAMETRES!$D$35,2,1)))))</f>
        <v/>
      </c>
      <c r="W1097" t="str">
        <f>IF($O1097="","",IF($O1097&gt;PARAMETRES!$G$36,5,IF($O1097&gt;PARAMETRES!$F$36,4,IF($O1097&gt;PARAMETRES!$E$36,3,IF($O1097&gt;PARAMETRES!$D$36,2,1)))))</f>
        <v/>
      </c>
      <c r="X1097" t="str">
        <f>IF($P1097="","",IF($P1097&gt;PARAMETRES!$G$37,5,IF($P1097&gt;PARAMETRES!$F$37,4,IF($P1097&gt;PARAMETRES!$E$37,3,IF($P1097&gt;PARAMETRES!$D$37,2,1)))))</f>
        <v/>
      </c>
      <c r="Y1097" t="str">
        <f t="shared" si="408"/>
        <v/>
      </c>
      <c r="Z1097" t="str">
        <f>IFERROR(VLOOKUP($B1097,TABLE_CYCLE,2,0),"")</f>
        <v/>
      </c>
      <c r="AA1097" t="str">
        <f t="shared" si="409"/>
        <v/>
      </c>
      <c r="AB1097" t="str">
        <f>IF($D1097="","",IF(COUNTIF($D$2:$D1097,$D1097)=1,$D1097,""))</f>
        <v/>
      </c>
      <c r="AC1097">
        <f t="shared" si="410"/>
        <v>0</v>
      </c>
      <c r="AD1097" t="str">
        <f t="shared" si="411"/>
        <v>|0</v>
      </c>
      <c r="AE1097" t="str">
        <f t="shared" si="412"/>
        <v/>
      </c>
      <c r="AF1097" t="str">
        <f t="shared" si="413"/>
        <v/>
      </c>
      <c r="AG1097" t="str">
        <f t="shared" si="414"/>
        <v/>
      </c>
      <c r="AH1097" t="str">
        <f t="shared" si="415"/>
        <v/>
      </c>
      <c r="AI1097" t="str">
        <f t="shared" si="416"/>
        <v/>
      </c>
      <c r="AJ1097" t="str">
        <f t="shared" si="417"/>
        <v/>
      </c>
      <c r="AK1097" t="str">
        <f t="shared" si="418"/>
        <v/>
      </c>
      <c r="AL1097" t="str">
        <f t="shared" si="419"/>
        <v/>
      </c>
      <c r="AM1097" t="str">
        <f t="shared" si="420"/>
        <v/>
      </c>
      <c r="AN1097" t="str">
        <f t="shared" si="421"/>
        <v/>
      </c>
      <c r="AO1097" t="str">
        <f t="shared" si="422"/>
        <v/>
      </c>
      <c r="AP1097">
        <f t="shared" si="423"/>
        <v>1</v>
      </c>
      <c r="AQ1097" t="str">
        <f>IF(SAISIE!$F1102="","",SAISIE!$Y1102)</f>
        <v/>
      </c>
      <c r="AR1097" t="str">
        <f>IF(OR(SAISIE!$U$4="",SAISIE!$W$4=""),"",IF(AND($A1097=SAISIE!$U$4,$B1097=SAISIE!$W$4,$C1097="S1"),COUNTIFS($A$2:$A1097,SAISIE!$U$4,$B$2:$B1097,SAISIE!$W$4,$C$2:$C1097,"S1"),""))</f>
        <v/>
      </c>
      <c r="AS1097" t="str">
        <f t="shared" si="424"/>
        <v/>
      </c>
      <c r="AT1097" t="str">
        <f t="shared" si="425"/>
        <v/>
      </c>
      <c r="AU1097" t="str">
        <f t="shared" si="426"/>
        <v/>
      </c>
      <c r="AV1097">
        <f>N(AV1096)+IF(AND($AB1097&lt;&gt;"",OR('PROFIL ELEVE'!$K$4="(Tous)",$AF1097='PROFIL ELEVE'!$K$4)),1,0)</f>
        <v>0</v>
      </c>
      <c r="AW1097">
        <f>N(AW1096)+IF(AND($AB1097&lt;&gt;"",OR('SUIVI LONGITUDINAL'!$Q$4="(Tous)",$AF1097='SUIVI LONGITUDINAL'!$Q$4)),1,0)</f>
        <v>0</v>
      </c>
      <c r="AX1097">
        <f t="shared" si="427"/>
        <v>0</v>
      </c>
      <c r="AY1097">
        <f t="shared" si="428"/>
        <v>0</v>
      </c>
      <c r="AZ1097">
        <f t="shared" si="429"/>
        <v>0</v>
      </c>
      <c r="BA1097" t="str">
        <f t="shared" si="430"/>
        <v/>
      </c>
      <c r="BB1097" t="str">
        <f t="shared" si="431"/>
        <v/>
      </c>
    </row>
    <row r="1098" spans="1:54" ht="14.25" customHeight="1" x14ac:dyDescent="0.3">
      <c r="A1098" t="str">
        <f>IF(SAISIE!$F1103="","",SAISIE!$B1103)</f>
        <v/>
      </c>
      <c r="B1098" t="str">
        <f>IF(SAISIE!$F1103="","",SAISIE!$C1103)</f>
        <v/>
      </c>
      <c r="C1098" t="str">
        <f>IF(SAISIE!$F1103="","",SAISIE!$D1103)</f>
        <v/>
      </c>
      <c r="D1098" t="str">
        <f>IF(SAISIE!$E1103="","",SAISIE!$E1103)</f>
        <v/>
      </c>
      <c r="E1098" t="str">
        <f>IF(SAISIE!$F1103="","",SAISIE!$F1103)</f>
        <v/>
      </c>
      <c r="F1098" t="str">
        <f>IF(SAISIE!$G1103="","",SAISIE!$G1103)</f>
        <v/>
      </c>
      <c r="G1098" t="str">
        <f>IF(SAISIE!$H1103="","",SAISIE!$H1103)</f>
        <v/>
      </c>
      <c r="H1098" t="str">
        <f>IF(SAISIE!$I1103="","",SAISIE!$I1103)</f>
        <v/>
      </c>
      <c r="I1098" t="str">
        <f>IF(SAISIE!$J1103="","",SAISIE!$J1103)</f>
        <v/>
      </c>
      <c r="J1098" t="str">
        <f>IF(SAISIE!$K1103="","",SAISIE!$K1103)</f>
        <v/>
      </c>
      <c r="K1098" t="str">
        <f>IF(SAISIE!$L1103="","",SAISIE!$L1103)</f>
        <v/>
      </c>
      <c r="L1098" t="str">
        <f>IF(SAISIE!$M1103="","",SAISIE!$M1103)</f>
        <v/>
      </c>
      <c r="M1098" t="str">
        <f>IF(SAISIE!$N1103="","",SAISIE!$N1103)</f>
        <v/>
      </c>
      <c r="N1098" t="str">
        <f>IF(SAISIE!$O1103="","",SAISIE!$O1103)</f>
        <v/>
      </c>
      <c r="O1098" t="str">
        <f>IF(SAISIE!$P1103="","",SAISIE!$P1103)</f>
        <v/>
      </c>
      <c r="P1098" t="str">
        <f>IF(SAISIE!$Q1103="","",SAISIE!$Q1103)</f>
        <v/>
      </c>
      <c r="Q1098" t="str">
        <f>IF($I1098="","",IF($I1098&gt;PARAMETRES!$G$29,5,IF($I1098&gt;PARAMETRES!$F$29,4,IF($I1098&gt;PARAMETRES!$E$29,3,IF($I1098&gt;PARAMETRES!$D$29,2,1)))))</f>
        <v/>
      </c>
      <c r="R1098" t="str">
        <f>IF($J1098="","",IF($J1098&gt;PARAMETRES!$G$30,5,IF($J1098&gt;PARAMETRES!$F$30,4,IF($J1098&gt;PARAMETRES!$E$30,3,IF($J1098&gt;PARAMETRES!$D$30,2,1)))))</f>
        <v/>
      </c>
      <c r="S1098" t="str">
        <f>IF($K1098="","",IF($Z1098=2,IF($K1098&gt;PARAMETRES!$G$31,5,IF($K1098&gt;PARAMETRES!$F$31,4,IF($K1098&gt;PARAMETRES!$E$31,3,IF($K1098&gt;PARAMETRES!$D$31,2,1)))),IF($K1098&gt;PARAMETRES!$G$32,5,IF($K1098&gt;PARAMETRES!$F$32,4,IF($K1098&gt;PARAMETRES!$E$32,3,IF($K1098&gt;PARAMETRES!$D$32,2,1))))))</f>
        <v/>
      </c>
      <c r="T1098" t="str">
        <f>IF($L1098="","",IF($L1098&gt;PARAMETRES!$G$33,5,IF($L1098&gt;PARAMETRES!$F$33,4,IF($L1098&gt;PARAMETRES!$E$33,3,IF($L1098&gt;PARAMETRES!$D$33,2,1)))))</f>
        <v/>
      </c>
      <c r="U1098" t="str">
        <f>IF($M1098="","",IF($M1098&gt;PARAMETRES!$G$34,5,IF($M1098&gt;PARAMETRES!$F$34,4,IF($M1098&gt;PARAMETRES!$E$34,3,IF($M1098&gt;PARAMETRES!$D$34,2,1)))))</f>
        <v/>
      </c>
      <c r="V1098" t="str">
        <f>IF($N1098="","",IF($N1098&gt;PARAMETRES!$G$35,5,IF($N1098&gt;PARAMETRES!$F$35,4,IF($N1098&gt;PARAMETRES!$E$35,3,IF($N1098&gt;PARAMETRES!$D$35,2,1)))))</f>
        <v/>
      </c>
      <c r="W1098" t="str">
        <f>IF($O1098="","",IF($O1098&gt;PARAMETRES!$G$36,5,IF($O1098&gt;PARAMETRES!$F$36,4,IF($O1098&gt;PARAMETRES!$E$36,3,IF($O1098&gt;PARAMETRES!$D$36,2,1)))))</f>
        <v/>
      </c>
      <c r="X1098" t="str">
        <f>IF($P1098="","",IF($P1098&gt;PARAMETRES!$G$37,5,IF($P1098&gt;PARAMETRES!$F$37,4,IF($P1098&gt;PARAMETRES!$E$37,3,IF($P1098&gt;PARAMETRES!$D$37,2,1)))))</f>
        <v/>
      </c>
      <c r="Y1098" t="str">
        <f t="shared" si="408"/>
        <v/>
      </c>
      <c r="Z1098" t="str">
        <f>IFERROR(VLOOKUP($B1098,TABLE_CYCLE,2,0),"")</f>
        <v/>
      </c>
      <c r="AA1098" t="str">
        <f t="shared" si="409"/>
        <v/>
      </c>
      <c r="AB1098" t="str">
        <f>IF($D1098="","",IF(COUNTIF($D$2:$D1098,$D1098)=1,$D1098,""))</f>
        <v/>
      </c>
      <c r="AC1098">
        <f t="shared" si="410"/>
        <v>0</v>
      </c>
      <c r="AD1098" t="str">
        <f t="shared" si="411"/>
        <v>|0</v>
      </c>
      <c r="AE1098" t="str">
        <f t="shared" si="412"/>
        <v/>
      </c>
      <c r="AF1098" t="str">
        <f t="shared" si="413"/>
        <v/>
      </c>
      <c r="AG1098" t="str">
        <f t="shared" si="414"/>
        <v/>
      </c>
      <c r="AH1098" t="str">
        <f t="shared" si="415"/>
        <v/>
      </c>
      <c r="AI1098" t="str">
        <f t="shared" si="416"/>
        <v/>
      </c>
      <c r="AJ1098" t="str">
        <f t="shared" si="417"/>
        <v/>
      </c>
      <c r="AK1098" t="str">
        <f t="shared" si="418"/>
        <v/>
      </c>
      <c r="AL1098" t="str">
        <f t="shared" si="419"/>
        <v/>
      </c>
      <c r="AM1098" t="str">
        <f t="shared" si="420"/>
        <v/>
      </c>
      <c r="AN1098" t="str">
        <f t="shared" si="421"/>
        <v/>
      </c>
      <c r="AO1098" t="str">
        <f t="shared" si="422"/>
        <v/>
      </c>
      <c r="AP1098">
        <f t="shared" si="423"/>
        <v>1</v>
      </c>
      <c r="AQ1098" t="str">
        <f>IF(SAISIE!$F1103="","",SAISIE!$Y1103)</f>
        <v/>
      </c>
      <c r="AR1098" t="str">
        <f>IF(OR(SAISIE!$U$4="",SAISIE!$W$4=""),"",IF(AND($A1098=SAISIE!$U$4,$B1098=SAISIE!$W$4,$C1098="S1"),COUNTIFS($A$2:$A1098,SAISIE!$U$4,$B$2:$B1098,SAISIE!$W$4,$C$2:$C1098,"S1"),""))</f>
        <v/>
      </c>
      <c r="AS1098" t="str">
        <f t="shared" si="424"/>
        <v/>
      </c>
      <c r="AT1098" t="str">
        <f t="shared" si="425"/>
        <v/>
      </c>
      <c r="AU1098" t="str">
        <f t="shared" si="426"/>
        <v/>
      </c>
      <c r="AV1098">
        <f>N(AV1097)+IF(AND($AB1098&lt;&gt;"",OR('PROFIL ELEVE'!$K$4="(Tous)",$AF1098='PROFIL ELEVE'!$K$4)),1,0)</f>
        <v>0</v>
      </c>
      <c r="AW1098">
        <f>N(AW1097)+IF(AND($AB1098&lt;&gt;"",OR('SUIVI LONGITUDINAL'!$Q$4="(Tous)",$AF1098='SUIVI LONGITUDINAL'!$Q$4)),1,0)</f>
        <v>0</v>
      </c>
      <c r="AX1098">
        <f t="shared" si="427"/>
        <v>0</v>
      </c>
      <c r="AY1098">
        <f t="shared" si="428"/>
        <v>0</v>
      </c>
      <c r="AZ1098">
        <f t="shared" si="429"/>
        <v>0</v>
      </c>
      <c r="BA1098" t="str">
        <f t="shared" si="430"/>
        <v/>
      </c>
      <c r="BB1098" t="str">
        <f t="shared" si="431"/>
        <v/>
      </c>
    </row>
    <row r="1099" spans="1:54" ht="14.25" customHeight="1" x14ac:dyDescent="0.3">
      <c r="A1099" t="str">
        <f>IF(SAISIE!$F1104="","",SAISIE!$B1104)</f>
        <v/>
      </c>
      <c r="B1099" t="str">
        <f>IF(SAISIE!$F1104="","",SAISIE!$C1104)</f>
        <v/>
      </c>
      <c r="C1099" t="str">
        <f>IF(SAISIE!$F1104="","",SAISIE!$D1104)</f>
        <v/>
      </c>
      <c r="D1099" t="str">
        <f>IF(SAISIE!$E1104="","",SAISIE!$E1104)</f>
        <v/>
      </c>
      <c r="E1099" t="str">
        <f>IF(SAISIE!$F1104="","",SAISIE!$F1104)</f>
        <v/>
      </c>
      <c r="F1099" t="str">
        <f>IF(SAISIE!$G1104="","",SAISIE!$G1104)</f>
        <v/>
      </c>
      <c r="G1099" t="str">
        <f>IF(SAISIE!$H1104="","",SAISIE!$H1104)</f>
        <v/>
      </c>
      <c r="H1099" t="str">
        <f>IF(SAISIE!$I1104="","",SAISIE!$I1104)</f>
        <v/>
      </c>
      <c r="I1099" t="str">
        <f>IF(SAISIE!$J1104="","",SAISIE!$J1104)</f>
        <v/>
      </c>
      <c r="J1099" t="str">
        <f>IF(SAISIE!$K1104="","",SAISIE!$K1104)</f>
        <v/>
      </c>
      <c r="K1099" t="str">
        <f>IF(SAISIE!$L1104="","",SAISIE!$L1104)</f>
        <v/>
      </c>
      <c r="L1099" t="str">
        <f>IF(SAISIE!$M1104="","",SAISIE!$M1104)</f>
        <v/>
      </c>
      <c r="M1099" t="str">
        <f>IF(SAISIE!$N1104="","",SAISIE!$N1104)</f>
        <v/>
      </c>
      <c r="N1099" t="str">
        <f>IF(SAISIE!$O1104="","",SAISIE!$O1104)</f>
        <v/>
      </c>
      <c r="O1099" t="str">
        <f>IF(SAISIE!$P1104="","",SAISIE!$P1104)</f>
        <v/>
      </c>
      <c r="P1099" t="str">
        <f>IF(SAISIE!$Q1104="","",SAISIE!$Q1104)</f>
        <v/>
      </c>
      <c r="Q1099" t="str">
        <f>IF($I1099="","",IF($I1099&gt;PARAMETRES!$G$29,5,IF($I1099&gt;PARAMETRES!$F$29,4,IF($I1099&gt;PARAMETRES!$E$29,3,IF($I1099&gt;PARAMETRES!$D$29,2,1)))))</f>
        <v/>
      </c>
      <c r="R1099" t="str">
        <f>IF($J1099="","",IF($J1099&gt;PARAMETRES!$G$30,5,IF($J1099&gt;PARAMETRES!$F$30,4,IF($J1099&gt;PARAMETRES!$E$30,3,IF($J1099&gt;PARAMETRES!$D$30,2,1)))))</f>
        <v/>
      </c>
      <c r="S1099" t="str">
        <f>IF($K1099="","",IF($Z1099=2,IF($K1099&gt;PARAMETRES!$G$31,5,IF($K1099&gt;PARAMETRES!$F$31,4,IF($K1099&gt;PARAMETRES!$E$31,3,IF($K1099&gt;PARAMETRES!$D$31,2,1)))),IF($K1099&gt;PARAMETRES!$G$32,5,IF($K1099&gt;PARAMETRES!$F$32,4,IF($K1099&gt;PARAMETRES!$E$32,3,IF($K1099&gt;PARAMETRES!$D$32,2,1))))))</f>
        <v/>
      </c>
      <c r="T1099" t="str">
        <f>IF($L1099="","",IF($L1099&gt;PARAMETRES!$G$33,5,IF($L1099&gt;PARAMETRES!$F$33,4,IF($L1099&gt;PARAMETRES!$E$33,3,IF($L1099&gt;PARAMETRES!$D$33,2,1)))))</f>
        <v/>
      </c>
      <c r="U1099" t="str">
        <f>IF($M1099="","",IF($M1099&gt;PARAMETRES!$G$34,5,IF($M1099&gt;PARAMETRES!$F$34,4,IF($M1099&gt;PARAMETRES!$E$34,3,IF($M1099&gt;PARAMETRES!$D$34,2,1)))))</f>
        <v/>
      </c>
      <c r="V1099" t="str">
        <f>IF($N1099="","",IF($N1099&gt;PARAMETRES!$G$35,5,IF($N1099&gt;PARAMETRES!$F$35,4,IF($N1099&gt;PARAMETRES!$E$35,3,IF($N1099&gt;PARAMETRES!$D$35,2,1)))))</f>
        <v/>
      </c>
      <c r="W1099" t="str">
        <f>IF($O1099="","",IF($O1099&gt;PARAMETRES!$G$36,5,IF($O1099&gt;PARAMETRES!$F$36,4,IF($O1099&gt;PARAMETRES!$E$36,3,IF($O1099&gt;PARAMETRES!$D$36,2,1)))))</f>
        <v/>
      </c>
      <c r="X1099" t="str">
        <f>IF($P1099="","",IF($P1099&gt;PARAMETRES!$G$37,5,IF($P1099&gt;PARAMETRES!$F$37,4,IF($P1099&gt;PARAMETRES!$E$37,3,IF($P1099&gt;PARAMETRES!$D$37,2,1)))))</f>
        <v/>
      </c>
      <c r="Y1099" t="str">
        <f t="shared" si="408"/>
        <v/>
      </c>
      <c r="Z1099" t="str">
        <f>IFERROR(VLOOKUP($B1099,TABLE_CYCLE,2,0),"")</f>
        <v/>
      </c>
      <c r="AA1099" t="str">
        <f t="shared" si="409"/>
        <v/>
      </c>
      <c r="AB1099" t="str">
        <f>IF($D1099="","",IF(COUNTIF($D$2:$D1099,$D1099)=1,$D1099,""))</f>
        <v/>
      </c>
      <c r="AC1099">
        <f t="shared" si="410"/>
        <v>0</v>
      </c>
      <c r="AD1099" t="str">
        <f t="shared" si="411"/>
        <v>|0</v>
      </c>
      <c r="AE1099" t="str">
        <f t="shared" si="412"/>
        <v/>
      </c>
      <c r="AF1099" t="str">
        <f t="shared" si="413"/>
        <v/>
      </c>
      <c r="AG1099" t="str">
        <f t="shared" si="414"/>
        <v/>
      </c>
      <c r="AH1099" t="str">
        <f t="shared" si="415"/>
        <v/>
      </c>
      <c r="AI1099" t="str">
        <f t="shared" si="416"/>
        <v/>
      </c>
      <c r="AJ1099" t="str">
        <f t="shared" si="417"/>
        <v/>
      </c>
      <c r="AK1099" t="str">
        <f t="shared" si="418"/>
        <v/>
      </c>
      <c r="AL1099" t="str">
        <f t="shared" si="419"/>
        <v/>
      </c>
      <c r="AM1099" t="str">
        <f t="shared" si="420"/>
        <v/>
      </c>
      <c r="AN1099" t="str">
        <f t="shared" si="421"/>
        <v/>
      </c>
      <c r="AO1099" t="str">
        <f t="shared" si="422"/>
        <v/>
      </c>
      <c r="AP1099">
        <f t="shared" si="423"/>
        <v>1</v>
      </c>
      <c r="AQ1099" t="str">
        <f>IF(SAISIE!$F1104="","",SAISIE!$Y1104)</f>
        <v/>
      </c>
      <c r="AR1099" t="str">
        <f>IF(OR(SAISIE!$U$4="",SAISIE!$W$4=""),"",IF(AND($A1099=SAISIE!$U$4,$B1099=SAISIE!$W$4,$C1099="S1"),COUNTIFS($A$2:$A1099,SAISIE!$U$4,$B$2:$B1099,SAISIE!$W$4,$C$2:$C1099,"S1"),""))</f>
        <v/>
      </c>
      <c r="AS1099" t="str">
        <f t="shared" si="424"/>
        <v/>
      </c>
      <c r="AT1099" t="str">
        <f t="shared" si="425"/>
        <v/>
      </c>
      <c r="AU1099" t="str">
        <f t="shared" si="426"/>
        <v/>
      </c>
      <c r="AV1099">
        <f>N(AV1098)+IF(AND($AB1099&lt;&gt;"",OR('PROFIL ELEVE'!$K$4="(Tous)",$AF1099='PROFIL ELEVE'!$K$4)),1,0)</f>
        <v>0</v>
      </c>
      <c r="AW1099">
        <f>N(AW1098)+IF(AND($AB1099&lt;&gt;"",OR('SUIVI LONGITUDINAL'!$Q$4="(Tous)",$AF1099='SUIVI LONGITUDINAL'!$Q$4)),1,0)</f>
        <v>0</v>
      </c>
      <c r="AX1099">
        <f t="shared" si="427"/>
        <v>0</v>
      </c>
      <c r="AY1099">
        <f t="shared" si="428"/>
        <v>0</v>
      </c>
      <c r="AZ1099">
        <f t="shared" si="429"/>
        <v>0</v>
      </c>
      <c r="BA1099" t="str">
        <f t="shared" si="430"/>
        <v/>
      </c>
      <c r="BB1099" t="str">
        <f t="shared" si="431"/>
        <v/>
      </c>
    </row>
    <row r="1100" spans="1:54" ht="14.25" customHeight="1" x14ac:dyDescent="0.3">
      <c r="A1100" t="str">
        <f>IF(SAISIE!$F1105="","",SAISIE!$B1105)</f>
        <v/>
      </c>
      <c r="B1100" t="str">
        <f>IF(SAISIE!$F1105="","",SAISIE!$C1105)</f>
        <v/>
      </c>
      <c r="C1100" t="str">
        <f>IF(SAISIE!$F1105="","",SAISIE!$D1105)</f>
        <v/>
      </c>
      <c r="D1100" t="str">
        <f>IF(SAISIE!$E1105="","",SAISIE!$E1105)</f>
        <v/>
      </c>
      <c r="E1100" t="str">
        <f>IF(SAISIE!$F1105="","",SAISIE!$F1105)</f>
        <v/>
      </c>
      <c r="F1100" t="str">
        <f>IF(SAISIE!$G1105="","",SAISIE!$G1105)</f>
        <v/>
      </c>
      <c r="G1100" t="str">
        <f>IF(SAISIE!$H1105="","",SAISIE!$H1105)</f>
        <v/>
      </c>
      <c r="H1100" t="str">
        <f>IF(SAISIE!$I1105="","",SAISIE!$I1105)</f>
        <v/>
      </c>
      <c r="I1100" t="str">
        <f>IF(SAISIE!$J1105="","",SAISIE!$J1105)</f>
        <v/>
      </c>
      <c r="J1100" t="str">
        <f>IF(SAISIE!$K1105="","",SAISIE!$K1105)</f>
        <v/>
      </c>
      <c r="K1100" t="str">
        <f>IF(SAISIE!$L1105="","",SAISIE!$L1105)</f>
        <v/>
      </c>
      <c r="L1100" t="str">
        <f>IF(SAISIE!$M1105="","",SAISIE!$M1105)</f>
        <v/>
      </c>
      <c r="M1100" t="str">
        <f>IF(SAISIE!$N1105="","",SAISIE!$N1105)</f>
        <v/>
      </c>
      <c r="N1100" t="str">
        <f>IF(SAISIE!$O1105="","",SAISIE!$O1105)</f>
        <v/>
      </c>
      <c r="O1100" t="str">
        <f>IF(SAISIE!$P1105="","",SAISIE!$P1105)</f>
        <v/>
      </c>
      <c r="P1100" t="str">
        <f>IF(SAISIE!$Q1105="","",SAISIE!$Q1105)</f>
        <v/>
      </c>
      <c r="Q1100" t="str">
        <f>IF($I1100="","",IF($I1100&gt;PARAMETRES!$G$29,5,IF($I1100&gt;PARAMETRES!$F$29,4,IF($I1100&gt;PARAMETRES!$E$29,3,IF($I1100&gt;PARAMETRES!$D$29,2,1)))))</f>
        <v/>
      </c>
      <c r="R1100" t="str">
        <f>IF($J1100="","",IF($J1100&gt;PARAMETRES!$G$30,5,IF($J1100&gt;PARAMETRES!$F$30,4,IF($J1100&gt;PARAMETRES!$E$30,3,IF($J1100&gt;PARAMETRES!$D$30,2,1)))))</f>
        <v/>
      </c>
      <c r="S1100" t="str">
        <f>IF($K1100="","",IF($Z1100=2,IF($K1100&gt;PARAMETRES!$G$31,5,IF($K1100&gt;PARAMETRES!$F$31,4,IF($K1100&gt;PARAMETRES!$E$31,3,IF($K1100&gt;PARAMETRES!$D$31,2,1)))),IF($K1100&gt;PARAMETRES!$G$32,5,IF($K1100&gt;PARAMETRES!$F$32,4,IF($K1100&gt;PARAMETRES!$E$32,3,IF($K1100&gt;PARAMETRES!$D$32,2,1))))))</f>
        <v/>
      </c>
      <c r="T1100" t="str">
        <f>IF($L1100="","",IF($L1100&gt;PARAMETRES!$G$33,5,IF($L1100&gt;PARAMETRES!$F$33,4,IF($L1100&gt;PARAMETRES!$E$33,3,IF($L1100&gt;PARAMETRES!$D$33,2,1)))))</f>
        <v/>
      </c>
      <c r="U1100" t="str">
        <f>IF($M1100="","",IF($M1100&gt;PARAMETRES!$G$34,5,IF($M1100&gt;PARAMETRES!$F$34,4,IF($M1100&gt;PARAMETRES!$E$34,3,IF($M1100&gt;PARAMETRES!$D$34,2,1)))))</f>
        <v/>
      </c>
      <c r="V1100" t="str">
        <f>IF($N1100="","",IF($N1100&gt;PARAMETRES!$G$35,5,IF($N1100&gt;PARAMETRES!$F$35,4,IF($N1100&gt;PARAMETRES!$E$35,3,IF($N1100&gt;PARAMETRES!$D$35,2,1)))))</f>
        <v/>
      </c>
      <c r="W1100" t="str">
        <f>IF($O1100="","",IF($O1100&gt;PARAMETRES!$G$36,5,IF($O1100&gt;PARAMETRES!$F$36,4,IF($O1100&gt;PARAMETRES!$E$36,3,IF($O1100&gt;PARAMETRES!$D$36,2,1)))))</f>
        <v/>
      </c>
      <c r="X1100" t="str">
        <f>IF($P1100="","",IF($P1100&gt;PARAMETRES!$G$37,5,IF($P1100&gt;PARAMETRES!$F$37,4,IF($P1100&gt;PARAMETRES!$E$37,3,IF($P1100&gt;PARAMETRES!$D$37,2,1)))))</f>
        <v/>
      </c>
      <c r="Y1100" t="str">
        <f t="shared" si="408"/>
        <v/>
      </c>
      <c r="Z1100" t="str">
        <f>IFERROR(VLOOKUP($B1100,TABLE_CYCLE,2,0),"")</f>
        <v/>
      </c>
      <c r="AA1100" t="str">
        <f t="shared" si="409"/>
        <v/>
      </c>
      <c r="AB1100" t="str">
        <f>IF($D1100="","",IF(COUNTIF($D$2:$D1100,$D1100)=1,$D1100,""))</f>
        <v/>
      </c>
      <c r="AC1100">
        <f t="shared" si="410"/>
        <v>0</v>
      </c>
      <c r="AD1100" t="str">
        <f t="shared" si="411"/>
        <v>|0</v>
      </c>
      <c r="AE1100" t="str">
        <f t="shared" si="412"/>
        <v/>
      </c>
      <c r="AF1100" t="str">
        <f t="shared" si="413"/>
        <v/>
      </c>
      <c r="AG1100" t="str">
        <f t="shared" si="414"/>
        <v/>
      </c>
      <c r="AH1100" t="str">
        <f t="shared" si="415"/>
        <v/>
      </c>
      <c r="AI1100" t="str">
        <f t="shared" si="416"/>
        <v/>
      </c>
      <c r="AJ1100" t="str">
        <f t="shared" si="417"/>
        <v/>
      </c>
      <c r="AK1100" t="str">
        <f t="shared" si="418"/>
        <v/>
      </c>
      <c r="AL1100" t="str">
        <f t="shared" si="419"/>
        <v/>
      </c>
      <c r="AM1100" t="str">
        <f t="shared" si="420"/>
        <v/>
      </c>
      <c r="AN1100" t="str">
        <f t="shared" si="421"/>
        <v/>
      </c>
      <c r="AO1100" t="str">
        <f t="shared" si="422"/>
        <v/>
      </c>
      <c r="AP1100">
        <f t="shared" si="423"/>
        <v>1</v>
      </c>
      <c r="AQ1100" t="str">
        <f>IF(SAISIE!$F1105="","",SAISIE!$Y1105)</f>
        <v/>
      </c>
      <c r="AR1100" t="str">
        <f>IF(OR(SAISIE!$U$4="",SAISIE!$W$4=""),"",IF(AND($A1100=SAISIE!$U$4,$B1100=SAISIE!$W$4,$C1100="S1"),COUNTIFS($A$2:$A1100,SAISIE!$U$4,$B$2:$B1100,SAISIE!$W$4,$C$2:$C1100,"S1"),""))</f>
        <v/>
      </c>
      <c r="AS1100" t="str">
        <f t="shared" si="424"/>
        <v/>
      </c>
      <c r="AT1100" t="str">
        <f t="shared" si="425"/>
        <v/>
      </c>
      <c r="AU1100" t="str">
        <f t="shared" si="426"/>
        <v/>
      </c>
      <c r="AV1100">
        <f>N(AV1099)+IF(AND($AB1100&lt;&gt;"",OR('PROFIL ELEVE'!$K$4="(Tous)",$AF1100='PROFIL ELEVE'!$K$4)),1,0)</f>
        <v>0</v>
      </c>
      <c r="AW1100">
        <f>N(AW1099)+IF(AND($AB1100&lt;&gt;"",OR('SUIVI LONGITUDINAL'!$Q$4="(Tous)",$AF1100='SUIVI LONGITUDINAL'!$Q$4)),1,0)</f>
        <v>0</v>
      </c>
      <c r="AX1100">
        <f t="shared" si="427"/>
        <v>0</v>
      </c>
      <c r="AY1100">
        <f t="shared" si="428"/>
        <v>0</v>
      </c>
      <c r="AZ1100">
        <f t="shared" si="429"/>
        <v>0</v>
      </c>
      <c r="BA1100" t="str">
        <f t="shared" si="430"/>
        <v/>
      </c>
      <c r="BB1100" t="str">
        <f t="shared" si="431"/>
        <v/>
      </c>
    </row>
    <row r="1101" spans="1:54" ht="14.25" customHeight="1" x14ac:dyDescent="0.3">
      <c r="A1101" t="str">
        <f>IF(SAISIE!$F1106="","",SAISIE!$B1106)</f>
        <v/>
      </c>
      <c r="B1101" t="str">
        <f>IF(SAISIE!$F1106="","",SAISIE!$C1106)</f>
        <v/>
      </c>
      <c r="C1101" t="str">
        <f>IF(SAISIE!$F1106="","",SAISIE!$D1106)</f>
        <v/>
      </c>
      <c r="D1101" t="str">
        <f>IF(SAISIE!$E1106="","",SAISIE!$E1106)</f>
        <v/>
      </c>
      <c r="E1101" t="str">
        <f>IF(SAISIE!$F1106="","",SAISIE!$F1106)</f>
        <v/>
      </c>
      <c r="F1101" t="str">
        <f>IF(SAISIE!$G1106="","",SAISIE!$G1106)</f>
        <v/>
      </c>
      <c r="G1101" t="str">
        <f>IF(SAISIE!$H1106="","",SAISIE!$H1106)</f>
        <v/>
      </c>
      <c r="H1101" t="str">
        <f>IF(SAISIE!$I1106="","",SAISIE!$I1106)</f>
        <v/>
      </c>
      <c r="I1101" t="str">
        <f>IF(SAISIE!$J1106="","",SAISIE!$J1106)</f>
        <v/>
      </c>
      <c r="J1101" t="str">
        <f>IF(SAISIE!$K1106="","",SAISIE!$K1106)</f>
        <v/>
      </c>
      <c r="K1101" t="str">
        <f>IF(SAISIE!$L1106="","",SAISIE!$L1106)</f>
        <v/>
      </c>
      <c r="L1101" t="str">
        <f>IF(SAISIE!$M1106="","",SAISIE!$M1106)</f>
        <v/>
      </c>
      <c r="M1101" t="str">
        <f>IF(SAISIE!$N1106="","",SAISIE!$N1106)</f>
        <v/>
      </c>
      <c r="N1101" t="str">
        <f>IF(SAISIE!$O1106="","",SAISIE!$O1106)</f>
        <v/>
      </c>
      <c r="O1101" t="str">
        <f>IF(SAISIE!$P1106="","",SAISIE!$P1106)</f>
        <v/>
      </c>
      <c r="P1101" t="str">
        <f>IF(SAISIE!$Q1106="","",SAISIE!$Q1106)</f>
        <v/>
      </c>
      <c r="Q1101" t="str">
        <f>IF($I1101="","",IF($I1101&gt;PARAMETRES!$G$29,5,IF($I1101&gt;PARAMETRES!$F$29,4,IF($I1101&gt;PARAMETRES!$E$29,3,IF($I1101&gt;PARAMETRES!$D$29,2,1)))))</f>
        <v/>
      </c>
      <c r="R1101" t="str">
        <f>IF($J1101="","",IF($J1101&gt;PARAMETRES!$G$30,5,IF($J1101&gt;PARAMETRES!$F$30,4,IF($J1101&gt;PARAMETRES!$E$30,3,IF($J1101&gt;PARAMETRES!$D$30,2,1)))))</f>
        <v/>
      </c>
      <c r="S1101" t="str">
        <f>IF($K1101="","",IF($Z1101=2,IF($K1101&gt;PARAMETRES!$G$31,5,IF($K1101&gt;PARAMETRES!$F$31,4,IF($K1101&gt;PARAMETRES!$E$31,3,IF($K1101&gt;PARAMETRES!$D$31,2,1)))),IF($K1101&gt;PARAMETRES!$G$32,5,IF($K1101&gt;PARAMETRES!$F$32,4,IF($K1101&gt;PARAMETRES!$E$32,3,IF($K1101&gt;PARAMETRES!$D$32,2,1))))))</f>
        <v/>
      </c>
      <c r="T1101" t="str">
        <f>IF($L1101="","",IF($L1101&gt;PARAMETRES!$G$33,5,IF($L1101&gt;PARAMETRES!$F$33,4,IF($L1101&gt;PARAMETRES!$E$33,3,IF($L1101&gt;PARAMETRES!$D$33,2,1)))))</f>
        <v/>
      </c>
      <c r="U1101" t="str">
        <f>IF($M1101="","",IF($M1101&gt;PARAMETRES!$G$34,5,IF($M1101&gt;PARAMETRES!$F$34,4,IF($M1101&gt;PARAMETRES!$E$34,3,IF($M1101&gt;PARAMETRES!$D$34,2,1)))))</f>
        <v/>
      </c>
      <c r="V1101" t="str">
        <f>IF($N1101="","",IF($N1101&gt;PARAMETRES!$G$35,5,IF($N1101&gt;PARAMETRES!$F$35,4,IF($N1101&gt;PARAMETRES!$E$35,3,IF($N1101&gt;PARAMETRES!$D$35,2,1)))))</f>
        <v/>
      </c>
      <c r="W1101" t="str">
        <f>IF($O1101="","",IF($O1101&gt;PARAMETRES!$G$36,5,IF($O1101&gt;PARAMETRES!$F$36,4,IF($O1101&gt;PARAMETRES!$E$36,3,IF($O1101&gt;PARAMETRES!$D$36,2,1)))))</f>
        <v/>
      </c>
      <c r="X1101" t="str">
        <f>IF($P1101="","",IF($P1101&gt;PARAMETRES!$G$37,5,IF($P1101&gt;PARAMETRES!$F$37,4,IF($P1101&gt;PARAMETRES!$E$37,3,IF($P1101&gt;PARAMETRES!$D$37,2,1)))))</f>
        <v/>
      </c>
      <c r="Y1101" t="str">
        <f t="shared" si="408"/>
        <v/>
      </c>
      <c r="Z1101" t="str">
        <f>IFERROR(VLOOKUP($B1101,TABLE_CYCLE,2,0),"")</f>
        <v/>
      </c>
      <c r="AA1101" t="str">
        <f t="shared" si="409"/>
        <v/>
      </c>
      <c r="AB1101" t="str">
        <f>IF($D1101="","",IF(COUNTIF($D$2:$D1101,$D1101)=1,$D1101,""))</f>
        <v/>
      </c>
      <c r="AC1101">
        <f t="shared" si="410"/>
        <v>0</v>
      </c>
      <c r="AD1101" t="str">
        <f t="shared" si="411"/>
        <v>|0</v>
      </c>
      <c r="AE1101" t="str">
        <f t="shared" si="412"/>
        <v/>
      </c>
      <c r="AF1101" t="str">
        <f t="shared" si="413"/>
        <v/>
      </c>
      <c r="AG1101" t="str">
        <f t="shared" si="414"/>
        <v/>
      </c>
      <c r="AH1101" t="str">
        <f t="shared" si="415"/>
        <v/>
      </c>
      <c r="AI1101" t="str">
        <f t="shared" si="416"/>
        <v/>
      </c>
      <c r="AJ1101" t="str">
        <f t="shared" si="417"/>
        <v/>
      </c>
      <c r="AK1101" t="str">
        <f t="shared" si="418"/>
        <v/>
      </c>
      <c r="AL1101" t="str">
        <f t="shared" si="419"/>
        <v/>
      </c>
      <c r="AM1101" t="str">
        <f t="shared" si="420"/>
        <v/>
      </c>
      <c r="AN1101" t="str">
        <f t="shared" si="421"/>
        <v/>
      </c>
      <c r="AO1101" t="str">
        <f t="shared" si="422"/>
        <v/>
      </c>
      <c r="AP1101">
        <f t="shared" si="423"/>
        <v>1</v>
      </c>
      <c r="AQ1101" t="str">
        <f>IF(SAISIE!$F1106="","",SAISIE!$Y1106)</f>
        <v/>
      </c>
      <c r="AR1101" t="str">
        <f>IF(OR(SAISIE!$U$4="",SAISIE!$W$4=""),"",IF(AND($A1101=SAISIE!$U$4,$B1101=SAISIE!$W$4,$C1101="S1"),COUNTIFS($A$2:$A1101,SAISIE!$U$4,$B$2:$B1101,SAISIE!$W$4,$C$2:$C1101,"S1"),""))</f>
        <v/>
      </c>
      <c r="AS1101" t="str">
        <f t="shared" si="424"/>
        <v/>
      </c>
      <c r="AT1101" t="str">
        <f t="shared" si="425"/>
        <v/>
      </c>
      <c r="AU1101" t="str">
        <f t="shared" si="426"/>
        <v/>
      </c>
      <c r="AV1101">
        <f>N(AV1100)+IF(AND($AB1101&lt;&gt;"",OR('PROFIL ELEVE'!$K$4="(Tous)",$AF1101='PROFIL ELEVE'!$K$4)),1,0)</f>
        <v>0</v>
      </c>
      <c r="AW1101">
        <f>N(AW1100)+IF(AND($AB1101&lt;&gt;"",OR('SUIVI LONGITUDINAL'!$Q$4="(Tous)",$AF1101='SUIVI LONGITUDINAL'!$Q$4)),1,0)</f>
        <v>0</v>
      </c>
      <c r="AX1101">
        <f t="shared" si="427"/>
        <v>0</v>
      </c>
      <c r="AY1101">
        <f t="shared" si="428"/>
        <v>0</v>
      </c>
      <c r="AZ1101">
        <f t="shared" si="429"/>
        <v>0</v>
      </c>
      <c r="BA1101" t="str">
        <f t="shared" si="430"/>
        <v/>
      </c>
      <c r="BB1101" t="str">
        <f t="shared" si="431"/>
        <v/>
      </c>
    </row>
    <row r="1102" spans="1:54" ht="14.25" customHeight="1" x14ac:dyDescent="0.3">
      <c r="A1102" t="str">
        <f>IF(SAISIE!$F1107="","",SAISIE!$B1107)</f>
        <v/>
      </c>
      <c r="B1102" t="str">
        <f>IF(SAISIE!$F1107="","",SAISIE!$C1107)</f>
        <v/>
      </c>
      <c r="C1102" t="str">
        <f>IF(SAISIE!$F1107="","",SAISIE!$D1107)</f>
        <v/>
      </c>
      <c r="D1102" t="str">
        <f>IF(SAISIE!$E1107="","",SAISIE!$E1107)</f>
        <v/>
      </c>
      <c r="E1102" t="str">
        <f>IF(SAISIE!$F1107="","",SAISIE!$F1107)</f>
        <v/>
      </c>
      <c r="F1102" t="str">
        <f>IF(SAISIE!$G1107="","",SAISIE!$G1107)</f>
        <v/>
      </c>
      <c r="G1102" t="str">
        <f>IF(SAISIE!$H1107="","",SAISIE!$H1107)</f>
        <v/>
      </c>
      <c r="H1102" t="str">
        <f>IF(SAISIE!$I1107="","",SAISIE!$I1107)</f>
        <v/>
      </c>
      <c r="I1102" t="str">
        <f>IF(SAISIE!$J1107="","",SAISIE!$J1107)</f>
        <v/>
      </c>
      <c r="J1102" t="str">
        <f>IF(SAISIE!$K1107="","",SAISIE!$K1107)</f>
        <v/>
      </c>
      <c r="K1102" t="str">
        <f>IF(SAISIE!$L1107="","",SAISIE!$L1107)</f>
        <v/>
      </c>
      <c r="L1102" t="str">
        <f>IF(SAISIE!$M1107="","",SAISIE!$M1107)</f>
        <v/>
      </c>
      <c r="M1102" t="str">
        <f>IF(SAISIE!$N1107="","",SAISIE!$N1107)</f>
        <v/>
      </c>
      <c r="N1102" t="str">
        <f>IF(SAISIE!$O1107="","",SAISIE!$O1107)</f>
        <v/>
      </c>
      <c r="O1102" t="str">
        <f>IF(SAISIE!$P1107="","",SAISIE!$P1107)</f>
        <v/>
      </c>
      <c r="P1102" t="str">
        <f>IF(SAISIE!$Q1107="","",SAISIE!$Q1107)</f>
        <v/>
      </c>
      <c r="Q1102" t="str">
        <f>IF($I1102="","",IF($I1102&gt;PARAMETRES!$G$29,5,IF($I1102&gt;PARAMETRES!$F$29,4,IF($I1102&gt;PARAMETRES!$E$29,3,IF($I1102&gt;PARAMETRES!$D$29,2,1)))))</f>
        <v/>
      </c>
      <c r="R1102" t="str">
        <f>IF($J1102="","",IF($J1102&gt;PARAMETRES!$G$30,5,IF($J1102&gt;PARAMETRES!$F$30,4,IF($J1102&gt;PARAMETRES!$E$30,3,IF($J1102&gt;PARAMETRES!$D$30,2,1)))))</f>
        <v/>
      </c>
      <c r="S1102" t="str">
        <f>IF($K1102="","",IF($Z1102=2,IF($K1102&gt;PARAMETRES!$G$31,5,IF($K1102&gt;PARAMETRES!$F$31,4,IF($K1102&gt;PARAMETRES!$E$31,3,IF($K1102&gt;PARAMETRES!$D$31,2,1)))),IF($K1102&gt;PARAMETRES!$G$32,5,IF($K1102&gt;PARAMETRES!$F$32,4,IF($K1102&gt;PARAMETRES!$E$32,3,IF($K1102&gt;PARAMETRES!$D$32,2,1))))))</f>
        <v/>
      </c>
      <c r="T1102" t="str">
        <f>IF($L1102="","",IF($L1102&gt;PARAMETRES!$G$33,5,IF($L1102&gt;PARAMETRES!$F$33,4,IF($L1102&gt;PARAMETRES!$E$33,3,IF($L1102&gt;PARAMETRES!$D$33,2,1)))))</f>
        <v/>
      </c>
      <c r="U1102" t="str">
        <f>IF($M1102="","",IF($M1102&gt;PARAMETRES!$G$34,5,IF($M1102&gt;PARAMETRES!$F$34,4,IF($M1102&gt;PARAMETRES!$E$34,3,IF($M1102&gt;PARAMETRES!$D$34,2,1)))))</f>
        <v/>
      </c>
      <c r="V1102" t="str">
        <f>IF($N1102="","",IF($N1102&gt;PARAMETRES!$G$35,5,IF($N1102&gt;PARAMETRES!$F$35,4,IF($N1102&gt;PARAMETRES!$E$35,3,IF($N1102&gt;PARAMETRES!$D$35,2,1)))))</f>
        <v/>
      </c>
      <c r="W1102" t="str">
        <f>IF($O1102="","",IF($O1102&gt;PARAMETRES!$G$36,5,IF($O1102&gt;PARAMETRES!$F$36,4,IF($O1102&gt;PARAMETRES!$E$36,3,IF($O1102&gt;PARAMETRES!$D$36,2,1)))))</f>
        <v/>
      </c>
      <c r="X1102" t="str">
        <f>IF($P1102="","",IF($P1102&gt;PARAMETRES!$G$37,5,IF($P1102&gt;PARAMETRES!$F$37,4,IF($P1102&gt;PARAMETRES!$E$37,3,IF($P1102&gt;PARAMETRES!$D$37,2,1)))))</f>
        <v/>
      </c>
      <c r="Y1102" t="str">
        <f t="shared" si="408"/>
        <v/>
      </c>
      <c r="Z1102" t="str">
        <f>IFERROR(VLOOKUP($B1102,TABLE_CYCLE,2,0),"")</f>
        <v/>
      </c>
      <c r="AA1102" t="str">
        <f t="shared" si="409"/>
        <v/>
      </c>
      <c r="AB1102" t="str">
        <f>IF($D1102="","",IF(COUNTIF($D$2:$D1102,$D1102)=1,$D1102,""))</f>
        <v/>
      </c>
      <c r="AC1102">
        <f t="shared" si="410"/>
        <v>0</v>
      </c>
      <c r="AD1102" t="str">
        <f t="shared" si="411"/>
        <v>|0</v>
      </c>
      <c r="AE1102" t="str">
        <f t="shared" si="412"/>
        <v/>
      </c>
      <c r="AF1102" t="str">
        <f t="shared" si="413"/>
        <v/>
      </c>
      <c r="AG1102" t="str">
        <f t="shared" si="414"/>
        <v/>
      </c>
      <c r="AH1102" t="str">
        <f t="shared" si="415"/>
        <v/>
      </c>
      <c r="AI1102" t="str">
        <f t="shared" si="416"/>
        <v/>
      </c>
      <c r="AJ1102" t="str">
        <f t="shared" si="417"/>
        <v/>
      </c>
      <c r="AK1102" t="str">
        <f t="shared" si="418"/>
        <v/>
      </c>
      <c r="AL1102" t="str">
        <f t="shared" si="419"/>
        <v/>
      </c>
      <c r="AM1102" t="str">
        <f t="shared" si="420"/>
        <v/>
      </c>
      <c r="AN1102" t="str">
        <f t="shared" si="421"/>
        <v/>
      </c>
      <c r="AO1102" t="str">
        <f t="shared" si="422"/>
        <v/>
      </c>
      <c r="AP1102">
        <f t="shared" si="423"/>
        <v>1</v>
      </c>
      <c r="AQ1102" t="str">
        <f>IF(SAISIE!$F1107="","",SAISIE!$Y1107)</f>
        <v/>
      </c>
      <c r="AR1102" t="str">
        <f>IF(OR(SAISIE!$U$4="",SAISIE!$W$4=""),"",IF(AND($A1102=SAISIE!$U$4,$B1102=SAISIE!$W$4,$C1102="S1"),COUNTIFS($A$2:$A1102,SAISIE!$U$4,$B$2:$B1102,SAISIE!$W$4,$C$2:$C1102,"S1"),""))</f>
        <v/>
      </c>
      <c r="AS1102" t="str">
        <f t="shared" si="424"/>
        <v/>
      </c>
      <c r="AT1102" t="str">
        <f t="shared" si="425"/>
        <v/>
      </c>
      <c r="AU1102" t="str">
        <f t="shared" si="426"/>
        <v/>
      </c>
      <c r="AV1102">
        <f>N(AV1101)+IF(AND($AB1102&lt;&gt;"",OR('PROFIL ELEVE'!$K$4="(Tous)",$AF1102='PROFIL ELEVE'!$K$4)),1,0)</f>
        <v>0</v>
      </c>
      <c r="AW1102">
        <f>N(AW1101)+IF(AND($AB1102&lt;&gt;"",OR('SUIVI LONGITUDINAL'!$Q$4="(Tous)",$AF1102='SUIVI LONGITUDINAL'!$Q$4)),1,0)</f>
        <v>0</v>
      </c>
      <c r="AX1102">
        <f t="shared" si="427"/>
        <v>0</v>
      </c>
      <c r="AY1102">
        <f t="shared" si="428"/>
        <v>0</v>
      </c>
      <c r="AZ1102">
        <f t="shared" si="429"/>
        <v>0</v>
      </c>
      <c r="BA1102" t="str">
        <f t="shared" si="430"/>
        <v/>
      </c>
      <c r="BB1102" t="str">
        <f t="shared" si="431"/>
        <v/>
      </c>
    </row>
    <row r="1103" spans="1:54" ht="14.25" customHeight="1" x14ac:dyDescent="0.3">
      <c r="A1103" t="str">
        <f>IF(SAISIE!$F1108="","",SAISIE!$B1108)</f>
        <v/>
      </c>
      <c r="B1103" t="str">
        <f>IF(SAISIE!$F1108="","",SAISIE!$C1108)</f>
        <v/>
      </c>
      <c r="C1103" t="str">
        <f>IF(SAISIE!$F1108="","",SAISIE!$D1108)</f>
        <v/>
      </c>
      <c r="D1103" t="str">
        <f>IF(SAISIE!$E1108="","",SAISIE!$E1108)</f>
        <v/>
      </c>
      <c r="E1103" t="str">
        <f>IF(SAISIE!$F1108="","",SAISIE!$F1108)</f>
        <v/>
      </c>
      <c r="F1103" t="str">
        <f>IF(SAISIE!$G1108="","",SAISIE!$G1108)</f>
        <v/>
      </c>
      <c r="G1103" t="str">
        <f>IF(SAISIE!$H1108="","",SAISIE!$H1108)</f>
        <v/>
      </c>
      <c r="H1103" t="str">
        <f>IF(SAISIE!$I1108="","",SAISIE!$I1108)</f>
        <v/>
      </c>
      <c r="I1103" t="str">
        <f>IF(SAISIE!$J1108="","",SAISIE!$J1108)</f>
        <v/>
      </c>
      <c r="J1103" t="str">
        <f>IF(SAISIE!$K1108="","",SAISIE!$K1108)</f>
        <v/>
      </c>
      <c r="K1103" t="str">
        <f>IF(SAISIE!$L1108="","",SAISIE!$L1108)</f>
        <v/>
      </c>
      <c r="L1103" t="str">
        <f>IF(SAISIE!$M1108="","",SAISIE!$M1108)</f>
        <v/>
      </c>
      <c r="M1103" t="str">
        <f>IF(SAISIE!$N1108="","",SAISIE!$N1108)</f>
        <v/>
      </c>
      <c r="N1103" t="str">
        <f>IF(SAISIE!$O1108="","",SAISIE!$O1108)</f>
        <v/>
      </c>
      <c r="O1103" t="str">
        <f>IF(SAISIE!$P1108="","",SAISIE!$P1108)</f>
        <v/>
      </c>
      <c r="P1103" t="str">
        <f>IF(SAISIE!$Q1108="","",SAISIE!$Q1108)</f>
        <v/>
      </c>
      <c r="Q1103" t="str">
        <f>IF($I1103="","",IF($I1103&gt;PARAMETRES!$G$29,5,IF($I1103&gt;PARAMETRES!$F$29,4,IF($I1103&gt;PARAMETRES!$E$29,3,IF($I1103&gt;PARAMETRES!$D$29,2,1)))))</f>
        <v/>
      </c>
      <c r="R1103" t="str">
        <f>IF($J1103="","",IF($J1103&gt;PARAMETRES!$G$30,5,IF($J1103&gt;PARAMETRES!$F$30,4,IF($J1103&gt;PARAMETRES!$E$30,3,IF($J1103&gt;PARAMETRES!$D$30,2,1)))))</f>
        <v/>
      </c>
      <c r="S1103" t="str">
        <f>IF($K1103="","",IF($Z1103=2,IF($K1103&gt;PARAMETRES!$G$31,5,IF($K1103&gt;PARAMETRES!$F$31,4,IF($K1103&gt;PARAMETRES!$E$31,3,IF($K1103&gt;PARAMETRES!$D$31,2,1)))),IF($K1103&gt;PARAMETRES!$G$32,5,IF($K1103&gt;PARAMETRES!$F$32,4,IF($K1103&gt;PARAMETRES!$E$32,3,IF($K1103&gt;PARAMETRES!$D$32,2,1))))))</f>
        <v/>
      </c>
      <c r="T1103" t="str">
        <f>IF($L1103="","",IF($L1103&gt;PARAMETRES!$G$33,5,IF($L1103&gt;PARAMETRES!$F$33,4,IF($L1103&gt;PARAMETRES!$E$33,3,IF($L1103&gt;PARAMETRES!$D$33,2,1)))))</f>
        <v/>
      </c>
      <c r="U1103" t="str">
        <f>IF($M1103="","",IF($M1103&gt;PARAMETRES!$G$34,5,IF($M1103&gt;PARAMETRES!$F$34,4,IF($M1103&gt;PARAMETRES!$E$34,3,IF($M1103&gt;PARAMETRES!$D$34,2,1)))))</f>
        <v/>
      </c>
      <c r="V1103" t="str">
        <f>IF($N1103="","",IF($N1103&gt;PARAMETRES!$G$35,5,IF($N1103&gt;PARAMETRES!$F$35,4,IF($N1103&gt;PARAMETRES!$E$35,3,IF($N1103&gt;PARAMETRES!$D$35,2,1)))))</f>
        <v/>
      </c>
      <c r="W1103" t="str">
        <f>IF($O1103="","",IF($O1103&gt;PARAMETRES!$G$36,5,IF($O1103&gt;PARAMETRES!$F$36,4,IF($O1103&gt;PARAMETRES!$E$36,3,IF($O1103&gt;PARAMETRES!$D$36,2,1)))))</f>
        <v/>
      </c>
      <c r="X1103" t="str">
        <f>IF($P1103="","",IF($P1103&gt;PARAMETRES!$G$37,5,IF($P1103&gt;PARAMETRES!$F$37,4,IF($P1103&gt;PARAMETRES!$E$37,3,IF($P1103&gt;PARAMETRES!$D$37,2,1)))))</f>
        <v/>
      </c>
      <c r="Y1103" t="str">
        <f t="shared" si="408"/>
        <v/>
      </c>
      <c r="Z1103" t="str">
        <f>IFERROR(VLOOKUP($B1103,TABLE_CYCLE,2,0),"")</f>
        <v/>
      </c>
      <c r="AA1103" t="str">
        <f t="shared" si="409"/>
        <v/>
      </c>
      <c r="AB1103" t="str">
        <f>IF($D1103="","",IF(COUNTIF($D$2:$D1103,$D1103)=1,$D1103,""))</f>
        <v/>
      </c>
      <c r="AC1103">
        <f t="shared" si="410"/>
        <v>0</v>
      </c>
      <c r="AD1103" t="str">
        <f t="shared" si="411"/>
        <v>|0</v>
      </c>
      <c r="AE1103" t="str">
        <f t="shared" si="412"/>
        <v/>
      </c>
      <c r="AF1103" t="str">
        <f t="shared" si="413"/>
        <v/>
      </c>
      <c r="AG1103" t="str">
        <f t="shared" si="414"/>
        <v/>
      </c>
      <c r="AH1103" t="str">
        <f t="shared" si="415"/>
        <v/>
      </c>
      <c r="AI1103" t="str">
        <f t="shared" si="416"/>
        <v/>
      </c>
      <c r="AJ1103" t="str">
        <f t="shared" si="417"/>
        <v/>
      </c>
      <c r="AK1103" t="str">
        <f t="shared" si="418"/>
        <v/>
      </c>
      <c r="AL1103" t="str">
        <f t="shared" si="419"/>
        <v/>
      </c>
      <c r="AM1103" t="str">
        <f t="shared" si="420"/>
        <v/>
      </c>
      <c r="AN1103" t="str">
        <f t="shared" si="421"/>
        <v/>
      </c>
      <c r="AO1103" t="str">
        <f t="shared" si="422"/>
        <v/>
      </c>
      <c r="AP1103">
        <f t="shared" si="423"/>
        <v>1</v>
      </c>
      <c r="AQ1103" t="str">
        <f>IF(SAISIE!$F1108="","",SAISIE!$Y1108)</f>
        <v/>
      </c>
      <c r="AR1103" t="str">
        <f>IF(OR(SAISIE!$U$4="",SAISIE!$W$4=""),"",IF(AND($A1103=SAISIE!$U$4,$B1103=SAISIE!$W$4,$C1103="S1"),COUNTIFS($A$2:$A1103,SAISIE!$U$4,$B$2:$B1103,SAISIE!$W$4,$C$2:$C1103,"S1"),""))</f>
        <v/>
      </c>
      <c r="AS1103" t="str">
        <f t="shared" si="424"/>
        <v/>
      </c>
      <c r="AT1103" t="str">
        <f t="shared" si="425"/>
        <v/>
      </c>
      <c r="AU1103" t="str">
        <f t="shared" si="426"/>
        <v/>
      </c>
      <c r="AV1103">
        <f>N(AV1102)+IF(AND($AB1103&lt;&gt;"",OR('PROFIL ELEVE'!$K$4="(Tous)",$AF1103='PROFIL ELEVE'!$K$4)),1,0)</f>
        <v>0</v>
      </c>
      <c r="AW1103">
        <f>N(AW1102)+IF(AND($AB1103&lt;&gt;"",OR('SUIVI LONGITUDINAL'!$Q$4="(Tous)",$AF1103='SUIVI LONGITUDINAL'!$Q$4)),1,0)</f>
        <v>0</v>
      </c>
      <c r="AX1103">
        <f t="shared" si="427"/>
        <v>0</v>
      </c>
      <c r="AY1103">
        <f t="shared" si="428"/>
        <v>0</v>
      </c>
      <c r="AZ1103">
        <f t="shared" si="429"/>
        <v>0</v>
      </c>
      <c r="BA1103" t="str">
        <f t="shared" si="430"/>
        <v/>
      </c>
      <c r="BB1103" t="str">
        <f t="shared" si="431"/>
        <v/>
      </c>
    </row>
    <row r="1104" spans="1:54" ht="14.25" customHeight="1" x14ac:dyDescent="0.3">
      <c r="A1104" t="str">
        <f>IF(SAISIE!$F1109="","",SAISIE!$B1109)</f>
        <v/>
      </c>
      <c r="B1104" t="str">
        <f>IF(SAISIE!$F1109="","",SAISIE!$C1109)</f>
        <v/>
      </c>
      <c r="C1104" t="str">
        <f>IF(SAISIE!$F1109="","",SAISIE!$D1109)</f>
        <v/>
      </c>
      <c r="D1104" t="str">
        <f>IF(SAISIE!$E1109="","",SAISIE!$E1109)</f>
        <v/>
      </c>
      <c r="E1104" t="str">
        <f>IF(SAISIE!$F1109="","",SAISIE!$F1109)</f>
        <v/>
      </c>
      <c r="F1104" t="str">
        <f>IF(SAISIE!$G1109="","",SAISIE!$G1109)</f>
        <v/>
      </c>
      <c r="G1104" t="str">
        <f>IF(SAISIE!$H1109="","",SAISIE!$H1109)</f>
        <v/>
      </c>
      <c r="H1104" t="str">
        <f>IF(SAISIE!$I1109="","",SAISIE!$I1109)</f>
        <v/>
      </c>
      <c r="I1104" t="str">
        <f>IF(SAISIE!$J1109="","",SAISIE!$J1109)</f>
        <v/>
      </c>
      <c r="J1104" t="str">
        <f>IF(SAISIE!$K1109="","",SAISIE!$K1109)</f>
        <v/>
      </c>
      <c r="K1104" t="str">
        <f>IF(SAISIE!$L1109="","",SAISIE!$L1109)</f>
        <v/>
      </c>
      <c r="L1104" t="str">
        <f>IF(SAISIE!$M1109="","",SAISIE!$M1109)</f>
        <v/>
      </c>
      <c r="M1104" t="str">
        <f>IF(SAISIE!$N1109="","",SAISIE!$N1109)</f>
        <v/>
      </c>
      <c r="N1104" t="str">
        <f>IF(SAISIE!$O1109="","",SAISIE!$O1109)</f>
        <v/>
      </c>
      <c r="O1104" t="str">
        <f>IF(SAISIE!$P1109="","",SAISIE!$P1109)</f>
        <v/>
      </c>
      <c r="P1104" t="str">
        <f>IF(SAISIE!$Q1109="","",SAISIE!$Q1109)</f>
        <v/>
      </c>
      <c r="Q1104" t="str">
        <f>IF($I1104="","",IF($I1104&gt;PARAMETRES!$G$29,5,IF($I1104&gt;PARAMETRES!$F$29,4,IF($I1104&gt;PARAMETRES!$E$29,3,IF($I1104&gt;PARAMETRES!$D$29,2,1)))))</f>
        <v/>
      </c>
      <c r="R1104" t="str">
        <f>IF($J1104="","",IF($J1104&gt;PARAMETRES!$G$30,5,IF($J1104&gt;PARAMETRES!$F$30,4,IF($J1104&gt;PARAMETRES!$E$30,3,IF($J1104&gt;PARAMETRES!$D$30,2,1)))))</f>
        <v/>
      </c>
      <c r="S1104" t="str">
        <f>IF($K1104="","",IF($Z1104=2,IF($K1104&gt;PARAMETRES!$G$31,5,IF($K1104&gt;PARAMETRES!$F$31,4,IF($K1104&gt;PARAMETRES!$E$31,3,IF($K1104&gt;PARAMETRES!$D$31,2,1)))),IF($K1104&gt;PARAMETRES!$G$32,5,IF($K1104&gt;PARAMETRES!$F$32,4,IF($K1104&gt;PARAMETRES!$E$32,3,IF($K1104&gt;PARAMETRES!$D$32,2,1))))))</f>
        <v/>
      </c>
      <c r="T1104" t="str">
        <f>IF($L1104="","",IF($L1104&gt;PARAMETRES!$G$33,5,IF($L1104&gt;PARAMETRES!$F$33,4,IF($L1104&gt;PARAMETRES!$E$33,3,IF($L1104&gt;PARAMETRES!$D$33,2,1)))))</f>
        <v/>
      </c>
      <c r="U1104" t="str">
        <f>IF($M1104="","",IF($M1104&gt;PARAMETRES!$G$34,5,IF($M1104&gt;PARAMETRES!$F$34,4,IF($M1104&gt;PARAMETRES!$E$34,3,IF($M1104&gt;PARAMETRES!$D$34,2,1)))))</f>
        <v/>
      </c>
      <c r="V1104" t="str">
        <f>IF($N1104="","",IF($N1104&gt;PARAMETRES!$G$35,5,IF($N1104&gt;PARAMETRES!$F$35,4,IF($N1104&gt;PARAMETRES!$E$35,3,IF($N1104&gt;PARAMETRES!$D$35,2,1)))))</f>
        <v/>
      </c>
      <c r="W1104" t="str">
        <f>IF($O1104="","",IF($O1104&gt;PARAMETRES!$G$36,5,IF($O1104&gt;PARAMETRES!$F$36,4,IF($O1104&gt;PARAMETRES!$E$36,3,IF($O1104&gt;PARAMETRES!$D$36,2,1)))))</f>
        <v/>
      </c>
      <c r="X1104" t="str">
        <f>IF($P1104="","",IF($P1104&gt;PARAMETRES!$G$37,5,IF($P1104&gt;PARAMETRES!$F$37,4,IF($P1104&gt;PARAMETRES!$E$37,3,IF($P1104&gt;PARAMETRES!$D$37,2,1)))))</f>
        <v/>
      </c>
      <c r="Y1104" t="str">
        <f t="shared" si="408"/>
        <v/>
      </c>
      <c r="Z1104" t="str">
        <f>IFERROR(VLOOKUP($B1104,TABLE_CYCLE,2,0),"")</f>
        <v/>
      </c>
      <c r="AA1104" t="str">
        <f t="shared" si="409"/>
        <v/>
      </c>
      <c r="AB1104" t="str">
        <f>IF($D1104="","",IF(COUNTIF($D$2:$D1104,$D1104)=1,$D1104,""))</f>
        <v/>
      </c>
      <c r="AC1104">
        <f t="shared" si="410"/>
        <v>0</v>
      </c>
      <c r="AD1104" t="str">
        <f t="shared" si="411"/>
        <v>|0</v>
      </c>
      <c r="AE1104" t="str">
        <f t="shared" si="412"/>
        <v/>
      </c>
      <c r="AF1104" t="str">
        <f t="shared" si="413"/>
        <v/>
      </c>
      <c r="AG1104" t="str">
        <f t="shared" si="414"/>
        <v/>
      </c>
      <c r="AH1104" t="str">
        <f t="shared" si="415"/>
        <v/>
      </c>
      <c r="AI1104" t="str">
        <f t="shared" si="416"/>
        <v/>
      </c>
      <c r="AJ1104" t="str">
        <f t="shared" si="417"/>
        <v/>
      </c>
      <c r="AK1104" t="str">
        <f t="shared" si="418"/>
        <v/>
      </c>
      <c r="AL1104" t="str">
        <f t="shared" si="419"/>
        <v/>
      </c>
      <c r="AM1104" t="str">
        <f t="shared" si="420"/>
        <v/>
      </c>
      <c r="AN1104" t="str">
        <f t="shared" si="421"/>
        <v/>
      </c>
      <c r="AO1104" t="str">
        <f t="shared" si="422"/>
        <v/>
      </c>
      <c r="AP1104">
        <f t="shared" si="423"/>
        <v>1</v>
      </c>
      <c r="AQ1104" t="str">
        <f>IF(SAISIE!$F1109="","",SAISIE!$Y1109)</f>
        <v/>
      </c>
      <c r="AR1104" t="str">
        <f>IF(OR(SAISIE!$U$4="",SAISIE!$W$4=""),"",IF(AND($A1104=SAISIE!$U$4,$B1104=SAISIE!$W$4,$C1104="S1"),COUNTIFS($A$2:$A1104,SAISIE!$U$4,$B$2:$B1104,SAISIE!$W$4,$C$2:$C1104,"S1"),""))</f>
        <v/>
      </c>
      <c r="AS1104" t="str">
        <f t="shared" si="424"/>
        <v/>
      </c>
      <c r="AT1104" t="str">
        <f t="shared" si="425"/>
        <v/>
      </c>
      <c r="AU1104" t="str">
        <f t="shared" si="426"/>
        <v/>
      </c>
      <c r="AV1104">
        <f>N(AV1103)+IF(AND($AB1104&lt;&gt;"",OR('PROFIL ELEVE'!$K$4="(Tous)",$AF1104='PROFIL ELEVE'!$K$4)),1,0)</f>
        <v>0</v>
      </c>
      <c r="AW1104">
        <f>N(AW1103)+IF(AND($AB1104&lt;&gt;"",OR('SUIVI LONGITUDINAL'!$Q$4="(Tous)",$AF1104='SUIVI LONGITUDINAL'!$Q$4)),1,0)</f>
        <v>0</v>
      </c>
      <c r="AX1104">
        <f t="shared" si="427"/>
        <v>0</v>
      </c>
      <c r="AY1104">
        <f t="shared" si="428"/>
        <v>0</v>
      </c>
      <c r="AZ1104">
        <f t="shared" si="429"/>
        <v>0</v>
      </c>
      <c r="BA1104" t="str">
        <f t="shared" si="430"/>
        <v/>
      </c>
      <c r="BB1104" t="str">
        <f t="shared" si="431"/>
        <v/>
      </c>
    </row>
    <row r="1105" spans="1:54" ht="14.25" customHeight="1" x14ac:dyDescent="0.3">
      <c r="A1105" t="str">
        <f>IF(SAISIE!$F1110="","",SAISIE!$B1110)</f>
        <v/>
      </c>
      <c r="B1105" t="str">
        <f>IF(SAISIE!$F1110="","",SAISIE!$C1110)</f>
        <v/>
      </c>
      <c r="C1105" t="str">
        <f>IF(SAISIE!$F1110="","",SAISIE!$D1110)</f>
        <v/>
      </c>
      <c r="D1105" t="str">
        <f>IF(SAISIE!$E1110="","",SAISIE!$E1110)</f>
        <v/>
      </c>
      <c r="E1105" t="str">
        <f>IF(SAISIE!$F1110="","",SAISIE!$F1110)</f>
        <v/>
      </c>
      <c r="F1105" t="str">
        <f>IF(SAISIE!$G1110="","",SAISIE!$G1110)</f>
        <v/>
      </c>
      <c r="G1105" t="str">
        <f>IF(SAISIE!$H1110="","",SAISIE!$H1110)</f>
        <v/>
      </c>
      <c r="H1105" t="str">
        <f>IF(SAISIE!$I1110="","",SAISIE!$I1110)</f>
        <v/>
      </c>
      <c r="I1105" t="str">
        <f>IF(SAISIE!$J1110="","",SAISIE!$J1110)</f>
        <v/>
      </c>
      <c r="J1105" t="str">
        <f>IF(SAISIE!$K1110="","",SAISIE!$K1110)</f>
        <v/>
      </c>
      <c r="K1105" t="str">
        <f>IF(SAISIE!$L1110="","",SAISIE!$L1110)</f>
        <v/>
      </c>
      <c r="L1105" t="str">
        <f>IF(SAISIE!$M1110="","",SAISIE!$M1110)</f>
        <v/>
      </c>
      <c r="M1105" t="str">
        <f>IF(SAISIE!$N1110="","",SAISIE!$N1110)</f>
        <v/>
      </c>
      <c r="N1105" t="str">
        <f>IF(SAISIE!$O1110="","",SAISIE!$O1110)</f>
        <v/>
      </c>
      <c r="O1105" t="str">
        <f>IF(SAISIE!$P1110="","",SAISIE!$P1110)</f>
        <v/>
      </c>
      <c r="P1105" t="str">
        <f>IF(SAISIE!$Q1110="","",SAISIE!$Q1110)</f>
        <v/>
      </c>
      <c r="Q1105" t="str">
        <f>IF($I1105="","",IF($I1105&gt;PARAMETRES!$G$29,5,IF($I1105&gt;PARAMETRES!$F$29,4,IF($I1105&gt;PARAMETRES!$E$29,3,IF($I1105&gt;PARAMETRES!$D$29,2,1)))))</f>
        <v/>
      </c>
      <c r="R1105" t="str">
        <f>IF($J1105="","",IF($J1105&gt;PARAMETRES!$G$30,5,IF($J1105&gt;PARAMETRES!$F$30,4,IF($J1105&gt;PARAMETRES!$E$30,3,IF($J1105&gt;PARAMETRES!$D$30,2,1)))))</f>
        <v/>
      </c>
      <c r="S1105" t="str">
        <f>IF($K1105="","",IF($Z1105=2,IF($K1105&gt;PARAMETRES!$G$31,5,IF($K1105&gt;PARAMETRES!$F$31,4,IF($K1105&gt;PARAMETRES!$E$31,3,IF($K1105&gt;PARAMETRES!$D$31,2,1)))),IF($K1105&gt;PARAMETRES!$G$32,5,IF($K1105&gt;PARAMETRES!$F$32,4,IF($K1105&gt;PARAMETRES!$E$32,3,IF($K1105&gt;PARAMETRES!$D$32,2,1))))))</f>
        <v/>
      </c>
      <c r="T1105" t="str">
        <f>IF($L1105="","",IF($L1105&gt;PARAMETRES!$G$33,5,IF($L1105&gt;PARAMETRES!$F$33,4,IF($L1105&gt;PARAMETRES!$E$33,3,IF($L1105&gt;PARAMETRES!$D$33,2,1)))))</f>
        <v/>
      </c>
      <c r="U1105" t="str">
        <f>IF($M1105="","",IF($M1105&gt;PARAMETRES!$G$34,5,IF($M1105&gt;PARAMETRES!$F$34,4,IF($M1105&gt;PARAMETRES!$E$34,3,IF($M1105&gt;PARAMETRES!$D$34,2,1)))))</f>
        <v/>
      </c>
      <c r="V1105" t="str">
        <f>IF($N1105="","",IF($N1105&gt;PARAMETRES!$G$35,5,IF($N1105&gt;PARAMETRES!$F$35,4,IF($N1105&gt;PARAMETRES!$E$35,3,IF($N1105&gt;PARAMETRES!$D$35,2,1)))))</f>
        <v/>
      </c>
      <c r="W1105" t="str">
        <f>IF($O1105="","",IF($O1105&gt;PARAMETRES!$G$36,5,IF($O1105&gt;PARAMETRES!$F$36,4,IF($O1105&gt;PARAMETRES!$E$36,3,IF($O1105&gt;PARAMETRES!$D$36,2,1)))))</f>
        <v/>
      </c>
      <c r="X1105" t="str">
        <f>IF($P1105="","",IF($P1105&gt;PARAMETRES!$G$37,5,IF($P1105&gt;PARAMETRES!$F$37,4,IF($P1105&gt;PARAMETRES!$E$37,3,IF($P1105&gt;PARAMETRES!$D$37,2,1)))))</f>
        <v/>
      </c>
      <c r="Y1105" t="str">
        <f t="shared" si="408"/>
        <v/>
      </c>
      <c r="Z1105" t="str">
        <f>IFERROR(VLOOKUP($B1105,TABLE_CYCLE,2,0),"")</f>
        <v/>
      </c>
      <c r="AA1105" t="str">
        <f t="shared" si="409"/>
        <v/>
      </c>
      <c r="AB1105" t="str">
        <f>IF($D1105="","",IF(COUNTIF($D$2:$D1105,$D1105)=1,$D1105,""))</f>
        <v/>
      </c>
      <c r="AC1105">
        <f t="shared" si="410"/>
        <v>0</v>
      </c>
      <c r="AD1105" t="str">
        <f t="shared" si="411"/>
        <v>|0</v>
      </c>
      <c r="AE1105" t="str">
        <f t="shared" si="412"/>
        <v/>
      </c>
      <c r="AF1105" t="str">
        <f t="shared" si="413"/>
        <v/>
      </c>
      <c r="AG1105" t="str">
        <f t="shared" si="414"/>
        <v/>
      </c>
      <c r="AH1105" t="str">
        <f t="shared" si="415"/>
        <v/>
      </c>
      <c r="AI1105" t="str">
        <f t="shared" si="416"/>
        <v/>
      </c>
      <c r="AJ1105" t="str">
        <f t="shared" si="417"/>
        <v/>
      </c>
      <c r="AK1105" t="str">
        <f t="shared" si="418"/>
        <v/>
      </c>
      <c r="AL1105" t="str">
        <f t="shared" si="419"/>
        <v/>
      </c>
      <c r="AM1105" t="str">
        <f t="shared" si="420"/>
        <v/>
      </c>
      <c r="AN1105" t="str">
        <f t="shared" si="421"/>
        <v/>
      </c>
      <c r="AO1105" t="str">
        <f t="shared" si="422"/>
        <v/>
      </c>
      <c r="AP1105">
        <f t="shared" si="423"/>
        <v>1</v>
      </c>
      <c r="AQ1105" t="str">
        <f>IF(SAISIE!$F1110="","",SAISIE!$Y1110)</f>
        <v/>
      </c>
      <c r="AR1105" t="str">
        <f>IF(OR(SAISIE!$U$4="",SAISIE!$W$4=""),"",IF(AND($A1105=SAISIE!$U$4,$B1105=SAISIE!$W$4,$C1105="S1"),COUNTIFS($A$2:$A1105,SAISIE!$U$4,$B$2:$B1105,SAISIE!$W$4,$C$2:$C1105,"S1"),""))</f>
        <v/>
      </c>
      <c r="AS1105" t="str">
        <f t="shared" si="424"/>
        <v/>
      </c>
      <c r="AT1105" t="str">
        <f t="shared" si="425"/>
        <v/>
      </c>
      <c r="AU1105" t="str">
        <f t="shared" si="426"/>
        <v/>
      </c>
      <c r="AV1105">
        <f>N(AV1104)+IF(AND($AB1105&lt;&gt;"",OR('PROFIL ELEVE'!$K$4="(Tous)",$AF1105='PROFIL ELEVE'!$K$4)),1,0)</f>
        <v>0</v>
      </c>
      <c r="AW1105">
        <f>N(AW1104)+IF(AND($AB1105&lt;&gt;"",OR('SUIVI LONGITUDINAL'!$Q$4="(Tous)",$AF1105='SUIVI LONGITUDINAL'!$Q$4)),1,0)</f>
        <v>0</v>
      </c>
      <c r="AX1105">
        <f t="shared" si="427"/>
        <v>0</v>
      </c>
      <c r="AY1105">
        <f t="shared" si="428"/>
        <v>0</v>
      </c>
      <c r="AZ1105">
        <f t="shared" si="429"/>
        <v>0</v>
      </c>
      <c r="BA1105" t="str">
        <f t="shared" si="430"/>
        <v/>
      </c>
      <c r="BB1105" t="str">
        <f t="shared" si="431"/>
        <v/>
      </c>
    </row>
    <row r="1106" spans="1:54" ht="14.25" customHeight="1" x14ac:dyDescent="0.3">
      <c r="A1106" t="str">
        <f>IF(SAISIE!$F1111="","",SAISIE!$B1111)</f>
        <v/>
      </c>
      <c r="B1106" t="str">
        <f>IF(SAISIE!$F1111="","",SAISIE!$C1111)</f>
        <v/>
      </c>
      <c r="C1106" t="str">
        <f>IF(SAISIE!$F1111="","",SAISIE!$D1111)</f>
        <v/>
      </c>
      <c r="D1106" t="str">
        <f>IF(SAISIE!$E1111="","",SAISIE!$E1111)</f>
        <v/>
      </c>
      <c r="E1106" t="str">
        <f>IF(SAISIE!$F1111="","",SAISIE!$F1111)</f>
        <v/>
      </c>
      <c r="F1106" t="str">
        <f>IF(SAISIE!$G1111="","",SAISIE!$G1111)</f>
        <v/>
      </c>
      <c r="G1106" t="str">
        <f>IF(SAISIE!$H1111="","",SAISIE!$H1111)</f>
        <v/>
      </c>
      <c r="H1106" t="str">
        <f>IF(SAISIE!$I1111="","",SAISIE!$I1111)</f>
        <v/>
      </c>
      <c r="I1106" t="str">
        <f>IF(SAISIE!$J1111="","",SAISIE!$J1111)</f>
        <v/>
      </c>
      <c r="J1106" t="str">
        <f>IF(SAISIE!$K1111="","",SAISIE!$K1111)</f>
        <v/>
      </c>
      <c r="K1106" t="str">
        <f>IF(SAISIE!$L1111="","",SAISIE!$L1111)</f>
        <v/>
      </c>
      <c r="L1106" t="str">
        <f>IF(SAISIE!$M1111="","",SAISIE!$M1111)</f>
        <v/>
      </c>
      <c r="M1106" t="str">
        <f>IF(SAISIE!$N1111="","",SAISIE!$N1111)</f>
        <v/>
      </c>
      <c r="N1106" t="str">
        <f>IF(SAISIE!$O1111="","",SAISIE!$O1111)</f>
        <v/>
      </c>
      <c r="O1106" t="str">
        <f>IF(SAISIE!$P1111="","",SAISIE!$P1111)</f>
        <v/>
      </c>
      <c r="P1106" t="str">
        <f>IF(SAISIE!$Q1111="","",SAISIE!$Q1111)</f>
        <v/>
      </c>
      <c r="Q1106" t="str">
        <f>IF($I1106="","",IF($I1106&gt;PARAMETRES!$G$29,5,IF($I1106&gt;PARAMETRES!$F$29,4,IF($I1106&gt;PARAMETRES!$E$29,3,IF($I1106&gt;PARAMETRES!$D$29,2,1)))))</f>
        <v/>
      </c>
      <c r="R1106" t="str">
        <f>IF($J1106="","",IF($J1106&gt;PARAMETRES!$G$30,5,IF($J1106&gt;PARAMETRES!$F$30,4,IF($J1106&gt;PARAMETRES!$E$30,3,IF($J1106&gt;PARAMETRES!$D$30,2,1)))))</f>
        <v/>
      </c>
      <c r="S1106" t="str">
        <f>IF($K1106="","",IF($Z1106=2,IF($K1106&gt;PARAMETRES!$G$31,5,IF($K1106&gt;PARAMETRES!$F$31,4,IF($K1106&gt;PARAMETRES!$E$31,3,IF($K1106&gt;PARAMETRES!$D$31,2,1)))),IF($K1106&gt;PARAMETRES!$G$32,5,IF($K1106&gt;PARAMETRES!$F$32,4,IF($K1106&gt;PARAMETRES!$E$32,3,IF($K1106&gt;PARAMETRES!$D$32,2,1))))))</f>
        <v/>
      </c>
      <c r="T1106" t="str">
        <f>IF($L1106="","",IF($L1106&gt;PARAMETRES!$G$33,5,IF($L1106&gt;PARAMETRES!$F$33,4,IF($L1106&gt;PARAMETRES!$E$33,3,IF($L1106&gt;PARAMETRES!$D$33,2,1)))))</f>
        <v/>
      </c>
      <c r="U1106" t="str">
        <f>IF($M1106="","",IF($M1106&gt;PARAMETRES!$G$34,5,IF($M1106&gt;PARAMETRES!$F$34,4,IF($M1106&gt;PARAMETRES!$E$34,3,IF($M1106&gt;PARAMETRES!$D$34,2,1)))))</f>
        <v/>
      </c>
      <c r="V1106" t="str">
        <f>IF($N1106="","",IF($N1106&gt;PARAMETRES!$G$35,5,IF($N1106&gt;PARAMETRES!$F$35,4,IF($N1106&gt;PARAMETRES!$E$35,3,IF($N1106&gt;PARAMETRES!$D$35,2,1)))))</f>
        <v/>
      </c>
      <c r="W1106" t="str">
        <f>IF($O1106="","",IF($O1106&gt;PARAMETRES!$G$36,5,IF($O1106&gt;PARAMETRES!$F$36,4,IF($O1106&gt;PARAMETRES!$E$36,3,IF($O1106&gt;PARAMETRES!$D$36,2,1)))))</f>
        <v/>
      </c>
      <c r="X1106" t="str">
        <f>IF($P1106="","",IF($P1106&gt;PARAMETRES!$G$37,5,IF($P1106&gt;PARAMETRES!$F$37,4,IF($P1106&gt;PARAMETRES!$E$37,3,IF($P1106&gt;PARAMETRES!$D$37,2,1)))))</f>
        <v/>
      </c>
      <c r="Y1106" t="str">
        <f t="shared" si="408"/>
        <v/>
      </c>
      <c r="Z1106" t="str">
        <f>IFERROR(VLOOKUP($B1106,TABLE_CYCLE,2,0),"")</f>
        <v/>
      </c>
      <c r="AA1106" t="str">
        <f t="shared" si="409"/>
        <v/>
      </c>
      <c r="AB1106" t="str">
        <f>IF($D1106="","",IF(COUNTIF($D$2:$D1106,$D1106)=1,$D1106,""))</f>
        <v/>
      </c>
      <c r="AC1106">
        <f t="shared" si="410"/>
        <v>0</v>
      </c>
      <c r="AD1106" t="str">
        <f t="shared" si="411"/>
        <v>|0</v>
      </c>
      <c r="AE1106" t="str">
        <f t="shared" si="412"/>
        <v/>
      </c>
      <c r="AF1106" t="str">
        <f t="shared" si="413"/>
        <v/>
      </c>
      <c r="AG1106" t="str">
        <f t="shared" si="414"/>
        <v/>
      </c>
      <c r="AH1106" t="str">
        <f t="shared" si="415"/>
        <v/>
      </c>
      <c r="AI1106" t="str">
        <f t="shared" si="416"/>
        <v/>
      </c>
      <c r="AJ1106" t="str">
        <f t="shared" si="417"/>
        <v/>
      </c>
      <c r="AK1106" t="str">
        <f t="shared" si="418"/>
        <v/>
      </c>
      <c r="AL1106" t="str">
        <f t="shared" si="419"/>
        <v/>
      </c>
      <c r="AM1106" t="str">
        <f t="shared" si="420"/>
        <v/>
      </c>
      <c r="AN1106" t="str">
        <f t="shared" si="421"/>
        <v/>
      </c>
      <c r="AO1106" t="str">
        <f t="shared" si="422"/>
        <v/>
      </c>
      <c r="AP1106">
        <f t="shared" si="423"/>
        <v>1</v>
      </c>
      <c r="AQ1106" t="str">
        <f>IF(SAISIE!$F1111="","",SAISIE!$Y1111)</f>
        <v/>
      </c>
      <c r="AR1106" t="str">
        <f>IF(OR(SAISIE!$U$4="",SAISIE!$W$4=""),"",IF(AND($A1106=SAISIE!$U$4,$B1106=SAISIE!$W$4,$C1106="S1"),COUNTIFS($A$2:$A1106,SAISIE!$U$4,$B$2:$B1106,SAISIE!$W$4,$C$2:$C1106,"S1"),""))</f>
        <v/>
      </c>
      <c r="AS1106" t="str">
        <f t="shared" si="424"/>
        <v/>
      </c>
      <c r="AT1106" t="str">
        <f t="shared" si="425"/>
        <v/>
      </c>
      <c r="AU1106" t="str">
        <f t="shared" si="426"/>
        <v/>
      </c>
      <c r="AV1106">
        <f>N(AV1105)+IF(AND($AB1106&lt;&gt;"",OR('PROFIL ELEVE'!$K$4="(Tous)",$AF1106='PROFIL ELEVE'!$K$4)),1,0)</f>
        <v>0</v>
      </c>
      <c r="AW1106">
        <f>N(AW1105)+IF(AND($AB1106&lt;&gt;"",OR('SUIVI LONGITUDINAL'!$Q$4="(Tous)",$AF1106='SUIVI LONGITUDINAL'!$Q$4)),1,0)</f>
        <v>0</v>
      </c>
      <c r="AX1106">
        <f t="shared" si="427"/>
        <v>0</v>
      </c>
      <c r="AY1106">
        <f t="shared" si="428"/>
        <v>0</v>
      </c>
      <c r="AZ1106">
        <f t="shared" si="429"/>
        <v>0</v>
      </c>
      <c r="BA1106" t="str">
        <f t="shared" si="430"/>
        <v/>
      </c>
      <c r="BB1106" t="str">
        <f t="shared" si="431"/>
        <v/>
      </c>
    </row>
    <row r="1107" spans="1:54" ht="14.25" customHeight="1" x14ac:dyDescent="0.3">
      <c r="A1107" t="str">
        <f>IF(SAISIE!$F1112="","",SAISIE!$B1112)</f>
        <v/>
      </c>
      <c r="B1107" t="str">
        <f>IF(SAISIE!$F1112="","",SAISIE!$C1112)</f>
        <v/>
      </c>
      <c r="C1107" t="str">
        <f>IF(SAISIE!$F1112="","",SAISIE!$D1112)</f>
        <v/>
      </c>
      <c r="D1107" t="str">
        <f>IF(SAISIE!$E1112="","",SAISIE!$E1112)</f>
        <v/>
      </c>
      <c r="E1107" t="str">
        <f>IF(SAISIE!$F1112="","",SAISIE!$F1112)</f>
        <v/>
      </c>
      <c r="F1107" t="str">
        <f>IF(SAISIE!$G1112="","",SAISIE!$G1112)</f>
        <v/>
      </c>
      <c r="G1107" t="str">
        <f>IF(SAISIE!$H1112="","",SAISIE!$H1112)</f>
        <v/>
      </c>
      <c r="H1107" t="str">
        <f>IF(SAISIE!$I1112="","",SAISIE!$I1112)</f>
        <v/>
      </c>
      <c r="I1107" t="str">
        <f>IF(SAISIE!$J1112="","",SAISIE!$J1112)</f>
        <v/>
      </c>
      <c r="J1107" t="str">
        <f>IF(SAISIE!$K1112="","",SAISIE!$K1112)</f>
        <v/>
      </c>
      <c r="K1107" t="str">
        <f>IF(SAISIE!$L1112="","",SAISIE!$L1112)</f>
        <v/>
      </c>
      <c r="L1107" t="str">
        <f>IF(SAISIE!$M1112="","",SAISIE!$M1112)</f>
        <v/>
      </c>
      <c r="M1107" t="str">
        <f>IF(SAISIE!$N1112="","",SAISIE!$N1112)</f>
        <v/>
      </c>
      <c r="N1107" t="str">
        <f>IF(SAISIE!$O1112="","",SAISIE!$O1112)</f>
        <v/>
      </c>
      <c r="O1107" t="str">
        <f>IF(SAISIE!$P1112="","",SAISIE!$P1112)</f>
        <v/>
      </c>
      <c r="P1107" t="str">
        <f>IF(SAISIE!$Q1112="","",SAISIE!$Q1112)</f>
        <v/>
      </c>
      <c r="Q1107" t="str">
        <f>IF($I1107="","",IF($I1107&gt;PARAMETRES!$G$29,5,IF($I1107&gt;PARAMETRES!$F$29,4,IF($I1107&gt;PARAMETRES!$E$29,3,IF($I1107&gt;PARAMETRES!$D$29,2,1)))))</f>
        <v/>
      </c>
      <c r="R1107" t="str">
        <f>IF($J1107="","",IF($J1107&gt;PARAMETRES!$G$30,5,IF($J1107&gt;PARAMETRES!$F$30,4,IF($J1107&gt;PARAMETRES!$E$30,3,IF($J1107&gt;PARAMETRES!$D$30,2,1)))))</f>
        <v/>
      </c>
      <c r="S1107" t="str">
        <f>IF($K1107="","",IF($Z1107=2,IF($K1107&gt;PARAMETRES!$G$31,5,IF($K1107&gt;PARAMETRES!$F$31,4,IF($K1107&gt;PARAMETRES!$E$31,3,IF($K1107&gt;PARAMETRES!$D$31,2,1)))),IF($K1107&gt;PARAMETRES!$G$32,5,IF($K1107&gt;PARAMETRES!$F$32,4,IF($K1107&gt;PARAMETRES!$E$32,3,IF($K1107&gt;PARAMETRES!$D$32,2,1))))))</f>
        <v/>
      </c>
      <c r="T1107" t="str">
        <f>IF($L1107="","",IF($L1107&gt;PARAMETRES!$G$33,5,IF($L1107&gt;PARAMETRES!$F$33,4,IF($L1107&gt;PARAMETRES!$E$33,3,IF($L1107&gt;PARAMETRES!$D$33,2,1)))))</f>
        <v/>
      </c>
      <c r="U1107" t="str">
        <f>IF($M1107="","",IF($M1107&gt;PARAMETRES!$G$34,5,IF($M1107&gt;PARAMETRES!$F$34,4,IF($M1107&gt;PARAMETRES!$E$34,3,IF($M1107&gt;PARAMETRES!$D$34,2,1)))))</f>
        <v/>
      </c>
      <c r="V1107" t="str">
        <f>IF($N1107="","",IF($N1107&gt;PARAMETRES!$G$35,5,IF($N1107&gt;PARAMETRES!$F$35,4,IF($N1107&gt;PARAMETRES!$E$35,3,IF($N1107&gt;PARAMETRES!$D$35,2,1)))))</f>
        <v/>
      </c>
      <c r="W1107" t="str">
        <f>IF($O1107="","",IF($O1107&gt;PARAMETRES!$G$36,5,IF($O1107&gt;PARAMETRES!$F$36,4,IF($O1107&gt;PARAMETRES!$E$36,3,IF($O1107&gt;PARAMETRES!$D$36,2,1)))))</f>
        <v/>
      </c>
      <c r="X1107" t="str">
        <f>IF($P1107="","",IF($P1107&gt;PARAMETRES!$G$37,5,IF($P1107&gt;PARAMETRES!$F$37,4,IF($P1107&gt;PARAMETRES!$E$37,3,IF($P1107&gt;PARAMETRES!$D$37,2,1)))))</f>
        <v/>
      </c>
      <c r="Y1107" t="str">
        <f t="shared" si="408"/>
        <v/>
      </c>
      <c r="Z1107" t="str">
        <f>IFERROR(VLOOKUP($B1107,TABLE_CYCLE,2,0),"")</f>
        <v/>
      </c>
      <c r="AA1107" t="str">
        <f t="shared" si="409"/>
        <v/>
      </c>
      <c r="AB1107" t="str">
        <f>IF($D1107="","",IF(COUNTIF($D$2:$D1107,$D1107)=1,$D1107,""))</f>
        <v/>
      </c>
      <c r="AC1107">
        <f t="shared" si="410"/>
        <v>0</v>
      </c>
      <c r="AD1107" t="str">
        <f t="shared" si="411"/>
        <v>|0</v>
      </c>
      <c r="AE1107" t="str">
        <f t="shared" si="412"/>
        <v/>
      </c>
      <c r="AF1107" t="str">
        <f t="shared" si="413"/>
        <v/>
      </c>
      <c r="AG1107" t="str">
        <f t="shared" si="414"/>
        <v/>
      </c>
      <c r="AH1107" t="str">
        <f t="shared" si="415"/>
        <v/>
      </c>
      <c r="AI1107" t="str">
        <f t="shared" si="416"/>
        <v/>
      </c>
      <c r="AJ1107" t="str">
        <f t="shared" si="417"/>
        <v/>
      </c>
      <c r="AK1107" t="str">
        <f t="shared" si="418"/>
        <v/>
      </c>
      <c r="AL1107" t="str">
        <f t="shared" si="419"/>
        <v/>
      </c>
      <c r="AM1107" t="str">
        <f t="shared" si="420"/>
        <v/>
      </c>
      <c r="AN1107" t="str">
        <f t="shared" si="421"/>
        <v/>
      </c>
      <c r="AO1107" t="str">
        <f t="shared" si="422"/>
        <v/>
      </c>
      <c r="AP1107">
        <f t="shared" si="423"/>
        <v>1</v>
      </c>
      <c r="AQ1107" t="str">
        <f>IF(SAISIE!$F1112="","",SAISIE!$Y1112)</f>
        <v/>
      </c>
      <c r="AR1107" t="str">
        <f>IF(OR(SAISIE!$U$4="",SAISIE!$W$4=""),"",IF(AND($A1107=SAISIE!$U$4,$B1107=SAISIE!$W$4,$C1107="S1"),COUNTIFS($A$2:$A1107,SAISIE!$U$4,$B$2:$B1107,SAISIE!$W$4,$C$2:$C1107,"S1"),""))</f>
        <v/>
      </c>
      <c r="AS1107" t="str">
        <f t="shared" si="424"/>
        <v/>
      </c>
      <c r="AT1107" t="str">
        <f t="shared" si="425"/>
        <v/>
      </c>
      <c r="AU1107" t="str">
        <f t="shared" si="426"/>
        <v/>
      </c>
      <c r="AV1107">
        <f>N(AV1106)+IF(AND($AB1107&lt;&gt;"",OR('PROFIL ELEVE'!$K$4="(Tous)",$AF1107='PROFIL ELEVE'!$K$4)),1,0)</f>
        <v>0</v>
      </c>
      <c r="AW1107">
        <f>N(AW1106)+IF(AND($AB1107&lt;&gt;"",OR('SUIVI LONGITUDINAL'!$Q$4="(Tous)",$AF1107='SUIVI LONGITUDINAL'!$Q$4)),1,0)</f>
        <v>0</v>
      </c>
      <c r="AX1107">
        <f t="shared" si="427"/>
        <v>0</v>
      </c>
      <c r="AY1107">
        <f t="shared" si="428"/>
        <v>0</v>
      </c>
      <c r="AZ1107">
        <f t="shared" si="429"/>
        <v>0</v>
      </c>
      <c r="BA1107" t="str">
        <f t="shared" si="430"/>
        <v/>
      </c>
      <c r="BB1107" t="str">
        <f t="shared" si="431"/>
        <v/>
      </c>
    </row>
    <row r="1108" spans="1:54" ht="14.25" customHeight="1" x14ac:dyDescent="0.3">
      <c r="A1108" t="str">
        <f>IF(SAISIE!$F1113="","",SAISIE!$B1113)</f>
        <v/>
      </c>
      <c r="B1108" t="str">
        <f>IF(SAISIE!$F1113="","",SAISIE!$C1113)</f>
        <v/>
      </c>
      <c r="C1108" t="str">
        <f>IF(SAISIE!$F1113="","",SAISIE!$D1113)</f>
        <v/>
      </c>
      <c r="D1108" t="str">
        <f>IF(SAISIE!$E1113="","",SAISIE!$E1113)</f>
        <v/>
      </c>
      <c r="E1108" t="str">
        <f>IF(SAISIE!$F1113="","",SAISIE!$F1113)</f>
        <v/>
      </c>
      <c r="F1108" t="str">
        <f>IF(SAISIE!$G1113="","",SAISIE!$G1113)</f>
        <v/>
      </c>
      <c r="G1108" t="str">
        <f>IF(SAISIE!$H1113="","",SAISIE!$H1113)</f>
        <v/>
      </c>
      <c r="H1108" t="str">
        <f>IF(SAISIE!$I1113="","",SAISIE!$I1113)</f>
        <v/>
      </c>
      <c r="I1108" t="str">
        <f>IF(SAISIE!$J1113="","",SAISIE!$J1113)</f>
        <v/>
      </c>
      <c r="J1108" t="str">
        <f>IF(SAISIE!$K1113="","",SAISIE!$K1113)</f>
        <v/>
      </c>
      <c r="K1108" t="str">
        <f>IF(SAISIE!$L1113="","",SAISIE!$L1113)</f>
        <v/>
      </c>
      <c r="L1108" t="str">
        <f>IF(SAISIE!$M1113="","",SAISIE!$M1113)</f>
        <v/>
      </c>
      <c r="M1108" t="str">
        <f>IF(SAISIE!$N1113="","",SAISIE!$N1113)</f>
        <v/>
      </c>
      <c r="N1108" t="str">
        <f>IF(SAISIE!$O1113="","",SAISIE!$O1113)</f>
        <v/>
      </c>
      <c r="O1108" t="str">
        <f>IF(SAISIE!$P1113="","",SAISIE!$P1113)</f>
        <v/>
      </c>
      <c r="P1108" t="str">
        <f>IF(SAISIE!$Q1113="","",SAISIE!$Q1113)</f>
        <v/>
      </c>
      <c r="Q1108" t="str">
        <f>IF($I1108="","",IF($I1108&gt;PARAMETRES!$G$29,5,IF($I1108&gt;PARAMETRES!$F$29,4,IF($I1108&gt;PARAMETRES!$E$29,3,IF($I1108&gt;PARAMETRES!$D$29,2,1)))))</f>
        <v/>
      </c>
      <c r="R1108" t="str">
        <f>IF($J1108="","",IF($J1108&gt;PARAMETRES!$G$30,5,IF($J1108&gt;PARAMETRES!$F$30,4,IF($J1108&gt;PARAMETRES!$E$30,3,IF($J1108&gt;PARAMETRES!$D$30,2,1)))))</f>
        <v/>
      </c>
      <c r="S1108" t="str">
        <f>IF($K1108="","",IF($Z1108=2,IF($K1108&gt;PARAMETRES!$G$31,5,IF($K1108&gt;PARAMETRES!$F$31,4,IF($K1108&gt;PARAMETRES!$E$31,3,IF($K1108&gt;PARAMETRES!$D$31,2,1)))),IF($K1108&gt;PARAMETRES!$G$32,5,IF($K1108&gt;PARAMETRES!$F$32,4,IF($K1108&gt;PARAMETRES!$E$32,3,IF($K1108&gt;PARAMETRES!$D$32,2,1))))))</f>
        <v/>
      </c>
      <c r="T1108" t="str">
        <f>IF($L1108="","",IF($L1108&gt;PARAMETRES!$G$33,5,IF($L1108&gt;PARAMETRES!$F$33,4,IF($L1108&gt;PARAMETRES!$E$33,3,IF($L1108&gt;PARAMETRES!$D$33,2,1)))))</f>
        <v/>
      </c>
      <c r="U1108" t="str">
        <f>IF($M1108="","",IF($M1108&gt;PARAMETRES!$G$34,5,IF($M1108&gt;PARAMETRES!$F$34,4,IF($M1108&gt;PARAMETRES!$E$34,3,IF($M1108&gt;PARAMETRES!$D$34,2,1)))))</f>
        <v/>
      </c>
      <c r="V1108" t="str">
        <f>IF($N1108="","",IF($N1108&gt;PARAMETRES!$G$35,5,IF($N1108&gt;PARAMETRES!$F$35,4,IF($N1108&gt;PARAMETRES!$E$35,3,IF($N1108&gt;PARAMETRES!$D$35,2,1)))))</f>
        <v/>
      </c>
      <c r="W1108" t="str">
        <f>IF($O1108="","",IF($O1108&gt;PARAMETRES!$G$36,5,IF($O1108&gt;PARAMETRES!$F$36,4,IF($O1108&gt;PARAMETRES!$E$36,3,IF($O1108&gt;PARAMETRES!$D$36,2,1)))))</f>
        <v/>
      </c>
      <c r="X1108" t="str">
        <f>IF($P1108="","",IF($P1108&gt;PARAMETRES!$G$37,5,IF($P1108&gt;PARAMETRES!$F$37,4,IF($P1108&gt;PARAMETRES!$E$37,3,IF($P1108&gt;PARAMETRES!$D$37,2,1)))))</f>
        <v/>
      </c>
      <c r="Y1108" t="str">
        <f t="shared" si="408"/>
        <v/>
      </c>
      <c r="Z1108" t="str">
        <f>IFERROR(VLOOKUP($B1108,TABLE_CYCLE,2,0),"")</f>
        <v/>
      </c>
      <c r="AA1108" t="str">
        <f t="shared" si="409"/>
        <v/>
      </c>
      <c r="AB1108" t="str">
        <f>IF($D1108="","",IF(COUNTIF($D$2:$D1108,$D1108)=1,$D1108,""))</f>
        <v/>
      </c>
      <c r="AC1108">
        <f t="shared" si="410"/>
        <v>0</v>
      </c>
      <c r="AD1108" t="str">
        <f t="shared" si="411"/>
        <v>|0</v>
      </c>
      <c r="AE1108" t="str">
        <f t="shared" si="412"/>
        <v/>
      </c>
      <c r="AF1108" t="str">
        <f t="shared" si="413"/>
        <v/>
      </c>
      <c r="AG1108" t="str">
        <f t="shared" si="414"/>
        <v/>
      </c>
      <c r="AH1108" t="str">
        <f t="shared" si="415"/>
        <v/>
      </c>
      <c r="AI1108" t="str">
        <f t="shared" si="416"/>
        <v/>
      </c>
      <c r="AJ1108" t="str">
        <f t="shared" si="417"/>
        <v/>
      </c>
      <c r="AK1108" t="str">
        <f t="shared" si="418"/>
        <v/>
      </c>
      <c r="AL1108" t="str">
        <f t="shared" si="419"/>
        <v/>
      </c>
      <c r="AM1108" t="str">
        <f t="shared" si="420"/>
        <v/>
      </c>
      <c r="AN1108" t="str">
        <f t="shared" si="421"/>
        <v/>
      </c>
      <c r="AO1108" t="str">
        <f t="shared" si="422"/>
        <v/>
      </c>
      <c r="AP1108">
        <f t="shared" si="423"/>
        <v>1</v>
      </c>
      <c r="AQ1108" t="str">
        <f>IF(SAISIE!$F1113="","",SAISIE!$Y1113)</f>
        <v/>
      </c>
      <c r="AR1108" t="str">
        <f>IF(OR(SAISIE!$U$4="",SAISIE!$W$4=""),"",IF(AND($A1108=SAISIE!$U$4,$B1108=SAISIE!$W$4,$C1108="S1"),COUNTIFS($A$2:$A1108,SAISIE!$U$4,$B$2:$B1108,SAISIE!$W$4,$C$2:$C1108,"S1"),""))</f>
        <v/>
      </c>
      <c r="AS1108" t="str">
        <f t="shared" si="424"/>
        <v/>
      </c>
      <c r="AT1108" t="str">
        <f t="shared" si="425"/>
        <v/>
      </c>
      <c r="AU1108" t="str">
        <f t="shared" si="426"/>
        <v/>
      </c>
      <c r="AV1108">
        <f>N(AV1107)+IF(AND($AB1108&lt;&gt;"",OR('PROFIL ELEVE'!$K$4="(Tous)",$AF1108='PROFIL ELEVE'!$K$4)),1,0)</f>
        <v>0</v>
      </c>
      <c r="AW1108">
        <f>N(AW1107)+IF(AND($AB1108&lt;&gt;"",OR('SUIVI LONGITUDINAL'!$Q$4="(Tous)",$AF1108='SUIVI LONGITUDINAL'!$Q$4)),1,0)</f>
        <v>0</v>
      </c>
      <c r="AX1108">
        <f t="shared" si="427"/>
        <v>0</v>
      </c>
      <c r="AY1108">
        <f t="shared" si="428"/>
        <v>0</v>
      </c>
      <c r="AZ1108">
        <f t="shared" si="429"/>
        <v>0</v>
      </c>
      <c r="BA1108" t="str">
        <f t="shared" si="430"/>
        <v/>
      </c>
      <c r="BB1108" t="str">
        <f t="shared" si="431"/>
        <v/>
      </c>
    </row>
    <row r="1109" spans="1:54" ht="14.25" customHeight="1" x14ac:dyDescent="0.3">
      <c r="A1109" t="str">
        <f>IF(SAISIE!$F1114="","",SAISIE!$B1114)</f>
        <v/>
      </c>
      <c r="B1109" t="str">
        <f>IF(SAISIE!$F1114="","",SAISIE!$C1114)</f>
        <v/>
      </c>
      <c r="C1109" t="str">
        <f>IF(SAISIE!$F1114="","",SAISIE!$D1114)</f>
        <v/>
      </c>
      <c r="D1109" t="str">
        <f>IF(SAISIE!$E1114="","",SAISIE!$E1114)</f>
        <v/>
      </c>
      <c r="E1109" t="str">
        <f>IF(SAISIE!$F1114="","",SAISIE!$F1114)</f>
        <v/>
      </c>
      <c r="F1109" t="str">
        <f>IF(SAISIE!$G1114="","",SAISIE!$G1114)</f>
        <v/>
      </c>
      <c r="G1109" t="str">
        <f>IF(SAISIE!$H1114="","",SAISIE!$H1114)</f>
        <v/>
      </c>
      <c r="H1109" t="str">
        <f>IF(SAISIE!$I1114="","",SAISIE!$I1114)</f>
        <v/>
      </c>
      <c r="I1109" t="str">
        <f>IF(SAISIE!$J1114="","",SAISIE!$J1114)</f>
        <v/>
      </c>
      <c r="J1109" t="str">
        <f>IF(SAISIE!$K1114="","",SAISIE!$K1114)</f>
        <v/>
      </c>
      <c r="K1109" t="str">
        <f>IF(SAISIE!$L1114="","",SAISIE!$L1114)</f>
        <v/>
      </c>
      <c r="L1109" t="str">
        <f>IF(SAISIE!$M1114="","",SAISIE!$M1114)</f>
        <v/>
      </c>
      <c r="M1109" t="str">
        <f>IF(SAISIE!$N1114="","",SAISIE!$N1114)</f>
        <v/>
      </c>
      <c r="N1109" t="str">
        <f>IF(SAISIE!$O1114="","",SAISIE!$O1114)</f>
        <v/>
      </c>
      <c r="O1109" t="str">
        <f>IF(SAISIE!$P1114="","",SAISIE!$P1114)</f>
        <v/>
      </c>
      <c r="P1109" t="str">
        <f>IF(SAISIE!$Q1114="","",SAISIE!$Q1114)</f>
        <v/>
      </c>
      <c r="Q1109" t="str">
        <f>IF($I1109="","",IF($I1109&gt;PARAMETRES!$G$29,5,IF($I1109&gt;PARAMETRES!$F$29,4,IF($I1109&gt;PARAMETRES!$E$29,3,IF($I1109&gt;PARAMETRES!$D$29,2,1)))))</f>
        <v/>
      </c>
      <c r="R1109" t="str">
        <f>IF($J1109="","",IF($J1109&gt;PARAMETRES!$G$30,5,IF($J1109&gt;PARAMETRES!$F$30,4,IF($J1109&gt;PARAMETRES!$E$30,3,IF($J1109&gt;PARAMETRES!$D$30,2,1)))))</f>
        <v/>
      </c>
      <c r="S1109" t="str">
        <f>IF($K1109="","",IF($Z1109=2,IF($K1109&gt;PARAMETRES!$G$31,5,IF($K1109&gt;PARAMETRES!$F$31,4,IF($K1109&gt;PARAMETRES!$E$31,3,IF($K1109&gt;PARAMETRES!$D$31,2,1)))),IF($K1109&gt;PARAMETRES!$G$32,5,IF($K1109&gt;PARAMETRES!$F$32,4,IF($K1109&gt;PARAMETRES!$E$32,3,IF($K1109&gt;PARAMETRES!$D$32,2,1))))))</f>
        <v/>
      </c>
      <c r="T1109" t="str">
        <f>IF($L1109="","",IF($L1109&gt;PARAMETRES!$G$33,5,IF($L1109&gt;PARAMETRES!$F$33,4,IF($L1109&gt;PARAMETRES!$E$33,3,IF($L1109&gt;PARAMETRES!$D$33,2,1)))))</f>
        <v/>
      </c>
      <c r="U1109" t="str">
        <f>IF($M1109="","",IF($M1109&gt;PARAMETRES!$G$34,5,IF($M1109&gt;PARAMETRES!$F$34,4,IF($M1109&gt;PARAMETRES!$E$34,3,IF($M1109&gt;PARAMETRES!$D$34,2,1)))))</f>
        <v/>
      </c>
      <c r="V1109" t="str">
        <f>IF($N1109="","",IF($N1109&gt;PARAMETRES!$G$35,5,IF($N1109&gt;PARAMETRES!$F$35,4,IF($N1109&gt;PARAMETRES!$E$35,3,IF($N1109&gt;PARAMETRES!$D$35,2,1)))))</f>
        <v/>
      </c>
      <c r="W1109" t="str">
        <f>IF($O1109="","",IF($O1109&gt;PARAMETRES!$G$36,5,IF($O1109&gt;PARAMETRES!$F$36,4,IF($O1109&gt;PARAMETRES!$E$36,3,IF($O1109&gt;PARAMETRES!$D$36,2,1)))))</f>
        <v/>
      </c>
      <c r="X1109" t="str">
        <f>IF($P1109="","",IF($P1109&gt;PARAMETRES!$G$37,5,IF($P1109&gt;PARAMETRES!$F$37,4,IF($P1109&gt;PARAMETRES!$E$37,3,IF($P1109&gt;PARAMETRES!$D$37,2,1)))))</f>
        <v/>
      </c>
      <c r="Y1109" t="str">
        <f t="shared" si="408"/>
        <v/>
      </c>
      <c r="Z1109" t="str">
        <f>IFERROR(VLOOKUP($B1109,TABLE_CYCLE,2,0),"")</f>
        <v/>
      </c>
      <c r="AA1109" t="str">
        <f t="shared" si="409"/>
        <v/>
      </c>
      <c r="AB1109" t="str">
        <f>IF($D1109="","",IF(COUNTIF($D$2:$D1109,$D1109)=1,$D1109,""))</f>
        <v/>
      </c>
      <c r="AC1109">
        <f t="shared" si="410"/>
        <v>0</v>
      </c>
      <c r="AD1109" t="str">
        <f t="shared" si="411"/>
        <v>|0</v>
      </c>
      <c r="AE1109" t="str">
        <f t="shared" si="412"/>
        <v/>
      </c>
      <c r="AF1109" t="str">
        <f t="shared" si="413"/>
        <v/>
      </c>
      <c r="AG1109" t="str">
        <f t="shared" si="414"/>
        <v/>
      </c>
      <c r="AH1109" t="str">
        <f t="shared" si="415"/>
        <v/>
      </c>
      <c r="AI1109" t="str">
        <f t="shared" si="416"/>
        <v/>
      </c>
      <c r="AJ1109" t="str">
        <f t="shared" si="417"/>
        <v/>
      </c>
      <c r="AK1109" t="str">
        <f t="shared" si="418"/>
        <v/>
      </c>
      <c r="AL1109" t="str">
        <f t="shared" si="419"/>
        <v/>
      </c>
      <c r="AM1109" t="str">
        <f t="shared" si="420"/>
        <v/>
      </c>
      <c r="AN1109" t="str">
        <f t="shared" si="421"/>
        <v/>
      </c>
      <c r="AO1109" t="str">
        <f t="shared" si="422"/>
        <v/>
      </c>
      <c r="AP1109">
        <f t="shared" si="423"/>
        <v>1</v>
      </c>
      <c r="AQ1109" t="str">
        <f>IF(SAISIE!$F1114="","",SAISIE!$Y1114)</f>
        <v/>
      </c>
      <c r="AR1109" t="str">
        <f>IF(OR(SAISIE!$U$4="",SAISIE!$W$4=""),"",IF(AND($A1109=SAISIE!$U$4,$B1109=SAISIE!$W$4,$C1109="S1"),COUNTIFS($A$2:$A1109,SAISIE!$U$4,$B$2:$B1109,SAISIE!$W$4,$C$2:$C1109,"S1"),""))</f>
        <v/>
      </c>
      <c r="AS1109" t="str">
        <f t="shared" si="424"/>
        <v/>
      </c>
      <c r="AT1109" t="str">
        <f t="shared" si="425"/>
        <v/>
      </c>
      <c r="AU1109" t="str">
        <f t="shared" si="426"/>
        <v/>
      </c>
      <c r="AV1109">
        <f>N(AV1108)+IF(AND($AB1109&lt;&gt;"",OR('PROFIL ELEVE'!$K$4="(Tous)",$AF1109='PROFIL ELEVE'!$K$4)),1,0)</f>
        <v>0</v>
      </c>
      <c r="AW1109">
        <f>N(AW1108)+IF(AND($AB1109&lt;&gt;"",OR('SUIVI LONGITUDINAL'!$Q$4="(Tous)",$AF1109='SUIVI LONGITUDINAL'!$Q$4)),1,0)</f>
        <v>0</v>
      </c>
      <c r="AX1109">
        <f t="shared" si="427"/>
        <v>0</v>
      </c>
      <c r="AY1109">
        <f t="shared" si="428"/>
        <v>0</v>
      </c>
      <c r="AZ1109">
        <f t="shared" si="429"/>
        <v>0</v>
      </c>
      <c r="BA1109" t="str">
        <f t="shared" si="430"/>
        <v/>
      </c>
      <c r="BB1109" t="str">
        <f t="shared" si="431"/>
        <v/>
      </c>
    </row>
    <row r="1110" spans="1:54" ht="14.25" customHeight="1" x14ac:dyDescent="0.3">
      <c r="A1110" t="str">
        <f>IF(SAISIE!$F1115="","",SAISIE!$B1115)</f>
        <v/>
      </c>
      <c r="B1110" t="str">
        <f>IF(SAISIE!$F1115="","",SAISIE!$C1115)</f>
        <v/>
      </c>
      <c r="C1110" t="str">
        <f>IF(SAISIE!$F1115="","",SAISIE!$D1115)</f>
        <v/>
      </c>
      <c r="D1110" t="str">
        <f>IF(SAISIE!$E1115="","",SAISIE!$E1115)</f>
        <v/>
      </c>
      <c r="E1110" t="str">
        <f>IF(SAISIE!$F1115="","",SAISIE!$F1115)</f>
        <v/>
      </c>
      <c r="F1110" t="str">
        <f>IF(SAISIE!$G1115="","",SAISIE!$G1115)</f>
        <v/>
      </c>
      <c r="G1110" t="str">
        <f>IF(SAISIE!$H1115="","",SAISIE!$H1115)</f>
        <v/>
      </c>
      <c r="H1110" t="str">
        <f>IF(SAISIE!$I1115="","",SAISIE!$I1115)</f>
        <v/>
      </c>
      <c r="I1110" t="str">
        <f>IF(SAISIE!$J1115="","",SAISIE!$J1115)</f>
        <v/>
      </c>
      <c r="J1110" t="str">
        <f>IF(SAISIE!$K1115="","",SAISIE!$K1115)</f>
        <v/>
      </c>
      <c r="K1110" t="str">
        <f>IF(SAISIE!$L1115="","",SAISIE!$L1115)</f>
        <v/>
      </c>
      <c r="L1110" t="str">
        <f>IF(SAISIE!$M1115="","",SAISIE!$M1115)</f>
        <v/>
      </c>
      <c r="M1110" t="str">
        <f>IF(SAISIE!$N1115="","",SAISIE!$N1115)</f>
        <v/>
      </c>
      <c r="N1110" t="str">
        <f>IF(SAISIE!$O1115="","",SAISIE!$O1115)</f>
        <v/>
      </c>
      <c r="O1110" t="str">
        <f>IF(SAISIE!$P1115="","",SAISIE!$P1115)</f>
        <v/>
      </c>
      <c r="P1110" t="str">
        <f>IF(SAISIE!$Q1115="","",SAISIE!$Q1115)</f>
        <v/>
      </c>
      <c r="Q1110" t="str">
        <f>IF($I1110="","",IF($I1110&gt;PARAMETRES!$G$29,5,IF($I1110&gt;PARAMETRES!$F$29,4,IF($I1110&gt;PARAMETRES!$E$29,3,IF($I1110&gt;PARAMETRES!$D$29,2,1)))))</f>
        <v/>
      </c>
      <c r="R1110" t="str">
        <f>IF($J1110="","",IF($J1110&gt;PARAMETRES!$G$30,5,IF($J1110&gt;PARAMETRES!$F$30,4,IF($J1110&gt;PARAMETRES!$E$30,3,IF($J1110&gt;PARAMETRES!$D$30,2,1)))))</f>
        <v/>
      </c>
      <c r="S1110" t="str">
        <f>IF($K1110="","",IF($Z1110=2,IF($K1110&gt;PARAMETRES!$G$31,5,IF($K1110&gt;PARAMETRES!$F$31,4,IF($K1110&gt;PARAMETRES!$E$31,3,IF($K1110&gt;PARAMETRES!$D$31,2,1)))),IF($K1110&gt;PARAMETRES!$G$32,5,IF($K1110&gt;PARAMETRES!$F$32,4,IF($K1110&gt;PARAMETRES!$E$32,3,IF($K1110&gt;PARAMETRES!$D$32,2,1))))))</f>
        <v/>
      </c>
      <c r="T1110" t="str">
        <f>IF($L1110="","",IF($L1110&gt;PARAMETRES!$G$33,5,IF($L1110&gt;PARAMETRES!$F$33,4,IF($L1110&gt;PARAMETRES!$E$33,3,IF($L1110&gt;PARAMETRES!$D$33,2,1)))))</f>
        <v/>
      </c>
      <c r="U1110" t="str">
        <f>IF($M1110="","",IF($M1110&gt;PARAMETRES!$G$34,5,IF($M1110&gt;PARAMETRES!$F$34,4,IF($M1110&gt;PARAMETRES!$E$34,3,IF($M1110&gt;PARAMETRES!$D$34,2,1)))))</f>
        <v/>
      </c>
      <c r="V1110" t="str">
        <f>IF($N1110="","",IF($N1110&gt;PARAMETRES!$G$35,5,IF($N1110&gt;PARAMETRES!$F$35,4,IF($N1110&gt;PARAMETRES!$E$35,3,IF($N1110&gt;PARAMETRES!$D$35,2,1)))))</f>
        <v/>
      </c>
      <c r="W1110" t="str">
        <f>IF($O1110="","",IF($O1110&gt;PARAMETRES!$G$36,5,IF($O1110&gt;PARAMETRES!$F$36,4,IF($O1110&gt;PARAMETRES!$E$36,3,IF($O1110&gt;PARAMETRES!$D$36,2,1)))))</f>
        <v/>
      </c>
      <c r="X1110" t="str">
        <f>IF($P1110="","",IF($P1110&gt;PARAMETRES!$G$37,5,IF($P1110&gt;PARAMETRES!$F$37,4,IF($P1110&gt;PARAMETRES!$E$37,3,IF($P1110&gt;PARAMETRES!$D$37,2,1)))))</f>
        <v/>
      </c>
      <c r="Y1110" t="str">
        <f t="shared" si="408"/>
        <v/>
      </c>
      <c r="Z1110" t="str">
        <f>IFERROR(VLOOKUP($B1110,TABLE_CYCLE,2,0),"")</f>
        <v/>
      </c>
      <c r="AA1110" t="str">
        <f t="shared" si="409"/>
        <v/>
      </c>
      <c r="AB1110" t="str">
        <f>IF($D1110="","",IF(COUNTIF($D$2:$D1110,$D1110)=1,$D1110,""))</f>
        <v/>
      </c>
      <c r="AC1110">
        <f t="shared" si="410"/>
        <v>0</v>
      </c>
      <c r="AD1110" t="str">
        <f t="shared" si="411"/>
        <v>|0</v>
      </c>
      <c r="AE1110" t="str">
        <f t="shared" si="412"/>
        <v/>
      </c>
      <c r="AF1110" t="str">
        <f t="shared" si="413"/>
        <v/>
      </c>
      <c r="AG1110" t="str">
        <f t="shared" si="414"/>
        <v/>
      </c>
      <c r="AH1110" t="str">
        <f t="shared" si="415"/>
        <v/>
      </c>
      <c r="AI1110" t="str">
        <f t="shared" si="416"/>
        <v/>
      </c>
      <c r="AJ1110" t="str">
        <f t="shared" si="417"/>
        <v/>
      </c>
      <c r="AK1110" t="str">
        <f t="shared" si="418"/>
        <v/>
      </c>
      <c r="AL1110" t="str">
        <f t="shared" si="419"/>
        <v/>
      </c>
      <c r="AM1110" t="str">
        <f t="shared" si="420"/>
        <v/>
      </c>
      <c r="AN1110" t="str">
        <f t="shared" si="421"/>
        <v/>
      </c>
      <c r="AO1110" t="str">
        <f t="shared" si="422"/>
        <v/>
      </c>
      <c r="AP1110">
        <f t="shared" si="423"/>
        <v>1</v>
      </c>
      <c r="AQ1110" t="str">
        <f>IF(SAISIE!$F1115="","",SAISIE!$Y1115)</f>
        <v/>
      </c>
      <c r="AR1110" t="str">
        <f>IF(OR(SAISIE!$U$4="",SAISIE!$W$4=""),"",IF(AND($A1110=SAISIE!$U$4,$B1110=SAISIE!$W$4,$C1110="S1"),COUNTIFS($A$2:$A1110,SAISIE!$U$4,$B$2:$B1110,SAISIE!$W$4,$C$2:$C1110,"S1"),""))</f>
        <v/>
      </c>
      <c r="AS1110" t="str">
        <f t="shared" si="424"/>
        <v/>
      </c>
      <c r="AT1110" t="str">
        <f t="shared" si="425"/>
        <v/>
      </c>
      <c r="AU1110" t="str">
        <f t="shared" si="426"/>
        <v/>
      </c>
      <c r="AV1110">
        <f>N(AV1109)+IF(AND($AB1110&lt;&gt;"",OR('PROFIL ELEVE'!$K$4="(Tous)",$AF1110='PROFIL ELEVE'!$K$4)),1,0)</f>
        <v>0</v>
      </c>
      <c r="AW1110">
        <f>N(AW1109)+IF(AND($AB1110&lt;&gt;"",OR('SUIVI LONGITUDINAL'!$Q$4="(Tous)",$AF1110='SUIVI LONGITUDINAL'!$Q$4)),1,0)</f>
        <v>0</v>
      </c>
      <c r="AX1110">
        <f t="shared" si="427"/>
        <v>0</v>
      </c>
      <c r="AY1110">
        <f t="shared" si="428"/>
        <v>0</v>
      </c>
      <c r="AZ1110">
        <f t="shared" si="429"/>
        <v>0</v>
      </c>
      <c r="BA1110" t="str">
        <f t="shared" si="430"/>
        <v/>
      </c>
      <c r="BB1110" t="str">
        <f t="shared" si="431"/>
        <v/>
      </c>
    </row>
    <row r="1111" spans="1:54" ht="14.25" customHeight="1" x14ac:dyDescent="0.3">
      <c r="A1111" t="str">
        <f>IF(SAISIE!$F1116="","",SAISIE!$B1116)</f>
        <v/>
      </c>
      <c r="B1111" t="str">
        <f>IF(SAISIE!$F1116="","",SAISIE!$C1116)</f>
        <v/>
      </c>
      <c r="C1111" t="str">
        <f>IF(SAISIE!$F1116="","",SAISIE!$D1116)</f>
        <v/>
      </c>
      <c r="D1111" t="str">
        <f>IF(SAISIE!$E1116="","",SAISIE!$E1116)</f>
        <v/>
      </c>
      <c r="E1111" t="str">
        <f>IF(SAISIE!$F1116="","",SAISIE!$F1116)</f>
        <v/>
      </c>
      <c r="F1111" t="str">
        <f>IF(SAISIE!$G1116="","",SAISIE!$G1116)</f>
        <v/>
      </c>
      <c r="G1111" t="str">
        <f>IF(SAISIE!$H1116="","",SAISIE!$H1116)</f>
        <v/>
      </c>
      <c r="H1111" t="str">
        <f>IF(SAISIE!$I1116="","",SAISIE!$I1116)</f>
        <v/>
      </c>
      <c r="I1111" t="str">
        <f>IF(SAISIE!$J1116="","",SAISIE!$J1116)</f>
        <v/>
      </c>
      <c r="J1111" t="str">
        <f>IF(SAISIE!$K1116="","",SAISIE!$K1116)</f>
        <v/>
      </c>
      <c r="K1111" t="str">
        <f>IF(SAISIE!$L1116="","",SAISIE!$L1116)</f>
        <v/>
      </c>
      <c r="L1111" t="str">
        <f>IF(SAISIE!$M1116="","",SAISIE!$M1116)</f>
        <v/>
      </c>
      <c r="M1111" t="str">
        <f>IF(SAISIE!$N1116="","",SAISIE!$N1116)</f>
        <v/>
      </c>
      <c r="N1111" t="str">
        <f>IF(SAISIE!$O1116="","",SAISIE!$O1116)</f>
        <v/>
      </c>
      <c r="O1111" t="str">
        <f>IF(SAISIE!$P1116="","",SAISIE!$P1116)</f>
        <v/>
      </c>
      <c r="P1111" t="str">
        <f>IF(SAISIE!$Q1116="","",SAISIE!$Q1116)</f>
        <v/>
      </c>
      <c r="Q1111" t="str">
        <f>IF($I1111="","",IF($I1111&gt;PARAMETRES!$G$29,5,IF($I1111&gt;PARAMETRES!$F$29,4,IF($I1111&gt;PARAMETRES!$E$29,3,IF($I1111&gt;PARAMETRES!$D$29,2,1)))))</f>
        <v/>
      </c>
      <c r="R1111" t="str">
        <f>IF($J1111="","",IF($J1111&gt;PARAMETRES!$G$30,5,IF($J1111&gt;PARAMETRES!$F$30,4,IF($J1111&gt;PARAMETRES!$E$30,3,IF($J1111&gt;PARAMETRES!$D$30,2,1)))))</f>
        <v/>
      </c>
      <c r="S1111" t="str">
        <f>IF($K1111="","",IF($Z1111=2,IF($K1111&gt;PARAMETRES!$G$31,5,IF($K1111&gt;PARAMETRES!$F$31,4,IF($K1111&gt;PARAMETRES!$E$31,3,IF($K1111&gt;PARAMETRES!$D$31,2,1)))),IF($K1111&gt;PARAMETRES!$G$32,5,IF($K1111&gt;PARAMETRES!$F$32,4,IF($K1111&gt;PARAMETRES!$E$32,3,IF($K1111&gt;PARAMETRES!$D$32,2,1))))))</f>
        <v/>
      </c>
      <c r="T1111" t="str">
        <f>IF($L1111="","",IF($L1111&gt;PARAMETRES!$G$33,5,IF($L1111&gt;PARAMETRES!$F$33,4,IF($L1111&gt;PARAMETRES!$E$33,3,IF($L1111&gt;PARAMETRES!$D$33,2,1)))))</f>
        <v/>
      </c>
      <c r="U1111" t="str">
        <f>IF($M1111="","",IF($M1111&gt;PARAMETRES!$G$34,5,IF($M1111&gt;PARAMETRES!$F$34,4,IF($M1111&gt;PARAMETRES!$E$34,3,IF($M1111&gt;PARAMETRES!$D$34,2,1)))))</f>
        <v/>
      </c>
      <c r="V1111" t="str">
        <f>IF($N1111="","",IF($N1111&gt;PARAMETRES!$G$35,5,IF($N1111&gt;PARAMETRES!$F$35,4,IF($N1111&gt;PARAMETRES!$E$35,3,IF($N1111&gt;PARAMETRES!$D$35,2,1)))))</f>
        <v/>
      </c>
      <c r="W1111" t="str">
        <f>IF($O1111="","",IF($O1111&gt;PARAMETRES!$G$36,5,IF($O1111&gt;PARAMETRES!$F$36,4,IF($O1111&gt;PARAMETRES!$E$36,3,IF($O1111&gt;PARAMETRES!$D$36,2,1)))))</f>
        <v/>
      </c>
      <c r="X1111" t="str">
        <f>IF($P1111="","",IF($P1111&gt;PARAMETRES!$G$37,5,IF($P1111&gt;PARAMETRES!$F$37,4,IF($P1111&gt;PARAMETRES!$E$37,3,IF($P1111&gt;PARAMETRES!$D$37,2,1)))))</f>
        <v/>
      </c>
      <c r="Y1111" t="str">
        <f t="shared" si="408"/>
        <v/>
      </c>
      <c r="Z1111" t="str">
        <f>IFERROR(VLOOKUP($B1111,TABLE_CYCLE,2,0),"")</f>
        <v/>
      </c>
      <c r="AA1111" t="str">
        <f t="shared" si="409"/>
        <v/>
      </c>
      <c r="AB1111" t="str">
        <f>IF($D1111="","",IF(COUNTIF($D$2:$D1111,$D1111)=1,$D1111,""))</f>
        <v/>
      </c>
      <c r="AC1111">
        <f t="shared" si="410"/>
        <v>0</v>
      </c>
      <c r="AD1111" t="str">
        <f t="shared" si="411"/>
        <v>|0</v>
      </c>
      <c r="AE1111" t="str">
        <f t="shared" si="412"/>
        <v/>
      </c>
      <c r="AF1111" t="str">
        <f t="shared" si="413"/>
        <v/>
      </c>
      <c r="AG1111" t="str">
        <f t="shared" si="414"/>
        <v/>
      </c>
      <c r="AH1111" t="str">
        <f t="shared" si="415"/>
        <v/>
      </c>
      <c r="AI1111" t="str">
        <f t="shared" si="416"/>
        <v/>
      </c>
      <c r="AJ1111" t="str">
        <f t="shared" si="417"/>
        <v/>
      </c>
      <c r="AK1111" t="str">
        <f t="shared" si="418"/>
        <v/>
      </c>
      <c r="AL1111" t="str">
        <f t="shared" si="419"/>
        <v/>
      </c>
      <c r="AM1111" t="str">
        <f t="shared" si="420"/>
        <v/>
      </c>
      <c r="AN1111" t="str">
        <f t="shared" si="421"/>
        <v/>
      </c>
      <c r="AO1111" t="str">
        <f t="shared" si="422"/>
        <v/>
      </c>
      <c r="AP1111">
        <f t="shared" si="423"/>
        <v>1</v>
      </c>
      <c r="AQ1111" t="str">
        <f>IF(SAISIE!$F1116="","",SAISIE!$Y1116)</f>
        <v/>
      </c>
      <c r="AR1111" t="str">
        <f>IF(OR(SAISIE!$U$4="",SAISIE!$W$4=""),"",IF(AND($A1111=SAISIE!$U$4,$B1111=SAISIE!$W$4,$C1111="S1"),COUNTIFS($A$2:$A1111,SAISIE!$U$4,$B$2:$B1111,SAISIE!$W$4,$C$2:$C1111,"S1"),""))</f>
        <v/>
      </c>
      <c r="AS1111" t="str">
        <f t="shared" si="424"/>
        <v/>
      </c>
      <c r="AT1111" t="str">
        <f t="shared" si="425"/>
        <v/>
      </c>
      <c r="AU1111" t="str">
        <f t="shared" si="426"/>
        <v/>
      </c>
      <c r="AV1111">
        <f>N(AV1110)+IF(AND($AB1111&lt;&gt;"",OR('PROFIL ELEVE'!$K$4="(Tous)",$AF1111='PROFIL ELEVE'!$K$4)),1,0)</f>
        <v>0</v>
      </c>
      <c r="AW1111">
        <f>N(AW1110)+IF(AND($AB1111&lt;&gt;"",OR('SUIVI LONGITUDINAL'!$Q$4="(Tous)",$AF1111='SUIVI LONGITUDINAL'!$Q$4)),1,0)</f>
        <v>0</v>
      </c>
      <c r="AX1111">
        <f t="shared" si="427"/>
        <v>0</v>
      </c>
      <c r="AY1111">
        <f t="shared" si="428"/>
        <v>0</v>
      </c>
      <c r="AZ1111">
        <f t="shared" si="429"/>
        <v>0</v>
      </c>
      <c r="BA1111" t="str">
        <f t="shared" si="430"/>
        <v/>
      </c>
      <c r="BB1111" t="str">
        <f t="shared" si="431"/>
        <v/>
      </c>
    </row>
    <row r="1112" spans="1:54" ht="14.25" customHeight="1" x14ac:dyDescent="0.3">
      <c r="A1112" t="str">
        <f>IF(SAISIE!$F1117="","",SAISIE!$B1117)</f>
        <v/>
      </c>
      <c r="B1112" t="str">
        <f>IF(SAISIE!$F1117="","",SAISIE!$C1117)</f>
        <v/>
      </c>
      <c r="C1112" t="str">
        <f>IF(SAISIE!$F1117="","",SAISIE!$D1117)</f>
        <v/>
      </c>
      <c r="D1112" t="str">
        <f>IF(SAISIE!$E1117="","",SAISIE!$E1117)</f>
        <v/>
      </c>
      <c r="E1112" t="str">
        <f>IF(SAISIE!$F1117="","",SAISIE!$F1117)</f>
        <v/>
      </c>
      <c r="F1112" t="str">
        <f>IF(SAISIE!$G1117="","",SAISIE!$G1117)</f>
        <v/>
      </c>
      <c r="G1112" t="str">
        <f>IF(SAISIE!$H1117="","",SAISIE!$H1117)</f>
        <v/>
      </c>
      <c r="H1112" t="str">
        <f>IF(SAISIE!$I1117="","",SAISIE!$I1117)</f>
        <v/>
      </c>
      <c r="I1112" t="str">
        <f>IF(SAISIE!$J1117="","",SAISIE!$J1117)</f>
        <v/>
      </c>
      <c r="J1112" t="str">
        <f>IF(SAISIE!$K1117="","",SAISIE!$K1117)</f>
        <v/>
      </c>
      <c r="K1112" t="str">
        <f>IF(SAISIE!$L1117="","",SAISIE!$L1117)</f>
        <v/>
      </c>
      <c r="L1112" t="str">
        <f>IF(SAISIE!$M1117="","",SAISIE!$M1117)</f>
        <v/>
      </c>
      <c r="M1112" t="str">
        <f>IF(SAISIE!$N1117="","",SAISIE!$N1117)</f>
        <v/>
      </c>
      <c r="N1112" t="str">
        <f>IF(SAISIE!$O1117="","",SAISIE!$O1117)</f>
        <v/>
      </c>
      <c r="O1112" t="str">
        <f>IF(SAISIE!$P1117="","",SAISIE!$P1117)</f>
        <v/>
      </c>
      <c r="P1112" t="str">
        <f>IF(SAISIE!$Q1117="","",SAISIE!$Q1117)</f>
        <v/>
      </c>
      <c r="Q1112" t="str">
        <f>IF($I1112="","",IF($I1112&gt;PARAMETRES!$G$29,5,IF($I1112&gt;PARAMETRES!$F$29,4,IF($I1112&gt;PARAMETRES!$E$29,3,IF($I1112&gt;PARAMETRES!$D$29,2,1)))))</f>
        <v/>
      </c>
      <c r="R1112" t="str">
        <f>IF($J1112="","",IF($J1112&gt;PARAMETRES!$G$30,5,IF($J1112&gt;PARAMETRES!$F$30,4,IF($J1112&gt;PARAMETRES!$E$30,3,IF($J1112&gt;PARAMETRES!$D$30,2,1)))))</f>
        <v/>
      </c>
      <c r="S1112" t="str">
        <f>IF($K1112="","",IF($Z1112=2,IF($K1112&gt;PARAMETRES!$G$31,5,IF($K1112&gt;PARAMETRES!$F$31,4,IF($K1112&gt;PARAMETRES!$E$31,3,IF($K1112&gt;PARAMETRES!$D$31,2,1)))),IF($K1112&gt;PARAMETRES!$G$32,5,IF($K1112&gt;PARAMETRES!$F$32,4,IF($K1112&gt;PARAMETRES!$E$32,3,IF($K1112&gt;PARAMETRES!$D$32,2,1))))))</f>
        <v/>
      </c>
      <c r="T1112" t="str">
        <f>IF($L1112="","",IF($L1112&gt;PARAMETRES!$G$33,5,IF($L1112&gt;PARAMETRES!$F$33,4,IF($L1112&gt;PARAMETRES!$E$33,3,IF($L1112&gt;PARAMETRES!$D$33,2,1)))))</f>
        <v/>
      </c>
      <c r="U1112" t="str">
        <f>IF($M1112="","",IF($M1112&gt;PARAMETRES!$G$34,5,IF($M1112&gt;PARAMETRES!$F$34,4,IF($M1112&gt;PARAMETRES!$E$34,3,IF($M1112&gt;PARAMETRES!$D$34,2,1)))))</f>
        <v/>
      </c>
      <c r="V1112" t="str">
        <f>IF($N1112="","",IF($N1112&gt;PARAMETRES!$G$35,5,IF($N1112&gt;PARAMETRES!$F$35,4,IF($N1112&gt;PARAMETRES!$E$35,3,IF($N1112&gt;PARAMETRES!$D$35,2,1)))))</f>
        <v/>
      </c>
      <c r="W1112" t="str">
        <f>IF($O1112="","",IF($O1112&gt;PARAMETRES!$G$36,5,IF($O1112&gt;PARAMETRES!$F$36,4,IF($O1112&gt;PARAMETRES!$E$36,3,IF($O1112&gt;PARAMETRES!$D$36,2,1)))))</f>
        <v/>
      </c>
      <c r="X1112" t="str">
        <f>IF($P1112="","",IF($P1112&gt;PARAMETRES!$G$37,5,IF($P1112&gt;PARAMETRES!$F$37,4,IF($P1112&gt;PARAMETRES!$E$37,3,IF($P1112&gt;PARAMETRES!$D$37,2,1)))))</f>
        <v/>
      </c>
      <c r="Y1112" t="str">
        <f t="shared" si="408"/>
        <v/>
      </c>
      <c r="Z1112" t="str">
        <f>IFERROR(VLOOKUP($B1112,TABLE_CYCLE,2,0),"")</f>
        <v/>
      </c>
      <c r="AA1112" t="str">
        <f t="shared" si="409"/>
        <v/>
      </c>
      <c r="AB1112" t="str">
        <f>IF($D1112="","",IF(COUNTIF($D$2:$D1112,$D1112)=1,$D1112,""))</f>
        <v/>
      </c>
      <c r="AC1112">
        <f t="shared" si="410"/>
        <v>0</v>
      </c>
      <c r="AD1112" t="str">
        <f t="shared" si="411"/>
        <v>|0</v>
      </c>
      <c r="AE1112" t="str">
        <f t="shared" si="412"/>
        <v/>
      </c>
      <c r="AF1112" t="str">
        <f t="shared" si="413"/>
        <v/>
      </c>
      <c r="AG1112" t="str">
        <f t="shared" si="414"/>
        <v/>
      </c>
      <c r="AH1112" t="str">
        <f t="shared" si="415"/>
        <v/>
      </c>
      <c r="AI1112" t="str">
        <f t="shared" si="416"/>
        <v/>
      </c>
      <c r="AJ1112" t="str">
        <f t="shared" si="417"/>
        <v/>
      </c>
      <c r="AK1112" t="str">
        <f t="shared" si="418"/>
        <v/>
      </c>
      <c r="AL1112" t="str">
        <f t="shared" si="419"/>
        <v/>
      </c>
      <c r="AM1112" t="str">
        <f t="shared" si="420"/>
        <v/>
      </c>
      <c r="AN1112" t="str">
        <f t="shared" si="421"/>
        <v/>
      </c>
      <c r="AO1112" t="str">
        <f t="shared" si="422"/>
        <v/>
      </c>
      <c r="AP1112">
        <f t="shared" si="423"/>
        <v>1</v>
      </c>
      <c r="AQ1112" t="str">
        <f>IF(SAISIE!$F1117="","",SAISIE!$Y1117)</f>
        <v/>
      </c>
      <c r="AR1112" t="str">
        <f>IF(OR(SAISIE!$U$4="",SAISIE!$W$4=""),"",IF(AND($A1112=SAISIE!$U$4,$B1112=SAISIE!$W$4,$C1112="S1"),COUNTIFS($A$2:$A1112,SAISIE!$U$4,$B$2:$B1112,SAISIE!$W$4,$C$2:$C1112,"S1"),""))</f>
        <v/>
      </c>
      <c r="AS1112" t="str">
        <f t="shared" si="424"/>
        <v/>
      </c>
      <c r="AT1112" t="str">
        <f t="shared" si="425"/>
        <v/>
      </c>
      <c r="AU1112" t="str">
        <f t="shared" si="426"/>
        <v/>
      </c>
      <c r="AV1112">
        <f>N(AV1111)+IF(AND($AB1112&lt;&gt;"",OR('PROFIL ELEVE'!$K$4="(Tous)",$AF1112='PROFIL ELEVE'!$K$4)),1,0)</f>
        <v>0</v>
      </c>
      <c r="AW1112">
        <f>N(AW1111)+IF(AND($AB1112&lt;&gt;"",OR('SUIVI LONGITUDINAL'!$Q$4="(Tous)",$AF1112='SUIVI LONGITUDINAL'!$Q$4)),1,0)</f>
        <v>0</v>
      </c>
      <c r="AX1112">
        <f t="shared" si="427"/>
        <v>0</v>
      </c>
      <c r="AY1112">
        <f t="shared" si="428"/>
        <v>0</v>
      </c>
      <c r="AZ1112">
        <f t="shared" si="429"/>
        <v>0</v>
      </c>
      <c r="BA1112" t="str">
        <f t="shared" si="430"/>
        <v/>
      </c>
      <c r="BB1112" t="str">
        <f t="shared" si="431"/>
        <v/>
      </c>
    </row>
    <row r="1113" spans="1:54" ht="14.25" customHeight="1" x14ac:dyDescent="0.3">
      <c r="A1113" t="str">
        <f>IF(SAISIE!$F1118="","",SAISIE!$B1118)</f>
        <v/>
      </c>
      <c r="B1113" t="str">
        <f>IF(SAISIE!$F1118="","",SAISIE!$C1118)</f>
        <v/>
      </c>
      <c r="C1113" t="str">
        <f>IF(SAISIE!$F1118="","",SAISIE!$D1118)</f>
        <v/>
      </c>
      <c r="D1113" t="str">
        <f>IF(SAISIE!$E1118="","",SAISIE!$E1118)</f>
        <v/>
      </c>
      <c r="E1113" t="str">
        <f>IF(SAISIE!$F1118="","",SAISIE!$F1118)</f>
        <v/>
      </c>
      <c r="F1113" t="str">
        <f>IF(SAISIE!$G1118="","",SAISIE!$G1118)</f>
        <v/>
      </c>
      <c r="G1113" t="str">
        <f>IF(SAISIE!$H1118="","",SAISIE!$H1118)</f>
        <v/>
      </c>
      <c r="H1113" t="str">
        <f>IF(SAISIE!$I1118="","",SAISIE!$I1118)</f>
        <v/>
      </c>
      <c r="I1113" t="str">
        <f>IF(SAISIE!$J1118="","",SAISIE!$J1118)</f>
        <v/>
      </c>
      <c r="J1113" t="str">
        <f>IF(SAISIE!$K1118="","",SAISIE!$K1118)</f>
        <v/>
      </c>
      <c r="K1113" t="str">
        <f>IF(SAISIE!$L1118="","",SAISIE!$L1118)</f>
        <v/>
      </c>
      <c r="L1113" t="str">
        <f>IF(SAISIE!$M1118="","",SAISIE!$M1118)</f>
        <v/>
      </c>
      <c r="M1113" t="str">
        <f>IF(SAISIE!$N1118="","",SAISIE!$N1118)</f>
        <v/>
      </c>
      <c r="N1113" t="str">
        <f>IF(SAISIE!$O1118="","",SAISIE!$O1118)</f>
        <v/>
      </c>
      <c r="O1113" t="str">
        <f>IF(SAISIE!$P1118="","",SAISIE!$P1118)</f>
        <v/>
      </c>
      <c r="P1113" t="str">
        <f>IF(SAISIE!$Q1118="","",SAISIE!$Q1118)</f>
        <v/>
      </c>
      <c r="Q1113" t="str">
        <f>IF($I1113="","",IF($I1113&gt;PARAMETRES!$G$29,5,IF($I1113&gt;PARAMETRES!$F$29,4,IF($I1113&gt;PARAMETRES!$E$29,3,IF($I1113&gt;PARAMETRES!$D$29,2,1)))))</f>
        <v/>
      </c>
      <c r="R1113" t="str">
        <f>IF($J1113="","",IF($J1113&gt;PARAMETRES!$G$30,5,IF($J1113&gt;PARAMETRES!$F$30,4,IF($J1113&gt;PARAMETRES!$E$30,3,IF($J1113&gt;PARAMETRES!$D$30,2,1)))))</f>
        <v/>
      </c>
      <c r="S1113" t="str">
        <f>IF($K1113="","",IF($Z1113=2,IF($K1113&gt;PARAMETRES!$G$31,5,IF($K1113&gt;PARAMETRES!$F$31,4,IF($K1113&gt;PARAMETRES!$E$31,3,IF($K1113&gt;PARAMETRES!$D$31,2,1)))),IF($K1113&gt;PARAMETRES!$G$32,5,IF($K1113&gt;PARAMETRES!$F$32,4,IF($K1113&gt;PARAMETRES!$E$32,3,IF($K1113&gt;PARAMETRES!$D$32,2,1))))))</f>
        <v/>
      </c>
      <c r="T1113" t="str">
        <f>IF($L1113="","",IF($L1113&gt;PARAMETRES!$G$33,5,IF($L1113&gt;PARAMETRES!$F$33,4,IF($L1113&gt;PARAMETRES!$E$33,3,IF($L1113&gt;PARAMETRES!$D$33,2,1)))))</f>
        <v/>
      </c>
      <c r="U1113" t="str">
        <f>IF($M1113="","",IF($M1113&gt;PARAMETRES!$G$34,5,IF($M1113&gt;PARAMETRES!$F$34,4,IF($M1113&gt;PARAMETRES!$E$34,3,IF($M1113&gt;PARAMETRES!$D$34,2,1)))))</f>
        <v/>
      </c>
      <c r="V1113" t="str">
        <f>IF($N1113="","",IF($N1113&gt;PARAMETRES!$G$35,5,IF($N1113&gt;PARAMETRES!$F$35,4,IF($N1113&gt;PARAMETRES!$E$35,3,IF($N1113&gt;PARAMETRES!$D$35,2,1)))))</f>
        <v/>
      </c>
      <c r="W1113" t="str">
        <f>IF($O1113="","",IF($O1113&gt;PARAMETRES!$G$36,5,IF($O1113&gt;PARAMETRES!$F$36,4,IF($O1113&gt;PARAMETRES!$E$36,3,IF($O1113&gt;PARAMETRES!$D$36,2,1)))))</f>
        <v/>
      </c>
      <c r="X1113" t="str">
        <f>IF($P1113="","",IF($P1113&gt;PARAMETRES!$G$37,5,IF($P1113&gt;PARAMETRES!$F$37,4,IF($P1113&gt;PARAMETRES!$E$37,3,IF($P1113&gt;PARAMETRES!$D$37,2,1)))))</f>
        <v/>
      </c>
      <c r="Y1113" t="str">
        <f t="shared" si="408"/>
        <v/>
      </c>
      <c r="Z1113" t="str">
        <f>IFERROR(VLOOKUP($B1113,TABLE_CYCLE,2,0),"")</f>
        <v/>
      </c>
      <c r="AA1113" t="str">
        <f t="shared" si="409"/>
        <v/>
      </c>
      <c r="AB1113" t="str">
        <f>IF($D1113="","",IF(COUNTIF($D$2:$D1113,$D1113)=1,$D1113,""))</f>
        <v/>
      </c>
      <c r="AC1113">
        <f t="shared" si="410"/>
        <v>0</v>
      </c>
      <c r="AD1113" t="str">
        <f t="shared" si="411"/>
        <v>|0</v>
      </c>
      <c r="AE1113" t="str">
        <f t="shared" si="412"/>
        <v/>
      </c>
      <c r="AF1113" t="str">
        <f t="shared" si="413"/>
        <v/>
      </c>
      <c r="AG1113" t="str">
        <f t="shared" si="414"/>
        <v/>
      </c>
      <c r="AH1113" t="str">
        <f t="shared" si="415"/>
        <v/>
      </c>
      <c r="AI1113" t="str">
        <f t="shared" si="416"/>
        <v/>
      </c>
      <c r="AJ1113" t="str">
        <f t="shared" si="417"/>
        <v/>
      </c>
      <c r="AK1113" t="str">
        <f t="shared" si="418"/>
        <v/>
      </c>
      <c r="AL1113" t="str">
        <f t="shared" si="419"/>
        <v/>
      </c>
      <c r="AM1113" t="str">
        <f t="shared" si="420"/>
        <v/>
      </c>
      <c r="AN1113" t="str">
        <f t="shared" si="421"/>
        <v/>
      </c>
      <c r="AO1113" t="str">
        <f t="shared" si="422"/>
        <v/>
      </c>
      <c r="AP1113">
        <f t="shared" si="423"/>
        <v>1</v>
      </c>
      <c r="AQ1113" t="str">
        <f>IF(SAISIE!$F1118="","",SAISIE!$Y1118)</f>
        <v/>
      </c>
      <c r="AR1113" t="str">
        <f>IF(OR(SAISIE!$U$4="",SAISIE!$W$4=""),"",IF(AND($A1113=SAISIE!$U$4,$B1113=SAISIE!$W$4,$C1113="S1"),COUNTIFS($A$2:$A1113,SAISIE!$U$4,$B$2:$B1113,SAISIE!$W$4,$C$2:$C1113,"S1"),""))</f>
        <v/>
      </c>
      <c r="AS1113" t="str">
        <f t="shared" si="424"/>
        <v/>
      </c>
      <c r="AT1113" t="str">
        <f t="shared" si="425"/>
        <v/>
      </c>
      <c r="AU1113" t="str">
        <f t="shared" si="426"/>
        <v/>
      </c>
      <c r="AV1113">
        <f>N(AV1112)+IF(AND($AB1113&lt;&gt;"",OR('PROFIL ELEVE'!$K$4="(Tous)",$AF1113='PROFIL ELEVE'!$K$4)),1,0)</f>
        <v>0</v>
      </c>
      <c r="AW1113">
        <f>N(AW1112)+IF(AND($AB1113&lt;&gt;"",OR('SUIVI LONGITUDINAL'!$Q$4="(Tous)",$AF1113='SUIVI LONGITUDINAL'!$Q$4)),1,0)</f>
        <v>0</v>
      </c>
      <c r="AX1113">
        <f t="shared" si="427"/>
        <v>0</v>
      </c>
      <c r="AY1113">
        <f t="shared" si="428"/>
        <v>0</v>
      </c>
      <c r="AZ1113">
        <f t="shared" si="429"/>
        <v>0</v>
      </c>
      <c r="BA1113" t="str">
        <f t="shared" si="430"/>
        <v/>
      </c>
      <c r="BB1113" t="str">
        <f t="shared" si="431"/>
        <v/>
      </c>
    </row>
    <row r="1114" spans="1:54" ht="14.25" customHeight="1" x14ac:dyDescent="0.3">
      <c r="A1114" t="str">
        <f>IF(SAISIE!$F1119="","",SAISIE!$B1119)</f>
        <v/>
      </c>
      <c r="B1114" t="str">
        <f>IF(SAISIE!$F1119="","",SAISIE!$C1119)</f>
        <v/>
      </c>
      <c r="C1114" t="str">
        <f>IF(SAISIE!$F1119="","",SAISIE!$D1119)</f>
        <v/>
      </c>
      <c r="D1114" t="str">
        <f>IF(SAISIE!$E1119="","",SAISIE!$E1119)</f>
        <v/>
      </c>
      <c r="E1114" t="str">
        <f>IF(SAISIE!$F1119="","",SAISIE!$F1119)</f>
        <v/>
      </c>
      <c r="F1114" t="str">
        <f>IF(SAISIE!$G1119="","",SAISIE!$G1119)</f>
        <v/>
      </c>
      <c r="G1114" t="str">
        <f>IF(SAISIE!$H1119="","",SAISIE!$H1119)</f>
        <v/>
      </c>
      <c r="H1114" t="str">
        <f>IF(SAISIE!$I1119="","",SAISIE!$I1119)</f>
        <v/>
      </c>
      <c r="I1114" t="str">
        <f>IF(SAISIE!$J1119="","",SAISIE!$J1119)</f>
        <v/>
      </c>
      <c r="J1114" t="str">
        <f>IF(SAISIE!$K1119="","",SAISIE!$K1119)</f>
        <v/>
      </c>
      <c r="K1114" t="str">
        <f>IF(SAISIE!$L1119="","",SAISIE!$L1119)</f>
        <v/>
      </c>
      <c r="L1114" t="str">
        <f>IF(SAISIE!$M1119="","",SAISIE!$M1119)</f>
        <v/>
      </c>
      <c r="M1114" t="str">
        <f>IF(SAISIE!$N1119="","",SAISIE!$N1119)</f>
        <v/>
      </c>
      <c r="N1114" t="str">
        <f>IF(SAISIE!$O1119="","",SAISIE!$O1119)</f>
        <v/>
      </c>
      <c r="O1114" t="str">
        <f>IF(SAISIE!$P1119="","",SAISIE!$P1119)</f>
        <v/>
      </c>
      <c r="P1114" t="str">
        <f>IF(SAISIE!$Q1119="","",SAISIE!$Q1119)</f>
        <v/>
      </c>
      <c r="Q1114" t="str">
        <f>IF($I1114="","",IF($I1114&gt;PARAMETRES!$G$29,5,IF($I1114&gt;PARAMETRES!$F$29,4,IF($I1114&gt;PARAMETRES!$E$29,3,IF($I1114&gt;PARAMETRES!$D$29,2,1)))))</f>
        <v/>
      </c>
      <c r="R1114" t="str">
        <f>IF($J1114="","",IF($J1114&gt;PARAMETRES!$G$30,5,IF($J1114&gt;PARAMETRES!$F$30,4,IF($J1114&gt;PARAMETRES!$E$30,3,IF($J1114&gt;PARAMETRES!$D$30,2,1)))))</f>
        <v/>
      </c>
      <c r="S1114" t="str">
        <f>IF($K1114="","",IF($Z1114=2,IF($K1114&gt;PARAMETRES!$G$31,5,IF($K1114&gt;PARAMETRES!$F$31,4,IF($K1114&gt;PARAMETRES!$E$31,3,IF($K1114&gt;PARAMETRES!$D$31,2,1)))),IF($K1114&gt;PARAMETRES!$G$32,5,IF($K1114&gt;PARAMETRES!$F$32,4,IF($K1114&gt;PARAMETRES!$E$32,3,IF($K1114&gt;PARAMETRES!$D$32,2,1))))))</f>
        <v/>
      </c>
      <c r="T1114" t="str">
        <f>IF($L1114="","",IF($L1114&gt;PARAMETRES!$G$33,5,IF($L1114&gt;PARAMETRES!$F$33,4,IF($L1114&gt;PARAMETRES!$E$33,3,IF($L1114&gt;PARAMETRES!$D$33,2,1)))))</f>
        <v/>
      </c>
      <c r="U1114" t="str">
        <f>IF($M1114="","",IF($M1114&gt;PARAMETRES!$G$34,5,IF($M1114&gt;PARAMETRES!$F$34,4,IF($M1114&gt;PARAMETRES!$E$34,3,IF($M1114&gt;PARAMETRES!$D$34,2,1)))))</f>
        <v/>
      </c>
      <c r="V1114" t="str">
        <f>IF($N1114="","",IF($N1114&gt;PARAMETRES!$G$35,5,IF($N1114&gt;PARAMETRES!$F$35,4,IF($N1114&gt;PARAMETRES!$E$35,3,IF($N1114&gt;PARAMETRES!$D$35,2,1)))))</f>
        <v/>
      </c>
      <c r="W1114" t="str">
        <f>IF($O1114="","",IF($O1114&gt;PARAMETRES!$G$36,5,IF($O1114&gt;PARAMETRES!$F$36,4,IF($O1114&gt;PARAMETRES!$E$36,3,IF($O1114&gt;PARAMETRES!$D$36,2,1)))))</f>
        <v/>
      </c>
      <c r="X1114" t="str">
        <f>IF($P1114="","",IF($P1114&gt;PARAMETRES!$G$37,5,IF($P1114&gt;PARAMETRES!$F$37,4,IF($P1114&gt;PARAMETRES!$E$37,3,IF($P1114&gt;PARAMETRES!$D$37,2,1)))))</f>
        <v/>
      </c>
      <c r="Y1114" t="str">
        <f t="shared" si="408"/>
        <v/>
      </c>
      <c r="Z1114" t="str">
        <f>IFERROR(VLOOKUP($B1114,TABLE_CYCLE,2,0),"")</f>
        <v/>
      </c>
      <c r="AA1114" t="str">
        <f t="shared" si="409"/>
        <v/>
      </c>
      <c r="AB1114" t="str">
        <f>IF($D1114="","",IF(COUNTIF($D$2:$D1114,$D1114)=1,$D1114,""))</f>
        <v/>
      </c>
      <c r="AC1114">
        <f t="shared" si="410"/>
        <v>0</v>
      </c>
      <c r="AD1114" t="str">
        <f t="shared" si="411"/>
        <v>|0</v>
      </c>
      <c r="AE1114" t="str">
        <f t="shared" si="412"/>
        <v/>
      </c>
      <c r="AF1114" t="str">
        <f t="shared" si="413"/>
        <v/>
      </c>
      <c r="AG1114" t="str">
        <f t="shared" si="414"/>
        <v/>
      </c>
      <c r="AH1114" t="str">
        <f t="shared" si="415"/>
        <v/>
      </c>
      <c r="AI1114" t="str">
        <f t="shared" si="416"/>
        <v/>
      </c>
      <c r="AJ1114" t="str">
        <f t="shared" si="417"/>
        <v/>
      </c>
      <c r="AK1114" t="str">
        <f t="shared" si="418"/>
        <v/>
      </c>
      <c r="AL1114" t="str">
        <f t="shared" si="419"/>
        <v/>
      </c>
      <c r="AM1114" t="str">
        <f t="shared" si="420"/>
        <v/>
      </c>
      <c r="AN1114" t="str">
        <f t="shared" si="421"/>
        <v/>
      </c>
      <c r="AO1114" t="str">
        <f t="shared" si="422"/>
        <v/>
      </c>
      <c r="AP1114">
        <f t="shared" si="423"/>
        <v>1</v>
      </c>
      <c r="AQ1114" t="str">
        <f>IF(SAISIE!$F1119="","",SAISIE!$Y1119)</f>
        <v/>
      </c>
      <c r="AR1114" t="str">
        <f>IF(OR(SAISIE!$U$4="",SAISIE!$W$4=""),"",IF(AND($A1114=SAISIE!$U$4,$B1114=SAISIE!$W$4,$C1114="S1"),COUNTIFS($A$2:$A1114,SAISIE!$U$4,$B$2:$B1114,SAISIE!$W$4,$C$2:$C1114,"S1"),""))</f>
        <v/>
      </c>
      <c r="AS1114" t="str">
        <f t="shared" si="424"/>
        <v/>
      </c>
      <c r="AT1114" t="str">
        <f t="shared" si="425"/>
        <v/>
      </c>
      <c r="AU1114" t="str">
        <f t="shared" si="426"/>
        <v/>
      </c>
      <c r="AV1114">
        <f>N(AV1113)+IF(AND($AB1114&lt;&gt;"",OR('PROFIL ELEVE'!$K$4="(Tous)",$AF1114='PROFIL ELEVE'!$K$4)),1,0)</f>
        <v>0</v>
      </c>
      <c r="AW1114">
        <f>N(AW1113)+IF(AND($AB1114&lt;&gt;"",OR('SUIVI LONGITUDINAL'!$Q$4="(Tous)",$AF1114='SUIVI LONGITUDINAL'!$Q$4)),1,0)</f>
        <v>0</v>
      </c>
      <c r="AX1114">
        <f t="shared" si="427"/>
        <v>0</v>
      </c>
      <c r="AY1114">
        <f t="shared" si="428"/>
        <v>0</v>
      </c>
      <c r="AZ1114">
        <f t="shared" si="429"/>
        <v>0</v>
      </c>
      <c r="BA1114" t="str">
        <f t="shared" si="430"/>
        <v/>
      </c>
      <c r="BB1114" t="str">
        <f t="shared" si="431"/>
        <v/>
      </c>
    </row>
    <row r="1115" spans="1:54" ht="14.25" customHeight="1" x14ac:dyDescent="0.3">
      <c r="A1115" t="str">
        <f>IF(SAISIE!$F1120="","",SAISIE!$B1120)</f>
        <v/>
      </c>
      <c r="B1115" t="str">
        <f>IF(SAISIE!$F1120="","",SAISIE!$C1120)</f>
        <v/>
      </c>
      <c r="C1115" t="str">
        <f>IF(SAISIE!$F1120="","",SAISIE!$D1120)</f>
        <v/>
      </c>
      <c r="D1115" t="str">
        <f>IF(SAISIE!$E1120="","",SAISIE!$E1120)</f>
        <v/>
      </c>
      <c r="E1115" t="str">
        <f>IF(SAISIE!$F1120="","",SAISIE!$F1120)</f>
        <v/>
      </c>
      <c r="F1115" t="str">
        <f>IF(SAISIE!$G1120="","",SAISIE!$G1120)</f>
        <v/>
      </c>
      <c r="G1115" t="str">
        <f>IF(SAISIE!$H1120="","",SAISIE!$H1120)</f>
        <v/>
      </c>
      <c r="H1115" t="str">
        <f>IF(SAISIE!$I1120="","",SAISIE!$I1120)</f>
        <v/>
      </c>
      <c r="I1115" t="str">
        <f>IF(SAISIE!$J1120="","",SAISIE!$J1120)</f>
        <v/>
      </c>
      <c r="J1115" t="str">
        <f>IF(SAISIE!$K1120="","",SAISIE!$K1120)</f>
        <v/>
      </c>
      <c r="K1115" t="str">
        <f>IF(SAISIE!$L1120="","",SAISIE!$L1120)</f>
        <v/>
      </c>
      <c r="L1115" t="str">
        <f>IF(SAISIE!$M1120="","",SAISIE!$M1120)</f>
        <v/>
      </c>
      <c r="M1115" t="str">
        <f>IF(SAISIE!$N1120="","",SAISIE!$N1120)</f>
        <v/>
      </c>
      <c r="N1115" t="str">
        <f>IF(SAISIE!$O1120="","",SAISIE!$O1120)</f>
        <v/>
      </c>
      <c r="O1115" t="str">
        <f>IF(SAISIE!$P1120="","",SAISIE!$P1120)</f>
        <v/>
      </c>
      <c r="P1115" t="str">
        <f>IF(SAISIE!$Q1120="","",SAISIE!$Q1120)</f>
        <v/>
      </c>
      <c r="Q1115" t="str">
        <f>IF($I1115="","",IF($I1115&gt;PARAMETRES!$G$29,5,IF($I1115&gt;PARAMETRES!$F$29,4,IF($I1115&gt;PARAMETRES!$E$29,3,IF($I1115&gt;PARAMETRES!$D$29,2,1)))))</f>
        <v/>
      </c>
      <c r="R1115" t="str">
        <f>IF($J1115="","",IF($J1115&gt;PARAMETRES!$G$30,5,IF($J1115&gt;PARAMETRES!$F$30,4,IF($J1115&gt;PARAMETRES!$E$30,3,IF($J1115&gt;PARAMETRES!$D$30,2,1)))))</f>
        <v/>
      </c>
      <c r="S1115" t="str">
        <f>IF($K1115="","",IF($Z1115=2,IF($K1115&gt;PARAMETRES!$G$31,5,IF($K1115&gt;PARAMETRES!$F$31,4,IF($K1115&gt;PARAMETRES!$E$31,3,IF($K1115&gt;PARAMETRES!$D$31,2,1)))),IF($K1115&gt;PARAMETRES!$G$32,5,IF($K1115&gt;PARAMETRES!$F$32,4,IF($K1115&gt;PARAMETRES!$E$32,3,IF($K1115&gt;PARAMETRES!$D$32,2,1))))))</f>
        <v/>
      </c>
      <c r="T1115" t="str">
        <f>IF($L1115="","",IF($L1115&gt;PARAMETRES!$G$33,5,IF($L1115&gt;PARAMETRES!$F$33,4,IF($L1115&gt;PARAMETRES!$E$33,3,IF($L1115&gt;PARAMETRES!$D$33,2,1)))))</f>
        <v/>
      </c>
      <c r="U1115" t="str">
        <f>IF($M1115="","",IF($M1115&gt;PARAMETRES!$G$34,5,IF($M1115&gt;PARAMETRES!$F$34,4,IF($M1115&gt;PARAMETRES!$E$34,3,IF($M1115&gt;PARAMETRES!$D$34,2,1)))))</f>
        <v/>
      </c>
      <c r="V1115" t="str">
        <f>IF($N1115="","",IF($N1115&gt;PARAMETRES!$G$35,5,IF($N1115&gt;PARAMETRES!$F$35,4,IF($N1115&gt;PARAMETRES!$E$35,3,IF($N1115&gt;PARAMETRES!$D$35,2,1)))))</f>
        <v/>
      </c>
      <c r="W1115" t="str">
        <f>IF($O1115="","",IF($O1115&gt;PARAMETRES!$G$36,5,IF($O1115&gt;PARAMETRES!$F$36,4,IF($O1115&gt;PARAMETRES!$E$36,3,IF($O1115&gt;PARAMETRES!$D$36,2,1)))))</f>
        <v/>
      </c>
      <c r="X1115" t="str">
        <f>IF($P1115="","",IF($P1115&gt;PARAMETRES!$G$37,5,IF($P1115&gt;PARAMETRES!$F$37,4,IF($P1115&gt;PARAMETRES!$E$37,3,IF($P1115&gt;PARAMETRES!$D$37,2,1)))))</f>
        <v/>
      </c>
      <c r="Y1115" t="str">
        <f t="shared" si="408"/>
        <v/>
      </c>
      <c r="Z1115" t="str">
        <f>IFERROR(VLOOKUP($B1115,TABLE_CYCLE,2,0),"")</f>
        <v/>
      </c>
      <c r="AA1115" t="str">
        <f t="shared" si="409"/>
        <v/>
      </c>
      <c r="AB1115" t="str">
        <f>IF($D1115="","",IF(COUNTIF($D$2:$D1115,$D1115)=1,$D1115,""))</f>
        <v/>
      </c>
      <c r="AC1115">
        <f t="shared" si="410"/>
        <v>0</v>
      </c>
      <c r="AD1115" t="str">
        <f t="shared" si="411"/>
        <v>|0</v>
      </c>
      <c r="AE1115" t="str">
        <f t="shared" si="412"/>
        <v/>
      </c>
      <c r="AF1115" t="str">
        <f t="shared" si="413"/>
        <v/>
      </c>
      <c r="AG1115" t="str">
        <f t="shared" si="414"/>
        <v/>
      </c>
      <c r="AH1115" t="str">
        <f t="shared" si="415"/>
        <v/>
      </c>
      <c r="AI1115" t="str">
        <f t="shared" si="416"/>
        <v/>
      </c>
      <c r="AJ1115" t="str">
        <f t="shared" si="417"/>
        <v/>
      </c>
      <c r="AK1115" t="str">
        <f t="shared" si="418"/>
        <v/>
      </c>
      <c r="AL1115" t="str">
        <f t="shared" si="419"/>
        <v/>
      </c>
      <c r="AM1115" t="str">
        <f t="shared" si="420"/>
        <v/>
      </c>
      <c r="AN1115" t="str">
        <f t="shared" si="421"/>
        <v/>
      </c>
      <c r="AO1115" t="str">
        <f t="shared" si="422"/>
        <v/>
      </c>
      <c r="AP1115">
        <f t="shared" si="423"/>
        <v>1</v>
      </c>
      <c r="AQ1115" t="str">
        <f>IF(SAISIE!$F1120="","",SAISIE!$Y1120)</f>
        <v/>
      </c>
      <c r="AR1115" t="str">
        <f>IF(OR(SAISIE!$U$4="",SAISIE!$W$4=""),"",IF(AND($A1115=SAISIE!$U$4,$B1115=SAISIE!$W$4,$C1115="S1"),COUNTIFS($A$2:$A1115,SAISIE!$U$4,$B$2:$B1115,SAISIE!$W$4,$C$2:$C1115,"S1"),""))</f>
        <v/>
      </c>
      <c r="AS1115" t="str">
        <f t="shared" si="424"/>
        <v/>
      </c>
      <c r="AT1115" t="str">
        <f t="shared" si="425"/>
        <v/>
      </c>
      <c r="AU1115" t="str">
        <f t="shared" si="426"/>
        <v/>
      </c>
      <c r="AV1115">
        <f>N(AV1114)+IF(AND($AB1115&lt;&gt;"",OR('PROFIL ELEVE'!$K$4="(Tous)",$AF1115='PROFIL ELEVE'!$K$4)),1,0)</f>
        <v>0</v>
      </c>
      <c r="AW1115">
        <f>N(AW1114)+IF(AND($AB1115&lt;&gt;"",OR('SUIVI LONGITUDINAL'!$Q$4="(Tous)",$AF1115='SUIVI LONGITUDINAL'!$Q$4)),1,0)</f>
        <v>0</v>
      </c>
      <c r="AX1115">
        <f t="shared" si="427"/>
        <v>0</v>
      </c>
      <c r="AY1115">
        <f t="shared" si="428"/>
        <v>0</v>
      </c>
      <c r="AZ1115">
        <f t="shared" si="429"/>
        <v>0</v>
      </c>
      <c r="BA1115" t="str">
        <f t="shared" si="430"/>
        <v/>
      </c>
      <c r="BB1115" t="str">
        <f t="shared" si="431"/>
        <v/>
      </c>
    </row>
    <row r="1116" spans="1:54" ht="14.25" customHeight="1" x14ac:dyDescent="0.3">
      <c r="A1116" t="str">
        <f>IF(SAISIE!$F1121="","",SAISIE!$B1121)</f>
        <v/>
      </c>
      <c r="B1116" t="str">
        <f>IF(SAISIE!$F1121="","",SAISIE!$C1121)</f>
        <v/>
      </c>
      <c r="C1116" t="str">
        <f>IF(SAISIE!$F1121="","",SAISIE!$D1121)</f>
        <v/>
      </c>
      <c r="D1116" t="str">
        <f>IF(SAISIE!$E1121="","",SAISIE!$E1121)</f>
        <v/>
      </c>
      <c r="E1116" t="str">
        <f>IF(SAISIE!$F1121="","",SAISIE!$F1121)</f>
        <v/>
      </c>
      <c r="F1116" t="str">
        <f>IF(SAISIE!$G1121="","",SAISIE!$G1121)</f>
        <v/>
      </c>
      <c r="G1116" t="str">
        <f>IF(SAISIE!$H1121="","",SAISIE!$H1121)</f>
        <v/>
      </c>
      <c r="H1116" t="str">
        <f>IF(SAISIE!$I1121="","",SAISIE!$I1121)</f>
        <v/>
      </c>
      <c r="I1116" t="str">
        <f>IF(SAISIE!$J1121="","",SAISIE!$J1121)</f>
        <v/>
      </c>
      <c r="J1116" t="str">
        <f>IF(SAISIE!$K1121="","",SAISIE!$K1121)</f>
        <v/>
      </c>
      <c r="K1116" t="str">
        <f>IF(SAISIE!$L1121="","",SAISIE!$L1121)</f>
        <v/>
      </c>
      <c r="L1116" t="str">
        <f>IF(SAISIE!$M1121="","",SAISIE!$M1121)</f>
        <v/>
      </c>
      <c r="M1116" t="str">
        <f>IF(SAISIE!$N1121="","",SAISIE!$N1121)</f>
        <v/>
      </c>
      <c r="N1116" t="str">
        <f>IF(SAISIE!$O1121="","",SAISIE!$O1121)</f>
        <v/>
      </c>
      <c r="O1116" t="str">
        <f>IF(SAISIE!$P1121="","",SAISIE!$P1121)</f>
        <v/>
      </c>
      <c r="P1116" t="str">
        <f>IF(SAISIE!$Q1121="","",SAISIE!$Q1121)</f>
        <v/>
      </c>
      <c r="Q1116" t="str">
        <f>IF($I1116="","",IF($I1116&gt;PARAMETRES!$G$29,5,IF($I1116&gt;PARAMETRES!$F$29,4,IF($I1116&gt;PARAMETRES!$E$29,3,IF($I1116&gt;PARAMETRES!$D$29,2,1)))))</f>
        <v/>
      </c>
      <c r="R1116" t="str">
        <f>IF($J1116="","",IF($J1116&gt;PARAMETRES!$G$30,5,IF($J1116&gt;PARAMETRES!$F$30,4,IF($J1116&gt;PARAMETRES!$E$30,3,IF($J1116&gt;PARAMETRES!$D$30,2,1)))))</f>
        <v/>
      </c>
      <c r="S1116" t="str">
        <f>IF($K1116="","",IF($Z1116=2,IF($K1116&gt;PARAMETRES!$G$31,5,IF($K1116&gt;PARAMETRES!$F$31,4,IF($K1116&gt;PARAMETRES!$E$31,3,IF($K1116&gt;PARAMETRES!$D$31,2,1)))),IF($K1116&gt;PARAMETRES!$G$32,5,IF($K1116&gt;PARAMETRES!$F$32,4,IF($K1116&gt;PARAMETRES!$E$32,3,IF($K1116&gt;PARAMETRES!$D$32,2,1))))))</f>
        <v/>
      </c>
      <c r="T1116" t="str">
        <f>IF($L1116="","",IF($L1116&gt;PARAMETRES!$G$33,5,IF($L1116&gt;PARAMETRES!$F$33,4,IF($L1116&gt;PARAMETRES!$E$33,3,IF($L1116&gt;PARAMETRES!$D$33,2,1)))))</f>
        <v/>
      </c>
      <c r="U1116" t="str">
        <f>IF($M1116="","",IF($M1116&gt;PARAMETRES!$G$34,5,IF($M1116&gt;PARAMETRES!$F$34,4,IF($M1116&gt;PARAMETRES!$E$34,3,IF($M1116&gt;PARAMETRES!$D$34,2,1)))))</f>
        <v/>
      </c>
      <c r="V1116" t="str">
        <f>IF($N1116="","",IF($N1116&gt;PARAMETRES!$G$35,5,IF($N1116&gt;PARAMETRES!$F$35,4,IF($N1116&gt;PARAMETRES!$E$35,3,IF($N1116&gt;PARAMETRES!$D$35,2,1)))))</f>
        <v/>
      </c>
      <c r="W1116" t="str">
        <f>IF($O1116="","",IF($O1116&gt;PARAMETRES!$G$36,5,IF($O1116&gt;PARAMETRES!$F$36,4,IF($O1116&gt;PARAMETRES!$E$36,3,IF($O1116&gt;PARAMETRES!$D$36,2,1)))))</f>
        <v/>
      </c>
      <c r="X1116" t="str">
        <f>IF($P1116="","",IF($P1116&gt;PARAMETRES!$G$37,5,IF($P1116&gt;PARAMETRES!$F$37,4,IF($P1116&gt;PARAMETRES!$E$37,3,IF($P1116&gt;PARAMETRES!$D$37,2,1)))))</f>
        <v/>
      </c>
      <c r="Y1116" t="str">
        <f t="shared" si="408"/>
        <v/>
      </c>
      <c r="Z1116" t="str">
        <f>IFERROR(VLOOKUP($B1116,TABLE_CYCLE,2,0),"")</f>
        <v/>
      </c>
      <c r="AA1116" t="str">
        <f t="shared" si="409"/>
        <v/>
      </c>
      <c r="AB1116" t="str">
        <f>IF($D1116="","",IF(COUNTIF($D$2:$D1116,$D1116)=1,$D1116,""))</f>
        <v/>
      </c>
      <c r="AC1116">
        <f t="shared" si="410"/>
        <v>0</v>
      </c>
      <c r="AD1116" t="str">
        <f t="shared" si="411"/>
        <v>|0</v>
      </c>
      <c r="AE1116" t="str">
        <f t="shared" si="412"/>
        <v/>
      </c>
      <c r="AF1116" t="str">
        <f t="shared" si="413"/>
        <v/>
      </c>
      <c r="AG1116" t="str">
        <f t="shared" si="414"/>
        <v/>
      </c>
      <c r="AH1116" t="str">
        <f t="shared" si="415"/>
        <v/>
      </c>
      <c r="AI1116" t="str">
        <f t="shared" si="416"/>
        <v/>
      </c>
      <c r="AJ1116" t="str">
        <f t="shared" si="417"/>
        <v/>
      </c>
      <c r="AK1116" t="str">
        <f t="shared" si="418"/>
        <v/>
      </c>
      <c r="AL1116" t="str">
        <f t="shared" si="419"/>
        <v/>
      </c>
      <c r="AM1116" t="str">
        <f t="shared" si="420"/>
        <v/>
      </c>
      <c r="AN1116" t="str">
        <f t="shared" si="421"/>
        <v/>
      </c>
      <c r="AO1116" t="str">
        <f t="shared" si="422"/>
        <v/>
      </c>
      <c r="AP1116">
        <f t="shared" si="423"/>
        <v>1</v>
      </c>
      <c r="AQ1116" t="str">
        <f>IF(SAISIE!$F1121="","",SAISIE!$Y1121)</f>
        <v/>
      </c>
      <c r="AR1116" t="str">
        <f>IF(OR(SAISIE!$U$4="",SAISIE!$W$4=""),"",IF(AND($A1116=SAISIE!$U$4,$B1116=SAISIE!$W$4,$C1116="S1"),COUNTIFS($A$2:$A1116,SAISIE!$U$4,$B$2:$B1116,SAISIE!$W$4,$C$2:$C1116,"S1"),""))</f>
        <v/>
      </c>
      <c r="AS1116" t="str">
        <f t="shared" si="424"/>
        <v/>
      </c>
      <c r="AT1116" t="str">
        <f t="shared" si="425"/>
        <v/>
      </c>
      <c r="AU1116" t="str">
        <f t="shared" si="426"/>
        <v/>
      </c>
      <c r="AV1116">
        <f>N(AV1115)+IF(AND($AB1116&lt;&gt;"",OR('PROFIL ELEVE'!$K$4="(Tous)",$AF1116='PROFIL ELEVE'!$K$4)),1,0)</f>
        <v>0</v>
      </c>
      <c r="AW1116">
        <f>N(AW1115)+IF(AND($AB1116&lt;&gt;"",OR('SUIVI LONGITUDINAL'!$Q$4="(Tous)",$AF1116='SUIVI LONGITUDINAL'!$Q$4)),1,0)</f>
        <v>0</v>
      </c>
      <c r="AX1116">
        <f t="shared" si="427"/>
        <v>0</v>
      </c>
      <c r="AY1116">
        <f t="shared" si="428"/>
        <v>0</v>
      </c>
      <c r="AZ1116">
        <f t="shared" si="429"/>
        <v>0</v>
      </c>
      <c r="BA1116" t="str">
        <f t="shared" si="430"/>
        <v/>
      </c>
      <c r="BB1116" t="str">
        <f t="shared" si="431"/>
        <v/>
      </c>
    </row>
    <row r="1117" spans="1:54" ht="14.25" customHeight="1" x14ac:dyDescent="0.3">
      <c r="A1117" t="str">
        <f>IF(SAISIE!$F1122="","",SAISIE!$B1122)</f>
        <v/>
      </c>
      <c r="B1117" t="str">
        <f>IF(SAISIE!$F1122="","",SAISIE!$C1122)</f>
        <v/>
      </c>
      <c r="C1117" t="str">
        <f>IF(SAISIE!$F1122="","",SAISIE!$D1122)</f>
        <v/>
      </c>
      <c r="D1117" t="str">
        <f>IF(SAISIE!$E1122="","",SAISIE!$E1122)</f>
        <v/>
      </c>
      <c r="E1117" t="str">
        <f>IF(SAISIE!$F1122="","",SAISIE!$F1122)</f>
        <v/>
      </c>
      <c r="F1117" t="str">
        <f>IF(SAISIE!$G1122="","",SAISIE!$G1122)</f>
        <v/>
      </c>
      <c r="G1117" t="str">
        <f>IF(SAISIE!$H1122="","",SAISIE!$H1122)</f>
        <v/>
      </c>
      <c r="H1117" t="str">
        <f>IF(SAISIE!$I1122="","",SAISIE!$I1122)</f>
        <v/>
      </c>
      <c r="I1117" t="str">
        <f>IF(SAISIE!$J1122="","",SAISIE!$J1122)</f>
        <v/>
      </c>
      <c r="J1117" t="str">
        <f>IF(SAISIE!$K1122="","",SAISIE!$K1122)</f>
        <v/>
      </c>
      <c r="K1117" t="str">
        <f>IF(SAISIE!$L1122="","",SAISIE!$L1122)</f>
        <v/>
      </c>
      <c r="L1117" t="str">
        <f>IF(SAISIE!$M1122="","",SAISIE!$M1122)</f>
        <v/>
      </c>
      <c r="M1117" t="str">
        <f>IF(SAISIE!$N1122="","",SAISIE!$N1122)</f>
        <v/>
      </c>
      <c r="N1117" t="str">
        <f>IF(SAISIE!$O1122="","",SAISIE!$O1122)</f>
        <v/>
      </c>
      <c r="O1117" t="str">
        <f>IF(SAISIE!$P1122="","",SAISIE!$P1122)</f>
        <v/>
      </c>
      <c r="P1117" t="str">
        <f>IF(SAISIE!$Q1122="","",SAISIE!$Q1122)</f>
        <v/>
      </c>
      <c r="Q1117" t="str">
        <f>IF($I1117="","",IF($I1117&gt;PARAMETRES!$G$29,5,IF($I1117&gt;PARAMETRES!$F$29,4,IF($I1117&gt;PARAMETRES!$E$29,3,IF($I1117&gt;PARAMETRES!$D$29,2,1)))))</f>
        <v/>
      </c>
      <c r="R1117" t="str">
        <f>IF($J1117="","",IF($J1117&gt;PARAMETRES!$G$30,5,IF($J1117&gt;PARAMETRES!$F$30,4,IF($J1117&gt;PARAMETRES!$E$30,3,IF($J1117&gt;PARAMETRES!$D$30,2,1)))))</f>
        <v/>
      </c>
      <c r="S1117" t="str">
        <f>IF($K1117="","",IF($Z1117=2,IF($K1117&gt;PARAMETRES!$G$31,5,IF($K1117&gt;PARAMETRES!$F$31,4,IF($K1117&gt;PARAMETRES!$E$31,3,IF($K1117&gt;PARAMETRES!$D$31,2,1)))),IF($K1117&gt;PARAMETRES!$G$32,5,IF($K1117&gt;PARAMETRES!$F$32,4,IF($K1117&gt;PARAMETRES!$E$32,3,IF($K1117&gt;PARAMETRES!$D$32,2,1))))))</f>
        <v/>
      </c>
      <c r="T1117" t="str">
        <f>IF($L1117="","",IF($L1117&gt;PARAMETRES!$G$33,5,IF($L1117&gt;PARAMETRES!$F$33,4,IF($L1117&gt;PARAMETRES!$E$33,3,IF($L1117&gt;PARAMETRES!$D$33,2,1)))))</f>
        <v/>
      </c>
      <c r="U1117" t="str">
        <f>IF($M1117="","",IF($M1117&gt;PARAMETRES!$G$34,5,IF($M1117&gt;PARAMETRES!$F$34,4,IF($M1117&gt;PARAMETRES!$E$34,3,IF($M1117&gt;PARAMETRES!$D$34,2,1)))))</f>
        <v/>
      </c>
      <c r="V1117" t="str">
        <f>IF($N1117="","",IF($N1117&gt;PARAMETRES!$G$35,5,IF($N1117&gt;PARAMETRES!$F$35,4,IF($N1117&gt;PARAMETRES!$E$35,3,IF($N1117&gt;PARAMETRES!$D$35,2,1)))))</f>
        <v/>
      </c>
      <c r="W1117" t="str">
        <f>IF($O1117="","",IF($O1117&gt;PARAMETRES!$G$36,5,IF($O1117&gt;PARAMETRES!$F$36,4,IF($O1117&gt;PARAMETRES!$E$36,3,IF($O1117&gt;PARAMETRES!$D$36,2,1)))))</f>
        <v/>
      </c>
      <c r="X1117" t="str">
        <f>IF($P1117="","",IF($P1117&gt;PARAMETRES!$G$37,5,IF($P1117&gt;PARAMETRES!$F$37,4,IF($P1117&gt;PARAMETRES!$E$37,3,IF($P1117&gt;PARAMETRES!$D$37,2,1)))))</f>
        <v/>
      </c>
      <c r="Y1117" t="str">
        <f t="shared" si="408"/>
        <v/>
      </c>
      <c r="Z1117" t="str">
        <f>IFERROR(VLOOKUP($B1117,TABLE_CYCLE,2,0),"")</f>
        <v/>
      </c>
      <c r="AA1117" t="str">
        <f t="shared" si="409"/>
        <v/>
      </c>
      <c r="AB1117" t="str">
        <f>IF($D1117="","",IF(COUNTIF($D$2:$D1117,$D1117)=1,$D1117,""))</f>
        <v/>
      </c>
      <c r="AC1117">
        <f t="shared" si="410"/>
        <v>0</v>
      </c>
      <c r="AD1117" t="str">
        <f t="shared" si="411"/>
        <v>|0</v>
      </c>
      <c r="AE1117" t="str">
        <f t="shared" si="412"/>
        <v/>
      </c>
      <c r="AF1117" t="str">
        <f t="shared" si="413"/>
        <v/>
      </c>
      <c r="AG1117" t="str">
        <f t="shared" si="414"/>
        <v/>
      </c>
      <c r="AH1117" t="str">
        <f t="shared" si="415"/>
        <v/>
      </c>
      <c r="AI1117" t="str">
        <f t="shared" si="416"/>
        <v/>
      </c>
      <c r="AJ1117" t="str">
        <f t="shared" si="417"/>
        <v/>
      </c>
      <c r="AK1117" t="str">
        <f t="shared" si="418"/>
        <v/>
      </c>
      <c r="AL1117" t="str">
        <f t="shared" si="419"/>
        <v/>
      </c>
      <c r="AM1117" t="str">
        <f t="shared" si="420"/>
        <v/>
      </c>
      <c r="AN1117" t="str">
        <f t="shared" si="421"/>
        <v/>
      </c>
      <c r="AO1117" t="str">
        <f t="shared" si="422"/>
        <v/>
      </c>
      <c r="AP1117">
        <f t="shared" si="423"/>
        <v>1</v>
      </c>
      <c r="AQ1117" t="str">
        <f>IF(SAISIE!$F1122="","",SAISIE!$Y1122)</f>
        <v/>
      </c>
      <c r="AR1117" t="str">
        <f>IF(OR(SAISIE!$U$4="",SAISIE!$W$4=""),"",IF(AND($A1117=SAISIE!$U$4,$B1117=SAISIE!$W$4,$C1117="S1"),COUNTIFS($A$2:$A1117,SAISIE!$U$4,$B$2:$B1117,SAISIE!$W$4,$C$2:$C1117,"S1"),""))</f>
        <v/>
      </c>
      <c r="AS1117" t="str">
        <f t="shared" si="424"/>
        <v/>
      </c>
      <c r="AT1117" t="str">
        <f t="shared" si="425"/>
        <v/>
      </c>
      <c r="AU1117" t="str">
        <f t="shared" si="426"/>
        <v/>
      </c>
      <c r="AV1117">
        <f>N(AV1116)+IF(AND($AB1117&lt;&gt;"",OR('PROFIL ELEVE'!$K$4="(Tous)",$AF1117='PROFIL ELEVE'!$K$4)),1,0)</f>
        <v>0</v>
      </c>
      <c r="AW1117">
        <f>N(AW1116)+IF(AND($AB1117&lt;&gt;"",OR('SUIVI LONGITUDINAL'!$Q$4="(Tous)",$AF1117='SUIVI LONGITUDINAL'!$Q$4)),1,0)</f>
        <v>0</v>
      </c>
      <c r="AX1117">
        <f t="shared" si="427"/>
        <v>0</v>
      </c>
      <c r="AY1117">
        <f t="shared" si="428"/>
        <v>0</v>
      </c>
      <c r="AZ1117">
        <f t="shared" si="429"/>
        <v>0</v>
      </c>
      <c r="BA1117" t="str">
        <f t="shared" si="430"/>
        <v/>
      </c>
      <c r="BB1117" t="str">
        <f t="shared" si="431"/>
        <v/>
      </c>
    </row>
    <row r="1118" spans="1:54" ht="14.25" customHeight="1" x14ac:dyDescent="0.3">
      <c r="A1118" t="str">
        <f>IF(SAISIE!$F1123="","",SAISIE!$B1123)</f>
        <v/>
      </c>
      <c r="B1118" t="str">
        <f>IF(SAISIE!$F1123="","",SAISIE!$C1123)</f>
        <v/>
      </c>
      <c r="C1118" t="str">
        <f>IF(SAISIE!$F1123="","",SAISIE!$D1123)</f>
        <v/>
      </c>
      <c r="D1118" t="str">
        <f>IF(SAISIE!$E1123="","",SAISIE!$E1123)</f>
        <v/>
      </c>
      <c r="E1118" t="str">
        <f>IF(SAISIE!$F1123="","",SAISIE!$F1123)</f>
        <v/>
      </c>
      <c r="F1118" t="str">
        <f>IF(SAISIE!$G1123="","",SAISIE!$G1123)</f>
        <v/>
      </c>
      <c r="G1118" t="str">
        <f>IF(SAISIE!$H1123="","",SAISIE!$H1123)</f>
        <v/>
      </c>
      <c r="H1118" t="str">
        <f>IF(SAISIE!$I1123="","",SAISIE!$I1123)</f>
        <v/>
      </c>
      <c r="I1118" t="str">
        <f>IF(SAISIE!$J1123="","",SAISIE!$J1123)</f>
        <v/>
      </c>
      <c r="J1118" t="str">
        <f>IF(SAISIE!$K1123="","",SAISIE!$K1123)</f>
        <v/>
      </c>
      <c r="K1118" t="str">
        <f>IF(SAISIE!$L1123="","",SAISIE!$L1123)</f>
        <v/>
      </c>
      <c r="L1118" t="str">
        <f>IF(SAISIE!$M1123="","",SAISIE!$M1123)</f>
        <v/>
      </c>
      <c r="M1118" t="str">
        <f>IF(SAISIE!$N1123="","",SAISIE!$N1123)</f>
        <v/>
      </c>
      <c r="N1118" t="str">
        <f>IF(SAISIE!$O1123="","",SAISIE!$O1123)</f>
        <v/>
      </c>
      <c r="O1118" t="str">
        <f>IF(SAISIE!$P1123="","",SAISIE!$P1123)</f>
        <v/>
      </c>
      <c r="P1118" t="str">
        <f>IF(SAISIE!$Q1123="","",SAISIE!$Q1123)</f>
        <v/>
      </c>
      <c r="Q1118" t="str">
        <f>IF($I1118="","",IF($I1118&gt;PARAMETRES!$G$29,5,IF($I1118&gt;PARAMETRES!$F$29,4,IF($I1118&gt;PARAMETRES!$E$29,3,IF($I1118&gt;PARAMETRES!$D$29,2,1)))))</f>
        <v/>
      </c>
      <c r="R1118" t="str">
        <f>IF($J1118="","",IF($J1118&gt;PARAMETRES!$G$30,5,IF($J1118&gt;PARAMETRES!$F$30,4,IF($J1118&gt;PARAMETRES!$E$30,3,IF($J1118&gt;PARAMETRES!$D$30,2,1)))))</f>
        <v/>
      </c>
      <c r="S1118" t="str">
        <f>IF($K1118="","",IF($Z1118=2,IF($K1118&gt;PARAMETRES!$G$31,5,IF($K1118&gt;PARAMETRES!$F$31,4,IF($K1118&gt;PARAMETRES!$E$31,3,IF($K1118&gt;PARAMETRES!$D$31,2,1)))),IF($K1118&gt;PARAMETRES!$G$32,5,IF($K1118&gt;PARAMETRES!$F$32,4,IF($K1118&gt;PARAMETRES!$E$32,3,IF($K1118&gt;PARAMETRES!$D$32,2,1))))))</f>
        <v/>
      </c>
      <c r="T1118" t="str">
        <f>IF($L1118="","",IF($L1118&gt;PARAMETRES!$G$33,5,IF($L1118&gt;PARAMETRES!$F$33,4,IF($L1118&gt;PARAMETRES!$E$33,3,IF($L1118&gt;PARAMETRES!$D$33,2,1)))))</f>
        <v/>
      </c>
      <c r="U1118" t="str">
        <f>IF($M1118="","",IF($M1118&gt;PARAMETRES!$G$34,5,IF($M1118&gt;PARAMETRES!$F$34,4,IF($M1118&gt;PARAMETRES!$E$34,3,IF($M1118&gt;PARAMETRES!$D$34,2,1)))))</f>
        <v/>
      </c>
      <c r="V1118" t="str">
        <f>IF($N1118="","",IF($N1118&gt;PARAMETRES!$G$35,5,IF($N1118&gt;PARAMETRES!$F$35,4,IF($N1118&gt;PARAMETRES!$E$35,3,IF($N1118&gt;PARAMETRES!$D$35,2,1)))))</f>
        <v/>
      </c>
      <c r="W1118" t="str">
        <f>IF($O1118="","",IF($O1118&gt;PARAMETRES!$G$36,5,IF($O1118&gt;PARAMETRES!$F$36,4,IF($O1118&gt;PARAMETRES!$E$36,3,IF($O1118&gt;PARAMETRES!$D$36,2,1)))))</f>
        <v/>
      </c>
      <c r="X1118" t="str">
        <f>IF($P1118="","",IF($P1118&gt;PARAMETRES!$G$37,5,IF($P1118&gt;PARAMETRES!$F$37,4,IF($P1118&gt;PARAMETRES!$E$37,3,IF($P1118&gt;PARAMETRES!$D$37,2,1)))))</f>
        <v/>
      </c>
      <c r="Y1118" t="str">
        <f t="shared" si="408"/>
        <v/>
      </c>
      <c r="Z1118" t="str">
        <f>IFERROR(VLOOKUP($B1118,TABLE_CYCLE,2,0),"")</f>
        <v/>
      </c>
      <c r="AA1118" t="str">
        <f t="shared" si="409"/>
        <v/>
      </c>
      <c r="AB1118" t="str">
        <f>IF($D1118="","",IF(COUNTIF($D$2:$D1118,$D1118)=1,$D1118,""))</f>
        <v/>
      </c>
      <c r="AC1118">
        <f t="shared" si="410"/>
        <v>0</v>
      </c>
      <c r="AD1118" t="str">
        <f t="shared" si="411"/>
        <v>|0</v>
      </c>
      <c r="AE1118" t="str">
        <f t="shared" si="412"/>
        <v/>
      </c>
      <c r="AF1118" t="str">
        <f t="shared" si="413"/>
        <v/>
      </c>
      <c r="AG1118" t="str">
        <f t="shared" si="414"/>
        <v/>
      </c>
      <c r="AH1118" t="str">
        <f t="shared" si="415"/>
        <v/>
      </c>
      <c r="AI1118" t="str">
        <f t="shared" si="416"/>
        <v/>
      </c>
      <c r="AJ1118" t="str">
        <f t="shared" si="417"/>
        <v/>
      </c>
      <c r="AK1118" t="str">
        <f t="shared" si="418"/>
        <v/>
      </c>
      <c r="AL1118" t="str">
        <f t="shared" si="419"/>
        <v/>
      </c>
      <c r="AM1118" t="str">
        <f t="shared" si="420"/>
        <v/>
      </c>
      <c r="AN1118" t="str">
        <f t="shared" si="421"/>
        <v/>
      </c>
      <c r="AO1118" t="str">
        <f t="shared" si="422"/>
        <v/>
      </c>
      <c r="AP1118">
        <f t="shared" si="423"/>
        <v>1</v>
      </c>
      <c r="AQ1118" t="str">
        <f>IF(SAISIE!$F1123="","",SAISIE!$Y1123)</f>
        <v/>
      </c>
      <c r="AR1118" t="str">
        <f>IF(OR(SAISIE!$U$4="",SAISIE!$W$4=""),"",IF(AND($A1118=SAISIE!$U$4,$B1118=SAISIE!$W$4,$C1118="S1"),COUNTIFS($A$2:$A1118,SAISIE!$U$4,$B$2:$B1118,SAISIE!$W$4,$C$2:$C1118,"S1"),""))</f>
        <v/>
      </c>
      <c r="AS1118" t="str">
        <f t="shared" si="424"/>
        <v/>
      </c>
      <c r="AT1118" t="str">
        <f t="shared" si="425"/>
        <v/>
      </c>
      <c r="AU1118" t="str">
        <f t="shared" si="426"/>
        <v/>
      </c>
      <c r="AV1118">
        <f>N(AV1117)+IF(AND($AB1118&lt;&gt;"",OR('PROFIL ELEVE'!$K$4="(Tous)",$AF1118='PROFIL ELEVE'!$K$4)),1,0)</f>
        <v>0</v>
      </c>
      <c r="AW1118">
        <f>N(AW1117)+IF(AND($AB1118&lt;&gt;"",OR('SUIVI LONGITUDINAL'!$Q$4="(Tous)",$AF1118='SUIVI LONGITUDINAL'!$Q$4)),1,0)</f>
        <v>0</v>
      </c>
      <c r="AX1118">
        <f t="shared" si="427"/>
        <v>0</v>
      </c>
      <c r="AY1118">
        <f t="shared" si="428"/>
        <v>0</v>
      </c>
      <c r="AZ1118">
        <f t="shared" si="429"/>
        <v>0</v>
      </c>
      <c r="BA1118" t="str">
        <f t="shared" si="430"/>
        <v/>
      </c>
      <c r="BB1118" t="str">
        <f t="shared" si="431"/>
        <v/>
      </c>
    </row>
    <row r="1119" spans="1:54" ht="14.25" customHeight="1" x14ac:dyDescent="0.3">
      <c r="A1119" t="str">
        <f>IF(SAISIE!$F1124="","",SAISIE!$B1124)</f>
        <v/>
      </c>
      <c r="B1119" t="str">
        <f>IF(SAISIE!$F1124="","",SAISIE!$C1124)</f>
        <v/>
      </c>
      <c r="C1119" t="str">
        <f>IF(SAISIE!$F1124="","",SAISIE!$D1124)</f>
        <v/>
      </c>
      <c r="D1119" t="str">
        <f>IF(SAISIE!$E1124="","",SAISIE!$E1124)</f>
        <v/>
      </c>
      <c r="E1119" t="str">
        <f>IF(SAISIE!$F1124="","",SAISIE!$F1124)</f>
        <v/>
      </c>
      <c r="F1119" t="str">
        <f>IF(SAISIE!$G1124="","",SAISIE!$G1124)</f>
        <v/>
      </c>
      <c r="G1119" t="str">
        <f>IF(SAISIE!$H1124="","",SAISIE!$H1124)</f>
        <v/>
      </c>
      <c r="H1119" t="str">
        <f>IF(SAISIE!$I1124="","",SAISIE!$I1124)</f>
        <v/>
      </c>
      <c r="I1119" t="str">
        <f>IF(SAISIE!$J1124="","",SAISIE!$J1124)</f>
        <v/>
      </c>
      <c r="J1119" t="str">
        <f>IF(SAISIE!$K1124="","",SAISIE!$K1124)</f>
        <v/>
      </c>
      <c r="K1119" t="str">
        <f>IF(SAISIE!$L1124="","",SAISIE!$L1124)</f>
        <v/>
      </c>
      <c r="L1119" t="str">
        <f>IF(SAISIE!$M1124="","",SAISIE!$M1124)</f>
        <v/>
      </c>
      <c r="M1119" t="str">
        <f>IF(SAISIE!$N1124="","",SAISIE!$N1124)</f>
        <v/>
      </c>
      <c r="N1119" t="str">
        <f>IF(SAISIE!$O1124="","",SAISIE!$O1124)</f>
        <v/>
      </c>
      <c r="O1119" t="str">
        <f>IF(SAISIE!$P1124="","",SAISIE!$P1124)</f>
        <v/>
      </c>
      <c r="P1119" t="str">
        <f>IF(SAISIE!$Q1124="","",SAISIE!$Q1124)</f>
        <v/>
      </c>
      <c r="Q1119" t="str">
        <f>IF($I1119="","",IF($I1119&gt;PARAMETRES!$G$29,5,IF($I1119&gt;PARAMETRES!$F$29,4,IF($I1119&gt;PARAMETRES!$E$29,3,IF($I1119&gt;PARAMETRES!$D$29,2,1)))))</f>
        <v/>
      </c>
      <c r="R1119" t="str">
        <f>IF($J1119="","",IF($J1119&gt;PARAMETRES!$G$30,5,IF($J1119&gt;PARAMETRES!$F$30,4,IF($J1119&gt;PARAMETRES!$E$30,3,IF($J1119&gt;PARAMETRES!$D$30,2,1)))))</f>
        <v/>
      </c>
      <c r="S1119" t="str">
        <f>IF($K1119="","",IF($Z1119=2,IF($K1119&gt;PARAMETRES!$G$31,5,IF($K1119&gt;PARAMETRES!$F$31,4,IF($K1119&gt;PARAMETRES!$E$31,3,IF($K1119&gt;PARAMETRES!$D$31,2,1)))),IF($K1119&gt;PARAMETRES!$G$32,5,IF($K1119&gt;PARAMETRES!$F$32,4,IF($K1119&gt;PARAMETRES!$E$32,3,IF($K1119&gt;PARAMETRES!$D$32,2,1))))))</f>
        <v/>
      </c>
      <c r="T1119" t="str">
        <f>IF($L1119="","",IF($L1119&gt;PARAMETRES!$G$33,5,IF($L1119&gt;PARAMETRES!$F$33,4,IF($L1119&gt;PARAMETRES!$E$33,3,IF($L1119&gt;PARAMETRES!$D$33,2,1)))))</f>
        <v/>
      </c>
      <c r="U1119" t="str">
        <f>IF($M1119="","",IF($M1119&gt;PARAMETRES!$G$34,5,IF($M1119&gt;PARAMETRES!$F$34,4,IF($M1119&gt;PARAMETRES!$E$34,3,IF($M1119&gt;PARAMETRES!$D$34,2,1)))))</f>
        <v/>
      </c>
      <c r="V1119" t="str">
        <f>IF($N1119="","",IF($N1119&gt;PARAMETRES!$G$35,5,IF($N1119&gt;PARAMETRES!$F$35,4,IF($N1119&gt;PARAMETRES!$E$35,3,IF($N1119&gt;PARAMETRES!$D$35,2,1)))))</f>
        <v/>
      </c>
      <c r="W1119" t="str">
        <f>IF($O1119="","",IF($O1119&gt;PARAMETRES!$G$36,5,IF($O1119&gt;PARAMETRES!$F$36,4,IF($O1119&gt;PARAMETRES!$E$36,3,IF($O1119&gt;PARAMETRES!$D$36,2,1)))))</f>
        <v/>
      </c>
      <c r="X1119" t="str">
        <f>IF($P1119="","",IF($P1119&gt;PARAMETRES!$G$37,5,IF($P1119&gt;PARAMETRES!$F$37,4,IF($P1119&gt;PARAMETRES!$E$37,3,IF($P1119&gt;PARAMETRES!$D$37,2,1)))))</f>
        <v/>
      </c>
      <c r="Y1119" t="str">
        <f t="shared" si="408"/>
        <v/>
      </c>
      <c r="Z1119" t="str">
        <f>IFERROR(VLOOKUP($B1119,TABLE_CYCLE,2,0),"")</f>
        <v/>
      </c>
      <c r="AA1119" t="str">
        <f t="shared" si="409"/>
        <v/>
      </c>
      <c r="AB1119" t="str">
        <f>IF($D1119="","",IF(COUNTIF($D$2:$D1119,$D1119)=1,$D1119,""))</f>
        <v/>
      </c>
      <c r="AC1119">
        <f t="shared" si="410"/>
        <v>0</v>
      </c>
      <c r="AD1119" t="str">
        <f t="shared" si="411"/>
        <v>|0</v>
      </c>
      <c r="AE1119" t="str">
        <f t="shared" si="412"/>
        <v/>
      </c>
      <c r="AF1119" t="str">
        <f t="shared" si="413"/>
        <v/>
      </c>
      <c r="AG1119" t="str">
        <f t="shared" si="414"/>
        <v/>
      </c>
      <c r="AH1119" t="str">
        <f t="shared" si="415"/>
        <v/>
      </c>
      <c r="AI1119" t="str">
        <f t="shared" si="416"/>
        <v/>
      </c>
      <c r="AJ1119" t="str">
        <f t="shared" si="417"/>
        <v/>
      </c>
      <c r="AK1119" t="str">
        <f t="shared" si="418"/>
        <v/>
      </c>
      <c r="AL1119" t="str">
        <f t="shared" si="419"/>
        <v/>
      </c>
      <c r="AM1119" t="str">
        <f t="shared" si="420"/>
        <v/>
      </c>
      <c r="AN1119" t="str">
        <f t="shared" si="421"/>
        <v/>
      </c>
      <c r="AO1119" t="str">
        <f t="shared" si="422"/>
        <v/>
      </c>
      <c r="AP1119">
        <f t="shared" si="423"/>
        <v>1</v>
      </c>
      <c r="AQ1119" t="str">
        <f>IF(SAISIE!$F1124="","",SAISIE!$Y1124)</f>
        <v/>
      </c>
      <c r="AR1119" t="str">
        <f>IF(OR(SAISIE!$U$4="",SAISIE!$W$4=""),"",IF(AND($A1119=SAISIE!$U$4,$B1119=SAISIE!$W$4,$C1119="S1"),COUNTIFS($A$2:$A1119,SAISIE!$U$4,$B$2:$B1119,SAISIE!$W$4,$C$2:$C1119,"S1"),""))</f>
        <v/>
      </c>
      <c r="AS1119" t="str">
        <f t="shared" si="424"/>
        <v/>
      </c>
      <c r="AT1119" t="str">
        <f t="shared" si="425"/>
        <v/>
      </c>
      <c r="AU1119" t="str">
        <f t="shared" si="426"/>
        <v/>
      </c>
      <c r="AV1119">
        <f>N(AV1118)+IF(AND($AB1119&lt;&gt;"",OR('PROFIL ELEVE'!$K$4="(Tous)",$AF1119='PROFIL ELEVE'!$K$4)),1,0)</f>
        <v>0</v>
      </c>
      <c r="AW1119">
        <f>N(AW1118)+IF(AND($AB1119&lt;&gt;"",OR('SUIVI LONGITUDINAL'!$Q$4="(Tous)",$AF1119='SUIVI LONGITUDINAL'!$Q$4)),1,0)</f>
        <v>0</v>
      </c>
      <c r="AX1119">
        <f t="shared" si="427"/>
        <v>0</v>
      </c>
      <c r="AY1119">
        <f t="shared" si="428"/>
        <v>0</v>
      </c>
      <c r="AZ1119">
        <f t="shared" si="429"/>
        <v>0</v>
      </c>
      <c r="BA1119" t="str">
        <f t="shared" si="430"/>
        <v/>
      </c>
      <c r="BB1119" t="str">
        <f t="shared" si="431"/>
        <v/>
      </c>
    </row>
    <row r="1120" spans="1:54" ht="14.25" customHeight="1" x14ac:dyDescent="0.3">
      <c r="A1120" t="str">
        <f>IF(SAISIE!$F1125="","",SAISIE!$B1125)</f>
        <v/>
      </c>
      <c r="B1120" t="str">
        <f>IF(SAISIE!$F1125="","",SAISIE!$C1125)</f>
        <v/>
      </c>
      <c r="C1120" t="str">
        <f>IF(SAISIE!$F1125="","",SAISIE!$D1125)</f>
        <v/>
      </c>
      <c r="D1120" t="str">
        <f>IF(SAISIE!$E1125="","",SAISIE!$E1125)</f>
        <v/>
      </c>
      <c r="E1120" t="str">
        <f>IF(SAISIE!$F1125="","",SAISIE!$F1125)</f>
        <v/>
      </c>
      <c r="F1120" t="str">
        <f>IF(SAISIE!$G1125="","",SAISIE!$G1125)</f>
        <v/>
      </c>
      <c r="G1120" t="str">
        <f>IF(SAISIE!$H1125="","",SAISIE!$H1125)</f>
        <v/>
      </c>
      <c r="H1120" t="str">
        <f>IF(SAISIE!$I1125="","",SAISIE!$I1125)</f>
        <v/>
      </c>
      <c r="I1120" t="str">
        <f>IF(SAISIE!$J1125="","",SAISIE!$J1125)</f>
        <v/>
      </c>
      <c r="J1120" t="str">
        <f>IF(SAISIE!$K1125="","",SAISIE!$K1125)</f>
        <v/>
      </c>
      <c r="K1120" t="str">
        <f>IF(SAISIE!$L1125="","",SAISIE!$L1125)</f>
        <v/>
      </c>
      <c r="L1120" t="str">
        <f>IF(SAISIE!$M1125="","",SAISIE!$M1125)</f>
        <v/>
      </c>
      <c r="M1120" t="str">
        <f>IF(SAISIE!$N1125="","",SAISIE!$N1125)</f>
        <v/>
      </c>
      <c r="N1120" t="str">
        <f>IF(SAISIE!$O1125="","",SAISIE!$O1125)</f>
        <v/>
      </c>
      <c r="O1120" t="str">
        <f>IF(SAISIE!$P1125="","",SAISIE!$P1125)</f>
        <v/>
      </c>
      <c r="P1120" t="str">
        <f>IF(SAISIE!$Q1125="","",SAISIE!$Q1125)</f>
        <v/>
      </c>
      <c r="Q1120" t="str">
        <f>IF($I1120="","",IF($I1120&gt;PARAMETRES!$G$29,5,IF($I1120&gt;PARAMETRES!$F$29,4,IF($I1120&gt;PARAMETRES!$E$29,3,IF($I1120&gt;PARAMETRES!$D$29,2,1)))))</f>
        <v/>
      </c>
      <c r="R1120" t="str">
        <f>IF($J1120="","",IF($J1120&gt;PARAMETRES!$G$30,5,IF($J1120&gt;PARAMETRES!$F$30,4,IF($J1120&gt;PARAMETRES!$E$30,3,IF($J1120&gt;PARAMETRES!$D$30,2,1)))))</f>
        <v/>
      </c>
      <c r="S1120" t="str">
        <f>IF($K1120="","",IF($Z1120=2,IF($K1120&gt;PARAMETRES!$G$31,5,IF($K1120&gt;PARAMETRES!$F$31,4,IF($K1120&gt;PARAMETRES!$E$31,3,IF($K1120&gt;PARAMETRES!$D$31,2,1)))),IF($K1120&gt;PARAMETRES!$G$32,5,IF($K1120&gt;PARAMETRES!$F$32,4,IF($K1120&gt;PARAMETRES!$E$32,3,IF($K1120&gt;PARAMETRES!$D$32,2,1))))))</f>
        <v/>
      </c>
      <c r="T1120" t="str">
        <f>IF($L1120="","",IF($L1120&gt;PARAMETRES!$G$33,5,IF($L1120&gt;PARAMETRES!$F$33,4,IF($L1120&gt;PARAMETRES!$E$33,3,IF($L1120&gt;PARAMETRES!$D$33,2,1)))))</f>
        <v/>
      </c>
      <c r="U1120" t="str">
        <f>IF($M1120="","",IF($M1120&gt;PARAMETRES!$G$34,5,IF($M1120&gt;PARAMETRES!$F$34,4,IF($M1120&gt;PARAMETRES!$E$34,3,IF($M1120&gt;PARAMETRES!$D$34,2,1)))))</f>
        <v/>
      </c>
      <c r="V1120" t="str">
        <f>IF($N1120="","",IF($N1120&gt;PARAMETRES!$G$35,5,IF($N1120&gt;PARAMETRES!$F$35,4,IF($N1120&gt;PARAMETRES!$E$35,3,IF($N1120&gt;PARAMETRES!$D$35,2,1)))))</f>
        <v/>
      </c>
      <c r="W1120" t="str">
        <f>IF($O1120="","",IF($O1120&gt;PARAMETRES!$G$36,5,IF($O1120&gt;PARAMETRES!$F$36,4,IF($O1120&gt;PARAMETRES!$E$36,3,IF($O1120&gt;PARAMETRES!$D$36,2,1)))))</f>
        <v/>
      </c>
      <c r="X1120" t="str">
        <f>IF($P1120="","",IF($P1120&gt;PARAMETRES!$G$37,5,IF($P1120&gt;PARAMETRES!$F$37,4,IF($P1120&gt;PARAMETRES!$E$37,3,IF($P1120&gt;PARAMETRES!$D$37,2,1)))))</f>
        <v/>
      </c>
      <c r="Y1120" t="str">
        <f t="shared" si="408"/>
        <v/>
      </c>
      <c r="Z1120" t="str">
        <f>IFERROR(VLOOKUP($B1120,TABLE_CYCLE,2,0),"")</f>
        <v/>
      </c>
      <c r="AA1120" t="str">
        <f t="shared" si="409"/>
        <v/>
      </c>
      <c r="AB1120" t="str">
        <f>IF($D1120="","",IF(COUNTIF($D$2:$D1120,$D1120)=1,$D1120,""))</f>
        <v/>
      </c>
      <c r="AC1120">
        <f t="shared" si="410"/>
        <v>0</v>
      </c>
      <c r="AD1120" t="str">
        <f t="shared" si="411"/>
        <v>|0</v>
      </c>
      <c r="AE1120" t="str">
        <f t="shared" si="412"/>
        <v/>
      </c>
      <c r="AF1120" t="str">
        <f t="shared" si="413"/>
        <v/>
      </c>
      <c r="AG1120" t="str">
        <f t="shared" si="414"/>
        <v/>
      </c>
      <c r="AH1120" t="str">
        <f t="shared" si="415"/>
        <v/>
      </c>
      <c r="AI1120" t="str">
        <f t="shared" si="416"/>
        <v/>
      </c>
      <c r="AJ1120" t="str">
        <f t="shared" si="417"/>
        <v/>
      </c>
      <c r="AK1120" t="str">
        <f t="shared" si="418"/>
        <v/>
      </c>
      <c r="AL1120" t="str">
        <f t="shared" si="419"/>
        <v/>
      </c>
      <c r="AM1120" t="str">
        <f t="shared" si="420"/>
        <v/>
      </c>
      <c r="AN1120" t="str">
        <f t="shared" si="421"/>
        <v/>
      </c>
      <c r="AO1120" t="str">
        <f t="shared" si="422"/>
        <v/>
      </c>
      <c r="AP1120">
        <f t="shared" si="423"/>
        <v>1</v>
      </c>
      <c r="AQ1120" t="str">
        <f>IF(SAISIE!$F1125="","",SAISIE!$Y1125)</f>
        <v/>
      </c>
      <c r="AR1120" t="str">
        <f>IF(OR(SAISIE!$U$4="",SAISIE!$W$4=""),"",IF(AND($A1120=SAISIE!$U$4,$B1120=SAISIE!$W$4,$C1120="S1"),COUNTIFS($A$2:$A1120,SAISIE!$U$4,$B$2:$B1120,SAISIE!$W$4,$C$2:$C1120,"S1"),""))</f>
        <v/>
      </c>
      <c r="AS1120" t="str">
        <f t="shared" si="424"/>
        <v/>
      </c>
      <c r="AT1120" t="str">
        <f t="shared" si="425"/>
        <v/>
      </c>
      <c r="AU1120" t="str">
        <f t="shared" si="426"/>
        <v/>
      </c>
      <c r="AV1120">
        <f>N(AV1119)+IF(AND($AB1120&lt;&gt;"",OR('PROFIL ELEVE'!$K$4="(Tous)",$AF1120='PROFIL ELEVE'!$K$4)),1,0)</f>
        <v>0</v>
      </c>
      <c r="AW1120">
        <f>N(AW1119)+IF(AND($AB1120&lt;&gt;"",OR('SUIVI LONGITUDINAL'!$Q$4="(Tous)",$AF1120='SUIVI LONGITUDINAL'!$Q$4)),1,0)</f>
        <v>0</v>
      </c>
      <c r="AX1120">
        <f t="shared" si="427"/>
        <v>0</v>
      </c>
      <c r="AY1120">
        <f t="shared" si="428"/>
        <v>0</v>
      </c>
      <c r="AZ1120">
        <f t="shared" si="429"/>
        <v>0</v>
      </c>
      <c r="BA1120" t="str">
        <f t="shared" si="430"/>
        <v/>
      </c>
      <c r="BB1120" t="str">
        <f t="shared" si="431"/>
        <v/>
      </c>
    </row>
    <row r="1121" spans="1:54" ht="14.25" customHeight="1" x14ac:dyDescent="0.3">
      <c r="A1121" t="str">
        <f>IF(SAISIE!$F1126="","",SAISIE!$B1126)</f>
        <v/>
      </c>
      <c r="B1121" t="str">
        <f>IF(SAISIE!$F1126="","",SAISIE!$C1126)</f>
        <v/>
      </c>
      <c r="C1121" t="str">
        <f>IF(SAISIE!$F1126="","",SAISIE!$D1126)</f>
        <v/>
      </c>
      <c r="D1121" t="str">
        <f>IF(SAISIE!$E1126="","",SAISIE!$E1126)</f>
        <v/>
      </c>
      <c r="E1121" t="str">
        <f>IF(SAISIE!$F1126="","",SAISIE!$F1126)</f>
        <v/>
      </c>
      <c r="F1121" t="str">
        <f>IF(SAISIE!$G1126="","",SAISIE!$G1126)</f>
        <v/>
      </c>
      <c r="G1121" t="str">
        <f>IF(SAISIE!$H1126="","",SAISIE!$H1126)</f>
        <v/>
      </c>
      <c r="H1121" t="str">
        <f>IF(SAISIE!$I1126="","",SAISIE!$I1126)</f>
        <v/>
      </c>
      <c r="I1121" t="str">
        <f>IF(SAISIE!$J1126="","",SAISIE!$J1126)</f>
        <v/>
      </c>
      <c r="J1121" t="str">
        <f>IF(SAISIE!$K1126="","",SAISIE!$K1126)</f>
        <v/>
      </c>
      <c r="K1121" t="str">
        <f>IF(SAISIE!$L1126="","",SAISIE!$L1126)</f>
        <v/>
      </c>
      <c r="L1121" t="str">
        <f>IF(SAISIE!$M1126="","",SAISIE!$M1126)</f>
        <v/>
      </c>
      <c r="M1121" t="str">
        <f>IF(SAISIE!$N1126="","",SAISIE!$N1126)</f>
        <v/>
      </c>
      <c r="N1121" t="str">
        <f>IF(SAISIE!$O1126="","",SAISIE!$O1126)</f>
        <v/>
      </c>
      <c r="O1121" t="str">
        <f>IF(SAISIE!$P1126="","",SAISIE!$P1126)</f>
        <v/>
      </c>
      <c r="P1121" t="str">
        <f>IF(SAISIE!$Q1126="","",SAISIE!$Q1126)</f>
        <v/>
      </c>
      <c r="Q1121" t="str">
        <f>IF($I1121="","",IF($I1121&gt;PARAMETRES!$G$29,5,IF($I1121&gt;PARAMETRES!$F$29,4,IF($I1121&gt;PARAMETRES!$E$29,3,IF($I1121&gt;PARAMETRES!$D$29,2,1)))))</f>
        <v/>
      </c>
      <c r="R1121" t="str">
        <f>IF($J1121="","",IF($J1121&gt;PARAMETRES!$G$30,5,IF($J1121&gt;PARAMETRES!$F$30,4,IF($J1121&gt;PARAMETRES!$E$30,3,IF($J1121&gt;PARAMETRES!$D$30,2,1)))))</f>
        <v/>
      </c>
      <c r="S1121" t="str">
        <f>IF($K1121="","",IF($Z1121=2,IF($K1121&gt;PARAMETRES!$G$31,5,IF($K1121&gt;PARAMETRES!$F$31,4,IF($K1121&gt;PARAMETRES!$E$31,3,IF($K1121&gt;PARAMETRES!$D$31,2,1)))),IF($K1121&gt;PARAMETRES!$G$32,5,IF($K1121&gt;PARAMETRES!$F$32,4,IF($K1121&gt;PARAMETRES!$E$32,3,IF($K1121&gt;PARAMETRES!$D$32,2,1))))))</f>
        <v/>
      </c>
      <c r="T1121" t="str">
        <f>IF($L1121="","",IF($L1121&gt;PARAMETRES!$G$33,5,IF($L1121&gt;PARAMETRES!$F$33,4,IF($L1121&gt;PARAMETRES!$E$33,3,IF($L1121&gt;PARAMETRES!$D$33,2,1)))))</f>
        <v/>
      </c>
      <c r="U1121" t="str">
        <f>IF($M1121="","",IF($M1121&gt;PARAMETRES!$G$34,5,IF($M1121&gt;PARAMETRES!$F$34,4,IF($M1121&gt;PARAMETRES!$E$34,3,IF($M1121&gt;PARAMETRES!$D$34,2,1)))))</f>
        <v/>
      </c>
      <c r="V1121" t="str">
        <f>IF($N1121="","",IF($N1121&gt;PARAMETRES!$G$35,5,IF($N1121&gt;PARAMETRES!$F$35,4,IF($N1121&gt;PARAMETRES!$E$35,3,IF($N1121&gt;PARAMETRES!$D$35,2,1)))))</f>
        <v/>
      </c>
      <c r="W1121" t="str">
        <f>IF($O1121="","",IF($O1121&gt;PARAMETRES!$G$36,5,IF($O1121&gt;PARAMETRES!$F$36,4,IF($O1121&gt;PARAMETRES!$E$36,3,IF($O1121&gt;PARAMETRES!$D$36,2,1)))))</f>
        <v/>
      </c>
      <c r="X1121" t="str">
        <f>IF($P1121="","",IF($P1121&gt;PARAMETRES!$G$37,5,IF($P1121&gt;PARAMETRES!$F$37,4,IF($P1121&gt;PARAMETRES!$E$37,3,IF($P1121&gt;PARAMETRES!$D$37,2,1)))))</f>
        <v/>
      </c>
      <c r="Y1121" t="str">
        <f t="shared" si="408"/>
        <v/>
      </c>
      <c r="Z1121" t="str">
        <f>IFERROR(VLOOKUP($B1121,TABLE_CYCLE,2,0),"")</f>
        <v/>
      </c>
      <c r="AA1121" t="str">
        <f t="shared" si="409"/>
        <v/>
      </c>
      <c r="AB1121" t="str">
        <f>IF($D1121="","",IF(COUNTIF($D$2:$D1121,$D1121)=1,$D1121,""))</f>
        <v/>
      </c>
      <c r="AC1121">
        <f t="shared" si="410"/>
        <v>0</v>
      </c>
      <c r="AD1121" t="str">
        <f t="shared" si="411"/>
        <v>|0</v>
      </c>
      <c r="AE1121" t="str">
        <f t="shared" si="412"/>
        <v/>
      </c>
      <c r="AF1121" t="str">
        <f t="shared" si="413"/>
        <v/>
      </c>
      <c r="AG1121" t="str">
        <f t="shared" si="414"/>
        <v/>
      </c>
      <c r="AH1121" t="str">
        <f t="shared" si="415"/>
        <v/>
      </c>
      <c r="AI1121" t="str">
        <f t="shared" si="416"/>
        <v/>
      </c>
      <c r="AJ1121" t="str">
        <f t="shared" si="417"/>
        <v/>
      </c>
      <c r="AK1121" t="str">
        <f t="shared" si="418"/>
        <v/>
      </c>
      <c r="AL1121" t="str">
        <f t="shared" si="419"/>
        <v/>
      </c>
      <c r="AM1121" t="str">
        <f t="shared" si="420"/>
        <v/>
      </c>
      <c r="AN1121" t="str">
        <f t="shared" si="421"/>
        <v/>
      </c>
      <c r="AO1121" t="str">
        <f t="shared" si="422"/>
        <v/>
      </c>
      <c r="AP1121">
        <f t="shared" si="423"/>
        <v>1</v>
      </c>
      <c r="AQ1121" t="str">
        <f>IF(SAISIE!$F1126="","",SAISIE!$Y1126)</f>
        <v/>
      </c>
      <c r="AR1121" t="str">
        <f>IF(OR(SAISIE!$U$4="",SAISIE!$W$4=""),"",IF(AND($A1121=SAISIE!$U$4,$B1121=SAISIE!$W$4,$C1121="S1"),COUNTIFS($A$2:$A1121,SAISIE!$U$4,$B$2:$B1121,SAISIE!$W$4,$C$2:$C1121,"S1"),""))</f>
        <v/>
      </c>
      <c r="AS1121" t="str">
        <f t="shared" si="424"/>
        <v/>
      </c>
      <c r="AT1121" t="str">
        <f t="shared" si="425"/>
        <v/>
      </c>
      <c r="AU1121" t="str">
        <f t="shared" si="426"/>
        <v/>
      </c>
      <c r="AV1121">
        <f>N(AV1120)+IF(AND($AB1121&lt;&gt;"",OR('PROFIL ELEVE'!$K$4="(Tous)",$AF1121='PROFIL ELEVE'!$K$4)),1,0)</f>
        <v>0</v>
      </c>
      <c r="AW1121">
        <f>N(AW1120)+IF(AND($AB1121&lt;&gt;"",OR('SUIVI LONGITUDINAL'!$Q$4="(Tous)",$AF1121='SUIVI LONGITUDINAL'!$Q$4)),1,0)</f>
        <v>0</v>
      </c>
      <c r="AX1121">
        <f t="shared" si="427"/>
        <v>0</v>
      </c>
      <c r="AY1121">
        <f t="shared" si="428"/>
        <v>0</v>
      </c>
      <c r="AZ1121">
        <f t="shared" si="429"/>
        <v>0</v>
      </c>
      <c r="BA1121" t="str">
        <f t="shared" si="430"/>
        <v/>
      </c>
      <c r="BB1121" t="str">
        <f t="shared" si="431"/>
        <v/>
      </c>
    </row>
    <row r="1122" spans="1:54" ht="14.25" customHeight="1" x14ac:dyDescent="0.3">
      <c r="A1122" t="str">
        <f>IF(SAISIE!$F1127="","",SAISIE!$B1127)</f>
        <v/>
      </c>
      <c r="B1122" t="str">
        <f>IF(SAISIE!$F1127="","",SAISIE!$C1127)</f>
        <v/>
      </c>
      <c r="C1122" t="str">
        <f>IF(SAISIE!$F1127="","",SAISIE!$D1127)</f>
        <v/>
      </c>
      <c r="D1122" t="str">
        <f>IF(SAISIE!$E1127="","",SAISIE!$E1127)</f>
        <v/>
      </c>
      <c r="E1122" t="str">
        <f>IF(SAISIE!$F1127="","",SAISIE!$F1127)</f>
        <v/>
      </c>
      <c r="F1122" t="str">
        <f>IF(SAISIE!$G1127="","",SAISIE!$G1127)</f>
        <v/>
      </c>
      <c r="G1122" t="str">
        <f>IF(SAISIE!$H1127="","",SAISIE!$H1127)</f>
        <v/>
      </c>
      <c r="H1122" t="str">
        <f>IF(SAISIE!$I1127="","",SAISIE!$I1127)</f>
        <v/>
      </c>
      <c r="I1122" t="str">
        <f>IF(SAISIE!$J1127="","",SAISIE!$J1127)</f>
        <v/>
      </c>
      <c r="J1122" t="str">
        <f>IF(SAISIE!$K1127="","",SAISIE!$K1127)</f>
        <v/>
      </c>
      <c r="K1122" t="str">
        <f>IF(SAISIE!$L1127="","",SAISIE!$L1127)</f>
        <v/>
      </c>
      <c r="L1122" t="str">
        <f>IF(SAISIE!$M1127="","",SAISIE!$M1127)</f>
        <v/>
      </c>
      <c r="M1122" t="str">
        <f>IF(SAISIE!$N1127="","",SAISIE!$N1127)</f>
        <v/>
      </c>
      <c r="N1122" t="str">
        <f>IF(SAISIE!$O1127="","",SAISIE!$O1127)</f>
        <v/>
      </c>
      <c r="O1122" t="str">
        <f>IF(SAISIE!$P1127="","",SAISIE!$P1127)</f>
        <v/>
      </c>
      <c r="P1122" t="str">
        <f>IF(SAISIE!$Q1127="","",SAISIE!$Q1127)</f>
        <v/>
      </c>
      <c r="Q1122" t="str">
        <f>IF($I1122="","",IF($I1122&gt;PARAMETRES!$G$29,5,IF($I1122&gt;PARAMETRES!$F$29,4,IF($I1122&gt;PARAMETRES!$E$29,3,IF($I1122&gt;PARAMETRES!$D$29,2,1)))))</f>
        <v/>
      </c>
      <c r="R1122" t="str">
        <f>IF($J1122="","",IF($J1122&gt;PARAMETRES!$G$30,5,IF($J1122&gt;PARAMETRES!$F$30,4,IF($J1122&gt;PARAMETRES!$E$30,3,IF($J1122&gt;PARAMETRES!$D$30,2,1)))))</f>
        <v/>
      </c>
      <c r="S1122" t="str">
        <f>IF($K1122="","",IF($Z1122=2,IF($K1122&gt;PARAMETRES!$G$31,5,IF($K1122&gt;PARAMETRES!$F$31,4,IF($K1122&gt;PARAMETRES!$E$31,3,IF($K1122&gt;PARAMETRES!$D$31,2,1)))),IF($K1122&gt;PARAMETRES!$G$32,5,IF($K1122&gt;PARAMETRES!$F$32,4,IF($K1122&gt;PARAMETRES!$E$32,3,IF($K1122&gt;PARAMETRES!$D$32,2,1))))))</f>
        <v/>
      </c>
      <c r="T1122" t="str">
        <f>IF($L1122="","",IF($L1122&gt;PARAMETRES!$G$33,5,IF($L1122&gt;PARAMETRES!$F$33,4,IF($L1122&gt;PARAMETRES!$E$33,3,IF($L1122&gt;PARAMETRES!$D$33,2,1)))))</f>
        <v/>
      </c>
      <c r="U1122" t="str">
        <f>IF($M1122="","",IF($M1122&gt;PARAMETRES!$G$34,5,IF($M1122&gt;PARAMETRES!$F$34,4,IF($M1122&gt;PARAMETRES!$E$34,3,IF($M1122&gt;PARAMETRES!$D$34,2,1)))))</f>
        <v/>
      </c>
      <c r="V1122" t="str">
        <f>IF($N1122="","",IF($N1122&gt;PARAMETRES!$G$35,5,IF($N1122&gt;PARAMETRES!$F$35,4,IF($N1122&gt;PARAMETRES!$E$35,3,IF($N1122&gt;PARAMETRES!$D$35,2,1)))))</f>
        <v/>
      </c>
      <c r="W1122" t="str">
        <f>IF($O1122="","",IF($O1122&gt;PARAMETRES!$G$36,5,IF($O1122&gt;PARAMETRES!$F$36,4,IF($O1122&gt;PARAMETRES!$E$36,3,IF($O1122&gt;PARAMETRES!$D$36,2,1)))))</f>
        <v/>
      </c>
      <c r="X1122" t="str">
        <f>IF($P1122="","",IF($P1122&gt;PARAMETRES!$G$37,5,IF($P1122&gt;PARAMETRES!$F$37,4,IF($P1122&gt;PARAMETRES!$E$37,3,IF($P1122&gt;PARAMETRES!$D$37,2,1)))))</f>
        <v/>
      </c>
      <c r="Y1122" t="str">
        <f t="shared" si="408"/>
        <v/>
      </c>
      <c r="Z1122" t="str">
        <f>IFERROR(VLOOKUP($B1122,TABLE_CYCLE,2,0),"")</f>
        <v/>
      </c>
      <c r="AA1122" t="str">
        <f t="shared" si="409"/>
        <v/>
      </c>
      <c r="AB1122" t="str">
        <f>IF($D1122="","",IF(COUNTIF($D$2:$D1122,$D1122)=1,$D1122,""))</f>
        <v/>
      </c>
      <c r="AC1122">
        <f t="shared" si="410"/>
        <v>0</v>
      </c>
      <c r="AD1122" t="str">
        <f t="shared" si="411"/>
        <v>|0</v>
      </c>
      <c r="AE1122" t="str">
        <f t="shared" si="412"/>
        <v/>
      </c>
      <c r="AF1122" t="str">
        <f t="shared" si="413"/>
        <v/>
      </c>
      <c r="AG1122" t="str">
        <f t="shared" si="414"/>
        <v/>
      </c>
      <c r="AH1122" t="str">
        <f t="shared" si="415"/>
        <v/>
      </c>
      <c r="AI1122" t="str">
        <f t="shared" si="416"/>
        <v/>
      </c>
      <c r="AJ1122" t="str">
        <f t="shared" si="417"/>
        <v/>
      </c>
      <c r="AK1122" t="str">
        <f t="shared" si="418"/>
        <v/>
      </c>
      <c r="AL1122" t="str">
        <f t="shared" si="419"/>
        <v/>
      </c>
      <c r="AM1122" t="str">
        <f t="shared" si="420"/>
        <v/>
      </c>
      <c r="AN1122" t="str">
        <f t="shared" si="421"/>
        <v/>
      </c>
      <c r="AO1122" t="str">
        <f t="shared" si="422"/>
        <v/>
      </c>
      <c r="AP1122">
        <f t="shared" si="423"/>
        <v>1</v>
      </c>
      <c r="AQ1122" t="str">
        <f>IF(SAISIE!$F1127="","",SAISIE!$Y1127)</f>
        <v/>
      </c>
      <c r="AR1122" t="str">
        <f>IF(OR(SAISIE!$U$4="",SAISIE!$W$4=""),"",IF(AND($A1122=SAISIE!$U$4,$B1122=SAISIE!$W$4,$C1122="S1"),COUNTIFS($A$2:$A1122,SAISIE!$U$4,$B$2:$B1122,SAISIE!$W$4,$C$2:$C1122,"S1"),""))</f>
        <v/>
      </c>
      <c r="AS1122" t="str">
        <f t="shared" si="424"/>
        <v/>
      </c>
      <c r="AT1122" t="str">
        <f t="shared" si="425"/>
        <v/>
      </c>
      <c r="AU1122" t="str">
        <f t="shared" si="426"/>
        <v/>
      </c>
      <c r="AV1122">
        <f>N(AV1121)+IF(AND($AB1122&lt;&gt;"",OR('PROFIL ELEVE'!$K$4="(Tous)",$AF1122='PROFIL ELEVE'!$K$4)),1,0)</f>
        <v>0</v>
      </c>
      <c r="AW1122">
        <f>N(AW1121)+IF(AND($AB1122&lt;&gt;"",OR('SUIVI LONGITUDINAL'!$Q$4="(Tous)",$AF1122='SUIVI LONGITUDINAL'!$Q$4)),1,0)</f>
        <v>0</v>
      </c>
      <c r="AX1122">
        <f t="shared" si="427"/>
        <v>0</v>
      </c>
      <c r="AY1122">
        <f t="shared" si="428"/>
        <v>0</v>
      </c>
      <c r="AZ1122">
        <f t="shared" si="429"/>
        <v>0</v>
      </c>
      <c r="BA1122" t="str">
        <f t="shared" si="430"/>
        <v/>
      </c>
      <c r="BB1122" t="str">
        <f t="shared" si="431"/>
        <v/>
      </c>
    </row>
    <row r="1123" spans="1:54" ht="14.25" customHeight="1" x14ac:dyDescent="0.3">
      <c r="A1123" t="str">
        <f>IF(SAISIE!$F1128="","",SAISIE!$B1128)</f>
        <v/>
      </c>
      <c r="B1123" t="str">
        <f>IF(SAISIE!$F1128="","",SAISIE!$C1128)</f>
        <v/>
      </c>
      <c r="C1123" t="str">
        <f>IF(SAISIE!$F1128="","",SAISIE!$D1128)</f>
        <v/>
      </c>
      <c r="D1123" t="str">
        <f>IF(SAISIE!$E1128="","",SAISIE!$E1128)</f>
        <v/>
      </c>
      <c r="E1123" t="str">
        <f>IF(SAISIE!$F1128="","",SAISIE!$F1128)</f>
        <v/>
      </c>
      <c r="F1123" t="str">
        <f>IF(SAISIE!$G1128="","",SAISIE!$G1128)</f>
        <v/>
      </c>
      <c r="G1123" t="str">
        <f>IF(SAISIE!$H1128="","",SAISIE!$H1128)</f>
        <v/>
      </c>
      <c r="H1123" t="str">
        <f>IF(SAISIE!$I1128="","",SAISIE!$I1128)</f>
        <v/>
      </c>
      <c r="I1123" t="str">
        <f>IF(SAISIE!$J1128="","",SAISIE!$J1128)</f>
        <v/>
      </c>
      <c r="J1123" t="str">
        <f>IF(SAISIE!$K1128="","",SAISIE!$K1128)</f>
        <v/>
      </c>
      <c r="K1123" t="str">
        <f>IF(SAISIE!$L1128="","",SAISIE!$L1128)</f>
        <v/>
      </c>
      <c r="L1123" t="str">
        <f>IF(SAISIE!$M1128="","",SAISIE!$M1128)</f>
        <v/>
      </c>
      <c r="M1123" t="str">
        <f>IF(SAISIE!$N1128="","",SAISIE!$N1128)</f>
        <v/>
      </c>
      <c r="N1123" t="str">
        <f>IF(SAISIE!$O1128="","",SAISIE!$O1128)</f>
        <v/>
      </c>
      <c r="O1123" t="str">
        <f>IF(SAISIE!$P1128="","",SAISIE!$P1128)</f>
        <v/>
      </c>
      <c r="P1123" t="str">
        <f>IF(SAISIE!$Q1128="","",SAISIE!$Q1128)</f>
        <v/>
      </c>
      <c r="Q1123" t="str">
        <f>IF($I1123="","",IF($I1123&gt;PARAMETRES!$G$29,5,IF($I1123&gt;PARAMETRES!$F$29,4,IF($I1123&gt;PARAMETRES!$E$29,3,IF($I1123&gt;PARAMETRES!$D$29,2,1)))))</f>
        <v/>
      </c>
      <c r="R1123" t="str">
        <f>IF($J1123="","",IF($J1123&gt;PARAMETRES!$G$30,5,IF($J1123&gt;PARAMETRES!$F$30,4,IF($J1123&gt;PARAMETRES!$E$30,3,IF($J1123&gt;PARAMETRES!$D$30,2,1)))))</f>
        <v/>
      </c>
      <c r="S1123" t="str">
        <f>IF($K1123="","",IF($Z1123=2,IF($K1123&gt;PARAMETRES!$G$31,5,IF($K1123&gt;PARAMETRES!$F$31,4,IF($K1123&gt;PARAMETRES!$E$31,3,IF($K1123&gt;PARAMETRES!$D$31,2,1)))),IF($K1123&gt;PARAMETRES!$G$32,5,IF($K1123&gt;PARAMETRES!$F$32,4,IF($K1123&gt;PARAMETRES!$E$32,3,IF($K1123&gt;PARAMETRES!$D$32,2,1))))))</f>
        <v/>
      </c>
      <c r="T1123" t="str">
        <f>IF($L1123="","",IF($L1123&gt;PARAMETRES!$G$33,5,IF($L1123&gt;PARAMETRES!$F$33,4,IF($L1123&gt;PARAMETRES!$E$33,3,IF($L1123&gt;PARAMETRES!$D$33,2,1)))))</f>
        <v/>
      </c>
      <c r="U1123" t="str">
        <f>IF($M1123="","",IF($M1123&gt;PARAMETRES!$G$34,5,IF($M1123&gt;PARAMETRES!$F$34,4,IF($M1123&gt;PARAMETRES!$E$34,3,IF($M1123&gt;PARAMETRES!$D$34,2,1)))))</f>
        <v/>
      </c>
      <c r="V1123" t="str">
        <f>IF($N1123="","",IF($N1123&gt;PARAMETRES!$G$35,5,IF($N1123&gt;PARAMETRES!$F$35,4,IF($N1123&gt;PARAMETRES!$E$35,3,IF($N1123&gt;PARAMETRES!$D$35,2,1)))))</f>
        <v/>
      </c>
      <c r="W1123" t="str">
        <f>IF($O1123="","",IF($O1123&gt;PARAMETRES!$G$36,5,IF($O1123&gt;PARAMETRES!$F$36,4,IF($O1123&gt;PARAMETRES!$E$36,3,IF($O1123&gt;PARAMETRES!$D$36,2,1)))))</f>
        <v/>
      </c>
      <c r="X1123" t="str">
        <f>IF($P1123="","",IF($P1123&gt;PARAMETRES!$G$37,5,IF($P1123&gt;PARAMETRES!$F$37,4,IF($P1123&gt;PARAMETRES!$E$37,3,IF($P1123&gt;PARAMETRES!$D$37,2,1)))))</f>
        <v/>
      </c>
      <c r="Y1123" t="str">
        <f t="shared" si="408"/>
        <v/>
      </c>
      <c r="Z1123" t="str">
        <f>IFERROR(VLOOKUP($B1123,TABLE_CYCLE,2,0),"")</f>
        <v/>
      </c>
      <c r="AA1123" t="str">
        <f t="shared" si="409"/>
        <v/>
      </c>
      <c r="AB1123" t="str">
        <f>IF($D1123="","",IF(COUNTIF($D$2:$D1123,$D1123)=1,$D1123,""))</f>
        <v/>
      </c>
      <c r="AC1123">
        <f t="shared" si="410"/>
        <v>0</v>
      </c>
      <c r="AD1123" t="str">
        <f t="shared" si="411"/>
        <v>|0</v>
      </c>
      <c r="AE1123" t="str">
        <f t="shared" si="412"/>
        <v/>
      </c>
      <c r="AF1123" t="str">
        <f t="shared" si="413"/>
        <v/>
      </c>
      <c r="AG1123" t="str">
        <f t="shared" si="414"/>
        <v/>
      </c>
      <c r="AH1123" t="str">
        <f t="shared" si="415"/>
        <v/>
      </c>
      <c r="AI1123" t="str">
        <f t="shared" si="416"/>
        <v/>
      </c>
      <c r="AJ1123" t="str">
        <f t="shared" si="417"/>
        <v/>
      </c>
      <c r="AK1123" t="str">
        <f t="shared" si="418"/>
        <v/>
      </c>
      <c r="AL1123" t="str">
        <f t="shared" si="419"/>
        <v/>
      </c>
      <c r="AM1123" t="str">
        <f t="shared" si="420"/>
        <v/>
      </c>
      <c r="AN1123" t="str">
        <f t="shared" si="421"/>
        <v/>
      </c>
      <c r="AO1123" t="str">
        <f t="shared" si="422"/>
        <v/>
      </c>
      <c r="AP1123">
        <f t="shared" si="423"/>
        <v>1</v>
      </c>
      <c r="AQ1123" t="str">
        <f>IF(SAISIE!$F1128="","",SAISIE!$Y1128)</f>
        <v/>
      </c>
      <c r="AR1123" t="str">
        <f>IF(OR(SAISIE!$U$4="",SAISIE!$W$4=""),"",IF(AND($A1123=SAISIE!$U$4,$B1123=SAISIE!$W$4,$C1123="S1"),COUNTIFS($A$2:$A1123,SAISIE!$U$4,$B$2:$B1123,SAISIE!$W$4,$C$2:$C1123,"S1"),""))</f>
        <v/>
      </c>
      <c r="AS1123" t="str">
        <f t="shared" si="424"/>
        <v/>
      </c>
      <c r="AT1123" t="str">
        <f t="shared" si="425"/>
        <v/>
      </c>
      <c r="AU1123" t="str">
        <f t="shared" si="426"/>
        <v/>
      </c>
      <c r="AV1123">
        <f>N(AV1122)+IF(AND($AB1123&lt;&gt;"",OR('PROFIL ELEVE'!$K$4="(Tous)",$AF1123='PROFIL ELEVE'!$K$4)),1,0)</f>
        <v>0</v>
      </c>
      <c r="AW1123">
        <f>N(AW1122)+IF(AND($AB1123&lt;&gt;"",OR('SUIVI LONGITUDINAL'!$Q$4="(Tous)",$AF1123='SUIVI LONGITUDINAL'!$Q$4)),1,0)</f>
        <v>0</v>
      </c>
      <c r="AX1123">
        <f t="shared" si="427"/>
        <v>0</v>
      </c>
      <c r="AY1123">
        <f t="shared" si="428"/>
        <v>0</v>
      </c>
      <c r="AZ1123">
        <f t="shared" si="429"/>
        <v>0</v>
      </c>
      <c r="BA1123" t="str">
        <f t="shared" si="430"/>
        <v/>
      </c>
      <c r="BB1123" t="str">
        <f t="shared" si="431"/>
        <v/>
      </c>
    </row>
    <row r="1124" spans="1:54" ht="14.25" customHeight="1" x14ac:dyDescent="0.3">
      <c r="A1124" t="str">
        <f>IF(SAISIE!$F1129="","",SAISIE!$B1129)</f>
        <v/>
      </c>
      <c r="B1124" t="str">
        <f>IF(SAISIE!$F1129="","",SAISIE!$C1129)</f>
        <v/>
      </c>
      <c r="C1124" t="str">
        <f>IF(SAISIE!$F1129="","",SAISIE!$D1129)</f>
        <v/>
      </c>
      <c r="D1124" t="str">
        <f>IF(SAISIE!$E1129="","",SAISIE!$E1129)</f>
        <v/>
      </c>
      <c r="E1124" t="str">
        <f>IF(SAISIE!$F1129="","",SAISIE!$F1129)</f>
        <v/>
      </c>
      <c r="F1124" t="str">
        <f>IF(SAISIE!$G1129="","",SAISIE!$G1129)</f>
        <v/>
      </c>
      <c r="G1124" t="str">
        <f>IF(SAISIE!$H1129="","",SAISIE!$H1129)</f>
        <v/>
      </c>
      <c r="H1124" t="str">
        <f>IF(SAISIE!$I1129="","",SAISIE!$I1129)</f>
        <v/>
      </c>
      <c r="I1124" t="str">
        <f>IF(SAISIE!$J1129="","",SAISIE!$J1129)</f>
        <v/>
      </c>
      <c r="J1124" t="str">
        <f>IF(SAISIE!$K1129="","",SAISIE!$K1129)</f>
        <v/>
      </c>
      <c r="K1124" t="str">
        <f>IF(SAISIE!$L1129="","",SAISIE!$L1129)</f>
        <v/>
      </c>
      <c r="L1124" t="str">
        <f>IF(SAISIE!$M1129="","",SAISIE!$M1129)</f>
        <v/>
      </c>
      <c r="M1124" t="str">
        <f>IF(SAISIE!$N1129="","",SAISIE!$N1129)</f>
        <v/>
      </c>
      <c r="N1124" t="str">
        <f>IF(SAISIE!$O1129="","",SAISIE!$O1129)</f>
        <v/>
      </c>
      <c r="O1124" t="str">
        <f>IF(SAISIE!$P1129="","",SAISIE!$P1129)</f>
        <v/>
      </c>
      <c r="P1124" t="str">
        <f>IF(SAISIE!$Q1129="","",SAISIE!$Q1129)</f>
        <v/>
      </c>
      <c r="Q1124" t="str">
        <f>IF($I1124="","",IF($I1124&gt;PARAMETRES!$G$29,5,IF($I1124&gt;PARAMETRES!$F$29,4,IF($I1124&gt;PARAMETRES!$E$29,3,IF($I1124&gt;PARAMETRES!$D$29,2,1)))))</f>
        <v/>
      </c>
      <c r="R1124" t="str">
        <f>IF($J1124="","",IF($J1124&gt;PARAMETRES!$G$30,5,IF($J1124&gt;PARAMETRES!$F$30,4,IF($J1124&gt;PARAMETRES!$E$30,3,IF($J1124&gt;PARAMETRES!$D$30,2,1)))))</f>
        <v/>
      </c>
      <c r="S1124" t="str">
        <f>IF($K1124="","",IF($Z1124=2,IF($K1124&gt;PARAMETRES!$G$31,5,IF($K1124&gt;PARAMETRES!$F$31,4,IF($K1124&gt;PARAMETRES!$E$31,3,IF($K1124&gt;PARAMETRES!$D$31,2,1)))),IF($K1124&gt;PARAMETRES!$G$32,5,IF($K1124&gt;PARAMETRES!$F$32,4,IF($K1124&gt;PARAMETRES!$E$32,3,IF($K1124&gt;PARAMETRES!$D$32,2,1))))))</f>
        <v/>
      </c>
      <c r="T1124" t="str">
        <f>IF($L1124="","",IF($L1124&gt;PARAMETRES!$G$33,5,IF($L1124&gt;PARAMETRES!$F$33,4,IF($L1124&gt;PARAMETRES!$E$33,3,IF($L1124&gt;PARAMETRES!$D$33,2,1)))))</f>
        <v/>
      </c>
      <c r="U1124" t="str">
        <f>IF($M1124="","",IF($M1124&gt;PARAMETRES!$G$34,5,IF($M1124&gt;PARAMETRES!$F$34,4,IF($M1124&gt;PARAMETRES!$E$34,3,IF($M1124&gt;PARAMETRES!$D$34,2,1)))))</f>
        <v/>
      </c>
      <c r="V1124" t="str">
        <f>IF($N1124="","",IF($N1124&gt;PARAMETRES!$G$35,5,IF($N1124&gt;PARAMETRES!$F$35,4,IF($N1124&gt;PARAMETRES!$E$35,3,IF($N1124&gt;PARAMETRES!$D$35,2,1)))))</f>
        <v/>
      </c>
      <c r="W1124" t="str">
        <f>IF($O1124="","",IF($O1124&gt;PARAMETRES!$G$36,5,IF($O1124&gt;PARAMETRES!$F$36,4,IF($O1124&gt;PARAMETRES!$E$36,3,IF($O1124&gt;PARAMETRES!$D$36,2,1)))))</f>
        <v/>
      </c>
      <c r="X1124" t="str">
        <f>IF($P1124="","",IF($P1124&gt;PARAMETRES!$G$37,5,IF($P1124&gt;PARAMETRES!$F$37,4,IF($P1124&gt;PARAMETRES!$E$37,3,IF($P1124&gt;PARAMETRES!$D$37,2,1)))))</f>
        <v/>
      </c>
      <c r="Y1124" t="str">
        <f t="shared" si="408"/>
        <v/>
      </c>
      <c r="Z1124" t="str">
        <f>IFERROR(VLOOKUP($B1124,TABLE_CYCLE,2,0),"")</f>
        <v/>
      </c>
      <c r="AA1124" t="str">
        <f t="shared" si="409"/>
        <v/>
      </c>
      <c r="AB1124" t="str">
        <f>IF($D1124="","",IF(COUNTIF($D$2:$D1124,$D1124)=1,$D1124,""))</f>
        <v/>
      </c>
      <c r="AC1124">
        <f t="shared" si="410"/>
        <v>0</v>
      </c>
      <c r="AD1124" t="str">
        <f t="shared" si="411"/>
        <v>|0</v>
      </c>
      <c r="AE1124" t="str">
        <f t="shared" si="412"/>
        <v/>
      </c>
      <c r="AF1124" t="str">
        <f t="shared" si="413"/>
        <v/>
      </c>
      <c r="AG1124" t="str">
        <f t="shared" si="414"/>
        <v/>
      </c>
      <c r="AH1124" t="str">
        <f t="shared" si="415"/>
        <v/>
      </c>
      <c r="AI1124" t="str">
        <f t="shared" si="416"/>
        <v/>
      </c>
      <c r="AJ1124" t="str">
        <f t="shared" si="417"/>
        <v/>
      </c>
      <c r="AK1124" t="str">
        <f t="shared" si="418"/>
        <v/>
      </c>
      <c r="AL1124" t="str">
        <f t="shared" si="419"/>
        <v/>
      </c>
      <c r="AM1124" t="str">
        <f t="shared" si="420"/>
        <v/>
      </c>
      <c r="AN1124" t="str">
        <f t="shared" si="421"/>
        <v/>
      </c>
      <c r="AO1124" t="str">
        <f t="shared" si="422"/>
        <v/>
      </c>
      <c r="AP1124">
        <f t="shared" si="423"/>
        <v>1</v>
      </c>
      <c r="AQ1124" t="str">
        <f>IF(SAISIE!$F1129="","",SAISIE!$Y1129)</f>
        <v/>
      </c>
      <c r="AR1124" t="str">
        <f>IF(OR(SAISIE!$U$4="",SAISIE!$W$4=""),"",IF(AND($A1124=SAISIE!$U$4,$B1124=SAISIE!$W$4,$C1124="S1"),COUNTIFS($A$2:$A1124,SAISIE!$U$4,$B$2:$B1124,SAISIE!$W$4,$C$2:$C1124,"S1"),""))</f>
        <v/>
      </c>
      <c r="AS1124" t="str">
        <f t="shared" si="424"/>
        <v/>
      </c>
      <c r="AT1124" t="str">
        <f t="shared" si="425"/>
        <v/>
      </c>
      <c r="AU1124" t="str">
        <f t="shared" si="426"/>
        <v/>
      </c>
      <c r="AV1124">
        <f>N(AV1123)+IF(AND($AB1124&lt;&gt;"",OR('PROFIL ELEVE'!$K$4="(Tous)",$AF1124='PROFIL ELEVE'!$K$4)),1,0)</f>
        <v>0</v>
      </c>
      <c r="AW1124">
        <f>N(AW1123)+IF(AND($AB1124&lt;&gt;"",OR('SUIVI LONGITUDINAL'!$Q$4="(Tous)",$AF1124='SUIVI LONGITUDINAL'!$Q$4)),1,0)</f>
        <v>0</v>
      </c>
      <c r="AX1124">
        <f t="shared" si="427"/>
        <v>0</v>
      </c>
      <c r="AY1124">
        <f t="shared" si="428"/>
        <v>0</v>
      </c>
      <c r="AZ1124">
        <f t="shared" si="429"/>
        <v>0</v>
      </c>
      <c r="BA1124" t="str">
        <f t="shared" si="430"/>
        <v/>
      </c>
      <c r="BB1124" t="str">
        <f t="shared" si="431"/>
        <v/>
      </c>
    </row>
    <row r="1125" spans="1:54" ht="14.25" customHeight="1" x14ac:dyDescent="0.3">
      <c r="A1125" t="str">
        <f>IF(SAISIE!$F1130="","",SAISIE!$B1130)</f>
        <v/>
      </c>
      <c r="B1125" t="str">
        <f>IF(SAISIE!$F1130="","",SAISIE!$C1130)</f>
        <v/>
      </c>
      <c r="C1125" t="str">
        <f>IF(SAISIE!$F1130="","",SAISIE!$D1130)</f>
        <v/>
      </c>
      <c r="D1125" t="str">
        <f>IF(SAISIE!$E1130="","",SAISIE!$E1130)</f>
        <v/>
      </c>
      <c r="E1125" t="str">
        <f>IF(SAISIE!$F1130="","",SAISIE!$F1130)</f>
        <v/>
      </c>
      <c r="F1125" t="str">
        <f>IF(SAISIE!$G1130="","",SAISIE!$G1130)</f>
        <v/>
      </c>
      <c r="G1125" t="str">
        <f>IF(SAISIE!$H1130="","",SAISIE!$H1130)</f>
        <v/>
      </c>
      <c r="H1125" t="str">
        <f>IF(SAISIE!$I1130="","",SAISIE!$I1130)</f>
        <v/>
      </c>
      <c r="I1125" t="str">
        <f>IF(SAISIE!$J1130="","",SAISIE!$J1130)</f>
        <v/>
      </c>
      <c r="J1125" t="str">
        <f>IF(SAISIE!$K1130="","",SAISIE!$K1130)</f>
        <v/>
      </c>
      <c r="K1125" t="str">
        <f>IF(SAISIE!$L1130="","",SAISIE!$L1130)</f>
        <v/>
      </c>
      <c r="L1125" t="str">
        <f>IF(SAISIE!$M1130="","",SAISIE!$M1130)</f>
        <v/>
      </c>
      <c r="M1125" t="str">
        <f>IF(SAISIE!$N1130="","",SAISIE!$N1130)</f>
        <v/>
      </c>
      <c r="N1125" t="str">
        <f>IF(SAISIE!$O1130="","",SAISIE!$O1130)</f>
        <v/>
      </c>
      <c r="O1125" t="str">
        <f>IF(SAISIE!$P1130="","",SAISIE!$P1130)</f>
        <v/>
      </c>
      <c r="P1125" t="str">
        <f>IF(SAISIE!$Q1130="","",SAISIE!$Q1130)</f>
        <v/>
      </c>
      <c r="Q1125" t="str">
        <f>IF($I1125="","",IF($I1125&gt;PARAMETRES!$G$29,5,IF($I1125&gt;PARAMETRES!$F$29,4,IF($I1125&gt;PARAMETRES!$E$29,3,IF($I1125&gt;PARAMETRES!$D$29,2,1)))))</f>
        <v/>
      </c>
      <c r="R1125" t="str">
        <f>IF($J1125="","",IF($J1125&gt;PARAMETRES!$G$30,5,IF($J1125&gt;PARAMETRES!$F$30,4,IF($J1125&gt;PARAMETRES!$E$30,3,IF($J1125&gt;PARAMETRES!$D$30,2,1)))))</f>
        <v/>
      </c>
      <c r="S1125" t="str">
        <f>IF($K1125="","",IF($Z1125=2,IF($K1125&gt;PARAMETRES!$G$31,5,IF($K1125&gt;PARAMETRES!$F$31,4,IF($K1125&gt;PARAMETRES!$E$31,3,IF($K1125&gt;PARAMETRES!$D$31,2,1)))),IF($K1125&gt;PARAMETRES!$G$32,5,IF($K1125&gt;PARAMETRES!$F$32,4,IF($K1125&gt;PARAMETRES!$E$32,3,IF($K1125&gt;PARAMETRES!$D$32,2,1))))))</f>
        <v/>
      </c>
      <c r="T1125" t="str">
        <f>IF($L1125="","",IF($L1125&gt;PARAMETRES!$G$33,5,IF($L1125&gt;PARAMETRES!$F$33,4,IF($L1125&gt;PARAMETRES!$E$33,3,IF($L1125&gt;PARAMETRES!$D$33,2,1)))))</f>
        <v/>
      </c>
      <c r="U1125" t="str">
        <f>IF($M1125="","",IF($M1125&gt;PARAMETRES!$G$34,5,IF($M1125&gt;PARAMETRES!$F$34,4,IF($M1125&gt;PARAMETRES!$E$34,3,IF($M1125&gt;PARAMETRES!$D$34,2,1)))))</f>
        <v/>
      </c>
      <c r="V1125" t="str">
        <f>IF($N1125="","",IF($N1125&gt;PARAMETRES!$G$35,5,IF($N1125&gt;PARAMETRES!$F$35,4,IF($N1125&gt;PARAMETRES!$E$35,3,IF($N1125&gt;PARAMETRES!$D$35,2,1)))))</f>
        <v/>
      </c>
      <c r="W1125" t="str">
        <f>IF($O1125="","",IF($O1125&gt;PARAMETRES!$G$36,5,IF($O1125&gt;PARAMETRES!$F$36,4,IF($O1125&gt;PARAMETRES!$E$36,3,IF($O1125&gt;PARAMETRES!$D$36,2,1)))))</f>
        <v/>
      </c>
      <c r="X1125" t="str">
        <f>IF($P1125="","",IF($P1125&gt;PARAMETRES!$G$37,5,IF($P1125&gt;PARAMETRES!$F$37,4,IF($P1125&gt;PARAMETRES!$E$37,3,IF($P1125&gt;PARAMETRES!$D$37,2,1)))))</f>
        <v/>
      </c>
      <c r="Y1125" t="str">
        <f t="shared" si="408"/>
        <v/>
      </c>
      <c r="Z1125" t="str">
        <f>IFERROR(VLOOKUP($B1125,TABLE_CYCLE,2,0),"")</f>
        <v/>
      </c>
      <c r="AA1125" t="str">
        <f t="shared" si="409"/>
        <v/>
      </c>
      <c r="AB1125" t="str">
        <f>IF($D1125="","",IF(COUNTIF($D$2:$D1125,$D1125)=1,$D1125,""))</f>
        <v/>
      </c>
      <c r="AC1125">
        <f t="shared" si="410"/>
        <v>0</v>
      </c>
      <c r="AD1125" t="str">
        <f t="shared" si="411"/>
        <v>|0</v>
      </c>
      <c r="AE1125" t="str">
        <f t="shared" si="412"/>
        <v/>
      </c>
      <c r="AF1125" t="str">
        <f t="shared" si="413"/>
        <v/>
      </c>
      <c r="AG1125" t="str">
        <f t="shared" si="414"/>
        <v/>
      </c>
      <c r="AH1125" t="str">
        <f t="shared" si="415"/>
        <v/>
      </c>
      <c r="AI1125" t="str">
        <f t="shared" si="416"/>
        <v/>
      </c>
      <c r="AJ1125" t="str">
        <f t="shared" si="417"/>
        <v/>
      </c>
      <c r="AK1125" t="str">
        <f t="shared" si="418"/>
        <v/>
      </c>
      <c r="AL1125" t="str">
        <f t="shared" si="419"/>
        <v/>
      </c>
      <c r="AM1125" t="str">
        <f t="shared" si="420"/>
        <v/>
      </c>
      <c r="AN1125" t="str">
        <f t="shared" si="421"/>
        <v/>
      </c>
      <c r="AO1125" t="str">
        <f t="shared" si="422"/>
        <v/>
      </c>
      <c r="AP1125">
        <f t="shared" si="423"/>
        <v>1</v>
      </c>
      <c r="AQ1125" t="str">
        <f>IF(SAISIE!$F1130="","",SAISIE!$Y1130)</f>
        <v/>
      </c>
      <c r="AR1125" t="str">
        <f>IF(OR(SAISIE!$U$4="",SAISIE!$W$4=""),"",IF(AND($A1125=SAISIE!$U$4,$B1125=SAISIE!$W$4,$C1125="S1"),COUNTIFS($A$2:$A1125,SAISIE!$U$4,$B$2:$B1125,SAISIE!$W$4,$C$2:$C1125,"S1"),""))</f>
        <v/>
      </c>
      <c r="AS1125" t="str">
        <f t="shared" si="424"/>
        <v/>
      </c>
      <c r="AT1125" t="str">
        <f t="shared" si="425"/>
        <v/>
      </c>
      <c r="AU1125" t="str">
        <f t="shared" si="426"/>
        <v/>
      </c>
      <c r="AV1125">
        <f>N(AV1124)+IF(AND($AB1125&lt;&gt;"",OR('PROFIL ELEVE'!$K$4="(Tous)",$AF1125='PROFIL ELEVE'!$K$4)),1,0)</f>
        <v>0</v>
      </c>
      <c r="AW1125">
        <f>N(AW1124)+IF(AND($AB1125&lt;&gt;"",OR('SUIVI LONGITUDINAL'!$Q$4="(Tous)",$AF1125='SUIVI LONGITUDINAL'!$Q$4)),1,0)</f>
        <v>0</v>
      </c>
      <c r="AX1125">
        <f t="shared" si="427"/>
        <v>0</v>
      </c>
      <c r="AY1125">
        <f t="shared" si="428"/>
        <v>0</v>
      </c>
      <c r="AZ1125">
        <f t="shared" si="429"/>
        <v>0</v>
      </c>
      <c r="BA1125" t="str">
        <f t="shared" si="430"/>
        <v/>
      </c>
      <c r="BB1125" t="str">
        <f t="shared" si="431"/>
        <v/>
      </c>
    </row>
    <row r="1126" spans="1:54" ht="14.25" customHeight="1" x14ac:dyDescent="0.3">
      <c r="A1126" t="str">
        <f>IF(SAISIE!$F1131="","",SAISIE!$B1131)</f>
        <v/>
      </c>
      <c r="B1126" t="str">
        <f>IF(SAISIE!$F1131="","",SAISIE!$C1131)</f>
        <v/>
      </c>
      <c r="C1126" t="str">
        <f>IF(SAISIE!$F1131="","",SAISIE!$D1131)</f>
        <v/>
      </c>
      <c r="D1126" t="str">
        <f>IF(SAISIE!$E1131="","",SAISIE!$E1131)</f>
        <v/>
      </c>
      <c r="E1126" t="str">
        <f>IF(SAISIE!$F1131="","",SAISIE!$F1131)</f>
        <v/>
      </c>
      <c r="F1126" t="str">
        <f>IF(SAISIE!$G1131="","",SAISIE!$G1131)</f>
        <v/>
      </c>
      <c r="G1126" t="str">
        <f>IF(SAISIE!$H1131="","",SAISIE!$H1131)</f>
        <v/>
      </c>
      <c r="H1126" t="str">
        <f>IF(SAISIE!$I1131="","",SAISIE!$I1131)</f>
        <v/>
      </c>
      <c r="I1126" t="str">
        <f>IF(SAISIE!$J1131="","",SAISIE!$J1131)</f>
        <v/>
      </c>
      <c r="J1126" t="str">
        <f>IF(SAISIE!$K1131="","",SAISIE!$K1131)</f>
        <v/>
      </c>
      <c r="K1126" t="str">
        <f>IF(SAISIE!$L1131="","",SAISIE!$L1131)</f>
        <v/>
      </c>
      <c r="L1126" t="str">
        <f>IF(SAISIE!$M1131="","",SAISIE!$M1131)</f>
        <v/>
      </c>
      <c r="M1126" t="str">
        <f>IF(SAISIE!$N1131="","",SAISIE!$N1131)</f>
        <v/>
      </c>
      <c r="N1126" t="str">
        <f>IF(SAISIE!$O1131="","",SAISIE!$O1131)</f>
        <v/>
      </c>
      <c r="O1126" t="str">
        <f>IF(SAISIE!$P1131="","",SAISIE!$P1131)</f>
        <v/>
      </c>
      <c r="P1126" t="str">
        <f>IF(SAISIE!$Q1131="","",SAISIE!$Q1131)</f>
        <v/>
      </c>
      <c r="Q1126" t="str">
        <f>IF($I1126="","",IF($I1126&gt;PARAMETRES!$G$29,5,IF($I1126&gt;PARAMETRES!$F$29,4,IF($I1126&gt;PARAMETRES!$E$29,3,IF($I1126&gt;PARAMETRES!$D$29,2,1)))))</f>
        <v/>
      </c>
      <c r="R1126" t="str">
        <f>IF($J1126="","",IF($J1126&gt;PARAMETRES!$G$30,5,IF($J1126&gt;PARAMETRES!$F$30,4,IF($J1126&gt;PARAMETRES!$E$30,3,IF($J1126&gt;PARAMETRES!$D$30,2,1)))))</f>
        <v/>
      </c>
      <c r="S1126" t="str">
        <f>IF($K1126="","",IF($Z1126=2,IF($K1126&gt;PARAMETRES!$G$31,5,IF($K1126&gt;PARAMETRES!$F$31,4,IF($K1126&gt;PARAMETRES!$E$31,3,IF($K1126&gt;PARAMETRES!$D$31,2,1)))),IF($K1126&gt;PARAMETRES!$G$32,5,IF($K1126&gt;PARAMETRES!$F$32,4,IF($K1126&gt;PARAMETRES!$E$32,3,IF($K1126&gt;PARAMETRES!$D$32,2,1))))))</f>
        <v/>
      </c>
      <c r="T1126" t="str">
        <f>IF($L1126="","",IF($L1126&gt;PARAMETRES!$G$33,5,IF($L1126&gt;PARAMETRES!$F$33,4,IF($L1126&gt;PARAMETRES!$E$33,3,IF($L1126&gt;PARAMETRES!$D$33,2,1)))))</f>
        <v/>
      </c>
      <c r="U1126" t="str">
        <f>IF($M1126="","",IF($M1126&gt;PARAMETRES!$G$34,5,IF($M1126&gt;PARAMETRES!$F$34,4,IF($M1126&gt;PARAMETRES!$E$34,3,IF($M1126&gt;PARAMETRES!$D$34,2,1)))))</f>
        <v/>
      </c>
      <c r="V1126" t="str">
        <f>IF($N1126="","",IF($N1126&gt;PARAMETRES!$G$35,5,IF($N1126&gt;PARAMETRES!$F$35,4,IF($N1126&gt;PARAMETRES!$E$35,3,IF($N1126&gt;PARAMETRES!$D$35,2,1)))))</f>
        <v/>
      </c>
      <c r="W1126" t="str">
        <f>IF($O1126="","",IF($O1126&gt;PARAMETRES!$G$36,5,IF($O1126&gt;PARAMETRES!$F$36,4,IF($O1126&gt;PARAMETRES!$E$36,3,IF($O1126&gt;PARAMETRES!$D$36,2,1)))))</f>
        <v/>
      </c>
      <c r="X1126" t="str">
        <f>IF($P1126="","",IF($P1126&gt;PARAMETRES!$G$37,5,IF($P1126&gt;PARAMETRES!$F$37,4,IF($P1126&gt;PARAMETRES!$E$37,3,IF($P1126&gt;PARAMETRES!$D$37,2,1)))))</f>
        <v/>
      </c>
      <c r="Y1126" t="str">
        <f t="shared" si="408"/>
        <v/>
      </c>
      <c r="Z1126" t="str">
        <f>IFERROR(VLOOKUP($B1126,TABLE_CYCLE,2,0),"")</f>
        <v/>
      </c>
      <c r="AA1126" t="str">
        <f t="shared" si="409"/>
        <v/>
      </c>
      <c r="AB1126" t="str">
        <f>IF($D1126="","",IF(COUNTIF($D$2:$D1126,$D1126)=1,$D1126,""))</f>
        <v/>
      </c>
      <c r="AC1126">
        <f t="shared" si="410"/>
        <v>0</v>
      </c>
      <c r="AD1126" t="str">
        <f t="shared" si="411"/>
        <v>|0</v>
      </c>
      <c r="AE1126" t="str">
        <f t="shared" si="412"/>
        <v/>
      </c>
      <c r="AF1126" t="str">
        <f t="shared" si="413"/>
        <v/>
      </c>
      <c r="AG1126" t="str">
        <f t="shared" si="414"/>
        <v/>
      </c>
      <c r="AH1126" t="str">
        <f t="shared" si="415"/>
        <v/>
      </c>
      <c r="AI1126" t="str">
        <f t="shared" si="416"/>
        <v/>
      </c>
      <c r="AJ1126" t="str">
        <f t="shared" si="417"/>
        <v/>
      </c>
      <c r="AK1126" t="str">
        <f t="shared" si="418"/>
        <v/>
      </c>
      <c r="AL1126" t="str">
        <f t="shared" si="419"/>
        <v/>
      </c>
      <c r="AM1126" t="str">
        <f t="shared" si="420"/>
        <v/>
      </c>
      <c r="AN1126" t="str">
        <f t="shared" si="421"/>
        <v/>
      </c>
      <c r="AO1126" t="str">
        <f t="shared" si="422"/>
        <v/>
      </c>
      <c r="AP1126">
        <f t="shared" si="423"/>
        <v>1</v>
      </c>
      <c r="AQ1126" t="str">
        <f>IF(SAISIE!$F1131="","",SAISIE!$Y1131)</f>
        <v/>
      </c>
      <c r="AR1126" t="str">
        <f>IF(OR(SAISIE!$U$4="",SAISIE!$W$4=""),"",IF(AND($A1126=SAISIE!$U$4,$B1126=SAISIE!$W$4,$C1126="S1"),COUNTIFS($A$2:$A1126,SAISIE!$U$4,$B$2:$B1126,SAISIE!$W$4,$C$2:$C1126,"S1"),""))</f>
        <v/>
      </c>
      <c r="AS1126" t="str">
        <f t="shared" si="424"/>
        <v/>
      </c>
      <c r="AT1126" t="str">
        <f t="shared" si="425"/>
        <v/>
      </c>
      <c r="AU1126" t="str">
        <f t="shared" si="426"/>
        <v/>
      </c>
      <c r="AV1126">
        <f>N(AV1125)+IF(AND($AB1126&lt;&gt;"",OR('PROFIL ELEVE'!$K$4="(Tous)",$AF1126='PROFIL ELEVE'!$K$4)),1,0)</f>
        <v>0</v>
      </c>
      <c r="AW1126">
        <f>N(AW1125)+IF(AND($AB1126&lt;&gt;"",OR('SUIVI LONGITUDINAL'!$Q$4="(Tous)",$AF1126='SUIVI LONGITUDINAL'!$Q$4)),1,0)</f>
        <v>0</v>
      </c>
      <c r="AX1126">
        <f t="shared" si="427"/>
        <v>0</v>
      </c>
      <c r="AY1126">
        <f t="shared" si="428"/>
        <v>0</v>
      </c>
      <c r="AZ1126">
        <f t="shared" si="429"/>
        <v>0</v>
      </c>
      <c r="BA1126" t="str">
        <f t="shared" si="430"/>
        <v/>
      </c>
      <c r="BB1126" t="str">
        <f t="shared" si="431"/>
        <v/>
      </c>
    </row>
    <row r="1127" spans="1:54" ht="14.25" customHeight="1" x14ac:dyDescent="0.3">
      <c r="A1127" t="str">
        <f>IF(SAISIE!$F1132="","",SAISIE!$B1132)</f>
        <v/>
      </c>
      <c r="B1127" t="str">
        <f>IF(SAISIE!$F1132="","",SAISIE!$C1132)</f>
        <v/>
      </c>
      <c r="C1127" t="str">
        <f>IF(SAISIE!$F1132="","",SAISIE!$D1132)</f>
        <v/>
      </c>
      <c r="D1127" t="str">
        <f>IF(SAISIE!$E1132="","",SAISIE!$E1132)</f>
        <v/>
      </c>
      <c r="E1127" t="str">
        <f>IF(SAISIE!$F1132="","",SAISIE!$F1132)</f>
        <v/>
      </c>
      <c r="F1127" t="str">
        <f>IF(SAISIE!$G1132="","",SAISIE!$G1132)</f>
        <v/>
      </c>
      <c r="G1127" t="str">
        <f>IF(SAISIE!$H1132="","",SAISIE!$H1132)</f>
        <v/>
      </c>
      <c r="H1127" t="str">
        <f>IF(SAISIE!$I1132="","",SAISIE!$I1132)</f>
        <v/>
      </c>
      <c r="I1127" t="str">
        <f>IF(SAISIE!$J1132="","",SAISIE!$J1132)</f>
        <v/>
      </c>
      <c r="J1127" t="str">
        <f>IF(SAISIE!$K1132="","",SAISIE!$K1132)</f>
        <v/>
      </c>
      <c r="K1127" t="str">
        <f>IF(SAISIE!$L1132="","",SAISIE!$L1132)</f>
        <v/>
      </c>
      <c r="L1127" t="str">
        <f>IF(SAISIE!$M1132="","",SAISIE!$M1132)</f>
        <v/>
      </c>
      <c r="M1127" t="str">
        <f>IF(SAISIE!$N1132="","",SAISIE!$N1132)</f>
        <v/>
      </c>
      <c r="N1127" t="str">
        <f>IF(SAISIE!$O1132="","",SAISIE!$O1132)</f>
        <v/>
      </c>
      <c r="O1127" t="str">
        <f>IF(SAISIE!$P1132="","",SAISIE!$P1132)</f>
        <v/>
      </c>
      <c r="P1127" t="str">
        <f>IF(SAISIE!$Q1132="","",SAISIE!$Q1132)</f>
        <v/>
      </c>
      <c r="Q1127" t="str">
        <f>IF($I1127="","",IF($I1127&gt;PARAMETRES!$G$29,5,IF($I1127&gt;PARAMETRES!$F$29,4,IF($I1127&gt;PARAMETRES!$E$29,3,IF($I1127&gt;PARAMETRES!$D$29,2,1)))))</f>
        <v/>
      </c>
      <c r="R1127" t="str">
        <f>IF($J1127="","",IF($J1127&gt;PARAMETRES!$G$30,5,IF($J1127&gt;PARAMETRES!$F$30,4,IF($J1127&gt;PARAMETRES!$E$30,3,IF($J1127&gt;PARAMETRES!$D$30,2,1)))))</f>
        <v/>
      </c>
      <c r="S1127" t="str">
        <f>IF($K1127="","",IF($Z1127=2,IF($K1127&gt;PARAMETRES!$G$31,5,IF($K1127&gt;PARAMETRES!$F$31,4,IF($K1127&gt;PARAMETRES!$E$31,3,IF($K1127&gt;PARAMETRES!$D$31,2,1)))),IF($K1127&gt;PARAMETRES!$G$32,5,IF($K1127&gt;PARAMETRES!$F$32,4,IF($K1127&gt;PARAMETRES!$E$32,3,IF($K1127&gt;PARAMETRES!$D$32,2,1))))))</f>
        <v/>
      </c>
      <c r="T1127" t="str">
        <f>IF($L1127="","",IF($L1127&gt;PARAMETRES!$G$33,5,IF($L1127&gt;PARAMETRES!$F$33,4,IF($L1127&gt;PARAMETRES!$E$33,3,IF($L1127&gt;PARAMETRES!$D$33,2,1)))))</f>
        <v/>
      </c>
      <c r="U1127" t="str">
        <f>IF($M1127="","",IF($M1127&gt;PARAMETRES!$G$34,5,IF($M1127&gt;PARAMETRES!$F$34,4,IF($M1127&gt;PARAMETRES!$E$34,3,IF($M1127&gt;PARAMETRES!$D$34,2,1)))))</f>
        <v/>
      </c>
      <c r="V1127" t="str">
        <f>IF($N1127="","",IF($N1127&gt;PARAMETRES!$G$35,5,IF($N1127&gt;PARAMETRES!$F$35,4,IF($N1127&gt;PARAMETRES!$E$35,3,IF($N1127&gt;PARAMETRES!$D$35,2,1)))))</f>
        <v/>
      </c>
      <c r="W1127" t="str">
        <f>IF($O1127="","",IF($O1127&gt;PARAMETRES!$G$36,5,IF($O1127&gt;PARAMETRES!$F$36,4,IF($O1127&gt;PARAMETRES!$E$36,3,IF($O1127&gt;PARAMETRES!$D$36,2,1)))))</f>
        <v/>
      </c>
      <c r="X1127" t="str">
        <f>IF($P1127="","",IF($P1127&gt;PARAMETRES!$G$37,5,IF($P1127&gt;PARAMETRES!$F$37,4,IF($P1127&gt;PARAMETRES!$E$37,3,IF($P1127&gt;PARAMETRES!$D$37,2,1)))))</f>
        <v/>
      </c>
      <c r="Y1127" t="str">
        <f t="shared" si="408"/>
        <v/>
      </c>
      <c r="Z1127" t="str">
        <f>IFERROR(VLOOKUP($B1127,TABLE_CYCLE,2,0),"")</f>
        <v/>
      </c>
      <c r="AA1127" t="str">
        <f t="shared" si="409"/>
        <v/>
      </c>
      <c r="AB1127" t="str">
        <f>IF($D1127="","",IF(COUNTIF($D$2:$D1127,$D1127)=1,$D1127,""))</f>
        <v/>
      </c>
      <c r="AC1127">
        <f t="shared" si="410"/>
        <v>0</v>
      </c>
      <c r="AD1127" t="str">
        <f t="shared" si="411"/>
        <v>|0</v>
      </c>
      <c r="AE1127" t="str">
        <f t="shared" si="412"/>
        <v/>
      </c>
      <c r="AF1127" t="str">
        <f t="shared" si="413"/>
        <v/>
      </c>
      <c r="AG1127" t="str">
        <f t="shared" si="414"/>
        <v/>
      </c>
      <c r="AH1127" t="str">
        <f t="shared" si="415"/>
        <v/>
      </c>
      <c r="AI1127" t="str">
        <f t="shared" si="416"/>
        <v/>
      </c>
      <c r="AJ1127" t="str">
        <f t="shared" si="417"/>
        <v/>
      </c>
      <c r="AK1127" t="str">
        <f t="shared" si="418"/>
        <v/>
      </c>
      <c r="AL1127" t="str">
        <f t="shared" si="419"/>
        <v/>
      </c>
      <c r="AM1127" t="str">
        <f t="shared" si="420"/>
        <v/>
      </c>
      <c r="AN1127" t="str">
        <f t="shared" si="421"/>
        <v/>
      </c>
      <c r="AO1127" t="str">
        <f t="shared" si="422"/>
        <v/>
      </c>
      <c r="AP1127">
        <f t="shared" si="423"/>
        <v>1</v>
      </c>
      <c r="AQ1127" t="str">
        <f>IF(SAISIE!$F1132="","",SAISIE!$Y1132)</f>
        <v/>
      </c>
      <c r="AR1127" t="str">
        <f>IF(OR(SAISIE!$U$4="",SAISIE!$W$4=""),"",IF(AND($A1127=SAISIE!$U$4,$B1127=SAISIE!$W$4,$C1127="S1"),COUNTIFS($A$2:$A1127,SAISIE!$U$4,$B$2:$B1127,SAISIE!$W$4,$C$2:$C1127,"S1"),""))</f>
        <v/>
      </c>
      <c r="AS1127" t="str">
        <f t="shared" si="424"/>
        <v/>
      </c>
      <c r="AT1127" t="str">
        <f t="shared" si="425"/>
        <v/>
      </c>
      <c r="AU1127" t="str">
        <f t="shared" si="426"/>
        <v/>
      </c>
      <c r="AV1127">
        <f>N(AV1126)+IF(AND($AB1127&lt;&gt;"",OR('PROFIL ELEVE'!$K$4="(Tous)",$AF1127='PROFIL ELEVE'!$K$4)),1,0)</f>
        <v>0</v>
      </c>
      <c r="AW1127">
        <f>N(AW1126)+IF(AND($AB1127&lt;&gt;"",OR('SUIVI LONGITUDINAL'!$Q$4="(Tous)",$AF1127='SUIVI LONGITUDINAL'!$Q$4)),1,0)</f>
        <v>0</v>
      </c>
      <c r="AX1127">
        <f t="shared" si="427"/>
        <v>0</v>
      </c>
      <c r="AY1127">
        <f t="shared" si="428"/>
        <v>0</v>
      </c>
      <c r="AZ1127">
        <f t="shared" si="429"/>
        <v>0</v>
      </c>
      <c r="BA1127" t="str">
        <f t="shared" si="430"/>
        <v/>
      </c>
      <c r="BB1127" t="str">
        <f t="shared" si="431"/>
        <v/>
      </c>
    </row>
    <row r="1128" spans="1:54" ht="14.25" customHeight="1" x14ac:dyDescent="0.3">
      <c r="A1128" t="str">
        <f>IF(SAISIE!$F1133="","",SAISIE!$B1133)</f>
        <v/>
      </c>
      <c r="B1128" t="str">
        <f>IF(SAISIE!$F1133="","",SAISIE!$C1133)</f>
        <v/>
      </c>
      <c r="C1128" t="str">
        <f>IF(SAISIE!$F1133="","",SAISIE!$D1133)</f>
        <v/>
      </c>
      <c r="D1128" t="str">
        <f>IF(SAISIE!$E1133="","",SAISIE!$E1133)</f>
        <v/>
      </c>
      <c r="E1128" t="str">
        <f>IF(SAISIE!$F1133="","",SAISIE!$F1133)</f>
        <v/>
      </c>
      <c r="F1128" t="str">
        <f>IF(SAISIE!$G1133="","",SAISIE!$G1133)</f>
        <v/>
      </c>
      <c r="G1128" t="str">
        <f>IF(SAISIE!$H1133="","",SAISIE!$H1133)</f>
        <v/>
      </c>
      <c r="H1128" t="str">
        <f>IF(SAISIE!$I1133="","",SAISIE!$I1133)</f>
        <v/>
      </c>
      <c r="I1128" t="str">
        <f>IF(SAISIE!$J1133="","",SAISIE!$J1133)</f>
        <v/>
      </c>
      <c r="J1128" t="str">
        <f>IF(SAISIE!$K1133="","",SAISIE!$K1133)</f>
        <v/>
      </c>
      <c r="K1128" t="str">
        <f>IF(SAISIE!$L1133="","",SAISIE!$L1133)</f>
        <v/>
      </c>
      <c r="L1128" t="str">
        <f>IF(SAISIE!$M1133="","",SAISIE!$M1133)</f>
        <v/>
      </c>
      <c r="M1128" t="str">
        <f>IF(SAISIE!$N1133="","",SAISIE!$N1133)</f>
        <v/>
      </c>
      <c r="N1128" t="str">
        <f>IF(SAISIE!$O1133="","",SAISIE!$O1133)</f>
        <v/>
      </c>
      <c r="O1128" t="str">
        <f>IF(SAISIE!$P1133="","",SAISIE!$P1133)</f>
        <v/>
      </c>
      <c r="P1128" t="str">
        <f>IF(SAISIE!$Q1133="","",SAISIE!$Q1133)</f>
        <v/>
      </c>
      <c r="Q1128" t="str">
        <f>IF($I1128="","",IF($I1128&gt;PARAMETRES!$G$29,5,IF($I1128&gt;PARAMETRES!$F$29,4,IF($I1128&gt;PARAMETRES!$E$29,3,IF($I1128&gt;PARAMETRES!$D$29,2,1)))))</f>
        <v/>
      </c>
      <c r="R1128" t="str">
        <f>IF($J1128="","",IF($J1128&gt;PARAMETRES!$G$30,5,IF($J1128&gt;PARAMETRES!$F$30,4,IF($J1128&gt;PARAMETRES!$E$30,3,IF($J1128&gt;PARAMETRES!$D$30,2,1)))))</f>
        <v/>
      </c>
      <c r="S1128" t="str">
        <f>IF($K1128="","",IF($Z1128=2,IF($K1128&gt;PARAMETRES!$G$31,5,IF($K1128&gt;PARAMETRES!$F$31,4,IF($K1128&gt;PARAMETRES!$E$31,3,IF($K1128&gt;PARAMETRES!$D$31,2,1)))),IF($K1128&gt;PARAMETRES!$G$32,5,IF($K1128&gt;PARAMETRES!$F$32,4,IF($K1128&gt;PARAMETRES!$E$32,3,IF($K1128&gt;PARAMETRES!$D$32,2,1))))))</f>
        <v/>
      </c>
      <c r="T1128" t="str">
        <f>IF($L1128="","",IF($L1128&gt;PARAMETRES!$G$33,5,IF($L1128&gt;PARAMETRES!$F$33,4,IF($L1128&gt;PARAMETRES!$E$33,3,IF($L1128&gt;PARAMETRES!$D$33,2,1)))))</f>
        <v/>
      </c>
      <c r="U1128" t="str">
        <f>IF($M1128="","",IF($M1128&gt;PARAMETRES!$G$34,5,IF($M1128&gt;PARAMETRES!$F$34,4,IF($M1128&gt;PARAMETRES!$E$34,3,IF($M1128&gt;PARAMETRES!$D$34,2,1)))))</f>
        <v/>
      </c>
      <c r="V1128" t="str">
        <f>IF($N1128="","",IF($N1128&gt;PARAMETRES!$G$35,5,IF($N1128&gt;PARAMETRES!$F$35,4,IF($N1128&gt;PARAMETRES!$E$35,3,IF($N1128&gt;PARAMETRES!$D$35,2,1)))))</f>
        <v/>
      </c>
      <c r="W1128" t="str">
        <f>IF($O1128="","",IF($O1128&gt;PARAMETRES!$G$36,5,IF($O1128&gt;PARAMETRES!$F$36,4,IF($O1128&gt;PARAMETRES!$E$36,3,IF($O1128&gt;PARAMETRES!$D$36,2,1)))))</f>
        <v/>
      </c>
      <c r="X1128" t="str">
        <f>IF($P1128="","",IF($P1128&gt;PARAMETRES!$G$37,5,IF($P1128&gt;PARAMETRES!$F$37,4,IF($P1128&gt;PARAMETRES!$E$37,3,IF($P1128&gt;PARAMETRES!$D$37,2,1)))))</f>
        <v/>
      </c>
      <c r="Y1128" t="str">
        <f t="shared" si="408"/>
        <v/>
      </c>
      <c r="Z1128" t="str">
        <f>IFERROR(VLOOKUP($B1128,TABLE_CYCLE,2,0),"")</f>
        <v/>
      </c>
      <c r="AA1128" t="str">
        <f t="shared" si="409"/>
        <v/>
      </c>
      <c r="AB1128" t="str">
        <f>IF($D1128="","",IF(COUNTIF($D$2:$D1128,$D1128)=1,$D1128,""))</f>
        <v/>
      </c>
      <c r="AC1128">
        <f t="shared" si="410"/>
        <v>0</v>
      </c>
      <c r="AD1128" t="str">
        <f t="shared" si="411"/>
        <v>|0</v>
      </c>
      <c r="AE1128" t="str">
        <f t="shared" si="412"/>
        <v/>
      </c>
      <c r="AF1128" t="str">
        <f t="shared" si="413"/>
        <v/>
      </c>
      <c r="AG1128" t="str">
        <f t="shared" si="414"/>
        <v/>
      </c>
      <c r="AH1128" t="str">
        <f t="shared" si="415"/>
        <v/>
      </c>
      <c r="AI1128" t="str">
        <f t="shared" si="416"/>
        <v/>
      </c>
      <c r="AJ1128" t="str">
        <f t="shared" si="417"/>
        <v/>
      </c>
      <c r="AK1128" t="str">
        <f t="shared" si="418"/>
        <v/>
      </c>
      <c r="AL1128" t="str">
        <f t="shared" si="419"/>
        <v/>
      </c>
      <c r="AM1128" t="str">
        <f t="shared" si="420"/>
        <v/>
      </c>
      <c r="AN1128" t="str">
        <f t="shared" si="421"/>
        <v/>
      </c>
      <c r="AO1128" t="str">
        <f t="shared" si="422"/>
        <v/>
      </c>
      <c r="AP1128">
        <f t="shared" si="423"/>
        <v>1</v>
      </c>
      <c r="AQ1128" t="str">
        <f>IF(SAISIE!$F1133="","",SAISIE!$Y1133)</f>
        <v/>
      </c>
      <c r="AR1128" t="str">
        <f>IF(OR(SAISIE!$U$4="",SAISIE!$W$4=""),"",IF(AND($A1128=SAISIE!$U$4,$B1128=SAISIE!$W$4,$C1128="S1"),COUNTIFS($A$2:$A1128,SAISIE!$U$4,$B$2:$B1128,SAISIE!$W$4,$C$2:$C1128,"S1"),""))</f>
        <v/>
      </c>
      <c r="AS1128" t="str">
        <f t="shared" si="424"/>
        <v/>
      </c>
      <c r="AT1128" t="str">
        <f t="shared" si="425"/>
        <v/>
      </c>
      <c r="AU1128" t="str">
        <f t="shared" si="426"/>
        <v/>
      </c>
      <c r="AV1128">
        <f>N(AV1127)+IF(AND($AB1128&lt;&gt;"",OR('PROFIL ELEVE'!$K$4="(Tous)",$AF1128='PROFIL ELEVE'!$K$4)),1,0)</f>
        <v>0</v>
      </c>
      <c r="AW1128">
        <f>N(AW1127)+IF(AND($AB1128&lt;&gt;"",OR('SUIVI LONGITUDINAL'!$Q$4="(Tous)",$AF1128='SUIVI LONGITUDINAL'!$Q$4)),1,0)</f>
        <v>0</v>
      </c>
      <c r="AX1128">
        <f t="shared" si="427"/>
        <v>0</v>
      </c>
      <c r="AY1128">
        <f t="shared" si="428"/>
        <v>0</v>
      </c>
      <c r="AZ1128">
        <f t="shared" si="429"/>
        <v>0</v>
      </c>
      <c r="BA1128" t="str">
        <f t="shared" si="430"/>
        <v/>
      </c>
      <c r="BB1128" t="str">
        <f t="shared" si="431"/>
        <v/>
      </c>
    </row>
    <row r="1129" spans="1:54" ht="14.25" customHeight="1" x14ac:dyDescent="0.3">
      <c r="A1129" t="str">
        <f>IF(SAISIE!$F1134="","",SAISIE!$B1134)</f>
        <v/>
      </c>
      <c r="B1129" t="str">
        <f>IF(SAISIE!$F1134="","",SAISIE!$C1134)</f>
        <v/>
      </c>
      <c r="C1129" t="str">
        <f>IF(SAISIE!$F1134="","",SAISIE!$D1134)</f>
        <v/>
      </c>
      <c r="D1129" t="str">
        <f>IF(SAISIE!$E1134="","",SAISIE!$E1134)</f>
        <v/>
      </c>
      <c r="E1129" t="str">
        <f>IF(SAISIE!$F1134="","",SAISIE!$F1134)</f>
        <v/>
      </c>
      <c r="F1129" t="str">
        <f>IF(SAISIE!$G1134="","",SAISIE!$G1134)</f>
        <v/>
      </c>
      <c r="G1129" t="str">
        <f>IF(SAISIE!$H1134="","",SAISIE!$H1134)</f>
        <v/>
      </c>
      <c r="H1129" t="str">
        <f>IF(SAISIE!$I1134="","",SAISIE!$I1134)</f>
        <v/>
      </c>
      <c r="I1129" t="str">
        <f>IF(SAISIE!$J1134="","",SAISIE!$J1134)</f>
        <v/>
      </c>
      <c r="J1129" t="str">
        <f>IF(SAISIE!$K1134="","",SAISIE!$K1134)</f>
        <v/>
      </c>
      <c r="K1129" t="str">
        <f>IF(SAISIE!$L1134="","",SAISIE!$L1134)</f>
        <v/>
      </c>
      <c r="L1129" t="str">
        <f>IF(SAISIE!$M1134="","",SAISIE!$M1134)</f>
        <v/>
      </c>
      <c r="M1129" t="str">
        <f>IF(SAISIE!$N1134="","",SAISIE!$N1134)</f>
        <v/>
      </c>
      <c r="N1129" t="str">
        <f>IF(SAISIE!$O1134="","",SAISIE!$O1134)</f>
        <v/>
      </c>
      <c r="O1129" t="str">
        <f>IF(SAISIE!$P1134="","",SAISIE!$P1134)</f>
        <v/>
      </c>
      <c r="P1129" t="str">
        <f>IF(SAISIE!$Q1134="","",SAISIE!$Q1134)</f>
        <v/>
      </c>
      <c r="Q1129" t="str">
        <f>IF($I1129="","",IF($I1129&gt;PARAMETRES!$G$29,5,IF($I1129&gt;PARAMETRES!$F$29,4,IF($I1129&gt;PARAMETRES!$E$29,3,IF($I1129&gt;PARAMETRES!$D$29,2,1)))))</f>
        <v/>
      </c>
      <c r="R1129" t="str">
        <f>IF($J1129="","",IF($J1129&gt;PARAMETRES!$G$30,5,IF($J1129&gt;PARAMETRES!$F$30,4,IF($J1129&gt;PARAMETRES!$E$30,3,IF($J1129&gt;PARAMETRES!$D$30,2,1)))))</f>
        <v/>
      </c>
      <c r="S1129" t="str">
        <f>IF($K1129="","",IF($Z1129=2,IF($K1129&gt;PARAMETRES!$G$31,5,IF($K1129&gt;PARAMETRES!$F$31,4,IF($K1129&gt;PARAMETRES!$E$31,3,IF($K1129&gt;PARAMETRES!$D$31,2,1)))),IF($K1129&gt;PARAMETRES!$G$32,5,IF($K1129&gt;PARAMETRES!$F$32,4,IF($K1129&gt;PARAMETRES!$E$32,3,IF($K1129&gt;PARAMETRES!$D$32,2,1))))))</f>
        <v/>
      </c>
      <c r="T1129" t="str">
        <f>IF($L1129="","",IF($L1129&gt;PARAMETRES!$G$33,5,IF($L1129&gt;PARAMETRES!$F$33,4,IF($L1129&gt;PARAMETRES!$E$33,3,IF($L1129&gt;PARAMETRES!$D$33,2,1)))))</f>
        <v/>
      </c>
      <c r="U1129" t="str">
        <f>IF($M1129="","",IF($M1129&gt;PARAMETRES!$G$34,5,IF($M1129&gt;PARAMETRES!$F$34,4,IF($M1129&gt;PARAMETRES!$E$34,3,IF($M1129&gt;PARAMETRES!$D$34,2,1)))))</f>
        <v/>
      </c>
      <c r="V1129" t="str">
        <f>IF($N1129="","",IF($N1129&gt;PARAMETRES!$G$35,5,IF($N1129&gt;PARAMETRES!$F$35,4,IF($N1129&gt;PARAMETRES!$E$35,3,IF($N1129&gt;PARAMETRES!$D$35,2,1)))))</f>
        <v/>
      </c>
      <c r="W1129" t="str">
        <f>IF($O1129="","",IF($O1129&gt;PARAMETRES!$G$36,5,IF($O1129&gt;PARAMETRES!$F$36,4,IF($O1129&gt;PARAMETRES!$E$36,3,IF($O1129&gt;PARAMETRES!$D$36,2,1)))))</f>
        <v/>
      </c>
      <c r="X1129" t="str">
        <f>IF($P1129="","",IF($P1129&gt;PARAMETRES!$G$37,5,IF($P1129&gt;PARAMETRES!$F$37,4,IF($P1129&gt;PARAMETRES!$E$37,3,IF($P1129&gt;PARAMETRES!$D$37,2,1)))))</f>
        <v/>
      </c>
      <c r="Y1129" t="str">
        <f t="shared" si="408"/>
        <v/>
      </c>
      <c r="Z1129" t="str">
        <f>IFERROR(VLOOKUP($B1129,TABLE_CYCLE,2,0),"")</f>
        <v/>
      </c>
      <c r="AA1129" t="str">
        <f t="shared" si="409"/>
        <v/>
      </c>
      <c r="AB1129" t="str">
        <f>IF($D1129="","",IF(COUNTIF($D$2:$D1129,$D1129)=1,$D1129,""))</f>
        <v/>
      </c>
      <c r="AC1129">
        <f t="shared" si="410"/>
        <v>0</v>
      </c>
      <c r="AD1129" t="str">
        <f t="shared" si="411"/>
        <v>|0</v>
      </c>
      <c r="AE1129" t="str">
        <f t="shared" si="412"/>
        <v/>
      </c>
      <c r="AF1129" t="str">
        <f t="shared" si="413"/>
        <v/>
      </c>
      <c r="AG1129" t="str">
        <f t="shared" si="414"/>
        <v/>
      </c>
      <c r="AH1129" t="str">
        <f t="shared" si="415"/>
        <v/>
      </c>
      <c r="AI1129" t="str">
        <f t="shared" si="416"/>
        <v/>
      </c>
      <c r="AJ1129" t="str">
        <f t="shared" si="417"/>
        <v/>
      </c>
      <c r="AK1129" t="str">
        <f t="shared" si="418"/>
        <v/>
      </c>
      <c r="AL1129" t="str">
        <f t="shared" si="419"/>
        <v/>
      </c>
      <c r="AM1129" t="str">
        <f t="shared" si="420"/>
        <v/>
      </c>
      <c r="AN1129" t="str">
        <f t="shared" si="421"/>
        <v/>
      </c>
      <c r="AO1129" t="str">
        <f t="shared" si="422"/>
        <v/>
      </c>
      <c r="AP1129">
        <f t="shared" si="423"/>
        <v>1</v>
      </c>
      <c r="AQ1129" t="str">
        <f>IF(SAISIE!$F1134="","",SAISIE!$Y1134)</f>
        <v/>
      </c>
      <c r="AR1129" t="str">
        <f>IF(OR(SAISIE!$U$4="",SAISIE!$W$4=""),"",IF(AND($A1129=SAISIE!$U$4,$B1129=SAISIE!$W$4,$C1129="S1"),COUNTIFS($A$2:$A1129,SAISIE!$U$4,$B$2:$B1129,SAISIE!$W$4,$C$2:$C1129,"S1"),""))</f>
        <v/>
      </c>
      <c r="AS1129" t="str">
        <f t="shared" si="424"/>
        <v/>
      </c>
      <c r="AT1129" t="str">
        <f t="shared" si="425"/>
        <v/>
      </c>
      <c r="AU1129" t="str">
        <f t="shared" si="426"/>
        <v/>
      </c>
      <c r="AV1129">
        <f>N(AV1128)+IF(AND($AB1129&lt;&gt;"",OR('PROFIL ELEVE'!$K$4="(Tous)",$AF1129='PROFIL ELEVE'!$K$4)),1,0)</f>
        <v>0</v>
      </c>
      <c r="AW1129">
        <f>N(AW1128)+IF(AND($AB1129&lt;&gt;"",OR('SUIVI LONGITUDINAL'!$Q$4="(Tous)",$AF1129='SUIVI LONGITUDINAL'!$Q$4)),1,0)</f>
        <v>0</v>
      </c>
      <c r="AX1129">
        <f t="shared" si="427"/>
        <v>0</v>
      </c>
      <c r="AY1129">
        <f t="shared" si="428"/>
        <v>0</v>
      </c>
      <c r="AZ1129">
        <f t="shared" si="429"/>
        <v>0</v>
      </c>
      <c r="BA1129" t="str">
        <f t="shared" si="430"/>
        <v/>
      </c>
      <c r="BB1129" t="str">
        <f t="shared" si="431"/>
        <v/>
      </c>
    </row>
    <row r="1130" spans="1:54" ht="14.25" customHeight="1" x14ac:dyDescent="0.3">
      <c r="A1130" t="str">
        <f>IF(SAISIE!$F1135="","",SAISIE!$B1135)</f>
        <v/>
      </c>
      <c r="B1130" t="str">
        <f>IF(SAISIE!$F1135="","",SAISIE!$C1135)</f>
        <v/>
      </c>
      <c r="C1130" t="str">
        <f>IF(SAISIE!$F1135="","",SAISIE!$D1135)</f>
        <v/>
      </c>
      <c r="D1130" t="str">
        <f>IF(SAISIE!$E1135="","",SAISIE!$E1135)</f>
        <v/>
      </c>
      <c r="E1130" t="str">
        <f>IF(SAISIE!$F1135="","",SAISIE!$F1135)</f>
        <v/>
      </c>
      <c r="F1130" t="str">
        <f>IF(SAISIE!$G1135="","",SAISIE!$G1135)</f>
        <v/>
      </c>
      <c r="G1130" t="str">
        <f>IF(SAISIE!$H1135="","",SAISIE!$H1135)</f>
        <v/>
      </c>
      <c r="H1130" t="str">
        <f>IF(SAISIE!$I1135="","",SAISIE!$I1135)</f>
        <v/>
      </c>
      <c r="I1130" t="str">
        <f>IF(SAISIE!$J1135="","",SAISIE!$J1135)</f>
        <v/>
      </c>
      <c r="J1130" t="str">
        <f>IF(SAISIE!$K1135="","",SAISIE!$K1135)</f>
        <v/>
      </c>
      <c r="K1130" t="str">
        <f>IF(SAISIE!$L1135="","",SAISIE!$L1135)</f>
        <v/>
      </c>
      <c r="L1130" t="str">
        <f>IF(SAISIE!$M1135="","",SAISIE!$M1135)</f>
        <v/>
      </c>
      <c r="M1130" t="str">
        <f>IF(SAISIE!$N1135="","",SAISIE!$N1135)</f>
        <v/>
      </c>
      <c r="N1130" t="str">
        <f>IF(SAISIE!$O1135="","",SAISIE!$O1135)</f>
        <v/>
      </c>
      <c r="O1130" t="str">
        <f>IF(SAISIE!$P1135="","",SAISIE!$P1135)</f>
        <v/>
      </c>
      <c r="P1130" t="str">
        <f>IF(SAISIE!$Q1135="","",SAISIE!$Q1135)</f>
        <v/>
      </c>
      <c r="Q1130" t="str">
        <f>IF($I1130="","",IF($I1130&gt;PARAMETRES!$G$29,5,IF($I1130&gt;PARAMETRES!$F$29,4,IF($I1130&gt;PARAMETRES!$E$29,3,IF($I1130&gt;PARAMETRES!$D$29,2,1)))))</f>
        <v/>
      </c>
      <c r="R1130" t="str">
        <f>IF($J1130="","",IF($J1130&gt;PARAMETRES!$G$30,5,IF($J1130&gt;PARAMETRES!$F$30,4,IF($J1130&gt;PARAMETRES!$E$30,3,IF($J1130&gt;PARAMETRES!$D$30,2,1)))))</f>
        <v/>
      </c>
      <c r="S1130" t="str">
        <f>IF($K1130="","",IF($Z1130=2,IF($K1130&gt;PARAMETRES!$G$31,5,IF($K1130&gt;PARAMETRES!$F$31,4,IF($K1130&gt;PARAMETRES!$E$31,3,IF($K1130&gt;PARAMETRES!$D$31,2,1)))),IF($K1130&gt;PARAMETRES!$G$32,5,IF($K1130&gt;PARAMETRES!$F$32,4,IF($K1130&gt;PARAMETRES!$E$32,3,IF($K1130&gt;PARAMETRES!$D$32,2,1))))))</f>
        <v/>
      </c>
      <c r="T1130" t="str">
        <f>IF($L1130="","",IF($L1130&gt;PARAMETRES!$G$33,5,IF($L1130&gt;PARAMETRES!$F$33,4,IF($L1130&gt;PARAMETRES!$E$33,3,IF($L1130&gt;PARAMETRES!$D$33,2,1)))))</f>
        <v/>
      </c>
      <c r="U1130" t="str">
        <f>IF($M1130="","",IF($M1130&gt;PARAMETRES!$G$34,5,IF($M1130&gt;PARAMETRES!$F$34,4,IF($M1130&gt;PARAMETRES!$E$34,3,IF($M1130&gt;PARAMETRES!$D$34,2,1)))))</f>
        <v/>
      </c>
      <c r="V1130" t="str">
        <f>IF($N1130="","",IF($N1130&gt;PARAMETRES!$G$35,5,IF($N1130&gt;PARAMETRES!$F$35,4,IF($N1130&gt;PARAMETRES!$E$35,3,IF($N1130&gt;PARAMETRES!$D$35,2,1)))))</f>
        <v/>
      </c>
      <c r="W1130" t="str">
        <f>IF($O1130="","",IF($O1130&gt;PARAMETRES!$G$36,5,IF($O1130&gt;PARAMETRES!$F$36,4,IF($O1130&gt;PARAMETRES!$E$36,3,IF($O1130&gt;PARAMETRES!$D$36,2,1)))))</f>
        <v/>
      </c>
      <c r="X1130" t="str">
        <f>IF($P1130="","",IF($P1130&gt;PARAMETRES!$G$37,5,IF($P1130&gt;PARAMETRES!$F$37,4,IF($P1130&gt;PARAMETRES!$E$37,3,IF($P1130&gt;PARAMETRES!$D$37,2,1)))))</f>
        <v/>
      </c>
      <c r="Y1130" t="str">
        <f t="shared" si="408"/>
        <v/>
      </c>
      <c r="Z1130" t="str">
        <f>IFERROR(VLOOKUP($B1130,TABLE_CYCLE,2,0),"")</f>
        <v/>
      </c>
      <c r="AA1130" t="str">
        <f t="shared" si="409"/>
        <v/>
      </c>
      <c r="AB1130" t="str">
        <f>IF($D1130="","",IF(COUNTIF($D$2:$D1130,$D1130)=1,$D1130,""))</f>
        <v/>
      </c>
      <c r="AC1130">
        <f t="shared" si="410"/>
        <v>0</v>
      </c>
      <c r="AD1130" t="str">
        <f t="shared" si="411"/>
        <v>|0</v>
      </c>
      <c r="AE1130" t="str">
        <f t="shared" si="412"/>
        <v/>
      </c>
      <c r="AF1130" t="str">
        <f t="shared" si="413"/>
        <v/>
      </c>
      <c r="AG1130" t="str">
        <f t="shared" si="414"/>
        <v/>
      </c>
      <c r="AH1130" t="str">
        <f t="shared" si="415"/>
        <v/>
      </c>
      <c r="AI1130" t="str">
        <f t="shared" si="416"/>
        <v/>
      </c>
      <c r="AJ1130" t="str">
        <f t="shared" si="417"/>
        <v/>
      </c>
      <c r="AK1130" t="str">
        <f t="shared" si="418"/>
        <v/>
      </c>
      <c r="AL1130" t="str">
        <f t="shared" si="419"/>
        <v/>
      </c>
      <c r="AM1130" t="str">
        <f t="shared" si="420"/>
        <v/>
      </c>
      <c r="AN1130" t="str">
        <f t="shared" si="421"/>
        <v/>
      </c>
      <c r="AO1130" t="str">
        <f t="shared" si="422"/>
        <v/>
      </c>
      <c r="AP1130">
        <f t="shared" si="423"/>
        <v>1</v>
      </c>
      <c r="AQ1130" t="str">
        <f>IF(SAISIE!$F1135="","",SAISIE!$Y1135)</f>
        <v/>
      </c>
      <c r="AR1130" t="str">
        <f>IF(OR(SAISIE!$U$4="",SAISIE!$W$4=""),"",IF(AND($A1130=SAISIE!$U$4,$B1130=SAISIE!$W$4,$C1130="S1"),COUNTIFS($A$2:$A1130,SAISIE!$U$4,$B$2:$B1130,SAISIE!$W$4,$C$2:$C1130,"S1"),""))</f>
        <v/>
      </c>
      <c r="AS1130" t="str">
        <f t="shared" si="424"/>
        <v/>
      </c>
      <c r="AT1130" t="str">
        <f t="shared" si="425"/>
        <v/>
      </c>
      <c r="AU1130" t="str">
        <f t="shared" si="426"/>
        <v/>
      </c>
      <c r="AV1130">
        <f>N(AV1129)+IF(AND($AB1130&lt;&gt;"",OR('PROFIL ELEVE'!$K$4="(Tous)",$AF1130='PROFIL ELEVE'!$K$4)),1,0)</f>
        <v>0</v>
      </c>
      <c r="AW1130">
        <f>N(AW1129)+IF(AND($AB1130&lt;&gt;"",OR('SUIVI LONGITUDINAL'!$Q$4="(Tous)",$AF1130='SUIVI LONGITUDINAL'!$Q$4)),1,0)</f>
        <v>0</v>
      </c>
      <c r="AX1130">
        <f t="shared" si="427"/>
        <v>0</v>
      </c>
      <c r="AY1130">
        <f t="shared" si="428"/>
        <v>0</v>
      </c>
      <c r="AZ1130">
        <f t="shared" si="429"/>
        <v>0</v>
      </c>
      <c r="BA1130" t="str">
        <f t="shared" si="430"/>
        <v/>
      </c>
      <c r="BB1130" t="str">
        <f t="shared" si="431"/>
        <v/>
      </c>
    </row>
    <row r="1131" spans="1:54" ht="14.25" customHeight="1" x14ac:dyDescent="0.3">
      <c r="A1131" t="str">
        <f>IF(SAISIE!$F1136="","",SAISIE!$B1136)</f>
        <v/>
      </c>
      <c r="B1131" t="str">
        <f>IF(SAISIE!$F1136="","",SAISIE!$C1136)</f>
        <v/>
      </c>
      <c r="C1131" t="str">
        <f>IF(SAISIE!$F1136="","",SAISIE!$D1136)</f>
        <v/>
      </c>
      <c r="D1131" t="str">
        <f>IF(SAISIE!$E1136="","",SAISIE!$E1136)</f>
        <v/>
      </c>
      <c r="E1131" t="str">
        <f>IF(SAISIE!$F1136="","",SAISIE!$F1136)</f>
        <v/>
      </c>
      <c r="F1131" t="str">
        <f>IF(SAISIE!$G1136="","",SAISIE!$G1136)</f>
        <v/>
      </c>
      <c r="G1131" t="str">
        <f>IF(SAISIE!$H1136="","",SAISIE!$H1136)</f>
        <v/>
      </c>
      <c r="H1131" t="str">
        <f>IF(SAISIE!$I1136="","",SAISIE!$I1136)</f>
        <v/>
      </c>
      <c r="I1131" t="str">
        <f>IF(SAISIE!$J1136="","",SAISIE!$J1136)</f>
        <v/>
      </c>
      <c r="J1131" t="str">
        <f>IF(SAISIE!$K1136="","",SAISIE!$K1136)</f>
        <v/>
      </c>
      <c r="K1131" t="str">
        <f>IF(SAISIE!$L1136="","",SAISIE!$L1136)</f>
        <v/>
      </c>
      <c r="L1131" t="str">
        <f>IF(SAISIE!$M1136="","",SAISIE!$M1136)</f>
        <v/>
      </c>
      <c r="M1131" t="str">
        <f>IF(SAISIE!$N1136="","",SAISIE!$N1136)</f>
        <v/>
      </c>
      <c r="N1131" t="str">
        <f>IF(SAISIE!$O1136="","",SAISIE!$O1136)</f>
        <v/>
      </c>
      <c r="O1131" t="str">
        <f>IF(SAISIE!$P1136="","",SAISIE!$P1136)</f>
        <v/>
      </c>
      <c r="P1131" t="str">
        <f>IF(SAISIE!$Q1136="","",SAISIE!$Q1136)</f>
        <v/>
      </c>
      <c r="Q1131" t="str">
        <f>IF($I1131="","",IF($I1131&gt;PARAMETRES!$G$29,5,IF($I1131&gt;PARAMETRES!$F$29,4,IF($I1131&gt;PARAMETRES!$E$29,3,IF($I1131&gt;PARAMETRES!$D$29,2,1)))))</f>
        <v/>
      </c>
      <c r="R1131" t="str">
        <f>IF($J1131="","",IF($J1131&gt;PARAMETRES!$G$30,5,IF($J1131&gt;PARAMETRES!$F$30,4,IF($J1131&gt;PARAMETRES!$E$30,3,IF($J1131&gt;PARAMETRES!$D$30,2,1)))))</f>
        <v/>
      </c>
      <c r="S1131" t="str">
        <f>IF($K1131="","",IF($Z1131=2,IF($K1131&gt;PARAMETRES!$G$31,5,IF($K1131&gt;PARAMETRES!$F$31,4,IF($K1131&gt;PARAMETRES!$E$31,3,IF($K1131&gt;PARAMETRES!$D$31,2,1)))),IF($K1131&gt;PARAMETRES!$G$32,5,IF($K1131&gt;PARAMETRES!$F$32,4,IF($K1131&gt;PARAMETRES!$E$32,3,IF($K1131&gt;PARAMETRES!$D$32,2,1))))))</f>
        <v/>
      </c>
      <c r="T1131" t="str">
        <f>IF($L1131="","",IF($L1131&gt;PARAMETRES!$G$33,5,IF($L1131&gt;PARAMETRES!$F$33,4,IF($L1131&gt;PARAMETRES!$E$33,3,IF($L1131&gt;PARAMETRES!$D$33,2,1)))))</f>
        <v/>
      </c>
      <c r="U1131" t="str">
        <f>IF($M1131="","",IF($M1131&gt;PARAMETRES!$G$34,5,IF($M1131&gt;PARAMETRES!$F$34,4,IF($M1131&gt;PARAMETRES!$E$34,3,IF($M1131&gt;PARAMETRES!$D$34,2,1)))))</f>
        <v/>
      </c>
      <c r="V1131" t="str">
        <f>IF($N1131="","",IF($N1131&gt;PARAMETRES!$G$35,5,IF($N1131&gt;PARAMETRES!$F$35,4,IF($N1131&gt;PARAMETRES!$E$35,3,IF($N1131&gt;PARAMETRES!$D$35,2,1)))))</f>
        <v/>
      </c>
      <c r="W1131" t="str">
        <f>IF($O1131="","",IF($O1131&gt;PARAMETRES!$G$36,5,IF($O1131&gt;PARAMETRES!$F$36,4,IF($O1131&gt;PARAMETRES!$E$36,3,IF($O1131&gt;PARAMETRES!$D$36,2,1)))))</f>
        <v/>
      </c>
      <c r="X1131" t="str">
        <f>IF($P1131="","",IF($P1131&gt;PARAMETRES!$G$37,5,IF($P1131&gt;PARAMETRES!$F$37,4,IF($P1131&gt;PARAMETRES!$E$37,3,IF($P1131&gt;PARAMETRES!$D$37,2,1)))))</f>
        <v/>
      </c>
      <c r="Y1131" t="str">
        <f t="shared" si="408"/>
        <v/>
      </c>
      <c r="Z1131" t="str">
        <f>IFERROR(VLOOKUP($B1131,TABLE_CYCLE,2,0),"")</f>
        <v/>
      </c>
      <c r="AA1131" t="str">
        <f t="shared" si="409"/>
        <v/>
      </c>
      <c r="AB1131" t="str">
        <f>IF($D1131="","",IF(COUNTIF($D$2:$D1131,$D1131)=1,$D1131,""))</f>
        <v/>
      </c>
      <c r="AC1131">
        <f t="shared" si="410"/>
        <v>0</v>
      </c>
      <c r="AD1131" t="str">
        <f t="shared" si="411"/>
        <v>|0</v>
      </c>
      <c r="AE1131" t="str">
        <f t="shared" si="412"/>
        <v/>
      </c>
      <c r="AF1131" t="str">
        <f t="shared" si="413"/>
        <v/>
      </c>
      <c r="AG1131" t="str">
        <f t="shared" si="414"/>
        <v/>
      </c>
      <c r="AH1131" t="str">
        <f t="shared" si="415"/>
        <v/>
      </c>
      <c r="AI1131" t="str">
        <f t="shared" si="416"/>
        <v/>
      </c>
      <c r="AJ1131" t="str">
        <f t="shared" si="417"/>
        <v/>
      </c>
      <c r="AK1131" t="str">
        <f t="shared" si="418"/>
        <v/>
      </c>
      <c r="AL1131" t="str">
        <f t="shared" si="419"/>
        <v/>
      </c>
      <c r="AM1131" t="str">
        <f t="shared" si="420"/>
        <v/>
      </c>
      <c r="AN1131" t="str">
        <f t="shared" si="421"/>
        <v/>
      </c>
      <c r="AO1131" t="str">
        <f t="shared" si="422"/>
        <v/>
      </c>
      <c r="AP1131">
        <f t="shared" si="423"/>
        <v>1</v>
      </c>
      <c r="AQ1131" t="str">
        <f>IF(SAISIE!$F1136="","",SAISIE!$Y1136)</f>
        <v/>
      </c>
      <c r="AR1131" t="str">
        <f>IF(OR(SAISIE!$U$4="",SAISIE!$W$4=""),"",IF(AND($A1131=SAISIE!$U$4,$B1131=SAISIE!$W$4,$C1131="S1"),COUNTIFS($A$2:$A1131,SAISIE!$U$4,$B$2:$B1131,SAISIE!$W$4,$C$2:$C1131,"S1"),""))</f>
        <v/>
      </c>
      <c r="AS1131" t="str">
        <f t="shared" si="424"/>
        <v/>
      </c>
      <c r="AT1131" t="str">
        <f t="shared" si="425"/>
        <v/>
      </c>
      <c r="AU1131" t="str">
        <f t="shared" si="426"/>
        <v/>
      </c>
      <c r="AV1131">
        <f>N(AV1130)+IF(AND($AB1131&lt;&gt;"",OR('PROFIL ELEVE'!$K$4="(Tous)",$AF1131='PROFIL ELEVE'!$K$4)),1,0)</f>
        <v>0</v>
      </c>
      <c r="AW1131">
        <f>N(AW1130)+IF(AND($AB1131&lt;&gt;"",OR('SUIVI LONGITUDINAL'!$Q$4="(Tous)",$AF1131='SUIVI LONGITUDINAL'!$Q$4)),1,0)</f>
        <v>0</v>
      </c>
      <c r="AX1131">
        <f t="shared" si="427"/>
        <v>0</v>
      </c>
      <c r="AY1131">
        <f t="shared" si="428"/>
        <v>0</v>
      </c>
      <c r="AZ1131">
        <f t="shared" si="429"/>
        <v>0</v>
      </c>
      <c r="BA1131" t="str">
        <f t="shared" si="430"/>
        <v/>
      </c>
      <c r="BB1131" t="str">
        <f t="shared" si="431"/>
        <v/>
      </c>
    </row>
    <row r="1132" spans="1:54" ht="14.25" customHeight="1" x14ac:dyDescent="0.3">
      <c r="A1132" t="str">
        <f>IF(SAISIE!$F1137="","",SAISIE!$B1137)</f>
        <v/>
      </c>
      <c r="B1132" t="str">
        <f>IF(SAISIE!$F1137="","",SAISIE!$C1137)</f>
        <v/>
      </c>
      <c r="C1132" t="str">
        <f>IF(SAISIE!$F1137="","",SAISIE!$D1137)</f>
        <v/>
      </c>
      <c r="D1132" t="str">
        <f>IF(SAISIE!$E1137="","",SAISIE!$E1137)</f>
        <v/>
      </c>
      <c r="E1132" t="str">
        <f>IF(SAISIE!$F1137="","",SAISIE!$F1137)</f>
        <v/>
      </c>
      <c r="F1132" t="str">
        <f>IF(SAISIE!$G1137="","",SAISIE!$G1137)</f>
        <v/>
      </c>
      <c r="G1132" t="str">
        <f>IF(SAISIE!$H1137="","",SAISIE!$H1137)</f>
        <v/>
      </c>
      <c r="H1132" t="str">
        <f>IF(SAISIE!$I1137="","",SAISIE!$I1137)</f>
        <v/>
      </c>
      <c r="I1132" t="str">
        <f>IF(SAISIE!$J1137="","",SAISIE!$J1137)</f>
        <v/>
      </c>
      <c r="J1132" t="str">
        <f>IF(SAISIE!$K1137="","",SAISIE!$K1137)</f>
        <v/>
      </c>
      <c r="K1132" t="str">
        <f>IF(SAISIE!$L1137="","",SAISIE!$L1137)</f>
        <v/>
      </c>
      <c r="L1132" t="str">
        <f>IF(SAISIE!$M1137="","",SAISIE!$M1137)</f>
        <v/>
      </c>
      <c r="M1132" t="str">
        <f>IF(SAISIE!$N1137="","",SAISIE!$N1137)</f>
        <v/>
      </c>
      <c r="N1132" t="str">
        <f>IF(SAISIE!$O1137="","",SAISIE!$O1137)</f>
        <v/>
      </c>
      <c r="O1132" t="str">
        <f>IF(SAISIE!$P1137="","",SAISIE!$P1137)</f>
        <v/>
      </c>
      <c r="P1132" t="str">
        <f>IF(SAISIE!$Q1137="","",SAISIE!$Q1137)</f>
        <v/>
      </c>
      <c r="Q1132" t="str">
        <f>IF($I1132="","",IF($I1132&gt;PARAMETRES!$G$29,5,IF($I1132&gt;PARAMETRES!$F$29,4,IF($I1132&gt;PARAMETRES!$E$29,3,IF($I1132&gt;PARAMETRES!$D$29,2,1)))))</f>
        <v/>
      </c>
      <c r="R1132" t="str">
        <f>IF($J1132="","",IF($J1132&gt;PARAMETRES!$G$30,5,IF($J1132&gt;PARAMETRES!$F$30,4,IF($J1132&gt;PARAMETRES!$E$30,3,IF($J1132&gt;PARAMETRES!$D$30,2,1)))))</f>
        <v/>
      </c>
      <c r="S1132" t="str">
        <f>IF($K1132="","",IF($Z1132=2,IF($K1132&gt;PARAMETRES!$G$31,5,IF($K1132&gt;PARAMETRES!$F$31,4,IF($K1132&gt;PARAMETRES!$E$31,3,IF($K1132&gt;PARAMETRES!$D$31,2,1)))),IF($K1132&gt;PARAMETRES!$G$32,5,IF($K1132&gt;PARAMETRES!$F$32,4,IF($K1132&gt;PARAMETRES!$E$32,3,IF($K1132&gt;PARAMETRES!$D$32,2,1))))))</f>
        <v/>
      </c>
      <c r="T1132" t="str">
        <f>IF($L1132="","",IF($L1132&gt;PARAMETRES!$G$33,5,IF($L1132&gt;PARAMETRES!$F$33,4,IF($L1132&gt;PARAMETRES!$E$33,3,IF($L1132&gt;PARAMETRES!$D$33,2,1)))))</f>
        <v/>
      </c>
      <c r="U1132" t="str">
        <f>IF($M1132="","",IF($M1132&gt;PARAMETRES!$G$34,5,IF($M1132&gt;PARAMETRES!$F$34,4,IF($M1132&gt;PARAMETRES!$E$34,3,IF($M1132&gt;PARAMETRES!$D$34,2,1)))))</f>
        <v/>
      </c>
      <c r="V1132" t="str">
        <f>IF($N1132="","",IF($N1132&gt;PARAMETRES!$G$35,5,IF($N1132&gt;PARAMETRES!$F$35,4,IF($N1132&gt;PARAMETRES!$E$35,3,IF($N1132&gt;PARAMETRES!$D$35,2,1)))))</f>
        <v/>
      </c>
      <c r="W1132" t="str">
        <f>IF($O1132="","",IF($O1132&gt;PARAMETRES!$G$36,5,IF($O1132&gt;PARAMETRES!$F$36,4,IF($O1132&gt;PARAMETRES!$E$36,3,IF($O1132&gt;PARAMETRES!$D$36,2,1)))))</f>
        <v/>
      </c>
      <c r="X1132" t="str">
        <f>IF($P1132="","",IF($P1132&gt;PARAMETRES!$G$37,5,IF($P1132&gt;PARAMETRES!$F$37,4,IF($P1132&gt;PARAMETRES!$E$37,3,IF($P1132&gt;PARAMETRES!$D$37,2,1)))))</f>
        <v/>
      </c>
      <c r="Y1132" t="str">
        <f t="shared" si="408"/>
        <v/>
      </c>
      <c r="Z1132" t="str">
        <f>IFERROR(VLOOKUP($B1132,TABLE_CYCLE,2,0),"")</f>
        <v/>
      </c>
      <c r="AA1132" t="str">
        <f t="shared" si="409"/>
        <v/>
      </c>
      <c r="AB1132" t="str">
        <f>IF($D1132="","",IF(COUNTIF($D$2:$D1132,$D1132)=1,$D1132,""))</f>
        <v/>
      </c>
      <c r="AC1132">
        <f t="shared" si="410"/>
        <v>0</v>
      </c>
      <c r="AD1132" t="str">
        <f t="shared" si="411"/>
        <v>|0</v>
      </c>
      <c r="AE1132" t="str">
        <f t="shared" si="412"/>
        <v/>
      </c>
      <c r="AF1132" t="str">
        <f t="shared" si="413"/>
        <v/>
      </c>
      <c r="AG1132" t="str">
        <f t="shared" si="414"/>
        <v/>
      </c>
      <c r="AH1132" t="str">
        <f t="shared" si="415"/>
        <v/>
      </c>
      <c r="AI1132" t="str">
        <f t="shared" si="416"/>
        <v/>
      </c>
      <c r="AJ1132" t="str">
        <f t="shared" si="417"/>
        <v/>
      </c>
      <c r="AK1132" t="str">
        <f t="shared" si="418"/>
        <v/>
      </c>
      <c r="AL1132" t="str">
        <f t="shared" si="419"/>
        <v/>
      </c>
      <c r="AM1132" t="str">
        <f t="shared" si="420"/>
        <v/>
      </c>
      <c r="AN1132" t="str">
        <f t="shared" si="421"/>
        <v/>
      </c>
      <c r="AO1132" t="str">
        <f t="shared" si="422"/>
        <v/>
      </c>
      <c r="AP1132">
        <f t="shared" si="423"/>
        <v>1</v>
      </c>
      <c r="AQ1132" t="str">
        <f>IF(SAISIE!$F1137="","",SAISIE!$Y1137)</f>
        <v/>
      </c>
      <c r="AR1132" t="str">
        <f>IF(OR(SAISIE!$U$4="",SAISIE!$W$4=""),"",IF(AND($A1132=SAISIE!$U$4,$B1132=SAISIE!$W$4,$C1132="S1"),COUNTIFS($A$2:$A1132,SAISIE!$U$4,$B$2:$B1132,SAISIE!$W$4,$C$2:$C1132,"S1"),""))</f>
        <v/>
      </c>
      <c r="AS1132" t="str">
        <f t="shared" si="424"/>
        <v/>
      </c>
      <c r="AT1132" t="str">
        <f t="shared" si="425"/>
        <v/>
      </c>
      <c r="AU1132" t="str">
        <f t="shared" si="426"/>
        <v/>
      </c>
      <c r="AV1132">
        <f>N(AV1131)+IF(AND($AB1132&lt;&gt;"",OR('PROFIL ELEVE'!$K$4="(Tous)",$AF1132='PROFIL ELEVE'!$K$4)),1,0)</f>
        <v>0</v>
      </c>
      <c r="AW1132">
        <f>N(AW1131)+IF(AND($AB1132&lt;&gt;"",OR('SUIVI LONGITUDINAL'!$Q$4="(Tous)",$AF1132='SUIVI LONGITUDINAL'!$Q$4)),1,0)</f>
        <v>0</v>
      </c>
      <c r="AX1132">
        <f t="shared" si="427"/>
        <v>0</v>
      </c>
      <c r="AY1132">
        <f t="shared" si="428"/>
        <v>0</v>
      </c>
      <c r="AZ1132">
        <f t="shared" si="429"/>
        <v>0</v>
      </c>
      <c r="BA1132" t="str">
        <f t="shared" si="430"/>
        <v/>
      </c>
      <c r="BB1132" t="str">
        <f t="shared" si="431"/>
        <v/>
      </c>
    </row>
    <row r="1133" spans="1:54" ht="14.25" customHeight="1" x14ac:dyDescent="0.3">
      <c r="A1133" t="str">
        <f>IF(SAISIE!$F1138="","",SAISIE!$B1138)</f>
        <v/>
      </c>
      <c r="B1133" t="str">
        <f>IF(SAISIE!$F1138="","",SAISIE!$C1138)</f>
        <v/>
      </c>
      <c r="C1133" t="str">
        <f>IF(SAISIE!$F1138="","",SAISIE!$D1138)</f>
        <v/>
      </c>
      <c r="D1133" t="str">
        <f>IF(SAISIE!$E1138="","",SAISIE!$E1138)</f>
        <v/>
      </c>
      <c r="E1133" t="str">
        <f>IF(SAISIE!$F1138="","",SAISIE!$F1138)</f>
        <v/>
      </c>
      <c r="F1133" t="str">
        <f>IF(SAISIE!$G1138="","",SAISIE!$G1138)</f>
        <v/>
      </c>
      <c r="G1133" t="str">
        <f>IF(SAISIE!$H1138="","",SAISIE!$H1138)</f>
        <v/>
      </c>
      <c r="H1133" t="str">
        <f>IF(SAISIE!$I1138="","",SAISIE!$I1138)</f>
        <v/>
      </c>
      <c r="I1133" t="str">
        <f>IF(SAISIE!$J1138="","",SAISIE!$J1138)</f>
        <v/>
      </c>
      <c r="J1133" t="str">
        <f>IF(SAISIE!$K1138="","",SAISIE!$K1138)</f>
        <v/>
      </c>
      <c r="K1133" t="str">
        <f>IF(SAISIE!$L1138="","",SAISIE!$L1138)</f>
        <v/>
      </c>
      <c r="L1133" t="str">
        <f>IF(SAISIE!$M1138="","",SAISIE!$M1138)</f>
        <v/>
      </c>
      <c r="M1133" t="str">
        <f>IF(SAISIE!$N1138="","",SAISIE!$N1138)</f>
        <v/>
      </c>
      <c r="N1133" t="str">
        <f>IF(SAISIE!$O1138="","",SAISIE!$O1138)</f>
        <v/>
      </c>
      <c r="O1133" t="str">
        <f>IF(SAISIE!$P1138="","",SAISIE!$P1138)</f>
        <v/>
      </c>
      <c r="P1133" t="str">
        <f>IF(SAISIE!$Q1138="","",SAISIE!$Q1138)</f>
        <v/>
      </c>
      <c r="Q1133" t="str">
        <f>IF($I1133="","",IF($I1133&gt;PARAMETRES!$G$29,5,IF($I1133&gt;PARAMETRES!$F$29,4,IF($I1133&gt;PARAMETRES!$E$29,3,IF($I1133&gt;PARAMETRES!$D$29,2,1)))))</f>
        <v/>
      </c>
      <c r="R1133" t="str">
        <f>IF($J1133="","",IF($J1133&gt;PARAMETRES!$G$30,5,IF($J1133&gt;PARAMETRES!$F$30,4,IF($J1133&gt;PARAMETRES!$E$30,3,IF($J1133&gt;PARAMETRES!$D$30,2,1)))))</f>
        <v/>
      </c>
      <c r="S1133" t="str">
        <f>IF($K1133="","",IF($Z1133=2,IF($K1133&gt;PARAMETRES!$G$31,5,IF($K1133&gt;PARAMETRES!$F$31,4,IF($K1133&gt;PARAMETRES!$E$31,3,IF($K1133&gt;PARAMETRES!$D$31,2,1)))),IF($K1133&gt;PARAMETRES!$G$32,5,IF($K1133&gt;PARAMETRES!$F$32,4,IF($K1133&gt;PARAMETRES!$E$32,3,IF($K1133&gt;PARAMETRES!$D$32,2,1))))))</f>
        <v/>
      </c>
      <c r="T1133" t="str">
        <f>IF($L1133="","",IF($L1133&gt;PARAMETRES!$G$33,5,IF($L1133&gt;PARAMETRES!$F$33,4,IF($L1133&gt;PARAMETRES!$E$33,3,IF($L1133&gt;PARAMETRES!$D$33,2,1)))))</f>
        <v/>
      </c>
      <c r="U1133" t="str">
        <f>IF($M1133="","",IF($M1133&gt;PARAMETRES!$G$34,5,IF($M1133&gt;PARAMETRES!$F$34,4,IF($M1133&gt;PARAMETRES!$E$34,3,IF($M1133&gt;PARAMETRES!$D$34,2,1)))))</f>
        <v/>
      </c>
      <c r="V1133" t="str">
        <f>IF($N1133="","",IF($N1133&gt;PARAMETRES!$G$35,5,IF($N1133&gt;PARAMETRES!$F$35,4,IF($N1133&gt;PARAMETRES!$E$35,3,IF($N1133&gt;PARAMETRES!$D$35,2,1)))))</f>
        <v/>
      </c>
      <c r="W1133" t="str">
        <f>IF($O1133="","",IF($O1133&gt;PARAMETRES!$G$36,5,IF($O1133&gt;PARAMETRES!$F$36,4,IF($O1133&gt;PARAMETRES!$E$36,3,IF($O1133&gt;PARAMETRES!$D$36,2,1)))))</f>
        <v/>
      </c>
      <c r="X1133" t="str">
        <f>IF($P1133="","",IF($P1133&gt;PARAMETRES!$G$37,5,IF($P1133&gt;PARAMETRES!$F$37,4,IF($P1133&gt;PARAMETRES!$E$37,3,IF($P1133&gt;PARAMETRES!$D$37,2,1)))))</f>
        <v/>
      </c>
      <c r="Y1133" t="str">
        <f t="shared" si="408"/>
        <v/>
      </c>
      <c r="Z1133" t="str">
        <f>IFERROR(VLOOKUP($B1133,TABLE_CYCLE,2,0),"")</f>
        <v/>
      </c>
      <c r="AA1133" t="str">
        <f t="shared" si="409"/>
        <v/>
      </c>
      <c r="AB1133" t="str">
        <f>IF($D1133="","",IF(COUNTIF($D$2:$D1133,$D1133)=1,$D1133,""))</f>
        <v/>
      </c>
      <c r="AC1133">
        <f t="shared" si="410"/>
        <v>0</v>
      </c>
      <c r="AD1133" t="str">
        <f t="shared" si="411"/>
        <v>|0</v>
      </c>
      <c r="AE1133" t="str">
        <f t="shared" si="412"/>
        <v/>
      </c>
      <c r="AF1133" t="str">
        <f t="shared" si="413"/>
        <v/>
      </c>
      <c r="AG1133" t="str">
        <f t="shared" si="414"/>
        <v/>
      </c>
      <c r="AH1133" t="str">
        <f t="shared" si="415"/>
        <v/>
      </c>
      <c r="AI1133" t="str">
        <f t="shared" si="416"/>
        <v/>
      </c>
      <c r="AJ1133" t="str">
        <f t="shared" si="417"/>
        <v/>
      </c>
      <c r="AK1133" t="str">
        <f t="shared" si="418"/>
        <v/>
      </c>
      <c r="AL1133" t="str">
        <f t="shared" si="419"/>
        <v/>
      </c>
      <c r="AM1133" t="str">
        <f t="shared" si="420"/>
        <v/>
      </c>
      <c r="AN1133" t="str">
        <f t="shared" si="421"/>
        <v/>
      </c>
      <c r="AO1133" t="str">
        <f t="shared" si="422"/>
        <v/>
      </c>
      <c r="AP1133">
        <f t="shared" si="423"/>
        <v>1</v>
      </c>
      <c r="AQ1133" t="str">
        <f>IF(SAISIE!$F1138="","",SAISIE!$Y1138)</f>
        <v/>
      </c>
      <c r="AR1133" t="str">
        <f>IF(OR(SAISIE!$U$4="",SAISIE!$W$4=""),"",IF(AND($A1133=SAISIE!$U$4,$B1133=SAISIE!$W$4,$C1133="S1"),COUNTIFS($A$2:$A1133,SAISIE!$U$4,$B$2:$B1133,SAISIE!$W$4,$C$2:$C1133,"S1"),""))</f>
        <v/>
      </c>
      <c r="AS1133" t="str">
        <f t="shared" si="424"/>
        <v/>
      </c>
      <c r="AT1133" t="str">
        <f t="shared" si="425"/>
        <v/>
      </c>
      <c r="AU1133" t="str">
        <f t="shared" si="426"/>
        <v/>
      </c>
      <c r="AV1133">
        <f>N(AV1132)+IF(AND($AB1133&lt;&gt;"",OR('PROFIL ELEVE'!$K$4="(Tous)",$AF1133='PROFIL ELEVE'!$K$4)),1,0)</f>
        <v>0</v>
      </c>
      <c r="AW1133">
        <f>N(AW1132)+IF(AND($AB1133&lt;&gt;"",OR('SUIVI LONGITUDINAL'!$Q$4="(Tous)",$AF1133='SUIVI LONGITUDINAL'!$Q$4)),1,0)</f>
        <v>0</v>
      </c>
      <c r="AX1133">
        <f t="shared" si="427"/>
        <v>0</v>
      </c>
      <c r="AY1133">
        <f t="shared" si="428"/>
        <v>0</v>
      </c>
      <c r="AZ1133">
        <f t="shared" si="429"/>
        <v>0</v>
      </c>
      <c r="BA1133" t="str">
        <f t="shared" si="430"/>
        <v/>
      </c>
      <c r="BB1133" t="str">
        <f t="shared" si="431"/>
        <v/>
      </c>
    </row>
    <row r="1134" spans="1:54" ht="14.25" customHeight="1" x14ac:dyDescent="0.3">
      <c r="A1134" t="str">
        <f>IF(SAISIE!$F1139="","",SAISIE!$B1139)</f>
        <v/>
      </c>
      <c r="B1134" t="str">
        <f>IF(SAISIE!$F1139="","",SAISIE!$C1139)</f>
        <v/>
      </c>
      <c r="C1134" t="str">
        <f>IF(SAISIE!$F1139="","",SAISIE!$D1139)</f>
        <v/>
      </c>
      <c r="D1134" t="str">
        <f>IF(SAISIE!$E1139="","",SAISIE!$E1139)</f>
        <v/>
      </c>
      <c r="E1134" t="str">
        <f>IF(SAISIE!$F1139="","",SAISIE!$F1139)</f>
        <v/>
      </c>
      <c r="F1134" t="str">
        <f>IF(SAISIE!$G1139="","",SAISIE!$G1139)</f>
        <v/>
      </c>
      <c r="G1134" t="str">
        <f>IF(SAISIE!$H1139="","",SAISIE!$H1139)</f>
        <v/>
      </c>
      <c r="H1134" t="str">
        <f>IF(SAISIE!$I1139="","",SAISIE!$I1139)</f>
        <v/>
      </c>
      <c r="I1134" t="str">
        <f>IF(SAISIE!$J1139="","",SAISIE!$J1139)</f>
        <v/>
      </c>
      <c r="J1134" t="str">
        <f>IF(SAISIE!$K1139="","",SAISIE!$K1139)</f>
        <v/>
      </c>
      <c r="K1134" t="str">
        <f>IF(SAISIE!$L1139="","",SAISIE!$L1139)</f>
        <v/>
      </c>
      <c r="L1134" t="str">
        <f>IF(SAISIE!$M1139="","",SAISIE!$M1139)</f>
        <v/>
      </c>
      <c r="M1134" t="str">
        <f>IF(SAISIE!$N1139="","",SAISIE!$N1139)</f>
        <v/>
      </c>
      <c r="N1134" t="str">
        <f>IF(SAISIE!$O1139="","",SAISIE!$O1139)</f>
        <v/>
      </c>
      <c r="O1134" t="str">
        <f>IF(SAISIE!$P1139="","",SAISIE!$P1139)</f>
        <v/>
      </c>
      <c r="P1134" t="str">
        <f>IF(SAISIE!$Q1139="","",SAISIE!$Q1139)</f>
        <v/>
      </c>
      <c r="Q1134" t="str">
        <f>IF($I1134="","",IF($I1134&gt;PARAMETRES!$G$29,5,IF($I1134&gt;PARAMETRES!$F$29,4,IF($I1134&gt;PARAMETRES!$E$29,3,IF($I1134&gt;PARAMETRES!$D$29,2,1)))))</f>
        <v/>
      </c>
      <c r="R1134" t="str">
        <f>IF($J1134="","",IF($J1134&gt;PARAMETRES!$G$30,5,IF($J1134&gt;PARAMETRES!$F$30,4,IF($J1134&gt;PARAMETRES!$E$30,3,IF($J1134&gt;PARAMETRES!$D$30,2,1)))))</f>
        <v/>
      </c>
      <c r="S1134" t="str">
        <f>IF($K1134="","",IF($Z1134=2,IF($K1134&gt;PARAMETRES!$G$31,5,IF($K1134&gt;PARAMETRES!$F$31,4,IF($K1134&gt;PARAMETRES!$E$31,3,IF($K1134&gt;PARAMETRES!$D$31,2,1)))),IF($K1134&gt;PARAMETRES!$G$32,5,IF($K1134&gt;PARAMETRES!$F$32,4,IF($K1134&gt;PARAMETRES!$E$32,3,IF($K1134&gt;PARAMETRES!$D$32,2,1))))))</f>
        <v/>
      </c>
      <c r="T1134" t="str">
        <f>IF($L1134="","",IF($L1134&gt;PARAMETRES!$G$33,5,IF($L1134&gt;PARAMETRES!$F$33,4,IF($L1134&gt;PARAMETRES!$E$33,3,IF($L1134&gt;PARAMETRES!$D$33,2,1)))))</f>
        <v/>
      </c>
      <c r="U1134" t="str">
        <f>IF($M1134="","",IF($M1134&gt;PARAMETRES!$G$34,5,IF($M1134&gt;PARAMETRES!$F$34,4,IF($M1134&gt;PARAMETRES!$E$34,3,IF($M1134&gt;PARAMETRES!$D$34,2,1)))))</f>
        <v/>
      </c>
      <c r="V1134" t="str">
        <f>IF($N1134="","",IF($N1134&gt;PARAMETRES!$G$35,5,IF($N1134&gt;PARAMETRES!$F$35,4,IF($N1134&gt;PARAMETRES!$E$35,3,IF($N1134&gt;PARAMETRES!$D$35,2,1)))))</f>
        <v/>
      </c>
      <c r="W1134" t="str">
        <f>IF($O1134="","",IF($O1134&gt;PARAMETRES!$G$36,5,IF($O1134&gt;PARAMETRES!$F$36,4,IF($O1134&gt;PARAMETRES!$E$36,3,IF($O1134&gt;PARAMETRES!$D$36,2,1)))))</f>
        <v/>
      </c>
      <c r="X1134" t="str">
        <f>IF($P1134="","",IF($P1134&gt;PARAMETRES!$G$37,5,IF($P1134&gt;PARAMETRES!$F$37,4,IF($P1134&gt;PARAMETRES!$E$37,3,IF($P1134&gt;PARAMETRES!$D$37,2,1)))))</f>
        <v/>
      </c>
      <c r="Y1134" t="str">
        <f t="shared" si="408"/>
        <v/>
      </c>
      <c r="Z1134" t="str">
        <f>IFERROR(VLOOKUP($B1134,TABLE_CYCLE,2,0),"")</f>
        <v/>
      </c>
      <c r="AA1134" t="str">
        <f t="shared" si="409"/>
        <v/>
      </c>
      <c r="AB1134" t="str">
        <f>IF($D1134="","",IF(COUNTIF($D$2:$D1134,$D1134)=1,$D1134,""))</f>
        <v/>
      </c>
      <c r="AC1134">
        <f t="shared" si="410"/>
        <v>0</v>
      </c>
      <c r="AD1134" t="str">
        <f t="shared" si="411"/>
        <v>|0</v>
      </c>
      <c r="AE1134" t="str">
        <f t="shared" si="412"/>
        <v/>
      </c>
      <c r="AF1134" t="str">
        <f t="shared" si="413"/>
        <v/>
      </c>
      <c r="AG1134" t="str">
        <f t="shared" si="414"/>
        <v/>
      </c>
      <c r="AH1134" t="str">
        <f t="shared" si="415"/>
        <v/>
      </c>
      <c r="AI1134" t="str">
        <f t="shared" si="416"/>
        <v/>
      </c>
      <c r="AJ1134" t="str">
        <f t="shared" si="417"/>
        <v/>
      </c>
      <c r="AK1134" t="str">
        <f t="shared" si="418"/>
        <v/>
      </c>
      <c r="AL1134" t="str">
        <f t="shared" si="419"/>
        <v/>
      </c>
      <c r="AM1134" t="str">
        <f t="shared" si="420"/>
        <v/>
      </c>
      <c r="AN1134" t="str">
        <f t="shared" si="421"/>
        <v/>
      </c>
      <c r="AO1134" t="str">
        <f t="shared" si="422"/>
        <v/>
      </c>
      <c r="AP1134">
        <f t="shared" si="423"/>
        <v>1</v>
      </c>
      <c r="AQ1134" t="str">
        <f>IF(SAISIE!$F1139="","",SAISIE!$Y1139)</f>
        <v/>
      </c>
      <c r="AR1134" t="str">
        <f>IF(OR(SAISIE!$U$4="",SAISIE!$W$4=""),"",IF(AND($A1134=SAISIE!$U$4,$B1134=SAISIE!$W$4,$C1134="S1"),COUNTIFS($A$2:$A1134,SAISIE!$U$4,$B$2:$B1134,SAISIE!$W$4,$C$2:$C1134,"S1"),""))</f>
        <v/>
      </c>
      <c r="AS1134" t="str">
        <f t="shared" si="424"/>
        <v/>
      </c>
      <c r="AT1134" t="str">
        <f t="shared" si="425"/>
        <v/>
      </c>
      <c r="AU1134" t="str">
        <f t="shared" si="426"/>
        <v/>
      </c>
      <c r="AV1134">
        <f>N(AV1133)+IF(AND($AB1134&lt;&gt;"",OR('PROFIL ELEVE'!$K$4="(Tous)",$AF1134='PROFIL ELEVE'!$K$4)),1,0)</f>
        <v>0</v>
      </c>
      <c r="AW1134">
        <f>N(AW1133)+IF(AND($AB1134&lt;&gt;"",OR('SUIVI LONGITUDINAL'!$Q$4="(Tous)",$AF1134='SUIVI LONGITUDINAL'!$Q$4)),1,0)</f>
        <v>0</v>
      </c>
      <c r="AX1134">
        <f t="shared" si="427"/>
        <v>0</v>
      </c>
      <c r="AY1134">
        <f t="shared" si="428"/>
        <v>0</v>
      </c>
      <c r="AZ1134">
        <f t="shared" si="429"/>
        <v>0</v>
      </c>
      <c r="BA1134" t="str">
        <f t="shared" si="430"/>
        <v/>
      </c>
      <c r="BB1134" t="str">
        <f t="shared" si="431"/>
        <v/>
      </c>
    </row>
    <row r="1135" spans="1:54" ht="14.25" customHeight="1" x14ac:dyDescent="0.3">
      <c r="A1135" t="str">
        <f>IF(SAISIE!$F1140="","",SAISIE!$B1140)</f>
        <v/>
      </c>
      <c r="B1135" t="str">
        <f>IF(SAISIE!$F1140="","",SAISIE!$C1140)</f>
        <v/>
      </c>
      <c r="C1135" t="str">
        <f>IF(SAISIE!$F1140="","",SAISIE!$D1140)</f>
        <v/>
      </c>
      <c r="D1135" t="str">
        <f>IF(SAISIE!$E1140="","",SAISIE!$E1140)</f>
        <v/>
      </c>
      <c r="E1135" t="str">
        <f>IF(SAISIE!$F1140="","",SAISIE!$F1140)</f>
        <v/>
      </c>
      <c r="F1135" t="str">
        <f>IF(SAISIE!$G1140="","",SAISIE!$G1140)</f>
        <v/>
      </c>
      <c r="G1135" t="str">
        <f>IF(SAISIE!$H1140="","",SAISIE!$H1140)</f>
        <v/>
      </c>
      <c r="H1135" t="str">
        <f>IF(SAISIE!$I1140="","",SAISIE!$I1140)</f>
        <v/>
      </c>
      <c r="I1135" t="str">
        <f>IF(SAISIE!$J1140="","",SAISIE!$J1140)</f>
        <v/>
      </c>
      <c r="J1135" t="str">
        <f>IF(SAISIE!$K1140="","",SAISIE!$K1140)</f>
        <v/>
      </c>
      <c r="K1135" t="str">
        <f>IF(SAISIE!$L1140="","",SAISIE!$L1140)</f>
        <v/>
      </c>
      <c r="L1135" t="str">
        <f>IF(SAISIE!$M1140="","",SAISIE!$M1140)</f>
        <v/>
      </c>
      <c r="M1135" t="str">
        <f>IF(SAISIE!$N1140="","",SAISIE!$N1140)</f>
        <v/>
      </c>
      <c r="N1135" t="str">
        <f>IF(SAISIE!$O1140="","",SAISIE!$O1140)</f>
        <v/>
      </c>
      <c r="O1135" t="str">
        <f>IF(SAISIE!$P1140="","",SAISIE!$P1140)</f>
        <v/>
      </c>
      <c r="P1135" t="str">
        <f>IF(SAISIE!$Q1140="","",SAISIE!$Q1140)</f>
        <v/>
      </c>
      <c r="Q1135" t="str">
        <f>IF($I1135="","",IF($I1135&gt;PARAMETRES!$G$29,5,IF($I1135&gt;PARAMETRES!$F$29,4,IF($I1135&gt;PARAMETRES!$E$29,3,IF($I1135&gt;PARAMETRES!$D$29,2,1)))))</f>
        <v/>
      </c>
      <c r="R1135" t="str">
        <f>IF($J1135="","",IF($J1135&gt;PARAMETRES!$G$30,5,IF($J1135&gt;PARAMETRES!$F$30,4,IF($J1135&gt;PARAMETRES!$E$30,3,IF($J1135&gt;PARAMETRES!$D$30,2,1)))))</f>
        <v/>
      </c>
      <c r="S1135" t="str">
        <f>IF($K1135="","",IF($Z1135=2,IF($K1135&gt;PARAMETRES!$G$31,5,IF($K1135&gt;PARAMETRES!$F$31,4,IF($K1135&gt;PARAMETRES!$E$31,3,IF($K1135&gt;PARAMETRES!$D$31,2,1)))),IF($K1135&gt;PARAMETRES!$G$32,5,IF($K1135&gt;PARAMETRES!$F$32,4,IF($K1135&gt;PARAMETRES!$E$32,3,IF($K1135&gt;PARAMETRES!$D$32,2,1))))))</f>
        <v/>
      </c>
      <c r="T1135" t="str">
        <f>IF($L1135="","",IF($L1135&gt;PARAMETRES!$G$33,5,IF($L1135&gt;PARAMETRES!$F$33,4,IF($L1135&gt;PARAMETRES!$E$33,3,IF($L1135&gt;PARAMETRES!$D$33,2,1)))))</f>
        <v/>
      </c>
      <c r="U1135" t="str">
        <f>IF($M1135="","",IF($M1135&gt;PARAMETRES!$G$34,5,IF($M1135&gt;PARAMETRES!$F$34,4,IF($M1135&gt;PARAMETRES!$E$34,3,IF($M1135&gt;PARAMETRES!$D$34,2,1)))))</f>
        <v/>
      </c>
      <c r="V1135" t="str">
        <f>IF($N1135="","",IF($N1135&gt;PARAMETRES!$G$35,5,IF($N1135&gt;PARAMETRES!$F$35,4,IF($N1135&gt;PARAMETRES!$E$35,3,IF($N1135&gt;PARAMETRES!$D$35,2,1)))))</f>
        <v/>
      </c>
      <c r="W1135" t="str">
        <f>IF($O1135="","",IF($O1135&gt;PARAMETRES!$G$36,5,IF($O1135&gt;PARAMETRES!$F$36,4,IF($O1135&gt;PARAMETRES!$E$36,3,IF($O1135&gt;PARAMETRES!$D$36,2,1)))))</f>
        <v/>
      </c>
      <c r="X1135" t="str">
        <f>IF($P1135="","",IF($P1135&gt;PARAMETRES!$G$37,5,IF($P1135&gt;PARAMETRES!$F$37,4,IF($P1135&gt;PARAMETRES!$E$37,3,IF($P1135&gt;PARAMETRES!$D$37,2,1)))))</f>
        <v/>
      </c>
      <c r="Y1135" t="str">
        <f t="shared" si="408"/>
        <v/>
      </c>
      <c r="Z1135" t="str">
        <f>IFERROR(VLOOKUP($B1135,TABLE_CYCLE,2,0),"")</f>
        <v/>
      </c>
      <c r="AA1135" t="str">
        <f t="shared" si="409"/>
        <v/>
      </c>
      <c r="AB1135" t="str">
        <f>IF($D1135="","",IF(COUNTIF($D$2:$D1135,$D1135)=1,$D1135,""))</f>
        <v/>
      </c>
      <c r="AC1135">
        <f t="shared" si="410"/>
        <v>0</v>
      </c>
      <c r="AD1135" t="str">
        <f t="shared" si="411"/>
        <v>|0</v>
      </c>
      <c r="AE1135" t="str">
        <f t="shared" si="412"/>
        <v/>
      </c>
      <c r="AF1135" t="str">
        <f t="shared" si="413"/>
        <v/>
      </c>
      <c r="AG1135" t="str">
        <f t="shared" si="414"/>
        <v/>
      </c>
      <c r="AH1135" t="str">
        <f t="shared" si="415"/>
        <v/>
      </c>
      <c r="AI1135" t="str">
        <f t="shared" si="416"/>
        <v/>
      </c>
      <c r="AJ1135" t="str">
        <f t="shared" si="417"/>
        <v/>
      </c>
      <c r="AK1135" t="str">
        <f t="shared" si="418"/>
        <v/>
      </c>
      <c r="AL1135" t="str">
        <f t="shared" si="419"/>
        <v/>
      </c>
      <c r="AM1135" t="str">
        <f t="shared" si="420"/>
        <v/>
      </c>
      <c r="AN1135" t="str">
        <f t="shared" si="421"/>
        <v/>
      </c>
      <c r="AO1135" t="str">
        <f t="shared" si="422"/>
        <v/>
      </c>
      <c r="AP1135">
        <f t="shared" si="423"/>
        <v>1</v>
      </c>
      <c r="AQ1135" t="str">
        <f>IF(SAISIE!$F1140="","",SAISIE!$Y1140)</f>
        <v/>
      </c>
      <c r="AR1135" t="str">
        <f>IF(OR(SAISIE!$U$4="",SAISIE!$W$4=""),"",IF(AND($A1135=SAISIE!$U$4,$B1135=SAISIE!$W$4,$C1135="S1"),COUNTIFS($A$2:$A1135,SAISIE!$U$4,$B$2:$B1135,SAISIE!$W$4,$C$2:$C1135,"S1"),""))</f>
        <v/>
      </c>
      <c r="AS1135" t="str">
        <f t="shared" si="424"/>
        <v/>
      </c>
      <c r="AT1135" t="str">
        <f t="shared" si="425"/>
        <v/>
      </c>
      <c r="AU1135" t="str">
        <f t="shared" si="426"/>
        <v/>
      </c>
      <c r="AV1135">
        <f>N(AV1134)+IF(AND($AB1135&lt;&gt;"",OR('PROFIL ELEVE'!$K$4="(Tous)",$AF1135='PROFIL ELEVE'!$K$4)),1,0)</f>
        <v>0</v>
      </c>
      <c r="AW1135">
        <f>N(AW1134)+IF(AND($AB1135&lt;&gt;"",OR('SUIVI LONGITUDINAL'!$Q$4="(Tous)",$AF1135='SUIVI LONGITUDINAL'!$Q$4)),1,0)</f>
        <v>0</v>
      </c>
      <c r="AX1135">
        <f t="shared" si="427"/>
        <v>0</v>
      </c>
      <c r="AY1135">
        <f t="shared" si="428"/>
        <v>0</v>
      </c>
      <c r="AZ1135">
        <f t="shared" si="429"/>
        <v>0</v>
      </c>
      <c r="BA1135" t="str">
        <f t="shared" si="430"/>
        <v/>
      </c>
      <c r="BB1135" t="str">
        <f t="shared" si="431"/>
        <v/>
      </c>
    </row>
    <row r="1136" spans="1:54" ht="14.25" customHeight="1" x14ac:dyDescent="0.3">
      <c r="A1136" t="str">
        <f>IF(SAISIE!$F1141="","",SAISIE!$B1141)</f>
        <v/>
      </c>
      <c r="B1136" t="str">
        <f>IF(SAISIE!$F1141="","",SAISIE!$C1141)</f>
        <v/>
      </c>
      <c r="C1136" t="str">
        <f>IF(SAISIE!$F1141="","",SAISIE!$D1141)</f>
        <v/>
      </c>
      <c r="D1136" t="str">
        <f>IF(SAISIE!$E1141="","",SAISIE!$E1141)</f>
        <v/>
      </c>
      <c r="E1136" t="str">
        <f>IF(SAISIE!$F1141="","",SAISIE!$F1141)</f>
        <v/>
      </c>
      <c r="F1136" t="str">
        <f>IF(SAISIE!$G1141="","",SAISIE!$G1141)</f>
        <v/>
      </c>
      <c r="G1136" t="str">
        <f>IF(SAISIE!$H1141="","",SAISIE!$H1141)</f>
        <v/>
      </c>
      <c r="H1136" t="str">
        <f>IF(SAISIE!$I1141="","",SAISIE!$I1141)</f>
        <v/>
      </c>
      <c r="I1136" t="str">
        <f>IF(SAISIE!$J1141="","",SAISIE!$J1141)</f>
        <v/>
      </c>
      <c r="J1136" t="str">
        <f>IF(SAISIE!$K1141="","",SAISIE!$K1141)</f>
        <v/>
      </c>
      <c r="K1136" t="str">
        <f>IF(SAISIE!$L1141="","",SAISIE!$L1141)</f>
        <v/>
      </c>
      <c r="L1136" t="str">
        <f>IF(SAISIE!$M1141="","",SAISIE!$M1141)</f>
        <v/>
      </c>
      <c r="M1136" t="str">
        <f>IF(SAISIE!$N1141="","",SAISIE!$N1141)</f>
        <v/>
      </c>
      <c r="N1136" t="str">
        <f>IF(SAISIE!$O1141="","",SAISIE!$O1141)</f>
        <v/>
      </c>
      <c r="O1136" t="str">
        <f>IF(SAISIE!$P1141="","",SAISIE!$P1141)</f>
        <v/>
      </c>
      <c r="P1136" t="str">
        <f>IF(SAISIE!$Q1141="","",SAISIE!$Q1141)</f>
        <v/>
      </c>
      <c r="Q1136" t="str">
        <f>IF($I1136="","",IF($I1136&gt;PARAMETRES!$G$29,5,IF($I1136&gt;PARAMETRES!$F$29,4,IF($I1136&gt;PARAMETRES!$E$29,3,IF($I1136&gt;PARAMETRES!$D$29,2,1)))))</f>
        <v/>
      </c>
      <c r="R1136" t="str">
        <f>IF($J1136="","",IF($J1136&gt;PARAMETRES!$G$30,5,IF($J1136&gt;PARAMETRES!$F$30,4,IF($J1136&gt;PARAMETRES!$E$30,3,IF($J1136&gt;PARAMETRES!$D$30,2,1)))))</f>
        <v/>
      </c>
      <c r="S1136" t="str">
        <f>IF($K1136="","",IF($Z1136=2,IF($K1136&gt;PARAMETRES!$G$31,5,IF($K1136&gt;PARAMETRES!$F$31,4,IF($K1136&gt;PARAMETRES!$E$31,3,IF($K1136&gt;PARAMETRES!$D$31,2,1)))),IF($K1136&gt;PARAMETRES!$G$32,5,IF($K1136&gt;PARAMETRES!$F$32,4,IF($K1136&gt;PARAMETRES!$E$32,3,IF($K1136&gt;PARAMETRES!$D$32,2,1))))))</f>
        <v/>
      </c>
      <c r="T1136" t="str">
        <f>IF($L1136="","",IF($L1136&gt;PARAMETRES!$G$33,5,IF($L1136&gt;PARAMETRES!$F$33,4,IF($L1136&gt;PARAMETRES!$E$33,3,IF($L1136&gt;PARAMETRES!$D$33,2,1)))))</f>
        <v/>
      </c>
      <c r="U1136" t="str">
        <f>IF($M1136="","",IF($M1136&gt;PARAMETRES!$G$34,5,IF($M1136&gt;PARAMETRES!$F$34,4,IF($M1136&gt;PARAMETRES!$E$34,3,IF($M1136&gt;PARAMETRES!$D$34,2,1)))))</f>
        <v/>
      </c>
      <c r="V1136" t="str">
        <f>IF($N1136="","",IF($N1136&gt;PARAMETRES!$G$35,5,IF($N1136&gt;PARAMETRES!$F$35,4,IF($N1136&gt;PARAMETRES!$E$35,3,IF($N1136&gt;PARAMETRES!$D$35,2,1)))))</f>
        <v/>
      </c>
      <c r="W1136" t="str">
        <f>IF($O1136="","",IF($O1136&gt;PARAMETRES!$G$36,5,IF($O1136&gt;PARAMETRES!$F$36,4,IF($O1136&gt;PARAMETRES!$E$36,3,IF($O1136&gt;PARAMETRES!$D$36,2,1)))))</f>
        <v/>
      </c>
      <c r="X1136" t="str">
        <f>IF($P1136="","",IF($P1136&gt;PARAMETRES!$G$37,5,IF($P1136&gt;PARAMETRES!$F$37,4,IF($P1136&gt;PARAMETRES!$E$37,3,IF($P1136&gt;PARAMETRES!$D$37,2,1)))))</f>
        <v/>
      </c>
      <c r="Y1136" t="str">
        <f t="shared" si="408"/>
        <v/>
      </c>
      <c r="Z1136" t="str">
        <f>IFERROR(VLOOKUP($B1136,TABLE_CYCLE,2,0),"")</f>
        <v/>
      </c>
      <c r="AA1136" t="str">
        <f t="shared" si="409"/>
        <v/>
      </c>
      <c r="AB1136" t="str">
        <f>IF($D1136="","",IF(COUNTIF($D$2:$D1136,$D1136)=1,$D1136,""))</f>
        <v/>
      </c>
      <c r="AC1136">
        <f t="shared" si="410"/>
        <v>0</v>
      </c>
      <c r="AD1136" t="str">
        <f t="shared" si="411"/>
        <v>|0</v>
      </c>
      <c r="AE1136" t="str">
        <f t="shared" si="412"/>
        <v/>
      </c>
      <c r="AF1136" t="str">
        <f t="shared" si="413"/>
        <v/>
      </c>
      <c r="AG1136" t="str">
        <f t="shared" si="414"/>
        <v/>
      </c>
      <c r="AH1136" t="str">
        <f t="shared" si="415"/>
        <v/>
      </c>
      <c r="AI1136" t="str">
        <f t="shared" si="416"/>
        <v/>
      </c>
      <c r="AJ1136" t="str">
        <f t="shared" si="417"/>
        <v/>
      </c>
      <c r="AK1136" t="str">
        <f t="shared" si="418"/>
        <v/>
      </c>
      <c r="AL1136" t="str">
        <f t="shared" si="419"/>
        <v/>
      </c>
      <c r="AM1136" t="str">
        <f t="shared" si="420"/>
        <v/>
      </c>
      <c r="AN1136" t="str">
        <f t="shared" si="421"/>
        <v/>
      </c>
      <c r="AO1136" t="str">
        <f t="shared" si="422"/>
        <v/>
      </c>
      <c r="AP1136">
        <f t="shared" si="423"/>
        <v>1</v>
      </c>
      <c r="AQ1136" t="str">
        <f>IF(SAISIE!$F1141="","",SAISIE!$Y1141)</f>
        <v/>
      </c>
      <c r="AR1136" t="str">
        <f>IF(OR(SAISIE!$U$4="",SAISIE!$W$4=""),"",IF(AND($A1136=SAISIE!$U$4,$B1136=SAISIE!$W$4,$C1136="S1"),COUNTIFS($A$2:$A1136,SAISIE!$U$4,$B$2:$B1136,SAISIE!$W$4,$C$2:$C1136,"S1"),""))</f>
        <v/>
      </c>
      <c r="AS1136" t="str">
        <f t="shared" si="424"/>
        <v/>
      </c>
      <c r="AT1136" t="str">
        <f t="shared" si="425"/>
        <v/>
      </c>
      <c r="AU1136" t="str">
        <f t="shared" si="426"/>
        <v/>
      </c>
      <c r="AV1136">
        <f>N(AV1135)+IF(AND($AB1136&lt;&gt;"",OR('PROFIL ELEVE'!$K$4="(Tous)",$AF1136='PROFIL ELEVE'!$K$4)),1,0)</f>
        <v>0</v>
      </c>
      <c r="AW1136">
        <f>N(AW1135)+IF(AND($AB1136&lt;&gt;"",OR('SUIVI LONGITUDINAL'!$Q$4="(Tous)",$AF1136='SUIVI LONGITUDINAL'!$Q$4)),1,0)</f>
        <v>0</v>
      </c>
      <c r="AX1136">
        <f t="shared" si="427"/>
        <v>0</v>
      </c>
      <c r="AY1136">
        <f t="shared" si="428"/>
        <v>0</v>
      </c>
      <c r="AZ1136">
        <f t="shared" si="429"/>
        <v>0</v>
      </c>
      <c r="BA1136" t="str">
        <f t="shared" si="430"/>
        <v/>
      </c>
      <c r="BB1136" t="str">
        <f t="shared" si="431"/>
        <v/>
      </c>
    </row>
    <row r="1137" spans="1:54" ht="14.25" customHeight="1" x14ac:dyDescent="0.3">
      <c r="A1137" t="str">
        <f>IF(SAISIE!$F1142="","",SAISIE!$B1142)</f>
        <v/>
      </c>
      <c r="B1137" t="str">
        <f>IF(SAISIE!$F1142="","",SAISIE!$C1142)</f>
        <v/>
      </c>
      <c r="C1137" t="str">
        <f>IF(SAISIE!$F1142="","",SAISIE!$D1142)</f>
        <v/>
      </c>
      <c r="D1137" t="str">
        <f>IF(SAISIE!$E1142="","",SAISIE!$E1142)</f>
        <v/>
      </c>
      <c r="E1137" t="str">
        <f>IF(SAISIE!$F1142="","",SAISIE!$F1142)</f>
        <v/>
      </c>
      <c r="F1137" t="str">
        <f>IF(SAISIE!$G1142="","",SAISIE!$G1142)</f>
        <v/>
      </c>
      <c r="G1137" t="str">
        <f>IF(SAISIE!$H1142="","",SAISIE!$H1142)</f>
        <v/>
      </c>
      <c r="H1137" t="str">
        <f>IF(SAISIE!$I1142="","",SAISIE!$I1142)</f>
        <v/>
      </c>
      <c r="I1137" t="str">
        <f>IF(SAISIE!$J1142="","",SAISIE!$J1142)</f>
        <v/>
      </c>
      <c r="J1137" t="str">
        <f>IF(SAISIE!$K1142="","",SAISIE!$K1142)</f>
        <v/>
      </c>
      <c r="K1137" t="str">
        <f>IF(SAISIE!$L1142="","",SAISIE!$L1142)</f>
        <v/>
      </c>
      <c r="L1137" t="str">
        <f>IF(SAISIE!$M1142="","",SAISIE!$M1142)</f>
        <v/>
      </c>
      <c r="M1137" t="str">
        <f>IF(SAISIE!$N1142="","",SAISIE!$N1142)</f>
        <v/>
      </c>
      <c r="N1137" t="str">
        <f>IF(SAISIE!$O1142="","",SAISIE!$O1142)</f>
        <v/>
      </c>
      <c r="O1137" t="str">
        <f>IF(SAISIE!$P1142="","",SAISIE!$P1142)</f>
        <v/>
      </c>
      <c r="P1137" t="str">
        <f>IF(SAISIE!$Q1142="","",SAISIE!$Q1142)</f>
        <v/>
      </c>
      <c r="Q1137" t="str">
        <f>IF($I1137="","",IF($I1137&gt;PARAMETRES!$G$29,5,IF($I1137&gt;PARAMETRES!$F$29,4,IF($I1137&gt;PARAMETRES!$E$29,3,IF($I1137&gt;PARAMETRES!$D$29,2,1)))))</f>
        <v/>
      </c>
      <c r="R1137" t="str">
        <f>IF($J1137="","",IF($J1137&gt;PARAMETRES!$G$30,5,IF($J1137&gt;PARAMETRES!$F$30,4,IF($J1137&gt;PARAMETRES!$E$30,3,IF($J1137&gt;PARAMETRES!$D$30,2,1)))))</f>
        <v/>
      </c>
      <c r="S1137" t="str">
        <f>IF($K1137="","",IF($Z1137=2,IF($K1137&gt;PARAMETRES!$G$31,5,IF($K1137&gt;PARAMETRES!$F$31,4,IF($K1137&gt;PARAMETRES!$E$31,3,IF($K1137&gt;PARAMETRES!$D$31,2,1)))),IF($K1137&gt;PARAMETRES!$G$32,5,IF($K1137&gt;PARAMETRES!$F$32,4,IF($K1137&gt;PARAMETRES!$E$32,3,IF($K1137&gt;PARAMETRES!$D$32,2,1))))))</f>
        <v/>
      </c>
      <c r="T1137" t="str">
        <f>IF($L1137="","",IF($L1137&gt;PARAMETRES!$G$33,5,IF($L1137&gt;PARAMETRES!$F$33,4,IF($L1137&gt;PARAMETRES!$E$33,3,IF($L1137&gt;PARAMETRES!$D$33,2,1)))))</f>
        <v/>
      </c>
      <c r="U1137" t="str">
        <f>IF($M1137="","",IF($M1137&gt;PARAMETRES!$G$34,5,IF($M1137&gt;PARAMETRES!$F$34,4,IF($M1137&gt;PARAMETRES!$E$34,3,IF($M1137&gt;PARAMETRES!$D$34,2,1)))))</f>
        <v/>
      </c>
      <c r="V1137" t="str">
        <f>IF($N1137="","",IF($N1137&gt;PARAMETRES!$G$35,5,IF($N1137&gt;PARAMETRES!$F$35,4,IF($N1137&gt;PARAMETRES!$E$35,3,IF($N1137&gt;PARAMETRES!$D$35,2,1)))))</f>
        <v/>
      </c>
      <c r="W1137" t="str">
        <f>IF($O1137="","",IF($O1137&gt;PARAMETRES!$G$36,5,IF($O1137&gt;PARAMETRES!$F$36,4,IF($O1137&gt;PARAMETRES!$E$36,3,IF($O1137&gt;PARAMETRES!$D$36,2,1)))))</f>
        <v/>
      </c>
      <c r="X1137" t="str">
        <f>IF($P1137="","",IF($P1137&gt;PARAMETRES!$G$37,5,IF($P1137&gt;PARAMETRES!$F$37,4,IF($P1137&gt;PARAMETRES!$E$37,3,IF($P1137&gt;PARAMETRES!$D$37,2,1)))))</f>
        <v/>
      </c>
      <c r="Y1137" t="str">
        <f t="shared" si="408"/>
        <v/>
      </c>
      <c r="Z1137" t="str">
        <f>IFERROR(VLOOKUP($B1137,TABLE_CYCLE,2,0),"")</f>
        <v/>
      </c>
      <c r="AA1137" t="str">
        <f t="shared" si="409"/>
        <v/>
      </c>
      <c r="AB1137" t="str">
        <f>IF($D1137="","",IF(COUNTIF($D$2:$D1137,$D1137)=1,$D1137,""))</f>
        <v/>
      </c>
      <c r="AC1137">
        <f t="shared" si="410"/>
        <v>0</v>
      </c>
      <c r="AD1137" t="str">
        <f t="shared" si="411"/>
        <v>|0</v>
      </c>
      <c r="AE1137" t="str">
        <f t="shared" si="412"/>
        <v/>
      </c>
      <c r="AF1137" t="str">
        <f t="shared" si="413"/>
        <v/>
      </c>
      <c r="AG1137" t="str">
        <f t="shared" si="414"/>
        <v/>
      </c>
      <c r="AH1137" t="str">
        <f t="shared" si="415"/>
        <v/>
      </c>
      <c r="AI1137" t="str">
        <f t="shared" si="416"/>
        <v/>
      </c>
      <c r="AJ1137" t="str">
        <f t="shared" si="417"/>
        <v/>
      </c>
      <c r="AK1137" t="str">
        <f t="shared" si="418"/>
        <v/>
      </c>
      <c r="AL1137" t="str">
        <f t="shared" si="419"/>
        <v/>
      </c>
      <c r="AM1137" t="str">
        <f t="shared" si="420"/>
        <v/>
      </c>
      <c r="AN1137" t="str">
        <f t="shared" si="421"/>
        <v/>
      </c>
      <c r="AO1137" t="str">
        <f t="shared" si="422"/>
        <v/>
      </c>
      <c r="AP1137">
        <f t="shared" si="423"/>
        <v>1</v>
      </c>
      <c r="AQ1137" t="str">
        <f>IF(SAISIE!$F1142="","",SAISIE!$Y1142)</f>
        <v/>
      </c>
      <c r="AR1137" t="str">
        <f>IF(OR(SAISIE!$U$4="",SAISIE!$W$4=""),"",IF(AND($A1137=SAISIE!$U$4,$B1137=SAISIE!$W$4,$C1137="S1"),COUNTIFS($A$2:$A1137,SAISIE!$U$4,$B$2:$B1137,SAISIE!$W$4,$C$2:$C1137,"S1"),""))</f>
        <v/>
      </c>
      <c r="AS1137" t="str">
        <f t="shared" si="424"/>
        <v/>
      </c>
      <c r="AT1137" t="str">
        <f t="shared" si="425"/>
        <v/>
      </c>
      <c r="AU1137" t="str">
        <f t="shared" si="426"/>
        <v/>
      </c>
      <c r="AV1137">
        <f>N(AV1136)+IF(AND($AB1137&lt;&gt;"",OR('PROFIL ELEVE'!$K$4="(Tous)",$AF1137='PROFIL ELEVE'!$K$4)),1,0)</f>
        <v>0</v>
      </c>
      <c r="AW1137">
        <f>N(AW1136)+IF(AND($AB1137&lt;&gt;"",OR('SUIVI LONGITUDINAL'!$Q$4="(Tous)",$AF1137='SUIVI LONGITUDINAL'!$Q$4)),1,0)</f>
        <v>0</v>
      </c>
      <c r="AX1137">
        <f t="shared" si="427"/>
        <v>0</v>
      </c>
      <c r="AY1137">
        <f t="shared" si="428"/>
        <v>0</v>
      </c>
      <c r="AZ1137">
        <f t="shared" si="429"/>
        <v>0</v>
      </c>
      <c r="BA1137" t="str">
        <f t="shared" si="430"/>
        <v/>
      </c>
      <c r="BB1137" t="str">
        <f t="shared" si="431"/>
        <v/>
      </c>
    </row>
    <row r="1138" spans="1:54" ht="14.25" customHeight="1" x14ac:dyDescent="0.3">
      <c r="A1138" t="str">
        <f>IF(SAISIE!$F1143="","",SAISIE!$B1143)</f>
        <v/>
      </c>
      <c r="B1138" t="str">
        <f>IF(SAISIE!$F1143="","",SAISIE!$C1143)</f>
        <v/>
      </c>
      <c r="C1138" t="str">
        <f>IF(SAISIE!$F1143="","",SAISIE!$D1143)</f>
        <v/>
      </c>
      <c r="D1138" t="str">
        <f>IF(SAISIE!$E1143="","",SAISIE!$E1143)</f>
        <v/>
      </c>
      <c r="E1138" t="str">
        <f>IF(SAISIE!$F1143="","",SAISIE!$F1143)</f>
        <v/>
      </c>
      <c r="F1138" t="str">
        <f>IF(SAISIE!$G1143="","",SAISIE!$G1143)</f>
        <v/>
      </c>
      <c r="G1138" t="str">
        <f>IF(SAISIE!$H1143="","",SAISIE!$H1143)</f>
        <v/>
      </c>
      <c r="H1138" t="str">
        <f>IF(SAISIE!$I1143="","",SAISIE!$I1143)</f>
        <v/>
      </c>
      <c r="I1138" t="str">
        <f>IF(SAISIE!$J1143="","",SAISIE!$J1143)</f>
        <v/>
      </c>
      <c r="J1138" t="str">
        <f>IF(SAISIE!$K1143="","",SAISIE!$K1143)</f>
        <v/>
      </c>
      <c r="K1138" t="str">
        <f>IF(SAISIE!$L1143="","",SAISIE!$L1143)</f>
        <v/>
      </c>
      <c r="L1138" t="str">
        <f>IF(SAISIE!$M1143="","",SAISIE!$M1143)</f>
        <v/>
      </c>
      <c r="M1138" t="str">
        <f>IF(SAISIE!$N1143="","",SAISIE!$N1143)</f>
        <v/>
      </c>
      <c r="N1138" t="str">
        <f>IF(SAISIE!$O1143="","",SAISIE!$O1143)</f>
        <v/>
      </c>
      <c r="O1138" t="str">
        <f>IF(SAISIE!$P1143="","",SAISIE!$P1143)</f>
        <v/>
      </c>
      <c r="P1138" t="str">
        <f>IF(SAISIE!$Q1143="","",SAISIE!$Q1143)</f>
        <v/>
      </c>
      <c r="Q1138" t="str">
        <f>IF($I1138="","",IF($I1138&gt;PARAMETRES!$G$29,5,IF($I1138&gt;PARAMETRES!$F$29,4,IF($I1138&gt;PARAMETRES!$E$29,3,IF($I1138&gt;PARAMETRES!$D$29,2,1)))))</f>
        <v/>
      </c>
      <c r="R1138" t="str">
        <f>IF($J1138="","",IF($J1138&gt;PARAMETRES!$G$30,5,IF($J1138&gt;PARAMETRES!$F$30,4,IF($J1138&gt;PARAMETRES!$E$30,3,IF($J1138&gt;PARAMETRES!$D$30,2,1)))))</f>
        <v/>
      </c>
      <c r="S1138" t="str">
        <f>IF($K1138="","",IF($Z1138=2,IF($K1138&gt;PARAMETRES!$G$31,5,IF($K1138&gt;PARAMETRES!$F$31,4,IF($K1138&gt;PARAMETRES!$E$31,3,IF($K1138&gt;PARAMETRES!$D$31,2,1)))),IF($K1138&gt;PARAMETRES!$G$32,5,IF($K1138&gt;PARAMETRES!$F$32,4,IF($K1138&gt;PARAMETRES!$E$32,3,IF($K1138&gt;PARAMETRES!$D$32,2,1))))))</f>
        <v/>
      </c>
      <c r="T1138" t="str">
        <f>IF($L1138="","",IF($L1138&gt;PARAMETRES!$G$33,5,IF($L1138&gt;PARAMETRES!$F$33,4,IF($L1138&gt;PARAMETRES!$E$33,3,IF($L1138&gt;PARAMETRES!$D$33,2,1)))))</f>
        <v/>
      </c>
      <c r="U1138" t="str">
        <f>IF($M1138="","",IF($M1138&gt;PARAMETRES!$G$34,5,IF($M1138&gt;PARAMETRES!$F$34,4,IF($M1138&gt;PARAMETRES!$E$34,3,IF($M1138&gt;PARAMETRES!$D$34,2,1)))))</f>
        <v/>
      </c>
      <c r="V1138" t="str">
        <f>IF($N1138="","",IF($N1138&gt;PARAMETRES!$G$35,5,IF($N1138&gt;PARAMETRES!$F$35,4,IF($N1138&gt;PARAMETRES!$E$35,3,IF($N1138&gt;PARAMETRES!$D$35,2,1)))))</f>
        <v/>
      </c>
      <c r="W1138" t="str">
        <f>IF($O1138="","",IF($O1138&gt;PARAMETRES!$G$36,5,IF($O1138&gt;PARAMETRES!$F$36,4,IF($O1138&gt;PARAMETRES!$E$36,3,IF($O1138&gt;PARAMETRES!$D$36,2,1)))))</f>
        <v/>
      </c>
      <c r="X1138" t="str">
        <f>IF($P1138="","",IF($P1138&gt;PARAMETRES!$G$37,5,IF($P1138&gt;PARAMETRES!$F$37,4,IF($P1138&gt;PARAMETRES!$E$37,3,IF($P1138&gt;PARAMETRES!$D$37,2,1)))))</f>
        <v/>
      </c>
      <c r="Y1138" t="str">
        <f t="shared" si="408"/>
        <v/>
      </c>
      <c r="Z1138" t="str">
        <f>IFERROR(VLOOKUP($B1138,TABLE_CYCLE,2,0),"")</f>
        <v/>
      </c>
      <c r="AA1138" t="str">
        <f t="shared" si="409"/>
        <v/>
      </c>
      <c r="AB1138" t="str">
        <f>IF($D1138="","",IF(COUNTIF($D$2:$D1138,$D1138)=1,$D1138,""))</f>
        <v/>
      </c>
      <c r="AC1138">
        <f t="shared" si="410"/>
        <v>0</v>
      </c>
      <c r="AD1138" t="str">
        <f t="shared" si="411"/>
        <v>|0</v>
      </c>
      <c r="AE1138" t="str">
        <f t="shared" si="412"/>
        <v/>
      </c>
      <c r="AF1138" t="str">
        <f t="shared" si="413"/>
        <v/>
      </c>
      <c r="AG1138" t="str">
        <f t="shared" si="414"/>
        <v/>
      </c>
      <c r="AH1138" t="str">
        <f t="shared" si="415"/>
        <v/>
      </c>
      <c r="AI1138" t="str">
        <f t="shared" si="416"/>
        <v/>
      </c>
      <c r="AJ1138" t="str">
        <f t="shared" si="417"/>
        <v/>
      </c>
      <c r="AK1138" t="str">
        <f t="shared" si="418"/>
        <v/>
      </c>
      <c r="AL1138" t="str">
        <f t="shared" si="419"/>
        <v/>
      </c>
      <c r="AM1138" t="str">
        <f t="shared" si="420"/>
        <v/>
      </c>
      <c r="AN1138" t="str">
        <f t="shared" si="421"/>
        <v/>
      </c>
      <c r="AO1138" t="str">
        <f t="shared" si="422"/>
        <v/>
      </c>
      <c r="AP1138">
        <f t="shared" si="423"/>
        <v>1</v>
      </c>
      <c r="AQ1138" t="str">
        <f>IF(SAISIE!$F1143="","",SAISIE!$Y1143)</f>
        <v/>
      </c>
      <c r="AR1138" t="str">
        <f>IF(OR(SAISIE!$U$4="",SAISIE!$W$4=""),"",IF(AND($A1138=SAISIE!$U$4,$B1138=SAISIE!$W$4,$C1138="S1"),COUNTIFS($A$2:$A1138,SAISIE!$U$4,$B$2:$B1138,SAISIE!$W$4,$C$2:$C1138,"S1"),""))</f>
        <v/>
      </c>
      <c r="AS1138" t="str">
        <f t="shared" si="424"/>
        <v/>
      </c>
      <c r="AT1138" t="str">
        <f t="shared" si="425"/>
        <v/>
      </c>
      <c r="AU1138" t="str">
        <f t="shared" si="426"/>
        <v/>
      </c>
      <c r="AV1138">
        <f>N(AV1137)+IF(AND($AB1138&lt;&gt;"",OR('PROFIL ELEVE'!$K$4="(Tous)",$AF1138='PROFIL ELEVE'!$K$4)),1,0)</f>
        <v>0</v>
      </c>
      <c r="AW1138">
        <f>N(AW1137)+IF(AND($AB1138&lt;&gt;"",OR('SUIVI LONGITUDINAL'!$Q$4="(Tous)",$AF1138='SUIVI LONGITUDINAL'!$Q$4)),1,0)</f>
        <v>0</v>
      </c>
      <c r="AX1138">
        <f t="shared" si="427"/>
        <v>0</v>
      </c>
      <c r="AY1138">
        <f t="shared" si="428"/>
        <v>0</v>
      </c>
      <c r="AZ1138">
        <f t="shared" si="429"/>
        <v>0</v>
      </c>
      <c r="BA1138" t="str">
        <f t="shared" si="430"/>
        <v/>
      </c>
      <c r="BB1138" t="str">
        <f t="shared" si="431"/>
        <v/>
      </c>
    </row>
    <row r="1139" spans="1:54" ht="14.25" customHeight="1" x14ac:dyDescent="0.3">
      <c r="A1139" t="str">
        <f>IF(SAISIE!$F1144="","",SAISIE!$B1144)</f>
        <v/>
      </c>
      <c r="B1139" t="str">
        <f>IF(SAISIE!$F1144="","",SAISIE!$C1144)</f>
        <v/>
      </c>
      <c r="C1139" t="str">
        <f>IF(SAISIE!$F1144="","",SAISIE!$D1144)</f>
        <v/>
      </c>
      <c r="D1139" t="str">
        <f>IF(SAISIE!$E1144="","",SAISIE!$E1144)</f>
        <v/>
      </c>
      <c r="E1139" t="str">
        <f>IF(SAISIE!$F1144="","",SAISIE!$F1144)</f>
        <v/>
      </c>
      <c r="F1139" t="str">
        <f>IF(SAISIE!$G1144="","",SAISIE!$G1144)</f>
        <v/>
      </c>
      <c r="G1139" t="str">
        <f>IF(SAISIE!$H1144="","",SAISIE!$H1144)</f>
        <v/>
      </c>
      <c r="H1139" t="str">
        <f>IF(SAISIE!$I1144="","",SAISIE!$I1144)</f>
        <v/>
      </c>
      <c r="I1139" t="str">
        <f>IF(SAISIE!$J1144="","",SAISIE!$J1144)</f>
        <v/>
      </c>
      <c r="J1139" t="str">
        <f>IF(SAISIE!$K1144="","",SAISIE!$K1144)</f>
        <v/>
      </c>
      <c r="K1139" t="str">
        <f>IF(SAISIE!$L1144="","",SAISIE!$L1144)</f>
        <v/>
      </c>
      <c r="L1139" t="str">
        <f>IF(SAISIE!$M1144="","",SAISIE!$M1144)</f>
        <v/>
      </c>
      <c r="M1139" t="str">
        <f>IF(SAISIE!$N1144="","",SAISIE!$N1144)</f>
        <v/>
      </c>
      <c r="N1139" t="str">
        <f>IF(SAISIE!$O1144="","",SAISIE!$O1144)</f>
        <v/>
      </c>
      <c r="O1139" t="str">
        <f>IF(SAISIE!$P1144="","",SAISIE!$P1144)</f>
        <v/>
      </c>
      <c r="P1139" t="str">
        <f>IF(SAISIE!$Q1144="","",SAISIE!$Q1144)</f>
        <v/>
      </c>
      <c r="Q1139" t="str">
        <f>IF($I1139="","",IF($I1139&gt;PARAMETRES!$G$29,5,IF($I1139&gt;PARAMETRES!$F$29,4,IF($I1139&gt;PARAMETRES!$E$29,3,IF($I1139&gt;PARAMETRES!$D$29,2,1)))))</f>
        <v/>
      </c>
      <c r="R1139" t="str">
        <f>IF($J1139="","",IF($J1139&gt;PARAMETRES!$G$30,5,IF($J1139&gt;PARAMETRES!$F$30,4,IF($J1139&gt;PARAMETRES!$E$30,3,IF($J1139&gt;PARAMETRES!$D$30,2,1)))))</f>
        <v/>
      </c>
      <c r="S1139" t="str">
        <f>IF($K1139="","",IF($Z1139=2,IF($K1139&gt;PARAMETRES!$G$31,5,IF($K1139&gt;PARAMETRES!$F$31,4,IF($K1139&gt;PARAMETRES!$E$31,3,IF($K1139&gt;PARAMETRES!$D$31,2,1)))),IF($K1139&gt;PARAMETRES!$G$32,5,IF($K1139&gt;PARAMETRES!$F$32,4,IF($K1139&gt;PARAMETRES!$E$32,3,IF($K1139&gt;PARAMETRES!$D$32,2,1))))))</f>
        <v/>
      </c>
      <c r="T1139" t="str">
        <f>IF($L1139="","",IF($L1139&gt;PARAMETRES!$G$33,5,IF($L1139&gt;PARAMETRES!$F$33,4,IF($L1139&gt;PARAMETRES!$E$33,3,IF($L1139&gt;PARAMETRES!$D$33,2,1)))))</f>
        <v/>
      </c>
      <c r="U1139" t="str">
        <f>IF($M1139="","",IF($M1139&gt;PARAMETRES!$G$34,5,IF($M1139&gt;PARAMETRES!$F$34,4,IF($M1139&gt;PARAMETRES!$E$34,3,IF($M1139&gt;PARAMETRES!$D$34,2,1)))))</f>
        <v/>
      </c>
      <c r="V1139" t="str">
        <f>IF($N1139="","",IF($N1139&gt;PARAMETRES!$G$35,5,IF($N1139&gt;PARAMETRES!$F$35,4,IF($N1139&gt;PARAMETRES!$E$35,3,IF($N1139&gt;PARAMETRES!$D$35,2,1)))))</f>
        <v/>
      </c>
      <c r="W1139" t="str">
        <f>IF($O1139="","",IF($O1139&gt;PARAMETRES!$G$36,5,IF($O1139&gt;PARAMETRES!$F$36,4,IF($O1139&gt;PARAMETRES!$E$36,3,IF($O1139&gt;PARAMETRES!$D$36,2,1)))))</f>
        <v/>
      </c>
      <c r="X1139" t="str">
        <f>IF($P1139="","",IF($P1139&gt;PARAMETRES!$G$37,5,IF($P1139&gt;PARAMETRES!$F$37,4,IF($P1139&gt;PARAMETRES!$E$37,3,IF($P1139&gt;PARAMETRES!$D$37,2,1)))))</f>
        <v/>
      </c>
      <c r="Y1139" t="str">
        <f t="shared" si="408"/>
        <v/>
      </c>
      <c r="Z1139" t="str">
        <f>IFERROR(VLOOKUP($B1139,TABLE_CYCLE,2,0),"")</f>
        <v/>
      </c>
      <c r="AA1139" t="str">
        <f t="shared" si="409"/>
        <v/>
      </c>
      <c r="AB1139" t="str">
        <f>IF($D1139="","",IF(COUNTIF($D$2:$D1139,$D1139)=1,$D1139,""))</f>
        <v/>
      </c>
      <c r="AC1139">
        <f t="shared" si="410"/>
        <v>0</v>
      </c>
      <c r="AD1139" t="str">
        <f t="shared" si="411"/>
        <v>|0</v>
      </c>
      <c r="AE1139" t="str">
        <f t="shared" si="412"/>
        <v/>
      </c>
      <c r="AF1139" t="str">
        <f t="shared" si="413"/>
        <v/>
      </c>
      <c r="AG1139" t="str">
        <f t="shared" si="414"/>
        <v/>
      </c>
      <c r="AH1139" t="str">
        <f t="shared" si="415"/>
        <v/>
      </c>
      <c r="AI1139" t="str">
        <f t="shared" si="416"/>
        <v/>
      </c>
      <c r="AJ1139" t="str">
        <f t="shared" si="417"/>
        <v/>
      </c>
      <c r="AK1139" t="str">
        <f t="shared" si="418"/>
        <v/>
      </c>
      <c r="AL1139" t="str">
        <f t="shared" si="419"/>
        <v/>
      </c>
      <c r="AM1139" t="str">
        <f t="shared" si="420"/>
        <v/>
      </c>
      <c r="AN1139" t="str">
        <f t="shared" si="421"/>
        <v/>
      </c>
      <c r="AO1139" t="str">
        <f t="shared" si="422"/>
        <v/>
      </c>
      <c r="AP1139">
        <f t="shared" si="423"/>
        <v>1</v>
      </c>
      <c r="AQ1139" t="str">
        <f>IF(SAISIE!$F1144="","",SAISIE!$Y1144)</f>
        <v/>
      </c>
      <c r="AR1139" t="str">
        <f>IF(OR(SAISIE!$U$4="",SAISIE!$W$4=""),"",IF(AND($A1139=SAISIE!$U$4,$B1139=SAISIE!$W$4,$C1139="S1"),COUNTIFS($A$2:$A1139,SAISIE!$U$4,$B$2:$B1139,SAISIE!$W$4,$C$2:$C1139,"S1"),""))</f>
        <v/>
      </c>
      <c r="AS1139" t="str">
        <f t="shared" si="424"/>
        <v/>
      </c>
      <c r="AT1139" t="str">
        <f t="shared" si="425"/>
        <v/>
      </c>
      <c r="AU1139" t="str">
        <f t="shared" si="426"/>
        <v/>
      </c>
      <c r="AV1139">
        <f>N(AV1138)+IF(AND($AB1139&lt;&gt;"",OR('PROFIL ELEVE'!$K$4="(Tous)",$AF1139='PROFIL ELEVE'!$K$4)),1,0)</f>
        <v>0</v>
      </c>
      <c r="AW1139">
        <f>N(AW1138)+IF(AND($AB1139&lt;&gt;"",OR('SUIVI LONGITUDINAL'!$Q$4="(Tous)",$AF1139='SUIVI LONGITUDINAL'!$Q$4)),1,0)</f>
        <v>0</v>
      </c>
      <c r="AX1139">
        <f t="shared" si="427"/>
        <v>0</v>
      </c>
      <c r="AY1139">
        <f t="shared" si="428"/>
        <v>0</v>
      </c>
      <c r="AZ1139">
        <f t="shared" si="429"/>
        <v>0</v>
      </c>
      <c r="BA1139" t="str">
        <f t="shared" si="430"/>
        <v/>
      </c>
      <c r="BB1139" t="str">
        <f t="shared" si="431"/>
        <v/>
      </c>
    </row>
    <row r="1140" spans="1:54" ht="14.25" customHeight="1" x14ac:dyDescent="0.3">
      <c r="A1140" t="str">
        <f>IF(SAISIE!$F1145="","",SAISIE!$B1145)</f>
        <v/>
      </c>
      <c r="B1140" t="str">
        <f>IF(SAISIE!$F1145="","",SAISIE!$C1145)</f>
        <v/>
      </c>
      <c r="C1140" t="str">
        <f>IF(SAISIE!$F1145="","",SAISIE!$D1145)</f>
        <v/>
      </c>
      <c r="D1140" t="str">
        <f>IF(SAISIE!$E1145="","",SAISIE!$E1145)</f>
        <v/>
      </c>
      <c r="E1140" t="str">
        <f>IF(SAISIE!$F1145="","",SAISIE!$F1145)</f>
        <v/>
      </c>
      <c r="F1140" t="str">
        <f>IF(SAISIE!$G1145="","",SAISIE!$G1145)</f>
        <v/>
      </c>
      <c r="G1140" t="str">
        <f>IF(SAISIE!$H1145="","",SAISIE!$H1145)</f>
        <v/>
      </c>
      <c r="H1140" t="str">
        <f>IF(SAISIE!$I1145="","",SAISIE!$I1145)</f>
        <v/>
      </c>
      <c r="I1140" t="str">
        <f>IF(SAISIE!$J1145="","",SAISIE!$J1145)</f>
        <v/>
      </c>
      <c r="J1140" t="str">
        <f>IF(SAISIE!$K1145="","",SAISIE!$K1145)</f>
        <v/>
      </c>
      <c r="K1140" t="str">
        <f>IF(SAISIE!$L1145="","",SAISIE!$L1145)</f>
        <v/>
      </c>
      <c r="L1140" t="str">
        <f>IF(SAISIE!$M1145="","",SAISIE!$M1145)</f>
        <v/>
      </c>
      <c r="M1140" t="str">
        <f>IF(SAISIE!$N1145="","",SAISIE!$N1145)</f>
        <v/>
      </c>
      <c r="N1140" t="str">
        <f>IF(SAISIE!$O1145="","",SAISIE!$O1145)</f>
        <v/>
      </c>
      <c r="O1140" t="str">
        <f>IF(SAISIE!$P1145="","",SAISIE!$P1145)</f>
        <v/>
      </c>
      <c r="P1140" t="str">
        <f>IF(SAISIE!$Q1145="","",SAISIE!$Q1145)</f>
        <v/>
      </c>
      <c r="Q1140" t="str">
        <f>IF($I1140="","",IF($I1140&gt;PARAMETRES!$G$29,5,IF($I1140&gt;PARAMETRES!$F$29,4,IF($I1140&gt;PARAMETRES!$E$29,3,IF($I1140&gt;PARAMETRES!$D$29,2,1)))))</f>
        <v/>
      </c>
      <c r="R1140" t="str">
        <f>IF($J1140="","",IF($J1140&gt;PARAMETRES!$G$30,5,IF($J1140&gt;PARAMETRES!$F$30,4,IF($J1140&gt;PARAMETRES!$E$30,3,IF($J1140&gt;PARAMETRES!$D$30,2,1)))))</f>
        <v/>
      </c>
      <c r="S1140" t="str">
        <f>IF($K1140="","",IF($Z1140=2,IF($K1140&gt;PARAMETRES!$G$31,5,IF($K1140&gt;PARAMETRES!$F$31,4,IF($K1140&gt;PARAMETRES!$E$31,3,IF($K1140&gt;PARAMETRES!$D$31,2,1)))),IF($K1140&gt;PARAMETRES!$G$32,5,IF($K1140&gt;PARAMETRES!$F$32,4,IF($K1140&gt;PARAMETRES!$E$32,3,IF($K1140&gt;PARAMETRES!$D$32,2,1))))))</f>
        <v/>
      </c>
      <c r="T1140" t="str">
        <f>IF($L1140="","",IF($L1140&gt;PARAMETRES!$G$33,5,IF($L1140&gt;PARAMETRES!$F$33,4,IF($L1140&gt;PARAMETRES!$E$33,3,IF($L1140&gt;PARAMETRES!$D$33,2,1)))))</f>
        <v/>
      </c>
      <c r="U1140" t="str">
        <f>IF($M1140="","",IF($M1140&gt;PARAMETRES!$G$34,5,IF($M1140&gt;PARAMETRES!$F$34,4,IF($M1140&gt;PARAMETRES!$E$34,3,IF($M1140&gt;PARAMETRES!$D$34,2,1)))))</f>
        <v/>
      </c>
      <c r="V1140" t="str">
        <f>IF($N1140="","",IF($N1140&gt;PARAMETRES!$G$35,5,IF($N1140&gt;PARAMETRES!$F$35,4,IF($N1140&gt;PARAMETRES!$E$35,3,IF($N1140&gt;PARAMETRES!$D$35,2,1)))))</f>
        <v/>
      </c>
      <c r="W1140" t="str">
        <f>IF($O1140="","",IF($O1140&gt;PARAMETRES!$G$36,5,IF($O1140&gt;PARAMETRES!$F$36,4,IF($O1140&gt;PARAMETRES!$E$36,3,IF($O1140&gt;PARAMETRES!$D$36,2,1)))))</f>
        <v/>
      </c>
      <c r="X1140" t="str">
        <f>IF($P1140="","",IF($P1140&gt;PARAMETRES!$G$37,5,IF($P1140&gt;PARAMETRES!$F$37,4,IF($P1140&gt;PARAMETRES!$E$37,3,IF($P1140&gt;PARAMETRES!$D$37,2,1)))))</f>
        <v/>
      </c>
      <c r="Y1140" t="str">
        <f t="shared" si="408"/>
        <v/>
      </c>
      <c r="Z1140" t="str">
        <f>IFERROR(VLOOKUP($B1140,TABLE_CYCLE,2,0),"")</f>
        <v/>
      </c>
      <c r="AA1140" t="str">
        <f t="shared" si="409"/>
        <v/>
      </c>
      <c r="AB1140" t="str">
        <f>IF($D1140="","",IF(COUNTIF($D$2:$D1140,$D1140)=1,$D1140,""))</f>
        <v/>
      </c>
      <c r="AC1140">
        <f t="shared" si="410"/>
        <v>0</v>
      </c>
      <c r="AD1140" t="str">
        <f t="shared" si="411"/>
        <v>|0</v>
      </c>
      <c r="AE1140" t="str">
        <f t="shared" si="412"/>
        <v/>
      </c>
      <c r="AF1140" t="str">
        <f t="shared" si="413"/>
        <v/>
      </c>
      <c r="AG1140" t="str">
        <f t="shared" si="414"/>
        <v/>
      </c>
      <c r="AH1140" t="str">
        <f t="shared" si="415"/>
        <v/>
      </c>
      <c r="AI1140" t="str">
        <f t="shared" si="416"/>
        <v/>
      </c>
      <c r="AJ1140" t="str">
        <f t="shared" si="417"/>
        <v/>
      </c>
      <c r="AK1140" t="str">
        <f t="shared" si="418"/>
        <v/>
      </c>
      <c r="AL1140" t="str">
        <f t="shared" si="419"/>
        <v/>
      </c>
      <c r="AM1140" t="str">
        <f t="shared" si="420"/>
        <v/>
      </c>
      <c r="AN1140" t="str">
        <f t="shared" si="421"/>
        <v/>
      </c>
      <c r="AO1140" t="str">
        <f t="shared" si="422"/>
        <v/>
      </c>
      <c r="AP1140">
        <f t="shared" si="423"/>
        <v>1</v>
      </c>
      <c r="AQ1140" t="str">
        <f>IF(SAISIE!$F1145="","",SAISIE!$Y1145)</f>
        <v/>
      </c>
      <c r="AR1140" t="str">
        <f>IF(OR(SAISIE!$U$4="",SAISIE!$W$4=""),"",IF(AND($A1140=SAISIE!$U$4,$B1140=SAISIE!$W$4,$C1140="S1"),COUNTIFS($A$2:$A1140,SAISIE!$U$4,$B$2:$B1140,SAISIE!$W$4,$C$2:$C1140,"S1"),""))</f>
        <v/>
      </c>
      <c r="AS1140" t="str">
        <f t="shared" si="424"/>
        <v/>
      </c>
      <c r="AT1140" t="str">
        <f t="shared" si="425"/>
        <v/>
      </c>
      <c r="AU1140" t="str">
        <f t="shared" si="426"/>
        <v/>
      </c>
      <c r="AV1140">
        <f>N(AV1139)+IF(AND($AB1140&lt;&gt;"",OR('PROFIL ELEVE'!$K$4="(Tous)",$AF1140='PROFIL ELEVE'!$K$4)),1,0)</f>
        <v>0</v>
      </c>
      <c r="AW1140">
        <f>N(AW1139)+IF(AND($AB1140&lt;&gt;"",OR('SUIVI LONGITUDINAL'!$Q$4="(Tous)",$AF1140='SUIVI LONGITUDINAL'!$Q$4)),1,0)</f>
        <v>0</v>
      </c>
      <c r="AX1140">
        <f t="shared" si="427"/>
        <v>0</v>
      </c>
      <c r="AY1140">
        <f t="shared" si="428"/>
        <v>0</v>
      </c>
      <c r="AZ1140">
        <f t="shared" si="429"/>
        <v>0</v>
      </c>
      <c r="BA1140" t="str">
        <f t="shared" si="430"/>
        <v/>
      </c>
      <c r="BB1140" t="str">
        <f t="shared" si="431"/>
        <v/>
      </c>
    </row>
    <row r="1141" spans="1:54" ht="14.25" customHeight="1" x14ac:dyDescent="0.3">
      <c r="A1141" t="str">
        <f>IF(SAISIE!$F1146="","",SAISIE!$B1146)</f>
        <v/>
      </c>
      <c r="B1141" t="str">
        <f>IF(SAISIE!$F1146="","",SAISIE!$C1146)</f>
        <v/>
      </c>
      <c r="C1141" t="str">
        <f>IF(SAISIE!$F1146="","",SAISIE!$D1146)</f>
        <v/>
      </c>
      <c r="D1141" t="str">
        <f>IF(SAISIE!$E1146="","",SAISIE!$E1146)</f>
        <v/>
      </c>
      <c r="E1141" t="str">
        <f>IF(SAISIE!$F1146="","",SAISIE!$F1146)</f>
        <v/>
      </c>
      <c r="F1141" t="str">
        <f>IF(SAISIE!$G1146="","",SAISIE!$G1146)</f>
        <v/>
      </c>
      <c r="G1141" t="str">
        <f>IF(SAISIE!$H1146="","",SAISIE!$H1146)</f>
        <v/>
      </c>
      <c r="H1141" t="str">
        <f>IF(SAISIE!$I1146="","",SAISIE!$I1146)</f>
        <v/>
      </c>
      <c r="I1141" t="str">
        <f>IF(SAISIE!$J1146="","",SAISIE!$J1146)</f>
        <v/>
      </c>
      <c r="J1141" t="str">
        <f>IF(SAISIE!$K1146="","",SAISIE!$K1146)</f>
        <v/>
      </c>
      <c r="K1141" t="str">
        <f>IF(SAISIE!$L1146="","",SAISIE!$L1146)</f>
        <v/>
      </c>
      <c r="L1141" t="str">
        <f>IF(SAISIE!$M1146="","",SAISIE!$M1146)</f>
        <v/>
      </c>
      <c r="M1141" t="str">
        <f>IF(SAISIE!$N1146="","",SAISIE!$N1146)</f>
        <v/>
      </c>
      <c r="N1141" t="str">
        <f>IF(SAISIE!$O1146="","",SAISIE!$O1146)</f>
        <v/>
      </c>
      <c r="O1141" t="str">
        <f>IF(SAISIE!$P1146="","",SAISIE!$P1146)</f>
        <v/>
      </c>
      <c r="P1141" t="str">
        <f>IF(SAISIE!$Q1146="","",SAISIE!$Q1146)</f>
        <v/>
      </c>
      <c r="Q1141" t="str">
        <f>IF($I1141="","",IF($I1141&gt;PARAMETRES!$G$29,5,IF($I1141&gt;PARAMETRES!$F$29,4,IF($I1141&gt;PARAMETRES!$E$29,3,IF($I1141&gt;PARAMETRES!$D$29,2,1)))))</f>
        <v/>
      </c>
      <c r="R1141" t="str">
        <f>IF($J1141="","",IF($J1141&gt;PARAMETRES!$G$30,5,IF($J1141&gt;PARAMETRES!$F$30,4,IF($J1141&gt;PARAMETRES!$E$30,3,IF($J1141&gt;PARAMETRES!$D$30,2,1)))))</f>
        <v/>
      </c>
      <c r="S1141" t="str">
        <f>IF($K1141="","",IF($Z1141=2,IF($K1141&gt;PARAMETRES!$G$31,5,IF($K1141&gt;PARAMETRES!$F$31,4,IF($K1141&gt;PARAMETRES!$E$31,3,IF($K1141&gt;PARAMETRES!$D$31,2,1)))),IF($K1141&gt;PARAMETRES!$G$32,5,IF($K1141&gt;PARAMETRES!$F$32,4,IF($K1141&gt;PARAMETRES!$E$32,3,IF($K1141&gt;PARAMETRES!$D$32,2,1))))))</f>
        <v/>
      </c>
      <c r="T1141" t="str">
        <f>IF($L1141="","",IF($L1141&gt;PARAMETRES!$G$33,5,IF($L1141&gt;PARAMETRES!$F$33,4,IF($L1141&gt;PARAMETRES!$E$33,3,IF($L1141&gt;PARAMETRES!$D$33,2,1)))))</f>
        <v/>
      </c>
      <c r="U1141" t="str">
        <f>IF($M1141="","",IF($M1141&gt;PARAMETRES!$G$34,5,IF($M1141&gt;PARAMETRES!$F$34,4,IF($M1141&gt;PARAMETRES!$E$34,3,IF($M1141&gt;PARAMETRES!$D$34,2,1)))))</f>
        <v/>
      </c>
      <c r="V1141" t="str">
        <f>IF($N1141="","",IF($N1141&gt;PARAMETRES!$G$35,5,IF($N1141&gt;PARAMETRES!$F$35,4,IF($N1141&gt;PARAMETRES!$E$35,3,IF($N1141&gt;PARAMETRES!$D$35,2,1)))))</f>
        <v/>
      </c>
      <c r="W1141" t="str">
        <f>IF($O1141="","",IF($O1141&gt;PARAMETRES!$G$36,5,IF($O1141&gt;PARAMETRES!$F$36,4,IF($O1141&gt;PARAMETRES!$E$36,3,IF($O1141&gt;PARAMETRES!$D$36,2,1)))))</f>
        <v/>
      </c>
      <c r="X1141" t="str">
        <f>IF($P1141="","",IF($P1141&gt;PARAMETRES!$G$37,5,IF($P1141&gt;PARAMETRES!$F$37,4,IF($P1141&gt;PARAMETRES!$E$37,3,IF($P1141&gt;PARAMETRES!$D$37,2,1)))))</f>
        <v/>
      </c>
      <c r="Y1141" t="str">
        <f t="shared" si="408"/>
        <v/>
      </c>
      <c r="Z1141" t="str">
        <f>IFERROR(VLOOKUP($B1141,TABLE_CYCLE,2,0),"")</f>
        <v/>
      </c>
      <c r="AA1141" t="str">
        <f t="shared" si="409"/>
        <v/>
      </c>
      <c r="AB1141" t="str">
        <f>IF($D1141="","",IF(COUNTIF($D$2:$D1141,$D1141)=1,$D1141,""))</f>
        <v/>
      </c>
      <c r="AC1141">
        <f t="shared" si="410"/>
        <v>0</v>
      </c>
      <c r="AD1141" t="str">
        <f t="shared" si="411"/>
        <v>|0</v>
      </c>
      <c r="AE1141" t="str">
        <f t="shared" si="412"/>
        <v/>
      </c>
      <c r="AF1141" t="str">
        <f t="shared" si="413"/>
        <v/>
      </c>
      <c r="AG1141" t="str">
        <f t="shared" si="414"/>
        <v/>
      </c>
      <c r="AH1141" t="str">
        <f t="shared" si="415"/>
        <v/>
      </c>
      <c r="AI1141" t="str">
        <f t="shared" si="416"/>
        <v/>
      </c>
      <c r="AJ1141" t="str">
        <f t="shared" si="417"/>
        <v/>
      </c>
      <c r="AK1141" t="str">
        <f t="shared" si="418"/>
        <v/>
      </c>
      <c r="AL1141" t="str">
        <f t="shared" si="419"/>
        <v/>
      </c>
      <c r="AM1141" t="str">
        <f t="shared" si="420"/>
        <v/>
      </c>
      <c r="AN1141" t="str">
        <f t="shared" si="421"/>
        <v/>
      </c>
      <c r="AO1141" t="str">
        <f t="shared" si="422"/>
        <v/>
      </c>
      <c r="AP1141">
        <f t="shared" si="423"/>
        <v>1</v>
      </c>
      <c r="AQ1141" t="str">
        <f>IF(SAISIE!$F1146="","",SAISIE!$Y1146)</f>
        <v/>
      </c>
      <c r="AR1141" t="str">
        <f>IF(OR(SAISIE!$U$4="",SAISIE!$W$4=""),"",IF(AND($A1141=SAISIE!$U$4,$B1141=SAISIE!$W$4,$C1141="S1"),COUNTIFS($A$2:$A1141,SAISIE!$U$4,$B$2:$B1141,SAISIE!$W$4,$C$2:$C1141,"S1"),""))</f>
        <v/>
      </c>
      <c r="AS1141" t="str">
        <f t="shared" si="424"/>
        <v/>
      </c>
      <c r="AT1141" t="str">
        <f t="shared" si="425"/>
        <v/>
      </c>
      <c r="AU1141" t="str">
        <f t="shared" si="426"/>
        <v/>
      </c>
      <c r="AV1141">
        <f>N(AV1140)+IF(AND($AB1141&lt;&gt;"",OR('PROFIL ELEVE'!$K$4="(Tous)",$AF1141='PROFIL ELEVE'!$K$4)),1,0)</f>
        <v>0</v>
      </c>
      <c r="AW1141">
        <f>N(AW1140)+IF(AND($AB1141&lt;&gt;"",OR('SUIVI LONGITUDINAL'!$Q$4="(Tous)",$AF1141='SUIVI LONGITUDINAL'!$Q$4)),1,0)</f>
        <v>0</v>
      </c>
      <c r="AX1141">
        <f t="shared" si="427"/>
        <v>0</v>
      </c>
      <c r="AY1141">
        <f t="shared" si="428"/>
        <v>0</v>
      </c>
      <c r="AZ1141">
        <f t="shared" si="429"/>
        <v>0</v>
      </c>
      <c r="BA1141" t="str">
        <f t="shared" si="430"/>
        <v/>
      </c>
      <c r="BB1141" t="str">
        <f t="shared" si="431"/>
        <v/>
      </c>
    </row>
    <row r="1142" spans="1:54" ht="14.25" customHeight="1" x14ac:dyDescent="0.3">
      <c r="A1142" t="str">
        <f>IF(SAISIE!$F1147="","",SAISIE!$B1147)</f>
        <v/>
      </c>
      <c r="B1142" t="str">
        <f>IF(SAISIE!$F1147="","",SAISIE!$C1147)</f>
        <v/>
      </c>
      <c r="C1142" t="str">
        <f>IF(SAISIE!$F1147="","",SAISIE!$D1147)</f>
        <v/>
      </c>
      <c r="D1142" t="str">
        <f>IF(SAISIE!$E1147="","",SAISIE!$E1147)</f>
        <v/>
      </c>
      <c r="E1142" t="str">
        <f>IF(SAISIE!$F1147="","",SAISIE!$F1147)</f>
        <v/>
      </c>
      <c r="F1142" t="str">
        <f>IF(SAISIE!$G1147="","",SAISIE!$G1147)</f>
        <v/>
      </c>
      <c r="G1142" t="str">
        <f>IF(SAISIE!$H1147="","",SAISIE!$H1147)</f>
        <v/>
      </c>
      <c r="H1142" t="str">
        <f>IF(SAISIE!$I1147="","",SAISIE!$I1147)</f>
        <v/>
      </c>
      <c r="I1142" t="str">
        <f>IF(SAISIE!$J1147="","",SAISIE!$J1147)</f>
        <v/>
      </c>
      <c r="J1142" t="str">
        <f>IF(SAISIE!$K1147="","",SAISIE!$K1147)</f>
        <v/>
      </c>
      <c r="K1142" t="str">
        <f>IF(SAISIE!$L1147="","",SAISIE!$L1147)</f>
        <v/>
      </c>
      <c r="L1142" t="str">
        <f>IF(SAISIE!$M1147="","",SAISIE!$M1147)</f>
        <v/>
      </c>
      <c r="M1142" t="str">
        <f>IF(SAISIE!$N1147="","",SAISIE!$N1147)</f>
        <v/>
      </c>
      <c r="N1142" t="str">
        <f>IF(SAISIE!$O1147="","",SAISIE!$O1147)</f>
        <v/>
      </c>
      <c r="O1142" t="str">
        <f>IF(SAISIE!$P1147="","",SAISIE!$P1147)</f>
        <v/>
      </c>
      <c r="P1142" t="str">
        <f>IF(SAISIE!$Q1147="","",SAISIE!$Q1147)</f>
        <v/>
      </c>
      <c r="Q1142" t="str">
        <f>IF($I1142="","",IF($I1142&gt;PARAMETRES!$G$29,5,IF($I1142&gt;PARAMETRES!$F$29,4,IF($I1142&gt;PARAMETRES!$E$29,3,IF($I1142&gt;PARAMETRES!$D$29,2,1)))))</f>
        <v/>
      </c>
      <c r="R1142" t="str">
        <f>IF($J1142="","",IF($J1142&gt;PARAMETRES!$G$30,5,IF($J1142&gt;PARAMETRES!$F$30,4,IF($J1142&gt;PARAMETRES!$E$30,3,IF($J1142&gt;PARAMETRES!$D$30,2,1)))))</f>
        <v/>
      </c>
      <c r="S1142" t="str">
        <f>IF($K1142="","",IF($Z1142=2,IF($K1142&gt;PARAMETRES!$G$31,5,IF($K1142&gt;PARAMETRES!$F$31,4,IF($K1142&gt;PARAMETRES!$E$31,3,IF($K1142&gt;PARAMETRES!$D$31,2,1)))),IF($K1142&gt;PARAMETRES!$G$32,5,IF($K1142&gt;PARAMETRES!$F$32,4,IF($K1142&gt;PARAMETRES!$E$32,3,IF($K1142&gt;PARAMETRES!$D$32,2,1))))))</f>
        <v/>
      </c>
      <c r="T1142" t="str">
        <f>IF($L1142="","",IF($L1142&gt;PARAMETRES!$G$33,5,IF($L1142&gt;PARAMETRES!$F$33,4,IF($L1142&gt;PARAMETRES!$E$33,3,IF($L1142&gt;PARAMETRES!$D$33,2,1)))))</f>
        <v/>
      </c>
      <c r="U1142" t="str">
        <f>IF($M1142="","",IF($M1142&gt;PARAMETRES!$G$34,5,IF($M1142&gt;PARAMETRES!$F$34,4,IF($M1142&gt;PARAMETRES!$E$34,3,IF($M1142&gt;PARAMETRES!$D$34,2,1)))))</f>
        <v/>
      </c>
      <c r="V1142" t="str">
        <f>IF($N1142="","",IF($N1142&gt;PARAMETRES!$G$35,5,IF($N1142&gt;PARAMETRES!$F$35,4,IF($N1142&gt;PARAMETRES!$E$35,3,IF($N1142&gt;PARAMETRES!$D$35,2,1)))))</f>
        <v/>
      </c>
      <c r="W1142" t="str">
        <f>IF($O1142="","",IF($O1142&gt;PARAMETRES!$G$36,5,IF($O1142&gt;PARAMETRES!$F$36,4,IF($O1142&gt;PARAMETRES!$E$36,3,IF($O1142&gt;PARAMETRES!$D$36,2,1)))))</f>
        <v/>
      </c>
      <c r="X1142" t="str">
        <f>IF($P1142="","",IF($P1142&gt;PARAMETRES!$G$37,5,IF($P1142&gt;PARAMETRES!$F$37,4,IF($P1142&gt;PARAMETRES!$E$37,3,IF($P1142&gt;PARAMETRES!$D$37,2,1)))))</f>
        <v/>
      </c>
      <c r="Y1142" t="str">
        <f t="shared" si="408"/>
        <v/>
      </c>
      <c r="Z1142" t="str">
        <f>IFERROR(VLOOKUP($B1142,TABLE_CYCLE,2,0),"")</f>
        <v/>
      </c>
      <c r="AA1142" t="str">
        <f t="shared" si="409"/>
        <v/>
      </c>
      <c r="AB1142" t="str">
        <f>IF($D1142="","",IF(COUNTIF($D$2:$D1142,$D1142)=1,$D1142,""))</f>
        <v/>
      </c>
      <c r="AC1142">
        <f t="shared" si="410"/>
        <v>0</v>
      </c>
      <c r="AD1142" t="str">
        <f t="shared" si="411"/>
        <v>|0</v>
      </c>
      <c r="AE1142" t="str">
        <f t="shared" si="412"/>
        <v/>
      </c>
      <c r="AF1142" t="str">
        <f t="shared" si="413"/>
        <v/>
      </c>
      <c r="AG1142" t="str">
        <f t="shared" si="414"/>
        <v/>
      </c>
      <c r="AH1142" t="str">
        <f t="shared" si="415"/>
        <v/>
      </c>
      <c r="AI1142" t="str">
        <f t="shared" si="416"/>
        <v/>
      </c>
      <c r="AJ1142" t="str">
        <f t="shared" si="417"/>
        <v/>
      </c>
      <c r="AK1142" t="str">
        <f t="shared" si="418"/>
        <v/>
      </c>
      <c r="AL1142" t="str">
        <f t="shared" si="419"/>
        <v/>
      </c>
      <c r="AM1142" t="str">
        <f t="shared" si="420"/>
        <v/>
      </c>
      <c r="AN1142" t="str">
        <f t="shared" si="421"/>
        <v/>
      </c>
      <c r="AO1142" t="str">
        <f t="shared" si="422"/>
        <v/>
      </c>
      <c r="AP1142">
        <f t="shared" si="423"/>
        <v>1</v>
      </c>
      <c r="AQ1142" t="str">
        <f>IF(SAISIE!$F1147="","",SAISIE!$Y1147)</f>
        <v/>
      </c>
      <c r="AR1142" t="str">
        <f>IF(OR(SAISIE!$U$4="",SAISIE!$W$4=""),"",IF(AND($A1142=SAISIE!$U$4,$B1142=SAISIE!$W$4,$C1142="S1"),COUNTIFS($A$2:$A1142,SAISIE!$U$4,$B$2:$B1142,SAISIE!$W$4,$C$2:$C1142,"S1"),""))</f>
        <v/>
      </c>
      <c r="AS1142" t="str">
        <f t="shared" si="424"/>
        <v/>
      </c>
      <c r="AT1142" t="str">
        <f t="shared" si="425"/>
        <v/>
      </c>
      <c r="AU1142" t="str">
        <f t="shared" si="426"/>
        <v/>
      </c>
      <c r="AV1142">
        <f>N(AV1141)+IF(AND($AB1142&lt;&gt;"",OR('PROFIL ELEVE'!$K$4="(Tous)",$AF1142='PROFIL ELEVE'!$K$4)),1,0)</f>
        <v>0</v>
      </c>
      <c r="AW1142">
        <f>N(AW1141)+IF(AND($AB1142&lt;&gt;"",OR('SUIVI LONGITUDINAL'!$Q$4="(Tous)",$AF1142='SUIVI LONGITUDINAL'!$Q$4)),1,0)</f>
        <v>0</v>
      </c>
      <c r="AX1142">
        <f t="shared" si="427"/>
        <v>0</v>
      </c>
      <c r="AY1142">
        <f t="shared" si="428"/>
        <v>0</v>
      </c>
      <c r="AZ1142">
        <f t="shared" si="429"/>
        <v>0</v>
      </c>
      <c r="BA1142" t="str">
        <f t="shared" si="430"/>
        <v/>
      </c>
      <c r="BB1142" t="str">
        <f t="shared" si="431"/>
        <v/>
      </c>
    </row>
    <row r="1143" spans="1:54" ht="14.25" customHeight="1" x14ac:dyDescent="0.3">
      <c r="A1143" t="str">
        <f>IF(SAISIE!$F1148="","",SAISIE!$B1148)</f>
        <v/>
      </c>
      <c r="B1143" t="str">
        <f>IF(SAISIE!$F1148="","",SAISIE!$C1148)</f>
        <v/>
      </c>
      <c r="C1143" t="str">
        <f>IF(SAISIE!$F1148="","",SAISIE!$D1148)</f>
        <v/>
      </c>
      <c r="D1143" t="str">
        <f>IF(SAISIE!$E1148="","",SAISIE!$E1148)</f>
        <v/>
      </c>
      <c r="E1143" t="str">
        <f>IF(SAISIE!$F1148="","",SAISIE!$F1148)</f>
        <v/>
      </c>
      <c r="F1143" t="str">
        <f>IF(SAISIE!$G1148="","",SAISIE!$G1148)</f>
        <v/>
      </c>
      <c r="G1143" t="str">
        <f>IF(SAISIE!$H1148="","",SAISIE!$H1148)</f>
        <v/>
      </c>
      <c r="H1143" t="str">
        <f>IF(SAISIE!$I1148="","",SAISIE!$I1148)</f>
        <v/>
      </c>
      <c r="I1143" t="str">
        <f>IF(SAISIE!$J1148="","",SAISIE!$J1148)</f>
        <v/>
      </c>
      <c r="J1143" t="str">
        <f>IF(SAISIE!$K1148="","",SAISIE!$K1148)</f>
        <v/>
      </c>
      <c r="K1143" t="str">
        <f>IF(SAISIE!$L1148="","",SAISIE!$L1148)</f>
        <v/>
      </c>
      <c r="L1143" t="str">
        <f>IF(SAISIE!$M1148="","",SAISIE!$M1148)</f>
        <v/>
      </c>
      <c r="M1143" t="str">
        <f>IF(SAISIE!$N1148="","",SAISIE!$N1148)</f>
        <v/>
      </c>
      <c r="N1143" t="str">
        <f>IF(SAISIE!$O1148="","",SAISIE!$O1148)</f>
        <v/>
      </c>
      <c r="O1143" t="str">
        <f>IF(SAISIE!$P1148="","",SAISIE!$P1148)</f>
        <v/>
      </c>
      <c r="P1143" t="str">
        <f>IF(SAISIE!$Q1148="","",SAISIE!$Q1148)</f>
        <v/>
      </c>
      <c r="Q1143" t="str">
        <f>IF($I1143="","",IF($I1143&gt;PARAMETRES!$G$29,5,IF($I1143&gt;PARAMETRES!$F$29,4,IF($I1143&gt;PARAMETRES!$E$29,3,IF($I1143&gt;PARAMETRES!$D$29,2,1)))))</f>
        <v/>
      </c>
      <c r="R1143" t="str">
        <f>IF($J1143="","",IF($J1143&gt;PARAMETRES!$G$30,5,IF($J1143&gt;PARAMETRES!$F$30,4,IF($J1143&gt;PARAMETRES!$E$30,3,IF($J1143&gt;PARAMETRES!$D$30,2,1)))))</f>
        <v/>
      </c>
      <c r="S1143" t="str">
        <f>IF($K1143="","",IF($Z1143=2,IF($K1143&gt;PARAMETRES!$G$31,5,IF($K1143&gt;PARAMETRES!$F$31,4,IF($K1143&gt;PARAMETRES!$E$31,3,IF($K1143&gt;PARAMETRES!$D$31,2,1)))),IF($K1143&gt;PARAMETRES!$G$32,5,IF($K1143&gt;PARAMETRES!$F$32,4,IF($K1143&gt;PARAMETRES!$E$32,3,IF($K1143&gt;PARAMETRES!$D$32,2,1))))))</f>
        <v/>
      </c>
      <c r="T1143" t="str">
        <f>IF($L1143="","",IF($L1143&gt;PARAMETRES!$G$33,5,IF($L1143&gt;PARAMETRES!$F$33,4,IF($L1143&gt;PARAMETRES!$E$33,3,IF($L1143&gt;PARAMETRES!$D$33,2,1)))))</f>
        <v/>
      </c>
      <c r="U1143" t="str">
        <f>IF($M1143="","",IF($M1143&gt;PARAMETRES!$G$34,5,IF($M1143&gt;PARAMETRES!$F$34,4,IF($M1143&gt;PARAMETRES!$E$34,3,IF($M1143&gt;PARAMETRES!$D$34,2,1)))))</f>
        <v/>
      </c>
      <c r="V1143" t="str">
        <f>IF($N1143="","",IF($N1143&gt;PARAMETRES!$G$35,5,IF($N1143&gt;PARAMETRES!$F$35,4,IF($N1143&gt;PARAMETRES!$E$35,3,IF($N1143&gt;PARAMETRES!$D$35,2,1)))))</f>
        <v/>
      </c>
      <c r="W1143" t="str">
        <f>IF($O1143="","",IF($O1143&gt;PARAMETRES!$G$36,5,IF($O1143&gt;PARAMETRES!$F$36,4,IF($O1143&gt;PARAMETRES!$E$36,3,IF($O1143&gt;PARAMETRES!$D$36,2,1)))))</f>
        <v/>
      </c>
      <c r="X1143" t="str">
        <f>IF($P1143="","",IF($P1143&gt;PARAMETRES!$G$37,5,IF($P1143&gt;PARAMETRES!$F$37,4,IF($P1143&gt;PARAMETRES!$E$37,3,IF($P1143&gt;PARAMETRES!$D$37,2,1)))))</f>
        <v/>
      </c>
      <c r="Y1143" t="str">
        <f t="shared" si="408"/>
        <v/>
      </c>
      <c r="Z1143" t="str">
        <f>IFERROR(VLOOKUP($B1143,TABLE_CYCLE,2,0),"")</f>
        <v/>
      </c>
      <c r="AA1143" t="str">
        <f t="shared" si="409"/>
        <v/>
      </c>
      <c r="AB1143" t="str">
        <f>IF($D1143="","",IF(COUNTIF($D$2:$D1143,$D1143)=1,$D1143,""))</f>
        <v/>
      </c>
      <c r="AC1143">
        <f t="shared" si="410"/>
        <v>0</v>
      </c>
      <c r="AD1143" t="str">
        <f t="shared" si="411"/>
        <v>|0</v>
      </c>
      <c r="AE1143" t="str">
        <f t="shared" si="412"/>
        <v/>
      </c>
      <c r="AF1143" t="str">
        <f t="shared" si="413"/>
        <v/>
      </c>
      <c r="AG1143" t="str">
        <f t="shared" si="414"/>
        <v/>
      </c>
      <c r="AH1143" t="str">
        <f t="shared" si="415"/>
        <v/>
      </c>
      <c r="AI1143" t="str">
        <f t="shared" si="416"/>
        <v/>
      </c>
      <c r="AJ1143" t="str">
        <f t="shared" si="417"/>
        <v/>
      </c>
      <c r="AK1143" t="str">
        <f t="shared" si="418"/>
        <v/>
      </c>
      <c r="AL1143" t="str">
        <f t="shared" si="419"/>
        <v/>
      </c>
      <c r="AM1143" t="str">
        <f t="shared" si="420"/>
        <v/>
      </c>
      <c r="AN1143" t="str">
        <f t="shared" si="421"/>
        <v/>
      </c>
      <c r="AO1143" t="str">
        <f t="shared" si="422"/>
        <v/>
      </c>
      <c r="AP1143">
        <f t="shared" si="423"/>
        <v>1</v>
      </c>
      <c r="AQ1143" t="str">
        <f>IF(SAISIE!$F1148="","",SAISIE!$Y1148)</f>
        <v/>
      </c>
      <c r="AR1143" t="str">
        <f>IF(OR(SAISIE!$U$4="",SAISIE!$W$4=""),"",IF(AND($A1143=SAISIE!$U$4,$B1143=SAISIE!$W$4,$C1143="S1"),COUNTIFS($A$2:$A1143,SAISIE!$U$4,$B$2:$B1143,SAISIE!$W$4,$C$2:$C1143,"S1"),""))</f>
        <v/>
      </c>
      <c r="AS1143" t="str">
        <f t="shared" si="424"/>
        <v/>
      </c>
      <c r="AT1143" t="str">
        <f t="shared" si="425"/>
        <v/>
      </c>
      <c r="AU1143" t="str">
        <f t="shared" si="426"/>
        <v/>
      </c>
      <c r="AV1143">
        <f>N(AV1142)+IF(AND($AB1143&lt;&gt;"",OR('PROFIL ELEVE'!$K$4="(Tous)",$AF1143='PROFIL ELEVE'!$K$4)),1,0)</f>
        <v>0</v>
      </c>
      <c r="AW1143">
        <f>N(AW1142)+IF(AND($AB1143&lt;&gt;"",OR('SUIVI LONGITUDINAL'!$Q$4="(Tous)",$AF1143='SUIVI LONGITUDINAL'!$Q$4)),1,0)</f>
        <v>0</v>
      </c>
      <c r="AX1143">
        <f t="shared" si="427"/>
        <v>0</v>
      </c>
      <c r="AY1143">
        <f t="shared" si="428"/>
        <v>0</v>
      </c>
      <c r="AZ1143">
        <f t="shared" si="429"/>
        <v>0</v>
      </c>
      <c r="BA1143" t="str">
        <f t="shared" si="430"/>
        <v/>
      </c>
      <c r="BB1143" t="str">
        <f t="shared" si="431"/>
        <v/>
      </c>
    </row>
    <row r="1144" spans="1:54" ht="14.25" customHeight="1" x14ac:dyDescent="0.3">
      <c r="A1144" t="str">
        <f>IF(SAISIE!$F1149="","",SAISIE!$B1149)</f>
        <v/>
      </c>
      <c r="B1144" t="str">
        <f>IF(SAISIE!$F1149="","",SAISIE!$C1149)</f>
        <v/>
      </c>
      <c r="C1144" t="str">
        <f>IF(SAISIE!$F1149="","",SAISIE!$D1149)</f>
        <v/>
      </c>
      <c r="D1144" t="str">
        <f>IF(SAISIE!$E1149="","",SAISIE!$E1149)</f>
        <v/>
      </c>
      <c r="E1144" t="str">
        <f>IF(SAISIE!$F1149="","",SAISIE!$F1149)</f>
        <v/>
      </c>
      <c r="F1144" t="str">
        <f>IF(SAISIE!$G1149="","",SAISIE!$G1149)</f>
        <v/>
      </c>
      <c r="G1144" t="str">
        <f>IF(SAISIE!$H1149="","",SAISIE!$H1149)</f>
        <v/>
      </c>
      <c r="H1144" t="str">
        <f>IF(SAISIE!$I1149="","",SAISIE!$I1149)</f>
        <v/>
      </c>
      <c r="I1144" t="str">
        <f>IF(SAISIE!$J1149="","",SAISIE!$J1149)</f>
        <v/>
      </c>
      <c r="J1144" t="str">
        <f>IF(SAISIE!$K1149="","",SAISIE!$K1149)</f>
        <v/>
      </c>
      <c r="K1144" t="str">
        <f>IF(SAISIE!$L1149="","",SAISIE!$L1149)</f>
        <v/>
      </c>
      <c r="L1144" t="str">
        <f>IF(SAISIE!$M1149="","",SAISIE!$M1149)</f>
        <v/>
      </c>
      <c r="M1144" t="str">
        <f>IF(SAISIE!$N1149="","",SAISIE!$N1149)</f>
        <v/>
      </c>
      <c r="N1144" t="str">
        <f>IF(SAISIE!$O1149="","",SAISIE!$O1149)</f>
        <v/>
      </c>
      <c r="O1144" t="str">
        <f>IF(SAISIE!$P1149="","",SAISIE!$P1149)</f>
        <v/>
      </c>
      <c r="P1144" t="str">
        <f>IF(SAISIE!$Q1149="","",SAISIE!$Q1149)</f>
        <v/>
      </c>
      <c r="Q1144" t="str">
        <f>IF($I1144="","",IF($I1144&gt;PARAMETRES!$G$29,5,IF($I1144&gt;PARAMETRES!$F$29,4,IF($I1144&gt;PARAMETRES!$E$29,3,IF($I1144&gt;PARAMETRES!$D$29,2,1)))))</f>
        <v/>
      </c>
      <c r="R1144" t="str">
        <f>IF($J1144="","",IF($J1144&gt;PARAMETRES!$G$30,5,IF($J1144&gt;PARAMETRES!$F$30,4,IF($J1144&gt;PARAMETRES!$E$30,3,IF($J1144&gt;PARAMETRES!$D$30,2,1)))))</f>
        <v/>
      </c>
      <c r="S1144" t="str">
        <f>IF($K1144="","",IF($Z1144=2,IF($K1144&gt;PARAMETRES!$G$31,5,IF($K1144&gt;PARAMETRES!$F$31,4,IF($K1144&gt;PARAMETRES!$E$31,3,IF($K1144&gt;PARAMETRES!$D$31,2,1)))),IF($K1144&gt;PARAMETRES!$G$32,5,IF($K1144&gt;PARAMETRES!$F$32,4,IF($K1144&gt;PARAMETRES!$E$32,3,IF($K1144&gt;PARAMETRES!$D$32,2,1))))))</f>
        <v/>
      </c>
      <c r="T1144" t="str">
        <f>IF($L1144="","",IF($L1144&gt;PARAMETRES!$G$33,5,IF($L1144&gt;PARAMETRES!$F$33,4,IF($L1144&gt;PARAMETRES!$E$33,3,IF($L1144&gt;PARAMETRES!$D$33,2,1)))))</f>
        <v/>
      </c>
      <c r="U1144" t="str">
        <f>IF($M1144="","",IF($M1144&gt;PARAMETRES!$G$34,5,IF($M1144&gt;PARAMETRES!$F$34,4,IF($M1144&gt;PARAMETRES!$E$34,3,IF($M1144&gt;PARAMETRES!$D$34,2,1)))))</f>
        <v/>
      </c>
      <c r="V1144" t="str">
        <f>IF($N1144="","",IF($N1144&gt;PARAMETRES!$G$35,5,IF($N1144&gt;PARAMETRES!$F$35,4,IF($N1144&gt;PARAMETRES!$E$35,3,IF($N1144&gt;PARAMETRES!$D$35,2,1)))))</f>
        <v/>
      </c>
      <c r="W1144" t="str">
        <f>IF($O1144="","",IF($O1144&gt;PARAMETRES!$G$36,5,IF($O1144&gt;PARAMETRES!$F$36,4,IF($O1144&gt;PARAMETRES!$E$36,3,IF($O1144&gt;PARAMETRES!$D$36,2,1)))))</f>
        <v/>
      </c>
      <c r="X1144" t="str">
        <f>IF($P1144="","",IF($P1144&gt;PARAMETRES!$G$37,5,IF($P1144&gt;PARAMETRES!$F$37,4,IF($P1144&gt;PARAMETRES!$E$37,3,IF($P1144&gt;PARAMETRES!$D$37,2,1)))))</f>
        <v/>
      </c>
      <c r="Y1144" t="str">
        <f t="shared" si="408"/>
        <v/>
      </c>
      <c r="Z1144" t="str">
        <f>IFERROR(VLOOKUP($B1144,TABLE_CYCLE,2,0),"")</f>
        <v/>
      </c>
      <c r="AA1144" t="str">
        <f t="shared" si="409"/>
        <v/>
      </c>
      <c r="AB1144" t="str">
        <f>IF($D1144="","",IF(COUNTIF($D$2:$D1144,$D1144)=1,$D1144,""))</f>
        <v/>
      </c>
      <c r="AC1144">
        <f t="shared" si="410"/>
        <v>0</v>
      </c>
      <c r="AD1144" t="str">
        <f t="shared" si="411"/>
        <v>|0</v>
      </c>
      <c r="AE1144" t="str">
        <f t="shared" si="412"/>
        <v/>
      </c>
      <c r="AF1144" t="str">
        <f t="shared" si="413"/>
        <v/>
      </c>
      <c r="AG1144" t="str">
        <f t="shared" si="414"/>
        <v/>
      </c>
      <c r="AH1144" t="str">
        <f t="shared" si="415"/>
        <v/>
      </c>
      <c r="AI1144" t="str">
        <f t="shared" si="416"/>
        <v/>
      </c>
      <c r="AJ1144" t="str">
        <f t="shared" si="417"/>
        <v/>
      </c>
      <c r="AK1144" t="str">
        <f t="shared" si="418"/>
        <v/>
      </c>
      <c r="AL1144" t="str">
        <f t="shared" si="419"/>
        <v/>
      </c>
      <c r="AM1144" t="str">
        <f t="shared" si="420"/>
        <v/>
      </c>
      <c r="AN1144" t="str">
        <f t="shared" si="421"/>
        <v/>
      </c>
      <c r="AO1144" t="str">
        <f t="shared" si="422"/>
        <v/>
      </c>
      <c r="AP1144">
        <f t="shared" si="423"/>
        <v>1</v>
      </c>
      <c r="AQ1144" t="str">
        <f>IF(SAISIE!$F1149="","",SAISIE!$Y1149)</f>
        <v/>
      </c>
      <c r="AR1144" t="str">
        <f>IF(OR(SAISIE!$U$4="",SAISIE!$W$4=""),"",IF(AND($A1144=SAISIE!$U$4,$B1144=SAISIE!$W$4,$C1144="S1"),COUNTIFS($A$2:$A1144,SAISIE!$U$4,$B$2:$B1144,SAISIE!$W$4,$C$2:$C1144,"S1"),""))</f>
        <v/>
      </c>
      <c r="AS1144" t="str">
        <f t="shared" si="424"/>
        <v/>
      </c>
      <c r="AT1144" t="str">
        <f t="shared" si="425"/>
        <v/>
      </c>
      <c r="AU1144" t="str">
        <f t="shared" si="426"/>
        <v/>
      </c>
      <c r="AV1144">
        <f>N(AV1143)+IF(AND($AB1144&lt;&gt;"",OR('PROFIL ELEVE'!$K$4="(Tous)",$AF1144='PROFIL ELEVE'!$K$4)),1,0)</f>
        <v>0</v>
      </c>
      <c r="AW1144">
        <f>N(AW1143)+IF(AND($AB1144&lt;&gt;"",OR('SUIVI LONGITUDINAL'!$Q$4="(Tous)",$AF1144='SUIVI LONGITUDINAL'!$Q$4)),1,0)</f>
        <v>0</v>
      </c>
      <c r="AX1144">
        <f t="shared" si="427"/>
        <v>0</v>
      </c>
      <c r="AY1144">
        <f t="shared" si="428"/>
        <v>0</v>
      </c>
      <c r="AZ1144">
        <f t="shared" si="429"/>
        <v>0</v>
      </c>
      <c r="BA1144" t="str">
        <f t="shared" si="430"/>
        <v/>
      </c>
      <c r="BB1144" t="str">
        <f t="shared" si="431"/>
        <v/>
      </c>
    </row>
    <row r="1145" spans="1:54" ht="14.25" customHeight="1" x14ac:dyDescent="0.3">
      <c r="A1145" t="str">
        <f>IF(SAISIE!$F1150="","",SAISIE!$B1150)</f>
        <v/>
      </c>
      <c r="B1145" t="str">
        <f>IF(SAISIE!$F1150="","",SAISIE!$C1150)</f>
        <v/>
      </c>
      <c r="C1145" t="str">
        <f>IF(SAISIE!$F1150="","",SAISIE!$D1150)</f>
        <v/>
      </c>
      <c r="D1145" t="str">
        <f>IF(SAISIE!$E1150="","",SAISIE!$E1150)</f>
        <v/>
      </c>
      <c r="E1145" t="str">
        <f>IF(SAISIE!$F1150="","",SAISIE!$F1150)</f>
        <v/>
      </c>
      <c r="F1145" t="str">
        <f>IF(SAISIE!$G1150="","",SAISIE!$G1150)</f>
        <v/>
      </c>
      <c r="G1145" t="str">
        <f>IF(SAISIE!$H1150="","",SAISIE!$H1150)</f>
        <v/>
      </c>
      <c r="H1145" t="str">
        <f>IF(SAISIE!$I1150="","",SAISIE!$I1150)</f>
        <v/>
      </c>
      <c r="I1145" t="str">
        <f>IF(SAISIE!$J1150="","",SAISIE!$J1150)</f>
        <v/>
      </c>
      <c r="J1145" t="str">
        <f>IF(SAISIE!$K1150="","",SAISIE!$K1150)</f>
        <v/>
      </c>
      <c r="K1145" t="str">
        <f>IF(SAISIE!$L1150="","",SAISIE!$L1150)</f>
        <v/>
      </c>
      <c r="L1145" t="str">
        <f>IF(SAISIE!$M1150="","",SAISIE!$M1150)</f>
        <v/>
      </c>
      <c r="M1145" t="str">
        <f>IF(SAISIE!$N1150="","",SAISIE!$N1150)</f>
        <v/>
      </c>
      <c r="N1145" t="str">
        <f>IF(SAISIE!$O1150="","",SAISIE!$O1150)</f>
        <v/>
      </c>
      <c r="O1145" t="str">
        <f>IF(SAISIE!$P1150="","",SAISIE!$P1150)</f>
        <v/>
      </c>
      <c r="P1145" t="str">
        <f>IF(SAISIE!$Q1150="","",SAISIE!$Q1150)</f>
        <v/>
      </c>
      <c r="Q1145" t="str">
        <f>IF($I1145="","",IF($I1145&gt;PARAMETRES!$G$29,5,IF($I1145&gt;PARAMETRES!$F$29,4,IF($I1145&gt;PARAMETRES!$E$29,3,IF($I1145&gt;PARAMETRES!$D$29,2,1)))))</f>
        <v/>
      </c>
      <c r="R1145" t="str">
        <f>IF($J1145="","",IF($J1145&gt;PARAMETRES!$G$30,5,IF($J1145&gt;PARAMETRES!$F$30,4,IF($J1145&gt;PARAMETRES!$E$30,3,IF($J1145&gt;PARAMETRES!$D$30,2,1)))))</f>
        <v/>
      </c>
      <c r="S1145" t="str">
        <f>IF($K1145="","",IF($Z1145=2,IF($K1145&gt;PARAMETRES!$G$31,5,IF($K1145&gt;PARAMETRES!$F$31,4,IF($K1145&gt;PARAMETRES!$E$31,3,IF($K1145&gt;PARAMETRES!$D$31,2,1)))),IF($K1145&gt;PARAMETRES!$G$32,5,IF($K1145&gt;PARAMETRES!$F$32,4,IF($K1145&gt;PARAMETRES!$E$32,3,IF($K1145&gt;PARAMETRES!$D$32,2,1))))))</f>
        <v/>
      </c>
      <c r="T1145" t="str">
        <f>IF($L1145="","",IF($L1145&gt;PARAMETRES!$G$33,5,IF($L1145&gt;PARAMETRES!$F$33,4,IF($L1145&gt;PARAMETRES!$E$33,3,IF($L1145&gt;PARAMETRES!$D$33,2,1)))))</f>
        <v/>
      </c>
      <c r="U1145" t="str">
        <f>IF($M1145="","",IF($M1145&gt;PARAMETRES!$G$34,5,IF($M1145&gt;PARAMETRES!$F$34,4,IF($M1145&gt;PARAMETRES!$E$34,3,IF($M1145&gt;PARAMETRES!$D$34,2,1)))))</f>
        <v/>
      </c>
      <c r="V1145" t="str">
        <f>IF($N1145="","",IF($N1145&gt;PARAMETRES!$G$35,5,IF($N1145&gt;PARAMETRES!$F$35,4,IF($N1145&gt;PARAMETRES!$E$35,3,IF($N1145&gt;PARAMETRES!$D$35,2,1)))))</f>
        <v/>
      </c>
      <c r="W1145" t="str">
        <f>IF($O1145="","",IF($O1145&gt;PARAMETRES!$G$36,5,IF($O1145&gt;PARAMETRES!$F$36,4,IF($O1145&gt;PARAMETRES!$E$36,3,IF($O1145&gt;PARAMETRES!$D$36,2,1)))))</f>
        <v/>
      </c>
      <c r="X1145" t="str">
        <f>IF($P1145="","",IF($P1145&gt;PARAMETRES!$G$37,5,IF($P1145&gt;PARAMETRES!$F$37,4,IF($P1145&gt;PARAMETRES!$E$37,3,IF($P1145&gt;PARAMETRES!$D$37,2,1)))))</f>
        <v/>
      </c>
      <c r="Y1145" t="str">
        <f t="shared" si="408"/>
        <v/>
      </c>
      <c r="Z1145" t="str">
        <f>IFERROR(VLOOKUP($B1145,TABLE_CYCLE,2,0),"")</f>
        <v/>
      </c>
      <c r="AA1145" t="str">
        <f t="shared" si="409"/>
        <v/>
      </c>
      <c r="AB1145" t="str">
        <f>IF($D1145="","",IF(COUNTIF($D$2:$D1145,$D1145)=1,$D1145,""))</f>
        <v/>
      </c>
      <c r="AC1145">
        <f t="shared" si="410"/>
        <v>0</v>
      </c>
      <c r="AD1145" t="str">
        <f t="shared" si="411"/>
        <v>|0</v>
      </c>
      <c r="AE1145" t="str">
        <f t="shared" si="412"/>
        <v/>
      </c>
      <c r="AF1145" t="str">
        <f t="shared" si="413"/>
        <v/>
      </c>
      <c r="AG1145" t="str">
        <f t="shared" si="414"/>
        <v/>
      </c>
      <c r="AH1145" t="str">
        <f t="shared" si="415"/>
        <v/>
      </c>
      <c r="AI1145" t="str">
        <f t="shared" si="416"/>
        <v/>
      </c>
      <c r="AJ1145" t="str">
        <f t="shared" si="417"/>
        <v/>
      </c>
      <c r="AK1145" t="str">
        <f t="shared" si="418"/>
        <v/>
      </c>
      <c r="AL1145" t="str">
        <f t="shared" si="419"/>
        <v/>
      </c>
      <c r="AM1145" t="str">
        <f t="shared" si="420"/>
        <v/>
      </c>
      <c r="AN1145" t="str">
        <f t="shared" si="421"/>
        <v/>
      </c>
      <c r="AO1145" t="str">
        <f t="shared" si="422"/>
        <v/>
      </c>
      <c r="AP1145">
        <f t="shared" si="423"/>
        <v>1</v>
      </c>
      <c r="AQ1145" t="str">
        <f>IF(SAISIE!$F1150="","",SAISIE!$Y1150)</f>
        <v/>
      </c>
      <c r="AR1145" t="str">
        <f>IF(OR(SAISIE!$U$4="",SAISIE!$W$4=""),"",IF(AND($A1145=SAISIE!$U$4,$B1145=SAISIE!$W$4,$C1145="S1"),COUNTIFS($A$2:$A1145,SAISIE!$U$4,$B$2:$B1145,SAISIE!$W$4,$C$2:$C1145,"S1"),""))</f>
        <v/>
      </c>
      <c r="AS1145" t="str">
        <f t="shared" si="424"/>
        <v/>
      </c>
      <c r="AT1145" t="str">
        <f t="shared" si="425"/>
        <v/>
      </c>
      <c r="AU1145" t="str">
        <f t="shared" si="426"/>
        <v/>
      </c>
      <c r="AV1145">
        <f>N(AV1144)+IF(AND($AB1145&lt;&gt;"",OR('PROFIL ELEVE'!$K$4="(Tous)",$AF1145='PROFIL ELEVE'!$K$4)),1,0)</f>
        <v>0</v>
      </c>
      <c r="AW1145">
        <f>N(AW1144)+IF(AND($AB1145&lt;&gt;"",OR('SUIVI LONGITUDINAL'!$Q$4="(Tous)",$AF1145='SUIVI LONGITUDINAL'!$Q$4)),1,0)</f>
        <v>0</v>
      </c>
      <c r="AX1145">
        <f t="shared" si="427"/>
        <v>0</v>
      </c>
      <c r="AY1145">
        <f t="shared" si="428"/>
        <v>0</v>
      </c>
      <c r="AZ1145">
        <f t="shared" si="429"/>
        <v>0</v>
      </c>
      <c r="BA1145" t="str">
        <f t="shared" si="430"/>
        <v/>
      </c>
      <c r="BB1145" t="str">
        <f t="shared" si="431"/>
        <v/>
      </c>
    </row>
    <row r="1146" spans="1:54" ht="14.25" customHeight="1" x14ac:dyDescent="0.3">
      <c r="A1146" t="str">
        <f>IF(SAISIE!$F1151="","",SAISIE!$B1151)</f>
        <v/>
      </c>
      <c r="B1146" t="str">
        <f>IF(SAISIE!$F1151="","",SAISIE!$C1151)</f>
        <v/>
      </c>
      <c r="C1146" t="str">
        <f>IF(SAISIE!$F1151="","",SAISIE!$D1151)</f>
        <v/>
      </c>
      <c r="D1146" t="str">
        <f>IF(SAISIE!$E1151="","",SAISIE!$E1151)</f>
        <v/>
      </c>
      <c r="E1146" t="str">
        <f>IF(SAISIE!$F1151="","",SAISIE!$F1151)</f>
        <v/>
      </c>
      <c r="F1146" t="str">
        <f>IF(SAISIE!$G1151="","",SAISIE!$G1151)</f>
        <v/>
      </c>
      <c r="G1146" t="str">
        <f>IF(SAISIE!$H1151="","",SAISIE!$H1151)</f>
        <v/>
      </c>
      <c r="H1146" t="str">
        <f>IF(SAISIE!$I1151="","",SAISIE!$I1151)</f>
        <v/>
      </c>
      <c r="I1146" t="str">
        <f>IF(SAISIE!$J1151="","",SAISIE!$J1151)</f>
        <v/>
      </c>
      <c r="J1146" t="str">
        <f>IF(SAISIE!$K1151="","",SAISIE!$K1151)</f>
        <v/>
      </c>
      <c r="K1146" t="str">
        <f>IF(SAISIE!$L1151="","",SAISIE!$L1151)</f>
        <v/>
      </c>
      <c r="L1146" t="str">
        <f>IF(SAISIE!$M1151="","",SAISIE!$M1151)</f>
        <v/>
      </c>
      <c r="M1146" t="str">
        <f>IF(SAISIE!$N1151="","",SAISIE!$N1151)</f>
        <v/>
      </c>
      <c r="N1146" t="str">
        <f>IF(SAISIE!$O1151="","",SAISIE!$O1151)</f>
        <v/>
      </c>
      <c r="O1146" t="str">
        <f>IF(SAISIE!$P1151="","",SAISIE!$P1151)</f>
        <v/>
      </c>
      <c r="P1146" t="str">
        <f>IF(SAISIE!$Q1151="","",SAISIE!$Q1151)</f>
        <v/>
      </c>
      <c r="Q1146" t="str">
        <f>IF($I1146="","",IF($I1146&gt;PARAMETRES!$G$29,5,IF($I1146&gt;PARAMETRES!$F$29,4,IF($I1146&gt;PARAMETRES!$E$29,3,IF($I1146&gt;PARAMETRES!$D$29,2,1)))))</f>
        <v/>
      </c>
      <c r="R1146" t="str">
        <f>IF($J1146="","",IF($J1146&gt;PARAMETRES!$G$30,5,IF($J1146&gt;PARAMETRES!$F$30,4,IF($J1146&gt;PARAMETRES!$E$30,3,IF($J1146&gt;PARAMETRES!$D$30,2,1)))))</f>
        <v/>
      </c>
      <c r="S1146" t="str">
        <f>IF($K1146="","",IF($Z1146=2,IF($K1146&gt;PARAMETRES!$G$31,5,IF($K1146&gt;PARAMETRES!$F$31,4,IF($K1146&gt;PARAMETRES!$E$31,3,IF($K1146&gt;PARAMETRES!$D$31,2,1)))),IF($K1146&gt;PARAMETRES!$G$32,5,IF($K1146&gt;PARAMETRES!$F$32,4,IF($K1146&gt;PARAMETRES!$E$32,3,IF($K1146&gt;PARAMETRES!$D$32,2,1))))))</f>
        <v/>
      </c>
      <c r="T1146" t="str">
        <f>IF($L1146="","",IF($L1146&gt;PARAMETRES!$G$33,5,IF($L1146&gt;PARAMETRES!$F$33,4,IF($L1146&gt;PARAMETRES!$E$33,3,IF($L1146&gt;PARAMETRES!$D$33,2,1)))))</f>
        <v/>
      </c>
      <c r="U1146" t="str">
        <f>IF($M1146="","",IF($M1146&gt;PARAMETRES!$G$34,5,IF($M1146&gt;PARAMETRES!$F$34,4,IF($M1146&gt;PARAMETRES!$E$34,3,IF($M1146&gt;PARAMETRES!$D$34,2,1)))))</f>
        <v/>
      </c>
      <c r="V1146" t="str">
        <f>IF($N1146="","",IF($N1146&gt;PARAMETRES!$G$35,5,IF($N1146&gt;PARAMETRES!$F$35,4,IF($N1146&gt;PARAMETRES!$E$35,3,IF($N1146&gt;PARAMETRES!$D$35,2,1)))))</f>
        <v/>
      </c>
      <c r="W1146" t="str">
        <f>IF($O1146="","",IF($O1146&gt;PARAMETRES!$G$36,5,IF($O1146&gt;PARAMETRES!$F$36,4,IF($O1146&gt;PARAMETRES!$E$36,3,IF($O1146&gt;PARAMETRES!$D$36,2,1)))))</f>
        <v/>
      </c>
      <c r="X1146" t="str">
        <f>IF($P1146="","",IF($P1146&gt;PARAMETRES!$G$37,5,IF($P1146&gt;PARAMETRES!$F$37,4,IF($P1146&gt;PARAMETRES!$E$37,3,IF($P1146&gt;PARAMETRES!$D$37,2,1)))))</f>
        <v/>
      </c>
      <c r="Y1146" t="str">
        <f t="shared" si="408"/>
        <v/>
      </c>
      <c r="Z1146" t="str">
        <f>IFERROR(VLOOKUP($B1146,TABLE_CYCLE,2,0),"")</f>
        <v/>
      </c>
      <c r="AA1146" t="str">
        <f t="shared" si="409"/>
        <v/>
      </c>
      <c r="AB1146" t="str">
        <f>IF($D1146="","",IF(COUNTIF($D$2:$D1146,$D1146)=1,$D1146,""))</f>
        <v/>
      </c>
      <c r="AC1146">
        <f t="shared" si="410"/>
        <v>0</v>
      </c>
      <c r="AD1146" t="str">
        <f t="shared" si="411"/>
        <v>|0</v>
      </c>
      <c r="AE1146" t="str">
        <f t="shared" si="412"/>
        <v/>
      </c>
      <c r="AF1146" t="str">
        <f t="shared" si="413"/>
        <v/>
      </c>
      <c r="AG1146" t="str">
        <f t="shared" si="414"/>
        <v/>
      </c>
      <c r="AH1146" t="str">
        <f t="shared" si="415"/>
        <v/>
      </c>
      <c r="AI1146" t="str">
        <f t="shared" si="416"/>
        <v/>
      </c>
      <c r="AJ1146" t="str">
        <f t="shared" si="417"/>
        <v/>
      </c>
      <c r="AK1146" t="str">
        <f t="shared" si="418"/>
        <v/>
      </c>
      <c r="AL1146" t="str">
        <f t="shared" si="419"/>
        <v/>
      </c>
      <c r="AM1146" t="str">
        <f t="shared" si="420"/>
        <v/>
      </c>
      <c r="AN1146" t="str">
        <f t="shared" si="421"/>
        <v/>
      </c>
      <c r="AO1146" t="str">
        <f t="shared" si="422"/>
        <v/>
      </c>
      <c r="AP1146">
        <f t="shared" si="423"/>
        <v>1</v>
      </c>
      <c r="AQ1146" t="str">
        <f>IF(SAISIE!$F1151="","",SAISIE!$Y1151)</f>
        <v/>
      </c>
      <c r="AR1146" t="str">
        <f>IF(OR(SAISIE!$U$4="",SAISIE!$W$4=""),"",IF(AND($A1146=SAISIE!$U$4,$B1146=SAISIE!$W$4,$C1146="S1"),COUNTIFS($A$2:$A1146,SAISIE!$U$4,$B$2:$B1146,SAISIE!$W$4,$C$2:$C1146,"S1"),""))</f>
        <v/>
      </c>
      <c r="AS1146" t="str">
        <f t="shared" si="424"/>
        <v/>
      </c>
      <c r="AT1146" t="str">
        <f t="shared" si="425"/>
        <v/>
      </c>
      <c r="AU1146" t="str">
        <f t="shared" si="426"/>
        <v/>
      </c>
      <c r="AV1146">
        <f>N(AV1145)+IF(AND($AB1146&lt;&gt;"",OR('PROFIL ELEVE'!$K$4="(Tous)",$AF1146='PROFIL ELEVE'!$K$4)),1,0)</f>
        <v>0</v>
      </c>
      <c r="AW1146">
        <f>N(AW1145)+IF(AND($AB1146&lt;&gt;"",OR('SUIVI LONGITUDINAL'!$Q$4="(Tous)",$AF1146='SUIVI LONGITUDINAL'!$Q$4)),1,0)</f>
        <v>0</v>
      </c>
      <c r="AX1146">
        <f t="shared" si="427"/>
        <v>0</v>
      </c>
      <c r="AY1146">
        <f t="shared" si="428"/>
        <v>0</v>
      </c>
      <c r="AZ1146">
        <f t="shared" si="429"/>
        <v>0</v>
      </c>
      <c r="BA1146" t="str">
        <f t="shared" si="430"/>
        <v/>
      </c>
      <c r="BB1146" t="str">
        <f t="shared" si="431"/>
        <v/>
      </c>
    </row>
    <row r="1147" spans="1:54" ht="14.25" customHeight="1" x14ac:dyDescent="0.3">
      <c r="A1147" t="str">
        <f>IF(SAISIE!$F1152="","",SAISIE!$B1152)</f>
        <v/>
      </c>
      <c r="B1147" t="str">
        <f>IF(SAISIE!$F1152="","",SAISIE!$C1152)</f>
        <v/>
      </c>
      <c r="C1147" t="str">
        <f>IF(SAISIE!$F1152="","",SAISIE!$D1152)</f>
        <v/>
      </c>
      <c r="D1147" t="str">
        <f>IF(SAISIE!$E1152="","",SAISIE!$E1152)</f>
        <v/>
      </c>
      <c r="E1147" t="str">
        <f>IF(SAISIE!$F1152="","",SAISIE!$F1152)</f>
        <v/>
      </c>
      <c r="F1147" t="str">
        <f>IF(SAISIE!$G1152="","",SAISIE!$G1152)</f>
        <v/>
      </c>
      <c r="G1147" t="str">
        <f>IF(SAISIE!$H1152="","",SAISIE!$H1152)</f>
        <v/>
      </c>
      <c r="H1147" t="str">
        <f>IF(SAISIE!$I1152="","",SAISIE!$I1152)</f>
        <v/>
      </c>
      <c r="I1147" t="str">
        <f>IF(SAISIE!$J1152="","",SAISIE!$J1152)</f>
        <v/>
      </c>
      <c r="J1147" t="str">
        <f>IF(SAISIE!$K1152="","",SAISIE!$K1152)</f>
        <v/>
      </c>
      <c r="K1147" t="str">
        <f>IF(SAISIE!$L1152="","",SAISIE!$L1152)</f>
        <v/>
      </c>
      <c r="L1147" t="str">
        <f>IF(SAISIE!$M1152="","",SAISIE!$M1152)</f>
        <v/>
      </c>
      <c r="M1147" t="str">
        <f>IF(SAISIE!$N1152="","",SAISIE!$N1152)</f>
        <v/>
      </c>
      <c r="N1147" t="str">
        <f>IF(SAISIE!$O1152="","",SAISIE!$O1152)</f>
        <v/>
      </c>
      <c r="O1147" t="str">
        <f>IF(SAISIE!$P1152="","",SAISIE!$P1152)</f>
        <v/>
      </c>
      <c r="P1147" t="str">
        <f>IF(SAISIE!$Q1152="","",SAISIE!$Q1152)</f>
        <v/>
      </c>
      <c r="Q1147" t="str">
        <f>IF($I1147="","",IF($I1147&gt;PARAMETRES!$G$29,5,IF($I1147&gt;PARAMETRES!$F$29,4,IF($I1147&gt;PARAMETRES!$E$29,3,IF($I1147&gt;PARAMETRES!$D$29,2,1)))))</f>
        <v/>
      </c>
      <c r="R1147" t="str">
        <f>IF($J1147="","",IF($J1147&gt;PARAMETRES!$G$30,5,IF($J1147&gt;PARAMETRES!$F$30,4,IF($J1147&gt;PARAMETRES!$E$30,3,IF($J1147&gt;PARAMETRES!$D$30,2,1)))))</f>
        <v/>
      </c>
      <c r="S1147" t="str">
        <f>IF($K1147="","",IF($Z1147=2,IF($K1147&gt;PARAMETRES!$G$31,5,IF($K1147&gt;PARAMETRES!$F$31,4,IF($K1147&gt;PARAMETRES!$E$31,3,IF($K1147&gt;PARAMETRES!$D$31,2,1)))),IF($K1147&gt;PARAMETRES!$G$32,5,IF($K1147&gt;PARAMETRES!$F$32,4,IF($K1147&gt;PARAMETRES!$E$32,3,IF($K1147&gt;PARAMETRES!$D$32,2,1))))))</f>
        <v/>
      </c>
      <c r="T1147" t="str">
        <f>IF($L1147="","",IF($L1147&gt;PARAMETRES!$G$33,5,IF($L1147&gt;PARAMETRES!$F$33,4,IF($L1147&gt;PARAMETRES!$E$33,3,IF($L1147&gt;PARAMETRES!$D$33,2,1)))))</f>
        <v/>
      </c>
      <c r="U1147" t="str">
        <f>IF($M1147="","",IF($M1147&gt;PARAMETRES!$G$34,5,IF($M1147&gt;PARAMETRES!$F$34,4,IF($M1147&gt;PARAMETRES!$E$34,3,IF($M1147&gt;PARAMETRES!$D$34,2,1)))))</f>
        <v/>
      </c>
      <c r="V1147" t="str">
        <f>IF($N1147="","",IF($N1147&gt;PARAMETRES!$G$35,5,IF($N1147&gt;PARAMETRES!$F$35,4,IF($N1147&gt;PARAMETRES!$E$35,3,IF($N1147&gt;PARAMETRES!$D$35,2,1)))))</f>
        <v/>
      </c>
      <c r="W1147" t="str">
        <f>IF($O1147="","",IF($O1147&gt;PARAMETRES!$G$36,5,IF($O1147&gt;PARAMETRES!$F$36,4,IF($O1147&gt;PARAMETRES!$E$36,3,IF($O1147&gt;PARAMETRES!$D$36,2,1)))))</f>
        <v/>
      </c>
      <c r="X1147" t="str">
        <f>IF($P1147="","",IF($P1147&gt;PARAMETRES!$G$37,5,IF($P1147&gt;PARAMETRES!$F$37,4,IF($P1147&gt;PARAMETRES!$E$37,3,IF($P1147&gt;PARAMETRES!$D$37,2,1)))))</f>
        <v/>
      </c>
      <c r="Y1147" t="str">
        <f t="shared" si="408"/>
        <v/>
      </c>
      <c r="Z1147" t="str">
        <f>IFERROR(VLOOKUP($B1147,TABLE_CYCLE,2,0),"")</f>
        <v/>
      </c>
      <c r="AA1147" t="str">
        <f t="shared" si="409"/>
        <v/>
      </c>
      <c r="AB1147" t="str">
        <f>IF($D1147="","",IF(COUNTIF($D$2:$D1147,$D1147)=1,$D1147,""))</f>
        <v/>
      </c>
      <c r="AC1147">
        <f t="shared" si="410"/>
        <v>0</v>
      </c>
      <c r="AD1147" t="str">
        <f t="shared" si="411"/>
        <v>|0</v>
      </c>
      <c r="AE1147" t="str">
        <f t="shared" si="412"/>
        <v/>
      </c>
      <c r="AF1147" t="str">
        <f t="shared" si="413"/>
        <v/>
      </c>
      <c r="AG1147" t="str">
        <f t="shared" si="414"/>
        <v/>
      </c>
      <c r="AH1147" t="str">
        <f t="shared" si="415"/>
        <v/>
      </c>
      <c r="AI1147" t="str">
        <f t="shared" si="416"/>
        <v/>
      </c>
      <c r="AJ1147" t="str">
        <f t="shared" si="417"/>
        <v/>
      </c>
      <c r="AK1147" t="str">
        <f t="shared" si="418"/>
        <v/>
      </c>
      <c r="AL1147" t="str">
        <f t="shared" si="419"/>
        <v/>
      </c>
      <c r="AM1147" t="str">
        <f t="shared" si="420"/>
        <v/>
      </c>
      <c r="AN1147" t="str">
        <f t="shared" si="421"/>
        <v/>
      </c>
      <c r="AO1147" t="str">
        <f t="shared" si="422"/>
        <v/>
      </c>
      <c r="AP1147">
        <f t="shared" si="423"/>
        <v>1</v>
      </c>
      <c r="AQ1147" t="str">
        <f>IF(SAISIE!$F1152="","",SAISIE!$Y1152)</f>
        <v/>
      </c>
      <c r="AR1147" t="str">
        <f>IF(OR(SAISIE!$U$4="",SAISIE!$W$4=""),"",IF(AND($A1147=SAISIE!$U$4,$B1147=SAISIE!$W$4,$C1147="S1"),COUNTIFS($A$2:$A1147,SAISIE!$U$4,$B$2:$B1147,SAISIE!$W$4,$C$2:$C1147,"S1"),""))</f>
        <v/>
      </c>
      <c r="AS1147" t="str">
        <f t="shared" si="424"/>
        <v/>
      </c>
      <c r="AT1147" t="str">
        <f t="shared" si="425"/>
        <v/>
      </c>
      <c r="AU1147" t="str">
        <f t="shared" si="426"/>
        <v/>
      </c>
      <c r="AV1147">
        <f>N(AV1146)+IF(AND($AB1147&lt;&gt;"",OR('PROFIL ELEVE'!$K$4="(Tous)",$AF1147='PROFIL ELEVE'!$K$4)),1,0)</f>
        <v>0</v>
      </c>
      <c r="AW1147">
        <f>N(AW1146)+IF(AND($AB1147&lt;&gt;"",OR('SUIVI LONGITUDINAL'!$Q$4="(Tous)",$AF1147='SUIVI LONGITUDINAL'!$Q$4)),1,0)</f>
        <v>0</v>
      </c>
      <c r="AX1147">
        <f t="shared" si="427"/>
        <v>0</v>
      </c>
      <c r="AY1147">
        <f t="shared" si="428"/>
        <v>0</v>
      </c>
      <c r="AZ1147">
        <f t="shared" si="429"/>
        <v>0</v>
      </c>
      <c r="BA1147" t="str">
        <f t="shared" si="430"/>
        <v/>
      </c>
      <c r="BB1147" t="str">
        <f t="shared" si="431"/>
        <v/>
      </c>
    </row>
    <row r="1148" spans="1:54" ht="14.25" customHeight="1" x14ac:dyDescent="0.3">
      <c r="A1148" t="str">
        <f>IF(SAISIE!$F1153="","",SAISIE!$B1153)</f>
        <v/>
      </c>
      <c r="B1148" t="str">
        <f>IF(SAISIE!$F1153="","",SAISIE!$C1153)</f>
        <v/>
      </c>
      <c r="C1148" t="str">
        <f>IF(SAISIE!$F1153="","",SAISIE!$D1153)</f>
        <v/>
      </c>
      <c r="D1148" t="str">
        <f>IF(SAISIE!$E1153="","",SAISIE!$E1153)</f>
        <v/>
      </c>
      <c r="E1148" t="str">
        <f>IF(SAISIE!$F1153="","",SAISIE!$F1153)</f>
        <v/>
      </c>
      <c r="F1148" t="str">
        <f>IF(SAISIE!$G1153="","",SAISIE!$G1153)</f>
        <v/>
      </c>
      <c r="G1148" t="str">
        <f>IF(SAISIE!$H1153="","",SAISIE!$H1153)</f>
        <v/>
      </c>
      <c r="H1148" t="str">
        <f>IF(SAISIE!$I1153="","",SAISIE!$I1153)</f>
        <v/>
      </c>
      <c r="I1148" t="str">
        <f>IF(SAISIE!$J1153="","",SAISIE!$J1153)</f>
        <v/>
      </c>
      <c r="J1148" t="str">
        <f>IF(SAISIE!$K1153="","",SAISIE!$K1153)</f>
        <v/>
      </c>
      <c r="K1148" t="str">
        <f>IF(SAISIE!$L1153="","",SAISIE!$L1153)</f>
        <v/>
      </c>
      <c r="L1148" t="str">
        <f>IF(SAISIE!$M1153="","",SAISIE!$M1153)</f>
        <v/>
      </c>
      <c r="M1148" t="str">
        <f>IF(SAISIE!$N1153="","",SAISIE!$N1153)</f>
        <v/>
      </c>
      <c r="N1148" t="str">
        <f>IF(SAISIE!$O1153="","",SAISIE!$O1153)</f>
        <v/>
      </c>
      <c r="O1148" t="str">
        <f>IF(SAISIE!$P1153="","",SAISIE!$P1153)</f>
        <v/>
      </c>
      <c r="P1148" t="str">
        <f>IF(SAISIE!$Q1153="","",SAISIE!$Q1153)</f>
        <v/>
      </c>
      <c r="Q1148" t="str">
        <f>IF($I1148="","",IF($I1148&gt;PARAMETRES!$G$29,5,IF($I1148&gt;PARAMETRES!$F$29,4,IF($I1148&gt;PARAMETRES!$E$29,3,IF($I1148&gt;PARAMETRES!$D$29,2,1)))))</f>
        <v/>
      </c>
      <c r="R1148" t="str">
        <f>IF($J1148="","",IF($J1148&gt;PARAMETRES!$G$30,5,IF($J1148&gt;PARAMETRES!$F$30,4,IF($J1148&gt;PARAMETRES!$E$30,3,IF($J1148&gt;PARAMETRES!$D$30,2,1)))))</f>
        <v/>
      </c>
      <c r="S1148" t="str">
        <f>IF($K1148="","",IF($Z1148=2,IF($K1148&gt;PARAMETRES!$G$31,5,IF($K1148&gt;PARAMETRES!$F$31,4,IF($K1148&gt;PARAMETRES!$E$31,3,IF($K1148&gt;PARAMETRES!$D$31,2,1)))),IF($K1148&gt;PARAMETRES!$G$32,5,IF($K1148&gt;PARAMETRES!$F$32,4,IF($K1148&gt;PARAMETRES!$E$32,3,IF($K1148&gt;PARAMETRES!$D$32,2,1))))))</f>
        <v/>
      </c>
      <c r="T1148" t="str">
        <f>IF($L1148="","",IF($L1148&gt;PARAMETRES!$G$33,5,IF($L1148&gt;PARAMETRES!$F$33,4,IF($L1148&gt;PARAMETRES!$E$33,3,IF($L1148&gt;PARAMETRES!$D$33,2,1)))))</f>
        <v/>
      </c>
      <c r="U1148" t="str">
        <f>IF($M1148="","",IF($M1148&gt;PARAMETRES!$G$34,5,IF($M1148&gt;PARAMETRES!$F$34,4,IF($M1148&gt;PARAMETRES!$E$34,3,IF($M1148&gt;PARAMETRES!$D$34,2,1)))))</f>
        <v/>
      </c>
      <c r="V1148" t="str">
        <f>IF($N1148="","",IF($N1148&gt;PARAMETRES!$G$35,5,IF($N1148&gt;PARAMETRES!$F$35,4,IF($N1148&gt;PARAMETRES!$E$35,3,IF($N1148&gt;PARAMETRES!$D$35,2,1)))))</f>
        <v/>
      </c>
      <c r="W1148" t="str">
        <f>IF($O1148="","",IF($O1148&gt;PARAMETRES!$G$36,5,IF($O1148&gt;PARAMETRES!$F$36,4,IF($O1148&gt;PARAMETRES!$E$36,3,IF($O1148&gt;PARAMETRES!$D$36,2,1)))))</f>
        <v/>
      </c>
      <c r="X1148" t="str">
        <f>IF($P1148="","",IF($P1148&gt;PARAMETRES!$G$37,5,IF($P1148&gt;PARAMETRES!$F$37,4,IF($P1148&gt;PARAMETRES!$E$37,3,IF($P1148&gt;PARAMETRES!$D$37,2,1)))))</f>
        <v/>
      </c>
      <c r="Y1148" t="str">
        <f t="shared" si="408"/>
        <v/>
      </c>
      <c r="Z1148" t="str">
        <f>IFERROR(VLOOKUP($B1148,TABLE_CYCLE,2,0),"")</f>
        <v/>
      </c>
      <c r="AA1148" t="str">
        <f t="shared" si="409"/>
        <v/>
      </c>
      <c r="AB1148" t="str">
        <f>IF($D1148="","",IF(COUNTIF($D$2:$D1148,$D1148)=1,$D1148,""))</f>
        <v/>
      </c>
      <c r="AC1148">
        <f t="shared" si="410"/>
        <v>0</v>
      </c>
      <c r="AD1148" t="str">
        <f t="shared" si="411"/>
        <v>|0</v>
      </c>
      <c r="AE1148" t="str">
        <f t="shared" si="412"/>
        <v/>
      </c>
      <c r="AF1148" t="str">
        <f t="shared" si="413"/>
        <v/>
      </c>
      <c r="AG1148" t="str">
        <f t="shared" si="414"/>
        <v/>
      </c>
      <c r="AH1148" t="str">
        <f t="shared" si="415"/>
        <v/>
      </c>
      <c r="AI1148" t="str">
        <f t="shared" si="416"/>
        <v/>
      </c>
      <c r="AJ1148" t="str">
        <f t="shared" si="417"/>
        <v/>
      </c>
      <c r="AK1148" t="str">
        <f t="shared" si="418"/>
        <v/>
      </c>
      <c r="AL1148" t="str">
        <f t="shared" si="419"/>
        <v/>
      </c>
      <c r="AM1148" t="str">
        <f t="shared" si="420"/>
        <v/>
      </c>
      <c r="AN1148" t="str">
        <f t="shared" si="421"/>
        <v/>
      </c>
      <c r="AO1148" t="str">
        <f t="shared" si="422"/>
        <v/>
      </c>
      <c r="AP1148">
        <f t="shared" si="423"/>
        <v>1</v>
      </c>
      <c r="AQ1148" t="str">
        <f>IF(SAISIE!$F1153="","",SAISIE!$Y1153)</f>
        <v/>
      </c>
      <c r="AR1148" t="str">
        <f>IF(OR(SAISIE!$U$4="",SAISIE!$W$4=""),"",IF(AND($A1148=SAISIE!$U$4,$B1148=SAISIE!$W$4,$C1148="S1"),COUNTIFS($A$2:$A1148,SAISIE!$U$4,$B$2:$B1148,SAISIE!$W$4,$C$2:$C1148,"S1"),""))</f>
        <v/>
      </c>
      <c r="AS1148" t="str">
        <f t="shared" si="424"/>
        <v/>
      </c>
      <c r="AT1148" t="str">
        <f t="shared" si="425"/>
        <v/>
      </c>
      <c r="AU1148" t="str">
        <f t="shared" si="426"/>
        <v/>
      </c>
      <c r="AV1148">
        <f>N(AV1147)+IF(AND($AB1148&lt;&gt;"",OR('PROFIL ELEVE'!$K$4="(Tous)",$AF1148='PROFIL ELEVE'!$K$4)),1,0)</f>
        <v>0</v>
      </c>
      <c r="AW1148">
        <f>N(AW1147)+IF(AND($AB1148&lt;&gt;"",OR('SUIVI LONGITUDINAL'!$Q$4="(Tous)",$AF1148='SUIVI LONGITUDINAL'!$Q$4)),1,0)</f>
        <v>0</v>
      </c>
      <c r="AX1148">
        <f t="shared" si="427"/>
        <v>0</v>
      </c>
      <c r="AY1148">
        <f t="shared" si="428"/>
        <v>0</v>
      </c>
      <c r="AZ1148">
        <f t="shared" si="429"/>
        <v>0</v>
      </c>
      <c r="BA1148" t="str">
        <f t="shared" si="430"/>
        <v/>
      </c>
      <c r="BB1148" t="str">
        <f t="shared" si="431"/>
        <v/>
      </c>
    </row>
    <row r="1149" spans="1:54" ht="14.25" customHeight="1" x14ac:dyDescent="0.3">
      <c r="A1149" t="str">
        <f>IF(SAISIE!$F1154="","",SAISIE!$B1154)</f>
        <v/>
      </c>
      <c r="B1149" t="str">
        <f>IF(SAISIE!$F1154="","",SAISIE!$C1154)</f>
        <v/>
      </c>
      <c r="C1149" t="str">
        <f>IF(SAISIE!$F1154="","",SAISIE!$D1154)</f>
        <v/>
      </c>
      <c r="D1149" t="str">
        <f>IF(SAISIE!$E1154="","",SAISIE!$E1154)</f>
        <v/>
      </c>
      <c r="E1149" t="str">
        <f>IF(SAISIE!$F1154="","",SAISIE!$F1154)</f>
        <v/>
      </c>
      <c r="F1149" t="str">
        <f>IF(SAISIE!$G1154="","",SAISIE!$G1154)</f>
        <v/>
      </c>
      <c r="G1149" t="str">
        <f>IF(SAISIE!$H1154="","",SAISIE!$H1154)</f>
        <v/>
      </c>
      <c r="H1149" t="str">
        <f>IF(SAISIE!$I1154="","",SAISIE!$I1154)</f>
        <v/>
      </c>
      <c r="I1149" t="str">
        <f>IF(SAISIE!$J1154="","",SAISIE!$J1154)</f>
        <v/>
      </c>
      <c r="J1149" t="str">
        <f>IF(SAISIE!$K1154="","",SAISIE!$K1154)</f>
        <v/>
      </c>
      <c r="K1149" t="str">
        <f>IF(SAISIE!$L1154="","",SAISIE!$L1154)</f>
        <v/>
      </c>
      <c r="L1149" t="str">
        <f>IF(SAISIE!$M1154="","",SAISIE!$M1154)</f>
        <v/>
      </c>
      <c r="M1149" t="str">
        <f>IF(SAISIE!$N1154="","",SAISIE!$N1154)</f>
        <v/>
      </c>
      <c r="N1149" t="str">
        <f>IF(SAISIE!$O1154="","",SAISIE!$O1154)</f>
        <v/>
      </c>
      <c r="O1149" t="str">
        <f>IF(SAISIE!$P1154="","",SAISIE!$P1154)</f>
        <v/>
      </c>
      <c r="P1149" t="str">
        <f>IF(SAISIE!$Q1154="","",SAISIE!$Q1154)</f>
        <v/>
      </c>
      <c r="Q1149" t="str">
        <f>IF($I1149="","",IF($I1149&gt;PARAMETRES!$G$29,5,IF($I1149&gt;PARAMETRES!$F$29,4,IF($I1149&gt;PARAMETRES!$E$29,3,IF($I1149&gt;PARAMETRES!$D$29,2,1)))))</f>
        <v/>
      </c>
      <c r="R1149" t="str">
        <f>IF($J1149="","",IF($J1149&gt;PARAMETRES!$G$30,5,IF($J1149&gt;PARAMETRES!$F$30,4,IF($J1149&gt;PARAMETRES!$E$30,3,IF($J1149&gt;PARAMETRES!$D$30,2,1)))))</f>
        <v/>
      </c>
      <c r="S1149" t="str">
        <f>IF($K1149="","",IF($Z1149=2,IF($K1149&gt;PARAMETRES!$G$31,5,IF($K1149&gt;PARAMETRES!$F$31,4,IF($K1149&gt;PARAMETRES!$E$31,3,IF($K1149&gt;PARAMETRES!$D$31,2,1)))),IF($K1149&gt;PARAMETRES!$G$32,5,IF($K1149&gt;PARAMETRES!$F$32,4,IF($K1149&gt;PARAMETRES!$E$32,3,IF($K1149&gt;PARAMETRES!$D$32,2,1))))))</f>
        <v/>
      </c>
      <c r="T1149" t="str">
        <f>IF($L1149="","",IF($L1149&gt;PARAMETRES!$G$33,5,IF($L1149&gt;PARAMETRES!$F$33,4,IF($L1149&gt;PARAMETRES!$E$33,3,IF($L1149&gt;PARAMETRES!$D$33,2,1)))))</f>
        <v/>
      </c>
      <c r="U1149" t="str">
        <f>IF($M1149="","",IF($M1149&gt;PARAMETRES!$G$34,5,IF($M1149&gt;PARAMETRES!$F$34,4,IF($M1149&gt;PARAMETRES!$E$34,3,IF($M1149&gt;PARAMETRES!$D$34,2,1)))))</f>
        <v/>
      </c>
      <c r="V1149" t="str">
        <f>IF($N1149="","",IF($N1149&gt;PARAMETRES!$G$35,5,IF($N1149&gt;PARAMETRES!$F$35,4,IF($N1149&gt;PARAMETRES!$E$35,3,IF($N1149&gt;PARAMETRES!$D$35,2,1)))))</f>
        <v/>
      </c>
      <c r="W1149" t="str">
        <f>IF($O1149="","",IF($O1149&gt;PARAMETRES!$G$36,5,IF($O1149&gt;PARAMETRES!$F$36,4,IF($O1149&gt;PARAMETRES!$E$36,3,IF($O1149&gt;PARAMETRES!$D$36,2,1)))))</f>
        <v/>
      </c>
      <c r="X1149" t="str">
        <f>IF($P1149="","",IF($P1149&gt;PARAMETRES!$G$37,5,IF($P1149&gt;PARAMETRES!$F$37,4,IF($P1149&gt;PARAMETRES!$E$37,3,IF($P1149&gt;PARAMETRES!$D$37,2,1)))))</f>
        <v/>
      </c>
      <c r="Y1149" t="str">
        <f t="shared" si="408"/>
        <v/>
      </c>
      <c r="Z1149" t="str">
        <f>IFERROR(VLOOKUP($B1149,TABLE_CYCLE,2,0),"")</f>
        <v/>
      </c>
      <c r="AA1149" t="str">
        <f t="shared" si="409"/>
        <v/>
      </c>
      <c r="AB1149" t="str">
        <f>IF($D1149="","",IF(COUNTIF($D$2:$D1149,$D1149)=1,$D1149,""))</f>
        <v/>
      </c>
      <c r="AC1149">
        <f t="shared" si="410"/>
        <v>0</v>
      </c>
      <c r="AD1149" t="str">
        <f t="shared" si="411"/>
        <v>|0</v>
      </c>
      <c r="AE1149" t="str">
        <f t="shared" si="412"/>
        <v/>
      </c>
      <c r="AF1149" t="str">
        <f t="shared" si="413"/>
        <v/>
      </c>
      <c r="AG1149" t="str">
        <f t="shared" si="414"/>
        <v/>
      </c>
      <c r="AH1149" t="str">
        <f t="shared" si="415"/>
        <v/>
      </c>
      <c r="AI1149" t="str">
        <f t="shared" si="416"/>
        <v/>
      </c>
      <c r="AJ1149" t="str">
        <f t="shared" si="417"/>
        <v/>
      </c>
      <c r="AK1149" t="str">
        <f t="shared" si="418"/>
        <v/>
      </c>
      <c r="AL1149" t="str">
        <f t="shared" si="419"/>
        <v/>
      </c>
      <c r="AM1149" t="str">
        <f t="shared" si="420"/>
        <v/>
      </c>
      <c r="AN1149" t="str">
        <f t="shared" si="421"/>
        <v/>
      </c>
      <c r="AO1149" t="str">
        <f t="shared" si="422"/>
        <v/>
      </c>
      <c r="AP1149">
        <f t="shared" si="423"/>
        <v>1</v>
      </c>
      <c r="AQ1149" t="str">
        <f>IF(SAISIE!$F1154="","",SAISIE!$Y1154)</f>
        <v/>
      </c>
      <c r="AR1149" t="str">
        <f>IF(OR(SAISIE!$U$4="",SAISIE!$W$4=""),"",IF(AND($A1149=SAISIE!$U$4,$B1149=SAISIE!$W$4,$C1149="S1"),COUNTIFS($A$2:$A1149,SAISIE!$U$4,$B$2:$B1149,SAISIE!$W$4,$C$2:$C1149,"S1"),""))</f>
        <v/>
      </c>
      <c r="AS1149" t="str">
        <f t="shared" si="424"/>
        <v/>
      </c>
      <c r="AT1149" t="str">
        <f t="shared" si="425"/>
        <v/>
      </c>
      <c r="AU1149" t="str">
        <f t="shared" si="426"/>
        <v/>
      </c>
      <c r="AV1149">
        <f>N(AV1148)+IF(AND($AB1149&lt;&gt;"",OR('PROFIL ELEVE'!$K$4="(Tous)",$AF1149='PROFIL ELEVE'!$K$4)),1,0)</f>
        <v>0</v>
      </c>
      <c r="AW1149">
        <f>N(AW1148)+IF(AND($AB1149&lt;&gt;"",OR('SUIVI LONGITUDINAL'!$Q$4="(Tous)",$AF1149='SUIVI LONGITUDINAL'!$Q$4)),1,0)</f>
        <v>0</v>
      </c>
      <c r="AX1149">
        <f t="shared" si="427"/>
        <v>0</v>
      </c>
      <c r="AY1149">
        <f t="shared" si="428"/>
        <v>0</v>
      </c>
      <c r="AZ1149">
        <f t="shared" si="429"/>
        <v>0</v>
      </c>
      <c r="BA1149" t="str">
        <f t="shared" si="430"/>
        <v/>
      </c>
      <c r="BB1149" t="str">
        <f t="shared" si="431"/>
        <v/>
      </c>
    </row>
    <row r="1150" spans="1:54" ht="14.25" customHeight="1" x14ac:dyDescent="0.3">
      <c r="A1150" t="str">
        <f>IF(SAISIE!$F1155="","",SAISIE!$B1155)</f>
        <v/>
      </c>
      <c r="B1150" t="str">
        <f>IF(SAISIE!$F1155="","",SAISIE!$C1155)</f>
        <v/>
      </c>
      <c r="C1150" t="str">
        <f>IF(SAISIE!$F1155="","",SAISIE!$D1155)</f>
        <v/>
      </c>
      <c r="D1150" t="str">
        <f>IF(SAISIE!$E1155="","",SAISIE!$E1155)</f>
        <v/>
      </c>
      <c r="E1150" t="str">
        <f>IF(SAISIE!$F1155="","",SAISIE!$F1155)</f>
        <v/>
      </c>
      <c r="F1150" t="str">
        <f>IF(SAISIE!$G1155="","",SAISIE!$G1155)</f>
        <v/>
      </c>
      <c r="G1150" t="str">
        <f>IF(SAISIE!$H1155="","",SAISIE!$H1155)</f>
        <v/>
      </c>
      <c r="H1150" t="str">
        <f>IF(SAISIE!$I1155="","",SAISIE!$I1155)</f>
        <v/>
      </c>
      <c r="I1150" t="str">
        <f>IF(SAISIE!$J1155="","",SAISIE!$J1155)</f>
        <v/>
      </c>
      <c r="J1150" t="str">
        <f>IF(SAISIE!$K1155="","",SAISIE!$K1155)</f>
        <v/>
      </c>
      <c r="K1150" t="str">
        <f>IF(SAISIE!$L1155="","",SAISIE!$L1155)</f>
        <v/>
      </c>
      <c r="L1150" t="str">
        <f>IF(SAISIE!$M1155="","",SAISIE!$M1155)</f>
        <v/>
      </c>
      <c r="M1150" t="str">
        <f>IF(SAISIE!$N1155="","",SAISIE!$N1155)</f>
        <v/>
      </c>
      <c r="N1150" t="str">
        <f>IF(SAISIE!$O1155="","",SAISIE!$O1155)</f>
        <v/>
      </c>
      <c r="O1150" t="str">
        <f>IF(SAISIE!$P1155="","",SAISIE!$P1155)</f>
        <v/>
      </c>
      <c r="P1150" t="str">
        <f>IF(SAISIE!$Q1155="","",SAISIE!$Q1155)</f>
        <v/>
      </c>
      <c r="Q1150" t="str">
        <f>IF($I1150="","",IF($I1150&gt;PARAMETRES!$G$29,5,IF($I1150&gt;PARAMETRES!$F$29,4,IF($I1150&gt;PARAMETRES!$E$29,3,IF($I1150&gt;PARAMETRES!$D$29,2,1)))))</f>
        <v/>
      </c>
      <c r="R1150" t="str">
        <f>IF($J1150="","",IF($J1150&gt;PARAMETRES!$G$30,5,IF($J1150&gt;PARAMETRES!$F$30,4,IF($J1150&gt;PARAMETRES!$E$30,3,IF($J1150&gt;PARAMETRES!$D$30,2,1)))))</f>
        <v/>
      </c>
      <c r="S1150" t="str">
        <f>IF($K1150="","",IF($Z1150=2,IF($K1150&gt;PARAMETRES!$G$31,5,IF($K1150&gt;PARAMETRES!$F$31,4,IF($K1150&gt;PARAMETRES!$E$31,3,IF($K1150&gt;PARAMETRES!$D$31,2,1)))),IF($K1150&gt;PARAMETRES!$G$32,5,IF($K1150&gt;PARAMETRES!$F$32,4,IF($K1150&gt;PARAMETRES!$E$32,3,IF($K1150&gt;PARAMETRES!$D$32,2,1))))))</f>
        <v/>
      </c>
      <c r="T1150" t="str">
        <f>IF($L1150="","",IF($L1150&gt;PARAMETRES!$G$33,5,IF($L1150&gt;PARAMETRES!$F$33,4,IF($L1150&gt;PARAMETRES!$E$33,3,IF($L1150&gt;PARAMETRES!$D$33,2,1)))))</f>
        <v/>
      </c>
      <c r="U1150" t="str">
        <f>IF($M1150="","",IF($M1150&gt;PARAMETRES!$G$34,5,IF($M1150&gt;PARAMETRES!$F$34,4,IF($M1150&gt;PARAMETRES!$E$34,3,IF($M1150&gt;PARAMETRES!$D$34,2,1)))))</f>
        <v/>
      </c>
      <c r="V1150" t="str">
        <f>IF($N1150="","",IF($N1150&gt;PARAMETRES!$G$35,5,IF($N1150&gt;PARAMETRES!$F$35,4,IF($N1150&gt;PARAMETRES!$E$35,3,IF($N1150&gt;PARAMETRES!$D$35,2,1)))))</f>
        <v/>
      </c>
      <c r="W1150" t="str">
        <f>IF($O1150="","",IF($O1150&gt;PARAMETRES!$G$36,5,IF($O1150&gt;PARAMETRES!$F$36,4,IF($O1150&gt;PARAMETRES!$E$36,3,IF($O1150&gt;PARAMETRES!$D$36,2,1)))))</f>
        <v/>
      </c>
      <c r="X1150" t="str">
        <f>IF($P1150="","",IF($P1150&gt;PARAMETRES!$G$37,5,IF($P1150&gt;PARAMETRES!$F$37,4,IF($P1150&gt;PARAMETRES!$E$37,3,IF($P1150&gt;PARAMETRES!$D$37,2,1)))))</f>
        <v/>
      </c>
      <c r="Y1150" t="str">
        <f t="shared" si="408"/>
        <v/>
      </c>
      <c r="Z1150" t="str">
        <f>IFERROR(VLOOKUP($B1150,TABLE_CYCLE,2,0),"")</f>
        <v/>
      </c>
      <c r="AA1150" t="str">
        <f t="shared" si="409"/>
        <v/>
      </c>
      <c r="AB1150" t="str">
        <f>IF($D1150="","",IF(COUNTIF($D$2:$D1150,$D1150)=1,$D1150,""))</f>
        <v/>
      </c>
      <c r="AC1150">
        <f t="shared" si="410"/>
        <v>0</v>
      </c>
      <c r="AD1150" t="str">
        <f t="shared" si="411"/>
        <v>|0</v>
      </c>
      <c r="AE1150" t="str">
        <f t="shared" si="412"/>
        <v/>
      </c>
      <c r="AF1150" t="str">
        <f t="shared" si="413"/>
        <v/>
      </c>
      <c r="AG1150" t="str">
        <f t="shared" si="414"/>
        <v/>
      </c>
      <c r="AH1150" t="str">
        <f t="shared" si="415"/>
        <v/>
      </c>
      <c r="AI1150" t="str">
        <f t="shared" si="416"/>
        <v/>
      </c>
      <c r="AJ1150" t="str">
        <f t="shared" si="417"/>
        <v/>
      </c>
      <c r="AK1150" t="str">
        <f t="shared" si="418"/>
        <v/>
      </c>
      <c r="AL1150" t="str">
        <f t="shared" si="419"/>
        <v/>
      </c>
      <c r="AM1150" t="str">
        <f t="shared" si="420"/>
        <v/>
      </c>
      <c r="AN1150" t="str">
        <f t="shared" si="421"/>
        <v/>
      </c>
      <c r="AO1150" t="str">
        <f t="shared" si="422"/>
        <v/>
      </c>
      <c r="AP1150">
        <f t="shared" si="423"/>
        <v>1</v>
      </c>
      <c r="AQ1150" t="str">
        <f>IF(SAISIE!$F1155="","",SAISIE!$Y1155)</f>
        <v/>
      </c>
      <c r="AR1150" t="str">
        <f>IF(OR(SAISIE!$U$4="",SAISIE!$W$4=""),"",IF(AND($A1150=SAISIE!$U$4,$B1150=SAISIE!$W$4,$C1150="S1"),COUNTIFS($A$2:$A1150,SAISIE!$U$4,$B$2:$B1150,SAISIE!$W$4,$C$2:$C1150,"S1"),""))</f>
        <v/>
      </c>
      <c r="AS1150" t="str">
        <f t="shared" si="424"/>
        <v/>
      </c>
      <c r="AT1150" t="str">
        <f t="shared" si="425"/>
        <v/>
      </c>
      <c r="AU1150" t="str">
        <f t="shared" si="426"/>
        <v/>
      </c>
      <c r="AV1150">
        <f>N(AV1149)+IF(AND($AB1150&lt;&gt;"",OR('PROFIL ELEVE'!$K$4="(Tous)",$AF1150='PROFIL ELEVE'!$K$4)),1,0)</f>
        <v>0</v>
      </c>
      <c r="AW1150">
        <f>N(AW1149)+IF(AND($AB1150&lt;&gt;"",OR('SUIVI LONGITUDINAL'!$Q$4="(Tous)",$AF1150='SUIVI LONGITUDINAL'!$Q$4)),1,0)</f>
        <v>0</v>
      </c>
      <c r="AX1150">
        <f t="shared" si="427"/>
        <v>0</v>
      </c>
      <c r="AY1150">
        <f t="shared" si="428"/>
        <v>0</v>
      </c>
      <c r="AZ1150">
        <f t="shared" si="429"/>
        <v>0</v>
      </c>
      <c r="BA1150" t="str">
        <f t="shared" si="430"/>
        <v/>
      </c>
      <c r="BB1150" t="str">
        <f t="shared" si="431"/>
        <v/>
      </c>
    </row>
    <row r="1151" spans="1:54" ht="14.25" customHeight="1" x14ac:dyDescent="0.3">
      <c r="A1151" t="str">
        <f>IF(SAISIE!$F1156="","",SAISIE!$B1156)</f>
        <v/>
      </c>
      <c r="B1151" t="str">
        <f>IF(SAISIE!$F1156="","",SAISIE!$C1156)</f>
        <v/>
      </c>
      <c r="C1151" t="str">
        <f>IF(SAISIE!$F1156="","",SAISIE!$D1156)</f>
        <v/>
      </c>
      <c r="D1151" t="str">
        <f>IF(SAISIE!$E1156="","",SAISIE!$E1156)</f>
        <v/>
      </c>
      <c r="E1151" t="str">
        <f>IF(SAISIE!$F1156="","",SAISIE!$F1156)</f>
        <v/>
      </c>
      <c r="F1151" t="str">
        <f>IF(SAISIE!$G1156="","",SAISIE!$G1156)</f>
        <v/>
      </c>
      <c r="G1151" t="str">
        <f>IF(SAISIE!$H1156="","",SAISIE!$H1156)</f>
        <v/>
      </c>
      <c r="H1151" t="str">
        <f>IF(SAISIE!$I1156="","",SAISIE!$I1156)</f>
        <v/>
      </c>
      <c r="I1151" t="str">
        <f>IF(SAISIE!$J1156="","",SAISIE!$J1156)</f>
        <v/>
      </c>
      <c r="J1151" t="str">
        <f>IF(SAISIE!$K1156="","",SAISIE!$K1156)</f>
        <v/>
      </c>
      <c r="K1151" t="str">
        <f>IF(SAISIE!$L1156="","",SAISIE!$L1156)</f>
        <v/>
      </c>
      <c r="L1151" t="str">
        <f>IF(SAISIE!$M1156="","",SAISIE!$M1156)</f>
        <v/>
      </c>
      <c r="M1151" t="str">
        <f>IF(SAISIE!$N1156="","",SAISIE!$N1156)</f>
        <v/>
      </c>
      <c r="N1151" t="str">
        <f>IF(SAISIE!$O1156="","",SAISIE!$O1156)</f>
        <v/>
      </c>
      <c r="O1151" t="str">
        <f>IF(SAISIE!$P1156="","",SAISIE!$P1156)</f>
        <v/>
      </c>
      <c r="P1151" t="str">
        <f>IF(SAISIE!$Q1156="","",SAISIE!$Q1156)</f>
        <v/>
      </c>
      <c r="Q1151" t="str">
        <f>IF($I1151="","",IF($I1151&gt;PARAMETRES!$G$29,5,IF($I1151&gt;PARAMETRES!$F$29,4,IF($I1151&gt;PARAMETRES!$E$29,3,IF($I1151&gt;PARAMETRES!$D$29,2,1)))))</f>
        <v/>
      </c>
      <c r="R1151" t="str">
        <f>IF($J1151="","",IF($J1151&gt;PARAMETRES!$G$30,5,IF($J1151&gt;PARAMETRES!$F$30,4,IF($J1151&gt;PARAMETRES!$E$30,3,IF($J1151&gt;PARAMETRES!$D$30,2,1)))))</f>
        <v/>
      </c>
      <c r="S1151" t="str">
        <f>IF($K1151="","",IF($Z1151=2,IF($K1151&gt;PARAMETRES!$G$31,5,IF($K1151&gt;PARAMETRES!$F$31,4,IF($K1151&gt;PARAMETRES!$E$31,3,IF($K1151&gt;PARAMETRES!$D$31,2,1)))),IF($K1151&gt;PARAMETRES!$G$32,5,IF($K1151&gt;PARAMETRES!$F$32,4,IF($K1151&gt;PARAMETRES!$E$32,3,IF($K1151&gt;PARAMETRES!$D$32,2,1))))))</f>
        <v/>
      </c>
      <c r="T1151" t="str">
        <f>IF($L1151="","",IF($L1151&gt;PARAMETRES!$G$33,5,IF($L1151&gt;PARAMETRES!$F$33,4,IF($L1151&gt;PARAMETRES!$E$33,3,IF($L1151&gt;PARAMETRES!$D$33,2,1)))))</f>
        <v/>
      </c>
      <c r="U1151" t="str">
        <f>IF($M1151="","",IF($M1151&gt;PARAMETRES!$G$34,5,IF($M1151&gt;PARAMETRES!$F$34,4,IF($M1151&gt;PARAMETRES!$E$34,3,IF($M1151&gt;PARAMETRES!$D$34,2,1)))))</f>
        <v/>
      </c>
      <c r="V1151" t="str">
        <f>IF($N1151="","",IF($N1151&gt;PARAMETRES!$G$35,5,IF($N1151&gt;PARAMETRES!$F$35,4,IF($N1151&gt;PARAMETRES!$E$35,3,IF($N1151&gt;PARAMETRES!$D$35,2,1)))))</f>
        <v/>
      </c>
      <c r="W1151" t="str">
        <f>IF($O1151="","",IF($O1151&gt;PARAMETRES!$G$36,5,IF($O1151&gt;PARAMETRES!$F$36,4,IF($O1151&gt;PARAMETRES!$E$36,3,IF($O1151&gt;PARAMETRES!$D$36,2,1)))))</f>
        <v/>
      </c>
      <c r="X1151" t="str">
        <f>IF($P1151="","",IF($P1151&gt;PARAMETRES!$G$37,5,IF($P1151&gt;PARAMETRES!$F$37,4,IF($P1151&gt;PARAMETRES!$E$37,3,IF($P1151&gt;PARAMETRES!$D$37,2,1)))))</f>
        <v/>
      </c>
      <c r="Y1151" t="str">
        <f t="shared" si="408"/>
        <v/>
      </c>
      <c r="Z1151" t="str">
        <f>IFERROR(VLOOKUP($B1151,TABLE_CYCLE,2,0),"")</f>
        <v/>
      </c>
      <c r="AA1151" t="str">
        <f t="shared" si="409"/>
        <v/>
      </c>
      <c r="AB1151" t="str">
        <f>IF($D1151="","",IF(COUNTIF($D$2:$D1151,$D1151)=1,$D1151,""))</f>
        <v/>
      </c>
      <c r="AC1151">
        <f t="shared" si="410"/>
        <v>0</v>
      </c>
      <c r="AD1151" t="str">
        <f t="shared" si="411"/>
        <v>|0</v>
      </c>
      <c r="AE1151" t="str">
        <f t="shared" si="412"/>
        <v/>
      </c>
      <c r="AF1151" t="str">
        <f t="shared" si="413"/>
        <v/>
      </c>
      <c r="AG1151" t="str">
        <f t="shared" si="414"/>
        <v/>
      </c>
      <c r="AH1151" t="str">
        <f t="shared" si="415"/>
        <v/>
      </c>
      <c r="AI1151" t="str">
        <f t="shared" si="416"/>
        <v/>
      </c>
      <c r="AJ1151" t="str">
        <f t="shared" si="417"/>
        <v/>
      </c>
      <c r="AK1151" t="str">
        <f t="shared" si="418"/>
        <v/>
      </c>
      <c r="AL1151" t="str">
        <f t="shared" si="419"/>
        <v/>
      </c>
      <c r="AM1151" t="str">
        <f t="shared" si="420"/>
        <v/>
      </c>
      <c r="AN1151" t="str">
        <f t="shared" si="421"/>
        <v/>
      </c>
      <c r="AO1151" t="str">
        <f t="shared" si="422"/>
        <v/>
      </c>
      <c r="AP1151">
        <f t="shared" si="423"/>
        <v>1</v>
      </c>
      <c r="AQ1151" t="str">
        <f>IF(SAISIE!$F1156="","",SAISIE!$Y1156)</f>
        <v/>
      </c>
      <c r="AR1151" t="str">
        <f>IF(OR(SAISIE!$U$4="",SAISIE!$W$4=""),"",IF(AND($A1151=SAISIE!$U$4,$B1151=SAISIE!$W$4,$C1151="S1"),COUNTIFS($A$2:$A1151,SAISIE!$U$4,$B$2:$B1151,SAISIE!$W$4,$C$2:$C1151,"S1"),""))</f>
        <v/>
      </c>
      <c r="AS1151" t="str">
        <f t="shared" si="424"/>
        <v/>
      </c>
      <c r="AT1151" t="str">
        <f t="shared" si="425"/>
        <v/>
      </c>
      <c r="AU1151" t="str">
        <f t="shared" si="426"/>
        <v/>
      </c>
      <c r="AV1151">
        <f>N(AV1150)+IF(AND($AB1151&lt;&gt;"",OR('PROFIL ELEVE'!$K$4="(Tous)",$AF1151='PROFIL ELEVE'!$K$4)),1,0)</f>
        <v>0</v>
      </c>
      <c r="AW1151">
        <f>N(AW1150)+IF(AND($AB1151&lt;&gt;"",OR('SUIVI LONGITUDINAL'!$Q$4="(Tous)",$AF1151='SUIVI LONGITUDINAL'!$Q$4)),1,0)</f>
        <v>0</v>
      </c>
      <c r="AX1151">
        <f t="shared" si="427"/>
        <v>0</v>
      </c>
      <c r="AY1151">
        <f t="shared" si="428"/>
        <v>0</v>
      </c>
      <c r="AZ1151">
        <f t="shared" si="429"/>
        <v>0</v>
      </c>
      <c r="BA1151" t="str">
        <f t="shared" si="430"/>
        <v/>
      </c>
      <c r="BB1151" t="str">
        <f t="shared" si="431"/>
        <v/>
      </c>
    </row>
    <row r="1152" spans="1:54" ht="14.25" customHeight="1" x14ac:dyDescent="0.3">
      <c r="A1152" t="str">
        <f>IF(SAISIE!$F1157="","",SAISIE!$B1157)</f>
        <v/>
      </c>
      <c r="B1152" t="str">
        <f>IF(SAISIE!$F1157="","",SAISIE!$C1157)</f>
        <v/>
      </c>
      <c r="C1152" t="str">
        <f>IF(SAISIE!$F1157="","",SAISIE!$D1157)</f>
        <v/>
      </c>
      <c r="D1152" t="str">
        <f>IF(SAISIE!$E1157="","",SAISIE!$E1157)</f>
        <v/>
      </c>
      <c r="E1152" t="str">
        <f>IF(SAISIE!$F1157="","",SAISIE!$F1157)</f>
        <v/>
      </c>
      <c r="F1152" t="str">
        <f>IF(SAISIE!$G1157="","",SAISIE!$G1157)</f>
        <v/>
      </c>
      <c r="G1152" t="str">
        <f>IF(SAISIE!$H1157="","",SAISIE!$H1157)</f>
        <v/>
      </c>
      <c r="H1152" t="str">
        <f>IF(SAISIE!$I1157="","",SAISIE!$I1157)</f>
        <v/>
      </c>
      <c r="I1152" t="str">
        <f>IF(SAISIE!$J1157="","",SAISIE!$J1157)</f>
        <v/>
      </c>
      <c r="J1152" t="str">
        <f>IF(SAISIE!$K1157="","",SAISIE!$K1157)</f>
        <v/>
      </c>
      <c r="K1152" t="str">
        <f>IF(SAISIE!$L1157="","",SAISIE!$L1157)</f>
        <v/>
      </c>
      <c r="L1152" t="str">
        <f>IF(SAISIE!$M1157="","",SAISIE!$M1157)</f>
        <v/>
      </c>
      <c r="M1152" t="str">
        <f>IF(SAISIE!$N1157="","",SAISIE!$N1157)</f>
        <v/>
      </c>
      <c r="N1152" t="str">
        <f>IF(SAISIE!$O1157="","",SAISIE!$O1157)</f>
        <v/>
      </c>
      <c r="O1152" t="str">
        <f>IF(SAISIE!$P1157="","",SAISIE!$P1157)</f>
        <v/>
      </c>
      <c r="P1152" t="str">
        <f>IF(SAISIE!$Q1157="","",SAISIE!$Q1157)</f>
        <v/>
      </c>
      <c r="Q1152" t="str">
        <f>IF($I1152="","",IF($I1152&gt;PARAMETRES!$G$29,5,IF($I1152&gt;PARAMETRES!$F$29,4,IF($I1152&gt;PARAMETRES!$E$29,3,IF($I1152&gt;PARAMETRES!$D$29,2,1)))))</f>
        <v/>
      </c>
      <c r="R1152" t="str">
        <f>IF($J1152="","",IF($J1152&gt;PARAMETRES!$G$30,5,IF($J1152&gt;PARAMETRES!$F$30,4,IF($J1152&gt;PARAMETRES!$E$30,3,IF($J1152&gt;PARAMETRES!$D$30,2,1)))))</f>
        <v/>
      </c>
      <c r="S1152" t="str">
        <f>IF($K1152="","",IF($Z1152=2,IF($K1152&gt;PARAMETRES!$G$31,5,IF($K1152&gt;PARAMETRES!$F$31,4,IF($K1152&gt;PARAMETRES!$E$31,3,IF($K1152&gt;PARAMETRES!$D$31,2,1)))),IF($K1152&gt;PARAMETRES!$G$32,5,IF($K1152&gt;PARAMETRES!$F$32,4,IF($K1152&gt;PARAMETRES!$E$32,3,IF($K1152&gt;PARAMETRES!$D$32,2,1))))))</f>
        <v/>
      </c>
      <c r="T1152" t="str">
        <f>IF($L1152="","",IF($L1152&gt;PARAMETRES!$G$33,5,IF($L1152&gt;PARAMETRES!$F$33,4,IF($L1152&gt;PARAMETRES!$E$33,3,IF($L1152&gt;PARAMETRES!$D$33,2,1)))))</f>
        <v/>
      </c>
      <c r="U1152" t="str">
        <f>IF($M1152="","",IF($M1152&gt;PARAMETRES!$G$34,5,IF($M1152&gt;PARAMETRES!$F$34,4,IF($M1152&gt;PARAMETRES!$E$34,3,IF($M1152&gt;PARAMETRES!$D$34,2,1)))))</f>
        <v/>
      </c>
      <c r="V1152" t="str">
        <f>IF($N1152="","",IF($N1152&gt;PARAMETRES!$G$35,5,IF($N1152&gt;PARAMETRES!$F$35,4,IF($N1152&gt;PARAMETRES!$E$35,3,IF($N1152&gt;PARAMETRES!$D$35,2,1)))))</f>
        <v/>
      </c>
      <c r="W1152" t="str">
        <f>IF($O1152="","",IF($O1152&gt;PARAMETRES!$G$36,5,IF($O1152&gt;PARAMETRES!$F$36,4,IF($O1152&gt;PARAMETRES!$E$36,3,IF($O1152&gt;PARAMETRES!$D$36,2,1)))))</f>
        <v/>
      </c>
      <c r="X1152" t="str">
        <f>IF($P1152="","",IF($P1152&gt;PARAMETRES!$G$37,5,IF($P1152&gt;PARAMETRES!$F$37,4,IF($P1152&gt;PARAMETRES!$E$37,3,IF($P1152&gt;PARAMETRES!$D$37,2,1)))))</f>
        <v/>
      </c>
      <c r="Y1152" t="str">
        <f t="shared" si="408"/>
        <v/>
      </c>
      <c r="Z1152" t="str">
        <f>IFERROR(VLOOKUP($B1152,TABLE_CYCLE,2,0),"")</f>
        <v/>
      </c>
      <c r="AA1152" t="str">
        <f t="shared" si="409"/>
        <v/>
      </c>
      <c r="AB1152" t="str">
        <f>IF($D1152="","",IF(COUNTIF($D$2:$D1152,$D1152)=1,$D1152,""))</f>
        <v/>
      </c>
      <c r="AC1152">
        <f t="shared" si="410"/>
        <v>0</v>
      </c>
      <c r="AD1152" t="str">
        <f t="shared" si="411"/>
        <v>|0</v>
      </c>
      <c r="AE1152" t="str">
        <f t="shared" si="412"/>
        <v/>
      </c>
      <c r="AF1152" t="str">
        <f t="shared" si="413"/>
        <v/>
      </c>
      <c r="AG1152" t="str">
        <f t="shared" si="414"/>
        <v/>
      </c>
      <c r="AH1152" t="str">
        <f t="shared" si="415"/>
        <v/>
      </c>
      <c r="AI1152" t="str">
        <f t="shared" si="416"/>
        <v/>
      </c>
      <c r="AJ1152" t="str">
        <f t="shared" si="417"/>
        <v/>
      </c>
      <c r="AK1152" t="str">
        <f t="shared" si="418"/>
        <v/>
      </c>
      <c r="AL1152" t="str">
        <f t="shared" si="419"/>
        <v/>
      </c>
      <c r="AM1152" t="str">
        <f t="shared" si="420"/>
        <v/>
      </c>
      <c r="AN1152" t="str">
        <f t="shared" si="421"/>
        <v/>
      </c>
      <c r="AO1152" t="str">
        <f t="shared" si="422"/>
        <v/>
      </c>
      <c r="AP1152">
        <f t="shared" si="423"/>
        <v>1</v>
      </c>
      <c r="AQ1152" t="str">
        <f>IF(SAISIE!$F1157="","",SAISIE!$Y1157)</f>
        <v/>
      </c>
      <c r="AR1152" t="str">
        <f>IF(OR(SAISIE!$U$4="",SAISIE!$W$4=""),"",IF(AND($A1152=SAISIE!$U$4,$B1152=SAISIE!$W$4,$C1152="S1"),COUNTIFS($A$2:$A1152,SAISIE!$U$4,$B$2:$B1152,SAISIE!$W$4,$C$2:$C1152,"S1"),""))</f>
        <v/>
      </c>
      <c r="AS1152" t="str">
        <f t="shared" si="424"/>
        <v/>
      </c>
      <c r="AT1152" t="str">
        <f t="shared" si="425"/>
        <v/>
      </c>
      <c r="AU1152" t="str">
        <f t="shared" si="426"/>
        <v/>
      </c>
      <c r="AV1152">
        <f>N(AV1151)+IF(AND($AB1152&lt;&gt;"",OR('PROFIL ELEVE'!$K$4="(Tous)",$AF1152='PROFIL ELEVE'!$K$4)),1,0)</f>
        <v>0</v>
      </c>
      <c r="AW1152">
        <f>N(AW1151)+IF(AND($AB1152&lt;&gt;"",OR('SUIVI LONGITUDINAL'!$Q$4="(Tous)",$AF1152='SUIVI LONGITUDINAL'!$Q$4)),1,0)</f>
        <v>0</v>
      </c>
      <c r="AX1152">
        <f t="shared" si="427"/>
        <v>0</v>
      </c>
      <c r="AY1152">
        <f t="shared" si="428"/>
        <v>0</v>
      </c>
      <c r="AZ1152">
        <f t="shared" si="429"/>
        <v>0</v>
      </c>
      <c r="BA1152" t="str">
        <f t="shared" si="430"/>
        <v/>
      </c>
      <c r="BB1152" t="str">
        <f t="shared" si="431"/>
        <v/>
      </c>
    </row>
    <row r="1153" spans="1:54" ht="14.25" customHeight="1" x14ac:dyDescent="0.3">
      <c r="A1153" t="str">
        <f>IF(SAISIE!$F1158="","",SAISIE!$B1158)</f>
        <v/>
      </c>
      <c r="B1153" t="str">
        <f>IF(SAISIE!$F1158="","",SAISIE!$C1158)</f>
        <v/>
      </c>
      <c r="C1153" t="str">
        <f>IF(SAISIE!$F1158="","",SAISIE!$D1158)</f>
        <v/>
      </c>
      <c r="D1153" t="str">
        <f>IF(SAISIE!$E1158="","",SAISIE!$E1158)</f>
        <v/>
      </c>
      <c r="E1153" t="str">
        <f>IF(SAISIE!$F1158="","",SAISIE!$F1158)</f>
        <v/>
      </c>
      <c r="F1153" t="str">
        <f>IF(SAISIE!$G1158="","",SAISIE!$G1158)</f>
        <v/>
      </c>
      <c r="G1153" t="str">
        <f>IF(SAISIE!$H1158="","",SAISIE!$H1158)</f>
        <v/>
      </c>
      <c r="H1153" t="str">
        <f>IF(SAISIE!$I1158="","",SAISIE!$I1158)</f>
        <v/>
      </c>
      <c r="I1153" t="str">
        <f>IF(SAISIE!$J1158="","",SAISIE!$J1158)</f>
        <v/>
      </c>
      <c r="J1153" t="str">
        <f>IF(SAISIE!$K1158="","",SAISIE!$K1158)</f>
        <v/>
      </c>
      <c r="K1153" t="str">
        <f>IF(SAISIE!$L1158="","",SAISIE!$L1158)</f>
        <v/>
      </c>
      <c r="L1153" t="str">
        <f>IF(SAISIE!$M1158="","",SAISIE!$M1158)</f>
        <v/>
      </c>
      <c r="M1153" t="str">
        <f>IF(SAISIE!$N1158="","",SAISIE!$N1158)</f>
        <v/>
      </c>
      <c r="N1153" t="str">
        <f>IF(SAISIE!$O1158="","",SAISIE!$O1158)</f>
        <v/>
      </c>
      <c r="O1153" t="str">
        <f>IF(SAISIE!$P1158="","",SAISIE!$P1158)</f>
        <v/>
      </c>
      <c r="P1153" t="str">
        <f>IF(SAISIE!$Q1158="","",SAISIE!$Q1158)</f>
        <v/>
      </c>
      <c r="Q1153" t="str">
        <f>IF($I1153="","",IF($I1153&gt;PARAMETRES!$G$29,5,IF($I1153&gt;PARAMETRES!$F$29,4,IF($I1153&gt;PARAMETRES!$E$29,3,IF($I1153&gt;PARAMETRES!$D$29,2,1)))))</f>
        <v/>
      </c>
      <c r="R1153" t="str">
        <f>IF($J1153="","",IF($J1153&gt;PARAMETRES!$G$30,5,IF($J1153&gt;PARAMETRES!$F$30,4,IF($J1153&gt;PARAMETRES!$E$30,3,IF($J1153&gt;PARAMETRES!$D$30,2,1)))))</f>
        <v/>
      </c>
      <c r="S1153" t="str">
        <f>IF($K1153="","",IF($Z1153=2,IF($K1153&gt;PARAMETRES!$G$31,5,IF($K1153&gt;PARAMETRES!$F$31,4,IF($K1153&gt;PARAMETRES!$E$31,3,IF($K1153&gt;PARAMETRES!$D$31,2,1)))),IF($K1153&gt;PARAMETRES!$G$32,5,IF($K1153&gt;PARAMETRES!$F$32,4,IF($K1153&gt;PARAMETRES!$E$32,3,IF($K1153&gt;PARAMETRES!$D$32,2,1))))))</f>
        <v/>
      </c>
      <c r="T1153" t="str">
        <f>IF($L1153="","",IF($L1153&gt;PARAMETRES!$G$33,5,IF($L1153&gt;PARAMETRES!$F$33,4,IF($L1153&gt;PARAMETRES!$E$33,3,IF($L1153&gt;PARAMETRES!$D$33,2,1)))))</f>
        <v/>
      </c>
      <c r="U1153" t="str">
        <f>IF($M1153="","",IF($M1153&gt;PARAMETRES!$G$34,5,IF($M1153&gt;PARAMETRES!$F$34,4,IF($M1153&gt;PARAMETRES!$E$34,3,IF($M1153&gt;PARAMETRES!$D$34,2,1)))))</f>
        <v/>
      </c>
      <c r="V1153" t="str">
        <f>IF($N1153="","",IF($N1153&gt;PARAMETRES!$G$35,5,IF($N1153&gt;PARAMETRES!$F$35,4,IF($N1153&gt;PARAMETRES!$E$35,3,IF($N1153&gt;PARAMETRES!$D$35,2,1)))))</f>
        <v/>
      </c>
      <c r="W1153" t="str">
        <f>IF($O1153="","",IF($O1153&gt;PARAMETRES!$G$36,5,IF($O1153&gt;PARAMETRES!$F$36,4,IF($O1153&gt;PARAMETRES!$E$36,3,IF($O1153&gt;PARAMETRES!$D$36,2,1)))))</f>
        <v/>
      </c>
      <c r="X1153" t="str">
        <f>IF($P1153="","",IF($P1153&gt;PARAMETRES!$G$37,5,IF($P1153&gt;PARAMETRES!$F$37,4,IF($P1153&gt;PARAMETRES!$E$37,3,IF($P1153&gt;PARAMETRES!$D$37,2,1)))))</f>
        <v/>
      </c>
      <c r="Y1153" t="str">
        <f t="shared" si="408"/>
        <v/>
      </c>
      <c r="Z1153" t="str">
        <f>IFERROR(VLOOKUP($B1153,TABLE_CYCLE,2,0),"")</f>
        <v/>
      </c>
      <c r="AA1153" t="str">
        <f t="shared" si="409"/>
        <v/>
      </c>
      <c r="AB1153" t="str">
        <f>IF($D1153="","",IF(COUNTIF($D$2:$D1153,$D1153)=1,$D1153,""))</f>
        <v/>
      </c>
      <c r="AC1153">
        <f t="shared" si="410"/>
        <v>0</v>
      </c>
      <c r="AD1153" t="str">
        <f t="shared" si="411"/>
        <v>|0</v>
      </c>
      <c r="AE1153" t="str">
        <f t="shared" si="412"/>
        <v/>
      </c>
      <c r="AF1153" t="str">
        <f t="shared" si="413"/>
        <v/>
      </c>
      <c r="AG1153" t="str">
        <f t="shared" si="414"/>
        <v/>
      </c>
      <c r="AH1153" t="str">
        <f t="shared" si="415"/>
        <v/>
      </c>
      <c r="AI1153" t="str">
        <f t="shared" si="416"/>
        <v/>
      </c>
      <c r="AJ1153" t="str">
        <f t="shared" si="417"/>
        <v/>
      </c>
      <c r="AK1153" t="str">
        <f t="shared" si="418"/>
        <v/>
      </c>
      <c r="AL1153" t="str">
        <f t="shared" si="419"/>
        <v/>
      </c>
      <c r="AM1153" t="str">
        <f t="shared" si="420"/>
        <v/>
      </c>
      <c r="AN1153" t="str">
        <f t="shared" si="421"/>
        <v/>
      </c>
      <c r="AO1153" t="str">
        <f t="shared" si="422"/>
        <v/>
      </c>
      <c r="AP1153">
        <f t="shared" si="423"/>
        <v>1</v>
      </c>
      <c r="AQ1153" t="str">
        <f>IF(SAISIE!$F1158="","",SAISIE!$Y1158)</f>
        <v/>
      </c>
      <c r="AR1153" t="str">
        <f>IF(OR(SAISIE!$U$4="",SAISIE!$W$4=""),"",IF(AND($A1153=SAISIE!$U$4,$B1153=SAISIE!$W$4,$C1153="S1"),COUNTIFS($A$2:$A1153,SAISIE!$U$4,$B$2:$B1153,SAISIE!$W$4,$C$2:$C1153,"S1"),""))</f>
        <v/>
      </c>
      <c r="AS1153" t="str">
        <f t="shared" si="424"/>
        <v/>
      </c>
      <c r="AT1153" t="str">
        <f t="shared" si="425"/>
        <v/>
      </c>
      <c r="AU1153" t="str">
        <f t="shared" si="426"/>
        <v/>
      </c>
      <c r="AV1153">
        <f>N(AV1152)+IF(AND($AB1153&lt;&gt;"",OR('PROFIL ELEVE'!$K$4="(Tous)",$AF1153='PROFIL ELEVE'!$K$4)),1,0)</f>
        <v>0</v>
      </c>
      <c r="AW1153">
        <f>N(AW1152)+IF(AND($AB1153&lt;&gt;"",OR('SUIVI LONGITUDINAL'!$Q$4="(Tous)",$AF1153='SUIVI LONGITUDINAL'!$Q$4)),1,0)</f>
        <v>0</v>
      </c>
      <c r="AX1153">
        <f t="shared" si="427"/>
        <v>0</v>
      </c>
      <c r="AY1153">
        <f t="shared" si="428"/>
        <v>0</v>
      </c>
      <c r="AZ1153">
        <f t="shared" si="429"/>
        <v>0</v>
      </c>
      <c r="BA1153" t="str">
        <f t="shared" si="430"/>
        <v/>
      </c>
      <c r="BB1153" t="str">
        <f t="shared" si="431"/>
        <v/>
      </c>
    </row>
    <row r="1154" spans="1:54" ht="14.25" customHeight="1" x14ac:dyDescent="0.3">
      <c r="A1154" t="str">
        <f>IF(SAISIE!$F1159="","",SAISIE!$B1159)</f>
        <v/>
      </c>
      <c r="B1154" t="str">
        <f>IF(SAISIE!$F1159="","",SAISIE!$C1159)</f>
        <v/>
      </c>
      <c r="C1154" t="str">
        <f>IF(SAISIE!$F1159="","",SAISIE!$D1159)</f>
        <v/>
      </c>
      <c r="D1154" t="str">
        <f>IF(SAISIE!$E1159="","",SAISIE!$E1159)</f>
        <v/>
      </c>
      <c r="E1154" t="str">
        <f>IF(SAISIE!$F1159="","",SAISIE!$F1159)</f>
        <v/>
      </c>
      <c r="F1154" t="str">
        <f>IF(SAISIE!$G1159="","",SAISIE!$G1159)</f>
        <v/>
      </c>
      <c r="G1154" t="str">
        <f>IF(SAISIE!$H1159="","",SAISIE!$H1159)</f>
        <v/>
      </c>
      <c r="H1154" t="str">
        <f>IF(SAISIE!$I1159="","",SAISIE!$I1159)</f>
        <v/>
      </c>
      <c r="I1154" t="str">
        <f>IF(SAISIE!$J1159="","",SAISIE!$J1159)</f>
        <v/>
      </c>
      <c r="J1154" t="str">
        <f>IF(SAISIE!$K1159="","",SAISIE!$K1159)</f>
        <v/>
      </c>
      <c r="K1154" t="str">
        <f>IF(SAISIE!$L1159="","",SAISIE!$L1159)</f>
        <v/>
      </c>
      <c r="L1154" t="str">
        <f>IF(SAISIE!$M1159="","",SAISIE!$M1159)</f>
        <v/>
      </c>
      <c r="M1154" t="str">
        <f>IF(SAISIE!$N1159="","",SAISIE!$N1159)</f>
        <v/>
      </c>
      <c r="N1154" t="str">
        <f>IF(SAISIE!$O1159="","",SAISIE!$O1159)</f>
        <v/>
      </c>
      <c r="O1154" t="str">
        <f>IF(SAISIE!$P1159="","",SAISIE!$P1159)</f>
        <v/>
      </c>
      <c r="P1154" t="str">
        <f>IF(SAISIE!$Q1159="","",SAISIE!$Q1159)</f>
        <v/>
      </c>
      <c r="Q1154" t="str">
        <f>IF($I1154="","",IF($I1154&gt;PARAMETRES!$G$29,5,IF($I1154&gt;PARAMETRES!$F$29,4,IF($I1154&gt;PARAMETRES!$E$29,3,IF($I1154&gt;PARAMETRES!$D$29,2,1)))))</f>
        <v/>
      </c>
      <c r="R1154" t="str">
        <f>IF($J1154="","",IF($J1154&gt;PARAMETRES!$G$30,5,IF($J1154&gt;PARAMETRES!$F$30,4,IF($J1154&gt;PARAMETRES!$E$30,3,IF($J1154&gt;PARAMETRES!$D$30,2,1)))))</f>
        <v/>
      </c>
      <c r="S1154" t="str">
        <f>IF($K1154="","",IF($Z1154=2,IF($K1154&gt;PARAMETRES!$G$31,5,IF($K1154&gt;PARAMETRES!$F$31,4,IF($K1154&gt;PARAMETRES!$E$31,3,IF($K1154&gt;PARAMETRES!$D$31,2,1)))),IF($K1154&gt;PARAMETRES!$G$32,5,IF($K1154&gt;PARAMETRES!$F$32,4,IF($K1154&gt;PARAMETRES!$E$32,3,IF($K1154&gt;PARAMETRES!$D$32,2,1))))))</f>
        <v/>
      </c>
      <c r="T1154" t="str">
        <f>IF($L1154="","",IF($L1154&gt;PARAMETRES!$G$33,5,IF($L1154&gt;PARAMETRES!$F$33,4,IF($L1154&gt;PARAMETRES!$E$33,3,IF($L1154&gt;PARAMETRES!$D$33,2,1)))))</f>
        <v/>
      </c>
      <c r="U1154" t="str">
        <f>IF($M1154="","",IF($M1154&gt;PARAMETRES!$G$34,5,IF($M1154&gt;PARAMETRES!$F$34,4,IF($M1154&gt;PARAMETRES!$E$34,3,IF($M1154&gt;PARAMETRES!$D$34,2,1)))))</f>
        <v/>
      </c>
      <c r="V1154" t="str">
        <f>IF($N1154="","",IF($N1154&gt;PARAMETRES!$G$35,5,IF($N1154&gt;PARAMETRES!$F$35,4,IF($N1154&gt;PARAMETRES!$E$35,3,IF($N1154&gt;PARAMETRES!$D$35,2,1)))))</f>
        <v/>
      </c>
      <c r="W1154" t="str">
        <f>IF($O1154="","",IF($O1154&gt;PARAMETRES!$G$36,5,IF($O1154&gt;PARAMETRES!$F$36,4,IF($O1154&gt;PARAMETRES!$E$36,3,IF($O1154&gt;PARAMETRES!$D$36,2,1)))))</f>
        <v/>
      </c>
      <c r="X1154" t="str">
        <f>IF($P1154="","",IF($P1154&gt;PARAMETRES!$G$37,5,IF($P1154&gt;PARAMETRES!$F$37,4,IF($P1154&gt;PARAMETRES!$E$37,3,IF($P1154&gt;PARAMETRES!$D$37,2,1)))))</f>
        <v/>
      </c>
      <c r="Y1154" t="str">
        <f t="shared" ref="Y1154:Y1201" si="432">IF(COUNT($Q1154:$X1154)=0,"",AVERAGE($Q1154:$X1154))</f>
        <v/>
      </c>
      <c r="Z1154" t="str">
        <f>IFERROR(VLOOKUP($B1154,TABLE_CYCLE,2,0),"")</f>
        <v/>
      </c>
      <c r="AA1154" t="str">
        <f t="shared" ref="AA1154:AA1201" si="433">IF($D1154="","",$D1154&amp;"|"&amp;$A1154&amp;"|"&amp;$C1154)</f>
        <v/>
      </c>
      <c r="AB1154" t="str">
        <f>IF($D1154="","",IF(COUNTIF($D$2:$D1154,$D1154)=1,$D1154,""))</f>
        <v/>
      </c>
      <c r="AC1154">
        <f t="shared" ref="AC1154:AC1201" si="434">IFERROR(MATCH($A1154,LISTE_ANNEES,0),0)</f>
        <v>0</v>
      </c>
      <c r="AD1154" t="str">
        <f t="shared" ref="AD1154:AD1201" si="435">$D1154&amp;"|"&amp;$AC1154</f>
        <v>|0</v>
      </c>
      <c r="AE1154" t="str">
        <f t="shared" ref="AE1154:AE1201" si="436">IF($D1154="","",_xlfn.MAXIFS($AC$2:$AC$1201,$D$2:$D$1201,$D1154))</f>
        <v/>
      </c>
      <c r="AF1154" t="str">
        <f t="shared" ref="AF1154:AF1201" si="437">IF($AB1154="","",IFERROR(INDEX($B$2:$B$1201,MATCH($D1154&amp;"|"&amp;$AE1154,$AD$2:$AD$1201,0)),""))</f>
        <v/>
      </c>
      <c r="AG1154" t="str">
        <f t="shared" ref="AG1154:AG1201" si="438">IF($C1154&lt;&gt;"S1","",IFERROR(MATCH($D1154&amp;"|"&amp;$A1154&amp;"|S2",$AA$2:$AA$1201,0),""))</f>
        <v/>
      </c>
      <c r="AH1154" t="str">
        <f t="shared" ref="AH1154:AH1201" si="439">IF(OR($AG1154="",$Q1154=""),"",IF(INDEX($Q$2:$Q$1201,$AG1154)="","",IF(INDEX($Q$2:$Q$1201,$AG1154)&gt;$Q1154,1,IF(INDEX($Q$2:$Q$1201,$AG1154)&lt;$Q1154,-1,0))))</f>
        <v/>
      </c>
      <c r="AI1154" t="str">
        <f t="shared" ref="AI1154:AI1201" si="440">IF(OR($AG1154="",$R1154=""),"",IF(INDEX($R$2:$R$1201,$AG1154)="","",IF(INDEX($R$2:$R$1201,$AG1154)&gt;$R1154,1,IF(INDEX($R$2:$R$1201,$AG1154)&lt;$R1154,-1,0))))</f>
        <v/>
      </c>
      <c r="AJ1154" t="str">
        <f t="shared" ref="AJ1154:AJ1201" si="441">IF(OR($AG1154="",$S1154=""),"",IF(INDEX($S$2:$S$1201,$AG1154)="","",IF(INDEX($S$2:$S$1201,$AG1154)&gt;$S1154,1,IF(INDEX($S$2:$S$1201,$AG1154)&lt;$S1154,-1,0))))</f>
        <v/>
      </c>
      <c r="AK1154" t="str">
        <f t="shared" ref="AK1154:AK1201" si="442">IF(OR($AG1154="",$T1154=""),"",IF(INDEX($T$2:$T$1201,$AG1154)="","",IF(INDEX($T$2:$T$1201,$AG1154)&gt;$T1154,1,IF(INDEX($T$2:$T$1201,$AG1154)&lt;$T1154,-1,0))))</f>
        <v/>
      </c>
      <c r="AL1154" t="str">
        <f t="shared" ref="AL1154:AL1201" si="443">IF(OR($AG1154="",$U1154=""),"",IF(INDEX($U$2:$U$1201,$AG1154)="","",IF(INDEX($U$2:$U$1201,$AG1154)&gt;$U1154,1,IF(INDEX($U$2:$U$1201,$AG1154)&lt;$U1154,-1,0))))</f>
        <v/>
      </c>
      <c r="AM1154" t="str">
        <f t="shared" ref="AM1154:AM1201" si="444">IF(OR($AG1154="",$V1154=""),"",IF(INDEX($V$2:$V$1201,$AG1154)="","",IF(INDEX($V$2:$V$1201,$AG1154)&gt;$V1154,1,IF(INDEX($V$2:$V$1201,$AG1154)&lt;$V1154,-1,0))))</f>
        <v/>
      </c>
      <c r="AN1154" t="str">
        <f t="shared" ref="AN1154:AN1201" si="445">IF(OR($AG1154="",$W1154=""),"",IF(INDEX($W$2:$W$1201,$AG1154)="","",IF(INDEX($W$2:$W$1201,$AG1154)&gt;$W1154,1,IF(INDEX($W$2:$W$1201,$AG1154)&lt;$W1154,-1,0))))</f>
        <v/>
      </c>
      <c r="AO1154" t="str">
        <f t="shared" ref="AO1154:AO1201" si="446">IF(OR($AG1154="",$X1154=""),"",IF(INDEX($X$2:$X$1201,$AG1154)="","",IF(INDEX($X$2:$X$1201,$AG1154)&gt;$X1154,1,IF(INDEX($X$2:$X$1201,$AG1154)&lt;$X1154,-1,0))))</f>
        <v/>
      </c>
      <c r="AP1154">
        <f t="shared" ref="AP1154:AP1201" si="447">IF($D1154="",1,COUNTIFS($D$2:$D$1201,$D1154,$A$2:$A$1201,$A1154))</f>
        <v>1</v>
      </c>
      <c r="AQ1154" t="str">
        <f>IF(SAISIE!$F1159="","",SAISIE!$Y1159)</f>
        <v/>
      </c>
      <c r="AR1154" t="str">
        <f>IF(OR(SAISIE!$U$4="",SAISIE!$W$4=""),"",IF(AND($A1154=SAISIE!$U$4,$B1154=SAISIE!$W$4,$C1154="S1"),COUNTIFS($A$2:$A1154,SAISIE!$U$4,$B$2:$B1154,SAISIE!$W$4,$C$2:$C1154,"S1"),""))</f>
        <v/>
      </c>
      <c r="AS1154" t="str">
        <f t="shared" ref="AS1154:AS1201" si="448">IF($D1154="","",$A1154&amp;"|"&amp;$C1154&amp;"|"&amp;$D1154)</f>
        <v/>
      </c>
      <c r="AT1154" t="str">
        <f t="shared" ref="AT1154:AT1201" si="449">IF($D1154="","",$A1154&amp;"|"&amp;$D1154&amp;"|"&amp;IF($AQ1154="Parti","P","A"))</f>
        <v/>
      </c>
      <c r="AU1154" t="str">
        <f t="shared" ref="AU1154:AU1201" si="450">IF($A1154="","",$A1154&amp;"|"&amp;$B1154&amp;"|"&amp;$C1154)</f>
        <v/>
      </c>
      <c r="AV1154">
        <f>N(AV1153)+IF(AND($AB1154&lt;&gt;"",OR('PROFIL ELEVE'!$K$4="(Tous)",$AF1154='PROFIL ELEVE'!$K$4)),1,0)</f>
        <v>0</v>
      </c>
      <c r="AW1154">
        <f>N(AW1153)+IF(AND($AB1154&lt;&gt;"",OR('SUIVI LONGITUDINAL'!$Q$4="(Tous)",$AF1154='SUIVI LONGITUDINAL'!$Q$4)),1,0)</f>
        <v>0</v>
      </c>
      <c r="AX1154">
        <f t="shared" ref="AX1154:AX1201" si="451">COUNTIF($AH1154:$AO1154,1)</f>
        <v>0</v>
      </c>
      <c r="AY1154">
        <f t="shared" ref="AY1154:AY1201" si="452">COUNTIF($AH1154:$AO1154,0)</f>
        <v>0</v>
      </c>
      <c r="AZ1154">
        <f t="shared" ref="AZ1154:AZ1201" si="453">COUNTIF($AH1154:$AO1154,-1)</f>
        <v>0</v>
      </c>
      <c r="BA1154" t="str">
        <f t="shared" ref="BA1154:BA1201" si="454">IF($E1154="","",COUNT($Q1154:$X1154))</f>
        <v/>
      </c>
      <c r="BB1154" t="str">
        <f t="shared" ref="BB1154:BB1201" si="455">IF($E1154="","",IF(COUNT($Q1154:$X1154)&gt;=IF($Z1154=2,5,8),1,0))</f>
        <v/>
      </c>
    </row>
    <row r="1155" spans="1:54" ht="14.25" customHeight="1" x14ac:dyDescent="0.3">
      <c r="A1155" t="str">
        <f>IF(SAISIE!$F1160="","",SAISIE!$B1160)</f>
        <v/>
      </c>
      <c r="B1155" t="str">
        <f>IF(SAISIE!$F1160="","",SAISIE!$C1160)</f>
        <v/>
      </c>
      <c r="C1155" t="str">
        <f>IF(SAISIE!$F1160="","",SAISIE!$D1160)</f>
        <v/>
      </c>
      <c r="D1155" t="str">
        <f>IF(SAISIE!$E1160="","",SAISIE!$E1160)</f>
        <v/>
      </c>
      <c r="E1155" t="str">
        <f>IF(SAISIE!$F1160="","",SAISIE!$F1160)</f>
        <v/>
      </c>
      <c r="F1155" t="str">
        <f>IF(SAISIE!$G1160="","",SAISIE!$G1160)</f>
        <v/>
      </c>
      <c r="G1155" t="str">
        <f>IF(SAISIE!$H1160="","",SAISIE!$H1160)</f>
        <v/>
      </c>
      <c r="H1155" t="str">
        <f>IF(SAISIE!$I1160="","",SAISIE!$I1160)</f>
        <v/>
      </c>
      <c r="I1155" t="str">
        <f>IF(SAISIE!$J1160="","",SAISIE!$J1160)</f>
        <v/>
      </c>
      <c r="J1155" t="str">
        <f>IF(SAISIE!$K1160="","",SAISIE!$K1160)</f>
        <v/>
      </c>
      <c r="K1155" t="str">
        <f>IF(SAISIE!$L1160="","",SAISIE!$L1160)</f>
        <v/>
      </c>
      <c r="L1155" t="str">
        <f>IF(SAISIE!$M1160="","",SAISIE!$M1160)</f>
        <v/>
      </c>
      <c r="M1155" t="str">
        <f>IF(SAISIE!$N1160="","",SAISIE!$N1160)</f>
        <v/>
      </c>
      <c r="N1155" t="str">
        <f>IF(SAISIE!$O1160="","",SAISIE!$O1160)</f>
        <v/>
      </c>
      <c r="O1155" t="str">
        <f>IF(SAISIE!$P1160="","",SAISIE!$P1160)</f>
        <v/>
      </c>
      <c r="P1155" t="str">
        <f>IF(SAISIE!$Q1160="","",SAISIE!$Q1160)</f>
        <v/>
      </c>
      <c r="Q1155" t="str">
        <f>IF($I1155="","",IF($I1155&gt;PARAMETRES!$G$29,5,IF($I1155&gt;PARAMETRES!$F$29,4,IF($I1155&gt;PARAMETRES!$E$29,3,IF($I1155&gt;PARAMETRES!$D$29,2,1)))))</f>
        <v/>
      </c>
      <c r="R1155" t="str">
        <f>IF($J1155="","",IF($J1155&gt;PARAMETRES!$G$30,5,IF($J1155&gt;PARAMETRES!$F$30,4,IF($J1155&gt;PARAMETRES!$E$30,3,IF($J1155&gt;PARAMETRES!$D$30,2,1)))))</f>
        <v/>
      </c>
      <c r="S1155" t="str">
        <f>IF($K1155="","",IF($Z1155=2,IF($K1155&gt;PARAMETRES!$G$31,5,IF($K1155&gt;PARAMETRES!$F$31,4,IF($K1155&gt;PARAMETRES!$E$31,3,IF($K1155&gt;PARAMETRES!$D$31,2,1)))),IF($K1155&gt;PARAMETRES!$G$32,5,IF($K1155&gt;PARAMETRES!$F$32,4,IF($K1155&gt;PARAMETRES!$E$32,3,IF($K1155&gt;PARAMETRES!$D$32,2,1))))))</f>
        <v/>
      </c>
      <c r="T1155" t="str">
        <f>IF($L1155="","",IF($L1155&gt;PARAMETRES!$G$33,5,IF($L1155&gt;PARAMETRES!$F$33,4,IF($L1155&gt;PARAMETRES!$E$33,3,IF($L1155&gt;PARAMETRES!$D$33,2,1)))))</f>
        <v/>
      </c>
      <c r="U1155" t="str">
        <f>IF($M1155="","",IF($M1155&gt;PARAMETRES!$G$34,5,IF($M1155&gt;PARAMETRES!$F$34,4,IF($M1155&gt;PARAMETRES!$E$34,3,IF($M1155&gt;PARAMETRES!$D$34,2,1)))))</f>
        <v/>
      </c>
      <c r="V1155" t="str">
        <f>IF($N1155="","",IF($N1155&gt;PARAMETRES!$G$35,5,IF($N1155&gt;PARAMETRES!$F$35,4,IF($N1155&gt;PARAMETRES!$E$35,3,IF($N1155&gt;PARAMETRES!$D$35,2,1)))))</f>
        <v/>
      </c>
      <c r="W1155" t="str">
        <f>IF($O1155="","",IF($O1155&gt;PARAMETRES!$G$36,5,IF($O1155&gt;PARAMETRES!$F$36,4,IF($O1155&gt;PARAMETRES!$E$36,3,IF($O1155&gt;PARAMETRES!$D$36,2,1)))))</f>
        <v/>
      </c>
      <c r="X1155" t="str">
        <f>IF($P1155="","",IF($P1155&gt;PARAMETRES!$G$37,5,IF($P1155&gt;PARAMETRES!$F$37,4,IF($P1155&gt;PARAMETRES!$E$37,3,IF($P1155&gt;PARAMETRES!$D$37,2,1)))))</f>
        <v/>
      </c>
      <c r="Y1155" t="str">
        <f t="shared" si="432"/>
        <v/>
      </c>
      <c r="Z1155" t="str">
        <f>IFERROR(VLOOKUP($B1155,TABLE_CYCLE,2,0),"")</f>
        <v/>
      </c>
      <c r="AA1155" t="str">
        <f t="shared" si="433"/>
        <v/>
      </c>
      <c r="AB1155" t="str">
        <f>IF($D1155="","",IF(COUNTIF($D$2:$D1155,$D1155)=1,$D1155,""))</f>
        <v/>
      </c>
      <c r="AC1155">
        <f t="shared" si="434"/>
        <v>0</v>
      </c>
      <c r="AD1155" t="str">
        <f t="shared" si="435"/>
        <v>|0</v>
      </c>
      <c r="AE1155" t="str">
        <f t="shared" si="436"/>
        <v/>
      </c>
      <c r="AF1155" t="str">
        <f t="shared" si="437"/>
        <v/>
      </c>
      <c r="AG1155" t="str">
        <f t="shared" si="438"/>
        <v/>
      </c>
      <c r="AH1155" t="str">
        <f t="shared" si="439"/>
        <v/>
      </c>
      <c r="AI1155" t="str">
        <f t="shared" si="440"/>
        <v/>
      </c>
      <c r="AJ1155" t="str">
        <f t="shared" si="441"/>
        <v/>
      </c>
      <c r="AK1155" t="str">
        <f t="shared" si="442"/>
        <v/>
      </c>
      <c r="AL1155" t="str">
        <f t="shared" si="443"/>
        <v/>
      </c>
      <c r="AM1155" t="str">
        <f t="shared" si="444"/>
        <v/>
      </c>
      <c r="AN1155" t="str">
        <f t="shared" si="445"/>
        <v/>
      </c>
      <c r="AO1155" t="str">
        <f t="shared" si="446"/>
        <v/>
      </c>
      <c r="AP1155">
        <f t="shared" si="447"/>
        <v>1</v>
      </c>
      <c r="AQ1155" t="str">
        <f>IF(SAISIE!$F1160="","",SAISIE!$Y1160)</f>
        <v/>
      </c>
      <c r="AR1155" t="str">
        <f>IF(OR(SAISIE!$U$4="",SAISIE!$W$4=""),"",IF(AND($A1155=SAISIE!$U$4,$B1155=SAISIE!$W$4,$C1155="S1"),COUNTIFS($A$2:$A1155,SAISIE!$U$4,$B$2:$B1155,SAISIE!$W$4,$C$2:$C1155,"S1"),""))</f>
        <v/>
      </c>
      <c r="AS1155" t="str">
        <f t="shared" si="448"/>
        <v/>
      </c>
      <c r="AT1155" t="str">
        <f t="shared" si="449"/>
        <v/>
      </c>
      <c r="AU1155" t="str">
        <f t="shared" si="450"/>
        <v/>
      </c>
      <c r="AV1155">
        <f>N(AV1154)+IF(AND($AB1155&lt;&gt;"",OR('PROFIL ELEVE'!$K$4="(Tous)",$AF1155='PROFIL ELEVE'!$K$4)),1,0)</f>
        <v>0</v>
      </c>
      <c r="AW1155">
        <f>N(AW1154)+IF(AND($AB1155&lt;&gt;"",OR('SUIVI LONGITUDINAL'!$Q$4="(Tous)",$AF1155='SUIVI LONGITUDINAL'!$Q$4)),1,0)</f>
        <v>0</v>
      </c>
      <c r="AX1155">
        <f t="shared" si="451"/>
        <v>0</v>
      </c>
      <c r="AY1155">
        <f t="shared" si="452"/>
        <v>0</v>
      </c>
      <c r="AZ1155">
        <f t="shared" si="453"/>
        <v>0</v>
      </c>
      <c r="BA1155" t="str">
        <f t="shared" si="454"/>
        <v/>
      </c>
      <c r="BB1155" t="str">
        <f t="shared" si="455"/>
        <v/>
      </c>
    </row>
    <row r="1156" spans="1:54" ht="14.25" customHeight="1" x14ac:dyDescent="0.3">
      <c r="A1156" t="str">
        <f>IF(SAISIE!$F1161="","",SAISIE!$B1161)</f>
        <v/>
      </c>
      <c r="B1156" t="str">
        <f>IF(SAISIE!$F1161="","",SAISIE!$C1161)</f>
        <v/>
      </c>
      <c r="C1156" t="str">
        <f>IF(SAISIE!$F1161="","",SAISIE!$D1161)</f>
        <v/>
      </c>
      <c r="D1156" t="str">
        <f>IF(SAISIE!$E1161="","",SAISIE!$E1161)</f>
        <v/>
      </c>
      <c r="E1156" t="str">
        <f>IF(SAISIE!$F1161="","",SAISIE!$F1161)</f>
        <v/>
      </c>
      <c r="F1156" t="str">
        <f>IF(SAISIE!$G1161="","",SAISIE!$G1161)</f>
        <v/>
      </c>
      <c r="G1156" t="str">
        <f>IF(SAISIE!$H1161="","",SAISIE!$H1161)</f>
        <v/>
      </c>
      <c r="H1156" t="str">
        <f>IF(SAISIE!$I1161="","",SAISIE!$I1161)</f>
        <v/>
      </c>
      <c r="I1156" t="str">
        <f>IF(SAISIE!$J1161="","",SAISIE!$J1161)</f>
        <v/>
      </c>
      <c r="J1156" t="str">
        <f>IF(SAISIE!$K1161="","",SAISIE!$K1161)</f>
        <v/>
      </c>
      <c r="K1156" t="str">
        <f>IF(SAISIE!$L1161="","",SAISIE!$L1161)</f>
        <v/>
      </c>
      <c r="L1156" t="str">
        <f>IF(SAISIE!$M1161="","",SAISIE!$M1161)</f>
        <v/>
      </c>
      <c r="M1156" t="str">
        <f>IF(SAISIE!$N1161="","",SAISIE!$N1161)</f>
        <v/>
      </c>
      <c r="N1156" t="str">
        <f>IF(SAISIE!$O1161="","",SAISIE!$O1161)</f>
        <v/>
      </c>
      <c r="O1156" t="str">
        <f>IF(SAISIE!$P1161="","",SAISIE!$P1161)</f>
        <v/>
      </c>
      <c r="P1156" t="str">
        <f>IF(SAISIE!$Q1161="","",SAISIE!$Q1161)</f>
        <v/>
      </c>
      <c r="Q1156" t="str">
        <f>IF($I1156="","",IF($I1156&gt;PARAMETRES!$G$29,5,IF($I1156&gt;PARAMETRES!$F$29,4,IF($I1156&gt;PARAMETRES!$E$29,3,IF($I1156&gt;PARAMETRES!$D$29,2,1)))))</f>
        <v/>
      </c>
      <c r="R1156" t="str">
        <f>IF($J1156="","",IF($J1156&gt;PARAMETRES!$G$30,5,IF($J1156&gt;PARAMETRES!$F$30,4,IF($J1156&gt;PARAMETRES!$E$30,3,IF($J1156&gt;PARAMETRES!$D$30,2,1)))))</f>
        <v/>
      </c>
      <c r="S1156" t="str">
        <f>IF($K1156="","",IF($Z1156=2,IF($K1156&gt;PARAMETRES!$G$31,5,IF($K1156&gt;PARAMETRES!$F$31,4,IF($K1156&gt;PARAMETRES!$E$31,3,IF($K1156&gt;PARAMETRES!$D$31,2,1)))),IF($K1156&gt;PARAMETRES!$G$32,5,IF($K1156&gt;PARAMETRES!$F$32,4,IF($K1156&gt;PARAMETRES!$E$32,3,IF($K1156&gt;PARAMETRES!$D$32,2,1))))))</f>
        <v/>
      </c>
      <c r="T1156" t="str">
        <f>IF($L1156="","",IF($L1156&gt;PARAMETRES!$G$33,5,IF($L1156&gt;PARAMETRES!$F$33,4,IF($L1156&gt;PARAMETRES!$E$33,3,IF($L1156&gt;PARAMETRES!$D$33,2,1)))))</f>
        <v/>
      </c>
      <c r="U1156" t="str">
        <f>IF($M1156="","",IF($M1156&gt;PARAMETRES!$G$34,5,IF($M1156&gt;PARAMETRES!$F$34,4,IF($M1156&gt;PARAMETRES!$E$34,3,IF($M1156&gt;PARAMETRES!$D$34,2,1)))))</f>
        <v/>
      </c>
      <c r="V1156" t="str">
        <f>IF($N1156="","",IF($N1156&gt;PARAMETRES!$G$35,5,IF($N1156&gt;PARAMETRES!$F$35,4,IF($N1156&gt;PARAMETRES!$E$35,3,IF($N1156&gt;PARAMETRES!$D$35,2,1)))))</f>
        <v/>
      </c>
      <c r="W1156" t="str">
        <f>IF($O1156="","",IF($O1156&gt;PARAMETRES!$G$36,5,IF($O1156&gt;PARAMETRES!$F$36,4,IF($O1156&gt;PARAMETRES!$E$36,3,IF($O1156&gt;PARAMETRES!$D$36,2,1)))))</f>
        <v/>
      </c>
      <c r="X1156" t="str">
        <f>IF($P1156="","",IF($P1156&gt;PARAMETRES!$G$37,5,IF($P1156&gt;PARAMETRES!$F$37,4,IF($P1156&gt;PARAMETRES!$E$37,3,IF($P1156&gt;PARAMETRES!$D$37,2,1)))))</f>
        <v/>
      </c>
      <c r="Y1156" t="str">
        <f t="shared" si="432"/>
        <v/>
      </c>
      <c r="Z1156" t="str">
        <f>IFERROR(VLOOKUP($B1156,TABLE_CYCLE,2,0),"")</f>
        <v/>
      </c>
      <c r="AA1156" t="str">
        <f t="shared" si="433"/>
        <v/>
      </c>
      <c r="AB1156" t="str">
        <f>IF($D1156="","",IF(COUNTIF($D$2:$D1156,$D1156)=1,$D1156,""))</f>
        <v/>
      </c>
      <c r="AC1156">
        <f t="shared" si="434"/>
        <v>0</v>
      </c>
      <c r="AD1156" t="str">
        <f t="shared" si="435"/>
        <v>|0</v>
      </c>
      <c r="AE1156" t="str">
        <f t="shared" si="436"/>
        <v/>
      </c>
      <c r="AF1156" t="str">
        <f t="shared" si="437"/>
        <v/>
      </c>
      <c r="AG1156" t="str">
        <f t="shared" si="438"/>
        <v/>
      </c>
      <c r="AH1156" t="str">
        <f t="shared" si="439"/>
        <v/>
      </c>
      <c r="AI1156" t="str">
        <f t="shared" si="440"/>
        <v/>
      </c>
      <c r="AJ1156" t="str">
        <f t="shared" si="441"/>
        <v/>
      </c>
      <c r="AK1156" t="str">
        <f t="shared" si="442"/>
        <v/>
      </c>
      <c r="AL1156" t="str">
        <f t="shared" si="443"/>
        <v/>
      </c>
      <c r="AM1156" t="str">
        <f t="shared" si="444"/>
        <v/>
      </c>
      <c r="AN1156" t="str">
        <f t="shared" si="445"/>
        <v/>
      </c>
      <c r="AO1156" t="str">
        <f t="shared" si="446"/>
        <v/>
      </c>
      <c r="AP1156">
        <f t="shared" si="447"/>
        <v>1</v>
      </c>
      <c r="AQ1156" t="str">
        <f>IF(SAISIE!$F1161="","",SAISIE!$Y1161)</f>
        <v/>
      </c>
      <c r="AR1156" t="str">
        <f>IF(OR(SAISIE!$U$4="",SAISIE!$W$4=""),"",IF(AND($A1156=SAISIE!$U$4,$B1156=SAISIE!$W$4,$C1156="S1"),COUNTIFS($A$2:$A1156,SAISIE!$U$4,$B$2:$B1156,SAISIE!$W$4,$C$2:$C1156,"S1"),""))</f>
        <v/>
      </c>
      <c r="AS1156" t="str">
        <f t="shared" si="448"/>
        <v/>
      </c>
      <c r="AT1156" t="str">
        <f t="shared" si="449"/>
        <v/>
      </c>
      <c r="AU1156" t="str">
        <f t="shared" si="450"/>
        <v/>
      </c>
      <c r="AV1156">
        <f>N(AV1155)+IF(AND($AB1156&lt;&gt;"",OR('PROFIL ELEVE'!$K$4="(Tous)",$AF1156='PROFIL ELEVE'!$K$4)),1,0)</f>
        <v>0</v>
      </c>
      <c r="AW1156">
        <f>N(AW1155)+IF(AND($AB1156&lt;&gt;"",OR('SUIVI LONGITUDINAL'!$Q$4="(Tous)",$AF1156='SUIVI LONGITUDINAL'!$Q$4)),1,0)</f>
        <v>0</v>
      </c>
      <c r="AX1156">
        <f t="shared" si="451"/>
        <v>0</v>
      </c>
      <c r="AY1156">
        <f t="shared" si="452"/>
        <v>0</v>
      </c>
      <c r="AZ1156">
        <f t="shared" si="453"/>
        <v>0</v>
      </c>
      <c r="BA1156" t="str">
        <f t="shared" si="454"/>
        <v/>
      </c>
      <c r="BB1156" t="str">
        <f t="shared" si="455"/>
        <v/>
      </c>
    </row>
    <row r="1157" spans="1:54" ht="14.25" customHeight="1" x14ac:dyDescent="0.3">
      <c r="A1157" t="str">
        <f>IF(SAISIE!$F1162="","",SAISIE!$B1162)</f>
        <v/>
      </c>
      <c r="B1157" t="str">
        <f>IF(SAISIE!$F1162="","",SAISIE!$C1162)</f>
        <v/>
      </c>
      <c r="C1157" t="str">
        <f>IF(SAISIE!$F1162="","",SAISIE!$D1162)</f>
        <v/>
      </c>
      <c r="D1157" t="str">
        <f>IF(SAISIE!$E1162="","",SAISIE!$E1162)</f>
        <v/>
      </c>
      <c r="E1157" t="str">
        <f>IF(SAISIE!$F1162="","",SAISIE!$F1162)</f>
        <v/>
      </c>
      <c r="F1157" t="str">
        <f>IF(SAISIE!$G1162="","",SAISIE!$G1162)</f>
        <v/>
      </c>
      <c r="G1157" t="str">
        <f>IF(SAISIE!$H1162="","",SAISIE!$H1162)</f>
        <v/>
      </c>
      <c r="H1157" t="str">
        <f>IF(SAISIE!$I1162="","",SAISIE!$I1162)</f>
        <v/>
      </c>
      <c r="I1157" t="str">
        <f>IF(SAISIE!$J1162="","",SAISIE!$J1162)</f>
        <v/>
      </c>
      <c r="J1157" t="str">
        <f>IF(SAISIE!$K1162="","",SAISIE!$K1162)</f>
        <v/>
      </c>
      <c r="K1157" t="str">
        <f>IF(SAISIE!$L1162="","",SAISIE!$L1162)</f>
        <v/>
      </c>
      <c r="L1157" t="str">
        <f>IF(SAISIE!$M1162="","",SAISIE!$M1162)</f>
        <v/>
      </c>
      <c r="M1157" t="str">
        <f>IF(SAISIE!$N1162="","",SAISIE!$N1162)</f>
        <v/>
      </c>
      <c r="N1157" t="str">
        <f>IF(SAISIE!$O1162="","",SAISIE!$O1162)</f>
        <v/>
      </c>
      <c r="O1157" t="str">
        <f>IF(SAISIE!$P1162="","",SAISIE!$P1162)</f>
        <v/>
      </c>
      <c r="P1157" t="str">
        <f>IF(SAISIE!$Q1162="","",SAISIE!$Q1162)</f>
        <v/>
      </c>
      <c r="Q1157" t="str">
        <f>IF($I1157="","",IF($I1157&gt;PARAMETRES!$G$29,5,IF($I1157&gt;PARAMETRES!$F$29,4,IF($I1157&gt;PARAMETRES!$E$29,3,IF($I1157&gt;PARAMETRES!$D$29,2,1)))))</f>
        <v/>
      </c>
      <c r="R1157" t="str">
        <f>IF($J1157="","",IF($J1157&gt;PARAMETRES!$G$30,5,IF($J1157&gt;PARAMETRES!$F$30,4,IF($J1157&gt;PARAMETRES!$E$30,3,IF($J1157&gt;PARAMETRES!$D$30,2,1)))))</f>
        <v/>
      </c>
      <c r="S1157" t="str">
        <f>IF($K1157="","",IF($Z1157=2,IF($K1157&gt;PARAMETRES!$G$31,5,IF($K1157&gt;PARAMETRES!$F$31,4,IF($K1157&gt;PARAMETRES!$E$31,3,IF($K1157&gt;PARAMETRES!$D$31,2,1)))),IF($K1157&gt;PARAMETRES!$G$32,5,IF($K1157&gt;PARAMETRES!$F$32,4,IF($K1157&gt;PARAMETRES!$E$32,3,IF($K1157&gt;PARAMETRES!$D$32,2,1))))))</f>
        <v/>
      </c>
      <c r="T1157" t="str">
        <f>IF($L1157="","",IF($L1157&gt;PARAMETRES!$G$33,5,IF($L1157&gt;PARAMETRES!$F$33,4,IF($L1157&gt;PARAMETRES!$E$33,3,IF($L1157&gt;PARAMETRES!$D$33,2,1)))))</f>
        <v/>
      </c>
      <c r="U1157" t="str">
        <f>IF($M1157="","",IF($M1157&gt;PARAMETRES!$G$34,5,IF($M1157&gt;PARAMETRES!$F$34,4,IF($M1157&gt;PARAMETRES!$E$34,3,IF($M1157&gt;PARAMETRES!$D$34,2,1)))))</f>
        <v/>
      </c>
      <c r="V1157" t="str">
        <f>IF($N1157="","",IF($N1157&gt;PARAMETRES!$G$35,5,IF($N1157&gt;PARAMETRES!$F$35,4,IF($N1157&gt;PARAMETRES!$E$35,3,IF($N1157&gt;PARAMETRES!$D$35,2,1)))))</f>
        <v/>
      </c>
      <c r="W1157" t="str">
        <f>IF($O1157="","",IF($O1157&gt;PARAMETRES!$G$36,5,IF($O1157&gt;PARAMETRES!$F$36,4,IF($O1157&gt;PARAMETRES!$E$36,3,IF($O1157&gt;PARAMETRES!$D$36,2,1)))))</f>
        <v/>
      </c>
      <c r="X1157" t="str">
        <f>IF($P1157="","",IF($P1157&gt;PARAMETRES!$G$37,5,IF($P1157&gt;PARAMETRES!$F$37,4,IF($P1157&gt;PARAMETRES!$E$37,3,IF($P1157&gt;PARAMETRES!$D$37,2,1)))))</f>
        <v/>
      </c>
      <c r="Y1157" t="str">
        <f t="shared" si="432"/>
        <v/>
      </c>
      <c r="Z1157" t="str">
        <f>IFERROR(VLOOKUP($B1157,TABLE_CYCLE,2,0),"")</f>
        <v/>
      </c>
      <c r="AA1157" t="str">
        <f t="shared" si="433"/>
        <v/>
      </c>
      <c r="AB1157" t="str">
        <f>IF($D1157="","",IF(COUNTIF($D$2:$D1157,$D1157)=1,$D1157,""))</f>
        <v/>
      </c>
      <c r="AC1157">
        <f t="shared" si="434"/>
        <v>0</v>
      </c>
      <c r="AD1157" t="str">
        <f t="shared" si="435"/>
        <v>|0</v>
      </c>
      <c r="AE1157" t="str">
        <f t="shared" si="436"/>
        <v/>
      </c>
      <c r="AF1157" t="str">
        <f t="shared" si="437"/>
        <v/>
      </c>
      <c r="AG1157" t="str">
        <f t="shared" si="438"/>
        <v/>
      </c>
      <c r="AH1157" t="str">
        <f t="shared" si="439"/>
        <v/>
      </c>
      <c r="AI1157" t="str">
        <f t="shared" si="440"/>
        <v/>
      </c>
      <c r="AJ1157" t="str">
        <f t="shared" si="441"/>
        <v/>
      </c>
      <c r="AK1157" t="str">
        <f t="shared" si="442"/>
        <v/>
      </c>
      <c r="AL1157" t="str">
        <f t="shared" si="443"/>
        <v/>
      </c>
      <c r="AM1157" t="str">
        <f t="shared" si="444"/>
        <v/>
      </c>
      <c r="AN1157" t="str">
        <f t="shared" si="445"/>
        <v/>
      </c>
      <c r="AO1157" t="str">
        <f t="shared" si="446"/>
        <v/>
      </c>
      <c r="AP1157">
        <f t="shared" si="447"/>
        <v>1</v>
      </c>
      <c r="AQ1157" t="str">
        <f>IF(SAISIE!$F1162="","",SAISIE!$Y1162)</f>
        <v/>
      </c>
      <c r="AR1157" t="str">
        <f>IF(OR(SAISIE!$U$4="",SAISIE!$W$4=""),"",IF(AND($A1157=SAISIE!$U$4,$B1157=SAISIE!$W$4,$C1157="S1"),COUNTIFS($A$2:$A1157,SAISIE!$U$4,$B$2:$B1157,SAISIE!$W$4,$C$2:$C1157,"S1"),""))</f>
        <v/>
      </c>
      <c r="AS1157" t="str">
        <f t="shared" si="448"/>
        <v/>
      </c>
      <c r="AT1157" t="str">
        <f t="shared" si="449"/>
        <v/>
      </c>
      <c r="AU1157" t="str">
        <f t="shared" si="450"/>
        <v/>
      </c>
      <c r="AV1157">
        <f>N(AV1156)+IF(AND($AB1157&lt;&gt;"",OR('PROFIL ELEVE'!$K$4="(Tous)",$AF1157='PROFIL ELEVE'!$K$4)),1,0)</f>
        <v>0</v>
      </c>
      <c r="AW1157">
        <f>N(AW1156)+IF(AND($AB1157&lt;&gt;"",OR('SUIVI LONGITUDINAL'!$Q$4="(Tous)",$AF1157='SUIVI LONGITUDINAL'!$Q$4)),1,0)</f>
        <v>0</v>
      </c>
      <c r="AX1157">
        <f t="shared" si="451"/>
        <v>0</v>
      </c>
      <c r="AY1157">
        <f t="shared" si="452"/>
        <v>0</v>
      </c>
      <c r="AZ1157">
        <f t="shared" si="453"/>
        <v>0</v>
      </c>
      <c r="BA1157" t="str">
        <f t="shared" si="454"/>
        <v/>
      </c>
      <c r="BB1157" t="str">
        <f t="shared" si="455"/>
        <v/>
      </c>
    </row>
    <row r="1158" spans="1:54" ht="14.25" customHeight="1" x14ac:dyDescent="0.3">
      <c r="A1158" t="str">
        <f>IF(SAISIE!$F1163="","",SAISIE!$B1163)</f>
        <v/>
      </c>
      <c r="B1158" t="str">
        <f>IF(SAISIE!$F1163="","",SAISIE!$C1163)</f>
        <v/>
      </c>
      <c r="C1158" t="str">
        <f>IF(SAISIE!$F1163="","",SAISIE!$D1163)</f>
        <v/>
      </c>
      <c r="D1158" t="str">
        <f>IF(SAISIE!$E1163="","",SAISIE!$E1163)</f>
        <v/>
      </c>
      <c r="E1158" t="str">
        <f>IF(SAISIE!$F1163="","",SAISIE!$F1163)</f>
        <v/>
      </c>
      <c r="F1158" t="str">
        <f>IF(SAISIE!$G1163="","",SAISIE!$G1163)</f>
        <v/>
      </c>
      <c r="G1158" t="str">
        <f>IF(SAISIE!$H1163="","",SAISIE!$H1163)</f>
        <v/>
      </c>
      <c r="H1158" t="str">
        <f>IF(SAISIE!$I1163="","",SAISIE!$I1163)</f>
        <v/>
      </c>
      <c r="I1158" t="str">
        <f>IF(SAISIE!$J1163="","",SAISIE!$J1163)</f>
        <v/>
      </c>
      <c r="J1158" t="str">
        <f>IF(SAISIE!$K1163="","",SAISIE!$K1163)</f>
        <v/>
      </c>
      <c r="K1158" t="str">
        <f>IF(SAISIE!$L1163="","",SAISIE!$L1163)</f>
        <v/>
      </c>
      <c r="L1158" t="str">
        <f>IF(SAISIE!$M1163="","",SAISIE!$M1163)</f>
        <v/>
      </c>
      <c r="M1158" t="str">
        <f>IF(SAISIE!$N1163="","",SAISIE!$N1163)</f>
        <v/>
      </c>
      <c r="N1158" t="str">
        <f>IF(SAISIE!$O1163="","",SAISIE!$O1163)</f>
        <v/>
      </c>
      <c r="O1158" t="str">
        <f>IF(SAISIE!$P1163="","",SAISIE!$P1163)</f>
        <v/>
      </c>
      <c r="P1158" t="str">
        <f>IF(SAISIE!$Q1163="","",SAISIE!$Q1163)</f>
        <v/>
      </c>
      <c r="Q1158" t="str">
        <f>IF($I1158="","",IF($I1158&gt;PARAMETRES!$G$29,5,IF($I1158&gt;PARAMETRES!$F$29,4,IF($I1158&gt;PARAMETRES!$E$29,3,IF($I1158&gt;PARAMETRES!$D$29,2,1)))))</f>
        <v/>
      </c>
      <c r="R1158" t="str">
        <f>IF($J1158="","",IF($J1158&gt;PARAMETRES!$G$30,5,IF($J1158&gt;PARAMETRES!$F$30,4,IF($J1158&gt;PARAMETRES!$E$30,3,IF($J1158&gt;PARAMETRES!$D$30,2,1)))))</f>
        <v/>
      </c>
      <c r="S1158" t="str">
        <f>IF($K1158="","",IF($Z1158=2,IF($K1158&gt;PARAMETRES!$G$31,5,IF($K1158&gt;PARAMETRES!$F$31,4,IF($K1158&gt;PARAMETRES!$E$31,3,IF($K1158&gt;PARAMETRES!$D$31,2,1)))),IF($K1158&gt;PARAMETRES!$G$32,5,IF($K1158&gt;PARAMETRES!$F$32,4,IF($K1158&gt;PARAMETRES!$E$32,3,IF($K1158&gt;PARAMETRES!$D$32,2,1))))))</f>
        <v/>
      </c>
      <c r="T1158" t="str">
        <f>IF($L1158="","",IF($L1158&gt;PARAMETRES!$G$33,5,IF($L1158&gt;PARAMETRES!$F$33,4,IF($L1158&gt;PARAMETRES!$E$33,3,IF($L1158&gt;PARAMETRES!$D$33,2,1)))))</f>
        <v/>
      </c>
      <c r="U1158" t="str">
        <f>IF($M1158="","",IF($M1158&gt;PARAMETRES!$G$34,5,IF($M1158&gt;PARAMETRES!$F$34,4,IF($M1158&gt;PARAMETRES!$E$34,3,IF($M1158&gt;PARAMETRES!$D$34,2,1)))))</f>
        <v/>
      </c>
      <c r="V1158" t="str">
        <f>IF($N1158="","",IF($N1158&gt;PARAMETRES!$G$35,5,IF($N1158&gt;PARAMETRES!$F$35,4,IF($N1158&gt;PARAMETRES!$E$35,3,IF($N1158&gt;PARAMETRES!$D$35,2,1)))))</f>
        <v/>
      </c>
      <c r="W1158" t="str">
        <f>IF($O1158="","",IF($O1158&gt;PARAMETRES!$G$36,5,IF($O1158&gt;PARAMETRES!$F$36,4,IF($O1158&gt;PARAMETRES!$E$36,3,IF($O1158&gt;PARAMETRES!$D$36,2,1)))))</f>
        <v/>
      </c>
      <c r="X1158" t="str">
        <f>IF($P1158="","",IF($P1158&gt;PARAMETRES!$G$37,5,IF($P1158&gt;PARAMETRES!$F$37,4,IF($P1158&gt;PARAMETRES!$E$37,3,IF($P1158&gt;PARAMETRES!$D$37,2,1)))))</f>
        <v/>
      </c>
      <c r="Y1158" t="str">
        <f t="shared" si="432"/>
        <v/>
      </c>
      <c r="Z1158" t="str">
        <f>IFERROR(VLOOKUP($B1158,TABLE_CYCLE,2,0),"")</f>
        <v/>
      </c>
      <c r="AA1158" t="str">
        <f t="shared" si="433"/>
        <v/>
      </c>
      <c r="AB1158" t="str">
        <f>IF($D1158="","",IF(COUNTIF($D$2:$D1158,$D1158)=1,$D1158,""))</f>
        <v/>
      </c>
      <c r="AC1158">
        <f t="shared" si="434"/>
        <v>0</v>
      </c>
      <c r="AD1158" t="str">
        <f t="shared" si="435"/>
        <v>|0</v>
      </c>
      <c r="AE1158" t="str">
        <f t="shared" si="436"/>
        <v/>
      </c>
      <c r="AF1158" t="str">
        <f t="shared" si="437"/>
        <v/>
      </c>
      <c r="AG1158" t="str">
        <f t="shared" si="438"/>
        <v/>
      </c>
      <c r="AH1158" t="str">
        <f t="shared" si="439"/>
        <v/>
      </c>
      <c r="AI1158" t="str">
        <f t="shared" si="440"/>
        <v/>
      </c>
      <c r="AJ1158" t="str">
        <f t="shared" si="441"/>
        <v/>
      </c>
      <c r="AK1158" t="str">
        <f t="shared" si="442"/>
        <v/>
      </c>
      <c r="AL1158" t="str">
        <f t="shared" si="443"/>
        <v/>
      </c>
      <c r="AM1158" t="str">
        <f t="shared" si="444"/>
        <v/>
      </c>
      <c r="AN1158" t="str">
        <f t="shared" si="445"/>
        <v/>
      </c>
      <c r="AO1158" t="str">
        <f t="shared" si="446"/>
        <v/>
      </c>
      <c r="AP1158">
        <f t="shared" si="447"/>
        <v>1</v>
      </c>
      <c r="AQ1158" t="str">
        <f>IF(SAISIE!$F1163="","",SAISIE!$Y1163)</f>
        <v/>
      </c>
      <c r="AR1158" t="str">
        <f>IF(OR(SAISIE!$U$4="",SAISIE!$W$4=""),"",IF(AND($A1158=SAISIE!$U$4,$B1158=SAISIE!$W$4,$C1158="S1"),COUNTIFS($A$2:$A1158,SAISIE!$U$4,$B$2:$B1158,SAISIE!$W$4,$C$2:$C1158,"S1"),""))</f>
        <v/>
      </c>
      <c r="AS1158" t="str">
        <f t="shared" si="448"/>
        <v/>
      </c>
      <c r="AT1158" t="str">
        <f t="shared" si="449"/>
        <v/>
      </c>
      <c r="AU1158" t="str">
        <f t="shared" si="450"/>
        <v/>
      </c>
      <c r="AV1158">
        <f>N(AV1157)+IF(AND($AB1158&lt;&gt;"",OR('PROFIL ELEVE'!$K$4="(Tous)",$AF1158='PROFIL ELEVE'!$K$4)),1,0)</f>
        <v>0</v>
      </c>
      <c r="AW1158">
        <f>N(AW1157)+IF(AND($AB1158&lt;&gt;"",OR('SUIVI LONGITUDINAL'!$Q$4="(Tous)",$AF1158='SUIVI LONGITUDINAL'!$Q$4)),1,0)</f>
        <v>0</v>
      </c>
      <c r="AX1158">
        <f t="shared" si="451"/>
        <v>0</v>
      </c>
      <c r="AY1158">
        <f t="shared" si="452"/>
        <v>0</v>
      </c>
      <c r="AZ1158">
        <f t="shared" si="453"/>
        <v>0</v>
      </c>
      <c r="BA1158" t="str">
        <f t="shared" si="454"/>
        <v/>
      </c>
      <c r="BB1158" t="str">
        <f t="shared" si="455"/>
        <v/>
      </c>
    </row>
    <row r="1159" spans="1:54" ht="14.25" customHeight="1" x14ac:dyDescent="0.3">
      <c r="A1159" t="str">
        <f>IF(SAISIE!$F1164="","",SAISIE!$B1164)</f>
        <v/>
      </c>
      <c r="B1159" t="str">
        <f>IF(SAISIE!$F1164="","",SAISIE!$C1164)</f>
        <v/>
      </c>
      <c r="C1159" t="str">
        <f>IF(SAISIE!$F1164="","",SAISIE!$D1164)</f>
        <v/>
      </c>
      <c r="D1159" t="str">
        <f>IF(SAISIE!$E1164="","",SAISIE!$E1164)</f>
        <v/>
      </c>
      <c r="E1159" t="str">
        <f>IF(SAISIE!$F1164="","",SAISIE!$F1164)</f>
        <v/>
      </c>
      <c r="F1159" t="str">
        <f>IF(SAISIE!$G1164="","",SAISIE!$G1164)</f>
        <v/>
      </c>
      <c r="G1159" t="str">
        <f>IF(SAISIE!$H1164="","",SAISIE!$H1164)</f>
        <v/>
      </c>
      <c r="H1159" t="str">
        <f>IF(SAISIE!$I1164="","",SAISIE!$I1164)</f>
        <v/>
      </c>
      <c r="I1159" t="str">
        <f>IF(SAISIE!$J1164="","",SAISIE!$J1164)</f>
        <v/>
      </c>
      <c r="J1159" t="str">
        <f>IF(SAISIE!$K1164="","",SAISIE!$K1164)</f>
        <v/>
      </c>
      <c r="K1159" t="str">
        <f>IF(SAISIE!$L1164="","",SAISIE!$L1164)</f>
        <v/>
      </c>
      <c r="L1159" t="str">
        <f>IF(SAISIE!$M1164="","",SAISIE!$M1164)</f>
        <v/>
      </c>
      <c r="M1159" t="str">
        <f>IF(SAISIE!$N1164="","",SAISIE!$N1164)</f>
        <v/>
      </c>
      <c r="N1159" t="str">
        <f>IF(SAISIE!$O1164="","",SAISIE!$O1164)</f>
        <v/>
      </c>
      <c r="O1159" t="str">
        <f>IF(SAISIE!$P1164="","",SAISIE!$P1164)</f>
        <v/>
      </c>
      <c r="P1159" t="str">
        <f>IF(SAISIE!$Q1164="","",SAISIE!$Q1164)</f>
        <v/>
      </c>
      <c r="Q1159" t="str">
        <f>IF($I1159="","",IF($I1159&gt;PARAMETRES!$G$29,5,IF($I1159&gt;PARAMETRES!$F$29,4,IF($I1159&gt;PARAMETRES!$E$29,3,IF($I1159&gt;PARAMETRES!$D$29,2,1)))))</f>
        <v/>
      </c>
      <c r="R1159" t="str">
        <f>IF($J1159="","",IF($J1159&gt;PARAMETRES!$G$30,5,IF($J1159&gt;PARAMETRES!$F$30,4,IF($J1159&gt;PARAMETRES!$E$30,3,IF($J1159&gt;PARAMETRES!$D$30,2,1)))))</f>
        <v/>
      </c>
      <c r="S1159" t="str">
        <f>IF($K1159="","",IF($Z1159=2,IF($K1159&gt;PARAMETRES!$G$31,5,IF($K1159&gt;PARAMETRES!$F$31,4,IF($K1159&gt;PARAMETRES!$E$31,3,IF($K1159&gt;PARAMETRES!$D$31,2,1)))),IF($K1159&gt;PARAMETRES!$G$32,5,IF($K1159&gt;PARAMETRES!$F$32,4,IF($K1159&gt;PARAMETRES!$E$32,3,IF($K1159&gt;PARAMETRES!$D$32,2,1))))))</f>
        <v/>
      </c>
      <c r="T1159" t="str">
        <f>IF($L1159="","",IF($L1159&gt;PARAMETRES!$G$33,5,IF($L1159&gt;PARAMETRES!$F$33,4,IF($L1159&gt;PARAMETRES!$E$33,3,IF($L1159&gt;PARAMETRES!$D$33,2,1)))))</f>
        <v/>
      </c>
      <c r="U1159" t="str">
        <f>IF($M1159="","",IF($M1159&gt;PARAMETRES!$G$34,5,IF($M1159&gt;PARAMETRES!$F$34,4,IF($M1159&gt;PARAMETRES!$E$34,3,IF($M1159&gt;PARAMETRES!$D$34,2,1)))))</f>
        <v/>
      </c>
      <c r="V1159" t="str">
        <f>IF($N1159="","",IF($N1159&gt;PARAMETRES!$G$35,5,IF($N1159&gt;PARAMETRES!$F$35,4,IF($N1159&gt;PARAMETRES!$E$35,3,IF($N1159&gt;PARAMETRES!$D$35,2,1)))))</f>
        <v/>
      </c>
      <c r="W1159" t="str">
        <f>IF($O1159="","",IF($O1159&gt;PARAMETRES!$G$36,5,IF($O1159&gt;PARAMETRES!$F$36,4,IF($O1159&gt;PARAMETRES!$E$36,3,IF($O1159&gt;PARAMETRES!$D$36,2,1)))))</f>
        <v/>
      </c>
      <c r="X1159" t="str">
        <f>IF($P1159="","",IF($P1159&gt;PARAMETRES!$G$37,5,IF($P1159&gt;PARAMETRES!$F$37,4,IF($P1159&gt;PARAMETRES!$E$37,3,IF($P1159&gt;PARAMETRES!$D$37,2,1)))))</f>
        <v/>
      </c>
      <c r="Y1159" t="str">
        <f t="shared" si="432"/>
        <v/>
      </c>
      <c r="Z1159" t="str">
        <f>IFERROR(VLOOKUP($B1159,TABLE_CYCLE,2,0),"")</f>
        <v/>
      </c>
      <c r="AA1159" t="str">
        <f t="shared" si="433"/>
        <v/>
      </c>
      <c r="AB1159" t="str">
        <f>IF($D1159="","",IF(COUNTIF($D$2:$D1159,$D1159)=1,$D1159,""))</f>
        <v/>
      </c>
      <c r="AC1159">
        <f t="shared" si="434"/>
        <v>0</v>
      </c>
      <c r="AD1159" t="str">
        <f t="shared" si="435"/>
        <v>|0</v>
      </c>
      <c r="AE1159" t="str">
        <f t="shared" si="436"/>
        <v/>
      </c>
      <c r="AF1159" t="str">
        <f t="shared" si="437"/>
        <v/>
      </c>
      <c r="AG1159" t="str">
        <f t="shared" si="438"/>
        <v/>
      </c>
      <c r="AH1159" t="str">
        <f t="shared" si="439"/>
        <v/>
      </c>
      <c r="AI1159" t="str">
        <f t="shared" si="440"/>
        <v/>
      </c>
      <c r="AJ1159" t="str">
        <f t="shared" si="441"/>
        <v/>
      </c>
      <c r="AK1159" t="str">
        <f t="shared" si="442"/>
        <v/>
      </c>
      <c r="AL1159" t="str">
        <f t="shared" si="443"/>
        <v/>
      </c>
      <c r="AM1159" t="str">
        <f t="shared" si="444"/>
        <v/>
      </c>
      <c r="AN1159" t="str">
        <f t="shared" si="445"/>
        <v/>
      </c>
      <c r="AO1159" t="str">
        <f t="shared" si="446"/>
        <v/>
      </c>
      <c r="AP1159">
        <f t="shared" si="447"/>
        <v>1</v>
      </c>
      <c r="AQ1159" t="str">
        <f>IF(SAISIE!$F1164="","",SAISIE!$Y1164)</f>
        <v/>
      </c>
      <c r="AR1159" t="str">
        <f>IF(OR(SAISIE!$U$4="",SAISIE!$W$4=""),"",IF(AND($A1159=SAISIE!$U$4,$B1159=SAISIE!$W$4,$C1159="S1"),COUNTIFS($A$2:$A1159,SAISIE!$U$4,$B$2:$B1159,SAISIE!$W$4,$C$2:$C1159,"S1"),""))</f>
        <v/>
      </c>
      <c r="AS1159" t="str">
        <f t="shared" si="448"/>
        <v/>
      </c>
      <c r="AT1159" t="str">
        <f t="shared" si="449"/>
        <v/>
      </c>
      <c r="AU1159" t="str">
        <f t="shared" si="450"/>
        <v/>
      </c>
      <c r="AV1159">
        <f>N(AV1158)+IF(AND($AB1159&lt;&gt;"",OR('PROFIL ELEVE'!$K$4="(Tous)",$AF1159='PROFIL ELEVE'!$K$4)),1,0)</f>
        <v>0</v>
      </c>
      <c r="AW1159">
        <f>N(AW1158)+IF(AND($AB1159&lt;&gt;"",OR('SUIVI LONGITUDINAL'!$Q$4="(Tous)",$AF1159='SUIVI LONGITUDINAL'!$Q$4)),1,0)</f>
        <v>0</v>
      </c>
      <c r="AX1159">
        <f t="shared" si="451"/>
        <v>0</v>
      </c>
      <c r="AY1159">
        <f t="shared" si="452"/>
        <v>0</v>
      </c>
      <c r="AZ1159">
        <f t="shared" si="453"/>
        <v>0</v>
      </c>
      <c r="BA1159" t="str">
        <f t="shared" si="454"/>
        <v/>
      </c>
      <c r="BB1159" t="str">
        <f t="shared" si="455"/>
        <v/>
      </c>
    </row>
    <row r="1160" spans="1:54" ht="14.25" customHeight="1" x14ac:dyDescent="0.3">
      <c r="A1160" t="str">
        <f>IF(SAISIE!$F1165="","",SAISIE!$B1165)</f>
        <v/>
      </c>
      <c r="B1160" t="str">
        <f>IF(SAISIE!$F1165="","",SAISIE!$C1165)</f>
        <v/>
      </c>
      <c r="C1160" t="str">
        <f>IF(SAISIE!$F1165="","",SAISIE!$D1165)</f>
        <v/>
      </c>
      <c r="D1160" t="str">
        <f>IF(SAISIE!$E1165="","",SAISIE!$E1165)</f>
        <v/>
      </c>
      <c r="E1160" t="str">
        <f>IF(SAISIE!$F1165="","",SAISIE!$F1165)</f>
        <v/>
      </c>
      <c r="F1160" t="str">
        <f>IF(SAISIE!$G1165="","",SAISIE!$G1165)</f>
        <v/>
      </c>
      <c r="G1160" t="str">
        <f>IF(SAISIE!$H1165="","",SAISIE!$H1165)</f>
        <v/>
      </c>
      <c r="H1160" t="str">
        <f>IF(SAISIE!$I1165="","",SAISIE!$I1165)</f>
        <v/>
      </c>
      <c r="I1160" t="str">
        <f>IF(SAISIE!$J1165="","",SAISIE!$J1165)</f>
        <v/>
      </c>
      <c r="J1160" t="str">
        <f>IF(SAISIE!$K1165="","",SAISIE!$K1165)</f>
        <v/>
      </c>
      <c r="K1160" t="str">
        <f>IF(SAISIE!$L1165="","",SAISIE!$L1165)</f>
        <v/>
      </c>
      <c r="L1160" t="str">
        <f>IF(SAISIE!$M1165="","",SAISIE!$M1165)</f>
        <v/>
      </c>
      <c r="M1160" t="str">
        <f>IF(SAISIE!$N1165="","",SAISIE!$N1165)</f>
        <v/>
      </c>
      <c r="N1160" t="str">
        <f>IF(SAISIE!$O1165="","",SAISIE!$O1165)</f>
        <v/>
      </c>
      <c r="O1160" t="str">
        <f>IF(SAISIE!$P1165="","",SAISIE!$P1165)</f>
        <v/>
      </c>
      <c r="P1160" t="str">
        <f>IF(SAISIE!$Q1165="","",SAISIE!$Q1165)</f>
        <v/>
      </c>
      <c r="Q1160" t="str">
        <f>IF($I1160="","",IF($I1160&gt;PARAMETRES!$G$29,5,IF($I1160&gt;PARAMETRES!$F$29,4,IF($I1160&gt;PARAMETRES!$E$29,3,IF($I1160&gt;PARAMETRES!$D$29,2,1)))))</f>
        <v/>
      </c>
      <c r="R1160" t="str">
        <f>IF($J1160="","",IF($J1160&gt;PARAMETRES!$G$30,5,IF($J1160&gt;PARAMETRES!$F$30,4,IF($J1160&gt;PARAMETRES!$E$30,3,IF($J1160&gt;PARAMETRES!$D$30,2,1)))))</f>
        <v/>
      </c>
      <c r="S1160" t="str">
        <f>IF($K1160="","",IF($Z1160=2,IF($K1160&gt;PARAMETRES!$G$31,5,IF($K1160&gt;PARAMETRES!$F$31,4,IF($K1160&gt;PARAMETRES!$E$31,3,IF($K1160&gt;PARAMETRES!$D$31,2,1)))),IF($K1160&gt;PARAMETRES!$G$32,5,IF($K1160&gt;PARAMETRES!$F$32,4,IF($K1160&gt;PARAMETRES!$E$32,3,IF($K1160&gt;PARAMETRES!$D$32,2,1))))))</f>
        <v/>
      </c>
      <c r="T1160" t="str">
        <f>IF($L1160="","",IF($L1160&gt;PARAMETRES!$G$33,5,IF($L1160&gt;PARAMETRES!$F$33,4,IF($L1160&gt;PARAMETRES!$E$33,3,IF($L1160&gt;PARAMETRES!$D$33,2,1)))))</f>
        <v/>
      </c>
      <c r="U1160" t="str">
        <f>IF($M1160="","",IF($M1160&gt;PARAMETRES!$G$34,5,IF($M1160&gt;PARAMETRES!$F$34,4,IF($M1160&gt;PARAMETRES!$E$34,3,IF($M1160&gt;PARAMETRES!$D$34,2,1)))))</f>
        <v/>
      </c>
      <c r="V1160" t="str">
        <f>IF($N1160="","",IF($N1160&gt;PARAMETRES!$G$35,5,IF($N1160&gt;PARAMETRES!$F$35,4,IF($N1160&gt;PARAMETRES!$E$35,3,IF($N1160&gt;PARAMETRES!$D$35,2,1)))))</f>
        <v/>
      </c>
      <c r="W1160" t="str">
        <f>IF($O1160="","",IF($O1160&gt;PARAMETRES!$G$36,5,IF($O1160&gt;PARAMETRES!$F$36,4,IF($O1160&gt;PARAMETRES!$E$36,3,IF($O1160&gt;PARAMETRES!$D$36,2,1)))))</f>
        <v/>
      </c>
      <c r="X1160" t="str">
        <f>IF($P1160="","",IF($P1160&gt;PARAMETRES!$G$37,5,IF($P1160&gt;PARAMETRES!$F$37,4,IF($P1160&gt;PARAMETRES!$E$37,3,IF($P1160&gt;PARAMETRES!$D$37,2,1)))))</f>
        <v/>
      </c>
      <c r="Y1160" t="str">
        <f t="shared" si="432"/>
        <v/>
      </c>
      <c r="Z1160" t="str">
        <f>IFERROR(VLOOKUP($B1160,TABLE_CYCLE,2,0),"")</f>
        <v/>
      </c>
      <c r="AA1160" t="str">
        <f t="shared" si="433"/>
        <v/>
      </c>
      <c r="AB1160" t="str">
        <f>IF($D1160="","",IF(COUNTIF($D$2:$D1160,$D1160)=1,$D1160,""))</f>
        <v/>
      </c>
      <c r="AC1160">
        <f t="shared" si="434"/>
        <v>0</v>
      </c>
      <c r="AD1160" t="str">
        <f t="shared" si="435"/>
        <v>|0</v>
      </c>
      <c r="AE1160" t="str">
        <f t="shared" si="436"/>
        <v/>
      </c>
      <c r="AF1160" t="str">
        <f t="shared" si="437"/>
        <v/>
      </c>
      <c r="AG1160" t="str">
        <f t="shared" si="438"/>
        <v/>
      </c>
      <c r="AH1160" t="str">
        <f t="shared" si="439"/>
        <v/>
      </c>
      <c r="AI1160" t="str">
        <f t="shared" si="440"/>
        <v/>
      </c>
      <c r="AJ1160" t="str">
        <f t="shared" si="441"/>
        <v/>
      </c>
      <c r="AK1160" t="str">
        <f t="shared" si="442"/>
        <v/>
      </c>
      <c r="AL1160" t="str">
        <f t="shared" si="443"/>
        <v/>
      </c>
      <c r="AM1160" t="str">
        <f t="shared" si="444"/>
        <v/>
      </c>
      <c r="AN1160" t="str">
        <f t="shared" si="445"/>
        <v/>
      </c>
      <c r="AO1160" t="str">
        <f t="shared" si="446"/>
        <v/>
      </c>
      <c r="AP1160">
        <f t="shared" si="447"/>
        <v>1</v>
      </c>
      <c r="AQ1160" t="str">
        <f>IF(SAISIE!$F1165="","",SAISIE!$Y1165)</f>
        <v/>
      </c>
      <c r="AR1160" t="str">
        <f>IF(OR(SAISIE!$U$4="",SAISIE!$W$4=""),"",IF(AND($A1160=SAISIE!$U$4,$B1160=SAISIE!$W$4,$C1160="S1"),COUNTIFS($A$2:$A1160,SAISIE!$U$4,$B$2:$B1160,SAISIE!$W$4,$C$2:$C1160,"S1"),""))</f>
        <v/>
      </c>
      <c r="AS1160" t="str">
        <f t="shared" si="448"/>
        <v/>
      </c>
      <c r="AT1160" t="str">
        <f t="shared" si="449"/>
        <v/>
      </c>
      <c r="AU1160" t="str">
        <f t="shared" si="450"/>
        <v/>
      </c>
      <c r="AV1160">
        <f>N(AV1159)+IF(AND($AB1160&lt;&gt;"",OR('PROFIL ELEVE'!$K$4="(Tous)",$AF1160='PROFIL ELEVE'!$K$4)),1,0)</f>
        <v>0</v>
      </c>
      <c r="AW1160">
        <f>N(AW1159)+IF(AND($AB1160&lt;&gt;"",OR('SUIVI LONGITUDINAL'!$Q$4="(Tous)",$AF1160='SUIVI LONGITUDINAL'!$Q$4)),1,0)</f>
        <v>0</v>
      </c>
      <c r="AX1160">
        <f t="shared" si="451"/>
        <v>0</v>
      </c>
      <c r="AY1160">
        <f t="shared" si="452"/>
        <v>0</v>
      </c>
      <c r="AZ1160">
        <f t="shared" si="453"/>
        <v>0</v>
      </c>
      <c r="BA1160" t="str">
        <f t="shared" si="454"/>
        <v/>
      </c>
      <c r="BB1160" t="str">
        <f t="shared" si="455"/>
        <v/>
      </c>
    </row>
    <row r="1161" spans="1:54" ht="14.25" customHeight="1" x14ac:dyDescent="0.3">
      <c r="A1161" t="str">
        <f>IF(SAISIE!$F1166="","",SAISIE!$B1166)</f>
        <v/>
      </c>
      <c r="B1161" t="str">
        <f>IF(SAISIE!$F1166="","",SAISIE!$C1166)</f>
        <v/>
      </c>
      <c r="C1161" t="str">
        <f>IF(SAISIE!$F1166="","",SAISIE!$D1166)</f>
        <v/>
      </c>
      <c r="D1161" t="str">
        <f>IF(SAISIE!$E1166="","",SAISIE!$E1166)</f>
        <v/>
      </c>
      <c r="E1161" t="str">
        <f>IF(SAISIE!$F1166="","",SAISIE!$F1166)</f>
        <v/>
      </c>
      <c r="F1161" t="str">
        <f>IF(SAISIE!$G1166="","",SAISIE!$G1166)</f>
        <v/>
      </c>
      <c r="G1161" t="str">
        <f>IF(SAISIE!$H1166="","",SAISIE!$H1166)</f>
        <v/>
      </c>
      <c r="H1161" t="str">
        <f>IF(SAISIE!$I1166="","",SAISIE!$I1166)</f>
        <v/>
      </c>
      <c r="I1161" t="str">
        <f>IF(SAISIE!$J1166="","",SAISIE!$J1166)</f>
        <v/>
      </c>
      <c r="J1161" t="str">
        <f>IF(SAISIE!$K1166="","",SAISIE!$K1166)</f>
        <v/>
      </c>
      <c r="K1161" t="str">
        <f>IF(SAISIE!$L1166="","",SAISIE!$L1166)</f>
        <v/>
      </c>
      <c r="L1161" t="str">
        <f>IF(SAISIE!$M1166="","",SAISIE!$M1166)</f>
        <v/>
      </c>
      <c r="M1161" t="str">
        <f>IF(SAISIE!$N1166="","",SAISIE!$N1166)</f>
        <v/>
      </c>
      <c r="N1161" t="str">
        <f>IF(SAISIE!$O1166="","",SAISIE!$O1166)</f>
        <v/>
      </c>
      <c r="O1161" t="str">
        <f>IF(SAISIE!$P1166="","",SAISIE!$P1166)</f>
        <v/>
      </c>
      <c r="P1161" t="str">
        <f>IF(SAISIE!$Q1166="","",SAISIE!$Q1166)</f>
        <v/>
      </c>
      <c r="Q1161" t="str">
        <f>IF($I1161="","",IF($I1161&gt;PARAMETRES!$G$29,5,IF($I1161&gt;PARAMETRES!$F$29,4,IF($I1161&gt;PARAMETRES!$E$29,3,IF($I1161&gt;PARAMETRES!$D$29,2,1)))))</f>
        <v/>
      </c>
      <c r="R1161" t="str">
        <f>IF($J1161="","",IF($J1161&gt;PARAMETRES!$G$30,5,IF($J1161&gt;PARAMETRES!$F$30,4,IF($J1161&gt;PARAMETRES!$E$30,3,IF($J1161&gt;PARAMETRES!$D$30,2,1)))))</f>
        <v/>
      </c>
      <c r="S1161" t="str">
        <f>IF($K1161="","",IF($Z1161=2,IF($K1161&gt;PARAMETRES!$G$31,5,IF($K1161&gt;PARAMETRES!$F$31,4,IF($K1161&gt;PARAMETRES!$E$31,3,IF($K1161&gt;PARAMETRES!$D$31,2,1)))),IF($K1161&gt;PARAMETRES!$G$32,5,IF($K1161&gt;PARAMETRES!$F$32,4,IF($K1161&gt;PARAMETRES!$E$32,3,IF($K1161&gt;PARAMETRES!$D$32,2,1))))))</f>
        <v/>
      </c>
      <c r="T1161" t="str">
        <f>IF($L1161="","",IF($L1161&gt;PARAMETRES!$G$33,5,IF($L1161&gt;PARAMETRES!$F$33,4,IF($L1161&gt;PARAMETRES!$E$33,3,IF($L1161&gt;PARAMETRES!$D$33,2,1)))))</f>
        <v/>
      </c>
      <c r="U1161" t="str">
        <f>IF($M1161="","",IF($M1161&gt;PARAMETRES!$G$34,5,IF($M1161&gt;PARAMETRES!$F$34,4,IF($M1161&gt;PARAMETRES!$E$34,3,IF($M1161&gt;PARAMETRES!$D$34,2,1)))))</f>
        <v/>
      </c>
      <c r="V1161" t="str">
        <f>IF($N1161="","",IF($N1161&gt;PARAMETRES!$G$35,5,IF($N1161&gt;PARAMETRES!$F$35,4,IF($N1161&gt;PARAMETRES!$E$35,3,IF($N1161&gt;PARAMETRES!$D$35,2,1)))))</f>
        <v/>
      </c>
      <c r="W1161" t="str">
        <f>IF($O1161="","",IF($O1161&gt;PARAMETRES!$G$36,5,IF($O1161&gt;PARAMETRES!$F$36,4,IF($O1161&gt;PARAMETRES!$E$36,3,IF($O1161&gt;PARAMETRES!$D$36,2,1)))))</f>
        <v/>
      </c>
      <c r="X1161" t="str">
        <f>IF($P1161="","",IF($P1161&gt;PARAMETRES!$G$37,5,IF($P1161&gt;PARAMETRES!$F$37,4,IF($P1161&gt;PARAMETRES!$E$37,3,IF($P1161&gt;PARAMETRES!$D$37,2,1)))))</f>
        <v/>
      </c>
      <c r="Y1161" t="str">
        <f t="shared" si="432"/>
        <v/>
      </c>
      <c r="Z1161" t="str">
        <f>IFERROR(VLOOKUP($B1161,TABLE_CYCLE,2,0),"")</f>
        <v/>
      </c>
      <c r="AA1161" t="str">
        <f t="shared" si="433"/>
        <v/>
      </c>
      <c r="AB1161" t="str">
        <f>IF($D1161="","",IF(COUNTIF($D$2:$D1161,$D1161)=1,$D1161,""))</f>
        <v/>
      </c>
      <c r="AC1161">
        <f t="shared" si="434"/>
        <v>0</v>
      </c>
      <c r="AD1161" t="str">
        <f t="shared" si="435"/>
        <v>|0</v>
      </c>
      <c r="AE1161" t="str">
        <f t="shared" si="436"/>
        <v/>
      </c>
      <c r="AF1161" t="str">
        <f t="shared" si="437"/>
        <v/>
      </c>
      <c r="AG1161" t="str">
        <f t="shared" si="438"/>
        <v/>
      </c>
      <c r="AH1161" t="str">
        <f t="shared" si="439"/>
        <v/>
      </c>
      <c r="AI1161" t="str">
        <f t="shared" si="440"/>
        <v/>
      </c>
      <c r="AJ1161" t="str">
        <f t="shared" si="441"/>
        <v/>
      </c>
      <c r="AK1161" t="str">
        <f t="shared" si="442"/>
        <v/>
      </c>
      <c r="AL1161" t="str">
        <f t="shared" si="443"/>
        <v/>
      </c>
      <c r="AM1161" t="str">
        <f t="shared" si="444"/>
        <v/>
      </c>
      <c r="AN1161" t="str">
        <f t="shared" si="445"/>
        <v/>
      </c>
      <c r="AO1161" t="str">
        <f t="shared" si="446"/>
        <v/>
      </c>
      <c r="AP1161">
        <f t="shared" si="447"/>
        <v>1</v>
      </c>
      <c r="AQ1161" t="str">
        <f>IF(SAISIE!$F1166="","",SAISIE!$Y1166)</f>
        <v/>
      </c>
      <c r="AR1161" t="str">
        <f>IF(OR(SAISIE!$U$4="",SAISIE!$W$4=""),"",IF(AND($A1161=SAISIE!$U$4,$B1161=SAISIE!$W$4,$C1161="S1"),COUNTIFS($A$2:$A1161,SAISIE!$U$4,$B$2:$B1161,SAISIE!$W$4,$C$2:$C1161,"S1"),""))</f>
        <v/>
      </c>
      <c r="AS1161" t="str">
        <f t="shared" si="448"/>
        <v/>
      </c>
      <c r="AT1161" t="str">
        <f t="shared" si="449"/>
        <v/>
      </c>
      <c r="AU1161" t="str">
        <f t="shared" si="450"/>
        <v/>
      </c>
      <c r="AV1161">
        <f>N(AV1160)+IF(AND($AB1161&lt;&gt;"",OR('PROFIL ELEVE'!$K$4="(Tous)",$AF1161='PROFIL ELEVE'!$K$4)),1,0)</f>
        <v>0</v>
      </c>
      <c r="AW1161">
        <f>N(AW1160)+IF(AND($AB1161&lt;&gt;"",OR('SUIVI LONGITUDINAL'!$Q$4="(Tous)",$AF1161='SUIVI LONGITUDINAL'!$Q$4)),1,0)</f>
        <v>0</v>
      </c>
      <c r="AX1161">
        <f t="shared" si="451"/>
        <v>0</v>
      </c>
      <c r="AY1161">
        <f t="shared" si="452"/>
        <v>0</v>
      </c>
      <c r="AZ1161">
        <f t="shared" si="453"/>
        <v>0</v>
      </c>
      <c r="BA1161" t="str">
        <f t="shared" si="454"/>
        <v/>
      </c>
      <c r="BB1161" t="str">
        <f t="shared" si="455"/>
        <v/>
      </c>
    </row>
    <row r="1162" spans="1:54" ht="14.25" customHeight="1" x14ac:dyDescent="0.3">
      <c r="A1162" t="str">
        <f>IF(SAISIE!$F1167="","",SAISIE!$B1167)</f>
        <v/>
      </c>
      <c r="B1162" t="str">
        <f>IF(SAISIE!$F1167="","",SAISIE!$C1167)</f>
        <v/>
      </c>
      <c r="C1162" t="str">
        <f>IF(SAISIE!$F1167="","",SAISIE!$D1167)</f>
        <v/>
      </c>
      <c r="D1162" t="str">
        <f>IF(SAISIE!$E1167="","",SAISIE!$E1167)</f>
        <v/>
      </c>
      <c r="E1162" t="str">
        <f>IF(SAISIE!$F1167="","",SAISIE!$F1167)</f>
        <v/>
      </c>
      <c r="F1162" t="str">
        <f>IF(SAISIE!$G1167="","",SAISIE!$G1167)</f>
        <v/>
      </c>
      <c r="G1162" t="str">
        <f>IF(SAISIE!$H1167="","",SAISIE!$H1167)</f>
        <v/>
      </c>
      <c r="H1162" t="str">
        <f>IF(SAISIE!$I1167="","",SAISIE!$I1167)</f>
        <v/>
      </c>
      <c r="I1162" t="str">
        <f>IF(SAISIE!$J1167="","",SAISIE!$J1167)</f>
        <v/>
      </c>
      <c r="J1162" t="str">
        <f>IF(SAISIE!$K1167="","",SAISIE!$K1167)</f>
        <v/>
      </c>
      <c r="K1162" t="str">
        <f>IF(SAISIE!$L1167="","",SAISIE!$L1167)</f>
        <v/>
      </c>
      <c r="L1162" t="str">
        <f>IF(SAISIE!$M1167="","",SAISIE!$M1167)</f>
        <v/>
      </c>
      <c r="M1162" t="str">
        <f>IF(SAISIE!$N1167="","",SAISIE!$N1167)</f>
        <v/>
      </c>
      <c r="N1162" t="str">
        <f>IF(SAISIE!$O1167="","",SAISIE!$O1167)</f>
        <v/>
      </c>
      <c r="O1162" t="str">
        <f>IF(SAISIE!$P1167="","",SAISIE!$P1167)</f>
        <v/>
      </c>
      <c r="P1162" t="str">
        <f>IF(SAISIE!$Q1167="","",SAISIE!$Q1167)</f>
        <v/>
      </c>
      <c r="Q1162" t="str">
        <f>IF($I1162="","",IF($I1162&gt;PARAMETRES!$G$29,5,IF($I1162&gt;PARAMETRES!$F$29,4,IF($I1162&gt;PARAMETRES!$E$29,3,IF($I1162&gt;PARAMETRES!$D$29,2,1)))))</f>
        <v/>
      </c>
      <c r="R1162" t="str">
        <f>IF($J1162="","",IF($J1162&gt;PARAMETRES!$G$30,5,IF($J1162&gt;PARAMETRES!$F$30,4,IF($J1162&gt;PARAMETRES!$E$30,3,IF($J1162&gt;PARAMETRES!$D$30,2,1)))))</f>
        <v/>
      </c>
      <c r="S1162" t="str">
        <f>IF($K1162="","",IF($Z1162=2,IF($K1162&gt;PARAMETRES!$G$31,5,IF($K1162&gt;PARAMETRES!$F$31,4,IF($K1162&gt;PARAMETRES!$E$31,3,IF($K1162&gt;PARAMETRES!$D$31,2,1)))),IF($K1162&gt;PARAMETRES!$G$32,5,IF($K1162&gt;PARAMETRES!$F$32,4,IF($K1162&gt;PARAMETRES!$E$32,3,IF($K1162&gt;PARAMETRES!$D$32,2,1))))))</f>
        <v/>
      </c>
      <c r="T1162" t="str">
        <f>IF($L1162="","",IF($L1162&gt;PARAMETRES!$G$33,5,IF($L1162&gt;PARAMETRES!$F$33,4,IF($L1162&gt;PARAMETRES!$E$33,3,IF($L1162&gt;PARAMETRES!$D$33,2,1)))))</f>
        <v/>
      </c>
      <c r="U1162" t="str">
        <f>IF($M1162="","",IF($M1162&gt;PARAMETRES!$G$34,5,IF($M1162&gt;PARAMETRES!$F$34,4,IF($M1162&gt;PARAMETRES!$E$34,3,IF($M1162&gt;PARAMETRES!$D$34,2,1)))))</f>
        <v/>
      </c>
      <c r="V1162" t="str">
        <f>IF($N1162="","",IF($N1162&gt;PARAMETRES!$G$35,5,IF($N1162&gt;PARAMETRES!$F$35,4,IF($N1162&gt;PARAMETRES!$E$35,3,IF($N1162&gt;PARAMETRES!$D$35,2,1)))))</f>
        <v/>
      </c>
      <c r="W1162" t="str">
        <f>IF($O1162="","",IF($O1162&gt;PARAMETRES!$G$36,5,IF($O1162&gt;PARAMETRES!$F$36,4,IF($O1162&gt;PARAMETRES!$E$36,3,IF($O1162&gt;PARAMETRES!$D$36,2,1)))))</f>
        <v/>
      </c>
      <c r="X1162" t="str">
        <f>IF($P1162="","",IF($P1162&gt;PARAMETRES!$G$37,5,IF($P1162&gt;PARAMETRES!$F$37,4,IF($P1162&gt;PARAMETRES!$E$37,3,IF($P1162&gt;PARAMETRES!$D$37,2,1)))))</f>
        <v/>
      </c>
      <c r="Y1162" t="str">
        <f t="shared" si="432"/>
        <v/>
      </c>
      <c r="Z1162" t="str">
        <f>IFERROR(VLOOKUP($B1162,TABLE_CYCLE,2,0),"")</f>
        <v/>
      </c>
      <c r="AA1162" t="str">
        <f t="shared" si="433"/>
        <v/>
      </c>
      <c r="AB1162" t="str">
        <f>IF($D1162="","",IF(COUNTIF($D$2:$D1162,$D1162)=1,$D1162,""))</f>
        <v/>
      </c>
      <c r="AC1162">
        <f t="shared" si="434"/>
        <v>0</v>
      </c>
      <c r="AD1162" t="str">
        <f t="shared" si="435"/>
        <v>|0</v>
      </c>
      <c r="AE1162" t="str">
        <f t="shared" si="436"/>
        <v/>
      </c>
      <c r="AF1162" t="str">
        <f t="shared" si="437"/>
        <v/>
      </c>
      <c r="AG1162" t="str">
        <f t="shared" si="438"/>
        <v/>
      </c>
      <c r="AH1162" t="str">
        <f t="shared" si="439"/>
        <v/>
      </c>
      <c r="AI1162" t="str">
        <f t="shared" si="440"/>
        <v/>
      </c>
      <c r="AJ1162" t="str">
        <f t="shared" si="441"/>
        <v/>
      </c>
      <c r="AK1162" t="str">
        <f t="shared" si="442"/>
        <v/>
      </c>
      <c r="AL1162" t="str">
        <f t="shared" si="443"/>
        <v/>
      </c>
      <c r="AM1162" t="str">
        <f t="shared" si="444"/>
        <v/>
      </c>
      <c r="AN1162" t="str">
        <f t="shared" si="445"/>
        <v/>
      </c>
      <c r="AO1162" t="str">
        <f t="shared" si="446"/>
        <v/>
      </c>
      <c r="AP1162">
        <f t="shared" si="447"/>
        <v>1</v>
      </c>
      <c r="AQ1162" t="str">
        <f>IF(SAISIE!$F1167="","",SAISIE!$Y1167)</f>
        <v/>
      </c>
      <c r="AR1162" t="str">
        <f>IF(OR(SAISIE!$U$4="",SAISIE!$W$4=""),"",IF(AND($A1162=SAISIE!$U$4,$B1162=SAISIE!$W$4,$C1162="S1"),COUNTIFS($A$2:$A1162,SAISIE!$U$4,$B$2:$B1162,SAISIE!$W$4,$C$2:$C1162,"S1"),""))</f>
        <v/>
      </c>
      <c r="AS1162" t="str">
        <f t="shared" si="448"/>
        <v/>
      </c>
      <c r="AT1162" t="str">
        <f t="shared" si="449"/>
        <v/>
      </c>
      <c r="AU1162" t="str">
        <f t="shared" si="450"/>
        <v/>
      </c>
      <c r="AV1162">
        <f>N(AV1161)+IF(AND($AB1162&lt;&gt;"",OR('PROFIL ELEVE'!$K$4="(Tous)",$AF1162='PROFIL ELEVE'!$K$4)),1,0)</f>
        <v>0</v>
      </c>
      <c r="AW1162">
        <f>N(AW1161)+IF(AND($AB1162&lt;&gt;"",OR('SUIVI LONGITUDINAL'!$Q$4="(Tous)",$AF1162='SUIVI LONGITUDINAL'!$Q$4)),1,0)</f>
        <v>0</v>
      </c>
      <c r="AX1162">
        <f t="shared" si="451"/>
        <v>0</v>
      </c>
      <c r="AY1162">
        <f t="shared" si="452"/>
        <v>0</v>
      </c>
      <c r="AZ1162">
        <f t="shared" si="453"/>
        <v>0</v>
      </c>
      <c r="BA1162" t="str">
        <f t="shared" si="454"/>
        <v/>
      </c>
      <c r="BB1162" t="str">
        <f t="shared" si="455"/>
        <v/>
      </c>
    </row>
    <row r="1163" spans="1:54" ht="14.25" customHeight="1" x14ac:dyDescent="0.3">
      <c r="A1163" t="str">
        <f>IF(SAISIE!$F1168="","",SAISIE!$B1168)</f>
        <v/>
      </c>
      <c r="B1163" t="str">
        <f>IF(SAISIE!$F1168="","",SAISIE!$C1168)</f>
        <v/>
      </c>
      <c r="C1163" t="str">
        <f>IF(SAISIE!$F1168="","",SAISIE!$D1168)</f>
        <v/>
      </c>
      <c r="D1163" t="str">
        <f>IF(SAISIE!$E1168="","",SAISIE!$E1168)</f>
        <v/>
      </c>
      <c r="E1163" t="str">
        <f>IF(SAISIE!$F1168="","",SAISIE!$F1168)</f>
        <v/>
      </c>
      <c r="F1163" t="str">
        <f>IF(SAISIE!$G1168="","",SAISIE!$G1168)</f>
        <v/>
      </c>
      <c r="G1163" t="str">
        <f>IF(SAISIE!$H1168="","",SAISIE!$H1168)</f>
        <v/>
      </c>
      <c r="H1163" t="str">
        <f>IF(SAISIE!$I1168="","",SAISIE!$I1168)</f>
        <v/>
      </c>
      <c r="I1163" t="str">
        <f>IF(SAISIE!$J1168="","",SAISIE!$J1168)</f>
        <v/>
      </c>
      <c r="J1163" t="str">
        <f>IF(SAISIE!$K1168="","",SAISIE!$K1168)</f>
        <v/>
      </c>
      <c r="K1163" t="str">
        <f>IF(SAISIE!$L1168="","",SAISIE!$L1168)</f>
        <v/>
      </c>
      <c r="L1163" t="str">
        <f>IF(SAISIE!$M1168="","",SAISIE!$M1168)</f>
        <v/>
      </c>
      <c r="M1163" t="str">
        <f>IF(SAISIE!$N1168="","",SAISIE!$N1168)</f>
        <v/>
      </c>
      <c r="N1163" t="str">
        <f>IF(SAISIE!$O1168="","",SAISIE!$O1168)</f>
        <v/>
      </c>
      <c r="O1163" t="str">
        <f>IF(SAISIE!$P1168="","",SAISIE!$P1168)</f>
        <v/>
      </c>
      <c r="P1163" t="str">
        <f>IF(SAISIE!$Q1168="","",SAISIE!$Q1168)</f>
        <v/>
      </c>
      <c r="Q1163" t="str">
        <f>IF($I1163="","",IF($I1163&gt;PARAMETRES!$G$29,5,IF($I1163&gt;PARAMETRES!$F$29,4,IF($I1163&gt;PARAMETRES!$E$29,3,IF($I1163&gt;PARAMETRES!$D$29,2,1)))))</f>
        <v/>
      </c>
      <c r="R1163" t="str">
        <f>IF($J1163="","",IF($J1163&gt;PARAMETRES!$G$30,5,IF($J1163&gt;PARAMETRES!$F$30,4,IF($J1163&gt;PARAMETRES!$E$30,3,IF($J1163&gt;PARAMETRES!$D$30,2,1)))))</f>
        <v/>
      </c>
      <c r="S1163" t="str">
        <f>IF($K1163="","",IF($Z1163=2,IF($K1163&gt;PARAMETRES!$G$31,5,IF($K1163&gt;PARAMETRES!$F$31,4,IF($K1163&gt;PARAMETRES!$E$31,3,IF($K1163&gt;PARAMETRES!$D$31,2,1)))),IF($K1163&gt;PARAMETRES!$G$32,5,IF($K1163&gt;PARAMETRES!$F$32,4,IF($K1163&gt;PARAMETRES!$E$32,3,IF($K1163&gt;PARAMETRES!$D$32,2,1))))))</f>
        <v/>
      </c>
      <c r="T1163" t="str">
        <f>IF($L1163="","",IF($L1163&gt;PARAMETRES!$G$33,5,IF($L1163&gt;PARAMETRES!$F$33,4,IF($L1163&gt;PARAMETRES!$E$33,3,IF($L1163&gt;PARAMETRES!$D$33,2,1)))))</f>
        <v/>
      </c>
      <c r="U1163" t="str">
        <f>IF($M1163="","",IF($M1163&gt;PARAMETRES!$G$34,5,IF($M1163&gt;PARAMETRES!$F$34,4,IF($M1163&gt;PARAMETRES!$E$34,3,IF($M1163&gt;PARAMETRES!$D$34,2,1)))))</f>
        <v/>
      </c>
      <c r="V1163" t="str">
        <f>IF($N1163="","",IF($N1163&gt;PARAMETRES!$G$35,5,IF($N1163&gt;PARAMETRES!$F$35,4,IF($N1163&gt;PARAMETRES!$E$35,3,IF($N1163&gt;PARAMETRES!$D$35,2,1)))))</f>
        <v/>
      </c>
      <c r="W1163" t="str">
        <f>IF($O1163="","",IF($O1163&gt;PARAMETRES!$G$36,5,IF($O1163&gt;PARAMETRES!$F$36,4,IF($O1163&gt;PARAMETRES!$E$36,3,IF($O1163&gt;PARAMETRES!$D$36,2,1)))))</f>
        <v/>
      </c>
      <c r="X1163" t="str">
        <f>IF($P1163="","",IF($P1163&gt;PARAMETRES!$G$37,5,IF($P1163&gt;PARAMETRES!$F$37,4,IF($P1163&gt;PARAMETRES!$E$37,3,IF($P1163&gt;PARAMETRES!$D$37,2,1)))))</f>
        <v/>
      </c>
      <c r="Y1163" t="str">
        <f t="shared" si="432"/>
        <v/>
      </c>
      <c r="Z1163" t="str">
        <f>IFERROR(VLOOKUP($B1163,TABLE_CYCLE,2,0),"")</f>
        <v/>
      </c>
      <c r="AA1163" t="str">
        <f t="shared" si="433"/>
        <v/>
      </c>
      <c r="AB1163" t="str">
        <f>IF($D1163="","",IF(COUNTIF($D$2:$D1163,$D1163)=1,$D1163,""))</f>
        <v/>
      </c>
      <c r="AC1163">
        <f t="shared" si="434"/>
        <v>0</v>
      </c>
      <c r="AD1163" t="str">
        <f t="shared" si="435"/>
        <v>|0</v>
      </c>
      <c r="AE1163" t="str">
        <f t="shared" si="436"/>
        <v/>
      </c>
      <c r="AF1163" t="str">
        <f t="shared" si="437"/>
        <v/>
      </c>
      <c r="AG1163" t="str">
        <f t="shared" si="438"/>
        <v/>
      </c>
      <c r="AH1163" t="str">
        <f t="shared" si="439"/>
        <v/>
      </c>
      <c r="AI1163" t="str">
        <f t="shared" si="440"/>
        <v/>
      </c>
      <c r="AJ1163" t="str">
        <f t="shared" si="441"/>
        <v/>
      </c>
      <c r="AK1163" t="str">
        <f t="shared" si="442"/>
        <v/>
      </c>
      <c r="AL1163" t="str">
        <f t="shared" si="443"/>
        <v/>
      </c>
      <c r="AM1163" t="str">
        <f t="shared" si="444"/>
        <v/>
      </c>
      <c r="AN1163" t="str">
        <f t="shared" si="445"/>
        <v/>
      </c>
      <c r="AO1163" t="str">
        <f t="shared" si="446"/>
        <v/>
      </c>
      <c r="AP1163">
        <f t="shared" si="447"/>
        <v>1</v>
      </c>
      <c r="AQ1163" t="str">
        <f>IF(SAISIE!$F1168="","",SAISIE!$Y1168)</f>
        <v/>
      </c>
      <c r="AR1163" t="str">
        <f>IF(OR(SAISIE!$U$4="",SAISIE!$W$4=""),"",IF(AND($A1163=SAISIE!$U$4,$B1163=SAISIE!$W$4,$C1163="S1"),COUNTIFS($A$2:$A1163,SAISIE!$U$4,$B$2:$B1163,SAISIE!$W$4,$C$2:$C1163,"S1"),""))</f>
        <v/>
      </c>
      <c r="AS1163" t="str">
        <f t="shared" si="448"/>
        <v/>
      </c>
      <c r="AT1163" t="str">
        <f t="shared" si="449"/>
        <v/>
      </c>
      <c r="AU1163" t="str">
        <f t="shared" si="450"/>
        <v/>
      </c>
      <c r="AV1163">
        <f>N(AV1162)+IF(AND($AB1163&lt;&gt;"",OR('PROFIL ELEVE'!$K$4="(Tous)",$AF1163='PROFIL ELEVE'!$K$4)),1,0)</f>
        <v>0</v>
      </c>
      <c r="AW1163">
        <f>N(AW1162)+IF(AND($AB1163&lt;&gt;"",OR('SUIVI LONGITUDINAL'!$Q$4="(Tous)",$AF1163='SUIVI LONGITUDINAL'!$Q$4)),1,0)</f>
        <v>0</v>
      </c>
      <c r="AX1163">
        <f t="shared" si="451"/>
        <v>0</v>
      </c>
      <c r="AY1163">
        <f t="shared" si="452"/>
        <v>0</v>
      </c>
      <c r="AZ1163">
        <f t="shared" si="453"/>
        <v>0</v>
      </c>
      <c r="BA1163" t="str">
        <f t="shared" si="454"/>
        <v/>
      </c>
      <c r="BB1163" t="str">
        <f t="shared" si="455"/>
        <v/>
      </c>
    </row>
    <row r="1164" spans="1:54" ht="14.25" customHeight="1" x14ac:dyDescent="0.3">
      <c r="A1164" t="str">
        <f>IF(SAISIE!$F1169="","",SAISIE!$B1169)</f>
        <v/>
      </c>
      <c r="B1164" t="str">
        <f>IF(SAISIE!$F1169="","",SAISIE!$C1169)</f>
        <v/>
      </c>
      <c r="C1164" t="str">
        <f>IF(SAISIE!$F1169="","",SAISIE!$D1169)</f>
        <v/>
      </c>
      <c r="D1164" t="str">
        <f>IF(SAISIE!$E1169="","",SAISIE!$E1169)</f>
        <v/>
      </c>
      <c r="E1164" t="str">
        <f>IF(SAISIE!$F1169="","",SAISIE!$F1169)</f>
        <v/>
      </c>
      <c r="F1164" t="str">
        <f>IF(SAISIE!$G1169="","",SAISIE!$G1169)</f>
        <v/>
      </c>
      <c r="G1164" t="str">
        <f>IF(SAISIE!$H1169="","",SAISIE!$H1169)</f>
        <v/>
      </c>
      <c r="H1164" t="str">
        <f>IF(SAISIE!$I1169="","",SAISIE!$I1169)</f>
        <v/>
      </c>
      <c r="I1164" t="str">
        <f>IF(SAISIE!$J1169="","",SAISIE!$J1169)</f>
        <v/>
      </c>
      <c r="J1164" t="str">
        <f>IF(SAISIE!$K1169="","",SAISIE!$K1169)</f>
        <v/>
      </c>
      <c r="K1164" t="str">
        <f>IF(SAISIE!$L1169="","",SAISIE!$L1169)</f>
        <v/>
      </c>
      <c r="L1164" t="str">
        <f>IF(SAISIE!$M1169="","",SAISIE!$M1169)</f>
        <v/>
      </c>
      <c r="M1164" t="str">
        <f>IF(SAISIE!$N1169="","",SAISIE!$N1169)</f>
        <v/>
      </c>
      <c r="N1164" t="str">
        <f>IF(SAISIE!$O1169="","",SAISIE!$O1169)</f>
        <v/>
      </c>
      <c r="O1164" t="str">
        <f>IF(SAISIE!$P1169="","",SAISIE!$P1169)</f>
        <v/>
      </c>
      <c r="P1164" t="str">
        <f>IF(SAISIE!$Q1169="","",SAISIE!$Q1169)</f>
        <v/>
      </c>
      <c r="Q1164" t="str">
        <f>IF($I1164="","",IF($I1164&gt;PARAMETRES!$G$29,5,IF($I1164&gt;PARAMETRES!$F$29,4,IF($I1164&gt;PARAMETRES!$E$29,3,IF($I1164&gt;PARAMETRES!$D$29,2,1)))))</f>
        <v/>
      </c>
      <c r="R1164" t="str">
        <f>IF($J1164="","",IF($J1164&gt;PARAMETRES!$G$30,5,IF($J1164&gt;PARAMETRES!$F$30,4,IF($J1164&gt;PARAMETRES!$E$30,3,IF($J1164&gt;PARAMETRES!$D$30,2,1)))))</f>
        <v/>
      </c>
      <c r="S1164" t="str">
        <f>IF($K1164="","",IF($Z1164=2,IF($K1164&gt;PARAMETRES!$G$31,5,IF($K1164&gt;PARAMETRES!$F$31,4,IF($K1164&gt;PARAMETRES!$E$31,3,IF($K1164&gt;PARAMETRES!$D$31,2,1)))),IF($K1164&gt;PARAMETRES!$G$32,5,IF($K1164&gt;PARAMETRES!$F$32,4,IF($K1164&gt;PARAMETRES!$E$32,3,IF($K1164&gt;PARAMETRES!$D$32,2,1))))))</f>
        <v/>
      </c>
      <c r="T1164" t="str">
        <f>IF($L1164="","",IF($L1164&gt;PARAMETRES!$G$33,5,IF($L1164&gt;PARAMETRES!$F$33,4,IF($L1164&gt;PARAMETRES!$E$33,3,IF($L1164&gt;PARAMETRES!$D$33,2,1)))))</f>
        <v/>
      </c>
      <c r="U1164" t="str">
        <f>IF($M1164="","",IF($M1164&gt;PARAMETRES!$G$34,5,IF($M1164&gt;PARAMETRES!$F$34,4,IF($M1164&gt;PARAMETRES!$E$34,3,IF($M1164&gt;PARAMETRES!$D$34,2,1)))))</f>
        <v/>
      </c>
      <c r="V1164" t="str">
        <f>IF($N1164="","",IF($N1164&gt;PARAMETRES!$G$35,5,IF($N1164&gt;PARAMETRES!$F$35,4,IF($N1164&gt;PARAMETRES!$E$35,3,IF($N1164&gt;PARAMETRES!$D$35,2,1)))))</f>
        <v/>
      </c>
      <c r="W1164" t="str">
        <f>IF($O1164="","",IF($O1164&gt;PARAMETRES!$G$36,5,IF($O1164&gt;PARAMETRES!$F$36,4,IF($O1164&gt;PARAMETRES!$E$36,3,IF($O1164&gt;PARAMETRES!$D$36,2,1)))))</f>
        <v/>
      </c>
      <c r="X1164" t="str">
        <f>IF($P1164="","",IF($P1164&gt;PARAMETRES!$G$37,5,IF($P1164&gt;PARAMETRES!$F$37,4,IF($P1164&gt;PARAMETRES!$E$37,3,IF($P1164&gt;PARAMETRES!$D$37,2,1)))))</f>
        <v/>
      </c>
      <c r="Y1164" t="str">
        <f t="shared" si="432"/>
        <v/>
      </c>
      <c r="Z1164" t="str">
        <f>IFERROR(VLOOKUP($B1164,TABLE_CYCLE,2,0),"")</f>
        <v/>
      </c>
      <c r="AA1164" t="str">
        <f t="shared" si="433"/>
        <v/>
      </c>
      <c r="AB1164" t="str">
        <f>IF($D1164="","",IF(COUNTIF($D$2:$D1164,$D1164)=1,$D1164,""))</f>
        <v/>
      </c>
      <c r="AC1164">
        <f t="shared" si="434"/>
        <v>0</v>
      </c>
      <c r="AD1164" t="str">
        <f t="shared" si="435"/>
        <v>|0</v>
      </c>
      <c r="AE1164" t="str">
        <f t="shared" si="436"/>
        <v/>
      </c>
      <c r="AF1164" t="str">
        <f t="shared" si="437"/>
        <v/>
      </c>
      <c r="AG1164" t="str">
        <f t="shared" si="438"/>
        <v/>
      </c>
      <c r="AH1164" t="str">
        <f t="shared" si="439"/>
        <v/>
      </c>
      <c r="AI1164" t="str">
        <f t="shared" si="440"/>
        <v/>
      </c>
      <c r="AJ1164" t="str">
        <f t="shared" si="441"/>
        <v/>
      </c>
      <c r="AK1164" t="str">
        <f t="shared" si="442"/>
        <v/>
      </c>
      <c r="AL1164" t="str">
        <f t="shared" si="443"/>
        <v/>
      </c>
      <c r="AM1164" t="str">
        <f t="shared" si="444"/>
        <v/>
      </c>
      <c r="AN1164" t="str">
        <f t="shared" si="445"/>
        <v/>
      </c>
      <c r="AO1164" t="str">
        <f t="shared" si="446"/>
        <v/>
      </c>
      <c r="AP1164">
        <f t="shared" si="447"/>
        <v>1</v>
      </c>
      <c r="AQ1164" t="str">
        <f>IF(SAISIE!$F1169="","",SAISIE!$Y1169)</f>
        <v/>
      </c>
      <c r="AR1164" t="str">
        <f>IF(OR(SAISIE!$U$4="",SAISIE!$W$4=""),"",IF(AND($A1164=SAISIE!$U$4,$B1164=SAISIE!$W$4,$C1164="S1"),COUNTIFS($A$2:$A1164,SAISIE!$U$4,$B$2:$B1164,SAISIE!$W$4,$C$2:$C1164,"S1"),""))</f>
        <v/>
      </c>
      <c r="AS1164" t="str">
        <f t="shared" si="448"/>
        <v/>
      </c>
      <c r="AT1164" t="str">
        <f t="shared" si="449"/>
        <v/>
      </c>
      <c r="AU1164" t="str">
        <f t="shared" si="450"/>
        <v/>
      </c>
      <c r="AV1164">
        <f>N(AV1163)+IF(AND($AB1164&lt;&gt;"",OR('PROFIL ELEVE'!$K$4="(Tous)",$AF1164='PROFIL ELEVE'!$K$4)),1,0)</f>
        <v>0</v>
      </c>
      <c r="AW1164">
        <f>N(AW1163)+IF(AND($AB1164&lt;&gt;"",OR('SUIVI LONGITUDINAL'!$Q$4="(Tous)",$AF1164='SUIVI LONGITUDINAL'!$Q$4)),1,0)</f>
        <v>0</v>
      </c>
      <c r="AX1164">
        <f t="shared" si="451"/>
        <v>0</v>
      </c>
      <c r="AY1164">
        <f t="shared" si="452"/>
        <v>0</v>
      </c>
      <c r="AZ1164">
        <f t="shared" si="453"/>
        <v>0</v>
      </c>
      <c r="BA1164" t="str">
        <f t="shared" si="454"/>
        <v/>
      </c>
      <c r="BB1164" t="str">
        <f t="shared" si="455"/>
        <v/>
      </c>
    </row>
    <row r="1165" spans="1:54" ht="14.25" customHeight="1" x14ac:dyDescent="0.3">
      <c r="A1165" t="str">
        <f>IF(SAISIE!$F1170="","",SAISIE!$B1170)</f>
        <v/>
      </c>
      <c r="B1165" t="str">
        <f>IF(SAISIE!$F1170="","",SAISIE!$C1170)</f>
        <v/>
      </c>
      <c r="C1165" t="str">
        <f>IF(SAISIE!$F1170="","",SAISIE!$D1170)</f>
        <v/>
      </c>
      <c r="D1165" t="str">
        <f>IF(SAISIE!$E1170="","",SAISIE!$E1170)</f>
        <v/>
      </c>
      <c r="E1165" t="str">
        <f>IF(SAISIE!$F1170="","",SAISIE!$F1170)</f>
        <v/>
      </c>
      <c r="F1165" t="str">
        <f>IF(SAISIE!$G1170="","",SAISIE!$G1170)</f>
        <v/>
      </c>
      <c r="G1165" t="str">
        <f>IF(SAISIE!$H1170="","",SAISIE!$H1170)</f>
        <v/>
      </c>
      <c r="H1165" t="str">
        <f>IF(SAISIE!$I1170="","",SAISIE!$I1170)</f>
        <v/>
      </c>
      <c r="I1165" t="str">
        <f>IF(SAISIE!$J1170="","",SAISIE!$J1170)</f>
        <v/>
      </c>
      <c r="J1165" t="str">
        <f>IF(SAISIE!$K1170="","",SAISIE!$K1170)</f>
        <v/>
      </c>
      <c r="K1165" t="str">
        <f>IF(SAISIE!$L1170="","",SAISIE!$L1170)</f>
        <v/>
      </c>
      <c r="L1165" t="str">
        <f>IF(SAISIE!$M1170="","",SAISIE!$M1170)</f>
        <v/>
      </c>
      <c r="M1165" t="str">
        <f>IF(SAISIE!$N1170="","",SAISIE!$N1170)</f>
        <v/>
      </c>
      <c r="N1165" t="str">
        <f>IF(SAISIE!$O1170="","",SAISIE!$O1170)</f>
        <v/>
      </c>
      <c r="O1165" t="str">
        <f>IF(SAISIE!$P1170="","",SAISIE!$P1170)</f>
        <v/>
      </c>
      <c r="P1165" t="str">
        <f>IF(SAISIE!$Q1170="","",SAISIE!$Q1170)</f>
        <v/>
      </c>
      <c r="Q1165" t="str">
        <f>IF($I1165="","",IF($I1165&gt;PARAMETRES!$G$29,5,IF($I1165&gt;PARAMETRES!$F$29,4,IF($I1165&gt;PARAMETRES!$E$29,3,IF($I1165&gt;PARAMETRES!$D$29,2,1)))))</f>
        <v/>
      </c>
      <c r="R1165" t="str">
        <f>IF($J1165="","",IF($J1165&gt;PARAMETRES!$G$30,5,IF($J1165&gt;PARAMETRES!$F$30,4,IF($J1165&gt;PARAMETRES!$E$30,3,IF($J1165&gt;PARAMETRES!$D$30,2,1)))))</f>
        <v/>
      </c>
      <c r="S1165" t="str">
        <f>IF($K1165="","",IF($Z1165=2,IF($K1165&gt;PARAMETRES!$G$31,5,IF($K1165&gt;PARAMETRES!$F$31,4,IF($K1165&gt;PARAMETRES!$E$31,3,IF($K1165&gt;PARAMETRES!$D$31,2,1)))),IF($K1165&gt;PARAMETRES!$G$32,5,IF($K1165&gt;PARAMETRES!$F$32,4,IF($K1165&gt;PARAMETRES!$E$32,3,IF($K1165&gt;PARAMETRES!$D$32,2,1))))))</f>
        <v/>
      </c>
      <c r="T1165" t="str">
        <f>IF($L1165="","",IF($L1165&gt;PARAMETRES!$G$33,5,IF($L1165&gt;PARAMETRES!$F$33,4,IF($L1165&gt;PARAMETRES!$E$33,3,IF($L1165&gt;PARAMETRES!$D$33,2,1)))))</f>
        <v/>
      </c>
      <c r="U1165" t="str">
        <f>IF($M1165="","",IF($M1165&gt;PARAMETRES!$G$34,5,IF($M1165&gt;PARAMETRES!$F$34,4,IF($M1165&gt;PARAMETRES!$E$34,3,IF($M1165&gt;PARAMETRES!$D$34,2,1)))))</f>
        <v/>
      </c>
      <c r="V1165" t="str">
        <f>IF($N1165="","",IF($N1165&gt;PARAMETRES!$G$35,5,IF($N1165&gt;PARAMETRES!$F$35,4,IF($N1165&gt;PARAMETRES!$E$35,3,IF($N1165&gt;PARAMETRES!$D$35,2,1)))))</f>
        <v/>
      </c>
      <c r="W1165" t="str">
        <f>IF($O1165="","",IF($O1165&gt;PARAMETRES!$G$36,5,IF($O1165&gt;PARAMETRES!$F$36,4,IF($O1165&gt;PARAMETRES!$E$36,3,IF($O1165&gt;PARAMETRES!$D$36,2,1)))))</f>
        <v/>
      </c>
      <c r="X1165" t="str">
        <f>IF($P1165="","",IF($P1165&gt;PARAMETRES!$G$37,5,IF($P1165&gt;PARAMETRES!$F$37,4,IF($P1165&gt;PARAMETRES!$E$37,3,IF($P1165&gt;PARAMETRES!$D$37,2,1)))))</f>
        <v/>
      </c>
      <c r="Y1165" t="str">
        <f t="shared" si="432"/>
        <v/>
      </c>
      <c r="Z1165" t="str">
        <f>IFERROR(VLOOKUP($B1165,TABLE_CYCLE,2,0),"")</f>
        <v/>
      </c>
      <c r="AA1165" t="str">
        <f t="shared" si="433"/>
        <v/>
      </c>
      <c r="AB1165" t="str">
        <f>IF($D1165="","",IF(COUNTIF($D$2:$D1165,$D1165)=1,$D1165,""))</f>
        <v/>
      </c>
      <c r="AC1165">
        <f t="shared" si="434"/>
        <v>0</v>
      </c>
      <c r="AD1165" t="str">
        <f t="shared" si="435"/>
        <v>|0</v>
      </c>
      <c r="AE1165" t="str">
        <f t="shared" si="436"/>
        <v/>
      </c>
      <c r="AF1165" t="str">
        <f t="shared" si="437"/>
        <v/>
      </c>
      <c r="AG1165" t="str">
        <f t="shared" si="438"/>
        <v/>
      </c>
      <c r="AH1165" t="str">
        <f t="shared" si="439"/>
        <v/>
      </c>
      <c r="AI1165" t="str">
        <f t="shared" si="440"/>
        <v/>
      </c>
      <c r="AJ1165" t="str">
        <f t="shared" si="441"/>
        <v/>
      </c>
      <c r="AK1165" t="str">
        <f t="shared" si="442"/>
        <v/>
      </c>
      <c r="AL1165" t="str">
        <f t="shared" si="443"/>
        <v/>
      </c>
      <c r="AM1165" t="str">
        <f t="shared" si="444"/>
        <v/>
      </c>
      <c r="AN1165" t="str">
        <f t="shared" si="445"/>
        <v/>
      </c>
      <c r="AO1165" t="str">
        <f t="shared" si="446"/>
        <v/>
      </c>
      <c r="AP1165">
        <f t="shared" si="447"/>
        <v>1</v>
      </c>
      <c r="AQ1165" t="str">
        <f>IF(SAISIE!$F1170="","",SAISIE!$Y1170)</f>
        <v/>
      </c>
      <c r="AR1165" t="str">
        <f>IF(OR(SAISIE!$U$4="",SAISIE!$W$4=""),"",IF(AND($A1165=SAISIE!$U$4,$B1165=SAISIE!$W$4,$C1165="S1"),COUNTIFS($A$2:$A1165,SAISIE!$U$4,$B$2:$B1165,SAISIE!$W$4,$C$2:$C1165,"S1"),""))</f>
        <v/>
      </c>
      <c r="AS1165" t="str">
        <f t="shared" si="448"/>
        <v/>
      </c>
      <c r="AT1165" t="str">
        <f t="shared" si="449"/>
        <v/>
      </c>
      <c r="AU1165" t="str">
        <f t="shared" si="450"/>
        <v/>
      </c>
      <c r="AV1165">
        <f>N(AV1164)+IF(AND($AB1165&lt;&gt;"",OR('PROFIL ELEVE'!$K$4="(Tous)",$AF1165='PROFIL ELEVE'!$K$4)),1,0)</f>
        <v>0</v>
      </c>
      <c r="AW1165">
        <f>N(AW1164)+IF(AND($AB1165&lt;&gt;"",OR('SUIVI LONGITUDINAL'!$Q$4="(Tous)",$AF1165='SUIVI LONGITUDINAL'!$Q$4)),1,0)</f>
        <v>0</v>
      </c>
      <c r="AX1165">
        <f t="shared" si="451"/>
        <v>0</v>
      </c>
      <c r="AY1165">
        <f t="shared" si="452"/>
        <v>0</v>
      </c>
      <c r="AZ1165">
        <f t="shared" si="453"/>
        <v>0</v>
      </c>
      <c r="BA1165" t="str">
        <f t="shared" si="454"/>
        <v/>
      </c>
      <c r="BB1165" t="str">
        <f t="shared" si="455"/>
        <v/>
      </c>
    </row>
    <row r="1166" spans="1:54" ht="14.25" customHeight="1" x14ac:dyDescent="0.3">
      <c r="A1166" t="str">
        <f>IF(SAISIE!$F1171="","",SAISIE!$B1171)</f>
        <v/>
      </c>
      <c r="B1166" t="str">
        <f>IF(SAISIE!$F1171="","",SAISIE!$C1171)</f>
        <v/>
      </c>
      <c r="C1166" t="str">
        <f>IF(SAISIE!$F1171="","",SAISIE!$D1171)</f>
        <v/>
      </c>
      <c r="D1166" t="str">
        <f>IF(SAISIE!$E1171="","",SAISIE!$E1171)</f>
        <v/>
      </c>
      <c r="E1166" t="str">
        <f>IF(SAISIE!$F1171="","",SAISIE!$F1171)</f>
        <v/>
      </c>
      <c r="F1166" t="str">
        <f>IF(SAISIE!$G1171="","",SAISIE!$G1171)</f>
        <v/>
      </c>
      <c r="G1166" t="str">
        <f>IF(SAISIE!$H1171="","",SAISIE!$H1171)</f>
        <v/>
      </c>
      <c r="H1166" t="str">
        <f>IF(SAISIE!$I1171="","",SAISIE!$I1171)</f>
        <v/>
      </c>
      <c r="I1166" t="str">
        <f>IF(SAISIE!$J1171="","",SAISIE!$J1171)</f>
        <v/>
      </c>
      <c r="J1166" t="str">
        <f>IF(SAISIE!$K1171="","",SAISIE!$K1171)</f>
        <v/>
      </c>
      <c r="K1166" t="str">
        <f>IF(SAISIE!$L1171="","",SAISIE!$L1171)</f>
        <v/>
      </c>
      <c r="L1166" t="str">
        <f>IF(SAISIE!$M1171="","",SAISIE!$M1171)</f>
        <v/>
      </c>
      <c r="M1166" t="str">
        <f>IF(SAISIE!$N1171="","",SAISIE!$N1171)</f>
        <v/>
      </c>
      <c r="N1166" t="str">
        <f>IF(SAISIE!$O1171="","",SAISIE!$O1171)</f>
        <v/>
      </c>
      <c r="O1166" t="str">
        <f>IF(SAISIE!$P1171="","",SAISIE!$P1171)</f>
        <v/>
      </c>
      <c r="P1166" t="str">
        <f>IF(SAISIE!$Q1171="","",SAISIE!$Q1171)</f>
        <v/>
      </c>
      <c r="Q1166" t="str">
        <f>IF($I1166="","",IF($I1166&gt;PARAMETRES!$G$29,5,IF($I1166&gt;PARAMETRES!$F$29,4,IF($I1166&gt;PARAMETRES!$E$29,3,IF($I1166&gt;PARAMETRES!$D$29,2,1)))))</f>
        <v/>
      </c>
      <c r="R1166" t="str">
        <f>IF($J1166="","",IF($J1166&gt;PARAMETRES!$G$30,5,IF($J1166&gt;PARAMETRES!$F$30,4,IF($J1166&gt;PARAMETRES!$E$30,3,IF($J1166&gt;PARAMETRES!$D$30,2,1)))))</f>
        <v/>
      </c>
      <c r="S1166" t="str">
        <f>IF($K1166="","",IF($Z1166=2,IF($K1166&gt;PARAMETRES!$G$31,5,IF($K1166&gt;PARAMETRES!$F$31,4,IF($K1166&gt;PARAMETRES!$E$31,3,IF($K1166&gt;PARAMETRES!$D$31,2,1)))),IF($K1166&gt;PARAMETRES!$G$32,5,IF($K1166&gt;PARAMETRES!$F$32,4,IF($K1166&gt;PARAMETRES!$E$32,3,IF($K1166&gt;PARAMETRES!$D$32,2,1))))))</f>
        <v/>
      </c>
      <c r="T1166" t="str">
        <f>IF($L1166="","",IF($L1166&gt;PARAMETRES!$G$33,5,IF($L1166&gt;PARAMETRES!$F$33,4,IF($L1166&gt;PARAMETRES!$E$33,3,IF($L1166&gt;PARAMETRES!$D$33,2,1)))))</f>
        <v/>
      </c>
      <c r="U1166" t="str">
        <f>IF($M1166="","",IF($M1166&gt;PARAMETRES!$G$34,5,IF($M1166&gt;PARAMETRES!$F$34,4,IF($M1166&gt;PARAMETRES!$E$34,3,IF($M1166&gt;PARAMETRES!$D$34,2,1)))))</f>
        <v/>
      </c>
      <c r="V1166" t="str">
        <f>IF($N1166="","",IF($N1166&gt;PARAMETRES!$G$35,5,IF($N1166&gt;PARAMETRES!$F$35,4,IF($N1166&gt;PARAMETRES!$E$35,3,IF($N1166&gt;PARAMETRES!$D$35,2,1)))))</f>
        <v/>
      </c>
      <c r="W1166" t="str">
        <f>IF($O1166="","",IF($O1166&gt;PARAMETRES!$G$36,5,IF($O1166&gt;PARAMETRES!$F$36,4,IF($O1166&gt;PARAMETRES!$E$36,3,IF($O1166&gt;PARAMETRES!$D$36,2,1)))))</f>
        <v/>
      </c>
      <c r="X1166" t="str">
        <f>IF($P1166="","",IF($P1166&gt;PARAMETRES!$G$37,5,IF($P1166&gt;PARAMETRES!$F$37,4,IF($P1166&gt;PARAMETRES!$E$37,3,IF($P1166&gt;PARAMETRES!$D$37,2,1)))))</f>
        <v/>
      </c>
      <c r="Y1166" t="str">
        <f t="shared" si="432"/>
        <v/>
      </c>
      <c r="Z1166" t="str">
        <f>IFERROR(VLOOKUP($B1166,TABLE_CYCLE,2,0),"")</f>
        <v/>
      </c>
      <c r="AA1166" t="str">
        <f t="shared" si="433"/>
        <v/>
      </c>
      <c r="AB1166" t="str">
        <f>IF($D1166="","",IF(COUNTIF($D$2:$D1166,$D1166)=1,$D1166,""))</f>
        <v/>
      </c>
      <c r="AC1166">
        <f t="shared" si="434"/>
        <v>0</v>
      </c>
      <c r="AD1166" t="str">
        <f t="shared" si="435"/>
        <v>|0</v>
      </c>
      <c r="AE1166" t="str">
        <f t="shared" si="436"/>
        <v/>
      </c>
      <c r="AF1166" t="str">
        <f t="shared" si="437"/>
        <v/>
      </c>
      <c r="AG1166" t="str">
        <f t="shared" si="438"/>
        <v/>
      </c>
      <c r="AH1166" t="str">
        <f t="shared" si="439"/>
        <v/>
      </c>
      <c r="AI1166" t="str">
        <f t="shared" si="440"/>
        <v/>
      </c>
      <c r="AJ1166" t="str">
        <f t="shared" si="441"/>
        <v/>
      </c>
      <c r="AK1166" t="str">
        <f t="shared" si="442"/>
        <v/>
      </c>
      <c r="AL1166" t="str">
        <f t="shared" si="443"/>
        <v/>
      </c>
      <c r="AM1166" t="str">
        <f t="shared" si="444"/>
        <v/>
      </c>
      <c r="AN1166" t="str">
        <f t="shared" si="445"/>
        <v/>
      </c>
      <c r="AO1166" t="str">
        <f t="shared" si="446"/>
        <v/>
      </c>
      <c r="AP1166">
        <f t="shared" si="447"/>
        <v>1</v>
      </c>
      <c r="AQ1166" t="str">
        <f>IF(SAISIE!$F1171="","",SAISIE!$Y1171)</f>
        <v/>
      </c>
      <c r="AR1166" t="str">
        <f>IF(OR(SAISIE!$U$4="",SAISIE!$W$4=""),"",IF(AND($A1166=SAISIE!$U$4,$B1166=SAISIE!$W$4,$C1166="S1"),COUNTIFS($A$2:$A1166,SAISIE!$U$4,$B$2:$B1166,SAISIE!$W$4,$C$2:$C1166,"S1"),""))</f>
        <v/>
      </c>
      <c r="AS1166" t="str">
        <f t="shared" si="448"/>
        <v/>
      </c>
      <c r="AT1166" t="str">
        <f t="shared" si="449"/>
        <v/>
      </c>
      <c r="AU1166" t="str">
        <f t="shared" si="450"/>
        <v/>
      </c>
      <c r="AV1166">
        <f>N(AV1165)+IF(AND($AB1166&lt;&gt;"",OR('PROFIL ELEVE'!$K$4="(Tous)",$AF1166='PROFIL ELEVE'!$K$4)),1,0)</f>
        <v>0</v>
      </c>
      <c r="AW1166">
        <f>N(AW1165)+IF(AND($AB1166&lt;&gt;"",OR('SUIVI LONGITUDINAL'!$Q$4="(Tous)",$AF1166='SUIVI LONGITUDINAL'!$Q$4)),1,0)</f>
        <v>0</v>
      </c>
      <c r="AX1166">
        <f t="shared" si="451"/>
        <v>0</v>
      </c>
      <c r="AY1166">
        <f t="shared" si="452"/>
        <v>0</v>
      </c>
      <c r="AZ1166">
        <f t="shared" si="453"/>
        <v>0</v>
      </c>
      <c r="BA1166" t="str">
        <f t="shared" si="454"/>
        <v/>
      </c>
      <c r="BB1166" t="str">
        <f t="shared" si="455"/>
        <v/>
      </c>
    </row>
    <row r="1167" spans="1:54" ht="14.25" customHeight="1" x14ac:dyDescent="0.3">
      <c r="A1167" t="str">
        <f>IF(SAISIE!$F1172="","",SAISIE!$B1172)</f>
        <v/>
      </c>
      <c r="B1167" t="str">
        <f>IF(SAISIE!$F1172="","",SAISIE!$C1172)</f>
        <v/>
      </c>
      <c r="C1167" t="str">
        <f>IF(SAISIE!$F1172="","",SAISIE!$D1172)</f>
        <v/>
      </c>
      <c r="D1167" t="str">
        <f>IF(SAISIE!$E1172="","",SAISIE!$E1172)</f>
        <v/>
      </c>
      <c r="E1167" t="str">
        <f>IF(SAISIE!$F1172="","",SAISIE!$F1172)</f>
        <v/>
      </c>
      <c r="F1167" t="str">
        <f>IF(SAISIE!$G1172="","",SAISIE!$G1172)</f>
        <v/>
      </c>
      <c r="G1167" t="str">
        <f>IF(SAISIE!$H1172="","",SAISIE!$H1172)</f>
        <v/>
      </c>
      <c r="H1167" t="str">
        <f>IF(SAISIE!$I1172="","",SAISIE!$I1172)</f>
        <v/>
      </c>
      <c r="I1167" t="str">
        <f>IF(SAISIE!$J1172="","",SAISIE!$J1172)</f>
        <v/>
      </c>
      <c r="J1167" t="str">
        <f>IF(SAISIE!$K1172="","",SAISIE!$K1172)</f>
        <v/>
      </c>
      <c r="K1167" t="str">
        <f>IF(SAISIE!$L1172="","",SAISIE!$L1172)</f>
        <v/>
      </c>
      <c r="L1167" t="str">
        <f>IF(SAISIE!$M1172="","",SAISIE!$M1172)</f>
        <v/>
      </c>
      <c r="M1167" t="str">
        <f>IF(SAISIE!$N1172="","",SAISIE!$N1172)</f>
        <v/>
      </c>
      <c r="N1167" t="str">
        <f>IF(SAISIE!$O1172="","",SAISIE!$O1172)</f>
        <v/>
      </c>
      <c r="O1167" t="str">
        <f>IF(SAISIE!$P1172="","",SAISIE!$P1172)</f>
        <v/>
      </c>
      <c r="P1167" t="str">
        <f>IF(SAISIE!$Q1172="","",SAISIE!$Q1172)</f>
        <v/>
      </c>
      <c r="Q1167" t="str">
        <f>IF($I1167="","",IF($I1167&gt;PARAMETRES!$G$29,5,IF($I1167&gt;PARAMETRES!$F$29,4,IF($I1167&gt;PARAMETRES!$E$29,3,IF($I1167&gt;PARAMETRES!$D$29,2,1)))))</f>
        <v/>
      </c>
      <c r="R1167" t="str">
        <f>IF($J1167="","",IF($J1167&gt;PARAMETRES!$G$30,5,IF($J1167&gt;PARAMETRES!$F$30,4,IF($J1167&gt;PARAMETRES!$E$30,3,IF($J1167&gt;PARAMETRES!$D$30,2,1)))))</f>
        <v/>
      </c>
      <c r="S1167" t="str">
        <f>IF($K1167="","",IF($Z1167=2,IF($K1167&gt;PARAMETRES!$G$31,5,IF($K1167&gt;PARAMETRES!$F$31,4,IF($K1167&gt;PARAMETRES!$E$31,3,IF($K1167&gt;PARAMETRES!$D$31,2,1)))),IF($K1167&gt;PARAMETRES!$G$32,5,IF($K1167&gt;PARAMETRES!$F$32,4,IF($K1167&gt;PARAMETRES!$E$32,3,IF($K1167&gt;PARAMETRES!$D$32,2,1))))))</f>
        <v/>
      </c>
      <c r="T1167" t="str">
        <f>IF($L1167="","",IF($L1167&gt;PARAMETRES!$G$33,5,IF($L1167&gt;PARAMETRES!$F$33,4,IF($L1167&gt;PARAMETRES!$E$33,3,IF($L1167&gt;PARAMETRES!$D$33,2,1)))))</f>
        <v/>
      </c>
      <c r="U1167" t="str">
        <f>IF($M1167="","",IF($M1167&gt;PARAMETRES!$G$34,5,IF($M1167&gt;PARAMETRES!$F$34,4,IF($M1167&gt;PARAMETRES!$E$34,3,IF($M1167&gt;PARAMETRES!$D$34,2,1)))))</f>
        <v/>
      </c>
      <c r="V1167" t="str">
        <f>IF($N1167="","",IF($N1167&gt;PARAMETRES!$G$35,5,IF($N1167&gt;PARAMETRES!$F$35,4,IF($N1167&gt;PARAMETRES!$E$35,3,IF($N1167&gt;PARAMETRES!$D$35,2,1)))))</f>
        <v/>
      </c>
      <c r="W1167" t="str">
        <f>IF($O1167="","",IF($O1167&gt;PARAMETRES!$G$36,5,IF($O1167&gt;PARAMETRES!$F$36,4,IF($O1167&gt;PARAMETRES!$E$36,3,IF($O1167&gt;PARAMETRES!$D$36,2,1)))))</f>
        <v/>
      </c>
      <c r="X1167" t="str">
        <f>IF($P1167="","",IF($P1167&gt;PARAMETRES!$G$37,5,IF($P1167&gt;PARAMETRES!$F$37,4,IF($P1167&gt;PARAMETRES!$E$37,3,IF($P1167&gt;PARAMETRES!$D$37,2,1)))))</f>
        <v/>
      </c>
      <c r="Y1167" t="str">
        <f t="shared" si="432"/>
        <v/>
      </c>
      <c r="Z1167" t="str">
        <f>IFERROR(VLOOKUP($B1167,TABLE_CYCLE,2,0),"")</f>
        <v/>
      </c>
      <c r="AA1167" t="str">
        <f t="shared" si="433"/>
        <v/>
      </c>
      <c r="AB1167" t="str">
        <f>IF($D1167="","",IF(COUNTIF($D$2:$D1167,$D1167)=1,$D1167,""))</f>
        <v/>
      </c>
      <c r="AC1167">
        <f t="shared" si="434"/>
        <v>0</v>
      </c>
      <c r="AD1167" t="str">
        <f t="shared" si="435"/>
        <v>|0</v>
      </c>
      <c r="AE1167" t="str">
        <f t="shared" si="436"/>
        <v/>
      </c>
      <c r="AF1167" t="str">
        <f t="shared" si="437"/>
        <v/>
      </c>
      <c r="AG1167" t="str">
        <f t="shared" si="438"/>
        <v/>
      </c>
      <c r="AH1167" t="str">
        <f t="shared" si="439"/>
        <v/>
      </c>
      <c r="AI1167" t="str">
        <f t="shared" si="440"/>
        <v/>
      </c>
      <c r="AJ1167" t="str">
        <f t="shared" si="441"/>
        <v/>
      </c>
      <c r="AK1167" t="str">
        <f t="shared" si="442"/>
        <v/>
      </c>
      <c r="AL1167" t="str">
        <f t="shared" si="443"/>
        <v/>
      </c>
      <c r="AM1167" t="str">
        <f t="shared" si="444"/>
        <v/>
      </c>
      <c r="AN1167" t="str">
        <f t="shared" si="445"/>
        <v/>
      </c>
      <c r="AO1167" t="str">
        <f t="shared" si="446"/>
        <v/>
      </c>
      <c r="AP1167">
        <f t="shared" si="447"/>
        <v>1</v>
      </c>
      <c r="AQ1167" t="str">
        <f>IF(SAISIE!$F1172="","",SAISIE!$Y1172)</f>
        <v/>
      </c>
      <c r="AR1167" t="str">
        <f>IF(OR(SAISIE!$U$4="",SAISIE!$W$4=""),"",IF(AND($A1167=SAISIE!$U$4,$B1167=SAISIE!$W$4,$C1167="S1"),COUNTIFS($A$2:$A1167,SAISIE!$U$4,$B$2:$B1167,SAISIE!$W$4,$C$2:$C1167,"S1"),""))</f>
        <v/>
      </c>
      <c r="AS1167" t="str">
        <f t="shared" si="448"/>
        <v/>
      </c>
      <c r="AT1167" t="str">
        <f t="shared" si="449"/>
        <v/>
      </c>
      <c r="AU1167" t="str">
        <f t="shared" si="450"/>
        <v/>
      </c>
      <c r="AV1167">
        <f>N(AV1166)+IF(AND($AB1167&lt;&gt;"",OR('PROFIL ELEVE'!$K$4="(Tous)",$AF1167='PROFIL ELEVE'!$K$4)),1,0)</f>
        <v>0</v>
      </c>
      <c r="AW1167">
        <f>N(AW1166)+IF(AND($AB1167&lt;&gt;"",OR('SUIVI LONGITUDINAL'!$Q$4="(Tous)",$AF1167='SUIVI LONGITUDINAL'!$Q$4)),1,0)</f>
        <v>0</v>
      </c>
      <c r="AX1167">
        <f t="shared" si="451"/>
        <v>0</v>
      </c>
      <c r="AY1167">
        <f t="shared" si="452"/>
        <v>0</v>
      </c>
      <c r="AZ1167">
        <f t="shared" si="453"/>
        <v>0</v>
      </c>
      <c r="BA1167" t="str">
        <f t="shared" si="454"/>
        <v/>
      </c>
      <c r="BB1167" t="str">
        <f t="shared" si="455"/>
        <v/>
      </c>
    </row>
    <row r="1168" spans="1:54" ht="14.25" customHeight="1" x14ac:dyDescent="0.3">
      <c r="A1168" t="str">
        <f>IF(SAISIE!$F1173="","",SAISIE!$B1173)</f>
        <v/>
      </c>
      <c r="B1168" t="str">
        <f>IF(SAISIE!$F1173="","",SAISIE!$C1173)</f>
        <v/>
      </c>
      <c r="C1168" t="str">
        <f>IF(SAISIE!$F1173="","",SAISIE!$D1173)</f>
        <v/>
      </c>
      <c r="D1168" t="str">
        <f>IF(SAISIE!$E1173="","",SAISIE!$E1173)</f>
        <v/>
      </c>
      <c r="E1168" t="str">
        <f>IF(SAISIE!$F1173="","",SAISIE!$F1173)</f>
        <v/>
      </c>
      <c r="F1168" t="str">
        <f>IF(SAISIE!$G1173="","",SAISIE!$G1173)</f>
        <v/>
      </c>
      <c r="G1168" t="str">
        <f>IF(SAISIE!$H1173="","",SAISIE!$H1173)</f>
        <v/>
      </c>
      <c r="H1168" t="str">
        <f>IF(SAISIE!$I1173="","",SAISIE!$I1173)</f>
        <v/>
      </c>
      <c r="I1168" t="str">
        <f>IF(SAISIE!$J1173="","",SAISIE!$J1173)</f>
        <v/>
      </c>
      <c r="J1168" t="str">
        <f>IF(SAISIE!$K1173="","",SAISIE!$K1173)</f>
        <v/>
      </c>
      <c r="K1168" t="str">
        <f>IF(SAISIE!$L1173="","",SAISIE!$L1173)</f>
        <v/>
      </c>
      <c r="L1168" t="str">
        <f>IF(SAISIE!$M1173="","",SAISIE!$M1173)</f>
        <v/>
      </c>
      <c r="M1168" t="str">
        <f>IF(SAISIE!$N1173="","",SAISIE!$N1173)</f>
        <v/>
      </c>
      <c r="N1168" t="str">
        <f>IF(SAISIE!$O1173="","",SAISIE!$O1173)</f>
        <v/>
      </c>
      <c r="O1168" t="str">
        <f>IF(SAISIE!$P1173="","",SAISIE!$P1173)</f>
        <v/>
      </c>
      <c r="P1168" t="str">
        <f>IF(SAISIE!$Q1173="","",SAISIE!$Q1173)</f>
        <v/>
      </c>
      <c r="Q1168" t="str">
        <f>IF($I1168="","",IF($I1168&gt;PARAMETRES!$G$29,5,IF($I1168&gt;PARAMETRES!$F$29,4,IF($I1168&gt;PARAMETRES!$E$29,3,IF($I1168&gt;PARAMETRES!$D$29,2,1)))))</f>
        <v/>
      </c>
      <c r="R1168" t="str">
        <f>IF($J1168="","",IF($J1168&gt;PARAMETRES!$G$30,5,IF($J1168&gt;PARAMETRES!$F$30,4,IF($J1168&gt;PARAMETRES!$E$30,3,IF($J1168&gt;PARAMETRES!$D$30,2,1)))))</f>
        <v/>
      </c>
      <c r="S1168" t="str">
        <f>IF($K1168="","",IF($Z1168=2,IF($K1168&gt;PARAMETRES!$G$31,5,IF($K1168&gt;PARAMETRES!$F$31,4,IF($K1168&gt;PARAMETRES!$E$31,3,IF($K1168&gt;PARAMETRES!$D$31,2,1)))),IF($K1168&gt;PARAMETRES!$G$32,5,IF($K1168&gt;PARAMETRES!$F$32,4,IF($K1168&gt;PARAMETRES!$E$32,3,IF($K1168&gt;PARAMETRES!$D$32,2,1))))))</f>
        <v/>
      </c>
      <c r="T1168" t="str">
        <f>IF($L1168="","",IF($L1168&gt;PARAMETRES!$G$33,5,IF($L1168&gt;PARAMETRES!$F$33,4,IF($L1168&gt;PARAMETRES!$E$33,3,IF($L1168&gt;PARAMETRES!$D$33,2,1)))))</f>
        <v/>
      </c>
      <c r="U1168" t="str">
        <f>IF($M1168="","",IF($M1168&gt;PARAMETRES!$G$34,5,IF($M1168&gt;PARAMETRES!$F$34,4,IF($M1168&gt;PARAMETRES!$E$34,3,IF($M1168&gt;PARAMETRES!$D$34,2,1)))))</f>
        <v/>
      </c>
      <c r="V1168" t="str">
        <f>IF($N1168="","",IF($N1168&gt;PARAMETRES!$G$35,5,IF($N1168&gt;PARAMETRES!$F$35,4,IF($N1168&gt;PARAMETRES!$E$35,3,IF($N1168&gt;PARAMETRES!$D$35,2,1)))))</f>
        <v/>
      </c>
      <c r="W1168" t="str">
        <f>IF($O1168="","",IF($O1168&gt;PARAMETRES!$G$36,5,IF($O1168&gt;PARAMETRES!$F$36,4,IF($O1168&gt;PARAMETRES!$E$36,3,IF($O1168&gt;PARAMETRES!$D$36,2,1)))))</f>
        <v/>
      </c>
      <c r="X1168" t="str">
        <f>IF($P1168="","",IF($P1168&gt;PARAMETRES!$G$37,5,IF($P1168&gt;PARAMETRES!$F$37,4,IF($P1168&gt;PARAMETRES!$E$37,3,IF($P1168&gt;PARAMETRES!$D$37,2,1)))))</f>
        <v/>
      </c>
      <c r="Y1168" t="str">
        <f t="shared" si="432"/>
        <v/>
      </c>
      <c r="Z1168" t="str">
        <f>IFERROR(VLOOKUP($B1168,TABLE_CYCLE,2,0),"")</f>
        <v/>
      </c>
      <c r="AA1168" t="str">
        <f t="shared" si="433"/>
        <v/>
      </c>
      <c r="AB1168" t="str">
        <f>IF($D1168="","",IF(COUNTIF($D$2:$D1168,$D1168)=1,$D1168,""))</f>
        <v/>
      </c>
      <c r="AC1168">
        <f t="shared" si="434"/>
        <v>0</v>
      </c>
      <c r="AD1168" t="str">
        <f t="shared" si="435"/>
        <v>|0</v>
      </c>
      <c r="AE1168" t="str">
        <f t="shared" si="436"/>
        <v/>
      </c>
      <c r="AF1168" t="str">
        <f t="shared" si="437"/>
        <v/>
      </c>
      <c r="AG1168" t="str">
        <f t="shared" si="438"/>
        <v/>
      </c>
      <c r="AH1168" t="str">
        <f t="shared" si="439"/>
        <v/>
      </c>
      <c r="AI1168" t="str">
        <f t="shared" si="440"/>
        <v/>
      </c>
      <c r="AJ1168" t="str">
        <f t="shared" si="441"/>
        <v/>
      </c>
      <c r="AK1168" t="str">
        <f t="shared" si="442"/>
        <v/>
      </c>
      <c r="AL1168" t="str">
        <f t="shared" si="443"/>
        <v/>
      </c>
      <c r="AM1168" t="str">
        <f t="shared" si="444"/>
        <v/>
      </c>
      <c r="AN1168" t="str">
        <f t="shared" si="445"/>
        <v/>
      </c>
      <c r="AO1168" t="str">
        <f t="shared" si="446"/>
        <v/>
      </c>
      <c r="AP1168">
        <f t="shared" si="447"/>
        <v>1</v>
      </c>
      <c r="AQ1168" t="str">
        <f>IF(SAISIE!$F1173="","",SAISIE!$Y1173)</f>
        <v/>
      </c>
      <c r="AR1168" t="str">
        <f>IF(OR(SAISIE!$U$4="",SAISIE!$W$4=""),"",IF(AND($A1168=SAISIE!$U$4,$B1168=SAISIE!$W$4,$C1168="S1"),COUNTIFS($A$2:$A1168,SAISIE!$U$4,$B$2:$B1168,SAISIE!$W$4,$C$2:$C1168,"S1"),""))</f>
        <v/>
      </c>
      <c r="AS1168" t="str">
        <f t="shared" si="448"/>
        <v/>
      </c>
      <c r="AT1168" t="str">
        <f t="shared" si="449"/>
        <v/>
      </c>
      <c r="AU1168" t="str">
        <f t="shared" si="450"/>
        <v/>
      </c>
      <c r="AV1168">
        <f>N(AV1167)+IF(AND($AB1168&lt;&gt;"",OR('PROFIL ELEVE'!$K$4="(Tous)",$AF1168='PROFIL ELEVE'!$K$4)),1,0)</f>
        <v>0</v>
      </c>
      <c r="AW1168">
        <f>N(AW1167)+IF(AND($AB1168&lt;&gt;"",OR('SUIVI LONGITUDINAL'!$Q$4="(Tous)",$AF1168='SUIVI LONGITUDINAL'!$Q$4)),1,0)</f>
        <v>0</v>
      </c>
      <c r="AX1168">
        <f t="shared" si="451"/>
        <v>0</v>
      </c>
      <c r="AY1168">
        <f t="shared" si="452"/>
        <v>0</v>
      </c>
      <c r="AZ1168">
        <f t="shared" si="453"/>
        <v>0</v>
      </c>
      <c r="BA1168" t="str">
        <f t="shared" si="454"/>
        <v/>
      </c>
      <c r="BB1168" t="str">
        <f t="shared" si="455"/>
        <v/>
      </c>
    </row>
    <row r="1169" spans="1:54" ht="14.25" customHeight="1" x14ac:dyDescent="0.3">
      <c r="A1169" t="str">
        <f>IF(SAISIE!$F1174="","",SAISIE!$B1174)</f>
        <v/>
      </c>
      <c r="B1169" t="str">
        <f>IF(SAISIE!$F1174="","",SAISIE!$C1174)</f>
        <v/>
      </c>
      <c r="C1169" t="str">
        <f>IF(SAISIE!$F1174="","",SAISIE!$D1174)</f>
        <v/>
      </c>
      <c r="D1169" t="str">
        <f>IF(SAISIE!$E1174="","",SAISIE!$E1174)</f>
        <v/>
      </c>
      <c r="E1169" t="str">
        <f>IF(SAISIE!$F1174="","",SAISIE!$F1174)</f>
        <v/>
      </c>
      <c r="F1169" t="str">
        <f>IF(SAISIE!$G1174="","",SAISIE!$G1174)</f>
        <v/>
      </c>
      <c r="G1169" t="str">
        <f>IF(SAISIE!$H1174="","",SAISIE!$H1174)</f>
        <v/>
      </c>
      <c r="H1169" t="str">
        <f>IF(SAISIE!$I1174="","",SAISIE!$I1174)</f>
        <v/>
      </c>
      <c r="I1169" t="str">
        <f>IF(SAISIE!$J1174="","",SAISIE!$J1174)</f>
        <v/>
      </c>
      <c r="J1169" t="str">
        <f>IF(SAISIE!$K1174="","",SAISIE!$K1174)</f>
        <v/>
      </c>
      <c r="K1169" t="str">
        <f>IF(SAISIE!$L1174="","",SAISIE!$L1174)</f>
        <v/>
      </c>
      <c r="L1169" t="str">
        <f>IF(SAISIE!$M1174="","",SAISIE!$M1174)</f>
        <v/>
      </c>
      <c r="M1169" t="str">
        <f>IF(SAISIE!$N1174="","",SAISIE!$N1174)</f>
        <v/>
      </c>
      <c r="N1169" t="str">
        <f>IF(SAISIE!$O1174="","",SAISIE!$O1174)</f>
        <v/>
      </c>
      <c r="O1169" t="str">
        <f>IF(SAISIE!$P1174="","",SAISIE!$P1174)</f>
        <v/>
      </c>
      <c r="P1169" t="str">
        <f>IF(SAISIE!$Q1174="","",SAISIE!$Q1174)</f>
        <v/>
      </c>
      <c r="Q1169" t="str">
        <f>IF($I1169="","",IF($I1169&gt;PARAMETRES!$G$29,5,IF($I1169&gt;PARAMETRES!$F$29,4,IF($I1169&gt;PARAMETRES!$E$29,3,IF($I1169&gt;PARAMETRES!$D$29,2,1)))))</f>
        <v/>
      </c>
      <c r="R1169" t="str">
        <f>IF($J1169="","",IF($J1169&gt;PARAMETRES!$G$30,5,IF($J1169&gt;PARAMETRES!$F$30,4,IF($J1169&gt;PARAMETRES!$E$30,3,IF($J1169&gt;PARAMETRES!$D$30,2,1)))))</f>
        <v/>
      </c>
      <c r="S1169" t="str">
        <f>IF($K1169="","",IF($Z1169=2,IF($K1169&gt;PARAMETRES!$G$31,5,IF($K1169&gt;PARAMETRES!$F$31,4,IF($K1169&gt;PARAMETRES!$E$31,3,IF($K1169&gt;PARAMETRES!$D$31,2,1)))),IF($K1169&gt;PARAMETRES!$G$32,5,IF($K1169&gt;PARAMETRES!$F$32,4,IF($K1169&gt;PARAMETRES!$E$32,3,IF($K1169&gt;PARAMETRES!$D$32,2,1))))))</f>
        <v/>
      </c>
      <c r="T1169" t="str">
        <f>IF($L1169="","",IF($L1169&gt;PARAMETRES!$G$33,5,IF($L1169&gt;PARAMETRES!$F$33,4,IF($L1169&gt;PARAMETRES!$E$33,3,IF($L1169&gt;PARAMETRES!$D$33,2,1)))))</f>
        <v/>
      </c>
      <c r="U1169" t="str">
        <f>IF($M1169="","",IF($M1169&gt;PARAMETRES!$G$34,5,IF($M1169&gt;PARAMETRES!$F$34,4,IF($M1169&gt;PARAMETRES!$E$34,3,IF($M1169&gt;PARAMETRES!$D$34,2,1)))))</f>
        <v/>
      </c>
      <c r="V1169" t="str">
        <f>IF($N1169="","",IF($N1169&gt;PARAMETRES!$G$35,5,IF($N1169&gt;PARAMETRES!$F$35,4,IF($N1169&gt;PARAMETRES!$E$35,3,IF($N1169&gt;PARAMETRES!$D$35,2,1)))))</f>
        <v/>
      </c>
      <c r="W1169" t="str">
        <f>IF($O1169="","",IF($O1169&gt;PARAMETRES!$G$36,5,IF($O1169&gt;PARAMETRES!$F$36,4,IF($O1169&gt;PARAMETRES!$E$36,3,IF($O1169&gt;PARAMETRES!$D$36,2,1)))))</f>
        <v/>
      </c>
      <c r="X1169" t="str">
        <f>IF($P1169="","",IF($P1169&gt;PARAMETRES!$G$37,5,IF($P1169&gt;PARAMETRES!$F$37,4,IF($P1169&gt;PARAMETRES!$E$37,3,IF($P1169&gt;PARAMETRES!$D$37,2,1)))))</f>
        <v/>
      </c>
      <c r="Y1169" t="str">
        <f t="shared" si="432"/>
        <v/>
      </c>
      <c r="Z1169" t="str">
        <f>IFERROR(VLOOKUP($B1169,TABLE_CYCLE,2,0),"")</f>
        <v/>
      </c>
      <c r="AA1169" t="str">
        <f t="shared" si="433"/>
        <v/>
      </c>
      <c r="AB1169" t="str">
        <f>IF($D1169="","",IF(COUNTIF($D$2:$D1169,$D1169)=1,$D1169,""))</f>
        <v/>
      </c>
      <c r="AC1169">
        <f t="shared" si="434"/>
        <v>0</v>
      </c>
      <c r="AD1169" t="str">
        <f t="shared" si="435"/>
        <v>|0</v>
      </c>
      <c r="AE1169" t="str">
        <f t="shared" si="436"/>
        <v/>
      </c>
      <c r="AF1169" t="str">
        <f t="shared" si="437"/>
        <v/>
      </c>
      <c r="AG1169" t="str">
        <f t="shared" si="438"/>
        <v/>
      </c>
      <c r="AH1169" t="str">
        <f t="shared" si="439"/>
        <v/>
      </c>
      <c r="AI1169" t="str">
        <f t="shared" si="440"/>
        <v/>
      </c>
      <c r="AJ1169" t="str">
        <f t="shared" si="441"/>
        <v/>
      </c>
      <c r="AK1169" t="str">
        <f t="shared" si="442"/>
        <v/>
      </c>
      <c r="AL1169" t="str">
        <f t="shared" si="443"/>
        <v/>
      </c>
      <c r="AM1169" t="str">
        <f t="shared" si="444"/>
        <v/>
      </c>
      <c r="AN1169" t="str">
        <f t="shared" si="445"/>
        <v/>
      </c>
      <c r="AO1169" t="str">
        <f t="shared" si="446"/>
        <v/>
      </c>
      <c r="AP1169">
        <f t="shared" si="447"/>
        <v>1</v>
      </c>
      <c r="AQ1169" t="str">
        <f>IF(SAISIE!$F1174="","",SAISIE!$Y1174)</f>
        <v/>
      </c>
      <c r="AR1169" t="str">
        <f>IF(OR(SAISIE!$U$4="",SAISIE!$W$4=""),"",IF(AND($A1169=SAISIE!$U$4,$B1169=SAISIE!$W$4,$C1169="S1"),COUNTIFS($A$2:$A1169,SAISIE!$U$4,$B$2:$B1169,SAISIE!$W$4,$C$2:$C1169,"S1"),""))</f>
        <v/>
      </c>
      <c r="AS1169" t="str">
        <f t="shared" si="448"/>
        <v/>
      </c>
      <c r="AT1169" t="str">
        <f t="shared" si="449"/>
        <v/>
      </c>
      <c r="AU1169" t="str">
        <f t="shared" si="450"/>
        <v/>
      </c>
      <c r="AV1169">
        <f>N(AV1168)+IF(AND($AB1169&lt;&gt;"",OR('PROFIL ELEVE'!$K$4="(Tous)",$AF1169='PROFIL ELEVE'!$K$4)),1,0)</f>
        <v>0</v>
      </c>
      <c r="AW1169">
        <f>N(AW1168)+IF(AND($AB1169&lt;&gt;"",OR('SUIVI LONGITUDINAL'!$Q$4="(Tous)",$AF1169='SUIVI LONGITUDINAL'!$Q$4)),1,0)</f>
        <v>0</v>
      </c>
      <c r="AX1169">
        <f t="shared" si="451"/>
        <v>0</v>
      </c>
      <c r="AY1169">
        <f t="shared" si="452"/>
        <v>0</v>
      </c>
      <c r="AZ1169">
        <f t="shared" si="453"/>
        <v>0</v>
      </c>
      <c r="BA1169" t="str">
        <f t="shared" si="454"/>
        <v/>
      </c>
      <c r="BB1169" t="str">
        <f t="shared" si="455"/>
        <v/>
      </c>
    </row>
    <row r="1170" spans="1:54" ht="14.25" customHeight="1" x14ac:dyDescent="0.3">
      <c r="A1170" t="str">
        <f>IF(SAISIE!$F1175="","",SAISIE!$B1175)</f>
        <v/>
      </c>
      <c r="B1170" t="str">
        <f>IF(SAISIE!$F1175="","",SAISIE!$C1175)</f>
        <v/>
      </c>
      <c r="C1170" t="str">
        <f>IF(SAISIE!$F1175="","",SAISIE!$D1175)</f>
        <v/>
      </c>
      <c r="D1170" t="str">
        <f>IF(SAISIE!$E1175="","",SAISIE!$E1175)</f>
        <v/>
      </c>
      <c r="E1170" t="str">
        <f>IF(SAISIE!$F1175="","",SAISIE!$F1175)</f>
        <v/>
      </c>
      <c r="F1170" t="str">
        <f>IF(SAISIE!$G1175="","",SAISIE!$G1175)</f>
        <v/>
      </c>
      <c r="G1170" t="str">
        <f>IF(SAISIE!$H1175="","",SAISIE!$H1175)</f>
        <v/>
      </c>
      <c r="H1170" t="str">
        <f>IF(SAISIE!$I1175="","",SAISIE!$I1175)</f>
        <v/>
      </c>
      <c r="I1170" t="str">
        <f>IF(SAISIE!$J1175="","",SAISIE!$J1175)</f>
        <v/>
      </c>
      <c r="J1170" t="str">
        <f>IF(SAISIE!$K1175="","",SAISIE!$K1175)</f>
        <v/>
      </c>
      <c r="K1170" t="str">
        <f>IF(SAISIE!$L1175="","",SAISIE!$L1175)</f>
        <v/>
      </c>
      <c r="L1170" t="str">
        <f>IF(SAISIE!$M1175="","",SAISIE!$M1175)</f>
        <v/>
      </c>
      <c r="M1170" t="str">
        <f>IF(SAISIE!$N1175="","",SAISIE!$N1175)</f>
        <v/>
      </c>
      <c r="N1170" t="str">
        <f>IF(SAISIE!$O1175="","",SAISIE!$O1175)</f>
        <v/>
      </c>
      <c r="O1170" t="str">
        <f>IF(SAISIE!$P1175="","",SAISIE!$P1175)</f>
        <v/>
      </c>
      <c r="P1170" t="str">
        <f>IF(SAISIE!$Q1175="","",SAISIE!$Q1175)</f>
        <v/>
      </c>
      <c r="Q1170" t="str">
        <f>IF($I1170="","",IF($I1170&gt;PARAMETRES!$G$29,5,IF($I1170&gt;PARAMETRES!$F$29,4,IF($I1170&gt;PARAMETRES!$E$29,3,IF($I1170&gt;PARAMETRES!$D$29,2,1)))))</f>
        <v/>
      </c>
      <c r="R1170" t="str">
        <f>IF($J1170="","",IF($J1170&gt;PARAMETRES!$G$30,5,IF($J1170&gt;PARAMETRES!$F$30,4,IF($J1170&gt;PARAMETRES!$E$30,3,IF($J1170&gt;PARAMETRES!$D$30,2,1)))))</f>
        <v/>
      </c>
      <c r="S1170" t="str">
        <f>IF($K1170="","",IF($Z1170=2,IF($K1170&gt;PARAMETRES!$G$31,5,IF($K1170&gt;PARAMETRES!$F$31,4,IF($K1170&gt;PARAMETRES!$E$31,3,IF($K1170&gt;PARAMETRES!$D$31,2,1)))),IF($K1170&gt;PARAMETRES!$G$32,5,IF($K1170&gt;PARAMETRES!$F$32,4,IF($K1170&gt;PARAMETRES!$E$32,3,IF($K1170&gt;PARAMETRES!$D$32,2,1))))))</f>
        <v/>
      </c>
      <c r="T1170" t="str">
        <f>IF($L1170="","",IF($L1170&gt;PARAMETRES!$G$33,5,IF($L1170&gt;PARAMETRES!$F$33,4,IF($L1170&gt;PARAMETRES!$E$33,3,IF($L1170&gt;PARAMETRES!$D$33,2,1)))))</f>
        <v/>
      </c>
      <c r="U1170" t="str">
        <f>IF($M1170="","",IF($M1170&gt;PARAMETRES!$G$34,5,IF($M1170&gt;PARAMETRES!$F$34,4,IF($M1170&gt;PARAMETRES!$E$34,3,IF($M1170&gt;PARAMETRES!$D$34,2,1)))))</f>
        <v/>
      </c>
      <c r="V1170" t="str">
        <f>IF($N1170="","",IF($N1170&gt;PARAMETRES!$G$35,5,IF($N1170&gt;PARAMETRES!$F$35,4,IF($N1170&gt;PARAMETRES!$E$35,3,IF($N1170&gt;PARAMETRES!$D$35,2,1)))))</f>
        <v/>
      </c>
      <c r="W1170" t="str">
        <f>IF($O1170="","",IF($O1170&gt;PARAMETRES!$G$36,5,IF($O1170&gt;PARAMETRES!$F$36,4,IF($O1170&gt;PARAMETRES!$E$36,3,IF($O1170&gt;PARAMETRES!$D$36,2,1)))))</f>
        <v/>
      </c>
      <c r="X1170" t="str">
        <f>IF($P1170="","",IF($P1170&gt;PARAMETRES!$G$37,5,IF($P1170&gt;PARAMETRES!$F$37,4,IF($P1170&gt;PARAMETRES!$E$37,3,IF($P1170&gt;PARAMETRES!$D$37,2,1)))))</f>
        <v/>
      </c>
      <c r="Y1170" t="str">
        <f t="shared" si="432"/>
        <v/>
      </c>
      <c r="Z1170" t="str">
        <f>IFERROR(VLOOKUP($B1170,TABLE_CYCLE,2,0),"")</f>
        <v/>
      </c>
      <c r="AA1170" t="str">
        <f t="shared" si="433"/>
        <v/>
      </c>
      <c r="AB1170" t="str">
        <f>IF($D1170="","",IF(COUNTIF($D$2:$D1170,$D1170)=1,$D1170,""))</f>
        <v/>
      </c>
      <c r="AC1170">
        <f t="shared" si="434"/>
        <v>0</v>
      </c>
      <c r="AD1170" t="str">
        <f t="shared" si="435"/>
        <v>|0</v>
      </c>
      <c r="AE1170" t="str">
        <f t="shared" si="436"/>
        <v/>
      </c>
      <c r="AF1170" t="str">
        <f t="shared" si="437"/>
        <v/>
      </c>
      <c r="AG1170" t="str">
        <f t="shared" si="438"/>
        <v/>
      </c>
      <c r="AH1170" t="str">
        <f t="shared" si="439"/>
        <v/>
      </c>
      <c r="AI1170" t="str">
        <f t="shared" si="440"/>
        <v/>
      </c>
      <c r="AJ1170" t="str">
        <f t="shared" si="441"/>
        <v/>
      </c>
      <c r="AK1170" t="str">
        <f t="shared" si="442"/>
        <v/>
      </c>
      <c r="AL1170" t="str">
        <f t="shared" si="443"/>
        <v/>
      </c>
      <c r="AM1170" t="str">
        <f t="shared" si="444"/>
        <v/>
      </c>
      <c r="AN1170" t="str">
        <f t="shared" si="445"/>
        <v/>
      </c>
      <c r="AO1170" t="str">
        <f t="shared" si="446"/>
        <v/>
      </c>
      <c r="AP1170">
        <f t="shared" si="447"/>
        <v>1</v>
      </c>
      <c r="AQ1170" t="str">
        <f>IF(SAISIE!$F1175="","",SAISIE!$Y1175)</f>
        <v/>
      </c>
      <c r="AR1170" t="str">
        <f>IF(OR(SAISIE!$U$4="",SAISIE!$W$4=""),"",IF(AND($A1170=SAISIE!$U$4,$B1170=SAISIE!$W$4,$C1170="S1"),COUNTIFS($A$2:$A1170,SAISIE!$U$4,$B$2:$B1170,SAISIE!$W$4,$C$2:$C1170,"S1"),""))</f>
        <v/>
      </c>
      <c r="AS1170" t="str">
        <f t="shared" si="448"/>
        <v/>
      </c>
      <c r="AT1170" t="str">
        <f t="shared" si="449"/>
        <v/>
      </c>
      <c r="AU1170" t="str">
        <f t="shared" si="450"/>
        <v/>
      </c>
      <c r="AV1170">
        <f>N(AV1169)+IF(AND($AB1170&lt;&gt;"",OR('PROFIL ELEVE'!$K$4="(Tous)",$AF1170='PROFIL ELEVE'!$K$4)),1,0)</f>
        <v>0</v>
      </c>
      <c r="AW1170">
        <f>N(AW1169)+IF(AND($AB1170&lt;&gt;"",OR('SUIVI LONGITUDINAL'!$Q$4="(Tous)",$AF1170='SUIVI LONGITUDINAL'!$Q$4)),1,0)</f>
        <v>0</v>
      </c>
      <c r="AX1170">
        <f t="shared" si="451"/>
        <v>0</v>
      </c>
      <c r="AY1170">
        <f t="shared" si="452"/>
        <v>0</v>
      </c>
      <c r="AZ1170">
        <f t="shared" si="453"/>
        <v>0</v>
      </c>
      <c r="BA1170" t="str">
        <f t="shared" si="454"/>
        <v/>
      </c>
      <c r="BB1170" t="str">
        <f t="shared" si="455"/>
        <v/>
      </c>
    </row>
    <row r="1171" spans="1:54" ht="14.25" customHeight="1" x14ac:dyDescent="0.3">
      <c r="A1171" t="str">
        <f>IF(SAISIE!$F1176="","",SAISIE!$B1176)</f>
        <v/>
      </c>
      <c r="B1171" t="str">
        <f>IF(SAISIE!$F1176="","",SAISIE!$C1176)</f>
        <v/>
      </c>
      <c r="C1171" t="str">
        <f>IF(SAISIE!$F1176="","",SAISIE!$D1176)</f>
        <v/>
      </c>
      <c r="D1171" t="str">
        <f>IF(SAISIE!$E1176="","",SAISIE!$E1176)</f>
        <v/>
      </c>
      <c r="E1171" t="str">
        <f>IF(SAISIE!$F1176="","",SAISIE!$F1176)</f>
        <v/>
      </c>
      <c r="F1171" t="str">
        <f>IF(SAISIE!$G1176="","",SAISIE!$G1176)</f>
        <v/>
      </c>
      <c r="G1171" t="str">
        <f>IF(SAISIE!$H1176="","",SAISIE!$H1176)</f>
        <v/>
      </c>
      <c r="H1171" t="str">
        <f>IF(SAISIE!$I1176="","",SAISIE!$I1176)</f>
        <v/>
      </c>
      <c r="I1171" t="str">
        <f>IF(SAISIE!$J1176="","",SAISIE!$J1176)</f>
        <v/>
      </c>
      <c r="J1171" t="str">
        <f>IF(SAISIE!$K1176="","",SAISIE!$K1176)</f>
        <v/>
      </c>
      <c r="K1171" t="str">
        <f>IF(SAISIE!$L1176="","",SAISIE!$L1176)</f>
        <v/>
      </c>
      <c r="L1171" t="str">
        <f>IF(SAISIE!$M1176="","",SAISIE!$M1176)</f>
        <v/>
      </c>
      <c r="M1171" t="str">
        <f>IF(SAISIE!$N1176="","",SAISIE!$N1176)</f>
        <v/>
      </c>
      <c r="N1171" t="str">
        <f>IF(SAISIE!$O1176="","",SAISIE!$O1176)</f>
        <v/>
      </c>
      <c r="O1171" t="str">
        <f>IF(SAISIE!$P1176="","",SAISIE!$P1176)</f>
        <v/>
      </c>
      <c r="P1171" t="str">
        <f>IF(SAISIE!$Q1176="","",SAISIE!$Q1176)</f>
        <v/>
      </c>
      <c r="Q1171" t="str">
        <f>IF($I1171="","",IF($I1171&gt;PARAMETRES!$G$29,5,IF($I1171&gt;PARAMETRES!$F$29,4,IF($I1171&gt;PARAMETRES!$E$29,3,IF($I1171&gt;PARAMETRES!$D$29,2,1)))))</f>
        <v/>
      </c>
      <c r="R1171" t="str">
        <f>IF($J1171="","",IF($J1171&gt;PARAMETRES!$G$30,5,IF($J1171&gt;PARAMETRES!$F$30,4,IF($J1171&gt;PARAMETRES!$E$30,3,IF($J1171&gt;PARAMETRES!$D$30,2,1)))))</f>
        <v/>
      </c>
      <c r="S1171" t="str">
        <f>IF($K1171="","",IF($Z1171=2,IF($K1171&gt;PARAMETRES!$G$31,5,IF($K1171&gt;PARAMETRES!$F$31,4,IF($K1171&gt;PARAMETRES!$E$31,3,IF($K1171&gt;PARAMETRES!$D$31,2,1)))),IF($K1171&gt;PARAMETRES!$G$32,5,IF($K1171&gt;PARAMETRES!$F$32,4,IF($K1171&gt;PARAMETRES!$E$32,3,IF($K1171&gt;PARAMETRES!$D$32,2,1))))))</f>
        <v/>
      </c>
      <c r="T1171" t="str">
        <f>IF($L1171="","",IF($L1171&gt;PARAMETRES!$G$33,5,IF($L1171&gt;PARAMETRES!$F$33,4,IF($L1171&gt;PARAMETRES!$E$33,3,IF($L1171&gt;PARAMETRES!$D$33,2,1)))))</f>
        <v/>
      </c>
      <c r="U1171" t="str">
        <f>IF($M1171="","",IF($M1171&gt;PARAMETRES!$G$34,5,IF($M1171&gt;PARAMETRES!$F$34,4,IF($M1171&gt;PARAMETRES!$E$34,3,IF($M1171&gt;PARAMETRES!$D$34,2,1)))))</f>
        <v/>
      </c>
      <c r="V1171" t="str">
        <f>IF($N1171="","",IF($N1171&gt;PARAMETRES!$G$35,5,IF($N1171&gt;PARAMETRES!$F$35,4,IF($N1171&gt;PARAMETRES!$E$35,3,IF($N1171&gt;PARAMETRES!$D$35,2,1)))))</f>
        <v/>
      </c>
      <c r="W1171" t="str">
        <f>IF($O1171="","",IF($O1171&gt;PARAMETRES!$G$36,5,IF($O1171&gt;PARAMETRES!$F$36,4,IF($O1171&gt;PARAMETRES!$E$36,3,IF($O1171&gt;PARAMETRES!$D$36,2,1)))))</f>
        <v/>
      </c>
      <c r="X1171" t="str">
        <f>IF($P1171="","",IF($P1171&gt;PARAMETRES!$G$37,5,IF($P1171&gt;PARAMETRES!$F$37,4,IF($P1171&gt;PARAMETRES!$E$37,3,IF($P1171&gt;PARAMETRES!$D$37,2,1)))))</f>
        <v/>
      </c>
      <c r="Y1171" t="str">
        <f t="shared" si="432"/>
        <v/>
      </c>
      <c r="Z1171" t="str">
        <f>IFERROR(VLOOKUP($B1171,TABLE_CYCLE,2,0),"")</f>
        <v/>
      </c>
      <c r="AA1171" t="str">
        <f t="shared" si="433"/>
        <v/>
      </c>
      <c r="AB1171" t="str">
        <f>IF($D1171="","",IF(COUNTIF($D$2:$D1171,$D1171)=1,$D1171,""))</f>
        <v/>
      </c>
      <c r="AC1171">
        <f t="shared" si="434"/>
        <v>0</v>
      </c>
      <c r="AD1171" t="str">
        <f t="shared" si="435"/>
        <v>|0</v>
      </c>
      <c r="AE1171" t="str">
        <f t="shared" si="436"/>
        <v/>
      </c>
      <c r="AF1171" t="str">
        <f t="shared" si="437"/>
        <v/>
      </c>
      <c r="AG1171" t="str">
        <f t="shared" si="438"/>
        <v/>
      </c>
      <c r="AH1171" t="str">
        <f t="shared" si="439"/>
        <v/>
      </c>
      <c r="AI1171" t="str">
        <f t="shared" si="440"/>
        <v/>
      </c>
      <c r="AJ1171" t="str">
        <f t="shared" si="441"/>
        <v/>
      </c>
      <c r="AK1171" t="str">
        <f t="shared" si="442"/>
        <v/>
      </c>
      <c r="AL1171" t="str">
        <f t="shared" si="443"/>
        <v/>
      </c>
      <c r="AM1171" t="str">
        <f t="shared" si="444"/>
        <v/>
      </c>
      <c r="AN1171" t="str">
        <f t="shared" si="445"/>
        <v/>
      </c>
      <c r="AO1171" t="str">
        <f t="shared" si="446"/>
        <v/>
      </c>
      <c r="AP1171">
        <f t="shared" si="447"/>
        <v>1</v>
      </c>
      <c r="AQ1171" t="str">
        <f>IF(SAISIE!$F1176="","",SAISIE!$Y1176)</f>
        <v/>
      </c>
      <c r="AR1171" t="str">
        <f>IF(OR(SAISIE!$U$4="",SAISIE!$W$4=""),"",IF(AND($A1171=SAISIE!$U$4,$B1171=SAISIE!$W$4,$C1171="S1"),COUNTIFS($A$2:$A1171,SAISIE!$U$4,$B$2:$B1171,SAISIE!$W$4,$C$2:$C1171,"S1"),""))</f>
        <v/>
      </c>
      <c r="AS1171" t="str">
        <f t="shared" si="448"/>
        <v/>
      </c>
      <c r="AT1171" t="str">
        <f t="shared" si="449"/>
        <v/>
      </c>
      <c r="AU1171" t="str">
        <f t="shared" si="450"/>
        <v/>
      </c>
      <c r="AV1171">
        <f>N(AV1170)+IF(AND($AB1171&lt;&gt;"",OR('PROFIL ELEVE'!$K$4="(Tous)",$AF1171='PROFIL ELEVE'!$K$4)),1,0)</f>
        <v>0</v>
      </c>
      <c r="AW1171">
        <f>N(AW1170)+IF(AND($AB1171&lt;&gt;"",OR('SUIVI LONGITUDINAL'!$Q$4="(Tous)",$AF1171='SUIVI LONGITUDINAL'!$Q$4)),1,0)</f>
        <v>0</v>
      </c>
      <c r="AX1171">
        <f t="shared" si="451"/>
        <v>0</v>
      </c>
      <c r="AY1171">
        <f t="shared" si="452"/>
        <v>0</v>
      </c>
      <c r="AZ1171">
        <f t="shared" si="453"/>
        <v>0</v>
      </c>
      <c r="BA1171" t="str">
        <f t="shared" si="454"/>
        <v/>
      </c>
      <c r="BB1171" t="str">
        <f t="shared" si="455"/>
        <v/>
      </c>
    </row>
    <row r="1172" spans="1:54" ht="14.25" customHeight="1" x14ac:dyDescent="0.3">
      <c r="A1172" t="str">
        <f>IF(SAISIE!$F1177="","",SAISIE!$B1177)</f>
        <v/>
      </c>
      <c r="B1172" t="str">
        <f>IF(SAISIE!$F1177="","",SAISIE!$C1177)</f>
        <v/>
      </c>
      <c r="C1172" t="str">
        <f>IF(SAISIE!$F1177="","",SAISIE!$D1177)</f>
        <v/>
      </c>
      <c r="D1172" t="str">
        <f>IF(SAISIE!$E1177="","",SAISIE!$E1177)</f>
        <v/>
      </c>
      <c r="E1172" t="str">
        <f>IF(SAISIE!$F1177="","",SAISIE!$F1177)</f>
        <v/>
      </c>
      <c r="F1172" t="str">
        <f>IF(SAISIE!$G1177="","",SAISIE!$G1177)</f>
        <v/>
      </c>
      <c r="G1172" t="str">
        <f>IF(SAISIE!$H1177="","",SAISIE!$H1177)</f>
        <v/>
      </c>
      <c r="H1172" t="str">
        <f>IF(SAISIE!$I1177="","",SAISIE!$I1177)</f>
        <v/>
      </c>
      <c r="I1172" t="str">
        <f>IF(SAISIE!$J1177="","",SAISIE!$J1177)</f>
        <v/>
      </c>
      <c r="J1172" t="str">
        <f>IF(SAISIE!$K1177="","",SAISIE!$K1177)</f>
        <v/>
      </c>
      <c r="K1172" t="str">
        <f>IF(SAISIE!$L1177="","",SAISIE!$L1177)</f>
        <v/>
      </c>
      <c r="L1172" t="str">
        <f>IF(SAISIE!$M1177="","",SAISIE!$M1177)</f>
        <v/>
      </c>
      <c r="M1172" t="str">
        <f>IF(SAISIE!$N1177="","",SAISIE!$N1177)</f>
        <v/>
      </c>
      <c r="N1172" t="str">
        <f>IF(SAISIE!$O1177="","",SAISIE!$O1177)</f>
        <v/>
      </c>
      <c r="O1172" t="str">
        <f>IF(SAISIE!$P1177="","",SAISIE!$P1177)</f>
        <v/>
      </c>
      <c r="P1172" t="str">
        <f>IF(SAISIE!$Q1177="","",SAISIE!$Q1177)</f>
        <v/>
      </c>
      <c r="Q1172" t="str">
        <f>IF($I1172="","",IF($I1172&gt;PARAMETRES!$G$29,5,IF($I1172&gt;PARAMETRES!$F$29,4,IF($I1172&gt;PARAMETRES!$E$29,3,IF($I1172&gt;PARAMETRES!$D$29,2,1)))))</f>
        <v/>
      </c>
      <c r="R1172" t="str">
        <f>IF($J1172="","",IF($J1172&gt;PARAMETRES!$G$30,5,IF($J1172&gt;PARAMETRES!$F$30,4,IF($J1172&gt;PARAMETRES!$E$30,3,IF($J1172&gt;PARAMETRES!$D$30,2,1)))))</f>
        <v/>
      </c>
      <c r="S1172" t="str">
        <f>IF($K1172="","",IF($Z1172=2,IF($K1172&gt;PARAMETRES!$G$31,5,IF($K1172&gt;PARAMETRES!$F$31,4,IF($K1172&gt;PARAMETRES!$E$31,3,IF($K1172&gt;PARAMETRES!$D$31,2,1)))),IF($K1172&gt;PARAMETRES!$G$32,5,IF($K1172&gt;PARAMETRES!$F$32,4,IF($K1172&gt;PARAMETRES!$E$32,3,IF($K1172&gt;PARAMETRES!$D$32,2,1))))))</f>
        <v/>
      </c>
      <c r="T1172" t="str">
        <f>IF($L1172="","",IF($L1172&gt;PARAMETRES!$G$33,5,IF($L1172&gt;PARAMETRES!$F$33,4,IF($L1172&gt;PARAMETRES!$E$33,3,IF($L1172&gt;PARAMETRES!$D$33,2,1)))))</f>
        <v/>
      </c>
      <c r="U1172" t="str">
        <f>IF($M1172="","",IF($M1172&gt;PARAMETRES!$G$34,5,IF($M1172&gt;PARAMETRES!$F$34,4,IF($M1172&gt;PARAMETRES!$E$34,3,IF($M1172&gt;PARAMETRES!$D$34,2,1)))))</f>
        <v/>
      </c>
      <c r="V1172" t="str">
        <f>IF($N1172="","",IF($N1172&gt;PARAMETRES!$G$35,5,IF($N1172&gt;PARAMETRES!$F$35,4,IF($N1172&gt;PARAMETRES!$E$35,3,IF($N1172&gt;PARAMETRES!$D$35,2,1)))))</f>
        <v/>
      </c>
      <c r="W1172" t="str">
        <f>IF($O1172="","",IF($O1172&gt;PARAMETRES!$G$36,5,IF($O1172&gt;PARAMETRES!$F$36,4,IF($O1172&gt;PARAMETRES!$E$36,3,IF($O1172&gt;PARAMETRES!$D$36,2,1)))))</f>
        <v/>
      </c>
      <c r="X1172" t="str">
        <f>IF($P1172="","",IF($P1172&gt;PARAMETRES!$G$37,5,IF($P1172&gt;PARAMETRES!$F$37,4,IF($P1172&gt;PARAMETRES!$E$37,3,IF($P1172&gt;PARAMETRES!$D$37,2,1)))))</f>
        <v/>
      </c>
      <c r="Y1172" t="str">
        <f t="shared" si="432"/>
        <v/>
      </c>
      <c r="Z1172" t="str">
        <f>IFERROR(VLOOKUP($B1172,TABLE_CYCLE,2,0),"")</f>
        <v/>
      </c>
      <c r="AA1172" t="str">
        <f t="shared" si="433"/>
        <v/>
      </c>
      <c r="AB1172" t="str">
        <f>IF($D1172="","",IF(COUNTIF($D$2:$D1172,$D1172)=1,$D1172,""))</f>
        <v/>
      </c>
      <c r="AC1172">
        <f t="shared" si="434"/>
        <v>0</v>
      </c>
      <c r="AD1172" t="str">
        <f t="shared" si="435"/>
        <v>|0</v>
      </c>
      <c r="AE1172" t="str">
        <f t="shared" si="436"/>
        <v/>
      </c>
      <c r="AF1172" t="str">
        <f t="shared" si="437"/>
        <v/>
      </c>
      <c r="AG1172" t="str">
        <f t="shared" si="438"/>
        <v/>
      </c>
      <c r="AH1172" t="str">
        <f t="shared" si="439"/>
        <v/>
      </c>
      <c r="AI1172" t="str">
        <f t="shared" si="440"/>
        <v/>
      </c>
      <c r="AJ1172" t="str">
        <f t="shared" si="441"/>
        <v/>
      </c>
      <c r="AK1172" t="str">
        <f t="shared" si="442"/>
        <v/>
      </c>
      <c r="AL1172" t="str">
        <f t="shared" si="443"/>
        <v/>
      </c>
      <c r="AM1172" t="str">
        <f t="shared" si="444"/>
        <v/>
      </c>
      <c r="AN1172" t="str">
        <f t="shared" si="445"/>
        <v/>
      </c>
      <c r="AO1172" t="str">
        <f t="shared" si="446"/>
        <v/>
      </c>
      <c r="AP1172">
        <f t="shared" si="447"/>
        <v>1</v>
      </c>
      <c r="AQ1172" t="str">
        <f>IF(SAISIE!$F1177="","",SAISIE!$Y1177)</f>
        <v/>
      </c>
      <c r="AR1172" t="str">
        <f>IF(OR(SAISIE!$U$4="",SAISIE!$W$4=""),"",IF(AND($A1172=SAISIE!$U$4,$B1172=SAISIE!$W$4,$C1172="S1"),COUNTIFS($A$2:$A1172,SAISIE!$U$4,$B$2:$B1172,SAISIE!$W$4,$C$2:$C1172,"S1"),""))</f>
        <v/>
      </c>
      <c r="AS1172" t="str">
        <f t="shared" si="448"/>
        <v/>
      </c>
      <c r="AT1172" t="str">
        <f t="shared" si="449"/>
        <v/>
      </c>
      <c r="AU1172" t="str">
        <f t="shared" si="450"/>
        <v/>
      </c>
      <c r="AV1172">
        <f>N(AV1171)+IF(AND($AB1172&lt;&gt;"",OR('PROFIL ELEVE'!$K$4="(Tous)",$AF1172='PROFIL ELEVE'!$K$4)),1,0)</f>
        <v>0</v>
      </c>
      <c r="AW1172">
        <f>N(AW1171)+IF(AND($AB1172&lt;&gt;"",OR('SUIVI LONGITUDINAL'!$Q$4="(Tous)",$AF1172='SUIVI LONGITUDINAL'!$Q$4)),1,0)</f>
        <v>0</v>
      </c>
      <c r="AX1172">
        <f t="shared" si="451"/>
        <v>0</v>
      </c>
      <c r="AY1172">
        <f t="shared" si="452"/>
        <v>0</v>
      </c>
      <c r="AZ1172">
        <f t="shared" si="453"/>
        <v>0</v>
      </c>
      <c r="BA1172" t="str">
        <f t="shared" si="454"/>
        <v/>
      </c>
      <c r="BB1172" t="str">
        <f t="shared" si="455"/>
        <v/>
      </c>
    </row>
    <row r="1173" spans="1:54" ht="14.25" customHeight="1" x14ac:dyDescent="0.3">
      <c r="A1173" t="str">
        <f>IF(SAISIE!$F1178="","",SAISIE!$B1178)</f>
        <v/>
      </c>
      <c r="B1173" t="str">
        <f>IF(SAISIE!$F1178="","",SAISIE!$C1178)</f>
        <v/>
      </c>
      <c r="C1173" t="str">
        <f>IF(SAISIE!$F1178="","",SAISIE!$D1178)</f>
        <v/>
      </c>
      <c r="D1173" t="str">
        <f>IF(SAISIE!$E1178="","",SAISIE!$E1178)</f>
        <v/>
      </c>
      <c r="E1173" t="str">
        <f>IF(SAISIE!$F1178="","",SAISIE!$F1178)</f>
        <v/>
      </c>
      <c r="F1173" t="str">
        <f>IF(SAISIE!$G1178="","",SAISIE!$G1178)</f>
        <v/>
      </c>
      <c r="G1173" t="str">
        <f>IF(SAISIE!$H1178="","",SAISIE!$H1178)</f>
        <v/>
      </c>
      <c r="H1173" t="str">
        <f>IF(SAISIE!$I1178="","",SAISIE!$I1178)</f>
        <v/>
      </c>
      <c r="I1173" t="str">
        <f>IF(SAISIE!$J1178="","",SAISIE!$J1178)</f>
        <v/>
      </c>
      <c r="J1173" t="str">
        <f>IF(SAISIE!$K1178="","",SAISIE!$K1178)</f>
        <v/>
      </c>
      <c r="K1173" t="str">
        <f>IF(SAISIE!$L1178="","",SAISIE!$L1178)</f>
        <v/>
      </c>
      <c r="L1173" t="str">
        <f>IF(SAISIE!$M1178="","",SAISIE!$M1178)</f>
        <v/>
      </c>
      <c r="M1173" t="str">
        <f>IF(SAISIE!$N1178="","",SAISIE!$N1178)</f>
        <v/>
      </c>
      <c r="N1173" t="str">
        <f>IF(SAISIE!$O1178="","",SAISIE!$O1178)</f>
        <v/>
      </c>
      <c r="O1173" t="str">
        <f>IF(SAISIE!$P1178="","",SAISIE!$P1178)</f>
        <v/>
      </c>
      <c r="P1173" t="str">
        <f>IF(SAISIE!$Q1178="","",SAISIE!$Q1178)</f>
        <v/>
      </c>
      <c r="Q1173" t="str">
        <f>IF($I1173="","",IF($I1173&gt;PARAMETRES!$G$29,5,IF($I1173&gt;PARAMETRES!$F$29,4,IF($I1173&gt;PARAMETRES!$E$29,3,IF($I1173&gt;PARAMETRES!$D$29,2,1)))))</f>
        <v/>
      </c>
      <c r="R1173" t="str">
        <f>IF($J1173="","",IF($J1173&gt;PARAMETRES!$G$30,5,IF($J1173&gt;PARAMETRES!$F$30,4,IF($J1173&gt;PARAMETRES!$E$30,3,IF($J1173&gt;PARAMETRES!$D$30,2,1)))))</f>
        <v/>
      </c>
      <c r="S1173" t="str">
        <f>IF($K1173="","",IF($Z1173=2,IF($K1173&gt;PARAMETRES!$G$31,5,IF($K1173&gt;PARAMETRES!$F$31,4,IF($K1173&gt;PARAMETRES!$E$31,3,IF($K1173&gt;PARAMETRES!$D$31,2,1)))),IF($K1173&gt;PARAMETRES!$G$32,5,IF($K1173&gt;PARAMETRES!$F$32,4,IF($K1173&gt;PARAMETRES!$E$32,3,IF($K1173&gt;PARAMETRES!$D$32,2,1))))))</f>
        <v/>
      </c>
      <c r="T1173" t="str">
        <f>IF($L1173="","",IF($L1173&gt;PARAMETRES!$G$33,5,IF($L1173&gt;PARAMETRES!$F$33,4,IF($L1173&gt;PARAMETRES!$E$33,3,IF($L1173&gt;PARAMETRES!$D$33,2,1)))))</f>
        <v/>
      </c>
      <c r="U1173" t="str">
        <f>IF($M1173="","",IF($M1173&gt;PARAMETRES!$G$34,5,IF($M1173&gt;PARAMETRES!$F$34,4,IF($M1173&gt;PARAMETRES!$E$34,3,IF($M1173&gt;PARAMETRES!$D$34,2,1)))))</f>
        <v/>
      </c>
      <c r="V1173" t="str">
        <f>IF($N1173="","",IF($N1173&gt;PARAMETRES!$G$35,5,IF($N1173&gt;PARAMETRES!$F$35,4,IF($N1173&gt;PARAMETRES!$E$35,3,IF($N1173&gt;PARAMETRES!$D$35,2,1)))))</f>
        <v/>
      </c>
      <c r="W1173" t="str">
        <f>IF($O1173="","",IF($O1173&gt;PARAMETRES!$G$36,5,IF($O1173&gt;PARAMETRES!$F$36,4,IF($O1173&gt;PARAMETRES!$E$36,3,IF($O1173&gt;PARAMETRES!$D$36,2,1)))))</f>
        <v/>
      </c>
      <c r="X1173" t="str">
        <f>IF($P1173="","",IF($P1173&gt;PARAMETRES!$G$37,5,IF($P1173&gt;PARAMETRES!$F$37,4,IF($P1173&gt;PARAMETRES!$E$37,3,IF($P1173&gt;PARAMETRES!$D$37,2,1)))))</f>
        <v/>
      </c>
      <c r="Y1173" t="str">
        <f t="shared" si="432"/>
        <v/>
      </c>
      <c r="Z1173" t="str">
        <f>IFERROR(VLOOKUP($B1173,TABLE_CYCLE,2,0),"")</f>
        <v/>
      </c>
      <c r="AA1173" t="str">
        <f t="shared" si="433"/>
        <v/>
      </c>
      <c r="AB1173" t="str">
        <f>IF($D1173="","",IF(COUNTIF($D$2:$D1173,$D1173)=1,$D1173,""))</f>
        <v/>
      </c>
      <c r="AC1173">
        <f t="shared" si="434"/>
        <v>0</v>
      </c>
      <c r="AD1173" t="str">
        <f t="shared" si="435"/>
        <v>|0</v>
      </c>
      <c r="AE1173" t="str">
        <f t="shared" si="436"/>
        <v/>
      </c>
      <c r="AF1173" t="str">
        <f t="shared" si="437"/>
        <v/>
      </c>
      <c r="AG1173" t="str">
        <f t="shared" si="438"/>
        <v/>
      </c>
      <c r="AH1173" t="str">
        <f t="shared" si="439"/>
        <v/>
      </c>
      <c r="AI1173" t="str">
        <f t="shared" si="440"/>
        <v/>
      </c>
      <c r="AJ1173" t="str">
        <f t="shared" si="441"/>
        <v/>
      </c>
      <c r="AK1173" t="str">
        <f t="shared" si="442"/>
        <v/>
      </c>
      <c r="AL1173" t="str">
        <f t="shared" si="443"/>
        <v/>
      </c>
      <c r="AM1173" t="str">
        <f t="shared" si="444"/>
        <v/>
      </c>
      <c r="AN1173" t="str">
        <f t="shared" si="445"/>
        <v/>
      </c>
      <c r="AO1173" t="str">
        <f t="shared" si="446"/>
        <v/>
      </c>
      <c r="AP1173">
        <f t="shared" si="447"/>
        <v>1</v>
      </c>
      <c r="AQ1173" t="str">
        <f>IF(SAISIE!$F1178="","",SAISIE!$Y1178)</f>
        <v/>
      </c>
      <c r="AR1173" t="str">
        <f>IF(OR(SAISIE!$U$4="",SAISIE!$W$4=""),"",IF(AND($A1173=SAISIE!$U$4,$B1173=SAISIE!$W$4,$C1173="S1"),COUNTIFS($A$2:$A1173,SAISIE!$U$4,$B$2:$B1173,SAISIE!$W$4,$C$2:$C1173,"S1"),""))</f>
        <v/>
      </c>
      <c r="AS1173" t="str">
        <f t="shared" si="448"/>
        <v/>
      </c>
      <c r="AT1173" t="str">
        <f t="shared" si="449"/>
        <v/>
      </c>
      <c r="AU1173" t="str">
        <f t="shared" si="450"/>
        <v/>
      </c>
      <c r="AV1173">
        <f>N(AV1172)+IF(AND($AB1173&lt;&gt;"",OR('PROFIL ELEVE'!$K$4="(Tous)",$AF1173='PROFIL ELEVE'!$K$4)),1,0)</f>
        <v>0</v>
      </c>
      <c r="AW1173">
        <f>N(AW1172)+IF(AND($AB1173&lt;&gt;"",OR('SUIVI LONGITUDINAL'!$Q$4="(Tous)",$AF1173='SUIVI LONGITUDINAL'!$Q$4)),1,0)</f>
        <v>0</v>
      </c>
      <c r="AX1173">
        <f t="shared" si="451"/>
        <v>0</v>
      </c>
      <c r="AY1173">
        <f t="shared" si="452"/>
        <v>0</v>
      </c>
      <c r="AZ1173">
        <f t="shared" si="453"/>
        <v>0</v>
      </c>
      <c r="BA1173" t="str">
        <f t="shared" si="454"/>
        <v/>
      </c>
      <c r="BB1173" t="str">
        <f t="shared" si="455"/>
        <v/>
      </c>
    </row>
    <row r="1174" spans="1:54" ht="14.25" customHeight="1" x14ac:dyDescent="0.3">
      <c r="A1174" t="str">
        <f>IF(SAISIE!$F1179="","",SAISIE!$B1179)</f>
        <v/>
      </c>
      <c r="B1174" t="str">
        <f>IF(SAISIE!$F1179="","",SAISIE!$C1179)</f>
        <v/>
      </c>
      <c r="C1174" t="str">
        <f>IF(SAISIE!$F1179="","",SAISIE!$D1179)</f>
        <v/>
      </c>
      <c r="D1174" t="str">
        <f>IF(SAISIE!$E1179="","",SAISIE!$E1179)</f>
        <v/>
      </c>
      <c r="E1174" t="str">
        <f>IF(SAISIE!$F1179="","",SAISIE!$F1179)</f>
        <v/>
      </c>
      <c r="F1174" t="str">
        <f>IF(SAISIE!$G1179="","",SAISIE!$G1179)</f>
        <v/>
      </c>
      <c r="G1174" t="str">
        <f>IF(SAISIE!$H1179="","",SAISIE!$H1179)</f>
        <v/>
      </c>
      <c r="H1174" t="str">
        <f>IF(SAISIE!$I1179="","",SAISIE!$I1179)</f>
        <v/>
      </c>
      <c r="I1174" t="str">
        <f>IF(SAISIE!$J1179="","",SAISIE!$J1179)</f>
        <v/>
      </c>
      <c r="J1174" t="str">
        <f>IF(SAISIE!$K1179="","",SAISIE!$K1179)</f>
        <v/>
      </c>
      <c r="K1174" t="str">
        <f>IF(SAISIE!$L1179="","",SAISIE!$L1179)</f>
        <v/>
      </c>
      <c r="L1174" t="str">
        <f>IF(SAISIE!$M1179="","",SAISIE!$M1179)</f>
        <v/>
      </c>
      <c r="M1174" t="str">
        <f>IF(SAISIE!$N1179="","",SAISIE!$N1179)</f>
        <v/>
      </c>
      <c r="N1174" t="str">
        <f>IF(SAISIE!$O1179="","",SAISIE!$O1179)</f>
        <v/>
      </c>
      <c r="O1174" t="str">
        <f>IF(SAISIE!$P1179="","",SAISIE!$P1179)</f>
        <v/>
      </c>
      <c r="P1174" t="str">
        <f>IF(SAISIE!$Q1179="","",SAISIE!$Q1179)</f>
        <v/>
      </c>
      <c r="Q1174" t="str">
        <f>IF($I1174="","",IF($I1174&gt;PARAMETRES!$G$29,5,IF($I1174&gt;PARAMETRES!$F$29,4,IF($I1174&gt;PARAMETRES!$E$29,3,IF($I1174&gt;PARAMETRES!$D$29,2,1)))))</f>
        <v/>
      </c>
      <c r="R1174" t="str">
        <f>IF($J1174="","",IF($J1174&gt;PARAMETRES!$G$30,5,IF($J1174&gt;PARAMETRES!$F$30,4,IF($J1174&gt;PARAMETRES!$E$30,3,IF($J1174&gt;PARAMETRES!$D$30,2,1)))))</f>
        <v/>
      </c>
      <c r="S1174" t="str">
        <f>IF($K1174="","",IF($Z1174=2,IF($K1174&gt;PARAMETRES!$G$31,5,IF($K1174&gt;PARAMETRES!$F$31,4,IF($K1174&gt;PARAMETRES!$E$31,3,IF($K1174&gt;PARAMETRES!$D$31,2,1)))),IF($K1174&gt;PARAMETRES!$G$32,5,IF($K1174&gt;PARAMETRES!$F$32,4,IF($K1174&gt;PARAMETRES!$E$32,3,IF($K1174&gt;PARAMETRES!$D$32,2,1))))))</f>
        <v/>
      </c>
      <c r="T1174" t="str">
        <f>IF($L1174="","",IF($L1174&gt;PARAMETRES!$G$33,5,IF($L1174&gt;PARAMETRES!$F$33,4,IF($L1174&gt;PARAMETRES!$E$33,3,IF($L1174&gt;PARAMETRES!$D$33,2,1)))))</f>
        <v/>
      </c>
      <c r="U1174" t="str">
        <f>IF($M1174="","",IF($M1174&gt;PARAMETRES!$G$34,5,IF($M1174&gt;PARAMETRES!$F$34,4,IF($M1174&gt;PARAMETRES!$E$34,3,IF($M1174&gt;PARAMETRES!$D$34,2,1)))))</f>
        <v/>
      </c>
      <c r="V1174" t="str">
        <f>IF($N1174="","",IF($N1174&gt;PARAMETRES!$G$35,5,IF($N1174&gt;PARAMETRES!$F$35,4,IF($N1174&gt;PARAMETRES!$E$35,3,IF($N1174&gt;PARAMETRES!$D$35,2,1)))))</f>
        <v/>
      </c>
      <c r="W1174" t="str">
        <f>IF($O1174="","",IF($O1174&gt;PARAMETRES!$G$36,5,IF($O1174&gt;PARAMETRES!$F$36,4,IF($O1174&gt;PARAMETRES!$E$36,3,IF($O1174&gt;PARAMETRES!$D$36,2,1)))))</f>
        <v/>
      </c>
      <c r="X1174" t="str">
        <f>IF($P1174="","",IF($P1174&gt;PARAMETRES!$G$37,5,IF($P1174&gt;PARAMETRES!$F$37,4,IF($P1174&gt;PARAMETRES!$E$37,3,IF($P1174&gt;PARAMETRES!$D$37,2,1)))))</f>
        <v/>
      </c>
      <c r="Y1174" t="str">
        <f t="shared" si="432"/>
        <v/>
      </c>
      <c r="Z1174" t="str">
        <f>IFERROR(VLOOKUP($B1174,TABLE_CYCLE,2,0),"")</f>
        <v/>
      </c>
      <c r="AA1174" t="str">
        <f t="shared" si="433"/>
        <v/>
      </c>
      <c r="AB1174" t="str">
        <f>IF($D1174="","",IF(COUNTIF($D$2:$D1174,$D1174)=1,$D1174,""))</f>
        <v/>
      </c>
      <c r="AC1174">
        <f t="shared" si="434"/>
        <v>0</v>
      </c>
      <c r="AD1174" t="str">
        <f t="shared" si="435"/>
        <v>|0</v>
      </c>
      <c r="AE1174" t="str">
        <f t="shared" si="436"/>
        <v/>
      </c>
      <c r="AF1174" t="str">
        <f t="shared" si="437"/>
        <v/>
      </c>
      <c r="AG1174" t="str">
        <f t="shared" si="438"/>
        <v/>
      </c>
      <c r="AH1174" t="str">
        <f t="shared" si="439"/>
        <v/>
      </c>
      <c r="AI1174" t="str">
        <f t="shared" si="440"/>
        <v/>
      </c>
      <c r="AJ1174" t="str">
        <f t="shared" si="441"/>
        <v/>
      </c>
      <c r="AK1174" t="str">
        <f t="shared" si="442"/>
        <v/>
      </c>
      <c r="AL1174" t="str">
        <f t="shared" si="443"/>
        <v/>
      </c>
      <c r="AM1174" t="str">
        <f t="shared" si="444"/>
        <v/>
      </c>
      <c r="AN1174" t="str">
        <f t="shared" si="445"/>
        <v/>
      </c>
      <c r="AO1174" t="str">
        <f t="shared" si="446"/>
        <v/>
      </c>
      <c r="AP1174">
        <f t="shared" si="447"/>
        <v>1</v>
      </c>
      <c r="AQ1174" t="str">
        <f>IF(SAISIE!$F1179="","",SAISIE!$Y1179)</f>
        <v/>
      </c>
      <c r="AR1174" t="str">
        <f>IF(OR(SAISIE!$U$4="",SAISIE!$W$4=""),"",IF(AND($A1174=SAISIE!$U$4,$B1174=SAISIE!$W$4,$C1174="S1"),COUNTIFS($A$2:$A1174,SAISIE!$U$4,$B$2:$B1174,SAISIE!$W$4,$C$2:$C1174,"S1"),""))</f>
        <v/>
      </c>
      <c r="AS1174" t="str">
        <f t="shared" si="448"/>
        <v/>
      </c>
      <c r="AT1174" t="str">
        <f t="shared" si="449"/>
        <v/>
      </c>
      <c r="AU1174" t="str">
        <f t="shared" si="450"/>
        <v/>
      </c>
      <c r="AV1174">
        <f>N(AV1173)+IF(AND($AB1174&lt;&gt;"",OR('PROFIL ELEVE'!$K$4="(Tous)",$AF1174='PROFIL ELEVE'!$K$4)),1,0)</f>
        <v>0</v>
      </c>
      <c r="AW1174">
        <f>N(AW1173)+IF(AND($AB1174&lt;&gt;"",OR('SUIVI LONGITUDINAL'!$Q$4="(Tous)",$AF1174='SUIVI LONGITUDINAL'!$Q$4)),1,0)</f>
        <v>0</v>
      </c>
      <c r="AX1174">
        <f t="shared" si="451"/>
        <v>0</v>
      </c>
      <c r="AY1174">
        <f t="shared" si="452"/>
        <v>0</v>
      </c>
      <c r="AZ1174">
        <f t="shared" si="453"/>
        <v>0</v>
      </c>
      <c r="BA1174" t="str">
        <f t="shared" si="454"/>
        <v/>
      </c>
      <c r="BB1174" t="str">
        <f t="shared" si="455"/>
        <v/>
      </c>
    </row>
    <row r="1175" spans="1:54" ht="14.25" customHeight="1" x14ac:dyDescent="0.3">
      <c r="A1175" t="str">
        <f>IF(SAISIE!$F1180="","",SAISIE!$B1180)</f>
        <v/>
      </c>
      <c r="B1175" t="str">
        <f>IF(SAISIE!$F1180="","",SAISIE!$C1180)</f>
        <v/>
      </c>
      <c r="C1175" t="str">
        <f>IF(SAISIE!$F1180="","",SAISIE!$D1180)</f>
        <v/>
      </c>
      <c r="D1175" t="str">
        <f>IF(SAISIE!$E1180="","",SAISIE!$E1180)</f>
        <v/>
      </c>
      <c r="E1175" t="str">
        <f>IF(SAISIE!$F1180="","",SAISIE!$F1180)</f>
        <v/>
      </c>
      <c r="F1175" t="str">
        <f>IF(SAISIE!$G1180="","",SAISIE!$G1180)</f>
        <v/>
      </c>
      <c r="G1175" t="str">
        <f>IF(SAISIE!$H1180="","",SAISIE!$H1180)</f>
        <v/>
      </c>
      <c r="H1175" t="str">
        <f>IF(SAISIE!$I1180="","",SAISIE!$I1180)</f>
        <v/>
      </c>
      <c r="I1175" t="str">
        <f>IF(SAISIE!$J1180="","",SAISIE!$J1180)</f>
        <v/>
      </c>
      <c r="J1175" t="str">
        <f>IF(SAISIE!$K1180="","",SAISIE!$K1180)</f>
        <v/>
      </c>
      <c r="K1175" t="str">
        <f>IF(SAISIE!$L1180="","",SAISIE!$L1180)</f>
        <v/>
      </c>
      <c r="L1175" t="str">
        <f>IF(SAISIE!$M1180="","",SAISIE!$M1180)</f>
        <v/>
      </c>
      <c r="M1175" t="str">
        <f>IF(SAISIE!$N1180="","",SAISIE!$N1180)</f>
        <v/>
      </c>
      <c r="N1175" t="str">
        <f>IF(SAISIE!$O1180="","",SAISIE!$O1180)</f>
        <v/>
      </c>
      <c r="O1175" t="str">
        <f>IF(SAISIE!$P1180="","",SAISIE!$P1180)</f>
        <v/>
      </c>
      <c r="P1175" t="str">
        <f>IF(SAISIE!$Q1180="","",SAISIE!$Q1180)</f>
        <v/>
      </c>
      <c r="Q1175" t="str">
        <f>IF($I1175="","",IF($I1175&gt;PARAMETRES!$G$29,5,IF($I1175&gt;PARAMETRES!$F$29,4,IF($I1175&gt;PARAMETRES!$E$29,3,IF($I1175&gt;PARAMETRES!$D$29,2,1)))))</f>
        <v/>
      </c>
      <c r="R1175" t="str">
        <f>IF($J1175="","",IF($J1175&gt;PARAMETRES!$G$30,5,IF($J1175&gt;PARAMETRES!$F$30,4,IF($J1175&gt;PARAMETRES!$E$30,3,IF($J1175&gt;PARAMETRES!$D$30,2,1)))))</f>
        <v/>
      </c>
      <c r="S1175" t="str">
        <f>IF($K1175="","",IF($Z1175=2,IF($K1175&gt;PARAMETRES!$G$31,5,IF($K1175&gt;PARAMETRES!$F$31,4,IF($K1175&gt;PARAMETRES!$E$31,3,IF($K1175&gt;PARAMETRES!$D$31,2,1)))),IF($K1175&gt;PARAMETRES!$G$32,5,IF($K1175&gt;PARAMETRES!$F$32,4,IF($K1175&gt;PARAMETRES!$E$32,3,IF($K1175&gt;PARAMETRES!$D$32,2,1))))))</f>
        <v/>
      </c>
      <c r="T1175" t="str">
        <f>IF($L1175="","",IF($L1175&gt;PARAMETRES!$G$33,5,IF($L1175&gt;PARAMETRES!$F$33,4,IF($L1175&gt;PARAMETRES!$E$33,3,IF($L1175&gt;PARAMETRES!$D$33,2,1)))))</f>
        <v/>
      </c>
      <c r="U1175" t="str">
        <f>IF($M1175="","",IF($M1175&gt;PARAMETRES!$G$34,5,IF($M1175&gt;PARAMETRES!$F$34,4,IF($M1175&gt;PARAMETRES!$E$34,3,IF($M1175&gt;PARAMETRES!$D$34,2,1)))))</f>
        <v/>
      </c>
      <c r="V1175" t="str">
        <f>IF($N1175="","",IF($N1175&gt;PARAMETRES!$G$35,5,IF($N1175&gt;PARAMETRES!$F$35,4,IF($N1175&gt;PARAMETRES!$E$35,3,IF($N1175&gt;PARAMETRES!$D$35,2,1)))))</f>
        <v/>
      </c>
      <c r="W1175" t="str">
        <f>IF($O1175="","",IF($O1175&gt;PARAMETRES!$G$36,5,IF($O1175&gt;PARAMETRES!$F$36,4,IF($O1175&gt;PARAMETRES!$E$36,3,IF($O1175&gt;PARAMETRES!$D$36,2,1)))))</f>
        <v/>
      </c>
      <c r="X1175" t="str">
        <f>IF($P1175="","",IF($P1175&gt;PARAMETRES!$G$37,5,IF($P1175&gt;PARAMETRES!$F$37,4,IF($P1175&gt;PARAMETRES!$E$37,3,IF($P1175&gt;PARAMETRES!$D$37,2,1)))))</f>
        <v/>
      </c>
      <c r="Y1175" t="str">
        <f t="shared" si="432"/>
        <v/>
      </c>
      <c r="Z1175" t="str">
        <f>IFERROR(VLOOKUP($B1175,TABLE_CYCLE,2,0),"")</f>
        <v/>
      </c>
      <c r="AA1175" t="str">
        <f t="shared" si="433"/>
        <v/>
      </c>
      <c r="AB1175" t="str">
        <f>IF($D1175="","",IF(COUNTIF($D$2:$D1175,$D1175)=1,$D1175,""))</f>
        <v/>
      </c>
      <c r="AC1175">
        <f t="shared" si="434"/>
        <v>0</v>
      </c>
      <c r="AD1175" t="str">
        <f t="shared" si="435"/>
        <v>|0</v>
      </c>
      <c r="AE1175" t="str">
        <f t="shared" si="436"/>
        <v/>
      </c>
      <c r="AF1175" t="str">
        <f t="shared" si="437"/>
        <v/>
      </c>
      <c r="AG1175" t="str">
        <f t="shared" si="438"/>
        <v/>
      </c>
      <c r="AH1175" t="str">
        <f t="shared" si="439"/>
        <v/>
      </c>
      <c r="AI1175" t="str">
        <f t="shared" si="440"/>
        <v/>
      </c>
      <c r="AJ1175" t="str">
        <f t="shared" si="441"/>
        <v/>
      </c>
      <c r="AK1175" t="str">
        <f t="shared" si="442"/>
        <v/>
      </c>
      <c r="AL1175" t="str">
        <f t="shared" si="443"/>
        <v/>
      </c>
      <c r="AM1175" t="str">
        <f t="shared" si="444"/>
        <v/>
      </c>
      <c r="AN1175" t="str">
        <f t="shared" si="445"/>
        <v/>
      </c>
      <c r="AO1175" t="str">
        <f t="shared" si="446"/>
        <v/>
      </c>
      <c r="AP1175">
        <f t="shared" si="447"/>
        <v>1</v>
      </c>
      <c r="AQ1175" t="str">
        <f>IF(SAISIE!$F1180="","",SAISIE!$Y1180)</f>
        <v/>
      </c>
      <c r="AR1175" t="str">
        <f>IF(OR(SAISIE!$U$4="",SAISIE!$W$4=""),"",IF(AND($A1175=SAISIE!$U$4,$B1175=SAISIE!$W$4,$C1175="S1"),COUNTIFS($A$2:$A1175,SAISIE!$U$4,$B$2:$B1175,SAISIE!$W$4,$C$2:$C1175,"S1"),""))</f>
        <v/>
      </c>
      <c r="AS1175" t="str">
        <f t="shared" si="448"/>
        <v/>
      </c>
      <c r="AT1175" t="str">
        <f t="shared" si="449"/>
        <v/>
      </c>
      <c r="AU1175" t="str">
        <f t="shared" si="450"/>
        <v/>
      </c>
      <c r="AV1175">
        <f>N(AV1174)+IF(AND($AB1175&lt;&gt;"",OR('PROFIL ELEVE'!$K$4="(Tous)",$AF1175='PROFIL ELEVE'!$K$4)),1,0)</f>
        <v>0</v>
      </c>
      <c r="AW1175">
        <f>N(AW1174)+IF(AND($AB1175&lt;&gt;"",OR('SUIVI LONGITUDINAL'!$Q$4="(Tous)",$AF1175='SUIVI LONGITUDINAL'!$Q$4)),1,0)</f>
        <v>0</v>
      </c>
      <c r="AX1175">
        <f t="shared" si="451"/>
        <v>0</v>
      </c>
      <c r="AY1175">
        <f t="shared" si="452"/>
        <v>0</v>
      </c>
      <c r="AZ1175">
        <f t="shared" si="453"/>
        <v>0</v>
      </c>
      <c r="BA1175" t="str">
        <f t="shared" si="454"/>
        <v/>
      </c>
      <c r="BB1175" t="str">
        <f t="shared" si="455"/>
        <v/>
      </c>
    </row>
    <row r="1176" spans="1:54" ht="14.25" customHeight="1" x14ac:dyDescent="0.3">
      <c r="A1176" t="str">
        <f>IF(SAISIE!$F1181="","",SAISIE!$B1181)</f>
        <v/>
      </c>
      <c r="B1176" t="str">
        <f>IF(SAISIE!$F1181="","",SAISIE!$C1181)</f>
        <v/>
      </c>
      <c r="C1176" t="str">
        <f>IF(SAISIE!$F1181="","",SAISIE!$D1181)</f>
        <v/>
      </c>
      <c r="D1176" t="str">
        <f>IF(SAISIE!$E1181="","",SAISIE!$E1181)</f>
        <v/>
      </c>
      <c r="E1176" t="str">
        <f>IF(SAISIE!$F1181="","",SAISIE!$F1181)</f>
        <v/>
      </c>
      <c r="F1176" t="str">
        <f>IF(SAISIE!$G1181="","",SAISIE!$G1181)</f>
        <v/>
      </c>
      <c r="G1176" t="str">
        <f>IF(SAISIE!$H1181="","",SAISIE!$H1181)</f>
        <v/>
      </c>
      <c r="H1176" t="str">
        <f>IF(SAISIE!$I1181="","",SAISIE!$I1181)</f>
        <v/>
      </c>
      <c r="I1176" t="str">
        <f>IF(SAISIE!$J1181="","",SAISIE!$J1181)</f>
        <v/>
      </c>
      <c r="J1176" t="str">
        <f>IF(SAISIE!$K1181="","",SAISIE!$K1181)</f>
        <v/>
      </c>
      <c r="K1176" t="str">
        <f>IF(SAISIE!$L1181="","",SAISIE!$L1181)</f>
        <v/>
      </c>
      <c r="L1176" t="str">
        <f>IF(SAISIE!$M1181="","",SAISIE!$M1181)</f>
        <v/>
      </c>
      <c r="M1176" t="str">
        <f>IF(SAISIE!$N1181="","",SAISIE!$N1181)</f>
        <v/>
      </c>
      <c r="N1176" t="str">
        <f>IF(SAISIE!$O1181="","",SAISIE!$O1181)</f>
        <v/>
      </c>
      <c r="O1176" t="str">
        <f>IF(SAISIE!$P1181="","",SAISIE!$P1181)</f>
        <v/>
      </c>
      <c r="P1176" t="str">
        <f>IF(SAISIE!$Q1181="","",SAISIE!$Q1181)</f>
        <v/>
      </c>
      <c r="Q1176" t="str">
        <f>IF($I1176="","",IF($I1176&gt;PARAMETRES!$G$29,5,IF($I1176&gt;PARAMETRES!$F$29,4,IF($I1176&gt;PARAMETRES!$E$29,3,IF($I1176&gt;PARAMETRES!$D$29,2,1)))))</f>
        <v/>
      </c>
      <c r="R1176" t="str">
        <f>IF($J1176="","",IF($J1176&gt;PARAMETRES!$G$30,5,IF($J1176&gt;PARAMETRES!$F$30,4,IF($J1176&gt;PARAMETRES!$E$30,3,IF($J1176&gt;PARAMETRES!$D$30,2,1)))))</f>
        <v/>
      </c>
      <c r="S1176" t="str">
        <f>IF($K1176="","",IF($Z1176=2,IF($K1176&gt;PARAMETRES!$G$31,5,IF($K1176&gt;PARAMETRES!$F$31,4,IF($K1176&gt;PARAMETRES!$E$31,3,IF($K1176&gt;PARAMETRES!$D$31,2,1)))),IF($K1176&gt;PARAMETRES!$G$32,5,IF($K1176&gt;PARAMETRES!$F$32,4,IF($K1176&gt;PARAMETRES!$E$32,3,IF($K1176&gt;PARAMETRES!$D$32,2,1))))))</f>
        <v/>
      </c>
      <c r="T1176" t="str">
        <f>IF($L1176="","",IF($L1176&gt;PARAMETRES!$G$33,5,IF($L1176&gt;PARAMETRES!$F$33,4,IF($L1176&gt;PARAMETRES!$E$33,3,IF($L1176&gt;PARAMETRES!$D$33,2,1)))))</f>
        <v/>
      </c>
      <c r="U1176" t="str">
        <f>IF($M1176="","",IF($M1176&gt;PARAMETRES!$G$34,5,IF($M1176&gt;PARAMETRES!$F$34,4,IF($M1176&gt;PARAMETRES!$E$34,3,IF($M1176&gt;PARAMETRES!$D$34,2,1)))))</f>
        <v/>
      </c>
      <c r="V1176" t="str">
        <f>IF($N1176="","",IF($N1176&gt;PARAMETRES!$G$35,5,IF($N1176&gt;PARAMETRES!$F$35,4,IF($N1176&gt;PARAMETRES!$E$35,3,IF($N1176&gt;PARAMETRES!$D$35,2,1)))))</f>
        <v/>
      </c>
      <c r="W1176" t="str">
        <f>IF($O1176="","",IF($O1176&gt;PARAMETRES!$G$36,5,IF($O1176&gt;PARAMETRES!$F$36,4,IF($O1176&gt;PARAMETRES!$E$36,3,IF($O1176&gt;PARAMETRES!$D$36,2,1)))))</f>
        <v/>
      </c>
      <c r="X1176" t="str">
        <f>IF($P1176="","",IF($P1176&gt;PARAMETRES!$G$37,5,IF($P1176&gt;PARAMETRES!$F$37,4,IF($P1176&gt;PARAMETRES!$E$37,3,IF($P1176&gt;PARAMETRES!$D$37,2,1)))))</f>
        <v/>
      </c>
      <c r="Y1176" t="str">
        <f t="shared" si="432"/>
        <v/>
      </c>
      <c r="Z1176" t="str">
        <f>IFERROR(VLOOKUP($B1176,TABLE_CYCLE,2,0),"")</f>
        <v/>
      </c>
      <c r="AA1176" t="str">
        <f t="shared" si="433"/>
        <v/>
      </c>
      <c r="AB1176" t="str">
        <f>IF($D1176="","",IF(COUNTIF($D$2:$D1176,$D1176)=1,$D1176,""))</f>
        <v/>
      </c>
      <c r="AC1176">
        <f t="shared" si="434"/>
        <v>0</v>
      </c>
      <c r="AD1176" t="str">
        <f t="shared" si="435"/>
        <v>|0</v>
      </c>
      <c r="AE1176" t="str">
        <f t="shared" si="436"/>
        <v/>
      </c>
      <c r="AF1176" t="str">
        <f t="shared" si="437"/>
        <v/>
      </c>
      <c r="AG1176" t="str">
        <f t="shared" si="438"/>
        <v/>
      </c>
      <c r="AH1176" t="str">
        <f t="shared" si="439"/>
        <v/>
      </c>
      <c r="AI1176" t="str">
        <f t="shared" si="440"/>
        <v/>
      </c>
      <c r="AJ1176" t="str">
        <f t="shared" si="441"/>
        <v/>
      </c>
      <c r="AK1176" t="str">
        <f t="shared" si="442"/>
        <v/>
      </c>
      <c r="AL1176" t="str">
        <f t="shared" si="443"/>
        <v/>
      </c>
      <c r="AM1176" t="str">
        <f t="shared" si="444"/>
        <v/>
      </c>
      <c r="AN1176" t="str">
        <f t="shared" si="445"/>
        <v/>
      </c>
      <c r="AO1176" t="str">
        <f t="shared" si="446"/>
        <v/>
      </c>
      <c r="AP1176">
        <f t="shared" si="447"/>
        <v>1</v>
      </c>
      <c r="AQ1176" t="str">
        <f>IF(SAISIE!$F1181="","",SAISIE!$Y1181)</f>
        <v/>
      </c>
      <c r="AR1176" t="str">
        <f>IF(OR(SAISIE!$U$4="",SAISIE!$W$4=""),"",IF(AND($A1176=SAISIE!$U$4,$B1176=SAISIE!$W$4,$C1176="S1"),COUNTIFS($A$2:$A1176,SAISIE!$U$4,$B$2:$B1176,SAISIE!$W$4,$C$2:$C1176,"S1"),""))</f>
        <v/>
      </c>
      <c r="AS1176" t="str">
        <f t="shared" si="448"/>
        <v/>
      </c>
      <c r="AT1176" t="str">
        <f t="shared" si="449"/>
        <v/>
      </c>
      <c r="AU1176" t="str">
        <f t="shared" si="450"/>
        <v/>
      </c>
      <c r="AV1176">
        <f>N(AV1175)+IF(AND($AB1176&lt;&gt;"",OR('PROFIL ELEVE'!$K$4="(Tous)",$AF1176='PROFIL ELEVE'!$K$4)),1,0)</f>
        <v>0</v>
      </c>
      <c r="AW1176">
        <f>N(AW1175)+IF(AND($AB1176&lt;&gt;"",OR('SUIVI LONGITUDINAL'!$Q$4="(Tous)",$AF1176='SUIVI LONGITUDINAL'!$Q$4)),1,0)</f>
        <v>0</v>
      </c>
      <c r="AX1176">
        <f t="shared" si="451"/>
        <v>0</v>
      </c>
      <c r="AY1176">
        <f t="shared" si="452"/>
        <v>0</v>
      </c>
      <c r="AZ1176">
        <f t="shared" si="453"/>
        <v>0</v>
      </c>
      <c r="BA1176" t="str">
        <f t="shared" si="454"/>
        <v/>
      </c>
      <c r="BB1176" t="str">
        <f t="shared" si="455"/>
        <v/>
      </c>
    </row>
    <row r="1177" spans="1:54" ht="14.25" customHeight="1" x14ac:dyDescent="0.3">
      <c r="A1177" t="str">
        <f>IF(SAISIE!$F1182="","",SAISIE!$B1182)</f>
        <v/>
      </c>
      <c r="B1177" t="str">
        <f>IF(SAISIE!$F1182="","",SAISIE!$C1182)</f>
        <v/>
      </c>
      <c r="C1177" t="str">
        <f>IF(SAISIE!$F1182="","",SAISIE!$D1182)</f>
        <v/>
      </c>
      <c r="D1177" t="str">
        <f>IF(SAISIE!$E1182="","",SAISIE!$E1182)</f>
        <v/>
      </c>
      <c r="E1177" t="str">
        <f>IF(SAISIE!$F1182="","",SAISIE!$F1182)</f>
        <v/>
      </c>
      <c r="F1177" t="str">
        <f>IF(SAISIE!$G1182="","",SAISIE!$G1182)</f>
        <v/>
      </c>
      <c r="G1177" t="str">
        <f>IF(SAISIE!$H1182="","",SAISIE!$H1182)</f>
        <v/>
      </c>
      <c r="H1177" t="str">
        <f>IF(SAISIE!$I1182="","",SAISIE!$I1182)</f>
        <v/>
      </c>
      <c r="I1177" t="str">
        <f>IF(SAISIE!$J1182="","",SAISIE!$J1182)</f>
        <v/>
      </c>
      <c r="J1177" t="str">
        <f>IF(SAISIE!$K1182="","",SAISIE!$K1182)</f>
        <v/>
      </c>
      <c r="K1177" t="str">
        <f>IF(SAISIE!$L1182="","",SAISIE!$L1182)</f>
        <v/>
      </c>
      <c r="L1177" t="str">
        <f>IF(SAISIE!$M1182="","",SAISIE!$M1182)</f>
        <v/>
      </c>
      <c r="M1177" t="str">
        <f>IF(SAISIE!$N1182="","",SAISIE!$N1182)</f>
        <v/>
      </c>
      <c r="N1177" t="str">
        <f>IF(SAISIE!$O1182="","",SAISIE!$O1182)</f>
        <v/>
      </c>
      <c r="O1177" t="str">
        <f>IF(SAISIE!$P1182="","",SAISIE!$P1182)</f>
        <v/>
      </c>
      <c r="P1177" t="str">
        <f>IF(SAISIE!$Q1182="","",SAISIE!$Q1182)</f>
        <v/>
      </c>
      <c r="Q1177" t="str">
        <f>IF($I1177="","",IF($I1177&gt;PARAMETRES!$G$29,5,IF($I1177&gt;PARAMETRES!$F$29,4,IF($I1177&gt;PARAMETRES!$E$29,3,IF($I1177&gt;PARAMETRES!$D$29,2,1)))))</f>
        <v/>
      </c>
      <c r="R1177" t="str">
        <f>IF($J1177="","",IF($J1177&gt;PARAMETRES!$G$30,5,IF($J1177&gt;PARAMETRES!$F$30,4,IF($J1177&gt;PARAMETRES!$E$30,3,IF($J1177&gt;PARAMETRES!$D$30,2,1)))))</f>
        <v/>
      </c>
      <c r="S1177" t="str">
        <f>IF($K1177="","",IF($Z1177=2,IF($K1177&gt;PARAMETRES!$G$31,5,IF($K1177&gt;PARAMETRES!$F$31,4,IF($K1177&gt;PARAMETRES!$E$31,3,IF($K1177&gt;PARAMETRES!$D$31,2,1)))),IF($K1177&gt;PARAMETRES!$G$32,5,IF($K1177&gt;PARAMETRES!$F$32,4,IF($K1177&gt;PARAMETRES!$E$32,3,IF($K1177&gt;PARAMETRES!$D$32,2,1))))))</f>
        <v/>
      </c>
      <c r="T1177" t="str">
        <f>IF($L1177="","",IF($L1177&gt;PARAMETRES!$G$33,5,IF($L1177&gt;PARAMETRES!$F$33,4,IF($L1177&gt;PARAMETRES!$E$33,3,IF($L1177&gt;PARAMETRES!$D$33,2,1)))))</f>
        <v/>
      </c>
      <c r="U1177" t="str">
        <f>IF($M1177="","",IF($M1177&gt;PARAMETRES!$G$34,5,IF($M1177&gt;PARAMETRES!$F$34,4,IF($M1177&gt;PARAMETRES!$E$34,3,IF($M1177&gt;PARAMETRES!$D$34,2,1)))))</f>
        <v/>
      </c>
      <c r="V1177" t="str">
        <f>IF($N1177="","",IF($N1177&gt;PARAMETRES!$G$35,5,IF($N1177&gt;PARAMETRES!$F$35,4,IF($N1177&gt;PARAMETRES!$E$35,3,IF($N1177&gt;PARAMETRES!$D$35,2,1)))))</f>
        <v/>
      </c>
      <c r="W1177" t="str">
        <f>IF($O1177="","",IF($O1177&gt;PARAMETRES!$G$36,5,IF($O1177&gt;PARAMETRES!$F$36,4,IF($O1177&gt;PARAMETRES!$E$36,3,IF($O1177&gt;PARAMETRES!$D$36,2,1)))))</f>
        <v/>
      </c>
      <c r="X1177" t="str">
        <f>IF($P1177="","",IF($P1177&gt;PARAMETRES!$G$37,5,IF($P1177&gt;PARAMETRES!$F$37,4,IF($P1177&gt;PARAMETRES!$E$37,3,IF($P1177&gt;PARAMETRES!$D$37,2,1)))))</f>
        <v/>
      </c>
      <c r="Y1177" t="str">
        <f t="shared" si="432"/>
        <v/>
      </c>
      <c r="Z1177" t="str">
        <f>IFERROR(VLOOKUP($B1177,TABLE_CYCLE,2,0),"")</f>
        <v/>
      </c>
      <c r="AA1177" t="str">
        <f t="shared" si="433"/>
        <v/>
      </c>
      <c r="AB1177" t="str">
        <f>IF($D1177="","",IF(COUNTIF($D$2:$D1177,$D1177)=1,$D1177,""))</f>
        <v/>
      </c>
      <c r="AC1177">
        <f t="shared" si="434"/>
        <v>0</v>
      </c>
      <c r="AD1177" t="str">
        <f t="shared" si="435"/>
        <v>|0</v>
      </c>
      <c r="AE1177" t="str">
        <f t="shared" si="436"/>
        <v/>
      </c>
      <c r="AF1177" t="str">
        <f t="shared" si="437"/>
        <v/>
      </c>
      <c r="AG1177" t="str">
        <f t="shared" si="438"/>
        <v/>
      </c>
      <c r="AH1177" t="str">
        <f t="shared" si="439"/>
        <v/>
      </c>
      <c r="AI1177" t="str">
        <f t="shared" si="440"/>
        <v/>
      </c>
      <c r="AJ1177" t="str">
        <f t="shared" si="441"/>
        <v/>
      </c>
      <c r="AK1177" t="str">
        <f t="shared" si="442"/>
        <v/>
      </c>
      <c r="AL1177" t="str">
        <f t="shared" si="443"/>
        <v/>
      </c>
      <c r="AM1177" t="str">
        <f t="shared" si="444"/>
        <v/>
      </c>
      <c r="AN1177" t="str">
        <f t="shared" si="445"/>
        <v/>
      </c>
      <c r="AO1177" t="str">
        <f t="shared" si="446"/>
        <v/>
      </c>
      <c r="AP1177">
        <f t="shared" si="447"/>
        <v>1</v>
      </c>
      <c r="AQ1177" t="str">
        <f>IF(SAISIE!$F1182="","",SAISIE!$Y1182)</f>
        <v/>
      </c>
      <c r="AR1177" t="str">
        <f>IF(OR(SAISIE!$U$4="",SAISIE!$W$4=""),"",IF(AND($A1177=SAISIE!$U$4,$B1177=SAISIE!$W$4,$C1177="S1"),COUNTIFS($A$2:$A1177,SAISIE!$U$4,$B$2:$B1177,SAISIE!$W$4,$C$2:$C1177,"S1"),""))</f>
        <v/>
      </c>
      <c r="AS1177" t="str">
        <f t="shared" si="448"/>
        <v/>
      </c>
      <c r="AT1177" t="str">
        <f t="shared" si="449"/>
        <v/>
      </c>
      <c r="AU1177" t="str">
        <f t="shared" si="450"/>
        <v/>
      </c>
      <c r="AV1177">
        <f>N(AV1176)+IF(AND($AB1177&lt;&gt;"",OR('PROFIL ELEVE'!$K$4="(Tous)",$AF1177='PROFIL ELEVE'!$K$4)),1,0)</f>
        <v>0</v>
      </c>
      <c r="AW1177">
        <f>N(AW1176)+IF(AND($AB1177&lt;&gt;"",OR('SUIVI LONGITUDINAL'!$Q$4="(Tous)",$AF1177='SUIVI LONGITUDINAL'!$Q$4)),1,0)</f>
        <v>0</v>
      </c>
      <c r="AX1177">
        <f t="shared" si="451"/>
        <v>0</v>
      </c>
      <c r="AY1177">
        <f t="shared" si="452"/>
        <v>0</v>
      </c>
      <c r="AZ1177">
        <f t="shared" si="453"/>
        <v>0</v>
      </c>
      <c r="BA1177" t="str">
        <f t="shared" si="454"/>
        <v/>
      </c>
      <c r="BB1177" t="str">
        <f t="shared" si="455"/>
        <v/>
      </c>
    </row>
    <row r="1178" spans="1:54" ht="14.25" customHeight="1" x14ac:dyDescent="0.3">
      <c r="A1178" t="str">
        <f>IF(SAISIE!$F1183="","",SAISIE!$B1183)</f>
        <v/>
      </c>
      <c r="B1178" t="str">
        <f>IF(SAISIE!$F1183="","",SAISIE!$C1183)</f>
        <v/>
      </c>
      <c r="C1178" t="str">
        <f>IF(SAISIE!$F1183="","",SAISIE!$D1183)</f>
        <v/>
      </c>
      <c r="D1178" t="str">
        <f>IF(SAISIE!$E1183="","",SAISIE!$E1183)</f>
        <v/>
      </c>
      <c r="E1178" t="str">
        <f>IF(SAISIE!$F1183="","",SAISIE!$F1183)</f>
        <v/>
      </c>
      <c r="F1178" t="str">
        <f>IF(SAISIE!$G1183="","",SAISIE!$G1183)</f>
        <v/>
      </c>
      <c r="G1178" t="str">
        <f>IF(SAISIE!$H1183="","",SAISIE!$H1183)</f>
        <v/>
      </c>
      <c r="H1178" t="str">
        <f>IF(SAISIE!$I1183="","",SAISIE!$I1183)</f>
        <v/>
      </c>
      <c r="I1178" t="str">
        <f>IF(SAISIE!$J1183="","",SAISIE!$J1183)</f>
        <v/>
      </c>
      <c r="J1178" t="str">
        <f>IF(SAISIE!$K1183="","",SAISIE!$K1183)</f>
        <v/>
      </c>
      <c r="K1178" t="str">
        <f>IF(SAISIE!$L1183="","",SAISIE!$L1183)</f>
        <v/>
      </c>
      <c r="L1178" t="str">
        <f>IF(SAISIE!$M1183="","",SAISIE!$M1183)</f>
        <v/>
      </c>
      <c r="M1178" t="str">
        <f>IF(SAISIE!$N1183="","",SAISIE!$N1183)</f>
        <v/>
      </c>
      <c r="N1178" t="str">
        <f>IF(SAISIE!$O1183="","",SAISIE!$O1183)</f>
        <v/>
      </c>
      <c r="O1178" t="str">
        <f>IF(SAISIE!$P1183="","",SAISIE!$P1183)</f>
        <v/>
      </c>
      <c r="P1178" t="str">
        <f>IF(SAISIE!$Q1183="","",SAISIE!$Q1183)</f>
        <v/>
      </c>
      <c r="Q1178" t="str">
        <f>IF($I1178="","",IF($I1178&gt;PARAMETRES!$G$29,5,IF($I1178&gt;PARAMETRES!$F$29,4,IF($I1178&gt;PARAMETRES!$E$29,3,IF($I1178&gt;PARAMETRES!$D$29,2,1)))))</f>
        <v/>
      </c>
      <c r="R1178" t="str">
        <f>IF($J1178="","",IF($J1178&gt;PARAMETRES!$G$30,5,IF($J1178&gt;PARAMETRES!$F$30,4,IF($J1178&gt;PARAMETRES!$E$30,3,IF($J1178&gt;PARAMETRES!$D$30,2,1)))))</f>
        <v/>
      </c>
      <c r="S1178" t="str">
        <f>IF($K1178="","",IF($Z1178=2,IF($K1178&gt;PARAMETRES!$G$31,5,IF($K1178&gt;PARAMETRES!$F$31,4,IF($K1178&gt;PARAMETRES!$E$31,3,IF($K1178&gt;PARAMETRES!$D$31,2,1)))),IF($K1178&gt;PARAMETRES!$G$32,5,IF($K1178&gt;PARAMETRES!$F$32,4,IF($K1178&gt;PARAMETRES!$E$32,3,IF($K1178&gt;PARAMETRES!$D$32,2,1))))))</f>
        <v/>
      </c>
      <c r="T1178" t="str">
        <f>IF($L1178="","",IF($L1178&gt;PARAMETRES!$G$33,5,IF($L1178&gt;PARAMETRES!$F$33,4,IF($L1178&gt;PARAMETRES!$E$33,3,IF($L1178&gt;PARAMETRES!$D$33,2,1)))))</f>
        <v/>
      </c>
      <c r="U1178" t="str">
        <f>IF($M1178="","",IF($M1178&gt;PARAMETRES!$G$34,5,IF($M1178&gt;PARAMETRES!$F$34,4,IF($M1178&gt;PARAMETRES!$E$34,3,IF($M1178&gt;PARAMETRES!$D$34,2,1)))))</f>
        <v/>
      </c>
      <c r="V1178" t="str">
        <f>IF($N1178="","",IF($N1178&gt;PARAMETRES!$G$35,5,IF($N1178&gt;PARAMETRES!$F$35,4,IF($N1178&gt;PARAMETRES!$E$35,3,IF($N1178&gt;PARAMETRES!$D$35,2,1)))))</f>
        <v/>
      </c>
      <c r="W1178" t="str">
        <f>IF($O1178="","",IF($O1178&gt;PARAMETRES!$G$36,5,IF($O1178&gt;PARAMETRES!$F$36,4,IF($O1178&gt;PARAMETRES!$E$36,3,IF($O1178&gt;PARAMETRES!$D$36,2,1)))))</f>
        <v/>
      </c>
      <c r="X1178" t="str">
        <f>IF($P1178="","",IF($P1178&gt;PARAMETRES!$G$37,5,IF($P1178&gt;PARAMETRES!$F$37,4,IF($P1178&gt;PARAMETRES!$E$37,3,IF($P1178&gt;PARAMETRES!$D$37,2,1)))))</f>
        <v/>
      </c>
      <c r="Y1178" t="str">
        <f t="shared" si="432"/>
        <v/>
      </c>
      <c r="Z1178" t="str">
        <f>IFERROR(VLOOKUP($B1178,TABLE_CYCLE,2,0),"")</f>
        <v/>
      </c>
      <c r="AA1178" t="str">
        <f t="shared" si="433"/>
        <v/>
      </c>
      <c r="AB1178" t="str">
        <f>IF($D1178="","",IF(COUNTIF($D$2:$D1178,$D1178)=1,$D1178,""))</f>
        <v/>
      </c>
      <c r="AC1178">
        <f t="shared" si="434"/>
        <v>0</v>
      </c>
      <c r="AD1178" t="str">
        <f t="shared" si="435"/>
        <v>|0</v>
      </c>
      <c r="AE1178" t="str">
        <f t="shared" si="436"/>
        <v/>
      </c>
      <c r="AF1178" t="str">
        <f t="shared" si="437"/>
        <v/>
      </c>
      <c r="AG1178" t="str">
        <f t="shared" si="438"/>
        <v/>
      </c>
      <c r="AH1178" t="str">
        <f t="shared" si="439"/>
        <v/>
      </c>
      <c r="AI1178" t="str">
        <f t="shared" si="440"/>
        <v/>
      </c>
      <c r="AJ1178" t="str">
        <f t="shared" si="441"/>
        <v/>
      </c>
      <c r="AK1178" t="str">
        <f t="shared" si="442"/>
        <v/>
      </c>
      <c r="AL1178" t="str">
        <f t="shared" si="443"/>
        <v/>
      </c>
      <c r="AM1178" t="str">
        <f t="shared" si="444"/>
        <v/>
      </c>
      <c r="AN1178" t="str">
        <f t="shared" si="445"/>
        <v/>
      </c>
      <c r="AO1178" t="str">
        <f t="shared" si="446"/>
        <v/>
      </c>
      <c r="AP1178">
        <f t="shared" si="447"/>
        <v>1</v>
      </c>
      <c r="AQ1178" t="str">
        <f>IF(SAISIE!$F1183="","",SAISIE!$Y1183)</f>
        <v/>
      </c>
      <c r="AR1178" t="str">
        <f>IF(OR(SAISIE!$U$4="",SAISIE!$W$4=""),"",IF(AND($A1178=SAISIE!$U$4,$B1178=SAISIE!$W$4,$C1178="S1"),COUNTIFS($A$2:$A1178,SAISIE!$U$4,$B$2:$B1178,SAISIE!$W$4,$C$2:$C1178,"S1"),""))</f>
        <v/>
      </c>
      <c r="AS1178" t="str">
        <f t="shared" si="448"/>
        <v/>
      </c>
      <c r="AT1178" t="str">
        <f t="shared" si="449"/>
        <v/>
      </c>
      <c r="AU1178" t="str">
        <f t="shared" si="450"/>
        <v/>
      </c>
      <c r="AV1178">
        <f>N(AV1177)+IF(AND($AB1178&lt;&gt;"",OR('PROFIL ELEVE'!$K$4="(Tous)",$AF1178='PROFIL ELEVE'!$K$4)),1,0)</f>
        <v>0</v>
      </c>
      <c r="AW1178">
        <f>N(AW1177)+IF(AND($AB1178&lt;&gt;"",OR('SUIVI LONGITUDINAL'!$Q$4="(Tous)",$AF1178='SUIVI LONGITUDINAL'!$Q$4)),1,0)</f>
        <v>0</v>
      </c>
      <c r="AX1178">
        <f t="shared" si="451"/>
        <v>0</v>
      </c>
      <c r="AY1178">
        <f t="shared" si="452"/>
        <v>0</v>
      </c>
      <c r="AZ1178">
        <f t="shared" si="453"/>
        <v>0</v>
      </c>
      <c r="BA1178" t="str">
        <f t="shared" si="454"/>
        <v/>
      </c>
      <c r="BB1178" t="str">
        <f t="shared" si="455"/>
        <v/>
      </c>
    </row>
    <row r="1179" spans="1:54" ht="14.25" customHeight="1" x14ac:dyDescent="0.3">
      <c r="A1179" t="str">
        <f>IF(SAISIE!$F1184="","",SAISIE!$B1184)</f>
        <v/>
      </c>
      <c r="B1179" t="str">
        <f>IF(SAISIE!$F1184="","",SAISIE!$C1184)</f>
        <v/>
      </c>
      <c r="C1179" t="str">
        <f>IF(SAISIE!$F1184="","",SAISIE!$D1184)</f>
        <v/>
      </c>
      <c r="D1179" t="str">
        <f>IF(SAISIE!$E1184="","",SAISIE!$E1184)</f>
        <v/>
      </c>
      <c r="E1179" t="str">
        <f>IF(SAISIE!$F1184="","",SAISIE!$F1184)</f>
        <v/>
      </c>
      <c r="F1179" t="str">
        <f>IF(SAISIE!$G1184="","",SAISIE!$G1184)</f>
        <v/>
      </c>
      <c r="G1179" t="str">
        <f>IF(SAISIE!$H1184="","",SAISIE!$H1184)</f>
        <v/>
      </c>
      <c r="H1179" t="str">
        <f>IF(SAISIE!$I1184="","",SAISIE!$I1184)</f>
        <v/>
      </c>
      <c r="I1179" t="str">
        <f>IF(SAISIE!$J1184="","",SAISIE!$J1184)</f>
        <v/>
      </c>
      <c r="J1179" t="str">
        <f>IF(SAISIE!$K1184="","",SAISIE!$K1184)</f>
        <v/>
      </c>
      <c r="K1179" t="str">
        <f>IF(SAISIE!$L1184="","",SAISIE!$L1184)</f>
        <v/>
      </c>
      <c r="L1179" t="str">
        <f>IF(SAISIE!$M1184="","",SAISIE!$M1184)</f>
        <v/>
      </c>
      <c r="M1179" t="str">
        <f>IF(SAISIE!$N1184="","",SAISIE!$N1184)</f>
        <v/>
      </c>
      <c r="N1179" t="str">
        <f>IF(SAISIE!$O1184="","",SAISIE!$O1184)</f>
        <v/>
      </c>
      <c r="O1179" t="str">
        <f>IF(SAISIE!$P1184="","",SAISIE!$P1184)</f>
        <v/>
      </c>
      <c r="P1179" t="str">
        <f>IF(SAISIE!$Q1184="","",SAISIE!$Q1184)</f>
        <v/>
      </c>
      <c r="Q1179" t="str">
        <f>IF($I1179="","",IF($I1179&gt;PARAMETRES!$G$29,5,IF($I1179&gt;PARAMETRES!$F$29,4,IF($I1179&gt;PARAMETRES!$E$29,3,IF($I1179&gt;PARAMETRES!$D$29,2,1)))))</f>
        <v/>
      </c>
      <c r="R1179" t="str">
        <f>IF($J1179="","",IF($J1179&gt;PARAMETRES!$G$30,5,IF($J1179&gt;PARAMETRES!$F$30,4,IF($J1179&gt;PARAMETRES!$E$30,3,IF($J1179&gt;PARAMETRES!$D$30,2,1)))))</f>
        <v/>
      </c>
      <c r="S1179" t="str">
        <f>IF($K1179="","",IF($Z1179=2,IF($K1179&gt;PARAMETRES!$G$31,5,IF($K1179&gt;PARAMETRES!$F$31,4,IF($K1179&gt;PARAMETRES!$E$31,3,IF($K1179&gt;PARAMETRES!$D$31,2,1)))),IF($K1179&gt;PARAMETRES!$G$32,5,IF($K1179&gt;PARAMETRES!$F$32,4,IF($K1179&gt;PARAMETRES!$E$32,3,IF($K1179&gt;PARAMETRES!$D$32,2,1))))))</f>
        <v/>
      </c>
      <c r="T1179" t="str">
        <f>IF($L1179="","",IF($L1179&gt;PARAMETRES!$G$33,5,IF($L1179&gt;PARAMETRES!$F$33,4,IF($L1179&gt;PARAMETRES!$E$33,3,IF($L1179&gt;PARAMETRES!$D$33,2,1)))))</f>
        <v/>
      </c>
      <c r="U1179" t="str">
        <f>IF($M1179="","",IF($M1179&gt;PARAMETRES!$G$34,5,IF($M1179&gt;PARAMETRES!$F$34,4,IF($M1179&gt;PARAMETRES!$E$34,3,IF($M1179&gt;PARAMETRES!$D$34,2,1)))))</f>
        <v/>
      </c>
      <c r="V1179" t="str">
        <f>IF($N1179="","",IF($N1179&gt;PARAMETRES!$G$35,5,IF($N1179&gt;PARAMETRES!$F$35,4,IF($N1179&gt;PARAMETRES!$E$35,3,IF($N1179&gt;PARAMETRES!$D$35,2,1)))))</f>
        <v/>
      </c>
      <c r="W1179" t="str">
        <f>IF($O1179="","",IF($O1179&gt;PARAMETRES!$G$36,5,IF($O1179&gt;PARAMETRES!$F$36,4,IF($O1179&gt;PARAMETRES!$E$36,3,IF($O1179&gt;PARAMETRES!$D$36,2,1)))))</f>
        <v/>
      </c>
      <c r="X1179" t="str">
        <f>IF($P1179="","",IF($P1179&gt;PARAMETRES!$G$37,5,IF($P1179&gt;PARAMETRES!$F$37,4,IF($P1179&gt;PARAMETRES!$E$37,3,IF($P1179&gt;PARAMETRES!$D$37,2,1)))))</f>
        <v/>
      </c>
      <c r="Y1179" t="str">
        <f t="shared" si="432"/>
        <v/>
      </c>
      <c r="Z1179" t="str">
        <f>IFERROR(VLOOKUP($B1179,TABLE_CYCLE,2,0),"")</f>
        <v/>
      </c>
      <c r="AA1179" t="str">
        <f t="shared" si="433"/>
        <v/>
      </c>
      <c r="AB1179" t="str">
        <f>IF($D1179="","",IF(COUNTIF($D$2:$D1179,$D1179)=1,$D1179,""))</f>
        <v/>
      </c>
      <c r="AC1179">
        <f t="shared" si="434"/>
        <v>0</v>
      </c>
      <c r="AD1179" t="str">
        <f t="shared" si="435"/>
        <v>|0</v>
      </c>
      <c r="AE1179" t="str">
        <f t="shared" si="436"/>
        <v/>
      </c>
      <c r="AF1179" t="str">
        <f t="shared" si="437"/>
        <v/>
      </c>
      <c r="AG1179" t="str">
        <f t="shared" si="438"/>
        <v/>
      </c>
      <c r="AH1179" t="str">
        <f t="shared" si="439"/>
        <v/>
      </c>
      <c r="AI1179" t="str">
        <f t="shared" si="440"/>
        <v/>
      </c>
      <c r="AJ1179" t="str">
        <f t="shared" si="441"/>
        <v/>
      </c>
      <c r="AK1179" t="str">
        <f t="shared" si="442"/>
        <v/>
      </c>
      <c r="AL1179" t="str">
        <f t="shared" si="443"/>
        <v/>
      </c>
      <c r="AM1179" t="str">
        <f t="shared" si="444"/>
        <v/>
      </c>
      <c r="AN1179" t="str">
        <f t="shared" si="445"/>
        <v/>
      </c>
      <c r="AO1179" t="str">
        <f t="shared" si="446"/>
        <v/>
      </c>
      <c r="AP1179">
        <f t="shared" si="447"/>
        <v>1</v>
      </c>
      <c r="AQ1179" t="str">
        <f>IF(SAISIE!$F1184="","",SAISIE!$Y1184)</f>
        <v/>
      </c>
      <c r="AR1179" t="str">
        <f>IF(OR(SAISIE!$U$4="",SAISIE!$W$4=""),"",IF(AND($A1179=SAISIE!$U$4,$B1179=SAISIE!$W$4,$C1179="S1"),COUNTIFS($A$2:$A1179,SAISIE!$U$4,$B$2:$B1179,SAISIE!$W$4,$C$2:$C1179,"S1"),""))</f>
        <v/>
      </c>
      <c r="AS1179" t="str">
        <f t="shared" si="448"/>
        <v/>
      </c>
      <c r="AT1179" t="str">
        <f t="shared" si="449"/>
        <v/>
      </c>
      <c r="AU1179" t="str">
        <f t="shared" si="450"/>
        <v/>
      </c>
      <c r="AV1179">
        <f>N(AV1178)+IF(AND($AB1179&lt;&gt;"",OR('PROFIL ELEVE'!$K$4="(Tous)",$AF1179='PROFIL ELEVE'!$K$4)),1,0)</f>
        <v>0</v>
      </c>
      <c r="AW1179">
        <f>N(AW1178)+IF(AND($AB1179&lt;&gt;"",OR('SUIVI LONGITUDINAL'!$Q$4="(Tous)",$AF1179='SUIVI LONGITUDINAL'!$Q$4)),1,0)</f>
        <v>0</v>
      </c>
      <c r="AX1179">
        <f t="shared" si="451"/>
        <v>0</v>
      </c>
      <c r="AY1179">
        <f t="shared" si="452"/>
        <v>0</v>
      </c>
      <c r="AZ1179">
        <f t="shared" si="453"/>
        <v>0</v>
      </c>
      <c r="BA1179" t="str">
        <f t="shared" si="454"/>
        <v/>
      </c>
      <c r="BB1179" t="str">
        <f t="shared" si="455"/>
        <v/>
      </c>
    </row>
    <row r="1180" spans="1:54" ht="14.25" customHeight="1" x14ac:dyDescent="0.3">
      <c r="A1180" t="str">
        <f>IF(SAISIE!$F1185="","",SAISIE!$B1185)</f>
        <v/>
      </c>
      <c r="B1180" t="str">
        <f>IF(SAISIE!$F1185="","",SAISIE!$C1185)</f>
        <v/>
      </c>
      <c r="C1180" t="str">
        <f>IF(SAISIE!$F1185="","",SAISIE!$D1185)</f>
        <v/>
      </c>
      <c r="D1180" t="str">
        <f>IF(SAISIE!$E1185="","",SAISIE!$E1185)</f>
        <v/>
      </c>
      <c r="E1180" t="str">
        <f>IF(SAISIE!$F1185="","",SAISIE!$F1185)</f>
        <v/>
      </c>
      <c r="F1180" t="str">
        <f>IF(SAISIE!$G1185="","",SAISIE!$G1185)</f>
        <v/>
      </c>
      <c r="G1180" t="str">
        <f>IF(SAISIE!$H1185="","",SAISIE!$H1185)</f>
        <v/>
      </c>
      <c r="H1180" t="str">
        <f>IF(SAISIE!$I1185="","",SAISIE!$I1185)</f>
        <v/>
      </c>
      <c r="I1180" t="str">
        <f>IF(SAISIE!$J1185="","",SAISIE!$J1185)</f>
        <v/>
      </c>
      <c r="J1180" t="str">
        <f>IF(SAISIE!$K1185="","",SAISIE!$K1185)</f>
        <v/>
      </c>
      <c r="K1180" t="str">
        <f>IF(SAISIE!$L1185="","",SAISIE!$L1185)</f>
        <v/>
      </c>
      <c r="L1180" t="str">
        <f>IF(SAISIE!$M1185="","",SAISIE!$M1185)</f>
        <v/>
      </c>
      <c r="M1180" t="str">
        <f>IF(SAISIE!$N1185="","",SAISIE!$N1185)</f>
        <v/>
      </c>
      <c r="N1180" t="str">
        <f>IF(SAISIE!$O1185="","",SAISIE!$O1185)</f>
        <v/>
      </c>
      <c r="O1180" t="str">
        <f>IF(SAISIE!$P1185="","",SAISIE!$P1185)</f>
        <v/>
      </c>
      <c r="P1180" t="str">
        <f>IF(SAISIE!$Q1185="","",SAISIE!$Q1185)</f>
        <v/>
      </c>
      <c r="Q1180" t="str">
        <f>IF($I1180="","",IF($I1180&gt;PARAMETRES!$G$29,5,IF($I1180&gt;PARAMETRES!$F$29,4,IF($I1180&gt;PARAMETRES!$E$29,3,IF($I1180&gt;PARAMETRES!$D$29,2,1)))))</f>
        <v/>
      </c>
      <c r="R1180" t="str">
        <f>IF($J1180="","",IF($J1180&gt;PARAMETRES!$G$30,5,IF($J1180&gt;PARAMETRES!$F$30,4,IF($J1180&gt;PARAMETRES!$E$30,3,IF($J1180&gt;PARAMETRES!$D$30,2,1)))))</f>
        <v/>
      </c>
      <c r="S1180" t="str">
        <f>IF($K1180="","",IF($Z1180=2,IF($K1180&gt;PARAMETRES!$G$31,5,IF($K1180&gt;PARAMETRES!$F$31,4,IF($K1180&gt;PARAMETRES!$E$31,3,IF($K1180&gt;PARAMETRES!$D$31,2,1)))),IF($K1180&gt;PARAMETRES!$G$32,5,IF($K1180&gt;PARAMETRES!$F$32,4,IF($K1180&gt;PARAMETRES!$E$32,3,IF($K1180&gt;PARAMETRES!$D$32,2,1))))))</f>
        <v/>
      </c>
      <c r="T1180" t="str">
        <f>IF($L1180="","",IF($L1180&gt;PARAMETRES!$G$33,5,IF($L1180&gt;PARAMETRES!$F$33,4,IF($L1180&gt;PARAMETRES!$E$33,3,IF($L1180&gt;PARAMETRES!$D$33,2,1)))))</f>
        <v/>
      </c>
      <c r="U1180" t="str">
        <f>IF($M1180="","",IF($M1180&gt;PARAMETRES!$G$34,5,IF($M1180&gt;PARAMETRES!$F$34,4,IF($M1180&gt;PARAMETRES!$E$34,3,IF($M1180&gt;PARAMETRES!$D$34,2,1)))))</f>
        <v/>
      </c>
      <c r="V1180" t="str">
        <f>IF($N1180="","",IF($N1180&gt;PARAMETRES!$G$35,5,IF($N1180&gt;PARAMETRES!$F$35,4,IF($N1180&gt;PARAMETRES!$E$35,3,IF($N1180&gt;PARAMETRES!$D$35,2,1)))))</f>
        <v/>
      </c>
      <c r="W1180" t="str">
        <f>IF($O1180="","",IF($O1180&gt;PARAMETRES!$G$36,5,IF($O1180&gt;PARAMETRES!$F$36,4,IF($O1180&gt;PARAMETRES!$E$36,3,IF($O1180&gt;PARAMETRES!$D$36,2,1)))))</f>
        <v/>
      </c>
      <c r="X1180" t="str">
        <f>IF($P1180="","",IF($P1180&gt;PARAMETRES!$G$37,5,IF($P1180&gt;PARAMETRES!$F$37,4,IF($P1180&gt;PARAMETRES!$E$37,3,IF($P1180&gt;PARAMETRES!$D$37,2,1)))))</f>
        <v/>
      </c>
      <c r="Y1180" t="str">
        <f t="shared" si="432"/>
        <v/>
      </c>
      <c r="Z1180" t="str">
        <f>IFERROR(VLOOKUP($B1180,TABLE_CYCLE,2,0),"")</f>
        <v/>
      </c>
      <c r="AA1180" t="str">
        <f t="shared" si="433"/>
        <v/>
      </c>
      <c r="AB1180" t="str">
        <f>IF($D1180="","",IF(COUNTIF($D$2:$D1180,$D1180)=1,$D1180,""))</f>
        <v/>
      </c>
      <c r="AC1180">
        <f t="shared" si="434"/>
        <v>0</v>
      </c>
      <c r="AD1180" t="str">
        <f t="shared" si="435"/>
        <v>|0</v>
      </c>
      <c r="AE1180" t="str">
        <f t="shared" si="436"/>
        <v/>
      </c>
      <c r="AF1180" t="str">
        <f t="shared" si="437"/>
        <v/>
      </c>
      <c r="AG1180" t="str">
        <f t="shared" si="438"/>
        <v/>
      </c>
      <c r="AH1180" t="str">
        <f t="shared" si="439"/>
        <v/>
      </c>
      <c r="AI1180" t="str">
        <f t="shared" si="440"/>
        <v/>
      </c>
      <c r="AJ1180" t="str">
        <f t="shared" si="441"/>
        <v/>
      </c>
      <c r="AK1180" t="str">
        <f t="shared" si="442"/>
        <v/>
      </c>
      <c r="AL1180" t="str">
        <f t="shared" si="443"/>
        <v/>
      </c>
      <c r="AM1180" t="str">
        <f t="shared" si="444"/>
        <v/>
      </c>
      <c r="AN1180" t="str">
        <f t="shared" si="445"/>
        <v/>
      </c>
      <c r="AO1180" t="str">
        <f t="shared" si="446"/>
        <v/>
      </c>
      <c r="AP1180">
        <f t="shared" si="447"/>
        <v>1</v>
      </c>
      <c r="AQ1180" t="str">
        <f>IF(SAISIE!$F1185="","",SAISIE!$Y1185)</f>
        <v/>
      </c>
      <c r="AR1180" t="str">
        <f>IF(OR(SAISIE!$U$4="",SAISIE!$W$4=""),"",IF(AND($A1180=SAISIE!$U$4,$B1180=SAISIE!$W$4,$C1180="S1"),COUNTIFS($A$2:$A1180,SAISIE!$U$4,$B$2:$B1180,SAISIE!$W$4,$C$2:$C1180,"S1"),""))</f>
        <v/>
      </c>
      <c r="AS1180" t="str">
        <f t="shared" si="448"/>
        <v/>
      </c>
      <c r="AT1180" t="str">
        <f t="shared" si="449"/>
        <v/>
      </c>
      <c r="AU1180" t="str">
        <f t="shared" si="450"/>
        <v/>
      </c>
      <c r="AV1180">
        <f>N(AV1179)+IF(AND($AB1180&lt;&gt;"",OR('PROFIL ELEVE'!$K$4="(Tous)",$AF1180='PROFIL ELEVE'!$K$4)),1,0)</f>
        <v>0</v>
      </c>
      <c r="AW1180">
        <f>N(AW1179)+IF(AND($AB1180&lt;&gt;"",OR('SUIVI LONGITUDINAL'!$Q$4="(Tous)",$AF1180='SUIVI LONGITUDINAL'!$Q$4)),1,0)</f>
        <v>0</v>
      </c>
      <c r="AX1180">
        <f t="shared" si="451"/>
        <v>0</v>
      </c>
      <c r="AY1180">
        <f t="shared" si="452"/>
        <v>0</v>
      </c>
      <c r="AZ1180">
        <f t="shared" si="453"/>
        <v>0</v>
      </c>
      <c r="BA1180" t="str">
        <f t="shared" si="454"/>
        <v/>
      </c>
      <c r="BB1180" t="str">
        <f t="shared" si="455"/>
        <v/>
      </c>
    </row>
    <row r="1181" spans="1:54" ht="14.25" customHeight="1" x14ac:dyDescent="0.3">
      <c r="A1181" t="str">
        <f>IF(SAISIE!$F1186="","",SAISIE!$B1186)</f>
        <v/>
      </c>
      <c r="B1181" t="str">
        <f>IF(SAISIE!$F1186="","",SAISIE!$C1186)</f>
        <v/>
      </c>
      <c r="C1181" t="str">
        <f>IF(SAISIE!$F1186="","",SAISIE!$D1186)</f>
        <v/>
      </c>
      <c r="D1181" t="str">
        <f>IF(SAISIE!$E1186="","",SAISIE!$E1186)</f>
        <v/>
      </c>
      <c r="E1181" t="str">
        <f>IF(SAISIE!$F1186="","",SAISIE!$F1186)</f>
        <v/>
      </c>
      <c r="F1181" t="str">
        <f>IF(SAISIE!$G1186="","",SAISIE!$G1186)</f>
        <v/>
      </c>
      <c r="G1181" t="str">
        <f>IF(SAISIE!$H1186="","",SAISIE!$H1186)</f>
        <v/>
      </c>
      <c r="H1181" t="str">
        <f>IF(SAISIE!$I1186="","",SAISIE!$I1186)</f>
        <v/>
      </c>
      <c r="I1181" t="str">
        <f>IF(SAISIE!$J1186="","",SAISIE!$J1186)</f>
        <v/>
      </c>
      <c r="J1181" t="str">
        <f>IF(SAISIE!$K1186="","",SAISIE!$K1186)</f>
        <v/>
      </c>
      <c r="K1181" t="str">
        <f>IF(SAISIE!$L1186="","",SAISIE!$L1186)</f>
        <v/>
      </c>
      <c r="L1181" t="str">
        <f>IF(SAISIE!$M1186="","",SAISIE!$M1186)</f>
        <v/>
      </c>
      <c r="M1181" t="str">
        <f>IF(SAISIE!$N1186="","",SAISIE!$N1186)</f>
        <v/>
      </c>
      <c r="N1181" t="str">
        <f>IF(SAISIE!$O1186="","",SAISIE!$O1186)</f>
        <v/>
      </c>
      <c r="O1181" t="str">
        <f>IF(SAISIE!$P1186="","",SAISIE!$P1186)</f>
        <v/>
      </c>
      <c r="P1181" t="str">
        <f>IF(SAISIE!$Q1186="","",SAISIE!$Q1186)</f>
        <v/>
      </c>
      <c r="Q1181" t="str">
        <f>IF($I1181="","",IF($I1181&gt;PARAMETRES!$G$29,5,IF($I1181&gt;PARAMETRES!$F$29,4,IF($I1181&gt;PARAMETRES!$E$29,3,IF($I1181&gt;PARAMETRES!$D$29,2,1)))))</f>
        <v/>
      </c>
      <c r="R1181" t="str">
        <f>IF($J1181="","",IF($J1181&gt;PARAMETRES!$G$30,5,IF($J1181&gt;PARAMETRES!$F$30,4,IF($J1181&gt;PARAMETRES!$E$30,3,IF($J1181&gt;PARAMETRES!$D$30,2,1)))))</f>
        <v/>
      </c>
      <c r="S1181" t="str">
        <f>IF($K1181="","",IF($Z1181=2,IF($K1181&gt;PARAMETRES!$G$31,5,IF($K1181&gt;PARAMETRES!$F$31,4,IF($K1181&gt;PARAMETRES!$E$31,3,IF($K1181&gt;PARAMETRES!$D$31,2,1)))),IF($K1181&gt;PARAMETRES!$G$32,5,IF($K1181&gt;PARAMETRES!$F$32,4,IF($K1181&gt;PARAMETRES!$E$32,3,IF($K1181&gt;PARAMETRES!$D$32,2,1))))))</f>
        <v/>
      </c>
      <c r="T1181" t="str">
        <f>IF($L1181="","",IF($L1181&gt;PARAMETRES!$G$33,5,IF($L1181&gt;PARAMETRES!$F$33,4,IF($L1181&gt;PARAMETRES!$E$33,3,IF($L1181&gt;PARAMETRES!$D$33,2,1)))))</f>
        <v/>
      </c>
      <c r="U1181" t="str">
        <f>IF($M1181="","",IF($M1181&gt;PARAMETRES!$G$34,5,IF($M1181&gt;PARAMETRES!$F$34,4,IF($M1181&gt;PARAMETRES!$E$34,3,IF($M1181&gt;PARAMETRES!$D$34,2,1)))))</f>
        <v/>
      </c>
      <c r="V1181" t="str">
        <f>IF($N1181="","",IF($N1181&gt;PARAMETRES!$G$35,5,IF($N1181&gt;PARAMETRES!$F$35,4,IF($N1181&gt;PARAMETRES!$E$35,3,IF($N1181&gt;PARAMETRES!$D$35,2,1)))))</f>
        <v/>
      </c>
      <c r="W1181" t="str">
        <f>IF($O1181="","",IF($O1181&gt;PARAMETRES!$G$36,5,IF($O1181&gt;PARAMETRES!$F$36,4,IF($O1181&gt;PARAMETRES!$E$36,3,IF($O1181&gt;PARAMETRES!$D$36,2,1)))))</f>
        <v/>
      </c>
      <c r="X1181" t="str">
        <f>IF($P1181="","",IF($P1181&gt;PARAMETRES!$G$37,5,IF($P1181&gt;PARAMETRES!$F$37,4,IF($P1181&gt;PARAMETRES!$E$37,3,IF($P1181&gt;PARAMETRES!$D$37,2,1)))))</f>
        <v/>
      </c>
      <c r="Y1181" t="str">
        <f t="shared" si="432"/>
        <v/>
      </c>
      <c r="Z1181" t="str">
        <f>IFERROR(VLOOKUP($B1181,TABLE_CYCLE,2,0),"")</f>
        <v/>
      </c>
      <c r="AA1181" t="str">
        <f t="shared" si="433"/>
        <v/>
      </c>
      <c r="AB1181" t="str">
        <f>IF($D1181="","",IF(COUNTIF($D$2:$D1181,$D1181)=1,$D1181,""))</f>
        <v/>
      </c>
      <c r="AC1181">
        <f t="shared" si="434"/>
        <v>0</v>
      </c>
      <c r="AD1181" t="str">
        <f t="shared" si="435"/>
        <v>|0</v>
      </c>
      <c r="AE1181" t="str">
        <f t="shared" si="436"/>
        <v/>
      </c>
      <c r="AF1181" t="str">
        <f t="shared" si="437"/>
        <v/>
      </c>
      <c r="AG1181" t="str">
        <f t="shared" si="438"/>
        <v/>
      </c>
      <c r="AH1181" t="str">
        <f t="shared" si="439"/>
        <v/>
      </c>
      <c r="AI1181" t="str">
        <f t="shared" si="440"/>
        <v/>
      </c>
      <c r="AJ1181" t="str">
        <f t="shared" si="441"/>
        <v/>
      </c>
      <c r="AK1181" t="str">
        <f t="shared" si="442"/>
        <v/>
      </c>
      <c r="AL1181" t="str">
        <f t="shared" si="443"/>
        <v/>
      </c>
      <c r="AM1181" t="str">
        <f t="shared" si="444"/>
        <v/>
      </c>
      <c r="AN1181" t="str">
        <f t="shared" si="445"/>
        <v/>
      </c>
      <c r="AO1181" t="str">
        <f t="shared" si="446"/>
        <v/>
      </c>
      <c r="AP1181">
        <f t="shared" si="447"/>
        <v>1</v>
      </c>
      <c r="AQ1181" t="str">
        <f>IF(SAISIE!$F1186="","",SAISIE!$Y1186)</f>
        <v/>
      </c>
      <c r="AR1181" t="str">
        <f>IF(OR(SAISIE!$U$4="",SAISIE!$W$4=""),"",IF(AND($A1181=SAISIE!$U$4,$B1181=SAISIE!$W$4,$C1181="S1"),COUNTIFS($A$2:$A1181,SAISIE!$U$4,$B$2:$B1181,SAISIE!$W$4,$C$2:$C1181,"S1"),""))</f>
        <v/>
      </c>
      <c r="AS1181" t="str">
        <f t="shared" si="448"/>
        <v/>
      </c>
      <c r="AT1181" t="str">
        <f t="shared" si="449"/>
        <v/>
      </c>
      <c r="AU1181" t="str">
        <f t="shared" si="450"/>
        <v/>
      </c>
      <c r="AV1181">
        <f>N(AV1180)+IF(AND($AB1181&lt;&gt;"",OR('PROFIL ELEVE'!$K$4="(Tous)",$AF1181='PROFIL ELEVE'!$K$4)),1,0)</f>
        <v>0</v>
      </c>
      <c r="AW1181">
        <f>N(AW1180)+IF(AND($AB1181&lt;&gt;"",OR('SUIVI LONGITUDINAL'!$Q$4="(Tous)",$AF1181='SUIVI LONGITUDINAL'!$Q$4)),1,0)</f>
        <v>0</v>
      </c>
      <c r="AX1181">
        <f t="shared" si="451"/>
        <v>0</v>
      </c>
      <c r="AY1181">
        <f t="shared" si="452"/>
        <v>0</v>
      </c>
      <c r="AZ1181">
        <f t="shared" si="453"/>
        <v>0</v>
      </c>
      <c r="BA1181" t="str">
        <f t="shared" si="454"/>
        <v/>
      </c>
      <c r="BB1181" t="str">
        <f t="shared" si="455"/>
        <v/>
      </c>
    </row>
    <row r="1182" spans="1:54" ht="14.25" customHeight="1" x14ac:dyDescent="0.3">
      <c r="A1182" t="str">
        <f>IF(SAISIE!$F1187="","",SAISIE!$B1187)</f>
        <v/>
      </c>
      <c r="B1182" t="str">
        <f>IF(SAISIE!$F1187="","",SAISIE!$C1187)</f>
        <v/>
      </c>
      <c r="C1182" t="str">
        <f>IF(SAISIE!$F1187="","",SAISIE!$D1187)</f>
        <v/>
      </c>
      <c r="D1182" t="str">
        <f>IF(SAISIE!$E1187="","",SAISIE!$E1187)</f>
        <v/>
      </c>
      <c r="E1182" t="str">
        <f>IF(SAISIE!$F1187="","",SAISIE!$F1187)</f>
        <v/>
      </c>
      <c r="F1182" t="str">
        <f>IF(SAISIE!$G1187="","",SAISIE!$G1187)</f>
        <v/>
      </c>
      <c r="G1182" t="str">
        <f>IF(SAISIE!$H1187="","",SAISIE!$H1187)</f>
        <v/>
      </c>
      <c r="H1182" t="str">
        <f>IF(SAISIE!$I1187="","",SAISIE!$I1187)</f>
        <v/>
      </c>
      <c r="I1182" t="str">
        <f>IF(SAISIE!$J1187="","",SAISIE!$J1187)</f>
        <v/>
      </c>
      <c r="J1182" t="str">
        <f>IF(SAISIE!$K1187="","",SAISIE!$K1187)</f>
        <v/>
      </c>
      <c r="K1182" t="str">
        <f>IF(SAISIE!$L1187="","",SAISIE!$L1187)</f>
        <v/>
      </c>
      <c r="L1182" t="str">
        <f>IF(SAISIE!$M1187="","",SAISIE!$M1187)</f>
        <v/>
      </c>
      <c r="M1182" t="str">
        <f>IF(SAISIE!$N1187="","",SAISIE!$N1187)</f>
        <v/>
      </c>
      <c r="N1182" t="str">
        <f>IF(SAISIE!$O1187="","",SAISIE!$O1187)</f>
        <v/>
      </c>
      <c r="O1182" t="str">
        <f>IF(SAISIE!$P1187="","",SAISIE!$P1187)</f>
        <v/>
      </c>
      <c r="P1182" t="str">
        <f>IF(SAISIE!$Q1187="","",SAISIE!$Q1187)</f>
        <v/>
      </c>
      <c r="Q1182" t="str">
        <f>IF($I1182="","",IF($I1182&gt;PARAMETRES!$G$29,5,IF($I1182&gt;PARAMETRES!$F$29,4,IF($I1182&gt;PARAMETRES!$E$29,3,IF($I1182&gt;PARAMETRES!$D$29,2,1)))))</f>
        <v/>
      </c>
      <c r="R1182" t="str">
        <f>IF($J1182="","",IF($J1182&gt;PARAMETRES!$G$30,5,IF($J1182&gt;PARAMETRES!$F$30,4,IF($J1182&gt;PARAMETRES!$E$30,3,IF($J1182&gt;PARAMETRES!$D$30,2,1)))))</f>
        <v/>
      </c>
      <c r="S1182" t="str">
        <f>IF($K1182="","",IF($Z1182=2,IF($K1182&gt;PARAMETRES!$G$31,5,IF($K1182&gt;PARAMETRES!$F$31,4,IF($K1182&gt;PARAMETRES!$E$31,3,IF($K1182&gt;PARAMETRES!$D$31,2,1)))),IF($K1182&gt;PARAMETRES!$G$32,5,IF($K1182&gt;PARAMETRES!$F$32,4,IF($K1182&gt;PARAMETRES!$E$32,3,IF($K1182&gt;PARAMETRES!$D$32,2,1))))))</f>
        <v/>
      </c>
      <c r="T1182" t="str">
        <f>IF($L1182="","",IF($L1182&gt;PARAMETRES!$G$33,5,IF($L1182&gt;PARAMETRES!$F$33,4,IF($L1182&gt;PARAMETRES!$E$33,3,IF($L1182&gt;PARAMETRES!$D$33,2,1)))))</f>
        <v/>
      </c>
      <c r="U1182" t="str">
        <f>IF($M1182="","",IF($M1182&gt;PARAMETRES!$G$34,5,IF($M1182&gt;PARAMETRES!$F$34,4,IF($M1182&gt;PARAMETRES!$E$34,3,IF($M1182&gt;PARAMETRES!$D$34,2,1)))))</f>
        <v/>
      </c>
      <c r="V1182" t="str">
        <f>IF($N1182="","",IF($N1182&gt;PARAMETRES!$G$35,5,IF($N1182&gt;PARAMETRES!$F$35,4,IF($N1182&gt;PARAMETRES!$E$35,3,IF($N1182&gt;PARAMETRES!$D$35,2,1)))))</f>
        <v/>
      </c>
      <c r="W1182" t="str">
        <f>IF($O1182="","",IF($O1182&gt;PARAMETRES!$G$36,5,IF($O1182&gt;PARAMETRES!$F$36,4,IF($O1182&gt;PARAMETRES!$E$36,3,IF($O1182&gt;PARAMETRES!$D$36,2,1)))))</f>
        <v/>
      </c>
      <c r="X1182" t="str">
        <f>IF($P1182="","",IF($P1182&gt;PARAMETRES!$G$37,5,IF($P1182&gt;PARAMETRES!$F$37,4,IF($P1182&gt;PARAMETRES!$E$37,3,IF($P1182&gt;PARAMETRES!$D$37,2,1)))))</f>
        <v/>
      </c>
      <c r="Y1182" t="str">
        <f t="shared" si="432"/>
        <v/>
      </c>
      <c r="Z1182" t="str">
        <f>IFERROR(VLOOKUP($B1182,TABLE_CYCLE,2,0),"")</f>
        <v/>
      </c>
      <c r="AA1182" t="str">
        <f t="shared" si="433"/>
        <v/>
      </c>
      <c r="AB1182" t="str">
        <f>IF($D1182="","",IF(COUNTIF($D$2:$D1182,$D1182)=1,$D1182,""))</f>
        <v/>
      </c>
      <c r="AC1182">
        <f t="shared" si="434"/>
        <v>0</v>
      </c>
      <c r="AD1182" t="str">
        <f t="shared" si="435"/>
        <v>|0</v>
      </c>
      <c r="AE1182" t="str">
        <f t="shared" si="436"/>
        <v/>
      </c>
      <c r="AF1182" t="str">
        <f t="shared" si="437"/>
        <v/>
      </c>
      <c r="AG1182" t="str">
        <f t="shared" si="438"/>
        <v/>
      </c>
      <c r="AH1182" t="str">
        <f t="shared" si="439"/>
        <v/>
      </c>
      <c r="AI1182" t="str">
        <f t="shared" si="440"/>
        <v/>
      </c>
      <c r="AJ1182" t="str">
        <f t="shared" si="441"/>
        <v/>
      </c>
      <c r="AK1182" t="str">
        <f t="shared" si="442"/>
        <v/>
      </c>
      <c r="AL1182" t="str">
        <f t="shared" si="443"/>
        <v/>
      </c>
      <c r="AM1182" t="str">
        <f t="shared" si="444"/>
        <v/>
      </c>
      <c r="AN1182" t="str">
        <f t="shared" si="445"/>
        <v/>
      </c>
      <c r="AO1182" t="str">
        <f t="shared" si="446"/>
        <v/>
      </c>
      <c r="AP1182">
        <f t="shared" si="447"/>
        <v>1</v>
      </c>
      <c r="AQ1182" t="str">
        <f>IF(SAISIE!$F1187="","",SAISIE!$Y1187)</f>
        <v/>
      </c>
      <c r="AR1182" t="str">
        <f>IF(OR(SAISIE!$U$4="",SAISIE!$W$4=""),"",IF(AND($A1182=SAISIE!$U$4,$B1182=SAISIE!$W$4,$C1182="S1"),COUNTIFS($A$2:$A1182,SAISIE!$U$4,$B$2:$B1182,SAISIE!$W$4,$C$2:$C1182,"S1"),""))</f>
        <v/>
      </c>
      <c r="AS1182" t="str">
        <f t="shared" si="448"/>
        <v/>
      </c>
      <c r="AT1182" t="str">
        <f t="shared" si="449"/>
        <v/>
      </c>
      <c r="AU1182" t="str">
        <f t="shared" si="450"/>
        <v/>
      </c>
      <c r="AV1182">
        <f>N(AV1181)+IF(AND($AB1182&lt;&gt;"",OR('PROFIL ELEVE'!$K$4="(Tous)",$AF1182='PROFIL ELEVE'!$K$4)),1,0)</f>
        <v>0</v>
      </c>
      <c r="AW1182">
        <f>N(AW1181)+IF(AND($AB1182&lt;&gt;"",OR('SUIVI LONGITUDINAL'!$Q$4="(Tous)",$AF1182='SUIVI LONGITUDINAL'!$Q$4)),1,0)</f>
        <v>0</v>
      </c>
      <c r="AX1182">
        <f t="shared" si="451"/>
        <v>0</v>
      </c>
      <c r="AY1182">
        <f t="shared" si="452"/>
        <v>0</v>
      </c>
      <c r="AZ1182">
        <f t="shared" si="453"/>
        <v>0</v>
      </c>
      <c r="BA1182" t="str">
        <f t="shared" si="454"/>
        <v/>
      </c>
      <c r="BB1182" t="str">
        <f t="shared" si="455"/>
        <v/>
      </c>
    </row>
    <row r="1183" spans="1:54" ht="14.25" customHeight="1" x14ac:dyDescent="0.3">
      <c r="A1183" t="str">
        <f>IF(SAISIE!$F1188="","",SAISIE!$B1188)</f>
        <v/>
      </c>
      <c r="B1183" t="str">
        <f>IF(SAISIE!$F1188="","",SAISIE!$C1188)</f>
        <v/>
      </c>
      <c r="C1183" t="str">
        <f>IF(SAISIE!$F1188="","",SAISIE!$D1188)</f>
        <v/>
      </c>
      <c r="D1183" t="str">
        <f>IF(SAISIE!$E1188="","",SAISIE!$E1188)</f>
        <v/>
      </c>
      <c r="E1183" t="str">
        <f>IF(SAISIE!$F1188="","",SAISIE!$F1188)</f>
        <v/>
      </c>
      <c r="F1183" t="str">
        <f>IF(SAISIE!$G1188="","",SAISIE!$G1188)</f>
        <v/>
      </c>
      <c r="G1183" t="str">
        <f>IF(SAISIE!$H1188="","",SAISIE!$H1188)</f>
        <v/>
      </c>
      <c r="H1183" t="str">
        <f>IF(SAISIE!$I1188="","",SAISIE!$I1188)</f>
        <v/>
      </c>
      <c r="I1183" t="str">
        <f>IF(SAISIE!$J1188="","",SAISIE!$J1188)</f>
        <v/>
      </c>
      <c r="J1183" t="str">
        <f>IF(SAISIE!$K1188="","",SAISIE!$K1188)</f>
        <v/>
      </c>
      <c r="K1183" t="str">
        <f>IF(SAISIE!$L1188="","",SAISIE!$L1188)</f>
        <v/>
      </c>
      <c r="L1183" t="str">
        <f>IF(SAISIE!$M1188="","",SAISIE!$M1188)</f>
        <v/>
      </c>
      <c r="M1183" t="str">
        <f>IF(SAISIE!$N1188="","",SAISIE!$N1188)</f>
        <v/>
      </c>
      <c r="N1183" t="str">
        <f>IF(SAISIE!$O1188="","",SAISIE!$O1188)</f>
        <v/>
      </c>
      <c r="O1183" t="str">
        <f>IF(SAISIE!$P1188="","",SAISIE!$P1188)</f>
        <v/>
      </c>
      <c r="P1183" t="str">
        <f>IF(SAISIE!$Q1188="","",SAISIE!$Q1188)</f>
        <v/>
      </c>
      <c r="Q1183" t="str">
        <f>IF($I1183="","",IF($I1183&gt;PARAMETRES!$G$29,5,IF($I1183&gt;PARAMETRES!$F$29,4,IF($I1183&gt;PARAMETRES!$E$29,3,IF($I1183&gt;PARAMETRES!$D$29,2,1)))))</f>
        <v/>
      </c>
      <c r="R1183" t="str">
        <f>IF($J1183="","",IF($J1183&gt;PARAMETRES!$G$30,5,IF($J1183&gt;PARAMETRES!$F$30,4,IF($J1183&gt;PARAMETRES!$E$30,3,IF($J1183&gt;PARAMETRES!$D$30,2,1)))))</f>
        <v/>
      </c>
      <c r="S1183" t="str">
        <f>IF($K1183="","",IF($Z1183=2,IF($K1183&gt;PARAMETRES!$G$31,5,IF($K1183&gt;PARAMETRES!$F$31,4,IF($K1183&gt;PARAMETRES!$E$31,3,IF($K1183&gt;PARAMETRES!$D$31,2,1)))),IF($K1183&gt;PARAMETRES!$G$32,5,IF($K1183&gt;PARAMETRES!$F$32,4,IF($K1183&gt;PARAMETRES!$E$32,3,IF($K1183&gt;PARAMETRES!$D$32,2,1))))))</f>
        <v/>
      </c>
      <c r="T1183" t="str">
        <f>IF($L1183="","",IF($L1183&gt;PARAMETRES!$G$33,5,IF($L1183&gt;PARAMETRES!$F$33,4,IF($L1183&gt;PARAMETRES!$E$33,3,IF($L1183&gt;PARAMETRES!$D$33,2,1)))))</f>
        <v/>
      </c>
      <c r="U1183" t="str">
        <f>IF($M1183="","",IF($M1183&gt;PARAMETRES!$G$34,5,IF($M1183&gt;PARAMETRES!$F$34,4,IF($M1183&gt;PARAMETRES!$E$34,3,IF($M1183&gt;PARAMETRES!$D$34,2,1)))))</f>
        <v/>
      </c>
      <c r="V1183" t="str">
        <f>IF($N1183="","",IF($N1183&gt;PARAMETRES!$G$35,5,IF($N1183&gt;PARAMETRES!$F$35,4,IF($N1183&gt;PARAMETRES!$E$35,3,IF($N1183&gt;PARAMETRES!$D$35,2,1)))))</f>
        <v/>
      </c>
      <c r="W1183" t="str">
        <f>IF($O1183="","",IF($O1183&gt;PARAMETRES!$G$36,5,IF($O1183&gt;PARAMETRES!$F$36,4,IF($O1183&gt;PARAMETRES!$E$36,3,IF($O1183&gt;PARAMETRES!$D$36,2,1)))))</f>
        <v/>
      </c>
      <c r="X1183" t="str">
        <f>IF($P1183="","",IF($P1183&gt;PARAMETRES!$G$37,5,IF($P1183&gt;PARAMETRES!$F$37,4,IF($P1183&gt;PARAMETRES!$E$37,3,IF($P1183&gt;PARAMETRES!$D$37,2,1)))))</f>
        <v/>
      </c>
      <c r="Y1183" t="str">
        <f t="shared" si="432"/>
        <v/>
      </c>
      <c r="Z1183" t="str">
        <f>IFERROR(VLOOKUP($B1183,TABLE_CYCLE,2,0),"")</f>
        <v/>
      </c>
      <c r="AA1183" t="str">
        <f t="shared" si="433"/>
        <v/>
      </c>
      <c r="AB1183" t="str">
        <f>IF($D1183="","",IF(COUNTIF($D$2:$D1183,$D1183)=1,$D1183,""))</f>
        <v/>
      </c>
      <c r="AC1183">
        <f t="shared" si="434"/>
        <v>0</v>
      </c>
      <c r="AD1183" t="str">
        <f t="shared" si="435"/>
        <v>|0</v>
      </c>
      <c r="AE1183" t="str">
        <f t="shared" si="436"/>
        <v/>
      </c>
      <c r="AF1183" t="str">
        <f t="shared" si="437"/>
        <v/>
      </c>
      <c r="AG1183" t="str">
        <f t="shared" si="438"/>
        <v/>
      </c>
      <c r="AH1183" t="str">
        <f t="shared" si="439"/>
        <v/>
      </c>
      <c r="AI1183" t="str">
        <f t="shared" si="440"/>
        <v/>
      </c>
      <c r="AJ1183" t="str">
        <f t="shared" si="441"/>
        <v/>
      </c>
      <c r="AK1183" t="str">
        <f t="shared" si="442"/>
        <v/>
      </c>
      <c r="AL1183" t="str">
        <f t="shared" si="443"/>
        <v/>
      </c>
      <c r="AM1183" t="str">
        <f t="shared" si="444"/>
        <v/>
      </c>
      <c r="AN1183" t="str">
        <f t="shared" si="445"/>
        <v/>
      </c>
      <c r="AO1183" t="str">
        <f t="shared" si="446"/>
        <v/>
      </c>
      <c r="AP1183">
        <f t="shared" si="447"/>
        <v>1</v>
      </c>
      <c r="AQ1183" t="str">
        <f>IF(SAISIE!$F1188="","",SAISIE!$Y1188)</f>
        <v/>
      </c>
      <c r="AR1183" t="str">
        <f>IF(OR(SAISIE!$U$4="",SAISIE!$W$4=""),"",IF(AND($A1183=SAISIE!$U$4,$B1183=SAISIE!$W$4,$C1183="S1"),COUNTIFS($A$2:$A1183,SAISIE!$U$4,$B$2:$B1183,SAISIE!$W$4,$C$2:$C1183,"S1"),""))</f>
        <v/>
      </c>
      <c r="AS1183" t="str">
        <f t="shared" si="448"/>
        <v/>
      </c>
      <c r="AT1183" t="str">
        <f t="shared" si="449"/>
        <v/>
      </c>
      <c r="AU1183" t="str">
        <f t="shared" si="450"/>
        <v/>
      </c>
      <c r="AV1183">
        <f>N(AV1182)+IF(AND($AB1183&lt;&gt;"",OR('PROFIL ELEVE'!$K$4="(Tous)",$AF1183='PROFIL ELEVE'!$K$4)),1,0)</f>
        <v>0</v>
      </c>
      <c r="AW1183">
        <f>N(AW1182)+IF(AND($AB1183&lt;&gt;"",OR('SUIVI LONGITUDINAL'!$Q$4="(Tous)",$AF1183='SUIVI LONGITUDINAL'!$Q$4)),1,0)</f>
        <v>0</v>
      </c>
      <c r="AX1183">
        <f t="shared" si="451"/>
        <v>0</v>
      </c>
      <c r="AY1183">
        <f t="shared" si="452"/>
        <v>0</v>
      </c>
      <c r="AZ1183">
        <f t="shared" si="453"/>
        <v>0</v>
      </c>
      <c r="BA1183" t="str">
        <f t="shared" si="454"/>
        <v/>
      </c>
      <c r="BB1183" t="str">
        <f t="shared" si="455"/>
        <v/>
      </c>
    </row>
    <row r="1184" spans="1:54" ht="14.25" customHeight="1" x14ac:dyDescent="0.3">
      <c r="A1184" t="str">
        <f>IF(SAISIE!$F1189="","",SAISIE!$B1189)</f>
        <v/>
      </c>
      <c r="B1184" t="str">
        <f>IF(SAISIE!$F1189="","",SAISIE!$C1189)</f>
        <v/>
      </c>
      <c r="C1184" t="str">
        <f>IF(SAISIE!$F1189="","",SAISIE!$D1189)</f>
        <v/>
      </c>
      <c r="D1184" t="str">
        <f>IF(SAISIE!$E1189="","",SAISIE!$E1189)</f>
        <v/>
      </c>
      <c r="E1184" t="str">
        <f>IF(SAISIE!$F1189="","",SAISIE!$F1189)</f>
        <v/>
      </c>
      <c r="F1184" t="str">
        <f>IF(SAISIE!$G1189="","",SAISIE!$G1189)</f>
        <v/>
      </c>
      <c r="G1184" t="str">
        <f>IF(SAISIE!$H1189="","",SAISIE!$H1189)</f>
        <v/>
      </c>
      <c r="H1184" t="str">
        <f>IF(SAISIE!$I1189="","",SAISIE!$I1189)</f>
        <v/>
      </c>
      <c r="I1184" t="str">
        <f>IF(SAISIE!$J1189="","",SAISIE!$J1189)</f>
        <v/>
      </c>
      <c r="J1184" t="str">
        <f>IF(SAISIE!$K1189="","",SAISIE!$K1189)</f>
        <v/>
      </c>
      <c r="K1184" t="str">
        <f>IF(SAISIE!$L1189="","",SAISIE!$L1189)</f>
        <v/>
      </c>
      <c r="L1184" t="str">
        <f>IF(SAISIE!$M1189="","",SAISIE!$M1189)</f>
        <v/>
      </c>
      <c r="M1184" t="str">
        <f>IF(SAISIE!$N1189="","",SAISIE!$N1189)</f>
        <v/>
      </c>
      <c r="N1184" t="str">
        <f>IF(SAISIE!$O1189="","",SAISIE!$O1189)</f>
        <v/>
      </c>
      <c r="O1184" t="str">
        <f>IF(SAISIE!$P1189="","",SAISIE!$P1189)</f>
        <v/>
      </c>
      <c r="P1184" t="str">
        <f>IF(SAISIE!$Q1189="","",SAISIE!$Q1189)</f>
        <v/>
      </c>
      <c r="Q1184" t="str">
        <f>IF($I1184="","",IF($I1184&gt;PARAMETRES!$G$29,5,IF($I1184&gt;PARAMETRES!$F$29,4,IF($I1184&gt;PARAMETRES!$E$29,3,IF($I1184&gt;PARAMETRES!$D$29,2,1)))))</f>
        <v/>
      </c>
      <c r="R1184" t="str">
        <f>IF($J1184="","",IF($J1184&gt;PARAMETRES!$G$30,5,IF($J1184&gt;PARAMETRES!$F$30,4,IF($J1184&gt;PARAMETRES!$E$30,3,IF($J1184&gt;PARAMETRES!$D$30,2,1)))))</f>
        <v/>
      </c>
      <c r="S1184" t="str">
        <f>IF($K1184="","",IF($Z1184=2,IF($K1184&gt;PARAMETRES!$G$31,5,IF($K1184&gt;PARAMETRES!$F$31,4,IF($K1184&gt;PARAMETRES!$E$31,3,IF($K1184&gt;PARAMETRES!$D$31,2,1)))),IF($K1184&gt;PARAMETRES!$G$32,5,IF($K1184&gt;PARAMETRES!$F$32,4,IF($K1184&gt;PARAMETRES!$E$32,3,IF($K1184&gt;PARAMETRES!$D$32,2,1))))))</f>
        <v/>
      </c>
      <c r="T1184" t="str">
        <f>IF($L1184="","",IF($L1184&gt;PARAMETRES!$G$33,5,IF($L1184&gt;PARAMETRES!$F$33,4,IF($L1184&gt;PARAMETRES!$E$33,3,IF($L1184&gt;PARAMETRES!$D$33,2,1)))))</f>
        <v/>
      </c>
      <c r="U1184" t="str">
        <f>IF($M1184="","",IF($M1184&gt;PARAMETRES!$G$34,5,IF($M1184&gt;PARAMETRES!$F$34,4,IF($M1184&gt;PARAMETRES!$E$34,3,IF($M1184&gt;PARAMETRES!$D$34,2,1)))))</f>
        <v/>
      </c>
      <c r="V1184" t="str">
        <f>IF($N1184="","",IF($N1184&gt;PARAMETRES!$G$35,5,IF($N1184&gt;PARAMETRES!$F$35,4,IF($N1184&gt;PARAMETRES!$E$35,3,IF($N1184&gt;PARAMETRES!$D$35,2,1)))))</f>
        <v/>
      </c>
      <c r="W1184" t="str">
        <f>IF($O1184="","",IF($O1184&gt;PARAMETRES!$G$36,5,IF($O1184&gt;PARAMETRES!$F$36,4,IF($O1184&gt;PARAMETRES!$E$36,3,IF($O1184&gt;PARAMETRES!$D$36,2,1)))))</f>
        <v/>
      </c>
      <c r="X1184" t="str">
        <f>IF($P1184="","",IF($P1184&gt;PARAMETRES!$G$37,5,IF($P1184&gt;PARAMETRES!$F$37,4,IF($P1184&gt;PARAMETRES!$E$37,3,IF($P1184&gt;PARAMETRES!$D$37,2,1)))))</f>
        <v/>
      </c>
      <c r="Y1184" t="str">
        <f t="shared" si="432"/>
        <v/>
      </c>
      <c r="Z1184" t="str">
        <f>IFERROR(VLOOKUP($B1184,TABLE_CYCLE,2,0),"")</f>
        <v/>
      </c>
      <c r="AA1184" t="str">
        <f t="shared" si="433"/>
        <v/>
      </c>
      <c r="AB1184" t="str">
        <f>IF($D1184="","",IF(COUNTIF($D$2:$D1184,$D1184)=1,$D1184,""))</f>
        <v/>
      </c>
      <c r="AC1184">
        <f t="shared" si="434"/>
        <v>0</v>
      </c>
      <c r="AD1184" t="str">
        <f t="shared" si="435"/>
        <v>|0</v>
      </c>
      <c r="AE1184" t="str">
        <f t="shared" si="436"/>
        <v/>
      </c>
      <c r="AF1184" t="str">
        <f t="shared" si="437"/>
        <v/>
      </c>
      <c r="AG1184" t="str">
        <f t="shared" si="438"/>
        <v/>
      </c>
      <c r="AH1184" t="str">
        <f t="shared" si="439"/>
        <v/>
      </c>
      <c r="AI1184" t="str">
        <f t="shared" si="440"/>
        <v/>
      </c>
      <c r="AJ1184" t="str">
        <f t="shared" si="441"/>
        <v/>
      </c>
      <c r="AK1184" t="str">
        <f t="shared" si="442"/>
        <v/>
      </c>
      <c r="AL1184" t="str">
        <f t="shared" si="443"/>
        <v/>
      </c>
      <c r="AM1184" t="str">
        <f t="shared" si="444"/>
        <v/>
      </c>
      <c r="AN1184" t="str">
        <f t="shared" si="445"/>
        <v/>
      </c>
      <c r="AO1184" t="str">
        <f t="shared" si="446"/>
        <v/>
      </c>
      <c r="AP1184">
        <f t="shared" si="447"/>
        <v>1</v>
      </c>
      <c r="AQ1184" t="str">
        <f>IF(SAISIE!$F1189="","",SAISIE!$Y1189)</f>
        <v/>
      </c>
      <c r="AR1184" t="str">
        <f>IF(OR(SAISIE!$U$4="",SAISIE!$W$4=""),"",IF(AND($A1184=SAISIE!$U$4,$B1184=SAISIE!$W$4,$C1184="S1"),COUNTIFS($A$2:$A1184,SAISIE!$U$4,$B$2:$B1184,SAISIE!$W$4,$C$2:$C1184,"S1"),""))</f>
        <v/>
      </c>
      <c r="AS1184" t="str">
        <f t="shared" si="448"/>
        <v/>
      </c>
      <c r="AT1184" t="str">
        <f t="shared" si="449"/>
        <v/>
      </c>
      <c r="AU1184" t="str">
        <f t="shared" si="450"/>
        <v/>
      </c>
      <c r="AV1184">
        <f>N(AV1183)+IF(AND($AB1184&lt;&gt;"",OR('PROFIL ELEVE'!$K$4="(Tous)",$AF1184='PROFIL ELEVE'!$K$4)),1,0)</f>
        <v>0</v>
      </c>
      <c r="AW1184">
        <f>N(AW1183)+IF(AND($AB1184&lt;&gt;"",OR('SUIVI LONGITUDINAL'!$Q$4="(Tous)",$AF1184='SUIVI LONGITUDINAL'!$Q$4)),1,0)</f>
        <v>0</v>
      </c>
      <c r="AX1184">
        <f t="shared" si="451"/>
        <v>0</v>
      </c>
      <c r="AY1184">
        <f t="shared" si="452"/>
        <v>0</v>
      </c>
      <c r="AZ1184">
        <f t="shared" si="453"/>
        <v>0</v>
      </c>
      <c r="BA1184" t="str">
        <f t="shared" si="454"/>
        <v/>
      </c>
      <c r="BB1184" t="str">
        <f t="shared" si="455"/>
        <v/>
      </c>
    </row>
    <row r="1185" spans="1:54" ht="14.25" customHeight="1" x14ac:dyDescent="0.3">
      <c r="A1185" t="str">
        <f>IF(SAISIE!$F1190="","",SAISIE!$B1190)</f>
        <v/>
      </c>
      <c r="B1185" t="str">
        <f>IF(SAISIE!$F1190="","",SAISIE!$C1190)</f>
        <v/>
      </c>
      <c r="C1185" t="str">
        <f>IF(SAISIE!$F1190="","",SAISIE!$D1190)</f>
        <v/>
      </c>
      <c r="D1185" t="str">
        <f>IF(SAISIE!$E1190="","",SAISIE!$E1190)</f>
        <v/>
      </c>
      <c r="E1185" t="str">
        <f>IF(SAISIE!$F1190="","",SAISIE!$F1190)</f>
        <v/>
      </c>
      <c r="F1185" t="str">
        <f>IF(SAISIE!$G1190="","",SAISIE!$G1190)</f>
        <v/>
      </c>
      <c r="G1185" t="str">
        <f>IF(SAISIE!$H1190="","",SAISIE!$H1190)</f>
        <v/>
      </c>
      <c r="H1185" t="str">
        <f>IF(SAISIE!$I1190="","",SAISIE!$I1190)</f>
        <v/>
      </c>
      <c r="I1185" t="str">
        <f>IF(SAISIE!$J1190="","",SAISIE!$J1190)</f>
        <v/>
      </c>
      <c r="J1185" t="str">
        <f>IF(SAISIE!$K1190="","",SAISIE!$K1190)</f>
        <v/>
      </c>
      <c r="K1185" t="str">
        <f>IF(SAISIE!$L1190="","",SAISIE!$L1190)</f>
        <v/>
      </c>
      <c r="L1185" t="str">
        <f>IF(SAISIE!$M1190="","",SAISIE!$M1190)</f>
        <v/>
      </c>
      <c r="M1185" t="str">
        <f>IF(SAISIE!$N1190="","",SAISIE!$N1190)</f>
        <v/>
      </c>
      <c r="N1185" t="str">
        <f>IF(SAISIE!$O1190="","",SAISIE!$O1190)</f>
        <v/>
      </c>
      <c r="O1185" t="str">
        <f>IF(SAISIE!$P1190="","",SAISIE!$P1190)</f>
        <v/>
      </c>
      <c r="P1185" t="str">
        <f>IF(SAISIE!$Q1190="","",SAISIE!$Q1190)</f>
        <v/>
      </c>
      <c r="Q1185" t="str">
        <f>IF($I1185="","",IF($I1185&gt;PARAMETRES!$G$29,5,IF($I1185&gt;PARAMETRES!$F$29,4,IF($I1185&gt;PARAMETRES!$E$29,3,IF($I1185&gt;PARAMETRES!$D$29,2,1)))))</f>
        <v/>
      </c>
      <c r="R1185" t="str">
        <f>IF($J1185="","",IF($J1185&gt;PARAMETRES!$G$30,5,IF($J1185&gt;PARAMETRES!$F$30,4,IF($J1185&gt;PARAMETRES!$E$30,3,IF($J1185&gt;PARAMETRES!$D$30,2,1)))))</f>
        <v/>
      </c>
      <c r="S1185" t="str">
        <f>IF($K1185="","",IF($Z1185=2,IF($K1185&gt;PARAMETRES!$G$31,5,IF($K1185&gt;PARAMETRES!$F$31,4,IF($K1185&gt;PARAMETRES!$E$31,3,IF($K1185&gt;PARAMETRES!$D$31,2,1)))),IF($K1185&gt;PARAMETRES!$G$32,5,IF($K1185&gt;PARAMETRES!$F$32,4,IF($K1185&gt;PARAMETRES!$E$32,3,IF($K1185&gt;PARAMETRES!$D$32,2,1))))))</f>
        <v/>
      </c>
      <c r="T1185" t="str">
        <f>IF($L1185="","",IF($L1185&gt;PARAMETRES!$G$33,5,IF($L1185&gt;PARAMETRES!$F$33,4,IF($L1185&gt;PARAMETRES!$E$33,3,IF($L1185&gt;PARAMETRES!$D$33,2,1)))))</f>
        <v/>
      </c>
      <c r="U1185" t="str">
        <f>IF($M1185="","",IF($M1185&gt;PARAMETRES!$G$34,5,IF($M1185&gt;PARAMETRES!$F$34,4,IF($M1185&gt;PARAMETRES!$E$34,3,IF($M1185&gt;PARAMETRES!$D$34,2,1)))))</f>
        <v/>
      </c>
      <c r="V1185" t="str">
        <f>IF($N1185="","",IF($N1185&gt;PARAMETRES!$G$35,5,IF($N1185&gt;PARAMETRES!$F$35,4,IF($N1185&gt;PARAMETRES!$E$35,3,IF($N1185&gt;PARAMETRES!$D$35,2,1)))))</f>
        <v/>
      </c>
      <c r="W1185" t="str">
        <f>IF($O1185="","",IF($O1185&gt;PARAMETRES!$G$36,5,IF($O1185&gt;PARAMETRES!$F$36,4,IF($O1185&gt;PARAMETRES!$E$36,3,IF($O1185&gt;PARAMETRES!$D$36,2,1)))))</f>
        <v/>
      </c>
      <c r="X1185" t="str">
        <f>IF($P1185="","",IF($P1185&gt;PARAMETRES!$G$37,5,IF($P1185&gt;PARAMETRES!$F$37,4,IF($P1185&gt;PARAMETRES!$E$37,3,IF($P1185&gt;PARAMETRES!$D$37,2,1)))))</f>
        <v/>
      </c>
      <c r="Y1185" t="str">
        <f t="shared" si="432"/>
        <v/>
      </c>
      <c r="Z1185" t="str">
        <f>IFERROR(VLOOKUP($B1185,TABLE_CYCLE,2,0),"")</f>
        <v/>
      </c>
      <c r="AA1185" t="str">
        <f t="shared" si="433"/>
        <v/>
      </c>
      <c r="AB1185" t="str">
        <f>IF($D1185="","",IF(COUNTIF($D$2:$D1185,$D1185)=1,$D1185,""))</f>
        <v/>
      </c>
      <c r="AC1185">
        <f t="shared" si="434"/>
        <v>0</v>
      </c>
      <c r="AD1185" t="str">
        <f t="shared" si="435"/>
        <v>|0</v>
      </c>
      <c r="AE1185" t="str">
        <f t="shared" si="436"/>
        <v/>
      </c>
      <c r="AF1185" t="str">
        <f t="shared" si="437"/>
        <v/>
      </c>
      <c r="AG1185" t="str">
        <f t="shared" si="438"/>
        <v/>
      </c>
      <c r="AH1185" t="str">
        <f t="shared" si="439"/>
        <v/>
      </c>
      <c r="AI1185" t="str">
        <f t="shared" si="440"/>
        <v/>
      </c>
      <c r="AJ1185" t="str">
        <f t="shared" si="441"/>
        <v/>
      </c>
      <c r="AK1185" t="str">
        <f t="shared" si="442"/>
        <v/>
      </c>
      <c r="AL1185" t="str">
        <f t="shared" si="443"/>
        <v/>
      </c>
      <c r="AM1185" t="str">
        <f t="shared" si="444"/>
        <v/>
      </c>
      <c r="AN1185" t="str">
        <f t="shared" si="445"/>
        <v/>
      </c>
      <c r="AO1185" t="str">
        <f t="shared" si="446"/>
        <v/>
      </c>
      <c r="AP1185">
        <f t="shared" si="447"/>
        <v>1</v>
      </c>
      <c r="AQ1185" t="str">
        <f>IF(SAISIE!$F1190="","",SAISIE!$Y1190)</f>
        <v/>
      </c>
      <c r="AR1185" t="str">
        <f>IF(OR(SAISIE!$U$4="",SAISIE!$W$4=""),"",IF(AND($A1185=SAISIE!$U$4,$B1185=SAISIE!$W$4,$C1185="S1"),COUNTIFS($A$2:$A1185,SAISIE!$U$4,$B$2:$B1185,SAISIE!$W$4,$C$2:$C1185,"S1"),""))</f>
        <v/>
      </c>
      <c r="AS1185" t="str">
        <f t="shared" si="448"/>
        <v/>
      </c>
      <c r="AT1185" t="str">
        <f t="shared" si="449"/>
        <v/>
      </c>
      <c r="AU1185" t="str">
        <f t="shared" si="450"/>
        <v/>
      </c>
      <c r="AV1185">
        <f>N(AV1184)+IF(AND($AB1185&lt;&gt;"",OR('PROFIL ELEVE'!$K$4="(Tous)",$AF1185='PROFIL ELEVE'!$K$4)),1,0)</f>
        <v>0</v>
      </c>
      <c r="AW1185">
        <f>N(AW1184)+IF(AND($AB1185&lt;&gt;"",OR('SUIVI LONGITUDINAL'!$Q$4="(Tous)",$AF1185='SUIVI LONGITUDINAL'!$Q$4)),1,0)</f>
        <v>0</v>
      </c>
      <c r="AX1185">
        <f t="shared" si="451"/>
        <v>0</v>
      </c>
      <c r="AY1185">
        <f t="shared" si="452"/>
        <v>0</v>
      </c>
      <c r="AZ1185">
        <f t="shared" si="453"/>
        <v>0</v>
      </c>
      <c r="BA1185" t="str">
        <f t="shared" si="454"/>
        <v/>
      </c>
      <c r="BB1185" t="str">
        <f t="shared" si="455"/>
        <v/>
      </c>
    </row>
    <row r="1186" spans="1:54" ht="14.25" customHeight="1" x14ac:dyDescent="0.3">
      <c r="A1186" t="str">
        <f>IF(SAISIE!$F1191="","",SAISIE!$B1191)</f>
        <v/>
      </c>
      <c r="B1186" t="str">
        <f>IF(SAISIE!$F1191="","",SAISIE!$C1191)</f>
        <v/>
      </c>
      <c r="C1186" t="str">
        <f>IF(SAISIE!$F1191="","",SAISIE!$D1191)</f>
        <v/>
      </c>
      <c r="D1186" t="str">
        <f>IF(SAISIE!$E1191="","",SAISIE!$E1191)</f>
        <v/>
      </c>
      <c r="E1186" t="str">
        <f>IF(SAISIE!$F1191="","",SAISIE!$F1191)</f>
        <v/>
      </c>
      <c r="F1186" t="str">
        <f>IF(SAISIE!$G1191="","",SAISIE!$G1191)</f>
        <v/>
      </c>
      <c r="G1186" t="str">
        <f>IF(SAISIE!$H1191="","",SAISIE!$H1191)</f>
        <v/>
      </c>
      <c r="H1186" t="str">
        <f>IF(SAISIE!$I1191="","",SAISIE!$I1191)</f>
        <v/>
      </c>
      <c r="I1186" t="str">
        <f>IF(SAISIE!$J1191="","",SAISIE!$J1191)</f>
        <v/>
      </c>
      <c r="J1186" t="str">
        <f>IF(SAISIE!$K1191="","",SAISIE!$K1191)</f>
        <v/>
      </c>
      <c r="K1186" t="str">
        <f>IF(SAISIE!$L1191="","",SAISIE!$L1191)</f>
        <v/>
      </c>
      <c r="L1186" t="str">
        <f>IF(SAISIE!$M1191="","",SAISIE!$M1191)</f>
        <v/>
      </c>
      <c r="M1186" t="str">
        <f>IF(SAISIE!$N1191="","",SAISIE!$N1191)</f>
        <v/>
      </c>
      <c r="N1186" t="str">
        <f>IF(SAISIE!$O1191="","",SAISIE!$O1191)</f>
        <v/>
      </c>
      <c r="O1186" t="str">
        <f>IF(SAISIE!$P1191="","",SAISIE!$P1191)</f>
        <v/>
      </c>
      <c r="P1186" t="str">
        <f>IF(SAISIE!$Q1191="","",SAISIE!$Q1191)</f>
        <v/>
      </c>
      <c r="Q1186" t="str">
        <f>IF($I1186="","",IF($I1186&gt;PARAMETRES!$G$29,5,IF($I1186&gt;PARAMETRES!$F$29,4,IF($I1186&gt;PARAMETRES!$E$29,3,IF($I1186&gt;PARAMETRES!$D$29,2,1)))))</f>
        <v/>
      </c>
      <c r="R1186" t="str">
        <f>IF($J1186="","",IF($J1186&gt;PARAMETRES!$G$30,5,IF($J1186&gt;PARAMETRES!$F$30,4,IF($J1186&gt;PARAMETRES!$E$30,3,IF($J1186&gt;PARAMETRES!$D$30,2,1)))))</f>
        <v/>
      </c>
      <c r="S1186" t="str">
        <f>IF($K1186="","",IF($Z1186=2,IF($K1186&gt;PARAMETRES!$G$31,5,IF($K1186&gt;PARAMETRES!$F$31,4,IF($K1186&gt;PARAMETRES!$E$31,3,IF($K1186&gt;PARAMETRES!$D$31,2,1)))),IF($K1186&gt;PARAMETRES!$G$32,5,IF($K1186&gt;PARAMETRES!$F$32,4,IF($K1186&gt;PARAMETRES!$E$32,3,IF($K1186&gt;PARAMETRES!$D$32,2,1))))))</f>
        <v/>
      </c>
      <c r="T1186" t="str">
        <f>IF($L1186="","",IF($L1186&gt;PARAMETRES!$G$33,5,IF($L1186&gt;PARAMETRES!$F$33,4,IF($L1186&gt;PARAMETRES!$E$33,3,IF($L1186&gt;PARAMETRES!$D$33,2,1)))))</f>
        <v/>
      </c>
      <c r="U1186" t="str">
        <f>IF($M1186="","",IF($M1186&gt;PARAMETRES!$G$34,5,IF($M1186&gt;PARAMETRES!$F$34,4,IF($M1186&gt;PARAMETRES!$E$34,3,IF($M1186&gt;PARAMETRES!$D$34,2,1)))))</f>
        <v/>
      </c>
      <c r="V1186" t="str">
        <f>IF($N1186="","",IF($N1186&gt;PARAMETRES!$G$35,5,IF($N1186&gt;PARAMETRES!$F$35,4,IF($N1186&gt;PARAMETRES!$E$35,3,IF($N1186&gt;PARAMETRES!$D$35,2,1)))))</f>
        <v/>
      </c>
      <c r="W1186" t="str">
        <f>IF($O1186="","",IF($O1186&gt;PARAMETRES!$G$36,5,IF($O1186&gt;PARAMETRES!$F$36,4,IF($O1186&gt;PARAMETRES!$E$36,3,IF($O1186&gt;PARAMETRES!$D$36,2,1)))))</f>
        <v/>
      </c>
      <c r="X1186" t="str">
        <f>IF($P1186="","",IF($P1186&gt;PARAMETRES!$G$37,5,IF($P1186&gt;PARAMETRES!$F$37,4,IF($P1186&gt;PARAMETRES!$E$37,3,IF($P1186&gt;PARAMETRES!$D$37,2,1)))))</f>
        <v/>
      </c>
      <c r="Y1186" t="str">
        <f t="shared" si="432"/>
        <v/>
      </c>
      <c r="Z1186" t="str">
        <f>IFERROR(VLOOKUP($B1186,TABLE_CYCLE,2,0),"")</f>
        <v/>
      </c>
      <c r="AA1186" t="str">
        <f t="shared" si="433"/>
        <v/>
      </c>
      <c r="AB1186" t="str">
        <f>IF($D1186="","",IF(COUNTIF($D$2:$D1186,$D1186)=1,$D1186,""))</f>
        <v/>
      </c>
      <c r="AC1186">
        <f t="shared" si="434"/>
        <v>0</v>
      </c>
      <c r="AD1186" t="str">
        <f t="shared" si="435"/>
        <v>|0</v>
      </c>
      <c r="AE1186" t="str">
        <f t="shared" si="436"/>
        <v/>
      </c>
      <c r="AF1186" t="str">
        <f t="shared" si="437"/>
        <v/>
      </c>
      <c r="AG1186" t="str">
        <f t="shared" si="438"/>
        <v/>
      </c>
      <c r="AH1186" t="str">
        <f t="shared" si="439"/>
        <v/>
      </c>
      <c r="AI1186" t="str">
        <f t="shared" si="440"/>
        <v/>
      </c>
      <c r="AJ1186" t="str">
        <f t="shared" si="441"/>
        <v/>
      </c>
      <c r="AK1186" t="str">
        <f t="shared" si="442"/>
        <v/>
      </c>
      <c r="AL1186" t="str">
        <f t="shared" si="443"/>
        <v/>
      </c>
      <c r="AM1186" t="str">
        <f t="shared" si="444"/>
        <v/>
      </c>
      <c r="AN1186" t="str">
        <f t="shared" si="445"/>
        <v/>
      </c>
      <c r="AO1186" t="str">
        <f t="shared" si="446"/>
        <v/>
      </c>
      <c r="AP1186">
        <f t="shared" si="447"/>
        <v>1</v>
      </c>
      <c r="AQ1186" t="str">
        <f>IF(SAISIE!$F1191="","",SAISIE!$Y1191)</f>
        <v/>
      </c>
      <c r="AR1186" t="str">
        <f>IF(OR(SAISIE!$U$4="",SAISIE!$W$4=""),"",IF(AND($A1186=SAISIE!$U$4,$B1186=SAISIE!$W$4,$C1186="S1"),COUNTIFS($A$2:$A1186,SAISIE!$U$4,$B$2:$B1186,SAISIE!$W$4,$C$2:$C1186,"S1"),""))</f>
        <v/>
      </c>
      <c r="AS1186" t="str">
        <f t="shared" si="448"/>
        <v/>
      </c>
      <c r="AT1186" t="str">
        <f t="shared" si="449"/>
        <v/>
      </c>
      <c r="AU1186" t="str">
        <f t="shared" si="450"/>
        <v/>
      </c>
      <c r="AV1186">
        <f>N(AV1185)+IF(AND($AB1186&lt;&gt;"",OR('PROFIL ELEVE'!$K$4="(Tous)",$AF1186='PROFIL ELEVE'!$K$4)),1,0)</f>
        <v>0</v>
      </c>
      <c r="AW1186">
        <f>N(AW1185)+IF(AND($AB1186&lt;&gt;"",OR('SUIVI LONGITUDINAL'!$Q$4="(Tous)",$AF1186='SUIVI LONGITUDINAL'!$Q$4)),1,0)</f>
        <v>0</v>
      </c>
      <c r="AX1186">
        <f t="shared" si="451"/>
        <v>0</v>
      </c>
      <c r="AY1186">
        <f t="shared" si="452"/>
        <v>0</v>
      </c>
      <c r="AZ1186">
        <f t="shared" si="453"/>
        <v>0</v>
      </c>
      <c r="BA1186" t="str">
        <f t="shared" si="454"/>
        <v/>
      </c>
      <c r="BB1186" t="str">
        <f t="shared" si="455"/>
        <v/>
      </c>
    </row>
    <row r="1187" spans="1:54" ht="14.25" customHeight="1" x14ac:dyDescent="0.3">
      <c r="A1187" t="str">
        <f>IF(SAISIE!$F1192="","",SAISIE!$B1192)</f>
        <v/>
      </c>
      <c r="B1187" t="str">
        <f>IF(SAISIE!$F1192="","",SAISIE!$C1192)</f>
        <v/>
      </c>
      <c r="C1187" t="str">
        <f>IF(SAISIE!$F1192="","",SAISIE!$D1192)</f>
        <v/>
      </c>
      <c r="D1187" t="str">
        <f>IF(SAISIE!$E1192="","",SAISIE!$E1192)</f>
        <v/>
      </c>
      <c r="E1187" t="str">
        <f>IF(SAISIE!$F1192="","",SAISIE!$F1192)</f>
        <v/>
      </c>
      <c r="F1187" t="str">
        <f>IF(SAISIE!$G1192="","",SAISIE!$G1192)</f>
        <v/>
      </c>
      <c r="G1187" t="str">
        <f>IF(SAISIE!$H1192="","",SAISIE!$H1192)</f>
        <v/>
      </c>
      <c r="H1187" t="str">
        <f>IF(SAISIE!$I1192="","",SAISIE!$I1192)</f>
        <v/>
      </c>
      <c r="I1187" t="str">
        <f>IF(SAISIE!$J1192="","",SAISIE!$J1192)</f>
        <v/>
      </c>
      <c r="J1187" t="str">
        <f>IF(SAISIE!$K1192="","",SAISIE!$K1192)</f>
        <v/>
      </c>
      <c r="K1187" t="str">
        <f>IF(SAISIE!$L1192="","",SAISIE!$L1192)</f>
        <v/>
      </c>
      <c r="L1187" t="str">
        <f>IF(SAISIE!$M1192="","",SAISIE!$M1192)</f>
        <v/>
      </c>
      <c r="M1187" t="str">
        <f>IF(SAISIE!$N1192="","",SAISIE!$N1192)</f>
        <v/>
      </c>
      <c r="N1187" t="str">
        <f>IF(SAISIE!$O1192="","",SAISIE!$O1192)</f>
        <v/>
      </c>
      <c r="O1187" t="str">
        <f>IF(SAISIE!$P1192="","",SAISIE!$P1192)</f>
        <v/>
      </c>
      <c r="P1187" t="str">
        <f>IF(SAISIE!$Q1192="","",SAISIE!$Q1192)</f>
        <v/>
      </c>
      <c r="Q1187" t="str">
        <f>IF($I1187="","",IF($I1187&gt;PARAMETRES!$G$29,5,IF($I1187&gt;PARAMETRES!$F$29,4,IF($I1187&gt;PARAMETRES!$E$29,3,IF($I1187&gt;PARAMETRES!$D$29,2,1)))))</f>
        <v/>
      </c>
      <c r="R1187" t="str">
        <f>IF($J1187="","",IF($J1187&gt;PARAMETRES!$G$30,5,IF($J1187&gt;PARAMETRES!$F$30,4,IF($J1187&gt;PARAMETRES!$E$30,3,IF($J1187&gt;PARAMETRES!$D$30,2,1)))))</f>
        <v/>
      </c>
      <c r="S1187" t="str">
        <f>IF($K1187="","",IF($Z1187=2,IF($K1187&gt;PARAMETRES!$G$31,5,IF($K1187&gt;PARAMETRES!$F$31,4,IF($K1187&gt;PARAMETRES!$E$31,3,IF($K1187&gt;PARAMETRES!$D$31,2,1)))),IF($K1187&gt;PARAMETRES!$G$32,5,IF($K1187&gt;PARAMETRES!$F$32,4,IF($K1187&gt;PARAMETRES!$E$32,3,IF($K1187&gt;PARAMETRES!$D$32,2,1))))))</f>
        <v/>
      </c>
      <c r="T1187" t="str">
        <f>IF($L1187="","",IF($L1187&gt;PARAMETRES!$G$33,5,IF($L1187&gt;PARAMETRES!$F$33,4,IF($L1187&gt;PARAMETRES!$E$33,3,IF($L1187&gt;PARAMETRES!$D$33,2,1)))))</f>
        <v/>
      </c>
      <c r="U1187" t="str">
        <f>IF($M1187="","",IF($M1187&gt;PARAMETRES!$G$34,5,IF($M1187&gt;PARAMETRES!$F$34,4,IF($M1187&gt;PARAMETRES!$E$34,3,IF($M1187&gt;PARAMETRES!$D$34,2,1)))))</f>
        <v/>
      </c>
      <c r="V1187" t="str">
        <f>IF($N1187="","",IF($N1187&gt;PARAMETRES!$G$35,5,IF($N1187&gt;PARAMETRES!$F$35,4,IF($N1187&gt;PARAMETRES!$E$35,3,IF($N1187&gt;PARAMETRES!$D$35,2,1)))))</f>
        <v/>
      </c>
      <c r="W1187" t="str">
        <f>IF($O1187="","",IF($O1187&gt;PARAMETRES!$G$36,5,IF($O1187&gt;PARAMETRES!$F$36,4,IF($O1187&gt;PARAMETRES!$E$36,3,IF($O1187&gt;PARAMETRES!$D$36,2,1)))))</f>
        <v/>
      </c>
      <c r="X1187" t="str">
        <f>IF($P1187="","",IF($P1187&gt;PARAMETRES!$G$37,5,IF($P1187&gt;PARAMETRES!$F$37,4,IF($P1187&gt;PARAMETRES!$E$37,3,IF($P1187&gt;PARAMETRES!$D$37,2,1)))))</f>
        <v/>
      </c>
      <c r="Y1187" t="str">
        <f t="shared" si="432"/>
        <v/>
      </c>
      <c r="Z1187" t="str">
        <f>IFERROR(VLOOKUP($B1187,TABLE_CYCLE,2,0),"")</f>
        <v/>
      </c>
      <c r="AA1187" t="str">
        <f t="shared" si="433"/>
        <v/>
      </c>
      <c r="AB1187" t="str">
        <f>IF($D1187="","",IF(COUNTIF($D$2:$D1187,$D1187)=1,$D1187,""))</f>
        <v/>
      </c>
      <c r="AC1187">
        <f t="shared" si="434"/>
        <v>0</v>
      </c>
      <c r="AD1187" t="str">
        <f t="shared" si="435"/>
        <v>|0</v>
      </c>
      <c r="AE1187" t="str">
        <f t="shared" si="436"/>
        <v/>
      </c>
      <c r="AF1187" t="str">
        <f t="shared" si="437"/>
        <v/>
      </c>
      <c r="AG1187" t="str">
        <f t="shared" si="438"/>
        <v/>
      </c>
      <c r="AH1187" t="str">
        <f t="shared" si="439"/>
        <v/>
      </c>
      <c r="AI1187" t="str">
        <f t="shared" si="440"/>
        <v/>
      </c>
      <c r="AJ1187" t="str">
        <f t="shared" si="441"/>
        <v/>
      </c>
      <c r="AK1187" t="str">
        <f t="shared" si="442"/>
        <v/>
      </c>
      <c r="AL1187" t="str">
        <f t="shared" si="443"/>
        <v/>
      </c>
      <c r="AM1187" t="str">
        <f t="shared" si="444"/>
        <v/>
      </c>
      <c r="AN1187" t="str">
        <f t="shared" si="445"/>
        <v/>
      </c>
      <c r="AO1187" t="str">
        <f t="shared" si="446"/>
        <v/>
      </c>
      <c r="AP1187">
        <f t="shared" si="447"/>
        <v>1</v>
      </c>
      <c r="AQ1187" t="str">
        <f>IF(SAISIE!$F1192="","",SAISIE!$Y1192)</f>
        <v/>
      </c>
      <c r="AR1187" t="str">
        <f>IF(OR(SAISIE!$U$4="",SAISIE!$W$4=""),"",IF(AND($A1187=SAISIE!$U$4,$B1187=SAISIE!$W$4,$C1187="S1"),COUNTIFS($A$2:$A1187,SAISIE!$U$4,$B$2:$B1187,SAISIE!$W$4,$C$2:$C1187,"S1"),""))</f>
        <v/>
      </c>
      <c r="AS1187" t="str">
        <f t="shared" si="448"/>
        <v/>
      </c>
      <c r="AT1187" t="str">
        <f t="shared" si="449"/>
        <v/>
      </c>
      <c r="AU1187" t="str">
        <f t="shared" si="450"/>
        <v/>
      </c>
      <c r="AV1187">
        <f>N(AV1186)+IF(AND($AB1187&lt;&gt;"",OR('PROFIL ELEVE'!$K$4="(Tous)",$AF1187='PROFIL ELEVE'!$K$4)),1,0)</f>
        <v>0</v>
      </c>
      <c r="AW1187">
        <f>N(AW1186)+IF(AND($AB1187&lt;&gt;"",OR('SUIVI LONGITUDINAL'!$Q$4="(Tous)",$AF1187='SUIVI LONGITUDINAL'!$Q$4)),1,0)</f>
        <v>0</v>
      </c>
      <c r="AX1187">
        <f t="shared" si="451"/>
        <v>0</v>
      </c>
      <c r="AY1187">
        <f t="shared" si="452"/>
        <v>0</v>
      </c>
      <c r="AZ1187">
        <f t="shared" si="453"/>
        <v>0</v>
      </c>
      <c r="BA1187" t="str">
        <f t="shared" si="454"/>
        <v/>
      </c>
      <c r="BB1187" t="str">
        <f t="shared" si="455"/>
        <v/>
      </c>
    </row>
    <row r="1188" spans="1:54" ht="14.25" customHeight="1" x14ac:dyDescent="0.3">
      <c r="A1188" t="str">
        <f>IF(SAISIE!$F1193="","",SAISIE!$B1193)</f>
        <v/>
      </c>
      <c r="B1188" t="str">
        <f>IF(SAISIE!$F1193="","",SAISIE!$C1193)</f>
        <v/>
      </c>
      <c r="C1188" t="str">
        <f>IF(SAISIE!$F1193="","",SAISIE!$D1193)</f>
        <v/>
      </c>
      <c r="D1188" t="str">
        <f>IF(SAISIE!$E1193="","",SAISIE!$E1193)</f>
        <v/>
      </c>
      <c r="E1188" t="str">
        <f>IF(SAISIE!$F1193="","",SAISIE!$F1193)</f>
        <v/>
      </c>
      <c r="F1188" t="str">
        <f>IF(SAISIE!$G1193="","",SAISIE!$G1193)</f>
        <v/>
      </c>
      <c r="G1188" t="str">
        <f>IF(SAISIE!$H1193="","",SAISIE!$H1193)</f>
        <v/>
      </c>
      <c r="H1188" t="str">
        <f>IF(SAISIE!$I1193="","",SAISIE!$I1193)</f>
        <v/>
      </c>
      <c r="I1188" t="str">
        <f>IF(SAISIE!$J1193="","",SAISIE!$J1193)</f>
        <v/>
      </c>
      <c r="J1188" t="str">
        <f>IF(SAISIE!$K1193="","",SAISIE!$K1193)</f>
        <v/>
      </c>
      <c r="K1188" t="str">
        <f>IF(SAISIE!$L1193="","",SAISIE!$L1193)</f>
        <v/>
      </c>
      <c r="L1188" t="str">
        <f>IF(SAISIE!$M1193="","",SAISIE!$M1193)</f>
        <v/>
      </c>
      <c r="M1188" t="str">
        <f>IF(SAISIE!$N1193="","",SAISIE!$N1193)</f>
        <v/>
      </c>
      <c r="N1188" t="str">
        <f>IF(SAISIE!$O1193="","",SAISIE!$O1193)</f>
        <v/>
      </c>
      <c r="O1188" t="str">
        <f>IF(SAISIE!$P1193="","",SAISIE!$P1193)</f>
        <v/>
      </c>
      <c r="P1188" t="str">
        <f>IF(SAISIE!$Q1193="","",SAISIE!$Q1193)</f>
        <v/>
      </c>
      <c r="Q1188" t="str">
        <f>IF($I1188="","",IF($I1188&gt;PARAMETRES!$G$29,5,IF($I1188&gt;PARAMETRES!$F$29,4,IF($I1188&gt;PARAMETRES!$E$29,3,IF($I1188&gt;PARAMETRES!$D$29,2,1)))))</f>
        <v/>
      </c>
      <c r="R1188" t="str">
        <f>IF($J1188="","",IF($J1188&gt;PARAMETRES!$G$30,5,IF($J1188&gt;PARAMETRES!$F$30,4,IF($J1188&gt;PARAMETRES!$E$30,3,IF($J1188&gt;PARAMETRES!$D$30,2,1)))))</f>
        <v/>
      </c>
      <c r="S1188" t="str">
        <f>IF($K1188="","",IF($Z1188=2,IF($K1188&gt;PARAMETRES!$G$31,5,IF($K1188&gt;PARAMETRES!$F$31,4,IF($K1188&gt;PARAMETRES!$E$31,3,IF($K1188&gt;PARAMETRES!$D$31,2,1)))),IF($K1188&gt;PARAMETRES!$G$32,5,IF($K1188&gt;PARAMETRES!$F$32,4,IF($K1188&gt;PARAMETRES!$E$32,3,IF($K1188&gt;PARAMETRES!$D$32,2,1))))))</f>
        <v/>
      </c>
      <c r="T1188" t="str">
        <f>IF($L1188="","",IF($L1188&gt;PARAMETRES!$G$33,5,IF($L1188&gt;PARAMETRES!$F$33,4,IF($L1188&gt;PARAMETRES!$E$33,3,IF($L1188&gt;PARAMETRES!$D$33,2,1)))))</f>
        <v/>
      </c>
      <c r="U1188" t="str">
        <f>IF($M1188="","",IF($M1188&gt;PARAMETRES!$G$34,5,IF($M1188&gt;PARAMETRES!$F$34,4,IF($M1188&gt;PARAMETRES!$E$34,3,IF($M1188&gt;PARAMETRES!$D$34,2,1)))))</f>
        <v/>
      </c>
      <c r="V1188" t="str">
        <f>IF($N1188="","",IF($N1188&gt;PARAMETRES!$G$35,5,IF($N1188&gt;PARAMETRES!$F$35,4,IF($N1188&gt;PARAMETRES!$E$35,3,IF($N1188&gt;PARAMETRES!$D$35,2,1)))))</f>
        <v/>
      </c>
      <c r="W1188" t="str">
        <f>IF($O1188="","",IF($O1188&gt;PARAMETRES!$G$36,5,IF($O1188&gt;PARAMETRES!$F$36,4,IF($O1188&gt;PARAMETRES!$E$36,3,IF($O1188&gt;PARAMETRES!$D$36,2,1)))))</f>
        <v/>
      </c>
      <c r="X1188" t="str">
        <f>IF($P1188="","",IF($P1188&gt;PARAMETRES!$G$37,5,IF($P1188&gt;PARAMETRES!$F$37,4,IF($P1188&gt;PARAMETRES!$E$37,3,IF($P1188&gt;PARAMETRES!$D$37,2,1)))))</f>
        <v/>
      </c>
      <c r="Y1188" t="str">
        <f t="shared" si="432"/>
        <v/>
      </c>
      <c r="Z1188" t="str">
        <f>IFERROR(VLOOKUP($B1188,TABLE_CYCLE,2,0),"")</f>
        <v/>
      </c>
      <c r="AA1188" t="str">
        <f t="shared" si="433"/>
        <v/>
      </c>
      <c r="AB1188" t="str">
        <f>IF($D1188="","",IF(COUNTIF($D$2:$D1188,$D1188)=1,$D1188,""))</f>
        <v/>
      </c>
      <c r="AC1188">
        <f t="shared" si="434"/>
        <v>0</v>
      </c>
      <c r="AD1188" t="str">
        <f t="shared" si="435"/>
        <v>|0</v>
      </c>
      <c r="AE1188" t="str">
        <f t="shared" si="436"/>
        <v/>
      </c>
      <c r="AF1188" t="str">
        <f t="shared" si="437"/>
        <v/>
      </c>
      <c r="AG1188" t="str">
        <f t="shared" si="438"/>
        <v/>
      </c>
      <c r="AH1188" t="str">
        <f t="shared" si="439"/>
        <v/>
      </c>
      <c r="AI1188" t="str">
        <f t="shared" si="440"/>
        <v/>
      </c>
      <c r="AJ1188" t="str">
        <f t="shared" si="441"/>
        <v/>
      </c>
      <c r="AK1188" t="str">
        <f t="shared" si="442"/>
        <v/>
      </c>
      <c r="AL1188" t="str">
        <f t="shared" si="443"/>
        <v/>
      </c>
      <c r="AM1188" t="str">
        <f t="shared" si="444"/>
        <v/>
      </c>
      <c r="AN1188" t="str">
        <f t="shared" si="445"/>
        <v/>
      </c>
      <c r="AO1188" t="str">
        <f t="shared" si="446"/>
        <v/>
      </c>
      <c r="AP1188">
        <f t="shared" si="447"/>
        <v>1</v>
      </c>
      <c r="AQ1188" t="str">
        <f>IF(SAISIE!$F1193="","",SAISIE!$Y1193)</f>
        <v/>
      </c>
      <c r="AR1188" t="str">
        <f>IF(OR(SAISIE!$U$4="",SAISIE!$W$4=""),"",IF(AND($A1188=SAISIE!$U$4,$B1188=SAISIE!$W$4,$C1188="S1"),COUNTIFS($A$2:$A1188,SAISIE!$U$4,$B$2:$B1188,SAISIE!$W$4,$C$2:$C1188,"S1"),""))</f>
        <v/>
      </c>
      <c r="AS1188" t="str">
        <f t="shared" si="448"/>
        <v/>
      </c>
      <c r="AT1188" t="str">
        <f t="shared" si="449"/>
        <v/>
      </c>
      <c r="AU1188" t="str">
        <f t="shared" si="450"/>
        <v/>
      </c>
      <c r="AV1188">
        <f>N(AV1187)+IF(AND($AB1188&lt;&gt;"",OR('PROFIL ELEVE'!$K$4="(Tous)",$AF1188='PROFIL ELEVE'!$K$4)),1,0)</f>
        <v>0</v>
      </c>
      <c r="AW1188">
        <f>N(AW1187)+IF(AND($AB1188&lt;&gt;"",OR('SUIVI LONGITUDINAL'!$Q$4="(Tous)",$AF1188='SUIVI LONGITUDINAL'!$Q$4)),1,0)</f>
        <v>0</v>
      </c>
      <c r="AX1188">
        <f t="shared" si="451"/>
        <v>0</v>
      </c>
      <c r="AY1188">
        <f t="shared" si="452"/>
        <v>0</v>
      </c>
      <c r="AZ1188">
        <f t="shared" si="453"/>
        <v>0</v>
      </c>
      <c r="BA1188" t="str">
        <f t="shared" si="454"/>
        <v/>
      </c>
      <c r="BB1188" t="str">
        <f t="shared" si="455"/>
        <v/>
      </c>
    </row>
    <row r="1189" spans="1:54" ht="14.25" customHeight="1" x14ac:dyDescent="0.3">
      <c r="A1189" t="str">
        <f>IF(SAISIE!$F1194="","",SAISIE!$B1194)</f>
        <v/>
      </c>
      <c r="B1189" t="str">
        <f>IF(SAISIE!$F1194="","",SAISIE!$C1194)</f>
        <v/>
      </c>
      <c r="C1189" t="str">
        <f>IF(SAISIE!$F1194="","",SAISIE!$D1194)</f>
        <v/>
      </c>
      <c r="D1189" t="str">
        <f>IF(SAISIE!$E1194="","",SAISIE!$E1194)</f>
        <v/>
      </c>
      <c r="E1189" t="str">
        <f>IF(SAISIE!$F1194="","",SAISIE!$F1194)</f>
        <v/>
      </c>
      <c r="F1189" t="str">
        <f>IF(SAISIE!$G1194="","",SAISIE!$G1194)</f>
        <v/>
      </c>
      <c r="G1189" t="str">
        <f>IF(SAISIE!$H1194="","",SAISIE!$H1194)</f>
        <v/>
      </c>
      <c r="H1189" t="str">
        <f>IF(SAISIE!$I1194="","",SAISIE!$I1194)</f>
        <v/>
      </c>
      <c r="I1189" t="str">
        <f>IF(SAISIE!$J1194="","",SAISIE!$J1194)</f>
        <v/>
      </c>
      <c r="J1189" t="str">
        <f>IF(SAISIE!$K1194="","",SAISIE!$K1194)</f>
        <v/>
      </c>
      <c r="K1189" t="str">
        <f>IF(SAISIE!$L1194="","",SAISIE!$L1194)</f>
        <v/>
      </c>
      <c r="L1189" t="str">
        <f>IF(SAISIE!$M1194="","",SAISIE!$M1194)</f>
        <v/>
      </c>
      <c r="M1189" t="str">
        <f>IF(SAISIE!$N1194="","",SAISIE!$N1194)</f>
        <v/>
      </c>
      <c r="N1189" t="str">
        <f>IF(SAISIE!$O1194="","",SAISIE!$O1194)</f>
        <v/>
      </c>
      <c r="O1189" t="str">
        <f>IF(SAISIE!$P1194="","",SAISIE!$P1194)</f>
        <v/>
      </c>
      <c r="P1189" t="str">
        <f>IF(SAISIE!$Q1194="","",SAISIE!$Q1194)</f>
        <v/>
      </c>
      <c r="Q1189" t="str">
        <f>IF($I1189="","",IF($I1189&gt;PARAMETRES!$G$29,5,IF($I1189&gt;PARAMETRES!$F$29,4,IF($I1189&gt;PARAMETRES!$E$29,3,IF($I1189&gt;PARAMETRES!$D$29,2,1)))))</f>
        <v/>
      </c>
      <c r="R1189" t="str">
        <f>IF($J1189="","",IF($J1189&gt;PARAMETRES!$G$30,5,IF($J1189&gt;PARAMETRES!$F$30,4,IF($J1189&gt;PARAMETRES!$E$30,3,IF($J1189&gt;PARAMETRES!$D$30,2,1)))))</f>
        <v/>
      </c>
      <c r="S1189" t="str">
        <f>IF($K1189="","",IF($Z1189=2,IF($K1189&gt;PARAMETRES!$G$31,5,IF($K1189&gt;PARAMETRES!$F$31,4,IF($K1189&gt;PARAMETRES!$E$31,3,IF($K1189&gt;PARAMETRES!$D$31,2,1)))),IF($K1189&gt;PARAMETRES!$G$32,5,IF($K1189&gt;PARAMETRES!$F$32,4,IF($K1189&gt;PARAMETRES!$E$32,3,IF($K1189&gt;PARAMETRES!$D$32,2,1))))))</f>
        <v/>
      </c>
      <c r="T1189" t="str">
        <f>IF($L1189="","",IF($L1189&gt;PARAMETRES!$G$33,5,IF($L1189&gt;PARAMETRES!$F$33,4,IF($L1189&gt;PARAMETRES!$E$33,3,IF($L1189&gt;PARAMETRES!$D$33,2,1)))))</f>
        <v/>
      </c>
      <c r="U1189" t="str">
        <f>IF($M1189="","",IF($M1189&gt;PARAMETRES!$G$34,5,IF($M1189&gt;PARAMETRES!$F$34,4,IF($M1189&gt;PARAMETRES!$E$34,3,IF($M1189&gt;PARAMETRES!$D$34,2,1)))))</f>
        <v/>
      </c>
      <c r="V1189" t="str">
        <f>IF($N1189="","",IF($N1189&gt;PARAMETRES!$G$35,5,IF($N1189&gt;PARAMETRES!$F$35,4,IF($N1189&gt;PARAMETRES!$E$35,3,IF($N1189&gt;PARAMETRES!$D$35,2,1)))))</f>
        <v/>
      </c>
      <c r="W1189" t="str">
        <f>IF($O1189="","",IF($O1189&gt;PARAMETRES!$G$36,5,IF($O1189&gt;PARAMETRES!$F$36,4,IF($O1189&gt;PARAMETRES!$E$36,3,IF($O1189&gt;PARAMETRES!$D$36,2,1)))))</f>
        <v/>
      </c>
      <c r="X1189" t="str">
        <f>IF($P1189="","",IF($P1189&gt;PARAMETRES!$G$37,5,IF($P1189&gt;PARAMETRES!$F$37,4,IF($P1189&gt;PARAMETRES!$E$37,3,IF($P1189&gt;PARAMETRES!$D$37,2,1)))))</f>
        <v/>
      </c>
      <c r="Y1189" t="str">
        <f t="shared" si="432"/>
        <v/>
      </c>
      <c r="Z1189" t="str">
        <f>IFERROR(VLOOKUP($B1189,TABLE_CYCLE,2,0),"")</f>
        <v/>
      </c>
      <c r="AA1189" t="str">
        <f t="shared" si="433"/>
        <v/>
      </c>
      <c r="AB1189" t="str">
        <f>IF($D1189="","",IF(COUNTIF($D$2:$D1189,$D1189)=1,$D1189,""))</f>
        <v/>
      </c>
      <c r="AC1189">
        <f t="shared" si="434"/>
        <v>0</v>
      </c>
      <c r="AD1189" t="str">
        <f t="shared" si="435"/>
        <v>|0</v>
      </c>
      <c r="AE1189" t="str">
        <f t="shared" si="436"/>
        <v/>
      </c>
      <c r="AF1189" t="str">
        <f t="shared" si="437"/>
        <v/>
      </c>
      <c r="AG1189" t="str">
        <f t="shared" si="438"/>
        <v/>
      </c>
      <c r="AH1189" t="str">
        <f t="shared" si="439"/>
        <v/>
      </c>
      <c r="AI1189" t="str">
        <f t="shared" si="440"/>
        <v/>
      </c>
      <c r="AJ1189" t="str">
        <f t="shared" si="441"/>
        <v/>
      </c>
      <c r="AK1189" t="str">
        <f t="shared" si="442"/>
        <v/>
      </c>
      <c r="AL1189" t="str">
        <f t="shared" si="443"/>
        <v/>
      </c>
      <c r="AM1189" t="str">
        <f t="shared" si="444"/>
        <v/>
      </c>
      <c r="AN1189" t="str">
        <f t="shared" si="445"/>
        <v/>
      </c>
      <c r="AO1189" t="str">
        <f t="shared" si="446"/>
        <v/>
      </c>
      <c r="AP1189">
        <f t="shared" si="447"/>
        <v>1</v>
      </c>
      <c r="AQ1189" t="str">
        <f>IF(SAISIE!$F1194="","",SAISIE!$Y1194)</f>
        <v/>
      </c>
      <c r="AR1189" t="str">
        <f>IF(OR(SAISIE!$U$4="",SAISIE!$W$4=""),"",IF(AND($A1189=SAISIE!$U$4,$B1189=SAISIE!$W$4,$C1189="S1"),COUNTIFS($A$2:$A1189,SAISIE!$U$4,$B$2:$B1189,SAISIE!$W$4,$C$2:$C1189,"S1"),""))</f>
        <v/>
      </c>
      <c r="AS1189" t="str">
        <f t="shared" si="448"/>
        <v/>
      </c>
      <c r="AT1189" t="str">
        <f t="shared" si="449"/>
        <v/>
      </c>
      <c r="AU1189" t="str">
        <f t="shared" si="450"/>
        <v/>
      </c>
      <c r="AV1189">
        <f>N(AV1188)+IF(AND($AB1189&lt;&gt;"",OR('PROFIL ELEVE'!$K$4="(Tous)",$AF1189='PROFIL ELEVE'!$K$4)),1,0)</f>
        <v>0</v>
      </c>
      <c r="AW1189">
        <f>N(AW1188)+IF(AND($AB1189&lt;&gt;"",OR('SUIVI LONGITUDINAL'!$Q$4="(Tous)",$AF1189='SUIVI LONGITUDINAL'!$Q$4)),1,0)</f>
        <v>0</v>
      </c>
      <c r="AX1189">
        <f t="shared" si="451"/>
        <v>0</v>
      </c>
      <c r="AY1189">
        <f t="shared" si="452"/>
        <v>0</v>
      </c>
      <c r="AZ1189">
        <f t="shared" si="453"/>
        <v>0</v>
      </c>
      <c r="BA1189" t="str">
        <f t="shared" si="454"/>
        <v/>
      </c>
      <c r="BB1189" t="str">
        <f t="shared" si="455"/>
        <v/>
      </c>
    </row>
    <row r="1190" spans="1:54" ht="14.25" customHeight="1" x14ac:dyDescent="0.3">
      <c r="A1190" t="str">
        <f>IF(SAISIE!$F1195="","",SAISIE!$B1195)</f>
        <v/>
      </c>
      <c r="B1190" t="str">
        <f>IF(SAISIE!$F1195="","",SAISIE!$C1195)</f>
        <v/>
      </c>
      <c r="C1190" t="str">
        <f>IF(SAISIE!$F1195="","",SAISIE!$D1195)</f>
        <v/>
      </c>
      <c r="D1190" t="str">
        <f>IF(SAISIE!$E1195="","",SAISIE!$E1195)</f>
        <v/>
      </c>
      <c r="E1190" t="str">
        <f>IF(SAISIE!$F1195="","",SAISIE!$F1195)</f>
        <v/>
      </c>
      <c r="F1190" t="str">
        <f>IF(SAISIE!$G1195="","",SAISIE!$G1195)</f>
        <v/>
      </c>
      <c r="G1190" t="str">
        <f>IF(SAISIE!$H1195="","",SAISIE!$H1195)</f>
        <v/>
      </c>
      <c r="H1190" t="str">
        <f>IF(SAISIE!$I1195="","",SAISIE!$I1195)</f>
        <v/>
      </c>
      <c r="I1190" t="str">
        <f>IF(SAISIE!$J1195="","",SAISIE!$J1195)</f>
        <v/>
      </c>
      <c r="J1190" t="str">
        <f>IF(SAISIE!$K1195="","",SAISIE!$K1195)</f>
        <v/>
      </c>
      <c r="K1190" t="str">
        <f>IF(SAISIE!$L1195="","",SAISIE!$L1195)</f>
        <v/>
      </c>
      <c r="L1190" t="str">
        <f>IF(SAISIE!$M1195="","",SAISIE!$M1195)</f>
        <v/>
      </c>
      <c r="M1190" t="str">
        <f>IF(SAISIE!$N1195="","",SAISIE!$N1195)</f>
        <v/>
      </c>
      <c r="N1190" t="str">
        <f>IF(SAISIE!$O1195="","",SAISIE!$O1195)</f>
        <v/>
      </c>
      <c r="O1190" t="str">
        <f>IF(SAISIE!$P1195="","",SAISIE!$P1195)</f>
        <v/>
      </c>
      <c r="P1190" t="str">
        <f>IF(SAISIE!$Q1195="","",SAISIE!$Q1195)</f>
        <v/>
      </c>
      <c r="Q1190" t="str">
        <f>IF($I1190="","",IF($I1190&gt;PARAMETRES!$G$29,5,IF($I1190&gt;PARAMETRES!$F$29,4,IF($I1190&gt;PARAMETRES!$E$29,3,IF($I1190&gt;PARAMETRES!$D$29,2,1)))))</f>
        <v/>
      </c>
      <c r="R1190" t="str">
        <f>IF($J1190="","",IF($J1190&gt;PARAMETRES!$G$30,5,IF($J1190&gt;PARAMETRES!$F$30,4,IF($J1190&gt;PARAMETRES!$E$30,3,IF($J1190&gt;PARAMETRES!$D$30,2,1)))))</f>
        <v/>
      </c>
      <c r="S1190" t="str">
        <f>IF($K1190="","",IF($Z1190=2,IF($K1190&gt;PARAMETRES!$G$31,5,IF($K1190&gt;PARAMETRES!$F$31,4,IF($K1190&gt;PARAMETRES!$E$31,3,IF($K1190&gt;PARAMETRES!$D$31,2,1)))),IF($K1190&gt;PARAMETRES!$G$32,5,IF($K1190&gt;PARAMETRES!$F$32,4,IF($K1190&gt;PARAMETRES!$E$32,3,IF($K1190&gt;PARAMETRES!$D$32,2,1))))))</f>
        <v/>
      </c>
      <c r="T1190" t="str">
        <f>IF($L1190="","",IF($L1190&gt;PARAMETRES!$G$33,5,IF($L1190&gt;PARAMETRES!$F$33,4,IF($L1190&gt;PARAMETRES!$E$33,3,IF($L1190&gt;PARAMETRES!$D$33,2,1)))))</f>
        <v/>
      </c>
      <c r="U1190" t="str">
        <f>IF($M1190="","",IF($M1190&gt;PARAMETRES!$G$34,5,IF($M1190&gt;PARAMETRES!$F$34,4,IF($M1190&gt;PARAMETRES!$E$34,3,IF($M1190&gt;PARAMETRES!$D$34,2,1)))))</f>
        <v/>
      </c>
      <c r="V1190" t="str">
        <f>IF($N1190="","",IF($N1190&gt;PARAMETRES!$G$35,5,IF($N1190&gt;PARAMETRES!$F$35,4,IF($N1190&gt;PARAMETRES!$E$35,3,IF($N1190&gt;PARAMETRES!$D$35,2,1)))))</f>
        <v/>
      </c>
      <c r="W1190" t="str">
        <f>IF($O1190="","",IF($O1190&gt;PARAMETRES!$G$36,5,IF($O1190&gt;PARAMETRES!$F$36,4,IF($O1190&gt;PARAMETRES!$E$36,3,IF($O1190&gt;PARAMETRES!$D$36,2,1)))))</f>
        <v/>
      </c>
      <c r="X1190" t="str">
        <f>IF($P1190="","",IF($P1190&gt;PARAMETRES!$G$37,5,IF($P1190&gt;PARAMETRES!$F$37,4,IF($P1190&gt;PARAMETRES!$E$37,3,IF($P1190&gt;PARAMETRES!$D$37,2,1)))))</f>
        <v/>
      </c>
      <c r="Y1190" t="str">
        <f t="shared" si="432"/>
        <v/>
      </c>
      <c r="Z1190" t="str">
        <f>IFERROR(VLOOKUP($B1190,TABLE_CYCLE,2,0),"")</f>
        <v/>
      </c>
      <c r="AA1190" t="str">
        <f t="shared" si="433"/>
        <v/>
      </c>
      <c r="AB1190" t="str">
        <f>IF($D1190="","",IF(COUNTIF($D$2:$D1190,$D1190)=1,$D1190,""))</f>
        <v/>
      </c>
      <c r="AC1190">
        <f t="shared" si="434"/>
        <v>0</v>
      </c>
      <c r="AD1190" t="str">
        <f t="shared" si="435"/>
        <v>|0</v>
      </c>
      <c r="AE1190" t="str">
        <f t="shared" si="436"/>
        <v/>
      </c>
      <c r="AF1190" t="str">
        <f t="shared" si="437"/>
        <v/>
      </c>
      <c r="AG1190" t="str">
        <f t="shared" si="438"/>
        <v/>
      </c>
      <c r="AH1190" t="str">
        <f t="shared" si="439"/>
        <v/>
      </c>
      <c r="AI1190" t="str">
        <f t="shared" si="440"/>
        <v/>
      </c>
      <c r="AJ1190" t="str">
        <f t="shared" si="441"/>
        <v/>
      </c>
      <c r="AK1190" t="str">
        <f t="shared" si="442"/>
        <v/>
      </c>
      <c r="AL1190" t="str">
        <f t="shared" si="443"/>
        <v/>
      </c>
      <c r="AM1190" t="str">
        <f t="shared" si="444"/>
        <v/>
      </c>
      <c r="AN1190" t="str">
        <f t="shared" si="445"/>
        <v/>
      </c>
      <c r="AO1190" t="str">
        <f t="shared" si="446"/>
        <v/>
      </c>
      <c r="AP1190">
        <f t="shared" si="447"/>
        <v>1</v>
      </c>
      <c r="AQ1190" t="str">
        <f>IF(SAISIE!$F1195="","",SAISIE!$Y1195)</f>
        <v/>
      </c>
      <c r="AR1190" t="str">
        <f>IF(OR(SAISIE!$U$4="",SAISIE!$W$4=""),"",IF(AND($A1190=SAISIE!$U$4,$B1190=SAISIE!$W$4,$C1190="S1"),COUNTIFS($A$2:$A1190,SAISIE!$U$4,$B$2:$B1190,SAISIE!$W$4,$C$2:$C1190,"S1"),""))</f>
        <v/>
      </c>
      <c r="AS1190" t="str">
        <f t="shared" si="448"/>
        <v/>
      </c>
      <c r="AT1190" t="str">
        <f t="shared" si="449"/>
        <v/>
      </c>
      <c r="AU1190" t="str">
        <f t="shared" si="450"/>
        <v/>
      </c>
      <c r="AV1190">
        <f>N(AV1189)+IF(AND($AB1190&lt;&gt;"",OR('PROFIL ELEVE'!$K$4="(Tous)",$AF1190='PROFIL ELEVE'!$K$4)),1,0)</f>
        <v>0</v>
      </c>
      <c r="AW1190">
        <f>N(AW1189)+IF(AND($AB1190&lt;&gt;"",OR('SUIVI LONGITUDINAL'!$Q$4="(Tous)",$AF1190='SUIVI LONGITUDINAL'!$Q$4)),1,0)</f>
        <v>0</v>
      </c>
      <c r="AX1190">
        <f t="shared" si="451"/>
        <v>0</v>
      </c>
      <c r="AY1190">
        <f t="shared" si="452"/>
        <v>0</v>
      </c>
      <c r="AZ1190">
        <f t="shared" si="453"/>
        <v>0</v>
      </c>
      <c r="BA1190" t="str">
        <f t="shared" si="454"/>
        <v/>
      </c>
      <c r="BB1190" t="str">
        <f t="shared" si="455"/>
        <v/>
      </c>
    </row>
    <row r="1191" spans="1:54" ht="14.25" customHeight="1" x14ac:dyDescent="0.3">
      <c r="A1191" t="str">
        <f>IF(SAISIE!$F1196="","",SAISIE!$B1196)</f>
        <v/>
      </c>
      <c r="B1191" t="str">
        <f>IF(SAISIE!$F1196="","",SAISIE!$C1196)</f>
        <v/>
      </c>
      <c r="C1191" t="str">
        <f>IF(SAISIE!$F1196="","",SAISIE!$D1196)</f>
        <v/>
      </c>
      <c r="D1191" t="str">
        <f>IF(SAISIE!$E1196="","",SAISIE!$E1196)</f>
        <v/>
      </c>
      <c r="E1191" t="str">
        <f>IF(SAISIE!$F1196="","",SAISIE!$F1196)</f>
        <v/>
      </c>
      <c r="F1191" t="str">
        <f>IF(SAISIE!$G1196="","",SAISIE!$G1196)</f>
        <v/>
      </c>
      <c r="G1191" t="str">
        <f>IF(SAISIE!$H1196="","",SAISIE!$H1196)</f>
        <v/>
      </c>
      <c r="H1191" t="str">
        <f>IF(SAISIE!$I1196="","",SAISIE!$I1196)</f>
        <v/>
      </c>
      <c r="I1191" t="str">
        <f>IF(SAISIE!$J1196="","",SAISIE!$J1196)</f>
        <v/>
      </c>
      <c r="J1191" t="str">
        <f>IF(SAISIE!$K1196="","",SAISIE!$K1196)</f>
        <v/>
      </c>
      <c r="K1191" t="str">
        <f>IF(SAISIE!$L1196="","",SAISIE!$L1196)</f>
        <v/>
      </c>
      <c r="L1191" t="str">
        <f>IF(SAISIE!$M1196="","",SAISIE!$M1196)</f>
        <v/>
      </c>
      <c r="M1191" t="str">
        <f>IF(SAISIE!$N1196="","",SAISIE!$N1196)</f>
        <v/>
      </c>
      <c r="N1191" t="str">
        <f>IF(SAISIE!$O1196="","",SAISIE!$O1196)</f>
        <v/>
      </c>
      <c r="O1191" t="str">
        <f>IF(SAISIE!$P1196="","",SAISIE!$P1196)</f>
        <v/>
      </c>
      <c r="P1191" t="str">
        <f>IF(SAISIE!$Q1196="","",SAISIE!$Q1196)</f>
        <v/>
      </c>
      <c r="Q1191" t="str">
        <f>IF($I1191="","",IF($I1191&gt;PARAMETRES!$G$29,5,IF($I1191&gt;PARAMETRES!$F$29,4,IF($I1191&gt;PARAMETRES!$E$29,3,IF($I1191&gt;PARAMETRES!$D$29,2,1)))))</f>
        <v/>
      </c>
      <c r="R1191" t="str">
        <f>IF($J1191="","",IF($J1191&gt;PARAMETRES!$G$30,5,IF($J1191&gt;PARAMETRES!$F$30,4,IF($J1191&gt;PARAMETRES!$E$30,3,IF($J1191&gt;PARAMETRES!$D$30,2,1)))))</f>
        <v/>
      </c>
      <c r="S1191" t="str">
        <f>IF($K1191="","",IF($Z1191=2,IF($K1191&gt;PARAMETRES!$G$31,5,IF($K1191&gt;PARAMETRES!$F$31,4,IF($K1191&gt;PARAMETRES!$E$31,3,IF($K1191&gt;PARAMETRES!$D$31,2,1)))),IF($K1191&gt;PARAMETRES!$G$32,5,IF($K1191&gt;PARAMETRES!$F$32,4,IF($K1191&gt;PARAMETRES!$E$32,3,IF($K1191&gt;PARAMETRES!$D$32,2,1))))))</f>
        <v/>
      </c>
      <c r="T1191" t="str">
        <f>IF($L1191="","",IF($L1191&gt;PARAMETRES!$G$33,5,IF($L1191&gt;PARAMETRES!$F$33,4,IF($L1191&gt;PARAMETRES!$E$33,3,IF($L1191&gt;PARAMETRES!$D$33,2,1)))))</f>
        <v/>
      </c>
      <c r="U1191" t="str">
        <f>IF($M1191="","",IF($M1191&gt;PARAMETRES!$G$34,5,IF($M1191&gt;PARAMETRES!$F$34,4,IF($M1191&gt;PARAMETRES!$E$34,3,IF($M1191&gt;PARAMETRES!$D$34,2,1)))))</f>
        <v/>
      </c>
      <c r="V1191" t="str">
        <f>IF($N1191="","",IF($N1191&gt;PARAMETRES!$G$35,5,IF($N1191&gt;PARAMETRES!$F$35,4,IF($N1191&gt;PARAMETRES!$E$35,3,IF($N1191&gt;PARAMETRES!$D$35,2,1)))))</f>
        <v/>
      </c>
      <c r="W1191" t="str">
        <f>IF($O1191="","",IF($O1191&gt;PARAMETRES!$G$36,5,IF($O1191&gt;PARAMETRES!$F$36,4,IF($O1191&gt;PARAMETRES!$E$36,3,IF($O1191&gt;PARAMETRES!$D$36,2,1)))))</f>
        <v/>
      </c>
      <c r="X1191" t="str">
        <f>IF($P1191="","",IF($P1191&gt;PARAMETRES!$G$37,5,IF($P1191&gt;PARAMETRES!$F$37,4,IF($P1191&gt;PARAMETRES!$E$37,3,IF($P1191&gt;PARAMETRES!$D$37,2,1)))))</f>
        <v/>
      </c>
      <c r="Y1191" t="str">
        <f t="shared" si="432"/>
        <v/>
      </c>
      <c r="Z1191" t="str">
        <f>IFERROR(VLOOKUP($B1191,TABLE_CYCLE,2,0),"")</f>
        <v/>
      </c>
      <c r="AA1191" t="str">
        <f t="shared" si="433"/>
        <v/>
      </c>
      <c r="AB1191" t="str">
        <f>IF($D1191="","",IF(COUNTIF($D$2:$D1191,$D1191)=1,$D1191,""))</f>
        <v/>
      </c>
      <c r="AC1191">
        <f t="shared" si="434"/>
        <v>0</v>
      </c>
      <c r="AD1191" t="str">
        <f t="shared" si="435"/>
        <v>|0</v>
      </c>
      <c r="AE1191" t="str">
        <f t="shared" si="436"/>
        <v/>
      </c>
      <c r="AF1191" t="str">
        <f t="shared" si="437"/>
        <v/>
      </c>
      <c r="AG1191" t="str">
        <f t="shared" si="438"/>
        <v/>
      </c>
      <c r="AH1191" t="str">
        <f t="shared" si="439"/>
        <v/>
      </c>
      <c r="AI1191" t="str">
        <f t="shared" si="440"/>
        <v/>
      </c>
      <c r="AJ1191" t="str">
        <f t="shared" si="441"/>
        <v/>
      </c>
      <c r="AK1191" t="str">
        <f t="shared" si="442"/>
        <v/>
      </c>
      <c r="AL1191" t="str">
        <f t="shared" si="443"/>
        <v/>
      </c>
      <c r="AM1191" t="str">
        <f t="shared" si="444"/>
        <v/>
      </c>
      <c r="AN1191" t="str">
        <f t="shared" si="445"/>
        <v/>
      </c>
      <c r="AO1191" t="str">
        <f t="shared" si="446"/>
        <v/>
      </c>
      <c r="AP1191">
        <f t="shared" si="447"/>
        <v>1</v>
      </c>
      <c r="AQ1191" t="str">
        <f>IF(SAISIE!$F1196="","",SAISIE!$Y1196)</f>
        <v/>
      </c>
      <c r="AR1191" t="str">
        <f>IF(OR(SAISIE!$U$4="",SAISIE!$W$4=""),"",IF(AND($A1191=SAISIE!$U$4,$B1191=SAISIE!$W$4,$C1191="S1"),COUNTIFS($A$2:$A1191,SAISIE!$U$4,$B$2:$B1191,SAISIE!$W$4,$C$2:$C1191,"S1"),""))</f>
        <v/>
      </c>
      <c r="AS1191" t="str">
        <f t="shared" si="448"/>
        <v/>
      </c>
      <c r="AT1191" t="str">
        <f t="shared" si="449"/>
        <v/>
      </c>
      <c r="AU1191" t="str">
        <f t="shared" si="450"/>
        <v/>
      </c>
      <c r="AV1191">
        <f>N(AV1190)+IF(AND($AB1191&lt;&gt;"",OR('PROFIL ELEVE'!$K$4="(Tous)",$AF1191='PROFIL ELEVE'!$K$4)),1,0)</f>
        <v>0</v>
      </c>
      <c r="AW1191">
        <f>N(AW1190)+IF(AND($AB1191&lt;&gt;"",OR('SUIVI LONGITUDINAL'!$Q$4="(Tous)",$AF1191='SUIVI LONGITUDINAL'!$Q$4)),1,0)</f>
        <v>0</v>
      </c>
      <c r="AX1191">
        <f t="shared" si="451"/>
        <v>0</v>
      </c>
      <c r="AY1191">
        <f t="shared" si="452"/>
        <v>0</v>
      </c>
      <c r="AZ1191">
        <f t="shared" si="453"/>
        <v>0</v>
      </c>
      <c r="BA1191" t="str">
        <f t="shared" si="454"/>
        <v/>
      </c>
      <c r="BB1191" t="str">
        <f t="shared" si="455"/>
        <v/>
      </c>
    </row>
    <row r="1192" spans="1:54" ht="14.25" customHeight="1" x14ac:dyDescent="0.3">
      <c r="A1192" t="str">
        <f>IF(SAISIE!$F1197="","",SAISIE!$B1197)</f>
        <v/>
      </c>
      <c r="B1192" t="str">
        <f>IF(SAISIE!$F1197="","",SAISIE!$C1197)</f>
        <v/>
      </c>
      <c r="C1192" t="str">
        <f>IF(SAISIE!$F1197="","",SAISIE!$D1197)</f>
        <v/>
      </c>
      <c r="D1192" t="str">
        <f>IF(SAISIE!$E1197="","",SAISIE!$E1197)</f>
        <v/>
      </c>
      <c r="E1192" t="str">
        <f>IF(SAISIE!$F1197="","",SAISIE!$F1197)</f>
        <v/>
      </c>
      <c r="F1192" t="str">
        <f>IF(SAISIE!$G1197="","",SAISIE!$G1197)</f>
        <v/>
      </c>
      <c r="G1192" t="str">
        <f>IF(SAISIE!$H1197="","",SAISIE!$H1197)</f>
        <v/>
      </c>
      <c r="H1192" t="str">
        <f>IF(SAISIE!$I1197="","",SAISIE!$I1197)</f>
        <v/>
      </c>
      <c r="I1192" t="str">
        <f>IF(SAISIE!$J1197="","",SAISIE!$J1197)</f>
        <v/>
      </c>
      <c r="J1192" t="str">
        <f>IF(SAISIE!$K1197="","",SAISIE!$K1197)</f>
        <v/>
      </c>
      <c r="K1192" t="str">
        <f>IF(SAISIE!$L1197="","",SAISIE!$L1197)</f>
        <v/>
      </c>
      <c r="L1192" t="str">
        <f>IF(SAISIE!$M1197="","",SAISIE!$M1197)</f>
        <v/>
      </c>
      <c r="M1192" t="str">
        <f>IF(SAISIE!$N1197="","",SAISIE!$N1197)</f>
        <v/>
      </c>
      <c r="N1192" t="str">
        <f>IF(SAISIE!$O1197="","",SAISIE!$O1197)</f>
        <v/>
      </c>
      <c r="O1192" t="str">
        <f>IF(SAISIE!$P1197="","",SAISIE!$P1197)</f>
        <v/>
      </c>
      <c r="P1192" t="str">
        <f>IF(SAISIE!$Q1197="","",SAISIE!$Q1197)</f>
        <v/>
      </c>
      <c r="Q1192" t="str">
        <f>IF($I1192="","",IF($I1192&gt;PARAMETRES!$G$29,5,IF($I1192&gt;PARAMETRES!$F$29,4,IF($I1192&gt;PARAMETRES!$E$29,3,IF($I1192&gt;PARAMETRES!$D$29,2,1)))))</f>
        <v/>
      </c>
      <c r="R1192" t="str">
        <f>IF($J1192="","",IF($J1192&gt;PARAMETRES!$G$30,5,IF($J1192&gt;PARAMETRES!$F$30,4,IF($J1192&gt;PARAMETRES!$E$30,3,IF($J1192&gt;PARAMETRES!$D$30,2,1)))))</f>
        <v/>
      </c>
      <c r="S1192" t="str">
        <f>IF($K1192="","",IF($Z1192=2,IF($K1192&gt;PARAMETRES!$G$31,5,IF($K1192&gt;PARAMETRES!$F$31,4,IF($K1192&gt;PARAMETRES!$E$31,3,IF($K1192&gt;PARAMETRES!$D$31,2,1)))),IF($K1192&gt;PARAMETRES!$G$32,5,IF($K1192&gt;PARAMETRES!$F$32,4,IF($K1192&gt;PARAMETRES!$E$32,3,IF($K1192&gt;PARAMETRES!$D$32,2,1))))))</f>
        <v/>
      </c>
      <c r="T1192" t="str">
        <f>IF($L1192="","",IF($L1192&gt;PARAMETRES!$G$33,5,IF($L1192&gt;PARAMETRES!$F$33,4,IF($L1192&gt;PARAMETRES!$E$33,3,IF($L1192&gt;PARAMETRES!$D$33,2,1)))))</f>
        <v/>
      </c>
      <c r="U1192" t="str">
        <f>IF($M1192="","",IF($M1192&gt;PARAMETRES!$G$34,5,IF($M1192&gt;PARAMETRES!$F$34,4,IF($M1192&gt;PARAMETRES!$E$34,3,IF($M1192&gt;PARAMETRES!$D$34,2,1)))))</f>
        <v/>
      </c>
      <c r="V1192" t="str">
        <f>IF($N1192="","",IF($N1192&gt;PARAMETRES!$G$35,5,IF($N1192&gt;PARAMETRES!$F$35,4,IF($N1192&gt;PARAMETRES!$E$35,3,IF($N1192&gt;PARAMETRES!$D$35,2,1)))))</f>
        <v/>
      </c>
      <c r="W1192" t="str">
        <f>IF($O1192="","",IF($O1192&gt;PARAMETRES!$G$36,5,IF($O1192&gt;PARAMETRES!$F$36,4,IF($O1192&gt;PARAMETRES!$E$36,3,IF($O1192&gt;PARAMETRES!$D$36,2,1)))))</f>
        <v/>
      </c>
      <c r="X1192" t="str">
        <f>IF($P1192="","",IF($P1192&gt;PARAMETRES!$G$37,5,IF($P1192&gt;PARAMETRES!$F$37,4,IF($P1192&gt;PARAMETRES!$E$37,3,IF($P1192&gt;PARAMETRES!$D$37,2,1)))))</f>
        <v/>
      </c>
      <c r="Y1192" t="str">
        <f t="shared" si="432"/>
        <v/>
      </c>
      <c r="Z1192" t="str">
        <f>IFERROR(VLOOKUP($B1192,TABLE_CYCLE,2,0),"")</f>
        <v/>
      </c>
      <c r="AA1192" t="str">
        <f t="shared" si="433"/>
        <v/>
      </c>
      <c r="AB1192" t="str">
        <f>IF($D1192="","",IF(COUNTIF($D$2:$D1192,$D1192)=1,$D1192,""))</f>
        <v/>
      </c>
      <c r="AC1192">
        <f t="shared" si="434"/>
        <v>0</v>
      </c>
      <c r="AD1192" t="str">
        <f t="shared" si="435"/>
        <v>|0</v>
      </c>
      <c r="AE1192" t="str">
        <f t="shared" si="436"/>
        <v/>
      </c>
      <c r="AF1192" t="str">
        <f t="shared" si="437"/>
        <v/>
      </c>
      <c r="AG1192" t="str">
        <f t="shared" si="438"/>
        <v/>
      </c>
      <c r="AH1192" t="str">
        <f t="shared" si="439"/>
        <v/>
      </c>
      <c r="AI1192" t="str">
        <f t="shared" si="440"/>
        <v/>
      </c>
      <c r="AJ1192" t="str">
        <f t="shared" si="441"/>
        <v/>
      </c>
      <c r="AK1192" t="str">
        <f t="shared" si="442"/>
        <v/>
      </c>
      <c r="AL1192" t="str">
        <f t="shared" si="443"/>
        <v/>
      </c>
      <c r="AM1192" t="str">
        <f t="shared" si="444"/>
        <v/>
      </c>
      <c r="AN1192" t="str">
        <f t="shared" si="445"/>
        <v/>
      </c>
      <c r="AO1192" t="str">
        <f t="shared" si="446"/>
        <v/>
      </c>
      <c r="AP1192">
        <f t="shared" si="447"/>
        <v>1</v>
      </c>
      <c r="AQ1192" t="str">
        <f>IF(SAISIE!$F1197="","",SAISIE!$Y1197)</f>
        <v/>
      </c>
      <c r="AR1192" t="str">
        <f>IF(OR(SAISIE!$U$4="",SAISIE!$W$4=""),"",IF(AND($A1192=SAISIE!$U$4,$B1192=SAISIE!$W$4,$C1192="S1"),COUNTIFS($A$2:$A1192,SAISIE!$U$4,$B$2:$B1192,SAISIE!$W$4,$C$2:$C1192,"S1"),""))</f>
        <v/>
      </c>
      <c r="AS1192" t="str">
        <f t="shared" si="448"/>
        <v/>
      </c>
      <c r="AT1192" t="str">
        <f t="shared" si="449"/>
        <v/>
      </c>
      <c r="AU1192" t="str">
        <f t="shared" si="450"/>
        <v/>
      </c>
      <c r="AV1192">
        <f>N(AV1191)+IF(AND($AB1192&lt;&gt;"",OR('PROFIL ELEVE'!$K$4="(Tous)",$AF1192='PROFIL ELEVE'!$K$4)),1,0)</f>
        <v>0</v>
      </c>
      <c r="AW1192">
        <f>N(AW1191)+IF(AND($AB1192&lt;&gt;"",OR('SUIVI LONGITUDINAL'!$Q$4="(Tous)",$AF1192='SUIVI LONGITUDINAL'!$Q$4)),1,0)</f>
        <v>0</v>
      </c>
      <c r="AX1192">
        <f t="shared" si="451"/>
        <v>0</v>
      </c>
      <c r="AY1192">
        <f t="shared" si="452"/>
        <v>0</v>
      </c>
      <c r="AZ1192">
        <f t="shared" si="453"/>
        <v>0</v>
      </c>
      <c r="BA1192" t="str">
        <f t="shared" si="454"/>
        <v/>
      </c>
      <c r="BB1192" t="str">
        <f t="shared" si="455"/>
        <v/>
      </c>
    </row>
    <row r="1193" spans="1:54" ht="14.25" customHeight="1" x14ac:dyDescent="0.3">
      <c r="A1193" t="str">
        <f>IF(SAISIE!$F1198="","",SAISIE!$B1198)</f>
        <v/>
      </c>
      <c r="B1193" t="str">
        <f>IF(SAISIE!$F1198="","",SAISIE!$C1198)</f>
        <v/>
      </c>
      <c r="C1193" t="str">
        <f>IF(SAISIE!$F1198="","",SAISIE!$D1198)</f>
        <v/>
      </c>
      <c r="D1193" t="str">
        <f>IF(SAISIE!$E1198="","",SAISIE!$E1198)</f>
        <v/>
      </c>
      <c r="E1193" t="str">
        <f>IF(SAISIE!$F1198="","",SAISIE!$F1198)</f>
        <v/>
      </c>
      <c r="F1193" t="str">
        <f>IF(SAISIE!$G1198="","",SAISIE!$G1198)</f>
        <v/>
      </c>
      <c r="G1193" t="str">
        <f>IF(SAISIE!$H1198="","",SAISIE!$H1198)</f>
        <v/>
      </c>
      <c r="H1193" t="str">
        <f>IF(SAISIE!$I1198="","",SAISIE!$I1198)</f>
        <v/>
      </c>
      <c r="I1193" t="str">
        <f>IF(SAISIE!$J1198="","",SAISIE!$J1198)</f>
        <v/>
      </c>
      <c r="J1193" t="str">
        <f>IF(SAISIE!$K1198="","",SAISIE!$K1198)</f>
        <v/>
      </c>
      <c r="K1193" t="str">
        <f>IF(SAISIE!$L1198="","",SAISIE!$L1198)</f>
        <v/>
      </c>
      <c r="L1193" t="str">
        <f>IF(SAISIE!$M1198="","",SAISIE!$M1198)</f>
        <v/>
      </c>
      <c r="M1193" t="str">
        <f>IF(SAISIE!$N1198="","",SAISIE!$N1198)</f>
        <v/>
      </c>
      <c r="N1193" t="str">
        <f>IF(SAISIE!$O1198="","",SAISIE!$O1198)</f>
        <v/>
      </c>
      <c r="O1193" t="str">
        <f>IF(SAISIE!$P1198="","",SAISIE!$P1198)</f>
        <v/>
      </c>
      <c r="P1193" t="str">
        <f>IF(SAISIE!$Q1198="","",SAISIE!$Q1198)</f>
        <v/>
      </c>
      <c r="Q1193" t="str">
        <f>IF($I1193="","",IF($I1193&gt;PARAMETRES!$G$29,5,IF($I1193&gt;PARAMETRES!$F$29,4,IF($I1193&gt;PARAMETRES!$E$29,3,IF($I1193&gt;PARAMETRES!$D$29,2,1)))))</f>
        <v/>
      </c>
      <c r="R1193" t="str">
        <f>IF($J1193="","",IF($J1193&gt;PARAMETRES!$G$30,5,IF($J1193&gt;PARAMETRES!$F$30,4,IF($J1193&gt;PARAMETRES!$E$30,3,IF($J1193&gt;PARAMETRES!$D$30,2,1)))))</f>
        <v/>
      </c>
      <c r="S1193" t="str">
        <f>IF($K1193="","",IF($Z1193=2,IF($K1193&gt;PARAMETRES!$G$31,5,IF($K1193&gt;PARAMETRES!$F$31,4,IF($K1193&gt;PARAMETRES!$E$31,3,IF($K1193&gt;PARAMETRES!$D$31,2,1)))),IF($K1193&gt;PARAMETRES!$G$32,5,IF($K1193&gt;PARAMETRES!$F$32,4,IF($K1193&gt;PARAMETRES!$E$32,3,IF($K1193&gt;PARAMETRES!$D$32,2,1))))))</f>
        <v/>
      </c>
      <c r="T1193" t="str">
        <f>IF($L1193="","",IF($L1193&gt;PARAMETRES!$G$33,5,IF($L1193&gt;PARAMETRES!$F$33,4,IF($L1193&gt;PARAMETRES!$E$33,3,IF($L1193&gt;PARAMETRES!$D$33,2,1)))))</f>
        <v/>
      </c>
      <c r="U1193" t="str">
        <f>IF($M1193="","",IF($M1193&gt;PARAMETRES!$G$34,5,IF($M1193&gt;PARAMETRES!$F$34,4,IF($M1193&gt;PARAMETRES!$E$34,3,IF($M1193&gt;PARAMETRES!$D$34,2,1)))))</f>
        <v/>
      </c>
      <c r="V1193" t="str">
        <f>IF($N1193="","",IF($N1193&gt;PARAMETRES!$G$35,5,IF($N1193&gt;PARAMETRES!$F$35,4,IF($N1193&gt;PARAMETRES!$E$35,3,IF($N1193&gt;PARAMETRES!$D$35,2,1)))))</f>
        <v/>
      </c>
      <c r="W1193" t="str">
        <f>IF($O1193="","",IF($O1193&gt;PARAMETRES!$G$36,5,IF($O1193&gt;PARAMETRES!$F$36,4,IF($O1193&gt;PARAMETRES!$E$36,3,IF($O1193&gt;PARAMETRES!$D$36,2,1)))))</f>
        <v/>
      </c>
      <c r="X1193" t="str">
        <f>IF($P1193="","",IF($P1193&gt;PARAMETRES!$G$37,5,IF($P1193&gt;PARAMETRES!$F$37,4,IF($P1193&gt;PARAMETRES!$E$37,3,IF($P1193&gt;PARAMETRES!$D$37,2,1)))))</f>
        <v/>
      </c>
      <c r="Y1193" t="str">
        <f t="shared" si="432"/>
        <v/>
      </c>
      <c r="Z1193" t="str">
        <f>IFERROR(VLOOKUP($B1193,TABLE_CYCLE,2,0),"")</f>
        <v/>
      </c>
      <c r="AA1193" t="str">
        <f t="shared" si="433"/>
        <v/>
      </c>
      <c r="AB1193" t="str">
        <f>IF($D1193="","",IF(COUNTIF($D$2:$D1193,$D1193)=1,$D1193,""))</f>
        <v/>
      </c>
      <c r="AC1193">
        <f t="shared" si="434"/>
        <v>0</v>
      </c>
      <c r="AD1193" t="str">
        <f t="shared" si="435"/>
        <v>|0</v>
      </c>
      <c r="AE1193" t="str">
        <f t="shared" si="436"/>
        <v/>
      </c>
      <c r="AF1193" t="str">
        <f t="shared" si="437"/>
        <v/>
      </c>
      <c r="AG1193" t="str">
        <f t="shared" si="438"/>
        <v/>
      </c>
      <c r="AH1193" t="str">
        <f t="shared" si="439"/>
        <v/>
      </c>
      <c r="AI1193" t="str">
        <f t="shared" si="440"/>
        <v/>
      </c>
      <c r="AJ1193" t="str">
        <f t="shared" si="441"/>
        <v/>
      </c>
      <c r="AK1193" t="str">
        <f t="shared" si="442"/>
        <v/>
      </c>
      <c r="AL1193" t="str">
        <f t="shared" si="443"/>
        <v/>
      </c>
      <c r="AM1193" t="str">
        <f t="shared" si="444"/>
        <v/>
      </c>
      <c r="AN1193" t="str">
        <f t="shared" si="445"/>
        <v/>
      </c>
      <c r="AO1193" t="str">
        <f t="shared" si="446"/>
        <v/>
      </c>
      <c r="AP1193">
        <f t="shared" si="447"/>
        <v>1</v>
      </c>
      <c r="AQ1193" t="str">
        <f>IF(SAISIE!$F1198="","",SAISIE!$Y1198)</f>
        <v/>
      </c>
      <c r="AR1193" t="str">
        <f>IF(OR(SAISIE!$U$4="",SAISIE!$W$4=""),"",IF(AND($A1193=SAISIE!$U$4,$B1193=SAISIE!$W$4,$C1193="S1"),COUNTIFS($A$2:$A1193,SAISIE!$U$4,$B$2:$B1193,SAISIE!$W$4,$C$2:$C1193,"S1"),""))</f>
        <v/>
      </c>
      <c r="AS1193" t="str">
        <f t="shared" si="448"/>
        <v/>
      </c>
      <c r="AT1193" t="str">
        <f t="shared" si="449"/>
        <v/>
      </c>
      <c r="AU1193" t="str">
        <f t="shared" si="450"/>
        <v/>
      </c>
      <c r="AV1193">
        <f>N(AV1192)+IF(AND($AB1193&lt;&gt;"",OR('PROFIL ELEVE'!$K$4="(Tous)",$AF1193='PROFIL ELEVE'!$K$4)),1,0)</f>
        <v>0</v>
      </c>
      <c r="AW1193">
        <f>N(AW1192)+IF(AND($AB1193&lt;&gt;"",OR('SUIVI LONGITUDINAL'!$Q$4="(Tous)",$AF1193='SUIVI LONGITUDINAL'!$Q$4)),1,0)</f>
        <v>0</v>
      </c>
      <c r="AX1193">
        <f t="shared" si="451"/>
        <v>0</v>
      </c>
      <c r="AY1193">
        <f t="shared" si="452"/>
        <v>0</v>
      </c>
      <c r="AZ1193">
        <f t="shared" si="453"/>
        <v>0</v>
      </c>
      <c r="BA1193" t="str">
        <f t="shared" si="454"/>
        <v/>
      </c>
      <c r="BB1193" t="str">
        <f t="shared" si="455"/>
        <v/>
      </c>
    </row>
    <row r="1194" spans="1:54" ht="14.25" customHeight="1" x14ac:dyDescent="0.3">
      <c r="A1194" t="str">
        <f>IF(SAISIE!$F1199="","",SAISIE!$B1199)</f>
        <v/>
      </c>
      <c r="B1194" t="str">
        <f>IF(SAISIE!$F1199="","",SAISIE!$C1199)</f>
        <v/>
      </c>
      <c r="C1194" t="str">
        <f>IF(SAISIE!$F1199="","",SAISIE!$D1199)</f>
        <v/>
      </c>
      <c r="D1194" t="str">
        <f>IF(SAISIE!$E1199="","",SAISIE!$E1199)</f>
        <v/>
      </c>
      <c r="E1194" t="str">
        <f>IF(SAISIE!$F1199="","",SAISIE!$F1199)</f>
        <v/>
      </c>
      <c r="F1194" t="str">
        <f>IF(SAISIE!$G1199="","",SAISIE!$G1199)</f>
        <v/>
      </c>
      <c r="G1194" t="str">
        <f>IF(SAISIE!$H1199="","",SAISIE!$H1199)</f>
        <v/>
      </c>
      <c r="H1194" t="str">
        <f>IF(SAISIE!$I1199="","",SAISIE!$I1199)</f>
        <v/>
      </c>
      <c r="I1194" t="str">
        <f>IF(SAISIE!$J1199="","",SAISIE!$J1199)</f>
        <v/>
      </c>
      <c r="J1194" t="str">
        <f>IF(SAISIE!$K1199="","",SAISIE!$K1199)</f>
        <v/>
      </c>
      <c r="K1194" t="str">
        <f>IF(SAISIE!$L1199="","",SAISIE!$L1199)</f>
        <v/>
      </c>
      <c r="L1194" t="str">
        <f>IF(SAISIE!$M1199="","",SAISIE!$M1199)</f>
        <v/>
      </c>
      <c r="M1194" t="str">
        <f>IF(SAISIE!$N1199="","",SAISIE!$N1199)</f>
        <v/>
      </c>
      <c r="N1194" t="str">
        <f>IF(SAISIE!$O1199="","",SAISIE!$O1199)</f>
        <v/>
      </c>
      <c r="O1194" t="str">
        <f>IF(SAISIE!$P1199="","",SAISIE!$P1199)</f>
        <v/>
      </c>
      <c r="P1194" t="str">
        <f>IF(SAISIE!$Q1199="","",SAISIE!$Q1199)</f>
        <v/>
      </c>
      <c r="Q1194" t="str">
        <f>IF($I1194="","",IF($I1194&gt;PARAMETRES!$G$29,5,IF($I1194&gt;PARAMETRES!$F$29,4,IF($I1194&gt;PARAMETRES!$E$29,3,IF($I1194&gt;PARAMETRES!$D$29,2,1)))))</f>
        <v/>
      </c>
      <c r="R1194" t="str">
        <f>IF($J1194="","",IF($J1194&gt;PARAMETRES!$G$30,5,IF($J1194&gt;PARAMETRES!$F$30,4,IF($J1194&gt;PARAMETRES!$E$30,3,IF($J1194&gt;PARAMETRES!$D$30,2,1)))))</f>
        <v/>
      </c>
      <c r="S1194" t="str">
        <f>IF($K1194="","",IF($Z1194=2,IF($K1194&gt;PARAMETRES!$G$31,5,IF($K1194&gt;PARAMETRES!$F$31,4,IF($K1194&gt;PARAMETRES!$E$31,3,IF($K1194&gt;PARAMETRES!$D$31,2,1)))),IF($K1194&gt;PARAMETRES!$G$32,5,IF($K1194&gt;PARAMETRES!$F$32,4,IF($K1194&gt;PARAMETRES!$E$32,3,IF($K1194&gt;PARAMETRES!$D$32,2,1))))))</f>
        <v/>
      </c>
      <c r="T1194" t="str">
        <f>IF($L1194="","",IF($L1194&gt;PARAMETRES!$G$33,5,IF($L1194&gt;PARAMETRES!$F$33,4,IF($L1194&gt;PARAMETRES!$E$33,3,IF($L1194&gt;PARAMETRES!$D$33,2,1)))))</f>
        <v/>
      </c>
      <c r="U1194" t="str">
        <f>IF($M1194="","",IF($M1194&gt;PARAMETRES!$G$34,5,IF($M1194&gt;PARAMETRES!$F$34,4,IF($M1194&gt;PARAMETRES!$E$34,3,IF($M1194&gt;PARAMETRES!$D$34,2,1)))))</f>
        <v/>
      </c>
      <c r="V1194" t="str">
        <f>IF($N1194="","",IF($N1194&gt;PARAMETRES!$G$35,5,IF($N1194&gt;PARAMETRES!$F$35,4,IF($N1194&gt;PARAMETRES!$E$35,3,IF($N1194&gt;PARAMETRES!$D$35,2,1)))))</f>
        <v/>
      </c>
      <c r="W1194" t="str">
        <f>IF($O1194="","",IF($O1194&gt;PARAMETRES!$G$36,5,IF($O1194&gt;PARAMETRES!$F$36,4,IF($O1194&gt;PARAMETRES!$E$36,3,IF($O1194&gt;PARAMETRES!$D$36,2,1)))))</f>
        <v/>
      </c>
      <c r="X1194" t="str">
        <f>IF($P1194="","",IF($P1194&gt;PARAMETRES!$G$37,5,IF($P1194&gt;PARAMETRES!$F$37,4,IF($P1194&gt;PARAMETRES!$E$37,3,IF($P1194&gt;PARAMETRES!$D$37,2,1)))))</f>
        <v/>
      </c>
      <c r="Y1194" t="str">
        <f t="shared" si="432"/>
        <v/>
      </c>
      <c r="Z1194" t="str">
        <f>IFERROR(VLOOKUP($B1194,TABLE_CYCLE,2,0),"")</f>
        <v/>
      </c>
      <c r="AA1194" t="str">
        <f t="shared" si="433"/>
        <v/>
      </c>
      <c r="AB1194" t="str">
        <f>IF($D1194="","",IF(COUNTIF($D$2:$D1194,$D1194)=1,$D1194,""))</f>
        <v/>
      </c>
      <c r="AC1194">
        <f t="shared" si="434"/>
        <v>0</v>
      </c>
      <c r="AD1194" t="str">
        <f t="shared" si="435"/>
        <v>|0</v>
      </c>
      <c r="AE1194" t="str">
        <f t="shared" si="436"/>
        <v/>
      </c>
      <c r="AF1194" t="str">
        <f t="shared" si="437"/>
        <v/>
      </c>
      <c r="AG1194" t="str">
        <f t="shared" si="438"/>
        <v/>
      </c>
      <c r="AH1194" t="str">
        <f t="shared" si="439"/>
        <v/>
      </c>
      <c r="AI1194" t="str">
        <f t="shared" si="440"/>
        <v/>
      </c>
      <c r="AJ1194" t="str">
        <f t="shared" si="441"/>
        <v/>
      </c>
      <c r="AK1194" t="str">
        <f t="shared" si="442"/>
        <v/>
      </c>
      <c r="AL1194" t="str">
        <f t="shared" si="443"/>
        <v/>
      </c>
      <c r="AM1194" t="str">
        <f t="shared" si="444"/>
        <v/>
      </c>
      <c r="AN1194" t="str">
        <f t="shared" si="445"/>
        <v/>
      </c>
      <c r="AO1194" t="str">
        <f t="shared" si="446"/>
        <v/>
      </c>
      <c r="AP1194">
        <f t="shared" si="447"/>
        <v>1</v>
      </c>
      <c r="AQ1194" t="str">
        <f>IF(SAISIE!$F1199="","",SAISIE!$Y1199)</f>
        <v/>
      </c>
      <c r="AR1194" t="str">
        <f>IF(OR(SAISIE!$U$4="",SAISIE!$W$4=""),"",IF(AND($A1194=SAISIE!$U$4,$B1194=SAISIE!$W$4,$C1194="S1"),COUNTIFS($A$2:$A1194,SAISIE!$U$4,$B$2:$B1194,SAISIE!$W$4,$C$2:$C1194,"S1"),""))</f>
        <v/>
      </c>
      <c r="AS1194" t="str">
        <f t="shared" si="448"/>
        <v/>
      </c>
      <c r="AT1194" t="str">
        <f t="shared" si="449"/>
        <v/>
      </c>
      <c r="AU1194" t="str">
        <f t="shared" si="450"/>
        <v/>
      </c>
      <c r="AV1194">
        <f>N(AV1193)+IF(AND($AB1194&lt;&gt;"",OR('PROFIL ELEVE'!$K$4="(Tous)",$AF1194='PROFIL ELEVE'!$K$4)),1,0)</f>
        <v>0</v>
      </c>
      <c r="AW1194">
        <f>N(AW1193)+IF(AND($AB1194&lt;&gt;"",OR('SUIVI LONGITUDINAL'!$Q$4="(Tous)",$AF1194='SUIVI LONGITUDINAL'!$Q$4)),1,0)</f>
        <v>0</v>
      </c>
      <c r="AX1194">
        <f t="shared" si="451"/>
        <v>0</v>
      </c>
      <c r="AY1194">
        <f t="shared" si="452"/>
        <v>0</v>
      </c>
      <c r="AZ1194">
        <f t="shared" si="453"/>
        <v>0</v>
      </c>
      <c r="BA1194" t="str">
        <f t="shared" si="454"/>
        <v/>
      </c>
      <c r="BB1194" t="str">
        <f t="shared" si="455"/>
        <v/>
      </c>
    </row>
    <row r="1195" spans="1:54" ht="14.25" customHeight="1" x14ac:dyDescent="0.3">
      <c r="A1195" t="str">
        <f>IF(SAISIE!$F1200="","",SAISIE!$B1200)</f>
        <v/>
      </c>
      <c r="B1195" t="str">
        <f>IF(SAISIE!$F1200="","",SAISIE!$C1200)</f>
        <v/>
      </c>
      <c r="C1195" t="str">
        <f>IF(SAISIE!$F1200="","",SAISIE!$D1200)</f>
        <v/>
      </c>
      <c r="D1195" t="str">
        <f>IF(SAISIE!$E1200="","",SAISIE!$E1200)</f>
        <v/>
      </c>
      <c r="E1195" t="str">
        <f>IF(SAISIE!$F1200="","",SAISIE!$F1200)</f>
        <v/>
      </c>
      <c r="F1195" t="str">
        <f>IF(SAISIE!$G1200="","",SAISIE!$G1200)</f>
        <v/>
      </c>
      <c r="G1195" t="str">
        <f>IF(SAISIE!$H1200="","",SAISIE!$H1200)</f>
        <v/>
      </c>
      <c r="H1195" t="str">
        <f>IF(SAISIE!$I1200="","",SAISIE!$I1200)</f>
        <v/>
      </c>
      <c r="I1195" t="str">
        <f>IF(SAISIE!$J1200="","",SAISIE!$J1200)</f>
        <v/>
      </c>
      <c r="J1195" t="str">
        <f>IF(SAISIE!$K1200="","",SAISIE!$K1200)</f>
        <v/>
      </c>
      <c r="K1195" t="str">
        <f>IF(SAISIE!$L1200="","",SAISIE!$L1200)</f>
        <v/>
      </c>
      <c r="L1195" t="str">
        <f>IF(SAISIE!$M1200="","",SAISIE!$M1200)</f>
        <v/>
      </c>
      <c r="M1195" t="str">
        <f>IF(SAISIE!$N1200="","",SAISIE!$N1200)</f>
        <v/>
      </c>
      <c r="N1195" t="str">
        <f>IF(SAISIE!$O1200="","",SAISIE!$O1200)</f>
        <v/>
      </c>
      <c r="O1195" t="str">
        <f>IF(SAISIE!$P1200="","",SAISIE!$P1200)</f>
        <v/>
      </c>
      <c r="P1195" t="str">
        <f>IF(SAISIE!$Q1200="","",SAISIE!$Q1200)</f>
        <v/>
      </c>
      <c r="Q1195" t="str">
        <f>IF($I1195="","",IF($I1195&gt;PARAMETRES!$G$29,5,IF($I1195&gt;PARAMETRES!$F$29,4,IF($I1195&gt;PARAMETRES!$E$29,3,IF($I1195&gt;PARAMETRES!$D$29,2,1)))))</f>
        <v/>
      </c>
      <c r="R1195" t="str">
        <f>IF($J1195="","",IF($J1195&gt;PARAMETRES!$G$30,5,IF($J1195&gt;PARAMETRES!$F$30,4,IF($J1195&gt;PARAMETRES!$E$30,3,IF($J1195&gt;PARAMETRES!$D$30,2,1)))))</f>
        <v/>
      </c>
      <c r="S1195" t="str">
        <f>IF($K1195="","",IF($Z1195=2,IF($K1195&gt;PARAMETRES!$G$31,5,IF($K1195&gt;PARAMETRES!$F$31,4,IF($K1195&gt;PARAMETRES!$E$31,3,IF($K1195&gt;PARAMETRES!$D$31,2,1)))),IF($K1195&gt;PARAMETRES!$G$32,5,IF($K1195&gt;PARAMETRES!$F$32,4,IF($K1195&gt;PARAMETRES!$E$32,3,IF($K1195&gt;PARAMETRES!$D$32,2,1))))))</f>
        <v/>
      </c>
      <c r="T1195" t="str">
        <f>IF($L1195="","",IF($L1195&gt;PARAMETRES!$G$33,5,IF($L1195&gt;PARAMETRES!$F$33,4,IF($L1195&gt;PARAMETRES!$E$33,3,IF($L1195&gt;PARAMETRES!$D$33,2,1)))))</f>
        <v/>
      </c>
      <c r="U1195" t="str">
        <f>IF($M1195="","",IF($M1195&gt;PARAMETRES!$G$34,5,IF($M1195&gt;PARAMETRES!$F$34,4,IF($M1195&gt;PARAMETRES!$E$34,3,IF($M1195&gt;PARAMETRES!$D$34,2,1)))))</f>
        <v/>
      </c>
      <c r="V1195" t="str">
        <f>IF($N1195="","",IF($N1195&gt;PARAMETRES!$G$35,5,IF($N1195&gt;PARAMETRES!$F$35,4,IF($N1195&gt;PARAMETRES!$E$35,3,IF($N1195&gt;PARAMETRES!$D$35,2,1)))))</f>
        <v/>
      </c>
      <c r="W1195" t="str">
        <f>IF($O1195="","",IF($O1195&gt;PARAMETRES!$G$36,5,IF($O1195&gt;PARAMETRES!$F$36,4,IF($O1195&gt;PARAMETRES!$E$36,3,IF($O1195&gt;PARAMETRES!$D$36,2,1)))))</f>
        <v/>
      </c>
      <c r="X1195" t="str">
        <f>IF($P1195="","",IF($P1195&gt;PARAMETRES!$G$37,5,IF($P1195&gt;PARAMETRES!$F$37,4,IF($P1195&gt;PARAMETRES!$E$37,3,IF($P1195&gt;PARAMETRES!$D$37,2,1)))))</f>
        <v/>
      </c>
      <c r="Y1195" t="str">
        <f t="shared" si="432"/>
        <v/>
      </c>
      <c r="Z1195" t="str">
        <f>IFERROR(VLOOKUP($B1195,TABLE_CYCLE,2,0),"")</f>
        <v/>
      </c>
      <c r="AA1195" t="str">
        <f t="shared" si="433"/>
        <v/>
      </c>
      <c r="AB1195" t="str">
        <f>IF($D1195="","",IF(COUNTIF($D$2:$D1195,$D1195)=1,$D1195,""))</f>
        <v/>
      </c>
      <c r="AC1195">
        <f t="shared" si="434"/>
        <v>0</v>
      </c>
      <c r="AD1195" t="str">
        <f t="shared" si="435"/>
        <v>|0</v>
      </c>
      <c r="AE1195" t="str">
        <f t="shared" si="436"/>
        <v/>
      </c>
      <c r="AF1195" t="str">
        <f t="shared" si="437"/>
        <v/>
      </c>
      <c r="AG1195" t="str">
        <f t="shared" si="438"/>
        <v/>
      </c>
      <c r="AH1195" t="str">
        <f t="shared" si="439"/>
        <v/>
      </c>
      <c r="AI1195" t="str">
        <f t="shared" si="440"/>
        <v/>
      </c>
      <c r="AJ1195" t="str">
        <f t="shared" si="441"/>
        <v/>
      </c>
      <c r="AK1195" t="str">
        <f t="shared" si="442"/>
        <v/>
      </c>
      <c r="AL1195" t="str">
        <f t="shared" si="443"/>
        <v/>
      </c>
      <c r="AM1195" t="str">
        <f t="shared" si="444"/>
        <v/>
      </c>
      <c r="AN1195" t="str">
        <f t="shared" si="445"/>
        <v/>
      </c>
      <c r="AO1195" t="str">
        <f t="shared" si="446"/>
        <v/>
      </c>
      <c r="AP1195">
        <f t="shared" si="447"/>
        <v>1</v>
      </c>
      <c r="AQ1195" t="str">
        <f>IF(SAISIE!$F1200="","",SAISIE!$Y1200)</f>
        <v/>
      </c>
      <c r="AR1195" t="str">
        <f>IF(OR(SAISIE!$U$4="",SAISIE!$W$4=""),"",IF(AND($A1195=SAISIE!$U$4,$B1195=SAISIE!$W$4,$C1195="S1"),COUNTIFS($A$2:$A1195,SAISIE!$U$4,$B$2:$B1195,SAISIE!$W$4,$C$2:$C1195,"S1"),""))</f>
        <v/>
      </c>
      <c r="AS1195" t="str">
        <f t="shared" si="448"/>
        <v/>
      </c>
      <c r="AT1195" t="str">
        <f t="shared" si="449"/>
        <v/>
      </c>
      <c r="AU1195" t="str">
        <f t="shared" si="450"/>
        <v/>
      </c>
      <c r="AV1195">
        <f>N(AV1194)+IF(AND($AB1195&lt;&gt;"",OR('PROFIL ELEVE'!$K$4="(Tous)",$AF1195='PROFIL ELEVE'!$K$4)),1,0)</f>
        <v>0</v>
      </c>
      <c r="AW1195">
        <f>N(AW1194)+IF(AND($AB1195&lt;&gt;"",OR('SUIVI LONGITUDINAL'!$Q$4="(Tous)",$AF1195='SUIVI LONGITUDINAL'!$Q$4)),1,0)</f>
        <v>0</v>
      </c>
      <c r="AX1195">
        <f t="shared" si="451"/>
        <v>0</v>
      </c>
      <c r="AY1195">
        <f t="shared" si="452"/>
        <v>0</v>
      </c>
      <c r="AZ1195">
        <f t="shared" si="453"/>
        <v>0</v>
      </c>
      <c r="BA1195" t="str">
        <f t="shared" si="454"/>
        <v/>
      </c>
      <c r="BB1195" t="str">
        <f t="shared" si="455"/>
        <v/>
      </c>
    </row>
    <row r="1196" spans="1:54" ht="14.25" customHeight="1" x14ac:dyDescent="0.3">
      <c r="A1196" t="str">
        <f>IF(SAISIE!$F1201="","",SAISIE!$B1201)</f>
        <v/>
      </c>
      <c r="B1196" t="str">
        <f>IF(SAISIE!$F1201="","",SAISIE!$C1201)</f>
        <v/>
      </c>
      <c r="C1196" t="str">
        <f>IF(SAISIE!$F1201="","",SAISIE!$D1201)</f>
        <v/>
      </c>
      <c r="D1196" t="str">
        <f>IF(SAISIE!$E1201="","",SAISIE!$E1201)</f>
        <v/>
      </c>
      <c r="E1196" t="str">
        <f>IF(SAISIE!$F1201="","",SAISIE!$F1201)</f>
        <v/>
      </c>
      <c r="F1196" t="str">
        <f>IF(SAISIE!$G1201="","",SAISIE!$G1201)</f>
        <v/>
      </c>
      <c r="G1196" t="str">
        <f>IF(SAISIE!$H1201="","",SAISIE!$H1201)</f>
        <v/>
      </c>
      <c r="H1196" t="str">
        <f>IF(SAISIE!$I1201="","",SAISIE!$I1201)</f>
        <v/>
      </c>
      <c r="I1196" t="str">
        <f>IF(SAISIE!$J1201="","",SAISIE!$J1201)</f>
        <v/>
      </c>
      <c r="J1196" t="str">
        <f>IF(SAISIE!$K1201="","",SAISIE!$K1201)</f>
        <v/>
      </c>
      <c r="K1196" t="str">
        <f>IF(SAISIE!$L1201="","",SAISIE!$L1201)</f>
        <v/>
      </c>
      <c r="L1196" t="str">
        <f>IF(SAISIE!$M1201="","",SAISIE!$M1201)</f>
        <v/>
      </c>
      <c r="M1196" t="str">
        <f>IF(SAISIE!$N1201="","",SAISIE!$N1201)</f>
        <v/>
      </c>
      <c r="N1196" t="str">
        <f>IF(SAISIE!$O1201="","",SAISIE!$O1201)</f>
        <v/>
      </c>
      <c r="O1196" t="str">
        <f>IF(SAISIE!$P1201="","",SAISIE!$P1201)</f>
        <v/>
      </c>
      <c r="P1196" t="str">
        <f>IF(SAISIE!$Q1201="","",SAISIE!$Q1201)</f>
        <v/>
      </c>
      <c r="Q1196" t="str">
        <f>IF($I1196="","",IF($I1196&gt;PARAMETRES!$G$29,5,IF($I1196&gt;PARAMETRES!$F$29,4,IF($I1196&gt;PARAMETRES!$E$29,3,IF($I1196&gt;PARAMETRES!$D$29,2,1)))))</f>
        <v/>
      </c>
      <c r="R1196" t="str">
        <f>IF($J1196="","",IF($J1196&gt;PARAMETRES!$G$30,5,IF($J1196&gt;PARAMETRES!$F$30,4,IF($J1196&gt;PARAMETRES!$E$30,3,IF($J1196&gt;PARAMETRES!$D$30,2,1)))))</f>
        <v/>
      </c>
      <c r="S1196" t="str">
        <f>IF($K1196="","",IF($Z1196=2,IF($K1196&gt;PARAMETRES!$G$31,5,IF($K1196&gt;PARAMETRES!$F$31,4,IF($K1196&gt;PARAMETRES!$E$31,3,IF($K1196&gt;PARAMETRES!$D$31,2,1)))),IF($K1196&gt;PARAMETRES!$G$32,5,IF($K1196&gt;PARAMETRES!$F$32,4,IF($K1196&gt;PARAMETRES!$E$32,3,IF($K1196&gt;PARAMETRES!$D$32,2,1))))))</f>
        <v/>
      </c>
      <c r="T1196" t="str">
        <f>IF($L1196="","",IF($L1196&gt;PARAMETRES!$G$33,5,IF($L1196&gt;PARAMETRES!$F$33,4,IF($L1196&gt;PARAMETRES!$E$33,3,IF($L1196&gt;PARAMETRES!$D$33,2,1)))))</f>
        <v/>
      </c>
      <c r="U1196" t="str">
        <f>IF($M1196="","",IF($M1196&gt;PARAMETRES!$G$34,5,IF($M1196&gt;PARAMETRES!$F$34,4,IF($M1196&gt;PARAMETRES!$E$34,3,IF($M1196&gt;PARAMETRES!$D$34,2,1)))))</f>
        <v/>
      </c>
      <c r="V1196" t="str">
        <f>IF($N1196="","",IF($N1196&gt;PARAMETRES!$G$35,5,IF($N1196&gt;PARAMETRES!$F$35,4,IF($N1196&gt;PARAMETRES!$E$35,3,IF($N1196&gt;PARAMETRES!$D$35,2,1)))))</f>
        <v/>
      </c>
      <c r="W1196" t="str">
        <f>IF($O1196="","",IF($O1196&gt;PARAMETRES!$G$36,5,IF($O1196&gt;PARAMETRES!$F$36,4,IF($O1196&gt;PARAMETRES!$E$36,3,IF($O1196&gt;PARAMETRES!$D$36,2,1)))))</f>
        <v/>
      </c>
      <c r="X1196" t="str">
        <f>IF($P1196="","",IF($P1196&gt;PARAMETRES!$G$37,5,IF($P1196&gt;PARAMETRES!$F$37,4,IF($P1196&gt;PARAMETRES!$E$37,3,IF($P1196&gt;PARAMETRES!$D$37,2,1)))))</f>
        <v/>
      </c>
      <c r="Y1196" t="str">
        <f t="shared" si="432"/>
        <v/>
      </c>
      <c r="Z1196" t="str">
        <f>IFERROR(VLOOKUP($B1196,TABLE_CYCLE,2,0),"")</f>
        <v/>
      </c>
      <c r="AA1196" t="str">
        <f t="shared" si="433"/>
        <v/>
      </c>
      <c r="AB1196" t="str">
        <f>IF($D1196="","",IF(COUNTIF($D$2:$D1196,$D1196)=1,$D1196,""))</f>
        <v/>
      </c>
      <c r="AC1196">
        <f t="shared" si="434"/>
        <v>0</v>
      </c>
      <c r="AD1196" t="str">
        <f t="shared" si="435"/>
        <v>|0</v>
      </c>
      <c r="AE1196" t="str">
        <f t="shared" si="436"/>
        <v/>
      </c>
      <c r="AF1196" t="str">
        <f t="shared" si="437"/>
        <v/>
      </c>
      <c r="AG1196" t="str">
        <f t="shared" si="438"/>
        <v/>
      </c>
      <c r="AH1196" t="str">
        <f t="shared" si="439"/>
        <v/>
      </c>
      <c r="AI1196" t="str">
        <f t="shared" si="440"/>
        <v/>
      </c>
      <c r="AJ1196" t="str">
        <f t="shared" si="441"/>
        <v/>
      </c>
      <c r="AK1196" t="str">
        <f t="shared" si="442"/>
        <v/>
      </c>
      <c r="AL1196" t="str">
        <f t="shared" si="443"/>
        <v/>
      </c>
      <c r="AM1196" t="str">
        <f t="shared" si="444"/>
        <v/>
      </c>
      <c r="AN1196" t="str">
        <f t="shared" si="445"/>
        <v/>
      </c>
      <c r="AO1196" t="str">
        <f t="shared" si="446"/>
        <v/>
      </c>
      <c r="AP1196">
        <f t="shared" si="447"/>
        <v>1</v>
      </c>
      <c r="AQ1196" t="str">
        <f>IF(SAISIE!$F1201="","",SAISIE!$Y1201)</f>
        <v/>
      </c>
      <c r="AR1196" t="str">
        <f>IF(OR(SAISIE!$U$4="",SAISIE!$W$4=""),"",IF(AND($A1196=SAISIE!$U$4,$B1196=SAISIE!$W$4,$C1196="S1"),COUNTIFS($A$2:$A1196,SAISIE!$U$4,$B$2:$B1196,SAISIE!$W$4,$C$2:$C1196,"S1"),""))</f>
        <v/>
      </c>
      <c r="AS1196" t="str">
        <f t="shared" si="448"/>
        <v/>
      </c>
      <c r="AT1196" t="str">
        <f t="shared" si="449"/>
        <v/>
      </c>
      <c r="AU1196" t="str">
        <f t="shared" si="450"/>
        <v/>
      </c>
      <c r="AV1196">
        <f>N(AV1195)+IF(AND($AB1196&lt;&gt;"",OR('PROFIL ELEVE'!$K$4="(Tous)",$AF1196='PROFIL ELEVE'!$K$4)),1,0)</f>
        <v>0</v>
      </c>
      <c r="AW1196">
        <f>N(AW1195)+IF(AND($AB1196&lt;&gt;"",OR('SUIVI LONGITUDINAL'!$Q$4="(Tous)",$AF1196='SUIVI LONGITUDINAL'!$Q$4)),1,0)</f>
        <v>0</v>
      </c>
      <c r="AX1196">
        <f t="shared" si="451"/>
        <v>0</v>
      </c>
      <c r="AY1196">
        <f t="shared" si="452"/>
        <v>0</v>
      </c>
      <c r="AZ1196">
        <f t="shared" si="453"/>
        <v>0</v>
      </c>
      <c r="BA1196" t="str">
        <f t="shared" si="454"/>
        <v/>
      </c>
      <c r="BB1196" t="str">
        <f t="shared" si="455"/>
        <v/>
      </c>
    </row>
    <row r="1197" spans="1:54" ht="14.25" customHeight="1" x14ac:dyDescent="0.3">
      <c r="A1197" t="str">
        <f>IF(SAISIE!$F1202="","",SAISIE!$B1202)</f>
        <v/>
      </c>
      <c r="B1197" t="str">
        <f>IF(SAISIE!$F1202="","",SAISIE!$C1202)</f>
        <v/>
      </c>
      <c r="C1197" t="str">
        <f>IF(SAISIE!$F1202="","",SAISIE!$D1202)</f>
        <v/>
      </c>
      <c r="D1197" t="str">
        <f>IF(SAISIE!$E1202="","",SAISIE!$E1202)</f>
        <v/>
      </c>
      <c r="E1197" t="str">
        <f>IF(SAISIE!$F1202="","",SAISIE!$F1202)</f>
        <v/>
      </c>
      <c r="F1197" t="str">
        <f>IF(SAISIE!$G1202="","",SAISIE!$G1202)</f>
        <v/>
      </c>
      <c r="G1197" t="str">
        <f>IF(SAISIE!$H1202="","",SAISIE!$H1202)</f>
        <v/>
      </c>
      <c r="H1197" t="str">
        <f>IF(SAISIE!$I1202="","",SAISIE!$I1202)</f>
        <v/>
      </c>
      <c r="I1197" t="str">
        <f>IF(SAISIE!$J1202="","",SAISIE!$J1202)</f>
        <v/>
      </c>
      <c r="J1197" t="str">
        <f>IF(SAISIE!$K1202="","",SAISIE!$K1202)</f>
        <v/>
      </c>
      <c r="K1197" t="str">
        <f>IF(SAISIE!$L1202="","",SAISIE!$L1202)</f>
        <v/>
      </c>
      <c r="L1197" t="str">
        <f>IF(SAISIE!$M1202="","",SAISIE!$M1202)</f>
        <v/>
      </c>
      <c r="M1197" t="str">
        <f>IF(SAISIE!$N1202="","",SAISIE!$N1202)</f>
        <v/>
      </c>
      <c r="N1197" t="str">
        <f>IF(SAISIE!$O1202="","",SAISIE!$O1202)</f>
        <v/>
      </c>
      <c r="O1197" t="str">
        <f>IF(SAISIE!$P1202="","",SAISIE!$P1202)</f>
        <v/>
      </c>
      <c r="P1197" t="str">
        <f>IF(SAISIE!$Q1202="","",SAISIE!$Q1202)</f>
        <v/>
      </c>
      <c r="Q1197" t="str">
        <f>IF($I1197="","",IF($I1197&gt;PARAMETRES!$G$29,5,IF($I1197&gt;PARAMETRES!$F$29,4,IF($I1197&gt;PARAMETRES!$E$29,3,IF($I1197&gt;PARAMETRES!$D$29,2,1)))))</f>
        <v/>
      </c>
      <c r="R1197" t="str">
        <f>IF($J1197="","",IF($J1197&gt;PARAMETRES!$G$30,5,IF($J1197&gt;PARAMETRES!$F$30,4,IF($J1197&gt;PARAMETRES!$E$30,3,IF($J1197&gt;PARAMETRES!$D$30,2,1)))))</f>
        <v/>
      </c>
      <c r="S1197" t="str">
        <f>IF($K1197="","",IF($Z1197=2,IF($K1197&gt;PARAMETRES!$G$31,5,IF($K1197&gt;PARAMETRES!$F$31,4,IF($K1197&gt;PARAMETRES!$E$31,3,IF($K1197&gt;PARAMETRES!$D$31,2,1)))),IF($K1197&gt;PARAMETRES!$G$32,5,IF($K1197&gt;PARAMETRES!$F$32,4,IF($K1197&gt;PARAMETRES!$E$32,3,IF($K1197&gt;PARAMETRES!$D$32,2,1))))))</f>
        <v/>
      </c>
      <c r="T1197" t="str">
        <f>IF($L1197="","",IF($L1197&gt;PARAMETRES!$G$33,5,IF($L1197&gt;PARAMETRES!$F$33,4,IF($L1197&gt;PARAMETRES!$E$33,3,IF($L1197&gt;PARAMETRES!$D$33,2,1)))))</f>
        <v/>
      </c>
      <c r="U1197" t="str">
        <f>IF($M1197="","",IF($M1197&gt;PARAMETRES!$G$34,5,IF($M1197&gt;PARAMETRES!$F$34,4,IF($M1197&gt;PARAMETRES!$E$34,3,IF($M1197&gt;PARAMETRES!$D$34,2,1)))))</f>
        <v/>
      </c>
      <c r="V1197" t="str">
        <f>IF($N1197="","",IF($N1197&gt;PARAMETRES!$G$35,5,IF($N1197&gt;PARAMETRES!$F$35,4,IF($N1197&gt;PARAMETRES!$E$35,3,IF($N1197&gt;PARAMETRES!$D$35,2,1)))))</f>
        <v/>
      </c>
      <c r="W1197" t="str">
        <f>IF($O1197="","",IF($O1197&gt;PARAMETRES!$G$36,5,IF($O1197&gt;PARAMETRES!$F$36,4,IF($O1197&gt;PARAMETRES!$E$36,3,IF($O1197&gt;PARAMETRES!$D$36,2,1)))))</f>
        <v/>
      </c>
      <c r="X1197" t="str">
        <f>IF($P1197="","",IF($P1197&gt;PARAMETRES!$G$37,5,IF($P1197&gt;PARAMETRES!$F$37,4,IF($P1197&gt;PARAMETRES!$E$37,3,IF($P1197&gt;PARAMETRES!$D$37,2,1)))))</f>
        <v/>
      </c>
      <c r="Y1197" t="str">
        <f t="shared" si="432"/>
        <v/>
      </c>
      <c r="Z1197" t="str">
        <f>IFERROR(VLOOKUP($B1197,TABLE_CYCLE,2,0),"")</f>
        <v/>
      </c>
      <c r="AA1197" t="str">
        <f t="shared" si="433"/>
        <v/>
      </c>
      <c r="AB1197" t="str">
        <f>IF($D1197="","",IF(COUNTIF($D$2:$D1197,$D1197)=1,$D1197,""))</f>
        <v/>
      </c>
      <c r="AC1197">
        <f t="shared" si="434"/>
        <v>0</v>
      </c>
      <c r="AD1197" t="str">
        <f t="shared" si="435"/>
        <v>|0</v>
      </c>
      <c r="AE1197" t="str">
        <f t="shared" si="436"/>
        <v/>
      </c>
      <c r="AF1197" t="str">
        <f t="shared" si="437"/>
        <v/>
      </c>
      <c r="AG1197" t="str">
        <f t="shared" si="438"/>
        <v/>
      </c>
      <c r="AH1197" t="str">
        <f t="shared" si="439"/>
        <v/>
      </c>
      <c r="AI1197" t="str">
        <f t="shared" si="440"/>
        <v/>
      </c>
      <c r="AJ1197" t="str">
        <f t="shared" si="441"/>
        <v/>
      </c>
      <c r="AK1197" t="str">
        <f t="shared" si="442"/>
        <v/>
      </c>
      <c r="AL1197" t="str">
        <f t="shared" si="443"/>
        <v/>
      </c>
      <c r="AM1197" t="str">
        <f t="shared" si="444"/>
        <v/>
      </c>
      <c r="AN1197" t="str">
        <f t="shared" si="445"/>
        <v/>
      </c>
      <c r="AO1197" t="str">
        <f t="shared" si="446"/>
        <v/>
      </c>
      <c r="AP1197">
        <f t="shared" si="447"/>
        <v>1</v>
      </c>
      <c r="AQ1197" t="str">
        <f>IF(SAISIE!$F1202="","",SAISIE!$Y1202)</f>
        <v/>
      </c>
      <c r="AR1197" t="str">
        <f>IF(OR(SAISIE!$U$4="",SAISIE!$W$4=""),"",IF(AND($A1197=SAISIE!$U$4,$B1197=SAISIE!$W$4,$C1197="S1"),COUNTIFS($A$2:$A1197,SAISIE!$U$4,$B$2:$B1197,SAISIE!$W$4,$C$2:$C1197,"S1"),""))</f>
        <v/>
      </c>
      <c r="AS1197" t="str">
        <f t="shared" si="448"/>
        <v/>
      </c>
      <c r="AT1197" t="str">
        <f t="shared" si="449"/>
        <v/>
      </c>
      <c r="AU1197" t="str">
        <f t="shared" si="450"/>
        <v/>
      </c>
      <c r="AV1197">
        <f>N(AV1196)+IF(AND($AB1197&lt;&gt;"",OR('PROFIL ELEVE'!$K$4="(Tous)",$AF1197='PROFIL ELEVE'!$K$4)),1,0)</f>
        <v>0</v>
      </c>
      <c r="AW1197">
        <f>N(AW1196)+IF(AND($AB1197&lt;&gt;"",OR('SUIVI LONGITUDINAL'!$Q$4="(Tous)",$AF1197='SUIVI LONGITUDINAL'!$Q$4)),1,0)</f>
        <v>0</v>
      </c>
      <c r="AX1197">
        <f t="shared" si="451"/>
        <v>0</v>
      </c>
      <c r="AY1197">
        <f t="shared" si="452"/>
        <v>0</v>
      </c>
      <c r="AZ1197">
        <f t="shared" si="453"/>
        <v>0</v>
      </c>
      <c r="BA1197" t="str">
        <f t="shared" si="454"/>
        <v/>
      </c>
      <c r="BB1197" t="str">
        <f t="shared" si="455"/>
        <v/>
      </c>
    </row>
    <row r="1198" spans="1:54" ht="14.25" customHeight="1" x14ac:dyDescent="0.3">
      <c r="A1198" t="str">
        <f>IF(SAISIE!$F1203="","",SAISIE!$B1203)</f>
        <v/>
      </c>
      <c r="B1198" t="str">
        <f>IF(SAISIE!$F1203="","",SAISIE!$C1203)</f>
        <v/>
      </c>
      <c r="C1198" t="str">
        <f>IF(SAISIE!$F1203="","",SAISIE!$D1203)</f>
        <v/>
      </c>
      <c r="D1198" t="str">
        <f>IF(SAISIE!$E1203="","",SAISIE!$E1203)</f>
        <v/>
      </c>
      <c r="E1198" t="str">
        <f>IF(SAISIE!$F1203="","",SAISIE!$F1203)</f>
        <v/>
      </c>
      <c r="F1198" t="str">
        <f>IF(SAISIE!$G1203="","",SAISIE!$G1203)</f>
        <v/>
      </c>
      <c r="G1198" t="str">
        <f>IF(SAISIE!$H1203="","",SAISIE!$H1203)</f>
        <v/>
      </c>
      <c r="H1198" t="str">
        <f>IF(SAISIE!$I1203="","",SAISIE!$I1203)</f>
        <v/>
      </c>
      <c r="I1198" t="str">
        <f>IF(SAISIE!$J1203="","",SAISIE!$J1203)</f>
        <v/>
      </c>
      <c r="J1198" t="str">
        <f>IF(SAISIE!$K1203="","",SAISIE!$K1203)</f>
        <v/>
      </c>
      <c r="K1198" t="str">
        <f>IF(SAISIE!$L1203="","",SAISIE!$L1203)</f>
        <v/>
      </c>
      <c r="L1198" t="str">
        <f>IF(SAISIE!$M1203="","",SAISIE!$M1203)</f>
        <v/>
      </c>
      <c r="M1198" t="str">
        <f>IF(SAISIE!$N1203="","",SAISIE!$N1203)</f>
        <v/>
      </c>
      <c r="N1198" t="str">
        <f>IF(SAISIE!$O1203="","",SAISIE!$O1203)</f>
        <v/>
      </c>
      <c r="O1198" t="str">
        <f>IF(SAISIE!$P1203="","",SAISIE!$P1203)</f>
        <v/>
      </c>
      <c r="P1198" t="str">
        <f>IF(SAISIE!$Q1203="","",SAISIE!$Q1203)</f>
        <v/>
      </c>
      <c r="Q1198" t="str">
        <f>IF($I1198="","",IF($I1198&gt;PARAMETRES!$G$29,5,IF($I1198&gt;PARAMETRES!$F$29,4,IF($I1198&gt;PARAMETRES!$E$29,3,IF($I1198&gt;PARAMETRES!$D$29,2,1)))))</f>
        <v/>
      </c>
      <c r="R1198" t="str">
        <f>IF($J1198="","",IF($J1198&gt;PARAMETRES!$G$30,5,IF($J1198&gt;PARAMETRES!$F$30,4,IF($J1198&gt;PARAMETRES!$E$30,3,IF($J1198&gt;PARAMETRES!$D$30,2,1)))))</f>
        <v/>
      </c>
      <c r="S1198" t="str">
        <f>IF($K1198="","",IF($Z1198=2,IF($K1198&gt;PARAMETRES!$G$31,5,IF($K1198&gt;PARAMETRES!$F$31,4,IF($K1198&gt;PARAMETRES!$E$31,3,IF($K1198&gt;PARAMETRES!$D$31,2,1)))),IF($K1198&gt;PARAMETRES!$G$32,5,IF($K1198&gt;PARAMETRES!$F$32,4,IF($K1198&gt;PARAMETRES!$E$32,3,IF($K1198&gt;PARAMETRES!$D$32,2,1))))))</f>
        <v/>
      </c>
      <c r="T1198" t="str">
        <f>IF($L1198="","",IF($L1198&gt;PARAMETRES!$G$33,5,IF($L1198&gt;PARAMETRES!$F$33,4,IF($L1198&gt;PARAMETRES!$E$33,3,IF($L1198&gt;PARAMETRES!$D$33,2,1)))))</f>
        <v/>
      </c>
      <c r="U1198" t="str">
        <f>IF($M1198="","",IF($M1198&gt;PARAMETRES!$G$34,5,IF($M1198&gt;PARAMETRES!$F$34,4,IF($M1198&gt;PARAMETRES!$E$34,3,IF($M1198&gt;PARAMETRES!$D$34,2,1)))))</f>
        <v/>
      </c>
      <c r="V1198" t="str">
        <f>IF($N1198="","",IF($N1198&gt;PARAMETRES!$G$35,5,IF($N1198&gt;PARAMETRES!$F$35,4,IF($N1198&gt;PARAMETRES!$E$35,3,IF($N1198&gt;PARAMETRES!$D$35,2,1)))))</f>
        <v/>
      </c>
      <c r="W1198" t="str">
        <f>IF($O1198="","",IF($O1198&gt;PARAMETRES!$G$36,5,IF($O1198&gt;PARAMETRES!$F$36,4,IF($O1198&gt;PARAMETRES!$E$36,3,IF($O1198&gt;PARAMETRES!$D$36,2,1)))))</f>
        <v/>
      </c>
      <c r="X1198" t="str">
        <f>IF($P1198="","",IF($P1198&gt;PARAMETRES!$G$37,5,IF($P1198&gt;PARAMETRES!$F$37,4,IF($P1198&gt;PARAMETRES!$E$37,3,IF($P1198&gt;PARAMETRES!$D$37,2,1)))))</f>
        <v/>
      </c>
      <c r="Y1198" t="str">
        <f t="shared" si="432"/>
        <v/>
      </c>
      <c r="Z1198" t="str">
        <f>IFERROR(VLOOKUP($B1198,TABLE_CYCLE,2,0),"")</f>
        <v/>
      </c>
      <c r="AA1198" t="str">
        <f t="shared" si="433"/>
        <v/>
      </c>
      <c r="AB1198" t="str">
        <f>IF($D1198="","",IF(COUNTIF($D$2:$D1198,$D1198)=1,$D1198,""))</f>
        <v/>
      </c>
      <c r="AC1198">
        <f t="shared" si="434"/>
        <v>0</v>
      </c>
      <c r="AD1198" t="str">
        <f t="shared" si="435"/>
        <v>|0</v>
      </c>
      <c r="AE1198" t="str">
        <f t="shared" si="436"/>
        <v/>
      </c>
      <c r="AF1198" t="str">
        <f t="shared" si="437"/>
        <v/>
      </c>
      <c r="AG1198" t="str">
        <f t="shared" si="438"/>
        <v/>
      </c>
      <c r="AH1198" t="str">
        <f t="shared" si="439"/>
        <v/>
      </c>
      <c r="AI1198" t="str">
        <f t="shared" si="440"/>
        <v/>
      </c>
      <c r="AJ1198" t="str">
        <f t="shared" si="441"/>
        <v/>
      </c>
      <c r="AK1198" t="str">
        <f t="shared" si="442"/>
        <v/>
      </c>
      <c r="AL1198" t="str">
        <f t="shared" si="443"/>
        <v/>
      </c>
      <c r="AM1198" t="str">
        <f t="shared" si="444"/>
        <v/>
      </c>
      <c r="AN1198" t="str">
        <f t="shared" si="445"/>
        <v/>
      </c>
      <c r="AO1198" t="str">
        <f t="shared" si="446"/>
        <v/>
      </c>
      <c r="AP1198">
        <f t="shared" si="447"/>
        <v>1</v>
      </c>
      <c r="AQ1198" t="str">
        <f>IF(SAISIE!$F1203="","",SAISIE!$Y1203)</f>
        <v/>
      </c>
      <c r="AR1198" t="str">
        <f>IF(OR(SAISIE!$U$4="",SAISIE!$W$4=""),"",IF(AND($A1198=SAISIE!$U$4,$B1198=SAISIE!$W$4,$C1198="S1"),COUNTIFS($A$2:$A1198,SAISIE!$U$4,$B$2:$B1198,SAISIE!$W$4,$C$2:$C1198,"S1"),""))</f>
        <v/>
      </c>
      <c r="AS1198" t="str">
        <f t="shared" si="448"/>
        <v/>
      </c>
      <c r="AT1198" t="str">
        <f t="shared" si="449"/>
        <v/>
      </c>
      <c r="AU1198" t="str">
        <f t="shared" si="450"/>
        <v/>
      </c>
      <c r="AV1198">
        <f>N(AV1197)+IF(AND($AB1198&lt;&gt;"",OR('PROFIL ELEVE'!$K$4="(Tous)",$AF1198='PROFIL ELEVE'!$K$4)),1,0)</f>
        <v>0</v>
      </c>
      <c r="AW1198">
        <f>N(AW1197)+IF(AND($AB1198&lt;&gt;"",OR('SUIVI LONGITUDINAL'!$Q$4="(Tous)",$AF1198='SUIVI LONGITUDINAL'!$Q$4)),1,0)</f>
        <v>0</v>
      </c>
      <c r="AX1198">
        <f t="shared" si="451"/>
        <v>0</v>
      </c>
      <c r="AY1198">
        <f t="shared" si="452"/>
        <v>0</v>
      </c>
      <c r="AZ1198">
        <f t="shared" si="453"/>
        <v>0</v>
      </c>
      <c r="BA1198" t="str">
        <f t="shared" si="454"/>
        <v/>
      </c>
      <c r="BB1198" t="str">
        <f t="shared" si="455"/>
        <v/>
      </c>
    </row>
    <row r="1199" spans="1:54" ht="14.25" customHeight="1" x14ac:dyDescent="0.3">
      <c r="A1199" t="str">
        <f>IF(SAISIE!$F1204="","",SAISIE!$B1204)</f>
        <v/>
      </c>
      <c r="B1199" t="str">
        <f>IF(SAISIE!$F1204="","",SAISIE!$C1204)</f>
        <v/>
      </c>
      <c r="C1199" t="str">
        <f>IF(SAISIE!$F1204="","",SAISIE!$D1204)</f>
        <v/>
      </c>
      <c r="D1199" t="str">
        <f>IF(SAISIE!$E1204="","",SAISIE!$E1204)</f>
        <v/>
      </c>
      <c r="E1199" t="str">
        <f>IF(SAISIE!$F1204="","",SAISIE!$F1204)</f>
        <v/>
      </c>
      <c r="F1199" t="str">
        <f>IF(SAISIE!$G1204="","",SAISIE!$G1204)</f>
        <v/>
      </c>
      <c r="G1199" t="str">
        <f>IF(SAISIE!$H1204="","",SAISIE!$H1204)</f>
        <v/>
      </c>
      <c r="H1199" t="str">
        <f>IF(SAISIE!$I1204="","",SAISIE!$I1204)</f>
        <v/>
      </c>
      <c r="I1199" t="str">
        <f>IF(SAISIE!$J1204="","",SAISIE!$J1204)</f>
        <v/>
      </c>
      <c r="J1199" t="str">
        <f>IF(SAISIE!$K1204="","",SAISIE!$K1204)</f>
        <v/>
      </c>
      <c r="K1199" t="str">
        <f>IF(SAISIE!$L1204="","",SAISIE!$L1204)</f>
        <v/>
      </c>
      <c r="L1199" t="str">
        <f>IF(SAISIE!$M1204="","",SAISIE!$M1204)</f>
        <v/>
      </c>
      <c r="M1199" t="str">
        <f>IF(SAISIE!$N1204="","",SAISIE!$N1204)</f>
        <v/>
      </c>
      <c r="N1199" t="str">
        <f>IF(SAISIE!$O1204="","",SAISIE!$O1204)</f>
        <v/>
      </c>
      <c r="O1199" t="str">
        <f>IF(SAISIE!$P1204="","",SAISIE!$P1204)</f>
        <v/>
      </c>
      <c r="P1199" t="str">
        <f>IF(SAISIE!$Q1204="","",SAISIE!$Q1204)</f>
        <v/>
      </c>
      <c r="Q1199" t="str">
        <f>IF($I1199="","",IF($I1199&gt;PARAMETRES!$G$29,5,IF($I1199&gt;PARAMETRES!$F$29,4,IF($I1199&gt;PARAMETRES!$E$29,3,IF($I1199&gt;PARAMETRES!$D$29,2,1)))))</f>
        <v/>
      </c>
      <c r="R1199" t="str">
        <f>IF($J1199="","",IF($J1199&gt;PARAMETRES!$G$30,5,IF($J1199&gt;PARAMETRES!$F$30,4,IF($J1199&gt;PARAMETRES!$E$30,3,IF($J1199&gt;PARAMETRES!$D$30,2,1)))))</f>
        <v/>
      </c>
      <c r="S1199" t="str">
        <f>IF($K1199="","",IF($Z1199=2,IF($K1199&gt;PARAMETRES!$G$31,5,IF($K1199&gt;PARAMETRES!$F$31,4,IF($K1199&gt;PARAMETRES!$E$31,3,IF($K1199&gt;PARAMETRES!$D$31,2,1)))),IF($K1199&gt;PARAMETRES!$G$32,5,IF($K1199&gt;PARAMETRES!$F$32,4,IF($K1199&gt;PARAMETRES!$E$32,3,IF($K1199&gt;PARAMETRES!$D$32,2,1))))))</f>
        <v/>
      </c>
      <c r="T1199" t="str">
        <f>IF($L1199="","",IF($L1199&gt;PARAMETRES!$G$33,5,IF($L1199&gt;PARAMETRES!$F$33,4,IF($L1199&gt;PARAMETRES!$E$33,3,IF($L1199&gt;PARAMETRES!$D$33,2,1)))))</f>
        <v/>
      </c>
      <c r="U1199" t="str">
        <f>IF($M1199="","",IF($M1199&gt;PARAMETRES!$G$34,5,IF($M1199&gt;PARAMETRES!$F$34,4,IF($M1199&gt;PARAMETRES!$E$34,3,IF($M1199&gt;PARAMETRES!$D$34,2,1)))))</f>
        <v/>
      </c>
      <c r="V1199" t="str">
        <f>IF($N1199="","",IF($N1199&gt;PARAMETRES!$G$35,5,IF($N1199&gt;PARAMETRES!$F$35,4,IF($N1199&gt;PARAMETRES!$E$35,3,IF($N1199&gt;PARAMETRES!$D$35,2,1)))))</f>
        <v/>
      </c>
      <c r="W1199" t="str">
        <f>IF($O1199="","",IF($O1199&gt;PARAMETRES!$G$36,5,IF($O1199&gt;PARAMETRES!$F$36,4,IF($O1199&gt;PARAMETRES!$E$36,3,IF($O1199&gt;PARAMETRES!$D$36,2,1)))))</f>
        <v/>
      </c>
      <c r="X1199" t="str">
        <f>IF($P1199="","",IF($P1199&gt;PARAMETRES!$G$37,5,IF($P1199&gt;PARAMETRES!$F$37,4,IF($P1199&gt;PARAMETRES!$E$37,3,IF($P1199&gt;PARAMETRES!$D$37,2,1)))))</f>
        <v/>
      </c>
      <c r="Y1199" t="str">
        <f t="shared" si="432"/>
        <v/>
      </c>
      <c r="Z1199" t="str">
        <f>IFERROR(VLOOKUP($B1199,TABLE_CYCLE,2,0),"")</f>
        <v/>
      </c>
      <c r="AA1199" t="str">
        <f t="shared" si="433"/>
        <v/>
      </c>
      <c r="AB1199" t="str">
        <f>IF($D1199="","",IF(COUNTIF($D$2:$D1199,$D1199)=1,$D1199,""))</f>
        <v/>
      </c>
      <c r="AC1199">
        <f t="shared" si="434"/>
        <v>0</v>
      </c>
      <c r="AD1199" t="str">
        <f t="shared" si="435"/>
        <v>|0</v>
      </c>
      <c r="AE1199" t="str">
        <f t="shared" si="436"/>
        <v/>
      </c>
      <c r="AF1199" t="str">
        <f t="shared" si="437"/>
        <v/>
      </c>
      <c r="AG1199" t="str">
        <f t="shared" si="438"/>
        <v/>
      </c>
      <c r="AH1199" t="str">
        <f t="shared" si="439"/>
        <v/>
      </c>
      <c r="AI1199" t="str">
        <f t="shared" si="440"/>
        <v/>
      </c>
      <c r="AJ1199" t="str">
        <f t="shared" si="441"/>
        <v/>
      </c>
      <c r="AK1199" t="str">
        <f t="shared" si="442"/>
        <v/>
      </c>
      <c r="AL1199" t="str">
        <f t="shared" si="443"/>
        <v/>
      </c>
      <c r="AM1199" t="str">
        <f t="shared" si="444"/>
        <v/>
      </c>
      <c r="AN1199" t="str">
        <f t="shared" si="445"/>
        <v/>
      </c>
      <c r="AO1199" t="str">
        <f t="shared" si="446"/>
        <v/>
      </c>
      <c r="AP1199">
        <f t="shared" si="447"/>
        <v>1</v>
      </c>
      <c r="AQ1199" t="str">
        <f>IF(SAISIE!$F1204="","",SAISIE!$Y1204)</f>
        <v/>
      </c>
      <c r="AR1199" t="str">
        <f>IF(OR(SAISIE!$U$4="",SAISIE!$W$4=""),"",IF(AND($A1199=SAISIE!$U$4,$B1199=SAISIE!$W$4,$C1199="S1"),COUNTIFS($A$2:$A1199,SAISIE!$U$4,$B$2:$B1199,SAISIE!$W$4,$C$2:$C1199,"S1"),""))</f>
        <v/>
      </c>
      <c r="AS1199" t="str">
        <f t="shared" si="448"/>
        <v/>
      </c>
      <c r="AT1199" t="str">
        <f t="shared" si="449"/>
        <v/>
      </c>
      <c r="AU1199" t="str">
        <f t="shared" si="450"/>
        <v/>
      </c>
      <c r="AV1199">
        <f>N(AV1198)+IF(AND($AB1199&lt;&gt;"",OR('PROFIL ELEVE'!$K$4="(Tous)",$AF1199='PROFIL ELEVE'!$K$4)),1,0)</f>
        <v>0</v>
      </c>
      <c r="AW1199">
        <f>N(AW1198)+IF(AND($AB1199&lt;&gt;"",OR('SUIVI LONGITUDINAL'!$Q$4="(Tous)",$AF1199='SUIVI LONGITUDINAL'!$Q$4)),1,0)</f>
        <v>0</v>
      </c>
      <c r="AX1199">
        <f t="shared" si="451"/>
        <v>0</v>
      </c>
      <c r="AY1199">
        <f t="shared" si="452"/>
        <v>0</v>
      </c>
      <c r="AZ1199">
        <f t="shared" si="453"/>
        <v>0</v>
      </c>
      <c r="BA1199" t="str">
        <f t="shared" si="454"/>
        <v/>
      </c>
      <c r="BB1199" t="str">
        <f t="shared" si="455"/>
        <v/>
      </c>
    </row>
    <row r="1200" spans="1:54" ht="14.25" customHeight="1" x14ac:dyDescent="0.3">
      <c r="A1200" t="str">
        <f>IF(SAISIE!$F1205="","",SAISIE!$B1205)</f>
        <v/>
      </c>
      <c r="B1200" t="str">
        <f>IF(SAISIE!$F1205="","",SAISIE!$C1205)</f>
        <v/>
      </c>
      <c r="C1200" t="str">
        <f>IF(SAISIE!$F1205="","",SAISIE!$D1205)</f>
        <v/>
      </c>
      <c r="D1200" t="str">
        <f>IF(SAISIE!$E1205="","",SAISIE!$E1205)</f>
        <v/>
      </c>
      <c r="E1200" t="str">
        <f>IF(SAISIE!$F1205="","",SAISIE!$F1205)</f>
        <v/>
      </c>
      <c r="F1200" t="str">
        <f>IF(SAISIE!$G1205="","",SAISIE!$G1205)</f>
        <v/>
      </c>
      <c r="G1200" t="str">
        <f>IF(SAISIE!$H1205="","",SAISIE!$H1205)</f>
        <v/>
      </c>
      <c r="H1200" t="str">
        <f>IF(SAISIE!$I1205="","",SAISIE!$I1205)</f>
        <v/>
      </c>
      <c r="I1200" t="str">
        <f>IF(SAISIE!$J1205="","",SAISIE!$J1205)</f>
        <v/>
      </c>
      <c r="J1200" t="str">
        <f>IF(SAISIE!$K1205="","",SAISIE!$K1205)</f>
        <v/>
      </c>
      <c r="K1200" t="str">
        <f>IF(SAISIE!$L1205="","",SAISIE!$L1205)</f>
        <v/>
      </c>
      <c r="L1200" t="str">
        <f>IF(SAISIE!$M1205="","",SAISIE!$M1205)</f>
        <v/>
      </c>
      <c r="M1200" t="str">
        <f>IF(SAISIE!$N1205="","",SAISIE!$N1205)</f>
        <v/>
      </c>
      <c r="N1200" t="str">
        <f>IF(SAISIE!$O1205="","",SAISIE!$O1205)</f>
        <v/>
      </c>
      <c r="O1200" t="str">
        <f>IF(SAISIE!$P1205="","",SAISIE!$P1205)</f>
        <v/>
      </c>
      <c r="P1200" t="str">
        <f>IF(SAISIE!$Q1205="","",SAISIE!$Q1205)</f>
        <v/>
      </c>
      <c r="Q1200" t="str">
        <f>IF($I1200="","",IF($I1200&gt;PARAMETRES!$G$29,5,IF($I1200&gt;PARAMETRES!$F$29,4,IF($I1200&gt;PARAMETRES!$E$29,3,IF($I1200&gt;PARAMETRES!$D$29,2,1)))))</f>
        <v/>
      </c>
      <c r="R1200" t="str">
        <f>IF($J1200="","",IF($J1200&gt;PARAMETRES!$G$30,5,IF($J1200&gt;PARAMETRES!$F$30,4,IF($J1200&gt;PARAMETRES!$E$30,3,IF($J1200&gt;PARAMETRES!$D$30,2,1)))))</f>
        <v/>
      </c>
      <c r="S1200" t="str">
        <f>IF($K1200="","",IF($Z1200=2,IF($K1200&gt;PARAMETRES!$G$31,5,IF($K1200&gt;PARAMETRES!$F$31,4,IF($K1200&gt;PARAMETRES!$E$31,3,IF($K1200&gt;PARAMETRES!$D$31,2,1)))),IF($K1200&gt;PARAMETRES!$G$32,5,IF($K1200&gt;PARAMETRES!$F$32,4,IF($K1200&gt;PARAMETRES!$E$32,3,IF($K1200&gt;PARAMETRES!$D$32,2,1))))))</f>
        <v/>
      </c>
      <c r="T1200" t="str">
        <f>IF($L1200="","",IF($L1200&gt;PARAMETRES!$G$33,5,IF($L1200&gt;PARAMETRES!$F$33,4,IF($L1200&gt;PARAMETRES!$E$33,3,IF($L1200&gt;PARAMETRES!$D$33,2,1)))))</f>
        <v/>
      </c>
      <c r="U1200" t="str">
        <f>IF($M1200="","",IF($M1200&gt;PARAMETRES!$G$34,5,IF($M1200&gt;PARAMETRES!$F$34,4,IF($M1200&gt;PARAMETRES!$E$34,3,IF($M1200&gt;PARAMETRES!$D$34,2,1)))))</f>
        <v/>
      </c>
      <c r="V1200" t="str">
        <f>IF($N1200="","",IF($N1200&gt;PARAMETRES!$G$35,5,IF($N1200&gt;PARAMETRES!$F$35,4,IF($N1200&gt;PARAMETRES!$E$35,3,IF($N1200&gt;PARAMETRES!$D$35,2,1)))))</f>
        <v/>
      </c>
      <c r="W1200" t="str">
        <f>IF($O1200="","",IF($O1200&gt;PARAMETRES!$G$36,5,IF($O1200&gt;PARAMETRES!$F$36,4,IF($O1200&gt;PARAMETRES!$E$36,3,IF($O1200&gt;PARAMETRES!$D$36,2,1)))))</f>
        <v/>
      </c>
      <c r="X1200" t="str">
        <f>IF($P1200="","",IF($P1200&gt;PARAMETRES!$G$37,5,IF($P1200&gt;PARAMETRES!$F$37,4,IF($P1200&gt;PARAMETRES!$E$37,3,IF($P1200&gt;PARAMETRES!$D$37,2,1)))))</f>
        <v/>
      </c>
      <c r="Y1200" t="str">
        <f t="shared" si="432"/>
        <v/>
      </c>
      <c r="Z1200" t="str">
        <f>IFERROR(VLOOKUP($B1200,TABLE_CYCLE,2,0),"")</f>
        <v/>
      </c>
      <c r="AA1200" t="str">
        <f t="shared" si="433"/>
        <v/>
      </c>
      <c r="AB1200" t="str">
        <f>IF($D1200="","",IF(COUNTIF($D$2:$D1200,$D1200)=1,$D1200,""))</f>
        <v/>
      </c>
      <c r="AC1200">
        <f t="shared" si="434"/>
        <v>0</v>
      </c>
      <c r="AD1200" t="str">
        <f t="shared" si="435"/>
        <v>|0</v>
      </c>
      <c r="AE1200" t="str">
        <f t="shared" si="436"/>
        <v/>
      </c>
      <c r="AF1200" t="str">
        <f t="shared" si="437"/>
        <v/>
      </c>
      <c r="AG1200" t="str">
        <f t="shared" si="438"/>
        <v/>
      </c>
      <c r="AH1200" t="str">
        <f t="shared" si="439"/>
        <v/>
      </c>
      <c r="AI1200" t="str">
        <f t="shared" si="440"/>
        <v/>
      </c>
      <c r="AJ1200" t="str">
        <f t="shared" si="441"/>
        <v/>
      </c>
      <c r="AK1200" t="str">
        <f t="shared" si="442"/>
        <v/>
      </c>
      <c r="AL1200" t="str">
        <f t="shared" si="443"/>
        <v/>
      </c>
      <c r="AM1200" t="str">
        <f t="shared" si="444"/>
        <v/>
      </c>
      <c r="AN1200" t="str">
        <f t="shared" si="445"/>
        <v/>
      </c>
      <c r="AO1200" t="str">
        <f t="shared" si="446"/>
        <v/>
      </c>
      <c r="AP1200">
        <f t="shared" si="447"/>
        <v>1</v>
      </c>
      <c r="AQ1200" t="str">
        <f>IF(SAISIE!$F1205="","",SAISIE!$Y1205)</f>
        <v/>
      </c>
      <c r="AR1200" t="str">
        <f>IF(OR(SAISIE!$U$4="",SAISIE!$W$4=""),"",IF(AND($A1200=SAISIE!$U$4,$B1200=SAISIE!$W$4,$C1200="S1"),COUNTIFS($A$2:$A1200,SAISIE!$U$4,$B$2:$B1200,SAISIE!$W$4,$C$2:$C1200,"S1"),""))</f>
        <v/>
      </c>
      <c r="AS1200" t="str">
        <f t="shared" si="448"/>
        <v/>
      </c>
      <c r="AT1200" t="str">
        <f t="shared" si="449"/>
        <v/>
      </c>
      <c r="AU1200" t="str">
        <f t="shared" si="450"/>
        <v/>
      </c>
      <c r="AV1200">
        <f>N(AV1199)+IF(AND($AB1200&lt;&gt;"",OR('PROFIL ELEVE'!$K$4="(Tous)",$AF1200='PROFIL ELEVE'!$K$4)),1,0)</f>
        <v>0</v>
      </c>
      <c r="AW1200">
        <f>N(AW1199)+IF(AND($AB1200&lt;&gt;"",OR('SUIVI LONGITUDINAL'!$Q$4="(Tous)",$AF1200='SUIVI LONGITUDINAL'!$Q$4)),1,0)</f>
        <v>0</v>
      </c>
      <c r="AX1200">
        <f t="shared" si="451"/>
        <v>0</v>
      </c>
      <c r="AY1200">
        <f t="shared" si="452"/>
        <v>0</v>
      </c>
      <c r="AZ1200">
        <f t="shared" si="453"/>
        <v>0</v>
      </c>
      <c r="BA1200" t="str">
        <f t="shared" si="454"/>
        <v/>
      </c>
      <c r="BB1200" t="str">
        <f t="shared" si="455"/>
        <v/>
      </c>
    </row>
    <row r="1201" spans="1:54" ht="14.25" customHeight="1" x14ac:dyDescent="0.3">
      <c r="A1201" t="str">
        <f>IF(SAISIE!$F1206="","",SAISIE!$B1206)</f>
        <v/>
      </c>
      <c r="B1201" t="str">
        <f>IF(SAISIE!$F1206="","",SAISIE!$C1206)</f>
        <v/>
      </c>
      <c r="C1201" t="str">
        <f>IF(SAISIE!$F1206="","",SAISIE!$D1206)</f>
        <v/>
      </c>
      <c r="D1201" t="str">
        <f>IF(SAISIE!$E1206="","",SAISIE!$E1206)</f>
        <v/>
      </c>
      <c r="E1201" t="str">
        <f>IF(SAISIE!$F1206="","",SAISIE!$F1206)</f>
        <v/>
      </c>
      <c r="F1201" t="str">
        <f>IF(SAISIE!$G1206="","",SAISIE!$G1206)</f>
        <v/>
      </c>
      <c r="G1201" t="str">
        <f>IF(SAISIE!$H1206="","",SAISIE!$H1206)</f>
        <v/>
      </c>
      <c r="H1201" t="str">
        <f>IF(SAISIE!$I1206="","",SAISIE!$I1206)</f>
        <v/>
      </c>
      <c r="I1201" t="str">
        <f>IF(SAISIE!$J1206="","",SAISIE!$J1206)</f>
        <v/>
      </c>
      <c r="J1201" t="str">
        <f>IF(SAISIE!$K1206="","",SAISIE!$K1206)</f>
        <v/>
      </c>
      <c r="K1201" t="str">
        <f>IF(SAISIE!$L1206="","",SAISIE!$L1206)</f>
        <v/>
      </c>
      <c r="L1201" t="str">
        <f>IF(SAISIE!$M1206="","",SAISIE!$M1206)</f>
        <v/>
      </c>
      <c r="M1201" t="str">
        <f>IF(SAISIE!$N1206="","",SAISIE!$N1206)</f>
        <v/>
      </c>
      <c r="N1201" t="str">
        <f>IF(SAISIE!$O1206="","",SAISIE!$O1206)</f>
        <v/>
      </c>
      <c r="O1201" t="str">
        <f>IF(SAISIE!$P1206="","",SAISIE!$P1206)</f>
        <v/>
      </c>
      <c r="P1201" t="str">
        <f>IF(SAISIE!$Q1206="","",SAISIE!$Q1206)</f>
        <v/>
      </c>
      <c r="Q1201" t="str">
        <f>IF($I1201="","",IF($I1201&gt;PARAMETRES!$G$29,5,IF($I1201&gt;PARAMETRES!$F$29,4,IF($I1201&gt;PARAMETRES!$E$29,3,IF($I1201&gt;PARAMETRES!$D$29,2,1)))))</f>
        <v/>
      </c>
      <c r="R1201" t="str">
        <f>IF($J1201="","",IF($J1201&gt;PARAMETRES!$G$30,5,IF($J1201&gt;PARAMETRES!$F$30,4,IF($J1201&gt;PARAMETRES!$E$30,3,IF($J1201&gt;PARAMETRES!$D$30,2,1)))))</f>
        <v/>
      </c>
      <c r="S1201" t="str">
        <f>IF($K1201="","",IF($Z1201=2,IF($K1201&gt;PARAMETRES!$G$31,5,IF($K1201&gt;PARAMETRES!$F$31,4,IF($K1201&gt;PARAMETRES!$E$31,3,IF($K1201&gt;PARAMETRES!$D$31,2,1)))),IF($K1201&gt;PARAMETRES!$G$32,5,IF($K1201&gt;PARAMETRES!$F$32,4,IF($K1201&gt;PARAMETRES!$E$32,3,IF($K1201&gt;PARAMETRES!$D$32,2,1))))))</f>
        <v/>
      </c>
      <c r="T1201" t="str">
        <f>IF($L1201="","",IF($L1201&gt;PARAMETRES!$G$33,5,IF($L1201&gt;PARAMETRES!$F$33,4,IF($L1201&gt;PARAMETRES!$E$33,3,IF($L1201&gt;PARAMETRES!$D$33,2,1)))))</f>
        <v/>
      </c>
      <c r="U1201" t="str">
        <f>IF($M1201="","",IF($M1201&gt;PARAMETRES!$G$34,5,IF($M1201&gt;PARAMETRES!$F$34,4,IF($M1201&gt;PARAMETRES!$E$34,3,IF($M1201&gt;PARAMETRES!$D$34,2,1)))))</f>
        <v/>
      </c>
      <c r="V1201" t="str">
        <f>IF($N1201="","",IF($N1201&gt;PARAMETRES!$G$35,5,IF($N1201&gt;PARAMETRES!$F$35,4,IF($N1201&gt;PARAMETRES!$E$35,3,IF($N1201&gt;PARAMETRES!$D$35,2,1)))))</f>
        <v/>
      </c>
      <c r="W1201" t="str">
        <f>IF($O1201="","",IF($O1201&gt;PARAMETRES!$G$36,5,IF($O1201&gt;PARAMETRES!$F$36,4,IF($O1201&gt;PARAMETRES!$E$36,3,IF($O1201&gt;PARAMETRES!$D$36,2,1)))))</f>
        <v/>
      </c>
      <c r="X1201" t="str">
        <f>IF($P1201="","",IF($P1201&gt;PARAMETRES!$G$37,5,IF($P1201&gt;PARAMETRES!$F$37,4,IF($P1201&gt;PARAMETRES!$E$37,3,IF($P1201&gt;PARAMETRES!$D$37,2,1)))))</f>
        <v/>
      </c>
      <c r="Y1201" t="str">
        <f t="shared" si="432"/>
        <v/>
      </c>
      <c r="Z1201" t="str">
        <f>IFERROR(VLOOKUP($B1201,TABLE_CYCLE,2,0),"")</f>
        <v/>
      </c>
      <c r="AA1201" t="str">
        <f t="shared" si="433"/>
        <v/>
      </c>
      <c r="AB1201" t="str">
        <f>IF($D1201="","",IF(COUNTIF($D$2:$D1201,$D1201)=1,$D1201,""))</f>
        <v/>
      </c>
      <c r="AC1201">
        <f t="shared" si="434"/>
        <v>0</v>
      </c>
      <c r="AD1201" t="str">
        <f t="shared" si="435"/>
        <v>|0</v>
      </c>
      <c r="AE1201" t="str">
        <f t="shared" si="436"/>
        <v/>
      </c>
      <c r="AF1201" t="str">
        <f t="shared" si="437"/>
        <v/>
      </c>
      <c r="AG1201" t="str">
        <f t="shared" si="438"/>
        <v/>
      </c>
      <c r="AH1201" t="str">
        <f t="shared" si="439"/>
        <v/>
      </c>
      <c r="AI1201" t="str">
        <f t="shared" si="440"/>
        <v/>
      </c>
      <c r="AJ1201" t="str">
        <f t="shared" si="441"/>
        <v/>
      </c>
      <c r="AK1201" t="str">
        <f t="shared" si="442"/>
        <v/>
      </c>
      <c r="AL1201" t="str">
        <f t="shared" si="443"/>
        <v/>
      </c>
      <c r="AM1201" t="str">
        <f t="shared" si="444"/>
        <v/>
      </c>
      <c r="AN1201" t="str">
        <f t="shared" si="445"/>
        <v/>
      </c>
      <c r="AO1201" t="str">
        <f t="shared" si="446"/>
        <v/>
      </c>
      <c r="AP1201">
        <f t="shared" si="447"/>
        <v>1</v>
      </c>
      <c r="AQ1201" t="str">
        <f>IF(SAISIE!$F1206="","",SAISIE!$Y1206)</f>
        <v/>
      </c>
      <c r="AR1201" t="str">
        <f>IF(OR(SAISIE!$U$4="",SAISIE!$W$4=""),"",IF(AND($A1201=SAISIE!$U$4,$B1201=SAISIE!$W$4,$C1201="S1"),COUNTIFS($A$2:$A1201,SAISIE!$U$4,$B$2:$B1201,SAISIE!$W$4,$C$2:$C1201,"S1"),""))</f>
        <v/>
      </c>
      <c r="AS1201" t="str">
        <f t="shared" si="448"/>
        <v/>
      </c>
      <c r="AT1201" t="str">
        <f t="shared" si="449"/>
        <v/>
      </c>
      <c r="AU1201" t="str">
        <f t="shared" si="450"/>
        <v/>
      </c>
      <c r="AV1201">
        <f>N(AV1200)+IF(AND($AB1201&lt;&gt;"",OR('PROFIL ELEVE'!$K$4="(Tous)",$AF1201='PROFIL ELEVE'!$K$4)),1,0)</f>
        <v>0</v>
      </c>
      <c r="AW1201">
        <f>N(AW1200)+IF(AND($AB1201&lt;&gt;"",OR('SUIVI LONGITUDINAL'!$Q$4="(Tous)",$AF1201='SUIVI LONGITUDINAL'!$Q$4)),1,0)</f>
        <v>0</v>
      </c>
      <c r="AX1201">
        <f t="shared" si="451"/>
        <v>0</v>
      </c>
      <c r="AY1201">
        <f t="shared" si="452"/>
        <v>0</v>
      </c>
      <c r="AZ1201">
        <f t="shared" si="453"/>
        <v>0</v>
      </c>
      <c r="BA1201" t="str">
        <f t="shared" si="454"/>
        <v/>
      </c>
      <c r="BB1201" t="str">
        <f t="shared" si="455"/>
        <v/>
      </c>
    </row>
  </sheetData>
  <sheetProtection sheet="1"/>
  <pageMargins left="0.75" right="0.75" top="1" bottom="1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3D4"/>
    <pageSetUpPr fitToPage="1"/>
  </sheetPr>
  <dimension ref="A1:H22"/>
  <sheetViews>
    <sheetView showGridLines="0" zoomScaleNormal="100" workbookViewId="0"/>
  </sheetViews>
  <sheetFormatPr baseColWidth="10" defaultColWidth="8.6640625" defaultRowHeight="14.4" x14ac:dyDescent="0.3"/>
  <cols>
    <col min="1" max="1" width="2.21875" customWidth="1"/>
    <col min="2" max="2" width="20" customWidth="1"/>
    <col min="3" max="7" width="13" customWidth="1"/>
    <col min="8" max="8" width="12" customWidth="1"/>
  </cols>
  <sheetData>
    <row r="1" spans="1:8" ht="27" customHeight="1" x14ac:dyDescent="0.3">
      <c r="A1" s="279" t="s">
        <v>409</v>
      </c>
      <c r="B1" s="279"/>
      <c r="C1" s="279"/>
      <c r="D1" s="279"/>
      <c r="E1" s="279"/>
      <c r="F1" s="279"/>
      <c r="G1" s="279"/>
      <c r="H1" s="279"/>
    </row>
    <row r="2" spans="1:8" ht="15" customHeight="1" x14ac:dyDescent="0.3">
      <c r="A2" s="325" t="s">
        <v>410</v>
      </c>
      <c r="B2" s="325"/>
      <c r="C2" s="325"/>
      <c r="D2" s="325"/>
      <c r="E2" s="325"/>
      <c r="F2" s="325"/>
      <c r="G2" s="325"/>
      <c r="H2" s="154" t="str">
        <f>HYPERLINK("#ACCUEIL!A1","← ACCUEIL")</f>
        <v>← ACCUEIL</v>
      </c>
    </row>
    <row r="4" spans="1:8" ht="21.75" customHeight="1" x14ac:dyDescent="0.3">
      <c r="A4" s="228" t="s">
        <v>411</v>
      </c>
      <c r="B4" s="228"/>
      <c r="C4" s="228"/>
      <c r="D4" s="228"/>
      <c r="E4" s="228"/>
      <c r="F4" s="228"/>
      <c r="G4" s="228"/>
      <c r="H4" s="228"/>
    </row>
    <row r="5" spans="1:8" ht="19.5" customHeight="1" x14ac:dyDescent="0.3">
      <c r="B5" s="373" t="str">
        <f>HYPERLINK("https://ugsel22.org/tests-de-forme/","📄 Présentation du projet « Teste et améliore ta forme »")</f>
        <v>📄 Présentation du projet « Teste et améliore ta forme »</v>
      </c>
      <c r="C5" s="373"/>
      <c r="D5" s="373"/>
      <c r="E5" s="373"/>
      <c r="F5" s="373"/>
      <c r="G5" s="373"/>
    </row>
    <row r="6" spans="1:8" ht="19.5" customHeight="1" x14ac:dyDescent="0.3">
      <c r="B6" s="373" t="str">
        <f>HYPERLINK("https://ugsel22.org/teste-et-ameliore-ta-forme-les-tests/","📄 Présentation des 8 tests — une fiche par test")</f>
        <v>📄 Présentation des 8 tests — une fiche par test</v>
      </c>
      <c r="C6" s="373"/>
      <c r="D6" s="373"/>
      <c r="E6" s="373"/>
      <c r="F6" s="373"/>
      <c r="G6" s="373"/>
    </row>
    <row r="7" spans="1:8" ht="19.5" customHeight="1" x14ac:dyDescent="0.3">
      <c r="B7" s="373" t="str">
        <f>HYPERLINK("https://ugsel22.org/teste-et-ameliore-ta-forme-videos/","🎬 Vidéos des 8 tests")</f>
        <v>🎬 Vidéos des 8 tests</v>
      </c>
      <c r="C7" s="373"/>
      <c r="D7" s="373"/>
      <c r="E7" s="373"/>
      <c r="F7" s="373"/>
      <c r="G7" s="373"/>
    </row>
    <row r="9" spans="1:8" ht="21.75" customHeight="1" x14ac:dyDescent="0.3">
      <c r="A9" s="228" t="s">
        <v>412</v>
      </c>
      <c r="B9" s="228"/>
      <c r="C9" s="228"/>
      <c r="D9" s="228"/>
      <c r="E9" s="228"/>
      <c r="F9" s="228"/>
      <c r="G9" s="228"/>
      <c r="H9" s="228"/>
    </row>
    <row r="10" spans="1:8" ht="19.5" customHeight="1" x14ac:dyDescent="0.3">
      <c r="B10" s="172" t="s">
        <v>2</v>
      </c>
      <c r="C10" s="373" t="str">
        <f>HYPERLINK("https://ugsel22.org/wp-content/uploads/2026/03/GREPS-22-1-test-EQUILIBRE.pdf","📄 Ouvrir la fiche du test (PDF)")</f>
        <v>📄 Ouvrir la fiche du test (PDF)</v>
      </c>
      <c r="D10" s="373"/>
      <c r="E10" s="373"/>
      <c r="F10" s="373"/>
      <c r="G10" s="373"/>
    </row>
    <row r="11" spans="1:8" ht="19.5" customHeight="1" x14ac:dyDescent="0.3">
      <c r="B11" s="173" t="s">
        <v>3</v>
      </c>
      <c r="C11" s="373" t="str">
        <f>HYPERLINK("https://ugsel22.org/wp-content/uploads/2026/03/GREPS-22-2-test-SOUPLESSE.pdf","📄 Ouvrir la fiche du test (PDF)")</f>
        <v>📄 Ouvrir la fiche du test (PDF)</v>
      </c>
      <c r="D11" s="373"/>
      <c r="E11" s="373"/>
      <c r="F11" s="373"/>
      <c r="G11" s="373"/>
    </row>
    <row r="12" spans="1:8" ht="19.5" customHeight="1" x14ac:dyDescent="0.3">
      <c r="B12" s="174" t="s">
        <v>4</v>
      </c>
      <c r="C12" s="373" t="str">
        <f>HYPERLINK("https://ugsel22.org/wp-content/uploads/2026/03/GREPS-22-3-test-VITESSE.pdf","📄 Ouvrir la fiche du test (PDF)")</f>
        <v>📄 Ouvrir la fiche du test (PDF)</v>
      </c>
      <c r="D12" s="373"/>
      <c r="E12" s="373"/>
      <c r="F12" s="373"/>
      <c r="G12" s="373"/>
    </row>
    <row r="13" spans="1:8" ht="19.5" customHeight="1" x14ac:dyDescent="0.3">
      <c r="B13" s="175" t="s">
        <v>5</v>
      </c>
      <c r="C13" s="373" t="str">
        <f>HYPERLINK("https://ugsel22.org/wp-content/uploads/2026/03/GREPS-22-5-test-ENDURANCE.pdf","📄 Ouvrir la fiche du test (PDF)")</f>
        <v>📄 Ouvrir la fiche du test (PDF)</v>
      </c>
      <c r="D13" s="373"/>
      <c r="E13" s="373"/>
      <c r="F13" s="373"/>
      <c r="G13" s="373"/>
    </row>
    <row r="14" spans="1:8" ht="19.5" customHeight="1" x14ac:dyDescent="0.3">
      <c r="B14" s="176" t="s">
        <v>6</v>
      </c>
      <c r="C14" s="373" t="str">
        <f>HYPERLINK("https://ugsel22.org/wp-content/uploads/2026/03/GREPS-22-6-COORDINATION.pdf","📄 Ouvrir la fiche du test (PDF)")</f>
        <v>📄 Ouvrir la fiche du test (PDF)</v>
      </c>
      <c r="D14" s="373"/>
      <c r="E14" s="373"/>
      <c r="F14" s="373"/>
      <c r="G14" s="373"/>
    </row>
    <row r="15" spans="1:8" ht="19.5" customHeight="1" x14ac:dyDescent="0.3">
      <c r="B15" s="177" t="s">
        <v>7</v>
      </c>
      <c r="C15" s="373" t="str">
        <f>HYPERLINK("https://ugsel22.org/wp-content/uploads/2026/03/GREPS-22-7-test-GAINAGE.pdf","📄 Ouvrir la fiche du test (PDF)")</f>
        <v>📄 Ouvrir la fiche du test (PDF)</v>
      </c>
      <c r="D15" s="373"/>
      <c r="E15" s="373"/>
      <c r="F15" s="373"/>
      <c r="G15" s="373"/>
    </row>
    <row r="16" spans="1:8" ht="19.5" customHeight="1" x14ac:dyDescent="0.3">
      <c r="B16" s="178" t="s">
        <v>8</v>
      </c>
      <c r="C16" s="373" t="str">
        <f>HYPERLINK("https://ugsel22.org/wp-content/uploads/2026/03/GREPS-22-8-test-ADRESSE.pdf","📄 Ouvrir la fiche du test (PDF)")</f>
        <v>📄 Ouvrir la fiche du test (PDF)</v>
      </c>
      <c r="D16" s="373"/>
      <c r="E16" s="373"/>
      <c r="F16" s="373"/>
      <c r="G16" s="373"/>
    </row>
    <row r="17" spans="1:8" ht="19.5" customHeight="1" x14ac:dyDescent="0.3">
      <c r="B17" s="179" t="s">
        <v>9</v>
      </c>
      <c r="C17" s="373" t="str">
        <f>HYPERLINK("https://ugsel22.org/wp-content/uploads/2026/03/GREPS-22-9-test-FORCE-DES-JAMBES.pdf","📄 Ouvrir la fiche du test (PDF)")</f>
        <v>📄 Ouvrir la fiche du test (PDF)</v>
      </c>
      <c r="D17" s="373"/>
      <c r="E17" s="373"/>
      <c r="F17" s="373"/>
      <c r="G17" s="373"/>
    </row>
    <row r="19" spans="1:8" ht="21.75" customHeight="1" x14ac:dyDescent="0.3">
      <c r="A19" s="228" t="s">
        <v>413</v>
      </c>
      <c r="B19" s="228"/>
      <c r="C19" s="228"/>
      <c r="D19" s="228"/>
      <c r="E19" s="228"/>
      <c r="F19" s="228"/>
      <c r="G19" s="228"/>
      <c r="H19" s="228"/>
    </row>
    <row r="20" spans="1:8" ht="19.5" customHeight="1" x14ac:dyDescent="0.3">
      <c r="B20" s="373" t="str">
        <f>HYPERLINK("https://ugsel22.org/wp-content/uploads/2026/03/GREPS-22-SELECTION-ACTIVITES-POUR-DEVELOPPER-LES-QUALITES-PHYSIQUES-TESTEES.pdf","📄 Sélection d'activités pour développer les qualités physiques testées")</f>
        <v>📄 Sélection d'activités pour développer les qualités physiques testées</v>
      </c>
      <c r="C20" s="373"/>
      <c r="D20" s="373"/>
      <c r="E20" s="373"/>
      <c r="F20" s="373"/>
      <c r="G20" s="373"/>
    </row>
    <row r="22" spans="1:8" ht="13.5" customHeight="1" x14ac:dyDescent="0.3">
      <c r="A22" s="259" t="s">
        <v>414</v>
      </c>
      <c r="B22" s="259"/>
      <c r="C22" s="259"/>
      <c r="D22" s="259"/>
      <c r="E22" s="259"/>
      <c r="F22" s="259"/>
      <c r="G22" s="259"/>
      <c r="H22" s="259"/>
    </row>
  </sheetData>
  <sheetProtection sheet="1" formatCells="0" formatColumns="0" formatRows="0" sort="0" autoFilter="0"/>
  <mergeCells count="18">
    <mergeCell ref="A19:H19"/>
    <mergeCell ref="B20:G20"/>
    <mergeCell ref="A22:H22"/>
    <mergeCell ref="C13:G13"/>
    <mergeCell ref="C14:G14"/>
    <mergeCell ref="C15:G15"/>
    <mergeCell ref="C16:G16"/>
    <mergeCell ref="C17:G17"/>
    <mergeCell ref="B7:G7"/>
    <mergeCell ref="A9:H9"/>
    <mergeCell ref="C10:G10"/>
    <mergeCell ref="C11:G11"/>
    <mergeCell ref="C12:G12"/>
    <mergeCell ref="A1:H1"/>
    <mergeCell ref="A2:G2"/>
    <mergeCell ref="A4:H4"/>
    <mergeCell ref="B5:G5"/>
    <mergeCell ref="B6:G6"/>
  </mergeCells>
  <pageMargins left="0.75" right="0.75" top="0.5" bottom="0.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83</vt:i4>
      </vt:variant>
    </vt:vector>
  </HeadingPairs>
  <TitlesOfParts>
    <vt:vector size="97" baseType="lpstr">
      <vt:lpstr>ACCUEIL</vt:lpstr>
      <vt:lpstr>AIDE</vt:lpstr>
      <vt:lpstr>SAISIE</vt:lpstr>
      <vt:lpstr>PROFIL ELEVE</vt:lpstr>
      <vt:lpstr>FICHE PARENTS</vt:lpstr>
      <vt:lpstr>STATS NIVEAU</vt:lpstr>
      <vt:lpstr>STATS ECOLE</vt:lpstr>
      <vt:lpstr>SUIVI LONGITUDINAL</vt:lpstr>
      <vt:lpstr>COHORTE</vt:lpstr>
      <vt:lpstr>EXPORT UGSEL</vt:lpstr>
      <vt:lpstr>EXPORT BRUT</vt:lpstr>
      <vt:lpstr>PARAMETRES</vt:lpstr>
      <vt:lpstr>DONNEES</vt:lpstr>
      <vt:lpstr>RESSOURCES</vt:lpstr>
      <vt:lpstr>ANNEE_ACTIVE</vt:lpstr>
      <vt:lpstr>ANNEES_VERROU</vt:lpstr>
      <vt:lpstr>D_AD_NIV</vt:lpstr>
      <vt:lpstr>D_AD_PERF</vt:lpstr>
      <vt:lpstr>D_ANNEE</vt:lpstr>
      <vt:lpstr>D_CO_NIV</vt:lpstr>
      <vt:lpstr>D_CO_PERF</vt:lpstr>
      <vt:lpstr>D_COMPLET</vt:lpstr>
      <vt:lpstr>D_CYCLE</vt:lpstr>
      <vt:lpstr>D_EN_NIV</vt:lpstr>
      <vt:lpstr>D_EN_PERF</vt:lpstr>
      <vt:lpstr>D_EQ_NIV</vt:lpstr>
      <vt:lpstr>D_EQ_PERF</vt:lpstr>
      <vt:lpstr>D_FO_NIV</vt:lpstr>
      <vt:lpstr>D_FO_PERF</vt:lpstr>
      <vt:lpstr>D_GA_NIV</vt:lpstr>
      <vt:lpstr>D_GA_PERF</vt:lpstr>
      <vt:lpstr>D_ID</vt:lpstr>
      <vt:lpstr>D_IDUNIQUE</vt:lpstr>
      <vt:lpstr>D_KEY</vt:lpstr>
      <vt:lpstr>D_KEY_DOUBLON</vt:lpstr>
      <vt:lpstr>D_KEY_NIVSES</vt:lpstr>
      <vt:lpstr>D_KEY_STATUT</vt:lpstr>
      <vt:lpstr>D_MOYNIV</vt:lpstr>
      <vt:lpstr>D_NAISS</vt:lpstr>
      <vt:lpstr>D_NB_PROG</vt:lpstr>
      <vt:lpstr>D_NB_REG</vt:lpstr>
      <vt:lpstr>D_NB_STAB</vt:lpstr>
      <vt:lpstr>D_NBTESTS</vt:lpstr>
      <vt:lpstr>D_NIVEAU</vt:lpstr>
      <vt:lpstr>D_NIVEAU_ACTUEL</vt:lpstr>
      <vt:lpstr>D_NOM</vt:lpstr>
      <vt:lpstr>D_PRENOM</vt:lpstr>
      <vt:lpstr>D_PROG_AD</vt:lpstr>
      <vt:lpstr>D_PROG_CO</vt:lpstr>
      <vt:lpstr>D_PROG_EN</vt:lpstr>
      <vt:lpstr>D_PROG_EQ</vt:lpstr>
      <vt:lpstr>D_PROG_FO</vt:lpstr>
      <vt:lpstr>D_PROG_GA</vt:lpstr>
      <vt:lpstr>D_PROG_SO</vt:lpstr>
      <vt:lpstr>D_PROG_VI</vt:lpstr>
      <vt:lpstr>D_RANG_PROFIL</vt:lpstr>
      <vt:lpstr>D_RANG_RECUP</vt:lpstr>
      <vt:lpstr>D_RANG_SUIVI</vt:lpstr>
      <vt:lpstr>D_S2ROW</vt:lpstr>
      <vt:lpstr>D_SESSION</vt:lpstr>
      <vt:lpstr>D_SEXE</vt:lpstr>
      <vt:lpstr>D_SO_NIV</vt:lpstr>
      <vt:lpstr>D_SO_PERF</vt:lpstr>
      <vt:lpstr>D_STATUT</vt:lpstr>
      <vt:lpstr>D_VI_NIV</vt:lpstr>
      <vt:lpstr>D_VI_PERF</vt:lpstr>
      <vt:lpstr>ETABLISSEMENT_NOM</vt:lpstr>
      <vt:lpstr>'EXPORT BRUT'!Impression_des_titres</vt:lpstr>
      <vt:lpstr>'EXPORT UGSEL'!Impression_des_titres</vt:lpstr>
      <vt:lpstr>LISTE_ANNEES</vt:lpstr>
      <vt:lpstr>LISTE_NAISSANCE</vt:lpstr>
      <vt:lpstr>LISTE_NIVEAUX</vt:lpstr>
      <vt:lpstr>LISTE_SESSIONS</vt:lpstr>
      <vt:lpstr>LISTE_SEXE</vt:lpstr>
      <vt:lpstr>LISTE_STATUTS</vt:lpstr>
      <vt:lpstr>SEUIL_AD</vt:lpstr>
      <vt:lpstr>SEUIL_CO</vt:lpstr>
      <vt:lpstr>SEUIL_EN</vt:lpstr>
      <vt:lpstr>SEUIL_EQ</vt:lpstr>
      <vt:lpstr>SEUIL_FO</vt:lpstr>
      <vt:lpstr>SEUIL_GA</vt:lpstr>
      <vt:lpstr>SEUIL_VI_C2</vt:lpstr>
      <vt:lpstr>SEUIL_VI_C3</vt:lpstr>
      <vt:lpstr>TABLE_CYCLE</vt:lpstr>
      <vt:lpstr>ACCUEIL!Zone_d_impression</vt:lpstr>
      <vt:lpstr>AIDE!Zone_d_impression</vt:lpstr>
      <vt:lpstr>COHORTE!Zone_d_impression</vt:lpstr>
      <vt:lpstr>'EXPORT BRUT'!Zone_d_impression</vt:lpstr>
      <vt:lpstr>'EXPORT UGSEL'!Zone_d_impression</vt:lpstr>
      <vt:lpstr>'FICHE PARENTS'!Zone_d_impression</vt:lpstr>
      <vt:lpstr>PARAMETRES!Zone_d_impression</vt:lpstr>
      <vt:lpstr>'PROFIL ELEVE'!Zone_d_impression</vt:lpstr>
      <vt:lpstr>RESSOURCES!Zone_d_impression</vt:lpstr>
      <vt:lpstr>SAISIE!Zone_d_impression</vt:lpstr>
      <vt:lpstr>'STATS ECOLE'!Zone_d_impression</vt:lpstr>
      <vt:lpstr>'STATS NIVEAU'!Zone_d_impression</vt:lpstr>
      <vt:lpstr>'SUIVI LONGITUDINAL'!Zone_d_impression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Mathieu BREGER</cp:lastModifiedBy>
  <cp:revision>6</cp:revision>
  <dcterms:created xsi:type="dcterms:W3CDTF">2026-06-16T16:45:07Z</dcterms:created>
  <dcterms:modified xsi:type="dcterms:W3CDTF">2026-10-06T06:21:18Z</dcterms:modified>
  <dc:language>en-US</dc:language>
</cp:coreProperties>
</file>